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tabRatio="588" activeTab="2"/>
  </bookViews>
  <sheets>
    <sheet name="文档说明" sheetId="10" r:id="rId1"/>
    <sheet name="价值概述" sheetId="77" r:id="rId2"/>
    <sheet name="节奏总表" sheetId="85" r:id="rId3"/>
    <sheet name="章节关卡" sheetId="82" r:id="rId4"/>
    <sheet name="经验计算" sheetId="81" r:id="rId5"/>
    <sheet name="芦花古楼" sheetId="83" r:id="rId6"/>
    <sheet name="金币总表" sheetId="88" r:id="rId7"/>
    <sheet name="日常任务" sheetId="84" r:id="rId8"/>
    <sheet name="挂机升级突破" sheetId="89" r:id="rId9"/>
    <sheet name="卡牌消耗" sheetId="90" r:id="rId10"/>
    <sheet name="专属武器强化" sheetId="98" r:id="rId11"/>
    <sheet name="羁绊副本" sheetId="101" r:id="rId12"/>
    <sheet name="神器" sheetId="93" state="hidden" r:id="rId13"/>
    <sheet name="装备" sheetId="95" r:id="rId14"/>
    <sheet name="新神器" sheetId="100" r:id="rId15"/>
    <sheet name="日常副本" sheetId="102" r:id="rId16"/>
    <sheet name="恶灵入侵-专属解封" sheetId="103" r:id="rId17"/>
    <sheet name="专属武器" sheetId="97" state="hidden" r:id="rId18"/>
  </sheets>
  <definedNames>
    <definedName name="卡牌类型名" localSheetId="17">#REF!</definedName>
    <definedName name="卡牌类型名">#REF!</definedName>
    <definedName name="品质名称" localSheetId="17">#REF!</definedName>
    <definedName name="品质名称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D7" i="95" l="1"/>
  <c r="BD8" i="95"/>
  <c r="BD9" i="95"/>
  <c r="BD10" i="95"/>
  <c r="BD11" i="95"/>
  <c r="BD12" i="95"/>
  <c r="BD13" i="95"/>
  <c r="BD14" i="95"/>
  <c r="BD15" i="95"/>
  <c r="BD16" i="95"/>
  <c r="BD17" i="95"/>
  <c r="BD18" i="95"/>
  <c r="BD19" i="95"/>
  <c r="BD20" i="95"/>
  <c r="BD21" i="95"/>
  <c r="BD22" i="95"/>
  <c r="BD23" i="95"/>
  <c r="BD24" i="95"/>
  <c r="BD25" i="95"/>
  <c r="BD26" i="95"/>
  <c r="BD27" i="95"/>
  <c r="BD28" i="95"/>
  <c r="BD29" i="95"/>
  <c r="BD30" i="95"/>
  <c r="BD31" i="95"/>
  <c r="BD32" i="95"/>
  <c r="BD33" i="95"/>
  <c r="BD34" i="95"/>
  <c r="BD35" i="95"/>
  <c r="BC7" i="95"/>
  <c r="BC8" i="95"/>
  <c r="BC9" i="95"/>
  <c r="BC10" i="95"/>
  <c r="BC11" i="95"/>
  <c r="BC12" i="95"/>
  <c r="BC13" i="95"/>
  <c r="BC14" i="95"/>
  <c r="BC15" i="95"/>
  <c r="BC16" i="95"/>
  <c r="BC17" i="95"/>
  <c r="BC18" i="95"/>
  <c r="BC19" i="95"/>
  <c r="BC20" i="95"/>
  <c r="BC21" i="95"/>
  <c r="BC22" i="95"/>
  <c r="BC23" i="95"/>
  <c r="BC24" i="95"/>
  <c r="BC25" i="95"/>
  <c r="BC26" i="95"/>
  <c r="BC27" i="95"/>
  <c r="BC28" i="95"/>
  <c r="BC29" i="95"/>
  <c r="BC30" i="95"/>
  <c r="BC31" i="95"/>
  <c r="BC32" i="95"/>
  <c r="BC33" i="95"/>
  <c r="BC34" i="95"/>
  <c r="BC35" i="95"/>
  <c r="R42" i="81" l="1"/>
  <c r="R29" i="81"/>
  <c r="S39" i="81" s="1"/>
  <c r="S40" i="81" l="1"/>
  <c r="S38" i="81"/>
  <c r="S37" i="81"/>
  <c r="S36" i="81"/>
  <c r="R16" i="81" l="1"/>
  <c r="N24" i="81"/>
  <c r="O24" i="81" s="1"/>
  <c r="AN6" i="85" l="1"/>
  <c r="AN5" i="85"/>
  <c r="AN4" i="85"/>
  <c r="AM5" i="85"/>
  <c r="AM6" i="85"/>
  <c r="AM7" i="85"/>
  <c r="AM8" i="85"/>
  <c r="AM9" i="85"/>
  <c r="AM10" i="85"/>
  <c r="AM11" i="85"/>
  <c r="AM12" i="85"/>
  <c r="AM13" i="85"/>
  <c r="AM14" i="85"/>
  <c r="AM15" i="85"/>
  <c r="AM16" i="85"/>
  <c r="AM17" i="85"/>
  <c r="AM18" i="85"/>
  <c r="AM19" i="85"/>
  <c r="AM20" i="85"/>
  <c r="AM21" i="85"/>
  <c r="AM22" i="85"/>
  <c r="AM23" i="85"/>
  <c r="AM24" i="85"/>
  <c r="AM25" i="85"/>
  <c r="AM26" i="85"/>
  <c r="AM27" i="85"/>
  <c r="AM28" i="85"/>
  <c r="AM29" i="85"/>
  <c r="AM30" i="85"/>
  <c r="AM31" i="85"/>
  <c r="AM32" i="85"/>
  <c r="AM33" i="85"/>
  <c r="AM34" i="85"/>
  <c r="AM35" i="85"/>
  <c r="AM36" i="85"/>
  <c r="AM37" i="85"/>
  <c r="AM38" i="85"/>
  <c r="AM39" i="85"/>
  <c r="AM40" i="85"/>
  <c r="AM41" i="85"/>
  <c r="AM42" i="85"/>
  <c r="AM43" i="85"/>
  <c r="AM44" i="85"/>
  <c r="AM45" i="85"/>
  <c r="AM46" i="85"/>
  <c r="AM47" i="85"/>
  <c r="AM48" i="85"/>
  <c r="AM49" i="85"/>
  <c r="AM50" i="85"/>
  <c r="AM51" i="85"/>
  <c r="AM52" i="85"/>
  <c r="AM53" i="85"/>
  <c r="AM54" i="85"/>
  <c r="AM55" i="85"/>
  <c r="AM56" i="85"/>
  <c r="AM57" i="85"/>
  <c r="AM58" i="85"/>
  <c r="AM59" i="85"/>
  <c r="AM60" i="85"/>
  <c r="AM61" i="85"/>
  <c r="AM62" i="85"/>
  <c r="AM63" i="85"/>
  <c r="AM64" i="85"/>
  <c r="AM65" i="85"/>
  <c r="AM66" i="85"/>
  <c r="AM67" i="85"/>
  <c r="AM68" i="85"/>
  <c r="AM69" i="85"/>
  <c r="AM70" i="85"/>
  <c r="AM71" i="85"/>
  <c r="AM72" i="85"/>
  <c r="AM73" i="85"/>
  <c r="AM74" i="85"/>
  <c r="AM75" i="85"/>
  <c r="AM76" i="85"/>
  <c r="AM77" i="85"/>
  <c r="AM78" i="85"/>
  <c r="AM79" i="85"/>
  <c r="AM80" i="85"/>
  <c r="AM81" i="85"/>
  <c r="AM82" i="85"/>
  <c r="AM83" i="85"/>
  <c r="AM84" i="85"/>
  <c r="AM85" i="85"/>
  <c r="AM86" i="85"/>
  <c r="AM87" i="85"/>
  <c r="AM88" i="85"/>
  <c r="AM89" i="85"/>
  <c r="AM90" i="85"/>
  <c r="AM91" i="85"/>
  <c r="AM92" i="85"/>
  <c r="AM93" i="85"/>
  <c r="AM94" i="85"/>
  <c r="AM95" i="85"/>
  <c r="AM96" i="85"/>
  <c r="AM97" i="85"/>
  <c r="AM98" i="85"/>
  <c r="AM99" i="85"/>
  <c r="AM100" i="85"/>
  <c r="AM101" i="85"/>
  <c r="AM102" i="85"/>
  <c r="AM103" i="85"/>
  <c r="AM104" i="85"/>
  <c r="AM105" i="85"/>
  <c r="AM106" i="85"/>
  <c r="AM107" i="85"/>
  <c r="AM108" i="85"/>
  <c r="AM109" i="85"/>
  <c r="AM110" i="85"/>
  <c r="AM111" i="85"/>
  <c r="AM112" i="85"/>
  <c r="AM113" i="85"/>
  <c r="AM114" i="85"/>
  <c r="AM115" i="85"/>
  <c r="AM116" i="85"/>
  <c r="AM117" i="85"/>
  <c r="AM118" i="85"/>
  <c r="AM119" i="85"/>
  <c r="AM120" i="85"/>
  <c r="AM121" i="85"/>
  <c r="AM122" i="85"/>
  <c r="AM123" i="85"/>
  <c r="AM124" i="85"/>
  <c r="AM125" i="85"/>
  <c r="AM126" i="85"/>
  <c r="AM127" i="85"/>
  <c r="AM128" i="85"/>
  <c r="AM129" i="85"/>
  <c r="AM130" i="85"/>
  <c r="AM131" i="85"/>
  <c r="AM132" i="85"/>
  <c r="AM133" i="85"/>
  <c r="AM134" i="85"/>
  <c r="AM135" i="85"/>
  <c r="AM136" i="85"/>
  <c r="AM137" i="85"/>
  <c r="AM138" i="85"/>
  <c r="AM139" i="85"/>
  <c r="AM140" i="85"/>
  <c r="AM141" i="85"/>
  <c r="AM142" i="85"/>
  <c r="AM143" i="85"/>
  <c r="AM144" i="85"/>
  <c r="AM145" i="85"/>
  <c r="AM146" i="85"/>
  <c r="AM147" i="85"/>
  <c r="AM148" i="85"/>
  <c r="AM149" i="85"/>
  <c r="AM150" i="85"/>
  <c r="AM151" i="85"/>
  <c r="AM152" i="85"/>
  <c r="AM153" i="85"/>
  <c r="AM4" i="85"/>
  <c r="AG9" i="89" l="1"/>
  <c r="AH9" i="89"/>
  <c r="AI9" i="89"/>
  <c r="AJ9" i="89"/>
  <c r="AK9" i="89"/>
  <c r="AL9" i="89"/>
  <c r="AM9" i="89"/>
  <c r="AN9" i="89"/>
  <c r="AO9" i="89"/>
  <c r="AG10" i="89"/>
  <c r="AH10" i="89"/>
  <c r="AI10" i="89"/>
  <c r="AJ10" i="89"/>
  <c r="AK10" i="89"/>
  <c r="AL10" i="89"/>
  <c r="AM10" i="89"/>
  <c r="AN10" i="89"/>
  <c r="AO10" i="89"/>
  <c r="AG11" i="89"/>
  <c r="AH11" i="89"/>
  <c r="AI11" i="89"/>
  <c r="AJ11" i="89"/>
  <c r="AK11" i="89"/>
  <c r="AL11" i="89"/>
  <c r="AM11" i="89"/>
  <c r="AN11" i="89"/>
  <c r="AO11" i="89"/>
  <c r="AG12" i="89"/>
  <c r="AH12" i="89"/>
  <c r="AI12" i="89"/>
  <c r="AJ12" i="89"/>
  <c r="AK12" i="89"/>
  <c r="AL12" i="89"/>
  <c r="AM12" i="89"/>
  <c r="AN12" i="89"/>
  <c r="AO12" i="89"/>
  <c r="AG13" i="89"/>
  <c r="AH13" i="89"/>
  <c r="AI13" i="89"/>
  <c r="AJ13" i="89"/>
  <c r="AK13" i="89"/>
  <c r="AL13" i="89"/>
  <c r="AM13" i="89"/>
  <c r="AN13" i="89"/>
  <c r="AO13" i="89"/>
  <c r="AG14" i="89"/>
  <c r="AH14" i="89"/>
  <c r="AI14" i="89"/>
  <c r="AJ14" i="89"/>
  <c r="AK14" i="89"/>
  <c r="AL14" i="89"/>
  <c r="AM14" i="89"/>
  <c r="AN14" i="89"/>
  <c r="AO14" i="89"/>
  <c r="AG15" i="89"/>
  <c r="AH15" i="89"/>
  <c r="AI15" i="89"/>
  <c r="AJ15" i="89"/>
  <c r="AK15" i="89"/>
  <c r="AL15" i="89"/>
  <c r="AM15" i="89"/>
  <c r="AN15" i="89"/>
  <c r="AO15" i="89"/>
  <c r="AG16" i="89"/>
  <c r="AH16" i="89"/>
  <c r="AI16" i="89"/>
  <c r="AJ16" i="89"/>
  <c r="AK16" i="89"/>
  <c r="AL16" i="89"/>
  <c r="AM16" i="89"/>
  <c r="AN16" i="89"/>
  <c r="AO16" i="89"/>
  <c r="AG17" i="89"/>
  <c r="AH17" i="89"/>
  <c r="AI17" i="89"/>
  <c r="AJ17" i="89"/>
  <c r="AK17" i="89"/>
  <c r="AL17" i="89"/>
  <c r="AM17" i="89"/>
  <c r="AN17" i="89"/>
  <c r="AO17" i="89"/>
  <c r="AG18" i="89"/>
  <c r="AH18" i="89"/>
  <c r="AI18" i="89"/>
  <c r="AJ18" i="89"/>
  <c r="AK18" i="89"/>
  <c r="AL18" i="89"/>
  <c r="AM18" i="89"/>
  <c r="AN18" i="89"/>
  <c r="AO18" i="89"/>
  <c r="AG19" i="89"/>
  <c r="AH19" i="89"/>
  <c r="AI19" i="89"/>
  <c r="AJ19" i="89"/>
  <c r="AK19" i="89"/>
  <c r="AL19" i="89"/>
  <c r="AM19" i="89"/>
  <c r="AN19" i="89"/>
  <c r="AO19" i="89"/>
  <c r="AG20" i="89"/>
  <c r="AH20" i="89"/>
  <c r="AI20" i="89"/>
  <c r="AJ20" i="89"/>
  <c r="AK20" i="89"/>
  <c r="AL20" i="89"/>
  <c r="AM20" i="89"/>
  <c r="AN20" i="89"/>
  <c r="AO20" i="89"/>
  <c r="AG21" i="89"/>
  <c r="AH21" i="89"/>
  <c r="AI21" i="89"/>
  <c r="AJ21" i="89"/>
  <c r="AK21" i="89"/>
  <c r="AL21" i="89"/>
  <c r="AM21" i="89"/>
  <c r="AN21" i="89"/>
  <c r="AO21" i="89"/>
  <c r="AG22" i="89"/>
  <c r="AH22" i="89"/>
  <c r="AI22" i="89"/>
  <c r="AJ22" i="89"/>
  <c r="AK22" i="89"/>
  <c r="AL22" i="89"/>
  <c r="AM22" i="89"/>
  <c r="AN22" i="89"/>
  <c r="AO22" i="89"/>
  <c r="AG23" i="89"/>
  <c r="AH23" i="89"/>
  <c r="AI23" i="89"/>
  <c r="AJ23" i="89"/>
  <c r="AK23" i="89"/>
  <c r="AL23" i="89"/>
  <c r="AM23" i="89"/>
  <c r="AN23" i="89"/>
  <c r="AO23" i="89"/>
  <c r="AG24" i="89"/>
  <c r="AH24" i="89"/>
  <c r="AI24" i="89"/>
  <c r="AJ24" i="89"/>
  <c r="AK24" i="89"/>
  <c r="AL24" i="89"/>
  <c r="AM24" i="89"/>
  <c r="AN24" i="89"/>
  <c r="AO24" i="89"/>
  <c r="AG25" i="89"/>
  <c r="AH25" i="89"/>
  <c r="AI25" i="89"/>
  <c r="AJ25" i="89"/>
  <c r="AK25" i="89"/>
  <c r="AL25" i="89"/>
  <c r="AM25" i="89"/>
  <c r="AN25" i="89"/>
  <c r="AO25" i="89"/>
  <c r="AG26" i="89"/>
  <c r="AH26" i="89"/>
  <c r="AI26" i="89"/>
  <c r="AJ26" i="89"/>
  <c r="AK26" i="89"/>
  <c r="AL26" i="89"/>
  <c r="AM26" i="89"/>
  <c r="AN26" i="89"/>
  <c r="AO26" i="89"/>
  <c r="AG27" i="89"/>
  <c r="AH27" i="89"/>
  <c r="AI27" i="89"/>
  <c r="AJ27" i="89"/>
  <c r="AK27" i="89"/>
  <c r="AL27" i="89"/>
  <c r="AM27" i="89"/>
  <c r="AN27" i="89"/>
  <c r="AO27" i="89"/>
  <c r="AG28" i="89"/>
  <c r="AH28" i="89"/>
  <c r="AI28" i="89"/>
  <c r="AJ28" i="89"/>
  <c r="AK28" i="89"/>
  <c r="AL28" i="89"/>
  <c r="AM28" i="89"/>
  <c r="AN28" i="89"/>
  <c r="AO28" i="89"/>
  <c r="AG29" i="89"/>
  <c r="AH29" i="89"/>
  <c r="AI29" i="89"/>
  <c r="AJ29" i="89"/>
  <c r="AK29" i="89"/>
  <c r="AL29" i="89"/>
  <c r="AM29" i="89"/>
  <c r="AN29" i="89"/>
  <c r="AO29" i="89"/>
  <c r="AG30" i="89"/>
  <c r="AH30" i="89"/>
  <c r="AI30" i="89"/>
  <c r="AJ30" i="89"/>
  <c r="AK30" i="89"/>
  <c r="AL30" i="89"/>
  <c r="AM30" i="89"/>
  <c r="AN30" i="89"/>
  <c r="AO30" i="89"/>
  <c r="AG31" i="89"/>
  <c r="AH31" i="89"/>
  <c r="AI31" i="89"/>
  <c r="AJ31" i="89"/>
  <c r="AK31" i="89"/>
  <c r="AL31" i="89"/>
  <c r="AM31" i="89"/>
  <c r="AN31" i="89"/>
  <c r="AO31" i="89"/>
  <c r="AG32" i="89"/>
  <c r="AH32" i="89"/>
  <c r="AI32" i="89"/>
  <c r="AJ32" i="89"/>
  <c r="AK32" i="89"/>
  <c r="AL32" i="89"/>
  <c r="AM32" i="89"/>
  <c r="AN32" i="89"/>
  <c r="AO32" i="89"/>
  <c r="AG33" i="89"/>
  <c r="AH33" i="89"/>
  <c r="AI33" i="89"/>
  <c r="AJ33" i="89"/>
  <c r="AK33" i="89"/>
  <c r="AL33" i="89"/>
  <c r="AM33" i="89"/>
  <c r="AN33" i="89"/>
  <c r="AO33" i="89"/>
  <c r="AG34" i="89"/>
  <c r="AH34" i="89"/>
  <c r="AI34" i="89"/>
  <c r="AJ34" i="89"/>
  <c r="AK34" i="89"/>
  <c r="AL34" i="89"/>
  <c r="AM34" i="89"/>
  <c r="AN34" i="89"/>
  <c r="AO34" i="89"/>
  <c r="AG35" i="89"/>
  <c r="AH35" i="89"/>
  <c r="AI35" i="89"/>
  <c r="AJ35" i="89"/>
  <c r="AK35" i="89"/>
  <c r="AL35" i="89"/>
  <c r="AM35" i="89"/>
  <c r="AN35" i="89"/>
  <c r="AO35" i="89"/>
  <c r="AG36" i="89"/>
  <c r="AH36" i="89"/>
  <c r="AI36" i="89"/>
  <c r="AJ36" i="89"/>
  <c r="AK36" i="89"/>
  <c r="AL36" i="89"/>
  <c r="AM36" i="89"/>
  <c r="AN36" i="89"/>
  <c r="AO36" i="89"/>
  <c r="AG37" i="89"/>
  <c r="AH37" i="89"/>
  <c r="AI37" i="89"/>
  <c r="AJ37" i="89"/>
  <c r="AK37" i="89"/>
  <c r="AL37" i="89"/>
  <c r="AM37" i="89"/>
  <c r="AN37" i="89"/>
  <c r="AO37" i="89"/>
  <c r="AH8" i="89"/>
  <c r="AI8" i="89"/>
  <c r="AJ8" i="89"/>
  <c r="AK8" i="89"/>
  <c r="AL8" i="89"/>
  <c r="AM8" i="89"/>
  <c r="AN8" i="89"/>
  <c r="AO8" i="89"/>
  <c r="AG8" i="89"/>
  <c r="P9" i="89" l="1"/>
  <c r="P10" i="89"/>
  <c r="P11" i="89"/>
  <c r="P12" i="89"/>
  <c r="P13" i="89"/>
  <c r="P14" i="89"/>
  <c r="P15" i="89"/>
  <c r="P16" i="89"/>
  <c r="P17" i="89"/>
  <c r="P18" i="89"/>
  <c r="P19" i="89"/>
  <c r="P20" i="89"/>
  <c r="P21" i="89"/>
  <c r="P22" i="89"/>
  <c r="P23" i="89"/>
  <c r="P24" i="89"/>
  <c r="P25" i="89"/>
  <c r="P26" i="89"/>
  <c r="P27" i="89"/>
  <c r="P28" i="89"/>
  <c r="P29" i="89"/>
  <c r="P30" i="89"/>
  <c r="P31" i="89"/>
  <c r="P32" i="89"/>
  <c r="P33" i="89"/>
  <c r="P34" i="89"/>
  <c r="P35" i="89"/>
  <c r="P36" i="89"/>
  <c r="P37" i="89"/>
  <c r="AC5" i="85"/>
  <c r="D5" i="88"/>
  <c r="D6" i="88"/>
  <c r="D7" i="88"/>
  <c r="D8" i="88"/>
  <c r="D9" i="88"/>
  <c r="D10" i="88"/>
  <c r="D11" i="88"/>
  <c r="D12" i="88"/>
  <c r="D13" i="88"/>
  <c r="D14" i="88"/>
  <c r="D15" i="88"/>
  <c r="D16" i="88"/>
  <c r="D17" i="88"/>
  <c r="D18" i="88"/>
  <c r="D19" i="88"/>
  <c r="D20" i="88"/>
  <c r="D21" i="88"/>
  <c r="D22" i="88"/>
  <c r="D23" i="88"/>
  <c r="D24" i="88"/>
  <c r="D25" i="88"/>
  <c r="D26" i="88"/>
  <c r="D27" i="88"/>
  <c r="D28" i="88"/>
  <c r="D29" i="88"/>
  <c r="D30" i="88"/>
  <c r="D31" i="88"/>
  <c r="D32" i="88"/>
  <c r="D33" i="88"/>
  <c r="B11" i="88"/>
  <c r="B12" i="88"/>
  <c r="B13" i="88"/>
  <c r="B14" i="88"/>
  <c r="B15" i="88"/>
  <c r="B16" i="88"/>
  <c r="B17" i="88"/>
  <c r="B18" i="88"/>
  <c r="B19" i="88"/>
  <c r="B20" i="88"/>
  <c r="B21" i="88"/>
  <c r="B22" i="88"/>
  <c r="B23" i="88"/>
  <c r="B24" i="88"/>
  <c r="B25" i="88"/>
  <c r="B26" i="88"/>
  <c r="B27" i="88"/>
  <c r="B28" i="88"/>
  <c r="B29" i="88"/>
  <c r="B30" i="88"/>
  <c r="B31" i="88"/>
  <c r="B32" i="88"/>
  <c r="B33" i="88"/>
  <c r="B5" i="88"/>
  <c r="B6" i="88"/>
  <c r="B7" i="88"/>
  <c r="B8" i="88"/>
  <c r="B9" i="88"/>
  <c r="B10" i="88"/>
  <c r="AI6" i="82"/>
  <c r="AD7" i="82"/>
  <c r="AE7" i="82" s="1"/>
  <c r="AD8" i="82"/>
  <c r="AE8" i="82" s="1"/>
  <c r="AD9" i="82"/>
  <c r="AE9" i="82" s="1"/>
  <c r="AD10" i="82"/>
  <c r="AD11" i="82"/>
  <c r="AD12" i="82"/>
  <c r="AD13" i="82"/>
  <c r="AD14" i="82"/>
  <c r="AD15" i="82"/>
  <c r="AD16" i="82"/>
  <c r="AD17" i="82"/>
  <c r="AD18" i="82"/>
  <c r="AD19" i="82"/>
  <c r="AD20" i="82"/>
  <c r="AD21" i="82"/>
  <c r="AD22" i="82"/>
  <c r="AD23" i="82"/>
  <c r="AD24" i="82"/>
  <c r="AD25" i="82"/>
  <c r="AD26" i="82"/>
  <c r="AD27" i="82"/>
  <c r="AD28" i="82"/>
  <c r="AD29" i="82"/>
  <c r="AD30" i="82"/>
  <c r="AD31" i="82"/>
  <c r="AD32" i="82"/>
  <c r="AD33" i="82"/>
  <c r="AD34" i="82"/>
  <c r="AD35" i="82"/>
  <c r="AD6" i="82"/>
  <c r="T33" i="85"/>
  <c r="V33" i="85"/>
  <c r="X33" i="85"/>
  <c r="Z33" i="85"/>
  <c r="T34" i="85"/>
  <c r="V34" i="85"/>
  <c r="X34" i="85"/>
  <c r="Z34" i="85"/>
  <c r="AA34" i="85" s="1"/>
  <c r="AC34" i="85" s="1"/>
  <c r="C33" i="88" l="1"/>
  <c r="N37" i="89"/>
  <c r="U34" i="85"/>
  <c r="W34" i="85"/>
  <c r="Y34" i="85"/>
  <c r="Z11" i="85" l="1"/>
  <c r="Z12" i="85"/>
  <c r="Z13" i="85"/>
  <c r="Z14" i="85"/>
  <c r="Z15" i="85"/>
  <c r="Z16" i="85"/>
  <c r="Z17" i="85"/>
  <c r="Z18" i="85"/>
  <c r="Z19" i="85"/>
  <c r="Z20" i="85"/>
  <c r="Z21" i="85"/>
  <c r="Z22" i="85"/>
  <c r="Z23" i="85"/>
  <c r="Z24" i="85"/>
  <c r="Z25" i="85"/>
  <c r="Z26" i="85"/>
  <c r="Z27" i="85"/>
  <c r="Z28" i="85"/>
  <c r="Z29" i="85"/>
  <c r="Z30" i="85"/>
  <c r="Z31" i="85"/>
  <c r="Z32" i="85"/>
  <c r="AA33" i="85" s="1"/>
  <c r="AC33" i="85" s="1"/>
  <c r="C32" i="88" l="1"/>
  <c r="N36" i="89"/>
  <c r="Z6" i="85"/>
  <c r="Z7" i="85"/>
  <c r="AA7" i="85" s="1"/>
  <c r="Z8" i="85"/>
  <c r="Z9" i="85"/>
  <c r="Z10" i="85"/>
  <c r="AA12" i="85"/>
  <c r="AA13" i="85"/>
  <c r="AA16" i="85"/>
  <c r="AA17" i="85"/>
  <c r="AA20" i="85"/>
  <c r="AA25" i="85"/>
  <c r="AA28" i="85"/>
  <c r="AA29" i="85"/>
  <c r="Z5" i="85"/>
  <c r="AA24" i="85"/>
  <c r="AC7" i="85" l="1"/>
  <c r="AN21" i="85"/>
  <c r="AC12" i="85"/>
  <c r="N15" i="89" s="1"/>
  <c r="AN51" i="85"/>
  <c r="AC29" i="85"/>
  <c r="AN136" i="85"/>
  <c r="AC28" i="85"/>
  <c r="C27" i="88" s="1"/>
  <c r="AN131" i="85"/>
  <c r="AC20" i="85"/>
  <c r="AN91" i="85"/>
  <c r="AC17" i="85"/>
  <c r="C16" i="88" s="1"/>
  <c r="AN76" i="85"/>
  <c r="AC16" i="85"/>
  <c r="AN71" i="85"/>
  <c r="AC24" i="85"/>
  <c r="N27" i="89" s="1"/>
  <c r="AN111" i="85"/>
  <c r="AC25" i="85"/>
  <c r="AN116" i="85"/>
  <c r="AC13" i="85"/>
  <c r="C12" i="88" s="1"/>
  <c r="AN56" i="85"/>
  <c r="AA9" i="85"/>
  <c r="C6" i="88"/>
  <c r="N10" i="89"/>
  <c r="C11" i="88"/>
  <c r="N23" i="89"/>
  <c r="C19" i="88"/>
  <c r="C28" i="88"/>
  <c r="N32" i="89"/>
  <c r="N19" i="89"/>
  <c r="C15" i="88"/>
  <c r="AA8" i="85"/>
  <c r="C24" i="88"/>
  <c r="N28" i="89"/>
  <c r="AA6" i="85"/>
  <c r="AA21" i="85"/>
  <c r="AA32" i="85"/>
  <c r="AA31" i="85"/>
  <c r="AA27" i="85"/>
  <c r="AA23" i="85"/>
  <c r="AA19" i="85"/>
  <c r="AA11" i="85"/>
  <c r="AA15" i="85"/>
  <c r="AA30" i="85"/>
  <c r="AA26" i="85"/>
  <c r="AA22" i="85"/>
  <c r="AA18" i="85"/>
  <c r="AA14" i="85"/>
  <c r="AA10" i="85"/>
  <c r="N16" i="89" l="1"/>
  <c r="C23" i="88"/>
  <c r="N31" i="89"/>
  <c r="N20" i="89"/>
  <c r="AC11" i="85"/>
  <c r="C10" i="88" s="1"/>
  <c r="AN46" i="85"/>
  <c r="AC19" i="85"/>
  <c r="C18" i="88" s="1"/>
  <c r="AN86" i="85"/>
  <c r="AC32" i="85"/>
  <c r="C31" i="88" s="1"/>
  <c r="AN151" i="85"/>
  <c r="AC22" i="85"/>
  <c r="C21" i="88" s="1"/>
  <c r="AN101" i="85"/>
  <c r="AC10" i="85"/>
  <c r="N13" i="89" s="1"/>
  <c r="AN41" i="85"/>
  <c r="AC23" i="85"/>
  <c r="C22" i="88" s="1"/>
  <c r="AN106" i="85"/>
  <c r="AC31" i="85"/>
  <c r="C30" i="88" s="1"/>
  <c r="AN146" i="85"/>
  <c r="AC8" i="85"/>
  <c r="N11" i="89" s="1"/>
  <c r="AN31" i="85"/>
  <c r="AC26" i="85"/>
  <c r="N29" i="89" s="1"/>
  <c r="AN121" i="85"/>
  <c r="AC14" i="85"/>
  <c r="C13" i="88" s="1"/>
  <c r="AN61" i="85"/>
  <c r="AC30" i="85"/>
  <c r="C29" i="88" s="1"/>
  <c r="AN141" i="85"/>
  <c r="AC21" i="85"/>
  <c r="C20" i="88" s="1"/>
  <c r="AN96" i="85"/>
  <c r="AC18" i="85"/>
  <c r="N21" i="89" s="1"/>
  <c r="AN81" i="85"/>
  <c r="AC15" i="85"/>
  <c r="C14" i="88" s="1"/>
  <c r="AN66" i="85"/>
  <c r="AC27" i="85"/>
  <c r="N30" i="89" s="1"/>
  <c r="AN126" i="85"/>
  <c r="AC6" i="85"/>
  <c r="C5" i="88" s="1"/>
  <c r="AN13" i="85"/>
  <c r="AC9" i="85"/>
  <c r="AN36" i="85"/>
  <c r="C7" i="88"/>
  <c r="C25" i="88"/>
  <c r="T8" i="85"/>
  <c r="V8" i="85"/>
  <c r="X8" i="85"/>
  <c r="N26" i="89" l="1"/>
  <c r="N17" i="89"/>
  <c r="AD34" i="85"/>
  <c r="O37" i="89" s="1"/>
  <c r="N33" i="89"/>
  <c r="C9" i="88"/>
  <c r="C26" i="88"/>
  <c r="N34" i="89"/>
  <c r="N35" i="89"/>
  <c r="N14" i="89"/>
  <c r="C17" i="88"/>
  <c r="AD33" i="85"/>
  <c r="O36" i="89" s="1"/>
  <c r="N24" i="89"/>
  <c r="N22" i="89"/>
  <c r="N25" i="89"/>
  <c r="N9" i="89"/>
  <c r="N18" i="89"/>
  <c r="C8" i="88"/>
  <c r="N12" i="89"/>
  <c r="X6" i="85"/>
  <c r="X7" i="85"/>
  <c r="Y8" i="85" s="1"/>
  <c r="X9" i="85"/>
  <c r="X10" i="85"/>
  <c r="X11" i="85"/>
  <c r="X12" i="85"/>
  <c r="X13" i="85"/>
  <c r="X14" i="85"/>
  <c r="X15" i="85"/>
  <c r="X16" i="85"/>
  <c r="X17" i="85"/>
  <c r="X18" i="85"/>
  <c r="X19" i="85"/>
  <c r="X20" i="85"/>
  <c r="X21" i="85"/>
  <c r="X22" i="85"/>
  <c r="X23" i="85"/>
  <c r="X24" i="85"/>
  <c r="X25" i="85"/>
  <c r="X26" i="85"/>
  <c r="X27" i="85"/>
  <c r="X28" i="85"/>
  <c r="X29" i="85"/>
  <c r="X30" i="85"/>
  <c r="X31" i="85"/>
  <c r="X32" i="85"/>
  <c r="Y33" i="85" s="1"/>
  <c r="X5" i="85"/>
  <c r="Y6" i="85" s="1"/>
  <c r="T7" i="85"/>
  <c r="U8" i="85" s="1"/>
  <c r="AN29" i="85" s="1"/>
  <c r="V7" i="85"/>
  <c r="W8" i="85" s="1"/>
  <c r="AN30" i="85" s="1"/>
  <c r="Y7" i="85" l="1"/>
  <c r="I7" i="103" l="1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6" i="103"/>
  <c r="G7" i="103" l="1"/>
  <c r="G8" i="103"/>
  <c r="G9" i="103"/>
  <c r="G10" i="103"/>
  <c r="G11" i="103"/>
  <c r="G12" i="103"/>
  <c r="G13" i="103"/>
  <c r="G14" i="103"/>
  <c r="G15" i="103"/>
  <c r="G16" i="103"/>
  <c r="G17" i="103"/>
  <c r="G18" i="103"/>
  <c r="G19" i="103"/>
  <c r="G20" i="103"/>
  <c r="G21" i="103"/>
  <c r="G22" i="103"/>
  <c r="G23" i="103"/>
  <c r="G24" i="103"/>
  <c r="G25" i="103"/>
  <c r="G26" i="103"/>
  <c r="BJ12" i="103" l="1"/>
  <c r="BJ18" i="103"/>
  <c r="BJ24" i="103"/>
  <c r="BJ30" i="103"/>
  <c r="BJ36" i="103"/>
  <c r="BJ42" i="103"/>
  <c r="BJ48" i="103"/>
  <c r="BJ54" i="103"/>
  <c r="BJ60" i="103"/>
  <c r="BJ66" i="103"/>
  <c r="BJ72" i="103"/>
  <c r="BJ78" i="103"/>
  <c r="BJ84" i="103"/>
  <c r="BJ90" i="103"/>
  <c r="BJ96" i="103"/>
  <c r="BJ102" i="103"/>
  <c r="BJ108" i="103"/>
  <c r="BJ114" i="103"/>
  <c r="BJ120" i="103"/>
  <c r="BJ126" i="103"/>
  <c r="BJ6" i="103"/>
  <c r="BB7" i="103"/>
  <c r="BB8" i="103"/>
  <c r="BB9" i="103"/>
  <c r="BB10" i="103"/>
  <c r="BB11" i="103"/>
  <c r="BB12" i="103"/>
  <c r="BB13" i="103"/>
  <c r="BB14" i="103"/>
  <c r="BB15" i="103"/>
  <c r="BB16" i="103"/>
  <c r="BB17" i="103"/>
  <c r="BB18" i="103"/>
  <c r="BB19" i="103"/>
  <c r="BB20" i="103"/>
  <c r="BB21" i="103"/>
  <c r="BB22" i="103"/>
  <c r="BB23" i="103"/>
  <c r="BB24" i="103"/>
  <c r="BB25" i="103"/>
  <c r="BB26" i="103"/>
  <c r="BB27" i="103"/>
  <c r="BB28" i="103"/>
  <c r="BB29" i="103"/>
  <c r="BB30" i="103"/>
  <c r="BB31" i="103"/>
  <c r="BB32" i="103"/>
  <c r="BB33" i="103"/>
  <c r="BB34" i="103"/>
  <c r="BB35" i="103"/>
  <c r="BB36" i="103"/>
  <c r="BB37" i="103"/>
  <c r="BB38" i="103"/>
  <c r="BB39" i="103"/>
  <c r="BB40" i="103"/>
  <c r="BB41" i="103"/>
  <c r="BB42" i="103"/>
  <c r="BB43" i="103"/>
  <c r="BB44" i="103"/>
  <c r="BB45" i="103"/>
  <c r="BB46" i="103"/>
  <c r="BB47" i="103"/>
  <c r="BB48" i="103"/>
  <c r="BB49" i="103"/>
  <c r="BB50" i="103"/>
  <c r="BB51" i="103"/>
  <c r="BB52" i="103"/>
  <c r="BB53" i="103"/>
  <c r="BB54" i="103"/>
  <c r="BB55" i="103"/>
  <c r="BB56" i="103"/>
  <c r="BB57" i="103"/>
  <c r="BB58" i="103"/>
  <c r="BB59" i="103"/>
  <c r="BB60" i="103"/>
  <c r="BB61" i="103"/>
  <c r="BB62" i="103"/>
  <c r="BB63" i="103"/>
  <c r="BB64" i="103"/>
  <c r="BB65" i="103"/>
  <c r="BB66" i="103"/>
  <c r="BB67" i="103"/>
  <c r="BB68" i="103"/>
  <c r="BB69" i="103"/>
  <c r="BB70" i="103"/>
  <c r="BB71" i="103"/>
  <c r="BB72" i="103"/>
  <c r="BB73" i="103"/>
  <c r="BB74" i="103"/>
  <c r="BB75" i="103"/>
  <c r="BB76" i="103"/>
  <c r="BB77" i="103"/>
  <c r="BB78" i="103"/>
  <c r="BB79" i="103"/>
  <c r="BB80" i="103"/>
  <c r="BB81" i="103"/>
  <c r="BB82" i="103"/>
  <c r="BB83" i="103"/>
  <c r="BB84" i="103"/>
  <c r="BB85" i="103"/>
  <c r="BB86" i="103"/>
  <c r="BB87" i="103"/>
  <c r="BB88" i="103"/>
  <c r="BB89" i="103"/>
  <c r="BB90" i="103"/>
  <c r="BB91" i="103"/>
  <c r="BB92" i="103"/>
  <c r="BB93" i="103"/>
  <c r="BB94" i="103"/>
  <c r="BB95" i="103"/>
  <c r="BB96" i="103"/>
  <c r="BB97" i="103"/>
  <c r="BB98" i="103"/>
  <c r="BB99" i="103"/>
  <c r="BB100" i="103"/>
  <c r="BB101" i="103"/>
  <c r="BB102" i="103"/>
  <c r="BB103" i="103"/>
  <c r="BB104" i="103"/>
  <c r="BB105" i="103"/>
  <c r="BB106" i="103"/>
  <c r="BB107" i="103"/>
  <c r="BB108" i="103"/>
  <c r="BB109" i="103"/>
  <c r="BB110" i="103"/>
  <c r="BB111" i="103"/>
  <c r="BB112" i="103"/>
  <c r="BB113" i="103"/>
  <c r="BB114" i="103"/>
  <c r="BB115" i="103"/>
  <c r="BB116" i="103"/>
  <c r="BB117" i="103"/>
  <c r="BB118" i="103"/>
  <c r="BB119" i="103"/>
  <c r="BB120" i="103"/>
  <c r="BB121" i="103"/>
  <c r="BB122" i="103"/>
  <c r="BB123" i="103"/>
  <c r="BB124" i="103"/>
  <c r="BB125" i="103"/>
  <c r="BB126" i="103"/>
  <c r="BB127" i="103"/>
  <c r="BB128" i="103"/>
  <c r="BB129" i="103"/>
  <c r="BB130" i="103"/>
  <c r="BB131" i="103"/>
  <c r="BB6" i="103"/>
  <c r="BI7" i="103"/>
  <c r="BI8" i="103"/>
  <c r="BI9" i="103"/>
  <c r="BI10" i="103"/>
  <c r="BI11" i="103"/>
  <c r="BI12" i="103"/>
  <c r="BI13" i="103"/>
  <c r="BI14" i="103"/>
  <c r="BI15" i="103"/>
  <c r="BI16" i="103"/>
  <c r="BI17" i="103"/>
  <c r="BI18" i="103"/>
  <c r="BI19" i="103"/>
  <c r="BI20" i="103"/>
  <c r="BI21" i="103"/>
  <c r="BI22" i="103"/>
  <c r="BI23" i="103"/>
  <c r="BI24" i="103"/>
  <c r="BI25" i="103"/>
  <c r="BI26" i="103"/>
  <c r="BI27" i="103"/>
  <c r="BI28" i="103"/>
  <c r="BI29" i="103"/>
  <c r="BI30" i="103"/>
  <c r="BI31" i="103"/>
  <c r="BI32" i="103"/>
  <c r="BI33" i="103"/>
  <c r="BI34" i="103"/>
  <c r="BI35" i="103"/>
  <c r="BI36" i="103"/>
  <c r="BI37" i="103"/>
  <c r="BI38" i="103"/>
  <c r="BI39" i="103"/>
  <c r="BI40" i="103"/>
  <c r="BI41" i="103"/>
  <c r="BI42" i="103"/>
  <c r="BI43" i="103"/>
  <c r="BI44" i="103"/>
  <c r="BI45" i="103"/>
  <c r="BI46" i="103"/>
  <c r="BI47" i="103"/>
  <c r="BI48" i="103"/>
  <c r="BI49" i="103"/>
  <c r="BI50" i="103"/>
  <c r="BI51" i="103"/>
  <c r="BI52" i="103"/>
  <c r="BI53" i="103"/>
  <c r="BI54" i="103"/>
  <c r="BI55" i="103"/>
  <c r="BI56" i="103"/>
  <c r="BI57" i="103"/>
  <c r="BI58" i="103"/>
  <c r="BI59" i="103"/>
  <c r="BI60" i="103"/>
  <c r="BI61" i="103"/>
  <c r="BI62" i="103"/>
  <c r="BI63" i="103"/>
  <c r="BI64" i="103"/>
  <c r="BI65" i="103"/>
  <c r="BI66" i="103"/>
  <c r="BI67" i="103"/>
  <c r="BI68" i="103"/>
  <c r="BI69" i="103"/>
  <c r="BI70" i="103"/>
  <c r="BI71" i="103"/>
  <c r="BI72" i="103"/>
  <c r="BI73" i="103"/>
  <c r="BI74" i="103"/>
  <c r="BI75" i="103"/>
  <c r="BI76" i="103"/>
  <c r="BI77" i="103"/>
  <c r="BI78" i="103"/>
  <c r="BI79" i="103"/>
  <c r="BI80" i="103"/>
  <c r="BI81" i="103"/>
  <c r="BI82" i="103"/>
  <c r="BI83" i="103"/>
  <c r="BI84" i="103"/>
  <c r="BI85" i="103"/>
  <c r="BI86" i="103"/>
  <c r="BI87" i="103"/>
  <c r="BI88" i="103"/>
  <c r="BI89" i="103"/>
  <c r="BI90" i="103"/>
  <c r="BI91" i="103"/>
  <c r="BI92" i="103"/>
  <c r="BI93" i="103"/>
  <c r="BI94" i="103"/>
  <c r="BI95" i="103"/>
  <c r="BI96" i="103"/>
  <c r="BI97" i="103"/>
  <c r="BI98" i="103"/>
  <c r="BI99" i="103"/>
  <c r="BI100" i="103"/>
  <c r="BI101" i="103"/>
  <c r="BI102" i="103"/>
  <c r="BI103" i="103"/>
  <c r="BI104" i="103"/>
  <c r="BI105" i="103"/>
  <c r="BI106" i="103"/>
  <c r="BI107" i="103"/>
  <c r="BI108" i="103"/>
  <c r="BI109" i="103"/>
  <c r="BI110" i="103"/>
  <c r="BI111" i="103"/>
  <c r="BI112" i="103"/>
  <c r="BI113" i="103"/>
  <c r="BI114" i="103"/>
  <c r="BI115" i="103"/>
  <c r="BI116" i="103"/>
  <c r="BI117" i="103"/>
  <c r="BI118" i="103"/>
  <c r="BI119" i="103"/>
  <c r="BI120" i="103"/>
  <c r="BI121" i="103"/>
  <c r="BI122" i="103"/>
  <c r="BI123" i="103"/>
  <c r="BI124" i="103"/>
  <c r="BI125" i="103"/>
  <c r="BI126" i="103"/>
  <c r="BI127" i="103"/>
  <c r="BI128" i="103"/>
  <c r="BI129" i="103"/>
  <c r="BI130" i="103"/>
  <c r="BI131" i="103"/>
  <c r="BI6" i="103"/>
  <c r="BL7" i="103"/>
  <c r="BL8" i="103"/>
  <c r="BL9" i="103"/>
  <c r="BL10" i="103"/>
  <c r="BL11" i="103"/>
  <c r="BL12" i="103"/>
  <c r="BL13" i="103"/>
  <c r="BL14" i="103"/>
  <c r="BL15" i="103"/>
  <c r="BL16" i="103"/>
  <c r="BL17" i="103"/>
  <c r="BL18" i="103"/>
  <c r="BL19" i="103"/>
  <c r="BL20" i="103"/>
  <c r="BL21" i="103"/>
  <c r="BL22" i="103"/>
  <c r="BL23" i="103"/>
  <c r="BL24" i="103"/>
  <c r="BL25" i="103"/>
  <c r="BL26" i="103"/>
  <c r="BL27" i="103"/>
  <c r="BL28" i="103"/>
  <c r="BL29" i="103"/>
  <c r="BL30" i="103"/>
  <c r="BL31" i="103"/>
  <c r="BL32" i="103"/>
  <c r="BL33" i="103"/>
  <c r="BL34" i="103"/>
  <c r="BL35" i="103"/>
  <c r="BL36" i="103"/>
  <c r="BL37" i="103"/>
  <c r="BL38" i="103"/>
  <c r="BL39" i="103"/>
  <c r="BL40" i="103"/>
  <c r="BL41" i="103"/>
  <c r="BL42" i="103"/>
  <c r="BL43" i="103"/>
  <c r="BL44" i="103"/>
  <c r="BL45" i="103"/>
  <c r="BL46" i="103"/>
  <c r="BL47" i="103"/>
  <c r="BL48" i="103"/>
  <c r="BL49" i="103"/>
  <c r="BL50" i="103"/>
  <c r="BL51" i="103"/>
  <c r="BL52" i="103"/>
  <c r="BL53" i="103"/>
  <c r="BL54" i="103"/>
  <c r="BL55" i="103"/>
  <c r="BL56" i="103"/>
  <c r="BL57" i="103"/>
  <c r="BL58" i="103"/>
  <c r="BL59" i="103"/>
  <c r="BL60" i="103"/>
  <c r="BL61" i="103"/>
  <c r="BL62" i="103"/>
  <c r="BL63" i="103"/>
  <c r="BL64" i="103"/>
  <c r="BL65" i="103"/>
  <c r="BL66" i="103"/>
  <c r="BL67" i="103"/>
  <c r="BL68" i="103"/>
  <c r="BL69" i="103"/>
  <c r="BL70" i="103"/>
  <c r="BL71" i="103"/>
  <c r="BL72" i="103"/>
  <c r="BL73" i="103"/>
  <c r="BL74" i="103"/>
  <c r="BL75" i="103"/>
  <c r="BL76" i="103"/>
  <c r="BL77" i="103"/>
  <c r="BL78" i="103"/>
  <c r="BL79" i="103"/>
  <c r="BL80" i="103"/>
  <c r="BL81" i="103"/>
  <c r="BL82" i="103"/>
  <c r="BL83" i="103"/>
  <c r="BL84" i="103"/>
  <c r="BL85" i="103"/>
  <c r="BL86" i="103"/>
  <c r="BL87" i="103"/>
  <c r="BL88" i="103"/>
  <c r="BL89" i="103"/>
  <c r="BL90" i="103"/>
  <c r="BL91" i="103"/>
  <c r="BL92" i="103"/>
  <c r="BL93" i="103"/>
  <c r="BL94" i="103"/>
  <c r="BL95" i="103"/>
  <c r="BL96" i="103"/>
  <c r="BL97" i="103"/>
  <c r="BL98" i="103"/>
  <c r="BL99" i="103"/>
  <c r="BL100" i="103"/>
  <c r="BL101" i="103"/>
  <c r="BL102" i="103"/>
  <c r="BL103" i="103"/>
  <c r="BL104" i="103"/>
  <c r="BL105" i="103"/>
  <c r="BL106" i="103"/>
  <c r="BL107" i="103"/>
  <c r="BL108" i="103"/>
  <c r="BL109" i="103"/>
  <c r="BL110" i="103"/>
  <c r="BL111" i="103"/>
  <c r="BL112" i="103"/>
  <c r="BL113" i="103"/>
  <c r="BL114" i="103"/>
  <c r="BL115" i="103"/>
  <c r="BL116" i="103"/>
  <c r="BL117" i="103"/>
  <c r="BL118" i="103"/>
  <c r="BL119" i="103"/>
  <c r="BL120" i="103"/>
  <c r="BL121" i="103"/>
  <c r="BL122" i="103"/>
  <c r="BL123" i="103"/>
  <c r="BL124" i="103"/>
  <c r="BL125" i="103"/>
  <c r="BL126" i="103"/>
  <c r="BL127" i="103"/>
  <c r="BL128" i="103"/>
  <c r="BL129" i="103"/>
  <c r="BL130" i="103"/>
  <c r="BL131" i="103"/>
  <c r="BL6" i="103"/>
  <c r="BK7" i="103"/>
  <c r="BK8" i="103"/>
  <c r="BK9" i="103"/>
  <c r="BK10" i="103"/>
  <c r="BK11" i="103"/>
  <c r="BK12" i="103"/>
  <c r="BK13" i="103"/>
  <c r="BK14" i="103"/>
  <c r="BK15" i="103"/>
  <c r="BK16" i="103"/>
  <c r="BK17" i="103"/>
  <c r="BK18" i="103"/>
  <c r="BK19" i="103"/>
  <c r="BK20" i="103"/>
  <c r="BK21" i="103"/>
  <c r="BK22" i="103"/>
  <c r="BK23" i="103"/>
  <c r="BK24" i="103"/>
  <c r="BK25" i="103"/>
  <c r="BK26" i="103"/>
  <c r="BK27" i="103"/>
  <c r="BK28" i="103"/>
  <c r="BK29" i="103"/>
  <c r="BK30" i="103"/>
  <c r="BK31" i="103"/>
  <c r="BK32" i="103"/>
  <c r="BK33" i="103"/>
  <c r="BK34" i="103"/>
  <c r="BK35" i="103"/>
  <c r="BK36" i="103"/>
  <c r="BK37" i="103"/>
  <c r="BK38" i="103"/>
  <c r="BK39" i="103"/>
  <c r="BK40" i="103"/>
  <c r="BK41" i="103"/>
  <c r="BK42" i="103"/>
  <c r="BK43" i="103"/>
  <c r="BK44" i="103"/>
  <c r="BK45" i="103"/>
  <c r="BK46" i="103"/>
  <c r="BK47" i="103"/>
  <c r="BK48" i="103"/>
  <c r="BK49" i="103"/>
  <c r="BK50" i="103"/>
  <c r="BK51" i="103"/>
  <c r="BK52" i="103"/>
  <c r="BK53" i="103"/>
  <c r="BK54" i="103"/>
  <c r="BK55" i="103"/>
  <c r="BK56" i="103"/>
  <c r="BK57" i="103"/>
  <c r="BK58" i="103"/>
  <c r="BK59" i="103"/>
  <c r="BK60" i="103"/>
  <c r="BK61" i="103"/>
  <c r="BK62" i="103"/>
  <c r="BK63" i="103"/>
  <c r="BK64" i="103"/>
  <c r="BK65" i="103"/>
  <c r="BK66" i="103"/>
  <c r="BK67" i="103"/>
  <c r="BK68" i="103"/>
  <c r="BK69" i="103"/>
  <c r="BK70" i="103"/>
  <c r="BK71" i="103"/>
  <c r="BK72" i="103"/>
  <c r="BK73" i="103"/>
  <c r="BK74" i="103"/>
  <c r="BK75" i="103"/>
  <c r="BK76" i="103"/>
  <c r="BK77" i="103"/>
  <c r="BK78" i="103"/>
  <c r="BK79" i="103"/>
  <c r="BK80" i="103"/>
  <c r="BK81" i="103"/>
  <c r="BK82" i="103"/>
  <c r="BK83" i="103"/>
  <c r="BK84" i="103"/>
  <c r="BK85" i="103"/>
  <c r="BK86" i="103"/>
  <c r="BK87" i="103"/>
  <c r="BK88" i="103"/>
  <c r="BK89" i="103"/>
  <c r="BK90" i="103"/>
  <c r="BK91" i="103"/>
  <c r="BK92" i="103"/>
  <c r="BK93" i="103"/>
  <c r="BK94" i="103"/>
  <c r="BK95" i="103"/>
  <c r="BK96" i="103"/>
  <c r="BK97" i="103"/>
  <c r="BK98" i="103"/>
  <c r="BK99" i="103"/>
  <c r="BK100" i="103"/>
  <c r="BK101" i="103"/>
  <c r="BK102" i="103"/>
  <c r="BK103" i="103"/>
  <c r="BK104" i="103"/>
  <c r="BK105" i="103"/>
  <c r="BK106" i="103"/>
  <c r="BK107" i="103"/>
  <c r="BK108" i="103"/>
  <c r="BK109" i="103"/>
  <c r="BK110" i="103"/>
  <c r="BK111" i="103"/>
  <c r="BK112" i="103"/>
  <c r="BK113" i="103"/>
  <c r="BK114" i="103"/>
  <c r="BK115" i="103"/>
  <c r="BK116" i="103"/>
  <c r="BK117" i="103"/>
  <c r="BK118" i="103"/>
  <c r="BK119" i="103"/>
  <c r="BK120" i="103"/>
  <c r="BK121" i="103"/>
  <c r="BK122" i="103"/>
  <c r="BK123" i="103"/>
  <c r="BK124" i="103"/>
  <c r="BK125" i="103"/>
  <c r="BK126" i="103"/>
  <c r="BK127" i="103"/>
  <c r="BK128" i="103"/>
  <c r="BK129" i="103"/>
  <c r="BK130" i="103"/>
  <c r="BK131" i="103"/>
  <c r="BK6" i="103"/>
  <c r="BH7" i="103"/>
  <c r="BH8" i="103"/>
  <c r="BH9" i="103"/>
  <c r="BH10" i="103"/>
  <c r="BH11" i="103"/>
  <c r="BH12" i="103"/>
  <c r="BH13" i="103"/>
  <c r="BH14" i="103"/>
  <c r="BH15" i="103"/>
  <c r="BH16" i="103"/>
  <c r="BH17" i="103"/>
  <c r="BH18" i="103"/>
  <c r="BH19" i="103"/>
  <c r="BH20" i="103"/>
  <c r="BH21" i="103"/>
  <c r="BH22" i="103"/>
  <c r="BH23" i="103"/>
  <c r="BH24" i="103"/>
  <c r="BH25" i="103"/>
  <c r="BH26" i="103"/>
  <c r="BH27" i="103"/>
  <c r="BH28" i="103"/>
  <c r="BH29" i="103"/>
  <c r="BH30" i="103"/>
  <c r="BH31" i="103"/>
  <c r="BH32" i="103"/>
  <c r="BH33" i="103"/>
  <c r="BH34" i="103"/>
  <c r="BH35" i="103"/>
  <c r="BH36" i="103"/>
  <c r="BH37" i="103"/>
  <c r="BH38" i="103"/>
  <c r="BH39" i="103"/>
  <c r="BH40" i="103"/>
  <c r="BH41" i="103"/>
  <c r="BH42" i="103"/>
  <c r="BH43" i="103"/>
  <c r="BH44" i="103"/>
  <c r="BH45" i="103"/>
  <c r="BH46" i="103"/>
  <c r="BH47" i="103"/>
  <c r="BH48" i="103"/>
  <c r="BH49" i="103"/>
  <c r="BH50" i="103"/>
  <c r="BH51" i="103"/>
  <c r="BH52" i="103"/>
  <c r="BH53" i="103"/>
  <c r="BH54" i="103"/>
  <c r="BH55" i="103"/>
  <c r="BH56" i="103"/>
  <c r="BH57" i="103"/>
  <c r="BH58" i="103"/>
  <c r="BH59" i="103"/>
  <c r="BH60" i="103"/>
  <c r="BH61" i="103"/>
  <c r="BH62" i="103"/>
  <c r="BH63" i="103"/>
  <c r="BH64" i="103"/>
  <c r="BH65" i="103"/>
  <c r="BH66" i="103"/>
  <c r="BH67" i="103"/>
  <c r="BH68" i="103"/>
  <c r="BH69" i="103"/>
  <c r="BH70" i="103"/>
  <c r="BH71" i="103"/>
  <c r="BH72" i="103"/>
  <c r="BH73" i="103"/>
  <c r="BH74" i="103"/>
  <c r="BH75" i="103"/>
  <c r="BH76" i="103"/>
  <c r="BH77" i="103"/>
  <c r="BH78" i="103"/>
  <c r="BH79" i="103"/>
  <c r="BH80" i="103"/>
  <c r="BH81" i="103"/>
  <c r="BH82" i="103"/>
  <c r="BH83" i="103"/>
  <c r="BH84" i="103"/>
  <c r="BH85" i="103"/>
  <c r="BH86" i="103"/>
  <c r="BH87" i="103"/>
  <c r="BH88" i="103"/>
  <c r="BH89" i="103"/>
  <c r="BH90" i="103"/>
  <c r="BH91" i="103"/>
  <c r="BH92" i="103"/>
  <c r="BH93" i="103"/>
  <c r="BH94" i="103"/>
  <c r="BH95" i="103"/>
  <c r="BH96" i="103"/>
  <c r="BH97" i="103"/>
  <c r="BH98" i="103"/>
  <c r="BH99" i="103"/>
  <c r="BH100" i="103"/>
  <c r="BH101" i="103"/>
  <c r="BH102" i="103"/>
  <c r="BH103" i="103"/>
  <c r="BH104" i="103"/>
  <c r="BH105" i="103"/>
  <c r="BH106" i="103"/>
  <c r="BH107" i="103"/>
  <c r="BH108" i="103"/>
  <c r="BH109" i="103"/>
  <c r="BH110" i="103"/>
  <c r="BH111" i="103"/>
  <c r="BH112" i="103"/>
  <c r="BH113" i="103"/>
  <c r="BH114" i="103"/>
  <c r="BH115" i="103"/>
  <c r="BH116" i="103"/>
  <c r="BH117" i="103"/>
  <c r="BH118" i="103"/>
  <c r="BH119" i="103"/>
  <c r="BH120" i="103"/>
  <c r="BH121" i="103"/>
  <c r="BH122" i="103"/>
  <c r="BH123" i="103"/>
  <c r="BH124" i="103"/>
  <c r="BH125" i="103"/>
  <c r="BH126" i="103"/>
  <c r="BH127" i="103"/>
  <c r="BH128" i="103"/>
  <c r="BH129" i="103"/>
  <c r="BH130" i="103"/>
  <c r="BH131" i="103"/>
  <c r="BH6" i="103"/>
  <c r="BG7" i="103"/>
  <c r="BG8" i="103"/>
  <c r="BG9" i="103"/>
  <c r="BG10" i="103"/>
  <c r="BG11" i="103"/>
  <c r="BG12" i="103"/>
  <c r="BG13" i="103"/>
  <c r="BG14" i="103"/>
  <c r="BG15" i="103"/>
  <c r="BG16" i="103"/>
  <c r="BG17" i="103"/>
  <c r="BG18" i="103"/>
  <c r="BG19" i="103"/>
  <c r="BG20" i="103"/>
  <c r="BG21" i="103"/>
  <c r="BG22" i="103"/>
  <c r="BG23" i="103"/>
  <c r="BG24" i="103"/>
  <c r="BG25" i="103"/>
  <c r="BG26" i="103"/>
  <c r="BG27" i="103"/>
  <c r="BG28" i="103"/>
  <c r="BG29" i="103"/>
  <c r="BG30" i="103"/>
  <c r="BG31" i="103"/>
  <c r="BG32" i="103"/>
  <c r="BG33" i="103"/>
  <c r="BG34" i="103"/>
  <c r="BG35" i="103"/>
  <c r="BG36" i="103"/>
  <c r="BG37" i="103"/>
  <c r="BG38" i="103"/>
  <c r="BG39" i="103"/>
  <c r="BG40" i="103"/>
  <c r="BG41" i="103"/>
  <c r="BG42" i="103"/>
  <c r="BG43" i="103"/>
  <c r="BG44" i="103"/>
  <c r="BG45" i="103"/>
  <c r="BG46" i="103"/>
  <c r="BG47" i="103"/>
  <c r="BG48" i="103"/>
  <c r="BG49" i="103"/>
  <c r="BG50" i="103"/>
  <c r="BG51" i="103"/>
  <c r="BG52" i="103"/>
  <c r="BG53" i="103"/>
  <c r="BG54" i="103"/>
  <c r="BG55" i="103"/>
  <c r="BG56" i="103"/>
  <c r="BG57" i="103"/>
  <c r="BG58" i="103"/>
  <c r="BG59" i="103"/>
  <c r="BG60" i="103"/>
  <c r="BG61" i="103"/>
  <c r="BG62" i="103"/>
  <c r="BG63" i="103"/>
  <c r="BG64" i="103"/>
  <c r="BG65" i="103"/>
  <c r="BG66" i="103"/>
  <c r="BG67" i="103"/>
  <c r="BG68" i="103"/>
  <c r="BG69" i="103"/>
  <c r="BG70" i="103"/>
  <c r="BG71" i="103"/>
  <c r="BG72" i="103"/>
  <c r="BG73" i="103"/>
  <c r="BG74" i="103"/>
  <c r="BG75" i="103"/>
  <c r="BG76" i="103"/>
  <c r="BG77" i="103"/>
  <c r="BG78" i="103"/>
  <c r="BG79" i="103"/>
  <c r="BG80" i="103"/>
  <c r="BG81" i="103"/>
  <c r="BG82" i="103"/>
  <c r="BG83" i="103"/>
  <c r="BG84" i="103"/>
  <c r="BG85" i="103"/>
  <c r="BG86" i="103"/>
  <c r="BG87" i="103"/>
  <c r="BG88" i="103"/>
  <c r="BG89" i="103"/>
  <c r="BG90" i="103"/>
  <c r="BG91" i="103"/>
  <c r="BG92" i="103"/>
  <c r="BG93" i="103"/>
  <c r="BG94" i="103"/>
  <c r="BG95" i="103"/>
  <c r="BG96" i="103"/>
  <c r="BG97" i="103"/>
  <c r="BG98" i="103"/>
  <c r="BG99" i="103"/>
  <c r="BG100" i="103"/>
  <c r="BG101" i="103"/>
  <c r="BG102" i="103"/>
  <c r="BG103" i="103"/>
  <c r="BG104" i="103"/>
  <c r="BG105" i="103"/>
  <c r="BG106" i="103"/>
  <c r="BG107" i="103"/>
  <c r="BG108" i="103"/>
  <c r="BG109" i="103"/>
  <c r="BG110" i="103"/>
  <c r="BG111" i="103"/>
  <c r="BG112" i="103"/>
  <c r="BG113" i="103"/>
  <c r="BG114" i="103"/>
  <c r="BG115" i="103"/>
  <c r="BG116" i="103"/>
  <c r="BG117" i="103"/>
  <c r="BG118" i="103"/>
  <c r="BG119" i="103"/>
  <c r="BG120" i="103"/>
  <c r="BG121" i="103"/>
  <c r="BG122" i="103"/>
  <c r="BG123" i="103"/>
  <c r="BG124" i="103"/>
  <c r="BG125" i="103"/>
  <c r="BG126" i="103"/>
  <c r="BG127" i="103"/>
  <c r="BG128" i="103"/>
  <c r="BG129" i="103"/>
  <c r="BG130" i="103"/>
  <c r="BG131" i="103"/>
  <c r="BG6" i="103"/>
  <c r="BA34" i="103"/>
  <c r="BC34" i="103" s="1"/>
  <c r="BE34" i="103"/>
  <c r="BF34" i="103"/>
  <c r="BA35" i="103"/>
  <c r="BC35" i="103"/>
  <c r="BE35" i="103"/>
  <c r="BF35" i="103"/>
  <c r="BA36" i="103"/>
  <c r="BC36" i="103"/>
  <c r="BE36" i="103"/>
  <c r="BF36" i="103"/>
  <c r="BA37" i="103"/>
  <c r="BC37" i="103"/>
  <c r="BE37" i="103"/>
  <c r="BF37" i="103"/>
  <c r="BA38" i="103"/>
  <c r="BC38" i="103"/>
  <c r="BE38" i="103"/>
  <c r="BF38" i="103"/>
  <c r="BA39" i="103"/>
  <c r="BC39" i="103"/>
  <c r="BE39" i="103"/>
  <c r="BF39" i="103"/>
  <c r="BA40" i="103"/>
  <c r="BC40" i="103"/>
  <c r="BE40" i="103"/>
  <c r="BF40" i="103"/>
  <c r="BA41" i="103"/>
  <c r="BC41" i="103"/>
  <c r="BE41" i="103"/>
  <c r="BF41" i="103"/>
  <c r="BA42" i="103"/>
  <c r="BC42" i="103"/>
  <c r="BE42" i="103"/>
  <c r="BF42" i="103"/>
  <c r="BA43" i="103"/>
  <c r="BC43" i="103"/>
  <c r="BE43" i="103"/>
  <c r="BF43" i="103"/>
  <c r="BA44" i="103"/>
  <c r="BC44" i="103"/>
  <c r="BE44" i="103"/>
  <c r="BF44" i="103"/>
  <c r="BA45" i="103"/>
  <c r="BC45" i="103"/>
  <c r="BE45" i="103"/>
  <c r="BF45" i="103"/>
  <c r="BA46" i="103"/>
  <c r="BC46" i="103"/>
  <c r="BE46" i="103"/>
  <c r="BF46" i="103"/>
  <c r="BA47" i="103"/>
  <c r="BC47" i="103"/>
  <c r="BE47" i="103"/>
  <c r="BF47" i="103"/>
  <c r="BA48" i="103"/>
  <c r="BC48" i="103"/>
  <c r="BE48" i="103"/>
  <c r="BF48" i="103"/>
  <c r="BA49" i="103"/>
  <c r="BC49" i="103"/>
  <c r="BE49" i="103"/>
  <c r="BF49" i="103"/>
  <c r="BA50" i="103"/>
  <c r="BC50" i="103"/>
  <c r="BE50" i="103"/>
  <c r="BF50" i="103"/>
  <c r="BA51" i="103"/>
  <c r="BC51" i="103"/>
  <c r="BE51" i="103"/>
  <c r="BF51" i="103"/>
  <c r="BA52" i="103"/>
  <c r="BC52" i="103"/>
  <c r="BE52" i="103"/>
  <c r="BF52" i="103"/>
  <c r="BA53" i="103"/>
  <c r="BC53" i="103"/>
  <c r="BE53" i="103"/>
  <c r="BF53" i="103"/>
  <c r="BA54" i="103"/>
  <c r="BC54" i="103"/>
  <c r="BE54" i="103"/>
  <c r="BF54" i="103"/>
  <c r="BA55" i="103"/>
  <c r="BC55" i="103"/>
  <c r="BE55" i="103"/>
  <c r="BF55" i="103"/>
  <c r="BA56" i="103"/>
  <c r="BC56" i="103"/>
  <c r="BE56" i="103"/>
  <c r="BF56" i="103"/>
  <c r="BA57" i="103"/>
  <c r="BC57" i="103"/>
  <c r="BE57" i="103"/>
  <c r="BF57" i="103"/>
  <c r="BA58" i="103"/>
  <c r="BC58" i="103"/>
  <c r="BE58" i="103"/>
  <c r="BF58" i="103"/>
  <c r="BA59" i="103"/>
  <c r="BC59" i="103"/>
  <c r="BE59" i="103"/>
  <c r="BF59" i="103"/>
  <c r="BA60" i="103"/>
  <c r="BC60" i="103"/>
  <c r="BE60" i="103"/>
  <c r="BF60" i="103"/>
  <c r="BA61" i="103"/>
  <c r="BC61" i="103"/>
  <c r="BE61" i="103"/>
  <c r="BF61" i="103"/>
  <c r="BA62" i="103"/>
  <c r="BC62" i="103"/>
  <c r="BE62" i="103"/>
  <c r="BF62" i="103"/>
  <c r="BA63" i="103"/>
  <c r="BC63" i="103"/>
  <c r="BE63" i="103"/>
  <c r="BF63" i="103"/>
  <c r="BA64" i="103"/>
  <c r="BC64" i="103"/>
  <c r="BE64" i="103"/>
  <c r="BF64" i="103"/>
  <c r="BA65" i="103"/>
  <c r="BC65" i="103"/>
  <c r="BE65" i="103"/>
  <c r="BF65" i="103"/>
  <c r="BA66" i="103"/>
  <c r="BC66" i="103"/>
  <c r="BE66" i="103"/>
  <c r="BF66" i="103"/>
  <c r="BA67" i="103"/>
  <c r="BC67" i="103"/>
  <c r="BE67" i="103"/>
  <c r="BF67" i="103"/>
  <c r="BA68" i="103"/>
  <c r="BC68" i="103"/>
  <c r="BE68" i="103"/>
  <c r="BF68" i="103"/>
  <c r="BA69" i="103"/>
  <c r="BC69" i="103"/>
  <c r="BE69" i="103"/>
  <c r="BF69" i="103"/>
  <c r="BA70" i="103"/>
  <c r="BC70" i="103"/>
  <c r="BE70" i="103"/>
  <c r="BF70" i="103"/>
  <c r="BA71" i="103"/>
  <c r="BC71" i="103"/>
  <c r="BE71" i="103"/>
  <c r="BF71" i="103"/>
  <c r="BA72" i="103"/>
  <c r="BC72" i="103"/>
  <c r="BE72" i="103"/>
  <c r="BF72" i="103"/>
  <c r="BA73" i="103"/>
  <c r="BC73" i="103"/>
  <c r="BE73" i="103"/>
  <c r="BF73" i="103"/>
  <c r="BA74" i="103"/>
  <c r="BC74" i="103"/>
  <c r="BE74" i="103"/>
  <c r="BF74" i="103"/>
  <c r="BA75" i="103"/>
  <c r="BC75" i="103"/>
  <c r="BE75" i="103"/>
  <c r="BF75" i="103"/>
  <c r="BA76" i="103"/>
  <c r="BC76" i="103"/>
  <c r="BE76" i="103"/>
  <c r="BF76" i="103"/>
  <c r="BA77" i="103"/>
  <c r="BC77" i="103"/>
  <c r="BE77" i="103"/>
  <c r="BF77" i="103"/>
  <c r="BA78" i="103"/>
  <c r="BC78" i="103"/>
  <c r="BE78" i="103"/>
  <c r="BF78" i="103"/>
  <c r="BA79" i="103"/>
  <c r="BC79" i="103"/>
  <c r="BE79" i="103"/>
  <c r="BF79" i="103"/>
  <c r="BA80" i="103"/>
  <c r="BC80" i="103"/>
  <c r="BE80" i="103"/>
  <c r="BF80" i="103"/>
  <c r="BA81" i="103"/>
  <c r="BC81" i="103"/>
  <c r="BE81" i="103"/>
  <c r="BF81" i="103"/>
  <c r="BA82" i="103"/>
  <c r="BC82" i="103"/>
  <c r="BE82" i="103"/>
  <c r="BF82" i="103"/>
  <c r="BA83" i="103"/>
  <c r="BC83" i="103"/>
  <c r="BE83" i="103"/>
  <c r="BF83" i="103"/>
  <c r="BA84" i="103"/>
  <c r="BC84" i="103"/>
  <c r="BE84" i="103"/>
  <c r="BF84" i="103"/>
  <c r="BA85" i="103"/>
  <c r="BC85" i="103"/>
  <c r="BE85" i="103"/>
  <c r="BF85" i="103"/>
  <c r="BA86" i="103"/>
  <c r="BC86" i="103"/>
  <c r="BE86" i="103"/>
  <c r="BF86" i="103"/>
  <c r="BA87" i="103"/>
  <c r="BC87" i="103"/>
  <c r="BE87" i="103"/>
  <c r="BF87" i="103"/>
  <c r="BA88" i="103"/>
  <c r="BC88" i="103" s="1"/>
  <c r="BE88" i="103"/>
  <c r="BF88" i="103"/>
  <c r="BA89" i="103"/>
  <c r="BC89" i="103" s="1"/>
  <c r="BE89" i="103"/>
  <c r="BF89" i="103"/>
  <c r="BA90" i="103"/>
  <c r="BC90" i="103" s="1"/>
  <c r="BE90" i="103"/>
  <c r="BF90" i="103"/>
  <c r="BA91" i="103"/>
  <c r="BC91" i="103" s="1"/>
  <c r="BE91" i="103"/>
  <c r="BF91" i="103"/>
  <c r="BA92" i="103"/>
  <c r="BC92" i="103" s="1"/>
  <c r="BE92" i="103"/>
  <c r="BF92" i="103"/>
  <c r="BA93" i="103"/>
  <c r="BC93" i="103" s="1"/>
  <c r="BE93" i="103"/>
  <c r="BF93" i="103"/>
  <c r="BA94" i="103"/>
  <c r="BC94" i="103" s="1"/>
  <c r="BE94" i="103"/>
  <c r="BF94" i="103"/>
  <c r="BA95" i="103"/>
  <c r="BC95" i="103" s="1"/>
  <c r="BE95" i="103"/>
  <c r="BF95" i="103"/>
  <c r="BA96" i="103"/>
  <c r="BC96" i="103" s="1"/>
  <c r="BE96" i="103"/>
  <c r="BF96" i="103"/>
  <c r="BA97" i="103"/>
  <c r="BC97" i="103" s="1"/>
  <c r="BE97" i="103"/>
  <c r="BF97" i="103"/>
  <c r="BA98" i="103"/>
  <c r="BC98" i="103" s="1"/>
  <c r="BE98" i="103"/>
  <c r="BF98" i="103"/>
  <c r="BA99" i="103"/>
  <c r="BC99" i="103" s="1"/>
  <c r="BE99" i="103"/>
  <c r="BF99" i="103"/>
  <c r="BA100" i="103"/>
  <c r="BC100" i="103" s="1"/>
  <c r="BE100" i="103"/>
  <c r="BF100" i="103"/>
  <c r="BA101" i="103"/>
  <c r="BC101" i="103" s="1"/>
  <c r="BE101" i="103"/>
  <c r="BF101" i="103"/>
  <c r="BA102" i="103"/>
  <c r="BC102" i="103" s="1"/>
  <c r="BE102" i="103"/>
  <c r="BF102" i="103"/>
  <c r="BA103" i="103"/>
  <c r="BC103" i="103" s="1"/>
  <c r="BE103" i="103"/>
  <c r="BF103" i="103"/>
  <c r="BA104" i="103"/>
  <c r="BC104" i="103" s="1"/>
  <c r="BE104" i="103"/>
  <c r="BF104" i="103"/>
  <c r="BA105" i="103"/>
  <c r="BC105" i="103"/>
  <c r="BE105" i="103"/>
  <c r="BF105" i="103"/>
  <c r="BA106" i="103"/>
  <c r="BC106" i="103"/>
  <c r="BE106" i="103"/>
  <c r="BF106" i="103"/>
  <c r="BA107" i="103"/>
  <c r="BC107" i="103"/>
  <c r="BE107" i="103"/>
  <c r="BF107" i="103"/>
  <c r="BA108" i="103"/>
  <c r="BC108" i="103"/>
  <c r="BE108" i="103"/>
  <c r="BF108" i="103"/>
  <c r="BA109" i="103"/>
  <c r="BC109" i="103"/>
  <c r="BE109" i="103"/>
  <c r="BF109" i="103"/>
  <c r="BA110" i="103"/>
  <c r="BC110" i="103"/>
  <c r="BE110" i="103"/>
  <c r="BF110" i="103"/>
  <c r="BA111" i="103"/>
  <c r="BC111" i="103"/>
  <c r="BE111" i="103"/>
  <c r="BF111" i="103"/>
  <c r="BA112" i="103"/>
  <c r="BC112" i="103"/>
  <c r="BE112" i="103"/>
  <c r="BF112" i="103"/>
  <c r="BA113" i="103"/>
  <c r="BC113" i="103"/>
  <c r="BE113" i="103"/>
  <c r="BF113" i="103"/>
  <c r="BA114" i="103"/>
  <c r="BC114" i="103"/>
  <c r="BE114" i="103"/>
  <c r="BF114" i="103"/>
  <c r="BA115" i="103"/>
  <c r="BC115" i="103"/>
  <c r="BE115" i="103"/>
  <c r="BF115" i="103"/>
  <c r="BA116" i="103"/>
  <c r="BC116" i="103"/>
  <c r="BE116" i="103"/>
  <c r="BF116" i="103"/>
  <c r="BA117" i="103"/>
  <c r="BC117" i="103"/>
  <c r="BE117" i="103"/>
  <c r="BF117" i="103"/>
  <c r="BA118" i="103"/>
  <c r="BC118" i="103"/>
  <c r="BE118" i="103"/>
  <c r="BF118" i="103"/>
  <c r="BA119" i="103"/>
  <c r="BC119" i="103"/>
  <c r="BE119" i="103"/>
  <c r="BF119" i="103"/>
  <c r="BA120" i="103"/>
  <c r="BC120" i="103"/>
  <c r="BE120" i="103"/>
  <c r="BF120" i="103"/>
  <c r="BA121" i="103"/>
  <c r="BC121" i="103"/>
  <c r="BE121" i="103"/>
  <c r="BF121" i="103"/>
  <c r="BA122" i="103"/>
  <c r="BC122" i="103"/>
  <c r="BE122" i="103"/>
  <c r="BF122" i="103"/>
  <c r="BA123" i="103"/>
  <c r="BC123" i="103"/>
  <c r="BE123" i="103"/>
  <c r="BF123" i="103"/>
  <c r="BA124" i="103"/>
  <c r="BC124" i="103"/>
  <c r="BE124" i="103"/>
  <c r="BF124" i="103"/>
  <c r="BA125" i="103"/>
  <c r="BC125" i="103"/>
  <c r="BE125" i="103"/>
  <c r="BF125" i="103"/>
  <c r="BA126" i="103"/>
  <c r="BC126" i="103"/>
  <c r="BE126" i="103"/>
  <c r="BF126" i="103"/>
  <c r="BA127" i="103"/>
  <c r="BC127" i="103"/>
  <c r="BE127" i="103"/>
  <c r="BF127" i="103"/>
  <c r="BA128" i="103"/>
  <c r="BC128" i="103"/>
  <c r="BE128" i="103"/>
  <c r="BF128" i="103"/>
  <c r="BA129" i="103"/>
  <c r="BC129" i="103"/>
  <c r="BE129" i="103"/>
  <c r="BF129" i="103"/>
  <c r="BA130" i="103"/>
  <c r="BC130" i="103"/>
  <c r="BE130" i="103"/>
  <c r="BF130" i="103"/>
  <c r="BA131" i="103"/>
  <c r="BC131" i="103"/>
  <c r="BE131" i="103"/>
  <c r="BF131" i="103"/>
  <c r="BF7" i="103"/>
  <c r="BF8" i="103"/>
  <c r="BF9" i="103"/>
  <c r="BF10" i="103"/>
  <c r="BF11" i="103"/>
  <c r="BF12" i="103"/>
  <c r="BF13" i="103"/>
  <c r="BF14" i="103"/>
  <c r="BF15" i="103"/>
  <c r="BF16" i="103"/>
  <c r="BF17" i="103"/>
  <c r="BF18" i="103"/>
  <c r="BF19" i="103"/>
  <c r="BF20" i="103"/>
  <c r="BF21" i="103"/>
  <c r="BF22" i="103"/>
  <c r="BF23" i="103"/>
  <c r="BF24" i="103"/>
  <c r="BF25" i="103"/>
  <c r="BF26" i="103"/>
  <c r="BF27" i="103"/>
  <c r="BF28" i="103"/>
  <c r="BF29" i="103"/>
  <c r="BF30" i="103"/>
  <c r="BF31" i="103"/>
  <c r="BF32" i="103"/>
  <c r="BF33" i="103"/>
  <c r="BF6" i="103"/>
  <c r="BE7" i="103"/>
  <c r="BE8" i="103"/>
  <c r="BE9" i="103"/>
  <c r="BE10" i="103"/>
  <c r="BE11" i="103"/>
  <c r="BE12" i="103"/>
  <c r="BE13" i="103"/>
  <c r="BE14" i="103"/>
  <c r="BE15" i="103"/>
  <c r="BE16" i="103"/>
  <c r="BE17" i="103"/>
  <c r="BE18" i="103"/>
  <c r="BE19" i="103"/>
  <c r="BE20" i="103"/>
  <c r="BE21" i="103"/>
  <c r="BE22" i="103"/>
  <c r="BE23" i="103"/>
  <c r="BE24" i="103"/>
  <c r="BE25" i="103"/>
  <c r="BE26" i="103"/>
  <c r="BE27" i="103"/>
  <c r="BE28" i="103"/>
  <c r="BE29" i="103"/>
  <c r="BE30" i="103"/>
  <c r="BE31" i="103"/>
  <c r="BE32" i="103"/>
  <c r="BE33" i="103"/>
  <c r="BE6" i="103"/>
  <c r="BC7" i="103"/>
  <c r="BC8" i="103"/>
  <c r="BC9" i="103"/>
  <c r="BC10" i="103"/>
  <c r="BC11" i="103"/>
  <c r="BC12" i="103"/>
  <c r="BC13" i="103"/>
  <c r="BC14" i="103"/>
  <c r="BC15" i="103"/>
  <c r="BC16" i="103"/>
  <c r="BC17" i="103"/>
  <c r="BC18" i="103"/>
  <c r="BC19" i="103"/>
  <c r="BC20" i="103"/>
  <c r="BC21" i="103"/>
  <c r="BC22" i="103"/>
  <c r="BC23" i="103"/>
  <c r="BC24" i="103"/>
  <c r="BC25" i="103"/>
  <c r="BC26" i="103"/>
  <c r="BC27" i="103"/>
  <c r="BC28" i="103"/>
  <c r="BC29" i="103"/>
  <c r="BC30" i="103"/>
  <c r="BC31" i="103"/>
  <c r="BC32" i="103"/>
  <c r="BC33" i="103"/>
  <c r="BC6" i="103"/>
  <c r="BA7" i="103"/>
  <c r="BA8" i="103"/>
  <c r="BA9" i="103"/>
  <c r="BA10" i="103"/>
  <c r="BA11" i="103"/>
  <c r="BA12" i="103"/>
  <c r="BA13" i="103"/>
  <c r="BA14" i="103"/>
  <c r="BA15" i="103"/>
  <c r="BA16" i="103"/>
  <c r="BA17" i="103"/>
  <c r="BA18" i="103"/>
  <c r="BA19" i="103"/>
  <c r="BA20" i="103"/>
  <c r="BA21" i="103"/>
  <c r="BA22" i="103"/>
  <c r="BA23" i="103"/>
  <c r="BA24" i="103"/>
  <c r="BA25" i="103"/>
  <c r="BA26" i="103"/>
  <c r="BA27" i="103"/>
  <c r="BA28" i="103"/>
  <c r="BA29" i="103"/>
  <c r="BA30" i="103"/>
  <c r="BA31" i="103"/>
  <c r="BA32" i="103"/>
  <c r="BA33" i="103"/>
  <c r="BA6" i="103"/>
  <c r="AI8" i="103" l="1"/>
  <c r="AI9" i="103"/>
  <c r="AI10" i="103"/>
  <c r="AI11" i="103"/>
  <c r="AI12" i="103"/>
  <c r="AI13" i="103"/>
  <c r="AI14" i="103"/>
  <c r="AI15" i="103"/>
  <c r="AI16" i="103"/>
  <c r="AI17" i="103"/>
  <c r="AI18" i="103"/>
  <c r="AI19" i="103"/>
  <c r="AI20" i="103"/>
  <c r="AI21" i="103"/>
  <c r="AI22" i="103"/>
  <c r="AI7" i="103"/>
  <c r="F7" i="103" l="1"/>
  <c r="F8" i="103"/>
  <c r="F9" i="103"/>
  <c r="F10" i="103"/>
  <c r="F11" i="103"/>
  <c r="F12" i="103"/>
  <c r="F13" i="103"/>
  <c r="F14" i="103"/>
  <c r="F15" i="103"/>
  <c r="F16" i="103"/>
  <c r="F17" i="103"/>
  <c r="F18" i="103"/>
  <c r="F19" i="103"/>
  <c r="F20" i="103"/>
  <c r="F21" i="103"/>
  <c r="F22" i="103"/>
  <c r="F23" i="103"/>
  <c r="F24" i="103"/>
  <c r="F25" i="103"/>
  <c r="F26" i="103"/>
  <c r="F6" i="103"/>
  <c r="G6" i="103" s="1"/>
  <c r="E7" i="103"/>
  <c r="E8" i="103"/>
  <c r="E9" i="103"/>
  <c r="E10" i="103"/>
  <c r="E11" i="103"/>
  <c r="E12" i="103"/>
  <c r="E13" i="103"/>
  <c r="E14" i="103"/>
  <c r="E15" i="103"/>
  <c r="E16" i="103"/>
  <c r="E17" i="103"/>
  <c r="E18" i="103"/>
  <c r="E19" i="103"/>
  <c r="E20" i="103"/>
  <c r="E21" i="103"/>
  <c r="E22" i="103"/>
  <c r="E23" i="103"/>
  <c r="E24" i="103"/>
  <c r="E25" i="103"/>
  <c r="E26" i="103"/>
  <c r="E6" i="103"/>
  <c r="AB3" i="103"/>
  <c r="AA3" i="103"/>
  <c r="Z3" i="103"/>
  <c r="Y3" i="103"/>
  <c r="X3" i="103"/>
  <c r="W3" i="103"/>
  <c r="AC9" i="103" l="1"/>
  <c r="AC12" i="103"/>
  <c r="AC8" i="103"/>
  <c r="AC7" i="103"/>
  <c r="AC19" i="103"/>
  <c r="AC15" i="103"/>
  <c r="AC11" i="103"/>
  <c r="AC20" i="103"/>
  <c r="AC16" i="103"/>
  <c r="AC22" i="103"/>
  <c r="AC18" i="103"/>
  <c r="AC14" i="103"/>
  <c r="AC10" i="103"/>
  <c r="AC21" i="103"/>
  <c r="AC17" i="103"/>
  <c r="AC13" i="103"/>
  <c r="AQ8" i="100" l="1"/>
  <c r="AQ9" i="100"/>
  <c r="AQ10" i="100"/>
  <c r="AQ11" i="100"/>
  <c r="AQ12" i="100"/>
  <c r="AQ13" i="100"/>
  <c r="AQ14" i="100"/>
  <c r="AQ15" i="100"/>
  <c r="AQ16" i="100"/>
  <c r="AQ17" i="100"/>
  <c r="AQ18" i="100"/>
  <c r="AQ19" i="100"/>
  <c r="AQ20" i="100"/>
  <c r="AQ21" i="100"/>
  <c r="AQ22" i="100"/>
  <c r="AQ23" i="100"/>
  <c r="AQ24" i="100"/>
  <c r="AQ25" i="100"/>
  <c r="AQ26" i="100"/>
  <c r="AQ27" i="100"/>
  <c r="AQ28" i="100"/>
  <c r="AQ29" i="100"/>
  <c r="AQ30" i="100"/>
  <c r="AQ31" i="100"/>
  <c r="AQ32" i="100"/>
  <c r="AQ33" i="100"/>
  <c r="AQ34" i="100"/>
  <c r="AQ35" i="100"/>
  <c r="AQ36" i="100"/>
  <c r="AQ37" i="100"/>
  <c r="AQ38" i="100"/>
  <c r="AQ39" i="100"/>
  <c r="AQ40" i="100"/>
  <c r="AQ41" i="100"/>
  <c r="AQ42" i="100"/>
  <c r="AQ43" i="100"/>
  <c r="AQ44" i="100"/>
  <c r="AQ45" i="100"/>
  <c r="AQ46" i="100"/>
  <c r="AQ47" i="100"/>
  <c r="AQ48" i="100"/>
  <c r="AQ49" i="100"/>
  <c r="AQ50" i="100"/>
  <c r="AQ51" i="100"/>
  <c r="AQ52" i="100"/>
  <c r="AQ53" i="100"/>
  <c r="AQ54" i="100"/>
  <c r="AQ55" i="100"/>
  <c r="AQ56" i="100"/>
  <c r="AQ57" i="100"/>
  <c r="AQ58" i="100"/>
  <c r="AQ59" i="100"/>
  <c r="AQ60" i="100"/>
  <c r="AQ61" i="100"/>
  <c r="AQ62" i="100"/>
  <c r="AQ63" i="100"/>
  <c r="AQ64" i="100"/>
  <c r="AQ65" i="100"/>
  <c r="AQ66" i="100"/>
  <c r="AQ67" i="100"/>
  <c r="AQ68" i="100"/>
  <c r="AQ69" i="100"/>
  <c r="AQ70" i="100"/>
  <c r="AQ71" i="100"/>
  <c r="AQ72" i="100"/>
  <c r="AQ73" i="100"/>
  <c r="AQ74" i="100"/>
  <c r="AQ75" i="100"/>
  <c r="AQ76" i="100"/>
  <c r="AQ77" i="100"/>
  <c r="AQ78" i="100"/>
  <c r="AQ79" i="100"/>
  <c r="AQ80" i="100"/>
  <c r="AQ81" i="100"/>
  <c r="AQ82" i="100"/>
  <c r="AQ83" i="100"/>
  <c r="AQ84" i="100"/>
  <c r="AQ85" i="100"/>
  <c r="AQ86" i="100"/>
  <c r="AQ87" i="100"/>
  <c r="AQ88" i="100"/>
  <c r="AQ89" i="100"/>
  <c r="AQ90" i="100"/>
  <c r="AQ91" i="100"/>
  <c r="AQ92" i="100"/>
  <c r="AQ93" i="100"/>
  <c r="AQ94" i="100"/>
  <c r="AQ95" i="100"/>
  <c r="AQ96" i="100"/>
  <c r="AQ97" i="100"/>
  <c r="AQ98" i="100"/>
  <c r="AQ99" i="100"/>
  <c r="AQ100" i="100"/>
  <c r="AQ101" i="100"/>
  <c r="AQ102" i="100"/>
  <c r="AQ103" i="100"/>
  <c r="AQ104" i="100"/>
  <c r="AQ105" i="100"/>
  <c r="AQ106" i="100"/>
  <c r="AQ107" i="100"/>
  <c r="AQ108" i="100"/>
  <c r="AQ109" i="100"/>
  <c r="AQ110" i="100"/>
  <c r="AQ111" i="100"/>
  <c r="AQ112" i="100"/>
  <c r="AQ113" i="100"/>
  <c r="AQ114" i="100"/>
  <c r="AQ115" i="100"/>
  <c r="AQ116" i="100"/>
  <c r="AQ117" i="100"/>
  <c r="AQ118" i="100"/>
  <c r="AQ119" i="100"/>
  <c r="AQ120" i="100"/>
  <c r="AQ121" i="100"/>
  <c r="AQ122" i="100"/>
  <c r="AQ123" i="100"/>
  <c r="AQ124" i="100"/>
  <c r="AQ125" i="100"/>
  <c r="AQ126" i="100"/>
  <c r="AQ127" i="100"/>
  <c r="AQ128" i="100"/>
  <c r="AQ129" i="100"/>
  <c r="AQ130" i="100"/>
  <c r="AQ131" i="100"/>
  <c r="AQ132" i="100"/>
  <c r="AQ133" i="100"/>
  <c r="AQ134" i="100"/>
  <c r="AQ135" i="100"/>
  <c r="AQ136" i="100"/>
  <c r="AQ137" i="100"/>
  <c r="AQ138" i="100"/>
  <c r="AQ139" i="100"/>
  <c r="AQ140" i="100"/>
  <c r="AQ141" i="100"/>
  <c r="AQ142" i="100"/>
  <c r="AQ143" i="100"/>
  <c r="AQ144" i="100"/>
  <c r="AQ145" i="100"/>
  <c r="AQ146" i="100"/>
  <c r="AQ147" i="100"/>
  <c r="AQ148" i="100"/>
  <c r="AQ149" i="100"/>
  <c r="AQ150" i="100"/>
  <c r="AQ151" i="100"/>
  <c r="AQ152" i="100"/>
  <c r="AQ153" i="100"/>
  <c r="AQ154" i="100"/>
  <c r="AQ155" i="100"/>
  <c r="AQ156" i="100"/>
  <c r="AQ157" i="100"/>
  <c r="AQ158" i="100"/>
  <c r="AQ159" i="100"/>
  <c r="AQ160" i="100"/>
  <c r="AQ161" i="100"/>
  <c r="AQ162" i="100"/>
  <c r="AQ163" i="100"/>
  <c r="AQ164" i="100"/>
  <c r="AQ165" i="100"/>
  <c r="AQ166" i="100"/>
  <c r="AQ167" i="100"/>
  <c r="AQ168" i="100"/>
  <c r="AQ169" i="100"/>
  <c r="AQ170" i="100"/>
  <c r="AQ171" i="100"/>
  <c r="AQ172" i="100"/>
  <c r="AQ173" i="100"/>
  <c r="AQ174" i="100"/>
  <c r="AQ175" i="100"/>
  <c r="AQ176" i="100"/>
  <c r="AQ177" i="100"/>
  <c r="AQ178" i="100"/>
  <c r="AQ179" i="100"/>
  <c r="AQ180" i="100"/>
  <c r="AQ181" i="100"/>
  <c r="AQ182" i="100"/>
  <c r="AQ183" i="100"/>
  <c r="AQ184" i="100"/>
  <c r="AQ185" i="100"/>
  <c r="AQ186" i="100"/>
  <c r="AQ187" i="100"/>
  <c r="AQ188" i="100"/>
  <c r="AQ189" i="100"/>
  <c r="AQ190" i="100"/>
  <c r="AQ191" i="100"/>
  <c r="AQ192" i="100"/>
  <c r="AQ193" i="100"/>
  <c r="AQ194" i="100"/>
  <c r="AQ195" i="100"/>
  <c r="AQ196" i="100"/>
  <c r="AQ197" i="100"/>
  <c r="AQ198" i="100"/>
  <c r="AQ199" i="100"/>
  <c r="AQ200" i="100"/>
  <c r="AQ201" i="100"/>
  <c r="AQ202" i="100"/>
  <c r="AQ203" i="100"/>
  <c r="AQ204" i="100"/>
  <c r="AQ205" i="100"/>
  <c r="AQ206" i="100"/>
  <c r="AQ207" i="100"/>
  <c r="AQ208" i="100"/>
  <c r="AQ209" i="100"/>
  <c r="AQ210" i="100"/>
  <c r="AQ211" i="100"/>
  <c r="AQ212" i="100"/>
  <c r="AQ213" i="100"/>
  <c r="AQ214" i="100"/>
  <c r="AQ215" i="100"/>
  <c r="AQ216" i="100"/>
  <c r="AQ217" i="100"/>
  <c r="AQ218" i="100"/>
  <c r="AQ219" i="100"/>
  <c r="AQ220" i="100"/>
  <c r="AQ221" i="100"/>
  <c r="AQ222" i="100"/>
  <c r="AQ223" i="100"/>
  <c r="AQ224" i="100"/>
  <c r="AQ225" i="100"/>
  <c r="AQ226" i="100"/>
  <c r="AQ227" i="100"/>
  <c r="AQ228" i="100"/>
  <c r="AQ229" i="100"/>
  <c r="AQ230" i="100"/>
  <c r="AQ231" i="100"/>
  <c r="AQ232" i="100"/>
  <c r="AQ233" i="100"/>
  <c r="AQ234" i="100"/>
  <c r="AQ235" i="100"/>
  <c r="AQ236" i="100"/>
  <c r="AQ237" i="100"/>
  <c r="AQ238" i="100"/>
  <c r="AQ239" i="100"/>
  <c r="AQ240" i="100"/>
  <c r="AQ241" i="100"/>
  <c r="AQ242" i="100"/>
  <c r="AQ243" i="100"/>
  <c r="AQ244" i="100"/>
  <c r="AQ245" i="100"/>
  <c r="AQ246" i="100"/>
  <c r="AQ247" i="100"/>
  <c r="AQ248" i="100"/>
  <c r="AQ249" i="100"/>
  <c r="AQ250" i="100"/>
  <c r="AQ251" i="100"/>
  <c r="AQ252" i="100"/>
  <c r="AQ253" i="100"/>
  <c r="AQ254" i="100"/>
  <c r="AQ255" i="100"/>
  <c r="AQ256" i="100"/>
  <c r="AQ257" i="100"/>
  <c r="AQ258" i="100"/>
  <c r="AQ259" i="100"/>
  <c r="AQ260" i="100"/>
  <c r="AQ261" i="100"/>
  <c r="AQ262" i="100"/>
  <c r="AQ263" i="100"/>
  <c r="AQ264" i="100"/>
  <c r="AQ265" i="100"/>
  <c r="AQ266" i="100"/>
  <c r="AQ267" i="100"/>
  <c r="AQ268" i="100"/>
  <c r="AQ269" i="100"/>
  <c r="AQ270" i="100"/>
  <c r="AQ271" i="100"/>
  <c r="AQ272" i="100"/>
  <c r="AQ273" i="100"/>
  <c r="AQ274" i="100"/>
  <c r="AQ275" i="100"/>
  <c r="AQ276" i="100"/>
  <c r="AQ277" i="100"/>
  <c r="AQ278" i="100"/>
  <c r="AQ279" i="100"/>
  <c r="AQ280" i="100"/>
  <c r="AQ281" i="100"/>
  <c r="AQ282" i="100"/>
  <c r="AQ283" i="100"/>
  <c r="AQ284" i="100"/>
  <c r="AQ285" i="100"/>
  <c r="AQ286" i="100"/>
  <c r="AQ287" i="100"/>
  <c r="AQ288" i="100"/>
  <c r="AQ289" i="100"/>
  <c r="AQ290" i="100"/>
  <c r="AQ291" i="100"/>
  <c r="AQ292" i="100"/>
  <c r="AQ293" i="100"/>
  <c r="AQ294" i="100"/>
  <c r="AQ295" i="100"/>
  <c r="AQ296" i="100"/>
  <c r="AQ297" i="100"/>
  <c r="AQ298" i="100"/>
  <c r="AQ299" i="100"/>
  <c r="AQ300" i="100"/>
  <c r="AQ301" i="100"/>
  <c r="AQ7" i="100"/>
  <c r="AO8" i="100"/>
  <c r="AO9" i="100"/>
  <c r="AO10" i="100"/>
  <c r="AO11" i="100"/>
  <c r="AO12" i="100"/>
  <c r="AO13" i="100"/>
  <c r="AO14" i="100"/>
  <c r="AO15" i="100"/>
  <c r="AO16" i="100"/>
  <c r="AO17" i="100"/>
  <c r="AO18" i="100"/>
  <c r="AO19" i="100"/>
  <c r="AO20" i="100"/>
  <c r="AO21" i="100"/>
  <c r="AO22" i="100"/>
  <c r="AO23" i="100"/>
  <c r="AO24" i="100"/>
  <c r="AO25" i="100"/>
  <c r="AO26" i="100"/>
  <c r="AO27" i="100"/>
  <c r="AO28" i="100"/>
  <c r="AO29" i="100"/>
  <c r="AO30" i="100"/>
  <c r="AO31" i="100"/>
  <c r="AO32" i="100"/>
  <c r="AO33" i="100"/>
  <c r="AO34" i="100"/>
  <c r="AO35" i="100"/>
  <c r="AO36" i="100"/>
  <c r="AO37" i="100"/>
  <c r="AO38" i="100"/>
  <c r="AO39" i="100"/>
  <c r="AO40" i="100"/>
  <c r="AO41" i="100"/>
  <c r="AO42" i="100"/>
  <c r="AO43" i="100"/>
  <c r="AO44" i="100"/>
  <c r="AO45" i="100"/>
  <c r="AO46" i="100"/>
  <c r="AO47" i="100"/>
  <c r="AO48" i="100"/>
  <c r="AO49" i="100"/>
  <c r="AO50" i="100"/>
  <c r="AO51" i="100"/>
  <c r="AO52" i="100"/>
  <c r="AO53" i="100"/>
  <c r="AO54" i="100"/>
  <c r="AO55" i="100"/>
  <c r="AO56" i="100"/>
  <c r="AO57" i="100"/>
  <c r="AO58" i="100"/>
  <c r="AO59" i="100"/>
  <c r="AO60" i="100"/>
  <c r="AO61" i="100"/>
  <c r="AO62" i="100"/>
  <c r="AO63" i="100"/>
  <c r="AO64" i="100"/>
  <c r="AO65" i="100"/>
  <c r="AO66" i="100"/>
  <c r="AO67" i="100"/>
  <c r="AO68" i="100"/>
  <c r="AO69" i="100"/>
  <c r="AO70" i="100"/>
  <c r="AO71" i="100"/>
  <c r="AO72" i="100"/>
  <c r="AO73" i="100"/>
  <c r="AO74" i="100"/>
  <c r="AO75" i="100"/>
  <c r="AO76" i="100"/>
  <c r="AO77" i="100"/>
  <c r="AO78" i="100"/>
  <c r="AO79" i="100"/>
  <c r="AO80" i="100"/>
  <c r="AO81" i="100"/>
  <c r="AO82" i="100"/>
  <c r="AO83" i="100"/>
  <c r="AO84" i="100"/>
  <c r="AO85" i="100"/>
  <c r="AO86" i="100"/>
  <c r="AO87" i="100"/>
  <c r="AO88" i="100"/>
  <c r="AO89" i="100"/>
  <c r="AO90" i="100"/>
  <c r="AO91" i="100"/>
  <c r="AO92" i="100"/>
  <c r="AO93" i="100"/>
  <c r="AO94" i="100"/>
  <c r="AO95" i="100"/>
  <c r="AO96" i="100"/>
  <c r="AO97" i="100"/>
  <c r="AO98" i="100"/>
  <c r="AO99" i="100"/>
  <c r="AO100" i="100"/>
  <c r="AO101" i="100"/>
  <c r="AO102" i="100"/>
  <c r="AO103" i="100"/>
  <c r="AO104" i="100"/>
  <c r="AO105" i="100"/>
  <c r="AO106" i="100"/>
  <c r="AO107" i="100"/>
  <c r="AO108" i="100"/>
  <c r="AO109" i="100"/>
  <c r="AO110" i="100"/>
  <c r="AO111" i="100"/>
  <c r="AO112" i="100"/>
  <c r="AO113" i="100"/>
  <c r="AO114" i="100"/>
  <c r="AO115" i="100"/>
  <c r="AO116" i="100"/>
  <c r="AO117" i="100"/>
  <c r="AO118" i="100"/>
  <c r="AO119" i="100"/>
  <c r="AO120" i="100"/>
  <c r="AO121" i="100"/>
  <c r="AO122" i="100"/>
  <c r="AO123" i="100"/>
  <c r="AO124" i="100"/>
  <c r="AO125" i="100"/>
  <c r="AO126" i="100"/>
  <c r="AO127" i="100"/>
  <c r="AO128" i="100"/>
  <c r="AO129" i="100"/>
  <c r="AO130" i="100"/>
  <c r="AO131" i="100"/>
  <c r="AO132" i="100"/>
  <c r="AO133" i="100"/>
  <c r="AO134" i="100"/>
  <c r="AO135" i="100"/>
  <c r="AO136" i="100"/>
  <c r="AO137" i="100"/>
  <c r="AO138" i="100"/>
  <c r="AO139" i="100"/>
  <c r="AO140" i="100"/>
  <c r="AO141" i="100"/>
  <c r="AO142" i="100"/>
  <c r="AO143" i="100"/>
  <c r="AO144" i="100"/>
  <c r="AO145" i="100"/>
  <c r="AO146" i="100"/>
  <c r="AO147" i="100"/>
  <c r="AO148" i="100"/>
  <c r="AO149" i="100"/>
  <c r="AO150" i="100"/>
  <c r="AO151" i="100"/>
  <c r="AO152" i="100"/>
  <c r="AO153" i="100"/>
  <c r="AO154" i="100"/>
  <c r="AO155" i="100"/>
  <c r="AO156" i="100"/>
  <c r="AO157" i="100"/>
  <c r="AO158" i="100"/>
  <c r="AO159" i="100"/>
  <c r="AO160" i="100"/>
  <c r="AO161" i="100"/>
  <c r="AO162" i="100"/>
  <c r="AO163" i="100"/>
  <c r="AO164" i="100"/>
  <c r="AO165" i="100"/>
  <c r="AO166" i="100"/>
  <c r="AO167" i="100"/>
  <c r="AO168" i="100"/>
  <c r="AO169" i="100"/>
  <c r="AO170" i="100"/>
  <c r="AO171" i="100"/>
  <c r="AO172" i="100"/>
  <c r="AO173" i="100"/>
  <c r="AO174" i="100"/>
  <c r="AO175" i="100"/>
  <c r="AO176" i="100"/>
  <c r="AO177" i="100"/>
  <c r="AO178" i="100"/>
  <c r="AO179" i="100"/>
  <c r="AO180" i="100"/>
  <c r="AO181" i="100"/>
  <c r="AO182" i="100"/>
  <c r="AO183" i="100"/>
  <c r="AO184" i="100"/>
  <c r="AO185" i="100"/>
  <c r="AO186" i="100"/>
  <c r="AO187" i="100"/>
  <c r="AO188" i="100"/>
  <c r="AO189" i="100"/>
  <c r="AO190" i="100"/>
  <c r="AO191" i="100"/>
  <c r="AO192" i="100"/>
  <c r="AO193" i="100"/>
  <c r="AO194" i="100"/>
  <c r="AO195" i="100"/>
  <c r="AO196" i="100"/>
  <c r="AO197" i="100"/>
  <c r="AO198" i="100"/>
  <c r="AO199" i="100"/>
  <c r="AO200" i="100"/>
  <c r="AO201" i="100"/>
  <c r="AO202" i="100"/>
  <c r="AO203" i="100"/>
  <c r="AO204" i="100"/>
  <c r="AO205" i="100"/>
  <c r="AO206" i="100"/>
  <c r="AO207" i="100"/>
  <c r="AO208" i="100"/>
  <c r="AO209" i="100"/>
  <c r="AO210" i="100"/>
  <c r="AO211" i="100"/>
  <c r="AO212" i="100"/>
  <c r="AO213" i="100"/>
  <c r="AO214" i="100"/>
  <c r="AO215" i="100"/>
  <c r="AO216" i="100"/>
  <c r="AO217" i="100"/>
  <c r="AO218" i="100"/>
  <c r="AO219" i="100"/>
  <c r="AO220" i="100"/>
  <c r="AO221" i="100"/>
  <c r="AO222" i="100"/>
  <c r="AO223" i="100"/>
  <c r="AO224" i="100"/>
  <c r="AO225" i="100"/>
  <c r="AO226" i="100"/>
  <c r="AO227" i="100"/>
  <c r="AO228" i="100"/>
  <c r="AO229" i="100"/>
  <c r="AO230" i="100"/>
  <c r="AO231" i="100"/>
  <c r="AO232" i="100"/>
  <c r="AO233" i="100"/>
  <c r="AO234" i="100"/>
  <c r="AO235" i="100"/>
  <c r="AO236" i="100"/>
  <c r="AO237" i="100"/>
  <c r="AO238" i="100"/>
  <c r="AO239" i="100"/>
  <c r="AO240" i="100"/>
  <c r="AO241" i="100"/>
  <c r="AO242" i="100"/>
  <c r="AO243" i="100"/>
  <c r="AO244" i="100"/>
  <c r="AO245" i="100"/>
  <c r="AO246" i="100"/>
  <c r="AO247" i="100"/>
  <c r="AO248" i="100"/>
  <c r="AO249" i="100"/>
  <c r="AO250" i="100"/>
  <c r="AO251" i="100"/>
  <c r="AO252" i="100"/>
  <c r="AO253" i="100"/>
  <c r="AO254" i="100"/>
  <c r="AO255" i="100"/>
  <c r="AO256" i="100"/>
  <c r="AO257" i="100"/>
  <c r="AO258" i="100"/>
  <c r="AO259" i="100"/>
  <c r="AO260" i="100"/>
  <c r="AO261" i="100"/>
  <c r="AO262" i="100"/>
  <c r="AO263" i="100"/>
  <c r="AO264" i="100"/>
  <c r="AO265" i="100"/>
  <c r="AO266" i="100"/>
  <c r="AO267" i="100"/>
  <c r="AO268" i="100"/>
  <c r="AO269" i="100"/>
  <c r="AO270" i="100"/>
  <c r="AO271" i="100"/>
  <c r="AO272" i="100"/>
  <c r="AO273" i="100"/>
  <c r="AO274" i="100"/>
  <c r="AO275" i="100"/>
  <c r="AO276" i="100"/>
  <c r="AO277" i="100"/>
  <c r="AO278" i="100"/>
  <c r="AO279" i="100"/>
  <c r="AO280" i="100"/>
  <c r="AO281" i="100"/>
  <c r="AO282" i="100"/>
  <c r="AO283" i="100"/>
  <c r="AO284" i="100"/>
  <c r="AO285" i="100"/>
  <c r="AO286" i="100"/>
  <c r="AO287" i="100"/>
  <c r="AO288" i="100"/>
  <c r="AO289" i="100"/>
  <c r="AO290" i="100"/>
  <c r="AO291" i="100"/>
  <c r="AO292" i="100"/>
  <c r="AO293" i="100"/>
  <c r="AO294" i="100"/>
  <c r="AO295" i="100"/>
  <c r="AO296" i="100"/>
  <c r="AO297" i="100"/>
  <c r="AO298" i="100"/>
  <c r="AO299" i="100"/>
  <c r="AO300" i="100"/>
  <c r="AO301" i="100"/>
  <c r="AO7" i="100"/>
  <c r="AQ9" i="98" l="1"/>
  <c r="AQ8" i="98"/>
  <c r="AQ7" i="98"/>
  <c r="DI7" i="95" l="1"/>
  <c r="DI8" i="95"/>
  <c r="DI9" i="95"/>
  <c r="DI10" i="95"/>
  <c r="DI11" i="95"/>
  <c r="DI12" i="95"/>
  <c r="DI13" i="95"/>
  <c r="DI14" i="95"/>
  <c r="DI15" i="95"/>
  <c r="DI16" i="95"/>
  <c r="DI17" i="95"/>
  <c r="DI18" i="95"/>
  <c r="DI19" i="95"/>
  <c r="DI20" i="95"/>
  <c r="DI21" i="95"/>
  <c r="DI22" i="95"/>
  <c r="DI23" i="95"/>
  <c r="DI24" i="95"/>
  <c r="DI25" i="95"/>
  <c r="DI26" i="95"/>
  <c r="DI27" i="95"/>
  <c r="DI28" i="95"/>
  <c r="DI29" i="95"/>
  <c r="DI30" i="95"/>
  <c r="DI31" i="95"/>
  <c r="DI32" i="95"/>
  <c r="DI33" i="95"/>
  <c r="DI34" i="95"/>
  <c r="DI35" i="95"/>
  <c r="DI36" i="95"/>
  <c r="DI37" i="95"/>
  <c r="DI38" i="95"/>
  <c r="DI39" i="95"/>
  <c r="DI40" i="95"/>
  <c r="DI41" i="95"/>
  <c r="DI42" i="95"/>
  <c r="DI43" i="95"/>
  <c r="DI44" i="95"/>
  <c r="DI45" i="95"/>
  <c r="DI46" i="95"/>
  <c r="DI47" i="95"/>
  <c r="DI48" i="95"/>
  <c r="DI49" i="95"/>
  <c r="DI50" i="95"/>
  <c r="DI51" i="95"/>
  <c r="DI52" i="95"/>
  <c r="DI53" i="95"/>
  <c r="DI54" i="95"/>
  <c r="DI55" i="95"/>
  <c r="DI56" i="95"/>
  <c r="DI57" i="95"/>
  <c r="DI58" i="95"/>
  <c r="DI59" i="95"/>
  <c r="DI60" i="95"/>
  <c r="DI61" i="95"/>
  <c r="DI62" i="95"/>
  <c r="DI63" i="95"/>
  <c r="DI64" i="95"/>
  <c r="DI65" i="95"/>
  <c r="DI66" i="95"/>
  <c r="DI67" i="95"/>
  <c r="DI68" i="95"/>
  <c r="DI69" i="95"/>
  <c r="DI70" i="95"/>
  <c r="DI71" i="95"/>
  <c r="DI72" i="95"/>
  <c r="DI73" i="95"/>
  <c r="DI74" i="95"/>
  <c r="DI75" i="95"/>
  <c r="DI76" i="95"/>
  <c r="DI77" i="95"/>
  <c r="DI78" i="95"/>
  <c r="DI79" i="95"/>
  <c r="DI80" i="95"/>
  <c r="DI81" i="95"/>
  <c r="DI82" i="95"/>
  <c r="DI83" i="95"/>
  <c r="DI84" i="95"/>
  <c r="DI85" i="95"/>
  <c r="DI86" i="95"/>
  <c r="DI87" i="95"/>
  <c r="DI88" i="95"/>
  <c r="DI89" i="95"/>
  <c r="DI90" i="95"/>
  <c r="DI91" i="95"/>
  <c r="DI92" i="95"/>
  <c r="DI93" i="95"/>
  <c r="DI94" i="95"/>
  <c r="DI95" i="95"/>
  <c r="DI96" i="95"/>
  <c r="DI97" i="95"/>
  <c r="DI98" i="95"/>
  <c r="DI99" i="95"/>
  <c r="DI100" i="95"/>
  <c r="DI101" i="95"/>
  <c r="DI102" i="95"/>
  <c r="DI103" i="95"/>
  <c r="DI104" i="95"/>
  <c r="DI105" i="95"/>
  <c r="DI106" i="95"/>
  <c r="DI107" i="95"/>
  <c r="DI108" i="95"/>
  <c r="DI109" i="95"/>
  <c r="DI110" i="95"/>
  <c r="DI111" i="95"/>
  <c r="DI112" i="95"/>
  <c r="DI113" i="95"/>
  <c r="DI114" i="95"/>
  <c r="DI115" i="95"/>
  <c r="DI116" i="95"/>
  <c r="DI117" i="95"/>
  <c r="DI118" i="95"/>
  <c r="DI119" i="95"/>
  <c r="DI120" i="95"/>
  <c r="DI121" i="95"/>
  <c r="DI122" i="95"/>
  <c r="DI123" i="95"/>
  <c r="DI124" i="95"/>
  <c r="DI125" i="95"/>
  <c r="DI126" i="95"/>
  <c r="DI127" i="95"/>
  <c r="DI128" i="95"/>
  <c r="DI129" i="95"/>
  <c r="DI130" i="95"/>
  <c r="DI131" i="95"/>
  <c r="DI132" i="95"/>
  <c r="DI133" i="95"/>
  <c r="DI134" i="95"/>
  <c r="DI135" i="95"/>
  <c r="DI136" i="95"/>
  <c r="DI137" i="95"/>
  <c r="DI138" i="95"/>
  <c r="DI139" i="95"/>
  <c r="DI140" i="95"/>
  <c r="DI141" i="95"/>
  <c r="DI142" i="95"/>
  <c r="DI143" i="95"/>
  <c r="DI144" i="95"/>
  <c r="DI145" i="95"/>
  <c r="DI146" i="95"/>
  <c r="DI147" i="95"/>
  <c r="DI148" i="95"/>
  <c r="DI149" i="95"/>
  <c r="DI150" i="95"/>
  <c r="DI151" i="95"/>
  <c r="DI152" i="95"/>
  <c r="DI153" i="95"/>
  <c r="DI154" i="95"/>
  <c r="DI155" i="95"/>
  <c r="DI156" i="95"/>
  <c r="DI157" i="95"/>
  <c r="DI158" i="95"/>
  <c r="DI159" i="95"/>
  <c r="DI160" i="95"/>
  <c r="DI161" i="95"/>
  <c r="DI162" i="95"/>
  <c r="DI163" i="95"/>
  <c r="DI164" i="95"/>
  <c r="DI165" i="95"/>
  <c r="DI166" i="95"/>
  <c r="DI167" i="95"/>
  <c r="DI168" i="95"/>
  <c r="DI169" i="95"/>
  <c r="DI170" i="95"/>
  <c r="DI171" i="95"/>
  <c r="DI172" i="95"/>
  <c r="DI173" i="95"/>
  <c r="DI6" i="95"/>
  <c r="DL7" i="95"/>
  <c r="DL8" i="95"/>
  <c r="DL9" i="95"/>
  <c r="DL10" i="95"/>
  <c r="DL11" i="95"/>
  <c r="DL12" i="95"/>
  <c r="DL13" i="95"/>
  <c r="DL14" i="95"/>
  <c r="DL15" i="95"/>
  <c r="DL16" i="95"/>
  <c r="DL17" i="95"/>
  <c r="DL18" i="95"/>
  <c r="DL19" i="95"/>
  <c r="DL20" i="95"/>
  <c r="DL21" i="95"/>
  <c r="DL22" i="95"/>
  <c r="DL23" i="95"/>
  <c r="DL24" i="95"/>
  <c r="DL25" i="95"/>
  <c r="DL26" i="95"/>
  <c r="DL27" i="95"/>
  <c r="DL28" i="95"/>
  <c r="DL29" i="95"/>
  <c r="DL30" i="95"/>
  <c r="DL31" i="95"/>
  <c r="DL32" i="95"/>
  <c r="DL33" i="95"/>
  <c r="DL34" i="95"/>
  <c r="DL35" i="95"/>
  <c r="DL36" i="95"/>
  <c r="DL37" i="95"/>
  <c r="DL38" i="95"/>
  <c r="DL39" i="95"/>
  <c r="DL40" i="95"/>
  <c r="DL41" i="95"/>
  <c r="DL42" i="95"/>
  <c r="DL43" i="95"/>
  <c r="DL44" i="95"/>
  <c r="DL45" i="95"/>
  <c r="DL46" i="95"/>
  <c r="DL47" i="95"/>
  <c r="DL48" i="95"/>
  <c r="DL49" i="95"/>
  <c r="DL50" i="95"/>
  <c r="DL51" i="95"/>
  <c r="DL52" i="95"/>
  <c r="DL53" i="95"/>
  <c r="DL54" i="95"/>
  <c r="DL55" i="95"/>
  <c r="DL56" i="95"/>
  <c r="DL57" i="95"/>
  <c r="DL58" i="95"/>
  <c r="DL59" i="95"/>
  <c r="DL60" i="95"/>
  <c r="DL61" i="95"/>
  <c r="DL62" i="95"/>
  <c r="DL63" i="95"/>
  <c r="DL64" i="95"/>
  <c r="DL65" i="95"/>
  <c r="DL66" i="95"/>
  <c r="DL67" i="95"/>
  <c r="DL68" i="95"/>
  <c r="DL69" i="95"/>
  <c r="DL70" i="95"/>
  <c r="DL71" i="95"/>
  <c r="DL72" i="95"/>
  <c r="DL73" i="95"/>
  <c r="DL74" i="95"/>
  <c r="DL75" i="95"/>
  <c r="DL76" i="95"/>
  <c r="DL77" i="95"/>
  <c r="DL78" i="95"/>
  <c r="DL79" i="95"/>
  <c r="DL80" i="95"/>
  <c r="DL81" i="95"/>
  <c r="DL82" i="95"/>
  <c r="DL83" i="95"/>
  <c r="DL84" i="95"/>
  <c r="DL85" i="95"/>
  <c r="DL86" i="95"/>
  <c r="DL87" i="95"/>
  <c r="DL88" i="95"/>
  <c r="DL89" i="95"/>
  <c r="DL90" i="95"/>
  <c r="DL91" i="95"/>
  <c r="DL92" i="95"/>
  <c r="DL93" i="95"/>
  <c r="DL94" i="95"/>
  <c r="DL95" i="95"/>
  <c r="DL96" i="95"/>
  <c r="DL97" i="95"/>
  <c r="DL98" i="95"/>
  <c r="DL99" i="95"/>
  <c r="DL100" i="95"/>
  <c r="DL101" i="95"/>
  <c r="DL102" i="95"/>
  <c r="DL103" i="95"/>
  <c r="DL104" i="95"/>
  <c r="DL105" i="95"/>
  <c r="DL106" i="95"/>
  <c r="DL107" i="95"/>
  <c r="DL108" i="95"/>
  <c r="DL109" i="95"/>
  <c r="DL110" i="95"/>
  <c r="DL111" i="95"/>
  <c r="DL112" i="95"/>
  <c r="DL113" i="95"/>
  <c r="DL114" i="95"/>
  <c r="DL115" i="95"/>
  <c r="DL116" i="95"/>
  <c r="DL117" i="95"/>
  <c r="DL118" i="95"/>
  <c r="DL119" i="95"/>
  <c r="DL120" i="95"/>
  <c r="DL121" i="95"/>
  <c r="DL122" i="95"/>
  <c r="DL123" i="95"/>
  <c r="DL124" i="95"/>
  <c r="DL125" i="95"/>
  <c r="DL126" i="95"/>
  <c r="DL127" i="95"/>
  <c r="DL128" i="95"/>
  <c r="DL129" i="95"/>
  <c r="DL130" i="95"/>
  <c r="DL131" i="95"/>
  <c r="DL132" i="95"/>
  <c r="DL133" i="95"/>
  <c r="DL134" i="95"/>
  <c r="DL150" i="95"/>
  <c r="DL153" i="95"/>
  <c r="DL154" i="95"/>
  <c r="DL157" i="95"/>
  <c r="DL158" i="95"/>
  <c r="DL161" i="95"/>
  <c r="DL162" i="95"/>
  <c r="DL165" i="95"/>
  <c r="DL166" i="95"/>
  <c r="DL169" i="95"/>
  <c r="DL170" i="95"/>
  <c r="DL173" i="95"/>
  <c r="DL6" i="95"/>
  <c r="DJ7" i="95"/>
  <c r="DJ8" i="95"/>
  <c r="DJ9" i="95"/>
  <c r="DJ10" i="95"/>
  <c r="DJ11" i="95"/>
  <c r="DJ12" i="95"/>
  <c r="DJ13" i="95"/>
  <c r="DJ14" i="95"/>
  <c r="DJ15" i="95"/>
  <c r="DJ16" i="95"/>
  <c r="DJ17" i="95"/>
  <c r="DJ18" i="95"/>
  <c r="DJ19" i="95"/>
  <c r="DJ20" i="95"/>
  <c r="DJ21" i="95"/>
  <c r="DJ22" i="95"/>
  <c r="DJ23" i="95"/>
  <c r="DJ24" i="95"/>
  <c r="DJ25" i="95"/>
  <c r="DJ26" i="95"/>
  <c r="DJ27" i="95"/>
  <c r="DJ28" i="95"/>
  <c r="DJ29" i="95"/>
  <c r="DJ30" i="95"/>
  <c r="DJ31" i="95"/>
  <c r="DJ32" i="95"/>
  <c r="DJ33" i="95"/>
  <c r="DJ34" i="95"/>
  <c r="DJ35" i="95"/>
  <c r="DJ36" i="95"/>
  <c r="DJ37" i="95"/>
  <c r="DJ38" i="95"/>
  <c r="DJ39" i="95"/>
  <c r="DJ40" i="95"/>
  <c r="DJ41" i="95"/>
  <c r="DJ42" i="95"/>
  <c r="DJ43" i="95"/>
  <c r="DJ44" i="95"/>
  <c r="DJ45" i="95"/>
  <c r="DJ46" i="95"/>
  <c r="DJ47" i="95"/>
  <c r="DJ48" i="95"/>
  <c r="DJ49" i="95"/>
  <c r="DJ50" i="95"/>
  <c r="DJ51" i="95"/>
  <c r="DJ52" i="95"/>
  <c r="DJ53" i="95"/>
  <c r="DJ54" i="95"/>
  <c r="DJ55" i="95"/>
  <c r="DJ56" i="95"/>
  <c r="DJ57" i="95"/>
  <c r="DJ58" i="95"/>
  <c r="DJ59" i="95"/>
  <c r="DJ60" i="95"/>
  <c r="DJ61" i="95"/>
  <c r="DJ62" i="95"/>
  <c r="DJ63" i="95"/>
  <c r="DJ64" i="95"/>
  <c r="DJ65" i="95"/>
  <c r="DJ66" i="95"/>
  <c r="DJ67" i="95"/>
  <c r="DJ68" i="95"/>
  <c r="DJ69" i="95"/>
  <c r="DJ70" i="95"/>
  <c r="DJ71" i="95"/>
  <c r="DJ72" i="95"/>
  <c r="DJ73" i="95"/>
  <c r="DJ74" i="95"/>
  <c r="DJ75" i="95"/>
  <c r="DJ76" i="95"/>
  <c r="DJ77" i="95"/>
  <c r="DJ78" i="95"/>
  <c r="DJ79" i="95"/>
  <c r="DJ80" i="95"/>
  <c r="DJ81" i="95"/>
  <c r="DJ82" i="95"/>
  <c r="DJ83" i="95"/>
  <c r="DJ84" i="95"/>
  <c r="DJ85" i="95"/>
  <c r="DJ86" i="95"/>
  <c r="DJ87" i="95"/>
  <c r="DJ88" i="95"/>
  <c r="DJ89" i="95"/>
  <c r="DJ90" i="95"/>
  <c r="DJ91" i="95"/>
  <c r="DJ92" i="95"/>
  <c r="DJ93" i="95"/>
  <c r="DJ94" i="95"/>
  <c r="DJ95" i="95"/>
  <c r="DJ96" i="95"/>
  <c r="DJ97" i="95"/>
  <c r="DJ98" i="95"/>
  <c r="DJ99" i="95"/>
  <c r="DJ100" i="95"/>
  <c r="DJ101" i="95"/>
  <c r="DJ102" i="95"/>
  <c r="DJ103" i="95"/>
  <c r="DJ104" i="95"/>
  <c r="DJ105" i="95"/>
  <c r="DJ106" i="95"/>
  <c r="DJ107" i="95"/>
  <c r="DJ108" i="95"/>
  <c r="DJ109" i="95"/>
  <c r="DJ110" i="95"/>
  <c r="DJ111" i="95"/>
  <c r="DJ112" i="95"/>
  <c r="DJ113" i="95"/>
  <c r="DJ114" i="95"/>
  <c r="DJ115" i="95"/>
  <c r="DJ116" i="95"/>
  <c r="DJ117" i="95"/>
  <c r="DJ118" i="95"/>
  <c r="DJ119" i="95"/>
  <c r="DJ120" i="95"/>
  <c r="DJ121" i="95"/>
  <c r="DJ122" i="95"/>
  <c r="DJ123" i="95"/>
  <c r="DJ124" i="95"/>
  <c r="DJ125" i="95"/>
  <c r="DJ126" i="95"/>
  <c r="DJ127" i="95"/>
  <c r="DJ128" i="95"/>
  <c r="DJ129" i="95"/>
  <c r="DJ130" i="95"/>
  <c r="DJ131" i="95"/>
  <c r="DJ132" i="95"/>
  <c r="DJ133" i="95"/>
  <c r="DJ134" i="95"/>
  <c r="DJ6" i="95"/>
  <c r="DH7" i="95"/>
  <c r="DH8" i="95"/>
  <c r="DH9" i="95"/>
  <c r="DH10" i="95"/>
  <c r="DH11" i="95"/>
  <c r="DH12" i="95"/>
  <c r="DH13" i="95"/>
  <c r="DH14" i="95"/>
  <c r="DH15" i="95"/>
  <c r="DH16" i="95"/>
  <c r="DH17" i="95"/>
  <c r="DH18" i="95"/>
  <c r="DH19" i="95"/>
  <c r="DH20" i="95"/>
  <c r="DH21" i="95"/>
  <c r="DH22" i="95"/>
  <c r="DH23" i="95"/>
  <c r="DH24" i="95"/>
  <c r="DH25" i="95"/>
  <c r="DH26" i="95"/>
  <c r="DH27" i="95"/>
  <c r="DH28" i="95"/>
  <c r="DH29" i="95"/>
  <c r="DH30" i="95"/>
  <c r="DH31" i="95"/>
  <c r="DH32" i="95"/>
  <c r="DH33" i="95"/>
  <c r="DH34" i="95"/>
  <c r="DH35" i="95"/>
  <c r="DH36" i="95"/>
  <c r="DH37" i="95"/>
  <c r="DH38" i="95"/>
  <c r="DH39" i="95"/>
  <c r="DH40" i="95"/>
  <c r="DH41" i="95"/>
  <c r="DH42" i="95"/>
  <c r="DH43" i="95"/>
  <c r="DH44" i="95"/>
  <c r="DH45" i="95"/>
  <c r="DH46" i="95"/>
  <c r="DH47" i="95"/>
  <c r="DH48" i="95"/>
  <c r="DH49" i="95"/>
  <c r="DH50" i="95"/>
  <c r="DH51" i="95"/>
  <c r="DH52" i="95"/>
  <c r="DH53" i="95"/>
  <c r="DH54" i="95"/>
  <c r="DH55" i="95"/>
  <c r="DH56" i="95"/>
  <c r="DH57" i="95"/>
  <c r="DH58" i="95"/>
  <c r="DH59" i="95"/>
  <c r="DH60" i="95"/>
  <c r="DH61" i="95"/>
  <c r="DH62" i="95"/>
  <c r="DH63" i="95"/>
  <c r="DH64" i="95"/>
  <c r="DH65" i="95"/>
  <c r="DH66" i="95"/>
  <c r="DH67" i="95"/>
  <c r="DH68" i="95"/>
  <c r="DH69" i="95"/>
  <c r="DH70" i="95"/>
  <c r="DH71" i="95"/>
  <c r="DH72" i="95"/>
  <c r="DH73" i="95"/>
  <c r="DH74" i="95"/>
  <c r="DH75" i="95"/>
  <c r="DH76" i="95"/>
  <c r="DH77" i="95"/>
  <c r="DH78" i="95"/>
  <c r="DH79" i="95"/>
  <c r="DH80" i="95"/>
  <c r="DH81" i="95"/>
  <c r="DH82" i="95"/>
  <c r="DH83" i="95"/>
  <c r="DH84" i="95"/>
  <c r="DH85" i="95"/>
  <c r="DH86" i="95"/>
  <c r="DH87" i="95"/>
  <c r="DH88" i="95"/>
  <c r="DH89" i="95"/>
  <c r="DH90" i="95"/>
  <c r="DH91" i="95"/>
  <c r="DH92" i="95"/>
  <c r="DH93" i="95"/>
  <c r="DH94" i="95"/>
  <c r="DH95" i="95"/>
  <c r="DH96" i="95"/>
  <c r="DH97" i="95"/>
  <c r="DH98" i="95"/>
  <c r="DH99" i="95"/>
  <c r="DH100" i="95"/>
  <c r="DH101" i="95"/>
  <c r="DH102" i="95"/>
  <c r="DH103" i="95"/>
  <c r="DH104" i="95"/>
  <c r="DH105" i="95"/>
  <c r="DH106" i="95"/>
  <c r="DH107" i="95"/>
  <c r="DH108" i="95"/>
  <c r="DH109" i="95"/>
  <c r="DH110" i="95"/>
  <c r="DH111" i="95"/>
  <c r="DH112" i="95"/>
  <c r="DH113" i="95"/>
  <c r="DH114" i="95"/>
  <c r="DH115" i="95"/>
  <c r="DH116" i="95"/>
  <c r="DH117" i="95"/>
  <c r="DH118" i="95"/>
  <c r="DH119" i="95"/>
  <c r="DH120" i="95"/>
  <c r="DH121" i="95"/>
  <c r="DH122" i="95"/>
  <c r="DH123" i="95"/>
  <c r="DH124" i="95"/>
  <c r="DH125" i="95"/>
  <c r="DH126" i="95"/>
  <c r="DH127" i="95"/>
  <c r="DH128" i="95"/>
  <c r="DH129" i="95"/>
  <c r="DH130" i="95"/>
  <c r="DH131" i="95"/>
  <c r="DH132" i="95"/>
  <c r="DH133" i="95"/>
  <c r="DH134" i="95"/>
  <c r="DH6" i="95"/>
  <c r="DF150" i="95"/>
  <c r="DH150" i="95" s="1"/>
  <c r="DJ150" i="95" s="1"/>
  <c r="DF151" i="95"/>
  <c r="DH151" i="95" s="1"/>
  <c r="DJ151" i="95" s="1"/>
  <c r="DF152" i="95"/>
  <c r="DH152" i="95" s="1"/>
  <c r="DJ152" i="95" s="1"/>
  <c r="DF153" i="95"/>
  <c r="DH153" i="95" s="1"/>
  <c r="DJ153" i="95" s="1"/>
  <c r="DF154" i="95"/>
  <c r="DH154" i="95" s="1"/>
  <c r="DJ154" i="95" s="1"/>
  <c r="DF155" i="95"/>
  <c r="DH155" i="95" s="1"/>
  <c r="DJ155" i="95" s="1"/>
  <c r="DF156" i="95"/>
  <c r="DH156" i="95" s="1"/>
  <c r="DJ156" i="95" s="1"/>
  <c r="DF157" i="95"/>
  <c r="DH157" i="95" s="1"/>
  <c r="DJ157" i="95" s="1"/>
  <c r="DF158" i="95"/>
  <c r="DH158" i="95" s="1"/>
  <c r="DJ158" i="95" s="1"/>
  <c r="DF159" i="95"/>
  <c r="DH159" i="95" s="1"/>
  <c r="DJ159" i="95" s="1"/>
  <c r="DF160" i="95"/>
  <c r="DH160" i="95" s="1"/>
  <c r="DJ160" i="95" s="1"/>
  <c r="DF161" i="95"/>
  <c r="DH161" i="95" s="1"/>
  <c r="DJ161" i="95" s="1"/>
  <c r="DF162" i="95"/>
  <c r="DH162" i="95" s="1"/>
  <c r="DJ162" i="95" s="1"/>
  <c r="DF163" i="95"/>
  <c r="DH163" i="95" s="1"/>
  <c r="DJ163" i="95" s="1"/>
  <c r="DF164" i="95"/>
  <c r="DH164" i="95" s="1"/>
  <c r="DJ164" i="95" s="1"/>
  <c r="DF165" i="95"/>
  <c r="DH165" i="95" s="1"/>
  <c r="DJ165" i="95" s="1"/>
  <c r="DF166" i="95"/>
  <c r="DH166" i="95" s="1"/>
  <c r="DJ166" i="95" s="1"/>
  <c r="DF167" i="95"/>
  <c r="DH167" i="95" s="1"/>
  <c r="DJ167" i="95" s="1"/>
  <c r="DF168" i="95"/>
  <c r="DH168" i="95" s="1"/>
  <c r="DJ168" i="95" s="1"/>
  <c r="DF169" i="95"/>
  <c r="DH169" i="95" s="1"/>
  <c r="DJ169" i="95" s="1"/>
  <c r="DF170" i="95"/>
  <c r="DH170" i="95" s="1"/>
  <c r="DJ170" i="95" s="1"/>
  <c r="DF171" i="95"/>
  <c r="DH171" i="95" s="1"/>
  <c r="DJ171" i="95" s="1"/>
  <c r="DF172" i="95"/>
  <c r="DH172" i="95" s="1"/>
  <c r="DJ172" i="95" s="1"/>
  <c r="DF173" i="95"/>
  <c r="DH173" i="95" s="1"/>
  <c r="DJ173" i="95" s="1"/>
  <c r="DF96" i="95"/>
  <c r="DF97" i="95"/>
  <c r="DF98" i="95"/>
  <c r="DF99" i="95"/>
  <c r="DF100" i="95"/>
  <c r="DF101" i="95"/>
  <c r="DF102" i="95"/>
  <c r="DF103" i="95"/>
  <c r="DF104" i="95"/>
  <c r="DF105" i="95"/>
  <c r="DF106" i="95"/>
  <c r="DF107" i="95"/>
  <c r="DF108" i="95"/>
  <c r="DF109" i="95"/>
  <c r="DF110" i="95"/>
  <c r="DF111" i="95"/>
  <c r="DF112" i="95"/>
  <c r="DF113" i="95"/>
  <c r="DF114" i="95"/>
  <c r="DF115" i="95"/>
  <c r="DF116" i="95"/>
  <c r="DF117" i="95"/>
  <c r="DF118" i="95"/>
  <c r="DF119" i="95"/>
  <c r="DF120" i="95"/>
  <c r="DF121" i="95"/>
  <c r="DF122" i="95"/>
  <c r="DF123" i="95"/>
  <c r="DF124" i="95"/>
  <c r="DF125" i="95"/>
  <c r="DF126" i="95"/>
  <c r="DF127" i="95"/>
  <c r="DF128" i="95"/>
  <c r="DF129" i="95"/>
  <c r="DF130" i="95"/>
  <c r="DF131" i="95"/>
  <c r="DF132" i="95"/>
  <c r="DF133" i="95"/>
  <c r="DF134" i="95"/>
  <c r="DF135" i="95"/>
  <c r="DH135" i="95" s="1"/>
  <c r="DJ135" i="95" s="1"/>
  <c r="DF136" i="95"/>
  <c r="DH136" i="95" s="1"/>
  <c r="DJ136" i="95" s="1"/>
  <c r="DF137" i="95"/>
  <c r="DH137" i="95" s="1"/>
  <c r="DJ137" i="95" s="1"/>
  <c r="DF138" i="95"/>
  <c r="DH138" i="95" s="1"/>
  <c r="DJ138" i="95" s="1"/>
  <c r="DF139" i="95"/>
  <c r="DH139" i="95" s="1"/>
  <c r="DJ139" i="95" s="1"/>
  <c r="DF140" i="95"/>
  <c r="DH140" i="95" s="1"/>
  <c r="DJ140" i="95" s="1"/>
  <c r="DF141" i="95"/>
  <c r="DH141" i="95" s="1"/>
  <c r="DJ141" i="95" s="1"/>
  <c r="DF142" i="95"/>
  <c r="DH142" i="95" s="1"/>
  <c r="DJ142" i="95" s="1"/>
  <c r="DF143" i="95"/>
  <c r="DH143" i="95" s="1"/>
  <c r="DJ143" i="95" s="1"/>
  <c r="DF144" i="95"/>
  <c r="DH144" i="95" s="1"/>
  <c r="DJ144" i="95" s="1"/>
  <c r="DF145" i="95"/>
  <c r="DH145" i="95" s="1"/>
  <c r="DJ145" i="95" s="1"/>
  <c r="DF146" i="95"/>
  <c r="DH146" i="95" s="1"/>
  <c r="DJ146" i="95" s="1"/>
  <c r="DF147" i="95"/>
  <c r="DH147" i="95" s="1"/>
  <c r="DJ147" i="95" s="1"/>
  <c r="DF148" i="95"/>
  <c r="DH148" i="95" s="1"/>
  <c r="DJ148" i="95" s="1"/>
  <c r="DF149" i="95"/>
  <c r="DH149" i="95" s="1"/>
  <c r="DJ149" i="95" s="1"/>
  <c r="DF75" i="95"/>
  <c r="DF76" i="95"/>
  <c r="DF77" i="95"/>
  <c r="DF78" i="95"/>
  <c r="DF79" i="95"/>
  <c r="DF80" i="95"/>
  <c r="DF81" i="95"/>
  <c r="DF82" i="95"/>
  <c r="DF83" i="95"/>
  <c r="DF84" i="95"/>
  <c r="DF85" i="95"/>
  <c r="DF86" i="95"/>
  <c r="DF87" i="95"/>
  <c r="DF88" i="95"/>
  <c r="DF89" i="95"/>
  <c r="DF90" i="95"/>
  <c r="DF91" i="95"/>
  <c r="DF92" i="95"/>
  <c r="DF93" i="95"/>
  <c r="DF94" i="95"/>
  <c r="DF95" i="95"/>
  <c r="DF7" i="95"/>
  <c r="DF8" i="95"/>
  <c r="DF9" i="95"/>
  <c r="DF10" i="95"/>
  <c r="DF11" i="95"/>
  <c r="DF12" i="95"/>
  <c r="DF13" i="95"/>
  <c r="DF14" i="95"/>
  <c r="DF15" i="95"/>
  <c r="DF16" i="95"/>
  <c r="DF17" i="95"/>
  <c r="DF18" i="95"/>
  <c r="DF19" i="95"/>
  <c r="DF20" i="95"/>
  <c r="DF21" i="95"/>
  <c r="DF22" i="95"/>
  <c r="DF23" i="95"/>
  <c r="DF24" i="95"/>
  <c r="DF25" i="95"/>
  <c r="DF26" i="95"/>
  <c r="DF27" i="95"/>
  <c r="DF28" i="95"/>
  <c r="DF29" i="95"/>
  <c r="DF30" i="95"/>
  <c r="DF31" i="95"/>
  <c r="DF32" i="95"/>
  <c r="DF33" i="95"/>
  <c r="DF34" i="95"/>
  <c r="DF35" i="95"/>
  <c r="DF36" i="95"/>
  <c r="DF37" i="95"/>
  <c r="DF38" i="95"/>
  <c r="DF39" i="95"/>
  <c r="DF40" i="95"/>
  <c r="DF41" i="95"/>
  <c r="DF42" i="95"/>
  <c r="DF43" i="95"/>
  <c r="DF44" i="95"/>
  <c r="DF45" i="95"/>
  <c r="DF46" i="95"/>
  <c r="DF47" i="95"/>
  <c r="DF48" i="95"/>
  <c r="DF49" i="95"/>
  <c r="DF50" i="95"/>
  <c r="DF51" i="95"/>
  <c r="DF52" i="95"/>
  <c r="DF53" i="95"/>
  <c r="DF54" i="95"/>
  <c r="DF55" i="95"/>
  <c r="DF56" i="95"/>
  <c r="DF57" i="95"/>
  <c r="DF58" i="95"/>
  <c r="DF59" i="95"/>
  <c r="DF60" i="95"/>
  <c r="DF61" i="95"/>
  <c r="DF62" i="95"/>
  <c r="DF63" i="95"/>
  <c r="DF64" i="95"/>
  <c r="DF65" i="95"/>
  <c r="DF66" i="95"/>
  <c r="DF67" i="95"/>
  <c r="DF68" i="95"/>
  <c r="DF69" i="95"/>
  <c r="DF70" i="95"/>
  <c r="DF71" i="95"/>
  <c r="DF72" i="95"/>
  <c r="DF73" i="95"/>
  <c r="DF74" i="95"/>
  <c r="DF6" i="95"/>
  <c r="CQ3" i="95"/>
  <c r="DL138" i="95" l="1"/>
  <c r="DL146" i="95"/>
  <c r="DL142" i="95"/>
  <c r="DL149" i="95"/>
  <c r="DL145" i="95"/>
  <c r="DL141" i="95"/>
  <c r="DL137" i="95"/>
  <c r="DL172" i="95"/>
  <c r="DL168" i="95"/>
  <c r="DL164" i="95"/>
  <c r="DL160" i="95"/>
  <c r="DL156" i="95"/>
  <c r="DL152" i="95"/>
  <c r="DL148" i="95"/>
  <c r="DL144" i="95"/>
  <c r="DL140" i="95"/>
  <c r="DL136" i="95"/>
  <c r="DL171" i="95"/>
  <c r="DL167" i="95"/>
  <c r="DL163" i="95"/>
  <c r="DL159" i="95"/>
  <c r="DL155" i="95"/>
  <c r="DL151" i="95"/>
  <c r="DL147" i="95"/>
  <c r="DL143" i="95"/>
  <c r="DL139" i="95"/>
  <c r="DL135" i="95"/>
  <c r="CP7" i="95" l="1"/>
  <c r="CP8" i="95"/>
  <c r="CP9" i="95"/>
  <c r="CP10" i="95"/>
  <c r="CP11" i="95"/>
  <c r="CP12" i="95"/>
  <c r="CP13" i="95"/>
  <c r="CP14" i="95"/>
  <c r="CP15" i="95"/>
  <c r="CP16" i="95"/>
  <c r="CP17" i="95"/>
  <c r="CP18" i="95"/>
  <c r="CP19" i="95"/>
  <c r="CP20" i="95"/>
  <c r="CP21" i="95"/>
  <c r="CP22" i="95"/>
  <c r="CP23" i="95"/>
  <c r="CP24" i="95"/>
  <c r="CP25" i="95"/>
  <c r="CP26" i="95"/>
  <c r="CP6" i="95"/>
  <c r="BC6" i="95" l="1"/>
  <c r="CB6" i="95"/>
  <c r="W6" i="95"/>
  <c r="AY6" i="95" l="1"/>
  <c r="BE3" i="95"/>
  <c r="X6" i="95" l="1"/>
  <c r="BD6" i="95"/>
  <c r="AS7" i="95"/>
  <c r="AS8" i="95"/>
  <c r="AS9" i="95"/>
  <c r="AS10" i="95"/>
  <c r="AS11" i="95"/>
  <c r="AS12" i="95"/>
  <c r="AS13" i="95"/>
  <c r="AS14" i="95"/>
  <c r="AS15" i="95"/>
  <c r="AS16" i="95"/>
  <c r="AS6" i="95"/>
  <c r="CE255" i="90" l="1"/>
  <c r="CF255" i="90" s="1"/>
  <c r="CE256" i="90"/>
  <c r="CF256" i="90" s="1"/>
  <c r="CE257" i="90"/>
  <c r="CF257" i="90" s="1"/>
  <c r="CE258" i="90"/>
  <c r="CF258" i="90" s="1"/>
  <c r="CE259" i="90"/>
  <c r="CF259" i="90" s="1"/>
  <c r="E70" i="90"/>
  <c r="E71" i="90"/>
  <c r="E72" i="90"/>
  <c r="E73" i="90"/>
  <c r="E74" i="90"/>
  <c r="E75" i="90"/>
  <c r="E76" i="90"/>
  <c r="E77" i="90"/>
  <c r="E78" i="90"/>
  <c r="E79" i="90"/>
  <c r="E80" i="90"/>
  <c r="E81" i="90"/>
  <c r="E82" i="90"/>
  <c r="E83" i="90"/>
  <c r="E84" i="90"/>
  <c r="E85" i="90"/>
  <c r="E86" i="90"/>
  <c r="E87" i="90"/>
  <c r="E88" i="90"/>
  <c r="E89" i="90"/>
  <c r="E90" i="90"/>
  <c r="E91" i="90"/>
  <c r="E92" i="90"/>
  <c r="E93" i="90"/>
  <c r="E94" i="90"/>
  <c r="E95" i="90"/>
  <c r="E96" i="90"/>
  <c r="E97" i="90"/>
  <c r="E69" i="90"/>
  <c r="CI259" i="90" l="1"/>
  <c r="CI258" i="90"/>
  <c r="CI257" i="90"/>
  <c r="CI256" i="90"/>
  <c r="CI255" i="90"/>
  <c r="CM259" i="90"/>
  <c r="CG259" i="90"/>
  <c r="CM258" i="90"/>
  <c r="CG258" i="90"/>
  <c r="CM257" i="90"/>
  <c r="CG257" i="90"/>
  <c r="CM256" i="90"/>
  <c r="CG256" i="90"/>
  <c r="CM255" i="90"/>
  <c r="CG255" i="90"/>
  <c r="CL256" i="90" l="1"/>
  <c r="CN256" i="90"/>
  <c r="CJ256" i="90"/>
  <c r="CL257" i="90"/>
  <c r="CN257" i="90"/>
  <c r="CJ257" i="90"/>
  <c r="CL258" i="90"/>
  <c r="CN258" i="90"/>
  <c r="CJ258" i="90"/>
  <c r="CL255" i="90"/>
  <c r="CN255" i="90"/>
  <c r="CJ255" i="90"/>
  <c r="CL259" i="90"/>
  <c r="CN259" i="90"/>
  <c r="CJ259" i="90"/>
  <c r="AG31" i="95" l="1"/>
  <c r="AG32" i="95"/>
  <c r="AG33" i="95"/>
  <c r="AG34" i="95"/>
  <c r="AG35" i="95"/>
  <c r="AG36" i="95"/>
  <c r="AG37" i="95"/>
  <c r="AG38" i="95"/>
  <c r="AG39" i="95"/>
  <c r="AG40" i="95"/>
  <c r="AG41" i="95"/>
  <c r="AG42" i="95"/>
  <c r="AG43" i="95"/>
  <c r="AG44" i="95"/>
  <c r="AG45" i="95"/>
  <c r="AG46" i="95"/>
  <c r="AG47" i="95"/>
  <c r="AG48" i="95"/>
  <c r="AG49" i="95"/>
  <c r="AG50" i="95"/>
  <c r="AG51" i="95"/>
  <c r="AG52" i="95"/>
  <c r="AG53" i="95"/>
  <c r="AG54" i="95"/>
  <c r="AG55" i="95"/>
  <c r="AG56" i="95"/>
  <c r="AG57" i="95"/>
  <c r="AG58" i="95"/>
  <c r="AG59" i="95"/>
  <c r="AG60" i="95"/>
  <c r="AG61" i="95"/>
  <c r="AG62" i="95"/>
  <c r="AG63" i="95"/>
  <c r="AG64" i="95"/>
  <c r="AG65" i="95"/>
  <c r="AG66" i="95"/>
  <c r="AG67" i="95"/>
  <c r="AG68" i="95"/>
  <c r="AG69" i="95"/>
  <c r="AG70" i="95"/>
  <c r="AG71" i="95"/>
  <c r="AG72" i="95"/>
  <c r="AG73" i="95"/>
  <c r="AG74" i="95"/>
  <c r="AG75" i="95"/>
  <c r="AG76" i="95"/>
  <c r="AG77" i="95"/>
  <c r="AG78" i="95"/>
  <c r="AG79" i="95"/>
  <c r="AG80" i="95"/>
  <c r="AG81" i="95"/>
  <c r="AG82" i="95"/>
  <c r="AG83" i="95"/>
  <c r="AG84" i="95"/>
  <c r="AG85" i="95"/>
  <c r="AG86" i="95"/>
  <c r="AG87" i="95"/>
  <c r="AG88" i="95"/>
  <c r="AG89" i="95"/>
  <c r="AG90" i="95"/>
  <c r="AG91" i="95"/>
  <c r="AG92" i="95"/>
  <c r="AG93" i="95"/>
  <c r="AG94" i="95"/>
  <c r="AG95" i="95"/>
  <c r="AG96" i="95"/>
  <c r="AG97" i="95"/>
  <c r="AG98" i="95"/>
  <c r="AG99" i="95"/>
  <c r="AG100" i="95"/>
  <c r="AG101" i="95"/>
  <c r="AG102" i="95"/>
  <c r="AG103" i="95"/>
  <c r="AG104" i="95"/>
  <c r="AG105" i="95"/>
  <c r="AG106" i="95"/>
  <c r="AG107" i="95"/>
  <c r="AG108" i="95"/>
  <c r="AG109" i="95"/>
  <c r="AG110" i="95"/>
  <c r="AG111" i="95"/>
  <c r="AG112" i="95"/>
  <c r="AG113" i="95"/>
  <c r="AG114" i="95"/>
  <c r="AG115" i="95"/>
  <c r="AG116" i="95"/>
  <c r="AG117" i="95"/>
  <c r="AG118" i="95"/>
  <c r="AG119" i="95"/>
  <c r="AG120" i="95"/>
  <c r="AG121" i="95"/>
  <c r="AG122" i="95"/>
  <c r="AG123" i="95"/>
  <c r="AG124" i="95"/>
  <c r="AG125" i="95"/>
  <c r="AG126" i="95"/>
  <c r="AG127" i="95"/>
  <c r="AG128" i="95"/>
  <c r="AG129" i="95"/>
  <c r="AG130" i="95"/>
  <c r="AG131" i="95"/>
  <c r="AG132" i="95"/>
  <c r="AG133" i="95"/>
  <c r="AG134" i="95"/>
  <c r="AG135" i="95"/>
  <c r="AG136" i="95"/>
  <c r="AG137" i="95"/>
  <c r="AG138" i="95"/>
  <c r="AG139" i="95"/>
  <c r="AG140" i="95"/>
  <c r="AG141" i="95"/>
  <c r="AG142" i="95"/>
  <c r="AG143" i="95"/>
  <c r="AG144" i="95"/>
  <c r="AG145" i="95"/>
  <c r="AG146" i="95"/>
  <c r="AG147" i="95"/>
  <c r="AG148" i="95"/>
  <c r="AG149" i="95"/>
  <c r="AG150" i="95"/>
  <c r="AG151" i="95"/>
  <c r="AG152" i="95"/>
  <c r="AG153" i="95"/>
  <c r="AG154" i="95"/>
  <c r="AG155" i="95"/>
  <c r="AG16" i="95"/>
  <c r="AG17" i="95"/>
  <c r="AG18" i="95"/>
  <c r="AG19" i="95"/>
  <c r="AG20" i="95"/>
  <c r="AG21" i="95"/>
  <c r="AG22" i="95"/>
  <c r="AG23" i="95"/>
  <c r="AG24" i="95"/>
  <c r="AG25" i="95"/>
  <c r="AG26" i="95"/>
  <c r="AG27" i="95"/>
  <c r="AG28" i="95"/>
  <c r="AG29" i="95"/>
  <c r="AG30" i="95"/>
  <c r="FV16" i="98" l="1"/>
  <c r="FV26" i="98"/>
  <c r="FV36" i="98"/>
  <c r="FV46" i="98"/>
  <c r="FV56" i="98"/>
  <c r="FV66" i="98"/>
  <c r="FV76" i="98"/>
  <c r="FV86" i="98"/>
  <c r="FV96" i="98"/>
  <c r="FV106" i="98"/>
  <c r="FV116" i="98"/>
  <c r="FV126" i="98"/>
  <c r="FV136" i="98"/>
  <c r="FV146" i="98"/>
  <c r="FV156" i="98"/>
  <c r="FV166" i="98"/>
  <c r="FV176" i="98"/>
  <c r="FV186" i="98"/>
  <c r="FV196" i="98"/>
  <c r="FV206" i="98"/>
  <c r="FV216" i="98"/>
  <c r="FV226" i="98"/>
  <c r="FV236" i="98"/>
  <c r="FV246" i="98"/>
  <c r="FV256" i="98"/>
  <c r="FV266" i="98"/>
  <c r="FV276" i="98"/>
  <c r="FV286" i="98"/>
  <c r="FV296" i="98"/>
  <c r="FV306" i="98"/>
  <c r="FV316" i="98"/>
  <c r="FV326" i="98"/>
  <c r="FV336" i="98"/>
  <c r="FV346" i="98"/>
  <c r="FV356" i="98"/>
  <c r="FV366" i="98"/>
  <c r="FV376" i="98"/>
  <c r="FV386" i="98"/>
  <c r="FV396" i="98"/>
  <c r="FV406" i="98"/>
  <c r="FV416" i="98"/>
  <c r="FV426" i="98"/>
  <c r="FV436" i="98"/>
  <c r="FV446" i="98"/>
  <c r="FV456" i="98"/>
  <c r="FV466" i="98"/>
  <c r="FV476" i="98"/>
  <c r="FV486" i="98"/>
  <c r="FV496" i="98"/>
  <c r="FV506" i="98"/>
  <c r="FV516" i="98"/>
  <c r="FV526" i="98"/>
  <c r="FV536" i="98"/>
  <c r="FV546" i="98"/>
  <c r="FV556" i="98"/>
  <c r="FV566" i="98"/>
  <c r="FV576" i="98"/>
  <c r="FV586" i="98"/>
  <c r="FV596" i="98"/>
  <c r="FV606" i="98"/>
  <c r="FV616" i="98"/>
  <c r="FV626" i="98"/>
  <c r="FV636" i="98"/>
  <c r="FV646" i="98"/>
  <c r="FV656" i="98"/>
  <c r="FV666" i="98"/>
  <c r="FV676" i="98"/>
  <c r="FV686" i="98"/>
  <c r="FV696" i="98"/>
  <c r="FV706" i="98"/>
  <c r="FV716" i="98"/>
  <c r="FV726" i="98"/>
  <c r="FV736" i="98"/>
  <c r="FV746" i="98"/>
  <c r="FV756" i="98"/>
  <c r="FV766" i="98"/>
  <c r="FV776" i="98"/>
  <c r="FV786" i="98"/>
  <c r="FV796" i="98"/>
  <c r="FV806" i="98"/>
  <c r="FV816" i="98"/>
  <c r="FV826" i="98"/>
  <c r="FV836" i="98"/>
  <c r="FV846" i="98"/>
  <c r="FV856" i="98"/>
  <c r="FV866" i="98"/>
  <c r="FV876" i="98"/>
  <c r="FV886" i="98"/>
  <c r="FV896" i="98"/>
  <c r="FV906" i="98"/>
  <c r="FV916" i="98"/>
  <c r="FV926" i="98"/>
  <c r="FV936" i="98"/>
  <c r="FV946" i="98"/>
  <c r="FV956" i="98"/>
  <c r="FV966" i="98"/>
  <c r="FV976" i="98"/>
  <c r="FV986" i="98"/>
  <c r="FV996" i="98"/>
  <c r="FV1006" i="98"/>
  <c r="FV1016" i="98"/>
  <c r="FV1026" i="98"/>
  <c r="FV1036" i="98"/>
  <c r="FV1046" i="98"/>
  <c r="FV1056" i="98"/>
  <c r="FV1066" i="98"/>
  <c r="FV1076" i="98"/>
  <c r="FV1086" i="98"/>
  <c r="FV1096" i="98"/>
  <c r="FV1106" i="98"/>
  <c r="FV1116" i="98"/>
  <c r="FV1126" i="98"/>
  <c r="FV1136" i="98"/>
  <c r="FV1146" i="98"/>
  <c r="FV1156" i="98"/>
  <c r="FV1166" i="98"/>
  <c r="FV1176" i="98"/>
  <c r="FV1186" i="98"/>
  <c r="FV1196" i="98"/>
  <c r="FV1206" i="98"/>
  <c r="FV1216" i="98"/>
  <c r="FV1226" i="98"/>
  <c r="FV1236" i="98"/>
  <c r="FV1246" i="98"/>
  <c r="FV1256" i="98"/>
  <c r="FV1266" i="98"/>
  <c r="FV1276" i="98"/>
  <c r="FV1286" i="98"/>
  <c r="FV1296" i="98"/>
  <c r="FV1306" i="98"/>
  <c r="FV1316" i="98"/>
  <c r="FV1326" i="98"/>
  <c r="FV1336" i="98"/>
  <c r="FV1346" i="98"/>
  <c r="FV1356" i="98"/>
  <c r="FV1366" i="98"/>
  <c r="FV1376" i="98"/>
  <c r="FV1386" i="98"/>
  <c r="FV1396" i="98"/>
  <c r="FV1406" i="98"/>
  <c r="FV1416" i="98"/>
  <c r="FV1426" i="98"/>
  <c r="FV1436" i="98"/>
  <c r="FV1446" i="98"/>
  <c r="FV1456" i="98"/>
  <c r="FV1466" i="98"/>
  <c r="FV1476" i="98"/>
  <c r="FV1486" i="98"/>
  <c r="FV1496" i="98"/>
  <c r="FV1506" i="98"/>
  <c r="FV1516" i="98"/>
  <c r="FV1526" i="98"/>
  <c r="FV1536" i="98"/>
  <c r="FV1546" i="98"/>
  <c r="FV1556" i="98"/>
  <c r="FV1566" i="98"/>
  <c r="FV1576" i="98"/>
  <c r="FV1586" i="98"/>
  <c r="FV1596" i="98"/>
  <c r="FV1606" i="98"/>
  <c r="FV1616" i="98"/>
  <c r="FV1626" i="98"/>
  <c r="FV1636" i="98"/>
  <c r="FV1646" i="98"/>
  <c r="FV1656" i="98"/>
  <c r="FV1666" i="98"/>
  <c r="FV1676" i="98"/>
  <c r="FV6" i="98"/>
  <c r="FQ1289" i="98"/>
  <c r="FQ1293" i="98"/>
  <c r="FQ1297" i="98"/>
  <c r="FQ1301" i="98"/>
  <c r="FQ1305" i="98"/>
  <c r="FQ1309" i="98"/>
  <c r="FQ1313" i="98"/>
  <c r="FQ1317" i="98"/>
  <c r="FQ1321" i="98"/>
  <c r="FQ1325" i="98"/>
  <c r="FQ1329" i="98"/>
  <c r="FQ1333" i="98"/>
  <c r="FQ1337" i="98"/>
  <c r="FQ1341" i="98"/>
  <c r="FQ1345" i="98"/>
  <c r="FQ1349" i="98"/>
  <c r="FQ1353" i="98"/>
  <c r="FQ1357" i="98"/>
  <c r="FQ1361" i="98"/>
  <c r="FQ1365" i="98"/>
  <c r="FQ1369" i="98"/>
  <c r="FQ1373" i="98"/>
  <c r="FQ1377" i="98"/>
  <c r="FQ1381" i="98"/>
  <c r="FQ1385" i="98"/>
  <c r="FQ1389" i="98"/>
  <c r="FQ1393" i="98"/>
  <c r="FQ1397" i="98"/>
  <c r="FQ1401" i="98"/>
  <c r="FQ1405" i="98"/>
  <c r="FQ1409" i="98"/>
  <c r="FQ1413" i="98"/>
  <c r="FQ1417" i="98"/>
  <c r="FQ1421" i="98"/>
  <c r="FQ1425" i="98"/>
  <c r="FQ1429" i="98"/>
  <c r="FQ1433" i="98"/>
  <c r="FQ1437" i="98"/>
  <c r="FQ1441" i="98"/>
  <c r="FQ1445" i="98"/>
  <c r="FQ1449" i="98"/>
  <c r="FQ1453" i="98"/>
  <c r="FQ1457" i="98"/>
  <c r="FQ1461" i="98"/>
  <c r="FQ1465" i="98"/>
  <c r="FQ1469" i="98"/>
  <c r="FQ1473" i="98"/>
  <c r="FQ1477" i="98"/>
  <c r="FQ1481" i="98"/>
  <c r="FQ1485" i="98"/>
  <c r="FQ1489" i="98"/>
  <c r="FQ1493" i="98"/>
  <c r="FQ1497" i="98"/>
  <c r="FQ1501" i="98"/>
  <c r="FQ1505" i="98"/>
  <c r="FQ1509" i="98"/>
  <c r="FQ1513" i="98"/>
  <c r="FQ1517" i="98"/>
  <c r="FQ1521" i="98"/>
  <c r="FQ1525" i="98"/>
  <c r="FQ1609" i="98"/>
  <c r="FQ1613" i="98"/>
  <c r="FQ1617" i="98"/>
  <c r="FQ1621" i="98"/>
  <c r="FQ1625" i="98"/>
  <c r="FQ1629" i="98"/>
  <c r="FQ1633" i="98"/>
  <c r="FQ1637" i="98"/>
  <c r="FQ1641" i="98"/>
  <c r="FQ1645" i="98"/>
  <c r="FQ1649" i="98"/>
  <c r="FQ1653" i="98"/>
  <c r="FQ1657" i="98"/>
  <c r="FQ1661" i="98"/>
  <c r="FQ1664" i="98"/>
  <c r="FQ1665" i="98"/>
  <c r="FQ1668" i="98"/>
  <c r="FQ1669" i="98"/>
  <c r="FQ1672" i="98"/>
  <c r="FQ1673" i="98"/>
  <c r="FQ1676" i="98"/>
  <c r="FQ1677" i="98"/>
  <c r="FQ1680" i="98"/>
  <c r="FQ1681" i="98"/>
  <c r="FQ1684" i="98"/>
  <c r="FQ1685" i="98"/>
  <c r="FJ7" i="98"/>
  <c r="FJ8" i="98"/>
  <c r="FJ9" i="98"/>
  <c r="FJ10" i="98"/>
  <c r="FJ11" i="98"/>
  <c r="FJ12" i="98"/>
  <c r="FJ13" i="98"/>
  <c r="FJ14" i="98"/>
  <c r="FJ15" i="98"/>
  <c r="FQ729" i="98" s="1"/>
  <c r="FJ16" i="98"/>
  <c r="FQ810" i="98" s="1"/>
  <c r="FJ17" i="98"/>
  <c r="FQ893" i="98" s="1"/>
  <c r="FJ18" i="98"/>
  <c r="FJ19" i="98"/>
  <c r="FQ1049" i="98" s="1"/>
  <c r="FJ20" i="98"/>
  <c r="FQ1127" i="98" s="1"/>
  <c r="FJ21" i="98"/>
  <c r="FQ1207" i="98" s="1"/>
  <c r="FJ22" i="98"/>
  <c r="FQ1287" i="98" s="1"/>
  <c r="FJ23" i="98"/>
  <c r="FQ1367" i="98" s="1"/>
  <c r="FJ24" i="98"/>
  <c r="FQ1447" i="98" s="1"/>
  <c r="FJ25" i="98"/>
  <c r="FQ1527" i="98" s="1"/>
  <c r="FJ26" i="98"/>
  <c r="FQ1607" i="98" s="1"/>
  <c r="FJ6" i="98"/>
  <c r="FQ6" i="98" s="1"/>
  <c r="EH72" i="98"/>
  <c r="EH71" i="98"/>
  <c r="EH62" i="98"/>
  <c r="EH53" i="98"/>
  <c r="EH44" i="98"/>
  <c r="EH45" i="98" s="1"/>
  <c r="EH36" i="98"/>
  <c r="EH35" i="98"/>
  <c r="EH26" i="98"/>
  <c r="EH18" i="98"/>
  <c r="EH17" i="98"/>
  <c r="EH9" i="98"/>
  <c r="EH11" i="98" s="1"/>
  <c r="EH10" i="98"/>
  <c r="EH12" i="98" s="1"/>
  <c r="EH8" i="98"/>
  <c r="EG7" i="98"/>
  <c r="EG8" i="98"/>
  <c r="EG9" i="98"/>
  <c r="EG10" i="98"/>
  <c r="EG11" i="98"/>
  <c r="EG12" i="98"/>
  <c r="EG13" i="98"/>
  <c r="EG14" i="98"/>
  <c r="EG15" i="98"/>
  <c r="EG16" i="98"/>
  <c r="EG17" i="98"/>
  <c r="EG18" i="98"/>
  <c r="EG19" i="98"/>
  <c r="EG20" i="98"/>
  <c r="EG21" i="98"/>
  <c r="EG22" i="98"/>
  <c r="EG23" i="98"/>
  <c r="EG24" i="98"/>
  <c r="EG25" i="98"/>
  <c r="EG26" i="98"/>
  <c r="EG27" i="98"/>
  <c r="EG28" i="98"/>
  <c r="EG29" i="98"/>
  <c r="EG30" i="98"/>
  <c r="EG31" i="98"/>
  <c r="EG32" i="98"/>
  <c r="EG33" i="98"/>
  <c r="EG34" i="98"/>
  <c r="EG35" i="98"/>
  <c r="EG36" i="98"/>
  <c r="EG37" i="98"/>
  <c r="EG38" i="98"/>
  <c r="EG39" i="98"/>
  <c r="EG40" i="98"/>
  <c r="EG41" i="98"/>
  <c r="EG42" i="98"/>
  <c r="EG43" i="98"/>
  <c r="EG44" i="98"/>
  <c r="EG45" i="98"/>
  <c r="EG46" i="98"/>
  <c r="EG47" i="98"/>
  <c r="EG48" i="98"/>
  <c r="EG49" i="98"/>
  <c r="EG50" i="98"/>
  <c r="EG51" i="98"/>
  <c r="EG52" i="98"/>
  <c r="EG53" i="98"/>
  <c r="EG54" i="98"/>
  <c r="EG55" i="98"/>
  <c r="EG56" i="98"/>
  <c r="EG57" i="98"/>
  <c r="EG58" i="98"/>
  <c r="EG59" i="98"/>
  <c r="EG60" i="98"/>
  <c r="EG61" i="98"/>
  <c r="EG62" i="98"/>
  <c r="EG63" i="98"/>
  <c r="EG64" i="98"/>
  <c r="EG65" i="98"/>
  <c r="EG66" i="98"/>
  <c r="EG67" i="98"/>
  <c r="EG68" i="98"/>
  <c r="EG69" i="98"/>
  <c r="EG70" i="98"/>
  <c r="EG71" i="98"/>
  <c r="EG72" i="98"/>
  <c r="EG73" i="98"/>
  <c r="EG74" i="98"/>
  <c r="EG75" i="98"/>
  <c r="EG76" i="98"/>
  <c r="EG77" i="98"/>
  <c r="EG6" i="98"/>
  <c r="FQ568" i="98" l="1"/>
  <c r="FQ572" i="98"/>
  <c r="FQ576" i="98"/>
  <c r="FQ580" i="98"/>
  <c r="FQ584" i="98"/>
  <c r="FQ588" i="98"/>
  <c r="FQ592" i="98"/>
  <c r="FQ596" i="98"/>
  <c r="FQ600" i="98"/>
  <c r="FQ604" i="98"/>
  <c r="FQ608" i="98"/>
  <c r="FQ612" i="98"/>
  <c r="FQ616" i="98"/>
  <c r="FQ620" i="98"/>
  <c r="FQ624" i="98"/>
  <c r="FQ628" i="98"/>
  <c r="FQ569" i="98"/>
  <c r="FQ574" i="98"/>
  <c r="FQ579" i="98"/>
  <c r="FQ585" i="98"/>
  <c r="FQ590" i="98"/>
  <c r="FQ595" i="98"/>
  <c r="FQ601" i="98"/>
  <c r="FQ606" i="98"/>
  <c r="FQ611" i="98"/>
  <c r="FQ617" i="98"/>
  <c r="FQ622" i="98"/>
  <c r="FQ627" i="98"/>
  <c r="FQ632" i="98"/>
  <c r="FQ636" i="98"/>
  <c r="FQ640" i="98"/>
  <c r="FQ644" i="98"/>
  <c r="FQ570" i="98"/>
  <c r="FQ575" i="98"/>
  <c r="FQ581" i="98"/>
  <c r="FQ586" i="98"/>
  <c r="FQ591" i="98"/>
  <c r="FQ597" i="98"/>
  <c r="FQ602" i="98"/>
  <c r="FQ607" i="98"/>
  <c r="FQ613" i="98"/>
  <c r="FQ618" i="98"/>
  <c r="FQ623" i="98"/>
  <c r="FQ629" i="98"/>
  <c r="FQ633" i="98"/>
  <c r="FQ637" i="98"/>
  <c r="FQ641" i="98"/>
  <c r="FQ645" i="98"/>
  <c r="FQ566" i="98"/>
  <c r="FQ571" i="98"/>
  <c r="FQ577" i="98"/>
  <c r="FQ582" i="98"/>
  <c r="FQ587" i="98"/>
  <c r="FQ567" i="98"/>
  <c r="FQ573" i="98"/>
  <c r="FQ578" i="98"/>
  <c r="FQ583" i="98"/>
  <c r="FQ589" i="98"/>
  <c r="FQ594" i="98"/>
  <c r="FQ599" i="98"/>
  <c r="FQ605" i="98"/>
  <c r="FQ610" i="98"/>
  <c r="FQ615" i="98"/>
  <c r="FQ621" i="98"/>
  <c r="FQ626" i="98"/>
  <c r="FQ631" i="98"/>
  <c r="FQ635" i="98"/>
  <c r="FQ639" i="98"/>
  <c r="FQ643" i="98"/>
  <c r="FQ1605" i="98"/>
  <c r="FQ1589" i="98"/>
  <c r="FQ1581" i="98"/>
  <c r="FQ1565" i="98"/>
  <c r="FQ1549" i="98"/>
  <c r="FQ1533" i="98"/>
  <c r="FQ968" i="98"/>
  <c r="FQ972" i="98"/>
  <c r="FQ976" i="98"/>
  <c r="FQ980" i="98"/>
  <c r="FQ984" i="98"/>
  <c r="FQ988" i="98"/>
  <c r="FQ992" i="98"/>
  <c r="FQ996" i="98"/>
  <c r="FQ1000" i="98"/>
  <c r="FQ1004" i="98"/>
  <c r="FQ1008" i="98"/>
  <c r="FQ1012" i="98"/>
  <c r="FQ1016" i="98"/>
  <c r="FQ1020" i="98"/>
  <c r="FQ1024" i="98"/>
  <c r="FQ1028" i="98"/>
  <c r="FQ1032" i="98"/>
  <c r="FQ1036" i="98"/>
  <c r="FQ1040" i="98"/>
  <c r="FQ1044" i="98"/>
  <c r="FQ967" i="98"/>
  <c r="FQ971" i="98"/>
  <c r="FQ975" i="98"/>
  <c r="FQ979" i="98"/>
  <c r="FQ983" i="98"/>
  <c r="FQ987" i="98"/>
  <c r="FQ991" i="98"/>
  <c r="FQ995" i="98"/>
  <c r="FQ999" i="98"/>
  <c r="FQ1003" i="98"/>
  <c r="FQ1007" i="98"/>
  <c r="FQ1011" i="98"/>
  <c r="FQ1015" i="98"/>
  <c r="FQ1019" i="98"/>
  <c r="FQ1023" i="98"/>
  <c r="FQ1027" i="98"/>
  <c r="FQ1031" i="98"/>
  <c r="FQ1035" i="98"/>
  <c r="FQ1039" i="98"/>
  <c r="FQ1043" i="98"/>
  <c r="FQ648" i="98"/>
  <c r="FQ652" i="98"/>
  <c r="FQ656" i="98"/>
  <c r="FQ660" i="98"/>
  <c r="FQ664" i="98"/>
  <c r="FQ668" i="98"/>
  <c r="FQ672" i="98"/>
  <c r="FQ676" i="98"/>
  <c r="FQ680" i="98"/>
  <c r="FQ684" i="98"/>
  <c r="FQ688" i="98"/>
  <c r="FQ692" i="98"/>
  <c r="FQ696" i="98"/>
  <c r="FQ700" i="98"/>
  <c r="FQ704" i="98"/>
  <c r="FQ708" i="98"/>
  <c r="FQ712" i="98"/>
  <c r="FQ716" i="98"/>
  <c r="FQ720" i="98"/>
  <c r="FQ724" i="98"/>
  <c r="FQ649" i="98"/>
  <c r="FQ653" i="98"/>
  <c r="FQ657" i="98"/>
  <c r="FQ661" i="98"/>
  <c r="FQ665" i="98"/>
  <c r="FQ669" i="98"/>
  <c r="FQ673" i="98"/>
  <c r="FQ677" i="98"/>
  <c r="FQ681" i="98"/>
  <c r="FQ685" i="98"/>
  <c r="FQ689" i="98"/>
  <c r="FQ693" i="98"/>
  <c r="FQ697" i="98"/>
  <c r="FQ701" i="98"/>
  <c r="FQ705" i="98"/>
  <c r="FQ709" i="98"/>
  <c r="FQ713" i="98"/>
  <c r="FQ647" i="98"/>
  <c r="FQ651" i="98"/>
  <c r="FQ655" i="98"/>
  <c r="FQ659" i="98"/>
  <c r="FQ663" i="98"/>
  <c r="FQ667" i="98"/>
  <c r="FQ671" i="98"/>
  <c r="FQ675" i="98"/>
  <c r="FQ679" i="98"/>
  <c r="FQ683" i="98"/>
  <c r="FQ687" i="98"/>
  <c r="FQ691" i="98"/>
  <c r="FQ695" i="98"/>
  <c r="FQ699" i="98"/>
  <c r="FQ703" i="98"/>
  <c r="FQ707" i="98"/>
  <c r="FQ711" i="98"/>
  <c r="FQ715" i="98"/>
  <c r="FQ719" i="98"/>
  <c r="FQ723" i="98"/>
  <c r="FQ327" i="98"/>
  <c r="FQ331" i="98"/>
  <c r="FQ335" i="98"/>
  <c r="FQ339" i="98"/>
  <c r="FQ343" i="98"/>
  <c r="FQ347" i="98"/>
  <c r="FQ351" i="98"/>
  <c r="FQ355" i="98"/>
  <c r="FQ359" i="98"/>
  <c r="FQ363" i="98"/>
  <c r="FQ367" i="98"/>
  <c r="FQ371" i="98"/>
  <c r="FQ375" i="98"/>
  <c r="FQ379" i="98"/>
  <c r="FQ383" i="98"/>
  <c r="FQ387" i="98"/>
  <c r="FQ391" i="98"/>
  <c r="FQ395" i="98"/>
  <c r="FQ399" i="98"/>
  <c r="FQ403" i="98"/>
  <c r="FQ329" i="98"/>
  <c r="FQ333" i="98"/>
  <c r="FQ337" i="98"/>
  <c r="FQ341" i="98"/>
  <c r="FQ345" i="98"/>
  <c r="FQ349" i="98"/>
  <c r="FQ353" i="98"/>
  <c r="FQ357" i="98"/>
  <c r="FQ361" i="98"/>
  <c r="FQ365" i="98"/>
  <c r="FQ369" i="98"/>
  <c r="FQ373" i="98"/>
  <c r="FQ377" i="98"/>
  <c r="FQ381" i="98"/>
  <c r="FQ385" i="98"/>
  <c r="FQ389" i="98"/>
  <c r="FQ393" i="98"/>
  <c r="FQ397" i="98"/>
  <c r="FQ401" i="98"/>
  <c r="FQ405" i="98"/>
  <c r="FQ330" i="98"/>
  <c r="FQ338" i="98"/>
  <c r="FQ346" i="98"/>
  <c r="FQ354" i="98"/>
  <c r="FQ362" i="98"/>
  <c r="FQ370" i="98"/>
  <c r="FQ378" i="98"/>
  <c r="FQ386" i="98"/>
  <c r="FQ394" i="98"/>
  <c r="FQ402" i="98"/>
  <c r="FQ328" i="98"/>
  <c r="FQ336" i="98"/>
  <c r="FQ344" i="98"/>
  <c r="FQ352" i="98"/>
  <c r="FQ360" i="98"/>
  <c r="FQ368" i="98"/>
  <c r="FQ376" i="98"/>
  <c r="FQ384" i="98"/>
  <c r="FQ392" i="98"/>
  <c r="FQ400" i="98"/>
  <c r="FQ340" i="98"/>
  <c r="FQ356" i="98"/>
  <c r="FQ372" i="98"/>
  <c r="FQ388" i="98"/>
  <c r="FQ404" i="98"/>
  <c r="FQ326" i="98"/>
  <c r="FQ342" i="98"/>
  <c r="FQ358" i="98"/>
  <c r="FQ374" i="98"/>
  <c r="FQ390" i="98"/>
  <c r="FQ332" i="98"/>
  <c r="FQ348" i="98"/>
  <c r="FQ364" i="98"/>
  <c r="FQ380" i="98"/>
  <c r="FQ396" i="98"/>
  <c r="FQ334" i="98"/>
  <c r="FQ350" i="98"/>
  <c r="FQ366" i="98"/>
  <c r="FQ382" i="98"/>
  <c r="FQ398" i="98"/>
  <c r="FQ1682" i="98"/>
  <c r="FQ1678" i="98"/>
  <c r="FQ1674" i="98"/>
  <c r="FQ1670" i="98"/>
  <c r="FQ1666" i="98"/>
  <c r="FQ1662" i="98"/>
  <c r="FQ1658" i="98"/>
  <c r="FQ1654" i="98"/>
  <c r="FQ1650" i="98"/>
  <c r="FQ1646" i="98"/>
  <c r="FQ1642" i="98"/>
  <c r="FQ1638" i="98"/>
  <c r="FQ1634" i="98"/>
  <c r="FQ1630" i="98"/>
  <c r="FQ1626" i="98"/>
  <c r="FQ1622" i="98"/>
  <c r="FQ1618" i="98"/>
  <c r="FQ1614" i="98"/>
  <c r="FQ1610" i="98"/>
  <c r="FQ1606" i="98"/>
  <c r="FQ1602" i="98"/>
  <c r="FQ1598" i="98"/>
  <c r="FQ1594" i="98"/>
  <c r="FQ1590" i="98"/>
  <c r="FQ1586" i="98"/>
  <c r="FQ1582" i="98"/>
  <c r="FQ1578" i="98"/>
  <c r="FQ1574" i="98"/>
  <c r="FQ1570" i="98"/>
  <c r="FQ1566" i="98"/>
  <c r="FQ1562" i="98"/>
  <c r="FQ1558" i="98"/>
  <c r="FQ1554" i="98"/>
  <c r="FQ1550" i="98"/>
  <c r="FQ1546" i="98"/>
  <c r="FQ1542" i="98"/>
  <c r="FQ1538" i="98"/>
  <c r="FQ1534" i="98"/>
  <c r="FQ1530" i="98"/>
  <c r="FQ1526" i="98"/>
  <c r="FQ1522" i="98"/>
  <c r="FQ1518" i="98"/>
  <c r="FQ1514" i="98"/>
  <c r="FQ1510" i="98"/>
  <c r="FQ1506" i="98"/>
  <c r="FQ1502" i="98"/>
  <c r="FQ1498" i="98"/>
  <c r="FQ1494" i="98"/>
  <c r="FQ1490" i="98"/>
  <c r="FQ1486" i="98"/>
  <c r="FQ1482" i="98"/>
  <c r="FQ1478" i="98"/>
  <c r="FQ1474" i="98"/>
  <c r="FQ1470" i="98"/>
  <c r="FQ1466" i="98"/>
  <c r="FQ1462" i="98"/>
  <c r="FQ1458" i="98"/>
  <c r="FQ1454" i="98"/>
  <c r="FQ1450" i="98"/>
  <c r="FQ1446" i="98"/>
  <c r="FQ1442" i="98"/>
  <c r="FQ1438" i="98"/>
  <c r="FQ1434" i="98"/>
  <c r="FQ1430" i="98"/>
  <c r="FQ1426" i="98"/>
  <c r="FQ1422" i="98"/>
  <c r="FQ1418" i="98"/>
  <c r="FQ1414" i="98"/>
  <c r="FQ1410" i="98"/>
  <c r="FQ1406" i="98"/>
  <c r="FQ1402" i="98"/>
  <c r="FQ1398" i="98"/>
  <c r="FQ1394" i="98"/>
  <c r="FQ1390" i="98"/>
  <c r="FQ1386" i="98"/>
  <c r="FQ1382" i="98"/>
  <c r="FQ1378" i="98"/>
  <c r="FQ1374" i="98"/>
  <c r="FQ1370" i="98"/>
  <c r="FQ1366" i="98"/>
  <c r="FQ1362" i="98"/>
  <c r="FQ1358" i="98"/>
  <c r="FQ1354" i="98"/>
  <c r="FQ1350" i="98"/>
  <c r="FQ1346" i="98"/>
  <c r="FQ1342" i="98"/>
  <c r="FQ1338" i="98"/>
  <c r="FQ1334" i="98"/>
  <c r="FQ1330" i="98"/>
  <c r="FQ1326" i="98"/>
  <c r="FQ1322" i="98"/>
  <c r="FQ1318" i="98"/>
  <c r="FQ1314" i="98"/>
  <c r="FQ1310" i="98"/>
  <c r="FQ1306" i="98"/>
  <c r="FQ1302" i="98"/>
  <c r="FQ1298" i="98"/>
  <c r="FQ1294" i="98"/>
  <c r="FQ1290" i="98"/>
  <c r="FQ1286" i="98"/>
  <c r="FQ1282" i="98"/>
  <c r="FQ1278" i="98"/>
  <c r="FQ1274" i="98"/>
  <c r="FQ1270" i="98"/>
  <c r="FQ1266" i="98"/>
  <c r="FQ1262" i="98"/>
  <c r="FQ1258" i="98"/>
  <c r="FQ1254" i="98"/>
  <c r="FQ1250" i="98"/>
  <c r="FQ1246" i="98"/>
  <c r="FQ1242" i="98"/>
  <c r="FQ1238" i="98"/>
  <c r="FQ1234" i="98"/>
  <c r="FQ1230" i="98"/>
  <c r="FQ1226" i="98"/>
  <c r="FQ1222" i="98"/>
  <c r="FQ1218" i="98"/>
  <c r="FQ1214" i="98"/>
  <c r="FQ1210" i="98"/>
  <c r="FQ1206" i="98"/>
  <c r="FQ1202" i="98"/>
  <c r="FQ1198" i="98"/>
  <c r="FQ1194" i="98"/>
  <c r="FQ1190" i="98"/>
  <c r="FQ1186" i="98"/>
  <c r="FQ1182" i="98"/>
  <c r="FQ1178" i="98"/>
  <c r="FQ1173" i="98"/>
  <c r="FQ1167" i="98"/>
  <c r="FQ1162" i="98"/>
  <c r="FQ1157" i="98"/>
  <c r="FQ1151" i="98"/>
  <c r="FQ1146" i="98"/>
  <c r="FQ1141" i="98"/>
  <c r="FQ1135" i="98"/>
  <c r="FQ1130" i="98"/>
  <c r="FQ1125" i="98"/>
  <c r="FQ1119" i="98"/>
  <c r="FQ1114" i="98"/>
  <c r="FQ1109" i="98"/>
  <c r="FQ1103" i="98"/>
  <c r="FQ1098" i="98"/>
  <c r="FQ1093" i="98"/>
  <c r="FQ1085" i="98"/>
  <c r="FQ1077" i="98"/>
  <c r="FQ1069" i="98"/>
  <c r="FQ1061" i="98"/>
  <c r="FQ1053" i="98"/>
  <c r="FQ1045" i="98"/>
  <c r="FQ1037" i="98"/>
  <c r="FQ1029" i="98"/>
  <c r="FQ1021" i="98"/>
  <c r="FQ1013" i="98"/>
  <c r="FQ1005" i="98"/>
  <c r="FQ997" i="98"/>
  <c r="FQ989" i="98"/>
  <c r="FQ981" i="98"/>
  <c r="FQ973" i="98"/>
  <c r="FQ965" i="98"/>
  <c r="FQ957" i="98"/>
  <c r="FQ949" i="98"/>
  <c r="FQ941" i="98"/>
  <c r="FQ933" i="98"/>
  <c r="FQ925" i="98"/>
  <c r="FQ917" i="98"/>
  <c r="FQ909" i="98"/>
  <c r="FQ901" i="98"/>
  <c r="FQ885" i="98"/>
  <c r="FQ877" i="98"/>
  <c r="FQ869" i="98"/>
  <c r="FQ861" i="98"/>
  <c r="FQ853" i="98"/>
  <c r="FQ845" i="98"/>
  <c r="FQ837" i="98"/>
  <c r="FQ829" i="98"/>
  <c r="FQ821" i="98"/>
  <c r="FQ813" i="98"/>
  <c r="FQ805" i="98"/>
  <c r="FQ797" i="98"/>
  <c r="FQ789" i="98"/>
  <c r="FQ781" i="98"/>
  <c r="FQ773" i="98"/>
  <c r="FQ765" i="98"/>
  <c r="FQ757" i="98"/>
  <c r="FQ749" i="98"/>
  <c r="FQ741" i="98"/>
  <c r="FQ733" i="98"/>
  <c r="FQ725" i="98"/>
  <c r="FQ717" i="98"/>
  <c r="FQ702" i="98"/>
  <c r="FQ686" i="98"/>
  <c r="FQ670" i="98"/>
  <c r="FQ654" i="98"/>
  <c r="FQ638" i="98"/>
  <c r="FQ619" i="98"/>
  <c r="FQ598" i="98"/>
  <c r="FQ888" i="98"/>
  <c r="FQ892" i="98"/>
  <c r="FQ896" i="98"/>
  <c r="FQ900" i="98"/>
  <c r="FQ904" i="98"/>
  <c r="FQ908" i="98"/>
  <c r="FQ912" i="98"/>
  <c r="FQ916" i="98"/>
  <c r="FQ920" i="98"/>
  <c r="FQ924" i="98"/>
  <c r="FQ928" i="98"/>
  <c r="FQ932" i="98"/>
  <c r="FQ936" i="98"/>
  <c r="FQ940" i="98"/>
  <c r="FQ944" i="98"/>
  <c r="FQ948" i="98"/>
  <c r="FQ952" i="98"/>
  <c r="FQ956" i="98"/>
  <c r="FQ960" i="98"/>
  <c r="FQ964" i="98"/>
  <c r="FQ887" i="98"/>
  <c r="FQ891" i="98"/>
  <c r="FQ895" i="98"/>
  <c r="FQ899" i="98"/>
  <c r="FQ903" i="98"/>
  <c r="FQ907" i="98"/>
  <c r="FQ911" i="98"/>
  <c r="FQ915" i="98"/>
  <c r="FQ919" i="98"/>
  <c r="FQ923" i="98"/>
  <c r="FQ927" i="98"/>
  <c r="FQ931" i="98"/>
  <c r="FQ935" i="98"/>
  <c r="FQ939" i="98"/>
  <c r="FQ943" i="98"/>
  <c r="FQ947" i="98"/>
  <c r="FQ951" i="98"/>
  <c r="FQ955" i="98"/>
  <c r="FQ959" i="98"/>
  <c r="FQ963" i="98"/>
  <c r="FQ1593" i="98"/>
  <c r="FQ1569" i="98"/>
  <c r="FQ1553" i="98"/>
  <c r="FQ1285" i="98"/>
  <c r="FQ1281" i="98"/>
  <c r="FQ1277" i="98"/>
  <c r="FQ1273" i="98"/>
  <c r="FQ1269" i="98"/>
  <c r="FQ1265" i="98"/>
  <c r="FQ1261" i="98"/>
  <c r="FQ1257" i="98"/>
  <c r="FQ1253" i="98"/>
  <c r="FQ1249" i="98"/>
  <c r="FQ1245" i="98"/>
  <c r="FQ1241" i="98"/>
  <c r="FQ1237" i="98"/>
  <c r="FQ1233" i="98"/>
  <c r="FQ1229" i="98"/>
  <c r="FQ1225" i="98"/>
  <c r="FQ1221" i="98"/>
  <c r="FQ1217" i="98"/>
  <c r="FQ1213" i="98"/>
  <c r="FQ1209" i="98"/>
  <c r="FQ1205" i="98"/>
  <c r="FQ1201" i="98"/>
  <c r="FQ1197" i="98"/>
  <c r="FQ1193" i="98"/>
  <c r="FQ1189" i="98"/>
  <c r="FQ1185" i="98"/>
  <c r="FQ1181" i="98"/>
  <c r="FQ1177" i="98"/>
  <c r="FQ1171" i="98"/>
  <c r="FQ1166" i="98"/>
  <c r="FQ1161" i="98"/>
  <c r="FQ1155" i="98"/>
  <c r="FQ1150" i="98"/>
  <c r="FQ1145" i="98"/>
  <c r="FQ1139" i="98"/>
  <c r="FQ1134" i="98"/>
  <c r="FQ1129" i="98"/>
  <c r="FQ1123" i="98"/>
  <c r="FQ1118" i="98"/>
  <c r="FQ1113" i="98"/>
  <c r="FQ1107" i="98"/>
  <c r="FQ1102" i="98"/>
  <c r="FQ1097" i="98"/>
  <c r="FQ1090" i="98"/>
  <c r="FQ1082" i="98"/>
  <c r="FQ1074" i="98"/>
  <c r="FQ1066" i="98"/>
  <c r="FQ1058" i="98"/>
  <c r="FQ1050" i="98"/>
  <c r="FQ1042" i="98"/>
  <c r="FQ1034" i="98"/>
  <c r="FQ1026" i="98"/>
  <c r="FQ1018" i="98"/>
  <c r="FQ1010" i="98"/>
  <c r="FQ1002" i="98"/>
  <c r="FQ994" i="98"/>
  <c r="FQ986" i="98"/>
  <c r="FQ978" i="98"/>
  <c r="FQ970" i="98"/>
  <c r="FQ962" i="98"/>
  <c r="FQ954" i="98"/>
  <c r="FQ946" i="98"/>
  <c r="FQ938" i="98"/>
  <c r="FQ930" i="98"/>
  <c r="FQ922" i="98"/>
  <c r="FQ914" i="98"/>
  <c r="FQ906" i="98"/>
  <c r="FQ898" i="98"/>
  <c r="FQ890" i="98"/>
  <c r="FQ882" i="98"/>
  <c r="FQ874" i="98"/>
  <c r="FQ866" i="98"/>
  <c r="FQ858" i="98"/>
  <c r="FQ850" i="98"/>
  <c r="FQ842" i="98"/>
  <c r="FQ834" i="98"/>
  <c r="FQ826" i="98"/>
  <c r="FQ818" i="98"/>
  <c r="FQ802" i="98"/>
  <c r="FQ794" i="98"/>
  <c r="FQ786" i="98"/>
  <c r="FQ778" i="98"/>
  <c r="FQ770" i="98"/>
  <c r="FQ762" i="98"/>
  <c r="FQ754" i="98"/>
  <c r="FQ746" i="98"/>
  <c r="FQ738" i="98"/>
  <c r="FQ730" i="98"/>
  <c r="FQ722" i="98"/>
  <c r="FQ714" i="98"/>
  <c r="FQ698" i="98"/>
  <c r="FQ682" i="98"/>
  <c r="FQ666" i="98"/>
  <c r="FQ650" i="98"/>
  <c r="FQ634" i="98"/>
  <c r="FQ614" i="98"/>
  <c r="FQ593" i="98"/>
  <c r="FQ1601" i="98"/>
  <c r="FQ1585" i="98"/>
  <c r="FQ1573" i="98"/>
  <c r="FQ1557" i="98"/>
  <c r="FQ1541" i="98"/>
  <c r="FQ808" i="98"/>
  <c r="FQ812" i="98"/>
  <c r="FQ816" i="98"/>
  <c r="FQ820" i="98"/>
  <c r="FQ824" i="98"/>
  <c r="FQ828" i="98"/>
  <c r="FQ832" i="98"/>
  <c r="FQ836" i="98"/>
  <c r="FQ840" i="98"/>
  <c r="FQ844" i="98"/>
  <c r="FQ848" i="98"/>
  <c r="FQ852" i="98"/>
  <c r="FQ856" i="98"/>
  <c r="FQ860" i="98"/>
  <c r="FQ864" i="98"/>
  <c r="FQ868" i="98"/>
  <c r="FQ872" i="98"/>
  <c r="FQ876" i="98"/>
  <c r="FQ880" i="98"/>
  <c r="FQ884" i="98"/>
  <c r="FQ807" i="98"/>
  <c r="FQ811" i="98"/>
  <c r="FQ815" i="98"/>
  <c r="FQ819" i="98"/>
  <c r="FQ823" i="98"/>
  <c r="FQ827" i="98"/>
  <c r="FQ831" i="98"/>
  <c r="FQ835" i="98"/>
  <c r="FQ839" i="98"/>
  <c r="FQ843" i="98"/>
  <c r="FQ847" i="98"/>
  <c r="FQ851" i="98"/>
  <c r="FQ855" i="98"/>
  <c r="FQ859" i="98"/>
  <c r="FQ863" i="98"/>
  <c r="FQ867" i="98"/>
  <c r="FQ871" i="98"/>
  <c r="FQ875" i="98"/>
  <c r="FQ879" i="98"/>
  <c r="FQ883" i="98"/>
  <c r="FQ1660" i="98"/>
  <c r="FQ1656" i="98"/>
  <c r="FQ1652" i="98"/>
  <c r="FQ1648" i="98"/>
  <c r="FQ1644" i="98"/>
  <c r="FQ1640" i="98"/>
  <c r="FQ1636" i="98"/>
  <c r="FQ1632" i="98"/>
  <c r="FQ1628" i="98"/>
  <c r="FQ1624" i="98"/>
  <c r="FQ1620" i="98"/>
  <c r="FQ1616" i="98"/>
  <c r="FQ1612" i="98"/>
  <c r="FQ1608" i="98"/>
  <c r="FQ1604" i="98"/>
  <c r="FQ1600" i="98"/>
  <c r="FQ1596" i="98"/>
  <c r="FQ1592" i="98"/>
  <c r="FQ1588" i="98"/>
  <c r="FQ1584" i="98"/>
  <c r="FQ1580" i="98"/>
  <c r="FQ1576" i="98"/>
  <c r="FQ1572" i="98"/>
  <c r="FQ1568" i="98"/>
  <c r="FQ1564" i="98"/>
  <c r="FQ1560" i="98"/>
  <c r="FQ1556" i="98"/>
  <c r="FQ1552" i="98"/>
  <c r="FQ1548" i="98"/>
  <c r="FQ1544" i="98"/>
  <c r="FQ1540" i="98"/>
  <c r="FQ1536" i="98"/>
  <c r="FQ1532" i="98"/>
  <c r="FQ1528" i="98"/>
  <c r="FQ1524" i="98"/>
  <c r="FQ1520" i="98"/>
  <c r="FQ1516" i="98"/>
  <c r="FQ1512" i="98"/>
  <c r="FQ1508" i="98"/>
  <c r="FQ1504" i="98"/>
  <c r="FQ1500" i="98"/>
  <c r="FQ1496" i="98"/>
  <c r="FQ1492" i="98"/>
  <c r="FQ1488" i="98"/>
  <c r="FQ1484" i="98"/>
  <c r="FQ1480" i="98"/>
  <c r="FQ1476" i="98"/>
  <c r="FQ1472" i="98"/>
  <c r="FQ1468" i="98"/>
  <c r="FQ1464" i="98"/>
  <c r="FQ1460" i="98"/>
  <c r="FQ1456" i="98"/>
  <c r="FQ1452" i="98"/>
  <c r="FQ1448" i="98"/>
  <c r="FQ1444" i="98"/>
  <c r="FQ1440" i="98"/>
  <c r="FQ1436" i="98"/>
  <c r="FQ1432" i="98"/>
  <c r="FQ1428" i="98"/>
  <c r="FQ1424" i="98"/>
  <c r="FQ1420" i="98"/>
  <c r="FQ1416" i="98"/>
  <c r="FQ1412" i="98"/>
  <c r="FQ1408" i="98"/>
  <c r="FQ1404" i="98"/>
  <c r="FQ1400" i="98"/>
  <c r="FQ1396" i="98"/>
  <c r="FQ1392" i="98"/>
  <c r="FQ1388" i="98"/>
  <c r="FQ1384" i="98"/>
  <c r="FQ1380" i="98"/>
  <c r="FQ1376" i="98"/>
  <c r="FQ1372" i="98"/>
  <c r="FQ1368" i="98"/>
  <c r="FQ1364" i="98"/>
  <c r="FQ1360" i="98"/>
  <c r="FQ1356" i="98"/>
  <c r="FQ1352" i="98"/>
  <c r="FQ1348" i="98"/>
  <c r="FQ1344" i="98"/>
  <c r="FQ1340" i="98"/>
  <c r="FQ1336" i="98"/>
  <c r="FQ1332" i="98"/>
  <c r="FQ1328" i="98"/>
  <c r="FQ1324" i="98"/>
  <c r="FQ1320" i="98"/>
  <c r="FQ1316" i="98"/>
  <c r="FQ1312" i="98"/>
  <c r="FQ1308" i="98"/>
  <c r="FQ1304" i="98"/>
  <c r="FQ1300" i="98"/>
  <c r="FQ1296" i="98"/>
  <c r="FQ1292" i="98"/>
  <c r="FQ1288" i="98"/>
  <c r="FQ1284" i="98"/>
  <c r="FQ1280" i="98"/>
  <c r="FQ1276" i="98"/>
  <c r="FQ1272" i="98"/>
  <c r="FQ1268" i="98"/>
  <c r="FQ1264" i="98"/>
  <c r="FQ1260" i="98"/>
  <c r="FQ1256" i="98"/>
  <c r="FQ1252" i="98"/>
  <c r="FQ1248" i="98"/>
  <c r="FQ1244" i="98"/>
  <c r="FQ1240" i="98"/>
  <c r="FQ1236" i="98"/>
  <c r="FQ1232" i="98"/>
  <c r="FQ1228" i="98"/>
  <c r="FQ1224" i="98"/>
  <c r="FQ1220" i="98"/>
  <c r="FQ1216" i="98"/>
  <c r="FQ1212" i="98"/>
  <c r="FQ1208" i="98"/>
  <c r="FQ1204" i="98"/>
  <c r="FQ1200" i="98"/>
  <c r="FQ1196" i="98"/>
  <c r="FQ1192" i="98"/>
  <c r="FQ1188" i="98"/>
  <c r="FQ1184" i="98"/>
  <c r="FQ1180" i="98"/>
  <c r="FQ1175" i="98"/>
  <c r="FQ1170" i="98"/>
  <c r="FQ1165" i="98"/>
  <c r="FQ1159" i="98"/>
  <c r="FQ1154" i="98"/>
  <c r="FQ1149" i="98"/>
  <c r="FQ1143" i="98"/>
  <c r="FQ1138" i="98"/>
  <c r="FQ1133" i="98"/>
  <c r="FQ1122" i="98"/>
  <c r="FQ1117" i="98"/>
  <c r="FQ1111" i="98"/>
  <c r="FQ1106" i="98"/>
  <c r="FQ1101" i="98"/>
  <c r="FQ1095" i="98"/>
  <c r="FQ1089" i="98"/>
  <c r="FQ1081" i="98"/>
  <c r="FQ1073" i="98"/>
  <c r="FQ1065" i="98"/>
  <c r="FQ1057" i="98"/>
  <c r="FQ1041" i="98"/>
  <c r="FQ1033" i="98"/>
  <c r="FQ1025" i="98"/>
  <c r="FQ1017" i="98"/>
  <c r="FQ1009" i="98"/>
  <c r="FQ1001" i="98"/>
  <c r="FQ993" i="98"/>
  <c r="FQ985" i="98"/>
  <c r="FQ977" i="98"/>
  <c r="FQ969" i="98"/>
  <c r="FQ961" i="98"/>
  <c r="FQ953" i="98"/>
  <c r="FQ945" i="98"/>
  <c r="FQ937" i="98"/>
  <c r="FQ929" i="98"/>
  <c r="FQ921" i="98"/>
  <c r="FQ913" i="98"/>
  <c r="FQ905" i="98"/>
  <c r="FQ897" i="98"/>
  <c r="FQ889" i="98"/>
  <c r="FQ881" i="98"/>
  <c r="FQ873" i="98"/>
  <c r="FQ865" i="98"/>
  <c r="FQ857" i="98"/>
  <c r="FQ849" i="98"/>
  <c r="FQ841" i="98"/>
  <c r="FQ833" i="98"/>
  <c r="FQ825" i="98"/>
  <c r="FQ817" i="98"/>
  <c r="FQ809" i="98"/>
  <c r="FQ801" i="98"/>
  <c r="FQ793" i="98"/>
  <c r="FQ785" i="98"/>
  <c r="FQ777" i="98"/>
  <c r="FQ769" i="98"/>
  <c r="FQ761" i="98"/>
  <c r="FQ753" i="98"/>
  <c r="FQ745" i="98"/>
  <c r="FQ737" i="98"/>
  <c r="FQ721" i="98"/>
  <c r="FQ710" i="98"/>
  <c r="FQ694" i="98"/>
  <c r="FQ678" i="98"/>
  <c r="FQ662" i="98"/>
  <c r="FQ646" i="98"/>
  <c r="FQ630" i="98"/>
  <c r="FQ609" i="98"/>
  <c r="FQ247" i="98"/>
  <c r="FQ251" i="98"/>
  <c r="FQ255" i="98"/>
  <c r="FQ259" i="98"/>
  <c r="FQ263" i="98"/>
  <c r="FQ267" i="98"/>
  <c r="FQ271" i="98"/>
  <c r="FQ275" i="98"/>
  <c r="FQ279" i="98"/>
  <c r="FQ283" i="98"/>
  <c r="FQ287" i="98"/>
  <c r="FQ291" i="98"/>
  <c r="FQ295" i="98"/>
  <c r="FQ299" i="98"/>
  <c r="FQ303" i="98"/>
  <c r="FQ307" i="98"/>
  <c r="FQ311" i="98"/>
  <c r="FQ315" i="98"/>
  <c r="FQ319" i="98"/>
  <c r="FQ323" i="98"/>
  <c r="FQ249" i="98"/>
  <c r="FQ253" i="98"/>
  <c r="FQ257" i="98"/>
  <c r="FQ261" i="98"/>
  <c r="FQ265" i="98"/>
  <c r="FQ269" i="98"/>
  <c r="FQ273" i="98"/>
  <c r="FQ277" i="98"/>
  <c r="FQ281" i="98"/>
  <c r="FQ285" i="98"/>
  <c r="FQ289" i="98"/>
  <c r="FQ293" i="98"/>
  <c r="FQ297" i="98"/>
  <c r="FQ301" i="98"/>
  <c r="FQ305" i="98"/>
  <c r="FQ309" i="98"/>
  <c r="FQ313" i="98"/>
  <c r="FQ317" i="98"/>
  <c r="FQ321" i="98"/>
  <c r="FQ325" i="98"/>
  <c r="FQ250" i="98"/>
  <c r="FQ258" i="98"/>
  <c r="FQ266" i="98"/>
  <c r="FQ274" i="98"/>
  <c r="FQ282" i="98"/>
  <c r="FQ290" i="98"/>
  <c r="FQ298" i="98"/>
  <c r="FQ306" i="98"/>
  <c r="FQ314" i="98"/>
  <c r="FQ322" i="98"/>
  <c r="FQ248" i="98"/>
  <c r="FQ256" i="98"/>
  <c r="FQ264" i="98"/>
  <c r="FQ272" i="98"/>
  <c r="FQ280" i="98"/>
  <c r="FQ288" i="98"/>
  <c r="FQ296" i="98"/>
  <c r="FQ304" i="98"/>
  <c r="FQ312" i="98"/>
  <c r="FQ320" i="98"/>
  <c r="FQ260" i="98"/>
  <c r="FQ276" i="98"/>
  <c r="FQ292" i="98"/>
  <c r="FQ308" i="98"/>
  <c r="FQ324" i="98"/>
  <c r="FQ246" i="98"/>
  <c r="FQ262" i="98"/>
  <c r="FQ278" i="98"/>
  <c r="FQ294" i="98"/>
  <c r="FQ310" i="98"/>
  <c r="FQ252" i="98"/>
  <c r="FQ268" i="98"/>
  <c r="FQ284" i="98"/>
  <c r="FQ300" i="98"/>
  <c r="FQ316" i="98"/>
  <c r="FQ254" i="98"/>
  <c r="FQ270" i="98"/>
  <c r="FQ286" i="98"/>
  <c r="FQ302" i="98"/>
  <c r="FQ318" i="98"/>
  <c r="FQ1597" i="98"/>
  <c r="FQ1577" i="98"/>
  <c r="FQ1561" i="98"/>
  <c r="FQ1545" i="98"/>
  <c r="FQ1537" i="98"/>
  <c r="FQ1529" i="98"/>
  <c r="FQ1128" i="98"/>
  <c r="FQ1132" i="98"/>
  <c r="FQ1136" i="98"/>
  <c r="FQ1140" i="98"/>
  <c r="FQ1144" i="98"/>
  <c r="FQ1148" i="98"/>
  <c r="FQ1152" i="98"/>
  <c r="FQ1156" i="98"/>
  <c r="FQ1160" i="98"/>
  <c r="FQ1164" i="98"/>
  <c r="FQ1168" i="98"/>
  <c r="FQ1172" i="98"/>
  <c r="FQ1176" i="98"/>
  <c r="FQ488" i="98"/>
  <c r="FQ492" i="98"/>
  <c r="FQ496" i="98"/>
  <c r="FQ500" i="98"/>
  <c r="FQ504" i="98"/>
  <c r="FQ508" i="98"/>
  <c r="FQ512" i="98"/>
  <c r="FQ516" i="98"/>
  <c r="FQ520" i="98"/>
  <c r="FQ524" i="98"/>
  <c r="FQ528" i="98"/>
  <c r="FQ532" i="98"/>
  <c r="FQ536" i="98"/>
  <c r="FQ540" i="98"/>
  <c r="FQ544" i="98"/>
  <c r="FQ548" i="98"/>
  <c r="FQ552" i="98"/>
  <c r="FQ556" i="98"/>
  <c r="FQ560" i="98"/>
  <c r="FQ564" i="98"/>
  <c r="FQ487" i="98"/>
  <c r="FQ491" i="98"/>
  <c r="FQ495" i="98"/>
  <c r="FQ499" i="98"/>
  <c r="FQ503" i="98"/>
  <c r="FQ507" i="98"/>
  <c r="FQ511" i="98"/>
  <c r="FQ515" i="98"/>
  <c r="FQ519" i="98"/>
  <c r="FQ523" i="98"/>
  <c r="FQ527" i="98"/>
  <c r="FQ531" i="98"/>
  <c r="FQ535" i="98"/>
  <c r="FQ539" i="98"/>
  <c r="FQ543" i="98"/>
  <c r="FQ547" i="98"/>
  <c r="FQ551" i="98"/>
  <c r="FQ555" i="98"/>
  <c r="FQ559" i="98"/>
  <c r="FQ493" i="98"/>
  <c r="FQ501" i="98"/>
  <c r="FQ509" i="98"/>
  <c r="FQ517" i="98"/>
  <c r="FQ525" i="98"/>
  <c r="FQ533" i="98"/>
  <c r="FQ541" i="98"/>
  <c r="FQ549" i="98"/>
  <c r="FQ557" i="98"/>
  <c r="FQ563" i="98"/>
  <c r="FQ486" i="98"/>
  <c r="FQ494" i="98"/>
  <c r="FQ502" i="98"/>
  <c r="FQ510" i="98"/>
  <c r="FQ518" i="98"/>
  <c r="FQ526" i="98"/>
  <c r="FQ534" i="98"/>
  <c r="FQ542" i="98"/>
  <c r="FQ550" i="98"/>
  <c r="FQ558" i="98"/>
  <c r="FQ565" i="98"/>
  <c r="FQ489" i="98"/>
  <c r="FQ497" i="98"/>
  <c r="FQ505" i="98"/>
  <c r="FQ513" i="98"/>
  <c r="FQ521" i="98"/>
  <c r="FQ529" i="98"/>
  <c r="FQ537" i="98"/>
  <c r="FQ545" i="98"/>
  <c r="FQ553" i="98"/>
  <c r="FQ561" i="98"/>
  <c r="FQ490" i="98"/>
  <c r="FQ498" i="98"/>
  <c r="FQ506" i="98"/>
  <c r="FQ514" i="98"/>
  <c r="FQ522" i="98"/>
  <c r="FQ530" i="98"/>
  <c r="FQ538" i="98"/>
  <c r="FQ546" i="98"/>
  <c r="FQ554" i="98"/>
  <c r="FQ562" i="98"/>
  <c r="FQ167" i="98"/>
  <c r="FQ171" i="98"/>
  <c r="FQ175" i="98"/>
  <c r="FQ179" i="98"/>
  <c r="FQ183" i="98"/>
  <c r="FQ187" i="98"/>
  <c r="FQ191" i="98"/>
  <c r="FQ195" i="98"/>
  <c r="FQ199" i="98"/>
  <c r="FQ203" i="98"/>
  <c r="FQ207" i="98"/>
  <c r="FQ211" i="98"/>
  <c r="FQ215" i="98"/>
  <c r="FQ219" i="98"/>
  <c r="FQ223" i="98"/>
  <c r="FQ227" i="98"/>
  <c r="FQ231" i="98"/>
  <c r="FQ235" i="98"/>
  <c r="FQ239" i="98"/>
  <c r="FQ243" i="98"/>
  <c r="FQ169" i="98"/>
  <c r="FQ173" i="98"/>
  <c r="FQ177" i="98"/>
  <c r="FQ181" i="98"/>
  <c r="FQ185" i="98"/>
  <c r="FQ189" i="98"/>
  <c r="FQ193" i="98"/>
  <c r="FQ197" i="98"/>
  <c r="FQ201" i="98"/>
  <c r="FQ205" i="98"/>
  <c r="FQ209" i="98"/>
  <c r="FQ213" i="98"/>
  <c r="FQ217" i="98"/>
  <c r="FQ221" i="98"/>
  <c r="FQ225" i="98"/>
  <c r="FQ229" i="98"/>
  <c r="FQ233" i="98"/>
  <c r="FQ237" i="98"/>
  <c r="FQ241" i="98"/>
  <c r="FQ245" i="98"/>
  <c r="FQ170" i="98"/>
  <c r="FQ178" i="98"/>
  <c r="FQ186" i="98"/>
  <c r="FQ194" i="98"/>
  <c r="FQ202" i="98"/>
  <c r="FQ210" i="98"/>
  <c r="FQ218" i="98"/>
  <c r="FQ226" i="98"/>
  <c r="FQ234" i="98"/>
  <c r="FQ242" i="98"/>
  <c r="FQ168" i="98"/>
  <c r="FQ176" i="98"/>
  <c r="FQ184" i="98"/>
  <c r="FQ192" i="98"/>
  <c r="FQ200" i="98"/>
  <c r="FQ208" i="98"/>
  <c r="FQ216" i="98"/>
  <c r="FQ224" i="98"/>
  <c r="FQ232" i="98"/>
  <c r="FQ240" i="98"/>
  <c r="FQ180" i="98"/>
  <c r="FQ196" i="98"/>
  <c r="FQ212" i="98"/>
  <c r="FQ228" i="98"/>
  <c r="FQ244" i="98"/>
  <c r="FQ166" i="98"/>
  <c r="FQ182" i="98"/>
  <c r="FQ198" i="98"/>
  <c r="FQ214" i="98"/>
  <c r="FQ230" i="98"/>
  <c r="FQ172" i="98"/>
  <c r="FQ188" i="98"/>
  <c r="FQ204" i="98"/>
  <c r="FQ220" i="98"/>
  <c r="FQ236" i="98"/>
  <c r="FQ174" i="98"/>
  <c r="FQ190" i="98"/>
  <c r="FQ206" i="98"/>
  <c r="FQ222" i="98"/>
  <c r="FQ238" i="98"/>
  <c r="FQ8" i="98"/>
  <c r="FQ12" i="98"/>
  <c r="FQ16" i="98"/>
  <c r="FQ9" i="98"/>
  <c r="FQ14" i="98"/>
  <c r="FQ19" i="98"/>
  <c r="FQ23" i="98"/>
  <c r="FQ27" i="98"/>
  <c r="FQ31" i="98"/>
  <c r="FQ35" i="98"/>
  <c r="FQ39" i="98"/>
  <c r="FQ43" i="98"/>
  <c r="FQ47" i="98"/>
  <c r="FQ51" i="98"/>
  <c r="FQ55" i="98"/>
  <c r="FQ59" i="98"/>
  <c r="FQ63" i="98"/>
  <c r="FQ67" i="98"/>
  <c r="FQ71" i="98"/>
  <c r="FQ75" i="98"/>
  <c r="FQ79" i="98"/>
  <c r="FQ83" i="98"/>
  <c r="FQ10" i="98"/>
  <c r="FQ15" i="98"/>
  <c r="FQ20" i="98"/>
  <c r="FQ24" i="98"/>
  <c r="FQ28" i="98"/>
  <c r="FQ32" i="98"/>
  <c r="FQ36" i="98"/>
  <c r="FQ40" i="98"/>
  <c r="FQ44" i="98"/>
  <c r="FQ48" i="98"/>
  <c r="FQ52" i="98"/>
  <c r="FQ56" i="98"/>
  <c r="FQ60" i="98"/>
  <c r="FQ64" i="98"/>
  <c r="FQ68" i="98"/>
  <c r="FQ72" i="98"/>
  <c r="FQ76" i="98"/>
  <c r="FQ80" i="98"/>
  <c r="FQ84" i="98"/>
  <c r="FQ11" i="98"/>
  <c r="FQ17" i="98"/>
  <c r="FQ21" i="98"/>
  <c r="FQ25" i="98"/>
  <c r="FQ29" i="98"/>
  <c r="FQ33" i="98"/>
  <c r="FQ37" i="98"/>
  <c r="FQ41" i="98"/>
  <c r="FQ45" i="98"/>
  <c r="FQ49" i="98"/>
  <c r="FQ53" i="98"/>
  <c r="FQ57" i="98"/>
  <c r="FQ61" i="98"/>
  <c r="FQ65" i="98"/>
  <c r="FQ69" i="98"/>
  <c r="FQ73" i="98"/>
  <c r="FQ77" i="98"/>
  <c r="FQ81" i="98"/>
  <c r="FQ85" i="98"/>
  <c r="FQ22" i="98"/>
  <c r="FQ38" i="98"/>
  <c r="FQ54" i="98"/>
  <c r="FQ70" i="98"/>
  <c r="FQ18" i="98"/>
  <c r="FQ34" i="98"/>
  <c r="FQ50" i="98"/>
  <c r="FQ66" i="98"/>
  <c r="FQ82" i="98"/>
  <c r="FQ7" i="98"/>
  <c r="FQ42" i="98"/>
  <c r="FQ74" i="98"/>
  <c r="FQ13" i="98"/>
  <c r="FQ46" i="98"/>
  <c r="FQ78" i="98"/>
  <c r="FQ26" i="98"/>
  <c r="FQ58" i="98"/>
  <c r="FQ30" i="98"/>
  <c r="FQ62" i="98"/>
  <c r="FQ1048" i="98"/>
  <c r="FQ1052" i="98"/>
  <c r="FQ1056" i="98"/>
  <c r="FQ1060" i="98"/>
  <c r="FQ1064" i="98"/>
  <c r="FQ1068" i="98"/>
  <c r="FQ1072" i="98"/>
  <c r="FQ1076" i="98"/>
  <c r="FQ1080" i="98"/>
  <c r="FQ1084" i="98"/>
  <c r="FQ1088" i="98"/>
  <c r="FQ1092" i="98"/>
  <c r="FQ1096" i="98"/>
  <c r="FQ1100" i="98"/>
  <c r="FQ1104" i="98"/>
  <c r="FQ1108" i="98"/>
  <c r="FQ1112" i="98"/>
  <c r="FQ1116" i="98"/>
  <c r="FQ1120" i="98"/>
  <c r="FQ1124" i="98"/>
  <c r="FQ1047" i="98"/>
  <c r="FQ1051" i="98"/>
  <c r="FQ1055" i="98"/>
  <c r="FQ1059" i="98"/>
  <c r="FQ1063" i="98"/>
  <c r="FQ1067" i="98"/>
  <c r="FQ1071" i="98"/>
  <c r="FQ1075" i="98"/>
  <c r="FQ1079" i="98"/>
  <c r="FQ1083" i="98"/>
  <c r="FQ1087" i="98"/>
  <c r="FQ1091" i="98"/>
  <c r="FQ728" i="98"/>
  <c r="FQ732" i="98"/>
  <c r="FQ736" i="98"/>
  <c r="FQ740" i="98"/>
  <c r="FQ744" i="98"/>
  <c r="FQ748" i="98"/>
  <c r="FQ752" i="98"/>
  <c r="FQ756" i="98"/>
  <c r="FQ760" i="98"/>
  <c r="FQ764" i="98"/>
  <c r="FQ768" i="98"/>
  <c r="FQ772" i="98"/>
  <c r="FQ776" i="98"/>
  <c r="FQ780" i="98"/>
  <c r="FQ784" i="98"/>
  <c r="FQ788" i="98"/>
  <c r="FQ792" i="98"/>
  <c r="FQ796" i="98"/>
  <c r="FQ800" i="98"/>
  <c r="FQ804" i="98"/>
  <c r="FQ727" i="98"/>
  <c r="FQ731" i="98"/>
  <c r="FQ735" i="98"/>
  <c r="FQ739" i="98"/>
  <c r="FQ743" i="98"/>
  <c r="FQ747" i="98"/>
  <c r="FQ751" i="98"/>
  <c r="FQ755" i="98"/>
  <c r="FQ759" i="98"/>
  <c r="FQ763" i="98"/>
  <c r="FQ767" i="98"/>
  <c r="FQ771" i="98"/>
  <c r="FQ775" i="98"/>
  <c r="FQ779" i="98"/>
  <c r="FQ783" i="98"/>
  <c r="FQ787" i="98"/>
  <c r="FQ791" i="98"/>
  <c r="FQ795" i="98"/>
  <c r="FQ799" i="98"/>
  <c r="FQ803" i="98"/>
  <c r="FQ407" i="98"/>
  <c r="FQ411" i="98"/>
  <c r="FQ415" i="98"/>
  <c r="FQ419" i="98"/>
  <c r="FQ423" i="98"/>
  <c r="FQ427" i="98"/>
  <c r="FQ431" i="98"/>
  <c r="FQ435" i="98"/>
  <c r="FQ439" i="98"/>
  <c r="FQ443" i="98"/>
  <c r="FQ447" i="98"/>
  <c r="FQ451" i="98"/>
  <c r="FQ455" i="98"/>
  <c r="FQ409" i="98"/>
  <c r="FQ413" i="98"/>
  <c r="FQ417" i="98"/>
  <c r="FQ410" i="98"/>
  <c r="FQ418" i="98"/>
  <c r="FQ424" i="98"/>
  <c r="FQ429" i="98"/>
  <c r="FQ434" i="98"/>
  <c r="FQ440" i="98"/>
  <c r="FQ445" i="98"/>
  <c r="FQ450" i="98"/>
  <c r="FQ456" i="98"/>
  <c r="FQ460" i="98"/>
  <c r="FQ464" i="98"/>
  <c r="FQ468" i="98"/>
  <c r="FQ472" i="98"/>
  <c r="FQ476" i="98"/>
  <c r="FQ480" i="98"/>
  <c r="FQ484" i="98"/>
  <c r="FQ408" i="98"/>
  <c r="FQ416" i="98"/>
  <c r="FQ422" i="98"/>
  <c r="FQ428" i="98"/>
  <c r="FQ433" i="98"/>
  <c r="FQ438" i="98"/>
  <c r="FQ444" i="98"/>
  <c r="FQ449" i="98"/>
  <c r="FQ454" i="98"/>
  <c r="FQ459" i="98"/>
  <c r="FQ463" i="98"/>
  <c r="FQ467" i="98"/>
  <c r="FQ471" i="98"/>
  <c r="FQ475" i="98"/>
  <c r="FQ479" i="98"/>
  <c r="FQ483" i="98"/>
  <c r="FQ420" i="98"/>
  <c r="FQ430" i="98"/>
  <c r="FQ441" i="98"/>
  <c r="FQ452" i="98"/>
  <c r="FQ461" i="98"/>
  <c r="FQ469" i="98"/>
  <c r="FQ477" i="98"/>
  <c r="FQ485" i="98"/>
  <c r="FQ406" i="98"/>
  <c r="FQ421" i="98"/>
  <c r="FQ432" i="98"/>
  <c r="FQ442" i="98"/>
  <c r="FQ453" i="98"/>
  <c r="FQ462" i="98"/>
  <c r="FQ470" i="98"/>
  <c r="FQ478" i="98"/>
  <c r="FQ412" i="98"/>
  <c r="FQ425" i="98"/>
  <c r="FQ436" i="98"/>
  <c r="FQ446" i="98"/>
  <c r="FQ457" i="98"/>
  <c r="FQ465" i="98"/>
  <c r="FQ473" i="98"/>
  <c r="FQ481" i="98"/>
  <c r="FQ414" i="98"/>
  <c r="FQ426" i="98"/>
  <c r="FQ437" i="98"/>
  <c r="FQ448" i="98"/>
  <c r="FQ458" i="98"/>
  <c r="FQ466" i="98"/>
  <c r="FQ474" i="98"/>
  <c r="FQ482" i="98"/>
  <c r="FQ87" i="98"/>
  <c r="FQ91" i="98"/>
  <c r="FQ95" i="98"/>
  <c r="FQ99" i="98"/>
  <c r="FQ103" i="98"/>
  <c r="FQ107" i="98"/>
  <c r="FQ111" i="98"/>
  <c r="FQ115" i="98"/>
  <c r="FQ119" i="98"/>
  <c r="FQ123" i="98"/>
  <c r="FQ127" i="98"/>
  <c r="FQ131" i="98"/>
  <c r="FQ135" i="98"/>
  <c r="FQ139" i="98"/>
  <c r="FQ143" i="98"/>
  <c r="FQ147" i="98"/>
  <c r="FQ151" i="98"/>
  <c r="FQ155" i="98"/>
  <c r="FQ159" i="98"/>
  <c r="FQ163" i="98"/>
  <c r="FQ88" i="98"/>
  <c r="FQ92" i="98"/>
  <c r="FQ96" i="98"/>
  <c r="FQ100" i="98"/>
  <c r="FQ104" i="98"/>
  <c r="FQ108" i="98"/>
  <c r="FQ112" i="98"/>
  <c r="FQ116" i="98"/>
  <c r="FQ120" i="98"/>
  <c r="FQ124" i="98"/>
  <c r="FQ128" i="98"/>
  <c r="FQ132" i="98"/>
  <c r="FQ136" i="98"/>
  <c r="FQ140" i="98"/>
  <c r="FQ144" i="98"/>
  <c r="FQ148" i="98"/>
  <c r="FQ152" i="98"/>
  <c r="FQ156" i="98"/>
  <c r="FQ89" i="98"/>
  <c r="FQ93" i="98"/>
  <c r="FQ97" i="98"/>
  <c r="FQ101" i="98"/>
  <c r="FQ105" i="98"/>
  <c r="FQ109" i="98"/>
  <c r="FQ113" i="98"/>
  <c r="FQ117" i="98"/>
  <c r="FQ121" i="98"/>
  <c r="FQ125" i="98"/>
  <c r="FQ129" i="98"/>
  <c r="FQ133" i="98"/>
  <c r="FQ137" i="98"/>
  <c r="FQ141" i="98"/>
  <c r="FQ145" i="98"/>
  <c r="FQ149" i="98"/>
  <c r="FQ153" i="98"/>
  <c r="FQ157" i="98"/>
  <c r="FQ161" i="98"/>
  <c r="FQ165" i="98"/>
  <c r="FQ86" i="98"/>
  <c r="FQ102" i="98"/>
  <c r="FQ118" i="98"/>
  <c r="FQ134" i="98"/>
  <c r="FQ150" i="98"/>
  <c r="FQ162" i="98"/>
  <c r="FQ98" i="98"/>
  <c r="FQ114" i="98"/>
  <c r="FQ130" i="98"/>
  <c r="FQ146" i="98"/>
  <c r="FQ160" i="98"/>
  <c r="FQ106" i="98"/>
  <c r="FQ138" i="98"/>
  <c r="FQ164" i="98"/>
  <c r="FQ110" i="98"/>
  <c r="FQ142" i="98"/>
  <c r="FQ90" i="98"/>
  <c r="FQ122" i="98"/>
  <c r="FQ154" i="98"/>
  <c r="FQ94" i="98"/>
  <c r="FQ126" i="98"/>
  <c r="FQ158" i="98"/>
  <c r="FQ1683" i="98"/>
  <c r="FQ1679" i="98"/>
  <c r="FQ1675" i="98"/>
  <c r="FQ1671" i="98"/>
  <c r="FQ1667" i="98"/>
  <c r="FQ1663" i="98"/>
  <c r="FQ1659" i="98"/>
  <c r="FQ1655" i="98"/>
  <c r="FQ1651" i="98"/>
  <c r="FQ1647" i="98"/>
  <c r="FQ1643" i="98"/>
  <c r="FQ1639" i="98"/>
  <c r="FQ1635" i="98"/>
  <c r="FQ1631" i="98"/>
  <c r="FQ1627" i="98"/>
  <c r="FQ1623" i="98"/>
  <c r="FQ1619" i="98"/>
  <c r="FQ1615" i="98"/>
  <c r="FQ1611" i="98"/>
  <c r="FQ1603" i="98"/>
  <c r="FQ1599" i="98"/>
  <c r="FQ1595" i="98"/>
  <c r="FQ1591" i="98"/>
  <c r="FQ1587" i="98"/>
  <c r="FQ1583" i="98"/>
  <c r="FQ1579" i="98"/>
  <c r="FQ1575" i="98"/>
  <c r="FQ1571" i="98"/>
  <c r="FQ1567" i="98"/>
  <c r="FQ1563" i="98"/>
  <c r="FQ1559" i="98"/>
  <c r="FQ1555" i="98"/>
  <c r="FQ1551" i="98"/>
  <c r="FQ1547" i="98"/>
  <c r="FQ1543" i="98"/>
  <c r="FQ1539" i="98"/>
  <c r="FQ1535" i="98"/>
  <c r="FQ1531" i="98"/>
  <c r="FQ1523" i="98"/>
  <c r="FQ1519" i="98"/>
  <c r="FQ1515" i="98"/>
  <c r="FQ1511" i="98"/>
  <c r="FQ1507" i="98"/>
  <c r="FQ1503" i="98"/>
  <c r="FQ1499" i="98"/>
  <c r="FQ1495" i="98"/>
  <c r="FQ1491" i="98"/>
  <c r="FQ1487" i="98"/>
  <c r="FQ1483" i="98"/>
  <c r="FQ1479" i="98"/>
  <c r="FQ1475" i="98"/>
  <c r="FQ1471" i="98"/>
  <c r="FQ1467" i="98"/>
  <c r="FQ1463" i="98"/>
  <c r="FQ1459" i="98"/>
  <c r="FQ1455" i="98"/>
  <c r="FQ1451" i="98"/>
  <c r="FQ1443" i="98"/>
  <c r="FQ1439" i="98"/>
  <c r="FQ1435" i="98"/>
  <c r="FQ1431" i="98"/>
  <c r="FQ1427" i="98"/>
  <c r="FQ1423" i="98"/>
  <c r="FQ1419" i="98"/>
  <c r="FQ1415" i="98"/>
  <c r="FQ1411" i="98"/>
  <c r="FQ1407" i="98"/>
  <c r="FQ1403" i="98"/>
  <c r="FQ1399" i="98"/>
  <c r="FQ1395" i="98"/>
  <c r="FQ1391" i="98"/>
  <c r="FQ1387" i="98"/>
  <c r="FQ1383" i="98"/>
  <c r="FQ1379" i="98"/>
  <c r="FQ1375" i="98"/>
  <c r="FQ1371" i="98"/>
  <c r="FQ1363" i="98"/>
  <c r="FQ1359" i="98"/>
  <c r="FQ1355" i="98"/>
  <c r="FQ1351" i="98"/>
  <c r="FQ1347" i="98"/>
  <c r="FQ1343" i="98"/>
  <c r="FQ1339" i="98"/>
  <c r="FQ1335" i="98"/>
  <c r="FQ1331" i="98"/>
  <c r="FQ1327" i="98"/>
  <c r="FQ1323" i="98"/>
  <c r="FQ1319" i="98"/>
  <c r="FQ1315" i="98"/>
  <c r="FQ1311" i="98"/>
  <c r="FQ1307" i="98"/>
  <c r="FQ1303" i="98"/>
  <c r="FQ1299" i="98"/>
  <c r="FQ1295" i="98"/>
  <c r="FQ1291" i="98"/>
  <c r="FQ1283" i="98"/>
  <c r="FQ1279" i="98"/>
  <c r="FQ1275" i="98"/>
  <c r="FQ1271" i="98"/>
  <c r="FQ1267" i="98"/>
  <c r="FQ1263" i="98"/>
  <c r="FQ1259" i="98"/>
  <c r="FQ1255" i="98"/>
  <c r="FQ1251" i="98"/>
  <c r="FQ1247" i="98"/>
  <c r="FQ1243" i="98"/>
  <c r="FQ1239" i="98"/>
  <c r="FQ1235" i="98"/>
  <c r="FQ1231" i="98"/>
  <c r="FQ1227" i="98"/>
  <c r="FQ1223" i="98"/>
  <c r="FQ1219" i="98"/>
  <c r="FQ1215" i="98"/>
  <c r="FQ1211" i="98"/>
  <c r="FQ1203" i="98"/>
  <c r="FQ1199" i="98"/>
  <c r="FQ1195" i="98"/>
  <c r="FQ1191" i="98"/>
  <c r="FQ1187" i="98"/>
  <c r="FQ1183" i="98"/>
  <c r="FQ1179" i="98"/>
  <c r="FQ1174" i="98"/>
  <c r="FQ1169" i="98"/>
  <c r="FQ1163" i="98"/>
  <c r="FQ1158" i="98"/>
  <c r="FQ1153" i="98"/>
  <c r="FQ1147" i="98"/>
  <c r="FQ1142" i="98"/>
  <c r="FQ1137" i="98"/>
  <c r="FQ1131" i="98"/>
  <c r="FQ1126" i="98"/>
  <c r="FQ1121" i="98"/>
  <c r="FQ1115" i="98"/>
  <c r="FQ1110" i="98"/>
  <c r="FQ1105" i="98"/>
  <c r="FQ1099" i="98"/>
  <c r="FQ1094" i="98"/>
  <c r="FQ1086" i="98"/>
  <c r="FQ1078" i="98"/>
  <c r="FQ1070" i="98"/>
  <c r="FQ1062" i="98"/>
  <c r="FQ1054" i="98"/>
  <c r="FQ1046" i="98"/>
  <c r="FQ1038" i="98"/>
  <c r="FQ1030" i="98"/>
  <c r="FQ1022" i="98"/>
  <c r="FQ1014" i="98"/>
  <c r="FQ1006" i="98"/>
  <c r="FQ998" i="98"/>
  <c r="FQ990" i="98"/>
  <c r="FQ982" i="98"/>
  <c r="FQ974" i="98"/>
  <c r="FQ966" i="98"/>
  <c r="FQ958" i="98"/>
  <c r="FQ950" i="98"/>
  <c r="FQ942" i="98"/>
  <c r="FQ934" i="98"/>
  <c r="FQ926" i="98"/>
  <c r="FQ918" i="98"/>
  <c r="FQ910" i="98"/>
  <c r="FQ902" i="98"/>
  <c r="FQ894" i="98"/>
  <c r="FQ886" i="98"/>
  <c r="FQ878" i="98"/>
  <c r="FQ870" i="98"/>
  <c r="FQ862" i="98"/>
  <c r="FQ854" i="98"/>
  <c r="FQ846" i="98"/>
  <c r="FQ838" i="98"/>
  <c r="FQ830" i="98"/>
  <c r="FQ822" i="98"/>
  <c r="FQ814" i="98"/>
  <c r="FQ806" i="98"/>
  <c r="FQ798" i="98"/>
  <c r="FQ790" i="98"/>
  <c r="FQ782" i="98"/>
  <c r="FQ774" i="98"/>
  <c r="FQ766" i="98"/>
  <c r="FQ758" i="98"/>
  <c r="FQ750" i="98"/>
  <c r="FQ742" i="98"/>
  <c r="FQ734" i="98"/>
  <c r="FQ726" i="98"/>
  <c r="FQ718" i="98"/>
  <c r="FQ706" i="98"/>
  <c r="FQ690" i="98"/>
  <c r="FQ674" i="98"/>
  <c r="FQ658" i="98"/>
  <c r="FQ642" i="98"/>
  <c r="FQ625" i="98"/>
  <c r="FQ603" i="98"/>
  <c r="EH47" i="98"/>
  <c r="EH46" i="98"/>
  <c r="EH74" i="98"/>
  <c r="EH28" i="98"/>
  <c r="EH55" i="98"/>
  <c r="EH27" i="98"/>
  <c r="EH37" i="98"/>
  <c r="EH63" i="98"/>
  <c r="EH73" i="98"/>
  <c r="EH54" i="98"/>
  <c r="EH19" i="98"/>
  <c r="EH13" i="98"/>
  <c r="EH14" i="98" s="1"/>
  <c r="EH39" i="98" l="1"/>
  <c r="EH30" i="98"/>
  <c r="EH38" i="98"/>
  <c r="EH56" i="98"/>
  <c r="EH29" i="98"/>
  <c r="EH76" i="98"/>
  <c r="EH75" i="98"/>
  <c r="EH64" i="98"/>
  <c r="EH48" i="98"/>
  <c r="EH49" i="98"/>
  <c r="EH21" i="98"/>
  <c r="EH20" i="98"/>
  <c r="EH32" i="98" l="1"/>
  <c r="EH50" i="98"/>
  <c r="EH31" i="98"/>
  <c r="EH41" i="98"/>
  <c r="EH66" i="98"/>
  <c r="EH57" i="98"/>
  <c r="EH77" i="98"/>
  <c r="EH40" i="98"/>
  <c r="EH65" i="98"/>
  <c r="EH22" i="98"/>
  <c r="EH23" i="98" s="1"/>
  <c r="EH59" i="98" l="1"/>
  <c r="EH67" i="98"/>
  <c r="EH58" i="98"/>
  <c r="EH68" i="98"/>
  <c r="AT6" i="90" l="1"/>
  <c r="AG6" i="82" l="1"/>
  <c r="CE6" i="90" l="1"/>
  <c r="CM6" i="90" s="1"/>
  <c r="CE7" i="90"/>
  <c r="CM7" i="90" s="1"/>
  <c r="CE8" i="90"/>
  <c r="CM8" i="90" s="1"/>
  <c r="CE9" i="90"/>
  <c r="CM9" i="90" s="1"/>
  <c r="CE10" i="90"/>
  <c r="CM10" i="90" s="1"/>
  <c r="CE11" i="90"/>
  <c r="CM11" i="90" s="1"/>
  <c r="CE12" i="90"/>
  <c r="CM12" i="90" s="1"/>
  <c r="CE13" i="90"/>
  <c r="CM13" i="90" s="1"/>
  <c r="CE14" i="90"/>
  <c r="CM14" i="90" s="1"/>
  <c r="CE15" i="90"/>
  <c r="CE16" i="90"/>
  <c r="CM16" i="90" s="1"/>
  <c r="CE17" i="90"/>
  <c r="CM17" i="90" s="1"/>
  <c r="CE18" i="90"/>
  <c r="CM18" i="90" s="1"/>
  <c r="CE19" i="90"/>
  <c r="CM19" i="90" s="1"/>
  <c r="CE20" i="90"/>
  <c r="CM20" i="90" s="1"/>
  <c r="CE21" i="90"/>
  <c r="CM21" i="90" s="1"/>
  <c r="CE22" i="90"/>
  <c r="CM22" i="90" s="1"/>
  <c r="CE23" i="90"/>
  <c r="CE24" i="90"/>
  <c r="CM24" i="90" s="1"/>
  <c r="CE25" i="90"/>
  <c r="CM25" i="90" s="1"/>
  <c r="CE26" i="90"/>
  <c r="CM26" i="90" s="1"/>
  <c r="CE27" i="90"/>
  <c r="CM27" i="90" s="1"/>
  <c r="CE28" i="90"/>
  <c r="CM28" i="90" s="1"/>
  <c r="CE29" i="90"/>
  <c r="CM29" i="90" s="1"/>
  <c r="CE30" i="90"/>
  <c r="CM30" i="90" s="1"/>
  <c r="CE31" i="90"/>
  <c r="CE32" i="90"/>
  <c r="CM32" i="90" s="1"/>
  <c r="CE33" i="90"/>
  <c r="CM33" i="90" s="1"/>
  <c r="CE34" i="90"/>
  <c r="CM34" i="90" s="1"/>
  <c r="CE35" i="90"/>
  <c r="CM35" i="90" s="1"/>
  <c r="CE36" i="90"/>
  <c r="CM36" i="90" s="1"/>
  <c r="CE37" i="90"/>
  <c r="CM37" i="90" s="1"/>
  <c r="CE38" i="90"/>
  <c r="CM38" i="90" s="1"/>
  <c r="CE39" i="90"/>
  <c r="CE40" i="90"/>
  <c r="CM40" i="90" s="1"/>
  <c r="CE41" i="90"/>
  <c r="CM41" i="90" s="1"/>
  <c r="CE42" i="90"/>
  <c r="CM42" i="90" s="1"/>
  <c r="CE43" i="90"/>
  <c r="CM43" i="90" s="1"/>
  <c r="CE44" i="90"/>
  <c r="CM44" i="90" s="1"/>
  <c r="CE45" i="90"/>
  <c r="CM45" i="90" s="1"/>
  <c r="CE46" i="90"/>
  <c r="CM46" i="90" s="1"/>
  <c r="CE47" i="90"/>
  <c r="CM47" i="90" s="1"/>
  <c r="CE48" i="90"/>
  <c r="CM48" i="90" s="1"/>
  <c r="CE49" i="90"/>
  <c r="CM49" i="90" s="1"/>
  <c r="CE50" i="90"/>
  <c r="CM50" i="90" s="1"/>
  <c r="CE51" i="90"/>
  <c r="CE52" i="90"/>
  <c r="CM52" i="90" s="1"/>
  <c r="CE53" i="90"/>
  <c r="CM53" i="90" s="1"/>
  <c r="CE54" i="90"/>
  <c r="CM54" i="90" s="1"/>
  <c r="CE55" i="90"/>
  <c r="CM55" i="90" s="1"/>
  <c r="CE56" i="90"/>
  <c r="CM56" i="90" s="1"/>
  <c r="CE57" i="90"/>
  <c r="CM57" i="90" s="1"/>
  <c r="CE58" i="90"/>
  <c r="CM58" i="90" s="1"/>
  <c r="CE59" i="90"/>
  <c r="CE60" i="90"/>
  <c r="CM60" i="90" s="1"/>
  <c r="CE61" i="90"/>
  <c r="CM61" i="90" s="1"/>
  <c r="CE62" i="90"/>
  <c r="CM62" i="90" s="1"/>
  <c r="CE63" i="90"/>
  <c r="CM63" i="90" s="1"/>
  <c r="CE64" i="90"/>
  <c r="CM64" i="90" s="1"/>
  <c r="CE65" i="90"/>
  <c r="CM65" i="90" s="1"/>
  <c r="CE66" i="90"/>
  <c r="CM66" i="90" s="1"/>
  <c r="CE67" i="90"/>
  <c r="CE68" i="90"/>
  <c r="CM68" i="90" s="1"/>
  <c r="CE69" i="90"/>
  <c r="CM69" i="90" s="1"/>
  <c r="CE70" i="90"/>
  <c r="CM70" i="90" s="1"/>
  <c r="CE71" i="90"/>
  <c r="CM71" i="90" s="1"/>
  <c r="CE72" i="90"/>
  <c r="CM72" i="90" s="1"/>
  <c r="CE73" i="90"/>
  <c r="CM73" i="90" s="1"/>
  <c r="CE74" i="90"/>
  <c r="CM74" i="90" s="1"/>
  <c r="CE75" i="90"/>
  <c r="CM75" i="90" s="1"/>
  <c r="CE76" i="90"/>
  <c r="CM76" i="90" s="1"/>
  <c r="CE77" i="90"/>
  <c r="CM77" i="90" s="1"/>
  <c r="CE78" i="90"/>
  <c r="CM78" i="90" s="1"/>
  <c r="CE79" i="90"/>
  <c r="CE80" i="90"/>
  <c r="CM80" i="90" s="1"/>
  <c r="CE81" i="90"/>
  <c r="CE82" i="90"/>
  <c r="CM82" i="90" s="1"/>
  <c r="CE83" i="90"/>
  <c r="CM83" i="90" s="1"/>
  <c r="CE84" i="90"/>
  <c r="CM84" i="90" s="1"/>
  <c r="CE85" i="90"/>
  <c r="CM85" i="90" s="1"/>
  <c r="CE86" i="90"/>
  <c r="CM86" i="90" s="1"/>
  <c r="CE87" i="90"/>
  <c r="CE88" i="90"/>
  <c r="CM88" i="90" s="1"/>
  <c r="CE89" i="90"/>
  <c r="CE90" i="90"/>
  <c r="CM90" i="90" s="1"/>
  <c r="CE91" i="90"/>
  <c r="CM91" i="90" s="1"/>
  <c r="CE92" i="90"/>
  <c r="CM92" i="90" s="1"/>
  <c r="CE93" i="90"/>
  <c r="CE94" i="90"/>
  <c r="CM94" i="90" s="1"/>
  <c r="CE95" i="90"/>
  <c r="CE96" i="90"/>
  <c r="CM96" i="90" s="1"/>
  <c r="CE97" i="90"/>
  <c r="CM97" i="90" s="1"/>
  <c r="CE98" i="90"/>
  <c r="CM98" i="90" s="1"/>
  <c r="CE99" i="90"/>
  <c r="CM99" i="90" s="1"/>
  <c r="CE100" i="90"/>
  <c r="CM100" i="90" s="1"/>
  <c r="CE101" i="90"/>
  <c r="CM101" i="90" s="1"/>
  <c r="CE102" i="90"/>
  <c r="CM102" i="90" s="1"/>
  <c r="CE103" i="90"/>
  <c r="CE104" i="90"/>
  <c r="CM104" i="90" s="1"/>
  <c r="CE105" i="90"/>
  <c r="CM105" i="90" s="1"/>
  <c r="CE106" i="90"/>
  <c r="CM106" i="90" s="1"/>
  <c r="CE107" i="90"/>
  <c r="CM107" i="90" s="1"/>
  <c r="CE108" i="90"/>
  <c r="CM108" i="90" s="1"/>
  <c r="CE109" i="90"/>
  <c r="CE110" i="90"/>
  <c r="CM110" i="90" s="1"/>
  <c r="CE111" i="90"/>
  <c r="CM111" i="90" s="1"/>
  <c r="CE112" i="90"/>
  <c r="CM112" i="90" s="1"/>
  <c r="CE113" i="90"/>
  <c r="CM113" i="90" s="1"/>
  <c r="CE114" i="90"/>
  <c r="CM114" i="90" s="1"/>
  <c r="CE115" i="90"/>
  <c r="CE116" i="90"/>
  <c r="CM116" i="90" s="1"/>
  <c r="CE117" i="90"/>
  <c r="CM117" i="90" s="1"/>
  <c r="CE118" i="90"/>
  <c r="CM118" i="90" s="1"/>
  <c r="CE119" i="90"/>
  <c r="CM119" i="90" s="1"/>
  <c r="CE120" i="90"/>
  <c r="CM120" i="90" s="1"/>
  <c r="CE121" i="90"/>
  <c r="CM121" i="90" s="1"/>
  <c r="CE122" i="90"/>
  <c r="CM122" i="90" s="1"/>
  <c r="CE123" i="90"/>
  <c r="CE124" i="90"/>
  <c r="CM124" i="90" s="1"/>
  <c r="CE125" i="90"/>
  <c r="CM125" i="90" s="1"/>
  <c r="CE126" i="90"/>
  <c r="CM126" i="90" s="1"/>
  <c r="CE127" i="90"/>
  <c r="CM127" i="90" s="1"/>
  <c r="CE128" i="90"/>
  <c r="CM128" i="90" s="1"/>
  <c r="CE129" i="90"/>
  <c r="CE130" i="90"/>
  <c r="CM130" i="90" s="1"/>
  <c r="CE131" i="90"/>
  <c r="CM131" i="90" s="1"/>
  <c r="CE132" i="90"/>
  <c r="CM132" i="90" s="1"/>
  <c r="CE133" i="90"/>
  <c r="CE134" i="90"/>
  <c r="CM134" i="90" s="1"/>
  <c r="CE135" i="90"/>
  <c r="CM135" i="90" s="1"/>
  <c r="CE136" i="90"/>
  <c r="CE137" i="90"/>
  <c r="CM137" i="90" s="1"/>
  <c r="CE138" i="90"/>
  <c r="CM138" i="90" s="1"/>
  <c r="CE139" i="90"/>
  <c r="CM139" i="90" s="1"/>
  <c r="CE140" i="90"/>
  <c r="CE141" i="90"/>
  <c r="CM141" i="90" s="1"/>
  <c r="CE142" i="90"/>
  <c r="CM142" i="90" s="1"/>
  <c r="CE143" i="90"/>
  <c r="CM143" i="90" s="1"/>
  <c r="CE144" i="90"/>
  <c r="CM144" i="90" s="1"/>
  <c r="CE145" i="90"/>
  <c r="CE146" i="90"/>
  <c r="CM146" i="90" s="1"/>
  <c r="CE147" i="90"/>
  <c r="CM147" i="90" s="1"/>
  <c r="CE148" i="90"/>
  <c r="CM148" i="90" s="1"/>
  <c r="CE149" i="90"/>
  <c r="CM149" i="90" s="1"/>
  <c r="CE150" i="90"/>
  <c r="CM150" i="90" s="1"/>
  <c r="CE151" i="90"/>
  <c r="CM151" i="90" s="1"/>
  <c r="CE152" i="90"/>
  <c r="CE153" i="90"/>
  <c r="CM153" i="90" s="1"/>
  <c r="CE154" i="90"/>
  <c r="CM154" i="90" s="1"/>
  <c r="CE155" i="90"/>
  <c r="CM155" i="90" s="1"/>
  <c r="CE156" i="90"/>
  <c r="CE157" i="90"/>
  <c r="CE158" i="90"/>
  <c r="CM158" i="90" s="1"/>
  <c r="CE159" i="90"/>
  <c r="CM159" i="90" s="1"/>
  <c r="CE160" i="90"/>
  <c r="CM160" i="90" s="1"/>
  <c r="CE161" i="90"/>
  <c r="CM161" i="90" s="1"/>
  <c r="CE162" i="90"/>
  <c r="CM162" i="90" s="1"/>
  <c r="CE163" i="90"/>
  <c r="CM163" i="90" s="1"/>
  <c r="CE164" i="90"/>
  <c r="CE165" i="90"/>
  <c r="CM165" i="90" s="1"/>
  <c r="CE166" i="90"/>
  <c r="CM166" i="90" s="1"/>
  <c r="CE167" i="90"/>
  <c r="CM167" i="90" s="1"/>
  <c r="CE168" i="90"/>
  <c r="CE169" i="90"/>
  <c r="CM169" i="90" s="1"/>
  <c r="CE170" i="90"/>
  <c r="CM170" i="90" s="1"/>
  <c r="CE171" i="90"/>
  <c r="CM171" i="90" s="1"/>
  <c r="CE172" i="90"/>
  <c r="CE173" i="90"/>
  <c r="CM173" i="90" s="1"/>
  <c r="CE174" i="90"/>
  <c r="CM174" i="90" s="1"/>
  <c r="CE175" i="90"/>
  <c r="CM175" i="90" s="1"/>
  <c r="CE176" i="90"/>
  <c r="CM176" i="90" s="1"/>
  <c r="CE177" i="90"/>
  <c r="CM177" i="90" s="1"/>
  <c r="CE178" i="90"/>
  <c r="CM178" i="90" s="1"/>
  <c r="CE179" i="90"/>
  <c r="CM179" i="90" s="1"/>
  <c r="CE180" i="90"/>
  <c r="CM180" i="90" s="1"/>
  <c r="CE181" i="90"/>
  <c r="CE182" i="90"/>
  <c r="CM182" i="90" s="1"/>
  <c r="CE183" i="90"/>
  <c r="CM183" i="90" s="1"/>
  <c r="CE184" i="90"/>
  <c r="CE185" i="90"/>
  <c r="CM185" i="90" s="1"/>
  <c r="CE186" i="90"/>
  <c r="CM186" i="90" s="1"/>
  <c r="CE187" i="90"/>
  <c r="CM187" i="90" s="1"/>
  <c r="CE188" i="90"/>
  <c r="CE189" i="90"/>
  <c r="CM189" i="90" s="1"/>
  <c r="CE190" i="90"/>
  <c r="CM190" i="90" s="1"/>
  <c r="CE191" i="90"/>
  <c r="CM191" i="90" s="1"/>
  <c r="CE192" i="90"/>
  <c r="CM192" i="90" s="1"/>
  <c r="CE193" i="90"/>
  <c r="CM193" i="90" s="1"/>
  <c r="CE194" i="90"/>
  <c r="CM194" i="90" s="1"/>
  <c r="CE195" i="90"/>
  <c r="CM195" i="90" s="1"/>
  <c r="CE196" i="90"/>
  <c r="CM196" i="90" s="1"/>
  <c r="CE197" i="90"/>
  <c r="CM197" i="90" s="1"/>
  <c r="CE198" i="90"/>
  <c r="CM198" i="90" s="1"/>
  <c r="CE199" i="90"/>
  <c r="CM199" i="90" s="1"/>
  <c r="CE200" i="90"/>
  <c r="CE201" i="90"/>
  <c r="CM201" i="90" s="1"/>
  <c r="CE202" i="90"/>
  <c r="CM202" i="90" s="1"/>
  <c r="CE203" i="90"/>
  <c r="CM203" i="90" s="1"/>
  <c r="CE204" i="90"/>
  <c r="CE205" i="90"/>
  <c r="CE206" i="90"/>
  <c r="CM206" i="90" s="1"/>
  <c r="CE207" i="90"/>
  <c r="CM207" i="90" s="1"/>
  <c r="CE208" i="90"/>
  <c r="CM208" i="90" s="1"/>
  <c r="CE209" i="90"/>
  <c r="CM209" i="90" s="1"/>
  <c r="CE210" i="90"/>
  <c r="CM210" i="90" s="1"/>
  <c r="CE211" i="90"/>
  <c r="CM211" i="90" s="1"/>
  <c r="CE212" i="90"/>
  <c r="CM212" i="90" s="1"/>
  <c r="CE213" i="90"/>
  <c r="CM213" i="90" s="1"/>
  <c r="CE214" i="90"/>
  <c r="CM214" i="90" s="1"/>
  <c r="CE215" i="90"/>
  <c r="CM215" i="90" s="1"/>
  <c r="CE216" i="90"/>
  <c r="CE217" i="90"/>
  <c r="CM217" i="90" s="1"/>
  <c r="CE218" i="90"/>
  <c r="CM218" i="90" s="1"/>
  <c r="CE219" i="90"/>
  <c r="CM219" i="90" s="1"/>
  <c r="CE220" i="90"/>
  <c r="CE221" i="90"/>
  <c r="CM221" i="90" s="1"/>
  <c r="CE222" i="90"/>
  <c r="CM222" i="90" s="1"/>
  <c r="CE223" i="90"/>
  <c r="CM223" i="90" s="1"/>
  <c r="CE224" i="90"/>
  <c r="CM224" i="90" s="1"/>
  <c r="CE225" i="90"/>
  <c r="CE226" i="90"/>
  <c r="CM226" i="90" s="1"/>
  <c r="CE227" i="90"/>
  <c r="CM227" i="90" s="1"/>
  <c r="CE228" i="90"/>
  <c r="CM228" i="90" s="1"/>
  <c r="CE229" i="90"/>
  <c r="CM229" i="90" s="1"/>
  <c r="CE230" i="90"/>
  <c r="CM230" i="90" s="1"/>
  <c r="CE231" i="90"/>
  <c r="CM231" i="90" s="1"/>
  <c r="CE232" i="90"/>
  <c r="CE233" i="90"/>
  <c r="CM233" i="90" s="1"/>
  <c r="CE234" i="90"/>
  <c r="CM234" i="90" s="1"/>
  <c r="CE235" i="90"/>
  <c r="CM235" i="90" s="1"/>
  <c r="CE236" i="90"/>
  <c r="CE237" i="90"/>
  <c r="CM237" i="90" s="1"/>
  <c r="CE238" i="90"/>
  <c r="CM238" i="90" s="1"/>
  <c r="CE239" i="90"/>
  <c r="CM239" i="90" s="1"/>
  <c r="CE240" i="90"/>
  <c r="CM240" i="90" s="1"/>
  <c r="CE241" i="90"/>
  <c r="CM241" i="90" s="1"/>
  <c r="CE242" i="90"/>
  <c r="CM242" i="90" s="1"/>
  <c r="CE243" i="90"/>
  <c r="CM243" i="90" s="1"/>
  <c r="CE244" i="90"/>
  <c r="CM244" i="90" s="1"/>
  <c r="CE245" i="90"/>
  <c r="CM245" i="90" s="1"/>
  <c r="CE246" i="90"/>
  <c r="CM246" i="90" s="1"/>
  <c r="CE247" i="90"/>
  <c r="CM247" i="90" s="1"/>
  <c r="CE248" i="90"/>
  <c r="CE249" i="90"/>
  <c r="CM249" i="90" s="1"/>
  <c r="CE250" i="90"/>
  <c r="CM250" i="90" s="1"/>
  <c r="CE251" i="90"/>
  <c r="CM251" i="90" s="1"/>
  <c r="CE252" i="90"/>
  <c r="CE253" i="90"/>
  <c r="CE254" i="90"/>
  <c r="CM254" i="90" s="1"/>
  <c r="CF6" i="90"/>
  <c r="CF7" i="90"/>
  <c r="CF8" i="90"/>
  <c r="CF10" i="90"/>
  <c r="CF11" i="90"/>
  <c r="CF12" i="90"/>
  <c r="CF14" i="90"/>
  <c r="CF18" i="90"/>
  <c r="CF19" i="90"/>
  <c r="CF22" i="90"/>
  <c r="CF26" i="90"/>
  <c r="CF27" i="90"/>
  <c r="CF30" i="90"/>
  <c r="CF34" i="90"/>
  <c r="CF35" i="90"/>
  <c r="CF38" i="90"/>
  <c r="CF40" i="90"/>
  <c r="CF42" i="90"/>
  <c r="CF43" i="90"/>
  <c r="CF44" i="90"/>
  <c r="CF46" i="90"/>
  <c r="CF47" i="90"/>
  <c r="CF50" i="90"/>
  <c r="CF54" i="90"/>
  <c r="CF55" i="90"/>
  <c r="CF58" i="90"/>
  <c r="CF62" i="90"/>
  <c r="CF63" i="90"/>
  <c r="CF66" i="90"/>
  <c r="CF70" i="90"/>
  <c r="CF71" i="90"/>
  <c r="CF72" i="90"/>
  <c r="CF74" i="90"/>
  <c r="CF75" i="90"/>
  <c r="CF76" i="90"/>
  <c r="CF78" i="90"/>
  <c r="CF82" i="90"/>
  <c r="CF83" i="90"/>
  <c r="CF86" i="90"/>
  <c r="CF90" i="90"/>
  <c r="CF91" i="90"/>
  <c r="CF94" i="90"/>
  <c r="CF98" i="90"/>
  <c r="CF99" i="90"/>
  <c r="CF102" i="90"/>
  <c r="CF104" i="90"/>
  <c r="CF106" i="90"/>
  <c r="CF107" i="90"/>
  <c r="CF108" i="90"/>
  <c r="CF110" i="90"/>
  <c r="CF111" i="90"/>
  <c r="CF114" i="90"/>
  <c r="CF118" i="90"/>
  <c r="CF122" i="90"/>
  <c r="CF126" i="90"/>
  <c r="CF127" i="90"/>
  <c r="CF130" i="90"/>
  <c r="CF131" i="90"/>
  <c r="CF134" i="90"/>
  <c r="CF135" i="90"/>
  <c r="CF136" i="90"/>
  <c r="CF138" i="90"/>
  <c r="CF139" i="90"/>
  <c r="CF140" i="90"/>
  <c r="CF142" i="90"/>
  <c r="CF143" i="90"/>
  <c r="CF146" i="90"/>
  <c r="CF147" i="90"/>
  <c r="CF150" i="90"/>
  <c r="CF151" i="90"/>
  <c r="CF154" i="90"/>
  <c r="CF155" i="90"/>
  <c r="CF158" i="90"/>
  <c r="CF159" i="90"/>
  <c r="CF162" i="90"/>
  <c r="CF163" i="90"/>
  <c r="CF166" i="90"/>
  <c r="CF167" i="90"/>
  <c r="CF168" i="90"/>
  <c r="CF170" i="90"/>
  <c r="CF172" i="90"/>
  <c r="CF174" i="90"/>
  <c r="CF175" i="90"/>
  <c r="CF178" i="90"/>
  <c r="CF179" i="90"/>
  <c r="CF182" i="90"/>
  <c r="CF183" i="90"/>
  <c r="CF186" i="90"/>
  <c r="CF187" i="90"/>
  <c r="CF190" i="90"/>
  <c r="CF191" i="90"/>
  <c r="CF194" i="90"/>
  <c r="CF195" i="90"/>
  <c r="CF198" i="90"/>
  <c r="CF199" i="90"/>
  <c r="CF200" i="90"/>
  <c r="CF202" i="90"/>
  <c r="CF204" i="90"/>
  <c r="CF206" i="90"/>
  <c r="CF207" i="90"/>
  <c r="CF210" i="90"/>
  <c r="CF211" i="90"/>
  <c r="CF214" i="90"/>
  <c r="CF215" i="90"/>
  <c r="CF218" i="90"/>
  <c r="CF219" i="90"/>
  <c r="CF222" i="90"/>
  <c r="CF223" i="90"/>
  <c r="CF226" i="90"/>
  <c r="CF230" i="90"/>
  <c r="CF232" i="90"/>
  <c r="CF234" i="90"/>
  <c r="CF236" i="90"/>
  <c r="CF238" i="90"/>
  <c r="CF239" i="90"/>
  <c r="CF242" i="90"/>
  <c r="CF246" i="90"/>
  <c r="CF247" i="90"/>
  <c r="CF250" i="90"/>
  <c r="CF254" i="90"/>
  <c r="CG6" i="90"/>
  <c r="CG7" i="90"/>
  <c r="CG10" i="90"/>
  <c r="CG11" i="90"/>
  <c r="CG14" i="90"/>
  <c r="CG15" i="90"/>
  <c r="CG18" i="90"/>
  <c r="CG19" i="90"/>
  <c r="CG22" i="90"/>
  <c r="CG23" i="90"/>
  <c r="CG26" i="90"/>
  <c r="CG27" i="90"/>
  <c r="CG30" i="90"/>
  <c r="CG31" i="90"/>
  <c r="CG34" i="90"/>
  <c r="CG35" i="90"/>
  <c r="CG38" i="90"/>
  <c r="CG39" i="90"/>
  <c r="CG42" i="90"/>
  <c r="CG43" i="90"/>
  <c r="CG46" i="90"/>
  <c r="CG47" i="90"/>
  <c r="CG50" i="90"/>
  <c r="CG51" i="90"/>
  <c r="CG54" i="90"/>
  <c r="CG55" i="90"/>
  <c r="CG58" i="90"/>
  <c r="CG59" i="90"/>
  <c r="CG62" i="90"/>
  <c r="CG63" i="90"/>
  <c r="CG66" i="90"/>
  <c r="CG67" i="90"/>
  <c r="CG70" i="90"/>
  <c r="CG71" i="90"/>
  <c r="CG74" i="90"/>
  <c r="CG75" i="90"/>
  <c r="CG78" i="90"/>
  <c r="CG79" i="90"/>
  <c r="CG82" i="90"/>
  <c r="CG83" i="90"/>
  <c r="CG86" i="90"/>
  <c r="CG87" i="90"/>
  <c r="CG90" i="90"/>
  <c r="CG91" i="90"/>
  <c r="CG93" i="90"/>
  <c r="CG94" i="90"/>
  <c r="CG95" i="90"/>
  <c r="CG98" i="90"/>
  <c r="CG99" i="90"/>
  <c r="CG102" i="90"/>
  <c r="CG103" i="90"/>
  <c r="CG106" i="90"/>
  <c r="CG107" i="90"/>
  <c r="CG110" i="90"/>
  <c r="CG111" i="90"/>
  <c r="CG114" i="90"/>
  <c r="CG115" i="90"/>
  <c r="CG118" i="90"/>
  <c r="CG119" i="90"/>
  <c r="CG122" i="90"/>
  <c r="CG123" i="90"/>
  <c r="CG126" i="90"/>
  <c r="CG127" i="90"/>
  <c r="CG130" i="90"/>
  <c r="CG131" i="90"/>
  <c r="CG134" i="90"/>
  <c r="CG135" i="90"/>
  <c r="CG138" i="90"/>
  <c r="CG139" i="90"/>
  <c r="CG142" i="90"/>
  <c r="CG143" i="90"/>
  <c r="CG146" i="90"/>
  <c r="CG147" i="90"/>
  <c r="CG150" i="90"/>
  <c r="CG151" i="90"/>
  <c r="CG154" i="90"/>
  <c r="CG155" i="90"/>
  <c r="CG158" i="90"/>
  <c r="CG159" i="90"/>
  <c r="CG162" i="90"/>
  <c r="CG163" i="90"/>
  <c r="CG166" i="90"/>
  <c r="CG167" i="90"/>
  <c r="CG170" i="90"/>
  <c r="CG171" i="90"/>
  <c r="CG174" i="90"/>
  <c r="CG175" i="90"/>
  <c r="CG178" i="90"/>
  <c r="CG179" i="90"/>
  <c r="CG182" i="90"/>
  <c r="CG183" i="90"/>
  <c r="CG186" i="90"/>
  <c r="CG187" i="90"/>
  <c r="CG190" i="90"/>
  <c r="CG191" i="90"/>
  <c r="CG194" i="90"/>
  <c r="CG195" i="90"/>
  <c r="CG198" i="90"/>
  <c r="CG199" i="90"/>
  <c r="CG202" i="90"/>
  <c r="CG203" i="90"/>
  <c r="CG206" i="90"/>
  <c r="CG207" i="90"/>
  <c r="CG210" i="90"/>
  <c r="CG211" i="90"/>
  <c r="CG214" i="90"/>
  <c r="CG215" i="90"/>
  <c r="CG218" i="90"/>
  <c r="CG219" i="90"/>
  <c r="CG222" i="90"/>
  <c r="CG223" i="90"/>
  <c r="CG226" i="90"/>
  <c r="CG227" i="90"/>
  <c r="CG230" i="90"/>
  <c r="CG234" i="90"/>
  <c r="CG235" i="90"/>
  <c r="CG238" i="90"/>
  <c r="CG242" i="90"/>
  <c r="CG243" i="90"/>
  <c r="CG246" i="90"/>
  <c r="CG250" i="90"/>
  <c r="CG251" i="90"/>
  <c r="CG254" i="90"/>
  <c r="CI6" i="90"/>
  <c r="CI7" i="90"/>
  <c r="CI9" i="90"/>
  <c r="CJ7" i="90"/>
  <c r="E48" i="90"/>
  <c r="CI18" i="90" s="1"/>
  <c r="E49" i="90"/>
  <c r="CI22" i="90" s="1"/>
  <c r="E50" i="90"/>
  <c r="CI27" i="90" s="1"/>
  <c r="E51" i="90"/>
  <c r="CI30" i="90" s="1"/>
  <c r="E52" i="90"/>
  <c r="CI35" i="90" s="1"/>
  <c r="E53" i="90"/>
  <c r="CI42" i="90" s="1"/>
  <c r="E54" i="90"/>
  <c r="CI46" i="90" s="1"/>
  <c r="E55" i="90"/>
  <c r="CI50" i="90" s="1"/>
  <c r="E56" i="90"/>
  <c r="CI57" i="90" s="1"/>
  <c r="E57" i="90"/>
  <c r="CI63" i="90" s="1"/>
  <c r="E58" i="90"/>
  <c r="CI67" i="90" s="1"/>
  <c r="E59" i="90"/>
  <c r="CI71" i="90" s="1"/>
  <c r="E60" i="90"/>
  <c r="CI78" i="90" s="1"/>
  <c r="E61" i="90"/>
  <c r="CI82" i="90" s="1"/>
  <c r="E62" i="90"/>
  <c r="CI86" i="90" s="1"/>
  <c r="E63" i="90"/>
  <c r="CI91" i="90" s="1"/>
  <c r="E64" i="90"/>
  <c r="CI99" i="90" s="1"/>
  <c r="E65" i="90"/>
  <c r="CI102" i="90" s="1"/>
  <c r="E66" i="90"/>
  <c r="CI106" i="90" s="1"/>
  <c r="E67" i="90"/>
  <c r="CI114" i="90" s="1"/>
  <c r="E68" i="90"/>
  <c r="CI118" i="90" s="1"/>
  <c r="CI121" i="90"/>
  <c r="CI127" i="90"/>
  <c r="CI130" i="90"/>
  <c r="CI143" i="90"/>
  <c r="CI147" i="90"/>
  <c r="CI151" i="90"/>
  <c r="CI167" i="90"/>
  <c r="CI170" i="90"/>
  <c r="CI183" i="90"/>
  <c r="CI187" i="90"/>
  <c r="CI191" i="90"/>
  <c r="CI202" i="90"/>
  <c r="CI207" i="90"/>
  <c r="CI210" i="90"/>
  <c r="CI223" i="90"/>
  <c r="CI227" i="90"/>
  <c r="CI231" i="90"/>
  <c r="CI242" i="90"/>
  <c r="CI247" i="90"/>
  <c r="CI250" i="90"/>
  <c r="E47" i="90"/>
  <c r="CI14" i="90" s="1"/>
  <c r="CI162" i="90" l="1"/>
  <c r="CI215" i="90"/>
  <c r="CI199" i="90"/>
  <c r="CI175" i="90"/>
  <c r="CI159" i="90"/>
  <c r="CI135" i="90"/>
  <c r="CI174" i="90"/>
  <c r="CI34" i="90"/>
  <c r="CI119" i="90"/>
  <c r="CI254" i="90"/>
  <c r="CI79" i="90"/>
  <c r="CI198" i="90"/>
  <c r="CI58" i="90"/>
  <c r="CI105" i="90"/>
  <c r="CI239" i="90"/>
  <c r="CI238" i="90"/>
  <c r="CI214" i="90"/>
  <c r="CJ214" i="90" s="1"/>
  <c r="CI186" i="90"/>
  <c r="CJ186" i="90" s="1"/>
  <c r="CI158" i="90"/>
  <c r="CI134" i="90"/>
  <c r="CL134" i="90" s="1"/>
  <c r="CI111" i="90"/>
  <c r="CN111" i="90" s="1"/>
  <c r="CI90" i="90"/>
  <c r="CI70" i="90"/>
  <c r="CN70" i="90" s="1"/>
  <c r="CI47" i="90"/>
  <c r="CI19" i="90"/>
  <c r="CN19" i="90" s="1"/>
  <c r="CG247" i="90"/>
  <c r="CG239" i="90"/>
  <c r="CG231" i="90"/>
  <c r="CF251" i="90"/>
  <c r="CF243" i="90"/>
  <c r="CI226" i="90"/>
  <c r="CI146" i="90"/>
  <c r="CI230" i="90"/>
  <c r="CL230" i="90" s="1"/>
  <c r="CI206" i="90"/>
  <c r="CI178" i="90"/>
  <c r="CI150" i="90"/>
  <c r="CI126" i="90"/>
  <c r="CJ126" i="90" s="1"/>
  <c r="CI107" i="90"/>
  <c r="CI87" i="90"/>
  <c r="CI66" i="90"/>
  <c r="CI38" i="90"/>
  <c r="CI15" i="90"/>
  <c r="CF227" i="90"/>
  <c r="CI246" i="90"/>
  <c r="CL246" i="90" s="1"/>
  <c r="CI218" i="90"/>
  <c r="CJ218" i="90" s="1"/>
  <c r="CI190" i="90"/>
  <c r="CI166" i="90"/>
  <c r="CI138" i="90"/>
  <c r="CJ138" i="90" s="1"/>
  <c r="CI115" i="90"/>
  <c r="CJ115" i="90" s="1"/>
  <c r="CI98" i="90"/>
  <c r="CI75" i="90"/>
  <c r="CI55" i="90"/>
  <c r="CJ55" i="90" s="1"/>
  <c r="CI26" i="90"/>
  <c r="CL26" i="90" s="1"/>
  <c r="CF231" i="90"/>
  <c r="CN199" i="90"/>
  <c r="CL199" i="90"/>
  <c r="CJ199" i="90"/>
  <c r="CN159" i="90"/>
  <c r="CL159" i="90"/>
  <c r="CJ159" i="90"/>
  <c r="CN118" i="90"/>
  <c r="CJ118" i="90"/>
  <c r="CL118" i="90"/>
  <c r="CJ78" i="90"/>
  <c r="CN78" i="90"/>
  <c r="CL78" i="90"/>
  <c r="CN35" i="90"/>
  <c r="CL35" i="90"/>
  <c r="CJ35" i="90"/>
  <c r="CJ18" i="90"/>
  <c r="CN18" i="90"/>
  <c r="CL18" i="90"/>
  <c r="CN231" i="90"/>
  <c r="CL231" i="90"/>
  <c r="CJ231" i="90"/>
  <c r="CN170" i="90"/>
  <c r="CL170" i="90"/>
  <c r="CJ170" i="90"/>
  <c r="CJ130" i="90"/>
  <c r="CN130" i="90"/>
  <c r="CL130" i="90"/>
  <c r="CJ114" i="90"/>
  <c r="CN114" i="90"/>
  <c r="CL114" i="90"/>
  <c r="CN91" i="90"/>
  <c r="CL91" i="90"/>
  <c r="CJ91" i="90"/>
  <c r="CN71" i="90"/>
  <c r="CL71" i="90"/>
  <c r="CJ71" i="90"/>
  <c r="CJ50" i="90"/>
  <c r="CN50" i="90"/>
  <c r="CL50" i="90"/>
  <c r="CJ30" i="90"/>
  <c r="CN30" i="90"/>
  <c r="CL30" i="90"/>
  <c r="CN239" i="90"/>
  <c r="CL239" i="90"/>
  <c r="CJ239" i="90"/>
  <c r="CN175" i="90"/>
  <c r="CL175" i="90"/>
  <c r="CJ175" i="90"/>
  <c r="CN135" i="90"/>
  <c r="CL135" i="90"/>
  <c r="CJ135" i="90"/>
  <c r="CJ99" i="90"/>
  <c r="CN99" i="90"/>
  <c r="CL99" i="90"/>
  <c r="CJ57" i="90"/>
  <c r="CN250" i="90"/>
  <c r="CL250" i="90"/>
  <c r="CJ250" i="90"/>
  <c r="CN191" i="90"/>
  <c r="CL191" i="90"/>
  <c r="CJ191" i="90"/>
  <c r="CN247" i="90"/>
  <c r="CL247" i="90"/>
  <c r="CJ247" i="90"/>
  <c r="CN207" i="90"/>
  <c r="CL207" i="90"/>
  <c r="CJ207" i="90"/>
  <c r="CN187" i="90"/>
  <c r="CJ187" i="90"/>
  <c r="CL187" i="90"/>
  <c r="CN167" i="90"/>
  <c r="CL167" i="90"/>
  <c r="CJ167" i="90"/>
  <c r="CN147" i="90"/>
  <c r="CL147" i="90"/>
  <c r="CJ147" i="90"/>
  <c r="CN127" i="90"/>
  <c r="CL127" i="90"/>
  <c r="CJ127" i="90"/>
  <c r="CN106" i="90"/>
  <c r="CL106" i="90"/>
  <c r="CJ106" i="90"/>
  <c r="CN86" i="90"/>
  <c r="CL86" i="90"/>
  <c r="CJ86" i="90"/>
  <c r="CJ67" i="90"/>
  <c r="CJ46" i="90"/>
  <c r="CN46" i="90"/>
  <c r="CL46" i="90"/>
  <c r="CN27" i="90"/>
  <c r="CJ27" i="90"/>
  <c r="CL27" i="90"/>
  <c r="CN215" i="90"/>
  <c r="CL215" i="90"/>
  <c r="CJ215" i="90"/>
  <c r="CJ210" i="90"/>
  <c r="CN210" i="90"/>
  <c r="CL210" i="90"/>
  <c r="CN151" i="90"/>
  <c r="CL151" i="90"/>
  <c r="CJ151" i="90"/>
  <c r="CN227" i="90"/>
  <c r="CL227" i="90"/>
  <c r="CJ227" i="90"/>
  <c r="CJ14" i="90"/>
  <c r="CN14" i="90"/>
  <c r="CL14" i="90"/>
  <c r="CJ242" i="90"/>
  <c r="CN242" i="90"/>
  <c r="CL242" i="90"/>
  <c r="CN223" i="90"/>
  <c r="CL223" i="90"/>
  <c r="CJ223" i="90"/>
  <c r="CN202" i="90"/>
  <c r="CL202" i="90"/>
  <c r="CJ202" i="90"/>
  <c r="CN183" i="90"/>
  <c r="CL183" i="90"/>
  <c r="CJ183" i="90"/>
  <c r="CJ162" i="90"/>
  <c r="CN162" i="90"/>
  <c r="CL162" i="90"/>
  <c r="CN143" i="90"/>
  <c r="CL143" i="90"/>
  <c r="CJ143" i="90"/>
  <c r="CJ121" i="90"/>
  <c r="CN102" i="90"/>
  <c r="CJ102" i="90"/>
  <c r="CL102" i="90"/>
  <c r="CJ82" i="90"/>
  <c r="CN82" i="90"/>
  <c r="CL82" i="90"/>
  <c r="CN63" i="90"/>
  <c r="CL63" i="90"/>
  <c r="CJ63" i="90"/>
  <c r="CN42" i="90"/>
  <c r="CL42" i="90"/>
  <c r="CJ42" i="90"/>
  <c r="CN22" i="90"/>
  <c r="CL22" i="90"/>
  <c r="CJ22" i="90"/>
  <c r="CJ238" i="90"/>
  <c r="CN238" i="90"/>
  <c r="CL238" i="90"/>
  <c r="CJ190" i="90"/>
  <c r="CN190" i="90"/>
  <c r="CL190" i="90"/>
  <c r="CJ166" i="90"/>
  <c r="CN166" i="90"/>
  <c r="CJ150" i="90"/>
  <c r="CN150" i="90"/>
  <c r="CL126" i="90"/>
  <c r="CN90" i="90"/>
  <c r="CL90" i="90"/>
  <c r="CI83" i="90"/>
  <c r="CN55" i="90"/>
  <c r="CL55" i="90"/>
  <c r="CJ34" i="90"/>
  <c r="CN34" i="90"/>
  <c r="CL34" i="90"/>
  <c r="CN6" i="90"/>
  <c r="CL6" i="90"/>
  <c r="CI253" i="90"/>
  <c r="CM253" i="90"/>
  <c r="CI225" i="90"/>
  <c r="CM225" i="90"/>
  <c r="CL166" i="90"/>
  <c r="CJ90" i="90"/>
  <c r="CI251" i="90"/>
  <c r="CI243" i="90"/>
  <c r="CI235" i="90"/>
  <c r="CI219" i="90"/>
  <c r="CI211" i="90"/>
  <c r="CI203" i="90"/>
  <c r="CI195" i="90"/>
  <c r="CI179" i="90"/>
  <c r="CI171" i="90"/>
  <c r="CI163" i="90"/>
  <c r="CI155" i="90"/>
  <c r="CI139" i="90"/>
  <c r="CI131" i="90"/>
  <c r="CI123" i="90"/>
  <c r="CI110" i="90"/>
  <c r="CI103" i="90"/>
  <c r="CI95" i="90"/>
  <c r="CI89" i="90"/>
  <c r="CI74" i="90"/>
  <c r="CI59" i="90"/>
  <c r="CI54" i="90"/>
  <c r="CI39" i="90"/>
  <c r="CI31" i="90"/>
  <c r="CI25" i="90"/>
  <c r="CI10" i="90"/>
  <c r="CF235" i="90"/>
  <c r="CF171" i="90"/>
  <c r="CF119" i="90"/>
  <c r="CL119" i="90" s="1"/>
  <c r="CG252" i="90"/>
  <c r="CM252" i="90"/>
  <c r="CG248" i="90"/>
  <c r="CM248" i="90"/>
  <c r="CG236" i="90"/>
  <c r="CM236" i="90"/>
  <c r="CG232" i="90"/>
  <c r="CM232" i="90"/>
  <c r="CL75" i="90"/>
  <c r="CJ246" i="90"/>
  <c r="CN246" i="90"/>
  <c r="CI222" i="90"/>
  <c r="CJ198" i="90"/>
  <c r="CN198" i="90"/>
  <c r="CJ174" i="90"/>
  <c r="CN174" i="90"/>
  <c r="CL174" i="90"/>
  <c r="CI142" i="90"/>
  <c r="CJ119" i="90"/>
  <c r="CN119" i="90"/>
  <c r="CJ98" i="90"/>
  <c r="CN98" i="90"/>
  <c r="CL98" i="90"/>
  <c r="CN47" i="90"/>
  <c r="CL47" i="90"/>
  <c r="CN26" i="90"/>
  <c r="CI11" i="90"/>
  <c r="CL218" i="90"/>
  <c r="CJ178" i="90"/>
  <c r="CN178" i="90"/>
  <c r="CL178" i="90"/>
  <c r="CN138" i="90"/>
  <c r="CL138" i="90"/>
  <c r="CJ87" i="90"/>
  <c r="CJ66" i="90"/>
  <c r="CN66" i="90"/>
  <c r="CL66" i="90"/>
  <c r="CM123" i="90"/>
  <c r="CF123" i="90"/>
  <c r="CM115" i="90"/>
  <c r="CF115" i="90"/>
  <c r="CM103" i="90"/>
  <c r="CF103" i="90"/>
  <c r="CM95" i="90"/>
  <c r="CF95" i="90"/>
  <c r="CM87" i="90"/>
  <c r="CF87" i="90"/>
  <c r="CN87" i="90" s="1"/>
  <c r="CM79" i="90"/>
  <c r="CF79" i="90"/>
  <c r="CN79" i="90" s="1"/>
  <c r="CM67" i="90"/>
  <c r="CF67" i="90"/>
  <c r="CL67" i="90" s="1"/>
  <c r="CM59" i="90"/>
  <c r="CF59" i="90"/>
  <c r="CM51" i="90"/>
  <c r="CF51" i="90"/>
  <c r="CM39" i="90"/>
  <c r="CF39" i="90"/>
  <c r="CM31" i="90"/>
  <c r="CF31" i="90"/>
  <c r="CM23" i="90"/>
  <c r="CF23" i="90"/>
  <c r="CM15" i="90"/>
  <c r="CF15" i="90"/>
  <c r="CN15" i="90" s="1"/>
  <c r="CL198" i="90"/>
  <c r="CL70" i="90"/>
  <c r="CJ254" i="90"/>
  <c r="CN254" i="90"/>
  <c r="CL254" i="90"/>
  <c r="CN230" i="90"/>
  <c r="CJ206" i="90"/>
  <c r="CN206" i="90"/>
  <c r="CL206" i="90"/>
  <c r="CI182" i="90"/>
  <c r="CJ158" i="90"/>
  <c r="CN158" i="90"/>
  <c r="CL158" i="90"/>
  <c r="CJ134" i="90"/>
  <c r="CN134" i="90"/>
  <c r="CJ105" i="90"/>
  <c r="CI62" i="90"/>
  <c r="CI41" i="90"/>
  <c r="CJ19" i="90"/>
  <c r="CI234" i="90"/>
  <c r="CJ226" i="90"/>
  <c r="CN226" i="90"/>
  <c r="CL226" i="90"/>
  <c r="CI194" i="90"/>
  <c r="CN186" i="90"/>
  <c r="CL186" i="90"/>
  <c r="CI154" i="90"/>
  <c r="CJ146" i="90"/>
  <c r="CN146" i="90"/>
  <c r="CL146" i="90"/>
  <c r="CI122" i="90"/>
  <c r="CI94" i="90"/>
  <c r="CL79" i="90"/>
  <c r="CI73" i="90"/>
  <c r="CN58" i="90"/>
  <c r="CL58" i="90"/>
  <c r="CI51" i="90"/>
  <c r="CI43" i="90"/>
  <c r="CI23" i="90"/>
  <c r="CJ9" i="90"/>
  <c r="CJ79" i="90"/>
  <c r="CJ70" i="90"/>
  <c r="CJ58" i="90"/>
  <c r="CJ47" i="90"/>
  <c r="CJ26" i="90"/>
  <c r="CJ15" i="90"/>
  <c r="CJ6" i="90"/>
  <c r="CN7" i="90"/>
  <c r="CL7" i="90"/>
  <c r="CF203" i="90"/>
  <c r="CL150" i="90"/>
  <c r="CL107" i="90"/>
  <c r="CI205" i="90"/>
  <c r="CI193" i="90"/>
  <c r="CI181" i="90"/>
  <c r="CI177" i="90"/>
  <c r="CI169" i="90"/>
  <c r="CI157" i="90"/>
  <c r="CM157" i="90"/>
  <c r="CI145" i="90"/>
  <c r="CM145" i="90"/>
  <c r="CI133" i="90"/>
  <c r="CM133" i="90"/>
  <c r="CI129" i="90"/>
  <c r="CM129" i="90"/>
  <c r="CI109" i="90"/>
  <c r="CM109" i="90"/>
  <c r="CF93" i="90"/>
  <c r="CM93" i="90"/>
  <c r="CF89" i="90"/>
  <c r="CM89" i="90"/>
  <c r="CI81" i="90"/>
  <c r="CM81" i="90"/>
  <c r="CG220" i="90"/>
  <c r="CM220" i="90"/>
  <c r="CG216" i="90"/>
  <c r="CM216" i="90"/>
  <c r="CG204" i="90"/>
  <c r="CM204" i="90"/>
  <c r="CG200" i="90"/>
  <c r="CM200" i="90"/>
  <c r="CG188" i="90"/>
  <c r="CM188" i="90"/>
  <c r="CG184" i="90"/>
  <c r="CM184" i="90"/>
  <c r="CG172" i="90"/>
  <c r="CM172" i="90"/>
  <c r="CG168" i="90"/>
  <c r="CM168" i="90"/>
  <c r="CI164" i="90"/>
  <c r="CM164" i="90"/>
  <c r="CG156" i="90"/>
  <c r="CM156" i="90"/>
  <c r="CG152" i="90"/>
  <c r="CM152" i="90"/>
  <c r="CG140" i="90"/>
  <c r="CM140" i="90"/>
  <c r="CG136" i="90"/>
  <c r="CM136" i="90"/>
  <c r="CM205" i="90"/>
  <c r="CM181" i="90"/>
  <c r="CF241" i="90"/>
  <c r="CG241" i="90"/>
  <c r="CF229" i="90"/>
  <c r="CG229" i="90"/>
  <c r="CF217" i="90"/>
  <c r="CG217" i="90"/>
  <c r="CF209" i="90"/>
  <c r="CG209" i="90"/>
  <c r="CF197" i="90"/>
  <c r="CG197" i="90"/>
  <c r="CF185" i="90"/>
  <c r="CG185" i="90"/>
  <c r="CF173" i="90"/>
  <c r="CG173" i="90"/>
  <c r="CF161" i="90"/>
  <c r="CG161" i="90"/>
  <c r="CF149" i="90"/>
  <c r="CG149" i="90"/>
  <c r="CF137" i="90"/>
  <c r="CG137" i="90"/>
  <c r="CF125" i="90"/>
  <c r="CG125" i="90"/>
  <c r="CF113" i="90"/>
  <c r="CG113" i="90"/>
  <c r="CF101" i="90"/>
  <c r="CG101" i="90"/>
  <c r="CF73" i="90"/>
  <c r="CG73" i="90"/>
  <c r="CF61" i="90"/>
  <c r="CG61" i="90"/>
  <c r="CF49" i="90"/>
  <c r="CG49" i="90"/>
  <c r="CF37" i="90"/>
  <c r="CG37" i="90"/>
  <c r="CF25" i="90"/>
  <c r="CG25" i="90"/>
  <c r="CF17" i="90"/>
  <c r="CG17" i="90"/>
  <c r="CI241" i="90"/>
  <c r="CI209" i="90"/>
  <c r="CI197" i="90"/>
  <c r="CG240" i="90"/>
  <c r="CF240" i="90"/>
  <c r="CF228" i="90"/>
  <c r="CG228" i="90"/>
  <c r="CG192" i="90"/>
  <c r="CF192" i="90"/>
  <c r="CF180" i="90"/>
  <c r="CG180" i="90"/>
  <c r="CF148" i="90"/>
  <c r="CG148" i="90"/>
  <c r="CG128" i="90"/>
  <c r="CF128" i="90"/>
  <c r="CG120" i="90"/>
  <c r="CI120" i="90"/>
  <c r="CG112" i="90"/>
  <c r="CF112" i="90"/>
  <c r="CI112" i="90"/>
  <c r="CG104" i="90"/>
  <c r="CI104" i="90"/>
  <c r="CG96" i="90"/>
  <c r="CF96" i="90"/>
  <c r="CI96" i="90"/>
  <c r="CJ96" i="90" s="1"/>
  <c r="CG88" i="90"/>
  <c r="CI88" i="90"/>
  <c r="CG80" i="90"/>
  <c r="CF80" i="90"/>
  <c r="CI80" i="90"/>
  <c r="CG72" i="90"/>
  <c r="CI72" i="90"/>
  <c r="CG68" i="90"/>
  <c r="CF68" i="90"/>
  <c r="CI68" i="90"/>
  <c r="CG56" i="90"/>
  <c r="CI56" i="90"/>
  <c r="CG48" i="90"/>
  <c r="CF48" i="90"/>
  <c r="CI48" i="90"/>
  <c r="CG40" i="90"/>
  <c r="CI40" i="90"/>
  <c r="CG32" i="90"/>
  <c r="CF32" i="90"/>
  <c r="CI32" i="90"/>
  <c r="CG24" i="90"/>
  <c r="CI24" i="90"/>
  <c r="CG20" i="90"/>
  <c r="CF20" i="90"/>
  <c r="CI20" i="90"/>
  <c r="CG16" i="90"/>
  <c r="CF16" i="90"/>
  <c r="CI16" i="90"/>
  <c r="CG12" i="90"/>
  <c r="CI12" i="90"/>
  <c r="CF249" i="90"/>
  <c r="CG249" i="90"/>
  <c r="CF237" i="90"/>
  <c r="CG237" i="90"/>
  <c r="CF225" i="90"/>
  <c r="CG225" i="90"/>
  <c r="CF213" i="90"/>
  <c r="CG213" i="90"/>
  <c r="CF201" i="90"/>
  <c r="CG201" i="90"/>
  <c r="CF189" i="90"/>
  <c r="CG189" i="90"/>
  <c r="CF177" i="90"/>
  <c r="CG177" i="90"/>
  <c r="CF165" i="90"/>
  <c r="CG165" i="90"/>
  <c r="CF153" i="90"/>
  <c r="CG153" i="90"/>
  <c r="CF141" i="90"/>
  <c r="CG141" i="90"/>
  <c r="CF129" i="90"/>
  <c r="CG129" i="90"/>
  <c r="CF117" i="90"/>
  <c r="CG117" i="90"/>
  <c r="CF105" i="90"/>
  <c r="CN105" i="90" s="1"/>
  <c r="CG105" i="90"/>
  <c r="CF97" i="90"/>
  <c r="CG97" i="90"/>
  <c r="CF85" i="90"/>
  <c r="CG85" i="90"/>
  <c r="CF77" i="90"/>
  <c r="CG77" i="90"/>
  <c r="CF65" i="90"/>
  <c r="CG65" i="90"/>
  <c r="CF53" i="90"/>
  <c r="CG53" i="90"/>
  <c r="CF45" i="90"/>
  <c r="CG45" i="90"/>
  <c r="CF33" i="90"/>
  <c r="CG33" i="90"/>
  <c r="CF21" i="90"/>
  <c r="CG21" i="90"/>
  <c r="CF9" i="90"/>
  <c r="CN9" i="90" s="1"/>
  <c r="CG9" i="90"/>
  <c r="CI249" i="90"/>
  <c r="CI237" i="90"/>
  <c r="CI229" i="90"/>
  <c r="CI217" i="90"/>
  <c r="CI165" i="90"/>
  <c r="CI153" i="90"/>
  <c r="CI141" i="90"/>
  <c r="CI93" i="90"/>
  <c r="CI77" i="90"/>
  <c r="CI61" i="90"/>
  <c r="CI45" i="90"/>
  <c r="CF244" i="90"/>
  <c r="CG244" i="90"/>
  <c r="CG224" i="90"/>
  <c r="CF224" i="90"/>
  <c r="CF212" i="90"/>
  <c r="CG212" i="90"/>
  <c r="CG208" i="90"/>
  <c r="CF208" i="90"/>
  <c r="CF196" i="90"/>
  <c r="CG196" i="90"/>
  <c r="CG176" i="90"/>
  <c r="CF176" i="90"/>
  <c r="CG160" i="90"/>
  <c r="CF160" i="90"/>
  <c r="CG144" i="90"/>
  <c r="CF144" i="90"/>
  <c r="CF132" i="90"/>
  <c r="CG132" i="90"/>
  <c r="CG124" i="90"/>
  <c r="CI124" i="90"/>
  <c r="CF116" i="90"/>
  <c r="CG116" i="90"/>
  <c r="CI116" i="90"/>
  <c r="CG108" i="90"/>
  <c r="CI108" i="90"/>
  <c r="CF100" i="90"/>
  <c r="CG100" i="90"/>
  <c r="CI100" i="90"/>
  <c r="CG92" i="90"/>
  <c r="CI92" i="90"/>
  <c r="CG84" i="90"/>
  <c r="CF84" i="90"/>
  <c r="CI84" i="90"/>
  <c r="CG76" i="90"/>
  <c r="CI76" i="90"/>
  <c r="CG64" i="90"/>
  <c r="CF64" i="90"/>
  <c r="CI64" i="90"/>
  <c r="CG52" i="90"/>
  <c r="CF52" i="90"/>
  <c r="CI52" i="90"/>
  <c r="CG44" i="90"/>
  <c r="CI44" i="90"/>
  <c r="CJ44" i="90" s="1"/>
  <c r="CG36" i="90"/>
  <c r="CF36" i="90"/>
  <c r="CI36" i="90"/>
  <c r="CG28" i="90"/>
  <c r="CI28" i="90"/>
  <c r="CG8" i="90"/>
  <c r="CI8" i="90"/>
  <c r="CI252" i="90"/>
  <c r="CI248" i="90"/>
  <c r="CI244" i="90"/>
  <c r="CI240" i="90"/>
  <c r="CJ240" i="90" s="1"/>
  <c r="CI236" i="90"/>
  <c r="CI232" i="90"/>
  <c r="CI228" i="90"/>
  <c r="CI224" i="90"/>
  <c r="CI220" i="90"/>
  <c r="CI216" i="90"/>
  <c r="CI212" i="90"/>
  <c r="CI208" i="90"/>
  <c r="CI204" i="90"/>
  <c r="CI200" i="90"/>
  <c r="CI196" i="90"/>
  <c r="CI192" i="90"/>
  <c r="CI188" i="90"/>
  <c r="CJ188" i="90" s="1"/>
  <c r="CI184" i="90"/>
  <c r="CI180" i="90"/>
  <c r="CI176" i="90"/>
  <c r="CI172" i="90"/>
  <c r="CI168" i="90"/>
  <c r="CI160" i="90"/>
  <c r="CJ160" i="90" s="1"/>
  <c r="CI156" i="90"/>
  <c r="CI152" i="90"/>
  <c r="CI148" i="90"/>
  <c r="CI144" i="90"/>
  <c r="CI140" i="90"/>
  <c r="CJ140" i="90" s="1"/>
  <c r="CI136" i="90"/>
  <c r="CI132" i="90"/>
  <c r="CI128" i="90"/>
  <c r="CI113" i="90"/>
  <c r="CI97" i="90"/>
  <c r="CI65" i="90"/>
  <c r="CI49" i="90"/>
  <c r="CI33" i="90"/>
  <c r="CI17" i="90"/>
  <c r="CF248" i="90"/>
  <c r="CF216" i="90"/>
  <c r="CF184" i="90"/>
  <c r="CF152" i="90"/>
  <c r="CF120" i="90"/>
  <c r="CF88" i="90"/>
  <c r="CF56" i="90"/>
  <c r="CF24" i="90"/>
  <c r="CF253" i="90"/>
  <c r="CG253" i="90"/>
  <c r="CF245" i="90"/>
  <c r="CG245" i="90"/>
  <c r="CF233" i="90"/>
  <c r="CG233" i="90"/>
  <c r="CF221" i="90"/>
  <c r="CG221" i="90"/>
  <c r="CF205" i="90"/>
  <c r="CG205" i="90"/>
  <c r="CF193" i="90"/>
  <c r="CG193" i="90"/>
  <c r="CF181" i="90"/>
  <c r="CG181" i="90"/>
  <c r="CF169" i="90"/>
  <c r="CG169" i="90"/>
  <c r="CF157" i="90"/>
  <c r="CG157" i="90"/>
  <c r="CF145" i="90"/>
  <c r="CG145" i="90"/>
  <c r="CF133" i="90"/>
  <c r="CG133" i="90"/>
  <c r="CF121" i="90"/>
  <c r="CL121" i="90" s="1"/>
  <c r="CG121" i="90"/>
  <c r="CF109" i="90"/>
  <c r="CG109" i="90"/>
  <c r="CF81" i="90"/>
  <c r="CG81" i="90"/>
  <c r="CF69" i="90"/>
  <c r="CG69" i="90"/>
  <c r="CF57" i="90"/>
  <c r="CN57" i="90" s="1"/>
  <c r="CG57" i="90"/>
  <c r="CF41" i="90"/>
  <c r="CG41" i="90"/>
  <c r="CF29" i="90"/>
  <c r="CG29" i="90"/>
  <c r="CF13" i="90"/>
  <c r="CG13" i="90"/>
  <c r="CI245" i="90"/>
  <c r="CI233" i="90"/>
  <c r="CI221" i="90"/>
  <c r="CI213" i="90"/>
  <c r="CI201" i="90"/>
  <c r="CI189" i="90"/>
  <c r="CI185" i="90"/>
  <c r="CI173" i="90"/>
  <c r="CI161" i="90"/>
  <c r="CI149" i="90"/>
  <c r="CI137" i="90"/>
  <c r="CI125" i="90"/>
  <c r="CI29" i="90"/>
  <c r="CI13" i="90"/>
  <c r="CF164" i="90"/>
  <c r="CG164" i="90"/>
  <c r="CG60" i="90"/>
  <c r="CI60" i="90"/>
  <c r="CJ60" i="90" s="1"/>
  <c r="CJ208" i="90"/>
  <c r="CJ192" i="90"/>
  <c r="CJ176" i="90"/>
  <c r="CJ112" i="90"/>
  <c r="CJ64" i="90"/>
  <c r="CJ48" i="90"/>
  <c r="CJ32" i="90"/>
  <c r="CI117" i="90"/>
  <c r="CI101" i="90"/>
  <c r="CI85" i="90"/>
  <c r="CI69" i="90"/>
  <c r="CI53" i="90"/>
  <c r="CI37" i="90"/>
  <c r="CI21" i="90"/>
  <c r="CG89" i="90"/>
  <c r="CF252" i="90"/>
  <c r="CF220" i="90"/>
  <c r="CF188" i="90"/>
  <c r="CF156" i="90"/>
  <c r="CF124" i="90"/>
  <c r="CF92" i="90"/>
  <c r="CF60" i="90"/>
  <c r="CF28" i="90"/>
  <c r="CL87" i="90" l="1"/>
  <c r="CL15" i="90"/>
  <c r="CL9" i="90"/>
  <c r="CN67" i="90"/>
  <c r="CN38" i="90"/>
  <c r="CL38" i="90"/>
  <c r="CJ38" i="90"/>
  <c r="CL19" i="90"/>
  <c r="CL105" i="90"/>
  <c r="CJ230" i="90"/>
  <c r="CL115" i="90"/>
  <c r="CN218" i="90"/>
  <c r="CN126" i="90"/>
  <c r="CL214" i="90"/>
  <c r="CJ111" i="90"/>
  <c r="CN115" i="90"/>
  <c r="CL111" i="90"/>
  <c r="CN214" i="90"/>
  <c r="CN121" i="90"/>
  <c r="CN75" i="90"/>
  <c r="CJ75" i="90"/>
  <c r="CL57" i="90"/>
  <c r="CN107" i="90"/>
  <c r="CJ107" i="90"/>
  <c r="CJ101" i="90"/>
  <c r="CL101" i="90"/>
  <c r="CN101" i="90"/>
  <c r="CJ137" i="90"/>
  <c r="CL137" i="90"/>
  <c r="CN137" i="90"/>
  <c r="CJ132" i="90"/>
  <c r="CN132" i="90"/>
  <c r="CL132" i="90"/>
  <c r="CJ168" i="90"/>
  <c r="CN168" i="90"/>
  <c r="CL168" i="90"/>
  <c r="CJ216" i="90"/>
  <c r="CN216" i="90"/>
  <c r="CL216" i="90"/>
  <c r="CJ232" i="90"/>
  <c r="CN232" i="90"/>
  <c r="CL232" i="90"/>
  <c r="CJ248" i="90"/>
  <c r="CN248" i="90"/>
  <c r="CL248" i="90"/>
  <c r="CN108" i="90"/>
  <c r="CL108" i="90"/>
  <c r="CJ93" i="90"/>
  <c r="CL93" i="90"/>
  <c r="CN93" i="90"/>
  <c r="CN12" i="90"/>
  <c r="CL12" i="90"/>
  <c r="CJ181" i="90"/>
  <c r="CL181" i="90"/>
  <c r="CN181" i="90"/>
  <c r="CJ25" i="90"/>
  <c r="CL25" i="90"/>
  <c r="CN25" i="90"/>
  <c r="CN139" i="90"/>
  <c r="CJ139" i="90"/>
  <c r="CL139" i="90"/>
  <c r="CN219" i="90"/>
  <c r="CL219" i="90"/>
  <c r="CJ219" i="90"/>
  <c r="CJ149" i="90"/>
  <c r="CL149" i="90"/>
  <c r="CN149" i="90"/>
  <c r="CJ233" i="90"/>
  <c r="CL233" i="90"/>
  <c r="CN233" i="90"/>
  <c r="CJ17" i="90"/>
  <c r="CL17" i="90"/>
  <c r="CN17" i="90"/>
  <c r="CJ97" i="90"/>
  <c r="CL97" i="90"/>
  <c r="CN97" i="90"/>
  <c r="CJ136" i="90"/>
  <c r="CN136" i="90"/>
  <c r="CL136" i="90"/>
  <c r="CJ152" i="90"/>
  <c r="CN152" i="90"/>
  <c r="CL152" i="90"/>
  <c r="CN172" i="90"/>
  <c r="CL172" i="90"/>
  <c r="CN188" i="90"/>
  <c r="CL188" i="90"/>
  <c r="CJ204" i="90"/>
  <c r="CN204" i="90"/>
  <c r="CL204" i="90"/>
  <c r="CJ220" i="90"/>
  <c r="CN220" i="90"/>
  <c r="CL220" i="90"/>
  <c r="CN236" i="90"/>
  <c r="CL236" i="90"/>
  <c r="CN252" i="90"/>
  <c r="CL252" i="90"/>
  <c r="CJ108" i="90"/>
  <c r="CJ236" i="90"/>
  <c r="CN28" i="90"/>
  <c r="CL28" i="90"/>
  <c r="CJ100" i="90"/>
  <c r="CN100" i="90"/>
  <c r="CL100" i="90"/>
  <c r="CJ124" i="90"/>
  <c r="CN124" i="90"/>
  <c r="CL124" i="90"/>
  <c r="CJ45" i="90"/>
  <c r="CL45" i="90"/>
  <c r="CN45" i="90"/>
  <c r="CJ141" i="90"/>
  <c r="CL141" i="90"/>
  <c r="CN141" i="90"/>
  <c r="CJ229" i="90"/>
  <c r="CL229" i="90"/>
  <c r="CN229" i="90"/>
  <c r="CJ20" i="90"/>
  <c r="CN20" i="90"/>
  <c r="CL20" i="90"/>
  <c r="CJ40" i="90"/>
  <c r="CN40" i="90"/>
  <c r="CL40" i="90"/>
  <c r="CJ80" i="90"/>
  <c r="CN80" i="90"/>
  <c r="CL80" i="90"/>
  <c r="CJ104" i="90"/>
  <c r="CN104" i="90"/>
  <c r="CL104" i="90"/>
  <c r="CJ209" i="90"/>
  <c r="CL209" i="90"/>
  <c r="CN209" i="90"/>
  <c r="CJ164" i="90"/>
  <c r="CN164" i="90"/>
  <c r="CL164" i="90"/>
  <c r="CJ109" i="90"/>
  <c r="CL109" i="90"/>
  <c r="CN109" i="90"/>
  <c r="CJ133" i="90"/>
  <c r="CL133" i="90"/>
  <c r="CN133" i="90"/>
  <c r="CJ157" i="90"/>
  <c r="CL157" i="90"/>
  <c r="CN157" i="90"/>
  <c r="CJ193" i="90"/>
  <c r="CL193" i="90"/>
  <c r="CN193" i="90"/>
  <c r="CJ194" i="90"/>
  <c r="CN194" i="90"/>
  <c r="CL194" i="90"/>
  <c r="CN234" i="90"/>
  <c r="CL234" i="90"/>
  <c r="CJ234" i="90"/>
  <c r="CJ41" i="90"/>
  <c r="CL41" i="90"/>
  <c r="CN41" i="90"/>
  <c r="CN31" i="90"/>
  <c r="CL31" i="90"/>
  <c r="CJ31" i="90"/>
  <c r="CN74" i="90"/>
  <c r="CL74" i="90"/>
  <c r="CJ74" i="90"/>
  <c r="CJ110" i="90"/>
  <c r="CN110" i="90"/>
  <c r="CL110" i="90"/>
  <c r="CN155" i="90"/>
  <c r="CJ155" i="90"/>
  <c r="CL155" i="90"/>
  <c r="CN195" i="90"/>
  <c r="CL195" i="90"/>
  <c r="CJ195" i="90"/>
  <c r="CN235" i="90"/>
  <c r="CL235" i="90"/>
  <c r="CJ235" i="90"/>
  <c r="CJ253" i="90"/>
  <c r="CL253" i="90"/>
  <c r="CN253" i="90"/>
  <c r="CJ83" i="90"/>
  <c r="CN83" i="90"/>
  <c r="CL83" i="90"/>
  <c r="CJ37" i="90"/>
  <c r="CL37" i="90"/>
  <c r="CN37" i="90"/>
  <c r="CJ185" i="90"/>
  <c r="CL185" i="90"/>
  <c r="CN185" i="90"/>
  <c r="CJ65" i="90"/>
  <c r="CL65" i="90"/>
  <c r="CN65" i="90"/>
  <c r="CJ184" i="90"/>
  <c r="CN184" i="90"/>
  <c r="CL184" i="90"/>
  <c r="CJ84" i="90"/>
  <c r="CN84" i="90"/>
  <c r="CL84" i="90"/>
  <c r="CJ88" i="90"/>
  <c r="CN88" i="90"/>
  <c r="CL88" i="90"/>
  <c r="CJ103" i="90"/>
  <c r="CN103" i="90"/>
  <c r="CL103" i="90"/>
  <c r="CJ13" i="90"/>
  <c r="CL13" i="90"/>
  <c r="CN13" i="90"/>
  <c r="CJ69" i="90"/>
  <c r="CL69" i="90"/>
  <c r="CN69" i="90"/>
  <c r="CJ29" i="90"/>
  <c r="CL29" i="90"/>
  <c r="CN29" i="90"/>
  <c r="CJ245" i="90"/>
  <c r="CL245" i="90"/>
  <c r="CN245" i="90"/>
  <c r="CJ33" i="90"/>
  <c r="CL33" i="90"/>
  <c r="CN33" i="90"/>
  <c r="CJ113" i="90"/>
  <c r="CL113" i="90"/>
  <c r="CN113" i="90"/>
  <c r="CJ156" i="90"/>
  <c r="CN156" i="90"/>
  <c r="CL156" i="90"/>
  <c r="CN176" i="90"/>
  <c r="CL176" i="90"/>
  <c r="CN192" i="90"/>
  <c r="CL192" i="90"/>
  <c r="CN208" i="90"/>
  <c r="CL208" i="90"/>
  <c r="CN224" i="90"/>
  <c r="CL224" i="90"/>
  <c r="CN240" i="90"/>
  <c r="CL240" i="90"/>
  <c r="CJ12" i="90"/>
  <c r="CJ252" i="90"/>
  <c r="CN44" i="90"/>
  <c r="CL44" i="90"/>
  <c r="CJ76" i="90"/>
  <c r="CN76" i="90"/>
  <c r="CL76" i="90"/>
  <c r="CJ116" i="90"/>
  <c r="CN116" i="90"/>
  <c r="CL116" i="90"/>
  <c r="CJ61" i="90"/>
  <c r="CL61" i="90"/>
  <c r="CN61" i="90"/>
  <c r="CJ153" i="90"/>
  <c r="CL153" i="90"/>
  <c r="CN153" i="90"/>
  <c r="CJ237" i="90"/>
  <c r="CL237" i="90"/>
  <c r="CN237" i="90"/>
  <c r="CJ16" i="90"/>
  <c r="CN16" i="90"/>
  <c r="CL16" i="90"/>
  <c r="CN32" i="90"/>
  <c r="CL32" i="90"/>
  <c r="CJ56" i="90"/>
  <c r="CN56" i="90"/>
  <c r="CL56" i="90"/>
  <c r="CN96" i="90"/>
  <c r="CL96" i="90"/>
  <c r="CJ120" i="90"/>
  <c r="CN120" i="90"/>
  <c r="CL120" i="90"/>
  <c r="CJ241" i="90"/>
  <c r="CL241" i="90"/>
  <c r="CN241" i="90"/>
  <c r="CJ169" i="90"/>
  <c r="CL169" i="90"/>
  <c r="CN169" i="90"/>
  <c r="CJ205" i="90"/>
  <c r="CL205" i="90"/>
  <c r="CN205" i="90"/>
  <c r="CN23" i="90"/>
  <c r="CL23" i="90"/>
  <c r="CJ23" i="90"/>
  <c r="CJ94" i="90"/>
  <c r="CN94" i="90"/>
  <c r="CL94" i="90"/>
  <c r="CN122" i="90"/>
  <c r="CL122" i="90"/>
  <c r="CJ122" i="90"/>
  <c r="CN154" i="90"/>
  <c r="CL154" i="90"/>
  <c r="CJ154" i="90"/>
  <c r="CJ62" i="90"/>
  <c r="CN62" i="90"/>
  <c r="CL62" i="90"/>
  <c r="CJ142" i="90"/>
  <c r="CN142" i="90"/>
  <c r="CL142" i="90"/>
  <c r="CN39" i="90"/>
  <c r="CL39" i="90"/>
  <c r="CJ39" i="90"/>
  <c r="CJ89" i="90"/>
  <c r="CL89" i="90"/>
  <c r="CN89" i="90"/>
  <c r="CN123" i="90"/>
  <c r="CJ123" i="90"/>
  <c r="CL123" i="90"/>
  <c r="CN163" i="90"/>
  <c r="CL163" i="90"/>
  <c r="CJ163" i="90"/>
  <c r="CN203" i="90"/>
  <c r="CJ203" i="90"/>
  <c r="CL203" i="90"/>
  <c r="CN243" i="90"/>
  <c r="CL243" i="90"/>
  <c r="CJ243" i="90"/>
  <c r="CJ221" i="90"/>
  <c r="CL221" i="90"/>
  <c r="CN221" i="90"/>
  <c r="CJ148" i="90"/>
  <c r="CN148" i="90"/>
  <c r="CL148" i="90"/>
  <c r="CJ200" i="90"/>
  <c r="CN200" i="90"/>
  <c r="CL200" i="90"/>
  <c r="CJ52" i="90"/>
  <c r="CN52" i="90"/>
  <c r="CL52" i="90"/>
  <c r="CJ217" i="90"/>
  <c r="CL217" i="90"/>
  <c r="CN217" i="90"/>
  <c r="CJ24" i="90"/>
  <c r="CN24" i="90"/>
  <c r="CL24" i="90"/>
  <c r="CJ68" i="90"/>
  <c r="CN68" i="90"/>
  <c r="CL68" i="90"/>
  <c r="CJ197" i="90"/>
  <c r="CL197" i="90"/>
  <c r="CN197" i="90"/>
  <c r="CN51" i="90"/>
  <c r="CL51" i="90"/>
  <c r="CJ51" i="90"/>
  <c r="CJ222" i="90"/>
  <c r="CN222" i="90"/>
  <c r="CL222" i="90"/>
  <c r="CN59" i="90"/>
  <c r="CJ59" i="90"/>
  <c r="CL59" i="90"/>
  <c r="CN179" i="90"/>
  <c r="CL179" i="90"/>
  <c r="CJ179" i="90"/>
  <c r="CJ53" i="90"/>
  <c r="CL53" i="90"/>
  <c r="CN53" i="90"/>
  <c r="CJ117" i="90"/>
  <c r="CL117" i="90"/>
  <c r="CN117" i="90"/>
  <c r="CN60" i="90"/>
  <c r="CL60" i="90"/>
  <c r="CJ189" i="90"/>
  <c r="CL189" i="90"/>
  <c r="CN189" i="90"/>
  <c r="CJ161" i="90"/>
  <c r="CL161" i="90"/>
  <c r="CN161" i="90"/>
  <c r="CJ201" i="90"/>
  <c r="CL201" i="90"/>
  <c r="CN201" i="90"/>
  <c r="CN140" i="90"/>
  <c r="CL140" i="90"/>
  <c r="CJ21" i="90"/>
  <c r="CL21" i="90"/>
  <c r="CN21" i="90"/>
  <c r="CJ85" i="90"/>
  <c r="CL85" i="90"/>
  <c r="CN85" i="90"/>
  <c r="CJ224" i="90"/>
  <c r="CJ125" i="90"/>
  <c r="CL125" i="90"/>
  <c r="CN125" i="90"/>
  <c r="CJ173" i="90"/>
  <c r="CL173" i="90"/>
  <c r="CN173" i="90"/>
  <c r="CJ213" i="90"/>
  <c r="CL213" i="90"/>
  <c r="CN213" i="90"/>
  <c r="CJ49" i="90"/>
  <c r="CL49" i="90"/>
  <c r="CN49" i="90"/>
  <c r="CJ128" i="90"/>
  <c r="CN128" i="90"/>
  <c r="CL128" i="90"/>
  <c r="CJ144" i="90"/>
  <c r="CN144" i="90"/>
  <c r="CL144" i="90"/>
  <c r="CN160" i="90"/>
  <c r="CL160" i="90"/>
  <c r="CJ180" i="90"/>
  <c r="CN180" i="90"/>
  <c r="CL180" i="90"/>
  <c r="CJ196" i="90"/>
  <c r="CN196" i="90"/>
  <c r="CL196" i="90"/>
  <c r="CJ212" i="90"/>
  <c r="CN212" i="90"/>
  <c r="CL212" i="90"/>
  <c r="CJ228" i="90"/>
  <c r="CN228" i="90"/>
  <c r="CL228" i="90"/>
  <c r="CJ244" i="90"/>
  <c r="CN244" i="90"/>
  <c r="CL244" i="90"/>
  <c r="CJ28" i="90"/>
  <c r="CJ172" i="90"/>
  <c r="CJ8" i="90"/>
  <c r="CN8" i="90"/>
  <c r="CL8" i="90"/>
  <c r="CJ36" i="90"/>
  <c r="CN36" i="90"/>
  <c r="CL36" i="90"/>
  <c r="CN64" i="90"/>
  <c r="CL64" i="90"/>
  <c r="CJ92" i="90"/>
  <c r="CN92" i="90"/>
  <c r="CL92" i="90"/>
  <c r="CJ77" i="90"/>
  <c r="CL77" i="90"/>
  <c r="CN77" i="90"/>
  <c r="CJ165" i="90"/>
  <c r="CL165" i="90"/>
  <c r="CN165" i="90"/>
  <c r="CJ249" i="90"/>
  <c r="CL249" i="90"/>
  <c r="CN249" i="90"/>
  <c r="CN48" i="90"/>
  <c r="CL48" i="90"/>
  <c r="CJ72" i="90"/>
  <c r="CN72" i="90"/>
  <c r="CL72" i="90"/>
  <c r="CN112" i="90"/>
  <c r="CL112" i="90"/>
  <c r="CJ81" i="90"/>
  <c r="CL81" i="90"/>
  <c r="CN81" i="90"/>
  <c r="CJ129" i="90"/>
  <c r="CL129" i="90"/>
  <c r="CN129" i="90"/>
  <c r="CJ145" i="90"/>
  <c r="CL145" i="90"/>
  <c r="CN145" i="90"/>
  <c r="CJ177" i="90"/>
  <c r="CL177" i="90"/>
  <c r="CN177" i="90"/>
  <c r="CN43" i="90"/>
  <c r="CL43" i="90"/>
  <c r="CJ43" i="90"/>
  <c r="CJ73" i="90"/>
  <c r="CL73" i="90"/>
  <c r="CN73" i="90"/>
  <c r="CJ182" i="90"/>
  <c r="CN182" i="90"/>
  <c r="CL182" i="90"/>
  <c r="CN11" i="90"/>
  <c r="CL11" i="90"/>
  <c r="CJ11" i="90"/>
  <c r="CN10" i="90"/>
  <c r="CL10" i="90"/>
  <c r="CJ10" i="90"/>
  <c r="CN54" i="90"/>
  <c r="CL54" i="90"/>
  <c r="CJ54" i="90"/>
  <c r="CN95" i="90"/>
  <c r="CL95" i="90"/>
  <c r="CJ95" i="90"/>
  <c r="CN131" i="90"/>
  <c r="CL131" i="90"/>
  <c r="CJ131" i="90"/>
  <c r="CN171" i="90"/>
  <c r="CL171" i="90"/>
  <c r="CJ171" i="90"/>
  <c r="CN211" i="90"/>
  <c r="CL211" i="90"/>
  <c r="CJ211" i="90"/>
  <c r="CN251" i="90"/>
  <c r="CJ251" i="90"/>
  <c r="CL251" i="90"/>
  <c r="CJ225" i="90"/>
  <c r="CL225" i="90"/>
  <c r="CN225" i="90"/>
  <c r="CE5" i="90"/>
  <c r="CM5" i="90" l="1"/>
  <c r="CG5" i="90"/>
  <c r="CF5" i="90"/>
  <c r="CI5" i="90"/>
  <c r="AB6" i="88"/>
  <c r="AB7" i="88"/>
  <c r="AB8" i="88"/>
  <c r="AB9" i="88"/>
  <c r="AB10" i="88"/>
  <c r="AB11" i="88"/>
  <c r="AB12" i="88"/>
  <c r="AB5" i="88"/>
  <c r="CJ5" i="90" l="1"/>
  <c r="CN5" i="90"/>
  <c r="CL5" i="90"/>
  <c r="N7" i="88"/>
  <c r="N8" i="88"/>
  <c r="N9" i="88"/>
  <c r="N5" i="88"/>
  <c r="N6" i="88"/>
  <c r="B4" i="88"/>
  <c r="N4" i="88" s="1"/>
  <c r="D18" i="102" l="1"/>
  <c r="F18" i="102" s="1"/>
  <c r="C8" i="102"/>
  <c r="D8" i="102" s="1"/>
  <c r="F8" i="102" s="1"/>
  <c r="C9" i="102"/>
  <c r="D9" i="102" s="1"/>
  <c r="F9" i="102" s="1"/>
  <c r="C10" i="102"/>
  <c r="D10" i="102" s="1"/>
  <c r="F10" i="102" s="1"/>
  <c r="C11" i="102"/>
  <c r="D11" i="102" s="1"/>
  <c r="F11" i="102" s="1"/>
  <c r="C12" i="102"/>
  <c r="D12" i="102" s="1"/>
  <c r="F12" i="102" s="1"/>
  <c r="C13" i="102"/>
  <c r="D13" i="102" s="1"/>
  <c r="F13" i="102" s="1"/>
  <c r="C14" i="102"/>
  <c r="D14" i="102" s="1"/>
  <c r="F14" i="102" s="1"/>
  <c r="C15" i="102"/>
  <c r="D15" i="102" s="1"/>
  <c r="F15" i="102" s="1"/>
  <c r="C16" i="102"/>
  <c r="D16" i="102" s="1"/>
  <c r="F16" i="102" s="1"/>
  <c r="C17" i="102"/>
  <c r="D17" i="102" s="1"/>
  <c r="F17" i="102" s="1"/>
  <c r="C7" i="102"/>
  <c r="D7" i="102" s="1"/>
  <c r="F7" i="102" s="1"/>
  <c r="E24" i="88"/>
  <c r="E25" i="88"/>
  <c r="J26" i="88"/>
  <c r="J27" i="88"/>
  <c r="K27" i="88"/>
  <c r="L27" i="88"/>
  <c r="M27" i="88"/>
  <c r="E28" i="88"/>
  <c r="J28" i="88"/>
  <c r="K28" i="88"/>
  <c r="L28" i="88"/>
  <c r="M28" i="88"/>
  <c r="E29" i="88"/>
  <c r="J29" i="88"/>
  <c r="K29" i="88"/>
  <c r="L29" i="88"/>
  <c r="M29" i="88"/>
  <c r="J30" i="88"/>
  <c r="K30" i="88"/>
  <c r="L30" i="88"/>
  <c r="M30" i="88"/>
  <c r="J31" i="88"/>
  <c r="K31" i="88"/>
  <c r="L31" i="88"/>
  <c r="M31" i="88"/>
  <c r="E33" i="88"/>
  <c r="J32" i="88"/>
  <c r="K32" i="88"/>
  <c r="L32" i="88"/>
  <c r="M32" i="88"/>
  <c r="J33" i="88"/>
  <c r="K33" i="88"/>
  <c r="L33" i="88"/>
  <c r="M33" i="88"/>
  <c r="I7" i="102" l="1"/>
  <c r="M7" i="102" s="1"/>
  <c r="J7" i="102"/>
  <c r="M8" i="102" s="1"/>
  <c r="H7" i="102"/>
  <c r="M6" i="102" s="1"/>
  <c r="H15" i="102"/>
  <c r="M30" i="102" s="1"/>
  <c r="I15" i="102"/>
  <c r="M31" i="102" s="1"/>
  <c r="J15" i="102"/>
  <c r="M32" i="102" s="1"/>
  <c r="I17" i="102"/>
  <c r="M37" i="102" s="1"/>
  <c r="J17" i="102"/>
  <c r="M38" i="102" s="1"/>
  <c r="H17" i="102"/>
  <c r="M36" i="102" s="1"/>
  <c r="I13" i="102"/>
  <c r="M25" i="102" s="1"/>
  <c r="J13" i="102"/>
  <c r="M26" i="102" s="1"/>
  <c r="H13" i="102"/>
  <c r="M24" i="102" s="1"/>
  <c r="I9" i="102"/>
  <c r="M13" i="102" s="1"/>
  <c r="J9" i="102"/>
  <c r="M14" i="102" s="1"/>
  <c r="H9" i="102"/>
  <c r="M12" i="102" s="1"/>
  <c r="H16" i="102"/>
  <c r="M33" i="102" s="1"/>
  <c r="I16" i="102"/>
  <c r="M34" i="102" s="1"/>
  <c r="J16" i="102"/>
  <c r="M35" i="102" s="1"/>
  <c r="H12" i="102"/>
  <c r="M21" i="102" s="1"/>
  <c r="I12" i="102"/>
  <c r="M22" i="102" s="1"/>
  <c r="J12" i="102"/>
  <c r="M23" i="102" s="1"/>
  <c r="H8" i="102"/>
  <c r="M9" i="102" s="1"/>
  <c r="J8" i="102"/>
  <c r="M11" i="102" s="1"/>
  <c r="I8" i="102"/>
  <c r="M10" i="102" s="1"/>
  <c r="H11" i="102"/>
  <c r="M18" i="102" s="1"/>
  <c r="I11" i="102"/>
  <c r="M19" i="102" s="1"/>
  <c r="J11" i="102"/>
  <c r="M20" i="102" s="1"/>
  <c r="J14" i="102"/>
  <c r="M29" i="102" s="1"/>
  <c r="H14" i="102"/>
  <c r="M27" i="102" s="1"/>
  <c r="I14" i="102"/>
  <c r="M28" i="102" s="1"/>
  <c r="J10" i="102"/>
  <c r="M17" i="102" s="1"/>
  <c r="H10" i="102"/>
  <c r="M15" i="102" s="1"/>
  <c r="I10" i="102"/>
  <c r="M16" i="102" s="1"/>
  <c r="J18" i="102"/>
  <c r="M41" i="102" s="1"/>
  <c r="H18" i="102"/>
  <c r="M39" i="102" s="1"/>
  <c r="I18" i="102"/>
  <c r="M40" i="102" s="1"/>
  <c r="E32" i="88"/>
  <c r="E30" i="88"/>
  <c r="E31" i="88"/>
  <c r="E27" i="88"/>
  <c r="E26" i="88"/>
  <c r="X6" i="81" l="1"/>
  <c r="X7" i="81"/>
  <c r="X8" i="81"/>
  <c r="X9" i="81"/>
  <c r="X10" i="81"/>
  <c r="X11" i="81"/>
  <c r="X12" i="81"/>
  <c r="X13" i="81"/>
  <c r="X14" i="81"/>
  <c r="X15" i="81"/>
  <c r="X16" i="81"/>
  <c r="X17" i="81"/>
  <c r="X18" i="81"/>
  <c r="X19" i="81"/>
  <c r="X20" i="81"/>
  <c r="X21" i="81"/>
  <c r="X22" i="81"/>
  <c r="X23" i="81"/>
  <c r="X24" i="81"/>
  <c r="X25" i="81"/>
  <c r="X26" i="81"/>
  <c r="X27" i="81"/>
  <c r="X28" i="81"/>
  <c r="X29" i="81"/>
  <c r="X30" i="81"/>
  <c r="X31" i="81"/>
  <c r="X32" i="81"/>
  <c r="X33" i="81"/>
  <c r="X34" i="81"/>
  <c r="X35" i="81"/>
  <c r="X36" i="81"/>
  <c r="X37" i="81"/>
  <c r="X38" i="81"/>
  <c r="X39" i="81"/>
  <c r="X40" i="81"/>
  <c r="X41" i="81"/>
  <c r="X42" i="81"/>
  <c r="X43" i="81"/>
  <c r="X44" i="81"/>
  <c r="X45" i="81"/>
  <c r="X46" i="81"/>
  <c r="X47" i="81"/>
  <c r="X48" i="81"/>
  <c r="X49" i="81"/>
  <c r="X50" i="81"/>
  <c r="X51" i="81"/>
  <c r="X52" i="81"/>
  <c r="X53" i="81"/>
  <c r="X54" i="81"/>
  <c r="X55" i="81"/>
  <c r="X56" i="81"/>
  <c r="X57" i="81"/>
  <c r="X58" i="81"/>
  <c r="X59" i="81"/>
  <c r="X60" i="81"/>
  <c r="X61" i="81"/>
  <c r="X62" i="81"/>
  <c r="X63" i="81"/>
  <c r="X64" i="81"/>
  <c r="X65" i="81"/>
  <c r="X66" i="81"/>
  <c r="X67" i="81"/>
  <c r="X68" i="81"/>
  <c r="X69" i="81"/>
  <c r="X70" i="81"/>
  <c r="X71" i="81"/>
  <c r="X72" i="81"/>
  <c r="X73" i="81"/>
  <c r="X74" i="81"/>
  <c r="X75" i="81"/>
  <c r="X76" i="81"/>
  <c r="X77" i="81"/>
  <c r="X78" i="81"/>
  <c r="X79" i="81"/>
  <c r="X80" i="81"/>
  <c r="X81" i="81"/>
  <c r="X82" i="81"/>
  <c r="X83" i="81"/>
  <c r="X84" i="81"/>
  <c r="X85" i="81"/>
  <c r="X86" i="81"/>
  <c r="X87" i="81"/>
  <c r="X88" i="81"/>
  <c r="X89" i="81"/>
  <c r="X90" i="81"/>
  <c r="X91" i="81"/>
  <c r="X92" i="81"/>
  <c r="X93" i="81"/>
  <c r="X94" i="81"/>
  <c r="X95" i="81"/>
  <c r="X96" i="81"/>
  <c r="X97" i="81"/>
  <c r="X98" i="81"/>
  <c r="X99" i="81"/>
  <c r="X100" i="81"/>
  <c r="X101" i="81"/>
  <c r="X102" i="81"/>
  <c r="X103" i="81"/>
  <c r="X104" i="81"/>
  <c r="X105" i="81"/>
  <c r="X106" i="81"/>
  <c r="X107" i="81"/>
  <c r="X108" i="81"/>
  <c r="X109" i="81"/>
  <c r="X110" i="81"/>
  <c r="X111" i="81"/>
  <c r="X112" i="81"/>
  <c r="X113" i="81"/>
  <c r="X114" i="81"/>
  <c r="X115" i="81"/>
  <c r="X116" i="81"/>
  <c r="X117" i="81"/>
  <c r="X118" i="81"/>
  <c r="X119" i="81"/>
  <c r="X120" i="81"/>
  <c r="X121" i="81"/>
  <c r="X122" i="81"/>
  <c r="X123" i="81"/>
  <c r="X124" i="81"/>
  <c r="X125" i="81"/>
  <c r="X126" i="81"/>
  <c r="X127" i="81"/>
  <c r="X128" i="81"/>
  <c r="X129" i="81"/>
  <c r="X130" i="81"/>
  <c r="X131" i="81"/>
  <c r="X132" i="81"/>
  <c r="X133" i="81"/>
  <c r="X134" i="81"/>
  <c r="X135" i="81"/>
  <c r="X136" i="81"/>
  <c r="X137" i="81"/>
  <c r="X138" i="81"/>
  <c r="X139" i="81"/>
  <c r="X140" i="81"/>
  <c r="X141" i="81"/>
  <c r="X142" i="81"/>
  <c r="X143" i="81"/>
  <c r="X144" i="81"/>
  <c r="X145" i="81"/>
  <c r="X146" i="81"/>
  <c r="X147" i="81"/>
  <c r="X148" i="81"/>
  <c r="X149" i="81"/>
  <c r="X150" i="81"/>
  <c r="X151" i="81"/>
  <c r="X152" i="81"/>
  <c r="X153" i="81"/>
  <c r="X154" i="81"/>
  <c r="X5" i="81"/>
  <c r="R376" i="81" l="1"/>
  <c r="R361" i="81"/>
  <c r="R347" i="81"/>
  <c r="R333" i="81"/>
  <c r="R319" i="81"/>
  <c r="R305" i="81"/>
  <c r="R291" i="81"/>
  <c r="R277" i="81"/>
  <c r="R263" i="81"/>
  <c r="R249" i="81"/>
  <c r="R235" i="81"/>
  <c r="R221" i="81"/>
  <c r="R207" i="81"/>
  <c r="R192" i="81"/>
  <c r="R178" i="81"/>
  <c r="R164" i="81"/>
  <c r="R150" i="81"/>
  <c r="R136" i="81"/>
  <c r="R122" i="81"/>
  <c r="R109" i="81"/>
  <c r="R96" i="81"/>
  <c r="R83" i="81"/>
  <c r="R69" i="81"/>
  <c r="R55" i="81"/>
  <c r="N384" i="81"/>
  <c r="O384" i="81" s="1"/>
  <c r="N369" i="81"/>
  <c r="O369" i="81" s="1"/>
  <c r="N355" i="81"/>
  <c r="O355" i="81" s="1"/>
  <c r="N341" i="81"/>
  <c r="O341" i="81" s="1"/>
  <c r="N327" i="81"/>
  <c r="O327" i="81" s="1"/>
  <c r="N313" i="81"/>
  <c r="O313" i="81" s="1"/>
  <c r="N299" i="81"/>
  <c r="O299" i="81" s="1"/>
  <c r="N285" i="81"/>
  <c r="O285" i="81" s="1"/>
  <c r="N271" i="81"/>
  <c r="O271" i="81" s="1"/>
  <c r="N257" i="81"/>
  <c r="O257" i="81" s="1"/>
  <c r="N243" i="81"/>
  <c r="O243" i="81" s="1"/>
  <c r="N229" i="81"/>
  <c r="O229" i="81" s="1"/>
  <c r="N215" i="81"/>
  <c r="O215" i="81" s="1"/>
  <c r="N200" i="81"/>
  <c r="O200" i="81" s="1"/>
  <c r="N186" i="81"/>
  <c r="O186" i="81" s="1"/>
  <c r="N172" i="81"/>
  <c r="O172" i="81" s="1"/>
  <c r="N158" i="81"/>
  <c r="O158" i="81" s="1"/>
  <c r="N144" i="81"/>
  <c r="O144" i="81" s="1"/>
  <c r="N130" i="81"/>
  <c r="O130" i="81" s="1"/>
  <c r="N117" i="81"/>
  <c r="O117" i="81" s="1"/>
  <c r="N104" i="81"/>
  <c r="O104" i="81" s="1"/>
  <c r="N91" i="81"/>
  <c r="O91" i="81" s="1"/>
  <c r="N77" i="81"/>
  <c r="O77" i="81" s="1"/>
  <c r="N63" i="81"/>
  <c r="O63" i="81" s="1"/>
  <c r="N50" i="81"/>
  <c r="O50" i="81" s="1"/>
  <c r="N37" i="81"/>
  <c r="O37" i="81" s="1"/>
  <c r="O11" i="81"/>
  <c r="O383" i="81"/>
  <c r="N382" i="81"/>
  <c r="N381" i="81"/>
  <c r="N380" i="81"/>
  <c r="N379" i="81"/>
  <c r="O368" i="81"/>
  <c r="N367" i="81"/>
  <c r="N366" i="81"/>
  <c r="N365" i="81"/>
  <c r="N364" i="81"/>
  <c r="O354" i="81"/>
  <c r="N353" i="81"/>
  <c r="N352" i="81"/>
  <c r="N351" i="81"/>
  <c r="N350" i="81"/>
  <c r="O340" i="81"/>
  <c r="N339" i="81"/>
  <c r="N338" i="81"/>
  <c r="N337" i="81"/>
  <c r="N336" i="81"/>
  <c r="O326" i="81" l="1"/>
  <c r="N325" i="81"/>
  <c r="N324" i="81"/>
  <c r="N323" i="81"/>
  <c r="N322" i="81"/>
  <c r="O312" i="81"/>
  <c r="N311" i="81"/>
  <c r="N310" i="81"/>
  <c r="N309" i="81"/>
  <c r="N308" i="81"/>
  <c r="O298" i="81"/>
  <c r="N297" i="81"/>
  <c r="N296" i="81"/>
  <c r="N295" i="81"/>
  <c r="N294" i="81"/>
  <c r="O284" i="81"/>
  <c r="N283" i="81"/>
  <c r="N282" i="81"/>
  <c r="N281" i="81"/>
  <c r="N280" i="81"/>
  <c r="E5" i="83" l="1"/>
  <c r="O199" i="81" l="1"/>
  <c r="N198" i="81"/>
  <c r="N197" i="81"/>
  <c r="N196" i="81"/>
  <c r="N195" i="81"/>
  <c r="O185" i="81"/>
  <c r="N184" i="81"/>
  <c r="N183" i="81"/>
  <c r="N182" i="81"/>
  <c r="N181" i="81"/>
  <c r="O171" i="81"/>
  <c r="N170" i="81"/>
  <c r="N169" i="81"/>
  <c r="N168" i="81"/>
  <c r="N167" i="81"/>
  <c r="O157" i="81"/>
  <c r="N156" i="81"/>
  <c r="N155" i="81"/>
  <c r="N154" i="81"/>
  <c r="N153" i="81"/>
  <c r="O143" i="81"/>
  <c r="N142" i="81"/>
  <c r="N141" i="81"/>
  <c r="N140" i="81"/>
  <c r="N139" i="81"/>
  <c r="O129" i="81"/>
  <c r="N128" i="81"/>
  <c r="N127" i="81"/>
  <c r="N126" i="81"/>
  <c r="N125" i="81"/>
  <c r="O116" i="81"/>
  <c r="N115" i="81"/>
  <c r="N114" i="81"/>
  <c r="N113" i="81"/>
  <c r="N112" i="81"/>
  <c r="O103" i="81"/>
  <c r="N102" i="81"/>
  <c r="N101" i="81"/>
  <c r="N100" i="81"/>
  <c r="N99" i="81"/>
  <c r="O90" i="81"/>
  <c r="N89" i="81"/>
  <c r="N88" i="81"/>
  <c r="N87" i="81"/>
  <c r="N86" i="81"/>
  <c r="O76" i="81"/>
  <c r="N75" i="81"/>
  <c r="N74" i="81"/>
  <c r="N73" i="81"/>
  <c r="N72" i="81"/>
  <c r="O62" i="81"/>
  <c r="N61" i="81"/>
  <c r="N60" i="81"/>
  <c r="N59" i="81"/>
  <c r="N58" i="81"/>
  <c r="O49" i="81"/>
  <c r="N48" i="81"/>
  <c r="N47" i="81"/>
  <c r="N46" i="81"/>
  <c r="N45" i="81"/>
  <c r="O36" i="81"/>
  <c r="N35" i="81"/>
  <c r="N34" i="81"/>
  <c r="N33" i="81"/>
  <c r="N32" i="81"/>
  <c r="O23" i="81"/>
  <c r="N22" i="81"/>
  <c r="N21" i="81"/>
  <c r="N20" i="81"/>
  <c r="N19" i="81"/>
  <c r="P7" i="95" l="1"/>
  <c r="P8" i="95"/>
  <c r="P9" i="95"/>
  <c r="P10" i="95"/>
  <c r="P11" i="95"/>
  <c r="P12" i="95"/>
  <c r="P13" i="95"/>
  <c r="P14" i="95"/>
  <c r="P15" i="95"/>
  <c r="P16" i="95"/>
  <c r="P6" i="95"/>
  <c r="BQ5" i="85" l="1"/>
  <c r="BQ6" i="85"/>
  <c r="BQ7" i="85"/>
  <c r="BQ8" i="85"/>
  <c r="BQ9" i="85"/>
  <c r="BQ10" i="85"/>
  <c r="BQ11" i="85"/>
  <c r="BQ12" i="85"/>
  <c r="BQ13" i="85"/>
  <c r="BQ14" i="85"/>
  <c r="BQ15" i="85"/>
  <c r="BQ16" i="85"/>
  <c r="BQ17" i="85"/>
  <c r="BQ18" i="85"/>
  <c r="BQ19" i="85"/>
  <c r="BQ20" i="85"/>
  <c r="BQ21" i="85"/>
  <c r="BQ22" i="85"/>
  <c r="BQ23" i="85"/>
  <c r="BQ4" i="85"/>
  <c r="BM4" i="85" l="1"/>
  <c r="BM5" i="85"/>
  <c r="BM6" i="85"/>
  <c r="BM7" i="85"/>
  <c r="BM8" i="85"/>
  <c r="BM9" i="85"/>
  <c r="BM10" i="85"/>
  <c r="BM11" i="85"/>
  <c r="BM12" i="85"/>
  <c r="BM13" i="85"/>
  <c r="BM14" i="85"/>
  <c r="BM15" i="85"/>
  <c r="BM16" i="85"/>
  <c r="BM17" i="85"/>
  <c r="BM18" i="85"/>
  <c r="BM19" i="85"/>
  <c r="BM20" i="85"/>
  <c r="BM21" i="85"/>
  <c r="BM22" i="85"/>
  <c r="BM23" i="85"/>
  <c r="B166" i="89" l="1"/>
  <c r="R166" i="89" s="1"/>
  <c r="B167" i="89"/>
  <c r="S167" i="89" s="1"/>
  <c r="B168" i="89"/>
  <c r="Q168" i="89" s="1"/>
  <c r="B169" i="89"/>
  <c r="T169" i="89" s="1"/>
  <c r="V169" i="89" l="1"/>
  <c r="Q169" i="89"/>
  <c r="X166" i="89"/>
  <c r="Z169" i="89"/>
  <c r="U169" i="89"/>
  <c r="X168" i="89"/>
  <c r="U166" i="89"/>
  <c r="Y169" i="89"/>
  <c r="S169" i="89"/>
  <c r="T168" i="89"/>
  <c r="T166" i="89"/>
  <c r="W169" i="89"/>
  <c r="R169" i="89"/>
  <c r="Y166" i="89"/>
  <c r="Q166" i="89"/>
  <c r="V167" i="89"/>
  <c r="W168" i="89"/>
  <c r="S168" i="89"/>
  <c r="Y167" i="89"/>
  <c r="U167" i="89"/>
  <c r="Q167" i="89"/>
  <c r="W166" i="89"/>
  <c r="S166" i="89"/>
  <c r="X169" i="89"/>
  <c r="Z168" i="89"/>
  <c r="V168" i="89"/>
  <c r="R168" i="89"/>
  <c r="X167" i="89"/>
  <c r="T167" i="89"/>
  <c r="Z166" i="89"/>
  <c r="V166" i="89"/>
  <c r="Z167" i="89"/>
  <c r="R167" i="89"/>
  <c r="Y168" i="89"/>
  <c r="U168" i="89"/>
  <c r="W167" i="89"/>
  <c r="DF6" i="82"/>
  <c r="DF7" i="82"/>
  <c r="DF8" i="82"/>
  <c r="DK8" i="82" s="1"/>
  <c r="DF9" i="82"/>
  <c r="DK9" i="82" s="1"/>
  <c r="DF10" i="82"/>
  <c r="DK10" i="82" s="1"/>
  <c r="DF11" i="82"/>
  <c r="DF12" i="82"/>
  <c r="DK12" i="82" s="1"/>
  <c r="DF13" i="82"/>
  <c r="DK13" i="82" s="1"/>
  <c r="DF14" i="82"/>
  <c r="DK14" i="82" s="1"/>
  <c r="DF15" i="82"/>
  <c r="DF16" i="82"/>
  <c r="DK16" i="82" s="1"/>
  <c r="DF17" i="82"/>
  <c r="DK17" i="82" s="1"/>
  <c r="DF18" i="82"/>
  <c r="DK18" i="82" s="1"/>
  <c r="DF19" i="82"/>
  <c r="DF20" i="82"/>
  <c r="DK20" i="82" s="1"/>
  <c r="DF21" i="82"/>
  <c r="DK21" i="82" s="1"/>
  <c r="DF22" i="82"/>
  <c r="DK22" i="82" s="1"/>
  <c r="DF23" i="82"/>
  <c r="DF24" i="82"/>
  <c r="DK24" i="82" s="1"/>
  <c r="DF25" i="82"/>
  <c r="DK25" i="82" s="1"/>
  <c r="DF26" i="82"/>
  <c r="DK26" i="82" s="1"/>
  <c r="DF27" i="82"/>
  <c r="DF28" i="82"/>
  <c r="DK28" i="82" s="1"/>
  <c r="DF29" i="82"/>
  <c r="DK29" i="82" s="1"/>
  <c r="DF30" i="82"/>
  <c r="DK30" i="82" s="1"/>
  <c r="DF31" i="82"/>
  <c r="DF32" i="82"/>
  <c r="DK32" i="82" s="1"/>
  <c r="DF33" i="82"/>
  <c r="DK33" i="82" s="1"/>
  <c r="DF34" i="82"/>
  <c r="DK34" i="82" s="1"/>
  <c r="DF35" i="82"/>
  <c r="DF36" i="82"/>
  <c r="DK36" i="82" s="1"/>
  <c r="DF37" i="82"/>
  <c r="DK37" i="82" s="1"/>
  <c r="DF38" i="82"/>
  <c r="DF39" i="82"/>
  <c r="DF40" i="82"/>
  <c r="DK40" i="82" s="1"/>
  <c r="DF41" i="82"/>
  <c r="DK41" i="82" s="1"/>
  <c r="DF42" i="82"/>
  <c r="DF43" i="82"/>
  <c r="DF44" i="82"/>
  <c r="DK44" i="82" s="1"/>
  <c r="DF45" i="82"/>
  <c r="DK45" i="82" s="1"/>
  <c r="DF46" i="82"/>
  <c r="DF47" i="82"/>
  <c r="DF48" i="82"/>
  <c r="DK48" i="82" s="1"/>
  <c r="DF49" i="82"/>
  <c r="DK49" i="82" s="1"/>
  <c r="DF50" i="82"/>
  <c r="DF51" i="82"/>
  <c r="DF52" i="82"/>
  <c r="DK52" i="82" s="1"/>
  <c r="DF53" i="82"/>
  <c r="DK53" i="82" s="1"/>
  <c r="DF54" i="82"/>
  <c r="DF55" i="82"/>
  <c r="DF56" i="82"/>
  <c r="DK56" i="82" s="1"/>
  <c r="DF57" i="82"/>
  <c r="DK57" i="82" s="1"/>
  <c r="DF58" i="82"/>
  <c r="DF59" i="82"/>
  <c r="DF60" i="82"/>
  <c r="DK60" i="82" s="1"/>
  <c r="DF61" i="82"/>
  <c r="DK61" i="82" s="1"/>
  <c r="DF62" i="82"/>
  <c r="DF63" i="82"/>
  <c r="DF64" i="82"/>
  <c r="DK64" i="82" s="1"/>
  <c r="DF65" i="82"/>
  <c r="DK65" i="82" s="1"/>
  <c r="DF66" i="82"/>
  <c r="DF67" i="82"/>
  <c r="DF68" i="82"/>
  <c r="DK68" i="82" s="1"/>
  <c r="DF69" i="82"/>
  <c r="DK69" i="82" s="1"/>
  <c r="DF70" i="82"/>
  <c r="DF71" i="82"/>
  <c r="DF72" i="82"/>
  <c r="DF73" i="82"/>
  <c r="DF74" i="82"/>
  <c r="DF75" i="82"/>
  <c r="DF76" i="82"/>
  <c r="DF77" i="82"/>
  <c r="DF78" i="82"/>
  <c r="DF79" i="82"/>
  <c r="DF80" i="82"/>
  <c r="DF81" i="82"/>
  <c r="DF82" i="82"/>
  <c r="DF83" i="82"/>
  <c r="DF84" i="82"/>
  <c r="DF85" i="82"/>
  <c r="DF86" i="82"/>
  <c r="DF87" i="82"/>
  <c r="DF88" i="82"/>
  <c r="DF89" i="82"/>
  <c r="DF90" i="82"/>
  <c r="DF91" i="82"/>
  <c r="DF92" i="82"/>
  <c r="DF93" i="82"/>
  <c r="DF94" i="82"/>
  <c r="DF5" i="82"/>
  <c r="CT6" i="82"/>
  <c r="CV6" i="82" s="1"/>
  <c r="CT7" i="82"/>
  <c r="CV7" i="82" s="1"/>
  <c r="CT8" i="82"/>
  <c r="CV8" i="82" s="1"/>
  <c r="CT9" i="82"/>
  <c r="CV9" i="82" s="1"/>
  <c r="CT10" i="82"/>
  <c r="CV10" i="82" s="1"/>
  <c r="CT11" i="82"/>
  <c r="CV11" i="82" s="1"/>
  <c r="CT12" i="82"/>
  <c r="CV12" i="82" s="1"/>
  <c r="CT13" i="82"/>
  <c r="CV13" i="82" s="1"/>
  <c r="CT14" i="82"/>
  <c r="CV14" i="82" s="1"/>
  <c r="CT15" i="82"/>
  <c r="CV15" i="82" s="1"/>
  <c r="CT16" i="82"/>
  <c r="CV16" i="82" s="1"/>
  <c r="CT17" i="82"/>
  <c r="CV17" i="82" s="1"/>
  <c r="CT18" i="82"/>
  <c r="CV18" i="82"/>
  <c r="CT19" i="82"/>
  <c r="CV19" i="82" s="1"/>
  <c r="CT20" i="82"/>
  <c r="CV20" i="82" s="1"/>
  <c r="CT21" i="82"/>
  <c r="CV21" i="82"/>
  <c r="CT22" i="82"/>
  <c r="CV22" i="82" s="1"/>
  <c r="CT23" i="82"/>
  <c r="CV23" i="82" s="1"/>
  <c r="CT24" i="82"/>
  <c r="CV24" i="82" s="1"/>
  <c r="CT25" i="82"/>
  <c r="CV25" i="82" s="1"/>
  <c r="CT26" i="82"/>
  <c r="CV26" i="82"/>
  <c r="CT27" i="82"/>
  <c r="CV27" i="82" s="1"/>
  <c r="CT28" i="82"/>
  <c r="CV28" i="82" s="1"/>
  <c r="CT29" i="82"/>
  <c r="CV29" i="82" s="1"/>
  <c r="CT30" i="82"/>
  <c r="CV30" i="82" s="1"/>
  <c r="CT31" i="82"/>
  <c r="CV31" i="82" s="1"/>
  <c r="CT32" i="82"/>
  <c r="CV32" i="82" s="1"/>
  <c r="CT33" i="82"/>
  <c r="CV33" i="82" s="1"/>
  <c r="CT34" i="82"/>
  <c r="CV34" i="82" s="1"/>
  <c r="CT35" i="82"/>
  <c r="CV35" i="82" s="1"/>
  <c r="CT36" i="82"/>
  <c r="CV36" i="82" s="1"/>
  <c r="CT37" i="82"/>
  <c r="CV37" i="82" s="1"/>
  <c r="CT38" i="82"/>
  <c r="CV38" i="82" s="1"/>
  <c r="CT39" i="82"/>
  <c r="CV39" i="82" s="1"/>
  <c r="CT40" i="82"/>
  <c r="CV40" i="82" s="1"/>
  <c r="CT41" i="82"/>
  <c r="CV41" i="82" s="1"/>
  <c r="CT42" i="82"/>
  <c r="CV42" i="82" s="1"/>
  <c r="CT43" i="82"/>
  <c r="CV43" i="82" s="1"/>
  <c r="CT44" i="82"/>
  <c r="CV44" i="82" s="1"/>
  <c r="CT45" i="82"/>
  <c r="CV45" i="82" s="1"/>
  <c r="CT46" i="82"/>
  <c r="CV46" i="82" s="1"/>
  <c r="CT47" i="82"/>
  <c r="CV47" i="82" s="1"/>
  <c r="CT48" i="82"/>
  <c r="CV48" i="82" s="1"/>
  <c r="CT49" i="82"/>
  <c r="CV49" i="82"/>
  <c r="CT50" i="82"/>
  <c r="CV50" i="82" s="1"/>
  <c r="CT51" i="82"/>
  <c r="CV51" i="82" s="1"/>
  <c r="CT52" i="82"/>
  <c r="CV52" i="82" s="1"/>
  <c r="CT53" i="82"/>
  <c r="CV53" i="82" s="1"/>
  <c r="CT54" i="82"/>
  <c r="CV54" i="82"/>
  <c r="CT55" i="82"/>
  <c r="CV55" i="82" s="1"/>
  <c r="CT56" i="82"/>
  <c r="CV56" i="82" s="1"/>
  <c r="CT57" i="82"/>
  <c r="CV57" i="82"/>
  <c r="CT58" i="82"/>
  <c r="CV58" i="82" s="1"/>
  <c r="CT59" i="82"/>
  <c r="CV59" i="82" s="1"/>
  <c r="CT60" i="82"/>
  <c r="CV60" i="82" s="1"/>
  <c r="CT61" i="82"/>
  <c r="CV61" i="82" s="1"/>
  <c r="CT62" i="82"/>
  <c r="CV62" i="82" s="1"/>
  <c r="CT63" i="82"/>
  <c r="CV63" i="82" s="1"/>
  <c r="CT64" i="82"/>
  <c r="CV64" i="82" s="1"/>
  <c r="CT65" i="82"/>
  <c r="CV65" i="82" s="1"/>
  <c r="CT66" i="82"/>
  <c r="CV66" i="82" s="1"/>
  <c r="CT67" i="82"/>
  <c r="CV67" i="82" s="1"/>
  <c r="CT68" i="82"/>
  <c r="CV68" i="82" s="1"/>
  <c r="CT69" i="82"/>
  <c r="CV69" i="82" s="1"/>
  <c r="CT70" i="82"/>
  <c r="CV70" i="82"/>
  <c r="CT71" i="82"/>
  <c r="CV71" i="82" s="1"/>
  <c r="CT72" i="82"/>
  <c r="CV72" i="82" s="1"/>
  <c r="CT73" i="82"/>
  <c r="CV73" i="82" s="1"/>
  <c r="CT74" i="82"/>
  <c r="CV74" i="82" s="1"/>
  <c r="CT75" i="82"/>
  <c r="CV75" i="82" s="1"/>
  <c r="CT76" i="82"/>
  <c r="CV76" i="82" s="1"/>
  <c r="CT77" i="82"/>
  <c r="CV77" i="82" s="1"/>
  <c r="CT78" i="82"/>
  <c r="CV78" i="82"/>
  <c r="CT79" i="82"/>
  <c r="CV79" i="82" s="1"/>
  <c r="CT80" i="82"/>
  <c r="CV80" i="82" s="1"/>
  <c r="CT81" i="82"/>
  <c r="CV81" i="82" s="1"/>
  <c r="CT82" i="82"/>
  <c r="CV82" i="82" s="1"/>
  <c r="CT83" i="82"/>
  <c r="CV83" i="82" s="1"/>
  <c r="CT84" i="82"/>
  <c r="CV84" i="82" s="1"/>
  <c r="CT85" i="82"/>
  <c r="CV85" i="82"/>
  <c r="CT86" i="82"/>
  <c r="CV86" i="82" s="1"/>
  <c r="CT87" i="82"/>
  <c r="CV87" i="82" s="1"/>
  <c r="CT88" i="82"/>
  <c r="CV88" i="82" s="1"/>
  <c r="CT89" i="82"/>
  <c r="CV89" i="82" s="1"/>
  <c r="CT90" i="82"/>
  <c r="CV90" i="82" s="1"/>
  <c r="CT91" i="82"/>
  <c r="CV91" i="82" s="1"/>
  <c r="CT92" i="82"/>
  <c r="CV92" i="82" s="1"/>
  <c r="CT93" i="82"/>
  <c r="CV93" i="82" s="1"/>
  <c r="CT94" i="82"/>
  <c r="CV94" i="82" s="1"/>
  <c r="CT5" i="82"/>
  <c r="AG7" i="82"/>
  <c r="AG8" i="82"/>
  <c r="AG9" i="82"/>
  <c r="AE10" i="82"/>
  <c r="AG10" i="82" s="1"/>
  <c r="AE11" i="82"/>
  <c r="AG11" i="82" s="1"/>
  <c r="AE12" i="82"/>
  <c r="AG12" i="82" s="1"/>
  <c r="AE13" i="82"/>
  <c r="AG13" i="82" s="1"/>
  <c r="AE14" i="82"/>
  <c r="AG14" i="82" s="1"/>
  <c r="AE15" i="82"/>
  <c r="AG15" i="82" s="1"/>
  <c r="AE16" i="82"/>
  <c r="AG16" i="82" s="1"/>
  <c r="AE17" i="82"/>
  <c r="AG17" i="82" s="1"/>
  <c r="AE18" i="82"/>
  <c r="AG18" i="82" s="1"/>
  <c r="AE19" i="82"/>
  <c r="AG19" i="82" s="1"/>
  <c r="AE20" i="82"/>
  <c r="AG20" i="82" s="1"/>
  <c r="AE21" i="82"/>
  <c r="AG21" i="82" s="1"/>
  <c r="AE22" i="82"/>
  <c r="AG22" i="82" s="1"/>
  <c r="AE23" i="82"/>
  <c r="AG23" i="82" s="1"/>
  <c r="AE24" i="82"/>
  <c r="AG24" i="82" s="1"/>
  <c r="AE25" i="82"/>
  <c r="AG25" i="82" s="1"/>
  <c r="AE26" i="82"/>
  <c r="AG26" i="82" s="1"/>
  <c r="AE27" i="82"/>
  <c r="AG27" i="82" s="1"/>
  <c r="AE28" i="82"/>
  <c r="AG28" i="82" s="1"/>
  <c r="AE29" i="82"/>
  <c r="AG29" i="82" s="1"/>
  <c r="AE30" i="82"/>
  <c r="AG30" i="82" s="1"/>
  <c r="AE31" i="82"/>
  <c r="AG31" i="82" l="1"/>
  <c r="AE32" i="82"/>
  <c r="DK93" i="82"/>
  <c r="DK89" i="82"/>
  <c r="DK85" i="82"/>
  <c r="DK81" i="82"/>
  <c r="DK77" i="82"/>
  <c r="DK73" i="82"/>
  <c r="DO69" i="82"/>
  <c r="DI69" i="82"/>
  <c r="DO65" i="82"/>
  <c r="DI65" i="82"/>
  <c r="DO61" i="82"/>
  <c r="DI61" i="82"/>
  <c r="DO57" i="82"/>
  <c r="DI57" i="82"/>
  <c r="DO53" i="82"/>
  <c r="DI53" i="82"/>
  <c r="DO49" i="82"/>
  <c r="DI49" i="82"/>
  <c r="DO45" i="82"/>
  <c r="DI45" i="82"/>
  <c r="DO41" i="82"/>
  <c r="DI41" i="82"/>
  <c r="DO37" i="82"/>
  <c r="DI37" i="82"/>
  <c r="DO33" i="82"/>
  <c r="DI33" i="82"/>
  <c r="DO29" i="82"/>
  <c r="DI29" i="82"/>
  <c r="DO25" i="82"/>
  <c r="DI25" i="82"/>
  <c r="DO21" i="82"/>
  <c r="DI21" i="82"/>
  <c r="DO17" i="82"/>
  <c r="DI17" i="82"/>
  <c r="DO13" i="82"/>
  <c r="DI13" i="82"/>
  <c r="DO9" i="82"/>
  <c r="DI9" i="82"/>
  <c r="DK92" i="82"/>
  <c r="DK88" i="82"/>
  <c r="DK84" i="82"/>
  <c r="DK80" i="82"/>
  <c r="DK76" i="82"/>
  <c r="DK72" i="82"/>
  <c r="DO68" i="82"/>
  <c r="DI68" i="82"/>
  <c r="DO64" i="82"/>
  <c r="DI64" i="82"/>
  <c r="DO60" i="82"/>
  <c r="DI60" i="82"/>
  <c r="DO56" i="82"/>
  <c r="DI56" i="82"/>
  <c r="DO52" i="82"/>
  <c r="DI52" i="82"/>
  <c r="DO48" i="82"/>
  <c r="DI48" i="82"/>
  <c r="DO44" i="82"/>
  <c r="DI44" i="82"/>
  <c r="DO40" i="82"/>
  <c r="DI40" i="82"/>
  <c r="DO36" i="82"/>
  <c r="DI36" i="82"/>
  <c r="DO32" i="82"/>
  <c r="DI32" i="82"/>
  <c r="DO28" i="82"/>
  <c r="DI28" i="82"/>
  <c r="DO24" i="82"/>
  <c r="DI24" i="82"/>
  <c r="DO20" i="82"/>
  <c r="DI20" i="82"/>
  <c r="DO16" i="82"/>
  <c r="DI16" i="82"/>
  <c r="DO12" i="82"/>
  <c r="DI12" i="82"/>
  <c r="DO8" i="82"/>
  <c r="DI8" i="82"/>
  <c r="DK5" i="82"/>
  <c r="DK91" i="82"/>
  <c r="DK87" i="82"/>
  <c r="DK83" i="82"/>
  <c r="DK79" i="82"/>
  <c r="DK94" i="82"/>
  <c r="DK90" i="82"/>
  <c r="DK86" i="82"/>
  <c r="DK82" i="82"/>
  <c r="DK78" i="82"/>
  <c r="DK74" i="82"/>
  <c r="DK70" i="82"/>
  <c r="DK66" i="82"/>
  <c r="DK62" i="82"/>
  <c r="DK58" i="82"/>
  <c r="DK54" i="82"/>
  <c r="DK50" i="82"/>
  <c r="DK46" i="82"/>
  <c r="DK42" i="82"/>
  <c r="DK38" i="82"/>
  <c r="DO34" i="82"/>
  <c r="DI34" i="82"/>
  <c r="DO30" i="82"/>
  <c r="DI30" i="82"/>
  <c r="DO26" i="82"/>
  <c r="DI26" i="82"/>
  <c r="DO22" i="82"/>
  <c r="DI22" i="82"/>
  <c r="DO18" i="82"/>
  <c r="DI18" i="82"/>
  <c r="DO14" i="82"/>
  <c r="DI14" i="82"/>
  <c r="DO10" i="82"/>
  <c r="DI10" i="82"/>
  <c r="DK6" i="82"/>
  <c r="DK75" i="82"/>
  <c r="DK71" i="82"/>
  <c r="DK67" i="82"/>
  <c r="DK63" i="82"/>
  <c r="DK59" i="82"/>
  <c r="DK55" i="82"/>
  <c r="DK51" i="82"/>
  <c r="DK47" i="82"/>
  <c r="DK43" i="82"/>
  <c r="DK39" i="82"/>
  <c r="DK35" i="82"/>
  <c r="DK31" i="82"/>
  <c r="DK27" i="82"/>
  <c r="DK23" i="82"/>
  <c r="DK19" i="82"/>
  <c r="DK15" i="82"/>
  <c r="DK11" i="82"/>
  <c r="DK7" i="82"/>
  <c r="AE33" i="82" l="1"/>
  <c r="AG32" i="82"/>
  <c r="DO7" i="82"/>
  <c r="DI7" i="82"/>
  <c r="DO19" i="82"/>
  <c r="DI19" i="82"/>
  <c r="DO35" i="82"/>
  <c r="DI35" i="82"/>
  <c r="DO51" i="82"/>
  <c r="DI51" i="82"/>
  <c r="DO67" i="82"/>
  <c r="DI67" i="82"/>
  <c r="DO38" i="82"/>
  <c r="DI38" i="82"/>
  <c r="DO46" i="82"/>
  <c r="DI46" i="82"/>
  <c r="DO54" i="82"/>
  <c r="DI54" i="82"/>
  <c r="DO62" i="82"/>
  <c r="DI62" i="82"/>
  <c r="DO70" i="82"/>
  <c r="DI70" i="82"/>
  <c r="DO78" i="82"/>
  <c r="DI78" i="82"/>
  <c r="DO86" i="82"/>
  <c r="DI86" i="82"/>
  <c r="DO94" i="82"/>
  <c r="DI94" i="82"/>
  <c r="DO83" i="82"/>
  <c r="DI83" i="82"/>
  <c r="DO91" i="82"/>
  <c r="DI91" i="82"/>
  <c r="DO72" i="82"/>
  <c r="DI72" i="82"/>
  <c r="DO80" i="82"/>
  <c r="DI80" i="82"/>
  <c r="DO88" i="82"/>
  <c r="DI88" i="82"/>
  <c r="DO73" i="82"/>
  <c r="DI73" i="82"/>
  <c r="DO81" i="82"/>
  <c r="DI81" i="82"/>
  <c r="DO89" i="82"/>
  <c r="DI89" i="82"/>
  <c r="DO55" i="82"/>
  <c r="DI55" i="82"/>
  <c r="DO23" i="82"/>
  <c r="DI23" i="82"/>
  <c r="DO11" i="82"/>
  <c r="DI11" i="82"/>
  <c r="DO43" i="82"/>
  <c r="DI43" i="82"/>
  <c r="DO75" i="82"/>
  <c r="DI75" i="82"/>
  <c r="DO42" i="82"/>
  <c r="DI42" i="82"/>
  <c r="DO50" i="82"/>
  <c r="DI50" i="82"/>
  <c r="DO58" i="82"/>
  <c r="DI58" i="82"/>
  <c r="DO66" i="82"/>
  <c r="DI66" i="82"/>
  <c r="DO74" i="82"/>
  <c r="DI74" i="82"/>
  <c r="DO82" i="82"/>
  <c r="DI82" i="82"/>
  <c r="DO90" i="82"/>
  <c r="DI90" i="82"/>
  <c r="DO79" i="82"/>
  <c r="DI79" i="82"/>
  <c r="DO87" i="82"/>
  <c r="DI87" i="82"/>
  <c r="DO5" i="82"/>
  <c r="DI5" i="82"/>
  <c r="DO76" i="82"/>
  <c r="DI76" i="82"/>
  <c r="DO84" i="82"/>
  <c r="DI84" i="82"/>
  <c r="DO92" i="82"/>
  <c r="DI92" i="82"/>
  <c r="DO77" i="82"/>
  <c r="DI77" i="82"/>
  <c r="DO85" i="82"/>
  <c r="DI85" i="82"/>
  <c r="DO93" i="82"/>
  <c r="DI93" i="82"/>
  <c r="DO39" i="82"/>
  <c r="DI39" i="82"/>
  <c r="DO71" i="82"/>
  <c r="DI71" i="82"/>
  <c r="DO27" i="82"/>
  <c r="DI27" i="82"/>
  <c r="DO59" i="82"/>
  <c r="DI59" i="82"/>
  <c r="DO15" i="82"/>
  <c r="DI15" i="82"/>
  <c r="DO31" i="82"/>
  <c r="DI31" i="82"/>
  <c r="DO47" i="82"/>
  <c r="DI47" i="82"/>
  <c r="DO63" i="82"/>
  <c r="DI63" i="82"/>
  <c r="DO6" i="82"/>
  <c r="DI6" i="82"/>
  <c r="Y6" i="95"/>
  <c r="CY6" i="82"/>
  <c r="CY7" i="82"/>
  <c r="CY8" i="82"/>
  <c r="CY9" i="82"/>
  <c r="CY10" i="82"/>
  <c r="CY11" i="82"/>
  <c r="CY12" i="82"/>
  <c r="CY13" i="82"/>
  <c r="CY14" i="82"/>
  <c r="CY15" i="82"/>
  <c r="CY16" i="82"/>
  <c r="CY17" i="82"/>
  <c r="CY18" i="82"/>
  <c r="CY19" i="82"/>
  <c r="CY20" i="82"/>
  <c r="CY21" i="82"/>
  <c r="CY22" i="82"/>
  <c r="CY23" i="82"/>
  <c r="CY24" i="82"/>
  <c r="CY25" i="82"/>
  <c r="CY26" i="82"/>
  <c r="CY27" i="82"/>
  <c r="CY28" i="82"/>
  <c r="CY29" i="82"/>
  <c r="CY30" i="82"/>
  <c r="CY31" i="82"/>
  <c r="CY32" i="82"/>
  <c r="CY33" i="82"/>
  <c r="CY34" i="82"/>
  <c r="CY35" i="82"/>
  <c r="CY36" i="82"/>
  <c r="CY37" i="82"/>
  <c r="CY38" i="82"/>
  <c r="CY39" i="82"/>
  <c r="CY40" i="82"/>
  <c r="CY41" i="82"/>
  <c r="CY42" i="82"/>
  <c r="CY43" i="82"/>
  <c r="CY44" i="82"/>
  <c r="CY45" i="82"/>
  <c r="CY46" i="82"/>
  <c r="CY47" i="82"/>
  <c r="CY48" i="82"/>
  <c r="CY49" i="82"/>
  <c r="CY50" i="82"/>
  <c r="CY51" i="82"/>
  <c r="CY52" i="82"/>
  <c r="CY53" i="82"/>
  <c r="CY54" i="82"/>
  <c r="CY55" i="82"/>
  <c r="CY56" i="82"/>
  <c r="CY57" i="82"/>
  <c r="CY58" i="82"/>
  <c r="CY59" i="82"/>
  <c r="CY60" i="82"/>
  <c r="CY61" i="82"/>
  <c r="CY62" i="82"/>
  <c r="CY63" i="82"/>
  <c r="CY64" i="82"/>
  <c r="CY65" i="82"/>
  <c r="CY66" i="82"/>
  <c r="CY67" i="82"/>
  <c r="CY68" i="82"/>
  <c r="CY69" i="82"/>
  <c r="CY70" i="82"/>
  <c r="CY71" i="82"/>
  <c r="CY72" i="82"/>
  <c r="CY73" i="82"/>
  <c r="CY74" i="82"/>
  <c r="CY75" i="82"/>
  <c r="CY76" i="82"/>
  <c r="CY77" i="82"/>
  <c r="CY78" i="82"/>
  <c r="CY79" i="82"/>
  <c r="CY80" i="82"/>
  <c r="CY81" i="82"/>
  <c r="CY82" i="82"/>
  <c r="CY83" i="82"/>
  <c r="CY84" i="82"/>
  <c r="CY85" i="82"/>
  <c r="CY86" i="82"/>
  <c r="CY87" i="82"/>
  <c r="CY88" i="82"/>
  <c r="CY89" i="82"/>
  <c r="CY90" i="82"/>
  <c r="CY91" i="82"/>
  <c r="CY92" i="82"/>
  <c r="CY93" i="82"/>
  <c r="CY94" i="82"/>
  <c r="CY5" i="82"/>
  <c r="CM60" i="82"/>
  <c r="CN60" i="82"/>
  <c r="CM61" i="82"/>
  <c r="CN61" i="82"/>
  <c r="CM62" i="82"/>
  <c r="CN62" i="82"/>
  <c r="CM63" i="82"/>
  <c r="CN63" i="82"/>
  <c r="CM64" i="82"/>
  <c r="CN64" i="82"/>
  <c r="CM65" i="82"/>
  <c r="CN65" i="82"/>
  <c r="CM66" i="82"/>
  <c r="CN66" i="82"/>
  <c r="CM67" i="82"/>
  <c r="CN67" i="82"/>
  <c r="CM68" i="82"/>
  <c r="CN68" i="82"/>
  <c r="CM69" i="82"/>
  <c r="CN69" i="82"/>
  <c r="CM70" i="82"/>
  <c r="CN70" i="82"/>
  <c r="CM71" i="82"/>
  <c r="CN71" i="82"/>
  <c r="CM72" i="82"/>
  <c r="CN72" i="82"/>
  <c r="CM73" i="82"/>
  <c r="CN73" i="82"/>
  <c r="CM74" i="82"/>
  <c r="CN74" i="82"/>
  <c r="CM75" i="82"/>
  <c r="CN75" i="82"/>
  <c r="CM76" i="82"/>
  <c r="CN76" i="82"/>
  <c r="CM77" i="82"/>
  <c r="CN77" i="82"/>
  <c r="CM78" i="82"/>
  <c r="CN78" i="82"/>
  <c r="CM79" i="82"/>
  <c r="CN79" i="82"/>
  <c r="CM80" i="82"/>
  <c r="CN80" i="82"/>
  <c r="CM81" i="82"/>
  <c r="CN81" i="82"/>
  <c r="CM82" i="82"/>
  <c r="CN82" i="82"/>
  <c r="CM83" i="82"/>
  <c r="CN83" i="82"/>
  <c r="CM84" i="82"/>
  <c r="CN84" i="82"/>
  <c r="CM85" i="82"/>
  <c r="CN85" i="82"/>
  <c r="CM86" i="82"/>
  <c r="CN86" i="82"/>
  <c r="CM87" i="82"/>
  <c r="CN87" i="82"/>
  <c r="CM88" i="82"/>
  <c r="CN88" i="82"/>
  <c r="CM89" i="82"/>
  <c r="CN89" i="82"/>
  <c r="CM90" i="82"/>
  <c r="CN90" i="82"/>
  <c r="CM91" i="82"/>
  <c r="CN91" i="82"/>
  <c r="CM92" i="82"/>
  <c r="CN92" i="82"/>
  <c r="CM93" i="82"/>
  <c r="CN93" i="82"/>
  <c r="CM94" i="82"/>
  <c r="CN94" i="82"/>
  <c r="CM5" i="82"/>
  <c r="CM6" i="82"/>
  <c r="CM7" i="82"/>
  <c r="CM8" i="82"/>
  <c r="CM9" i="82"/>
  <c r="CM10" i="82"/>
  <c r="CM11" i="82"/>
  <c r="CM12" i="82"/>
  <c r="CM13" i="82"/>
  <c r="CM14" i="82"/>
  <c r="CM15" i="82"/>
  <c r="CM16" i="82"/>
  <c r="CM17" i="82"/>
  <c r="CM18" i="82"/>
  <c r="CM19" i="82"/>
  <c r="CM20" i="82"/>
  <c r="CM21" i="82"/>
  <c r="CM22" i="82"/>
  <c r="CM23" i="82"/>
  <c r="CM24" i="82"/>
  <c r="CM25" i="82"/>
  <c r="CM26" i="82"/>
  <c r="CM27" i="82"/>
  <c r="CM28" i="82"/>
  <c r="CM29" i="82"/>
  <c r="CM30" i="82"/>
  <c r="CM31" i="82"/>
  <c r="CM32" i="82"/>
  <c r="CM33" i="82"/>
  <c r="CM34" i="82"/>
  <c r="CM35" i="82"/>
  <c r="CM36" i="82"/>
  <c r="CM37" i="82"/>
  <c r="CM38" i="82"/>
  <c r="CM39" i="82"/>
  <c r="CM40" i="82"/>
  <c r="CM41" i="82"/>
  <c r="CM42" i="82"/>
  <c r="CM43" i="82"/>
  <c r="CM44" i="82"/>
  <c r="CM45" i="82"/>
  <c r="CM46" i="82"/>
  <c r="CM47" i="82"/>
  <c r="CM48" i="82"/>
  <c r="CM49" i="82"/>
  <c r="CM50" i="82"/>
  <c r="CM51" i="82"/>
  <c r="CM52" i="82"/>
  <c r="CM53" i="82"/>
  <c r="CM54" i="82"/>
  <c r="CM55" i="82"/>
  <c r="CM56" i="82"/>
  <c r="CM57" i="82"/>
  <c r="CM58" i="82"/>
  <c r="CM59" i="82"/>
  <c r="AE34" i="82" l="1"/>
  <c r="AE35" i="82" s="1"/>
  <c r="AG33" i="82"/>
  <c r="AG34" i="82" s="1"/>
  <c r="AG35" i="82" s="1"/>
  <c r="P8" i="89"/>
  <c r="CD65" i="82"/>
  <c r="CD66" i="82"/>
  <c r="CD67" i="82"/>
  <c r="CD68" i="82"/>
  <c r="CD69" i="82"/>
  <c r="CD70" i="82"/>
  <c r="CD71" i="82"/>
  <c r="CD72" i="82"/>
  <c r="CD73" i="82"/>
  <c r="CD74" i="82"/>
  <c r="CD75" i="82"/>
  <c r="CD76" i="82"/>
  <c r="CD77" i="82"/>
  <c r="CD78" i="82"/>
  <c r="CD79" i="82"/>
  <c r="CD80" i="82"/>
  <c r="CD81" i="82"/>
  <c r="CD82" i="82"/>
  <c r="CD83" i="82"/>
  <c r="CD84" i="82"/>
  <c r="CD85" i="82"/>
  <c r="CD86" i="82"/>
  <c r="CD87" i="82"/>
  <c r="CD88" i="82"/>
  <c r="CD89" i="82"/>
  <c r="CD90" i="82"/>
  <c r="CD91" i="82"/>
  <c r="CD6" i="82"/>
  <c r="CD7" i="82"/>
  <c r="CD8" i="82"/>
  <c r="CD9" i="82"/>
  <c r="CD10" i="82"/>
  <c r="CD11" i="82"/>
  <c r="CD12" i="82"/>
  <c r="CD13" i="82"/>
  <c r="CD14" i="82"/>
  <c r="CD15" i="82"/>
  <c r="CD16" i="82"/>
  <c r="CD17" i="82"/>
  <c r="CD18" i="82"/>
  <c r="CD19" i="82"/>
  <c r="CD20" i="82"/>
  <c r="CD21" i="82"/>
  <c r="CD22" i="82"/>
  <c r="CD23" i="82"/>
  <c r="CD24" i="82"/>
  <c r="CD25" i="82"/>
  <c r="CD26" i="82"/>
  <c r="CD27" i="82"/>
  <c r="CD28" i="82"/>
  <c r="CD29" i="82"/>
  <c r="CD30" i="82"/>
  <c r="CD31" i="82"/>
  <c r="CD32" i="82"/>
  <c r="CD33" i="82"/>
  <c r="CD34" i="82"/>
  <c r="CD35" i="82"/>
  <c r="CD36" i="82"/>
  <c r="CD37" i="82"/>
  <c r="CD38" i="82"/>
  <c r="CD39" i="82"/>
  <c r="CD40" i="82"/>
  <c r="CD41" i="82"/>
  <c r="CD42" i="82"/>
  <c r="CD43" i="82"/>
  <c r="CD44" i="82"/>
  <c r="CD45" i="82"/>
  <c r="CD46" i="82"/>
  <c r="CD47" i="82"/>
  <c r="CD48" i="82"/>
  <c r="CD49" i="82"/>
  <c r="CD50" i="82"/>
  <c r="CD51" i="82"/>
  <c r="CD52" i="82"/>
  <c r="CD53" i="82"/>
  <c r="CD54" i="82"/>
  <c r="CD55" i="82"/>
  <c r="CD56" i="82"/>
  <c r="CD57" i="82"/>
  <c r="CD58" i="82"/>
  <c r="CD59" i="82"/>
  <c r="CD60" i="82"/>
  <c r="CD61" i="82"/>
  <c r="CD62" i="82"/>
  <c r="CD63" i="82"/>
  <c r="CD64" i="82"/>
  <c r="CD5" i="82"/>
  <c r="Q38" i="89" l="1"/>
  <c r="AG38" i="89" s="1"/>
  <c r="AB37" i="89" l="1"/>
  <c r="BO6" i="82" l="1"/>
  <c r="BW6" i="82" s="1"/>
  <c r="BO7" i="82"/>
  <c r="BW7" i="82" s="1"/>
  <c r="BO8" i="82"/>
  <c r="BW8" i="82" s="1"/>
  <c r="BO9" i="82"/>
  <c r="BW9" i="82" s="1"/>
  <c r="BO10" i="82"/>
  <c r="BW10" i="82" s="1"/>
  <c r="BO11" i="82"/>
  <c r="BW11" i="82" s="1"/>
  <c r="BO12" i="82"/>
  <c r="BW12" i="82" s="1"/>
  <c r="BO13" i="82"/>
  <c r="BW13" i="82" s="1"/>
  <c r="BO14" i="82"/>
  <c r="BW14" i="82" s="1"/>
  <c r="BO15" i="82"/>
  <c r="BW15" i="82" s="1"/>
  <c r="BO16" i="82"/>
  <c r="BW16" i="82" s="1"/>
  <c r="BO17" i="82"/>
  <c r="BW17" i="82" s="1"/>
  <c r="BO18" i="82"/>
  <c r="BW18" i="82" s="1"/>
  <c r="BO19" i="82"/>
  <c r="BW19" i="82" s="1"/>
  <c r="BO20" i="82"/>
  <c r="BW20" i="82" s="1"/>
  <c r="BO21" i="82"/>
  <c r="BW21" i="82" s="1"/>
  <c r="BO22" i="82"/>
  <c r="BW22" i="82" s="1"/>
  <c r="BO23" i="82"/>
  <c r="BW23" i="82" s="1"/>
  <c r="BO24" i="82"/>
  <c r="BW24" i="82" s="1"/>
  <c r="BO25" i="82"/>
  <c r="BW25" i="82" s="1"/>
  <c r="BO26" i="82"/>
  <c r="BW26" i="82" s="1"/>
  <c r="BO27" i="82"/>
  <c r="BW27" i="82" s="1"/>
  <c r="BO28" i="82"/>
  <c r="BW28" i="82" s="1"/>
  <c r="BO29" i="82"/>
  <c r="BW29" i="82" s="1"/>
  <c r="BO30" i="82"/>
  <c r="BW30" i="82" s="1"/>
  <c r="BO31" i="82"/>
  <c r="BW31" i="82" s="1"/>
  <c r="BO32" i="82"/>
  <c r="BW32" i="82" s="1"/>
  <c r="BO33" i="82"/>
  <c r="BW33" i="82" s="1"/>
  <c r="BO34" i="82"/>
  <c r="BW34" i="82" s="1"/>
  <c r="BO35" i="82"/>
  <c r="BW35" i="82" s="1"/>
  <c r="BO36" i="82"/>
  <c r="BW36" i="82" s="1"/>
  <c r="BO37" i="82"/>
  <c r="BW37" i="82" s="1"/>
  <c r="BO38" i="82"/>
  <c r="BW38" i="82" s="1"/>
  <c r="BO39" i="82"/>
  <c r="BW39" i="82" s="1"/>
  <c r="BO40" i="82"/>
  <c r="BW40" i="82" s="1"/>
  <c r="BO41" i="82"/>
  <c r="BW41" i="82" s="1"/>
  <c r="BO42" i="82"/>
  <c r="BW42" i="82" s="1"/>
  <c r="BO43" i="82"/>
  <c r="BW43" i="82" s="1"/>
  <c r="BO44" i="82"/>
  <c r="BW44" i="82" s="1"/>
  <c r="BO45" i="82"/>
  <c r="BW45" i="82" s="1"/>
  <c r="BO46" i="82"/>
  <c r="BW46" i="82" s="1"/>
  <c r="BO47" i="82"/>
  <c r="BW47" i="82" s="1"/>
  <c r="BO48" i="82"/>
  <c r="BW48" i="82" s="1"/>
  <c r="BO49" i="82"/>
  <c r="BW49" i="82" s="1"/>
  <c r="BO50" i="82"/>
  <c r="BW50" i="82" s="1"/>
  <c r="BO51" i="82"/>
  <c r="BW51" i="82" s="1"/>
  <c r="BO52" i="82"/>
  <c r="BW52" i="82" s="1"/>
  <c r="BO53" i="82"/>
  <c r="BW53" i="82" s="1"/>
  <c r="BO54" i="82"/>
  <c r="BW54" i="82" s="1"/>
  <c r="BO55" i="82"/>
  <c r="BW55" i="82" s="1"/>
  <c r="BO56" i="82"/>
  <c r="BW56" i="82" s="1"/>
  <c r="BO57" i="82"/>
  <c r="BW57" i="82" s="1"/>
  <c r="BO58" i="82"/>
  <c r="BW58" i="82" s="1"/>
  <c r="BO59" i="82"/>
  <c r="BW59" i="82" s="1"/>
  <c r="BO60" i="82"/>
  <c r="BW60" i="82" s="1"/>
  <c r="BO61" i="82"/>
  <c r="BW61" i="82" s="1"/>
  <c r="BO62" i="82"/>
  <c r="BW62" i="82" s="1"/>
  <c r="BO63" i="82"/>
  <c r="BW63" i="82" s="1"/>
  <c r="BO64" i="82"/>
  <c r="BW64" i="82" s="1"/>
  <c r="BO65" i="82"/>
  <c r="BW65" i="82" s="1"/>
  <c r="BU65" i="82" s="1"/>
  <c r="BO66" i="82"/>
  <c r="BW66" i="82" s="1"/>
  <c r="BO67" i="82"/>
  <c r="BW67" i="82" s="1"/>
  <c r="BO68" i="82"/>
  <c r="BW68" i="82" s="1"/>
  <c r="BO69" i="82"/>
  <c r="BW69" i="82" s="1"/>
  <c r="BU69" i="82" s="1"/>
  <c r="BO70" i="82"/>
  <c r="BW70" i="82" s="1"/>
  <c r="BO71" i="82"/>
  <c r="BW71" i="82" s="1"/>
  <c r="BO72" i="82"/>
  <c r="BW72" i="82" s="1"/>
  <c r="BO73" i="82"/>
  <c r="BW73" i="82" s="1"/>
  <c r="BU73" i="82" s="1"/>
  <c r="BO74" i="82"/>
  <c r="BW74" i="82" s="1"/>
  <c r="BO75" i="82"/>
  <c r="BW75" i="82" s="1"/>
  <c r="BO76" i="82"/>
  <c r="BW76" i="82" s="1"/>
  <c r="BO77" i="82"/>
  <c r="BW77" i="82" s="1"/>
  <c r="BU77" i="82" s="1"/>
  <c r="BO78" i="82"/>
  <c r="BW78" i="82" s="1"/>
  <c r="BO79" i="82"/>
  <c r="BW79" i="82" s="1"/>
  <c r="BO80" i="82"/>
  <c r="BW80" i="82" s="1"/>
  <c r="BO81" i="82"/>
  <c r="BW81" i="82" s="1"/>
  <c r="BU81" i="82" s="1"/>
  <c r="BO82" i="82"/>
  <c r="BW82" i="82" s="1"/>
  <c r="BO83" i="82"/>
  <c r="BW83" i="82" s="1"/>
  <c r="BO84" i="82"/>
  <c r="BW84" i="82" s="1"/>
  <c r="BO85" i="82"/>
  <c r="BW85" i="82" s="1"/>
  <c r="BU85" i="82" s="1"/>
  <c r="BO86" i="82"/>
  <c r="BW86" i="82" s="1"/>
  <c r="BO87" i="82"/>
  <c r="BW87" i="82" s="1"/>
  <c r="BO88" i="82"/>
  <c r="BW88" i="82" s="1"/>
  <c r="BO89" i="82"/>
  <c r="BW89" i="82" s="1"/>
  <c r="BU89" i="82" s="1"/>
  <c r="BO90" i="82"/>
  <c r="BW90" i="82" s="1"/>
  <c r="BO91" i="82"/>
  <c r="BW91" i="82" s="1"/>
  <c r="BO92" i="82"/>
  <c r="BW92" i="82" s="1"/>
  <c r="BO93" i="82"/>
  <c r="BW93" i="82" s="1"/>
  <c r="BU93" i="82" s="1"/>
  <c r="BO94" i="82"/>
  <c r="BW94" i="82" s="1"/>
  <c r="BO5" i="82"/>
  <c r="BW5" i="82" s="1"/>
  <c r="BQ65" i="82"/>
  <c r="BY65" i="82" s="1"/>
  <c r="CA65" i="82" s="1"/>
  <c r="BQ66" i="82"/>
  <c r="BY66" i="82" s="1"/>
  <c r="CA66" i="82" s="1"/>
  <c r="BQ67" i="82"/>
  <c r="BY67" i="82" s="1"/>
  <c r="CA67" i="82" s="1"/>
  <c r="BQ68" i="82"/>
  <c r="BY68" i="82" s="1"/>
  <c r="CA68" i="82" s="1"/>
  <c r="BQ69" i="82"/>
  <c r="BY69" i="82" s="1"/>
  <c r="CA69" i="82" s="1"/>
  <c r="BQ70" i="82"/>
  <c r="BY70" i="82" s="1"/>
  <c r="CA70" i="82" s="1"/>
  <c r="BQ71" i="82"/>
  <c r="BY71" i="82" s="1"/>
  <c r="CA71" i="82" s="1"/>
  <c r="BQ72" i="82"/>
  <c r="BY72" i="82" s="1"/>
  <c r="CA72" i="82" s="1"/>
  <c r="BQ73" i="82"/>
  <c r="BY73" i="82" s="1"/>
  <c r="CA73" i="82" s="1"/>
  <c r="BQ74" i="82"/>
  <c r="BY74" i="82" s="1"/>
  <c r="CA74" i="82" s="1"/>
  <c r="BQ75" i="82"/>
  <c r="BY75" i="82" s="1"/>
  <c r="CA75" i="82" s="1"/>
  <c r="BQ76" i="82"/>
  <c r="BY76" i="82" s="1"/>
  <c r="CA76" i="82" s="1"/>
  <c r="BQ77" i="82"/>
  <c r="BY77" i="82" s="1"/>
  <c r="CA77" i="82" s="1"/>
  <c r="BQ78" i="82"/>
  <c r="BY78" i="82" s="1"/>
  <c r="CA78" i="82" s="1"/>
  <c r="BQ79" i="82"/>
  <c r="BY79" i="82" s="1"/>
  <c r="CA79" i="82" s="1"/>
  <c r="BQ80" i="82"/>
  <c r="BY80" i="82" s="1"/>
  <c r="CA80" i="82" s="1"/>
  <c r="BQ81" i="82"/>
  <c r="BY81" i="82" s="1"/>
  <c r="CA81" i="82" s="1"/>
  <c r="BQ82" i="82"/>
  <c r="BY82" i="82" s="1"/>
  <c r="CA82" i="82" s="1"/>
  <c r="BQ83" i="82"/>
  <c r="BY83" i="82" s="1"/>
  <c r="CA83" i="82" s="1"/>
  <c r="BQ84" i="82"/>
  <c r="BY84" i="82" s="1"/>
  <c r="CA84" i="82" s="1"/>
  <c r="BQ85" i="82"/>
  <c r="BY85" i="82" s="1"/>
  <c r="CA85" i="82" s="1"/>
  <c r="BQ86" i="82"/>
  <c r="BY86" i="82" s="1"/>
  <c r="CA86" i="82" s="1"/>
  <c r="BQ87" i="82"/>
  <c r="BY87" i="82" s="1"/>
  <c r="CA87" i="82" s="1"/>
  <c r="BQ88" i="82"/>
  <c r="BY88" i="82" s="1"/>
  <c r="CA88" i="82" s="1"/>
  <c r="BQ89" i="82"/>
  <c r="BY89" i="82" s="1"/>
  <c r="CA89" i="82" s="1"/>
  <c r="BQ90" i="82"/>
  <c r="BY90" i="82" s="1"/>
  <c r="CA90" i="82" s="1"/>
  <c r="BQ91" i="82"/>
  <c r="BY91" i="82" s="1"/>
  <c r="CA91" i="82" s="1"/>
  <c r="BQ92" i="82"/>
  <c r="BY92" i="82" s="1"/>
  <c r="CA92" i="82" s="1"/>
  <c r="BQ93" i="82"/>
  <c r="BY93" i="82" s="1"/>
  <c r="CA93" i="82" s="1"/>
  <c r="BQ94" i="82"/>
  <c r="BY94" i="82" s="1"/>
  <c r="CA94" i="82" s="1"/>
  <c r="D7" i="82"/>
  <c r="D8" i="82"/>
  <c r="D9" i="82"/>
  <c r="D10" i="82"/>
  <c r="D11" i="82"/>
  <c r="D12" i="82"/>
  <c r="D13" i="82"/>
  <c r="D14" i="82"/>
  <c r="AQ37" i="82" s="1"/>
  <c r="D15" i="82"/>
  <c r="D16" i="82"/>
  <c r="D17" i="82"/>
  <c r="D18" i="82"/>
  <c r="AQ53" i="82" s="1"/>
  <c r="D19" i="82"/>
  <c r="D20" i="82"/>
  <c r="D21" i="82"/>
  <c r="D22" i="82"/>
  <c r="AQ69" i="82" s="1"/>
  <c r="D23" i="82"/>
  <c r="D24" i="82"/>
  <c r="D25" i="82"/>
  <c r="D26" i="82"/>
  <c r="AQ85" i="82" s="1"/>
  <c r="D27" i="82"/>
  <c r="D28" i="82"/>
  <c r="D29" i="82"/>
  <c r="D30" i="82"/>
  <c r="AQ101" i="82" s="1"/>
  <c r="D31" i="82"/>
  <c r="D32" i="82"/>
  <c r="D33" i="82"/>
  <c r="D34" i="82"/>
  <c r="AQ117" i="82" s="1"/>
  <c r="D35" i="82"/>
  <c r="D6" i="82"/>
  <c r="AI7" i="82"/>
  <c r="AI8" i="82"/>
  <c r="AI9" i="82"/>
  <c r="AI10" i="82"/>
  <c r="AI11" i="82"/>
  <c r="AI12" i="82"/>
  <c r="AI13" i="82"/>
  <c r="AI14" i="82"/>
  <c r="AI15" i="82"/>
  <c r="AI16" i="82"/>
  <c r="AI17" i="82"/>
  <c r="AI18" i="82"/>
  <c r="AI19" i="82"/>
  <c r="AI20" i="82"/>
  <c r="AI21" i="82"/>
  <c r="AI22" i="82"/>
  <c r="AI23" i="82"/>
  <c r="AI24" i="82"/>
  <c r="AI25" i="82"/>
  <c r="AI26" i="82"/>
  <c r="AI27" i="82"/>
  <c r="AI28" i="82"/>
  <c r="AI29" i="82"/>
  <c r="AI30" i="82"/>
  <c r="AI31" i="82"/>
  <c r="AI32" i="82"/>
  <c r="AI33" i="82"/>
  <c r="AI34" i="82"/>
  <c r="AI35" i="82"/>
  <c r="AF35" i="82"/>
  <c r="U7" i="82"/>
  <c r="U8" i="82"/>
  <c r="U9" i="82"/>
  <c r="U10" i="82"/>
  <c r="U11" i="82"/>
  <c r="U12" i="82"/>
  <c r="U13" i="82"/>
  <c r="U14" i="82"/>
  <c r="U15" i="82"/>
  <c r="U16" i="82"/>
  <c r="U17" i="82"/>
  <c r="U18" i="82"/>
  <c r="U19" i="82"/>
  <c r="U20" i="82"/>
  <c r="U21" i="82"/>
  <c r="U22" i="82"/>
  <c r="U23" i="82"/>
  <c r="U24" i="82"/>
  <c r="U25" i="82"/>
  <c r="U26" i="82"/>
  <c r="U27" i="82"/>
  <c r="U28" i="82"/>
  <c r="U29" i="82"/>
  <c r="U30" i="82"/>
  <c r="U31" i="82"/>
  <c r="U32" i="82"/>
  <c r="U33" i="82"/>
  <c r="U34" i="82"/>
  <c r="U35" i="82"/>
  <c r="U6" i="82"/>
  <c r="S7" i="82"/>
  <c r="S8" i="82"/>
  <c r="S9" i="82"/>
  <c r="S10" i="82"/>
  <c r="S11" i="82"/>
  <c r="S12" i="82"/>
  <c r="S13" i="82"/>
  <c r="S14" i="82"/>
  <c r="S15" i="82"/>
  <c r="S16" i="82"/>
  <c r="S17" i="82"/>
  <c r="S18" i="82"/>
  <c r="S19" i="82"/>
  <c r="S20" i="82"/>
  <c r="S21" i="82"/>
  <c r="S22" i="82"/>
  <c r="S23" i="82"/>
  <c r="S24" i="82"/>
  <c r="S25" i="82"/>
  <c r="S26" i="82"/>
  <c r="S27" i="82"/>
  <c r="S28" i="82"/>
  <c r="S29" i="82"/>
  <c r="S30" i="82"/>
  <c r="S31" i="82"/>
  <c r="S32" i="82"/>
  <c r="S33" i="82"/>
  <c r="S34" i="82"/>
  <c r="S35" i="82"/>
  <c r="S6" i="82"/>
  <c r="BU92" i="82" l="1"/>
  <c r="BU88" i="82"/>
  <c r="BU84" i="82"/>
  <c r="BU80" i="82"/>
  <c r="BU76" i="82"/>
  <c r="BU72" i="82"/>
  <c r="BU68" i="82"/>
  <c r="BU91" i="82"/>
  <c r="BU87" i="82"/>
  <c r="BU83" i="82"/>
  <c r="BU79" i="82"/>
  <c r="BU75" i="82"/>
  <c r="BU71" i="82"/>
  <c r="BU67" i="82"/>
  <c r="BU94" i="82"/>
  <c r="BU90" i="82"/>
  <c r="BU86" i="82"/>
  <c r="BU82" i="82"/>
  <c r="BU78" i="82"/>
  <c r="BU74" i="82"/>
  <c r="BU70" i="82"/>
  <c r="BU66" i="82"/>
  <c r="CG85" i="82"/>
  <c r="CE85" i="82"/>
  <c r="BZ85" i="82" s="1"/>
  <c r="DB85" i="82"/>
  <c r="CJ85" i="82"/>
  <c r="BP85" i="82"/>
  <c r="CG73" i="82"/>
  <c r="CE73" i="82"/>
  <c r="DB73" i="82"/>
  <c r="CJ73" i="82"/>
  <c r="BP73" i="82"/>
  <c r="CE57" i="82"/>
  <c r="DB57" i="82"/>
  <c r="CJ57" i="82"/>
  <c r="CR57" i="82" s="1"/>
  <c r="CP57" i="82" s="1"/>
  <c r="BP57" i="82"/>
  <c r="CE45" i="82"/>
  <c r="CJ45" i="82"/>
  <c r="CR45" i="82" s="1"/>
  <c r="CP45" i="82" s="1"/>
  <c r="DB45" i="82"/>
  <c r="BP45" i="82"/>
  <c r="CE33" i="82"/>
  <c r="CJ33" i="82"/>
  <c r="CR33" i="82" s="1"/>
  <c r="CP33" i="82" s="1"/>
  <c r="DB33" i="82"/>
  <c r="BP33" i="82"/>
  <c r="CE9" i="82"/>
  <c r="CJ9" i="82"/>
  <c r="CR9" i="82" s="1"/>
  <c r="CP9" i="82" s="1"/>
  <c r="DB9" i="82"/>
  <c r="BP9" i="82"/>
  <c r="CG92" i="82"/>
  <c r="BZ92" i="82" s="1"/>
  <c r="DB92" i="82"/>
  <c r="CJ92" i="82"/>
  <c r="CR92" i="82" s="1"/>
  <c r="CP92" i="82" s="1"/>
  <c r="BP92" i="82"/>
  <c r="CG88" i="82"/>
  <c r="DB88" i="82"/>
  <c r="CJ88" i="82"/>
  <c r="CE88" i="82"/>
  <c r="BP88" i="82"/>
  <c r="CG84" i="82"/>
  <c r="DB84" i="82"/>
  <c r="CE84" i="82"/>
  <c r="CJ84" i="82"/>
  <c r="BP84" i="82"/>
  <c r="CG80" i="82"/>
  <c r="DB80" i="82"/>
  <c r="CJ80" i="82"/>
  <c r="CE80" i="82"/>
  <c r="BP80" i="82"/>
  <c r="CG76" i="82"/>
  <c r="DB76" i="82"/>
  <c r="CJ76" i="82"/>
  <c r="CE76" i="82"/>
  <c r="BP76" i="82"/>
  <c r="CG72" i="82"/>
  <c r="DB72" i="82"/>
  <c r="CJ72" i="82"/>
  <c r="CE72" i="82"/>
  <c r="BP72" i="82"/>
  <c r="CG68" i="82"/>
  <c r="DB68" i="82"/>
  <c r="CE68" i="82"/>
  <c r="CJ68" i="82"/>
  <c r="BP68" i="82"/>
  <c r="CJ64" i="82"/>
  <c r="CE64" i="82"/>
  <c r="BP64" i="82"/>
  <c r="DB64" i="82"/>
  <c r="CJ60" i="82"/>
  <c r="DB60" i="82"/>
  <c r="CE60" i="82"/>
  <c r="BP60" i="82"/>
  <c r="CJ56" i="82"/>
  <c r="CR56" i="82" s="1"/>
  <c r="CP56" i="82" s="1"/>
  <c r="DB56" i="82"/>
  <c r="CE56" i="82"/>
  <c r="BP56" i="82"/>
  <c r="CE52" i="82"/>
  <c r="CJ52" i="82"/>
  <c r="CR52" i="82" s="1"/>
  <c r="CP52" i="82" s="1"/>
  <c r="DB52" i="82"/>
  <c r="BP52" i="82"/>
  <c r="DB48" i="82"/>
  <c r="CJ48" i="82"/>
  <c r="CR48" i="82" s="1"/>
  <c r="CP48" i="82" s="1"/>
  <c r="CE48" i="82"/>
  <c r="BP48" i="82"/>
  <c r="CJ44" i="82"/>
  <c r="CR44" i="82" s="1"/>
  <c r="CP44" i="82" s="1"/>
  <c r="CE44" i="82"/>
  <c r="BP44" i="82"/>
  <c r="DB44" i="82"/>
  <c r="CE40" i="82"/>
  <c r="CJ40" i="82"/>
  <c r="CR40" i="82" s="1"/>
  <c r="CP40" i="82" s="1"/>
  <c r="BP40" i="82"/>
  <c r="DB40" i="82"/>
  <c r="CE36" i="82"/>
  <c r="CJ36" i="82"/>
  <c r="CR36" i="82" s="1"/>
  <c r="CP36" i="82" s="1"/>
  <c r="DB36" i="82"/>
  <c r="BP36" i="82"/>
  <c r="CE32" i="82"/>
  <c r="CJ32" i="82"/>
  <c r="CR32" i="82" s="1"/>
  <c r="CP32" i="82" s="1"/>
  <c r="BP32" i="82"/>
  <c r="DB32" i="82"/>
  <c r="CJ28" i="82"/>
  <c r="CR28" i="82" s="1"/>
  <c r="CP28" i="82" s="1"/>
  <c r="CE28" i="82"/>
  <c r="DB28" i="82"/>
  <c r="BP28" i="82"/>
  <c r="CJ24" i="82"/>
  <c r="CR24" i="82" s="1"/>
  <c r="CP24" i="82" s="1"/>
  <c r="CE24" i="82"/>
  <c r="DB24" i="82"/>
  <c r="BP24" i="82"/>
  <c r="CJ20" i="82"/>
  <c r="CR20" i="82" s="1"/>
  <c r="CP20" i="82" s="1"/>
  <c r="CE20" i="82"/>
  <c r="DB20" i="82"/>
  <c r="BP20" i="82"/>
  <c r="CJ16" i="82"/>
  <c r="CR16" i="82" s="1"/>
  <c r="CP16" i="82" s="1"/>
  <c r="CE16" i="82"/>
  <c r="DB16" i="82"/>
  <c r="BP16" i="82"/>
  <c r="CJ12" i="82"/>
  <c r="CR12" i="82" s="1"/>
  <c r="CP12" i="82" s="1"/>
  <c r="CE12" i="82"/>
  <c r="DB12" i="82"/>
  <c r="BP12" i="82"/>
  <c r="CJ8" i="82"/>
  <c r="CR8" i="82" s="1"/>
  <c r="CP8" i="82" s="1"/>
  <c r="CE8" i="82"/>
  <c r="DB8" i="82"/>
  <c r="BP8" i="82"/>
  <c r="CG93" i="82"/>
  <c r="BZ93" i="82" s="1"/>
  <c r="DB93" i="82"/>
  <c r="CJ93" i="82"/>
  <c r="CR93" i="82" s="1"/>
  <c r="CP93" i="82" s="1"/>
  <c r="BP93" i="82"/>
  <c r="CG81" i="82"/>
  <c r="CE81" i="82"/>
  <c r="DB81" i="82"/>
  <c r="CJ81" i="82"/>
  <c r="BP81" i="82"/>
  <c r="CG69" i="82"/>
  <c r="CE69" i="82"/>
  <c r="DB69" i="82"/>
  <c r="CJ69" i="82"/>
  <c r="BP69" i="82"/>
  <c r="CE61" i="82"/>
  <c r="DB61" i="82"/>
  <c r="CJ61" i="82"/>
  <c r="BP61" i="82"/>
  <c r="CE49" i="82"/>
  <c r="CJ49" i="82"/>
  <c r="CR49" i="82" s="1"/>
  <c r="CP49" i="82" s="1"/>
  <c r="BP49" i="82"/>
  <c r="DB49" i="82"/>
  <c r="CE37" i="82"/>
  <c r="CJ37" i="82"/>
  <c r="CR37" i="82" s="1"/>
  <c r="CP37" i="82" s="1"/>
  <c r="DB37" i="82"/>
  <c r="BP37" i="82"/>
  <c r="CE25" i="82"/>
  <c r="CJ25" i="82"/>
  <c r="CR25" i="82" s="1"/>
  <c r="CP25" i="82" s="1"/>
  <c r="DB25" i="82"/>
  <c r="BP25" i="82"/>
  <c r="CE17" i="82"/>
  <c r="CJ17" i="82"/>
  <c r="CR17" i="82" s="1"/>
  <c r="CP17" i="82" s="1"/>
  <c r="DB17" i="82"/>
  <c r="BP17" i="82"/>
  <c r="AQ13" i="82"/>
  <c r="CG91" i="82"/>
  <c r="CE91" i="82"/>
  <c r="DB91" i="82"/>
  <c r="CJ91" i="82"/>
  <c r="BP91" i="82"/>
  <c r="CG87" i="82"/>
  <c r="CE87" i="82"/>
  <c r="DB87" i="82"/>
  <c r="CJ87" i="82"/>
  <c r="BP87" i="82"/>
  <c r="CG83" i="82"/>
  <c r="CE83" i="82"/>
  <c r="DB83" i="82"/>
  <c r="CJ83" i="82"/>
  <c r="BP83" i="82"/>
  <c r="CG79" i="82"/>
  <c r="CE79" i="82"/>
  <c r="DB79" i="82"/>
  <c r="CJ79" i="82"/>
  <c r="BP79" i="82"/>
  <c r="CG75" i="82"/>
  <c r="CE75" i="82"/>
  <c r="CJ75" i="82"/>
  <c r="DB75" i="82"/>
  <c r="BP75" i="82"/>
  <c r="CG71" i="82"/>
  <c r="CE71" i="82"/>
  <c r="CJ71" i="82"/>
  <c r="DB71" i="82"/>
  <c r="BP71" i="82"/>
  <c r="CG67" i="82"/>
  <c r="CE67" i="82"/>
  <c r="DB67" i="82"/>
  <c r="CJ67" i="82"/>
  <c r="BP67" i="82"/>
  <c r="CE63" i="82"/>
  <c r="CJ63" i="82"/>
  <c r="DB63" i="82"/>
  <c r="BP63" i="82"/>
  <c r="CE59" i="82"/>
  <c r="CJ59" i="82"/>
  <c r="CR59" i="82" s="1"/>
  <c r="CP59" i="82" s="1"/>
  <c r="DB59" i="82"/>
  <c r="BP59" i="82"/>
  <c r="CE55" i="82"/>
  <c r="DB55" i="82"/>
  <c r="CJ55" i="82"/>
  <c r="CR55" i="82" s="1"/>
  <c r="CP55" i="82" s="1"/>
  <c r="BP55" i="82"/>
  <c r="CE51" i="82"/>
  <c r="CJ51" i="82"/>
  <c r="CR51" i="82" s="1"/>
  <c r="CP51" i="82" s="1"/>
  <c r="DB51" i="82"/>
  <c r="BP51" i="82"/>
  <c r="CE47" i="82"/>
  <c r="CJ47" i="82"/>
  <c r="CR47" i="82" s="1"/>
  <c r="CP47" i="82" s="1"/>
  <c r="DB47" i="82"/>
  <c r="BP47" i="82"/>
  <c r="CE43" i="82"/>
  <c r="DB43" i="82"/>
  <c r="CJ43" i="82"/>
  <c r="CR43" i="82" s="1"/>
  <c r="CP43" i="82" s="1"/>
  <c r="BP43" i="82"/>
  <c r="CE39" i="82"/>
  <c r="DB39" i="82"/>
  <c r="CJ39" i="82"/>
  <c r="CR39" i="82" s="1"/>
  <c r="CP39" i="82" s="1"/>
  <c r="BP39" i="82"/>
  <c r="CE35" i="82"/>
  <c r="CJ35" i="82"/>
  <c r="CR35" i="82" s="1"/>
  <c r="CP35" i="82" s="1"/>
  <c r="DB35" i="82"/>
  <c r="BP35" i="82"/>
  <c r="CE31" i="82"/>
  <c r="DB31" i="82"/>
  <c r="CJ31" i="82"/>
  <c r="CR31" i="82" s="1"/>
  <c r="CP31" i="82" s="1"/>
  <c r="BP31" i="82"/>
  <c r="CE27" i="82"/>
  <c r="CJ27" i="82"/>
  <c r="CR27" i="82" s="1"/>
  <c r="CP27" i="82" s="1"/>
  <c r="DB27" i="82"/>
  <c r="BP27" i="82"/>
  <c r="CE23" i="82"/>
  <c r="DB23" i="82"/>
  <c r="CJ23" i="82"/>
  <c r="CR23" i="82" s="1"/>
  <c r="CP23" i="82" s="1"/>
  <c r="BP23" i="82"/>
  <c r="CE19" i="82"/>
  <c r="CJ19" i="82"/>
  <c r="CR19" i="82" s="1"/>
  <c r="CP19" i="82" s="1"/>
  <c r="DB19" i="82"/>
  <c r="BP19" i="82"/>
  <c r="CE15" i="82"/>
  <c r="DB15" i="82"/>
  <c r="CJ15" i="82"/>
  <c r="CR15" i="82" s="1"/>
  <c r="CP15" i="82" s="1"/>
  <c r="BP15" i="82"/>
  <c r="CE11" i="82"/>
  <c r="CJ11" i="82"/>
  <c r="CR11" i="82" s="1"/>
  <c r="CP11" i="82" s="1"/>
  <c r="DB11" i="82"/>
  <c r="BP11" i="82"/>
  <c r="CE7" i="82"/>
  <c r="DB7" i="82"/>
  <c r="CJ7" i="82"/>
  <c r="CR7" i="82" s="1"/>
  <c r="CP7" i="82" s="1"/>
  <c r="BP7" i="82"/>
  <c r="CG89" i="82"/>
  <c r="CE89" i="82"/>
  <c r="DB89" i="82"/>
  <c r="CJ89" i="82"/>
  <c r="BP89" i="82"/>
  <c r="CG77" i="82"/>
  <c r="CE77" i="82"/>
  <c r="DB77" i="82"/>
  <c r="CJ77" i="82"/>
  <c r="BP77" i="82"/>
  <c r="CG65" i="82"/>
  <c r="CE65" i="82"/>
  <c r="DB65" i="82"/>
  <c r="CJ65" i="82"/>
  <c r="BP65" i="82"/>
  <c r="CE53" i="82"/>
  <c r="CJ53" i="82"/>
  <c r="CR53" i="82" s="1"/>
  <c r="CP53" i="82" s="1"/>
  <c r="DB53" i="82"/>
  <c r="BP53" i="82"/>
  <c r="CE41" i="82"/>
  <c r="CJ41" i="82"/>
  <c r="CR41" i="82" s="1"/>
  <c r="CP41" i="82" s="1"/>
  <c r="DB41" i="82"/>
  <c r="BP41" i="82"/>
  <c r="CE29" i="82"/>
  <c r="CJ29" i="82"/>
  <c r="CR29" i="82" s="1"/>
  <c r="CP29" i="82" s="1"/>
  <c r="DB29" i="82"/>
  <c r="BP29" i="82"/>
  <c r="CE21" i="82"/>
  <c r="CJ21" i="82"/>
  <c r="CR21" i="82" s="1"/>
  <c r="CP21" i="82" s="1"/>
  <c r="DB21" i="82"/>
  <c r="BP21" i="82"/>
  <c r="CE13" i="82"/>
  <c r="CJ13" i="82"/>
  <c r="CR13" i="82" s="1"/>
  <c r="CP13" i="82" s="1"/>
  <c r="DB13" i="82"/>
  <c r="BP13" i="82"/>
  <c r="CG94" i="82"/>
  <c r="BZ94" i="82" s="1"/>
  <c r="DB94" i="82"/>
  <c r="CJ94" i="82"/>
  <c r="CR94" i="82" s="1"/>
  <c r="CP94" i="82" s="1"/>
  <c r="BP94" i="82"/>
  <c r="CG90" i="82"/>
  <c r="CE90" i="82"/>
  <c r="DB90" i="82"/>
  <c r="CJ90" i="82"/>
  <c r="BP90" i="82"/>
  <c r="CG86" i="82"/>
  <c r="CE86" i="82"/>
  <c r="DB86" i="82"/>
  <c r="CJ86" i="82"/>
  <c r="BP86" i="82"/>
  <c r="CG82" i="82"/>
  <c r="CE82" i="82"/>
  <c r="DB82" i="82"/>
  <c r="CJ82" i="82"/>
  <c r="BP82" i="82"/>
  <c r="CG78" i="82"/>
  <c r="CE78" i="82"/>
  <c r="BZ78" i="82" s="1"/>
  <c r="DB78" i="82"/>
  <c r="CJ78" i="82"/>
  <c r="BP78" i="82"/>
  <c r="CG74" i="82"/>
  <c r="CE74" i="82"/>
  <c r="DB74" i="82"/>
  <c r="CJ74" i="82"/>
  <c r="BP74" i="82"/>
  <c r="CG70" i="82"/>
  <c r="CE70" i="82"/>
  <c r="DB70" i="82"/>
  <c r="CJ70" i="82"/>
  <c r="BP70" i="82"/>
  <c r="CG66" i="82"/>
  <c r="CE66" i="82"/>
  <c r="DB66" i="82"/>
  <c r="CJ66" i="82"/>
  <c r="BP66" i="82"/>
  <c r="CE62" i="82"/>
  <c r="DB62" i="82"/>
  <c r="CJ62" i="82"/>
  <c r="BP62" i="82"/>
  <c r="CE58" i="82"/>
  <c r="CJ58" i="82"/>
  <c r="CR58" i="82" s="1"/>
  <c r="CP58" i="82" s="1"/>
  <c r="BP58" i="82"/>
  <c r="DB58" i="82"/>
  <c r="CE54" i="82"/>
  <c r="CJ54" i="82"/>
  <c r="CR54" i="82" s="1"/>
  <c r="CP54" i="82" s="1"/>
  <c r="BP54" i="82"/>
  <c r="DB54" i="82"/>
  <c r="CE50" i="82"/>
  <c r="CJ50" i="82"/>
  <c r="CR50" i="82" s="1"/>
  <c r="CP50" i="82" s="1"/>
  <c r="DB50" i="82"/>
  <c r="BP50" i="82"/>
  <c r="CE46" i="82"/>
  <c r="CJ46" i="82"/>
  <c r="CR46" i="82" s="1"/>
  <c r="CP46" i="82" s="1"/>
  <c r="DB46" i="82"/>
  <c r="BP46" i="82"/>
  <c r="CE42" i="82"/>
  <c r="CJ42" i="82"/>
  <c r="CR42" i="82" s="1"/>
  <c r="CP42" i="82" s="1"/>
  <c r="BP42" i="82"/>
  <c r="DB42" i="82"/>
  <c r="CE38" i="82"/>
  <c r="CJ38" i="82"/>
  <c r="CR38" i="82" s="1"/>
  <c r="CP38" i="82" s="1"/>
  <c r="BP38" i="82"/>
  <c r="DB38" i="82"/>
  <c r="CE34" i="82"/>
  <c r="CJ34" i="82"/>
  <c r="CR34" i="82" s="1"/>
  <c r="CP34" i="82" s="1"/>
  <c r="DB34" i="82"/>
  <c r="BP34" i="82"/>
  <c r="CE30" i="82"/>
  <c r="CJ30" i="82"/>
  <c r="CR30" i="82" s="1"/>
  <c r="CP30" i="82" s="1"/>
  <c r="DB30" i="82"/>
  <c r="BP30" i="82"/>
  <c r="CE26" i="82"/>
  <c r="CJ26" i="82"/>
  <c r="CR26" i="82" s="1"/>
  <c r="CP26" i="82" s="1"/>
  <c r="BP26" i="82"/>
  <c r="DB26" i="82"/>
  <c r="CE22" i="82"/>
  <c r="CJ22" i="82"/>
  <c r="CR22" i="82" s="1"/>
  <c r="CP22" i="82" s="1"/>
  <c r="DB22" i="82"/>
  <c r="BP22" i="82"/>
  <c r="CE18" i="82"/>
  <c r="CJ18" i="82"/>
  <c r="CR18" i="82" s="1"/>
  <c r="CP18" i="82" s="1"/>
  <c r="DB18" i="82"/>
  <c r="BP18" i="82"/>
  <c r="CE14" i="82"/>
  <c r="CJ14" i="82"/>
  <c r="CR14" i="82" s="1"/>
  <c r="CP14" i="82" s="1"/>
  <c r="DB14" i="82"/>
  <c r="BP14" i="82"/>
  <c r="CE10" i="82"/>
  <c r="CJ10" i="82"/>
  <c r="CR10" i="82" s="1"/>
  <c r="CP10" i="82" s="1"/>
  <c r="BP10" i="82"/>
  <c r="DB10" i="82"/>
  <c r="CE6" i="82"/>
  <c r="CJ6" i="82"/>
  <c r="CR6" i="82" s="1"/>
  <c r="CP6" i="82" s="1"/>
  <c r="BP6" i="82"/>
  <c r="DB6" i="82"/>
  <c r="CJ5" i="82"/>
  <c r="CR5" i="82" s="1"/>
  <c r="CP5" i="82" s="1"/>
  <c r="CE5" i="82"/>
  <c r="DB5" i="82"/>
  <c r="K8" i="89"/>
  <c r="K12" i="89"/>
  <c r="K16" i="89"/>
  <c r="K20" i="89"/>
  <c r="K24" i="89"/>
  <c r="K28" i="89"/>
  <c r="K32" i="89"/>
  <c r="K36" i="89"/>
  <c r="K10" i="89"/>
  <c r="K18" i="89"/>
  <c r="K26" i="89"/>
  <c r="K34" i="89"/>
  <c r="K38" i="89"/>
  <c r="K9" i="89"/>
  <c r="K13" i="89"/>
  <c r="K17" i="89"/>
  <c r="K21" i="89"/>
  <c r="K25" i="89"/>
  <c r="K29" i="89"/>
  <c r="K33" i="89"/>
  <c r="K37" i="89"/>
  <c r="K14" i="89"/>
  <c r="K22" i="89"/>
  <c r="K30" i="89"/>
  <c r="K11" i="89"/>
  <c r="K15" i="89"/>
  <c r="K19" i="89"/>
  <c r="K23" i="89"/>
  <c r="K27" i="89"/>
  <c r="K31" i="89"/>
  <c r="K35" i="89"/>
  <c r="K7" i="89"/>
  <c r="BP5" i="82"/>
  <c r="AQ21" i="82"/>
  <c r="AQ5" i="82"/>
  <c r="AR5" i="82" s="1"/>
  <c r="AQ65" i="82"/>
  <c r="AS65" i="82" s="1"/>
  <c r="AQ17" i="82"/>
  <c r="AS17" i="82" s="1"/>
  <c r="CG61" i="82"/>
  <c r="CG57" i="82"/>
  <c r="CG53" i="82"/>
  <c r="CG49" i="82"/>
  <c r="CG45" i="82"/>
  <c r="CG41" i="82"/>
  <c r="CG37" i="82"/>
  <c r="CG33" i="82"/>
  <c r="CG29" i="82"/>
  <c r="CG25" i="82"/>
  <c r="CG21" i="82"/>
  <c r="CG17" i="82"/>
  <c r="CG13" i="82"/>
  <c r="CG9" i="82"/>
  <c r="AQ113" i="82"/>
  <c r="AS113" i="82" s="1"/>
  <c r="AQ49" i="82"/>
  <c r="AS49" i="82" s="1"/>
  <c r="CG5" i="82"/>
  <c r="CG64" i="82"/>
  <c r="CG60" i="82"/>
  <c r="CG56" i="82"/>
  <c r="CG52" i="82"/>
  <c r="CG48" i="82"/>
  <c r="CG44" i="82"/>
  <c r="CG40" i="82"/>
  <c r="CG36" i="82"/>
  <c r="CG32" i="82"/>
  <c r="CG28" i="82"/>
  <c r="CG24" i="82"/>
  <c r="CG20" i="82"/>
  <c r="CG16" i="82"/>
  <c r="CG12" i="82"/>
  <c r="CG8" i="82"/>
  <c r="AQ6" i="82"/>
  <c r="AQ97" i="82"/>
  <c r="AS97" i="82" s="1"/>
  <c r="AQ45" i="82"/>
  <c r="AS45" i="82" s="1"/>
  <c r="AQ9" i="82"/>
  <c r="AS9" i="82" s="1"/>
  <c r="CG63" i="82"/>
  <c r="CG59" i="82"/>
  <c r="CG55" i="82"/>
  <c r="CG51" i="82"/>
  <c r="CG47" i="82"/>
  <c r="CG43" i="82"/>
  <c r="CG39" i="82"/>
  <c r="CG35" i="82"/>
  <c r="CG31" i="82"/>
  <c r="CG27" i="82"/>
  <c r="CG23" i="82"/>
  <c r="CG19" i="82"/>
  <c r="CG15" i="82"/>
  <c r="CG11" i="82"/>
  <c r="CG7" i="82"/>
  <c r="AQ81" i="82"/>
  <c r="AS81" i="82" s="1"/>
  <c r="AQ33" i="82"/>
  <c r="AS33" i="82" s="1"/>
  <c r="CG62" i="82"/>
  <c r="CG58" i="82"/>
  <c r="CG54" i="82"/>
  <c r="CG50" i="82"/>
  <c r="CG46" i="82"/>
  <c r="CG42" i="82"/>
  <c r="CG38" i="82"/>
  <c r="CG34" i="82"/>
  <c r="CG30" i="82"/>
  <c r="CG26" i="82"/>
  <c r="CG22" i="82"/>
  <c r="CG18" i="82"/>
  <c r="CG14" i="82"/>
  <c r="CG10" i="82"/>
  <c r="CG6" i="82"/>
  <c r="AR117" i="82"/>
  <c r="AS117" i="82"/>
  <c r="AR101" i="82"/>
  <c r="AS101" i="82"/>
  <c r="AR85" i="82"/>
  <c r="AS85" i="82"/>
  <c r="AR69" i="82"/>
  <c r="AS69" i="82"/>
  <c r="AR53" i="82"/>
  <c r="AS53" i="82"/>
  <c r="AR37" i="82"/>
  <c r="AS37" i="82"/>
  <c r="AR21" i="82"/>
  <c r="AS21" i="82"/>
  <c r="AQ109" i="82"/>
  <c r="AQ93" i="82"/>
  <c r="AQ77" i="82"/>
  <c r="AQ61" i="82"/>
  <c r="AQ29" i="82"/>
  <c r="AS13" i="82"/>
  <c r="AR13" i="82"/>
  <c r="AQ121" i="82"/>
  <c r="AQ105" i="82"/>
  <c r="AQ89" i="82"/>
  <c r="AQ73" i="82"/>
  <c r="AQ57" i="82"/>
  <c r="AQ41" i="82"/>
  <c r="AQ25" i="82"/>
  <c r="AS6" i="82"/>
  <c r="AR6" i="82"/>
  <c r="AR113" i="82"/>
  <c r="AR33" i="82"/>
  <c r="AQ124" i="82"/>
  <c r="AQ120" i="82"/>
  <c r="AQ116" i="82"/>
  <c r="AQ112" i="82"/>
  <c r="AQ108" i="82"/>
  <c r="AQ104" i="82"/>
  <c r="AQ100" i="82"/>
  <c r="AQ96" i="82"/>
  <c r="AQ92" i="82"/>
  <c r="AQ88" i="82"/>
  <c r="AQ84" i="82"/>
  <c r="AQ80" i="82"/>
  <c r="AQ76" i="82"/>
  <c r="AQ72" i="82"/>
  <c r="AQ68" i="82"/>
  <c r="AQ64" i="82"/>
  <c r="AQ60" i="82"/>
  <c r="AQ56" i="82"/>
  <c r="AQ52" i="82"/>
  <c r="AQ48" i="82"/>
  <c r="AQ44" i="82"/>
  <c r="AQ40" i="82"/>
  <c r="AQ36" i="82"/>
  <c r="AQ32" i="82"/>
  <c r="AQ28" i="82"/>
  <c r="AQ24" i="82"/>
  <c r="AQ20" i="82"/>
  <c r="AQ16" i="82"/>
  <c r="AQ12" i="82"/>
  <c r="AQ8" i="82"/>
  <c r="AQ123" i="82"/>
  <c r="AQ119" i="82"/>
  <c r="AQ115" i="82"/>
  <c r="AQ111" i="82"/>
  <c r="AQ107" i="82"/>
  <c r="AQ103" i="82"/>
  <c r="AQ99" i="82"/>
  <c r="AQ95" i="82"/>
  <c r="AQ91" i="82"/>
  <c r="AQ87" i="82"/>
  <c r="AQ83" i="82"/>
  <c r="AQ79" i="82"/>
  <c r="AQ75" i="82"/>
  <c r="AQ71" i="82"/>
  <c r="AQ67" i="82"/>
  <c r="AQ63" i="82"/>
  <c r="AQ59" i="82"/>
  <c r="AQ55" i="82"/>
  <c r="AQ51" i="82"/>
  <c r="AQ47" i="82"/>
  <c r="AQ43" i="82"/>
  <c r="AQ39" i="82"/>
  <c r="AQ35" i="82"/>
  <c r="AQ31" i="82"/>
  <c r="AQ27" i="82"/>
  <c r="AQ23" i="82"/>
  <c r="AQ19" i="82"/>
  <c r="AQ15" i="82"/>
  <c r="AQ11" i="82"/>
  <c r="AQ7" i="82"/>
  <c r="AQ122" i="82"/>
  <c r="AQ118" i="82"/>
  <c r="AQ114" i="82"/>
  <c r="AQ110" i="82"/>
  <c r="AQ106" i="82"/>
  <c r="AQ102" i="82"/>
  <c r="AQ98" i="82"/>
  <c r="AQ94" i="82"/>
  <c r="AQ90" i="82"/>
  <c r="AQ86" i="82"/>
  <c r="AQ82" i="82"/>
  <c r="AQ78" i="82"/>
  <c r="AQ74" i="82"/>
  <c r="AQ70" i="82"/>
  <c r="AQ66" i="82"/>
  <c r="AQ62" i="82"/>
  <c r="AQ58" i="82"/>
  <c r="AQ54" i="82"/>
  <c r="AQ50" i="82"/>
  <c r="AQ46" i="82"/>
  <c r="AQ42" i="82"/>
  <c r="AQ38" i="82"/>
  <c r="AQ34" i="82"/>
  <c r="AQ30" i="82"/>
  <c r="AQ26" i="82"/>
  <c r="AQ22" i="82"/>
  <c r="AQ18" i="82"/>
  <c r="AQ14" i="82"/>
  <c r="AQ10" i="82"/>
  <c r="Q35" i="82"/>
  <c r="I35" i="82"/>
  <c r="K35" i="82"/>
  <c r="CZ70" i="82" l="1"/>
  <c r="CU70" i="82" s="1"/>
  <c r="CR70" i="82"/>
  <c r="CP70" i="82" s="1"/>
  <c r="CK74" i="82"/>
  <c r="DG74" i="82"/>
  <c r="CZ86" i="82"/>
  <c r="CU86" i="82" s="1"/>
  <c r="CR86" i="82"/>
  <c r="CP86" i="82" s="1"/>
  <c r="CK90" i="82"/>
  <c r="DG90" i="82"/>
  <c r="CZ89" i="82"/>
  <c r="CZ92" i="82" s="1"/>
  <c r="CU92" i="82" s="1"/>
  <c r="CR89" i="82"/>
  <c r="CP89" i="82" s="1"/>
  <c r="CK7" i="82"/>
  <c r="DG7" i="82"/>
  <c r="CK11" i="82"/>
  <c r="DG11" i="82"/>
  <c r="CK15" i="82"/>
  <c r="DG15" i="82"/>
  <c r="CK19" i="82"/>
  <c r="DG19" i="82"/>
  <c r="CK23" i="82"/>
  <c r="DG23" i="82"/>
  <c r="CK27" i="82"/>
  <c r="DG27" i="82"/>
  <c r="CK31" i="82"/>
  <c r="DG31" i="82"/>
  <c r="CK35" i="82"/>
  <c r="DG35" i="82"/>
  <c r="CK39" i="82"/>
  <c r="DG39" i="82"/>
  <c r="CK43" i="82"/>
  <c r="DG43" i="82"/>
  <c r="CK47" i="82"/>
  <c r="DG47" i="82"/>
  <c r="CK51" i="82"/>
  <c r="DG51" i="82"/>
  <c r="CK55" i="82"/>
  <c r="DG55" i="82"/>
  <c r="CK59" i="82"/>
  <c r="DG59" i="82"/>
  <c r="CK63" i="82"/>
  <c r="DG63" i="82"/>
  <c r="CK67" i="82"/>
  <c r="DG67" i="82"/>
  <c r="CZ75" i="82"/>
  <c r="CU75" i="82" s="1"/>
  <c r="CR75" i="82"/>
  <c r="CP75" i="82" s="1"/>
  <c r="CZ79" i="82"/>
  <c r="CU79" i="82" s="1"/>
  <c r="CR79" i="82"/>
  <c r="CP79" i="82" s="1"/>
  <c r="CK83" i="82"/>
  <c r="DG83" i="82"/>
  <c r="CK17" i="82"/>
  <c r="DG17" i="82"/>
  <c r="CK25" i="82"/>
  <c r="DG25" i="82"/>
  <c r="CK37" i="82"/>
  <c r="DG37" i="82"/>
  <c r="CK61" i="82"/>
  <c r="DG61" i="82"/>
  <c r="CK69" i="82"/>
  <c r="DG69" i="82"/>
  <c r="CK76" i="82"/>
  <c r="DG76" i="82"/>
  <c r="CK92" i="82"/>
  <c r="DG92" i="82"/>
  <c r="CK9" i="82"/>
  <c r="DG9" i="82"/>
  <c r="CK33" i="82"/>
  <c r="DG33" i="82"/>
  <c r="CK45" i="82"/>
  <c r="DG45" i="82"/>
  <c r="CK57" i="82"/>
  <c r="DG57" i="82"/>
  <c r="CK73" i="82"/>
  <c r="DG73" i="82"/>
  <c r="DU93" i="82"/>
  <c r="DN93" i="82" s="1"/>
  <c r="DU92" i="82"/>
  <c r="DN92" i="82" s="1"/>
  <c r="DU94" i="82"/>
  <c r="DN94" i="82" s="1"/>
  <c r="CZ74" i="82"/>
  <c r="CU74" i="82" s="1"/>
  <c r="CR74" i="82"/>
  <c r="CP74" i="82" s="1"/>
  <c r="CK78" i="82"/>
  <c r="DG78" i="82"/>
  <c r="CZ90" i="82"/>
  <c r="CZ93" i="82" s="1"/>
  <c r="CU93" i="82" s="1"/>
  <c r="CR90" i="82"/>
  <c r="CP90" i="82" s="1"/>
  <c r="CK94" i="82"/>
  <c r="DG94" i="82"/>
  <c r="CK13" i="82"/>
  <c r="DG13" i="82"/>
  <c r="CK21" i="82"/>
  <c r="DG21" i="82"/>
  <c r="CK29" i="82"/>
  <c r="DG29" i="82"/>
  <c r="CK41" i="82"/>
  <c r="DG41" i="82"/>
  <c r="CK53" i="82"/>
  <c r="DG53" i="82"/>
  <c r="CK65" i="82"/>
  <c r="DG65" i="82"/>
  <c r="CZ67" i="82"/>
  <c r="CU67" i="82" s="1"/>
  <c r="CR67" i="82"/>
  <c r="CP67" i="82" s="1"/>
  <c r="CK71" i="82"/>
  <c r="DG71" i="82"/>
  <c r="CZ83" i="82"/>
  <c r="CU83" i="82" s="1"/>
  <c r="CR83" i="82"/>
  <c r="CP83" i="82" s="1"/>
  <c r="CK87" i="82"/>
  <c r="DG87" i="82"/>
  <c r="CK49" i="82"/>
  <c r="DG49" i="82"/>
  <c r="CZ61" i="82"/>
  <c r="CU61" i="82" s="1"/>
  <c r="CR61" i="82"/>
  <c r="CP61" i="82" s="1"/>
  <c r="CZ69" i="82"/>
  <c r="CU69" i="82" s="1"/>
  <c r="CR69" i="82"/>
  <c r="CP69" i="82" s="1"/>
  <c r="CK81" i="82"/>
  <c r="DG81" i="82"/>
  <c r="CZ60" i="82"/>
  <c r="CU60" i="82" s="1"/>
  <c r="CR60" i="82"/>
  <c r="CP60" i="82" s="1"/>
  <c r="CZ64" i="82"/>
  <c r="CU64" i="82" s="1"/>
  <c r="CR64" i="82"/>
  <c r="CP64" i="82" s="1"/>
  <c r="CZ72" i="82"/>
  <c r="CU72" i="82" s="1"/>
  <c r="CR72" i="82"/>
  <c r="CP72" i="82" s="1"/>
  <c r="CK80" i="82"/>
  <c r="DG80" i="82"/>
  <c r="CZ88" i="82"/>
  <c r="CU88" i="82" s="1"/>
  <c r="CR88" i="82"/>
  <c r="CP88" i="82" s="1"/>
  <c r="CZ73" i="82"/>
  <c r="CU73" i="82" s="1"/>
  <c r="CR73" i="82"/>
  <c r="CP73" i="82" s="1"/>
  <c r="CK85" i="82"/>
  <c r="DG85" i="82"/>
  <c r="CK14" i="82"/>
  <c r="DG14" i="82"/>
  <c r="CK18" i="82"/>
  <c r="DG18" i="82"/>
  <c r="CK22" i="82"/>
  <c r="DG22" i="82"/>
  <c r="CK30" i="82"/>
  <c r="DG30" i="82"/>
  <c r="CK34" i="82"/>
  <c r="DG34" i="82"/>
  <c r="CK46" i="82"/>
  <c r="DG46" i="82"/>
  <c r="CK50" i="82"/>
  <c r="DG50" i="82"/>
  <c r="CK62" i="82"/>
  <c r="DG62" i="82"/>
  <c r="CK66" i="82"/>
  <c r="DG66" i="82"/>
  <c r="CZ78" i="82"/>
  <c r="CU78" i="82" s="1"/>
  <c r="CR78" i="82"/>
  <c r="CP78" i="82" s="1"/>
  <c r="CK82" i="82"/>
  <c r="DG82" i="82"/>
  <c r="CZ65" i="82"/>
  <c r="CU65" i="82" s="1"/>
  <c r="CR65" i="82"/>
  <c r="CP65" i="82" s="1"/>
  <c r="CK77" i="82"/>
  <c r="DG77" i="82"/>
  <c r="CZ63" i="82"/>
  <c r="CU63" i="82" s="1"/>
  <c r="CR63" i="82"/>
  <c r="CP63" i="82" s="1"/>
  <c r="CK75" i="82"/>
  <c r="DG75" i="82"/>
  <c r="CZ87" i="82"/>
  <c r="CU87" i="82" s="1"/>
  <c r="CR87" i="82"/>
  <c r="CP87" i="82" s="1"/>
  <c r="CK91" i="82"/>
  <c r="DG91" i="82"/>
  <c r="CZ81" i="82"/>
  <c r="CU81" i="82" s="1"/>
  <c r="CR81" i="82"/>
  <c r="CP81" i="82" s="1"/>
  <c r="CK93" i="82"/>
  <c r="DG93" i="82"/>
  <c r="CK8" i="82"/>
  <c r="DG8" i="82"/>
  <c r="CK12" i="82"/>
  <c r="DG12" i="82"/>
  <c r="CK16" i="82"/>
  <c r="DG16" i="82"/>
  <c r="CK20" i="82"/>
  <c r="DG20" i="82"/>
  <c r="CK24" i="82"/>
  <c r="DG24" i="82"/>
  <c r="CK28" i="82"/>
  <c r="DG28" i="82"/>
  <c r="CK36" i="82"/>
  <c r="DG36" i="82"/>
  <c r="CK48" i="82"/>
  <c r="DG48" i="82"/>
  <c r="CK52" i="82"/>
  <c r="DG52" i="82"/>
  <c r="CK56" i="82"/>
  <c r="DG56" i="82"/>
  <c r="CK60" i="82"/>
  <c r="DG60" i="82"/>
  <c r="CK68" i="82"/>
  <c r="DG68" i="82"/>
  <c r="CZ76" i="82"/>
  <c r="CU76" i="82" s="1"/>
  <c r="CR76" i="82"/>
  <c r="CP76" i="82" s="1"/>
  <c r="CK84" i="82"/>
  <c r="DG84" i="82"/>
  <c r="CZ85" i="82"/>
  <c r="CU85" i="82" s="1"/>
  <c r="CR85" i="82"/>
  <c r="CP85" i="82" s="1"/>
  <c r="CK6" i="82"/>
  <c r="DG6" i="82"/>
  <c r="CK10" i="82"/>
  <c r="DG10" i="82"/>
  <c r="CK26" i="82"/>
  <c r="DG26" i="82"/>
  <c r="CK38" i="82"/>
  <c r="DG38" i="82"/>
  <c r="CK42" i="82"/>
  <c r="DG42" i="82"/>
  <c r="CK54" i="82"/>
  <c r="DG54" i="82"/>
  <c r="CK58" i="82"/>
  <c r="DG58" i="82"/>
  <c r="CZ62" i="82"/>
  <c r="CU62" i="82" s="1"/>
  <c r="CR62" i="82"/>
  <c r="CP62" i="82" s="1"/>
  <c r="CZ66" i="82"/>
  <c r="CU66" i="82" s="1"/>
  <c r="CR66" i="82"/>
  <c r="CP66" i="82" s="1"/>
  <c r="CK70" i="82"/>
  <c r="DG70" i="82"/>
  <c r="CZ82" i="82"/>
  <c r="CR82" i="82"/>
  <c r="CP82" i="82" s="1"/>
  <c r="CK86" i="82"/>
  <c r="DG86" i="82"/>
  <c r="CZ77" i="82"/>
  <c r="CU77" i="82" s="1"/>
  <c r="CR77" i="82"/>
  <c r="CP77" i="82" s="1"/>
  <c r="CK89" i="82"/>
  <c r="DG89" i="82"/>
  <c r="CZ71" i="82"/>
  <c r="CU71" i="82" s="1"/>
  <c r="CR71" i="82"/>
  <c r="CP71" i="82" s="1"/>
  <c r="CK79" i="82"/>
  <c r="DG79" i="82"/>
  <c r="CZ91" i="82"/>
  <c r="CZ94" i="82" s="1"/>
  <c r="CU94" i="82" s="1"/>
  <c r="CR91" i="82"/>
  <c r="CP91" i="82" s="1"/>
  <c r="CK32" i="82"/>
  <c r="DG32" i="82"/>
  <c r="CK40" i="82"/>
  <c r="DG40" i="82"/>
  <c r="CK44" i="82"/>
  <c r="DG44" i="82"/>
  <c r="CK64" i="82"/>
  <c r="DG64" i="82"/>
  <c r="CZ68" i="82"/>
  <c r="CU68" i="82" s="1"/>
  <c r="CR68" i="82"/>
  <c r="CP68" i="82" s="1"/>
  <c r="CK72" i="82"/>
  <c r="DG72" i="82"/>
  <c r="CZ80" i="82"/>
  <c r="CU80" i="82" s="1"/>
  <c r="CR80" i="82"/>
  <c r="CP80" i="82" s="1"/>
  <c r="CZ84" i="82"/>
  <c r="CU84" i="82" s="1"/>
  <c r="CR84" i="82"/>
  <c r="CP84" i="82" s="1"/>
  <c r="CK88" i="82"/>
  <c r="DG88" i="82"/>
  <c r="CU82" i="82"/>
  <c r="BZ65" i="82"/>
  <c r="BZ71" i="82"/>
  <c r="BZ87" i="82"/>
  <c r="BZ81" i="82"/>
  <c r="CK5" i="82"/>
  <c r="CV5" i="82" s="1"/>
  <c r="DG5" i="82"/>
  <c r="AS5" i="82"/>
  <c r="BZ80" i="82"/>
  <c r="AR97" i="82"/>
  <c r="BZ70" i="82"/>
  <c r="BZ86" i="82"/>
  <c r="BZ89" i="82"/>
  <c r="BZ79" i="82"/>
  <c r="BZ74" i="82"/>
  <c r="BZ90" i="82"/>
  <c r="BZ11" i="82"/>
  <c r="BZ15" i="82"/>
  <c r="BZ27" i="82"/>
  <c r="BZ31" i="82"/>
  <c r="BZ43" i="82"/>
  <c r="BZ47" i="82"/>
  <c r="BZ59" i="82"/>
  <c r="BZ63" i="82"/>
  <c r="BZ67" i="82"/>
  <c r="BZ83" i="82"/>
  <c r="BZ25" i="82"/>
  <c r="BZ61" i="82"/>
  <c r="BZ69" i="82"/>
  <c r="BZ48" i="82"/>
  <c r="BZ9" i="82"/>
  <c r="BZ45" i="82"/>
  <c r="BZ57" i="82"/>
  <c r="BZ73" i="82"/>
  <c r="BZ19" i="82"/>
  <c r="BZ35" i="82"/>
  <c r="BZ51" i="82"/>
  <c r="BZ55" i="82"/>
  <c r="BZ49" i="82"/>
  <c r="BZ60" i="82"/>
  <c r="BZ5" i="82"/>
  <c r="BZ13" i="82"/>
  <c r="BZ21" i="82"/>
  <c r="BZ29" i="82"/>
  <c r="BZ41" i="82"/>
  <c r="BZ53" i="82"/>
  <c r="BZ8" i="82"/>
  <c r="BZ12" i="82"/>
  <c r="BZ16" i="82"/>
  <c r="BZ20" i="82"/>
  <c r="BZ24" i="82"/>
  <c r="BZ28" i="82"/>
  <c r="BZ44" i="82"/>
  <c r="BZ64" i="82"/>
  <c r="BZ68" i="82"/>
  <c r="BZ72" i="82"/>
  <c r="BZ84" i="82"/>
  <c r="BZ88" i="82"/>
  <c r="BZ7" i="82"/>
  <c r="BZ23" i="82"/>
  <c r="BZ39" i="82"/>
  <c r="BZ17" i="82"/>
  <c r="BZ37" i="82"/>
  <c r="BZ56" i="82"/>
  <c r="BZ33" i="82"/>
  <c r="BZ6" i="82"/>
  <c r="BZ10" i="82"/>
  <c r="BZ14" i="82"/>
  <c r="BZ18" i="82"/>
  <c r="BZ22" i="82"/>
  <c r="BZ26" i="82"/>
  <c r="BZ30" i="82"/>
  <c r="BZ34" i="82"/>
  <c r="BZ38" i="82"/>
  <c r="BZ42" i="82"/>
  <c r="BZ46" i="82"/>
  <c r="BZ50" i="82"/>
  <c r="BZ54" i="82"/>
  <c r="BZ58" i="82"/>
  <c r="BZ62" i="82"/>
  <c r="BZ66" i="82"/>
  <c r="BZ82" i="82"/>
  <c r="BZ77" i="82"/>
  <c r="BZ75" i="82"/>
  <c r="BZ91" i="82"/>
  <c r="BZ32" i="82"/>
  <c r="BZ36" i="82"/>
  <c r="BZ40" i="82"/>
  <c r="BZ52" i="82"/>
  <c r="BZ76" i="82"/>
  <c r="AR45" i="82"/>
  <c r="AR65" i="82"/>
  <c r="AR49" i="82"/>
  <c r="AR17" i="82"/>
  <c r="AR9" i="82"/>
  <c r="AR81" i="82"/>
  <c r="W35" i="82"/>
  <c r="AA37" i="89"/>
  <c r="AS30" i="82"/>
  <c r="AR30" i="82"/>
  <c r="AS78" i="82"/>
  <c r="AR78" i="82"/>
  <c r="AS94" i="82"/>
  <c r="AR94" i="82"/>
  <c r="AS23" i="82"/>
  <c r="AR23" i="82"/>
  <c r="AS71" i="82"/>
  <c r="AR71" i="82"/>
  <c r="AS103" i="82"/>
  <c r="AR103" i="82"/>
  <c r="AS119" i="82"/>
  <c r="AR119" i="82"/>
  <c r="AR16" i="82"/>
  <c r="AS16" i="82"/>
  <c r="AR32" i="82"/>
  <c r="AS32" i="82"/>
  <c r="AR48" i="82"/>
  <c r="AS48" i="82"/>
  <c r="AR64" i="82"/>
  <c r="AS64" i="82"/>
  <c r="AR80" i="82"/>
  <c r="AS80" i="82"/>
  <c r="AR96" i="82"/>
  <c r="AS96" i="82"/>
  <c r="AR112" i="82"/>
  <c r="AS112" i="82"/>
  <c r="AS73" i="82"/>
  <c r="AR73" i="82"/>
  <c r="AS29" i="82"/>
  <c r="AR29" i="82"/>
  <c r="AS109" i="82"/>
  <c r="AR109" i="82"/>
  <c r="AS18" i="82"/>
  <c r="AR18" i="82"/>
  <c r="AS34" i="82"/>
  <c r="AR34" i="82"/>
  <c r="AS50" i="82"/>
  <c r="AR50" i="82"/>
  <c r="AS66" i="82"/>
  <c r="AR66" i="82"/>
  <c r="AS82" i="82"/>
  <c r="AR82" i="82"/>
  <c r="AS98" i="82"/>
  <c r="AR98" i="82"/>
  <c r="AS114" i="82"/>
  <c r="AR114" i="82"/>
  <c r="AS11" i="82"/>
  <c r="AR11" i="82"/>
  <c r="AS27" i="82"/>
  <c r="AR27" i="82"/>
  <c r="AS43" i="82"/>
  <c r="AR43" i="82"/>
  <c r="AS59" i="82"/>
  <c r="AR59" i="82"/>
  <c r="AS75" i="82"/>
  <c r="AR75" i="82"/>
  <c r="AS91" i="82"/>
  <c r="AR91" i="82"/>
  <c r="AS107" i="82"/>
  <c r="AR107" i="82"/>
  <c r="AS123" i="82"/>
  <c r="AR123" i="82"/>
  <c r="AT123" i="82" s="1"/>
  <c r="AR20" i="82"/>
  <c r="AS20" i="82"/>
  <c r="AR36" i="82"/>
  <c r="AS36" i="82"/>
  <c r="AR52" i="82"/>
  <c r="AS52" i="82"/>
  <c r="AR68" i="82"/>
  <c r="AS68" i="82"/>
  <c r="AR84" i="82"/>
  <c r="AS84" i="82"/>
  <c r="AR100" i="82"/>
  <c r="AS100" i="82"/>
  <c r="AR116" i="82"/>
  <c r="AS116" i="82"/>
  <c r="AS25" i="82"/>
  <c r="AR25" i="82"/>
  <c r="AS89" i="82"/>
  <c r="AR89" i="82"/>
  <c r="AS61" i="82"/>
  <c r="AR61" i="82"/>
  <c r="AS14" i="82"/>
  <c r="AR14" i="82"/>
  <c r="AS62" i="82"/>
  <c r="AR62" i="82"/>
  <c r="AS110" i="82"/>
  <c r="AR110" i="82"/>
  <c r="AS39" i="82"/>
  <c r="AR39" i="82"/>
  <c r="AS87" i="82"/>
  <c r="AR87" i="82"/>
  <c r="AS22" i="82"/>
  <c r="AR22" i="82"/>
  <c r="AS38" i="82"/>
  <c r="AR38" i="82"/>
  <c r="AS54" i="82"/>
  <c r="AR54" i="82"/>
  <c r="AS70" i="82"/>
  <c r="AR70" i="82"/>
  <c r="AS86" i="82"/>
  <c r="AR86" i="82"/>
  <c r="AS102" i="82"/>
  <c r="AR102" i="82"/>
  <c r="AS118" i="82"/>
  <c r="AR118" i="82"/>
  <c r="AS15" i="82"/>
  <c r="AR15" i="82"/>
  <c r="AS31" i="82"/>
  <c r="AR31" i="82"/>
  <c r="AS47" i="82"/>
  <c r="AR47" i="82"/>
  <c r="AS63" i="82"/>
  <c r="AR63" i="82"/>
  <c r="AS79" i="82"/>
  <c r="AR79" i="82"/>
  <c r="AS95" i="82"/>
  <c r="AR95" i="82"/>
  <c r="AS111" i="82"/>
  <c r="AR111" i="82"/>
  <c r="AR8" i="82"/>
  <c r="AS8" i="82"/>
  <c r="AR24" i="82"/>
  <c r="AS24" i="82"/>
  <c r="AR40" i="82"/>
  <c r="AS40" i="82"/>
  <c r="AS56" i="82"/>
  <c r="AR56" i="82"/>
  <c r="AS72" i="82"/>
  <c r="AR72" i="82"/>
  <c r="AS88" i="82"/>
  <c r="AR88" i="82"/>
  <c r="AS104" i="82"/>
  <c r="AR104" i="82"/>
  <c r="AS120" i="82"/>
  <c r="AR120" i="82"/>
  <c r="AS41" i="82"/>
  <c r="AR41" i="82"/>
  <c r="AS105" i="82"/>
  <c r="AR105" i="82"/>
  <c r="AS77" i="82"/>
  <c r="AR77" i="82"/>
  <c r="AS46" i="82"/>
  <c r="AR46" i="82"/>
  <c r="AS7" i="82"/>
  <c r="AR7" i="82"/>
  <c r="AS55" i="82"/>
  <c r="AR55" i="82"/>
  <c r="AK35" i="82"/>
  <c r="AM35" i="82"/>
  <c r="Y35" i="82"/>
  <c r="G33" i="88" s="1"/>
  <c r="AR10" i="82"/>
  <c r="AS10" i="82"/>
  <c r="AR26" i="82"/>
  <c r="AS26" i="82"/>
  <c r="AR42" i="82"/>
  <c r="AS42" i="82"/>
  <c r="AS58" i="82"/>
  <c r="AR58" i="82"/>
  <c r="AS74" i="82"/>
  <c r="AR74" i="82"/>
  <c r="AS90" i="82"/>
  <c r="AR90" i="82"/>
  <c r="AS106" i="82"/>
  <c r="AR106" i="82"/>
  <c r="AS122" i="82"/>
  <c r="AR122" i="82"/>
  <c r="AT122" i="82" s="1"/>
  <c r="AS19" i="82"/>
  <c r="AR19" i="82"/>
  <c r="AS35" i="82"/>
  <c r="AR35" i="82"/>
  <c r="AS51" i="82"/>
  <c r="AR51" i="82"/>
  <c r="AS67" i="82"/>
  <c r="AR67" i="82"/>
  <c r="AS83" i="82"/>
  <c r="AR83" i="82"/>
  <c r="AS99" i="82"/>
  <c r="AR99" i="82"/>
  <c r="AS115" i="82"/>
  <c r="AR115" i="82"/>
  <c r="AR12" i="82"/>
  <c r="AS12" i="82"/>
  <c r="AR28" i="82"/>
  <c r="AS28" i="82"/>
  <c r="AR44" i="82"/>
  <c r="AS44" i="82"/>
  <c r="AS60" i="82"/>
  <c r="AR60" i="82"/>
  <c r="AS76" i="82"/>
  <c r="AR76" i="82"/>
  <c r="AS92" i="82"/>
  <c r="AR92" i="82"/>
  <c r="AS108" i="82"/>
  <c r="AR108" i="82"/>
  <c r="AS124" i="82"/>
  <c r="AR124" i="82"/>
  <c r="AT124" i="82" s="1"/>
  <c r="AS57" i="82"/>
  <c r="AR57" i="82"/>
  <c r="AS121" i="82"/>
  <c r="AR121" i="82"/>
  <c r="AT121" i="82" s="1"/>
  <c r="AS93" i="82"/>
  <c r="AR93" i="82"/>
  <c r="CU89" i="82" l="1"/>
  <c r="CU91" i="82"/>
  <c r="CU90" i="82"/>
  <c r="AS6" i="90"/>
  <c r="AW6" i="90" s="1"/>
  <c r="AS7" i="90"/>
  <c r="AS8" i="90"/>
  <c r="AS9" i="90"/>
  <c r="AS10" i="90"/>
  <c r="AW10" i="90" s="1"/>
  <c r="AS11" i="90"/>
  <c r="AS12" i="90"/>
  <c r="AS13" i="90"/>
  <c r="AS14" i="90"/>
  <c r="AS15" i="90"/>
  <c r="AS16" i="90"/>
  <c r="AS17" i="90"/>
  <c r="AS18" i="90"/>
  <c r="AS19" i="90"/>
  <c r="AS20" i="90"/>
  <c r="AS21" i="90"/>
  <c r="AS22" i="90"/>
  <c r="AW22" i="90" s="1"/>
  <c r="AS23" i="90"/>
  <c r="AS24" i="90"/>
  <c r="AS25" i="90"/>
  <c r="AS26" i="90"/>
  <c r="AW26" i="90" s="1"/>
  <c r="AS27" i="90"/>
  <c r="AS28" i="90"/>
  <c r="AS29" i="90"/>
  <c r="AS30" i="90"/>
  <c r="AS31" i="90"/>
  <c r="AS32" i="90"/>
  <c r="AS33" i="90"/>
  <c r="AS34" i="90"/>
  <c r="AS35" i="90"/>
  <c r="AS36" i="90"/>
  <c r="AS37" i="90"/>
  <c r="AS38" i="90"/>
  <c r="AW38" i="90" s="1"/>
  <c r="AS39" i="90"/>
  <c r="AS40" i="90"/>
  <c r="AS41" i="90"/>
  <c r="AS42" i="90"/>
  <c r="AW42" i="90" s="1"/>
  <c r="AS43" i="90"/>
  <c r="AS44" i="90"/>
  <c r="AS45" i="90"/>
  <c r="AS46" i="90"/>
  <c r="AS47" i="90"/>
  <c r="AS48" i="90"/>
  <c r="AS49" i="90"/>
  <c r="AS50" i="90"/>
  <c r="AS51" i="90"/>
  <c r="AS52" i="90"/>
  <c r="AS53" i="90"/>
  <c r="AS54" i="90"/>
  <c r="AW54" i="90" s="1"/>
  <c r="AS55" i="90"/>
  <c r="AS56" i="90"/>
  <c r="AS57" i="90"/>
  <c r="AS58" i="90"/>
  <c r="AW58" i="90" s="1"/>
  <c r="AS59" i="90"/>
  <c r="AS60" i="90"/>
  <c r="AS61" i="90"/>
  <c r="AS62" i="90"/>
  <c r="AS63" i="90"/>
  <c r="AS64" i="90"/>
  <c r="AS65" i="90"/>
  <c r="AS66" i="90"/>
  <c r="AS67" i="90"/>
  <c r="AS68" i="90"/>
  <c r="AS69" i="90"/>
  <c r="AS70" i="90"/>
  <c r="AW70" i="90" s="1"/>
  <c r="AS71" i="90"/>
  <c r="AS72" i="90"/>
  <c r="AS73" i="90"/>
  <c r="AS74" i="90"/>
  <c r="AW74" i="90" s="1"/>
  <c r="AS75" i="90"/>
  <c r="AS76" i="90"/>
  <c r="AS77" i="90"/>
  <c r="AS78" i="90"/>
  <c r="AS79" i="90"/>
  <c r="AS80" i="90"/>
  <c r="AS81" i="90"/>
  <c r="AS82" i="90"/>
  <c r="AS83" i="90"/>
  <c r="AS84" i="90"/>
  <c r="AS85" i="90"/>
  <c r="AS86" i="90"/>
  <c r="AW86" i="90" s="1"/>
  <c r="AS87" i="90"/>
  <c r="AS88" i="90"/>
  <c r="AS89" i="90"/>
  <c r="AS90" i="90"/>
  <c r="AW90" i="90" s="1"/>
  <c r="AS91" i="90"/>
  <c r="AS92" i="90"/>
  <c r="AS93" i="90"/>
  <c r="AS94" i="90"/>
  <c r="AS95" i="90"/>
  <c r="AS96" i="90"/>
  <c r="AS97" i="90"/>
  <c r="AS98" i="90"/>
  <c r="AS99" i="90"/>
  <c r="AS100" i="90"/>
  <c r="AS101" i="90"/>
  <c r="AS102" i="90"/>
  <c r="AW102" i="90" s="1"/>
  <c r="AS103" i="90"/>
  <c r="AS104" i="90"/>
  <c r="AS105" i="90"/>
  <c r="AS106" i="90"/>
  <c r="AW106" i="90" s="1"/>
  <c r="AS107" i="90"/>
  <c r="AS108" i="90"/>
  <c r="AS109" i="90"/>
  <c r="AS110" i="90"/>
  <c r="AS111" i="90"/>
  <c r="AS112" i="90"/>
  <c r="AS113" i="90"/>
  <c r="AS114" i="90"/>
  <c r="AS115" i="90"/>
  <c r="AS116" i="90"/>
  <c r="AS117" i="90"/>
  <c r="AS118" i="90"/>
  <c r="AW118" i="90" s="1"/>
  <c r="AS119" i="90"/>
  <c r="AS120" i="90"/>
  <c r="AS121" i="90"/>
  <c r="AS122" i="90"/>
  <c r="AW122" i="90" s="1"/>
  <c r="AS123" i="90"/>
  <c r="AS124" i="90"/>
  <c r="AS125" i="90"/>
  <c r="AS126" i="90"/>
  <c r="AS127" i="90"/>
  <c r="AS128" i="90"/>
  <c r="AS129" i="90"/>
  <c r="AS130" i="90"/>
  <c r="AS131" i="90"/>
  <c r="AS132" i="90"/>
  <c r="AS133" i="90"/>
  <c r="AS134" i="90"/>
  <c r="AW134" i="90" s="1"/>
  <c r="AS135" i="90"/>
  <c r="AS136" i="90"/>
  <c r="AS137" i="90"/>
  <c r="AS138" i="90"/>
  <c r="AW138" i="90" s="1"/>
  <c r="AS139" i="90"/>
  <c r="AS140" i="90"/>
  <c r="AS141" i="90"/>
  <c r="AS142" i="90"/>
  <c r="AS143" i="90"/>
  <c r="AS144" i="90"/>
  <c r="AS145" i="90"/>
  <c r="AS146" i="90"/>
  <c r="AS147" i="90"/>
  <c r="AS148" i="90"/>
  <c r="AS149" i="90"/>
  <c r="AS150" i="90"/>
  <c r="AW150" i="90" s="1"/>
  <c r="AS151" i="90"/>
  <c r="AS152" i="90"/>
  <c r="AS153" i="90"/>
  <c r="AS154" i="90"/>
  <c r="AW154" i="90" s="1"/>
  <c r="AS155" i="90"/>
  <c r="AS156" i="90"/>
  <c r="AS157" i="90"/>
  <c r="AS158" i="90"/>
  <c r="AS159" i="90"/>
  <c r="AS160" i="90"/>
  <c r="AS161" i="90"/>
  <c r="AS162" i="90"/>
  <c r="AS163" i="90"/>
  <c r="AS164" i="90"/>
  <c r="AS165" i="90"/>
  <c r="AS166" i="90"/>
  <c r="AW166" i="90" s="1"/>
  <c r="AS167" i="90"/>
  <c r="AS168" i="90"/>
  <c r="AS169" i="90"/>
  <c r="AS170" i="90"/>
  <c r="AW170" i="90" s="1"/>
  <c r="AS171" i="90"/>
  <c r="AS172" i="90"/>
  <c r="AS173" i="90"/>
  <c r="AS174" i="90"/>
  <c r="AS175" i="90"/>
  <c r="AS176" i="90"/>
  <c r="AS177" i="90"/>
  <c r="AS178" i="90"/>
  <c r="AS179" i="90"/>
  <c r="AS180" i="90"/>
  <c r="AS181" i="90"/>
  <c r="AS182" i="90"/>
  <c r="AW182" i="90" s="1"/>
  <c r="AS183" i="90"/>
  <c r="AS184" i="90"/>
  <c r="AS185" i="90"/>
  <c r="AS186" i="90"/>
  <c r="AW186" i="90" s="1"/>
  <c r="AS187" i="90"/>
  <c r="AS188" i="90"/>
  <c r="AS189" i="90"/>
  <c r="AS190" i="90"/>
  <c r="AS191" i="90"/>
  <c r="AS192" i="90"/>
  <c r="AS193" i="90"/>
  <c r="AS194" i="90"/>
  <c r="AS195" i="90"/>
  <c r="AS196" i="90"/>
  <c r="AS197" i="90"/>
  <c r="AS198" i="90"/>
  <c r="AW198" i="90" s="1"/>
  <c r="AS199" i="90"/>
  <c r="AS200" i="90"/>
  <c r="AS201" i="90"/>
  <c r="AS202" i="90"/>
  <c r="AS203" i="90"/>
  <c r="AS204" i="90"/>
  <c r="AS205" i="90"/>
  <c r="AS206" i="90"/>
  <c r="AW206" i="90" s="1"/>
  <c r="AS207" i="90"/>
  <c r="AS208" i="90"/>
  <c r="AS209" i="90"/>
  <c r="AS210" i="90"/>
  <c r="AW210" i="90" s="1"/>
  <c r="AS211" i="90"/>
  <c r="AW211" i="90" s="1"/>
  <c r="AS212" i="90"/>
  <c r="AS213" i="90"/>
  <c r="AS214" i="90"/>
  <c r="AS215" i="90"/>
  <c r="AS216" i="90"/>
  <c r="AS217" i="90"/>
  <c r="AS218" i="90"/>
  <c r="AS219" i="90"/>
  <c r="AS220" i="90"/>
  <c r="AS221" i="90"/>
  <c r="AS222" i="90"/>
  <c r="AV222" i="90" s="1"/>
  <c r="AS223" i="90"/>
  <c r="AS224" i="90"/>
  <c r="AS225" i="90"/>
  <c r="AS226" i="90"/>
  <c r="AW226" i="90" s="1"/>
  <c r="AS227" i="90"/>
  <c r="AV227" i="90" s="1"/>
  <c r="AS228" i="90"/>
  <c r="AS229" i="90"/>
  <c r="AS230" i="90"/>
  <c r="AS231" i="90"/>
  <c r="AS232" i="90"/>
  <c r="AV232" i="90" s="1"/>
  <c r="AS233" i="90"/>
  <c r="AS234" i="90"/>
  <c r="AS235" i="90"/>
  <c r="AS236" i="90"/>
  <c r="AS237" i="90"/>
  <c r="AS238" i="90"/>
  <c r="AV238" i="90" s="1"/>
  <c r="AS239" i="90"/>
  <c r="AS240" i="90"/>
  <c r="AS241" i="90"/>
  <c r="AS242" i="90"/>
  <c r="AW242" i="90" s="1"/>
  <c r="AS243" i="90"/>
  <c r="AV243" i="90" s="1"/>
  <c r="AS244" i="90"/>
  <c r="AS245" i="90"/>
  <c r="AS246" i="90"/>
  <c r="AS247" i="90"/>
  <c r="AS248" i="90"/>
  <c r="AV248" i="90" s="1"/>
  <c r="AS249" i="90"/>
  <c r="AS250" i="90"/>
  <c r="AS251" i="90"/>
  <c r="AS252" i="90"/>
  <c r="AS253" i="90"/>
  <c r="AS254" i="90"/>
  <c r="AV254" i="90" s="1"/>
  <c r="AS255" i="90"/>
  <c r="AS256" i="90"/>
  <c r="AS257" i="90"/>
  <c r="AS258" i="90"/>
  <c r="AW258" i="90" s="1"/>
  <c r="AS259" i="90"/>
  <c r="AV259" i="90" s="1"/>
  <c r="AS260" i="90"/>
  <c r="AS261" i="90"/>
  <c r="AS262" i="90"/>
  <c r="AS263" i="90"/>
  <c r="AS264" i="90"/>
  <c r="AV264" i="90" s="1"/>
  <c r="AS265" i="90"/>
  <c r="AS266" i="90"/>
  <c r="AS267" i="90"/>
  <c r="AS268" i="90"/>
  <c r="AS269" i="90"/>
  <c r="AS270" i="90"/>
  <c r="AV270" i="90" s="1"/>
  <c r="AS271" i="90"/>
  <c r="AS272" i="90"/>
  <c r="AS273" i="90"/>
  <c r="AS274" i="90"/>
  <c r="AW274" i="90" s="1"/>
  <c r="AS275" i="90"/>
  <c r="AV275" i="90" s="1"/>
  <c r="AS276" i="90"/>
  <c r="AS277" i="90"/>
  <c r="AS278" i="90"/>
  <c r="AS279" i="90"/>
  <c r="AS280" i="90"/>
  <c r="AV280" i="90" s="1"/>
  <c r="AS281" i="90"/>
  <c r="AS282" i="90"/>
  <c r="AS283" i="90"/>
  <c r="AS284" i="90"/>
  <c r="AS285" i="90"/>
  <c r="AS286" i="90"/>
  <c r="AV286" i="90" s="1"/>
  <c r="AS287" i="90"/>
  <c r="AS288" i="90"/>
  <c r="AS289" i="90"/>
  <c r="AS290" i="90"/>
  <c r="AV290" i="90" s="1"/>
  <c r="AS291" i="90"/>
  <c r="AS292" i="90"/>
  <c r="AS293" i="90"/>
  <c r="AS294" i="90"/>
  <c r="AV294" i="90" s="1"/>
  <c r="AS295" i="90"/>
  <c r="AS296" i="90"/>
  <c r="AS297" i="90"/>
  <c r="AS298" i="90"/>
  <c r="AV298" i="90" s="1"/>
  <c r="AS299" i="90"/>
  <c r="AS300" i="90"/>
  <c r="AS301" i="90"/>
  <c r="AS302" i="90"/>
  <c r="AV302" i="90" s="1"/>
  <c r="AS303" i="90"/>
  <c r="AS304" i="90"/>
  <c r="AS305" i="90"/>
  <c r="AS306" i="90"/>
  <c r="AV306" i="90" s="1"/>
  <c r="AS307" i="90"/>
  <c r="AS308" i="90"/>
  <c r="AS309" i="90"/>
  <c r="AS310" i="90"/>
  <c r="AV310" i="90" s="1"/>
  <c r="AS311" i="90"/>
  <c r="AS312" i="90"/>
  <c r="AS313" i="90"/>
  <c r="AS314" i="90"/>
  <c r="AV314" i="90" s="1"/>
  <c r="AS315" i="90"/>
  <c r="AS316" i="90"/>
  <c r="AS317" i="90"/>
  <c r="AS318" i="90"/>
  <c r="AV318" i="90" s="1"/>
  <c r="AS319" i="90"/>
  <c r="AS320" i="90"/>
  <c r="AS321" i="90"/>
  <c r="AS322" i="90"/>
  <c r="AV322" i="90" s="1"/>
  <c r="AS323" i="90"/>
  <c r="AS324" i="90"/>
  <c r="AS325" i="90"/>
  <c r="AS326" i="90"/>
  <c r="AV326" i="90" s="1"/>
  <c r="AS327" i="90"/>
  <c r="AS328" i="90"/>
  <c r="AS329" i="90"/>
  <c r="AS330" i="90"/>
  <c r="AV330" i="90" s="1"/>
  <c r="AS331" i="90"/>
  <c r="AS332" i="90"/>
  <c r="AS333" i="90"/>
  <c r="AS334" i="90"/>
  <c r="AV334" i="90" s="1"/>
  <c r="AS335" i="90"/>
  <c r="AS336" i="90"/>
  <c r="AS337" i="90"/>
  <c r="AS338" i="90"/>
  <c r="AV338" i="90" s="1"/>
  <c r="AS339" i="90"/>
  <c r="AS340" i="90"/>
  <c r="AS341" i="90"/>
  <c r="AS342" i="90"/>
  <c r="AV342" i="90" s="1"/>
  <c r="AS343" i="90"/>
  <c r="AS344" i="90"/>
  <c r="AS345" i="90"/>
  <c r="AS346" i="90"/>
  <c r="AV346" i="90" s="1"/>
  <c r="AS347" i="90"/>
  <c r="AS348" i="90"/>
  <c r="AS349" i="90"/>
  <c r="AS350" i="90"/>
  <c r="AV350" i="90" s="1"/>
  <c r="AS351" i="90"/>
  <c r="AS352" i="90"/>
  <c r="AS353" i="90"/>
  <c r="AS354" i="90"/>
  <c r="AV354" i="90" s="1"/>
  <c r="AS355" i="90"/>
  <c r="AS356" i="90"/>
  <c r="AS357" i="90"/>
  <c r="AS358" i="90"/>
  <c r="AV358" i="90" s="1"/>
  <c r="AS359" i="90"/>
  <c r="AS360" i="90"/>
  <c r="AS361" i="90"/>
  <c r="AS362" i="90"/>
  <c r="AV362" i="90" s="1"/>
  <c r="AS363" i="90"/>
  <c r="AS364" i="90"/>
  <c r="AS365" i="90"/>
  <c r="AS366" i="90"/>
  <c r="AV366" i="90" s="1"/>
  <c r="AS367" i="90"/>
  <c r="AS368" i="90"/>
  <c r="AS369" i="90"/>
  <c r="AS370" i="90"/>
  <c r="AV370" i="90" s="1"/>
  <c r="AS371" i="90"/>
  <c r="AS372" i="90"/>
  <c r="AS373" i="90"/>
  <c r="AS374" i="90"/>
  <c r="AV374" i="90" s="1"/>
  <c r="AS375" i="90"/>
  <c r="AS376" i="90"/>
  <c r="AS377" i="90"/>
  <c r="AS378" i="90"/>
  <c r="AV378" i="90" s="1"/>
  <c r="AS379" i="90"/>
  <c r="AS380" i="90"/>
  <c r="AS381" i="90"/>
  <c r="AS382" i="90"/>
  <c r="AV382" i="90" s="1"/>
  <c r="AS383" i="90"/>
  <c r="AS384" i="90"/>
  <c r="AS385" i="90"/>
  <c r="AS386" i="90"/>
  <c r="AV386" i="90" s="1"/>
  <c r="AS387" i="90"/>
  <c r="AS388" i="90"/>
  <c r="AS389" i="90"/>
  <c r="AS390" i="90"/>
  <c r="AV390" i="90" s="1"/>
  <c r="AS391" i="90"/>
  <c r="AS392" i="90"/>
  <c r="AS393" i="90"/>
  <c r="AS394" i="90"/>
  <c r="AV394" i="90" s="1"/>
  <c r="AS395" i="90"/>
  <c r="AS396" i="90"/>
  <c r="AS397" i="90"/>
  <c r="AS398" i="90"/>
  <c r="AV398" i="90" s="1"/>
  <c r="AS399" i="90"/>
  <c r="AS400" i="90"/>
  <c r="AS401" i="90"/>
  <c r="AS402" i="90"/>
  <c r="AV402" i="90" s="1"/>
  <c r="AS403" i="90"/>
  <c r="AS404" i="90"/>
  <c r="AS405" i="90"/>
  <c r="AS406" i="90"/>
  <c r="AV406" i="90" s="1"/>
  <c r="AS407" i="90"/>
  <c r="AS408" i="90"/>
  <c r="AS409" i="90"/>
  <c r="AS410" i="90"/>
  <c r="AV410" i="90" s="1"/>
  <c r="AS411" i="90"/>
  <c r="AS412" i="90"/>
  <c r="AS413" i="90"/>
  <c r="AS414" i="90"/>
  <c r="AV414" i="90" s="1"/>
  <c r="AS415" i="90"/>
  <c r="AS416" i="90"/>
  <c r="AS417" i="90"/>
  <c r="AS418" i="90"/>
  <c r="AV418" i="90" s="1"/>
  <c r="AS419" i="90"/>
  <c r="AS420" i="90"/>
  <c r="AS421" i="90"/>
  <c r="AS422" i="90"/>
  <c r="AV422" i="90" s="1"/>
  <c r="AS423" i="90"/>
  <c r="AS424" i="90"/>
  <c r="AS425" i="90"/>
  <c r="AS426" i="90"/>
  <c r="AV426" i="90" s="1"/>
  <c r="AS427" i="90"/>
  <c r="AS428" i="90"/>
  <c r="AS429" i="90"/>
  <c r="AS430" i="90"/>
  <c r="AV430" i="90" s="1"/>
  <c r="AS431" i="90"/>
  <c r="AS432" i="90"/>
  <c r="AS433" i="90"/>
  <c r="AS434" i="90"/>
  <c r="AV434" i="90" s="1"/>
  <c r="AS435" i="90"/>
  <c r="AS436" i="90"/>
  <c r="AS437" i="90"/>
  <c r="AS438" i="90"/>
  <c r="AV438" i="90" s="1"/>
  <c r="AS439" i="90"/>
  <c r="AS440" i="90"/>
  <c r="AS441" i="90"/>
  <c r="AS442" i="90"/>
  <c r="AV442" i="90" s="1"/>
  <c r="AS443" i="90"/>
  <c r="AS444" i="90"/>
  <c r="AS445" i="90"/>
  <c r="AS446" i="90"/>
  <c r="AV446" i="90" s="1"/>
  <c r="AS447" i="90"/>
  <c r="AS448" i="90"/>
  <c r="AS449" i="90"/>
  <c r="AS450" i="90"/>
  <c r="AV450" i="90" s="1"/>
  <c r="AS451" i="90"/>
  <c r="AS452" i="90"/>
  <c r="AS453" i="90"/>
  <c r="AS454" i="90"/>
  <c r="AV454" i="90" s="1"/>
  <c r="AS455" i="90"/>
  <c r="AS456" i="90"/>
  <c r="AS457" i="90"/>
  <c r="AS458" i="90"/>
  <c r="AV458" i="90" s="1"/>
  <c r="AS459" i="90"/>
  <c r="AS460" i="90"/>
  <c r="AS461" i="90"/>
  <c r="AS462" i="90"/>
  <c r="AV462" i="90" s="1"/>
  <c r="AS463" i="90"/>
  <c r="AS464" i="90"/>
  <c r="AS465" i="90"/>
  <c r="AS466" i="90"/>
  <c r="AV466" i="90" s="1"/>
  <c r="AS467" i="90"/>
  <c r="AS468" i="90"/>
  <c r="AS469" i="90"/>
  <c r="AS470" i="90"/>
  <c r="AV470" i="90" s="1"/>
  <c r="AS471" i="90"/>
  <c r="AS472" i="90"/>
  <c r="AS473" i="90"/>
  <c r="AS474" i="90"/>
  <c r="AV474" i="90" s="1"/>
  <c r="AS475" i="90"/>
  <c r="AS476" i="90"/>
  <c r="AS477" i="90"/>
  <c r="AS478" i="90"/>
  <c r="AV478" i="90" s="1"/>
  <c r="AS479" i="90"/>
  <c r="AS480" i="90"/>
  <c r="AS481" i="90"/>
  <c r="AS482" i="90"/>
  <c r="AV482" i="90" s="1"/>
  <c r="AS483" i="90"/>
  <c r="AS484" i="90"/>
  <c r="AS485" i="90"/>
  <c r="AS486" i="90"/>
  <c r="AV486" i="90" s="1"/>
  <c r="AS487" i="90"/>
  <c r="AS488" i="90"/>
  <c r="AS489" i="90"/>
  <c r="AS490" i="90"/>
  <c r="AV490" i="90" s="1"/>
  <c r="AS491" i="90"/>
  <c r="AS492" i="90"/>
  <c r="AS493" i="90"/>
  <c r="AS494" i="90"/>
  <c r="AV494" i="90" s="1"/>
  <c r="AS495" i="90"/>
  <c r="AS496" i="90"/>
  <c r="AS497" i="90"/>
  <c r="AS498" i="90"/>
  <c r="AV498" i="90" s="1"/>
  <c r="AS499" i="90"/>
  <c r="AS500" i="90"/>
  <c r="AS501" i="90"/>
  <c r="AS502" i="90"/>
  <c r="AV502" i="90" s="1"/>
  <c r="AS503" i="90"/>
  <c r="AS504" i="90"/>
  <c r="AS505" i="90"/>
  <c r="AS506" i="90"/>
  <c r="AV506" i="90" s="1"/>
  <c r="AS507" i="90"/>
  <c r="AS508" i="90"/>
  <c r="AS509" i="90"/>
  <c r="AS510" i="90"/>
  <c r="AV510" i="90" s="1"/>
  <c r="AS511" i="90"/>
  <c r="AS512" i="90"/>
  <c r="AS513" i="90"/>
  <c r="AS514" i="90"/>
  <c r="AV514" i="90" s="1"/>
  <c r="AS515" i="90"/>
  <c r="AS516" i="90"/>
  <c r="AS517" i="90"/>
  <c r="AS518" i="90"/>
  <c r="AV518" i="90" s="1"/>
  <c r="AS519" i="90"/>
  <c r="AS520" i="90"/>
  <c r="AS521" i="90"/>
  <c r="AS522" i="90"/>
  <c r="AV522" i="90" s="1"/>
  <c r="AS523" i="90"/>
  <c r="AS524" i="90"/>
  <c r="AS525" i="90"/>
  <c r="AS526" i="90"/>
  <c r="AV526" i="90" s="1"/>
  <c r="AS527" i="90"/>
  <c r="AS528" i="90"/>
  <c r="AS529" i="90"/>
  <c r="AS530" i="90"/>
  <c r="AV530" i="90" s="1"/>
  <c r="AS531" i="90"/>
  <c r="AS532" i="90"/>
  <c r="AS533" i="90"/>
  <c r="AS534" i="90"/>
  <c r="AV534" i="90" s="1"/>
  <c r="AS535" i="90"/>
  <c r="AS536" i="90"/>
  <c r="AS537" i="90"/>
  <c r="AS538" i="90"/>
  <c r="AV538" i="90" s="1"/>
  <c r="AS539" i="90"/>
  <c r="AS540" i="90"/>
  <c r="AS541" i="90"/>
  <c r="AS542" i="90"/>
  <c r="AV542" i="90" s="1"/>
  <c r="AS543" i="90"/>
  <c r="AS544" i="90"/>
  <c r="AS545" i="90"/>
  <c r="AS546" i="90"/>
  <c r="AV546" i="90" s="1"/>
  <c r="AS547" i="90"/>
  <c r="AS548" i="90"/>
  <c r="AS549" i="90"/>
  <c r="AS550" i="90"/>
  <c r="AV550" i="90" s="1"/>
  <c r="AS551" i="90"/>
  <c r="AS552" i="90"/>
  <c r="AS553" i="90"/>
  <c r="AS554" i="90"/>
  <c r="AV554" i="90" s="1"/>
  <c r="AS555" i="90"/>
  <c r="AS556" i="90"/>
  <c r="AS557" i="90"/>
  <c r="AS558" i="90"/>
  <c r="AV558" i="90" s="1"/>
  <c r="AS559" i="90"/>
  <c r="AS560" i="90"/>
  <c r="AS561" i="90"/>
  <c r="AS562" i="90"/>
  <c r="AV562" i="90" s="1"/>
  <c r="AS563" i="90"/>
  <c r="AS564" i="90"/>
  <c r="AS5" i="90"/>
  <c r="AB6" i="90"/>
  <c r="AG6" i="90" s="1"/>
  <c r="AB7" i="90"/>
  <c r="AG7" i="90" s="1"/>
  <c r="AB8" i="90"/>
  <c r="AG8" i="90" s="1"/>
  <c r="AB9" i="90"/>
  <c r="AF9" i="90" s="1"/>
  <c r="AB10" i="90"/>
  <c r="AG10" i="90" s="1"/>
  <c r="AB11" i="90"/>
  <c r="AG11" i="90" s="1"/>
  <c r="AB12" i="90"/>
  <c r="AG12" i="90" s="1"/>
  <c r="AB13" i="90"/>
  <c r="AB14" i="90"/>
  <c r="AG14" i="90" s="1"/>
  <c r="AB15" i="90"/>
  <c r="AG15" i="90" s="1"/>
  <c r="AB16" i="90"/>
  <c r="AG16" i="90" s="1"/>
  <c r="AB17" i="90"/>
  <c r="AB18" i="90"/>
  <c r="AG18" i="90" s="1"/>
  <c r="AB19" i="90"/>
  <c r="AG19" i="90" s="1"/>
  <c r="AB20" i="90"/>
  <c r="AG20" i="90" s="1"/>
  <c r="AB21" i="90"/>
  <c r="AB22" i="90"/>
  <c r="AG22" i="90" s="1"/>
  <c r="AB23" i="90"/>
  <c r="AG23" i="90" s="1"/>
  <c r="AB24" i="90"/>
  <c r="AG24" i="90" s="1"/>
  <c r="AB25" i="90"/>
  <c r="AF25" i="90" s="1"/>
  <c r="AB26" i="90"/>
  <c r="AG26" i="90" s="1"/>
  <c r="AB27" i="90"/>
  <c r="AG27" i="90" s="1"/>
  <c r="AB28" i="90"/>
  <c r="AG28" i="90" s="1"/>
  <c r="AB29" i="90"/>
  <c r="AB30" i="90"/>
  <c r="AG30" i="90" s="1"/>
  <c r="AB31" i="90"/>
  <c r="AG31" i="90" s="1"/>
  <c r="AB32" i="90"/>
  <c r="AG32" i="90" s="1"/>
  <c r="AB33" i="90"/>
  <c r="AB34" i="90"/>
  <c r="AG34" i="90" s="1"/>
  <c r="AB35" i="90"/>
  <c r="AG35" i="90" s="1"/>
  <c r="AB36" i="90"/>
  <c r="AG36" i="90" s="1"/>
  <c r="AB37" i="90"/>
  <c r="AB38" i="90"/>
  <c r="AG38" i="90" s="1"/>
  <c r="AB39" i="90"/>
  <c r="AG39" i="90" s="1"/>
  <c r="AB40" i="90"/>
  <c r="AG40" i="90" s="1"/>
  <c r="AB41" i="90"/>
  <c r="AF41" i="90" s="1"/>
  <c r="AB42" i="90"/>
  <c r="AG42" i="90" s="1"/>
  <c r="AB43" i="90"/>
  <c r="AG43" i="90" s="1"/>
  <c r="AB44" i="90"/>
  <c r="AG44" i="90" s="1"/>
  <c r="AB45" i="90"/>
  <c r="AB46" i="90"/>
  <c r="AG46" i="90" s="1"/>
  <c r="AB47" i="90"/>
  <c r="AG47" i="90" s="1"/>
  <c r="AB48" i="90"/>
  <c r="AG48" i="90" s="1"/>
  <c r="AB49" i="90"/>
  <c r="AB50" i="90"/>
  <c r="AG50" i="90" s="1"/>
  <c r="AB51" i="90"/>
  <c r="AG51" i="90" s="1"/>
  <c r="AB52" i="90"/>
  <c r="AG52" i="90" s="1"/>
  <c r="AB53" i="90"/>
  <c r="AB54" i="90"/>
  <c r="AG54" i="90" s="1"/>
  <c r="AB55" i="90"/>
  <c r="AG55" i="90" s="1"/>
  <c r="AB56" i="90"/>
  <c r="AG56" i="90" s="1"/>
  <c r="AB57" i="90"/>
  <c r="AF57" i="90" s="1"/>
  <c r="AB58" i="90"/>
  <c r="AG58" i="90" s="1"/>
  <c r="AB59" i="90"/>
  <c r="AG59" i="90" s="1"/>
  <c r="AB60" i="90"/>
  <c r="AG60" i="90" s="1"/>
  <c r="AB61" i="90"/>
  <c r="AB62" i="90"/>
  <c r="AG62" i="90" s="1"/>
  <c r="AB63" i="90"/>
  <c r="AG63" i="90" s="1"/>
  <c r="AB64" i="90"/>
  <c r="AG64" i="90" s="1"/>
  <c r="AB65" i="90"/>
  <c r="AB66" i="90"/>
  <c r="AG66" i="90" s="1"/>
  <c r="AB67" i="90"/>
  <c r="AG67" i="90" s="1"/>
  <c r="AB68" i="90"/>
  <c r="AG68" i="90" s="1"/>
  <c r="AB69" i="90"/>
  <c r="AB70" i="90"/>
  <c r="AG70" i="90" s="1"/>
  <c r="AB71" i="90"/>
  <c r="AG71" i="90" s="1"/>
  <c r="AB72" i="90"/>
  <c r="AG72" i="90" s="1"/>
  <c r="AB73" i="90"/>
  <c r="AF73" i="90" s="1"/>
  <c r="AB74" i="90"/>
  <c r="AG74" i="90" s="1"/>
  <c r="AB75" i="90"/>
  <c r="AG75" i="90" s="1"/>
  <c r="AB76" i="90"/>
  <c r="AG76" i="90" s="1"/>
  <c r="AB77" i="90"/>
  <c r="AB78" i="90"/>
  <c r="AG78" i="90" s="1"/>
  <c r="AB79" i="90"/>
  <c r="AG79" i="90" s="1"/>
  <c r="AB80" i="90"/>
  <c r="AG80" i="90" s="1"/>
  <c r="AB81" i="90"/>
  <c r="AB82" i="90"/>
  <c r="AG82" i="90" s="1"/>
  <c r="AB83" i="90"/>
  <c r="AG83" i="90" s="1"/>
  <c r="AB84" i="90"/>
  <c r="AG84" i="90" s="1"/>
  <c r="AB85" i="90"/>
  <c r="AB86" i="90"/>
  <c r="AG86" i="90" s="1"/>
  <c r="AB87" i="90"/>
  <c r="AG87" i="90" s="1"/>
  <c r="AB88" i="90"/>
  <c r="AG88" i="90" s="1"/>
  <c r="AB89" i="90"/>
  <c r="AF89" i="90" s="1"/>
  <c r="AB90" i="90"/>
  <c r="AG90" i="90" s="1"/>
  <c r="AB91" i="90"/>
  <c r="AG91" i="90" s="1"/>
  <c r="AB92" i="90"/>
  <c r="AG92" i="90" s="1"/>
  <c r="AB93" i="90"/>
  <c r="AB94" i="90"/>
  <c r="AG94" i="90" s="1"/>
  <c r="AB95" i="90"/>
  <c r="AG95" i="90" s="1"/>
  <c r="AB96" i="90"/>
  <c r="AG96" i="90" s="1"/>
  <c r="AB97" i="90"/>
  <c r="AB98" i="90"/>
  <c r="AG98" i="90" s="1"/>
  <c r="AB99" i="90"/>
  <c r="AG99" i="90" s="1"/>
  <c r="AB100" i="90"/>
  <c r="AG100" i="90" s="1"/>
  <c r="AB101" i="90"/>
  <c r="AB102" i="90"/>
  <c r="AG102" i="90" s="1"/>
  <c r="AB103" i="90"/>
  <c r="AG103" i="90" s="1"/>
  <c r="AB104" i="90"/>
  <c r="AG104" i="90" s="1"/>
  <c r="AB105" i="90"/>
  <c r="AF105" i="90" s="1"/>
  <c r="AB106" i="90"/>
  <c r="AG106" i="90" s="1"/>
  <c r="AB107" i="90"/>
  <c r="AG107" i="90" s="1"/>
  <c r="AB108" i="90"/>
  <c r="AG108" i="90" s="1"/>
  <c r="AB109" i="90"/>
  <c r="AB110" i="90"/>
  <c r="AG110" i="90" s="1"/>
  <c r="AB111" i="90"/>
  <c r="AG111" i="90" s="1"/>
  <c r="AB112" i="90"/>
  <c r="AG112" i="90" s="1"/>
  <c r="AB113" i="90"/>
  <c r="AB114" i="90"/>
  <c r="AG114" i="90" s="1"/>
  <c r="AB115" i="90"/>
  <c r="AG115" i="90" s="1"/>
  <c r="AB116" i="90"/>
  <c r="AG116" i="90" s="1"/>
  <c r="AB117" i="90"/>
  <c r="AB118" i="90"/>
  <c r="AG118" i="90" s="1"/>
  <c r="AB119" i="90"/>
  <c r="AG119" i="90" s="1"/>
  <c r="AB120" i="90"/>
  <c r="AG120" i="90" s="1"/>
  <c r="AB121" i="90"/>
  <c r="AF121" i="90" s="1"/>
  <c r="AB122" i="90"/>
  <c r="AG122" i="90" s="1"/>
  <c r="AB123" i="90"/>
  <c r="AG123" i="90" s="1"/>
  <c r="AB124" i="90"/>
  <c r="AG124" i="90" s="1"/>
  <c r="AB125" i="90"/>
  <c r="AB126" i="90"/>
  <c r="AG126" i="90" s="1"/>
  <c r="AB127" i="90"/>
  <c r="AG127" i="90" s="1"/>
  <c r="AB128" i="90"/>
  <c r="AG128" i="90" s="1"/>
  <c r="AB129" i="90"/>
  <c r="AB130" i="90"/>
  <c r="AG130" i="90" s="1"/>
  <c r="AB131" i="90"/>
  <c r="AG131" i="90" s="1"/>
  <c r="AB132" i="90"/>
  <c r="AG132" i="90" s="1"/>
  <c r="AB133" i="90"/>
  <c r="AB134" i="90"/>
  <c r="AG134" i="90" s="1"/>
  <c r="AB135" i="90"/>
  <c r="AG135" i="90" s="1"/>
  <c r="AB136" i="90"/>
  <c r="AG136" i="90" s="1"/>
  <c r="AB137" i="90"/>
  <c r="AF137" i="90" s="1"/>
  <c r="AB138" i="90"/>
  <c r="AG138" i="90" s="1"/>
  <c r="AB139" i="90"/>
  <c r="AG139" i="90" s="1"/>
  <c r="AB140" i="90"/>
  <c r="AG140" i="90" s="1"/>
  <c r="AB141" i="90"/>
  <c r="AB142" i="90"/>
  <c r="AG142" i="90" s="1"/>
  <c r="AB143" i="90"/>
  <c r="AG143" i="90" s="1"/>
  <c r="AB144" i="90"/>
  <c r="AG144" i="90" s="1"/>
  <c r="AB145" i="90"/>
  <c r="AB146" i="90"/>
  <c r="AG146" i="90" s="1"/>
  <c r="AB147" i="90"/>
  <c r="AG147" i="90" s="1"/>
  <c r="AB148" i="90"/>
  <c r="AG148" i="90" s="1"/>
  <c r="AB149" i="90"/>
  <c r="AB150" i="90"/>
  <c r="AG150" i="90" s="1"/>
  <c r="AB151" i="90"/>
  <c r="AG151" i="90" s="1"/>
  <c r="AB152" i="90"/>
  <c r="AG152" i="90" s="1"/>
  <c r="AB153" i="90"/>
  <c r="AF153" i="90" s="1"/>
  <c r="AB154" i="90"/>
  <c r="AG154" i="90" s="1"/>
  <c r="AB155" i="90"/>
  <c r="AG155" i="90" s="1"/>
  <c r="AB156" i="90"/>
  <c r="AG156" i="90" s="1"/>
  <c r="AB157" i="90"/>
  <c r="AB158" i="90"/>
  <c r="AG158" i="90" s="1"/>
  <c r="AB159" i="90"/>
  <c r="AG159" i="90" s="1"/>
  <c r="AB160" i="90"/>
  <c r="AG160" i="90" s="1"/>
  <c r="AB161" i="90"/>
  <c r="AB162" i="90"/>
  <c r="AG162" i="90" s="1"/>
  <c r="AB163" i="90"/>
  <c r="AG163" i="90" s="1"/>
  <c r="AB164" i="90"/>
  <c r="AG164" i="90" s="1"/>
  <c r="AB165" i="90"/>
  <c r="AB166" i="90"/>
  <c r="AG166" i="90" s="1"/>
  <c r="AB167" i="90"/>
  <c r="AG167" i="90" s="1"/>
  <c r="AB168" i="90"/>
  <c r="AG168" i="90" s="1"/>
  <c r="AB169" i="90"/>
  <c r="AF169" i="90" s="1"/>
  <c r="AB170" i="90"/>
  <c r="AG170" i="90" s="1"/>
  <c r="AB171" i="90"/>
  <c r="AG171" i="90" s="1"/>
  <c r="AB172" i="90"/>
  <c r="AG172" i="90" s="1"/>
  <c r="AB173" i="90"/>
  <c r="AB174" i="90"/>
  <c r="AG174" i="90" s="1"/>
  <c r="AB175" i="90"/>
  <c r="AG175" i="90" s="1"/>
  <c r="AB176" i="90"/>
  <c r="AG176" i="90" s="1"/>
  <c r="AB177" i="90"/>
  <c r="AB178" i="90"/>
  <c r="AG178" i="90" s="1"/>
  <c r="AB179" i="90"/>
  <c r="AG179" i="90" s="1"/>
  <c r="AB180" i="90"/>
  <c r="AG180" i="90" s="1"/>
  <c r="AB181" i="90"/>
  <c r="AB182" i="90"/>
  <c r="AG182" i="90" s="1"/>
  <c r="AB183" i="90"/>
  <c r="AG183" i="90" s="1"/>
  <c r="AB184" i="90"/>
  <c r="AG184" i="90" s="1"/>
  <c r="AB185" i="90"/>
  <c r="AF185" i="90" s="1"/>
  <c r="AB186" i="90"/>
  <c r="AG186" i="90" s="1"/>
  <c r="AB187" i="90"/>
  <c r="AG187" i="90" s="1"/>
  <c r="AB188" i="90"/>
  <c r="AG188" i="90" s="1"/>
  <c r="AB189" i="90"/>
  <c r="AB190" i="90"/>
  <c r="AG190" i="90" s="1"/>
  <c r="AB191" i="90"/>
  <c r="AG191" i="90" s="1"/>
  <c r="AB192" i="90"/>
  <c r="AG192" i="90" s="1"/>
  <c r="AB193" i="90"/>
  <c r="AB194" i="90"/>
  <c r="AG194" i="90" s="1"/>
  <c r="AB195" i="90"/>
  <c r="AG195" i="90" s="1"/>
  <c r="AB196" i="90"/>
  <c r="AG196" i="90" s="1"/>
  <c r="AB197" i="90"/>
  <c r="AB198" i="90"/>
  <c r="AG198" i="90" s="1"/>
  <c r="AB199" i="90"/>
  <c r="AG199" i="90" s="1"/>
  <c r="AB200" i="90"/>
  <c r="AG200" i="90" s="1"/>
  <c r="AB201" i="90"/>
  <c r="AF201" i="90" s="1"/>
  <c r="AB202" i="90"/>
  <c r="AG202" i="90" s="1"/>
  <c r="AB203" i="90"/>
  <c r="AG203" i="90" s="1"/>
  <c r="AB204" i="90"/>
  <c r="AG204" i="90" s="1"/>
  <c r="AB205" i="90"/>
  <c r="AB206" i="90"/>
  <c r="AG206" i="90" s="1"/>
  <c r="AB207" i="90"/>
  <c r="AG207" i="90" s="1"/>
  <c r="AB208" i="90"/>
  <c r="AG208" i="90" s="1"/>
  <c r="AB209" i="90"/>
  <c r="AB210" i="90"/>
  <c r="AG210" i="90" s="1"/>
  <c r="AB211" i="90"/>
  <c r="AG211" i="90" s="1"/>
  <c r="AB212" i="90"/>
  <c r="AG212" i="90" s="1"/>
  <c r="AB213" i="90"/>
  <c r="AB214" i="90"/>
  <c r="AG214" i="90" s="1"/>
  <c r="AB215" i="90"/>
  <c r="AG215" i="90" s="1"/>
  <c r="AB216" i="90"/>
  <c r="AG216" i="90" s="1"/>
  <c r="AB217" i="90"/>
  <c r="AF217" i="90" s="1"/>
  <c r="AB218" i="90"/>
  <c r="AG218" i="90" s="1"/>
  <c r="AB219" i="90"/>
  <c r="AG219" i="90" s="1"/>
  <c r="AB220" i="90"/>
  <c r="AG220" i="90" s="1"/>
  <c r="AB221" i="90"/>
  <c r="AB222" i="90"/>
  <c r="AG222" i="90" s="1"/>
  <c r="AB223" i="90"/>
  <c r="AG223" i="90" s="1"/>
  <c r="AB224" i="90"/>
  <c r="AG224" i="90" s="1"/>
  <c r="AB225" i="90"/>
  <c r="AB226" i="90"/>
  <c r="AG226" i="90" s="1"/>
  <c r="AB227" i="90"/>
  <c r="AG227" i="90" s="1"/>
  <c r="AB228" i="90"/>
  <c r="AG228" i="90" s="1"/>
  <c r="AB229" i="90"/>
  <c r="AB230" i="90"/>
  <c r="AG230" i="90" s="1"/>
  <c r="AB231" i="90"/>
  <c r="AG231" i="90" s="1"/>
  <c r="AB232" i="90"/>
  <c r="AG232" i="90" s="1"/>
  <c r="AB233" i="90"/>
  <c r="AF233" i="90" s="1"/>
  <c r="AB234" i="90"/>
  <c r="AG234" i="90" s="1"/>
  <c r="AB235" i="90"/>
  <c r="AG235" i="90" s="1"/>
  <c r="AB236" i="90"/>
  <c r="AG236" i="90" s="1"/>
  <c r="AB237" i="90"/>
  <c r="AB238" i="90"/>
  <c r="AG238" i="90" s="1"/>
  <c r="AB239" i="90"/>
  <c r="AG239" i="90" s="1"/>
  <c r="AB240" i="90"/>
  <c r="AG240" i="90" s="1"/>
  <c r="AB241" i="90"/>
  <c r="AB242" i="90"/>
  <c r="AG242" i="90" s="1"/>
  <c r="AB243" i="90"/>
  <c r="AG243" i="90" s="1"/>
  <c r="AB244" i="90"/>
  <c r="AG244" i="90" s="1"/>
  <c r="AB245" i="90"/>
  <c r="AB246" i="90"/>
  <c r="AG246" i="90" s="1"/>
  <c r="AB247" i="90"/>
  <c r="AG247" i="90" s="1"/>
  <c r="AB248" i="90"/>
  <c r="AG248" i="90" s="1"/>
  <c r="AB249" i="90"/>
  <c r="AF249" i="90" s="1"/>
  <c r="AB250" i="90"/>
  <c r="AG250" i="90" s="1"/>
  <c r="AB251" i="90"/>
  <c r="AG251" i="90" s="1"/>
  <c r="AB252" i="90"/>
  <c r="AG252" i="90" s="1"/>
  <c r="AB253" i="90"/>
  <c r="AB254" i="90"/>
  <c r="AG254" i="90" s="1"/>
  <c r="AB255" i="90"/>
  <c r="AG255" i="90" s="1"/>
  <c r="AB256" i="90"/>
  <c r="AG256" i="90" s="1"/>
  <c r="AB257" i="90"/>
  <c r="AB258" i="90"/>
  <c r="AG258" i="90" s="1"/>
  <c r="AB259" i="90"/>
  <c r="AG259" i="90" s="1"/>
  <c r="AB260" i="90"/>
  <c r="AG260" i="90" s="1"/>
  <c r="AB261" i="90"/>
  <c r="AB262" i="90"/>
  <c r="AG262" i="90" s="1"/>
  <c r="AB263" i="90"/>
  <c r="AG263" i="90" s="1"/>
  <c r="AB264" i="90"/>
  <c r="AG264" i="90" s="1"/>
  <c r="AB265" i="90"/>
  <c r="AF265" i="90" s="1"/>
  <c r="AB266" i="90"/>
  <c r="AG266" i="90" s="1"/>
  <c r="AB267" i="90"/>
  <c r="AG267" i="90" s="1"/>
  <c r="AB268" i="90"/>
  <c r="AG268" i="90" s="1"/>
  <c r="AB269" i="90"/>
  <c r="AB270" i="90"/>
  <c r="AG270" i="90" s="1"/>
  <c r="AB271" i="90"/>
  <c r="AG271" i="90" s="1"/>
  <c r="AB272" i="90"/>
  <c r="AG272" i="90" s="1"/>
  <c r="AB273" i="90"/>
  <c r="AB274" i="90"/>
  <c r="AG274" i="90" s="1"/>
  <c r="AB275" i="90"/>
  <c r="AG275" i="90" s="1"/>
  <c r="AB276" i="90"/>
  <c r="AG276" i="90" s="1"/>
  <c r="AB277" i="90"/>
  <c r="AB278" i="90"/>
  <c r="AG278" i="90" s="1"/>
  <c r="AB279" i="90"/>
  <c r="AG279" i="90" s="1"/>
  <c r="AB280" i="90"/>
  <c r="AG280" i="90" s="1"/>
  <c r="AB281" i="90"/>
  <c r="AF281" i="90" s="1"/>
  <c r="AB282" i="90"/>
  <c r="AG282" i="90" s="1"/>
  <c r="AB283" i="90"/>
  <c r="AG283" i="90" s="1"/>
  <c r="AB284" i="90"/>
  <c r="AG284" i="90" s="1"/>
  <c r="AB285" i="90"/>
  <c r="AB286" i="90"/>
  <c r="AG286" i="90" s="1"/>
  <c r="AB287" i="90"/>
  <c r="AG287" i="90" s="1"/>
  <c r="AB288" i="90"/>
  <c r="AG288" i="90" s="1"/>
  <c r="AB289" i="90"/>
  <c r="AB290" i="90"/>
  <c r="AG290" i="90" s="1"/>
  <c r="AB291" i="90"/>
  <c r="AG291" i="90" s="1"/>
  <c r="AB292" i="90"/>
  <c r="AG292" i="90" s="1"/>
  <c r="AB293" i="90"/>
  <c r="AB294" i="90"/>
  <c r="AG294" i="90" s="1"/>
  <c r="AB295" i="90"/>
  <c r="AG295" i="90" s="1"/>
  <c r="AB296" i="90"/>
  <c r="AG296" i="90" s="1"/>
  <c r="AB297" i="90"/>
  <c r="AF297" i="90" s="1"/>
  <c r="AB298" i="90"/>
  <c r="AG298" i="90" s="1"/>
  <c r="AB299" i="90"/>
  <c r="AG299" i="90" s="1"/>
  <c r="AB300" i="90"/>
  <c r="AG300" i="90" s="1"/>
  <c r="AB301" i="90"/>
  <c r="AB302" i="90"/>
  <c r="AG302" i="90" s="1"/>
  <c r="AB303" i="90"/>
  <c r="AG303" i="90" s="1"/>
  <c r="AB304" i="90"/>
  <c r="AG304" i="90" s="1"/>
  <c r="AB305" i="90"/>
  <c r="AB306" i="90"/>
  <c r="AG306" i="90" s="1"/>
  <c r="AB307" i="90"/>
  <c r="AG307" i="90" s="1"/>
  <c r="AB308" i="90"/>
  <c r="AG308" i="90" s="1"/>
  <c r="AB309" i="90"/>
  <c r="AB310" i="90"/>
  <c r="AG310" i="90" s="1"/>
  <c r="AB311" i="90"/>
  <c r="AG311" i="90" s="1"/>
  <c r="AB312" i="90"/>
  <c r="AG312" i="90" s="1"/>
  <c r="AB313" i="90"/>
  <c r="AF313" i="90" s="1"/>
  <c r="AB314" i="90"/>
  <c r="AG314" i="90" s="1"/>
  <c r="AB315" i="90"/>
  <c r="AG315" i="90" s="1"/>
  <c r="AB316" i="90"/>
  <c r="AG316" i="90" s="1"/>
  <c r="AB317" i="90"/>
  <c r="AB318" i="90"/>
  <c r="AG318" i="90" s="1"/>
  <c r="AB319" i="90"/>
  <c r="AG319" i="90" s="1"/>
  <c r="AB320" i="90"/>
  <c r="AG320" i="90" s="1"/>
  <c r="AB321" i="90"/>
  <c r="AB322" i="90"/>
  <c r="AG322" i="90" s="1"/>
  <c r="AB323" i="90"/>
  <c r="AG323" i="90" s="1"/>
  <c r="AB324" i="90"/>
  <c r="AG324" i="90" s="1"/>
  <c r="AB325" i="90"/>
  <c r="AB326" i="90"/>
  <c r="AG326" i="90" s="1"/>
  <c r="AB327" i="90"/>
  <c r="AG327" i="90" s="1"/>
  <c r="AB328" i="90"/>
  <c r="AG328" i="90" s="1"/>
  <c r="AB329" i="90"/>
  <c r="AF329" i="90" s="1"/>
  <c r="AB330" i="90"/>
  <c r="AG330" i="90" s="1"/>
  <c r="AB331" i="90"/>
  <c r="AG331" i="90" s="1"/>
  <c r="AB332" i="90"/>
  <c r="AG332" i="90" s="1"/>
  <c r="AB333" i="90"/>
  <c r="AB334" i="90"/>
  <c r="AG334" i="90" s="1"/>
  <c r="AB335" i="90"/>
  <c r="AG335" i="90" s="1"/>
  <c r="AB336" i="90"/>
  <c r="AG336" i="90" s="1"/>
  <c r="AB337" i="90"/>
  <c r="AB338" i="90"/>
  <c r="AG338" i="90" s="1"/>
  <c r="AB339" i="90"/>
  <c r="AG339" i="90" s="1"/>
  <c r="AB340" i="90"/>
  <c r="AG340" i="90" s="1"/>
  <c r="AB341" i="90"/>
  <c r="AB342" i="90"/>
  <c r="AG342" i="90" s="1"/>
  <c r="AB343" i="90"/>
  <c r="AG343" i="90" s="1"/>
  <c r="AB344" i="90"/>
  <c r="AG344" i="90" s="1"/>
  <c r="AB345" i="90"/>
  <c r="AF345" i="90" s="1"/>
  <c r="AB346" i="90"/>
  <c r="AG346" i="90" s="1"/>
  <c r="AB347" i="90"/>
  <c r="AG347" i="90" s="1"/>
  <c r="AB348" i="90"/>
  <c r="AG348" i="90" s="1"/>
  <c r="AB349" i="90"/>
  <c r="AB350" i="90"/>
  <c r="AG350" i="90" s="1"/>
  <c r="AB351" i="90"/>
  <c r="AG351" i="90" s="1"/>
  <c r="AB352" i="90"/>
  <c r="AG352" i="90" s="1"/>
  <c r="AB353" i="90"/>
  <c r="AB354" i="90"/>
  <c r="AG354" i="90" s="1"/>
  <c r="AB355" i="90"/>
  <c r="AG355" i="90" s="1"/>
  <c r="AB356" i="90"/>
  <c r="AG356" i="90" s="1"/>
  <c r="AB357" i="90"/>
  <c r="AB358" i="90"/>
  <c r="AG358" i="90" s="1"/>
  <c r="AB359" i="90"/>
  <c r="AG359" i="90" s="1"/>
  <c r="AB360" i="90"/>
  <c r="AG360" i="90" s="1"/>
  <c r="AB361" i="90"/>
  <c r="AF361" i="90" s="1"/>
  <c r="AB362" i="90"/>
  <c r="AG362" i="90" s="1"/>
  <c r="AB363" i="90"/>
  <c r="AG363" i="90" s="1"/>
  <c r="AB364" i="90"/>
  <c r="AG364" i="90" s="1"/>
  <c r="AB365" i="90"/>
  <c r="AB366" i="90"/>
  <c r="AG366" i="90" s="1"/>
  <c r="AB367" i="90"/>
  <c r="AG367" i="90" s="1"/>
  <c r="AB368" i="90"/>
  <c r="AG368" i="90" s="1"/>
  <c r="AB369" i="90"/>
  <c r="AB370" i="90"/>
  <c r="AG370" i="90" s="1"/>
  <c r="AB371" i="90"/>
  <c r="AG371" i="90" s="1"/>
  <c r="AB372" i="90"/>
  <c r="AG372" i="90" s="1"/>
  <c r="AB373" i="90"/>
  <c r="AF373" i="90" s="1"/>
  <c r="AB374" i="90"/>
  <c r="AG374" i="90" s="1"/>
  <c r="AB375" i="90"/>
  <c r="AG375" i="90" s="1"/>
  <c r="AB376" i="90"/>
  <c r="AG376" i="90" s="1"/>
  <c r="AB377" i="90"/>
  <c r="AF377" i="90" s="1"/>
  <c r="AB378" i="90"/>
  <c r="AG378" i="90" s="1"/>
  <c r="AB379" i="90"/>
  <c r="AG379" i="90" s="1"/>
  <c r="AB380" i="90"/>
  <c r="AG380" i="90" s="1"/>
  <c r="AB381" i="90"/>
  <c r="AB382" i="90"/>
  <c r="AG382" i="90" s="1"/>
  <c r="AB383" i="90"/>
  <c r="AG383" i="90" s="1"/>
  <c r="AB384" i="90"/>
  <c r="AG384" i="90" s="1"/>
  <c r="AB385" i="90"/>
  <c r="AB386" i="90"/>
  <c r="AG386" i="90" s="1"/>
  <c r="AB387" i="90"/>
  <c r="AG387" i="90" s="1"/>
  <c r="AB388" i="90"/>
  <c r="AG388" i="90" s="1"/>
  <c r="AB389" i="90"/>
  <c r="AB390" i="90"/>
  <c r="AG390" i="90" s="1"/>
  <c r="AB391" i="90"/>
  <c r="AG391" i="90" s="1"/>
  <c r="AB392" i="90"/>
  <c r="AG392" i="90" s="1"/>
  <c r="AB393" i="90"/>
  <c r="AF393" i="90" s="1"/>
  <c r="AB394" i="90"/>
  <c r="AG394" i="90" s="1"/>
  <c r="AB395" i="90"/>
  <c r="AG395" i="90" s="1"/>
  <c r="AB396" i="90"/>
  <c r="AG396" i="90" s="1"/>
  <c r="AB397" i="90"/>
  <c r="AB398" i="90"/>
  <c r="AG398" i="90" s="1"/>
  <c r="AB399" i="90"/>
  <c r="AG399" i="90" s="1"/>
  <c r="AB400" i="90"/>
  <c r="AG400" i="90" s="1"/>
  <c r="AB401" i="90"/>
  <c r="AB402" i="90"/>
  <c r="AG402" i="90" s="1"/>
  <c r="AB403" i="90"/>
  <c r="AG403" i="90" s="1"/>
  <c r="AB404" i="90"/>
  <c r="AG404" i="90" s="1"/>
  <c r="AB405" i="90"/>
  <c r="AB406" i="90"/>
  <c r="AG406" i="90" s="1"/>
  <c r="AB407" i="90"/>
  <c r="AG407" i="90" s="1"/>
  <c r="AB408" i="90"/>
  <c r="AG408" i="90" s="1"/>
  <c r="AB409" i="90"/>
  <c r="AF409" i="90" s="1"/>
  <c r="AB410" i="90"/>
  <c r="AG410" i="90" s="1"/>
  <c r="AB411" i="90"/>
  <c r="AG411" i="90" s="1"/>
  <c r="AB412" i="90"/>
  <c r="AG412" i="90" s="1"/>
  <c r="AB413" i="90"/>
  <c r="AB414" i="90"/>
  <c r="AG414" i="90" s="1"/>
  <c r="AB415" i="90"/>
  <c r="AG415" i="90" s="1"/>
  <c r="AB416" i="90"/>
  <c r="AG416" i="90" s="1"/>
  <c r="AB417" i="90"/>
  <c r="AB418" i="90"/>
  <c r="AG418" i="90" s="1"/>
  <c r="AB419" i="90"/>
  <c r="AG419" i="90" s="1"/>
  <c r="AB420" i="90"/>
  <c r="AG420" i="90" s="1"/>
  <c r="AB421" i="90"/>
  <c r="AB422" i="90"/>
  <c r="AG422" i="90" s="1"/>
  <c r="AB423" i="90"/>
  <c r="AG423" i="90" s="1"/>
  <c r="AB424" i="90"/>
  <c r="AG424" i="90" s="1"/>
  <c r="AB425" i="90"/>
  <c r="AF425" i="90" s="1"/>
  <c r="AB426" i="90"/>
  <c r="AG426" i="90" s="1"/>
  <c r="AB427" i="90"/>
  <c r="AG427" i="90" s="1"/>
  <c r="AB428" i="90"/>
  <c r="AG428" i="90" s="1"/>
  <c r="AB429" i="90"/>
  <c r="AB430" i="90"/>
  <c r="AG430" i="90" s="1"/>
  <c r="AB431" i="90"/>
  <c r="AG431" i="90" s="1"/>
  <c r="AB432" i="90"/>
  <c r="AG432" i="90" s="1"/>
  <c r="AB433" i="90"/>
  <c r="AB434" i="90"/>
  <c r="AG434" i="90" s="1"/>
  <c r="AB435" i="90"/>
  <c r="AG435" i="90" s="1"/>
  <c r="AB436" i="90"/>
  <c r="AG436" i="90" s="1"/>
  <c r="AB437" i="90"/>
  <c r="AB438" i="90"/>
  <c r="AG438" i="90" s="1"/>
  <c r="AB439" i="90"/>
  <c r="AG439" i="90" s="1"/>
  <c r="AB440" i="90"/>
  <c r="AG440" i="90" s="1"/>
  <c r="AB441" i="90"/>
  <c r="AF441" i="90" s="1"/>
  <c r="AB442" i="90"/>
  <c r="AG442" i="90" s="1"/>
  <c r="AB443" i="90"/>
  <c r="AG443" i="90" s="1"/>
  <c r="AB444" i="90"/>
  <c r="AG444" i="90" s="1"/>
  <c r="AB445" i="90"/>
  <c r="AB446" i="90"/>
  <c r="AG446" i="90" s="1"/>
  <c r="AB447" i="90"/>
  <c r="AG447" i="90" s="1"/>
  <c r="AB448" i="90"/>
  <c r="AG448" i="90" s="1"/>
  <c r="AB449" i="90"/>
  <c r="AB450" i="90"/>
  <c r="AG450" i="90" s="1"/>
  <c r="AB451" i="90"/>
  <c r="AG451" i="90" s="1"/>
  <c r="AB452" i="90"/>
  <c r="AG452" i="90" s="1"/>
  <c r="AB453" i="90"/>
  <c r="AB454" i="90"/>
  <c r="AG454" i="90" s="1"/>
  <c r="AB455" i="90"/>
  <c r="AG455" i="90" s="1"/>
  <c r="AB456" i="90"/>
  <c r="AG456" i="90" s="1"/>
  <c r="AB457" i="90"/>
  <c r="AF457" i="90" s="1"/>
  <c r="AB458" i="90"/>
  <c r="AG458" i="90" s="1"/>
  <c r="AB459" i="90"/>
  <c r="AG459" i="90" s="1"/>
  <c r="AB460" i="90"/>
  <c r="AG460" i="90" s="1"/>
  <c r="AB461" i="90"/>
  <c r="AG461" i="90" s="1"/>
  <c r="AB462" i="90"/>
  <c r="AG462" i="90" s="1"/>
  <c r="AB463" i="90"/>
  <c r="AG463" i="90" s="1"/>
  <c r="AB464" i="90"/>
  <c r="AG464" i="90" s="1"/>
  <c r="AB465" i="90"/>
  <c r="AG465" i="90" s="1"/>
  <c r="AB466" i="90"/>
  <c r="AG466" i="90" s="1"/>
  <c r="AB467" i="90"/>
  <c r="AG467" i="90" s="1"/>
  <c r="AB468" i="90"/>
  <c r="AG468" i="90" s="1"/>
  <c r="AB469" i="90"/>
  <c r="AG469" i="90" s="1"/>
  <c r="AB470" i="90"/>
  <c r="AG470" i="90" s="1"/>
  <c r="AB471" i="90"/>
  <c r="AG471" i="90" s="1"/>
  <c r="AB472" i="90"/>
  <c r="AG472" i="90" s="1"/>
  <c r="AB473" i="90"/>
  <c r="AG473" i="90" s="1"/>
  <c r="AB474" i="90"/>
  <c r="AG474" i="90" s="1"/>
  <c r="AB475" i="90"/>
  <c r="AG475" i="90" s="1"/>
  <c r="AB476" i="90"/>
  <c r="AG476" i="90" s="1"/>
  <c r="AB477" i="90"/>
  <c r="AG477" i="90" s="1"/>
  <c r="AB478" i="90"/>
  <c r="AG478" i="90" s="1"/>
  <c r="AB479" i="90"/>
  <c r="AG479" i="90" s="1"/>
  <c r="AB480" i="90"/>
  <c r="AG480" i="90" s="1"/>
  <c r="AB481" i="90"/>
  <c r="AG481" i="90" s="1"/>
  <c r="AB482" i="90"/>
  <c r="AG482" i="90" s="1"/>
  <c r="AB483" i="90"/>
  <c r="AG483" i="90" s="1"/>
  <c r="AB484" i="90"/>
  <c r="AG484" i="90" s="1"/>
  <c r="AB485" i="90"/>
  <c r="AG485" i="90" s="1"/>
  <c r="AB486" i="90"/>
  <c r="AG486" i="90" s="1"/>
  <c r="AB487" i="90"/>
  <c r="AG487" i="90" s="1"/>
  <c r="AB488" i="90"/>
  <c r="AG488" i="90" s="1"/>
  <c r="AB489" i="90"/>
  <c r="AG489" i="90" s="1"/>
  <c r="AB490" i="90"/>
  <c r="AG490" i="90" s="1"/>
  <c r="AB491" i="90"/>
  <c r="AG491" i="90" s="1"/>
  <c r="AB492" i="90"/>
  <c r="AG492" i="90" s="1"/>
  <c r="AB493" i="90"/>
  <c r="AG493" i="90" s="1"/>
  <c r="AB494" i="90"/>
  <c r="AG494" i="90" s="1"/>
  <c r="AB495" i="90"/>
  <c r="AG495" i="90" s="1"/>
  <c r="AB496" i="90"/>
  <c r="AG496" i="90" s="1"/>
  <c r="AB497" i="90"/>
  <c r="AG497" i="90" s="1"/>
  <c r="AB498" i="90"/>
  <c r="AG498" i="90" s="1"/>
  <c r="AB499" i="90"/>
  <c r="AG499" i="90" s="1"/>
  <c r="AB500" i="90"/>
  <c r="AG500" i="90" s="1"/>
  <c r="AB501" i="90"/>
  <c r="AG501" i="90" s="1"/>
  <c r="AB502" i="90"/>
  <c r="AG502" i="90" s="1"/>
  <c r="AB503" i="90"/>
  <c r="AG503" i="90" s="1"/>
  <c r="AB504" i="90"/>
  <c r="AG504" i="90" s="1"/>
  <c r="AB505" i="90"/>
  <c r="AG505" i="90" s="1"/>
  <c r="AB506" i="90"/>
  <c r="AG506" i="90" s="1"/>
  <c r="AB507" i="90"/>
  <c r="AG507" i="90" s="1"/>
  <c r="AB508" i="90"/>
  <c r="AG508" i="90" s="1"/>
  <c r="AB509" i="90"/>
  <c r="AG509" i="90" s="1"/>
  <c r="AB510" i="90"/>
  <c r="AG510" i="90" s="1"/>
  <c r="AB511" i="90"/>
  <c r="AG511" i="90" s="1"/>
  <c r="AB512" i="90"/>
  <c r="AG512" i="90" s="1"/>
  <c r="AB513" i="90"/>
  <c r="AG513" i="90" s="1"/>
  <c r="AB514" i="90"/>
  <c r="AG514" i="90" s="1"/>
  <c r="AB515" i="90"/>
  <c r="AG515" i="90" s="1"/>
  <c r="AB516" i="90"/>
  <c r="AG516" i="90" s="1"/>
  <c r="AB517" i="90"/>
  <c r="AG517" i="90" s="1"/>
  <c r="AB518" i="90"/>
  <c r="AG518" i="90" s="1"/>
  <c r="AB519" i="90"/>
  <c r="AG519" i="90" s="1"/>
  <c r="AB520" i="90"/>
  <c r="AG520" i="90" s="1"/>
  <c r="AB521" i="90"/>
  <c r="AG521" i="90" s="1"/>
  <c r="AB522" i="90"/>
  <c r="AG522" i="90" s="1"/>
  <c r="AB523" i="90"/>
  <c r="AG523" i="90" s="1"/>
  <c r="AB524" i="90"/>
  <c r="AG524" i="90" s="1"/>
  <c r="AB525" i="90"/>
  <c r="AG525" i="90" s="1"/>
  <c r="AB526" i="90"/>
  <c r="AG526" i="90" s="1"/>
  <c r="AB527" i="90"/>
  <c r="AG527" i="90" s="1"/>
  <c r="AB528" i="90"/>
  <c r="AG528" i="90" s="1"/>
  <c r="AB529" i="90"/>
  <c r="AG529" i="90" s="1"/>
  <c r="AB530" i="90"/>
  <c r="AG530" i="90" s="1"/>
  <c r="AB531" i="90"/>
  <c r="AG531" i="90" s="1"/>
  <c r="AB532" i="90"/>
  <c r="AG532" i="90" s="1"/>
  <c r="AB533" i="90"/>
  <c r="AG533" i="90" s="1"/>
  <c r="AB534" i="90"/>
  <c r="AG534" i="90" s="1"/>
  <c r="AB535" i="90"/>
  <c r="AG535" i="90" s="1"/>
  <c r="AB536" i="90"/>
  <c r="AG536" i="90" s="1"/>
  <c r="AB537" i="90"/>
  <c r="AG537" i="90" s="1"/>
  <c r="AB538" i="90"/>
  <c r="AG538" i="90" s="1"/>
  <c r="AB539" i="90"/>
  <c r="AG539" i="90" s="1"/>
  <c r="AB540" i="90"/>
  <c r="AG540" i="90" s="1"/>
  <c r="AB541" i="90"/>
  <c r="AG541" i="90" s="1"/>
  <c r="AB542" i="90"/>
  <c r="AG542" i="90" s="1"/>
  <c r="AB543" i="90"/>
  <c r="AG543" i="90" s="1"/>
  <c r="AB544" i="90"/>
  <c r="AG544" i="90" s="1"/>
  <c r="AB545" i="90"/>
  <c r="AG545" i="90" s="1"/>
  <c r="AB546" i="90"/>
  <c r="AG546" i="90" s="1"/>
  <c r="AB547" i="90"/>
  <c r="AG547" i="90" s="1"/>
  <c r="AB548" i="90"/>
  <c r="AG548" i="90" s="1"/>
  <c r="AB549" i="90"/>
  <c r="AG549" i="90" s="1"/>
  <c r="AB550" i="90"/>
  <c r="AG550" i="90" s="1"/>
  <c r="AB551" i="90"/>
  <c r="AG551" i="90" s="1"/>
  <c r="AB552" i="90"/>
  <c r="AG552" i="90" s="1"/>
  <c r="AB553" i="90"/>
  <c r="AG553" i="90" s="1"/>
  <c r="AB554" i="90"/>
  <c r="AG554" i="90" s="1"/>
  <c r="AB555" i="90"/>
  <c r="AG555" i="90" s="1"/>
  <c r="AB556" i="90"/>
  <c r="AG556" i="90" s="1"/>
  <c r="AB557" i="90"/>
  <c r="AG557" i="90" s="1"/>
  <c r="AB558" i="90"/>
  <c r="AG558" i="90" s="1"/>
  <c r="AB559" i="90"/>
  <c r="AG559" i="90" s="1"/>
  <c r="AB560" i="90"/>
  <c r="AG560" i="90" s="1"/>
  <c r="AB561" i="90"/>
  <c r="AG561" i="90" s="1"/>
  <c r="AB562" i="90"/>
  <c r="AG562" i="90" s="1"/>
  <c r="AB563" i="90"/>
  <c r="AG563" i="90" s="1"/>
  <c r="AB564" i="90"/>
  <c r="AG564" i="90" s="1"/>
  <c r="AB565" i="90"/>
  <c r="AG565" i="90" s="1"/>
  <c r="AB566" i="90"/>
  <c r="AG566" i="90" s="1"/>
  <c r="AB567" i="90"/>
  <c r="AG567" i="90" s="1"/>
  <c r="AB568" i="90"/>
  <c r="AG568" i="90" s="1"/>
  <c r="AB569" i="90"/>
  <c r="AG569" i="90" s="1"/>
  <c r="AB570" i="90"/>
  <c r="AG570" i="90" s="1"/>
  <c r="AB571" i="90"/>
  <c r="AG571" i="90" s="1"/>
  <c r="AB572" i="90"/>
  <c r="AG572" i="90" s="1"/>
  <c r="AB573" i="90"/>
  <c r="AG573" i="90" s="1"/>
  <c r="AB574" i="90"/>
  <c r="AG574" i="90" s="1"/>
  <c r="AB575" i="90"/>
  <c r="AG575" i="90" s="1"/>
  <c r="AB576" i="90"/>
  <c r="AG576" i="90" s="1"/>
  <c r="AB577" i="90"/>
  <c r="AG577" i="90" s="1"/>
  <c r="AB578" i="90"/>
  <c r="AG578" i="90" s="1"/>
  <c r="AB579" i="90"/>
  <c r="AG579" i="90" s="1"/>
  <c r="AB580" i="90"/>
  <c r="AG580" i="90" s="1"/>
  <c r="AB581" i="90"/>
  <c r="AG581" i="90" s="1"/>
  <c r="AB582" i="90"/>
  <c r="AG582" i="90" s="1"/>
  <c r="AB583" i="90"/>
  <c r="AG583" i="90" s="1"/>
  <c r="AB584" i="90"/>
  <c r="AG584" i="90" s="1"/>
  <c r="AB585" i="90"/>
  <c r="AG585" i="90" s="1"/>
  <c r="AB586" i="90"/>
  <c r="AG586" i="90" s="1"/>
  <c r="AB587" i="90"/>
  <c r="AG587" i="90" s="1"/>
  <c r="AB588" i="90"/>
  <c r="AG588" i="90" s="1"/>
  <c r="AB589" i="90"/>
  <c r="AG589" i="90" s="1"/>
  <c r="AB590" i="90"/>
  <c r="AG590" i="90" s="1"/>
  <c r="AB591" i="90"/>
  <c r="AG591" i="90" s="1"/>
  <c r="AB592" i="90"/>
  <c r="AG592" i="90" s="1"/>
  <c r="AB593" i="90"/>
  <c r="AG593" i="90" s="1"/>
  <c r="AB594" i="90"/>
  <c r="AG594" i="90" s="1"/>
  <c r="AB595" i="90"/>
  <c r="AG595" i="90" s="1"/>
  <c r="AB596" i="90"/>
  <c r="AG596" i="90" s="1"/>
  <c r="AB597" i="90"/>
  <c r="AG597" i="90" s="1"/>
  <c r="AB598" i="90"/>
  <c r="AG598" i="90" s="1"/>
  <c r="AB599" i="90"/>
  <c r="AG599" i="90" s="1"/>
  <c r="AB600" i="90"/>
  <c r="AG600" i="90" s="1"/>
  <c r="AB601" i="90"/>
  <c r="AG601" i="90" s="1"/>
  <c r="AB602" i="90"/>
  <c r="AG602" i="90" s="1"/>
  <c r="AB603" i="90"/>
  <c r="AG603" i="90" s="1"/>
  <c r="AB604" i="90"/>
  <c r="AG604" i="90" s="1"/>
  <c r="AB605" i="90"/>
  <c r="AG605" i="90" s="1"/>
  <c r="AB606" i="90"/>
  <c r="AG606" i="90" s="1"/>
  <c r="AB607" i="90"/>
  <c r="AG607" i="90" s="1"/>
  <c r="AB608" i="90"/>
  <c r="AG608" i="90" s="1"/>
  <c r="AB609" i="90"/>
  <c r="AG609" i="90" s="1"/>
  <c r="AB610" i="90"/>
  <c r="AG610" i="90" s="1"/>
  <c r="AB611" i="90"/>
  <c r="AG611" i="90" s="1"/>
  <c r="AB612" i="90"/>
  <c r="AG612" i="90" s="1"/>
  <c r="AB613" i="90"/>
  <c r="AG613" i="90" s="1"/>
  <c r="AB614" i="90"/>
  <c r="AG614" i="90" s="1"/>
  <c r="AB615" i="90"/>
  <c r="AG615" i="90" s="1"/>
  <c r="AB616" i="90"/>
  <c r="AG616" i="90" s="1"/>
  <c r="AB617" i="90"/>
  <c r="AG617" i="90" s="1"/>
  <c r="AB618" i="90"/>
  <c r="AG618" i="90" s="1"/>
  <c r="AB619" i="90"/>
  <c r="AG619" i="90" s="1"/>
  <c r="AB620" i="90"/>
  <c r="AG620" i="90" s="1"/>
  <c r="AB621" i="90"/>
  <c r="AG621" i="90" s="1"/>
  <c r="AB622" i="90"/>
  <c r="AG622" i="90" s="1"/>
  <c r="AB623" i="90"/>
  <c r="AG623" i="90" s="1"/>
  <c r="AB624" i="90"/>
  <c r="AG624" i="90" s="1"/>
  <c r="AB625" i="90"/>
  <c r="AG625" i="90" s="1"/>
  <c r="AB626" i="90"/>
  <c r="AG626" i="90" s="1"/>
  <c r="AB627" i="90"/>
  <c r="AG627" i="90" s="1"/>
  <c r="AB628" i="90"/>
  <c r="AG628" i="90" s="1"/>
  <c r="AB629" i="90"/>
  <c r="AG629" i="90" s="1"/>
  <c r="AB630" i="90"/>
  <c r="AG630" i="90" s="1"/>
  <c r="AB631" i="90"/>
  <c r="AG631" i="90" s="1"/>
  <c r="AB632" i="90"/>
  <c r="AG632" i="90" s="1"/>
  <c r="AB633" i="90"/>
  <c r="AG633" i="90" s="1"/>
  <c r="AB634" i="90"/>
  <c r="AG634" i="90" s="1"/>
  <c r="AB635" i="90"/>
  <c r="AG635" i="90" s="1"/>
  <c r="AB636" i="90"/>
  <c r="AG636" i="90" s="1"/>
  <c r="AB637" i="90"/>
  <c r="AG637" i="90" s="1"/>
  <c r="AB638" i="90"/>
  <c r="AG638" i="90" s="1"/>
  <c r="AB639" i="90"/>
  <c r="AG639" i="90" s="1"/>
  <c r="AB640" i="90"/>
  <c r="AG640" i="90" s="1"/>
  <c r="AB641" i="90"/>
  <c r="AG641" i="90" s="1"/>
  <c r="AB642" i="90"/>
  <c r="AG642" i="90" s="1"/>
  <c r="AB643" i="90"/>
  <c r="AG643" i="90" s="1"/>
  <c r="AB644" i="90"/>
  <c r="AG644" i="90" s="1"/>
  <c r="AB645" i="90"/>
  <c r="AG645" i="90" s="1"/>
  <c r="AB646" i="90"/>
  <c r="AG646" i="90" s="1"/>
  <c r="AB647" i="90"/>
  <c r="AG647" i="90" s="1"/>
  <c r="AB648" i="90"/>
  <c r="AG648" i="90" s="1"/>
  <c r="AB649" i="90"/>
  <c r="AG649" i="90" s="1"/>
  <c r="AB650" i="90"/>
  <c r="AG650" i="90" s="1"/>
  <c r="AB651" i="90"/>
  <c r="AG651" i="90" s="1"/>
  <c r="AB652" i="90"/>
  <c r="AG652" i="90" s="1"/>
  <c r="AB653" i="90"/>
  <c r="AG653" i="90" s="1"/>
  <c r="AB654" i="90"/>
  <c r="AG654" i="90" s="1"/>
  <c r="AB655" i="90"/>
  <c r="AG655" i="90" s="1"/>
  <c r="AB656" i="90"/>
  <c r="AG656" i="90" s="1"/>
  <c r="AB657" i="90"/>
  <c r="AG657" i="90" s="1"/>
  <c r="AB658" i="90"/>
  <c r="AG658" i="90" s="1"/>
  <c r="AB659" i="90"/>
  <c r="AG659" i="90" s="1"/>
  <c r="AB660" i="90"/>
  <c r="AG660" i="90" s="1"/>
  <c r="AB661" i="90"/>
  <c r="AG661" i="90" s="1"/>
  <c r="AB662" i="90"/>
  <c r="AG662" i="90" s="1"/>
  <c r="AB663" i="90"/>
  <c r="AG663" i="90" s="1"/>
  <c r="AB664" i="90"/>
  <c r="AG664" i="90" s="1"/>
  <c r="AB665" i="90"/>
  <c r="AG665" i="90" s="1"/>
  <c r="AB666" i="90"/>
  <c r="AG666" i="90" s="1"/>
  <c r="AB667" i="90"/>
  <c r="AG667" i="90" s="1"/>
  <c r="AB668" i="90"/>
  <c r="AG668" i="90" s="1"/>
  <c r="AB669" i="90"/>
  <c r="AG669" i="90" s="1"/>
  <c r="AB670" i="90"/>
  <c r="AG670" i="90" s="1"/>
  <c r="AB671" i="90"/>
  <c r="AG671" i="90" s="1"/>
  <c r="AB672" i="90"/>
  <c r="AG672" i="90" s="1"/>
  <c r="AB673" i="90"/>
  <c r="AG673" i="90" s="1"/>
  <c r="AB674" i="90"/>
  <c r="AG674" i="90" s="1"/>
  <c r="AB675" i="90"/>
  <c r="AG675" i="90" s="1"/>
  <c r="AB676" i="90"/>
  <c r="AG676" i="90" s="1"/>
  <c r="AB677" i="90"/>
  <c r="AG677" i="90" s="1"/>
  <c r="AB678" i="90"/>
  <c r="AG678" i="90" s="1"/>
  <c r="AB679" i="90"/>
  <c r="AG679" i="90" s="1"/>
  <c r="AB680" i="90"/>
  <c r="AG680" i="90" s="1"/>
  <c r="AB681" i="90"/>
  <c r="AG681" i="90" s="1"/>
  <c r="AB682" i="90"/>
  <c r="AG682" i="90" s="1"/>
  <c r="AB683" i="90"/>
  <c r="AG683" i="90" s="1"/>
  <c r="AB684" i="90"/>
  <c r="AG684" i="90" s="1"/>
  <c r="AB685" i="90"/>
  <c r="AG685" i="90" s="1"/>
  <c r="AB686" i="90"/>
  <c r="AG686" i="90" s="1"/>
  <c r="AB687" i="90"/>
  <c r="AG687" i="90" s="1"/>
  <c r="AB688" i="90"/>
  <c r="AG688" i="90" s="1"/>
  <c r="AB689" i="90"/>
  <c r="AG689" i="90" s="1"/>
  <c r="AB690" i="90"/>
  <c r="AG690" i="90" s="1"/>
  <c r="AB691" i="90"/>
  <c r="AG691" i="90" s="1"/>
  <c r="AB692" i="90"/>
  <c r="AG692" i="90" s="1"/>
  <c r="AB693" i="90"/>
  <c r="AG693" i="90" s="1"/>
  <c r="AB694" i="90"/>
  <c r="AG694" i="90" s="1"/>
  <c r="AB695" i="90"/>
  <c r="AG695" i="90" s="1"/>
  <c r="AB696" i="90"/>
  <c r="AG696" i="90" s="1"/>
  <c r="AB697" i="90"/>
  <c r="AG697" i="90" s="1"/>
  <c r="AB698" i="90"/>
  <c r="AG698" i="90" s="1"/>
  <c r="AB699" i="90"/>
  <c r="AG699" i="90" s="1"/>
  <c r="AB700" i="90"/>
  <c r="AG700" i="90" s="1"/>
  <c r="AB701" i="90"/>
  <c r="AG701" i="90" s="1"/>
  <c r="AB702" i="90"/>
  <c r="AG702" i="90" s="1"/>
  <c r="AB703" i="90"/>
  <c r="AG703" i="90" s="1"/>
  <c r="AB704" i="90"/>
  <c r="AG704" i="90" s="1"/>
  <c r="AB705" i="90"/>
  <c r="AG705" i="90" s="1"/>
  <c r="AB706" i="90"/>
  <c r="AG706" i="90" s="1"/>
  <c r="AB707" i="90"/>
  <c r="AG707" i="90" s="1"/>
  <c r="AB708" i="90"/>
  <c r="AG708" i="90" s="1"/>
  <c r="AB709" i="90"/>
  <c r="AG709" i="90" s="1"/>
  <c r="AB710" i="90"/>
  <c r="AG710" i="90" s="1"/>
  <c r="AB711" i="90"/>
  <c r="AG711" i="90" s="1"/>
  <c r="AB712" i="90"/>
  <c r="AG712" i="90" s="1"/>
  <c r="AB713" i="90"/>
  <c r="AG713" i="90" s="1"/>
  <c r="AB714" i="90"/>
  <c r="AG714" i="90" s="1"/>
  <c r="AB715" i="90"/>
  <c r="AG715" i="90" s="1"/>
  <c r="AB716" i="90"/>
  <c r="AG716" i="90" s="1"/>
  <c r="AB717" i="90"/>
  <c r="AG717" i="90" s="1"/>
  <c r="AB718" i="90"/>
  <c r="AG718" i="90" s="1"/>
  <c r="AB719" i="90"/>
  <c r="AG719" i="90" s="1"/>
  <c r="AB720" i="90"/>
  <c r="AG720" i="90" s="1"/>
  <c r="AB721" i="90"/>
  <c r="AG721" i="90" s="1"/>
  <c r="AB722" i="90"/>
  <c r="AG722" i="90" s="1"/>
  <c r="AB723" i="90"/>
  <c r="AG723" i="90" s="1"/>
  <c r="AB724" i="90"/>
  <c r="AG724" i="90" s="1"/>
  <c r="AB725" i="90"/>
  <c r="AG725" i="90" s="1"/>
  <c r="AB726" i="90"/>
  <c r="AG726" i="90" s="1"/>
  <c r="AB727" i="90"/>
  <c r="AG727" i="90" s="1"/>
  <c r="AB728" i="90"/>
  <c r="AG728" i="90" s="1"/>
  <c r="AB729" i="90"/>
  <c r="AG729" i="90" s="1"/>
  <c r="AB730" i="90"/>
  <c r="AG730" i="90" s="1"/>
  <c r="AB731" i="90"/>
  <c r="AG731" i="90" s="1"/>
  <c r="AB732" i="90"/>
  <c r="AG732" i="90" s="1"/>
  <c r="AB733" i="90"/>
  <c r="AG733" i="90" s="1"/>
  <c r="AB734" i="90"/>
  <c r="AG734" i="90" s="1"/>
  <c r="AB735" i="90"/>
  <c r="AG735" i="90" s="1"/>
  <c r="AB736" i="90"/>
  <c r="AG736" i="90" s="1"/>
  <c r="AB737" i="90"/>
  <c r="AG737" i="90" s="1"/>
  <c r="AB738" i="90"/>
  <c r="AG738" i="90" s="1"/>
  <c r="AB739" i="90"/>
  <c r="AG739" i="90" s="1"/>
  <c r="AB740" i="90"/>
  <c r="AG740" i="90" s="1"/>
  <c r="AB741" i="90"/>
  <c r="AG741" i="90" s="1"/>
  <c r="AB742" i="90"/>
  <c r="AG742" i="90" s="1"/>
  <c r="AB743" i="90"/>
  <c r="AG743" i="90" s="1"/>
  <c r="AB744" i="90"/>
  <c r="AG744" i="90" s="1"/>
  <c r="AB745" i="90"/>
  <c r="AG745" i="90" s="1"/>
  <c r="AB746" i="90"/>
  <c r="AG746" i="90" s="1"/>
  <c r="AB747" i="90"/>
  <c r="AG747" i="90" s="1"/>
  <c r="AB748" i="90"/>
  <c r="AG748" i="90" s="1"/>
  <c r="AB749" i="90"/>
  <c r="AG749" i="90" s="1"/>
  <c r="AB750" i="90"/>
  <c r="AG750" i="90" s="1"/>
  <c r="AB751" i="90"/>
  <c r="AG751" i="90" s="1"/>
  <c r="AB752" i="90"/>
  <c r="AG752" i="90" s="1"/>
  <c r="AB753" i="90"/>
  <c r="AG753" i="90" s="1"/>
  <c r="AB754" i="90"/>
  <c r="AG754" i="90" s="1"/>
  <c r="AB755" i="90"/>
  <c r="AG755" i="90" s="1"/>
  <c r="AB756" i="90"/>
  <c r="AG756" i="90" s="1"/>
  <c r="AB757" i="90"/>
  <c r="AG757" i="90" s="1"/>
  <c r="AB758" i="90"/>
  <c r="AG758" i="90" s="1"/>
  <c r="AB759" i="90"/>
  <c r="AG759" i="90" s="1"/>
  <c r="AB760" i="90"/>
  <c r="AG760" i="90" s="1"/>
  <c r="AB761" i="90"/>
  <c r="AG761" i="90" s="1"/>
  <c r="AB762" i="90"/>
  <c r="AG762" i="90" s="1"/>
  <c r="AB763" i="90"/>
  <c r="AG763" i="90" s="1"/>
  <c r="AB764" i="90"/>
  <c r="AG764" i="90" s="1"/>
  <c r="AB765" i="90"/>
  <c r="AG765" i="90" s="1"/>
  <c r="AB766" i="90"/>
  <c r="AG766" i="90" s="1"/>
  <c r="AB767" i="90"/>
  <c r="AG767" i="90" s="1"/>
  <c r="AB768" i="90"/>
  <c r="AG768" i="90" s="1"/>
  <c r="AB769" i="90"/>
  <c r="AG769" i="90" s="1"/>
  <c r="AB770" i="90"/>
  <c r="AG770" i="90" s="1"/>
  <c r="AB771" i="90"/>
  <c r="AG771" i="90" s="1"/>
  <c r="AB772" i="90"/>
  <c r="AG772" i="90" s="1"/>
  <c r="AB773" i="90"/>
  <c r="AG773" i="90" s="1"/>
  <c r="AB774" i="90"/>
  <c r="AG774" i="90" s="1"/>
  <c r="AB775" i="90"/>
  <c r="AG775" i="90" s="1"/>
  <c r="AB776" i="90"/>
  <c r="AG776" i="90" s="1"/>
  <c r="AB777" i="90"/>
  <c r="AG777" i="90" s="1"/>
  <c r="AB778" i="90"/>
  <c r="AG778" i="90" s="1"/>
  <c r="AB779" i="90"/>
  <c r="AG779" i="90" s="1"/>
  <c r="AB780" i="90"/>
  <c r="AG780" i="90" s="1"/>
  <c r="AB781" i="90"/>
  <c r="AG781" i="90" s="1"/>
  <c r="AB782" i="90"/>
  <c r="AG782" i="90" s="1"/>
  <c r="AB783" i="90"/>
  <c r="AG783" i="90" s="1"/>
  <c r="AB784" i="90"/>
  <c r="AG784" i="90" s="1"/>
  <c r="AB785" i="90"/>
  <c r="AG785" i="90" s="1"/>
  <c r="AB786" i="90"/>
  <c r="AG786" i="90" s="1"/>
  <c r="AB787" i="90"/>
  <c r="AG787" i="90" s="1"/>
  <c r="AB788" i="90"/>
  <c r="AG788" i="90" s="1"/>
  <c r="AB789" i="90"/>
  <c r="AG789" i="90" s="1"/>
  <c r="AB790" i="90"/>
  <c r="AG790" i="90" s="1"/>
  <c r="AB791" i="90"/>
  <c r="AG791" i="90" s="1"/>
  <c r="AB792" i="90"/>
  <c r="AG792" i="90" s="1"/>
  <c r="AB793" i="90"/>
  <c r="AG793" i="90" s="1"/>
  <c r="AB794" i="90"/>
  <c r="AG794" i="90" s="1"/>
  <c r="AB795" i="90"/>
  <c r="AG795" i="90" s="1"/>
  <c r="AB796" i="90"/>
  <c r="AG796" i="90" s="1"/>
  <c r="AB797" i="90"/>
  <c r="AG797" i="90" s="1"/>
  <c r="AB798" i="90"/>
  <c r="AG798" i="90" s="1"/>
  <c r="AB799" i="90"/>
  <c r="AG799" i="90" s="1"/>
  <c r="AB800" i="90"/>
  <c r="AG800" i="90" s="1"/>
  <c r="AB801" i="90"/>
  <c r="AG801" i="90" s="1"/>
  <c r="AB802" i="90"/>
  <c r="AG802" i="90" s="1"/>
  <c r="AB803" i="90"/>
  <c r="AG803" i="90" s="1"/>
  <c r="AB804" i="90"/>
  <c r="AG804" i="90" s="1"/>
  <c r="AB805" i="90"/>
  <c r="AG805" i="90" s="1"/>
  <c r="AB806" i="90"/>
  <c r="AG806" i="90" s="1"/>
  <c r="AB807" i="90"/>
  <c r="AG807" i="90" s="1"/>
  <c r="AB808" i="90"/>
  <c r="AG808" i="90" s="1"/>
  <c r="AB809" i="90"/>
  <c r="AG809" i="90" s="1"/>
  <c r="AB810" i="90"/>
  <c r="AG810" i="90" s="1"/>
  <c r="AB811" i="90"/>
  <c r="AG811" i="90" s="1"/>
  <c r="AB812" i="90"/>
  <c r="AG812" i="90" s="1"/>
  <c r="AB813" i="90"/>
  <c r="AG813" i="90" s="1"/>
  <c r="AB814" i="90"/>
  <c r="AG814" i="90" s="1"/>
  <c r="AB815" i="90"/>
  <c r="AG815" i="90" s="1"/>
  <c r="AB816" i="90"/>
  <c r="AG816" i="90" s="1"/>
  <c r="AB817" i="90"/>
  <c r="AG817" i="90" s="1"/>
  <c r="AB818" i="90"/>
  <c r="AG818" i="90" s="1"/>
  <c r="AB819" i="90"/>
  <c r="AG819" i="90" s="1"/>
  <c r="AB820" i="90"/>
  <c r="AG820" i="90" s="1"/>
  <c r="AB821" i="90"/>
  <c r="AG821" i="90" s="1"/>
  <c r="AB822" i="90"/>
  <c r="AG822" i="90" s="1"/>
  <c r="AB823" i="90"/>
  <c r="AG823" i="90" s="1"/>
  <c r="AB824" i="90"/>
  <c r="AG824" i="90" s="1"/>
  <c r="AB825" i="90"/>
  <c r="AG825" i="90" s="1"/>
  <c r="AB826" i="90"/>
  <c r="AG826" i="90" s="1"/>
  <c r="AB827" i="90"/>
  <c r="AG827" i="90" s="1"/>
  <c r="AB828" i="90"/>
  <c r="AG828" i="90" s="1"/>
  <c r="AB829" i="90"/>
  <c r="AG829" i="90" s="1"/>
  <c r="AB830" i="90"/>
  <c r="AG830" i="90" s="1"/>
  <c r="AB831" i="90"/>
  <c r="AG831" i="90" s="1"/>
  <c r="AB832" i="90"/>
  <c r="AG832" i="90" s="1"/>
  <c r="AB833" i="90"/>
  <c r="AG833" i="90" s="1"/>
  <c r="AB834" i="90"/>
  <c r="AG834" i="90" s="1"/>
  <c r="AB835" i="90"/>
  <c r="AG835" i="90" s="1"/>
  <c r="AB836" i="90"/>
  <c r="AG836" i="90" s="1"/>
  <c r="AB837" i="90"/>
  <c r="AG837" i="90" s="1"/>
  <c r="AB838" i="90"/>
  <c r="AG838" i="90" s="1"/>
  <c r="AB839" i="90"/>
  <c r="AG839" i="90" s="1"/>
  <c r="AB840" i="90"/>
  <c r="AG840" i="90" s="1"/>
  <c r="AB841" i="90"/>
  <c r="AG841" i="90" s="1"/>
  <c r="AB842" i="90"/>
  <c r="AG842" i="90" s="1"/>
  <c r="AB843" i="90"/>
  <c r="AG843" i="90" s="1"/>
  <c r="AB844" i="90"/>
  <c r="AG844" i="90" s="1"/>
  <c r="AB845" i="90"/>
  <c r="AG845" i="90" s="1"/>
  <c r="AB846" i="90"/>
  <c r="AG846" i="90" s="1"/>
  <c r="AB847" i="90"/>
  <c r="AG847" i="90" s="1"/>
  <c r="AB848" i="90"/>
  <c r="AG848" i="90" s="1"/>
  <c r="AB849" i="90"/>
  <c r="AG849" i="90" s="1"/>
  <c r="AB850" i="90"/>
  <c r="AG850" i="90" s="1"/>
  <c r="AB851" i="90"/>
  <c r="AG851" i="90" s="1"/>
  <c r="AB852" i="90"/>
  <c r="AG852" i="90" s="1"/>
  <c r="AB853" i="90"/>
  <c r="AG853" i="90" s="1"/>
  <c r="AB854" i="90"/>
  <c r="AG854" i="90" s="1"/>
  <c r="AB855" i="90"/>
  <c r="AG855" i="90" s="1"/>
  <c r="AB856" i="90"/>
  <c r="AG856" i="90" s="1"/>
  <c r="AB857" i="90"/>
  <c r="AG857" i="90" s="1"/>
  <c r="AB858" i="90"/>
  <c r="AG858" i="90" s="1"/>
  <c r="AB859" i="90"/>
  <c r="AG859" i="90" s="1"/>
  <c r="AB860" i="90"/>
  <c r="AG860" i="90" s="1"/>
  <c r="AB861" i="90"/>
  <c r="AG861" i="90" s="1"/>
  <c r="AB862" i="90"/>
  <c r="AG862" i="90" s="1"/>
  <c r="AB863" i="90"/>
  <c r="AG863" i="90" s="1"/>
  <c r="AB864" i="90"/>
  <c r="AG864" i="90" s="1"/>
  <c r="AB865" i="90"/>
  <c r="AG865" i="90" s="1"/>
  <c r="AB866" i="90"/>
  <c r="AG866" i="90" s="1"/>
  <c r="AB867" i="90"/>
  <c r="AG867" i="90" s="1"/>
  <c r="AB868" i="90"/>
  <c r="AG868" i="90" s="1"/>
  <c r="AB869" i="90"/>
  <c r="AG869" i="90" s="1"/>
  <c r="AB870" i="90"/>
  <c r="AG870" i="90" s="1"/>
  <c r="AB871" i="90"/>
  <c r="AG871" i="90" s="1"/>
  <c r="AB872" i="90"/>
  <c r="AG872" i="90" s="1"/>
  <c r="AB873" i="90"/>
  <c r="AG873" i="90" s="1"/>
  <c r="AB874" i="90"/>
  <c r="AG874" i="90" s="1"/>
  <c r="AB875" i="90"/>
  <c r="AG875" i="90" s="1"/>
  <c r="AB876" i="90"/>
  <c r="AG876" i="90" s="1"/>
  <c r="AB877" i="90"/>
  <c r="AG877" i="90" s="1"/>
  <c r="AB878" i="90"/>
  <c r="AG878" i="90" s="1"/>
  <c r="AB879" i="90"/>
  <c r="AG879" i="90" s="1"/>
  <c r="AB880" i="90"/>
  <c r="AG880" i="90" s="1"/>
  <c r="AB881" i="90"/>
  <c r="AG881" i="90" s="1"/>
  <c r="AB882" i="90"/>
  <c r="AG882" i="90" s="1"/>
  <c r="AB883" i="90"/>
  <c r="AG883" i="90" s="1"/>
  <c r="AB884" i="90"/>
  <c r="AG884" i="90" s="1"/>
  <c r="AB885" i="90"/>
  <c r="AG885" i="90" s="1"/>
  <c r="AB886" i="90"/>
  <c r="AG886" i="90" s="1"/>
  <c r="AB887" i="90"/>
  <c r="AG887" i="90" s="1"/>
  <c r="AB888" i="90"/>
  <c r="AG888" i="90" s="1"/>
  <c r="AB889" i="90"/>
  <c r="AG889" i="90" s="1"/>
  <c r="AB890" i="90"/>
  <c r="AG890" i="90" s="1"/>
  <c r="AB891" i="90"/>
  <c r="AG891" i="90" s="1"/>
  <c r="AB892" i="90"/>
  <c r="AG892" i="90" s="1"/>
  <c r="AB893" i="90"/>
  <c r="AG893" i="90" s="1"/>
  <c r="AB894" i="90"/>
  <c r="AG894" i="90" s="1"/>
  <c r="AB895" i="90"/>
  <c r="AG895" i="90" s="1"/>
  <c r="AB896" i="90"/>
  <c r="AG896" i="90" s="1"/>
  <c r="AB897" i="90"/>
  <c r="AG897" i="90" s="1"/>
  <c r="AB898" i="90"/>
  <c r="AG898" i="90" s="1"/>
  <c r="AB899" i="90"/>
  <c r="AG899" i="90" s="1"/>
  <c r="AB900" i="90"/>
  <c r="AG900" i="90" s="1"/>
  <c r="AB901" i="90"/>
  <c r="AG901" i="90" s="1"/>
  <c r="AB902" i="90"/>
  <c r="AG902" i="90" s="1"/>
  <c r="AB903" i="90"/>
  <c r="AG903" i="90" s="1"/>
  <c r="AB904" i="90"/>
  <c r="AG904" i="90" s="1"/>
  <c r="AB905" i="90"/>
  <c r="AG905" i="90" s="1"/>
  <c r="AB906" i="90"/>
  <c r="AG906" i="90" s="1"/>
  <c r="AB907" i="90"/>
  <c r="AG907" i="90" s="1"/>
  <c r="AB908" i="90"/>
  <c r="AG908" i="90" s="1"/>
  <c r="AB909" i="90"/>
  <c r="AG909" i="90" s="1"/>
  <c r="AB910" i="90"/>
  <c r="AG910" i="90" s="1"/>
  <c r="AB911" i="90"/>
  <c r="AG911" i="90" s="1"/>
  <c r="AB912" i="90"/>
  <c r="AG912" i="90" s="1"/>
  <c r="AB913" i="90"/>
  <c r="AG913" i="90" s="1"/>
  <c r="AB914" i="90"/>
  <c r="AG914" i="90" s="1"/>
  <c r="AB915" i="90"/>
  <c r="AG915" i="90" s="1"/>
  <c r="AB916" i="90"/>
  <c r="AG916" i="90" s="1"/>
  <c r="AB917" i="90"/>
  <c r="AG917" i="90" s="1"/>
  <c r="AB918" i="90"/>
  <c r="AG918" i="90" s="1"/>
  <c r="AB919" i="90"/>
  <c r="AG919" i="90" s="1"/>
  <c r="AB920" i="90"/>
  <c r="AG920" i="90" s="1"/>
  <c r="AB921" i="90"/>
  <c r="AG921" i="90" s="1"/>
  <c r="AB922" i="90"/>
  <c r="AG922" i="90" s="1"/>
  <c r="AB923" i="90"/>
  <c r="AG923" i="90" s="1"/>
  <c r="AB924" i="90"/>
  <c r="AG924" i="90" s="1"/>
  <c r="AB925" i="90"/>
  <c r="AG925" i="90" s="1"/>
  <c r="AB926" i="90"/>
  <c r="AG926" i="90" s="1"/>
  <c r="AB927" i="90"/>
  <c r="AG927" i="90" s="1"/>
  <c r="AB928" i="90"/>
  <c r="AG928" i="90" s="1"/>
  <c r="AB929" i="90"/>
  <c r="AG929" i="90" s="1"/>
  <c r="AB930" i="90"/>
  <c r="AG930" i="90" s="1"/>
  <c r="AB931" i="90"/>
  <c r="AG931" i="90" s="1"/>
  <c r="AB932" i="90"/>
  <c r="AG932" i="90" s="1"/>
  <c r="AB933" i="90"/>
  <c r="AG933" i="90" s="1"/>
  <c r="AB934" i="90"/>
  <c r="AG934" i="90" s="1"/>
  <c r="AB935" i="90"/>
  <c r="AG935" i="90" s="1"/>
  <c r="AB936" i="90"/>
  <c r="AG936" i="90" s="1"/>
  <c r="AB937" i="90"/>
  <c r="AG937" i="90" s="1"/>
  <c r="AB938" i="90"/>
  <c r="AG938" i="90" s="1"/>
  <c r="AB939" i="90"/>
  <c r="AG939" i="90" s="1"/>
  <c r="AB940" i="90"/>
  <c r="AG940" i="90" s="1"/>
  <c r="AB941" i="90"/>
  <c r="AG941" i="90" s="1"/>
  <c r="AB942" i="90"/>
  <c r="AG942" i="90" s="1"/>
  <c r="AB943" i="90"/>
  <c r="AG943" i="90" s="1"/>
  <c r="AB944" i="90"/>
  <c r="AG944" i="90" s="1"/>
  <c r="AB945" i="90"/>
  <c r="AG945" i="90" s="1"/>
  <c r="AB946" i="90"/>
  <c r="AG946" i="90" s="1"/>
  <c r="AB947" i="90"/>
  <c r="AG947" i="90" s="1"/>
  <c r="AB948" i="90"/>
  <c r="AG948" i="90" s="1"/>
  <c r="AB949" i="90"/>
  <c r="AG949" i="90" s="1"/>
  <c r="AB950" i="90"/>
  <c r="AG950" i="90" s="1"/>
  <c r="AB951" i="90"/>
  <c r="AG951" i="90" s="1"/>
  <c r="AB952" i="90"/>
  <c r="AG952" i="90" s="1"/>
  <c r="AB953" i="90"/>
  <c r="AG953" i="90" s="1"/>
  <c r="AB954" i="90"/>
  <c r="AG954" i="90" s="1"/>
  <c r="AB955" i="90"/>
  <c r="AG955" i="90" s="1"/>
  <c r="AB956" i="90"/>
  <c r="AG956" i="90" s="1"/>
  <c r="AB957" i="90"/>
  <c r="AG957" i="90" s="1"/>
  <c r="AB958" i="90"/>
  <c r="AG958" i="90" s="1"/>
  <c r="AB959" i="90"/>
  <c r="AG959" i="90" s="1"/>
  <c r="AB960" i="90"/>
  <c r="AG960" i="90" s="1"/>
  <c r="AB961" i="90"/>
  <c r="AG961" i="90" s="1"/>
  <c r="AB962" i="90"/>
  <c r="AG962" i="90" s="1"/>
  <c r="AB963" i="90"/>
  <c r="AG963" i="90" s="1"/>
  <c r="AB964" i="90"/>
  <c r="AG964" i="90" s="1"/>
  <c r="AB965" i="90"/>
  <c r="AG965" i="90" s="1"/>
  <c r="AB966" i="90"/>
  <c r="AG966" i="90" s="1"/>
  <c r="AB967" i="90"/>
  <c r="AG967" i="90" s="1"/>
  <c r="AB968" i="90"/>
  <c r="AG968" i="90" s="1"/>
  <c r="AB969" i="90"/>
  <c r="AG969" i="90" s="1"/>
  <c r="AB970" i="90"/>
  <c r="AG970" i="90" s="1"/>
  <c r="AB971" i="90"/>
  <c r="AG971" i="90" s="1"/>
  <c r="AB972" i="90"/>
  <c r="AG972" i="90" s="1"/>
  <c r="AB973" i="90"/>
  <c r="AG973" i="90" s="1"/>
  <c r="AB974" i="90"/>
  <c r="AG974" i="90" s="1"/>
  <c r="AB975" i="90"/>
  <c r="AG975" i="90" s="1"/>
  <c r="AB976" i="90"/>
  <c r="AG976" i="90" s="1"/>
  <c r="AB977" i="90"/>
  <c r="AG977" i="90" s="1"/>
  <c r="AB978" i="90"/>
  <c r="AG978" i="90" s="1"/>
  <c r="AB979" i="90"/>
  <c r="AG979" i="90" s="1"/>
  <c r="AB980" i="90"/>
  <c r="AG980" i="90" s="1"/>
  <c r="AB981" i="90"/>
  <c r="AG981" i="90" s="1"/>
  <c r="AB982" i="90"/>
  <c r="AG982" i="90" s="1"/>
  <c r="AB983" i="90"/>
  <c r="AG983" i="90" s="1"/>
  <c r="AB984" i="90"/>
  <c r="AG984" i="90" s="1"/>
  <c r="AB985" i="90"/>
  <c r="AG985" i="90" s="1"/>
  <c r="AB986" i="90"/>
  <c r="AG986" i="90" s="1"/>
  <c r="AB987" i="90"/>
  <c r="AG987" i="90" s="1"/>
  <c r="AB988" i="90"/>
  <c r="AG988" i="90" s="1"/>
  <c r="AB989" i="90"/>
  <c r="AG989" i="90" s="1"/>
  <c r="AB990" i="90"/>
  <c r="AG990" i="90" s="1"/>
  <c r="AB991" i="90"/>
  <c r="AG991" i="90" s="1"/>
  <c r="AB992" i="90"/>
  <c r="AG992" i="90" s="1"/>
  <c r="AB993" i="90"/>
  <c r="AG993" i="90" s="1"/>
  <c r="AB994" i="90"/>
  <c r="AG994" i="90" s="1"/>
  <c r="AB995" i="90"/>
  <c r="AG995" i="90" s="1"/>
  <c r="AB996" i="90"/>
  <c r="AG996" i="90" s="1"/>
  <c r="AB997" i="90"/>
  <c r="AG997" i="90" s="1"/>
  <c r="AB998" i="90"/>
  <c r="AG998" i="90" s="1"/>
  <c r="AB999" i="90"/>
  <c r="AG999" i="90" s="1"/>
  <c r="AB1000" i="90"/>
  <c r="AG1000" i="90" s="1"/>
  <c r="AB1001" i="90"/>
  <c r="AG1001" i="90" s="1"/>
  <c r="AB1002" i="90"/>
  <c r="AG1002" i="90" s="1"/>
  <c r="AB1003" i="90"/>
  <c r="AG1003" i="90" s="1"/>
  <c r="AB1004" i="90"/>
  <c r="AG1004" i="90" s="1"/>
  <c r="AB1005" i="90"/>
  <c r="AG1005" i="90" s="1"/>
  <c r="AB1006" i="90"/>
  <c r="AG1006" i="90" s="1"/>
  <c r="AB1007" i="90"/>
  <c r="AG1007" i="90" s="1"/>
  <c r="AB1008" i="90"/>
  <c r="AG1008" i="90" s="1"/>
  <c r="AB1009" i="90"/>
  <c r="AG1009" i="90" s="1"/>
  <c r="AB1010" i="90"/>
  <c r="AG1010" i="90" s="1"/>
  <c r="AB1011" i="90"/>
  <c r="AG1011" i="90" s="1"/>
  <c r="AB1012" i="90"/>
  <c r="AG1012" i="90" s="1"/>
  <c r="AB1013" i="90"/>
  <c r="AG1013" i="90" s="1"/>
  <c r="AB1014" i="90"/>
  <c r="AG1014" i="90" s="1"/>
  <c r="AB1015" i="90"/>
  <c r="AG1015" i="90" s="1"/>
  <c r="AB1016" i="90"/>
  <c r="AG1016" i="90" s="1"/>
  <c r="AB1017" i="90"/>
  <c r="AG1017" i="90" s="1"/>
  <c r="AB1018" i="90"/>
  <c r="AG1018" i="90" s="1"/>
  <c r="AB1019" i="90"/>
  <c r="AG1019" i="90" s="1"/>
  <c r="AB1020" i="90"/>
  <c r="AG1020" i="90" s="1"/>
  <c r="AB1021" i="90"/>
  <c r="AG1021" i="90" s="1"/>
  <c r="AB1022" i="90"/>
  <c r="AG1022" i="90" s="1"/>
  <c r="AB1023" i="90"/>
  <c r="AG1023" i="90" s="1"/>
  <c r="AB1024" i="90"/>
  <c r="AG1024" i="90" s="1"/>
  <c r="AB1025" i="90"/>
  <c r="AG1025" i="90" s="1"/>
  <c r="AB1026" i="90"/>
  <c r="AG1026" i="90" s="1"/>
  <c r="AB1027" i="90"/>
  <c r="AG1027" i="90" s="1"/>
  <c r="AB1028" i="90"/>
  <c r="AG1028" i="90" s="1"/>
  <c r="AB1029" i="90"/>
  <c r="AG1029" i="90" s="1"/>
  <c r="AB1030" i="90"/>
  <c r="AG1030" i="90" s="1"/>
  <c r="AB1031" i="90"/>
  <c r="AG1031" i="90" s="1"/>
  <c r="AB1032" i="90"/>
  <c r="AG1032" i="90" s="1"/>
  <c r="AB1033" i="90"/>
  <c r="AG1033" i="90" s="1"/>
  <c r="AB1034" i="90"/>
  <c r="AG1034" i="90" s="1"/>
  <c r="AB1035" i="90"/>
  <c r="AG1035" i="90" s="1"/>
  <c r="AB1036" i="90"/>
  <c r="AG1036" i="90" s="1"/>
  <c r="AB1037" i="90"/>
  <c r="AG1037" i="90" s="1"/>
  <c r="AB1038" i="90"/>
  <c r="AG1038" i="90" s="1"/>
  <c r="AB1039" i="90"/>
  <c r="AG1039" i="90" s="1"/>
  <c r="AB1040" i="90"/>
  <c r="AG1040" i="90" s="1"/>
  <c r="AB1041" i="90"/>
  <c r="AG1041" i="90" s="1"/>
  <c r="AB1042" i="90"/>
  <c r="AG1042" i="90" s="1"/>
  <c r="AB1043" i="90"/>
  <c r="AG1043" i="90" s="1"/>
  <c r="AB1044" i="90"/>
  <c r="AG1044" i="90" s="1"/>
  <c r="AB1045" i="90"/>
  <c r="AG1045" i="90" s="1"/>
  <c r="AB1046" i="90"/>
  <c r="AG1046" i="90" s="1"/>
  <c r="AB1047" i="90"/>
  <c r="AG1047" i="90" s="1"/>
  <c r="AB1048" i="90"/>
  <c r="AG1048" i="90" s="1"/>
  <c r="AB1049" i="90"/>
  <c r="AG1049" i="90" s="1"/>
  <c r="AB1050" i="90"/>
  <c r="AG1050" i="90" s="1"/>
  <c r="AB1051" i="90"/>
  <c r="AG1051" i="90" s="1"/>
  <c r="AB1052" i="90"/>
  <c r="AG1052" i="90" s="1"/>
  <c r="AB1053" i="90"/>
  <c r="AG1053" i="90" s="1"/>
  <c r="AB1054" i="90"/>
  <c r="AG1054" i="90" s="1"/>
  <c r="AB1055" i="90"/>
  <c r="AG1055" i="90" s="1"/>
  <c r="AB1056" i="90"/>
  <c r="AG1056" i="90" s="1"/>
  <c r="AB1057" i="90"/>
  <c r="AG1057" i="90" s="1"/>
  <c r="AB1058" i="90"/>
  <c r="AG1058" i="90" s="1"/>
  <c r="AB1059" i="90"/>
  <c r="AG1059" i="90" s="1"/>
  <c r="AB1060" i="90"/>
  <c r="AG1060" i="90" s="1"/>
  <c r="AB1061" i="90"/>
  <c r="AG1061" i="90" s="1"/>
  <c r="AB1062" i="90"/>
  <c r="AG1062" i="90" s="1"/>
  <c r="AB1063" i="90"/>
  <c r="AG1063" i="90" s="1"/>
  <c r="AB1064" i="90"/>
  <c r="AG1064" i="90" s="1"/>
  <c r="AB1065" i="90"/>
  <c r="AG1065" i="90" s="1"/>
  <c r="AB1066" i="90"/>
  <c r="AG1066" i="90" s="1"/>
  <c r="AB1067" i="90"/>
  <c r="AG1067" i="90" s="1"/>
  <c r="AB1068" i="90"/>
  <c r="AG1068" i="90" s="1"/>
  <c r="AB1069" i="90"/>
  <c r="AG1069" i="90" s="1"/>
  <c r="AB1070" i="90"/>
  <c r="AG1070" i="90" s="1"/>
  <c r="AB1071" i="90"/>
  <c r="AG1071" i="90" s="1"/>
  <c r="AB1072" i="90"/>
  <c r="AG1072" i="90" s="1"/>
  <c r="AB1073" i="90"/>
  <c r="AG1073" i="90" s="1"/>
  <c r="AB1074" i="90"/>
  <c r="AG1074" i="90" s="1"/>
  <c r="AB1075" i="90"/>
  <c r="AG1075" i="90" s="1"/>
  <c r="AB1076" i="90"/>
  <c r="AG1076" i="90" s="1"/>
  <c r="AB1077" i="90"/>
  <c r="AG1077" i="90" s="1"/>
  <c r="AB1078" i="90"/>
  <c r="AG1078" i="90" s="1"/>
  <c r="AB1079" i="90"/>
  <c r="AG1079" i="90" s="1"/>
  <c r="AB1080" i="90"/>
  <c r="AG1080" i="90" s="1"/>
  <c r="AB1081" i="90"/>
  <c r="AG1081" i="90" s="1"/>
  <c r="AB1082" i="90"/>
  <c r="AG1082" i="90" s="1"/>
  <c r="AB1083" i="90"/>
  <c r="AG1083" i="90" s="1"/>
  <c r="AB1084" i="90"/>
  <c r="AG1084" i="90" s="1"/>
  <c r="AB1085" i="90"/>
  <c r="AG1085" i="90" s="1"/>
  <c r="AB1086" i="90"/>
  <c r="AG1086" i="90" s="1"/>
  <c r="AB1087" i="90"/>
  <c r="AG1087" i="90" s="1"/>
  <c r="AB1088" i="90"/>
  <c r="AG1088" i="90" s="1"/>
  <c r="AB1089" i="90"/>
  <c r="AG1089" i="90" s="1"/>
  <c r="AB1090" i="90"/>
  <c r="AG1090" i="90" s="1"/>
  <c r="AB1091" i="90"/>
  <c r="AG1091" i="90" s="1"/>
  <c r="AB1092" i="90"/>
  <c r="AG1092" i="90" s="1"/>
  <c r="AB1093" i="90"/>
  <c r="AG1093" i="90" s="1"/>
  <c r="AB1094" i="90"/>
  <c r="AG1094" i="90" s="1"/>
  <c r="AB1095" i="90"/>
  <c r="AG1095" i="90" s="1"/>
  <c r="AB1096" i="90"/>
  <c r="AG1096" i="90" s="1"/>
  <c r="AB1097" i="90"/>
  <c r="AG1097" i="90" s="1"/>
  <c r="AB1098" i="90"/>
  <c r="AG1098" i="90" s="1"/>
  <c r="AB1099" i="90"/>
  <c r="AG1099" i="90" s="1"/>
  <c r="AB1100" i="90"/>
  <c r="AG1100" i="90" s="1"/>
  <c r="AB1101" i="90"/>
  <c r="AG1101" i="90" s="1"/>
  <c r="AB1102" i="90"/>
  <c r="AG1102" i="90" s="1"/>
  <c r="AB1103" i="90"/>
  <c r="AG1103" i="90" s="1"/>
  <c r="AB1104" i="90"/>
  <c r="AG1104" i="90" s="1"/>
  <c r="AB1105" i="90"/>
  <c r="AG1105" i="90" s="1"/>
  <c r="AB1106" i="90"/>
  <c r="AG1106" i="90" s="1"/>
  <c r="AB1107" i="90"/>
  <c r="AG1107" i="90" s="1"/>
  <c r="AB1108" i="90"/>
  <c r="AG1108" i="90" s="1"/>
  <c r="AB1109" i="90"/>
  <c r="AG1109" i="90" s="1"/>
  <c r="AB1110" i="90"/>
  <c r="AG1110" i="90" s="1"/>
  <c r="AB1111" i="90"/>
  <c r="AG1111" i="90" s="1"/>
  <c r="AB1112" i="90"/>
  <c r="AG1112" i="90" s="1"/>
  <c r="AB1113" i="90"/>
  <c r="AG1113" i="90" s="1"/>
  <c r="AB1114" i="90"/>
  <c r="AG1114" i="90" s="1"/>
  <c r="AB1115" i="90"/>
  <c r="AG1115" i="90" s="1"/>
  <c r="AB1116" i="90"/>
  <c r="AG1116" i="90" s="1"/>
  <c r="AB1117" i="90"/>
  <c r="AG1117" i="90" s="1"/>
  <c r="AB1118" i="90"/>
  <c r="AG1118" i="90" s="1"/>
  <c r="AB1119" i="90"/>
  <c r="AG1119" i="90" s="1"/>
  <c r="AB1120" i="90"/>
  <c r="AG1120" i="90" s="1"/>
  <c r="AB1121" i="90"/>
  <c r="AG1121" i="90" s="1"/>
  <c r="AB1122" i="90"/>
  <c r="AG1122" i="90" s="1"/>
  <c r="AB1123" i="90"/>
  <c r="AG1123" i="90" s="1"/>
  <c r="AB1124" i="90"/>
  <c r="AG1124" i="90" s="1"/>
  <c r="AB1125" i="90"/>
  <c r="AG1125" i="90" s="1"/>
  <c r="AB1126" i="90"/>
  <c r="AG1126" i="90" s="1"/>
  <c r="AB1127" i="90"/>
  <c r="AG1127" i="90" s="1"/>
  <c r="AB1128" i="90"/>
  <c r="AG1128" i="90" s="1"/>
  <c r="AB1129" i="90"/>
  <c r="AG1129" i="90" s="1"/>
  <c r="AB1130" i="90"/>
  <c r="AG1130" i="90" s="1"/>
  <c r="AB1131" i="90"/>
  <c r="AG1131" i="90" s="1"/>
  <c r="AB1132" i="90"/>
  <c r="AG1132" i="90" s="1"/>
  <c r="AB1133" i="90"/>
  <c r="AG1133" i="90" s="1"/>
  <c r="AB1134" i="90"/>
  <c r="AG1134" i="90" s="1"/>
  <c r="AB1135" i="90"/>
  <c r="AG1135" i="90" s="1"/>
  <c r="AB1136" i="90"/>
  <c r="AG1136" i="90" s="1"/>
  <c r="AB1137" i="90"/>
  <c r="AG1137" i="90" s="1"/>
  <c r="AB1138" i="90"/>
  <c r="AG1138" i="90" s="1"/>
  <c r="AB1139" i="90"/>
  <c r="AG1139" i="90" s="1"/>
  <c r="AB1140" i="90"/>
  <c r="AG1140" i="90" s="1"/>
  <c r="AB1141" i="90"/>
  <c r="AG1141" i="90" s="1"/>
  <c r="AB1142" i="90"/>
  <c r="AG1142" i="90" s="1"/>
  <c r="AB1143" i="90"/>
  <c r="AG1143" i="90" s="1"/>
  <c r="AB1144" i="90"/>
  <c r="AG1144" i="90" s="1"/>
  <c r="AB1145" i="90"/>
  <c r="AG1145" i="90" s="1"/>
  <c r="AB1146" i="90"/>
  <c r="AG1146" i="90" s="1"/>
  <c r="AB1147" i="90"/>
  <c r="AG1147" i="90" s="1"/>
  <c r="AB1148" i="90"/>
  <c r="AG1148" i="90" s="1"/>
  <c r="AB1149" i="90"/>
  <c r="AG1149" i="90" s="1"/>
  <c r="AB1150" i="90"/>
  <c r="AG1150" i="90" s="1"/>
  <c r="AB1151" i="90"/>
  <c r="AG1151" i="90" s="1"/>
  <c r="AB1152" i="90"/>
  <c r="AG1152" i="90" s="1"/>
  <c r="AB1153" i="90"/>
  <c r="AG1153" i="90" s="1"/>
  <c r="AB1154" i="90"/>
  <c r="AG1154" i="90" s="1"/>
  <c r="AB1155" i="90"/>
  <c r="AG1155" i="90" s="1"/>
  <c r="AB1156" i="90"/>
  <c r="AG1156" i="90" s="1"/>
  <c r="AB1157" i="90"/>
  <c r="AG1157" i="90" s="1"/>
  <c r="AB1158" i="90"/>
  <c r="AG1158" i="90" s="1"/>
  <c r="AB1159" i="90"/>
  <c r="AG1159" i="90" s="1"/>
  <c r="AB1160" i="90"/>
  <c r="AG1160" i="90" s="1"/>
  <c r="AB1161" i="90"/>
  <c r="AG1161" i="90" s="1"/>
  <c r="AB1162" i="90"/>
  <c r="AG1162" i="90" s="1"/>
  <c r="AB1163" i="90"/>
  <c r="AG1163" i="90" s="1"/>
  <c r="AB1164" i="90"/>
  <c r="AG1164" i="90" s="1"/>
  <c r="AB1165" i="90"/>
  <c r="AG1165" i="90" s="1"/>
  <c r="AB1166" i="90"/>
  <c r="AG1166" i="90" s="1"/>
  <c r="AB1167" i="90"/>
  <c r="AG1167" i="90" s="1"/>
  <c r="AB1168" i="90"/>
  <c r="AG1168" i="90" s="1"/>
  <c r="AB1169" i="90"/>
  <c r="AG1169" i="90" s="1"/>
  <c r="AB1170" i="90"/>
  <c r="AG1170" i="90" s="1"/>
  <c r="AB1171" i="90"/>
  <c r="AG1171" i="90" s="1"/>
  <c r="AB1172" i="90"/>
  <c r="AG1172" i="90" s="1"/>
  <c r="AB1173" i="90"/>
  <c r="AG1173" i="90" s="1"/>
  <c r="AB1174" i="90"/>
  <c r="AG1174" i="90" s="1"/>
  <c r="AB1175" i="90"/>
  <c r="AG1175" i="90" s="1"/>
  <c r="AB1176" i="90"/>
  <c r="AG1176" i="90" s="1"/>
  <c r="AB1177" i="90"/>
  <c r="AG1177" i="90" s="1"/>
  <c r="AB1178" i="90"/>
  <c r="AG1178" i="90" s="1"/>
  <c r="AB1179" i="90"/>
  <c r="AG1179" i="90" s="1"/>
  <c r="AB1180" i="90"/>
  <c r="AG1180" i="90" s="1"/>
  <c r="AB1181" i="90"/>
  <c r="AG1181" i="90" s="1"/>
  <c r="AB1182" i="90"/>
  <c r="AG1182" i="90" s="1"/>
  <c r="AB1183" i="90"/>
  <c r="AG1183" i="90" s="1"/>
  <c r="AB1184" i="90"/>
  <c r="AG1184" i="90" s="1"/>
  <c r="AB1185" i="90"/>
  <c r="AG1185" i="90" s="1"/>
  <c r="AB1186" i="90"/>
  <c r="AG1186" i="90" s="1"/>
  <c r="AB1187" i="90"/>
  <c r="AG1187" i="90" s="1"/>
  <c r="AB1188" i="90"/>
  <c r="AG1188" i="90" s="1"/>
  <c r="AB1189" i="90"/>
  <c r="AG1189" i="90" s="1"/>
  <c r="AB1190" i="90"/>
  <c r="AG1190" i="90" s="1"/>
  <c r="AB1191" i="90"/>
  <c r="AG1191" i="90" s="1"/>
  <c r="AB1192" i="90"/>
  <c r="AG1192" i="90" s="1"/>
  <c r="AB1193" i="90"/>
  <c r="AG1193" i="90" s="1"/>
  <c r="AB1194" i="90"/>
  <c r="AG1194" i="90" s="1"/>
  <c r="AB1195" i="90"/>
  <c r="AG1195" i="90" s="1"/>
  <c r="AB1196" i="90"/>
  <c r="AG1196" i="90" s="1"/>
  <c r="AB1197" i="90"/>
  <c r="AG1197" i="90" s="1"/>
  <c r="AB1198" i="90"/>
  <c r="AG1198" i="90" s="1"/>
  <c r="AB1199" i="90"/>
  <c r="AG1199" i="90" s="1"/>
  <c r="AB1200" i="90"/>
  <c r="AG1200" i="90" s="1"/>
  <c r="AB1201" i="90"/>
  <c r="AG1201" i="90" s="1"/>
  <c r="AB1202" i="90"/>
  <c r="AG1202" i="90" s="1"/>
  <c r="AB1203" i="90"/>
  <c r="AG1203" i="90" s="1"/>
  <c r="AB1204" i="90"/>
  <c r="AG1204" i="90" s="1"/>
  <c r="AB1205" i="90"/>
  <c r="AG1205" i="90" s="1"/>
  <c r="AB1206" i="90"/>
  <c r="AG1206" i="90" s="1"/>
  <c r="AB1207" i="90"/>
  <c r="AG1207" i="90" s="1"/>
  <c r="AB1208" i="90"/>
  <c r="AG1208" i="90" s="1"/>
  <c r="AB1209" i="90"/>
  <c r="AG1209" i="90" s="1"/>
  <c r="AB1210" i="90"/>
  <c r="AG1210" i="90" s="1"/>
  <c r="AB1211" i="90"/>
  <c r="AG1211" i="90" s="1"/>
  <c r="AB1212" i="90"/>
  <c r="AG1212" i="90" s="1"/>
  <c r="AB1213" i="90"/>
  <c r="AG1213" i="90" s="1"/>
  <c r="AB1214" i="90"/>
  <c r="AG1214" i="90" s="1"/>
  <c r="AB1215" i="90"/>
  <c r="AG1215" i="90" s="1"/>
  <c r="AB1216" i="90"/>
  <c r="AG1216" i="90" s="1"/>
  <c r="AB1217" i="90"/>
  <c r="AG1217" i="90" s="1"/>
  <c r="AB1218" i="90"/>
  <c r="AG1218" i="90" s="1"/>
  <c r="AB1219" i="90"/>
  <c r="AG1219" i="90" s="1"/>
  <c r="AB1220" i="90"/>
  <c r="AG1220" i="90" s="1"/>
  <c r="AB1221" i="90"/>
  <c r="AG1221" i="90" s="1"/>
  <c r="AB1222" i="90"/>
  <c r="AG1222" i="90" s="1"/>
  <c r="AB1223" i="90"/>
  <c r="AG1223" i="90" s="1"/>
  <c r="AB1224" i="90"/>
  <c r="AG1224" i="90" s="1"/>
  <c r="AB1225" i="90"/>
  <c r="AG1225" i="90" s="1"/>
  <c r="AB1226" i="90"/>
  <c r="AG1226" i="90" s="1"/>
  <c r="AB1227" i="90"/>
  <c r="AG1227" i="90" s="1"/>
  <c r="AB1228" i="90"/>
  <c r="AG1228" i="90" s="1"/>
  <c r="AB1229" i="90"/>
  <c r="AG1229" i="90" s="1"/>
  <c r="AB1230" i="90"/>
  <c r="AG1230" i="90" s="1"/>
  <c r="AB1231" i="90"/>
  <c r="AG1231" i="90" s="1"/>
  <c r="AB1232" i="90"/>
  <c r="AG1232" i="90" s="1"/>
  <c r="AB1233" i="90"/>
  <c r="AG1233" i="90" s="1"/>
  <c r="AB1234" i="90"/>
  <c r="AG1234" i="90" s="1"/>
  <c r="AB1235" i="90"/>
  <c r="AG1235" i="90" s="1"/>
  <c r="AB1236" i="90"/>
  <c r="AG1236" i="90" s="1"/>
  <c r="AB1237" i="90"/>
  <c r="AG1237" i="90" s="1"/>
  <c r="AB1238" i="90"/>
  <c r="AG1238" i="90" s="1"/>
  <c r="AB1239" i="90"/>
  <c r="AG1239" i="90" s="1"/>
  <c r="AB1240" i="90"/>
  <c r="AG1240" i="90" s="1"/>
  <c r="AB1241" i="90"/>
  <c r="AG1241" i="90" s="1"/>
  <c r="AB1242" i="90"/>
  <c r="AG1242" i="90" s="1"/>
  <c r="AB1243" i="90"/>
  <c r="AG1243" i="90" s="1"/>
  <c r="AB1244" i="90"/>
  <c r="AG1244" i="90" s="1"/>
  <c r="AB1245" i="90"/>
  <c r="AG1245" i="90" s="1"/>
  <c r="AB1246" i="90"/>
  <c r="AG1246" i="90" s="1"/>
  <c r="AB1247" i="90"/>
  <c r="AG1247" i="90" s="1"/>
  <c r="AB1248" i="90"/>
  <c r="AG1248" i="90" s="1"/>
  <c r="AB1249" i="90"/>
  <c r="AG1249" i="90" s="1"/>
  <c r="AB1250" i="90"/>
  <c r="AG1250" i="90" s="1"/>
  <c r="AB1251" i="90"/>
  <c r="AG1251" i="90" s="1"/>
  <c r="AB1252" i="90"/>
  <c r="AG1252" i="90" s="1"/>
  <c r="AB1253" i="90"/>
  <c r="AG1253" i="90" s="1"/>
  <c r="AB1254" i="90"/>
  <c r="AG1254" i="90" s="1"/>
  <c r="AB1255" i="90"/>
  <c r="AG1255" i="90" s="1"/>
  <c r="AB1256" i="90"/>
  <c r="AG1256" i="90" s="1"/>
  <c r="AB1257" i="90"/>
  <c r="AG1257" i="90" s="1"/>
  <c r="AB1258" i="90"/>
  <c r="AG1258" i="90" s="1"/>
  <c r="AB1259" i="90"/>
  <c r="AG1259" i="90" s="1"/>
  <c r="AB1260" i="90"/>
  <c r="AG1260" i="90" s="1"/>
  <c r="AB1261" i="90"/>
  <c r="AG1261" i="90" s="1"/>
  <c r="AB1262" i="90"/>
  <c r="AG1262" i="90" s="1"/>
  <c r="AB1263" i="90"/>
  <c r="AG1263" i="90" s="1"/>
  <c r="AB1264" i="90"/>
  <c r="AG1264" i="90" s="1"/>
  <c r="AB1265" i="90"/>
  <c r="AG1265" i="90" s="1"/>
  <c r="AB1266" i="90"/>
  <c r="AG1266" i="90" s="1"/>
  <c r="AB1267" i="90"/>
  <c r="AG1267" i="90" s="1"/>
  <c r="AB1268" i="90"/>
  <c r="AG1268" i="90" s="1"/>
  <c r="AB1269" i="90"/>
  <c r="AG1269" i="90" s="1"/>
  <c r="AB1270" i="90"/>
  <c r="AG1270" i="90" s="1"/>
  <c r="AB1271" i="90"/>
  <c r="AG1271" i="90" s="1"/>
  <c r="AB1272" i="90"/>
  <c r="AG1272" i="90" s="1"/>
  <c r="AB1273" i="90"/>
  <c r="AG1273" i="90" s="1"/>
  <c r="AB1274" i="90"/>
  <c r="AG1274" i="90" s="1"/>
  <c r="AB1275" i="90"/>
  <c r="AG1275" i="90" s="1"/>
  <c r="AB1276" i="90"/>
  <c r="AG1276" i="90" s="1"/>
  <c r="AB1277" i="90"/>
  <c r="AG1277" i="90" s="1"/>
  <c r="AB1278" i="90"/>
  <c r="AG1278" i="90" s="1"/>
  <c r="AB1279" i="90"/>
  <c r="AG1279" i="90" s="1"/>
  <c r="AB1280" i="90"/>
  <c r="AG1280" i="90" s="1"/>
  <c r="AB1281" i="90"/>
  <c r="AG1281" i="90" s="1"/>
  <c r="AB1282" i="90"/>
  <c r="AG1282" i="90" s="1"/>
  <c r="AB1283" i="90"/>
  <c r="AG1283" i="90" s="1"/>
  <c r="AB1284" i="90"/>
  <c r="AG1284" i="90" s="1"/>
  <c r="AB1285" i="90"/>
  <c r="AG1285" i="90" s="1"/>
  <c r="AB1286" i="90"/>
  <c r="AG1286" i="90" s="1"/>
  <c r="AB1287" i="90"/>
  <c r="AG1287" i="90" s="1"/>
  <c r="AB1288" i="90"/>
  <c r="AG1288" i="90" s="1"/>
  <c r="AB1289" i="90"/>
  <c r="AG1289" i="90" s="1"/>
  <c r="AB1290" i="90"/>
  <c r="AG1290" i="90" s="1"/>
  <c r="AB1291" i="90"/>
  <c r="AG1291" i="90" s="1"/>
  <c r="AB1292" i="90"/>
  <c r="AG1292" i="90" s="1"/>
  <c r="AB1293" i="90"/>
  <c r="AG1293" i="90" s="1"/>
  <c r="AB1294" i="90"/>
  <c r="AG1294" i="90" s="1"/>
  <c r="AB1295" i="90"/>
  <c r="AG1295" i="90" s="1"/>
  <c r="AB1296" i="90"/>
  <c r="AG1296" i="90" s="1"/>
  <c r="AB1297" i="90"/>
  <c r="AG1297" i="90" s="1"/>
  <c r="AB1298" i="90"/>
  <c r="AG1298" i="90" s="1"/>
  <c r="AB1299" i="90"/>
  <c r="AG1299" i="90" s="1"/>
  <c r="AB1300" i="90"/>
  <c r="AG1300" i="90" s="1"/>
  <c r="AB1301" i="90"/>
  <c r="AG1301" i="90" s="1"/>
  <c r="AB1302" i="90"/>
  <c r="AG1302" i="90" s="1"/>
  <c r="AB1303" i="90"/>
  <c r="AG1303" i="90" s="1"/>
  <c r="AB1304" i="90"/>
  <c r="AG1304" i="90" s="1"/>
  <c r="AB1305" i="90"/>
  <c r="AG1305" i="90" s="1"/>
  <c r="AB1306" i="90"/>
  <c r="AG1306" i="90" s="1"/>
  <c r="AB1307" i="90"/>
  <c r="AG1307" i="90" s="1"/>
  <c r="AB1308" i="90"/>
  <c r="AG1308" i="90" s="1"/>
  <c r="AB1309" i="90"/>
  <c r="AG1309" i="90" s="1"/>
  <c r="AB1310" i="90"/>
  <c r="AG1310" i="90" s="1"/>
  <c r="AB1311" i="90"/>
  <c r="AG1311" i="90" s="1"/>
  <c r="AB1312" i="90"/>
  <c r="AG1312" i="90" s="1"/>
  <c r="AB1313" i="90"/>
  <c r="AG1313" i="90" s="1"/>
  <c r="AB1314" i="90"/>
  <c r="AG1314" i="90" s="1"/>
  <c r="AB1315" i="90"/>
  <c r="AG1315" i="90" s="1"/>
  <c r="AB1316" i="90"/>
  <c r="AG1316" i="90" s="1"/>
  <c r="AB1317" i="90"/>
  <c r="AG1317" i="90" s="1"/>
  <c r="AB1318" i="90"/>
  <c r="AG1318" i="90" s="1"/>
  <c r="AB1319" i="90"/>
  <c r="AG1319" i="90" s="1"/>
  <c r="AB1320" i="90"/>
  <c r="AG1320" i="90" s="1"/>
  <c r="AB1321" i="90"/>
  <c r="AG1321" i="90" s="1"/>
  <c r="AB1322" i="90"/>
  <c r="AG1322" i="90" s="1"/>
  <c r="AB1323" i="90"/>
  <c r="AG1323" i="90" s="1"/>
  <c r="AB1324" i="90"/>
  <c r="AG1324" i="90" s="1"/>
  <c r="AB1325" i="90"/>
  <c r="AG1325" i="90" s="1"/>
  <c r="AB1326" i="90"/>
  <c r="AG1326" i="90" s="1"/>
  <c r="AB1327" i="90"/>
  <c r="AG1327" i="90" s="1"/>
  <c r="AB1328" i="90"/>
  <c r="AG1328" i="90" s="1"/>
  <c r="AB1329" i="90"/>
  <c r="AG1329" i="90" s="1"/>
  <c r="AB1330" i="90"/>
  <c r="AG1330" i="90" s="1"/>
  <c r="AB1331" i="90"/>
  <c r="AG1331" i="90" s="1"/>
  <c r="AB1332" i="90"/>
  <c r="AG1332" i="90" s="1"/>
  <c r="AB1333" i="90"/>
  <c r="AG1333" i="90" s="1"/>
  <c r="AB1334" i="90"/>
  <c r="AG1334" i="90" s="1"/>
  <c r="AB1335" i="90"/>
  <c r="AG1335" i="90" s="1"/>
  <c r="AB1336" i="90"/>
  <c r="AG1336" i="90" s="1"/>
  <c r="AB1337" i="90"/>
  <c r="AG1337" i="90" s="1"/>
  <c r="AB1338" i="90"/>
  <c r="AG1338" i="90" s="1"/>
  <c r="AB1339" i="90"/>
  <c r="AG1339" i="90" s="1"/>
  <c r="AB1340" i="90"/>
  <c r="AG1340" i="90" s="1"/>
  <c r="AB1341" i="90"/>
  <c r="AG1341" i="90" s="1"/>
  <c r="AB1342" i="90"/>
  <c r="AG1342" i="90" s="1"/>
  <c r="AB1343" i="90"/>
  <c r="AG1343" i="90" s="1"/>
  <c r="AB1344" i="90"/>
  <c r="AG1344" i="90" s="1"/>
  <c r="AB1345" i="90"/>
  <c r="AG1345" i="90" s="1"/>
  <c r="AB1346" i="90"/>
  <c r="AG1346" i="90" s="1"/>
  <c r="AB1347" i="90"/>
  <c r="AG1347" i="90" s="1"/>
  <c r="AB1348" i="90"/>
  <c r="AG1348" i="90" s="1"/>
  <c r="AB1349" i="90"/>
  <c r="AG1349" i="90" s="1"/>
  <c r="AB1350" i="90"/>
  <c r="AG1350" i="90" s="1"/>
  <c r="AB1351" i="90"/>
  <c r="AG1351" i="90" s="1"/>
  <c r="AB1352" i="90"/>
  <c r="AG1352" i="90" s="1"/>
  <c r="AB1353" i="90"/>
  <c r="AG1353" i="90" s="1"/>
  <c r="AB1354" i="90"/>
  <c r="AG1354" i="90" s="1"/>
  <c r="AB1355" i="90"/>
  <c r="AG1355" i="90" s="1"/>
  <c r="AB1356" i="90"/>
  <c r="AG1356" i="90" s="1"/>
  <c r="AB1357" i="90"/>
  <c r="AG1357" i="90" s="1"/>
  <c r="AB1358" i="90"/>
  <c r="AG1358" i="90" s="1"/>
  <c r="AB1359" i="90"/>
  <c r="AG1359" i="90" s="1"/>
  <c r="AB1360" i="90"/>
  <c r="AG1360" i="90" s="1"/>
  <c r="AB1361" i="90"/>
  <c r="AG1361" i="90" s="1"/>
  <c r="AB1362" i="90"/>
  <c r="AG1362" i="90" s="1"/>
  <c r="AB1363" i="90"/>
  <c r="AG1363" i="90" s="1"/>
  <c r="AB1364" i="90"/>
  <c r="AG1364" i="90" s="1"/>
  <c r="AB1365" i="90"/>
  <c r="AG1365" i="90" s="1"/>
  <c r="AB1366" i="90"/>
  <c r="AG1366" i="90" s="1"/>
  <c r="AB1367" i="90"/>
  <c r="AG1367" i="90" s="1"/>
  <c r="AB1368" i="90"/>
  <c r="AG1368" i="90" s="1"/>
  <c r="AB1369" i="90"/>
  <c r="AG1369" i="90" s="1"/>
  <c r="AB1370" i="90"/>
  <c r="AG1370" i="90" s="1"/>
  <c r="AB1371" i="90"/>
  <c r="AG1371" i="90" s="1"/>
  <c r="AB1372" i="90"/>
  <c r="AG1372" i="90" s="1"/>
  <c r="AB1373" i="90"/>
  <c r="AG1373" i="90" s="1"/>
  <c r="AB1374" i="90"/>
  <c r="AG1374" i="90" s="1"/>
  <c r="AB1375" i="90"/>
  <c r="AG1375" i="90" s="1"/>
  <c r="AB1376" i="90"/>
  <c r="AG1376" i="90" s="1"/>
  <c r="AB1377" i="90"/>
  <c r="AG1377" i="90" s="1"/>
  <c r="AB1378" i="90"/>
  <c r="AG1378" i="90" s="1"/>
  <c r="AB1379" i="90"/>
  <c r="AG1379" i="90" s="1"/>
  <c r="AB1380" i="90"/>
  <c r="AG1380" i="90" s="1"/>
  <c r="AB1381" i="90"/>
  <c r="AG1381" i="90" s="1"/>
  <c r="AB1382" i="90"/>
  <c r="AG1382" i="90" s="1"/>
  <c r="AB1383" i="90"/>
  <c r="AG1383" i="90" s="1"/>
  <c r="AB1384" i="90"/>
  <c r="AG1384" i="90" s="1"/>
  <c r="AB1385" i="90"/>
  <c r="AG1385" i="90" s="1"/>
  <c r="AB1386" i="90"/>
  <c r="AG1386" i="90" s="1"/>
  <c r="AB1387" i="90"/>
  <c r="AG1387" i="90" s="1"/>
  <c r="AB1388" i="90"/>
  <c r="AG1388" i="90" s="1"/>
  <c r="AB1389" i="90"/>
  <c r="AG1389" i="90" s="1"/>
  <c r="AB1390" i="90"/>
  <c r="AG1390" i="90" s="1"/>
  <c r="AB1391" i="90"/>
  <c r="AG1391" i="90" s="1"/>
  <c r="AB1392" i="90"/>
  <c r="AG1392" i="90" s="1"/>
  <c r="AB1393" i="90"/>
  <c r="AG1393" i="90" s="1"/>
  <c r="AB1394" i="90"/>
  <c r="AG1394" i="90" s="1"/>
  <c r="AB1395" i="90"/>
  <c r="AG1395" i="90" s="1"/>
  <c r="AB1396" i="90"/>
  <c r="AG1396" i="90" s="1"/>
  <c r="AB1397" i="90"/>
  <c r="AG1397" i="90" s="1"/>
  <c r="AB1398" i="90"/>
  <c r="AG1398" i="90" s="1"/>
  <c r="AB1399" i="90"/>
  <c r="AG1399" i="90" s="1"/>
  <c r="AB1400" i="90"/>
  <c r="AG1400" i="90" s="1"/>
  <c r="AB1401" i="90"/>
  <c r="AG1401" i="90" s="1"/>
  <c r="AB1402" i="90"/>
  <c r="AG1402" i="90" s="1"/>
  <c r="AB1403" i="90"/>
  <c r="AG1403" i="90" s="1"/>
  <c r="AB1404" i="90"/>
  <c r="AG1404" i="90" s="1"/>
  <c r="AB1405" i="90"/>
  <c r="AG1405" i="90" s="1"/>
  <c r="AB1406" i="90"/>
  <c r="AG1406" i="90" s="1"/>
  <c r="AB1407" i="90"/>
  <c r="AG1407" i="90" s="1"/>
  <c r="AB1408" i="90"/>
  <c r="AG1408" i="90" s="1"/>
  <c r="AB1409" i="90"/>
  <c r="AG1409" i="90" s="1"/>
  <c r="AB1410" i="90"/>
  <c r="AG1410" i="90" s="1"/>
  <c r="AB1411" i="90"/>
  <c r="AG1411" i="90" s="1"/>
  <c r="AB1412" i="90"/>
  <c r="AG1412" i="90" s="1"/>
  <c r="AB1413" i="90"/>
  <c r="AG1413" i="90" s="1"/>
  <c r="AB1414" i="90"/>
  <c r="AG1414" i="90" s="1"/>
  <c r="AB1415" i="90"/>
  <c r="AG1415" i="90" s="1"/>
  <c r="AB1416" i="90"/>
  <c r="AG1416" i="90" s="1"/>
  <c r="AB1417" i="90"/>
  <c r="AG1417" i="90" s="1"/>
  <c r="AB1418" i="90"/>
  <c r="AG1418" i="90" s="1"/>
  <c r="AB1419" i="90"/>
  <c r="AG1419" i="90" s="1"/>
  <c r="AB1420" i="90"/>
  <c r="AG1420" i="90" s="1"/>
  <c r="AB1421" i="90"/>
  <c r="AG1421" i="90" s="1"/>
  <c r="AB1422" i="90"/>
  <c r="AG1422" i="90" s="1"/>
  <c r="AB1423" i="90"/>
  <c r="AG1423" i="90" s="1"/>
  <c r="AB1424" i="90"/>
  <c r="AG1424" i="90" s="1"/>
  <c r="AB1425" i="90"/>
  <c r="AG1425" i="90" s="1"/>
  <c r="AB1426" i="90"/>
  <c r="AG1426" i="90" s="1"/>
  <c r="AB1427" i="90"/>
  <c r="AG1427" i="90" s="1"/>
  <c r="AB1428" i="90"/>
  <c r="AG1428" i="90" s="1"/>
  <c r="AB1429" i="90"/>
  <c r="AG1429" i="90" s="1"/>
  <c r="AB1430" i="90"/>
  <c r="AG1430" i="90" s="1"/>
  <c r="AB1431" i="90"/>
  <c r="AG1431" i="90" s="1"/>
  <c r="AB1432" i="90"/>
  <c r="AG1432" i="90" s="1"/>
  <c r="AB1433" i="90"/>
  <c r="AG1433" i="90" s="1"/>
  <c r="AB1434" i="90"/>
  <c r="AG1434" i="90" s="1"/>
  <c r="AB1435" i="90"/>
  <c r="AG1435" i="90" s="1"/>
  <c r="AB1436" i="90"/>
  <c r="AG1436" i="90" s="1"/>
  <c r="AB1437" i="90"/>
  <c r="AG1437" i="90" s="1"/>
  <c r="AB1438" i="90"/>
  <c r="AG1438" i="90" s="1"/>
  <c r="AB1439" i="90"/>
  <c r="AG1439" i="90" s="1"/>
  <c r="AB1440" i="90"/>
  <c r="AG1440" i="90" s="1"/>
  <c r="AB1441" i="90"/>
  <c r="AG1441" i="90" s="1"/>
  <c r="AB1442" i="90"/>
  <c r="AG1442" i="90" s="1"/>
  <c r="AB1443" i="90"/>
  <c r="AG1443" i="90" s="1"/>
  <c r="AB1444" i="90"/>
  <c r="AG1444" i="90" s="1"/>
  <c r="AB1445" i="90"/>
  <c r="AG1445" i="90" s="1"/>
  <c r="AB1446" i="90"/>
  <c r="AG1446" i="90" s="1"/>
  <c r="AB1447" i="90"/>
  <c r="AG1447" i="90" s="1"/>
  <c r="AB1448" i="90"/>
  <c r="AG1448" i="90" s="1"/>
  <c r="AB1449" i="90"/>
  <c r="AG1449" i="90" s="1"/>
  <c r="AB1450" i="90"/>
  <c r="AG1450" i="90" s="1"/>
  <c r="AB1451" i="90"/>
  <c r="AG1451" i="90" s="1"/>
  <c r="AB1452" i="90"/>
  <c r="AG1452" i="90" s="1"/>
  <c r="AB1453" i="90"/>
  <c r="AG1453" i="90" s="1"/>
  <c r="AB1454" i="90"/>
  <c r="AG1454" i="90" s="1"/>
  <c r="AB1455" i="90"/>
  <c r="AG1455" i="90" s="1"/>
  <c r="AB1456" i="90"/>
  <c r="AG1456" i="90" s="1"/>
  <c r="AB1457" i="90"/>
  <c r="AG1457" i="90" s="1"/>
  <c r="AB1458" i="90"/>
  <c r="AG1458" i="90" s="1"/>
  <c r="AB1459" i="90"/>
  <c r="AG1459" i="90" s="1"/>
  <c r="AB1460" i="90"/>
  <c r="AG1460" i="90" s="1"/>
  <c r="AB5" i="90"/>
  <c r="AG5" i="90" s="1"/>
  <c r="AF1417" i="90" l="1"/>
  <c r="AF1353" i="90"/>
  <c r="AF1289" i="90"/>
  <c r="AF1225" i="90"/>
  <c r="AF1161" i="90"/>
  <c r="AF1097" i="90"/>
  <c r="AF1033" i="90"/>
  <c r="AF969" i="90"/>
  <c r="AF905" i="90"/>
  <c r="AF841" i="90"/>
  <c r="AF777" i="90"/>
  <c r="AF713" i="90"/>
  <c r="AF649" i="90"/>
  <c r="AF585" i="90"/>
  <c r="AF521" i="90"/>
  <c r="AI1401" i="90"/>
  <c r="AI1337" i="90"/>
  <c r="AI1273" i="90"/>
  <c r="AI1209" i="90"/>
  <c r="AI1145" i="90"/>
  <c r="AI1081" i="90"/>
  <c r="AI1017" i="90"/>
  <c r="AI953" i="90"/>
  <c r="AI889" i="90"/>
  <c r="AI825" i="90"/>
  <c r="AI761" i="90"/>
  <c r="AI697" i="90"/>
  <c r="AI633" i="90"/>
  <c r="AI569" i="90"/>
  <c r="AI505" i="90"/>
  <c r="AV564" i="90"/>
  <c r="AX564" i="90"/>
  <c r="AV560" i="90"/>
  <c r="AX560" i="90"/>
  <c r="AV556" i="90"/>
  <c r="AX556" i="90"/>
  <c r="AV552" i="90"/>
  <c r="AX552" i="90"/>
  <c r="AV548" i="90"/>
  <c r="AX548" i="90"/>
  <c r="AV544" i="90"/>
  <c r="AX544" i="90"/>
  <c r="AV540" i="90"/>
  <c r="AX540" i="90"/>
  <c r="AV536" i="90"/>
  <c r="AX536" i="90"/>
  <c r="AV532" i="90"/>
  <c r="AX532" i="90"/>
  <c r="AV528" i="90"/>
  <c r="AX528" i="90"/>
  <c r="AV524" i="90"/>
  <c r="AX524" i="90"/>
  <c r="AV520" i="90"/>
  <c r="AX520" i="90"/>
  <c r="AV516" i="90"/>
  <c r="AX516" i="90"/>
  <c r="AV512" i="90"/>
  <c r="AX512" i="90"/>
  <c r="AV508" i="90"/>
  <c r="AX508" i="90"/>
  <c r="AV504" i="90"/>
  <c r="AX504" i="90"/>
  <c r="AV500" i="90"/>
  <c r="AX500" i="90"/>
  <c r="AV496" i="90"/>
  <c r="AX496" i="90"/>
  <c r="AV492" i="90"/>
  <c r="AX492" i="90"/>
  <c r="AV488" i="90"/>
  <c r="AX488" i="90"/>
  <c r="AV484" i="90"/>
  <c r="AX484" i="90"/>
  <c r="AV480" i="90"/>
  <c r="AX480" i="90"/>
  <c r="AV476" i="90"/>
  <c r="AX476" i="90"/>
  <c r="AV472" i="90"/>
  <c r="AX472" i="90"/>
  <c r="AV468" i="90"/>
  <c r="AX468" i="90"/>
  <c r="AV464" i="90"/>
  <c r="AX464" i="90"/>
  <c r="AV460" i="90"/>
  <c r="AX460" i="90"/>
  <c r="AV456" i="90"/>
  <c r="AX456" i="90"/>
  <c r="AV452" i="90"/>
  <c r="AX452" i="90"/>
  <c r="AV448" i="90"/>
  <c r="AX448" i="90"/>
  <c r="AV444" i="90"/>
  <c r="AX444" i="90"/>
  <c r="AV440" i="90"/>
  <c r="AX440" i="90"/>
  <c r="AV436" i="90"/>
  <c r="AX436" i="90"/>
  <c r="AV432" i="90"/>
  <c r="AX432" i="90"/>
  <c r="AV428" i="90"/>
  <c r="AX428" i="90"/>
  <c r="AV424" i="90"/>
  <c r="AX424" i="90"/>
  <c r="AV420" i="90"/>
  <c r="AX420" i="90"/>
  <c r="AV416" i="90"/>
  <c r="AX416" i="90"/>
  <c r="AV412" i="90"/>
  <c r="AX412" i="90"/>
  <c r="AV408" i="90"/>
  <c r="AX408" i="90"/>
  <c r="AV404" i="90"/>
  <c r="AX404" i="90"/>
  <c r="AV400" i="90"/>
  <c r="AX400" i="90"/>
  <c r="AV396" i="90"/>
  <c r="AX396" i="90"/>
  <c r="AV392" i="90"/>
  <c r="AX392" i="90"/>
  <c r="AV388" i="90"/>
  <c r="AX388" i="90"/>
  <c r="AV384" i="90"/>
  <c r="AX384" i="90"/>
  <c r="AV380" i="90"/>
  <c r="AX380" i="90"/>
  <c r="AV376" i="90"/>
  <c r="AX376" i="90"/>
  <c r="AV372" i="90"/>
  <c r="AX372" i="90"/>
  <c r="AV368" i="90"/>
  <c r="AX368" i="90"/>
  <c r="AV364" i="90"/>
  <c r="AX364" i="90"/>
  <c r="AV360" i="90"/>
  <c r="AX360" i="90"/>
  <c r="AV356" i="90"/>
  <c r="AX356" i="90"/>
  <c r="AV352" i="90"/>
  <c r="AX352" i="90"/>
  <c r="AV348" i="90"/>
  <c r="AX348" i="90"/>
  <c r="AV344" i="90"/>
  <c r="AX344" i="90"/>
  <c r="AV340" i="90"/>
  <c r="AX340" i="90"/>
  <c r="AV336" i="90"/>
  <c r="AX336" i="90"/>
  <c r="AV332" i="90"/>
  <c r="AX332" i="90"/>
  <c r="AV328" i="90"/>
  <c r="AX328" i="90"/>
  <c r="AV324" i="90"/>
  <c r="AX324" i="90"/>
  <c r="AV320" i="90"/>
  <c r="AX320" i="90"/>
  <c r="AV316" i="90"/>
  <c r="AX316" i="90"/>
  <c r="AV312" i="90"/>
  <c r="AX312" i="90"/>
  <c r="AV308" i="90"/>
  <c r="AX308" i="90"/>
  <c r="AV304" i="90"/>
  <c r="AX304" i="90"/>
  <c r="AV300" i="90"/>
  <c r="AX300" i="90"/>
  <c r="AV296" i="90"/>
  <c r="AX296" i="90"/>
  <c r="AV292" i="90"/>
  <c r="AX292" i="90"/>
  <c r="AV288" i="90"/>
  <c r="AX288" i="90"/>
  <c r="AV284" i="90"/>
  <c r="AX284" i="90"/>
  <c r="AV276" i="90"/>
  <c r="AX276" i="90"/>
  <c r="AV272" i="90"/>
  <c r="AX272" i="90"/>
  <c r="AV268" i="90"/>
  <c r="AX268" i="90"/>
  <c r="AV260" i="90"/>
  <c r="AX260" i="90"/>
  <c r="AV256" i="90"/>
  <c r="AX256" i="90"/>
  <c r="AV252" i="90"/>
  <c r="AX252" i="90"/>
  <c r="AV244" i="90"/>
  <c r="AX244" i="90"/>
  <c r="AV240" i="90"/>
  <c r="AX240" i="90"/>
  <c r="AV236" i="90"/>
  <c r="AX236" i="90"/>
  <c r="AV228" i="90"/>
  <c r="AX228" i="90"/>
  <c r="AV224" i="90"/>
  <c r="AX224" i="90"/>
  <c r="AV220" i="90"/>
  <c r="AX220" i="90"/>
  <c r="AV216" i="90"/>
  <c r="AX216" i="90"/>
  <c r="AV212" i="90"/>
  <c r="AX212" i="90"/>
  <c r="AV208" i="90"/>
  <c r="AX208" i="90"/>
  <c r="AV204" i="90"/>
  <c r="AX204" i="90"/>
  <c r="AV200" i="90"/>
  <c r="AX200" i="90"/>
  <c r="AV196" i="90"/>
  <c r="AX196" i="90"/>
  <c r="AW196" i="90"/>
  <c r="AV192" i="90"/>
  <c r="AW192" i="90"/>
  <c r="AX192" i="90"/>
  <c r="AV188" i="90"/>
  <c r="AX188" i="90"/>
  <c r="AW188" i="90"/>
  <c r="AV184" i="90"/>
  <c r="AX184" i="90"/>
  <c r="AW184" i="90"/>
  <c r="AV180" i="90"/>
  <c r="AX180" i="90"/>
  <c r="AW180" i="90"/>
  <c r="AV176" i="90"/>
  <c r="AX176" i="90"/>
  <c r="AW176" i="90"/>
  <c r="AV172" i="90"/>
  <c r="AX172" i="90"/>
  <c r="AW172" i="90"/>
  <c r="AV168" i="90"/>
  <c r="AX168" i="90"/>
  <c r="AW168" i="90"/>
  <c r="AV164" i="90"/>
  <c r="AX164" i="90"/>
  <c r="AW164" i="90"/>
  <c r="AV160" i="90"/>
  <c r="AX160" i="90"/>
  <c r="AW160" i="90"/>
  <c r="AV156" i="90"/>
  <c r="AX156" i="90"/>
  <c r="AW156" i="90"/>
  <c r="AV152" i="90"/>
  <c r="AX152" i="90"/>
  <c r="AW152" i="90"/>
  <c r="AV148" i="90"/>
  <c r="AX148" i="90"/>
  <c r="AW148" i="90"/>
  <c r="AV144" i="90"/>
  <c r="AX144" i="90"/>
  <c r="AW144" i="90"/>
  <c r="AY144" i="90" s="1"/>
  <c r="AV140" i="90"/>
  <c r="AX140" i="90"/>
  <c r="AW140" i="90"/>
  <c r="AV136" i="90"/>
  <c r="AX136" i="90"/>
  <c r="AW136" i="90"/>
  <c r="AV132" i="90"/>
  <c r="AX132" i="90"/>
  <c r="AW132" i="90"/>
  <c r="AV128" i="90"/>
  <c r="AX128" i="90"/>
  <c r="AW128" i="90"/>
  <c r="AY128" i="90" s="1"/>
  <c r="AV124" i="90"/>
  <c r="AX124" i="90"/>
  <c r="AW124" i="90"/>
  <c r="AV120" i="90"/>
  <c r="AX120" i="90"/>
  <c r="AW120" i="90"/>
  <c r="AV116" i="90"/>
  <c r="AX116" i="90"/>
  <c r="AW116" i="90"/>
  <c r="AV112" i="90"/>
  <c r="AX112" i="90"/>
  <c r="AW112" i="90"/>
  <c r="AY112" i="90" s="1"/>
  <c r="AV108" i="90"/>
  <c r="AX108" i="90"/>
  <c r="AW108" i="90"/>
  <c r="AV104" i="90"/>
  <c r="AX104" i="90"/>
  <c r="AW104" i="90"/>
  <c r="AV100" i="90"/>
  <c r="AX100" i="90"/>
  <c r="AW100" i="90"/>
  <c r="AV96" i="90"/>
  <c r="AX96" i="90"/>
  <c r="AW96" i="90"/>
  <c r="AY96" i="90" s="1"/>
  <c r="AV92" i="90"/>
  <c r="AX92" i="90"/>
  <c r="AW92" i="90"/>
  <c r="AV88" i="90"/>
  <c r="AX88" i="90"/>
  <c r="AW88" i="90"/>
  <c r="AV84" i="90"/>
  <c r="AX84" i="90"/>
  <c r="AW84" i="90"/>
  <c r="AV80" i="90"/>
  <c r="AX80" i="90"/>
  <c r="AW80" i="90"/>
  <c r="AY80" i="90" s="1"/>
  <c r="AV76" i="90"/>
  <c r="AX76" i="90"/>
  <c r="AW76" i="90"/>
  <c r="AV72" i="90"/>
  <c r="AX72" i="90"/>
  <c r="AW72" i="90"/>
  <c r="AV68" i="90"/>
  <c r="AX68" i="90"/>
  <c r="AW68" i="90"/>
  <c r="AV64" i="90"/>
  <c r="AX64" i="90"/>
  <c r="AW64" i="90"/>
  <c r="AY64" i="90" s="1"/>
  <c r="AV60" i="90"/>
  <c r="AX60" i="90"/>
  <c r="AW60" i="90"/>
  <c r="AV56" i="90"/>
  <c r="AX56" i="90"/>
  <c r="AW56" i="90"/>
  <c r="AV52" i="90"/>
  <c r="AX52" i="90"/>
  <c r="AW52" i="90"/>
  <c r="AV48" i="90"/>
  <c r="AX48" i="90"/>
  <c r="AW48" i="90"/>
  <c r="AY48" i="90" s="1"/>
  <c r="AV44" i="90"/>
  <c r="AX44" i="90"/>
  <c r="AW44" i="90"/>
  <c r="AV40" i="90"/>
  <c r="AX40" i="90"/>
  <c r="AW40" i="90"/>
  <c r="AV36" i="90"/>
  <c r="AX36" i="90"/>
  <c r="AW36" i="90"/>
  <c r="AV32" i="90"/>
  <c r="AX32" i="90"/>
  <c r="AW32" i="90"/>
  <c r="AY32" i="90" s="1"/>
  <c r="AV28" i="90"/>
  <c r="AX28" i="90"/>
  <c r="AW28" i="90"/>
  <c r="AV24" i="90"/>
  <c r="AX24" i="90"/>
  <c r="AW24" i="90"/>
  <c r="AV20" i="90"/>
  <c r="AX20" i="90"/>
  <c r="AW20" i="90"/>
  <c r="AV16" i="90"/>
  <c r="AX16" i="90"/>
  <c r="AW16" i="90"/>
  <c r="AY16" i="90" s="1"/>
  <c r="AV12" i="90"/>
  <c r="AX12" i="90"/>
  <c r="AW12" i="90"/>
  <c r="AV8" i="90"/>
  <c r="AX8" i="90"/>
  <c r="AW8" i="90"/>
  <c r="AW564" i="90"/>
  <c r="AW560" i="90"/>
  <c r="AY560" i="90" s="1"/>
  <c r="AW556" i="90"/>
  <c r="AW552" i="90"/>
  <c r="AY552" i="90" s="1"/>
  <c r="AW548" i="90"/>
  <c r="AW544" i="90"/>
  <c r="AY544" i="90" s="1"/>
  <c r="AW540" i="90"/>
  <c r="AW536" i="90"/>
  <c r="AY536" i="90" s="1"/>
  <c r="AW532" i="90"/>
  <c r="AW528" i="90"/>
  <c r="AY528" i="90" s="1"/>
  <c r="AW524" i="90"/>
  <c r="AW520" i="90"/>
  <c r="AY520" i="90" s="1"/>
  <c r="AW516" i="90"/>
  <c r="AW512" i="90"/>
  <c r="AY512" i="90" s="1"/>
  <c r="AW508" i="90"/>
  <c r="AW504" i="90"/>
  <c r="AY504" i="90" s="1"/>
  <c r="AW500" i="90"/>
  <c r="AW496" i="90"/>
  <c r="AY496" i="90" s="1"/>
  <c r="AW492" i="90"/>
  <c r="AW488" i="90"/>
  <c r="AY488" i="90" s="1"/>
  <c r="AW484" i="90"/>
  <c r="AW480" i="90"/>
  <c r="AY480" i="90" s="1"/>
  <c r="AW476" i="90"/>
  <c r="AW472" i="90"/>
  <c r="AY472" i="90" s="1"/>
  <c r="AW468" i="90"/>
  <c r="AW464" i="90"/>
  <c r="AY464" i="90" s="1"/>
  <c r="AW460" i="90"/>
  <c r="AW456" i="90"/>
  <c r="AY456" i="90" s="1"/>
  <c r="AW452" i="90"/>
  <c r="AW448" i="90"/>
  <c r="AY448" i="90" s="1"/>
  <c r="AW444" i="90"/>
  <c r="AW440" i="90"/>
  <c r="AY440" i="90" s="1"/>
  <c r="AW436" i="90"/>
  <c r="AW432" i="90"/>
  <c r="AY432" i="90" s="1"/>
  <c r="AW428" i="90"/>
  <c r="AW424" i="90"/>
  <c r="AY424" i="90" s="1"/>
  <c r="AW420" i="90"/>
  <c r="AW416" i="90"/>
  <c r="AY416" i="90" s="1"/>
  <c r="AW412" i="90"/>
  <c r="AW408" i="90"/>
  <c r="AY408" i="90" s="1"/>
  <c r="AW404" i="90"/>
  <c r="AW400" i="90"/>
  <c r="AY400" i="90" s="1"/>
  <c r="AW396" i="90"/>
  <c r="AW392" i="90"/>
  <c r="AY392" i="90" s="1"/>
  <c r="AW388" i="90"/>
  <c r="AW384" i="90"/>
  <c r="AY384" i="90" s="1"/>
  <c r="AW380" i="90"/>
  <c r="AW376" i="90"/>
  <c r="AY376" i="90" s="1"/>
  <c r="AW372" i="90"/>
  <c r="AW368" i="90"/>
  <c r="AY368" i="90" s="1"/>
  <c r="AW364" i="90"/>
  <c r="AW360" i="90"/>
  <c r="AY360" i="90" s="1"/>
  <c r="AW356" i="90"/>
  <c r="AW352" i="90"/>
  <c r="AY352" i="90" s="1"/>
  <c r="AW348" i="90"/>
  <c r="AW344" i="90"/>
  <c r="AY344" i="90" s="1"/>
  <c r="AW340" i="90"/>
  <c r="AW336" i="90"/>
  <c r="AY336" i="90" s="1"/>
  <c r="AW332" i="90"/>
  <c r="AW328" i="90"/>
  <c r="AY328" i="90" s="1"/>
  <c r="AW324" i="90"/>
  <c r="AW320" i="90"/>
  <c r="AY320" i="90" s="1"/>
  <c r="AW316" i="90"/>
  <c r="AW312" i="90"/>
  <c r="AY312" i="90" s="1"/>
  <c r="AW308" i="90"/>
  <c r="AW304" i="90"/>
  <c r="AY304" i="90" s="1"/>
  <c r="AW300" i="90"/>
  <c r="AW296" i="90"/>
  <c r="AY296" i="90" s="1"/>
  <c r="AW292" i="90"/>
  <c r="AW288" i="90"/>
  <c r="AY288" i="90" s="1"/>
  <c r="AW284" i="90"/>
  <c r="AW280" i="90"/>
  <c r="AW275" i="90"/>
  <c r="AW270" i="90"/>
  <c r="AW264" i="90"/>
  <c r="AW259" i="90"/>
  <c r="AW254" i="90"/>
  <c r="AW248" i="90"/>
  <c r="AW243" i="90"/>
  <c r="AW238" i="90"/>
  <c r="AW232" i="90"/>
  <c r="AW227" i="90"/>
  <c r="AW222" i="90"/>
  <c r="AW216" i="90"/>
  <c r="AY216" i="90" s="1"/>
  <c r="AW200" i="90"/>
  <c r="AY200" i="90" s="1"/>
  <c r="AX554" i="90"/>
  <c r="AX538" i="90"/>
  <c r="AX522" i="90"/>
  <c r="AX506" i="90"/>
  <c r="AX490" i="90"/>
  <c r="AX474" i="90"/>
  <c r="AX458" i="90"/>
  <c r="AX442" i="90"/>
  <c r="AX426" i="90"/>
  <c r="AX410" i="90"/>
  <c r="AX394" i="90"/>
  <c r="AX378" i="90"/>
  <c r="AX362" i="90"/>
  <c r="AX346" i="90"/>
  <c r="AX330" i="90"/>
  <c r="AX314" i="90"/>
  <c r="AX298" i="90"/>
  <c r="AX280" i="90"/>
  <c r="AX259" i="90"/>
  <c r="AX238" i="90"/>
  <c r="AF1401" i="90"/>
  <c r="AH1401" i="90" s="1"/>
  <c r="AF1337" i="90"/>
  <c r="AH1337" i="90" s="1"/>
  <c r="AF1273" i="90"/>
  <c r="AH1273" i="90" s="1"/>
  <c r="AF1209" i="90"/>
  <c r="AH1209" i="90" s="1"/>
  <c r="AF1145" i="90"/>
  <c r="AH1145" i="90" s="1"/>
  <c r="AF1081" i="90"/>
  <c r="AH1081" i="90" s="1"/>
  <c r="AF1017" i="90"/>
  <c r="AH1017" i="90" s="1"/>
  <c r="AF953" i="90"/>
  <c r="AH953" i="90" s="1"/>
  <c r="AF889" i="90"/>
  <c r="AH889" i="90" s="1"/>
  <c r="AF825" i="90"/>
  <c r="AH825" i="90" s="1"/>
  <c r="AF761" i="90"/>
  <c r="AH761" i="90" s="1"/>
  <c r="AF697" i="90"/>
  <c r="AH697" i="90" s="1"/>
  <c r="AF633" i="90"/>
  <c r="AH633" i="90" s="1"/>
  <c r="AF569" i="90"/>
  <c r="AH569" i="90" s="1"/>
  <c r="AF505" i="90"/>
  <c r="AH505" i="90" s="1"/>
  <c r="AI1449" i="90"/>
  <c r="AI1385" i="90"/>
  <c r="AI1321" i="90"/>
  <c r="AC1321" i="90" s="1"/>
  <c r="AI1257" i="90"/>
  <c r="AI1193" i="90"/>
  <c r="AI1129" i="90"/>
  <c r="AI1065" i="90"/>
  <c r="AC1065" i="90" s="1"/>
  <c r="AI1001" i="90"/>
  <c r="AI937" i="90"/>
  <c r="AI873" i="90"/>
  <c r="AI809" i="90"/>
  <c r="AC809" i="90" s="1"/>
  <c r="AI745" i="90"/>
  <c r="AI681" i="90"/>
  <c r="AI617" i="90"/>
  <c r="AI553" i="90"/>
  <c r="AC553" i="90" s="1"/>
  <c r="AI489" i="90"/>
  <c r="AV563" i="90"/>
  <c r="AX563" i="90"/>
  <c r="AV559" i="90"/>
  <c r="AX559" i="90"/>
  <c r="AV555" i="90"/>
  <c r="AX555" i="90"/>
  <c r="AV551" i="90"/>
  <c r="AX551" i="90"/>
  <c r="AV547" i="90"/>
  <c r="AX547" i="90"/>
  <c r="AV543" i="90"/>
  <c r="AX543" i="90"/>
  <c r="AV539" i="90"/>
  <c r="AX539" i="90"/>
  <c r="AV535" i="90"/>
  <c r="AX535" i="90"/>
  <c r="AV531" i="90"/>
  <c r="AX531" i="90"/>
  <c r="AV527" i="90"/>
  <c r="AX527" i="90"/>
  <c r="AV523" i="90"/>
  <c r="AX523" i="90"/>
  <c r="AV519" i="90"/>
  <c r="AX519" i="90"/>
  <c r="AV515" i="90"/>
  <c r="AX515" i="90"/>
  <c r="AV511" i="90"/>
  <c r="AX511" i="90"/>
  <c r="AV507" i="90"/>
  <c r="AX507" i="90"/>
  <c r="AV503" i="90"/>
  <c r="AX503" i="90"/>
  <c r="AV499" i="90"/>
  <c r="AX499" i="90"/>
  <c r="AV495" i="90"/>
  <c r="AX495" i="90"/>
  <c r="AV491" i="90"/>
  <c r="AX491" i="90"/>
  <c r="AV487" i="90"/>
  <c r="AX487" i="90"/>
  <c r="AV483" i="90"/>
  <c r="AX483" i="90"/>
  <c r="AV479" i="90"/>
  <c r="AX479" i="90"/>
  <c r="AV475" i="90"/>
  <c r="AX475" i="90"/>
  <c r="AV471" i="90"/>
  <c r="AX471" i="90"/>
  <c r="AV467" i="90"/>
  <c r="AX467" i="90"/>
  <c r="AV463" i="90"/>
  <c r="AX463" i="90"/>
  <c r="AV459" i="90"/>
  <c r="AX459" i="90"/>
  <c r="AV455" i="90"/>
  <c r="AX455" i="90"/>
  <c r="AV451" i="90"/>
  <c r="AX451" i="90"/>
  <c r="AV447" i="90"/>
  <c r="AX447" i="90"/>
  <c r="AV443" i="90"/>
  <c r="AX443" i="90"/>
  <c r="AV439" i="90"/>
  <c r="AX439" i="90"/>
  <c r="AV435" i="90"/>
  <c r="AX435" i="90"/>
  <c r="AV431" i="90"/>
  <c r="AX431" i="90"/>
  <c r="AV427" i="90"/>
  <c r="AX427" i="90"/>
  <c r="AV423" i="90"/>
  <c r="AX423" i="90"/>
  <c r="AV419" i="90"/>
  <c r="AX419" i="90"/>
  <c r="AV415" i="90"/>
  <c r="AX415" i="90"/>
  <c r="AV411" i="90"/>
  <c r="AX411" i="90"/>
  <c r="AV407" i="90"/>
  <c r="AX407" i="90"/>
  <c r="AV403" i="90"/>
  <c r="AX403" i="90"/>
  <c r="AV399" i="90"/>
  <c r="AX399" i="90"/>
  <c r="AV395" i="90"/>
  <c r="AX395" i="90"/>
  <c r="AV391" i="90"/>
  <c r="AX391" i="90"/>
  <c r="AV387" i="90"/>
  <c r="AX387" i="90"/>
  <c r="AV383" i="90"/>
  <c r="AX383" i="90"/>
  <c r="AV379" i="90"/>
  <c r="AX379" i="90"/>
  <c r="AV375" i="90"/>
  <c r="AX375" i="90"/>
  <c r="AV371" i="90"/>
  <c r="AX371" i="90"/>
  <c r="AV367" i="90"/>
  <c r="AX367" i="90"/>
  <c r="AV363" i="90"/>
  <c r="AX363" i="90"/>
  <c r="AV359" i="90"/>
  <c r="AX359" i="90"/>
  <c r="AV355" i="90"/>
  <c r="AX355" i="90"/>
  <c r="AV351" i="90"/>
  <c r="AX351" i="90"/>
  <c r="AV347" i="90"/>
  <c r="AX347" i="90"/>
  <c r="AV343" i="90"/>
  <c r="AX343" i="90"/>
  <c r="AV339" i="90"/>
  <c r="AX339" i="90"/>
  <c r="AV335" i="90"/>
  <c r="AX335" i="90"/>
  <c r="AV331" i="90"/>
  <c r="AX331" i="90"/>
  <c r="AV327" i="90"/>
  <c r="AX327" i="90"/>
  <c r="AV323" i="90"/>
  <c r="AX323" i="90"/>
  <c r="AV319" i="90"/>
  <c r="AX319" i="90"/>
  <c r="AV315" i="90"/>
  <c r="AX315" i="90"/>
  <c r="AV311" i="90"/>
  <c r="AX311" i="90"/>
  <c r="AV307" i="90"/>
  <c r="AX307" i="90"/>
  <c r="AV303" i="90"/>
  <c r="AX303" i="90"/>
  <c r="AV299" i="90"/>
  <c r="AX299" i="90"/>
  <c r="AV295" i="90"/>
  <c r="AX295" i="90"/>
  <c r="AV291" i="90"/>
  <c r="AX291" i="90"/>
  <c r="AV287" i="90"/>
  <c r="AX287" i="90"/>
  <c r="AV283" i="90"/>
  <c r="AX283" i="90"/>
  <c r="AV279" i="90"/>
  <c r="AX279" i="90"/>
  <c r="AV271" i="90"/>
  <c r="AX271" i="90"/>
  <c r="AV267" i="90"/>
  <c r="AX267" i="90"/>
  <c r="AV263" i="90"/>
  <c r="AX263" i="90"/>
  <c r="AV255" i="90"/>
  <c r="AX255" i="90"/>
  <c r="AV251" i="90"/>
  <c r="AX251" i="90"/>
  <c r="AV247" i="90"/>
  <c r="AX247" i="90"/>
  <c r="AV239" i="90"/>
  <c r="AX239" i="90"/>
  <c r="AV235" i="90"/>
  <c r="AX235" i="90"/>
  <c r="AV231" i="90"/>
  <c r="AX231" i="90"/>
  <c r="AV223" i="90"/>
  <c r="AX223" i="90"/>
  <c r="AV219" i="90"/>
  <c r="AX219" i="90"/>
  <c r="AV215" i="90"/>
  <c r="AX215" i="90"/>
  <c r="AV211" i="90"/>
  <c r="AX211" i="90"/>
  <c r="AV207" i="90"/>
  <c r="AX207" i="90"/>
  <c r="AV203" i="90"/>
  <c r="AX203" i="90"/>
  <c r="AV199" i="90"/>
  <c r="AW199" i="90"/>
  <c r="AY199" i="90" s="1"/>
  <c r="AX199" i="90"/>
  <c r="AV195" i="90"/>
  <c r="AX195" i="90"/>
  <c r="AW195" i="90"/>
  <c r="AV191" i="90"/>
  <c r="AX191" i="90"/>
  <c r="AW191" i="90"/>
  <c r="AV187" i="90"/>
  <c r="AX187" i="90"/>
  <c r="AW187" i="90"/>
  <c r="AY187" i="90" s="1"/>
  <c r="AV183" i="90"/>
  <c r="AX183" i="90"/>
  <c r="AW183" i="90"/>
  <c r="AV179" i="90"/>
  <c r="AX179" i="90"/>
  <c r="AW179" i="90"/>
  <c r="AV175" i="90"/>
  <c r="AX175" i="90"/>
  <c r="AW175" i="90"/>
  <c r="AV171" i="90"/>
  <c r="AX171" i="90"/>
  <c r="AW171" i="90"/>
  <c r="AY171" i="90" s="1"/>
  <c r="AV167" i="90"/>
  <c r="AX167" i="90"/>
  <c r="AW167" i="90"/>
  <c r="AV163" i="90"/>
  <c r="AX163" i="90"/>
  <c r="AW163" i="90"/>
  <c r="AV159" i="90"/>
  <c r="AX159" i="90"/>
  <c r="AW159" i="90"/>
  <c r="AV155" i="90"/>
  <c r="AX155" i="90"/>
  <c r="AW155" i="90"/>
  <c r="AY155" i="90" s="1"/>
  <c r="AV151" i="90"/>
  <c r="AX151" i="90"/>
  <c r="AW151" i="90"/>
  <c r="AV147" i="90"/>
  <c r="AX147" i="90"/>
  <c r="AW147" i="90"/>
  <c r="AV143" i="90"/>
  <c r="AX143" i="90"/>
  <c r="AW143" i="90"/>
  <c r="AV139" i="90"/>
  <c r="AX139" i="90"/>
  <c r="AW139" i="90"/>
  <c r="AY139" i="90" s="1"/>
  <c r="AV135" i="90"/>
  <c r="AX135" i="90"/>
  <c r="AW135" i="90"/>
  <c r="AV131" i="90"/>
  <c r="AX131" i="90"/>
  <c r="AW131" i="90"/>
  <c r="AV127" i="90"/>
  <c r="AX127" i="90"/>
  <c r="AW127" i="90"/>
  <c r="AV123" i="90"/>
  <c r="AX123" i="90"/>
  <c r="AW123" i="90"/>
  <c r="AY123" i="90" s="1"/>
  <c r="AV119" i="90"/>
  <c r="AX119" i="90"/>
  <c r="AW119" i="90"/>
  <c r="AV115" i="90"/>
  <c r="AX115" i="90"/>
  <c r="AW115" i="90"/>
  <c r="AV111" i="90"/>
  <c r="AX111" i="90"/>
  <c r="AW111" i="90"/>
  <c r="AV107" i="90"/>
  <c r="AX107" i="90"/>
  <c r="AW107" i="90"/>
  <c r="AY107" i="90" s="1"/>
  <c r="AV103" i="90"/>
  <c r="AX103" i="90"/>
  <c r="AW103" i="90"/>
  <c r="AV99" i="90"/>
  <c r="AX99" i="90"/>
  <c r="AW99" i="90"/>
  <c r="AV95" i="90"/>
  <c r="AX95" i="90"/>
  <c r="AW95" i="90"/>
  <c r="AV91" i="90"/>
  <c r="AX91" i="90"/>
  <c r="AW91" i="90"/>
  <c r="AY91" i="90" s="1"/>
  <c r="AV87" i="90"/>
  <c r="AX87" i="90"/>
  <c r="AW87" i="90"/>
  <c r="AV83" i="90"/>
  <c r="AX83" i="90"/>
  <c r="AW83" i="90"/>
  <c r="AV79" i="90"/>
  <c r="AX79" i="90"/>
  <c r="AW79" i="90"/>
  <c r="AV75" i="90"/>
  <c r="AX75" i="90"/>
  <c r="AW75" i="90"/>
  <c r="AY75" i="90" s="1"/>
  <c r="AV71" i="90"/>
  <c r="AX71" i="90"/>
  <c r="AW71" i="90"/>
  <c r="AV67" i="90"/>
  <c r="AX67" i="90"/>
  <c r="AW67" i="90"/>
  <c r="AV63" i="90"/>
  <c r="AX63" i="90"/>
  <c r="AW63" i="90"/>
  <c r="AV59" i="90"/>
  <c r="AX59" i="90"/>
  <c r="AW59" i="90"/>
  <c r="AY59" i="90" s="1"/>
  <c r="AV55" i="90"/>
  <c r="AX55" i="90"/>
  <c r="AW55" i="90"/>
  <c r="AV51" i="90"/>
  <c r="AX51" i="90"/>
  <c r="AW51" i="90"/>
  <c r="AV47" i="90"/>
  <c r="AX47" i="90"/>
  <c r="AW47" i="90"/>
  <c r="AV43" i="90"/>
  <c r="AX43" i="90"/>
  <c r="AW43" i="90"/>
  <c r="AY43" i="90" s="1"/>
  <c r="AV39" i="90"/>
  <c r="AX39" i="90"/>
  <c r="AW39" i="90"/>
  <c r="AV35" i="90"/>
  <c r="AX35" i="90"/>
  <c r="AW35" i="90"/>
  <c r="AV31" i="90"/>
  <c r="AX31" i="90"/>
  <c r="AW31" i="90"/>
  <c r="AV27" i="90"/>
  <c r="AX27" i="90"/>
  <c r="AW27" i="90"/>
  <c r="AY27" i="90" s="1"/>
  <c r="AV23" i="90"/>
  <c r="AX23" i="90"/>
  <c r="AW23" i="90"/>
  <c r="AV19" i="90"/>
  <c r="AX19" i="90"/>
  <c r="AW19" i="90"/>
  <c r="AV15" i="90"/>
  <c r="AX15" i="90"/>
  <c r="AW15" i="90"/>
  <c r="AV11" i="90"/>
  <c r="AX11" i="90"/>
  <c r="AW11" i="90"/>
  <c r="AY11" i="90" s="1"/>
  <c r="AV7" i="90"/>
  <c r="AX7" i="90"/>
  <c r="AW7" i="90"/>
  <c r="AW563" i="90"/>
  <c r="AY563" i="90" s="1"/>
  <c r="AW559" i="90"/>
  <c r="AY559" i="90" s="1"/>
  <c r="AW555" i="90"/>
  <c r="AW551" i="90"/>
  <c r="AY551" i="90" s="1"/>
  <c r="AW547" i="90"/>
  <c r="AY547" i="90" s="1"/>
  <c r="AW543" i="90"/>
  <c r="AY543" i="90" s="1"/>
  <c r="AW539" i="90"/>
  <c r="AW535" i="90"/>
  <c r="AY535" i="90" s="1"/>
  <c r="AW531" i="90"/>
  <c r="AY531" i="90" s="1"/>
  <c r="AW527" i="90"/>
  <c r="AY527" i="90" s="1"/>
  <c r="AW523" i="90"/>
  <c r="AW519" i="90"/>
  <c r="AY519" i="90" s="1"/>
  <c r="AW515" i="90"/>
  <c r="AY515" i="90" s="1"/>
  <c r="AW511" i="90"/>
  <c r="AY511" i="90" s="1"/>
  <c r="AW507" i="90"/>
  <c r="AW503" i="90"/>
  <c r="AY503" i="90" s="1"/>
  <c r="AW499" i="90"/>
  <c r="AY499" i="90" s="1"/>
  <c r="AW495" i="90"/>
  <c r="AY495" i="90" s="1"/>
  <c r="AW491" i="90"/>
  <c r="AW487" i="90"/>
  <c r="AY487" i="90" s="1"/>
  <c r="AW483" i="90"/>
  <c r="AY483" i="90" s="1"/>
  <c r="AW479" i="90"/>
  <c r="AY479" i="90" s="1"/>
  <c r="AW475" i="90"/>
  <c r="AW471" i="90"/>
  <c r="AY471" i="90" s="1"/>
  <c r="AW467" i="90"/>
  <c r="AY467" i="90" s="1"/>
  <c r="AW463" i="90"/>
  <c r="AY463" i="90" s="1"/>
  <c r="AW459" i="90"/>
  <c r="AW455" i="90"/>
  <c r="AY455" i="90" s="1"/>
  <c r="AW451" i="90"/>
  <c r="AY451" i="90" s="1"/>
  <c r="AW447" i="90"/>
  <c r="AY447" i="90" s="1"/>
  <c r="AW443" i="90"/>
  <c r="AW439" i="90"/>
  <c r="AY439" i="90" s="1"/>
  <c r="AW435" i="90"/>
  <c r="AY435" i="90" s="1"/>
  <c r="AW431" i="90"/>
  <c r="AY431" i="90" s="1"/>
  <c r="AW427" i="90"/>
  <c r="AW423" i="90"/>
  <c r="AY423" i="90" s="1"/>
  <c r="AW419" i="90"/>
  <c r="AY419" i="90" s="1"/>
  <c r="AW415" i="90"/>
  <c r="AY415" i="90" s="1"/>
  <c r="AW411" i="90"/>
  <c r="AW407" i="90"/>
  <c r="AY407" i="90" s="1"/>
  <c r="AW403" i="90"/>
  <c r="AY403" i="90" s="1"/>
  <c r="AW399" i="90"/>
  <c r="AY399" i="90" s="1"/>
  <c r="AW395" i="90"/>
  <c r="AW391" i="90"/>
  <c r="AY391" i="90" s="1"/>
  <c r="AW387" i="90"/>
  <c r="AY387" i="90" s="1"/>
  <c r="AW383" i="90"/>
  <c r="AY383" i="90" s="1"/>
  <c r="AW379" i="90"/>
  <c r="AW375" i="90"/>
  <c r="AY375" i="90" s="1"/>
  <c r="AW371" i="90"/>
  <c r="AY371" i="90" s="1"/>
  <c r="AW367" i="90"/>
  <c r="AY367" i="90" s="1"/>
  <c r="AW363" i="90"/>
  <c r="AW359" i="90"/>
  <c r="AY359" i="90" s="1"/>
  <c r="AW355" i="90"/>
  <c r="AY355" i="90" s="1"/>
  <c r="AW351" i="90"/>
  <c r="AY351" i="90" s="1"/>
  <c r="AW347" i="90"/>
  <c r="AW343" i="90"/>
  <c r="AY343" i="90" s="1"/>
  <c r="AW339" i="90"/>
  <c r="AY339" i="90" s="1"/>
  <c r="AW335" i="90"/>
  <c r="AY335" i="90" s="1"/>
  <c r="AW331" i="90"/>
  <c r="AW327" i="90"/>
  <c r="AY327" i="90" s="1"/>
  <c r="AW323" i="90"/>
  <c r="AY323" i="90" s="1"/>
  <c r="AW319" i="90"/>
  <c r="AY319" i="90" s="1"/>
  <c r="AW315" i="90"/>
  <c r="AW311" i="90"/>
  <c r="AY311" i="90" s="1"/>
  <c r="AW307" i="90"/>
  <c r="AY307" i="90" s="1"/>
  <c r="AW303" i="90"/>
  <c r="AY303" i="90" s="1"/>
  <c r="AW299" i="90"/>
  <c r="AW295" i="90"/>
  <c r="AY295" i="90" s="1"/>
  <c r="AW291" i="90"/>
  <c r="AY291" i="90" s="1"/>
  <c r="AW287" i="90"/>
  <c r="AY287" i="90" s="1"/>
  <c r="AW283" i="90"/>
  <c r="AW279" i="90"/>
  <c r="AY279" i="90" s="1"/>
  <c r="AW268" i="90"/>
  <c r="AY268" i="90" s="1"/>
  <c r="AW263" i="90"/>
  <c r="AW252" i="90"/>
  <c r="AW247" i="90"/>
  <c r="AY247" i="90" s="1"/>
  <c r="AW236" i="90"/>
  <c r="AY236" i="90" s="1"/>
  <c r="AW231" i="90"/>
  <c r="AW220" i="90"/>
  <c r="AW215" i="90"/>
  <c r="AY215" i="90" s="1"/>
  <c r="AW204" i="90"/>
  <c r="AY204" i="90" s="1"/>
  <c r="AX550" i="90"/>
  <c r="AX534" i="90"/>
  <c r="AX518" i="90"/>
  <c r="AX502" i="90"/>
  <c r="AX486" i="90"/>
  <c r="AX470" i="90"/>
  <c r="AX454" i="90"/>
  <c r="AX438" i="90"/>
  <c r="AX422" i="90"/>
  <c r="AX406" i="90"/>
  <c r="AX390" i="90"/>
  <c r="AX374" i="90"/>
  <c r="AX358" i="90"/>
  <c r="AX342" i="90"/>
  <c r="AX326" i="90"/>
  <c r="AX310" i="90"/>
  <c r="AX294" i="90"/>
  <c r="AX275" i="90"/>
  <c r="AX254" i="90"/>
  <c r="AX232" i="90"/>
  <c r="AF1449" i="90"/>
  <c r="AH1449" i="90" s="1"/>
  <c r="AF1385" i="90"/>
  <c r="AF1321" i="90"/>
  <c r="AF1257" i="90"/>
  <c r="AH1257" i="90" s="1"/>
  <c r="AF1193" i="90"/>
  <c r="AH1193" i="90" s="1"/>
  <c r="AF1129" i="90"/>
  <c r="AF1065" i="90"/>
  <c r="AF1001" i="90"/>
  <c r="AH1001" i="90" s="1"/>
  <c r="AF937" i="90"/>
  <c r="AH937" i="90" s="1"/>
  <c r="AF873" i="90"/>
  <c r="AF809" i="90"/>
  <c r="AF745" i="90"/>
  <c r="AH745" i="90" s="1"/>
  <c r="AF681" i="90"/>
  <c r="AH681" i="90" s="1"/>
  <c r="AF617" i="90"/>
  <c r="AF553" i="90"/>
  <c r="AF489" i="90"/>
  <c r="AH489" i="90" s="1"/>
  <c r="AI1433" i="90"/>
  <c r="AE1433" i="90" s="1"/>
  <c r="AI1369" i="90"/>
  <c r="AI1305" i="90"/>
  <c r="AI1241" i="90"/>
  <c r="AI1177" i="90"/>
  <c r="AC1177" i="90" s="1"/>
  <c r="AI1113" i="90"/>
  <c r="AI1049" i="90"/>
  <c r="AI985" i="90"/>
  <c r="AI921" i="90"/>
  <c r="AC921" i="90" s="1"/>
  <c r="AI857" i="90"/>
  <c r="AI793" i="90"/>
  <c r="AI729" i="90"/>
  <c r="AI665" i="90"/>
  <c r="AC665" i="90" s="1"/>
  <c r="AI601" i="90"/>
  <c r="AI537" i="90"/>
  <c r="AI473" i="90"/>
  <c r="AV282" i="90"/>
  <c r="AX282" i="90"/>
  <c r="AV278" i="90"/>
  <c r="AX278" i="90"/>
  <c r="AV274" i="90"/>
  <c r="AX274" i="90"/>
  <c r="AV266" i="90"/>
  <c r="AX266" i="90"/>
  <c r="AV262" i="90"/>
  <c r="AX262" i="90"/>
  <c r="AV258" i="90"/>
  <c r="AX258" i="90"/>
  <c r="AV250" i="90"/>
  <c r="AX250" i="90"/>
  <c r="AV246" i="90"/>
  <c r="AX246" i="90"/>
  <c r="AV242" i="90"/>
  <c r="AX242" i="90"/>
  <c r="AY242" i="90" s="1"/>
  <c r="AV234" i="90"/>
  <c r="AX234" i="90"/>
  <c r="AV230" i="90"/>
  <c r="AX230" i="90"/>
  <c r="AV226" i="90"/>
  <c r="AX226" i="90"/>
  <c r="AV218" i="90"/>
  <c r="AX218" i="90"/>
  <c r="AV214" i="90"/>
  <c r="AX214" i="90"/>
  <c r="AV210" i="90"/>
  <c r="AX210" i="90"/>
  <c r="AV206" i="90"/>
  <c r="AX206" i="90"/>
  <c r="AV202" i="90"/>
  <c r="AX202" i="90"/>
  <c r="AV198" i="90"/>
  <c r="AX198" i="90"/>
  <c r="AV194" i="90"/>
  <c r="AX194" i="90"/>
  <c r="AV190" i="90"/>
  <c r="AX190" i="90"/>
  <c r="AV186" i="90"/>
  <c r="AX186" i="90"/>
  <c r="AV182" i="90"/>
  <c r="AX182" i="90"/>
  <c r="AV178" i="90"/>
  <c r="AX178" i="90"/>
  <c r="AV174" i="90"/>
  <c r="AX174" i="90"/>
  <c r="AV170" i="90"/>
  <c r="AX170" i="90"/>
  <c r="AY170" i="90" s="1"/>
  <c r="AV166" i="90"/>
  <c r="AX166" i="90"/>
  <c r="AV162" i="90"/>
  <c r="AX162" i="90"/>
  <c r="AV158" i="90"/>
  <c r="AX158" i="90"/>
  <c r="AV154" i="90"/>
  <c r="AX154" i="90"/>
  <c r="AV150" i="90"/>
  <c r="AX150" i="90"/>
  <c r="AV146" i="90"/>
  <c r="AX146" i="90"/>
  <c r="AV142" i="90"/>
  <c r="AX142" i="90"/>
  <c r="AV138" i="90"/>
  <c r="AX138" i="90"/>
  <c r="AY138" i="90" s="1"/>
  <c r="AV134" i="90"/>
  <c r="AX134" i="90"/>
  <c r="AV130" i="90"/>
  <c r="AX130" i="90"/>
  <c r="AV126" i="90"/>
  <c r="AX126" i="90"/>
  <c r="AV122" i="90"/>
  <c r="AX122" i="90"/>
  <c r="AV118" i="90"/>
  <c r="AX118" i="90"/>
  <c r="AV114" i="90"/>
  <c r="AX114" i="90"/>
  <c r="AV110" i="90"/>
  <c r="AX110" i="90"/>
  <c r="AV106" i="90"/>
  <c r="AX106" i="90"/>
  <c r="AY106" i="90" s="1"/>
  <c r="AV102" i="90"/>
  <c r="AX102" i="90"/>
  <c r="AV98" i="90"/>
  <c r="AX98" i="90"/>
  <c r="AV94" i="90"/>
  <c r="AX94" i="90"/>
  <c r="AV90" i="90"/>
  <c r="AX90" i="90"/>
  <c r="AV86" i="90"/>
  <c r="AX86" i="90"/>
  <c r="AV82" i="90"/>
  <c r="AX82" i="90"/>
  <c r="AV78" i="90"/>
  <c r="AX78" i="90"/>
  <c r="AV74" i="90"/>
  <c r="AX74" i="90"/>
  <c r="AY74" i="90" s="1"/>
  <c r="AV70" i="90"/>
  <c r="AX70" i="90"/>
  <c r="AV66" i="90"/>
  <c r="AX66" i="90"/>
  <c r="AV62" i="90"/>
  <c r="AX62" i="90"/>
  <c r="AV58" i="90"/>
  <c r="AX58" i="90"/>
  <c r="AV54" i="90"/>
  <c r="AX54" i="90"/>
  <c r="AV50" i="90"/>
  <c r="AX50" i="90"/>
  <c r="AV46" i="90"/>
  <c r="AX46" i="90"/>
  <c r="AV42" i="90"/>
  <c r="AX42" i="90"/>
  <c r="AY42" i="90" s="1"/>
  <c r="AV38" i="90"/>
  <c r="AX38" i="90"/>
  <c r="AV34" i="90"/>
  <c r="AX34" i="90"/>
  <c r="AV30" i="90"/>
  <c r="AX30" i="90"/>
  <c r="AV26" i="90"/>
  <c r="AX26" i="90"/>
  <c r="AV22" i="90"/>
  <c r="AX22" i="90"/>
  <c r="AV18" i="90"/>
  <c r="AX18" i="90"/>
  <c r="AV14" i="90"/>
  <c r="AX14" i="90"/>
  <c r="AV10" i="90"/>
  <c r="AX10" i="90"/>
  <c r="AY10" i="90" s="1"/>
  <c r="AV6" i="90"/>
  <c r="AX6" i="90"/>
  <c r="AW562" i="90"/>
  <c r="AW558" i="90"/>
  <c r="AW554" i="90"/>
  <c r="AW550" i="90"/>
  <c r="AW546" i="90"/>
  <c r="AW542" i="90"/>
  <c r="AW538" i="90"/>
  <c r="AW534" i="90"/>
  <c r="AY534" i="90" s="1"/>
  <c r="AW530" i="90"/>
  <c r="AW526" i="90"/>
  <c r="AW522" i="90"/>
  <c r="AY522" i="90" s="1"/>
  <c r="AW518" i="90"/>
  <c r="AY518" i="90" s="1"/>
  <c r="AW514" i="90"/>
  <c r="AW510" i="90"/>
  <c r="AW506" i="90"/>
  <c r="AY506" i="90" s="1"/>
  <c r="AW502" i="90"/>
  <c r="AY502" i="90" s="1"/>
  <c r="AW498" i="90"/>
  <c r="AW494" i="90"/>
  <c r="AW490" i="90"/>
  <c r="AW486" i="90"/>
  <c r="AW482" i="90"/>
  <c r="AW478" i="90"/>
  <c r="AW474" i="90"/>
  <c r="AW470" i="90"/>
  <c r="AY470" i="90" s="1"/>
  <c r="AW466" i="90"/>
  <c r="AW462" i="90"/>
  <c r="AW458" i="90"/>
  <c r="AY458" i="90" s="1"/>
  <c r="AW454" i="90"/>
  <c r="AY454" i="90" s="1"/>
  <c r="AW450" i="90"/>
  <c r="AW446" i="90"/>
  <c r="AW442" i="90"/>
  <c r="AY442" i="90" s="1"/>
  <c r="AW438" i="90"/>
  <c r="AY438" i="90" s="1"/>
  <c r="AW434" i="90"/>
  <c r="AW430" i="90"/>
  <c r="AW426" i="90"/>
  <c r="AW422" i="90"/>
  <c r="AW418" i="90"/>
  <c r="AW414" i="90"/>
  <c r="AW410" i="90"/>
  <c r="AW406" i="90"/>
  <c r="AY406" i="90" s="1"/>
  <c r="AW402" i="90"/>
  <c r="AW398" i="90"/>
  <c r="AW394" i="90"/>
  <c r="AY394" i="90" s="1"/>
  <c r="AW390" i="90"/>
  <c r="AY390" i="90" s="1"/>
  <c r="AW386" i="90"/>
  <c r="AW382" i="90"/>
  <c r="AW378" i="90"/>
  <c r="AY378" i="90" s="1"/>
  <c r="AW374" i="90"/>
  <c r="AY374" i="90" s="1"/>
  <c r="AW370" i="90"/>
  <c r="AW366" i="90"/>
  <c r="AW362" i="90"/>
  <c r="AW358" i="90"/>
  <c r="AW354" i="90"/>
  <c r="AW350" i="90"/>
  <c r="AW346" i="90"/>
  <c r="AW342" i="90"/>
  <c r="AY342" i="90" s="1"/>
  <c r="AW338" i="90"/>
  <c r="AW334" i="90"/>
  <c r="AW330" i="90"/>
  <c r="AY330" i="90" s="1"/>
  <c r="AW326" i="90"/>
  <c r="AY326" i="90" s="1"/>
  <c r="AW322" i="90"/>
  <c r="AW318" i="90"/>
  <c r="AW314" i="90"/>
  <c r="AY314" i="90" s="1"/>
  <c r="AW310" i="90"/>
  <c r="AY310" i="90" s="1"/>
  <c r="AW306" i="90"/>
  <c r="AW302" i="90"/>
  <c r="AW298" i="90"/>
  <c r="AW294" i="90"/>
  <c r="AW290" i="90"/>
  <c r="AW286" i="90"/>
  <c r="AW282" i="90"/>
  <c r="AW278" i="90"/>
  <c r="AY278" i="90" s="1"/>
  <c r="AW272" i="90"/>
  <c r="AY272" i="90" s="1"/>
  <c r="AW267" i="90"/>
  <c r="AY267" i="90" s="1"/>
  <c r="AW262" i="90"/>
  <c r="AW256" i="90"/>
  <c r="AY256" i="90" s="1"/>
  <c r="AW251" i="90"/>
  <c r="AW246" i="90"/>
  <c r="AW240" i="90"/>
  <c r="AY240" i="90" s="1"/>
  <c r="AW235" i="90"/>
  <c r="AY235" i="90" s="1"/>
  <c r="AW230" i="90"/>
  <c r="AW224" i="90"/>
  <c r="AY224" i="90" s="1"/>
  <c r="AW219" i="90"/>
  <c r="AW214" i="90"/>
  <c r="AY214" i="90" s="1"/>
  <c r="AW208" i="90"/>
  <c r="AY208" i="90" s="1"/>
  <c r="AW203" i="90"/>
  <c r="AW194" i="90"/>
  <c r="AW178" i="90"/>
  <c r="AY178" i="90" s="1"/>
  <c r="AW162" i="90"/>
  <c r="AW146" i="90"/>
  <c r="AY146" i="90" s="1"/>
  <c r="AW130" i="90"/>
  <c r="AW114" i="90"/>
  <c r="AY114" i="90" s="1"/>
  <c r="AW98" i="90"/>
  <c r="AW82" i="90"/>
  <c r="AY82" i="90" s="1"/>
  <c r="AW66" i="90"/>
  <c r="AW50" i="90"/>
  <c r="AY50" i="90" s="1"/>
  <c r="AW34" i="90"/>
  <c r="AW18" i="90"/>
  <c r="AY18" i="90" s="1"/>
  <c r="AX562" i="90"/>
  <c r="AX546" i="90"/>
  <c r="AX530" i="90"/>
  <c r="AX514" i="90"/>
  <c r="AX498" i="90"/>
  <c r="AX482" i="90"/>
  <c r="AX466" i="90"/>
  <c r="AX450" i="90"/>
  <c r="AX434" i="90"/>
  <c r="AX418" i="90"/>
  <c r="AX402" i="90"/>
  <c r="AX386" i="90"/>
  <c r="AX370" i="90"/>
  <c r="AX354" i="90"/>
  <c r="AX338" i="90"/>
  <c r="AX322" i="90"/>
  <c r="AX306" i="90"/>
  <c r="AX290" i="90"/>
  <c r="AX270" i="90"/>
  <c r="AX248" i="90"/>
  <c r="AX227" i="90"/>
  <c r="AF1433" i="90"/>
  <c r="AF1369" i="90"/>
  <c r="AH1369" i="90" s="1"/>
  <c r="AF1305" i="90"/>
  <c r="AH1305" i="90" s="1"/>
  <c r="AF1241" i="90"/>
  <c r="AF1177" i="90"/>
  <c r="AF1113" i="90"/>
  <c r="AH1113" i="90" s="1"/>
  <c r="AF1049" i="90"/>
  <c r="AH1049" i="90" s="1"/>
  <c r="AF985" i="90"/>
  <c r="AF921" i="90"/>
  <c r="AF857" i="90"/>
  <c r="AH857" i="90" s="1"/>
  <c r="AF793" i="90"/>
  <c r="AH793" i="90" s="1"/>
  <c r="AF729" i="90"/>
  <c r="AF665" i="90"/>
  <c r="AF601" i="90"/>
  <c r="AH601" i="90" s="1"/>
  <c r="AF537" i="90"/>
  <c r="AH537" i="90" s="1"/>
  <c r="AF473" i="90"/>
  <c r="AI1417" i="90"/>
  <c r="AI1353" i="90"/>
  <c r="AC1353" i="90" s="1"/>
  <c r="AI1289" i="90"/>
  <c r="AI1225" i="90"/>
  <c r="AI1161" i="90"/>
  <c r="AC1161" i="90" s="1"/>
  <c r="AI1097" i="90"/>
  <c r="AC1097" i="90" s="1"/>
  <c r="AI1033" i="90"/>
  <c r="AI969" i="90"/>
  <c r="AI905" i="90"/>
  <c r="AE905" i="90" s="1"/>
  <c r="AO905" i="90" s="1"/>
  <c r="AI841" i="90"/>
  <c r="AC841" i="90" s="1"/>
  <c r="AI777" i="90"/>
  <c r="AI713" i="90"/>
  <c r="AI649" i="90"/>
  <c r="AE649" i="90" s="1"/>
  <c r="AO649" i="90" s="1"/>
  <c r="AI585" i="90"/>
  <c r="AC585" i="90" s="1"/>
  <c r="AI521" i="90"/>
  <c r="AV5" i="90"/>
  <c r="AX5" i="90"/>
  <c r="AV561" i="90"/>
  <c r="AX561" i="90"/>
  <c r="AV557" i="90"/>
  <c r="AX557" i="90"/>
  <c r="AV553" i="90"/>
  <c r="AX553" i="90"/>
  <c r="AV549" i="90"/>
  <c r="AX549" i="90"/>
  <c r="AV545" i="90"/>
  <c r="AX545" i="90"/>
  <c r="AV541" i="90"/>
  <c r="AX541" i="90"/>
  <c r="AV537" i="90"/>
  <c r="AX537" i="90"/>
  <c r="AV533" i="90"/>
  <c r="AX533" i="90"/>
  <c r="AV529" i="90"/>
  <c r="AX529" i="90"/>
  <c r="AV525" i="90"/>
  <c r="AX525" i="90"/>
  <c r="AV521" i="90"/>
  <c r="AX521" i="90"/>
  <c r="AV517" i="90"/>
  <c r="AX517" i="90"/>
  <c r="AV513" i="90"/>
  <c r="AX513" i="90"/>
  <c r="AV509" i="90"/>
  <c r="AX509" i="90"/>
  <c r="AV505" i="90"/>
  <c r="AX505" i="90"/>
  <c r="AV501" i="90"/>
  <c r="AX501" i="90"/>
  <c r="AV497" i="90"/>
  <c r="AX497" i="90"/>
  <c r="AV493" i="90"/>
  <c r="AX493" i="90"/>
  <c r="AV489" i="90"/>
  <c r="AX489" i="90"/>
  <c r="AV485" i="90"/>
  <c r="AX485" i="90"/>
  <c r="AV481" i="90"/>
  <c r="AX481" i="90"/>
  <c r="AV477" i="90"/>
  <c r="AX477" i="90"/>
  <c r="AV473" i="90"/>
  <c r="AX473" i="90"/>
  <c r="AV469" i="90"/>
  <c r="AX469" i="90"/>
  <c r="AV465" i="90"/>
  <c r="AX465" i="90"/>
  <c r="AV461" i="90"/>
  <c r="AX461" i="90"/>
  <c r="AV457" i="90"/>
  <c r="AX457" i="90"/>
  <c r="AV453" i="90"/>
  <c r="AX453" i="90"/>
  <c r="AV449" i="90"/>
  <c r="AX449" i="90"/>
  <c r="AV445" i="90"/>
  <c r="AX445" i="90"/>
  <c r="AV441" i="90"/>
  <c r="AX441" i="90"/>
  <c r="AV437" i="90"/>
  <c r="AX437" i="90"/>
  <c r="AV433" i="90"/>
  <c r="AX433" i="90"/>
  <c r="AV429" i="90"/>
  <c r="AX429" i="90"/>
  <c r="AV425" i="90"/>
  <c r="AX425" i="90"/>
  <c r="AV421" i="90"/>
  <c r="AX421" i="90"/>
  <c r="AV417" i="90"/>
  <c r="AX417" i="90"/>
  <c r="AV413" i="90"/>
  <c r="AX413" i="90"/>
  <c r="AV409" i="90"/>
  <c r="AX409" i="90"/>
  <c r="AV405" i="90"/>
  <c r="AX405" i="90"/>
  <c r="AV401" i="90"/>
  <c r="AX401" i="90"/>
  <c r="AV397" i="90"/>
  <c r="AX397" i="90"/>
  <c r="AV393" i="90"/>
  <c r="AX393" i="90"/>
  <c r="AV389" i="90"/>
  <c r="AX389" i="90"/>
  <c r="AV385" i="90"/>
  <c r="AX385" i="90"/>
  <c r="AV381" i="90"/>
  <c r="AX381" i="90"/>
  <c r="AV377" i="90"/>
  <c r="AX377" i="90"/>
  <c r="AV373" i="90"/>
  <c r="AX373" i="90"/>
  <c r="AV369" i="90"/>
  <c r="AX369" i="90"/>
  <c r="AV365" i="90"/>
  <c r="AX365" i="90"/>
  <c r="AV361" i="90"/>
  <c r="AX361" i="90"/>
  <c r="AV357" i="90"/>
  <c r="AX357" i="90"/>
  <c r="AV353" i="90"/>
  <c r="AX353" i="90"/>
  <c r="AV349" i="90"/>
  <c r="AX349" i="90"/>
  <c r="AV345" i="90"/>
  <c r="AX345" i="90"/>
  <c r="AV341" i="90"/>
  <c r="AX341" i="90"/>
  <c r="AV337" i="90"/>
  <c r="AX337" i="90"/>
  <c r="AV333" i="90"/>
  <c r="AX333" i="90"/>
  <c r="AV329" i="90"/>
  <c r="AX329" i="90"/>
  <c r="AV325" i="90"/>
  <c r="AX325" i="90"/>
  <c r="AV321" i="90"/>
  <c r="AX321" i="90"/>
  <c r="AV317" i="90"/>
  <c r="AX317" i="90"/>
  <c r="AV313" i="90"/>
  <c r="AX313" i="90"/>
  <c r="AV309" i="90"/>
  <c r="AX309" i="90"/>
  <c r="AV305" i="90"/>
  <c r="AX305" i="90"/>
  <c r="AV301" i="90"/>
  <c r="AX301" i="90"/>
  <c r="AV297" i="90"/>
  <c r="AX297" i="90"/>
  <c r="AV293" i="90"/>
  <c r="AX293" i="90"/>
  <c r="AV289" i="90"/>
  <c r="AX289" i="90"/>
  <c r="AV285" i="90"/>
  <c r="AX285" i="90"/>
  <c r="AV281" i="90"/>
  <c r="AX281" i="90"/>
  <c r="AV277" i="90"/>
  <c r="AX277" i="90"/>
  <c r="AW277" i="90"/>
  <c r="AV273" i="90"/>
  <c r="AX273" i="90"/>
  <c r="AW273" i="90"/>
  <c r="AY273" i="90" s="1"/>
  <c r="AV269" i="90"/>
  <c r="AX269" i="90"/>
  <c r="AW269" i="90"/>
  <c r="AV265" i="90"/>
  <c r="AX265" i="90"/>
  <c r="AW265" i="90"/>
  <c r="AV261" i="90"/>
  <c r="AX261" i="90"/>
  <c r="AW261" i="90"/>
  <c r="AV257" i="90"/>
  <c r="AX257" i="90"/>
  <c r="AW257" i="90"/>
  <c r="AY257" i="90" s="1"/>
  <c r="AV253" i="90"/>
  <c r="AX253" i="90"/>
  <c r="AW253" i="90"/>
  <c r="AV249" i="90"/>
  <c r="AX249" i="90"/>
  <c r="AW249" i="90"/>
  <c r="AV245" i="90"/>
  <c r="AX245" i="90"/>
  <c r="AW245" i="90"/>
  <c r="AV241" i="90"/>
  <c r="AX241" i="90"/>
  <c r="AW241" i="90"/>
  <c r="AY241" i="90" s="1"/>
  <c r="AV237" i="90"/>
  <c r="AX237" i="90"/>
  <c r="AW237" i="90"/>
  <c r="AV233" i="90"/>
  <c r="AX233" i="90"/>
  <c r="AW233" i="90"/>
  <c r="AV229" i="90"/>
  <c r="AX229" i="90"/>
  <c r="AW229" i="90"/>
  <c r="AV225" i="90"/>
  <c r="AX225" i="90"/>
  <c r="AW225" i="90"/>
  <c r="AY225" i="90" s="1"/>
  <c r="AV221" i="90"/>
  <c r="AX221" i="90"/>
  <c r="AW221" i="90"/>
  <c r="AV217" i="90"/>
  <c r="AX217" i="90"/>
  <c r="AW217" i="90"/>
  <c r="AV213" i="90"/>
  <c r="AX213" i="90"/>
  <c r="AW213" i="90"/>
  <c r="AV209" i="90"/>
  <c r="AX209" i="90"/>
  <c r="AW209" i="90"/>
  <c r="AY209" i="90" s="1"/>
  <c r="AV205" i="90"/>
  <c r="AX205" i="90"/>
  <c r="AW205" i="90"/>
  <c r="AV201" i="90"/>
  <c r="AX201" i="90"/>
  <c r="AW201" i="90"/>
  <c r="AV197" i="90"/>
  <c r="AX197" i="90"/>
  <c r="AW197" i="90"/>
  <c r="AV193" i="90"/>
  <c r="AX193" i="90"/>
  <c r="AW193" i="90"/>
  <c r="AY193" i="90" s="1"/>
  <c r="AV189" i="90"/>
  <c r="AX189" i="90"/>
  <c r="AW189" i="90"/>
  <c r="AV185" i="90"/>
  <c r="AX185" i="90"/>
  <c r="AW185" i="90"/>
  <c r="AV181" i="90"/>
  <c r="AX181" i="90"/>
  <c r="AW181" i="90"/>
  <c r="AV177" i="90"/>
  <c r="AX177" i="90"/>
  <c r="AW177" i="90"/>
  <c r="AY177" i="90" s="1"/>
  <c r="AV173" i="90"/>
  <c r="AX173" i="90"/>
  <c r="AW173" i="90"/>
  <c r="AV169" i="90"/>
  <c r="AX169" i="90"/>
  <c r="AW169" i="90"/>
  <c r="AV165" i="90"/>
  <c r="AX165" i="90"/>
  <c r="AW165" i="90"/>
  <c r="AV161" i="90"/>
  <c r="AX161" i="90"/>
  <c r="AW161" i="90"/>
  <c r="AY161" i="90" s="1"/>
  <c r="AV157" i="90"/>
  <c r="AX157" i="90"/>
  <c r="AW157" i="90"/>
  <c r="AV153" i="90"/>
  <c r="AX153" i="90"/>
  <c r="AW153" i="90"/>
  <c r="AV149" i="90"/>
  <c r="AX149" i="90"/>
  <c r="AW149" i="90"/>
  <c r="AV145" i="90"/>
  <c r="AX145" i="90"/>
  <c r="AW145" i="90"/>
  <c r="AY145" i="90" s="1"/>
  <c r="AV141" i="90"/>
  <c r="AX141" i="90"/>
  <c r="AW141" i="90"/>
  <c r="AV137" i="90"/>
  <c r="AX137" i="90"/>
  <c r="AW137" i="90"/>
  <c r="AV133" i="90"/>
  <c r="AX133" i="90"/>
  <c r="AW133" i="90"/>
  <c r="AV129" i="90"/>
  <c r="AX129" i="90"/>
  <c r="AW129" i="90"/>
  <c r="AY129" i="90" s="1"/>
  <c r="AV125" i="90"/>
  <c r="AX125" i="90"/>
  <c r="AW125" i="90"/>
  <c r="AV121" i="90"/>
  <c r="AX121" i="90"/>
  <c r="AW121" i="90"/>
  <c r="AV117" i="90"/>
  <c r="AX117" i="90"/>
  <c r="AW117" i="90"/>
  <c r="AV113" i="90"/>
  <c r="AX113" i="90"/>
  <c r="AW113" i="90"/>
  <c r="AY113" i="90" s="1"/>
  <c r="AV109" i="90"/>
  <c r="AX109" i="90"/>
  <c r="AW109" i="90"/>
  <c r="AV105" i="90"/>
  <c r="AX105" i="90"/>
  <c r="AW105" i="90"/>
  <c r="AV101" i="90"/>
  <c r="AX101" i="90"/>
  <c r="AW101" i="90"/>
  <c r="AV97" i="90"/>
  <c r="AX97" i="90"/>
  <c r="AW97" i="90"/>
  <c r="AY97" i="90" s="1"/>
  <c r="AV93" i="90"/>
  <c r="AX93" i="90"/>
  <c r="AW93" i="90"/>
  <c r="AV89" i="90"/>
  <c r="AX89" i="90"/>
  <c r="AW89" i="90"/>
  <c r="AV85" i="90"/>
  <c r="AX85" i="90"/>
  <c r="AW85" i="90"/>
  <c r="AV81" i="90"/>
  <c r="AX81" i="90"/>
  <c r="AW81" i="90"/>
  <c r="AY81" i="90" s="1"/>
  <c r="AV77" i="90"/>
  <c r="AX77" i="90"/>
  <c r="AW77" i="90"/>
  <c r="AV73" i="90"/>
  <c r="AX73" i="90"/>
  <c r="AW73" i="90"/>
  <c r="AV69" i="90"/>
  <c r="AX69" i="90"/>
  <c r="AW69" i="90"/>
  <c r="AV65" i="90"/>
  <c r="AX65" i="90"/>
  <c r="AW65" i="90"/>
  <c r="AY65" i="90" s="1"/>
  <c r="AV61" i="90"/>
  <c r="AX61" i="90"/>
  <c r="AW61" i="90"/>
  <c r="AV57" i="90"/>
  <c r="AX57" i="90"/>
  <c r="AW57" i="90"/>
  <c r="AV53" i="90"/>
  <c r="AX53" i="90"/>
  <c r="AW53" i="90"/>
  <c r="AV49" i="90"/>
  <c r="AX49" i="90"/>
  <c r="AW49" i="90"/>
  <c r="AY49" i="90" s="1"/>
  <c r="AV45" i="90"/>
  <c r="AX45" i="90"/>
  <c r="AW45" i="90"/>
  <c r="AV41" i="90"/>
  <c r="AX41" i="90"/>
  <c r="AW41" i="90"/>
  <c r="AV37" i="90"/>
  <c r="AX37" i="90"/>
  <c r="AW37" i="90"/>
  <c r="AV33" i="90"/>
  <c r="AX33" i="90"/>
  <c r="AW33" i="90"/>
  <c r="AY33" i="90" s="1"/>
  <c r="AV29" i="90"/>
  <c r="AX29" i="90"/>
  <c r="AW29" i="90"/>
  <c r="AV25" i="90"/>
  <c r="AX25" i="90"/>
  <c r="AW25" i="90"/>
  <c r="AV21" i="90"/>
  <c r="AX21" i="90"/>
  <c r="AW21" i="90"/>
  <c r="AV17" i="90"/>
  <c r="AX17" i="90"/>
  <c r="AW17" i="90"/>
  <c r="AY17" i="90" s="1"/>
  <c r="AV13" i="90"/>
  <c r="AX13" i="90"/>
  <c r="AW13" i="90"/>
  <c r="AV9" i="90"/>
  <c r="AX9" i="90"/>
  <c r="AW9" i="90"/>
  <c r="AW5" i="90"/>
  <c r="AW561" i="90"/>
  <c r="AY561" i="90" s="1"/>
  <c r="AW557" i="90"/>
  <c r="AW553" i="90"/>
  <c r="AY553" i="90" s="1"/>
  <c r="AW549" i="90"/>
  <c r="AW545" i="90"/>
  <c r="AY545" i="90" s="1"/>
  <c r="AW541" i="90"/>
  <c r="AW537" i="90"/>
  <c r="AY537" i="90" s="1"/>
  <c r="AW533" i="90"/>
  <c r="AW529" i="90"/>
  <c r="AY529" i="90" s="1"/>
  <c r="AW525" i="90"/>
  <c r="AW521" i="90"/>
  <c r="AY521" i="90" s="1"/>
  <c r="AW517" i="90"/>
  <c r="AW513" i="90"/>
  <c r="AY513" i="90" s="1"/>
  <c r="AW509" i="90"/>
  <c r="AW505" i="90"/>
  <c r="AY505" i="90" s="1"/>
  <c r="AW501" i="90"/>
  <c r="AW497" i="90"/>
  <c r="AY497" i="90" s="1"/>
  <c r="AW493" i="90"/>
  <c r="AW489" i="90"/>
  <c r="AY489" i="90" s="1"/>
  <c r="AW485" i="90"/>
  <c r="AW481" i="90"/>
  <c r="AY481" i="90" s="1"/>
  <c r="AW477" i="90"/>
  <c r="AW473" i="90"/>
  <c r="AY473" i="90" s="1"/>
  <c r="AW469" i="90"/>
  <c r="AW465" i="90"/>
  <c r="AY465" i="90" s="1"/>
  <c r="AW461" i="90"/>
  <c r="AW457" i="90"/>
  <c r="AY457" i="90" s="1"/>
  <c r="AW453" i="90"/>
  <c r="AW449" i="90"/>
  <c r="AY449" i="90" s="1"/>
  <c r="AW445" i="90"/>
  <c r="AW441" i="90"/>
  <c r="AY441" i="90" s="1"/>
  <c r="AW437" i="90"/>
  <c r="AW433" i="90"/>
  <c r="AY433" i="90" s="1"/>
  <c r="AW429" i="90"/>
  <c r="AW425" i="90"/>
  <c r="AY425" i="90" s="1"/>
  <c r="AW421" i="90"/>
  <c r="AW417" i="90"/>
  <c r="AY417" i="90" s="1"/>
  <c r="AW413" i="90"/>
  <c r="AW409" i="90"/>
  <c r="AY409" i="90" s="1"/>
  <c r="AW405" i="90"/>
  <c r="AW401" i="90"/>
  <c r="AY401" i="90" s="1"/>
  <c r="AW397" i="90"/>
  <c r="AW393" i="90"/>
  <c r="AY393" i="90" s="1"/>
  <c r="AW389" i="90"/>
  <c r="AW385" i="90"/>
  <c r="AY385" i="90" s="1"/>
  <c r="AW381" i="90"/>
  <c r="AW377" i="90"/>
  <c r="AY377" i="90" s="1"/>
  <c r="AW373" i="90"/>
  <c r="AW369" i="90"/>
  <c r="AY369" i="90" s="1"/>
  <c r="AW365" i="90"/>
  <c r="AW361" i="90"/>
  <c r="AY361" i="90" s="1"/>
  <c r="AW357" i="90"/>
  <c r="AW353" i="90"/>
  <c r="AY353" i="90" s="1"/>
  <c r="AW349" i="90"/>
  <c r="AW345" i="90"/>
  <c r="AY345" i="90" s="1"/>
  <c r="AW341" i="90"/>
  <c r="AW337" i="90"/>
  <c r="AY337" i="90" s="1"/>
  <c r="AW333" i="90"/>
  <c r="AW329" i="90"/>
  <c r="AY329" i="90" s="1"/>
  <c r="AW325" i="90"/>
  <c r="AW321" i="90"/>
  <c r="AY321" i="90" s="1"/>
  <c r="AW317" i="90"/>
  <c r="AW313" i="90"/>
  <c r="AY313" i="90" s="1"/>
  <c r="AW309" i="90"/>
  <c r="AW305" i="90"/>
  <c r="AY305" i="90" s="1"/>
  <c r="AW301" i="90"/>
  <c r="AW297" i="90"/>
  <c r="AY297" i="90" s="1"/>
  <c r="AW293" i="90"/>
  <c r="AW289" i="90"/>
  <c r="AY289" i="90" s="1"/>
  <c r="AW285" i="90"/>
  <c r="AW281" i="90"/>
  <c r="AY281" i="90" s="1"/>
  <c r="AW276" i="90"/>
  <c r="AY276" i="90" s="1"/>
  <c r="AW271" i="90"/>
  <c r="AY271" i="90" s="1"/>
  <c r="AW266" i="90"/>
  <c r="AW260" i="90"/>
  <c r="AY260" i="90" s="1"/>
  <c r="AW255" i="90"/>
  <c r="AY255" i="90" s="1"/>
  <c r="AW250" i="90"/>
  <c r="AY250" i="90" s="1"/>
  <c r="AW244" i="90"/>
  <c r="AY244" i="90" s="1"/>
  <c r="AW239" i="90"/>
  <c r="AY239" i="90" s="1"/>
  <c r="AW234" i="90"/>
  <c r="AW228" i="90"/>
  <c r="AY228" i="90" s="1"/>
  <c r="AW223" i="90"/>
  <c r="AY223" i="90" s="1"/>
  <c r="AW218" i="90"/>
  <c r="AY218" i="90" s="1"/>
  <c r="AW212" i="90"/>
  <c r="AY212" i="90" s="1"/>
  <c r="AW207" i="90"/>
  <c r="AY207" i="90" s="1"/>
  <c r="AW202" i="90"/>
  <c r="AY202" i="90" s="1"/>
  <c r="AW190" i="90"/>
  <c r="AW174" i="90"/>
  <c r="AW158" i="90"/>
  <c r="AY158" i="90" s="1"/>
  <c r="AW142" i="90"/>
  <c r="AW126" i="90"/>
  <c r="AW110" i="90"/>
  <c r="AW94" i="90"/>
  <c r="AY94" i="90" s="1"/>
  <c r="AW78" i="90"/>
  <c r="AW62" i="90"/>
  <c r="AW46" i="90"/>
  <c r="AW30" i="90"/>
  <c r="AY30" i="90" s="1"/>
  <c r="AW14" i="90"/>
  <c r="AX558" i="90"/>
  <c r="AX542" i="90"/>
  <c r="AX526" i="90"/>
  <c r="AX510" i="90"/>
  <c r="AX494" i="90"/>
  <c r="AX478" i="90"/>
  <c r="AX462" i="90"/>
  <c r="AX446" i="90"/>
  <c r="AX430" i="90"/>
  <c r="AX414" i="90"/>
  <c r="AX398" i="90"/>
  <c r="AX382" i="90"/>
  <c r="AX366" i="90"/>
  <c r="AX350" i="90"/>
  <c r="AX334" i="90"/>
  <c r="AX318" i="90"/>
  <c r="AX302" i="90"/>
  <c r="AX286" i="90"/>
  <c r="AX264" i="90"/>
  <c r="AX243" i="90"/>
  <c r="AX222" i="90"/>
  <c r="AD1401" i="90"/>
  <c r="AC1401" i="90"/>
  <c r="AE1401" i="90"/>
  <c r="AJ1401" i="90"/>
  <c r="AE1353" i="90"/>
  <c r="AD1305" i="90"/>
  <c r="AC1305" i="90"/>
  <c r="AE1305" i="90"/>
  <c r="AJ1305" i="90"/>
  <c r="AD1257" i="90"/>
  <c r="AE1257" i="90"/>
  <c r="AO1257" i="90" s="1"/>
  <c r="AC1257" i="90"/>
  <c r="AJ1257" i="90"/>
  <c r="AE1209" i="90"/>
  <c r="AO1209" i="90" s="1"/>
  <c r="AD1209" i="90"/>
  <c r="AC1209" i="90"/>
  <c r="AJ1209" i="90"/>
  <c r="AE1145" i="90"/>
  <c r="AD1145" i="90"/>
  <c r="AC1145" i="90"/>
  <c r="AJ1145" i="90"/>
  <c r="AE1113" i="90"/>
  <c r="AO1113" i="90" s="1"/>
  <c r="AD1113" i="90"/>
  <c r="AC1113" i="90"/>
  <c r="AJ1113" i="90"/>
  <c r="AE1049" i="90"/>
  <c r="AO1049" i="90" s="1"/>
  <c r="AD1049" i="90"/>
  <c r="AC1049" i="90"/>
  <c r="AJ1049" i="90"/>
  <c r="AE1001" i="90"/>
  <c r="AO1001" i="90" s="1"/>
  <c r="AD1001" i="90"/>
  <c r="AC1001" i="90"/>
  <c r="AJ1001" i="90"/>
  <c r="AE969" i="90"/>
  <c r="AO969" i="90" s="1"/>
  <c r="AD969" i="90"/>
  <c r="AC969" i="90"/>
  <c r="AJ969" i="90"/>
  <c r="AD921" i="90"/>
  <c r="AD873" i="90"/>
  <c r="AE873" i="90"/>
  <c r="AO873" i="90" s="1"/>
  <c r="AC873" i="90"/>
  <c r="AJ873" i="90"/>
  <c r="AE825" i="90"/>
  <c r="AD825" i="90"/>
  <c r="AC825" i="90"/>
  <c r="AJ825" i="90"/>
  <c r="AE777" i="90"/>
  <c r="AD777" i="90"/>
  <c r="AC777" i="90"/>
  <c r="AJ777" i="90"/>
  <c r="AE745" i="90"/>
  <c r="AD745" i="90"/>
  <c r="AC745" i="90"/>
  <c r="AJ745" i="90"/>
  <c r="AE697" i="90"/>
  <c r="AO697" i="90" s="1"/>
  <c r="AD697" i="90"/>
  <c r="AC697" i="90"/>
  <c r="AJ697" i="90"/>
  <c r="AJ649" i="90"/>
  <c r="AE617" i="90"/>
  <c r="AD617" i="90"/>
  <c r="AC617" i="90"/>
  <c r="AJ617" i="90"/>
  <c r="AD569" i="90"/>
  <c r="AE569" i="90"/>
  <c r="AC569" i="90"/>
  <c r="AJ569" i="90"/>
  <c r="AE553" i="90"/>
  <c r="AO553" i="90" s="1"/>
  <c r="AD521" i="90"/>
  <c r="AE521" i="90"/>
  <c r="AC521" i="90"/>
  <c r="AJ521" i="90"/>
  <c r="AD489" i="90"/>
  <c r="AE489" i="90"/>
  <c r="AO489" i="90" s="1"/>
  <c r="AC489" i="90"/>
  <c r="AJ489" i="90"/>
  <c r="AG457" i="90"/>
  <c r="AI457" i="90"/>
  <c r="AH457" i="90" s="1"/>
  <c r="AG453" i="90"/>
  <c r="AI453" i="90"/>
  <c r="AG449" i="90"/>
  <c r="AI449" i="90"/>
  <c r="AG445" i="90"/>
  <c r="AI445" i="90"/>
  <c r="AG441" i="90"/>
  <c r="AI441" i="90"/>
  <c r="AH441" i="90" s="1"/>
  <c r="AG437" i="90"/>
  <c r="AI437" i="90"/>
  <c r="AG433" i="90"/>
  <c r="AI433" i="90"/>
  <c r="AG429" i="90"/>
  <c r="AI429" i="90"/>
  <c r="AI425" i="90"/>
  <c r="AG425" i="90"/>
  <c r="AG421" i="90"/>
  <c r="AI421" i="90"/>
  <c r="AG417" i="90"/>
  <c r="AI417" i="90"/>
  <c r="AG413" i="90"/>
  <c r="AI413" i="90"/>
  <c r="AI409" i="90"/>
  <c r="AH409" i="90" s="1"/>
  <c r="AG409" i="90"/>
  <c r="AG405" i="90"/>
  <c r="AI405" i="90"/>
  <c r="AG401" i="90"/>
  <c r="AI401" i="90"/>
  <c r="AG397" i="90"/>
  <c r="AI397" i="90"/>
  <c r="AG389" i="90"/>
  <c r="AI389" i="90"/>
  <c r="AG385" i="90"/>
  <c r="AI385" i="90"/>
  <c r="AG381" i="90"/>
  <c r="AI381" i="90"/>
  <c r="AG377" i="90"/>
  <c r="AI377" i="90"/>
  <c r="AG369" i="90"/>
  <c r="AI369" i="90"/>
  <c r="AG365" i="90"/>
  <c r="AI365" i="90"/>
  <c r="AI361" i="90"/>
  <c r="AH361" i="90" s="1"/>
  <c r="AG361" i="90"/>
  <c r="AG357" i="90"/>
  <c r="AI357" i="90"/>
  <c r="AG353" i="90"/>
  <c r="AI353" i="90"/>
  <c r="AG349" i="90"/>
  <c r="AI349" i="90"/>
  <c r="AI345" i="90"/>
  <c r="AH345" i="90" s="1"/>
  <c r="AG345" i="90"/>
  <c r="AG341" i="90"/>
  <c r="AI341" i="90"/>
  <c r="AG337" i="90"/>
  <c r="AI337" i="90"/>
  <c r="AG333" i="90"/>
  <c r="AI333" i="90"/>
  <c r="AG329" i="90"/>
  <c r="AI329" i="90"/>
  <c r="AG325" i="90"/>
  <c r="AI325" i="90"/>
  <c r="AG321" i="90"/>
  <c r="AI321" i="90"/>
  <c r="AG317" i="90"/>
  <c r="AI317" i="90"/>
  <c r="AG313" i="90"/>
  <c r="AI313" i="90"/>
  <c r="AG309" i="90"/>
  <c r="AI309" i="90"/>
  <c r="AG305" i="90"/>
  <c r="AI305" i="90"/>
  <c r="AG301" i="90"/>
  <c r="AI301" i="90"/>
  <c r="AG297" i="90"/>
  <c r="AI297" i="90"/>
  <c r="AG293" i="90"/>
  <c r="AI293" i="90"/>
  <c r="AG289" i="90"/>
  <c r="AI289" i="90"/>
  <c r="AG285" i="90"/>
  <c r="AI285" i="90"/>
  <c r="AI281" i="90"/>
  <c r="AH281" i="90" s="1"/>
  <c r="AG281" i="90"/>
  <c r="AG277" i="90"/>
  <c r="AI277" i="90"/>
  <c r="AG273" i="90"/>
  <c r="AI273" i="90"/>
  <c r="AG269" i="90"/>
  <c r="AI269" i="90"/>
  <c r="AG265" i="90"/>
  <c r="AI265" i="90"/>
  <c r="AH265" i="90" s="1"/>
  <c r="AG261" i="90"/>
  <c r="AI261" i="90"/>
  <c r="AG257" i="90"/>
  <c r="AI257" i="90"/>
  <c r="AG253" i="90"/>
  <c r="AI253" i="90"/>
  <c r="AG249" i="90"/>
  <c r="AI249" i="90"/>
  <c r="AH249" i="90" s="1"/>
  <c r="AG245" i="90"/>
  <c r="AI245" i="90"/>
  <c r="AG241" i="90"/>
  <c r="AI241" i="90"/>
  <c r="AG237" i="90"/>
  <c r="AI237" i="90"/>
  <c r="AG233" i="90"/>
  <c r="AI233" i="90"/>
  <c r="AH233" i="90" s="1"/>
  <c r="AG229" i="90"/>
  <c r="AI229" i="90"/>
  <c r="AG225" i="90"/>
  <c r="AI225" i="90"/>
  <c r="AG221" i="90"/>
  <c r="AI221" i="90"/>
  <c r="AG217" i="90"/>
  <c r="AI217" i="90"/>
  <c r="AH217" i="90" s="1"/>
  <c r="AG213" i="90"/>
  <c r="AI213" i="90"/>
  <c r="AG209" i="90"/>
  <c r="AI209" i="90"/>
  <c r="AG205" i="90"/>
  <c r="AI205" i="90"/>
  <c r="AG201" i="90"/>
  <c r="AI201" i="90"/>
  <c r="AG197" i="90"/>
  <c r="AI197" i="90"/>
  <c r="AG193" i="90"/>
  <c r="AI193" i="90"/>
  <c r="AG189" i="90"/>
  <c r="AI189" i="90"/>
  <c r="AG185" i="90"/>
  <c r="AI185" i="90"/>
  <c r="AH185" i="90" s="1"/>
  <c r="AG181" i="90"/>
  <c r="AI181" i="90"/>
  <c r="AG177" i="90"/>
  <c r="AI177" i="90"/>
  <c r="AG173" i="90"/>
  <c r="AI173" i="90"/>
  <c r="AG169" i="90"/>
  <c r="AI169" i="90"/>
  <c r="AH169" i="90" s="1"/>
  <c r="AG165" i="90"/>
  <c r="AI165" i="90"/>
  <c r="AG161" i="90"/>
  <c r="AI161" i="90"/>
  <c r="AG157" i="90"/>
  <c r="AI157" i="90"/>
  <c r="AG153" i="90"/>
  <c r="AI153" i="90"/>
  <c r="AH153" i="90" s="1"/>
  <c r="AG149" i="90"/>
  <c r="AI149" i="90"/>
  <c r="AG145" i="90"/>
  <c r="AI145" i="90"/>
  <c r="AG141" i="90"/>
  <c r="AI141" i="90"/>
  <c r="AG137" i="90"/>
  <c r="AI137" i="90"/>
  <c r="AH137" i="90" s="1"/>
  <c r="AG133" i="90"/>
  <c r="AI133" i="90"/>
  <c r="AG129" i="90"/>
  <c r="AI129" i="90"/>
  <c r="AG125" i="90"/>
  <c r="AI125" i="90"/>
  <c r="AG121" i="90"/>
  <c r="AI121" i="90"/>
  <c r="AG117" i="90"/>
  <c r="AI117" i="90"/>
  <c r="AG113" i="90"/>
  <c r="AI113" i="90"/>
  <c r="AG109" i="90"/>
  <c r="AI109" i="90"/>
  <c r="AI105" i="90"/>
  <c r="AG105" i="90"/>
  <c r="AG101" i="90"/>
  <c r="AI101" i="90"/>
  <c r="AG97" i="90"/>
  <c r="AI97" i="90"/>
  <c r="AG93" i="90"/>
  <c r="AI93" i="90"/>
  <c r="AI89" i="90"/>
  <c r="AG89" i="90"/>
  <c r="AG85" i="90"/>
  <c r="AI85" i="90"/>
  <c r="AG81" i="90"/>
  <c r="AI81" i="90"/>
  <c r="AG77" i="90"/>
  <c r="AI77" i="90"/>
  <c r="AG73" i="90"/>
  <c r="AI73" i="90"/>
  <c r="AH73" i="90" s="1"/>
  <c r="AG69" i="90"/>
  <c r="AI69" i="90"/>
  <c r="AG65" i="90"/>
  <c r="AI65" i="90"/>
  <c r="AG61" i="90"/>
  <c r="AI61" i="90"/>
  <c r="AG57" i="90"/>
  <c r="AI57" i="90"/>
  <c r="AG53" i="90"/>
  <c r="AI53" i="90"/>
  <c r="AG49" i="90"/>
  <c r="AI49" i="90"/>
  <c r="AG45" i="90"/>
  <c r="AI45" i="90"/>
  <c r="AI41" i="90"/>
  <c r="AG41" i="90"/>
  <c r="AG37" i="90"/>
  <c r="AI37" i="90"/>
  <c r="AG33" i="90"/>
  <c r="AI33" i="90"/>
  <c r="AG29" i="90"/>
  <c r="AI29" i="90"/>
  <c r="AI25" i="90"/>
  <c r="AH25" i="90" s="1"/>
  <c r="AG25" i="90"/>
  <c r="AG21" i="90"/>
  <c r="AI21" i="90"/>
  <c r="AG17" i="90"/>
  <c r="AI17" i="90"/>
  <c r="AG13" i="90"/>
  <c r="AI13" i="90"/>
  <c r="AG9" i="90"/>
  <c r="AI9" i="90"/>
  <c r="AF5" i="90"/>
  <c r="AF1445" i="90"/>
  <c r="AF1429" i="90"/>
  <c r="AF1413" i="90"/>
  <c r="AF1397" i="90"/>
  <c r="AF1381" i="90"/>
  <c r="AF1365" i="90"/>
  <c r="AF1349" i="90"/>
  <c r="AF1333" i="90"/>
  <c r="AF1317" i="90"/>
  <c r="AF1301" i="90"/>
  <c r="AF1285" i="90"/>
  <c r="AF1269" i="90"/>
  <c r="AF1253" i="90"/>
  <c r="AF1237" i="90"/>
  <c r="AF1221" i="90"/>
  <c r="AF1205" i="90"/>
  <c r="AF1189" i="90"/>
  <c r="AF1173" i="90"/>
  <c r="AF1157" i="90"/>
  <c r="AF1141" i="90"/>
  <c r="AF1125" i="90"/>
  <c r="AF1109" i="90"/>
  <c r="AF1093" i="90"/>
  <c r="AF1077" i="90"/>
  <c r="AF1061" i="90"/>
  <c r="AF1045" i="90"/>
  <c r="AF1029" i="90"/>
  <c r="AF1013" i="90"/>
  <c r="AF997" i="90"/>
  <c r="AF981" i="90"/>
  <c r="AF965" i="90"/>
  <c r="AF949" i="90"/>
  <c r="AF933" i="90"/>
  <c r="AF917" i="90"/>
  <c r="AF901" i="90"/>
  <c r="AF885" i="90"/>
  <c r="AF869" i="90"/>
  <c r="AF853" i="90"/>
  <c r="AF837" i="90"/>
  <c r="AF821" i="90"/>
  <c r="AF805" i="90"/>
  <c r="AF789" i="90"/>
  <c r="AF773" i="90"/>
  <c r="AF757" i="90"/>
  <c r="AF741" i="90"/>
  <c r="AF725" i="90"/>
  <c r="AF709" i="90"/>
  <c r="AF693" i="90"/>
  <c r="AF677" i="90"/>
  <c r="AF661" i="90"/>
  <c r="AF645" i="90"/>
  <c r="AF629" i="90"/>
  <c r="AF613" i="90"/>
  <c r="AF597" i="90"/>
  <c r="AF581" i="90"/>
  <c r="AF565" i="90"/>
  <c r="AF549" i="90"/>
  <c r="AF533" i="90"/>
  <c r="AF517" i="90"/>
  <c r="AF501" i="90"/>
  <c r="AF485" i="90"/>
  <c r="AF469" i="90"/>
  <c r="AF453" i="90"/>
  <c r="AF437" i="90"/>
  <c r="AF421" i="90"/>
  <c r="AH421" i="90" s="1"/>
  <c r="AF405" i="90"/>
  <c r="AF389" i="90"/>
  <c r="AH389" i="90" s="1"/>
  <c r="AF357" i="90"/>
  <c r="AF341" i="90"/>
  <c r="AH341" i="90" s="1"/>
  <c r="AF325" i="90"/>
  <c r="AF309" i="90"/>
  <c r="AF293" i="90"/>
  <c r="AF277" i="90"/>
  <c r="AH277" i="90" s="1"/>
  <c r="AF261" i="90"/>
  <c r="AF245" i="90"/>
  <c r="AF229" i="90"/>
  <c r="AF213" i="90"/>
  <c r="AH213" i="90" s="1"/>
  <c r="AF197" i="90"/>
  <c r="AF181" i="90"/>
  <c r="AF165" i="90"/>
  <c r="AF149" i="90"/>
  <c r="AH149" i="90" s="1"/>
  <c r="AF133" i="90"/>
  <c r="AF117" i="90"/>
  <c r="AF101" i="90"/>
  <c r="AF85" i="90"/>
  <c r="AH85" i="90" s="1"/>
  <c r="AF69" i="90"/>
  <c r="AF53" i="90"/>
  <c r="AF37" i="90"/>
  <c r="AF21" i="90"/>
  <c r="AH21" i="90" s="1"/>
  <c r="AI5" i="90"/>
  <c r="AI1445" i="90"/>
  <c r="AI1429" i="90"/>
  <c r="AI1413" i="90"/>
  <c r="AI1397" i="90"/>
  <c r="AI1381" i="90"/>
  <c r="AI1365" i="90"/>
  <c r="AI1349" i="90"/>
  <c r="AI1333" i="90"/>
  <c r="AI1317" i="90"/>
  <c r="AI1301" i="90"/>
  <c r="AI1285" i="90"/>
  <c r="AI1269" i="90"/>
  <c r="AI1253" i="90"/>
  <c r="AI1237" i="90"/>
  <c r="AI1221" i="90"/>
  <c r="AI1205" i="90"/>
  <c r="AI1189" i="90"/>
  <c r="AI1173" i="90"/>
  <c r="AI1157" i="90"/>
  <c r="AI1141" i="90"/>
  <c r="AI1125" i="90"/>
  <c r="AI1109" i="90"/>
  <c r="AI1093" i="90"/>
  <c r="AI1077" i="90"/>
  <c r="AI1061" i="90"/>
  <c r="AI1045" i="90"/>
  <c r="AI1029" i="90"/>
  <c r="AI1013" i="90"/>
  <c r="AI997" i="90"/>
  <c r="AI981" i="90"/>
  <c r="AI965" i="90"/>
  <c r="AI949" i="90"/>
  <c r="AI933" i="90"/>
  <c r="AI917" i="90"/>
  <c r="AI901" i="90"/>
  <c r="AI885" i="90"/>
  <c r="AI869" i="90"/>
  <c r="AI853" i="90"/>
  <c r="AI837" i="90"/>
  <c r="AI821" i="90"/>
  <c r="AI805" i="90"/>
  <c r="AI789" i="90"/>
  <c r="AI773" i="90"/>
  <c r="AI757" i="90"/>
  <c r="AI741" i="90"/>
  <c r="AI725" i="90"/>
  <c r="AI709" i="90"/>
  <c r="AI693" i="90"/>
  <c r="AI677" i="90"/>
  <c r="AI661" i="90"/>
  <c r="AI645" i="90"/>
  <c r="AI629" i="90"/>
  <c r="AI613" i="90"/>
  <c r="AI597" i="90"/>
  <c r="AI581" i="90"/>
  <c r="AI565" i="90"/>
  <c r="AI549" i="90"/>
  <c r="AI533" i="90"/>
  <c r="AI517" i="90"/>
  <c r="AI501" i="90"/>
  <c r="AI485" i="90"/>
  <c r="AI469" i="90"/>
  <c r="AH425" i="90"/>
  <c r="AH377" i="90"/>
  <c r="AH329" i="90"/>
  <c r="AH89" i="90"/>
  <c r="AC1433" i="90"/>
  <c r="AD1385" i="90"/>
  <c r="AE1385" i="90"/>
  <c r="AO1385" i="90" s="1"/>
  <c r="AC1385" i="90"/>
  <c r="AJ1385" i="90"/>
  <c r="AD1337" i="90"/>
  <c r="AC1337" i="90"/>
  <c r="AE1337" i="90"/>
  <c r="AO1337" i="90" s="1"/>
  <c r="AJ1337" i="90"/>
  <c r="AD1289" i="90"/>
  <c r="AE1289" i="90"/>
  <c r="AO1289" i="90" s="1"/>
  <c r="AC1289" i="90"/>
  <c r="AJ1289" i="90"/>
  <c r="AD1241" i="90"/>
  <c r="AE1241" i="90"/>
  <c r="AC1241" i="90"/>
  <c r="AJ1241" i="90"/>
  <c r="AE1193" i="90"/>
  <c r="AC1193" i="90"/>
  <c r="AD1193" i="90"/>
  <c r="AJ1193" i="90"/>
  <c r="AD1161" i="90"/>
  <c r="AD1097" i="90"/>
  <c r="AE1033" i="90"/>
  <c r="AD1033" i="90"/>
  <c r="AC1033" i="90"/>
  <c r="AJ1033" i="90"/>
  <c r="AE985" i="90"/>
  <c r="AD985" i="90"/>
  <c r="AC985" i="90"/>
  <c r="AJ985" i="90"/>
  <c r="AE937" i="90"/>
  <c r="AD937" i="90"/>
  <c r="AC937" i="90"/>
  <c r="AJ937" i="90"/>
  <c r="AD905" i="90"/>
  <c r="AD857" i="90"/>
  <c r="AE857" i="90"/>
  <c r="AO857" i="90" s="1"/>
  <c r="AC857" i="90"/>
  <c r="AJ857" i="90"/>
  <c r="AE793" i="90"/>
  <c r="AO793" i="90" s="1"/>
  <c r="AD793" i="90"/>
  <c r="AC793" i="90"/>
  <c r="AJ793" i="90"/>
  <c r="AE729" i="90"/>
  <c r="AD729" i="90"/>
  <c r="AC729" i="90"/>
  <c r="AJ729" i="90"/>
  <c r="AD665" i="90"/>
  <c r="AE585" i="90"/>
  <c r="AO585" i="90" s="1"/>
  <c r="AG373" i="90"/>
  <c r="AI373" i="90"/>
  <c r="AF1457" i="90"/>
  <c r="AF1441" i="90"/>
  <c r="AF1425" i="90"/>
  <c r="AF1409" i="90"/>
  <c r="AF1393" i="90"/>
  <c r="AF1377" i="90"/>
  <c r="AF1361" i="90"/>
  <c r="AF1345" i="90"/>
  <c r="AF1329" i="90"/>
  <c r="AF1313" i="90"/>
  <c r="AF1297" i="90"/>
  <c r="AF1265" i="90"/>
  <c r="AF1249" i="90"/>
  <c r="AF1233" i="90"/>
  <c r="AF1217" i="90"/>
  <c r="AF1201" i="90"/>
  <c r="AF1185" i="90"/>
  <c r="AF1169" i="90"/>
  <c r="AF1153" i="90"/>
  <c r="AF1137" i="90"/>
  <c r="AF1121" i="90"/>
  <c r="AF1105" i="90"/>
  <c r="AF1089" i="90"/>
  <c r="AF1073" i="90"/>
  <c r="AF1057" i="90"/>
  <c r="AF1041" i="90"/>
  <c r="AF1025" i="90"/>
  <c r="AF1009" i="90"/>
  <c r="AF993" i="90"/>
  <c r="AF977" i="90"/>
  <c r="AF961" i="90"/>
  <c r="AF945" i="90"/>
  <c r="AF929" i="90"/>
  <c r="AF913" i="90"/>
  <c r="AF897" i="90"/>
  <c r="AF881" i="90"/>
  <c r="AF865" i="90"/>
  <c r="AF849" i="90"/>
  <c r="AF833" i="90"/>
  <c r="AF817" i="90"/>
  <c r="AF801" i="90"/>
  <c r="AF785" i="90"/>
  <c r="AF769" i="90"/>
  <c r="AF753" i="90"/>
  <c r="AF737" i="90"/>
  <c r="AF721" i="90"/>
  <c r="AF705" i="90"/>
  <c r="AF689" i="90"/>
  <c r="AF673" i="90"/>
  <c r="AF657" i="90"/>
  <c r="AF641" i="90"/>
  <c r="AF625" i="90"/>
  <c r="AF609" i="90"/>
  <c r="AF593" i="90"/>
  <c r="AF577" i="90"/>
  <c r="AF561" i="90"/>
  <c r="AF545" i="90"/>
  <c r="AF529" i="90"/>
  <c r="AF513" i="90"/>
  <c r="AF497" i="90"/>
  <c r="AF481" i="90"/>
  <c r="AF465" i="90"/>
  <c r="AF449" i="90"/>
  <c r="AF433" i="90"/>
  <c r="AH433" i="90" s="1"/>
  <c r="AF417" i="90"/>
  <c r="AF401" i="90"/>
  <c r="AF385" i="90"/>
  <c r="AH385" i="90" s="1"/>
  <c r="AF369" i="90"/>
  <c r="AH369" i="90" s="1"/>
  <c r="AF353" i="90"/>
  <c r="AF337" i="90"/>
  <c r="AF321" i="90"/>
  <c r="AF305" i="90"/>
  <c r="AH305" i="90" s="1"/>
  <c r="AF289" i="90"/>
  <c r="AF273" i="90"/>
  <c r="AF257" i="90"/>
  <c r="AF241" i="90"/>
  <c r="AH241" i="90" s="1"/>
  <c r="AF225" i="90"/>
  <c r="AF209" i="90"/>
  <c r="AF193" i="90"/>
  <c r="AF177" i="90"/>
  <c r="AH177" i="90" s="1"/>
  <c r="AF161" i="90"/>
  <c r="AF145" i="90"/>
  <c r="AF129" i="90"/>
  <c r="AF113" i="90"/>
  <c r="AH113" i="90" s="1"/>
  <c r="AF97" i="90"/>
  <c r="AF81" i="90"/>
  <c r="AF65" i="90"/>
  <c r="AF49" i="90"/>
  <c r="AH49" i="90" s="1"/>
  <c r="AF33" i="90"/>
  <c r="AF17" i="90"/>
  <c r="AI1457" i="90"/>
  <c r="AI1441" i="90"/>
  <c r="AI1425" i="90"/>
  <c r="AI1409" i="90"/>
  <c r="AI1393" i="90"/>
  <c r="AI1377" i="90"/>
  <c r="AI1361" i="90"/>
  <c r="AI1345" i="90"/>
  <c r="AI1329" i="90"/>
  <c r="AI1313" i="90"/>
  <c r="AI1297" i="90"/>
  <c r="AI1281" i="90"/>
  <c r="AI1265" i="90"/>
  <c r="AI1249" i="90"/>
  <c r="AI1233" i="90"/>
  <c r="AI1217" i="90"/>
  <c r="AI1201" i="90"/>
  <c r="AI1185" i="90"/>
  <c r="AI1169" i="90"/>
  <c r="AI1153" i="90"/>
  <c r="AI1137" i="90"/>
  <c r="AI1121" i="90"/>
  <c r="AI1105" i="90"/>
  <c r="AI1089" i="90"/>
  <c r="AI1073" i="90"/>
  <c r="AI1057" i="90"/>
  <c r="AI1041" i="90"/>
  <c r="AI1025" i="90"/>
  <c r="AI1009" i="90"/>
  <c r="AI993" i="90"/>
  <c r="AI977" i="90"/>
  <c r="AI961" i="90"/>
  <c r="AI945" i="90"/>
  <c r="AI929" i="90"/>
  <c r="AI913" i="90"/>
  <c r="AI897" i="90"/>
  <c r="AI881" i="90"/>
  <c r="AI865" i="90"/>
  <c r="AI849" i="90"/>
  <c r="AI833" i="90"/>
  <c r="AI817" i="90"/>
  <c r="AI801" i="90"/>
  <c r="AI785" i="90"/>
  <c r="AI769" i="90"/>
  <c r="AI753" i="90"/>
  <c r="AI737" i="90"/>
  <c r="AI721" i="90"/>
  <c r="AI705" i="90"/>
  <c r="AI689" i="90"/>
  <c r="AI673" i="90"/>
  <c r="AI657" i="90"/>
  <c r="AI641" i="90"/>
  <c r="AI625" i="90"/>
  <c r="AI609" i="90"/>
  <c r="AI593" i="90"/>
  <c r="AI577" i="90"/>
  <c r="AI561" i="90"/>
  <c r="AI545" i="90"/>
  <c r="AI529" i="90"/>
  <c r="AI513" i="90"/>
  <c r="AI497" i="90"/>
  <c r="AI481" i="90"/>
  <c r="AI465" i="90"/>
  <c r="AH297" i="90"/>
  <c r="AH121" i="90"/>
  <c r="AH41" i="90"/>
  <c r="AD1449" i="90"/>
  <c r="AE1449" i="90"/>
  <c r="AC1449" i="90"/>
  <c r="AJ1449" i="90"/>
  <c r="AD1417" i="90"/>
  <c r="AE1417" i="90"/>
  <c r="AC1417" i="90"/>
  <c r="AJ1417" i="90"/>
  <c r="AD1369" i="90"/>
  <c r="AC1369" i="90"/>
  <c r="AE1369" i="90"/>
  <c r="AO1369" i="90" s="1"/>
  <c r="AJ1369" i="90"/>
  <c r="AE1321" i="90"/>
  <c r="AD1273" i="90"/>
  <c r="AE1273" i="90"/>
  <c r="AO1273" i="90" s="1"/>
  <c r="AC1273" i="90"/>
  <c r="AJ1273" i="90"/>
  <c r="AD1225" i="90"/>
  <c r="AE1225" i="90"/>
  <c r="AO1225" i="90" s="1"/>
  <c r="AC1225" i="90"/>
  <c r="AJ1225" i="90"/>
  <c r="AD1177" i="90"/>
  <c r="AE1129" i="90"/>
  <c r="AD1129" i="90"/>
  <c r="AC1129" i="90"/>
  <c r="AJ1129" i="90"/>
  <c r="AE1081" i="90"/>
  <c r="AO1081" i="90" s="1"/>
  <c r="AD1081" i="90"/>
  <c r="AC1081" i="90"/>
  <c r="AJ1081" i="90"/>
  <c r="AD1065" i="90"/>
  <c r="AE1017" i="90"/>
  <c r="AD1017" i="90"/>
  <c r="AC1017" i="90"/>
  <c r="AJ1017" i="90"/>
  <c r="AE953" i="90"/>
  <c r="AO953" i="90" s="1"/>
  <c r="AD953" i="90"/>
  <c r="AC953" i="90"/>
  <c r="AJ953" i="90"/>
  <c r="AD889" i="90"/>
  <c r="AE889" i="90"/>
  <c r="AC889" i="90"/>
  <c r="AJ889" i="90"/>
  <c r="AE841" i="90"/>
  <c r="AO841" i="90" s="1"/>
  <c r="AD809" i="90"/>
  <c r="AE761" i="90"/>
  <c r="AO761" i="90" s="1"/>
  <c r="AD761" i="90"/>
  <c r="AC761" i="90"/>
  <c r="AJ761" i="90"/>
  <c r="AE713" i="90"/>
  <c r="AO713" i="90" s="1"/>
  <c r="AD713" i="90"/>
  <c r="AC713" i="90"/>
  <c r="AJ713" i="90"/>
  <c r="AE681" i="90"/>
  <c r="AO681" i="90" s="1"/>
  <c r="AC681" i="90"/>
  <c r="AD681" i="90"/>
  <c r="AJ681" i="90"/>
  <c r="AE633" i="90"/>
  <c r="AO633" i="90" s="1"/>
  <c r="AD633" i="90"/>
  <c r="AC633" i="90"/>
  <c r="AJ633" i="90"/>
  <c r="AD601" i="90"/>
  <c r="AE601" i="90"/>
  <c r="AO601" i="90" s="1"/>
  <c r="AC601" i="90"/>
  <c r="AJ601" i="90"/>
  <c r="AD537" i="90"/>
  <c r="AE537" i="90"/>
  <c r="AO537" i="90" s="1"/>
  <c r="AC537" i="90"/>
  <c r="AJ537" i="90"/>
  <c r="AD505" i="90"/>
  <c r="AE505" i="90"/>
  <c r="AO505" i="90" s="1"/>
  <c r="AC505" i="90"/>
  <c r="AJ505" i="90"/>
  <c r="AD473" i="90"/>
  <c r="AE473" i="90"/>
  <c r="AC473" i="90"/>
  <c r="AJ473" i="90"/>
  <c r="AG393" i="90"/>
  <c r="AI393" i="90"/>
  <c r="AF1281" i="90"/>
  <c r="AH1281" i="90" s="1"/>
  <c r="AF1453" i="90"/>
  <c r="AF1437" i="90"/>
  <c r="AF1421" i="90"/>
  <c r="AF1405" i="90"/>
  <c r="AF1389" i="90"/>
  <c r="AF1373" i="90"/>
  <c r="AF1357" i="90"/>
  <c r="AF1341" i="90"/>
  <c r="AF1325" i="90"/>
  <c r="AF1309" i="90"/>
  <c r="AF1293" i="90"/>
  <c r="AF1277" i="90"/>
  <c r="AF1261" i="90"/>
  <c r="AF1245" i="90"/>
  <c r="AF1229" i="90"/>
  <c r="AF1213" i="90"/>
  <c r="AF1197" i="90"/>
  <c r="AF1181" i="90"/>
  <c r="AF1165" i="90"/>
  <c r="AF1149" i="90"/>
  <c r="AF1133" i="90"/>
  <c r="AF1117" i="90"/>
  <c r="AF1101" i="90"/>
  <c r="AF1085" i="90"/>
  <c r="AF1069" i="90"/>
  <c r="AF1053" i="90"/>
  <c r="AF1037" i="90"/>
  <c r="AF1021" i="90"/>
  <c r="AF1005" i="90"/>
  <c r="AF989" i="90"/>
  <c r="AF973" i="90"/>
  <c r="AF957" i="90"/>
  <c r="AF941" i="90"/>
  <c r="AF925" i="90"/>
  <c r="AF909" i="90"/>
  <c r="AF893" i="90"/>
  <c r="AF877" i="90"/>
  <c r="AF861" i="90"/>
  <c r="AF845" i="90"/>
  <c r="AF829" i="90"/>
  <c r="AF813" i="90"/>
  <c r="AF797" i="90"/>
  <c r="AF781" i="90"/>
  <c r="AF765" i="90"/>
  <c r="AF749" i="90"/>
  <c r="AF733" i="90"/>
  <c r="AF717" i="90"/>
  <c r="AF701" i="90"/>
  <c r="AF685" i="90"/>
  <c r="AF669" i="90"/>
  <c r="AF653" i="90"/>
  <c r="AF637" i="90"/>
  <c r="AF621" i="90"/>
  <c r="AF605" i="90"/>
  <c r="AF589" i="90"/>
  <c r="AF573" i="90"/>
  <c r="AF557" i="90"/>
  <c r="AF541" i="90"/>
  <c r="AF525" i="90"/>
  <c r="AF509" i="90"/>
  <c r="AF493" i="90"/>
  <c r="AF477" i="90"/>
  <c r="AF461" i="90"/>
  <c r="AF445" i="90"/>
  <c r="AH445" i="90" s="1"/>
  <c r="AF429" i="90"/>
  <c r="AH429" i="90" s="1"/>
  <c r="AF413" i="90"/>
  <c r="AH413" i="90" s="1"/>
  <c r="AF397" i="90"/>
  <c r="AH397" i="90" s="1"/>
  <c r="AF381" i="90"/>
  <c r="AF365" i="90"/>
  <c r="AH365" i="90" s="1"/>
  <c r="AF349" i="90"/>
  <c r="AH349" i="90" s="1"/>
  <c r="AF333" i="90"/>
  <c r="AH333" i="90" s="1"/>
  <c r="AF317" i="90"/>
  <c r="AH317" i="90" s="1"/>
  <c r="AF301" i="90"/>
  <c r="AH301" i="90" s="1"/>
  <c r="AF285" i="90"/>
  <c r="AH285" i="90" s="1"/>
  <c r="AF269" i="90"/>
  <c r="AH269" i="90" s="1"/>
  <c r="AF253" i="90"/>
  <c r="AH253" i="90" s="1"/>
  <c r="AF237" i="90"/>
  <c r="AH237" i="90" s="1"/>
  <c r="AF221" i="90"/>
  <c r="AH221" i="90" s="1"/>
  <c r="AF205" i="90"/>
  <c r="AH205" i="90" s="1"/>
  <c r="AF189" i="90"/>
  <c r="AH189" i="90" s="1"/>
  <c r="AF173" i="90"/>
  <c r="AH173" i="90" s="1"/>
  <c r="AF157" i="90"/>
  <c r="AH157" i="90" s="1"/>
  <c r="AF141" i="90"/>
  <c r="AH141" i="90" s="1"/>
  <c r="AF125" i="90"/>
  <c r="AH125" i="90" s="1"/>
  <c r="AF109" i="90"/>
  <c r="AH109" i="90" s="1"/>
  <c r="AF93" i="90"/>
  <c r="AH93" i="90" s="1"/>
  <c r="AF77" i="90"/>
  <c r="AH77" i="90" s="1"/>
  <c r="AF61" i="90"/>
  <c r="AH61" i="90" s="1"/>
  <c r="AF45" i="90"/>
  <c r="AH45" i="90" s="1"/>
  <c r="AF29" i="90"/>
  <c r="AH29" i="90" s="1"/>
  <c r="AF13" i="90"/>
  <c r="AH13" i="90" s="1"/>
  <c r="AI1453" i="90"/>
  <c r="AI1437" i="90"/>
  <c r="AI1421" i="90"/>
  <c r="AI1405" i="90"/>
  <c r="AI1389" i="90"/>
  <c r="AI1373" i="90"/>
  <c r="AI1357" i="90"/>
  <c r="AI1341" i="90"/>
  <c r="AI1325" i="90"/>
  <c r="AI1309" i="90"/>
  <c r="AI1293" i="90"/>
  <c r="AI1277" i="90"/>
  <c r="AI1261" i="90"/>
  <c r="AI1245" i="90"/>
  <c r="AI1229" i="90"/>
  <c r="AI1213" i="90"/>
  <c r="AI1197" i="90"/>
  <c r="AI1181" i="90"/>
  <c r="AI1165" i="90"/>
  <c r="AI1149" i="90"/>
  <c r="AI1133" i="90"/>
  <c r="AI1117" i="90"/>
  <c r="AI1101" i="90"/>
  <c r="AI1085" i="90"/>
  <c r="AI1069" i="90"/>
  <c r="AI1053" i="90"/>
  <c r="AI1037" i="90"/>
  <c r="AI1021" i="90"/>
  <c r="AI1005" i="90"/>
  <c r="AI989" i="90"/>
  <c r="AI973" i="90"/>
  <c r="AI957" i="90"/>
  <c r="AI941" i="90"/>
  <c r="AI925" i="90"/>
  <c r="AI909" i="90"/>
  <c r="AI893" i="90"/>
  <c r="AI877" i="90"/>
  <c r="AI861" i="90"/>
  <c r="AI845" i="90"/>
  <c r="AI829" i="90"/>
  <c r="AI813" i="90"/>
  <c r="AI797" i="90"/>
  <c r="AI781" i="90"/>
  <c r="AI765" i="90"/>
  <c r="AI749" i="90"/>
  <c r="AI733" i="90"/>
  <c r="AI717" i="90"/>
  <c r="AI701" i="90"/>
  <c r="AI685" i="90"/>
  <c r="AI669" i="90"/>
  <c r="AI653" i="90"/>
  <c r="AI637" i="90"/>
  <c r="AI621" i="90"/>
  <c r="AI605" i="90"/>
  <c r="AI589" i="90"/>
  <c r="AI573" i="90"/>
  <c r="AI557" i="90"/>
  <c r="AI541" i="90"/>
  <c r="AI525" i="90"/>
  <c r="AI509" i="90"/>
  <c r="AI493" i="90"/>
  <c r="AI477" i="90"/>
  <c r="AI461" i="90"/>
  <c r="AF1460" i="90"/>
  <c r="AF1456" i="90"/>
  <c r="AF1452" i="90"/>
  <c r="AF1448" i="90"/>
  <c r="AF1444" i="90"/>
  <c r="AF1440" i="90"/>
  <c r="AF1436" i="90"/>
  <c r="AF1432" i="90"/>
  <c r="AF1428" i="90"/>
  <c r="AF1424" i="90"/>
  <c r="AF1420" i="90"/>
  <c r="AF1416" i="90"/>
  <c r="AF1412" i="90"/>
  <c r="AF1408" i="90"/>
  <c r="AF1404" i="90"/>
  <c r="AF1400" i="90"/>
  <c r="AF1396" i="90"/>
  <c r="AF1392" i="90"/>
  <c r="AF1388" i="90"/>
  <c r="AF1384" i="90"/>
  <c r="AF1380" i="90"/>
  <c r="AF1376" i="90"/>
  <c r="AF1372" i="90"/>
  <c r="AF1368" i="90"/>
  <c r="AF1364" i="90"/>
  <c r="AF1360" i="90"/>
  <c r="AF1356" i="90"/>
  <c r="AF1352" i="90"/>
  <c r="AF1348" i="90"/>
  <c r="AF1344" i="90"/>
  <c r="AF1340" i="90"/>
  <c r="AF1336" i="90"/>
  <c r="AF1332" i="90"/>
  <c r="AF1328" i="90"/>
  <c r="AF1324" i="90"/>
  <c r="AF1320" i="90"/>
  <c r="AF1316" i="90"/>
  <c r="AF1312" i="90"/>
  <c r="AF1308" i="90"/>
  <c r="AF1304" i="90"/>
  <c r="AF1300" i="90"/>
  <c r="AF1296" i="90"/>
  <c r="AF1292" i="90"/>
  <c r="AF1288" i="90"/>
  <c r="AF1284" i="90"/>
  <c r="AF1280" i="90"/>
  <c r="AF1276" i="90"/>
  <c r="AF1272" i="90"/>
  <c r="AF1268" i="90"/>
  <c r="AF1264" i="90"/>
  <c r="AF1260" i="90"/>
  <c r="AF1256" i="90"/>
  <c r="AF1252" i="90"/>
  <c r="AF1248" i="90"/>
  <c r="AF1244" i="90"/>
  <c r="AF1240" i="90"/>
  <c r="AF1236" i="90"/>
  <c r="AF1232" i="90"/>
  <c r="AF1228" i="90"/>
  <c r="AF1224" i="90"/>
  <c r="AF1220" i="90"/>
  <c r="AF1216" i="90"/>
  <c r="AF1212" i="90"/>
  <c r="AF1208" i="90"/>
  <c r="AF1204" i="90"/>
  <c r="AF1200" i="90"/>
  <c r="AF1196" i="90"/>
  <c r="AF1192" i="90"/>
  <c r="AF1188" i="90"/>
  <c r="AF1184" i="90"/>
  <c r="AF1180" i="90"/>
  <c r="AF1176" i="90"/>
  <c r="AF1172" i="90"/>
  <c r="AF1168" i="90"/>
  <c r="AF1164" i="90"/>
  <c r="AF1160" i="90"/>
  <c r="AF1156" i="90"/>
  <c r="AF1152" i="90"/>
  <c r="AF1148" i="90"/>
  <c r="AF1144" i="90"/>
  <c r="AF1140" i="90"/>
  <c r="AF1136" i="90"/>
  <c r="AF1132" i="90"/>
  <c r="AF1128" i="90"/>
  <c r="AF1124" i="90"/>
  <c r="AF1120" i="90"/>
  <c r="AF1116" i="90"/>
  <c r="AF1112" i="90"/>
  <c r="AF1108" i="90"/>
  <c r="AF1104" i="90"/>
  <c r="AF1100" i="90"/>
  <c r="AF1096" i="90"/>
  <c r="AF1092" i="90"/>
  <c r="AF1088" i="90"/>
  <c r="AF1084" i="90"/>
  <c r="AF1080" i="90"/>
  <c r="AF1076" i="90"/>
  <c r="AF1072" i="90"/>
  <c r="AF1068" i="90"/>
  <c r="AF1064" i="90"/>
  <c r="AF1060" i="90"/>
  <c r="AF1056" i="90"/>
  <c r="AF1052" i="90"/>
  <c r="AF1048" i="90"/>
  <c r="AF1044" i="90"/>
  <c r="AF1040" i="90"/>
  <c r="AF1036" i="90"/>
  <c r="AF1032" i="90"/>
  <c r="AF1028" i="90"/>
  <c r="AF1024" i="90"/>
  <c r="AF1020" i="90"/>
  <c r="AF1016" i="90"/>
  <c r="AF1012" i="90"/>
  <c r="AF1008" i="90"/>
  <c r="AF1004" i="90"/>
  <c r="AF1000" i="90"/>
  <c r="AF996" i="90"/>
  <c r="AF992" i="90"/>
  <c r="AF988" i="90"/>
  <c r="AF984" i="90"/>
  <c r="AF980" i="90"/>
  <c r="AF976" i="90"/>
  <c r="AF972" i="90"/>
  <c r="AF968" i="90"/>
  <c r="AF964" i="90"/>
  <c r="AF960" i="90"/>
  <c r="AF956" i="90"/>
  <c r="AF952" i="90"/>
  <c r="AF948" i="90"/>
  <c r="AF944" i="90"/>
  <c r="AF940" i="90"/>
  <c r="AF936" i="90"/>
  <c r="AF932" i="90"/>
  <c r="AF928" i="90"/>
  <c r="AF924" i="90"/>
  <c r="AF920" i="90"/>
  <c r="AF916" i="90"/>
  <c r="AF912" i="90"/>
  <c r="AF908" i="90"/>
  <c r="AF904" i="90"/>
  <c r="AF900" i="90"/>
  <c r="AF896" i="90"/>
  <c r="AF892" i="90"/>
  <c r="AF888" i="90"/>
  <c r="AF884" i="90"/>
  <c r="AF880" i="90"/>
  <c r="AF876" i="90"/>
  <c r="AF872" i="90"/>
  <c r="AF868" i="90"/>
  <c r="AF864" i="90"/>
  <c r="AF860" i="90"/>
  <c r="AF856" i="90"/>
  <c r="AF852" i="90"/>
  <c r="AF848" i="90"/>
  <c r="AF844" i="90"/>
  <c r="AF840" i="90"/>
  <c r="AF836" i="90"/>
  <c r="AF832" i="90"/>
  <c r="AF828" i="90"/>
  <c r="AF824" i="90"/>
  <c r="AF820" i="90"/>
  <c r="AF816" i="90"/>
  <c r="AF812" i="90"/>
  <c r="AF808" i="90"/>
  <c r="AF804" i="90"/>
  <c r="AF800" i="90"/>
  <c r="AF796" i="90"/>
  <c r="AF792" i="90"/>
  <c r="AF788" i="90"/>
  <c r="AF784" i="90"/>
  <c r="AF780" i="90"/>
  <c r="AF776" i="90"/>
  <c r="AF772" i="90"/>
  <c r="AF768" i="90"/>
  <c r="AF764" i="90"/>
  <c r="AF760" i="90"/>
  <c r="AF756" i="90"/>
  <c r="AF752" i="90"/>
  <c r="AF748" i="90"/>
  <c r="AF744" i="90"/>
  <c r="AF740" i="90"/>
  <c r="AF736" i="90"/>
  <c r="AF732" i="90"/>
  <c r="AF728" i="90"/>
  <c r="AF724" i="90"/>
  <c r="AF720" i="90"/>
  <c r="AF716" i="90"/>
  <c r="AF712" i="90"/>
  <c r="AF708" i="90"/>
  <c r="AF704" i="90"/>
  <c r="AF700" i="90"/>
  <c r="AF696" i="90"/>
  <c r="AF692" i="90"/>
  <c r="AF688" i="90"/>
  <c r="AF684" i="90"/>
  <c r="AF680" i="90"/>
  <c r="AF676" i="90"/>
  <c r="AF672" i="90"/>
  <c r="AF668" i="90"/>
  <c r="AF664" i="90"/>
  <c r="AF660" i="90"/>
  <c r="AF656" i="90"/>
  <c r="AF652" i="90"/>
  <c r="AF648" i="90"/>
  <c r="AF644" i="90"/>
  <c r="AF640" i="90"/>
  <c r="AF636" i="90"/>
  <c r="AF632" i="90"/>
  <c r="AF628" i="90"/>
  <c r="AF624" i="90"/>
  <c r="AF620" i="90"/>
  <c r="AF616" i="90"/>
  <c r="AF612" i="90"/>
  <c r="AF608" i="90"/>
  <c r="AF604" i="90"/>
  <c r="AF600" i="90"/>
  <c r="AF596" i="90"/>
  <c r="AF592" i="90"/>
  <c r="AF588" i="90"/>
  <c r="AF584" i="90"/>
  <c r="AF580" i="90"/>
  <c r="AF576" i="90"/>
  <c r="AF572" i="90"/>
  <c r="AF568" i="90"/>
  <c r="AF564" i="90"/>
  <c r="AF560" i="90"/>
  <c r="AF556" i="90"/>
  <c r="AF552" i="90"/>
  <c r="AF548" i="90"/>
  <c r="AF544" i="90"/>
  <c r="AF540" i="90"/>
  <c r="AF536" i="90"/>
  <c r="AF532" i="90"/>
  <c r="AF528" i="90"/>
  <c r="AF524" i="90"/>
  <c r="AF520" i="90"/>
  <c r="AF516" i="90"/>
  <c r="AF512" i="90"/>
  <c r="AF508" i="90"/>
  <c r="AF504" i="90"/>
  <c r="AF500" i="90"/>
  <c r="AF496" i="90"/>
  <c r="AF492" i="90"/>
  <c r="AF488" i="90"/>
  <c r="AF484" i="90"/>
  <c r="AF480" i="90"/>
  <c r="AF476" i="90"/>
  <c r="AF472" i="90"/>
  <c r="AF468" i="90"/>
  <c r="AF464" i="90"/>
  <c r="AF460" i="90"/>
  <c r="AF456" i="90"/>
  <c r="AF452" i="90"/>
  <c r="AF448" i="90"/>
  <c r="AF444" i="90"/>
  <c r="AF440" i="90"/>
  <c r="AF436" i="90"/>
  <c r="AF432" i="90"/>
  <c r="AF428" i="90"/>
  <c r="AF424" i="90"/>
  <c r="AF420" i="90"/>
  <c r="AF416" i="90"/>
  <c r="AF412" i="90"/>
  <c r="AF408" i="90"/>
  <c r="AF404" i="90"/>
  <c r="AF400" i="90"/>
  <c r="AF396" i="90"/>
  <c r="AF392" i="90"/>
  <c r="AF388" i="90"/>
  <c r="AF384" i="90"/>
  <c r="AF380" i="90"/>
  <c r="AF376" i="90"/>
  <c r="AF372" i="90"/>
  <c r="AF368" i="90"/>
  <c r="AF364" i="90"/>
  <c r="AF360" i="90"/>
  <c r="AF356" i="90"/>
  <c r="AF352" i="90"/>
  <c r="AF348" i="90"/>
  <c r="AF344" i="90"/>
  <c r="AF340" i="90"/>
  <c r="AF336" i="90"/>
  <c r="AF332" i="90"/>
  <c r="AF328" i="90"/>
  <c r="AF324" i="90"/>
  <c r="AF320" i="90"/>
  <c r="AF316" i="90"/>
  <c r="AF312" i="90"/>
  <c r="AF308" i="90"/>
  <c r="AF304" i="90"/>
  <c r="AF300" i="90"/>
  <c r="AF296" i="90"/>
  <c r="AF292" i="90"/>
  <c r="AF288" i="90"/>
  <c r="AF284" i="90"/>
  <c r="AF280" i="90"/>
  <c r="AF276" i="90"/>
  <c r="AF272" i="90"/>
  <c r="AF268" i="90"/>
  <c r="AF264" i="90"/>
  <c r="AF260" i="90"/>
  <c r="AF256" i="90"/>
  <c r="AF252" i="90"/>
  <c r="AF248" i="90"/>
  <c r="AF244" i="90"/>
  <c r="AF240" i="90"/>
  <c r="AF236" i="90"/>
  <c r="AF232" i="90"/>
  <c r="AF228" i="90"/>
  <c r="AF224" i="90"/>
  <c r="AF220" i="90"/>
  <c r="AF216" i="90"/>
  <c r="AF212" i="90"/>
  <c r="AF208" i="90"/>
  <c r="AF204" i="90"/>
  <c r="AF200" i="90"/>
  <c r="AF196" i="90"/>
  <c r="AF192" i="90"/>
  <c r="AF188" i="90"/>
  <c r="AF184" i="90"/>
  <c r="AF180" i="90"/>
  <c r="AF176" i="90"/>
  <c r="AF172" i="90"/>
  <c r="AF168" i="90"/>
  <c r="AF164" i="90"/>
  <c r="AF160" i="90"/>
  <c r="AF156" i="90"/>
  <c r="AF152" i="90"/>
  <c r="AF148" i="90"/>
  <c r="AF144" i="90"/>
  <c r="AF140" i="90"/>
  <c r="AF136" i="90"/>
  <c r="AF132" i="90"/>
  <c r="AF128" i="90"/>
  <c r="AF124" i="90"/>
  <c r="AF120" i="90"/>
  <c r="AF116" i="90"/>
  <c r="AF112" i="90"/>
  <c r="AF108" i="90"/>
  <c r="AF104" i="90"/>
  <c r="AF100" i="90"/>
  <c r="AF96" i="90"/>
  <c r="AF92" i="90"/>
  <c r="AF88" i="90"/>
  <c r="AF84" i="90"/>
  <c r="AF80" i="90"/>
  <c r="AF76" i="90"/>
  <c r="AF72" i="90"/>
  <c r="AF68" i="90"/>
  <c r="AF64" i="90"/>
  <c r="AF60" i="90"/>
  <c r="AF56" i="90"/>
  <c r="AF52" i="90"/>
  <c r="AF48" i="90"/>
  <c r="AF44" i="90"/>
  <c r="AF40" i="90"/>
  <c r="AF36" i="90"/>
  <c r="AF32" i="90"/>
  <c r="AF28" i="90"/>
  <c r="AF24" i="90"/>
  <c r="AF20" i="90"/>
  <c r="AF16" i="90"/>
  <c r="AF12" i="90"/>
  <c r="AF8" i="90"/>
  <c r="AI1460" i="90"/>
  <c r="AI1456" i="90"/>
  <c r="AI1452" i="90"/>
  <c r="AI1448" i="90"/>
  <c r="AI1444" i="90"/>
  <c r="AI1440" i="90"/>
  <c r="AI1436" i="90"/>
  <c r="AI1432" i="90"/>
  <c r="AI1428" i="90"/>
  <c r="AI1424" i="90"/>
  <c r="AI1420" i="90"/>
  <c r="AI1416" i="90"/>
  <c r="AI1412" i="90"/>
  <c r="AI1408" i="90"/>
  <c r="AI1404" i="90"/>
  <c r="AI1400" i="90"/>
  <c r="AI1396" i="90"/>
  <c r="AI1392" i="90"/>
  <c r="AI1388" i="90"/>
  <c r="AI1384" i="90"/>
  <c r="AI1380" i="90"/>
  <c r="AI1376" i="90"/>
  <c r="AI1372" i="90"/>
  <c r="AI1368" i="90"/>
  <c r="AI1364" i="90"/>
  <c r="AI1360" i="90"/>
  <c r="AI1356" i="90"/>
  <c r="AI1352" i="90"/>
  <c r="AI1348" i="90"/>
  <c r="AI1344" i="90"/>
  <c r="AI1340" i="90"/>
  <c r="AI1336" i="90"/>
  <c r="AI1332" i="90"/>
  <c r="AI1328" i="90"/>
  <c r="AI1324" i="90"/>
  <c r="AI1320" i="90"/>
  <c r="AI1316" i="90"/>
  <c r="AI1312" i="90"/>
  <c r="AI1308" i="90"/>
  <c r="AI1304" i="90"/>
  <c r="AI1300" i="90"/>
  <c r="AI1296" i="90"/>
  <c r="AI1292" i="90"/>
  <c r="AI1288" i="90"/>
  <c r="AI1284" i="90"/>
  <c r="AI1280" i="90"/>
  <c r="AI1276" i="90"/>
  <c r="AI1272" i="90"/>
  <c r="AI1268" i="90"/>
  <c r="AI1264" i="90"/>
  <c r="AI1260" i="90"/>
  <c r="AI1256" i="90"/>
  <c r="AI1252" i="90"/>
  <c r="AI1248" i="90"/>
  <c r="AI1244" i="90"/>
  <c r="AI1240" i="90"/>
  <c r="AI1236" i="90"/>
  <c r="AI1232" i="90"/>
  <c r="AI1228" i="90"/>
  <c r="AI1224" i="90"/>
  <c r="AI1220" i="90"/>
  <c r="AI1216" i="90"/>
  <c r="AI1212" i="90"/>
  <c r="AI1208" i="90"/>
  <c r="AI1204" i="90"/>
  <c r="AI1200" i="90"/>
  <c r="AI1196" i="90"/>
  <c r="AI1192" i="90"/>
  <c r="AI1188" i="90"/>
  <c r="AI1184" i="90"/>
  <c r="AI1180" i="90"/>
  <c r="AI1176" i="90"/>
  <c r="AI1172" i="90"/>
  <c r="AI1168" i="90"/>
  <c r="AI1164" i="90"/>
  <c r="AI1160" i="90"/>
  <c r="AI1156" i="90"/>
  <c r="AI1152" i="90"/>
  <c r="AI1148" i="90"/>
  <c r="AI1144" i="90"/>
  <c r="AI1140" i="90"/>
  <c r="AI1136" i="90"/>
  <c r="AI1132" i="90"/>
  <c r="AI1128" i="90"/>
  <c r="AI1124" i="90"/>
  <c r="AI1120" i="90"/>
  <c r="AI1116" i="90"/>
  <c r="AI1112" i="90"/>
  <c r="AI1108" i="90"/>
  <c r="AI1104" i="90"/>
  <c r="AI1100" i="90"/>
  <c r="AI1096" i="90"/>
  <c r="AI1092" i="90"/>
  <c r="AI1088" i="90"/>
  <c r="AI1084" i="90"/>
  <c r="AI1080" i="90"/>
  <c r="AI1076" i="90"/>
  <c r="AI1072" i="90"/>
  <c r="AI1068" i="90"/>
  <c r="AI1064" i="90"/>
  <c r="AI1060" i="90"/>
  <c r="AI1056" i="90"/>
  <c r="AI1052" i="90"/>
  <c r="AI1048" i="90"/>
  <c r="AI1044" i="90"/>
  <c r="AI1040" i="90"/>
  <c r="AI1036" i="90"/>
  <c r="AI1032" i="90"/>
  <c r="AI1028" i="90"/>
  <c r="AI1024" i="90"/>
  <c r="AI1020" i="90"/>
  <c r="AI1016" i="90"/>
  <c r="AI1012" i="90"/>
  <c r="AI1008" i="90"/>
  <c r="AI1004" i="90"/>
  <c r="AI1000" i="90"/>
  <c r="AI996" i="90"/>
  <c r="AI992" i="90"/>
  <c r="AI988" i="90"/>
  <c r="AI984" i="90"/>
  <c r="AI980" i="90"/>
  <c r="AI976" i="90"/>
  <c r="AI972" i="90"/>
  <c r="AI968" i="90"/>
  <c r="AI964" i="90"/>
  <c r="AI960" i="90"/>
  <c r="AI956" i="90"/>
  <c r="AI952" i="90"/>
  <c r="AI948" i="90"/>
  <c r="AI944" i="90"/>
  <c r="AI940" i="90"/>
  <c r="AI936" i="90"/>
  <c r="AI932" i="90"/>
  <c r="AI928" i="90"/>
  <c r="AI924" i="90"/>
  <c r="AI920" i="90"/>
  <c r="AI916" i="90"/>
  <c r="AI912" i="90"/>
  <c r="AI908" i="90"/>
  <c r="AI904" i="90"/>
  <c r="AI900" i="90"/>
  <c r="AI896" i="90"/>
  <c r="AI892" i="90"/>
  <c r="AI888" i="90"/>
  <c r="AI884" i="90"/>
  <c r="AI880" i="90"/>
  <c r="AI876" i="90"/>
  <c r="AI872" i="90"/>
  <c r="AI868" i="90"/>
  <c r="AI864" i="90"/>
  <c r="AI860" i="90"/>
  <c r="AI856" i="90"/>
  <c r="AI852" i="90"/>
  <c r="AI848" i="90"/>
  <c r="AI844" i="90"/>
  <c r="AI840" i="90"/>
  <c r="AI836" i="90"/>
  <c r="AI832" i="90"/>
  <c r="AI828" i="90"/>
  <c r="AI824" i="90"/>
  <c r="AI820" i="90"/>
  <c r="AI816" i="90"/>
  <c r="AI812" i="90"/>
  <c r="AI808" i="90"/>
  <c r="AI804" i="90"/>
  <c r="AI800" i="90"/>
  <c r="AI796" i="90"/>
  <c r="AI792" i="90"/>
  <c r="AI788" i="90"/>
  <c r="AI784" i="90"/>
  <c r="AI780" i="90"/>
  <c r="AI776" i="90"/>
  <c r="AI772" i="90"/>
  <c r="AI768" i="90"/>
  <c r="AI764" i="90"/>
  <c r="AI760" i="90"/>
  <c r="AI756" i="90"/>
  <c r="AI752" i="90"/>
  <c r="AI748" i="90"/>
  <c r="AI744" i="90"/>
  <c r="AI740" i="90"/>
  <c r="AI736" i="90"/>
  <c r="AI732" i="90"/>
  <c r="AI728" i="90"/>
  <c r="AI724" i="90"/>
  <c r="AI720" i="90"/>
  <c r="AI716" i="90"/>
  <c r="AI712" i="90"/>
  <c r="AI708" i="90"/>
  <c r="AI704" i="90"/>
  <c r="AI700" i="90"/>
  <c r="AI696" i="90"/>
  <c r="AI692" i="90"/>
  <c r="AI688" i="90"/>
  <c r="AI684" i="90"/>
  <c r="AI680" i="90"/>
  <c r="AI676" i="90"/>
  <c r="AI672" i="90"/>
  <c r="AI668" i="90"/>
  <c r="AI664" i="90"/>
  <c r="AI660" i="90"/>
  <c r="AI656" i="90"/>
  <c r="AI652" i="90"/>
  <c r="AI648" i="90"/>
  <c r="AI644" i="90"/>
  <c r="AI640" i="90"/>
  <c r="AI636" i="90"/>
  <c r="AI632" i="90"/>
  <c r="AI628" i="90"/>
  <c r="AI624" i="90"/>
  <c r="AI620" i="90"/>
  <c r="AI616" i="90"/>
  <c r="AI612" i="90"/>
  <c r="AI608" i="90"/>
  <c r="AI604" i="90"/>
  <c r="AI600" i="90"/>
  <c r="AI596" i="90"/>
  <c r="AI592" i="90"/>
  <c r="AI588" i="90"/>
  <c r="AI584" i="90"/>
  <c r="AI580" i="90"/>
  <c r="AI576" i="90"/>
  <c r="AI572" i="90"/>
  <c r="AI568" i="90"/>
  <c r="AI564" i="90"/>
  <c r="AI560" i="90"/>
  <c r="AI556" i="90"/>
  <c r="AI552" i="90"/>
  <c r="AI548" i="90"/>
  <c r="AI544" i="90"/>
  <c r="AI540" i="90"/>
  <c r="AI536" i="90"/>
  <c r="AI532" i="90"/>
  <c r="AI528" i="90"/>
  <c r="AI524" i="90"/>
  <c r="AI520" i="90"/>
  <c r="AI516" i="90"/>
  <c r="AI512" i="90"/>
  <c r="AI508" i="90"/>
  <c r="AI504" i="90"/>
  <c r="AI500" i="90"/>
  <c r="AI496" i="90"/>
  <c r="AI492" i="90"/>
  <c r="AI488" i="90"/>
  <c r="AI484" i="90"/>
  <c r="AI480" i="90"/>
  <c r="AI476" i="90"/>
  <c r="AI472" i="90"/>
  <c r="AI468" i="90"/>
  <c r="AI464" i="90"/>
  <c r="AI460" i="90"/>
  <c r="AI456" i="90"/>
  <c r="AI452" i="90"/>
  <c r="AI448" i="90"/>
  <c r="AI444" i="90"/>
  <c r="AI440" i="90"/>
  <c r="AI436" i="90"/>
  <c r="AI432" i="90"/>
  <c r="AI428" i="90"/>
  <c r="AI424" i="90"/>
  <c r="AI420" i="90"/>
  <c r="AI416" i="90"/>
  <c r="AI412" i="90"/>
  <c r="AI408" i="90"/>
  <c r="AI404" i="90"/>
  <c r="AI400" i="90"/>
  <c r="AI396" i="90"/>
  <c r="AI392" i="90"/>
  <c r="AI388" i="90"/>
  <c r="AI384" i="90"/>
  <c r="AI380" i="90"/>
  <c r="AI376" i="90"/>
  <c r="AI372" i="90"/>
  <c r="AI368" i="90"/>
  <c r="AI364" i="90"/>
  <c r="AI360" i="90"/>
  <c r="AI356" i="90"/>
  <c r="AI352" i="90"/>
  <c r="AI348" i="90"/>
  <c r="AI344" i="90"/>
  <c r="AI340" i="90"/>
  <c r="AI336" i="90"/>
  <c r="AI332" i="90"/>
  <c r="AI328" i="90"/>
  <c r="AI324" i="90"/>
  <c r="AI320" i="90"/>
  <c r="AI316" i="90"/>
  <c r="AI312" i="90"/>
  <c r="AI308" i="90"/>
  <c r="AI304" i="90"/>
  <c r="AI300" i="90"/>
  <c r="AI296" i="90"/>
  <c r="AI292" i="90"/>
  <c r="AI288" i="90"/>
  <c r="AI284" i="90"/>
  <c r="AI280" i="90"/>
  <c r="AI276" i="90"/>
  <c r="AI272" i="90"/>
  <c r="AI268" i="90"/>
  <c r="AI264" i="90"/>
  <c r="AI260" i="90"/>
  <c r="AI256" i="90"/>
  <c r="AI252" i="90"/>
  <c r="AI248" i="90"/>
  <c r="AI244" i="90"/>
  <c r="AI240" i="90"/>
  <c r="AI236" i="90"/>
  <c r="AI232" i="90"/>
  <c r="AI228" i="90"/>
  <c r="AI224" i="90"/>
  <c r="AI220" i="90"/>
  <c r="AI216" i="90"/>
  <c r="AI212" i="90"/>
  <c r="AI208" i="90"/>
  <c r="AI204" i="90"/>
  <c r="AI200" i="90"/>
  <c r="AI196" i="90"/>
  <c r="AI192" i="90"/>
  <c r="AI188" i="90"/>
  <c r="AI184" i="90"/>
  <c r="AI180" i="90"/>
  <c r="AI176" i="90"/>
  <c r="AI172" i="90"/>
  <c r="AI168" i="90"/>
  <c r="AI164" i="90"/>
  <c r="AI160" i="90"/>
  <c r="AI156" i="90"/>
  <c r="AI152" i="90"/>
  <c r="AI148" i="90"/>
  <c r="AI144" i="90"/>
  <c r="AI140" i="90"/>
  <c r="AI136" i="90"/>
  <c r="AI132" i="90"/>
  <c r="AI128" i="90"/>
  <c r="AI124" i="90"/>
  <c r="AI120" i="90"/>
  <c r="AI116" i="90"/>
  <c r="AI112" i="90"/>
  <c r="AI108" i="90"/>
  <c r="AI104" i="90"/>
  <c r="AI100" i="90"/>
  <c r="AI96" i="90"/>
  <c r="AI92" i="90"/>
  <c r="AI88" i="90"/>
  <c r="AI84" i="90"/>
  <c r="AI80" i="90"/>
  <c r="AI76" i="90"/>
  <c r="AI72" i="90"/>
  <c r="AI68" i="90"/>
  <c r="AI64" i="90"/>
  <c r="AI60" i="90"/>
  <c r="AI56" i="90"/>
  <c r="AI52" i="90"/>
  <c r="AI48" i="90"/>
  <c r="AI44" i="90"/>
  <c r="AI40" i="90"/>
  <c r="AI36" i="90"/>
  <c r="AI32" i="90"/>
  <c r="AI28" i="90"/>
  <c r="AI24" i="90"/>
  <c r="AI20" i="90"/>
  <c r="AI16" i="90"/>
  <c r="AI12" i="90"/>
  <c r="AI8" i="90"/>
  <c r="AF1459" i="90"/>
  <c r="AF1455" i="90"/>
  <c r="AF1451" i="90"/>
  <c r="AF1447" i="90"/>
  <c r="AF1443" i="90"/>
  <c r="AF1439" i="90"/>
  <c r="AF1435" i="90"/>
  <c r="AF1431" i="90"/>
  <c r="AF1427" i="90"/>
  <c r="AF1423" i="90"/>
  <c r="AF1419" i="90"/>
  <c r="AF1415" i="90"/>
  <c r="AF1411" i="90"/>
  <c r="AF1407" i="90"/>
  <c r="AF1403" i="90"/>
  <c r="AF1399" i="90"/>
  <c r="AF1395" i="90"/>
  <c r="AF1391" i="90"/>
  <c r="AF1387" i="90"/>
  <c r="AF1383" i="90"/>
  <c r="AF1379" i="90"/>
  <c r="AF1375" i="90"/>
  <c r="AF1371" i="90"/>
  <c r="AF1367" i="90"/>
  <c r="AF1363" i="90"/>
  <c r="AF1359" i="90"/>
  <c r="AF1355" i="90"/>
  <c r="AF1351" i="90"/>
  <c r="AF1347" i="90"/>
  <c r="AF1343" i="90"/>
  <c r="AF1339" i="90"/>
  <c r="AF1335" i="90"/>
  <c r="AF1331" i="90"/>
  <c r="AF1327" i="90"/>
  <c r="AF1323" i="90"/>
  <c r="AF1319" i="90"/>
  <c r="AF1315" i="90"/>
  <c r="AF1311" i="90"/>
  <c r="AF1307" i="90"/>
  <c r="AF1303" i="90"/>
  <c r="AF1299" i="90"/>
  <c r="AF1295" i="90"/>
  <c r="AF1291" i="90"/>
  <c r="AF1287" i="90"/>
  <c r="AF1283" i="90"/>
  <c r="AF1279" i="90"/>
  <c r="AF1275" i="90"/>
  <c r="AF1271" i="90"/>
  <c r="AF1267" i="90"/>
  <c r="AF1263" i="90"/>
  <c r="AF1259" i="90"/>
  <c r="AF1255" i="90"/>
  <c r="AF1251" i="90"/>
  <c r="AF1247" i="90"/>
  <c r="AF1243" i="90"/>
  <c r="AF1239" i="90"/>
  <c r="AF1235" i="90"/>
  <c r="AF1231" i="90"/>
  <c r="AF1227" i="90"/>
  <c r="AF1223" i="90"/>
  <c r="AF1219" i="90"/>
  <c r="AF1215" i="90"/>
  <c r="AF1211" i="90"/>
  <c r="AF1207" i="90"/>
  <c r="AF1203" i="90"/>
  <c r="AF1199" i="90"/>
  <c r="AF1195" i="90"/>
  <c r="AF1191" i="90"/>
  <c r="AF1187" i="90"/>
  <c r="AF1183" i="90"/>
  <c r="AF1179" i="90"/>
  <c r="AF1175" i="90"/>
  <c r="AF1171" i="90"/>
  <c r="AF1167" i="90"/>
  <c r="AF1163" i="90"/>
  <c r="AF1159" i="90"/>
  <c r="AF1155" i="90"/>
  <c r="AF1151" i="90"/>
  <c r="AF1147" i="90"/>
  <c r="AF1143" i="90"/>
  <c r="AF1139" i="90"/>
  <c r="AF1135" i="90"/>
  <c r="AF1131" i="90"/>
  <c r="AF1127" i="90"/>
  <c r="AF1123" i="90"/>
  <c r="AF1119" i="90"/>
  <c r="AF1115" i="90"/>
  <c r="AF1111" i="90"/>
  <c r="AF1107" i="90"/>
  <c r="AF1103" i="90"/>
  <c r="AF1099" i="90"/>
  <c r="AF1095" i="90"/>
  <c r="AF1091" i="90"/>
  <c r="AF1087" i="90"/>
  <c r="AF1083" i="90"/>
  <c r="AF1079" i="90"/>
  <c r="AF1075" i="90"/>
  <c r="AF1071" i="90"/>
  <c r="AF1067" i="90"/>
  <c r="AF1063" i="90"/>
  <c r="AF1059" i="90"/>
  <c r="AF1055" i="90"/>
  <c r="AF1051" i="90"/>
  <c r="AF1047" i="90"/>
  <c r="AF1043" i="90"/>
  <c r="AF1039" i="90"/>
  <c r="AF1035" i="90"/>
  <c r="AF1031" i="90"/>
  <c r="AF1027" i="90"/>
  <c r="AF1023" i="90"/>
  <c r="AF1019" i="90"/>
  <c r="AF1015" i="90"/>
  <c r="AF1011" i="90"/>
  <c r="AF1007" i="90"/>
  <c r="AF1003" i="90"/>
  <c r="AF999" i="90"/>
  <c r="AF995" i="90"/>
  <c r="AF991" i="90"/>
  <c r="AF987" i="90"/>
  <c r="AF983" i="90"/>
  <c r="AF979" i="90"/>
  <c r="AF975" i="90"/>
  <c r="AF971" i="90"/>
  <c r="AF967" i="90"/>
  <c r="AF963" i="90"/>
  <c r="AF959" i="90"/>
  <c r="AF955" i="90"/>
  <c r="AF951" i="90"/>
  <c r="AF947" i="90"/>
  <c r="AF943" i="90"/>
  <c r="AF939" i="90"/>
  <c r="AF935" i="90"/>
  <c r="AF931" i="90"/>
  <c r="AF927" i="90"/>
  <c r="AF923" i="90"/>
  <c r="AF919" i="90"/>
  <c r="AF915" i="90"/>
  <c r="AF911" i="90"/>
  <c r="AF907" i="90"/>
  <c r="AF903" i="90"/>
  <c r="AF899" i="90"/>
  <c r="AF895" i="90"/>
  <c r="AF891" i="90"/>
  <c r="AF887" i="90"/>
  <c r="AF883" i="90"/>
  <c r="AF879" i="90"/>
  <c r="AF875" i="90"/>
  <c r="AF871" i="90"/>
  <c r="AF867" i="90"/>
  <c r="AF863" i="90"/>
  <c r="AF859" i="90"/>
  <c r="AF855" i="90"/>
  <c r="AF851" i="90"/>
  <c r="AF847" i="90"/>
  <c r="AF843" i="90"/>
  <c r="AF839" i="90"/>
  <c r="AF835" i="90"/>
  <c r="AF831" i="90"/>
  <c r="AF827" i="90"/>
  <c r="AF823" i="90"/>
  <c r="AF819" i="90"/>
  <c r="AF815" i="90"/>
  <c r="AF811" i="90"/>
  <c r="AF807" i="90"/>
  <c r="AF803" i="90"/>
  <c r="AF799" i="90"/>
  <c r="AF795" i="90"/>
  <c r="AF791" i="90"/>
  <c r="AF787" i="90"/>
  <c r="AF783" i="90"/>
  <c r="AF779" i="90"/>
  <c r="AF775" i="90"/>
  <c r="AF771" i="90"/>
  <c r="AF767" i="90"/>
  <c r="AF763" i="90"/>
  <c r="AF759" i="90"/>
  <c r="AF755" i="90"/>
  <c r="AF751" i="90"/>
  <c r="AF747" i="90"/>
  <c r="AF743" i="90"/>
  <c r="AF739" i="90"/>
  <c r="AF735" i="90"/>
  <c r="AF731" i="90"/>
  <c r="AF727" i="90"/>
  <c r="AF723" i="90"/>
  <c r="AF719" i="90"/>
  <c r="AF715" i="90"/>
  <c r="AF711" i="90"/>
  <c r="AF707" i="90"/>
  <c r="AF703" i="90"/>
  <c r="AF699" i="90"/>
  <c r="AF695" i="90"/>
  <c r="AF691" i="90"/>
  <c r="AF687" i="90"/>
  <c r="AF683" i="90"/>
  <c r="AF679" i="90"/>
  <c r="AF675" i="90"/>
  <c r="AF671" i="90"/>
  <c r="AF667" i="90"/>
  <c r="AF663" i="90"/>
  <c r="AF659" i="90"/>
  <c r="AF655" i="90"/>
  <c r="AF651" i="90"/>
  <c r="AF647" i="90"/>
  <c r="AF643" i="90"/>
  <c r="AF639" i="90"/>
  <c r="AF635" i="90"/>
  <c r="AF631" i="90"/>
  <c r="AF627" i="90"/>
  <c r="AF623" i="90"/>
  <c r="AF619" i="90"/>
  <c r="AF615" i="90"/>
  <c r="AF611" i="90"/>
  <c r="AF607" i="90"/>
  <c r="AF603" i="90"/>
  <c r="AF599" i="90"/>
  <c r="AF595" i="90"/>
  <c r="AF591" i="90"/>
  <c r="AF587" i="90"/>
  <c r="AF583" i="90"/>
  <c r="AF579" i="90"/>
  <c r="AF575" i="90"/>
  <c r="AF571" i="90"/>
  <c r="AF567" i="90"/>
  <c r="AF563" i="90"/>
  <c r="AF559" i="90"/>
  <c r="AF555" i="90"/>
  <c r="AF551" i="90"/>
  <c r="AF547" i="90"/>
  <c r="AF543" i="90"/>
  <c r="AF539" i="90"/>
  <c r="AF535" i="90"/>
  <c r="AF531" i="90"/>
  <c r="AF527" i="90"/>
  <c r="AF523" i="90"/>
  <c r="AF519" i="90"/>
  <c r="AF515" i="90"/>
  <c r="AF511" i="90"/>
  <c r="AF507" i="90"/>
  <c r="AF503" i="90"/>
  <c r="AF499" i="90"/>
  <c r="AF495" i="90"/>
  <c r="AF491" i="90"/>
  <c r="AF487" i="90"/>
  <c r="AF483" i="90"/>
  <c r="AF479" i="90"/>
  <c r="AF475" i="90"/>
  <c r="AF471" i="90"/>
  <c r="AF467" i="90"/>
  <c r="AF463" i="90"/>
  <c r="AF459" i="90"/>
  <c r="AF455" i="90"/>
  <c r="AF451" i="90"/>
  <c r="AF447" i="90"/>
  <c r="AF443" i="90"/>
  <c r="AF439" i="90"/>
  <c r="AF435" i="90"/>
  <c r="AF431" i="90"/>
  <c r="AF427" i="90"/>
  <c r="AF423" i="90"/>
  <c r="AF419" i="90"/>
  <c r="AF415" i="90"/>
  <c r="AF411" i="90"/>
  <c r="AF407" i="90"/>
  <c r="AF403" i="90"/>
  <c r="AF399" i="90"/>
  <c r="AF395" i="90"/>
  <c r="AF391" i="90"/>
  <c r="AF387" i="90"/>
  <c r="AF383" i="90"/>
  <c r="AF379" i="90"/>
  <c r="AF375" i="90"/>
  <c r="AF371" i="90"/>
  <c r="AF367" i="90"/>
  <c r="AF363" i="90"/>
  <c r="AF359" i="90"/>
  <c r="AF355" i="90"/>
  <c r="AF351" i="90"/>
  <c r="AF347" i="90"/>
  <c r="AF343" i="90"/>
  <c r="AF339" i="90"/>
  <c r="AF335" i="90"/>
  <c r="AF331" i="90"/>
  <c r="AF327" i="90"/>
  <c r="AF323" i="90"/>
  <c r="AF319" i="90"/>
  <c r="AF315" i="90"/>
  <c r="AF311" i="90"/>
  <c r="AF307" i="90"/>
  <c r="AF303" i="90"/>
  <c r="AF299" i="90"/>
  <c r="AF295" i="90"/>
  <c r="AF291" i="90"/>
  <c r="AF287" i="90"/>
  <c r="AF283" i="90"/>
  <c r="AF279" i="90"/>
  <c r="AF275" i="90"/>
  <c r="AF271" i="90"/>
  <c r="AF267" i="90"/>
  <c r="AF263" i="90"/>
  <c r="AF259" i="90"/>
  <c r="AF255" i="90"/>
  <c r="AF251" i="90"/>
  <c r="AF247" i="90"/>
  <c r="AF243" i="90"/>
  <c r="AF239" i="90"/>
  <c r="AF235" i="90"/>
  <c r="AF231" i="90"/>
  <c r="AF227" i="90"/>
  <c r="AF223" i="90"/>
  <c r="AF219" i="90"/>
  <c r="AF215" i="90"/>
  <c r="AF211" i="90"/>
  <c r="AF207" i="90"/>
  <c r="AF203" i="90"/>
  <c r="AF199" i="90"/>
  <c r="AF195" i="90"/>
  <c r="AF191" i="90"/>
  <c r="AF187" i="90"/>
  <c r="AF183" i="90"/>
  <c r="AF179" i="90"/>
  <c r="AF175" i="90"/>
  <c r="AF171" i="90"/>
  <c r="AF167" i="90"/>
  <c r="AF163" i="90"/>
  <c r="AF159" i="90"/>
  <c r="AF155" i="90"/>
  <c r="AF151" i="90"/>
  <c r="AF147" i="90"/>
  <c r="AF143" i="90"/>
  <c r="AF139" i="90"/>
  <c r="AF135" i="90"/>
  <c r="AF131" i="90"/>
  <c r="AF127" i="90"/>
  <c r="AF123" i="90"/>
  <c r="AF119" i="90"/>
  <c r="AF115" i="90"/>
  <c r="AF111" i="90"/>
  <c r="AF107" i="90"/>
  <c r="AF103" i="90"/>
  <c r="AF99" i="90"/>
  <c r="AF95" i="90"/>
  <c r="AF91" i="90"/>
  <c r="AF87" i="90"/>
  <c r="AF83" i="90"/>
  <c r="AF79" i="90"/>
  <c r="AF75" i="90"/>
  <c r="AF71" i="90"/>
  <c r="AF67" i="90"/>
  <c r="AF63" i="90"/>
  <c r="AF59" i="90"/>
  <c r="AF55" i="90"/>
  <c r="AF51" i="90"/>
  <c r="AF47" i="90"/>
  <c r="AF43" i="90"/>
  <c r="AF39" i="90"/>
  <c r="AF35" i="90"/>
  <c r="AF31" i="90"/>
  <c r="AF27" i="90"/>
  <c r="AF23" i="90"/>
  <c r="AF19" i="90"/>
  <c r="AF15" i="90"/>
  <c r="AF11" i="90"/>
  <c r="AF7" i="90"/>
  <c r="AI1459" i="90"/>
  <c r="AI1455" i="90"/>
  <c r="AI1451" i="90"/>
  <c r="AI1447" i="90"/>
  <c r="AI1443" i="90"/>
  <c r="AI1439" i="90"/>
  <c r="AI1435" i="90"/>
  <c r="AI1431" i="90"/>
  <c r="AI1427" i="90"/>
  <c r="AI1423" i="90"/>
  <c r="AI1419" i="90"/>
  <c r="AI1415" i="90"/>
  <c r="AI1411" i="90"/>
  <c r="AI1407" i="90"/>
  <c r="AI1403" i="90"/>
  <c r="AI1399" i="90"/>
  <c r="AI1395" i="90"/>
  <c r="AI1391" i="90"/>
  <c r="AI1387" i="90"/>
  <c r="AI1383" i="90"/>
  <c r="AI1379" i="90"/>
  <c r="AI1375" i="90"/>
  <c r="AI1371" i="90"/>
  <c r="AI1367" i="90"/>
  <c r="AI1363" i="90"/>
  <c r="AI1359" i="90"/>
  <c r="AI1355" i="90"/>
  <c r="AI1351" i="90"/>
  <c r="AI1347" i="90"/>
  <c r="AI1343" i="90"/>
  <c r="AI1339" i="90"/>
  <c r="AI1335" i="90"/>
  <c r="AI1331" i="90"/>
  <c r="AI1327" i="90"/>
  <c r="AI1323" i="90"/>
  <c r="AI1319" i="90"/>
  <c r="AI1315" i="90"/>
  <c r="AI1311" i="90"/>
  <c r="AI1307" i="90"/>
  <c r="AI1303" i="90"/>
  <c r="AI1299" i="90"/>
  <c r="AI1295" i="90"/>
  <c r="AI1291" i="90"/>
  <c r="AI1287" i="90"/>
  <c r="AI1283" i="90"/>
  <c r="AI1279" i="90"/>
  <c r="AI1275" i="90"/>
  <c r="AI1271" i="90"/>
  <c r="AI1267" i="90"/>
  <c r="AI1263" i="90"/>
  <c r="AI1259" i="90"/>
  <c r="AI1255" i="90"/>
  <c r="AI1251" i="90"/>
  <c r="AI1247" i="90"/>
  <c r="AI1243" i="90"/>
  <c r="AI1239" i="90"/>
  <c r="AI1235" i="90"/>
  <c r="AI1231" i="90"/>
  <c r="AI1227" i="90"/>
  <c r="AI1223" i="90"/>
  <c r="AI1219" i="90"/>
  <c r="AI1215" i="90"/>
  <c r="AI1211" i="90"/>
  <c r="AI1207" i="90"/>
  <c r="AI1203" i="90"/>
  <c r="AI1199" i="90"/>
  <c r="AI1195" i="90"/>
  <c r="AI1191" i="90"/>
  <c r="AI1187" i="90"/>
  <c r="AI1183" i="90"/>
  <c r="AI1179" i="90"/>
  <c r="AI1175" i="90"/>
  <c r="AI1171" i="90"/>
  <c r="AI1167" i="90"/>
  <c r="AI1163" i="90"/>
  <c r="AI1159" i="90"/>
  <c r="AI1155" i="90"/>
  <c r="AI1151" i="90"/>
  <c r="AI1147" i="90"/>
  <c r="AI1143" i="90"/>
  <c r="AI1139" i="90"/>
  <c r="AI1135" i="90"/>
  <c r="AI1131" i="90"/>
  <c r="AI1127" i="90"/>
  <c r="AI1123" i="90"/>
  <c r="AI1119" i="90"/>
  <c r="AI1115" i="90"/>
  <c r="AI1111" i="90"/>
  <c r="AI1107" i="90"/>
  <c r="AI1103" i="90"/>
  <c r="AI1099" i="90"/>
  <c r="AI1095" i="90"/>
  <c r="AI1091" i="90"/>
  <c r="AI1087" i="90"/>
  <c r="AI1083" i="90"/>
  <c r="AI1079" i="90"/>
  <c r="AI1075" i="90"/>
  <c r="AI1071" i="90"/>
  <c r="AI1067" i="90"/>
  <c r="AI1063" i="90"/>
  <c r="AI1059" i="90"/>
  <c r="AI1055" i="90"/>
  <c r="AI1051" i="90"/>
  <c r="AI1047" i="90"/>
  <c r="AI1043" i="90"/>
  <c r="AI1039" i="90"/>
  <c r="AI1035" i="90"/>
  <c r="AI1031" i="90"/>
  <c r="AI1027" i="90"/>
  <c r="AI1023" i="90"/>
  <c r="AI1019" i="90"/>
  <c r="AI1015" i="90"/>
  <c r="AI1011" i="90"/>
  <c r="AI1007" i="90"/>
  <c r="AI1003" i="90"/>
  <c r="AI999" i="90"/>
  <c r="AI995" i="90"/>
  <c r="AI991" i="90"/>
  <c r="AI987" i="90"/>
  <c r="AI983" i="90"/>
  <c r="AI979" i="90"/>
  <c r="AI975" i="90"/>
  <c r="AI971" i="90"/>
  <c r="AI967" i="90"/>
  <c r="AI963" i="90"/>
  <c r="AI959" i="90"/>
  <c r="AI955" i="90"/>
  <c r="AI951" i="90"/>
  <c r="AI947" i="90"/>
  <c r="AI943" i="90"/>
  <c r="AI939" i="90"/>
  <c r="AI935" i="90"/>
  <c r="AI931" i="90"/>
  <c r="AI927" i="90"/>
  <c r="AI923" i="90"/>
  <c r="AI919" i="90"/>
  <c r="AI915" i="90"/>
  <c r="AI911" i="90"/>
  <c r="AI907" i="90"/>
  <c r="AI903" i="90"/>
  <c r="AI899" i="90"/>
  <c r="AI895" i="90"/>
  <c r="AI891" i="90"/>
  <c r="AI887" i="90"/>
  <c r="AI883" i="90"/>
  <c r="AI879" i="90"/>
  <c r="AI875" i="90"/>
  <c r="AI871" i="90"/>
  <c r="AI867" i="90"/>
  <c r="AI863" i="90"/>
  <c r="AI859" i="90"/>
  <c r="AI855" i="90"/>
  <c r="AI851" i="90"/>
  <c r="AI847" i="90"/>
  <c r="AI843" i="90"/>
  <c r="AI839" i="90"/>
  <c r="AI835" i="90"/>
  <c r="AI831" i="90"/>
  <c r="AI827" i="90"/>
  <c r="AI823" i="90"/>
  <c r="AI819" i="90"/>
  <c r="AI815" i="90"/>
  <c r="AI811" i="90"/>
  <c r="AI807" i="90"/>
  <c r="AI803" i="90"/>
  <c r="AI799" i="90"/>
  <c r="AI795" i="90"/>
  <c r="AI791" i="90"/>
  <c r="AI787" i="90"/>
  <c r="AI783" i="90"/>
  <c r="AI779" i="90"/>
  <c r="AI775" i="90"/>
  <c r="AI771" i="90"/>
  <c r="AI767" i="90"/>
  <c r="AI763" i="90"/>
  <c r="AI759" i="90"/>
  <c r="AI755" i="90"/>
  <c r="AI751" i="90"/>
  <c r="AI747" i="90"/>
  <c r="AI743" i="90"/>
  <c r="AI739" i="90"/>
  <c r="AI735" i="90"/>
  <c r="AI731" i="90"/>
  <c r="AI727" i="90"/>
  <c r="AI723" i="90"/>
  <c r="AI719" i="90"/>
  <c r="AI715" i="90"/>
  <c r="AI711" i="90"/>
  <c r="AI707" i="90"/>
  <c r="AI703" i="90"/>
  <c r="AI699" i="90"/>
  <c r="AI695" i="90"/>
  <c r="AI691" i="90"/>
  <c r="AI687" i="90"/>
  <c r="AI683" i="90"/>
  <c r="AI679" i="90"/>
  <c r="AI675" i="90"/>
  <c r="AI671" i="90"/>
  <c r="AI667" i="90"/>
  <c r="AI663" i="90"/>
  <c r="AI659" i="90"/>
  <c r="AI655" i="90"/>
  <c r="AI651" i="90"/>
  <c r="AI647" i="90"/>
  <c r="AI643" i="90"/>
  <c r="AI639" i="90"/>
  <c r="AI635" i="90"/>
  <c r="AI631" i="90"/>
  <c r="AI627" i="90"/>
  <c r="AI623" i="90"/>
  <c r="AI619" i="90"/>
  <c r="AI615" i="90"/>
  <c r="AI611" i="90"/>
  <c r="AI607" i="90"/>
  <c r="AI603" i="90"/>
  <c r="AI599" i="90"/>
  <c r="AI595" i="90"/>
  <c r="AI591" i="90"/>
  <c r="AI587" i="90"/>
  <c r="AI583" i="90"/>
  <c r="AI579" i="90"/>
  <c r="AI575" i="90"/>
  <c r="AI571" i="90"/>
  <c r="AI567" i="90"/>
  <c r="AI563" i="90"/>
  <c r="AI559" i="90"/>
  <c r="AI555" i="90"/>
  <c r="AI551" i="90"/>
  <c r="AI547" i="90"/>
  <c r="AI543" i="90"/>
  <c r="AI539" i="90"/>
  <c r="AI535" i="90"/>
  <c r="AI531" i="90"/>
  <c r="AI527" i="90"/>
  <c r="AI523" i="90"/>
  <c r="AI519" i="90"/>
  <c r="AI515" i="90"/>
  <c r="AI511" i="90"/>
  <c r="AI507" i="90"/>
  <c r="AI503" i="90"/>
  <c r="AI499" i="90"/>
  <c r="AI495" i="90"/>
  <c r="AI491" i="90"/>
  <c r="AI487" i="90"/>
  <c r="AI483" i="90"/>
  <c r="AI479" i="90"/>
  <c r="AI475" i="90"/>
  <c r="AI471" i="90"/>
  <c r="AI467" i="90"/>
  <c r="AI463" i="90"/>
  <c r="AI459" i="90"/>
  <c r="AI455" i="90"/>
  <c r="AI451" i="90"/>
  <c r="AI447" i="90"/>
  <c r="AI443" i="90"/>
  <c r="AI439" i="90"/>
  <c r="AI435" i="90"/>
  <c r="AI431" i="90"/>
  <c r="AI427" i="90"/>
  <c r="AI423" i="90"/>
  <c r="AI419" i="90"/>
  <c r="AI415" i="90"/>
  <c r="AI411" i="90"/>
  <c r="AI407" i="90"/>
  <c r="AI403" i="90"/>
  <c r="AI399" i="90"/>
  <c r="AI395" i="90"/>
  <c r="AI391" i="90"/>
  <c r="AI387" i="90"/>
  <c r="AI383" i="90"/>
  <c r="AI379" i="90"/>
  <c r="AI375" i="90"/>
  <c r="AI371" i="90"/>
  <c r="AI367" i="90"/>
  <c r="AI363" i="90"/>
  <c r="AI359" i="90"/>
  <c r="AI355" i="90"/>
  <c r="AI351" i="90"/>
  <c r="AI347" i="90"/>
  <c r="AI343" i="90"/>
  <c r="AI339" i="90"/>
  <c r="AI335" i="90"/>
  <c r="AI331" i="90"/>
  <c r="AI327" i="90"/>
  <c r="AI323" i="90"/>
  <c r="AI319" i="90"/>
  <c r="AI315" i="90"/>
  <c r="AI311" i="90"/>
  <c r="AI307" i="90"/>
  <c r="AI303" i="90"/>
  <c r="AI299" i="90"/>
  <c r="AI295" i="90"/>
  <c r="AI291" i="90"/>
  <c r="AI287" i="90"/>
  <c r="AI283" i="90"/>
  <c r="AI279" i="90"/>
  <c r="AI275" i="90"/>
  <c r="AI271" i="90"/>
  <c r="AI267" i="90"/>
  <c r="AI263" i="90"/>
  <c r="AI259" i="90"/>
  <c r="AI255" i="90"/>
  <c r="AI251" i="90"/>
  <c r="AI247" i="90"/>
  <c r="AI243" i="90"/>
  <c r="AI239" i="90"/>
  <c r="AI235" i="90"/>
  <c r="AI231" i="90"/>
  <c r="AI227" i="90"/>
  <c r="AI223" i="90"/>
  <c r="AI219" i="90"/>
  <c r="AI215" i="90"/>
  <c r="AI211" i="90"/>
  <c r="AI207" i="90"/>
  <c r="AI203" i="90"/>
  <c r="AI199" i="90"/>
  <c r="AI195" i="90"/>
  <c r="AI191" i="90"/>
  <c r="AI187" i="90"/>
  <c r="AI183" i="90"/>
  <c r="AI179" i="90"/>
  <c r="AI175" i="90"/>
  <c r="AI171" i="90"/>
  <c r="AI167" i="90"/>
  <c r="AI163" i="90"/>
  <c r="AI159" i="90"/>
  <c r="AI155" i="90"/>
  <c r="AI151" i="90"/>
  <c r="AI147" i="90"/>
  <c r="AI143" i="90"/>
  <c r="AI139" i="90"/>
  <c r="AI135" i="90"/>
  <c r="AI131" i="90"/>
  <c r="AI127" i="90"/>
  <c r="AI123" i="90"/>
  <c r="AI119" i="90"/>
  <c r="AI115" i="90"/>
  <c r="AI111" i="90"/>
  <c r="AI107" i="90"/>
  <c r="AI103" i="90"/>
  <c r="AI99" i="90"/>
  <c r="AI95" i="90"/>
  <c r="AI91" i="90"/>
  <c r="AI87" i="90"/>
  <c r="AI83" i="90"/>
  <c r="AI79" i="90"/>
  <c r="AI75" i="90"/>
  <c r="AI71" i="90"/>
  <c r="AI67" i="90"/>
  <c r="AI63" i="90"/>
  <c r="AI59" i="90"/>
  <c r="AI55" i="90"/>
  <c r="AI51" i="90"/>
  <c r="AI47" i="90"/>
  <c r="AI43" i="90"/>
  <c r="AI39" i="90"/>
  <c r="AI35" i="90"/>
  <c r="AI31" i="90"/>
  <c r="AI27" i="90"/>
  <c r="AI23" i="90"/>
  <c r="AI19" i="90"/>
  <c r="AI15" i="90"/>
  <c r="AI11" i="90"/>
  <c r="AI7" i="90"/>
  <c r="AF1458" i="90"/>
  <c r="AF1454" i="90"/>
  <c r="AF1450" i="90"/>
  <c r="AF1446" i="90"/>
  <c r="AF1442" i="90"/>
  <c r="AF1438" i="90"/>
  <c r="AF1434" i="90"/>
  <c r="AF1430" i="90"/>
  <c r="AF1426" i="90"/>
  <c r="AF1422" i="90"/>
  <c r="AF1418" i="90"/>
  <c r="AF1414" i="90"/>
  <c r="AF1410" i="90"/>
  <c r="AF1406" i="90"/>
  <c r="AF1402" i="90"/>
  <c r="AF1398" i="90"/>
  <c r="AF1394" i="90"/>
  <c r="AF1390" i="90"/>
  <c r="AF1386" i="90"/>
  <c r="AF1382" i="90"/>
  <c r="AF1378" i="90"/>
  <c r="AF1374" i="90"/>
  <c r="AF1370" i="90"/>
  <c r="AF1366" i="90"/>
  <c r="AF1362" i="90"/>
  <c r="AF1358" i="90"/>
  <c r="AF1354" i="90"/>
  <c r="AF1350" i="90"/>
  <c r="AF1346" i="90"/>
  <c r="AF1342" i="90"/>
  <c r="AF1338" i="90"/>
  <c r="AF1334" i="90"/>
  <c r="AF1330" i="90"/>
  <c r="AF1326" i="90"/>
  <c r="AF1322" i="90"/>
  <c r="AF1318" i="90"/>
  <c r="AF1314" i="90"/>
  <c r="AF1310" i="90"/>
  <c r="AF1306" i="90"/>
  <c r="AF1302" i="90"/>
  <c r="AF1298" i="90"/>
  <c r="AF1294" i="90"/>
  <c r="AF1290" i="90"/>
  <c r="AF1286" i="90"/>
  <c r="AF1282" i="90"/>
  <c r="AF1278" i="90"/>
  <c r="AF1274" i="90"/>
  <c r="AF1270" i="90"/>
  <c r="AF1266" i="90"/>
  <c r="AF1262" i="90"/>
  <c r="AF1258" i="90"/>
  <c r="AF1254" i="90"/>
  <c r="AF1250" i="90"/>
  <c r="AF1246" i="90"/>
  <c r="AF1242" i="90"/>
  <c r="AF1238" i="90"/>
  <c r="AF1234" i="90"/>
  <c r="AF1230" i="90"/>
  <c r="AF1226" i="90"/>
  <c r="AF1222" i="90"/>
  <c r="AF1218" i="90"/>
  <c r="AF1214" i="90"/>
  <c r="AF1210" i="90"/>
  <c r="AF1206" i="90"/>
  <c r="AF1202" i="90"/>
  <c r="AF1198" i="90"/>
  <c r="AF1194" i="90"/>
  <c r="AF1190" i="90"/>
  <c r="AF1186" i="90"/>
  <c r="AF1182" i="90"/>
  <c r="AF1178" i="90"/>
  <c r="AF1174" i="90"/>
  <c r="AF1170" i="90"/>
  <c r="AF1166" i="90"/>
  <c r="AF1162" i="90"/>
  <c r="AF1158" i="90"/>
  <c r="AF1154" i="90"/>
  <c r="AF1150" i="90"/>
  <c r="AF1146" i="90"/>
  <c r="AF1142" i="90"/>
  <c r="AF1138" i="90"/>
  <c r="AF1134" i="90"/>
  <c r="AF1130" i="90"/>
  <c r="AF1126" i="90"/>
  <c r="AF1122" i="90"/>
  <c r="AF1118" i="90"/>
  <c r="AF1114" i="90"/>
  <c r="AF1110" i="90"/>
  <c r="AF1106" i="90"/>
  <c r="AF1102" i="90"/>
  <c r="AF1098" i="90"/>
  <c r="AF1094" i="90"/>
  <c r="AF1090" i="90"/>
  <c r="AF1086" i="90"/>
  <c r="AF1082" i="90"/>
  <c r="AF1078" i="90"/>
  <c r="AF1074" i="90"/>
  <c r="AF1070" i="90"/>
  <c r="AF1066" i="90"/>
  <c r="AF1062" i="90"/>
  <c r="AF1058" i="90"/>
  <c r="AF1054" i="90"/>
  <c r="AF1050" i="90"/>
  <c r="AF1046" i="90"/>
  <c r="AF1042" i="90"/>
  <c r="AF1038" i="90"/>
  <c r="AF1034" i="90"/>
  <c r="AF1030" i="90"/>
  <c r="AF1026" i="90"/>
  <c r="AF1022" i="90"/>
  <c r="AF1018" i="90"/>
  <c r="AF1014" i="90"/>
  <c r="AF1010" i="90"/>
  <c r="AF1006" i="90"/>
  <c r="AF1002" i="90"/>
  <c r="AF998" i="90"/>
  <c r="AF994" i="90"/>
  <c r="AF990" i="90"/>
  <c r="AF986" i="90"/>
  <c r="AF982" i="90"/>
  <c r="AF978" i="90"/>
  <c r="AF974" i="90"/>
  <c r="AF970" i="90"/>
  <c r="AF966" i="90"/>
  <c r="AF962" i="90"/>
  <c r="AF958" i="90"/>
  <c r="AF954" i="90"/>
  <c r="AF950" i="90"/>
  <c r="AF946" i="90"/>
  <c r="AF942" i="90"/>
  <c r="AF938" i="90"/>
  <c r="AF934" i="90"/>
  <c r="AF930" i="90"/>
  <c r="AF926" i="90"/>
  <c r="AF922" i="90"/>
  <c r="AF918" i="90"/>
  <c r="AF914" i="90"/>
  <c r="AF910" i="90"/>
  <c r="AF906" i="90"/>
  <c r="AF902" i="90"/>
  <c r="AF898" i="90"/>
  <c r="AF894" i="90"/>
  <c r="AF890" i="90"/>
  <c r="AF886" i="90"/>
  <c r="AF882" i="90"/>
  <c r="AF878" i="90"/>
  <c r="AF874" i="90"/>
  <c r="AF870" i="90"/>
  <c r="AF866" i="90"/>
  <c r="AF862" i="90"/>
  <c r="AF858" i="90"/>
  <c r="AF854" i="90"/>
  <c r="AF850" i="90"/>
  <c r="AF846" i="90"/>
  <c r="AF842" i="90"/>
  <c r="AF838" i="90"/>
  <c r="AF834" i="90"/>
  <c r="AF830" i="90"/>
  <c r="AF826" i="90"/>
  <c r="AF822" i="90"/>
  <c r="AF818" i="90"/>
  <c r="AF814" i="90"/>
  <c r="AF810" i="90"/>
  <c r="AF806" i="90"/>
  <c r="AF802" i="90"/>
  <c r="AF798" i="90"/>
  <c r="AF794" i="90"/>
  <c r="AF790" i="90"/>
  <c r="AF786" i="90"/>
  <c r="AF782" i="90"/>
  <c r="AF778" i="90"/>
  <c r="AF774" i="90"/>
  <c r="AF770" i="90"/>
  <c r="AF766" i="90"/>
  <c r="AF762" i="90"/>
  <c r="AF758" i="90"/>
  <c r="AF754" i="90"/>
  <c r="AF750" i="90"/>
  <c r="AF746" i="90"/>
  <c r="AF742" i="90"/>
  <c r="AF738" i="90"/>
  <c r="AF734" i="90"/>
  <c r="AF730" i="90"/>
  <c r="AF726" i="90"/>
  <c r="AF722" i="90"/>
  <c r="AF718" i="90"/>
  <c r="AF714" i="90"/>
  <c r="AF710" i="90"/>
  <c r="AF706" i="90"/>
  <c r="AF702" i="90"/>
  <c r="AF698" i="90"/>
  <c r="AF694" i="90"/>
  <c r="AF690" i="90"/>
  <c r="AF686" i="90"/>
  <c r="AF682" i="90"/>
  <c r="AF678" i="90"/>
  <c r="AF674" i="90"/>
  <c r="AF670" i="90"/>
  <c r="AF666" i="90"/>
  <c r="AF662" i="90"/>
  <c r="AF658" i="90"/>
  <c r="AF654" i="90"/>
  <c r="AF650" i="90"/>
  <c r="AF646" i="90"/>
  <c r="AF642" i="90"/>
  <c r="AF638" i="90"/>
  <c r="AF634" i="90"/>
  <c r="AF630" i="90"/>
  <c r="AF626" i="90"/>
  <c r="AF622" i="90"/>
  <c r="AF618" i="90"/>
  <c r="AF614" i="90"/>
  <c r="AF610" i="90"/>
  <c r="AF606" i="90"/>
  <c r="AF602" i="90"/>
  <c r="AF598" i="90"/>
  <c r="AF594" i="90"/>
  <c r="AF590" i="90"/>
  <c r="AF586" i="90"/>
  <c r="AF582" i="90"/>
  <c r="AF578" i="90"/>
  <c r="AF574" i="90"/>
  <c r="AF570" i="90"/>
  <c r="AF566" i="90"/>
  <c r="AF562" i="90"/>
  <c r="AF558" i="90"/>
  <c r="AF554" i="90"/>
  <c r="AF550" i="90"/>
  <c r="AF546" i="90"/>
  <c r="AF542" i="90"/>
  <c r="AF538" i="90"/>
  <c r="AF534" i="90"/>
  <c r="AF530" i="90"/>
  <c r="AF526" i="90"/>
  <c r="AF522" i="90"/>
  <c r="AF518" i="90"/>
  <c r="AF514" i="90"/>
  <c r="AF510" i="90"/>
  <c r="AF506" i="90"/>
  <c r="AF502" i="90"/>
  <c r="AF498" i="90"/>
  <c r="AF494" i="90"/>
  <c r="AF490" i="90"/>
  <c r="AF486" i="90"/>
  <c r="AF482" i="90"/>
  <c r="AF478" i="90"/>
  <c r="AF474" i="90"/>
  <c r="AF470" i="90"/>
  <c r="AF466" i="90"/>
  <c r="AF462" i="90"/>
  <c r="AF458" i="90"/>
  <c r="AF454" i="90"/>
  <c r="AF450" i="90"/>
  <c r="AF446" i="90"/>
  <c r="AF442" i="90"/>
  <c r="AF438" i="90"/>
  <c r="AF434" i="90"/>
  <c r="AF430" i="90"/>
  <c r="AF426" i="90"/>
  <c r="AF422" i="90"/>
  <c r="AF418" i="90"/>
  <c r="AF414" i="90"/>
  <c r="AF410" i="90"/>
  <c r="AF406" i="90"/>
  <c r="AF402" i="90"/>
  <c r="AF398" i="90"/>
  <c r="AF394" i="90"/>
  <c r="AF390" i="90"/>
  <c r="AF386" i="90"/>
  <c r="AF382" i="90"/>
  <c r="AF378" i="90"/>
  <c r="AF374" i="90"/>
  <c r="AF370" i="90"/>
  <c r="AF366" i="90"/>
  <c r="AF362" i="90"/>
  <c r="AF358" i="90"/>
  <c r="AF354" i="90"/>
  <c r="AF350" i="90"/>
  <c r="AF346" i="90"/>
  <c r="AF342" i="90"/>
  <c r="AF338" i="90"/>
  <c r="AF334" i="90"/>
  <c r="AF330" i="90"/>
  <c r="AF326" i="90"/>
  <c r="AF322" i="90"/>
  <c r="AF318" i="90"/>
  <c r="AF314" i="90"/>
  <c r="AF310" i="90"/>
  <c r="AF306" i="90"/>
  <c r="AF302" i="90"/>
  <c r="AF298" i="90"/>
  <c r="AF294" i="90"/>
  <c r="AF290" i="90"/>
  <c r="AF286" i="90"/>
  <c r="AF282" i="90"/>
  <c r="AF278" i="90"/>
  <c r="AF274" i="90"/>
  <c r="AF270" i="90"/>
  <c r="AF266" i="90"/>
  <c r="AF262" i="90"/>
  <c r="AF258" i="90"/>
  <c r="AF254" i="90"/>
  <c r="AF250" i="90"/>
  <c r="AF246" i="90"/>
  <c r="AF242" i="90"/>
  <c r="AF238" i="90"/>
  <c r="AF234" i="90"/>
  <c r="AF230" i="90"/>
  <c r="AF226" i="90"/>
  <c r="AF222" i="90"/>
  <c r="AF218" i="90"/>
  <c r="AF214" i="90"/>
  <c r="AF210" i="90"/>
  <c r="AF206" i="90"/>
  <c r="AF202" i="90"/>
  <c r="AF198" i="90"/>
  <c r="AF194" i="90"/>
  <c r="AF190" i="90"/>
  <c r="AF186" i="90"/>
  <c r="AF182" i="90"/>
  <c r="AF178" i="90"/>
  <c r="AF174" i="90"/>
  <c r="AF170" i="90"/>
  <c r="AF166" i="90"/>
  <c r="AF162" i="90"/>
  <c r="AF158" i="90"/>
  <c r="AF154" i="90"/>
  <c r="AF150" i="90"/>
  <c r="AF146" i="90"/>
  <c r="AF142" i="90"/>
  <c r="AF138" i="90"/>
  <c r="AF134" i="90"/>
  <c r="AF130" i="90"/>
  <c r="AF126" i="90"/>
  <c r="AF122" i="90"/>
  <c r="AF118" i="90"/>
  <c r="AF114" i="90"/>
  <c r="AF110" i="90"/>
  <c r="AF106" i="90"/>
  <c r="AF102" i="90"/>
  <c r="AF98" i="90"/>
  <c r="AF94" i="90"/>
  <c r="AF90" i="90"/>
  <c r="AF86" i="90"/>
  <c r="AF82" i="90"/>
  <c r="AF78" i="90"/>
  <c r="AF74" i="90"/>
  <c r="AF70" i="90"/>
  <c r="AF66" i="90"/>
  <c r="AF62" i="90"/>
  <c r="AF58" i="90"/>
  <c r="AF54" i="90"/>
  <c r="AF50" i="90"/>
  <c r="AF46" i="90"/>
  <c r="AF42" i="90"/>
  <c r="AF38" i="90"/>
  <c r="AF34" i="90"/>
  <c r="AF30" i="90"/>
  <c r="AF26" i="90"/>
  <c r="AF22" i="90"/>
  <c r="AF18" i="90"/>
  <c r="AF14" i="90"/>
  <c r="AF10" i="90"/>
  <c r="AF6" i="90"/>
  <c r="AI1458" i="90"/>
  <c r="AI1454" i="90"/>
  <c r="AI1450" i="90"/>
  <c r="AI1446" i="90"/>
  <c r="AI1442" i="90"/>
  <c r="AI1438" i="90"/>
  <c r="AI1434" i="90"/>
  <c r="AI1430" i="90"/>
  <c r="AI1426" i="90"/>
  <c r="AI1422" i="90"/>
  <c r="AI1418" i="90"/>
  <c r="AI1414" i="90"/>
  <c r="AI1410" i="90"/>
  <c r="AI1406" i="90"/>
  <c r="AI1402" i="90"/>
  <c r="AI1398" i="90"/>
  <c r="AI1394" i="90"/>
  <c r="AI1390" i="90"/>
  <c r="AI1386" i="90"/>
  <c r="AI1382" i="90"/>
  <c r="AI1378" i="90"/>
  <c r="AI1374" i="90"/>
  <c r="AI1370" i="90"/>
  <c r="AI1366" i="90"/>
  <c r="AI1362" i="90"/>
  <c r="AI1358" i="90"/>
  <c r="AI1354" i="90"/>
  <c r="AI1350" i="90"/>
  <c r="AI1346" i="90"/>
  <c r="AI1342" i="90"/>
  <c r="AI1338" i="90"/>
  <c r="AI1334" i="90"/>
  <c r="AI1330" i="90"/>
  <c r="AI1326" i="90"/>
  <c r="AI1322" i="90"/>
  <c r="AI1318" i="90"/>
  <c r="AI1314" i="90"/>
  <c r="AI1310" i="90"/>
  <c r="AI1306" i="90"/>
  <c r="AI1302" i="90"/>
  <c r="AI1298" i="90"/>
  <c r="AI1294" i="90"/>
  <c r="AI1290" i="90"/>
  <c r="AI1286" i="90"/>
  <c r="AI1282" i="90"/>
  <c r="AI1278" i="90"/>
  <c r="AI1274" i="90"/>
  <c r="AI1270" i="90"/>
  <c r="AI1266" i="90"/>
  <c r="AI1262" i="90"/>
  <c r="AI1258" i="90"/>
  <c r="AI1254" i="90"/>
  <c r="AI1250" i="90"/>
  <c r="AI1246" i="90"/>
  <c r="AI1242" i="90"/>
  <c r="AI1238" i="90"/>
  <c r="AI1234" i="90"/>
  <c r="AI1230" i="90"/>
  <c r="AI1226" i="90"/>
  <c r="AI1222" i="90"/>
  <c r="AI1218" i="90"/>
  <c r="AI1214" i="90"/>
  <c r="AI1210" i="90"/>
  <c r="AI1206" i="90"/>
  <c r="AI1202" i="90"/>
  <c r="AI1198" i="90"/>
  <c r="AI1194" i="90"/>
  <c r="AI1190" i="90"/>
  <c r="AI1186" i="90"/>
  <c r="AI1182" i="90"/>
  <c r="AI1178" i="90"/>
  <c r="AI1174" i="90"/>
  <c r="AI1170" i="90"/>
  <c r="AI1166" i="90"/>
  <c r="AI1162" i="90"/>
  <c r="AI1158" i="90"/>
  <c r="AI1154" i="90"/>
  <c r="AI1150" i="90"/>
  <c r="AI1146" i="90"/>
  <c r="AI1142" i="90"/>
  <c r="AI1138" i="90"/>
  <c r="AI1134" i="90"/>
  <c r="AI1130" i="90"/>
  <c r="AI1126" i="90"/>
  <c r="AI1122" i="90"/>
  <c r="AI1118" i="90"/>
  <c r="AI1114" i="90"/>
  <c r="AI1110" i="90"/>
  <c r="AI1106" i="90"/>
  <c r="AI1102" i="90"/>
  <c r="AI1098" i="90"/>
  <c r="AI1094" i="90"/>
  <c r="AI1090" i="90"/>
  <c r="AI1086" i="90"/>
  <c r="AI1082" i="90"/>
  <c r="AI1078" i="90"/>
  <c r="AI1074" i="90"/>
  <c r="AI1070" i="90"/>
  <c r="AI1066" i="90"/>
  <c r="AI1062" i="90"/>
  <c r="AI1058" i="90"/>
  <c r="AI1054" i="90"/>
  <c r="AI1050" i="90"/>
  <c r="AI1046" i="90"/>
  <c r="AI1042" i="90"/>
  <c r="AI1038" i="90"/>
  <c r="AI1034" i="90"/>
  <c r="AI1030" i="90"/>
  <c r="AI1026" i="90"/>
  <c r="AI1022" i="90"/>
  <c r="AI1018" i="90"/>
  <c r="AI1014" i="90"/>
  <c r="AI1010" i="90"/>
  <c r="AI1006" i="90"/>
  <c r="AI1002" i="90"/>
  <c r="AI998" i="90"/>
  <c r="AI994" i="90"/>
  <c r="AI990" i="90"/>
  <c r="AI986" i="90"/>
  <c r="AI982" i="90"/>
  <c r="AI978" i="90"/>
  <c r="AI974" i="90"/>
  <c r="AI970" i="90"/>
  <c r="AI966" i="90"/>
  <c r="AI962" i="90"/>
  <c r="AI958" i="90"/>
  <c r="AI954" i="90"/>
  <c r="AI950" i="90"/>
  <c r="AI946" i="90"/>
  <c r="AI942" i="90"/>
  <c r="AI938" i="90"/>
  <c r="AI934" i="90"/>
  <c r="AI930" i="90"/>
  <c r="AI926" i="90"/>
  <c r="AI922" i="90"/>
  <c r="AI918" i="90"/>
  <c r="AI914" i="90"/>
  <c r="AI910" i="90"/>
  <c r="AI906" i="90"/>
  <c r="AI902" i="90"/>
  <c r="AI898" i="90"/>
  <c r="AI894" i="90"/>
  <c r="AI890" i="90"/>
  <c r="AI886" i="90"/>
  <c r="AI882" i="90"/>
  <c r="AI878" i="90"/>
  <c r="AI874" i="90"/>
  <c r="AI870" i="90"/>
  <c r="AI866" i="90"/>
  <c r="AI862" i="90"/>
  <c r="AI858" i="90"/>
  <c r="AI854" i="90"/>
  <c r="AI850" i="90"/>
  <c r="AI846" i="90"/>
  <c r="AI842" i="90"/>
  <c r="AI838" i="90"/>
  <c r="AI834" i="90"/>
  <c r="AI830" i="90"/>
  <c r="AI826" i="90"/>
  <c r="AI822" i="90"/>
  <c r="AI818" i="90"/>
  <c r="AI814" i="90"/>
  <c r="AI810" i="90"/>
  <c r="AI806" i="90"/>
  <c r="AI802" i="90"/>
  <c r="AI798" i="90"/>
  <c r="AI794" i="90"/>
  <c r="AI790" i="90"/>
  <c r="AI786" i="90"/>
  <c r="AI782" i="90"/>
  <c r="AI778" i="90"/>
  <c r="AI774" i="90"/>
  <c r="AI770" i="90"/>
  <c r="AI766" i="90"/>
  <c r="AI762" i="90"/>
  <c r="AI758" i="90"/>
  <c r="AI754" i="90"/>
  <c r="AI750" i="90"/>
  <c r="AI746" i="90"/>
  <c r="AI742" i="90"/>
  <c r="AI738" i="90"/>
  <c r="AI734" i="90"/>
  <c r="AI730" i="90"/>
  <c r="AI726" i="90"/>
  <c r="AI722" i="90"/>
  <c r="AI718" i="90"/>
  <c r="AI714" i="90"/>
  <c r="AI710" i="90"/>
  <c r="AI706" i="90"/>
  <c r="AI702" i="90"/>
  <c r="AI698" i="90"/>
  <c r="AI694" i="90"/>
  <c r="AI690" i="90"/>
  <c r="AI686" i="90"/>
  <c r="AI682" i="90"/>
  <c r="AI678" i="90"/>
  <c r="AI674" i="90"/>
  <c r="AI670" i="90"/>
  <c r="AI666" i="90"/>
  <c r="AI662" i="90"/>
  <c r="AI658" i="90"/>
  <c r="AI654" i="90"/>
  <c r="AI650" i="90"/>
  <c r="AI646" i="90"/>
  <c r="AI642" i="90"/>
  <c r="AI638" i="90"/>
  <c r="AI634" i="90"/>
  <c r="AI630" i="90"/>
  <c r="AI626" i="90"/>
  <c r="AI622" i="90"/>
  <c r="AI618" i="90"/>
  <c r="AI614" i="90"/>
  <c r="AI610" i="90"/>
  <c r="AI606" i="90"/>
  <c r="AI602" i="90"/>
  <c r="AI598" i="90"/>
  <c r="AI594" i="90"/>
  <c r="AI590" i="90"/>
  <c r="AI586" i="90"/>
  <c r="AI582" i="90"/>
  <c r="AI578" i="90"/>
  <c r="AI574" i="90"/>
  <c r="AI570" i="90"/>
  <c r="AI566" i="90"/>
  <c r="AI562" i="90"/>
  <c r="AI558" i="90"/>
  <c r="AI554" i="90"/>
  <c r="AI550" i="90"/>
  <c r="AI546" i="90"/>
  <c r="AI542" i="90"/>
  <c r="AI538" i="90"/>
  <c r="AI534" i="90"/>
  <c r="AI530" i="90"/>
  <c r="AI526" i="90"/>
  <c r="AI522" i="90"/>
  <c r="AI518" i="90"/>
  <c r="AI514" i="90"/>
  <c r="AI510" i="90"/>
  <c r="AI506" i="90"/>
  <c r="AI502" i="90"/>
  <c r="AI498" i="90"/>
  <c r="AI494" i="90"/>
  <c r="AI490" i="90"/>
  <c r="AI486" i="90"/>
  <c r="AI482" i="90"/>
  <c r="AI478" i="90"/>
  <c r="AI474" i="90"/>
  <c r="AI470" i="90"/>
  <c r="AI466" i="90"/>
  <c r="AI462" i="90"/>
  <c r="AI458" i="90"/>
  <c r="AI454" i="90"/>
  <c r="AI450" i="90"/>
  <c r="AI446" i="90"/>
  <c r="AI442" i="90"/>
  <c r="AI438" i="90"/>
  <c r="AI434" i="90"/>
  <c r="AI430" i="90"/>
  <c r="AI426" i="90"/>
  <c r="AI422" i="90"/>
  <c r="AI418" i="90"/>
  <c r="AI414" i="90"/>
  <c r="AI410" i="90"/>
  <c r="AI406" i="90"/>
  <c r="AI402" i="90"/>
  <c r="AI398" i="90"/>
  <c r="AI394" i="90"/>
  <c r="AI390" i="90"/>
  <c r="AI386" i="90"/>
  <c r="AI382" i="90"/>
  <c r="AI378" i="90"/>
  <c r="AI374" i="90"/>
  <c r="AI370" i="90"/>
  <c r="AI366" i="90"/>
  <c r="AI362" i="90"/>
  <c r="AI358" i="90"/>
  <c r="AI354" i="90"/>
  <c r="AI350" i="90"/>
  <c r="AI346" i="90"/>
  <c r="AI342" i="90"/>
  <c r="AI338" i="90"/>
  <c r="AI334" i="90"/>
  <c r="AI330" i="90"/>
  <c r="AI326" i="90"/>
  <c r="AI322" i="90"/>
  <c r="AI318" i="90"/>
  <c r="AI314" i="90"/>
  <c r="AI310" i="90"/>
  <c r="AI306" i="90"/>
  <c r="AI302" i="90"/>
  <c r="AI298" i="90"/>
  <c r="AI294" i="90"/>
  <c r="AI290" i="90"/>
  <c r="AI286" i="90"/>
  <c r="AI282" i="90"/>
  <c r="AI278" i="90"/>
  <c r="AI274" i="90"/>
  <c r="AI270" i="90"/>
  <c r="AI266" i="90"/>
  <c r="AI262" i="90"/>
  <c r="AI258" i="90"/>
  <c r="AI254" i="90"/>
  <c r="AI250" i="90"/>
  <c r="AI246" i="90"/>
  <c r="AI242" i="90"/>
  <c r="AI238" i="90"/>
  <c r="AI234" i="90"/>
  <c r="AI230" i="90"/>
  <c r="AI226" i="90"/>
  <c r="AI222" i="90"/>
  <c r="AI218" i="90"/>
  <c r="AI214" i="90"/>
  <c r="AI210" i="90"/>
  <c r="AI206" i="90"/>
  <c r="AI202" i="90"/>
  <c r="AI198" i="90"/>
  <c r="AI194" i="90"/>
  <c r="AI190" i="90"/>
  <c r="AI186" i="90"/>
  <c r="AI182" i="90"/>
  <c r="AI178" i="90"/>
  <c r="AI174" i="90"/>
  <c r="AI170" i="90"/>
  <c r="AI166" i="90"/>
  <c r="AI162" i="90"/>
  <c r="AI158" i="90"/>
  <c r="AI154" i="90"/>
  <c r="AI150" i="90"/>
  <c r="AI146" i="90"/>
  <c r="AI142" i="90"/>
  <c r="AI138" i="90"/>
  <c r="AI134" i="90"/>
  <c r="AI130" i="90"/>
  <c r="AI126" i="90"/>
  <c r="AI122" i="90"/>
  <c r="AI118" i="90"/>
  <c r="AI114" i="90"/>
  <c r="AI110" i="90"/>
  <c r="AI106" i="90"/>
  <c r="AI102" i="90"/>
  <c r="AI98" i="90"/>
  <c r="AI94" i="90"/>
  <c r="AI90" i="90"/>
  <c r="AI86" i="90"/>
  <c r="AI82" i="90"/>
  <c r="AI78" i="90"/>
  <c r="AI74" i="90"/>
  <c r="AI70" i="90"/>
  <c r="AI66" i="90"/>
  <c r="AI62" i="90"/>
  <c r="AI58" i="90"/>
  <c r="AI54" i="90"/>
  <c r="AI50" i="90"/>
  <c r="AI46" i="90"/>
  <c r="AI42" i="90"/>
  <c r="AI38" i="90"/>
  <c r="AI34" i="90"/>
  <c r="AI30" i="90"/>
  <c r="AI26" i="90"/>
  <c r="AI22" i="90"/>
  <c r="AI18" i="90"/>
  <c r="AI14" i="90"/>
  <c r="AI10" i="90"/>
  <c r="AI6" i="90"/>
  <c r="AL1065" i="90"/>
  <c r="AL761" i="90" l="1"/>
  <c r="AL473" i="90"/>
  <c r="AL505" i="90"/>
  <c r="AL601" i="90"/>
  <c r="AL1225" i="90"/>
  <c r="AN1417" i="90"/>
  <c r="AO1417" i="90"/>
  <c r="AN1449" i="90"/>
  <c r="AL729" i="90"/>
  <c r="AL1161" i="90"/>
  <c r="AL1289" i="90"/>
  <c r="AL1337" i="90"/>
  <c r="AL489" i="90"/>
  <c r="AL521" i="90"/>
  <c r="AN1353" i="90"/>
  <c r="AL1401" i="90"/>
  <c r="AN1129" i="90"/>
  <c r="AO1129" i="90"/>
  <c r="AN1241" i="90"/>
  <c r="AN521" i="90"/>
  <c r="AL1305" i="90"/>
  <c r="AN889" i="90"/>
  <c r="AO889" i="90"/>
  <c r="AL953" i="90"/>
  <c r="AN1321" i="90"/>
  <c r="AO1321" i="90"/>
  <c r="AL1369" i="90"/>
  <c r="AL1417" i="90"/>
  <c r="AL665" i="90"/>
  <c r="AL857" i="90"/>
  <c r="AL937" i="90"/>
  <c r="AL569" i="90"/>
  <c r="AN617" i="90"/>
  <c r="AL697" i="90"/>
  <c r="AL777" i="90"/>
  <c r="AL825" i="90"/>
  <c r="AN1305" i="90"/>
  <c r="AO1305" i="90"/>
  <c r="AN473" i="90"/>
  <c r="AO473" i="90"/>
  <c r="AL633" i="90"/>
  <c r="AL713" i="90"/>
  <c r="AN1145" i="90"/>
  <c r="AL681" i="90"/>
  <c r="AL889" i="90"/>
  <c r="AN1017" i="90"/>
  <c r="AO1017" i="90"/>
  <c r="AL1081" i="90"/>
  <c r="AL905" i="90"/>
  <c r="AL1193" i="90"/>
  <c r="AN745" i="90"/>
  <c r="AO745" i="90"/>
  <c r="AN777" i="90"/>
  <c r="AN825" i="90"/>
  <c r="AL1001" i="90"/>
  <c r="AL1113" i="90"/>
  <c r="AL1209" i="90"/>
  <c r="AN1401" i="90"/>
  <c r="AN1433" i="90"/>
  <c r="AO1433" i="90"/>
  <c r="AY160" i="90"/>
  <c r="AY176" i="90"/>
  <c r="AH69" i="90"/>
  <c r="AH133" i="90"/>
  <c r="AH197" i="90"/>
  <c r="AH261" i="90"/>
  <c r="AH325" i="90"/>
  <c r="AH405" i="90"/>
  <c r="AY66" i="90"/>
  <c r="AY130" i="90"/>
  <c r="AY194" i="90"/>
  <c r="AY262" i="90"/>
  <c r="AY282" i="90"/>
  <c r="AH37" i="90"/>
  <c r="AH101" i="90"/>
  <c r="AH165" i="90"/>
  <c r="AH229" i="90"/>
  <c r="AH293" i="90"/>
  <c r="AH357" i="90"/>
  <c r="AH437" i="90"/>
  <c r="AY34" i="90"/>
  <c r="AY98" i="90"/>
  <c r="AY162" i="90"/>
  <c r="AY230" i="90"/>
  <c r="AJ905" i="90"/>
  <c r="AE1161" i="90"/>
  <c r="AO1161" i="90" s="1"/>
  <c r="AC649" i="90"/>
  <c r="AY46" i="90"/>
  <c r="AY110" i="90"/>
  <c r="AY174" i="90"/>
  <c r="AY234" i="90"/>
  <c r="AH473" i="90"/>
  <c r="AH729" i="90"/>
  <c r="AH985" i="90"/>
  <c r="AH1241" i="90"/>
  <c r="AY219" i="90"/>
  <c r="AY298" i="90"/>
  <c r="AY362" i="90"/>
  <c r="AY426" i="90"/>
  <c r="AY490" i="90"/>
  <c r="AY554" i="90"/>
  <c r="AY292" i="90"/>
  <c r="AY308" i="90"/>
  <c r="AY324" i="90"/>
  <c r="AY340" i="90"/>
  <c r="AY356" i="90"/>
  <c r="AY372" i="90"/>
  <c r="AY388" i="90"/>
  <c r="AY404" i="90"/>
  <c r="AY420" i="90"/>
  <c r="AY436" i="90"/>
  <c r="AY452" i="90"/>
  <c r="AY468" i="90"/>
  <c r="AY484" i="90"/>
  <c r="AY500" i="90"/>
  <c r="AY516" i="90"/>
  <c r="AY532" i="90"/>
  <c r="AY548" i="90"/>
  <c r="AY564" i="90"/>
  <c r="AC905" i="90"/>
  <c r="AJ1161" i="90"/>
  <c r="AD649" i="90"/>
  <c r="AY62" i="90"/>
  <c r="AY126" i="90"/>
  <c r="AY190" i="90"/>
  <c r="AY203" i="90"/>
  <c r="AH617" i="90"/>
  <c r="AH873" i="90"/>
  <c r="AH1129" i="90"/>
  <c r="AH1385" i="90"/>
  <c r="AY220" i="90"/>
  <c r="AY252" i="90"/>
  <c r="AY283" i="90"/>
  <c r="AY299" i="90"/>
  <c r="AY315" i="90"/>
  <c r="AY331" i="90"/>
  <c r="AY347" i="90"/>
  <c r="AY363" i="90"/>
  <c r="AY379" i="90"/>
  <c r="AY395" i="90"/>
  <c r="AY411" i="90"/>
  <c r="AY427" i="90"/>
  <c r="AY443" i="90"/>
  <c r="AY459" i="90"/>
  <c r="AY475" i="90"/>
  <c r="AY491" i="90"/>
  <c r="AY507" i="90"/>
  <c r="AY523" i="90"/>
  <c r="AY539" i="90"/>
  <c r="AY555" i="90"/>
  <c r="AY14" i="90"/>
  <c r="AY78" i="90"/>
  <c r="AY142" i="90"/>
  <c r="AY266" i="90"/>
  <c r="AY285" i="90"/>
  <c r="AY301" i="90"/>
  <c r="AY317" i="90"/>
  <c r="AY333" i="90"/>
  <c r="AY349" i="90"/>
  <c r="AY365" i="90"/>
  <c r="AY381" i="90"/>
  <c r="AY397" i="90"/>
  <c r="AY413" i="90"/>
  <c r="AY429" i="90"/>
  <c r="AY445" i="90"/>
  <c r="AY461" i="90"/>
  <c r="AY477" i="90"/>
  <c r="AY493" i="90"/>
  <c r="AY509" i="90"/>
  <c r="AY525" i="90"/>
  <c r="AY541" i="90"/>
  <c r="AY557" i="90"/>
  <c r="AY251" i="90"/>
  <c r="AY306" i="90"/>
  <c r="AY370" i="90"/>
  <c r="AY231" i="90"/>
  <c r="AY263" i="90"/>
  <c r="AY284" i="90"/>
  <c r="AY300" i="90"/>
  <c r="AY316" i="90"/>
  <c r="AY332" i="90"/>
  <c r="AY348" i="90"/>
  <c r="AY364" i="90"/>
  <c r="AY380" i="90"/>
  <c r="AY396" i="90"/>
  <c r="AY412" i="90"/>
  <c r="AY428" i="90"/>
  <c r="AY444" i="90"/>
  <c r="AY460" i="90"/>
  <c r="AY476" i="90"/>
  <c r="AY492" i="90"/>
  <c r="AY508" i="90"/>
  <c r="AY524" i="90"/>
  <c r="AY540" i="90"/>
  <c r="AY556" i="90"/>
  <c r="AY180" i="90"/>
  <c r="AY20" i="90"/>
  <c r="AY36" i="90"/>
  <c r="AY52" i="90"/>
  <c r="AY68" i="90"/>
  <c r="AN1225" i="90"/>
  <c r="AE809" i="90"/>
  <c r="AO809" i="90" s="1"/>
  <c r="AD841" i="90"/>
  <c r="AE1065" i="90"/>
  <c r="AE1177" i="90"/>
  <c r="AO1177" i="90" s="1"/>
  <c r="AD1321" i="90"/>
  <c r="AH65" i="90"/>
  <c r="AH129" i="90"/>
  <c r="AH193" i="90"/>
  <c r="AH257" i="90"/>
  <c r="AH321" i="90"/>
  <c r="AH449" i="90"/>
  <c r="AD585" i="90"/>
  <c r="AE665" i="90"/>
  <c r="AE1097" i="90"/>
  <c r="AO1097" i="90" s="1"/>
  <c r="AD1433" i="90"/>
  <c r="AD553" i="90"/>
  <c r="AE921" i="90"/>
  <c r="AO921" i="90" s="1"/>
  <c r="AD1353" i="90"/>
  <c r="AH665" i="90"/>
  <c r="AH921" i="90"/>
  <c r="AH1177" i="90"/>
  <c r="AH1433" i="90"/>
  <c r="AY294" i="90"/>
  <c r="AY358" i="90"/>
  <c r="AY422" i="90"/>
  <c r="AY486" i="90"/>
  <c r="AY550" i="90"/>
  <c r="AJ809" i="90"/>
  <c r="AJ841" i="90"/>
  <c r="AJ1065" i="90"/>
  <c r="AJ1177" i="90"/>
  <c r="AJ1321" i="90"/>
  <c r="AH17" i="90"/>
  <c r="AH81" i="90"/>
  <c r="AH145" i="90"/>
  <c r="AH209" i="90"/>
  <c r="AH273" i="90"/>
  <c r="AH337" i="90"/>
  <c r="AH401" i="90"/>
  <c r="AJ585" i="90"/>
  <c r="AJ665" i="90"/>
  <c r="AJ1097" i="90"/>
  <c r="AJ1433" i="90"/>
  <c r="AH485" i="90"/>
  <c r="AH549" i="90"/>
  <c r="AH613" i="90"/>
  <c r="AH677" i="90"/>
  <c r="AH741" i="90"/>
  <c r="AJ553" i="90"/>
  <c r="AJ921" i="90"/>
  <c r="AJ1353" i="90"/>
  <c r="AY346" i="90"/>
  <c r="AY410" i="90"/>
  <c r="AY474" i="90"/>
  <c r="AY538" i="90"/>
  <c r="AH553" i="90"/>
  <c r="AH809" i="90"/>
  <c r="AH1065" i="90"/>
  <c r="AH1321" i="90"/>
  <c r="AH381" i="90"/>
  <c r="AH33" i="90"/>
  <c r="AH97" i="90"/>
  <c r="AH161" i="90"/>
  <c r="AH225" i="90"/>
  <c r="AH289" i="90"/>
  <c r="AH353" i="90"/>
  <c r="AH417" i="90"/>
  <c r="AH1329" i="90"/>
  <c r="AH1393" i="90"/>
  <c r="AH1457" i="90"/>
  <c r="AH501" i="90"/>
  <c r="AH565" i="90"/>
  <c r="AH629" i="90"/>
  <c r="AH693" i="90"/>
  <c r="AH757" i="90"/>
  <c r="AH821" i="90"/>
  <c r="AH885" i="90"/>
  <c r="AH949" i="90"/>
  <c r="AH1013" i="90"/>
  <c r="AH1077" i="90"/>
  <c r="AH1141" i="90"/>
  <c r="AH1205" i="90"/>
  <c r="AH1269" i="90"/>
  <c r="AH1333" i="90"/>
  <c r="AH1397" i="90"/>
  <c r="AH5" i="90"/>
  <c r="AY238" i="90"/>
  <c r="AY84" i="90"/>
  <c r="AY100" i="90"/>
  <c r="AY116" i="90"/>
  <c r="AY132" i="90"/>
  <c r="AY148" i="90"/>
  <c r="AY164" i="90"/>
  <c r="AY196" i="90"/>
  <c r="AU264" i="90"/>
  <c r="AT264" i="90"/>
  <c r="AZ264" i="90" s="1"/>
  <c r="AU334" i="90"/>
  <c r="AT334" i="90"/>
  <c r="AZ334" i="90" s="1"/>
  <c r="AU398" i="90"/>
  <c r="AT398" i="90"/>
  <c r="AZ398" i="90" s="1"/>
  <c r="AU462" i="90"/>
  <c r="AT462" i="90"/>
  <c r="AZ462" i="90" s="1"/>
  <c r="AU526" i="90"/>
  <c r="BC526" i="90" s="1"/>
  <c r="AT526" i="90"/>
  <c r="AZ526" i="90" s="1"/>
  <c r="AU21" i="90"/>
  <c r="AT21" i="90"/>
  <c r="AZ21" i="90" s="1"/>
  <c r="AU37" i="90"/>
  <c r="AT37" i="90"/>
  <c r="AZ37" i="90" s="1"/>
  <c r="AU53" i="90"/>
  <c r="AT53" i="90"/>
  <c r="AZ53" i="90" s="1"/>
  <c r="AU69" i="90"/>
  <c r="AT69" i="90"/>
  <c r="AZ69" i="90" s="1"/>
  <c r="AU85" i="90"/>
  <c r="BC85" i="90" s="1"/>
  <c r="AT85" i="90"/>
  <c r="BA85" i="90" s="1"/>
  <c r="AU101" i="90"/>
  <c r="AT101" i="90"/>
  <c r="AZ101" i="90" s="1"/>
  <c r="AU117" i="90"/>
  <c r="AT117" i="90"/>
  <c r="AZ117" i="90" s="1"/>
  <c r="AU133" i="90"/>
  <c r="AT133" i="90"/>
  <c r="AZ133" i="90" s="1"/>
  <c r="AU149" i="90"/>
  <c r="AT149" i="90"/>
  <c r="AZ149" i="90" s="1"/>
  <c r="AU165" i="90"/>
  <c r="BC165" i="90" s="1"/>
  <c r="AT165" i="90"/>
  <c r="BA165" i="90" s="1"/>
  <c r="AU181" i="90"/>
  <c r="AT181" i="90"/>
  <c r="AZ181" i="90" s="1"/>
  <c r="AU197" i="90"/>
  <c r="AT197" i="90"/>
  <c r="AZ197" i="90" s="1"/>
  <c r="AU213" i="90"/>
  <c r="AT213" i="90"/>
  <c r="AZ213" i="90" s="1"/>
  <c r="AU229" i="90"/>
  <c r="AT229" i="90"/>
  <c r="AZ229" i="90" s="1"/>
  <c r="AU245" i="90"/>
  <c r="BC245" i="90" s="1"/>
  <c r="AT245" i="90"/>
  <c r="BA245" i="90" s="1"/>
  <c r="AU261" i="90"/>
  <c r="AT261" i="90"/>
  <c r="AZ261" i="90" s="1"/>
  <c r="AU277" i="90"/>
  <c r="AT277" i="90"/>
  <c r="AZ277" i="90" s="1"/>
  <c r="AU285" i="90"/>
  <c r="BC285" i="90" s="1"/>
  <c r="AT285" i="90"/>
  <c r="BA285" i="90" s="1"/>
  <c r="AU293" i="90"/>
  <c r="AT293" i="90"/>
  <c r="AZ293" i="90" s="1"/>
  <c r="AU301" i="90"/>
  <c r="AT301" i="90"/>
  <c r="AZ301" i="90" s="1"/>
  <c r="AU309" i="90"/>
  <c r="AT309" i="90"/>
  <c r="AZ309" i="90" s="1"/>
  <c r="AU317" i="90"/>
  <c r="AT317" i="90"/>
  <c r="AZ317" i="90" s="1"/>
  <c r="AU325" i="90"/>
  <c r="BC325" i="90" s="1"/>
  <c r="AT325" i="90"/>
  <c r="BA325" i="90" s="1"/>
  <c r="AU333" i="90"/>
  <c r="AT333" i="90"/>
  <c r="AZ333" i="90" s="1"/>
  <c r="AU341" i="90"/>
  <c r="AT341" i="90"/>
  <c r="AZ341" i="90" s="1"/>
  <c r="AU349" i="90"/>
  <c r="AT349" i="90"/>
  <c r="AZ349" i="90" s="1"/>
  <c r="AU357" i="90"/>
  <c r="AT357" i="90"/>
  <c r="AZ357" i="90" s="1"/>
  <c r="AU365" i="90"/>
  <c r="BC365" i="90" s="1"/>
  <c r="AT365" i="90"/>
  <c r="BA365" i="90" s="1"/>
  <c r="AU373" i="90"/>
  <c r="AT373" i="90"/>
  <c r="AZ373" i="90" s="1"/>
  <c r="AU381" i="90"/>
  <c r="AT381" i="90"/>
  <c r="AZ381" i="90" s="1"/>
  <c r="AU389" i="90"/>
  <c r="AT389" i="90"/>
  <c r="AZ389" i="90" s="1"/>
  <c r="AU397" i="90"/>
  <c r="AT397" i="90"/>
  <c r="AZ397" i="90" s="1"/>
  <c r="AT405" i="90"/>
  <c r="BA405" i="90" s="1"/>
  <c r="AU405" i="90"/>
  <c r="BC405" i="90" s="1"/>
  <c r="AU413" i="90"/>
  <c r="AT413" i="90"/>
  <c r="AZ413" i="90" s="1"/>
  <c r="AU421" i="90"/>
  <c r="AT421" i="90"/>
  <c r="AZ421" i="90" s="1"/>
  <c r="AU429" i="90"/>
  <c r="AT429" i="90"/>
  <c r="AZ429" i="90" s="1"/>
  <c r="AU437" i="90"/>
  <c r="AT437" i="90"/>
  <c r="AZ437" i="90" s="1"/>
  <c r="AU445" i="90"/>
  <c r="BC445" i="90" s="1"/>
  <c r="AT445" i="90"/>
  <c r="BA445" i="90" s="1"/>
  <c r="AU453" i="90"/>
  <c r="AT453" i="90"/>
  <c r="AZ453" i="90" s="1"/>
  <c r="AU461" i="90"/>
  <c r="AT461" i="90"/>
  <c r="AZ461" i="90" s="1"/>
  <c r="AU469" i="90"/>
  <c r="AT469" i="90"/>
  <c r="AZ469" i="90" s="1"/>
  <c r="AU477" i="90"/>
  <c r="AT477" i="90"/>
  <c r="AZ477" i="90" s="1"/>
  <c r="AU485" i="90"/>
  <c r="BC485" i="90" s="1"/>
  <c r="AT485" i="90"/>
  <c r="BA485" i="90" s="1"/>
  <c r="AU493" i="90"/>
  <c r="AT493" i="90"/>
  <c r="AZ493" i="90" s="1"/>
  <c r="AU501" i="90"/>
  <c r="AT501" i="90"/>
  <c r="AZ501" i="90" s="1"/>
  <c r="AU509" i="90"/>
  <c r="AT509" i="90"/>
  <c r="AZ509" i="90" s="1"/>
  <c r="AU517" i="90"/>
  <c r="AT517" i="90"/>
  <c r="AZ517" i="90" s="1"/>
  <c r="AU525" i="90"/>
  <c r="BC525" i="90" s="1"/>
  <c r="AT525" i="90"/>
  <c r="BA525" i="90" s="1"/>
  <c r="AU533" i="90"/>
  <c r="AT533" i="90"/>
  <c r="AZ533" i="90" s="1"/>
  <c r="AU541" i="90"/>
  <c r="AT541" i="90"/>
  <c r="AZ541" i="90" s="1"/>
  <c r="AU549" i="90"/>
  <c r="AT549" i="90"/>
  <c r="AZ549" i="90" s="1"/>
  <c r="AU557" i="90"/>
  <c r="AT557" i="90"/>
  <c r="AZ557" i="90" s="1"/>
  <c r="AU5" i="90"/>
  <c r="BC5" i="90" s="1"/>
  <c r="AT5" i="90"/>
  <c r="BA5" i="90" s="1"/>
  <c r="AU290" i="90"/>
  <c r="AT290" i="90"/>
  <c r="AZ290" i="90" s="1"/>
  <c r="AU354" i="90"/>
  <c r="AT354" i="90"/>
  <c r="AZ354" i="90" s="1"/>
  <c r="AU418" i="90"/>
  <c r="AT418" i="90"/>
  <c r="AZ418" i="90" s="1"/>
  <c r="AU482" i="90"/>
  <c r="AT482" i="90"/>
  <c r="AZ482" i="90" s="1"/>
  <c r="AT546" i="90"/>
  <c r="AZ546" i="90" s="1"/>
  <c r="AU546" i="90"/>
  <c r="BC546" i="90" s="1"/>
  <c r="AU6" i="90"/>
  <c r="BC6" i="90" s="1"/>
  <c r="AU14" i="90"/>
  <c r="AT14" i="90"/>
  <c r="AZ14" i="90" s="1"/>
  <c r="AU22" i="90"/>
  <c r="AT22" i="90"/>
  <c r="AZ22" i="90" s="1"/>
  <c r="AU30" i="90"/>
  <c r="AT30" i="90"/>
  <c r="AZ30" i="90" s="1"/>
  <c r="AU38" i="90"/>
  <c r="AT38" i="90"/>
  <c r="AZ38" i="90" s="1"/>
  <c r="AU46" i="90"/>
  <c r="BC46" i="90" s="1"/>
  <c r="AT46" i="90"/>
  <c r="AZ46" i="90" s="1"/>
  <c r="AU54" i="90"/>
  <c r="AT54" i="90"/>
  <c r="AZ54" i="90" s="1"/>
  <c r="AU62" i="90"/>
  <c r="AT62" i="90"/>
  <c r="AZ62" i="90" s="1"/>
  <c r="AU70" i="90"/>
  <c r="AT70" i="90"/>
  <c r="AZ70" i="90" s="1"/>
  <c r="AU78" i="90"/>
  <c r="AT78" i="90"/>
  <c r="AZ78" i="90" s="1"/>
  <c r="AU86" i="90"/>
  <c r="BC86" i="90" s="1"/>
  <c r="AT86" i="90"/>
  <c r="AZ86" i="90" s="1"/>
  <c r="AU94" i="90"/>
  <c r="AT94" i="90"/>
  <c r="AZ94" i="90" s="1"/>
  <c r="AU102" i="90"/>
  <c r="AT102" i="90"/>
  <c r="AZ102" i="90" s="1"/>
  <c r="AU110" i="90"/>
  <c r="AT110" i="90"/>
  <c r="AZ110" i="90" s="1"/>
  <c r="AU118" i="90"/>
  <c r="AT118" i="90"/>
  <c r="AZ118" i="90" s="1"/>
  <c r="AU126" i="90"/>
  <c r="BC126" i="90" s="1"/>
  <c r="AT126" i="90"/>
  <c r="AZ126" i="90" s="1"/>
  <c r="AU134" i="90"/>
  <c r="AT134" i="90"/>
  <c r="AZ134" i="90" s="1"/>
  <c r="AU142" i="90"/>
  <c r="AT142" i="90"/>
  <c r="AZ142" i="90" s="1"/>
  <c r="AU150" i="90"/>
  <c r="AT150" i="90"/>
  <c r="AZ150" i="90" s="1"/>
  <c r="AU158" i="90"/>
  <c r="AT158" i="90"/>
  <c r="AZ158" i="90" s="1"/>
  <c r="AU166" i="90"/>
  <c r="BC166" i="90" s="1"/>
  <c r="AT166" i="90"/>
  <c r="AZ166" i="90" s="1"/>
  <c r="AU174" i="90"/>
  <c r="AT174" i="90"/>
  <c r="AZ174" i="90" s="1"/>
  <c r="AU182" i="90"/>
  <c r="AT182" i="90"/>
  <c r="AZ182" i="90" s="1"/>
  <c r="AU190" i="90"/>
  <c r="AT190" i="90"/>
  <c r="AZ190" i="90" s="1"/>
  <c r="AU198" i="90"/>
  <c r="AT198" i="90"/>
  <c r="AZ198" i="90" s="1"/>
  <c r="AU206" i="90"/>
  <c r="BC206" i="90" s="1"/>
  <c r="AT206" i="90"/>
  <c r="AZ206" i="90" s="1"/>
  <c r="AU214" i="90"/>
  <c r="AT214" i="90"/>
  <c r="AZ214" i="90" s="1"/>
  <c r="AU226" i="90"/>
  <c r="BC226" i="90" s="1"/>
  <c r="AT226" i="90"/>
  <c r="AZ226" i="90" s="1"/>
  <c r="AU234" i="90"/>
  <c r="AT234" i="90"/>
  <c r="AZ234" i="90" s="1"/>
  <c r="AU246" i="90"/>
  <c r="BC246" i="90" s="1"/>
  <c r="AT246" i="90"/>
  <c r="AZ246" i="90" s="1"/>
  <c r="AU258" i="90"/>
  <c r="AT258" i="90"/>
  <c r="AZ258" i="90" s="1"/>
  <c r="AU266" i="90"/>
  <c r="BC266" i="90" s="1"/>
  <c r="AT266" i="90"/>
  <c r="AZ266" i="90" s="1"/>
  <c r="AU278" i="90"/>
  <c r="AT278" i="90"/>
  <c r="AZ278" i="90" s="1"/>
  <c r="AU232" i="90"/>
  <c r="AT232" i="90"/>
  <c r="AZ232" i="90" s="1"/>
  <c r="AU310" i="90"/>
  <c r="AT310" i="90"/>
  <c r="AZ310" i="90" s="1"/>
  <c r="AU374" i="90"/>
  <c r="AT374" i="90"/>
  <c r="AZ374" i="90" s="1"/>
  <c r="AU438" i="90"/>
  <c r="AT438" i="90"/>
  <c r="AZ438" i="90" s="1"/>
  <c r="AU502" i="90"/>
  <c r="AT502" i="90"/>
  <c r="AZ502" i="90" s="1"/>
  <c r="AU15" i="90"/>
  <c r="AT15" i="90"/>
  <c r="AZ15" i="90" s="1"/>
  <c r="AU31" i="90"/>
  <c r="AT31" i="90"/>
  <c r="AZ31" i="90" s="1"/>
  <c r="AU47" i="90"/>
  <c r="BC47" i="90" s="1"/>
  <c r="AT47" i="90"/>
  <c r="AZ47" i="90" s="1"/>
  <c r="AU63" i="90"/>
  <c r="AT63" i="90"/>
  <c r="AZ63" i="90" s="1"/>
  <c r="AU79" i="90"/>
  <c r="AT79" i="90"/>
  <c r="AZ79" i="90" s="1"/>
  <c r="AU95" i="90"/>
  <c r="AT95" i="90"/>
  <c r="AZ95" i="90" s="1"/>
  <c r="AU111" i="90"/>
  <c r="AT111" i="90"/>
  <c r="AZ111" i="90" s="1"/>
  <c r="AT127" i="90"/>
  <c r="AZ127" i="90" s="1"/>
  <c r="AU127" i="90"/>
  <c r="BC127" i="90" s="1"/>
  <c r="AT143" i="90"/>
  <c r="AZ143" i="90" s="1"/>
  <c r="AU143" i="90"/>
  <c r="AT159" i="90"/>
  <c r="AZ159" i="90" s="1"/>
  <c r="AU159" i="90"/>
  <c r="AT175" i="90"/>
  <c r="AZ175" i="90" s="1"/>
  <c r="AU175" i="90"/>
  <c r="AT191" i="90"/>
  <c r="AZ191" i="90" s="1"/>
  <c r="AU191" i="90"/>
  <c r="AU203" i="90"/>
  <c r="AT203" i="90"/>
  <c r="AZ203" i="90" s="1"/>
  <c r="AU211" i="90"/>
  <c r="AT211" i="90"/>
  <c r="AZ211" i="90" s="1"/>
  <c r="AU219" i="90"/>
  <c r="AT219" i="90"/>
  <c r="AZ219" i="90" s="1"/>
  <c r="AU231" i="90"/>
  <c r="AT231" i="90"/>
  <c r="AZ231" i="90" s="1"/>
  <c r="AT239" i="90"/>
  <c r="AZ239" i="90" s="1"/>
  <c r="AU239" i="90"/>
  <c r="AU251" i="90"/>
  <c r="AT251" i="90"/>
  <c r="AZ251" i="90" s="1"/>
  <c r="AU263" i="90"/>
  <c r="AT263" i="90"/>
  <c r="AZ263" i="90" s="1"/>
  <c r="AT271" i="90"/>
  <c r="AZ271" i="90" s="1"/>
  <c r="AU271" i="90"/>
  <c r="AU283" i="90"/>
  <c r="AT283" i="90"/>
  <c r="AZ283" i="90" s="1"/>
  <c r="AU291" i="90"/>
  <c r="AT291" i="90"/>
  <c r="AZ291" i="90" s="1"/>
  <c r="AU299" i="90"/>
  <c r="AT299" i="90"/>
  <c r="AZ299" i="90" s="1"/>
  <c r="AU307" i="90"/>
  <c r="BC307" i="90" s="1"/>
  <c r="AT307" i="90"/>
  <c r="AZ307" i="90" s="1"/>
  <c r="AU315" i="90"/>
  <c r="AT315" i="90"/>
  <c r="AZ315" i="90" s="1"/>
  <c r="AU323" i="90"/>
  <c r="AT323" i="90"/>
  <c r="AZ323" i="90" s="1"/>
  <c r="AU331" i="90"/>
  <c r="AT331" i="90"/>
  <c r="AZ331" i="90" s="1"/>
  <c r="AU339" i="90"/>
  <c r="AT339" i="90"/>
  <c r="AZ339" i="90" s="1"/>
  <c r="AU347" i="90"/>
  <c r="BC347" i="90" s="1"/>
  <c r="AT347" i="90"/>
  <c r="AZ347" i="90" s="1"/>
  <c r="AU355" i="90"/>
  <c r="AT355" i="90"/>
  <c r="AZ355" i="90" s="1"/>
  <c r="AU363" i="90"/>
  <c r="AT363" i="90"/>
  <c r="AZ363" i="90" s="1"/>
  <c r="AU371" i="90"/>
  <c r="AT371" i="90"/>
  <c r="AZ371" i="90" s="1"/>
  <c r="AU379" i="90"/>
  <c r="AT379" i="90"/>
  <c r="AZ379" i="90" s="1"/>
  <c r="AU387" i="90"/>
  <c r="BC387" i="90" s="1"/>
  <c r="AT387" i="90"/>
  <c r="AZ387" i="90" s="1"/>
  <c r="AU395" i="90"/>
  <c r="AT395" i="90"/>
  <c r="AZ395" i="90" s="1"/>
  <c r="AU403" i="90"/>
  <c r="AT403" i="90"/>
  <c r="AZ403" i="90" s="1"/>
  <c r="AU411" i="90"/>
  <c r="AT411" i="90"/>
  <c r="AZ411" i="90" s="1"/>
  <c r="AU419" i="90"/>
  <c r="AT419" i="90"/>
  <c r="AZ419" i="90" s="1"/>
  <c r="AU427" i="90"/>
  <c r="BC427" i="90" s="1"/>
  <c r="AT427" i="90"/>
  <c r="AZ427" i="90" s="1"/>
  <c r="AU435" i="90"/>
  <c r="AT435" i="90"/>
  <c r="AZ435" i="90" s="1"/>
  <c r="AU443" i="90"/>
  <c r="AT443" i="90"/>
  <c r="AZ443" i="90" s="1"/>
  <c r="AU451" i="90"/>
  <c r="AT451" i="90"/>
  <c r="AZ451" i="90" s="1"/>
  <c r="AU459" i="90"/>
  <c r="AT459" i="90"/>
  <c r="AZ459" i="90" s="1"/>
  <c r="AU467" i="90"/>
  <c r="BC467" i="90" s="1"/>
  <c r="AT467" i="90"/>
  <c r="AZ467" i="90" s="1"/>
  <c r="AU475" i="90"/>
  <c r="AT475" i="90"/>
  <c r="AZ475" i="90" s="1"/>
  <c r="AU483" i="90"/>
  <c r="AT483" i="90"/>
  <c r="AZ483" i="90" s="1"/>
  <c r="AU491" i="90"/>
  <c r="AT491" i="90"/>
  <c r="AZ491" i="90" s="1"/>
  <c r="AU499" i="90"/>
  <c r="AT499" i="90"/>
  <c r="AZ499" i="90" s="1"/>
  <c r="AU507" i="90"/>
  <c r="BC507" i="90" s="1"/>
  <c r="AT507" i="90"/>
  <c r="AZ507" i="90" s="1"/>
  <c r="AU515" i="90"/>
  <c r="AT515" i="90"/>
  <c r="AZ515" i="90" s="1"/>
  <c r="AU523" i="90"/>
  <c r="AT523" i="90"/>
  <c r="AZ523" i="90" s="1"/>
  <c r="AU531" i="90"/>
  <c r="AT531" i="90"/>
  <c r="AZ531" i="90" s="1"/>
  <c r="AU539" i="90"/>
  <c r="AT539" i="90"/>
  <c r="AZ539" i="90" s="1"/>
  <c r="AU547" i="90"/>
  <c r="BC547" i="90" s="1"/>
  <c r="AT547" i="90"/>
  <c r="AZ547" i="90" s="1"/>
  <c r="AU555" i="90"/>
  <c r="AT555" i="90"/>
  <c r="AZ555" i="90" s="1"/>
  <c r="AU563" i="90"/>
  <c r="AT563" i="90"/>
  <c r="AZ563" i="90" s="1"/>
  <c r="AU298" i="90"/>
  <c r="AT298" i="90"/>
  <c r="AZ298" i="90" s="1"/>
  <c r="AU362" i="90"/>
  <c r="AT362" i="90"/>
  <c r="AZ362" i="90" s="1"/>
  <c r="AU426" i="90"/>
  <c r="BC426" i="90" s="1"/>
  <c r="AT426" i="90"/>
  <c r="AZ426" i="90" s="1"/>
  <c r="AU490" i="90"/>
  <c r="AT490" i="90"/>
  <c r="AZ490" i="90" s="1"/>
  <c r="AT554" i="90"/>
  <c r="AZ554" i="90" s="1"/>
  <c r="AU554" i="90"/>
  <c r="AY227" i="90"/>
  <c r="AY248" i="90"/>
  <c r="AY270" i="90"/>
  <c r="AU20" i="90"/>
  <c r="AT20" i="90"/>
  <c r="AZ20" i="90" s="1"/>
  <c r="AU36" i="90"/>
  <c r="AT36" i="90"/>
  <c r="AZ36" i="90" s="1"/>
  <c r="AU52" i="90"/>
  <c r="AT52" i="90"/>
  <c r="AZ52" i="90" s="1"/>
  <c r="AU68" i="90"/>
  <c r="AT68" i="90"/>
  <c r="AZ68" i="90" s="1"/>
  <c r="AU84" i="90"/>
  <c r="AT84" i="90"/>
  <c r="AZ84" i="90" s="1"/>
  <c r="AU100" i="90"/>
  <c r="AT100" i="90"/>
  <c r="AZ100" i="90" s="1"/>
  <c r="AU116" i="90"/>
  <c r="AT116" i="90"/>
  <c r="AZ116" i="90" s="1"/>
  <c r="AU132" i="90"/>
  <c r="AT132" i="90"/>
  <c r="AZ132" i="90" s="1"/>
  <c r="AU148" i="90"/>
  <c r="AT148" i="90"/>
  <c r="AZ148" i="90" s="1"/>
  <c r="AU164" i="90"/>
  <c r="AT164" i="90"/>
  <c r="AZ164" i="90" s="1"/>
  <c r="AU180" i="90"/>
  <c r="AT180" i="90"/>
  <c r="AZ180" i="90" s="1"/>
  <c r="AU192" i="90"/>
  <c r="AT192" i="90"/>
  <c r="AZ192" i="90" s="1"/>
  <c r="AU196" i="90"/>
  <c r="AT196" i="90"/>
  <c r="AZ196" i="90" s="1"/>
  <c r="AU204" i="90"/>
  <c r="AT204" i="90"/>
  <c r="AZ204" i="90" s="1"/>
  <c r="AU212" i="90"/>
  <c r="AT212" i="90"/>
  <c r="AZ212" i="90" s="1"/>
  <c r="AU220" i="90"/>
  <c r="AT220" i="90"/>
  <c r="AZ220" i="90" s="1"/>
  <c r="AU228" i="90"/>
  <c r="AT228" i="90"/>
  <c r="AZ228" i="90" s="1"/>
  <c r="AU240" i="90"/>
  <c r="AT240" i="90"/>
  <c r="AZ240" i="90" s="1"/>
  <c r="AU252" i="90"/>
  <c r="AT252" i="90"/>
  <c r="AZ252" i="90" s="1"/>
  <c r="AU260" i="90"/>
  <c r="AT260" i="90"/>
  <c r="AZ260" i="90" s="1"/>
  <c r="AU272" i="90"/>
  <c r="AT272" i="90"/>
  <c r="AZ272" i="90" s="1"/>
  <c r="AU284" i="90"/>
  <c r="AT284" i="90"/>
  <c r="AZ284" i="90" s="1"/>
  <c r="AU292" i="90"/>
  <c r="AT292" i="90"/>
  <c r="AZ292" i="90" s="1"/>
  <c r="AU300" i="90"/>
  <c r="AT300" i="90"/>
  <c r="AZ300" i="90" s="1"/>
  <c r="AU308" i="90"/>
  <c r="AT308" i="90"/>
  <c r="AZ308" i="90" s="1"/>
  <c r="AU316" i="90"/>
  <c r="AT316" i="90"/>
  <c r="AZ316" i="90" s="1"/>
  <c r="AU324" i="90"/>
  <c r="AT324" i="90"/>
  <c r="AZ324" i="90" s="1"/>
  <c r="AU332" i="90"/>
  <c r="AT332" i="90"/>
  <c r="AZ332" i="90" s="1"/>
  <c r="AU340" i="90"/>
  <c r="AT340" i="90"/>
  <c r="AZ340" i="90" s="1"/>
  <c r="AU348" i="90"/>
  <c r="AT348" i="90"/>
  <c r="AZ348" i="90" s="1"/>
  <c r="AU356" i="90"/>
  <c r="AT356" i="90"/>
  <c r="AZ356" i="90" s="1"/>
  <c r="AU364" i="90"/>
  <c r="AT364" i="90"/>
  <c r="AZ364" i="90" s="1"/>
  <c r="AU372" i="90"/>
  <c r="AT372" i="90"/>
  <c r="AZ372" i="90" s="1"/>
  <c r="AU380" i="90"/>
  <c r="AT380" i="90"/>
  <c r="AZ380" i="90" s="1"/>
  <c r="AU388" i="90"/>
  <c r="AT388" i="90"/>
  <c r="AZ388" i="90" s="1"/>
  <c r="AU396" i="90"/>
  <c r="AT396" i="90"/>
  <c r="AZ396" i="90" s="1"/>
  <c r="AU404" i="90"/>
  <c r="AT404" i="90"/>
  <c r="AZ404" i="90" s="1"/>
  <c r="AU412" i="90"/>
  <c r="AT412" i="90"/>
  <c r="AZ412" i="90" s="1"/>
  <c r="AU420" i="90"/>
  <c r="AT420" i="90"/>
  <c r="AZ420" i="90" s="1"/>
  <c r="AU428" i="90"/>
  <c r="AT428" i="90"/>
  <c r="AZ428" i="90" s="1"/>
  <c r="AU436" i="90"/>
  <c r="AT436" i="90"/>
  <c r="AZ436" i="90" s="1"/>
  <c r="AU444" i="90"/>
  <c r="AT444" i="90"/>
  <c r="AZ444" i="90" s="1"/>
  <c r="AU452" i="90"/>
  <c r="AT452" i="90"/>
  <c r="AZ452" i="90" s="1"/>
  <c r="AU460" i="90"/>
  <c r="AT460" i="90"/>
  <c r="AZ460" i="90" s="1"/>
  <c r="AU468" i="90"/>
  <c r="AT468" i="90"/>
  <c r="AZ468" i="90" s="1"/>
  <c r="AU476" i="90"/>
  <c r="AT476" i="90"/>
  <c r="AZ476" i="90" s="1"/>
  <c r="AU484" i="90"/>
  <c r="AT484" i="90"/>
  <c r="AZ484" i="90" s="1"/>
  <c r="AU492" i="90"/>
  <c r="AT492" i="90"/>
  <c r="AZ492" i="90" s="1"/>
  <c r="AU500" i="90"/>
  <c r="AT500" i="90"/>
  <c r="AZ500" i="90" s="1"/>
  <c r="AU508" i="90"/>
  <c r="AT508" i="90"/>
  <c r="AZ508" i="90" s="1"/>
  <c r="AU516" i="90"/>
  <c r="AT516" i="90"/>
  <c r="AZ516" i="90" s="1"/>
  <c r="AU524" i="90"/>
  <c r="AT524" i="90"/>
  <c r="AZ524" i="90" s="1"/>
  <c r="AU532" i="90"/>
  <c r="AT532" i="90"/>
  <c r="AZ532" i="90" s="1"/>
  <c r="AU540" i="90"/>
  <c r="AT540" i="90"/>
  <c r="AZ540" i="90" s="1"/>
  <c r="AU548" i="90"/>
  <c r="AT548" i="90"/>
  <c r="AZ548" i="90" s="1"/>
  <c r="AU556" i="90"/>
  <c r="AT556" i="90"/>
  <c r="AZ556" i="90" s="1"/>
  <c r="AU564" i="90"/>
  <c r="AT564" i="90"/>
  <c r="AZ564" i="90" s="1"/>
  <c r="AH713" i="90"/>
  <c r="AH969" i="90"/>
  <c r="AH1225" i="90"/>
  <c r="AY6" i="90"/>
  <c r="AY38" i="90"/>
  <c r="AY70" i="90"/>
  <c r="AY102" i="90"/>
  <c r="AY134" i="90"/>
  <c r="AY166" i="90"/>
  <c r="AY198" i="90"/>
  <c r="AH461" i="90"/>
  <c r="AH525" i="90"/>
  <c r="AH589" i="90"/>
  <c r="AH653" i="90"/>
  <c r="AH717" i="90"/>
  <c r="AH781" i="90"/>
  <c r="AH845" i="90"/>
  <c r="AH909" i="90"/>
  <c r="AH973" i="90"/>
  <c r="AH1037" i="90"/>
  <c r="AH1101" i="90"/>
  <c r="AH1165" i="90"/>
  <c r="AH1229" i="90"/>
  <c r="AH1293" i="90"/>
  <c r="AH1357" i="90"/>
  <c r="AH1421" i="90"/>
  <c r="AH497" i="90"/>
  <c r="AH561" i="90"/>
  <c r="AH625" i="90"/>
  <c r="AH689" i="90"/>
  <c r="AH753" i="90"/>
  <c r="AH817" i="90"/>
  <c r="AH881" i="90"/>
  <c r="AH945" i="90"/>
  <c r="AH1009" i="90"/>
  <c r="AH1073" i="90"/>
  <c r="AH1137" i="90"/>
  <c r="AH1201" i="90"/>
  <c r="AH1265" i="90"/>
  <c r="AH1345" i="90"/>
  <c r="AH1409" i="90"/>
  <c r="AU286" i="90"/>
  <c r="BC286" i="90" s="1"/>
  <c r="AT286" i="90"/>
  <c r="AZ286" i="90" s="1"/>
  <c r="AU350" i="90"/>
  <c r="AT350" i="90"/>
  <c r="AZ350" i="90" s="1"/>
  <c r="AU414" i="90"/>
  <c r="AT414" i="90"/>
  <c r="AZ414" i="90" s="1"/>
  <c r="AU478" i="90"/>
  <c r="AT478" i="90"/>
  <c r="AZ478" i="90" s="1"/>
  <c r="AU542" i="90"/>
  <c r="AT542" i="90"/>
  <c r="AZ542" i="90" s="1"/>
  <c r="AY293" i="90"/>
  <c r="AY309" i="90"/>
  <c r="AY325" i="90"/>
  <c r="AY341" i="90"/>
  <c r="AY357" i="90"/>
  <c r="AY373" i="90"/>
  <c r="AY389" i="90"/>
  <c r="AY405" i="90"/>
  <c r="AY421" i="90"/>
  <c r="AY437" i="90"/>
  <c r="AY453" i="90"/>
  <c r="AY469" i="90"/>
  <c r="AY485" i="90"/>
  <c r="AY501" i="90"/>
  <c r="AY517" i="90"/>
  <c r="AY533" i="90"/>
  <c r="AY549" i="90"/>
  <c r="AY5" i="90"/>
  <c r="AY13" i="90"/>
  <c r="AU17" i="90"/>
  <c r="AT17" i="90"/>
  <c r="AZ17" i="90" s="1"/>
  <c r="AY29" i="90"/>
  <c r="AU33" i="90"/>
  <c r="AT33" i="90"/>
  <c r="AZ33" i="90" s="1"/>
  <c r="AY45" i="90"/>
  <c r="AU49" i="90"/>
  <c r="AT49" i="90"/>
  <c r="AZ49" i="90" s="1"/>
  <c r="AY61" i="90"/>
  <c r="AU65" i="90"/>
  <c r="BC65" i="90" s="1"/>
  <c r="AT65" i="90"/>
  <c r="BA65" i="90" s="1"/>
  <c r="AY77" i="90"/>
  <c r="AU81" i="90"/>
  <c r="AT81" i="90"/>
  <c r="AZ81" i="90" s="1"/>
  <c r="AY93" i="90"/>
  <c r="AU97" i="90"/>
  <c r="AT97" i="90"/>
  <c r="AZ97" i="90" s="1"/>
  <c r="AY109" i="90"/>
  <c r="AU113" i="90"/>
  <c r="AT113" i="90"/>
  <c r="AZ113" i="90" s="1"/>
  <c r="AY125" i="90"/>
  <c r="AU129" i="90"/>
  <c r="AT129" i="90"/>
  <c r="AZ129" i="90" s="1"/>
  <c r="AY141" i="90"/>
  <c r="AU145" i="90"/>
  <c r="BC145" i="90" s="1"/>
  <c r="AT145" i="90"/>
  <c r="BA145" i="90" s="1"/>
  <c r="AY157" i="90"/>
  <c r="AU161" i="90"/>
  <c r="AT161" i="90"/>
  <c r="AZ161" i="90" s="1"/>
  <c r="AY173" i="90"/>
  <c r="AU177" i="90"/>
  <c r="AT177" i="90"/>
  <c r="AZ177" i="90" s="1"/>
  <c r="AY189" i="90"/>
  <c r="AU193" i="90"/>
  <c r="AT193" i="90"/>
  <c r="AZ193" i="90" s="1"/>
  <c r="AY205" i="90"/>
  <c r="AU209" i="90"/>
  <c r="AT209" i="90"/>
  <c r="AZ209" i="90" s="1"/>
  <c r="AY221" i="90"/>
  <c r="AU225" i="90"/>
  <c r="BC225" i="90" s="1"/>
  <c r="AT225" i="90"/>
  <c r="BA225" i="90" s="1"/>
  <c r="AY237" i="90"/>
  <c r="AU241" i="90"/>
  <c r="AT241" i="90"/>
  <c r="AZ241" i="90" s="1"/>
  <c r="AY253" i="90"/>
  <c r="AU257" i="90"/>
  <c r="AT257" i="90"/>
  <c r="AZ257" i="90" s="1"/>
  <c r="AY269" i="90"/>
  <c r="AU273" i="90"/>
  <c r="AT273" i="90"/>
  <c r="AZ273" i="90" s="1"/>
  <c r="AU227" i="90"/>
  <c r="BC227" i="90" s="1"/>
  <c r="AT227" i="90"/>
  <c r="AZ227" i="90" s="1"/>
  <c r="AU306" i="90"/>
  <c r="BC306" i="90" s="1"/>
  <c r="AT306" i="90"/>
  <c r="AZ306" i="90" s="1"/>
  <c r="AU370" i="90"/>
  <c r="AT370" i="90"/>
  <c r="AZ370" i="90" s="1"/>
  <c r="AU434" i="90"/>
  <c r="AT434" i="90"/>
  <c r="AZ434" i="90" s="1"/>
  <c r="AU498" i="90"/>
  <c r="AT498" i="90"/>
  <c r="AZ498" i="90" s="1"/>
  <c r="AT562" i="90"/>
  <c r="AZ562" i="90" s="1"/>
  <c r="AU562" i="90"/>
  <c r="AU254" i="90"/>
  <c r="AT254" i="90"/>
  <c r="AZ254" i="90" s="1"/>
  <c r="AU326" i="90"/>
  <c r="BC326" i="90" s="1"/>
  <c r="AT326" i="90"/>
  <c r="AZ326" i="90" s="1"/>
  <c r="AU390" i="90"/>
  <c r="AT390" i="90"/>
  <c r="AZ390" i="90" s="1"/>
  <c r="AU454" i="90"/>
  <c r="AT454" i="90"/>
  <c r="AZ454" i="90" s="1"/>
  <c r="AU518" i="90"/>
  <c r="AT518" i="90"/>
  <c r="AZ518" i="90" s="1"/>
  <c r="AY7" i="90"/>
  <c r="AU11" i="90"/>
  <c r="AT11" i="90"/>
  <c r="AZ11" i="90" s="1"/>
  <c r="AY23" i="90"/>
  <c r="AU27" i="90"/>
  <c r="BC27" i="90" s="1"/>
  <c r="AT27" i="90"/>
  <c r="AZ27" i="90" s="1"/>
  <c r="AY39" i="90"/>
  <c r="AU43" i="90"/>
  <c r="AT43" i="90"/>
  <c r="AZ43" i="90" s="1"/>
  <c r="AY55" i="90"/>
  <c r="AU59" i="90"/>
  <c r="AT59" i="90"/>
  <c r="AZ59" i="90" s="1"/>
  <c r="AY71" i="90"/>
  <c r="AU75" i="90"/>
  <c r="AT75" i="90"/>
  <c r="AZ75" i="90" s="1"/>
  <c r="AY87" i="90"/>
  <c r="AU91" i="90"/>
  <c r="AT91" i="90"/>
  <c r="AZ91" i="90" s="1"/>
  <c r="AY103" i="90"/>
  <c r="AU107" i="90"/>
  <c r="BC107" i="90" s="1"/>
  <c r="AT107" i="90"/>
  <c r="AZ107" i="90" s="1"/>
  <c r="AY119" i="90"/>
  <c r="AU123" i="90"/>
  <c r="AT123" i="90"/>
  <c r="AZ123" i="90" s="1"/>
  <c r="AY135" i="90"/>
  <c r="AU139" i="90"/>
  <c r="AT139" i="90"/>
  <c r="AZ139" i="90" s="1"/>
  <c r="AY151" i="90"/>
  <c r="AU155" i="90"/>
  <c r="AT155" i="90"/>
  <c r="AZ155" i="90" s="1"/>
  <c r="AY167" i="90"/>
  <c r="AU171" i="90"/>
  <c r="AT171" i="90"/>
  <c r="AZ171" i="90" s="1"/>
  <c r="AY183" i="90"/>
  <c r="AU187" i="90"/>
  <c r="BC187" i="90" s="1"/>
  <c r="AT187" i="90"/>
  <c r="AZ187" i="90" s="1"/>
  <c r="AU199" i="90"/>
  <c r="AT199" i="90"/>
  <c r="AZ199" i="90" s="1"/>
  <c r="AU238" i="90"/>
  <c r="AT238" i="90"/>
  <c r="AZ238" i="90" s="1"/>
  <c r="AU314" i="90"/>
  <c r="AT314" i="90"/>
  <c r="AZ314" i="90" s="1"/>
  <c r="AU378" i="90"/>
  <c r="AT378" i="90"/>
  <c r="AZ378" i="90" s="1"/>
  <c r="AU442" i="90"/>
  <c r="AT442" i="90"/>
  <c r="AZ442" i="90" s="1"/>
  <c r="AU506" i="90"/>
  <c r="BC506" i="90" s="1"/>
  <c r="AT506" i="90"/>
  <c r="AZ506" i="90" s="1"/>
  <c r="AY232" i="90"/>
  <c r="AY254" i="90"/>
  <c r="AY275" i="90"/>
  <c r="AY12" i="90"/>
  <c r="AU16" i="90"/>
  <c r="AT16" i="90"/>
  <c r="AZ16" i="90" s="1"/>
  <c r="AY28" i="90"/>
  <c r="AU32" i="90"/>
  <c r="AT32" i="90"/>
  <c r="AZ32" i="90" s="1"/>
  <c r="AY44" i="90"/>
  <c r="AU48" i="90"/>
  <c r="AT48" i="90"/>
  <c r="AZ48" i="90" s="1"/>
  <c r="AY60" i="90"/>
  <c r="AU64" i="90"/>
  <c r="AT64" i="90"/>
  <c r="AZ64" i="90" s="1"/>
  <c r="AY76" i="90"/>
  <c r="AU80" i="90"/>
  <c r="AT80" i="90"/>
  <c r="AZ80" i="90" s="1"/>
  <c r="AY92" i="90"/>
  <c r="AU96" i="90"/>
  <c r="AT96" i="90"/>
  <c r="AZ96" i="90" s="1"/>
  <c r="AY108" i="90"/>
  <c r="AU112" i="90"/>
  <c r="AT112" i="90"/>
  <c r="AZ112" i="90" s="1"/>
  <c r="AY124" i="90"/>
  <c r="AU128" i="90"/>
  <c r="AT128" i="90"/>
  <c r="AZ128" i="90" s="1"/>
  <c r="AY140" i="90"/>
  <c r="AU144" i="90"/>
  <c r="AT144" i="90"/>
  <c r="AZ144" i="90" s="1"/>
  <c r="AY156" i="90"/>
  <c r="AU160" i="90"/>
  <c r="AT160" i="90"/>
  <c r="AZ160" i="90" s="1"/>
  <c r="AY172" i="90"/>
  <c r="AU176" i="90"/>
  <c r="AT176" i="90"/>
  <c r="AZ176" i="90" s="1"/>
  <c r="AY188" i="90"/>
  <c r="AY192" i="90"/>
  <c r="AH521" i="90"/>
  <c r="AH777" i="90"/>
  <c r="AH1033" i="90"/>
  <c r="AH1289" i="90"/>
  <c r="AY206" i="90"/>
  <c r="AY258" i="90"/>
  <c r="AU222" i="90"/>
  <c r="AT222" i="90"/>
  <c r="AZ222" i="90" s="1"/>
  <c r="AU302" i="90"/>
  <c r="AT302" i="90"/>
  <c r="AZ302" i="90" s="1"/>
  <c r="AU366" i="90"/>
  <c r="BC366" i="90" s="1"/>
  <c r="AT366" i="90"/>
  <c r="AZ366" i="90" s="1"/>
  <c r="AU430" i="90"/>
  <c r="AT430" i="90"/>
  <c r="AZ430" i="90" s="1"/>
  <c r="AU494" i="90"/>
  <c r="AT494" i="90"/>
  <c r="AZ494" i="90" s="1"/>
  <c r="AU558" i="90"/>
  <c r="AT558" i="90"/>
  <c r="AZ558" i="90" s="1"/>
  <c r="AY9" i="90"/>
  <c r="AU13" i="90"/>
  <c r="AT13" i="90"/>
  <c r="AZ13" i="90" s="1"/>
  <c r="AY25" i="90"/>
  <c r="AU29" i="90"/>
  <c r="AT29" i="90"/>
  <c r="AZ29" i="90" s="1"/>
  <c r="AY41" i="90"/>
  <c r="AU45" i="90"/>
  <c r="BC45" i="90" s="1"/>
  <c r="AT45" i="90"/>
  <c r="BA45" i="90" s="1"/>
  <c r="AY57" i="90"/>
  <c r="AU61" i="90"/>
  <c r="AT61" i="90"/>
  <c r="AZ61" i="90" s="1"/>
  <c r="AY73" i="90"/>
  <c r="AU77" i="90"/>
  <c r="AT77" i="90"/>
  <c r="AZ77" i="90" s="1"/>
  <c r="AY89" i="90"/>
  <c r="AU93" i="90"/>
  <c r="AT93" i="90"/>
  <c r="AZ93" i="90" s="1"/>
  <c r="AY105" i="90"/>
  <c r="AU109" i="90"/>
  <c r="AT109" i="90"/>
  <c r="AZ109" i="90" s="1"/>
  <c r="AY121" i="90"/>
  <c r="AU125" i="90"/>
  <c r="BC125" i="90" s="1"/>
  <c r="AT125" i="90"/>
  <c r="BA125" i="90" s="1"/>
  <c r="AY137" i="90"/>
  <c r="AU141" i="90"/>
  <c r="AT141" i="90"/>
  <c r="AZ141" i="90" s="1"/>
  <c r="AY153" i="90"/>
  <c r="AU157" i="90"/>
  <c r="AT157" i="90"/>
  <c r="AZ157" i="90" s="1"/>
  <c r="AY169" i="90"/>
  <c r="AU173" i="90"/>
  <c r="AT173" i="90"/>
  <c r="AZ173" i="90" s="1"/>
  <c r="AY185" i="90"/>
  <c r="AU189" i="90"/>
  <c r="AT189" i="90"/>
  <c r="AZ189" i="90" s="1"/>
  <c r="AY201" i="90"/>
  <c r="AU205" i="90"/>
  <c r="BC205" i="90" s="1"/>
  <c r="AT205" i="90"/>
  <c r="BA205" i="90" s="1"/>
  <c r="AY217" i="90"/>
  <c r="AU221" i="90"/>
  <c r="AT221" i="90"/>
  <c r="AZ221" i="90" s="1"/>
  <c r="AY233" i="90"/>
  <c r="AU237" i="90"/>
  <c r="AT237" i="90"/>
  <c r="AZ237" i="90" s="1"/>
  <c r="AY249" i="90"/>
  <c r="AU253" i="90"/>
  <c r="AT253" i="90"/>
  <c r="AZ253" i="90" s="1"/>
  <c r="AY265" i="90"/>
  <c r="AU269" i="90"/>
  <c r="AT269" i="90"/>
  <c r="AZ269" i="90" s="1"/>
  <c r="AU281" i="90"/>
  <c r="AT281" i="90"/>
  <c r="AZ281" i="90" s="1"/>
  <c r="AU289" i="90"/>
  <c r="AT289" i="90"/>
  <c r="AZ289" i="90" s="1"/>
  <c r="AU297" i="90"/>
  <c r="AT297" i="90"/>
  <c r="AZ297" i="90" s="1"/>
  <c r="AU305" i="90"/>
  <c r="BC305" i="90" s="1"/>
  <c r="AT305" i="90"/>
  <c r="BA305" i="90" s="1"/>
  <c r="AU313" i="90"/>
  <c r="AT313" i="90"/>
  <c r="AZ313" i="90" s="1"/>
  <c r="AU321" i="90"/>
  <c r="AT321" i="90"/>
  <c r="AZ321" i="90" s="1"/>
  <c r="AU329" i="90"/>
  <c r="AT329" i="90"/>
  <c r="AZ329" i="90" s="1"/>
  <c r="AU337" i="90"/>
  <c r="AT337" i="90"/>
  <c r="AZ337" i="90" s="1"/>
  <c r="AU345" i="90"/>
  <c r="BC345" i="90" s="1"/>
  <c r="AT345" i="90"/>
  <c r="BA345" i="90" s="1"/>
  <c r="AU353" i="90"/>
  <c r="AT353" i="90"/>
  <c r="AZ353" i="90" s="1"/>
  <c r="AU361" i="90"/>
  <c r="AT361" i="90"/>
  <c r="AZ361" i="90" s="1"/>
  <c r="AU369" i="90"/>
  <c r="AT369" i="90"/>
  <c r="AZ369" i="90" s="1"/>
  <c r="AU377" i="90"/>
  <c r="AT377" i="90"/>
  <c r="AZ377" i="90" s="1"/>
  <c r="AU385" i="90"/>
  <c r="BC385" i="90" s="1"/>
  <c r="AT385" i="90"/>
  <c r="BA385" i="90" s="1"/>
  <c r="AU393" i="90"/>
  <c r="AT393" i="90"/>
  <c r="AZ393" i="90" s="1"/>
  <c r="AU401" i="90"/>
  <c r="AT401" i="90"/>
  <c r="AZ401" i="90" s="1"/>
  <c r="AU409" i="90"/>
  <c r="AT409" i="90"/>
  <c r="AZ409" i="90" s="1"/>
  <c r="AU417" i="90"/>
  <c r="AT417" i="90"/>
  <c r="AZ417" i="90" s="1"/>
  <c r="AU425" i="90"/>
  <c r="BC425" i="90" s="1"/>
  <c r="AT425" i="90"/>
  <c r="BA425" i="90" s="1"/>
  <c r="AU433" i="90"/>
  <c r="AT433" i="90"/>
  <c r="AZ433" i="90" s="1"/>
  <c r="AU441" i="90"/>
  <c r="AT441" i="90"/>
  <c r="AZ441" i="90" s="1"/>
  <c r="AU449" i="90"/>
  <c r="AT449" i="90"/>
  <c r="AZ449" i="90" s="1"/>
  <c r="AU457" i="90"/>
  <c r="AT457" i="90"/>
  <c r="AZ457" i="90" s="1"/>
  <c r="AU465" i="90"/>
  <c r="BC465" i="90" s="1"/>
  <c r="AT465" i="90"/>
  <c r="BA465" i="90" s="1"/>
  <c r="AU473" i="90"/>
  <c r="AT473" i="90"/>
  <c r="AZ473" i="90" s="1"/>
  <c r="AU481" i="90"/>
  <c r="AT481" i="90"/>
  <c r="AZ481" i="90" s="1"/>
  <c r="AU489" i="90"/>
  <c r="AT489" i="90"/>
  <c r="AZ489" i="90" s="1"/>
  <c r="AU497" i="90"/>
  <c r="AT497" i="90"/>
  <c r="AZ497" i="90" s="1"/>
  <c r="AU505" i="90"/>
  <c r="BC505" i="90" s="1"/>
  <c r="AT505" i="90"/>
  <c r="BA505" i="90" s="1"/>
  <c r="AU513" i="90"/>
  <c r="AT513" i="90"/>
  <c r="AZ513" i="90" s="1"/>
  <c r="AU521" i="90"/>
  <c r="AT521" i="90"/>
  <c r="AZ521" i="90" s="1"/>
  <c r="AU529" i="90"/>
  <c r="AT529" i="90"/>
  <c r="AZ529" i="90" s="1"/>
  <c r="AU537" i="90"/>
  <c r="AT537" i="90"/>
  <c r="AZ537" i="90" s="1"/>
  <c r="AU545" i="90"/>
  <c r="BC545" i="90" s="1"/>
  <c r="AT545" i="90"/>
  <c r="BA545" i="90" s="1"/>
  <c r="AU553" i="90"/>
  <c r="AT553" i="90"/>
  <c r="AZ553" i="90" s="1"/>
  <c r="AU561" i="90"/>
  <c r="AT561" i="90"/>
  <c r="AZ561" i="90" s="1"/>
  <c r="AU248" i="90"/>
  <c r="AT248" i="90"/>
  <c r="AZ248" i="90" s="1"/>
  <c r="AU322" i="90"/>
  <c r="AT322" i="90"/>
  <c r="AZ322" i="90" s="1"/>
  <c r="AU386" i="90"/>
  <c r="BC386" i="90" s="1"/>
  <c r="AT386" i="90"/>
  <c r="AZ386" i="90" s="1"/>
  <c r="AU450" i="90"/>
  <c r="AT450" i="90"/>
  <c r="AZ450" i="90" s="1"/>
  <c r="AU514" i="90"/>
  <c r="AT514" i="90"/>
  <c r="AZ514" i="90" s="1"/>
  <c r="AY246" i="90"/>
  <c r="AY286" i="90"/>
  <c r="AY302" i="90"/>
  <c r="AY318" i="90"/>
  <c r="AY334" i="90"/>
  <c r="AY350" i="90"/>
  <c r="AY366" i="90"/>
  <c r="AY382" i="90"/>
  <c r="AY398" i="90"/>
  <c r="AY414" i="90"/>
  <c r="AY430" i="90"/>
  <c r="AY446" i="90"/>
  <c r="AY462" i="90"/>
  <c r="AY478" i="90"/>
  <c r="AY494" i="90"/>
  <c r="AY510" i="90"/>
  <c r="AY526" i="90"/>
  <c r="AY542" i="90"/>
  <c r="AY558" i="90"/>
  <c r="AU10" i="90"/>
  <c r="AT10" i="90"/>
  <c r="AZ10" i="90" s="1"/>
  <c r="AU18" i="90"/>
  <c r="AT18" i="90"/>
  <c r="AZ18" i="90" s="1"/>
  <c r="AU26" i="90"/>
  <c r="BC26" i="90" s="1"/>
  <c r="AT26" i="90"/>
  <c r="AZ26" i="90" s="1"/>
  <c r="AU34" i="90"/>
  <c r="AT34" i="90"/>
  <c r="AZ34" i="90" s="1"/>
  <c r="AU42" i="90"/>
  <c r="AT42" i="90"/>
  <c r="AZ42" i="90" s="1"/>
  <c r="AU50" i="90"/>
  <c r="AT50" i="90"/>
  <c r="AZ50" i="90" s="1"/>
  <c r="AU58" i="90"/>
  <c r="AT58" i="90"/>
  <c r="AZ58" i="90" s="1"/>
  <c r="AU66" i="90"/>
  <c r="BC66" i="90" s="1"/>
  <c r="AT66" i="90"/>
  <c r="AZ66" i="90" s="1"/>
  <c r="AU74" i="90"/>
  <c r="AT74" i="90"/>
  <c r="AZ74" i="90" s="1"/>
  <c r="AU82" i="90"/>
  <c r="AT82" i="90"/>
  <c r="AZ82" i="90" s="1"/>
  <c r="AU90" i="90"/>
  <c r="AT90" i="90"/>
  <c r="AZ90" i="90" s="1"/>
  <c r="AU98" i="90"/>
  <c r="AT98" i="90"/>
  <c r="AZ98" i="90" s="1"/>
  <c r="AU106" i="90"/>
  <c r="BC106" i="90" s="1"/>
  <c r="AT106" i="90"/>
  <c r="AZ106" i="90" s="1"/>
  <c r="AU114" i="90"/>
  <c r="AT114" i="90"/>
  <c r="AZ114" i="90" s="1"/>
  <c r="AU122" i="90"/>
  <c r="AT122" i="90"/>
  <c r="AZ122" i="90" s="1"/>
  <c r="AU130" i="90"/>
  <c r="AT130" i="90"/>
  <c r="AZ130" i="90" s="1"/>
  <c r="AU138" i="90"/>
  <c r="AT138" i="90"/>
  <c r="AZ138" i="90" s="1"/>
  <c r="AU146" i="90"/>
  <c r="BC146" i="90" s="1"/>
  <c r="AT146" i="90"/>
  <c r="AZ146" i="90" s="1"/>
  <c r="AU154" i="90"/>
  <c r="AT154" i="90"/>
  <c r="AZ154" i="90" s="1"/>
  <c r="AU162" i="90"/>
  <c r="AT162" i="90"/>
  <c r="AZ162" i="90" s="1"/>
  <c r="AU170" i="90"/>
  <c r="AT170" i="90"/>
  <c r="AZ170" i="90" s="1"/>
  <c r="AU178" i="90"/>
  <c r="AT178" i="90"/>
  <c r="AZ178" i="90" s="1"/>
  <c r="AU186" i="90"/>
  <c r="BC186" i="90" s="1"/>
  <c r="AT186" i="90"/>
  <c r="AZ186" i="90" s="1"/>
  <c r="AU194" i="90"/>
  <c r="AT194" i="90"/>
  <c r="AZ194" i="90" s="1"/>
  <c r="AU202" i="90"/>
  <c r="AT202" i="90"/>
  <c r="AZ202" i="90" s="1"/>
  <c r="AU210" i="90"/>
  <c r="AT210" i="90"/>
  <c r="AZ210" i="90" s="1"/>
  <c r="AU218" i="90"/>
  <c r="AT218" i="90"/>
  <c r="AZ218" i="90" s="1"/>
  <c r="AU230" i="90"/>
  <c r="AT230" i="90"/>
  <c r="AZ230" i="90" s="1"/>
  <c r="AU242" i="90"/>
  <c r="AT242" i="90"/>
  <c r="AZ242" i="90" s="1"/>
  <c r="AU250" i="90"/>
  <c r="AT250" i="90"/>
  <c r="AZ250" i="90" s="1"/>
  <c r="AU262" i="90"/>
  <c r="AT262" i="90"/>
  <c r="AZ262" i="90" s="1"/>
  <c r="AU274" i="90"/>
  <c r="AT274" i="90"/>
  <c r="AZ274" i="90" s="1"/>
  <c r="AU282" i="90"/>
  <c r="AT282" i="90"/>
  <c r="AZ282" i="90" s="1"/>
  <c r="AU275" i="90"/>
  <c r="AT275" i="90"/>
  <c r="AZ275" i="90" s="1"/>
  <c r="AU342" i="90"/>
  <c r="AT342" i="90"/>
  <c r="AZ342" i="90" s="1"/>
  <c r="AU406" i="90"/>
  <c r="BC406" i="90" s="1"/>
  <c r="AT406" i="90"/>
  <c r="AZ406" i="90" s="1"/>
  <c r="AU470" i="90"/>
  <c r="AT470" i="90"/>
  <c r="AZ470" i="90" s="1"/>
  <c r="AU534" i="90"/>
  <c r="AT534" i="90"/>
  <c r="AZ534" i="90" s="1"/>
  <c r="AU7" i="90"/>
  <c r="BC7" i="90" s="1"/>
  <c r="AT7" i="90"/>
  <c r="AZ7" i="90" s="1"/>
  <c r="AY19" i="90"/>
  <c r="AU23" i="90"/>
  <c r="AT23" i="90"/>
  <c r="AZ23" i="90" s="1"/>
  <c r="AY35" i="90"/>
  <c r="AU39" i="90"/>
  <c r="AT39" i="90"/>
  <c r="AZ39" i="90" s="1"/>
  <c r="AY51" i="90"/>
  <c r="AU55" i="90"/>
  <c r="AT55" i="90"/>
  <c r="AZ55" i="90" s="1"/>
  <c r="AY67" i="90"/>
  <c r="AU71" i="90"/>
  <c r="AT71" i="90"/>
  <c r="AZ71" i="90" s="1"/>
  <c r="AY83" i="90"/>
  <c r="AU87" i="90"/>
  <c r="BC87" i="90" s="1"/>
  <c r="AT87" i="90"/>
  <c r="AZ87" i="90" s="1"/>
  <c r="AY99" i="90"/>
  <c r="AU103" i="90"/>
  <c r="AT103" i="90"/>
  <c r="AZ103" i="90" s="1"/>
  <c r="AY115" i="90"/>
  <c r="AU119" i="90"/>
  <c r="AT119" i="90"/>
  <c r="AZ119" i="90" s="1"/>
  <c r="AY131" i="90"/>
  <c r="AU135" i="90"/>
  <c r="AT135" i="90"/>
  <c r="AZ135" i="90" s="1"/>
  <c r="AY147" i="90"/>
  <c r="AU151" i="90"/>
  <c r="AT151" i="90"/>
  <c r="AZ151" i="90" s="1"/>
  <c r="AY163" i="90"/>
  <c r="AU167" i="90"/>
  <c r="BC167" i="90" s="1"/>
  <c r="AT167" i="90"/>
  <c r="AZ167" i="90" s="1"/>
  <c r="AY179" i="90"/>
  <c r="AU183" i="90"/>
  <c r="AT183" i="90"/>
  <c r="AZ183" i="90" s="1"/>
  <c r="AY195" i="90"/>
  <c r="AT207" i="90"/>
  <c r="AZ207" i="90" s="1"/>
  <c r="AU207" i="90"/>
  <c r="BC207" i="90" s="1"/>
  <c r="AU215" i="90"/>
  <c r="AT215" i="90"/>
  <c r="AZ215" i="90" s="1"/>
  <c r="AT223" i="90"/>
  <c r="AZ223" i="90" s="1"/>
  <c r="AU223" i="90"/>
  <c r="AU235" i="90"/>
  <c r="AT235" i="90"/>
  <c r="AZ235" i="90" s="1"/>
  <c r="AU247" i="90"/>
  <c r="BC247" i="90" s="1"/>
  <c r="AT247" i="90"/>
  <c r="AZ247" i="90" s="1"/>
  <c r="AT255" i="90"/>
  <c r="AZ255" i="90" s="1"/>
  <c r="AU255" i="90"/>
  <c r="AU267" i="90"/>
  <c r="BC267" i="90" s="1"/>
  <c r="AT267" i="90"/>
  <c r="AZ267" i="90" s="1"/>
  <c r="AU279" i="90"/>
  <c r="AT279" i="90"/>
  <c r="AZ279" i="90" s="1"/>
  <c r="AT287" i="90"/>
  <c r="AZ287" i="90" s="1"/>
  <c r="AU287" i="90"/>
  <c r="BC287" i="90" s="1"/>
  <c r="AU295" i="90"/>
  <c r="AT295" i="90"/>
  <c r="AZ295" i="90" s="1"/>
  <c r="AT303" i="90"/>
  <c r="AZ303" i="90" s="1"/>
  <c r="AU303" i="90"/>
  <c r="AU311" i="90"/>
  <c r="AT311" i="90"/>
  <c r="AZ311" i="90" s="1"/>
  <c r="AT319" i="90"/>
  <c r="AZ319" i="90" s="1"/>
  <c r="AU319" i="90"/>
  <c r="AU327" i="90"/>
  <c r="BC327" i="90" s="1"/>
  <c r="AT327" i="90"/>
  <c r="AZ327" i="90" s="1"/>
  <c r="AT335" i="90"/>
  <c r="AZ335" i="90" s="1"/>
  <c r="AU335" i="90"/>
  <c r="AU343" i="90"/>
  <c r="AT343" i="90"/>
  <c r="AZ343" i="90" s="1"/>
  <c r="AT351" i="90"/>
  <c r="AZ351" i="90" s="1"/>
  <c r="AU351" i="90"/>
  <c r="AU359" i="90"/>
  <c r="AT359" i="90"/>
  <c r="AZ359" i="90" s="1"/>
  <c r="AT367" i="90"/>
  <c r="AZ367" i="90" s="1"/>
  <c r="AU367" i="90"/>
  <c r="BC367" i="90" s="1"/>
  <c r="AU375" i="90"/>
  <c r="AT375" i="90"/>
  <c r="AZ375" i="90" s="1"/>
  <c r="AT383" i="90"/>
  <c r="AZ383" i="90" s="1"/>
  <c r="AU383" i="90"/>
  <c r="AU391" i="90"/>
  <c r="AT391" i="90"/>
  <c r="AZ391" i="90" s="1"/>
  <c r="AT399" i="90"/>
  <c r="AZ399" i="90" s="1"/>
  <c r="AU399" i="90"/>
  <c r="AU407" i="90"/>
  <c r="BC407" i="90" s="1"/>
  <c r="AT407" i="90"/>
  <c r="AZ407" i="90" s="1"/>
  <c r="AU415" i="90"/>
  <c r="AT415" i="90"/>
  <c r="AZ415" i="90" s="1"/>
  <c r="AU423" i="90"/>
  <c r="AT423" i="90"/>
  <c r="AZ423" i="90" s="1"/>
  <c r="AU431" i="90"/>
  <c r="AT431" i="90"/>
  <c r="AZ431" i="90" s="1"/>
  <c r="AU439" i="90"/>
  <c r="AT439" i="90"/>
  <c r="AZ439" i="90" s="1"/>
  <c r="AU447" i="90"/>
  <c r="BC447" i="90" s="1"/>
  <c r="AT447" i="90"/>
  <c r="AZ447" i="90" s="1"/>
  <c r="AU455" i="90"/>
  <c r="AT455" i="90"/>
  <c r="AZ455" i="90" s="1"/>
  <c r="AU463" i="90"/>
  <c r="AT463" i="90"/>
  <c r="AZ463" i="90" s="1"/>
  <c r="AU471" i="90"/>
  <c r="AT471" i="90"/>
  <c r="AZ471" i="90" s="1"/>
  <c r="AU479" i="90"/>
  <c r="AT479" i="90"/>
  <c r="AZ479" i="90" s="1"/>
  <c r="AU487" i="90"/>
  <c r="BC487" i="90" s="1"/>
  <c r="AT487" i="90"/>
  <c r="AZ487" i="90" s="1"/>
  <c r="AU495" i="90"/>
  <c r="AT495" i="90"/>
  <c r="AZ495" i="90" s="1"/>
  <c r="AU503" i="90"/>
  <c r="AT503" i="90"/>
  <c r="AZ503" i="90" s="1"/>
  <c r="AU511" i="90"/>
  <c r="AT511" i="90"/>
  <c r="AZ511" i="90" s="1"/>
  <c r="AU519" i="90"/>
  <c r="AT519" i="90"/>
  <c r="AZ519" i="90" s="1"/>
  <c r="AU527" i="90"/>
  <c r="BC527" i="90" s="1"/>
  <c r="AT527" i="90"/>
  <c r="AZ527" i="90" s="1"/>
  <c r="AU535" i="90"/>
  <c r="AT535" i="90"/>
  <c r="AZ535" i="90" s="1"/>
  <c r="AU543" i="90"/>
  <c r="AT543" i="90"/>
  <c r="AZ543" i="90" s="1"/>
  <c r="AU551" i="90"/>
  <c r="AT551" i="90"/>
  <c r="AZ551" i="90" s="1"/>
  <c r="AU559" i="90"/>
  <c r="AT559" i="90"/>
  <c r="AZ559" i="90" s="1"/>
  <c r="AU259" i="90"/>
  <c r="AT259" i="90"/>
  <c r="AZ259" i="90" s="1"/>
  <c r="AU330" i="90"/>
  <c r="AT330" i="90"/>
  <c r="AZ330" i="90" s="1"/>
  <c r="AU394" i="90"/>
  <c r="AT394" i="90"/>
  <c r="AZ394" i="90" s="1"/>
  <c r="AU458" i="90"/>
  <c r="AT458" i="90"/>
  <c r="AZ458" i="90" s="1"/>
  <c r="AU522" i="90"/>
  <c r="AT522" i="90"/>
  <c r="AZ522" i="90" s="1"/>
  <c r="AY259" i="90"/>
  <c r="AY280" i="90"/>
  <c r="AY8" i="90"/>
  <c r="AU12" i="90"/>
  <c r="AT12" i="90"/>
  <c r="AZ12" i="90" s="1"/>
  <c r="AY24" i="90"/>
  <c r="AU28" i="90"/>
  <c r="AT28" i="90"/>
  <c r="AZ28" i="90" s="1"/>
  <c r="AY40" i="90"/>
  <c r="AU44" i="90"/>
  <c r="AT44" i="90"/>
  <c r="AZ44" i="90" s="1"/>
  <c r="AY56" i="90"/>
  <c r="AU60" i="90"/>
  <c r="AT60" i="90"/>
  <c r="AZ60" i="90" s="1"/>
  <c r="AY72" i="90"/>
  <c r="AU76" i="90"/>
  <c r="AT76" i="90"/>
  <c r="AZ76" i="90" s="1"/>
  <c r="AY88" i="90"/>
  <c r="AU92" i="90"/>
  <c r="AT92" i="90"/>
  <c r="AZ92" i="90" s="1"/>
  <c r="AY104" i="90"/>
  <c r="AU108" i="90"/>
  <c r="AT108" i="90"/>
  <c r="AZ108" i="90" s="1"/>
  <c r="AY120" i="90"/>
  <c r="AU124" i="90"/>
  <c r="AT124" i="90"/>
  <c r="AZ124" i="90" s="1"/>
  <c r="AY136" i="90"/>
  <c r="AU140" i="90"/>
  <c r="AT140" i="90"/>
  <c r="AZ140" i="90" s="1"/>
  <c r="AY152" i="90"/>
  <c r="AU156" i="90"/>
  <c r="AT156" i="90"/>
  <c r="AZ156" i="90" s="1"/>
  <c r="AY168" i="90"/>
  <c r="AU172" i="90"/>
  <c r="AT172" i="90"/>
  <c r="AZ172" i="90" s="1"/>
  <c r="AY184" i="90"/>
  <c r="AU188" i="90"/>
  <c r="AT188" i="90"/>
  <c r="AZ188" i="90" s="1"/>
  <c r="AU200" i="90"/>
  <c r="AT200" i="90"/>
  <c r="AZ200" i="90" s="1"/>
  <c r="AU208" i="90"/>
  <c r="AT208" i="90"/>
  <c r="AZ208" i="90" s="1"/>
  <c r="AU216" i="90"/>
  <c r="AT216" i="90"/>
  <c r="AZ216" i="90" s="1"/>
  <c r="AU224" i="90"/>
  <c r="AT224" i="90"/>
  <c r="AZ224" i="90" s="1"/>
  <c r="AU236" i="90"/>
  <c r="AT236" i="90"/>
  <c r="AZ236" i="90" s="1"/>
  <c r="AU244" i="90"/>
  <c r="AT244" i="90"/>
  <c r="AZ244" i="90" s="1"/>
  <c r="AU256" i="90"/>
  <c r="AT256" i="90"/>
  <c r="AZ256" i="90" s="1"/>
  <c r="AU268" i="90"/>
  <c r="AT268" i="90"/>
  <c r="AZ268" i="90" s="1"/>
  <c r="AU276" i="90"/>
  <c r="AT276" i="90"/>
  <c r="AZ276" i="90" s="1"/>
  <c r="AU288" i="90"/>
  <c r="AT288" i="90"/>
  <c r="AZ288" i="90" s="1"/>
  <c r="AU296" i="90"/>
  <c r="AT296" i="90"/>
  <c r="AZ296" i="90" s="1"/>
  <c r="AU304" i="90"/>
  <c r="AT304" i="90"/>
  <c r="AZ304" i="90" s="1"/>
  <c r="AU312" i="90"/>
  <c r="AT312" i="90"/>
  <c r="AZ312" i="90" s="1"/>
  <c r="AU320" i="90"/>
  <c r="AT320" i="90"/>
  <c r="AZ320" i="90" s="1"/>
  <c r="AU328" i="90"/>
  <c r="AT328" i="90"/>
  <c r="AZ328" i="90" s="1"/>
  <c r="AU336" i="90"/>
  <c r="AT336" i="90"/>
  <c r="AZ336" i="90" s="1"/>
  <c r="AU344" i="90"/>
  <c r="AT344" i="90"/>
  <c r="AZ344" i="90" s="1"/>
  <c r="AU352" i="90"/>
  <c r="AT352" i="90"/>
  <c r="AZ352" i="90" s="1"/>
  <c r="AU360" i="90"/>
  <c r="AT360" i="90"/>
  <c r="AZ360" i="90" s="1"/>
  <c r="AU368" i="90"/>
  <c r="AT368" i="90"/>
  <c r="AZ368" i="90" s="1"/>
  <c r="AU376" i="90"/>
  <c r="AT376" i="90"/>
  <c r="AZ376" i="90" s="1"/>
  <c r="AU384" i="90"/>
  <c r="AT384" i="90"/>
  <c r="AZ384" i="90" s="1"/>
  <c r="AU392" i="90"/>
  <c r="AT392" i="90"/>
  <c r="AZ392" i="90" s="1"/>
  <c r="AU400" i="90"/>
  <c r="AT400" i="90"/>
  <c r="AZ400" i="90" s="1"/>
  <c r="AU408" i="90"/>
  <c r="AT408" i="90"/>
  <c r="AZ408" i="90" s="1"/>
  <c r="AU416" i="90"/>
  <c r="AT416" i="90"/>
  <c r="AZ416" i="90" s="1"/>
  <c r="AU424" i="90"/>
  <c r="AT424" i="90"/>
  <c r="AZ424" i="90" s="1"/>
  <c r="AU432" i="90"/>
  <c r="AT432" i="90"/>
  <c r="AZ432" i="90" s="1"/>
  <c r="AU440" i="90"/>
  <c r="AT440" i="90"/>
  <c r="AZ440" i="90" s="1"/>
  <c r="AU448" i="90"/>
  <c r="AT448" i="90"/>
  <c r="AZ448" i="90" s="1"/>
  <c r="AU456" i="90"/>
  <c r="AT456" i="90"/>
  <c r="AZ456" i="90" s="1"/>
  <c r="AU464" i="90"/>
  <c r="AT464" i="90"/>
  <c r="AZ464" i="90" s="1"/>
  <c r="AU472" i="90"/>
  <c r="AT472" i="90"/>
  <c r="AZ472" i="90" s="1"/>
  <c r="AU480" i="90"/>
  <c r="AT480" i="90"/>
  <c r="AZ480" i="90" s="1"/>
  <c r="AU488" i="90"/>
  <c r="AT488" i="90"/>
  <c r="AZ488" i="90" s="1"/>
  <c r="AU496" i="90"/>
  <c r="AT496" i="90"/>
  <c r="AZ496" i="90" s="1"/>
  <c r="AU504" i="90"/>
  <c r="AT504" i="90"/>
  <c r="AZ504" i="90" s="1"/>
  <c r="AU512" i="90"/>
  <c r="AT512" i="90"/>
  <c r="AZ512" i="90" s="1"/>
  <c r="AU520" i="90"/>
  <c r="AT520" i="90"/>
  <c r="AZ520" i="90" s="1"/>
  <c r="AU528" i="90"/>
  <c r="AT528" i="90"/>
  <c r="AZ528" i="90" s="1"/>
  <c r="AU536" i="90"/>
  <c r="AT536" i="90"/>
  <c r="AZ536" i="90" s="1"/>
  <c r="AU544" i="90"/>
  <c r="AT544" i="90"/>
  <c r="AZ544" i="90" s="1"/>
  <c r="AU552" i="90"/>
  <c r="AT552" i="90"/>
  <c r="AZ552" i="90" s="1"/>
  <c r="AU560" i="90"/>
  <c r="AT560" i="90"/>
  <c r="AZ560" i="90" s="1"/>
  <c r="AH585" i="90"/>
  <c r="AH841" i="90"/>
  <c r="AH1097" i="90"/>
  <c r="AH1353" i="90"/>
  <c r="AY22" i="90"/>
  <c r="AY54" i="90"/>
  <c r="AY86" i="90"/>
  <c r="AY118" i="90"/>
  <c r="AY150" i="90"/>
  <c r="AY182" i="90"/>
  <c r="AY210" i="90"/>
  <c r="AY211" i="90"/>
  <c r="AH805" i="90"/>
  <c r="AH869" i="90"/>
  <c r="AH933" i="90"/>
  <c r="AH997" i="90"/>
  <c r="AH1061" i="90"/>
  <c r="AH1125" i="90"/>
  <c r="AH1189" i="90"/>
  <c r="AH1253" i="90"/>
  <c r="AH1317" i="90"/>
  <c r="AH1381" i="90"/>
  <c r="AH1445" i="90"/>
  <c r="AU243" i="90"/>
  <c r="AT243" i="90"/>
  <c r="AZ243" i="90" s="1"/>
  <c r="AU318" i="90"/>
  <c r="AT318" i="90"/>
  <c r="AZ318" i="90" s="1"/>
  <c r="AU382" i="90"/>
  <c r="AT382" i="90"/>
  <c r="AZ382" i="90" s="1"/>
  <c r="AU446" i="90"/>
  <c r="BC446" i="90" s="1"/>
  <c r="AT446" i="90"/>
  <c r="AZ446" i="90" s="1"/>
  <c r="AU510" i="90"/>
  <c r="AT510" i="90"/>
  <c r="AZ510" i="90" s="1"/>
  <c r="AU9" i="90"/>
  <c r="AT9" i="90"/>
  <c r="AZ9" i="90" s="1"/>
  <c r="AY21" i="90"/>
  <c r="AU25" i="90"/>
  <c r="BC25" i="90" s="1"/>
  <c r="AT25" i="90"/>
  <c r="BA25" i="90" s="1"/>
  <c r="AY37" i="90"/>
  <c r="AU41" i="90"/>
  <c r="AT41" i="90"/>
  <c r="AZ41" i="90" s="1"/>
  <c r="AY53" i="90"/>
  <c r="AU57" i="90"/>
  <c r="AT57" i="90"/>
  <c r="AZ57" i="90" s="1"/>
  <c r="AY69" i="90"/>
  <c r="AU73" i="90"/>
  <c r="AT73" i="90"/>
  <c r="AZ73" i="90" s="1"/>
  <c r="AY85" i="90"/>
  <c r="AU89" i="90"/>
  <c r="AT89" i="90"/>
  <c r="AZ89" i="90" s="1"/>
  <c r="AY101" i="90"/>
  <c r="AU105" i="90"/>
  <c r="BC105" i="90" s="1"/>
  <c r="AT105" i="90"/>
  <c r="BA105" i="90" s="1"/>
  <c r="AY117" i="90"/>
  <c r="AU121" i="90"/>
  <c r="AT121" i="90"/>
  <c r="AZ121" i="90" s="1"/>
  <c r="AY133" i="90"/>
  <c r="AU137" i="90"/>
  <c r="AT137" i="90"/>
  <c r="AZ137" i="90" s="1"/>
  <c r="AY149" i="90"/>
  <c r="AU153" i="90"/>
  <c r="AT153" i="90"/>
  <c r="AZ153" i="90" s="1"/>
  <c r="AY165" i="90"/>
  <c r="AU169" i="90"/>
  <c r="AT169" i="90"/>
  <c r="AZ169" i="90" s="1"/>
  <c r="AY181" i="90"/>
  <c r="AU185" i="90"/>
  <c r="BC185" i="90" s="1"/>
  <c r="AT185" i="90"/>
  <c r="BA185" i="90" s="1"/>
  <c r="AY197" i="90"/>
  <c r="AU201" i="90"/>
  <c r="AT201" i="90"/>
  <c r="AZ201" i="90" s="1"/>
  <c r="AY213" i="90"/>
  <c r="AU217" i="90"/>
  <c r="AT217" i="90"/>
  <c r="AZ217" i="90" s="1"/>
  <c r="AY229" i="90"/>
  <c r="AU233" i="90"/>
  <c r="AT233" i="90"/>
  <c r="AZ233" i="90" s="1"/>
  <c r="AY245" i="90"/>
  <c r="AU249" i="90"/>
  <c r="AT249" i="90"/>
  <c r="AZ249" i="90" s="1"/>
  <c r="AY261" i="90"/>
  <c r="AU265" i="90"/>
  <c r="BC265" i="90" s="1"/>
  <c r="AT265" i="90"/>
  <c r="BA265" i="90" s="1"/>
  <c r="AY277" i="90"/>
  <c r="AU270" i="90"/>
  <c r="AT270" i="90"/>
  <c r="AZ270" i="90" s="1"/>
  <c r="AU338" i="90"/>
  <c r="AT338" i="90"/>
  <c r="AZ338" i="90" s="1"/>
  <c r="AU402" i="90"/>
  <c r="AT402" i="90"/>
  <c r="AZ402" i="90" s="1"/>
  <c r="AU466" i="90"/>
  <c r="BC466" i="90" s="1"/>
  <c r="AT466" i="90"/>
  <c r="AZ466" i="90" s="1"/>
  <c r="AU530" i="90"/>
  <c r="AT530" i="90"/>
  <c r="AZ530" i="90" s="1"/>
  <c r="AY290" i="90"/>
  <c r="AY322" i="90"/>
  <c r="AY338" i="90"/>
  <c r="AY354" i="90"/>
  <c r="AY386" i="90"/>
  <c r="AY402" i="90"/>
  <c r="AY418" i="90"/>
  <c r="AY434" i="90"/>
  <c r="AY450" i="90"/>
  <c r="AY466" i="90"/>
  <c r="AY482" i="90"/>
  <c r="AY498" i="90"/>
  <c r="AY514" i="90"/>
  <c r="AY530" i="90"/>
  <c r="AY546" i="90"/>
  <c r="AY562" i="90"/>
  <c r="AU294" i="90"/>
  <c r="AT294" i="90"/>
  <c r="AZ294" i="90" s="1"/>
  <c r="AU358" i="90"/>
  <c r="AT358" i="90"/>
  <c r="AZ358" i="90" s="1"/>
  <c r="AU422" i="90"/>
  <c r="AT422" i="90"/>
  <c r="AZ422" i="90" s="1"/>
  <c r="AU486" i="90"/>
  <c r="BC486" i="90" s="1"/>
  <c r="AT486" i="90"/>
  <c r="AZ486" i="90" s="1"/>
  <c r="AT550" i="90"/>
  <c r="AZ550" i="90" s="1"/>
  <c r="AU550" i="90"/>
  <c r="AY15" i="90"/>
  <c r="AU19" i="90"/>
  <c r="AT19" i="90"/>
  <c r="AZ19" i="90" s="1"/>
  <c r="AY31" i="90"/>
  <c r="AU35" i="90"/>
  <c r="AT35" i="90"/>
  <c r="AZ35" i="90" s="1"/>
  <c r="AY47" i="90"/>
  <c r="AU51" i="90"/>
  <c r="AT51" i="90"/>
  <c r="AZ51" i="90" s="1"/>
  <c r="AY63" i="90"/>
  <c r="AU67" i="90"/>
  <c r="BC67" i="90" s="1"/>
  <c r="AT67" i="90"/>
  <c r="AZ67" i="90" s="1"/>
  <c r="AY79" i="90"/>
  <c r="AU83" i="90"/>
  <c r="AT83" i="90"/>
  <c r="AZ83" i="90" s="1"/>
  <c r="AY95" i="90"/>
  <c r="AU99" i="90"/>
  <c r="AT99" i="90"/>
  <c r="AZ99" i="90" s="1"/>
  <c r="AY111" i="90"/>
  <c r="AU115" i="90"/>
  <c r="AT115" i="90"/>
  <c r="AZ115" i="90" s="1"/>
  <c r="AY127" i="90"/>
  <c r="AU131" i="90"/>
  <c r="AT131" i="90"/>
  <c r="AZ131" i="90" s="1"/>
  <c r="AY143" i="90"/>
  <c r="AU147" i="90"/>
  <c r="BC147" i="90" s="1"/>
  <c r="AT147" i="90"/>
  <c r="AZ147" i="90" s="1"/>
  <c r="AY159" i="90"/>
  <c r="AU163" i="90"/>
  <c r="AT163" i="90"/>
  <c r="AZ163" i="90" s="1"/>
  <c r="AY175" i="90"/>
  <c r="AU179" i="90"/>
  <c r="AT179" i="90"/>
  <c r="AZ179" i="90" s="1"/>
  <c r="AY191" i="90"/>
  <c r="AU195" i="90"/>
  <c r="AT195" i="90"/>
  <c r="AZ195" i="90" s="1"/>
  <c r="AU280" i="90"/>
  <c r="AT280" i="90"/>
  <c r="AZ280" i="90" s="1"/>
  <c r="AU346" i="90"/>
  <c r="BC346" i="90" s="1"/>
  <c r="AT346" i="90"/>
  <c r="AZ346" i="90" s="1"/>
  <c r="AU410" i="90"/>
  <c r="AT410" i="90"/>
  <c r="AZ410" i="90" s="1"/>
  <c r="AU474" i="90"/>
  <c r="AT474" i="90"/>
  <c r="AZ474" i="90" s="1"/>
  <c r="AU538" i="90"/>
  <c r="AT538" i="90"/>
  <c r="AZ538" i="90" s="1"/>
  <c r="AY222" i="90"/>
  <c r="AY243" i="90"/>
  <c r="AY264" i="90"/>
  <c r="AU8" i="90"/>
  <c r="AT8" i="90"/>
  <c r="AZ8" i="90" s="1"/>
  <c r="AU24" i="90"/>
  <c r="AT24" i="90"/>
  <c r="AZ24" i="90" s="1"/>
  <c r="AU40" i="90"/>
  <c r="AT40" i="90"/>
  <c r="AZ40" i="90" s="1"/>
  <c r="AU56" i="90"/>
  <c r="AT56" i="90"/>
  <c r="AZ56" i="90" s="1"/>
  <c r="AU72" i="90"/>
  <c r="AT72" i="90"/>
  <c r="AZ72" i="90" s="1"/>
  <c r="AU88" i="90"/>
  <c r="AT88" i="90"/>
  <c r="AZ88" i="90" s="1"/>
  <c r="AU104" i="90"/>
  <c r="AT104" i="90"/>
  <c r="AZ104" i="90" s="1"/>
  <c r="AU120" i="90"/>
  <c r="AT120" i="90"/>
  <c r="AZ120" i="90" s="1"/>
  <c r="AU136" i="90"/>
  <c r="AT136" i="90"/>
  <c r="AZ136" i="90" s="1"/>
  <c r="AU152" i="90"/>
  <c r="AT152" i="90"/>
  <c r="AZ152" i="90" s="1"/>
  <c r="AU168" i="90"/>
  <c r="AT168" i="90"/>
  <c r="AZ168" i="90" s="1"/>
  <c r="AU184" i="90"/>
  <c r="AT184" i="90"/>
  <c r="AZ184" i="90" s="1"/>
  <c r="AH649" i="90"/>
  <c r="AH905" i="90"/>
  <c r="AH1161" i="90"/>
  <c r="AH1417" i="90"/>
  <c r="AY26" i="90"/>
  <c r="AY58" i="90"/>
  <c r="AY90" i="90"/>
  <c r="AY122" i="90"/>
  <c r="AY154" i="90"/>
  <c r="AY186" i="90"/>
  <c r="AY226" i="90"/>
  <c r="AY274" i="90"/>
  <c r="AN1209" i="90"/>
  <c r="AN681" i="90"/>
  <c r="AN633" i="90"/>
  <c r="AN1177" i="90"/>
  <c r="AN809" i="90"/>
  <c r="AN505" i="90"/>
  <c r="AN1273" i="90"/>
  <c r="AN537" i="90"/>
  <c r="AN553" i="90"/>
  <c r="AN1289" i="90"/>
  <c r="AN841" i="90"/>
  <c r="AN969" i="90"/>
  <c r="AN1049" i="90"/>
  <c r="AL1033" i="90"/>
  <c r="AL1257" i="90"/>
  <c r="AN1193" i="90"/>
  <c r="AL1385" i="90"/>
  <c r="AN569" i="90"/>
  <c r="AN1081" i="90"/>
  <c r="AN921" i="90"/>
  <c r="AL617" i="90"/>
  <c r="AN1337" i="90"/>
  <c r="AN1113" i="90"/>
  <c r="AN585" i="90"/>
  <c r="AN985" i="90"/>
  <c r="AN1033" i="90"/>
  <c r="AL745" i="90"/>
  <c r="AL809" i="90"/>
  <c r="AL873" i="90"/>
  <c r="AL921" i="90"/>
  <c r="AL969" i="90"/>
  <c r="AL1017" i="90"/>
  <c r="AL1097" i="90"/>
  <c r="AL1145" i="90"/>
  <c r="AL1177" i="90"/>
  <c r="AL1241" i="90"/>
  <c r="AL1321" i="90"/>
  <c r="AN489" i="90"/>
  <c r="AN697" i="90"/>
  <c r="AN761" i="90"/>
  <c r="AN793" i="90"/>
  <c r="AN905" i="90"/>
  <c r="AN953" i="90"/>
  <c r="AN713" i="90"/>
  <c r="AN857" i="90"/>
  <c r="AD50" i="90"/>
  <c r="AE50" i="90"/>
  <c r="AC50" i="90"/>
  <c r="AJ50" i="90"/>
  <c r="AD98" i="90"/>
  <c r="AE98" i="90"/>
  <c r="AC98" i="90"/>
  <c r="AJ98" i="90"/>
  <c r="AD162" i="90"/>
  <c r="AE162" i="90"/>
  <c r="AO162" i="90" s="1"/>
  <c r="AC162" i="90"/>
  <c r="AJ162" i="90"/>
  <c r="AE210" i="90"/>
  <c r="AD210" i="90"/>
  <c r="AC210" i="90"/>
  <c r="AJ210" i="90"/>
  <c r="AE258" i="90"/>
  <c r="AD258" i="90"/>
  <c r="AC258" i="90"/>
  <c r="AJ258" i="90"/>
  <c r="AE322" i="90"/>
  <c r="AO322" i="90" s="1"/>
  <c r="AD322" i="90"/>
  <c r="AC322" i="90"/>
  <c r="AJ322" i="90"/>
  <c r="AE370" i="90"/>
  <c r="AO370" i="90" s="1"/>
  <c r="AD370" i="90"/>
  <c r="AC370" i="90"/>
  <c r="AJ370" i="90"/>
  <c r="AE402" i="90"/>
  <c r="AO402" i="90" s="1"/>
  <c r="AD402" i="90"/>
  <c r="AC402" i="90"/>
  <c r="AJ402" i="90"/>
  <c r="AD450" i="90"/>
  <c r="AE450" i="90"/>
  <c r="AO450" i="90" s="1"/>
  <c r="AC450" i="90"/>
  <c r="AJ450" i="90"/>
  <c r="AD514" i="90"/>
  <c r="AE514" i="90"/>
  <c r="AC514" i="90"/>
  <c r="AJ514" i="90"/>
  <c r="AD562" i="90"/>
  <c r="AE562" i="90"/>
  <c r="AO562" i="90" s="1"/>
  <c r="AC562" i="90"/>
  <c r="AJ562" i="90"/>
  <c r="AE610" i="90"/>
  <c r="AO610" i="90" s="1"/>
  <c r="AD610" i="90"/>
  <c r="AC610" i="90"/>
  <c r="AJ610" i="90"/>
  <c r="AE642" i="90"/>
  <c r="AO642" i="90" s="1"/>
  <c r="AD642" i="90"/>
  <c r="AC642" i="90"/>
  <c r="AJ642" i="90"/>
  <c r="AE690" i="90"/>
  <c r="AO690" i="90" s="1"/>
  <c r="AD690" i="90"/>
  <c r="AC690" i="90"/>
  <c r="AJ690" i="90"/>
  <c r="AE754" i="90"/>
  <c r="AO754" i="90" s="1"/>
  <c r="AD754" i="90"/>
  <c r="AC754" i="90"/>
  <c r="AJ754" i="90"/>
  <c r="AE802" i="90"/>
  <c r="AO802" i="90" s="1"/>
  <c r="AD802" i="90"/>
  <c r="AC802" i="90"/>
  <c r="AJ802" i="90"/>
  <c r="AE850" i="90"/>
  <c r="AO850" i="90" s="1"/>
  <c r="AD850" i="90"/>
  <c r="AC850" i="90"/>
  <c r="AJ850" i="90"/>
  <c r="AE898" i="90"/>
  <c r="AO898" i="90" s="1"/>
  <c r="AD898" i="90"/>
  <c r="AC898" i="90"/>
  <c r="AJ898" i="90"/>
  <c r="AD978" i="90"/>
  <c r="AE978" i="90"/>
  <c r="AO978" i="90" s="1"/>
  <c r="AC978" i="90"/>
  <c r="AJ978" i="90"/>
  <c r="AD1026" i="90"/>
  <c r="AE1026" i="90"/>
  <c r="AO1026" i="90" s="1"/>
  <c r="AC1026" i="90"/>
  <c r="AJ1026" i="90"/>
  <c r="AD1074" i="90"/>
  <c r="AE1074" i="90"/>
  <c r="AO1074" i="90" s="1"/>
  <c r="AC1074" i="90"/>
  <c r="AJ1074" i="90"/>
  <c r="AD1122" i="90"/>
  <c r="AE1122" i="90"/>
  <c r="AO1122" i="90" s="1"/>
  <c r="AC1122" i="90"/>
  <c r="AJ1122" i="90"/>
  <c r="AD1170" i="90"/>
  <c r="AE1170" i="90"/>
  <c r="AO1170" i="90" s="1"/>
  <c r="AC1170" i="90"/>
  <c r="AJ1170" i="90"/>
  <c r="AD1218" i="90"/>
  <c r="AE1218" i="90"/>
  <c r="AO1218" i="90" s="1"/>
  <c r="AC1218" i="90"/>
  <c r="AJ1218" i="90"/>
  <c r="AD1250" i="90"/>
  <c r="AE1250" i="90"/>
  <c r="AC1250" i="90"/>
  <c r="AJ1250" i="90"/>
  <c r="AD1282" i="90"/>
  <c r="AE1282" i="90"/>
  <c r="AO1282" i="90" s="1"/>
  <c r="AC1282" i="90"/>
  <c r="AJ1282" i="90"/>
  <c r="AD1330" i="90"/>
  <c r="AE1330" i="90"/>
  <c r="AO1330" i="90" s="1"/>
  <c r="AC1330" i="90"/>
  <c r="AJ1330" i="90"/>
  <c r="AD1378" i="90"/>
  <c r="AE1378" i="90"/>
  <c r="AO1378" i="90" s="1"/>
  <c r="AC1378" i="90"/>
  <c r="AJ1378" i="90"/>
  <c r="AD1410" i="90"/>
  <c r="AE1410" i="90"/>
  <c r="AO1410" i="90" s="1"/>
  <c r="AC1410" i="90"/>
  <c r="AJ1410" i="90"/>
  <c r="AD1442" i="90"/>
  <c r="AE1442" i="90"/>
  <c r="AO1442" i="90" s="1"/>
  <c r="AC1442" i="90"/>
  <c r="AJ1442" i="90"/>
  <c r="AD1458" i="90"/>
  <c r="AE1458" i="90"/>
  <c r="AC1458" i="90"/>
  <c r="AJ1458" i="90"/>
  <c r="AH50" i="90"/>
  <c r="AH114" i="90"/>
  <c r="AH162" i="90"/>
  <c r="AH210" i="90"/>
  <c r="AH258" i="90"/>
  <c r="AH306" i="90"/>
  <c r="AH354" i="90"/>
  <c r="AH402" i="90"/>
  <c r="AH450" i="90"/>
  <c r="AH498" i="90"/>
  <c r="AH546" i="90"/>
  <c r="AH594" i="90"/>
  <c r="AH642" i="90"/>
  <c r="AH690" i="90"/>
  <c r="AH722" i="90"/>
  <c r="AH770" i="90"/>
  <c r="AH818" i="90"/>
  <c r="AH866" i="90"/>
  <c r="AH914" i="90"/>
  <c r="AH962" i="90"/>
  <c r="AH1010" i="90"/>
  <c r="AH1058" i="90"/>
  <c r="AH1106" i="90"/>
  <c r="AH1154" i="90"/>
  <c r="AH1202" i="90"/>
  <c r="AH1266" i="90"/>
  <c r="AH1314" i="90"/>
  <c r="AH1362" i="90"/>
  <c r="AH1410" i="90"/>
  <c r="AH1458" i="90"/>
  <c r="AD35" i="90"/>
  <c r="AE35" i="90"/>
  <c r="AO35" i="90" s="1"/>
  <c r="AC35" i="90"/>
  <c r="AJ35" i="90"/>
  <c r="AD83" i="90"/>
  <c r="AE83" i="90"/>
  <c r="AO83" i="90" s="1"/>
  <c r="AC83" i="90"/>
  <c r="AJ83" i="90"/>
  <c r="AD131" i="90"/>
  <c r="AE131" i="90"/>
  <c r="AO131" i="90" s="1"/>
  <c r="AC131" i="90"/>
  <c r="AJ131" i="90"/>
  <c r="AE179" i="90"/>
  <c r="AO179" i="90" s="1"/>
  <c r="AD179" i="90"/>
  <c r="AC179" i="90"/>
  <c r="AJ179" i="90"/>
  <c r="AE211" i="90"/>
  <c r="AD211" i="90"/>
  <c r="AC211" i="90"/>
  <c r="AJ211" i="90"/>
  <c r="AD259" i="90"/>
  <c r="AE259" i="90"/>
  <c r="AC259" i="90"/>
  <c r="AJ259" i="90"/>
  <c r="AD307" i="90"/>
  <c r="AE307" i="90"/>
  <c r="AC307" i="90"/>
  <c r="AJ307" i="90"/>
  <c r="AD355" i="90"/>
  <c r="AE355" i="90"/>
  <c r="AO355" i="90" s="1"/>
  <c r="AC355" i="90"/>
  <c r="AJ355" i="90"/>
  <c r="AD387" i="90"/>
  <c r="AE387" i="90"/>
  <c r="AO387" i="90" s="1"/>
  <c r="AC387" i="90"/>
  <c r="AJ387" i="90"/>
  <c r="AE435" i="90"/>
  <c r="AO435" i="90" s="1"/>
  <c r="AD435" i="90"/>
  <c r="AC435" i="90"/>
  <c r="AJ435" i="90"/>
  <c r="AE483" i="90"/>
  <c r="AO483" i="90" s="1"/>
  <c r="AD483" i="90"/>
  <c r="AC483" i="90"/>
  <c r="AJ483" i="90"/>
  <c r="AE547" i="90"/>
  <c r="AO547" i="90" s="1"/>
  <c r="AD547" i="90"/>
  <c r="AC547" i="90"/>
  <c r="AJ547" i="90"/>
  <c r="AD595" i="90"/>
  <c r="AE595" i="90"/>
  <c r="AO595" i="90" s="1"/>
  <c r="AC595" i="90"/>
  <c r="AJ595" i="90"/>
  <c r="AD643" i="90"/>
  <c r="AE643" i="90"/>
  <c r="AO643" i="90" s="1"/>
  <c r="AC643" i="90"/>
  <c r="AJ643" i="90"/>
  <c r="AD691" i="90"/>
  <c r="AE691" i="90"/>
  <c r="AO691" i="90" s="1"/>
  <c r="AC691" i="90"/>
  <c r="AJ691" i="90"/>
  <c r="AD723" i="90"/>
  <c r="AE723" i="90"/>
  <c r="AC723" i="90"/>
  <c r="AJ723" i="90"/>
  <c r="AD771" i="90"/>
  <c r="AE771" i="90"/>
  <c r="AO771" i="90" s="1"/>
  <c r="AC771" i="90"/>
  <c r="AJ771" i="90"/>
  <c r="AD819" i="90"/>
  <c r="AE819" i="90"/>
  <c r="AO819" i="90" s="1"/>
  <c r="AC819" i="90"/>
  <c r="AJ819" i="90"/>
  <c r="AD867" i="90"/>
  <c r="AE867" i="90"/>
  <c r="AO867" i="90" s="1"/>
  <c r="AC867" i="90"/>
  <c r="AJ867" i="90"/>
  <c r="AE915" i="90"/>
  <c r="AO915" i="90" s="1"/>
  <c r="AD915" i="90"/>
  <c r="AC915" i="90"/>
  <c r="AJ915" i="90"/>
  <c r="AE963" i="90"/>
  <c r="AO963" i="90" s="1"/>
  <c r="AD963" i="90"/>
  <c r="AC963" i="90"/>
  <c r="AJ963" i="90"/>
  <c r="AE995" i="90"/>
  <c r="AO995" i="90" s="1"/>
  <c r="AD995" i="90"/>
  <c r="AC995" i="90"/>
  <c r="AJ995" i="90"/>
  <c r="AE1043" i="90"/>
  <c r="AD1043" i="90"/>
  <c r="AC1043" i="90"/>
  <c r="AJ1043" i="90"/>
  <c r="AE1091" i="90"/>
  <c r="AD1091" i="90"/>
  <c r="AC1091" i="90"/>
  <c r="AJ1091" i="90"/>
  <c r="AE1123" i="90"/>
  <c r="AO1123" i="90" s="1"/>
  <c r="AD1123" i="90"/>
  <c r="AC1123" i="90"/>
  <c r="AJ1123" i="90"/>
  <c r="AE1155" i="90"/>
  <c r="AO1155" i="90" s="1"/>
  <c r="AD1155" i="90"/>
  <c r="AC1155" i="90"/>
  <c r="AJ1155" i="90"/>
  <c r="AE1203" i="90"/>
  <c r="AO1203" i="90" s="1"/>
  <c r="AD1203" i="90"/>
  <c r="AC1203" i="90"/>
  <c r="AJ1203" i="90"/>
  <c r="AD1251" i="90"/>
  <c r="AE1251" i="90"/>
  <c r="AC1251" i="90"/>
  <c r="AJ1251" i="90"/>
  <c r="AD1299" i="90"/>
  <c r="AE1299" i="90"/>
  <c r="AC1299" i="90"/>
  <c r="AJ1299" i="90"/>
  <c r="AD1315" i="90"/>
  <c r="AE1315" i="90"/>
  <c r="AO1315" i="90" s="1"/>
  <c r="AC1315" i="90"/>
  <c r="AJ1315" i="90"/>
  <c r="AD1363" i="90"/>
  <c r="AE1363" i="90"/>
  <c r="AO1363" i="90" s="1"/>
  <c r="AC1363" i="90"/>
  <c r="AJ1363" i="90"/>
  <c r="AD1411" i="90"/>
  <c r="AE1411" i="90"/>
  <c r="AO1411" i="90" s="1"/>
  <c r="AC1411" i="90"/>
  <c r="AJ1411" i="90"/>
  <c r="AD1443" i="90"/>
  <c r="AE1443" i="90"/>
  <c r="AO1443" i="90" s="1"/>
  <c r="AC1443" i="90"/>
  <c r="AJ1443" i="90"/>
  <c r="AD1459" i="90"/>
  <c r="AE1459" i="90"/>
  <c r="AC1459" i="90"/>
  <c r="AJ1459" i="90"/>
  <c r="AH51" i="90"/>
  <c r="AH99" i="90"/>
  <c r="AH147" i="90"/>
  <c r="AH195" i="90"/>
  <c r="AH243" i="90"/>
  <c r="AH291" i="90"/>
  <c r="AH339" i="90"/>
  <c r="AH387" i="90"/>
  <c r="AH419" i="90"/>
  <c r="AH467" i="90"/>
  <c r="AH515" i="90"/>
  <c r="AH563" i="90"/>
  <c r="AH611" i="90"/>
  <c r="AH659" i="90"/>
  <c r="AH707" i="90"/>
  <c r="AH755" i="90"/>
  <c r="AH803" i="90"/>
  <c r="AH851" i="90"/>
  <c r="AH899" i="90"/>
  <c r="AH947" i="90"/>
  <c r="AH995" i="90"/>
  <c r="AH1059" i="90"/>
  <c r="AH1107" i="90"/>
  <c r="AH1155" i="90"/>
  <c r="AH1203" i="90"/>
  <c r="AH1235" i="90"/>
  <c r="AH1283" i="90"/>
  <c r="AH1331" i="90"/>
  <c r="AH1379" i="90"/>
  <c r="AH1427" i="90"/>
  <c r="AD20" i="90"/>
  <c r="AE20" i="90"/>
  <c r="AO20" i="90" s="1"/>
  <c r="AC20" i="90"/>
  <c r="AJ20" i="90"/>
  <c r="AD68" i="90"/>
  <c r="AE68" i="90"/>
  <c r="AO68" i="90" s="1"/>
  <c r="AC68" i="90"/>
  <c r="AJ68" i="90"/>
  <c r="AE100" i="90"/>
  <c r="AD100" i="90"/>
  <c r="AC100" i="90"/>
  <c r="AJ100" i="90"/>
  <c r="AE148" i="90"/>
  <c r="AO148" i="90" s="1"/>
  <c r="AD148" i="90"/>
  <c r="AC148" i="90"/>
  <c r="AJ148" i="90"/>
  <c r="AD180" i="90"/>
  <c r="AE180" i="90"/>
  <c r="AO180" i="90" s="1"/>
  <c r="AC180" i="90"/>
  <c r="AJ180" i="90"/>
  <c r="AE228" i="90"/>
  <c r="AO228" i="90" s="1"/>
  <c r="AD228" i="90"/>
  <c r="AC228" i="90"/>
  <c r="AJ228" i="90"/>
  <c r="AE260" i="90"/>
  <c r="AD260" i="90"/>
  <c r="AC260" i="90"/>
  <c r="AJ260" i="90"/>
  <c r="AE292" i="90"/>
  <c r="AO292" i="90" s="1"/>
  <c r="AD292" i="90"/>
  <c r="AC292" i="90"/>
  <c r="AJ292" i="90"/>
  <c r="AE324" i="90"/>
  <c r="AO324" i="90" s="1"/>
  <c r="AD324" i="90"/>
  <c r="AC324" i="90"/>
  <c r="AJ324" i="90"/>
  <c r="AE372" i="90"/>
  <c r="AO372" i="90" s="1"/>
  <c r="AD372" i="90"/>
  <c r="AC372" i="90"/>
  <c r="AJ372" i="90"/>
  <c r="AE388" i="90"/>
  <c r="AO388" i="90" s="1"/>
  <c r="AD388" i="90"/>
  <c r="AC388" i="90"/>
  <c r="AJ388" i="90"/>
  <c r="AE420" i="90"/>
  <c r="AD420" i="90"/>
  <c r="AC420" i="90"/>
  <c r="AJ420" i="90"/>
  <c r="AD452" i="90"/>
  <c r="AE452" i="90"/>
  <c r="AO452" i="90" s="1"/>
  <c r="AC452" i="90"/>
  <c r="AJ452" i="90"/>
  <c r="AD484" i="90"/>
  <c r="AE484" i="90"/>
  <c r="AO484" i="90" s="1"/>
  <c r="AC484" i="90"/>
  <c r="AJ484" i="90"/>
  <c r="AD516" i="90"/>
  <c r="AE516" i="90"/>
  <c r="AC516" i="90"/>
  <c r="AJ516" i="90"/>
  <c r="AD548" i="90"/>
  <c r="AE548" i="90"/>
  <c r="AO548" i="90" s="1"/>
  <c r="AC548" i="90"/>
  <c r="AJ548" i="90"/>
  <c r="AD596" i="90"/>
  <c r="AE596" i="90"/>
  <c r="AO596" i="90" s="1"/>
  <c r="AC596" i="90"/>
  <c r="AJ596" i="90"/>
  <c r="AE628" i="90"/>
  <c r="AD628" i="90"/>
  <c r="AC628" i="90"/>
  <c r="AJ628" i="90"/>
  <c r="AE660" i="90"/>
  <c r="AO660" i="90" s="1"/>
  <c r="AD660" i="90"/>
  <c r="AC660" i="90"/>
  <c r="AJ660" i="90"/>
  <c r="AE692" i="90"/>
  <c r="AO692" i="90" s="1"/>
  <c r="AD692" i="90"/>
  <c r="AC692" i="90"/>
  <c r="AJ692" i="90"/>
  <c r="AE724" i="90"/>
  <c r="AD724" i="90"/>
  <c r="AC724" i="90"/>
  <c r="AJ724" i="90"/>
  <c r="AE756" i="90"/>
  <c r="AO756" i="90" s="1"/>
  <c r="AD756" i="90"/>
  <c r="AC756" i="90"/>
  <c r="AJ756" i="90"/>
  <c r="AE788" i="90"/>
  <c r="AO788" i="90" s="1"/>
  <c r="AD788" i="90"/>
  <c r="AC788" i="90"/>
  <c r="AJ788" i="90"/>
  <c r="AE820" i="90"/>
  <c r="AO820" i="90" s="1"/>
  <c r="AD820" i="90"/>
  <c r="AC820" i="90"/>
  <c r="AJ820" i="90"/>
  <c r="AE852" i="90"/>
  <c r="AO852" i="90" s="1"/>
  <c r="AD852" i="90"/>
  <c r="AC852" i="90"/>
  <c r="AJ852" i="90"/>
  <c r="AE884" i="90"/>
  <c r="AD884" i="90"/>
  <c r="AC884" i="90"/>
  <c r="AJ884" i="90"/>
  <c r="AE916" i="90"/>
  <c r="AO916" i="90" s="1"/>
  <c r="AD916" i="90"/>
  <c r="AC916" i="90"/>
  <c r="AJ916" i="90"/>
  <c r="AD948" i="90"/>
  <c r="AE948" i="90"/>
  <c r="AO948" i="90" s="1"/>
  <c r="AC948" i="90"/>
  <c r="AJ948" i="90"/>
  <c r="AD996" i="90"/>
  <c r="AE996" i="90"/>
  <c r="AO996" i="90" s="1"/>
  <c r="AC996" i="90"/>
  <c r="AJ996" i="90"/>
  <c r="AD1028" i="90"/>
  <c r="AE1028" i="90"/>
  <c r="AO1028" i="90" s="1"/>
  <c r="AC1028" i="90"/>
  <c r="AJ1028" i="90"/>
  <c r="AD1076" i="90"/>
  <c r="AE1076" i="90"/>
  <c r="AO1076" i="90" s="1"/>
  <c r="AC1076" i="90"/>
  <c r="AJ1076" i="90"/>
  <c r="AD1108" i="90"/>
  <c r="AE1108" i="90"/>
  <c r="AO1108" i="90" s="1"/>
  <c r="AC1108" i="90"/>
  <c r="AJ1108" i="90"/>
  <c r="AD1140" i="90"/>
  <c r="AE1140" i="90"/>
  <c r="AC1140" i="90"/>
  <c r="AJ1140" i="90"/>
  <c r="AD1172" i="90"/>
  <c r="AE1172" i="90"/>
  <c r="AO1172" i="90" s="1"/>
  <c r="AC1172" i="90"/>
  <c r="AJ1172" i="90"/>
  <c r="AE1204" i="90"/>
  <c r="AO1204" i="90" s="1"/>
  <c r="AD1204" i="90"/>
  <c r="AC1204" i="90"/>
  <c r="AJ1204" i="90"/>
  <c r="AD1236" i="90"/>
  <c r="AE1236" i="90"/>
  <c r="AO1236" i="90" s="1"/>
  <c r="AC1236" i="90"/>
  <c r="AJ1236" i="90"/>
  <c r="AD1284" i="90"/>
  <c r="AE1284" i="90"/>
  <c r="AO1284" i="90" s="1"/>
  <c r="AC1284" i="90"/>
  <c r="AJ1284" i="90"/>
  <c r="AE1316" i="90"/>
  <c r="AO1316" i="90" s="1"/>
  <c r="AC1316" i="90"/>
  <c r="AD1316" i="90"/>
  <c r="AJ1316" i="90"/>
  <c r="AE1348" i="90"/>
  <c r="AC1348" i="90"/>
  <c r="AD1348" i="90"/>
  <c r="AJ1348" i="90"/>
  <c r="AE1380" i="90"/>
  <c r="AO1380" i="90" s="1"/>
  <c r="AC1380" i="90"/>
  <c r="AD1380" i="90"/>
  <c r="AJ1380" i="90"/>
  <c r="AE1412" i="90"/>
  <c r="AO1412" i="90" s="1"/>
  <c r="AC1412" i="90"/>
  <c r="AD1412" i="90"/>
  <c r="AJ1412" i="90"/>
  <c r="AE1444" i="90"/>
  <c r="AO1444" i="90" s="1"/>
  <c r="AC1444" i="90"/>
  <c r="AD1444" i="90"/>
  <c r="AJ1444" i="90"/>
  <c r="AH20" i="90"/>
  <c r="AH52" i="90"/>
  <c r="AH84" i="90"/>
  <c r="AH116" i="90"/>
  <c r="AH148" i="90"/>
  <c r="AH180" i="90"/>
  <c r="AH212" i="90"/>
  <c r="AH244" i="90"/>
  <c r="AH276" i="90"/>
  <c r="AH308" i="90"/>
  <c r="AH356" i="90"/>
  <c r="AH388" i="90"/>
  <c r="AH420" i="90"/>
  <c r="AH452" i="90"/>
  <c r="AH500" i="90"/>
  <c r="AH532" i="90"/>
  <c r="AH564" i="90"/>
  <c r="AH596" i="90"/>
  <c r="AH628" i="90"/>
  <c r="AH660" i="90"/>
  <c r="AH692" i="90"/>
  <c r="AH724" i="90"/>
  <c r="AH756" i="90"/>
  <c r="AH788" i="90"/>
  <c r="AH820" i="90"/>
  <c r="AH868" i="90"/>
  <c r="AH900" i="90"/>
  <c r="AH932" i="90"/>
  <c r="AH948" i="90"/>
  <c r="AH980" i="90"/>
  <c r="AH1012" i="90"/>
  <c r="AH1044" i="90"/>
  <c r="AH1076" i="90"/>
  <c r="AH1108" i="90"/>
  <c r="AH1140" i="90"/>
  <c r="AH1172" i="90"/>
  <c r="AH1204" i="90"/>
  <c r="AH1236" i="90"/>
  <c r="AH1268" i="90"/>
  <c r="AH1300" i="90"/>
  <c r="AH1332" i="90"/>
  <c r="AH1348" i="90"/>
  <c r="AH1380" i="90"/>
  <c r="AH1412" i="90"/>
  <c r="AH1444" i="90"/>
  <c r="AD509" i="90"/>
  <c r="AE509" i="90"/>
  <c r="AO509" i="90" s="1"/>
  <c r="AC509" i="90"/>
  <c r="AJ509" i="90"/>
  <c r="AD637" i="90"/>
  <c r="AE637" i="90"/>
  <c r="AO637" i="90" s="1"/>
  <c r="AC637" i="90"/>
  <c r="AJ637" i="90"/>
  <c r="AD701" i="90"/>
  <c r="AE701" i="90"/>
  <c r="AO701" i="90" s="1"/>
  <c r="AC701" i="90"/>
  <c r="AJ701" i="90"/>
  <c r="AD829" i="90"/>
  <c r="AE829" i="90"/>
  <c r="AC829" i="90"/>
  <c r="AJ829" i="90"/>
  <c r="AE957" i="90"/>
  <c r="AO957" i="90" s="1"/>
  <c r="AD957" i="90"/>
  <c r="AC957" i="90"/>
  <c r="AJ957" i="90"/>
  <c r="AE1085" i="90"/>
  <c r="AD1085" i="90"/>
  <c r="AC1085" i="90"/>
  <c r="AJ1085" i="90"/>
  <c r="AE1149" i="90"/>
  <c r="AO1149" i="90" s="1"/>
  <c r="AD1149" i="90"/>
  <c r="AC1149" i="90"/>
  <c r="AJ1149" i="90"/>
  <c r="AD1277" i="90"/>
  <c r="AE1277" i="90"/>
  <c r="AO1277" i="90" s="1"/>
  <c r="AC1277" i="90"/>
  <c r="AJ1277" i="90"/>
  <c r="AD1341" i="90"/>
  <c r="AE1341" i="90"/>
  <c r="AO1341" i="90" s="1"/>
  <c r="AC1341" i="90"/>
  <c r="AJ1341" i="90"/>
  <c r="AD1405" i="90"/>
  <c r="AE1405" i="90"/>
  <c r="AC1405" i="90"/>
  <c r="AJ1405" i="90"/>
  <c r="AE393" i="90"/>
  <c r="AO393" i="90" s="1"/>
  <c r="AD393" i="90"/>
  <c r="AC393" i="90"/>
  <c r="AJ393" i="90"/>
  <c r="AH393" i="90"/>
  <c r="AL1129" i="90"/>
  <c r="AL1273" i="90"/>
  <c r="AL1449" i="90"/>
  <c r="AD34" i="90"/>
  <c r="AE34" i="90"/>
  <c r="AO34" i="90" s="1"/>
  <c r="AC34" i="90"/>
  <c r="AJ34" i="90"/>
  <c r="AD82" i="90"/>
  <c r="AE82" i="90"/>
  <c r="AO82" i="90" s="1"/>
  <c r="AC82" i="90"/>
  <c r="AJ82" i="90"/>
  <c r="AD130" i="90"/>
  <c r="AE130" i="90"/>
  <c r="AO130" i="90" s="1"/>
  <c r="AC130" i="90"/>
  <c r="AJ130" i="90"/>
  <c r="AD178" i="90"/>
  <c r="AE178" i="90"/>
  <c r="AO178" i="90" s="1"/>
  <c r="AC178" i="90"/>
  <c r="AJ178" i="90"/>
  <c r="AE242" i="90"/>
  <c r="AO242" i="90" s="1"/>
  <c r="AD242" i="90"/>
  <c r="AC242" i="90"/>
  <c r="AJ242" i="90"/>
  <c r="AE290" i="90"/>
  <c r="AO290" i="90" s="1"/>
  <c r="AD290" i="90"/>
  <c r="AC290" i="90"/>
  <c r="AJ290" i="90"/>
  <c r="AE354" i="90"/>
  <c r="AO354" i="90" s="1"/>
  <c r="AD354" i="90"/>
  <c r="AC354" i="90"/>
  <c r="AJ354" i="90"/>
  <c r="AE418" i="90"/>
  <c r="AD418" i="90"/>
  <c r="AC418" i="90"/>
  <c r="AJ418" i="90"/>
  <c r="AD482" i="90"/>
  <c r="AE482" i="90"/>
  <c r="AO482" i="90" s="1"/>
  <c r="AC482" i="90"/>
  <c r="AJ482" i="90"/>
  <c r="AD530" i="90"/>
  <c r="AE530" i="90"/>
  <c r="AO530" i="90" s="1"/>
  <c r="AC530" i="90"/>
  <c r="AJ530" i="90"/>
  <c r="AD594" i="90"/>
  <c r="AE594" i="90"/>
  <c r="AO594" i="90" s="1"/>
  <c r="AC594" i="90"/>
  <c r="AJ594" i="90"/>
  <c r="AE658" i="90"/>
  <c r="AO658" i="90" s="1"/>
  <c r="AD658" i="90"/>
  <c r="AC658" i="90"/>
  <c r="AJ658" i="90"/>
  <c r="AE722" i="90"/>
  <c r="AD722" i="90"/>
  <c r="AC722" i="90"/>
  <c r="AJ722" i="90"/>
  <c r="AE770" i="90"/>
  <c r="AO770" i="90" s="1"/>
  <c r="AD770" i="90"/>
  <c r="AC770" i="90"/>
  <c r="AJ770" i="90"/>
  <c r="AE818" i="90"/>
  <c r="AO818" i="90" s="1"/>
  <c r="AD818" i="90"/>
  <c r="AC818" i="90"/>
  <c r="AJ818" i="90"/>
  <c r="AE866" i="90"/>
  <c r="AO866" i="90" s="1"/>
  <c r="AD866" i="90"/>
  <c r="AC866" i="90"/>
  <c r="AJ866" i="90"/>
  <c r="AE914" i="90"/>
  <c r="AO914" i="90" s="1"/>
  <c r="AD914" i="90"/>
  <c r="AC914" i="90"/>
  <c r="AJ914" i="90"/>
  <c r="AD962" i="90"/>
  <c r="AE962" i="90"/>
  <c r="AO962" i="90" s="1"/>
  <c r="AC962" i="90"/>
  <c r="AJ962" i="90"/>
  <c r="AD1010" i="90"/>
  <c r="AE1010" i="90"/>
  <c r="AO1010" i="90" s="1"/>
  <c r="AC1010" i="90"/>
  <c r="AJ1010" i="90"/>
  <c r="AD1058" i="90"/>
  <c r="AE1058" i="90"/>
  <c r="AO1058" i="90" s="1"/>
  <c r="AC1058" i="90"/>
  <c r="AJ1058" i="90"/>
  <c r="AD1106" i="90"/>
  <c r="AE1106" i="90"/>
  <c r="AO1106" i="90" s="1"/>
  <c r="AC1106" i="90"/>
  <c r="AJ1106" i="90"/>
  <c r="AD1138" i="90"/>
  <c r="AE1138" i="90"/>
  <c r="AC1138" i="90"/>
  <c r="AJ1138" i="90"/>
  <c r="AD1186" i="90"/>
  <c r="AE1186" i="90"/>
  <c r="AO1186" i="90" s="1"/>
  <c r="AC1186" i="90"/>
  <c r="AJ1186" i="90"/>
  <c r="AD1234" i="90"/>
  <c r="AE1234" i="90"/>
  <c r="AO1234" i="90" s="1"/>
  <c r="AC1234" i="90"/>
  <c r="AJ1234" i="90"/>
  <c r="AD1314" i="90"/>
  <c r="AE1314" i="90"/>
  <c r="AO1314" i="90" s="1"/>
  <c r="AC1314" i="90"/>
  <c r="AJ1314" i="90"/>
  <c r="AD1362" i="90"/>
  <c r="AE1362" i="90"/>
  <c r="AO1362" i="90" s="1"/>
  <c r="AC1362" i="90"/>
  <c r="AJ1362" i="90"/>
  <c r="AD1426" i="90"/>
  <c r="AE1426" i="90"/>
  <c r="AO1426" i="90" s="1"/>
  <c r="AC1426" i="90"/>
  <c r="AJ1426" i="90"/>
  <c r="AH34" i="90"/>
  <c r="AH82" i="90"/>
  <c r="AH130" i="90"/>
  <c r="AH178" i="90"/>
  <c r="AH226" i="90"/>
  <c r="AH274" i="90"/>
  <c r="AH322" i="90"/>
  <c r="AH370" i="90"/>
  <c r="AH418" i="90"/>
  <c r="AH466" i="90"/>
  <c r="AH514" i="90"/>
  <c r="AH578" i="90"/>
  <c r="AH626" i="90"/>
  <c r="AH674" i="90"/>
  <c r="AH738" i="90"/>
  <c r="AH786" i="90"/>
  <c r="AH834" i="90"/>
  <c r="AH882" i="90"/>
  <c r="AH930" i="90"/>
  <c r="AH978" i="90"/>
  <c r="AH1026" i="90"/>
  <c r="AH1074" i="90"/>
  <c r="AH1122" i="90"/>
  <c r="AH1170" i="90"/>
  <c r="AH1218" i="90"/>
  <c r="AH1250" i="90"/>
  <c r="AH1298" i="90"/>
  <c r="AH1346" i="90"/>
  <c r="AH1394" i="90"/>
  <c r="AH1426" i="90"/>
  <c r="AD19" i="90"/>
  <c r="AE19" i="90"/>
  <c r="AO19" i="90" s="1"/>
  <c r="AC19" i="90"/>
  <c r="AJ19" i="90"/>
  <c r="AD67" i="90"/>
  <c r="AE67" i="90"/>
  <c r="AO67" i="90" s="1"/>
  <c r="AC67" i="90"/>
  <c r="AJ67" i="90"/>
  <c r="AD115" i="90"/>
  <c r="AE115" i="90"/>
  <c r="AO115" i="90" s="1"/>
  <c r="AC115" i="90"/>
  <c r="AJ115" i="90"/>
  <c r="AD147" i="90"/>
  <c r="AE147" i="90"/>
  <c r="AO147" i="90" s="1"/>
  <c r="AC147" i="90"/>
  <c r="AJ147" i="90"/>
  <c r="AE195" i="90"/>
  <c r="AO195" i="90" s="1"/>
  <c r="AD195" i="90"/>
  <c r="AC195" i="90"/>
  <c r="AJ195" i="90"/>
  <c r="AE243" i="90"/>
  <c r="AO243" i="90" s="1"/>
  <c r="AD243" i="90"/>
  <c r="AC243" i="90"/>
  <c r="AJ243" i="90"/>
  <c r="AD275" i="90"/>
  <c r="AE275" i="90"/>
  <c r="AO275" i="90" s="1"/>
  <c r="AC275" i="90"/>
  <c r="AJ275" i="90"/>
  <c r="AD323" i="90"/>
  <c r="AE323" i="90"/>
  <c r="AO323" i="90" s="1"/>
  <c r="AC323" i="90"/>
  <c r="AJ323" i="90"/>
  <c r="AD371" i="90"/>
  <c r="AE371" i="90"/>
  <c r="AO371" i="90" s="1"/>
  <c r="AC371" i="90"/>
  <c r="AJ371" i="90"/>
  <c r="AD419" i="90"/>
  <c r="AE419" i="90"/>
  <c r="AC419" i="90"/>
  <c r="AJ419" i="90"/>
  <c r="AE467" i="90"/>
  <c r="AD467" i="90"/>
  <c r="AC467" i="90"/>
  <c r="AJ467" i="90"/>
  <c r="AE499" i="90"/>
  <c r="AO499" i="90" s="1"/>
  <c r="AD499" i="90"/>
  <c r="AC499" i="90"/>
  <c r="AJ499" i="90"/>
  <c r="AE531" i="90"/>
  <c r="AO531" i="90" s="1"/>
  <c r="AD531" i="90"/>
  <c r="AC531" i="90"/>
  <c r="AJ531" i="90"/>
  <c r="AE579" i="90"/>
  <c r="AO579" i="90" s="1"/>
  <c r="AD579" i="90"/>
  <c r="AC579" i="90"/>
  <c r="AJ579" i="90"/>
  <c r="AD627" i="90"/>
  <c r="AE627" i="90"/>
  <c r="AC627" i="90"/>
  <c r="AJ627" i="90"/>
  <c r="AD659" i="90"/>
  <c r="AE659" i="90"/>
  <c r="AO659" i="90" s="1"/>
  <c r="AC659" i="90"/>
  <c r="AJ659" i="90"/>
  <c r="AD707" i="90"/>
  <c r="AE707" i="90"/>
  <c r="AO707" i="90" s="1"/>
  <c r="AC707" i="90"/>
  <c r="AJ707" i="90"/>
  <c r="AD755" i="90"/>
  <c r="AE755" i="90"/>
  <c r="AO755" i="90" s="1"/>
  <c r="AC755" i="90"/>
  <c r="AJ755" i="90"/>
  <c r="AD787" i="90"/>
  <c r="AE787" i="90"/>
  <c r="AO787" i="90" s="1"/>
  <c r="AC787" i="90"/>
  <c r="AJ787" i="90"/>
  <c r="AD835" i="90"/>
  <c r="AE835" i="90"/>
  <c r="AC835" i="90"/>
  <c r="AJ835" i="90"/>
  <c r="AD883" i="90"/>
  <c r="AE883" i="90"/>
  <c r="AC883" i="90"/>
  <c r="AJ883" i="90"/>
  <c r="AE931" i="90"/>
  <c r="AD931" i="90"/>
  <c r="AC931" i="90"/>
  <c r="AJ931" i="90"/>
  <c r="AE979" i="90"/>
  <c r="AO979" i="90" s="1"/>
  <c r="AD979" i="90"/>
  <c r="AC979" i="90"/>
  <c r="AJ979" i="90"/>
  <c r="AE1027" i="90"/>
  <c r="AO1027" i="90" s="1"/>
  <c r="AD1027" i="90"/>
  <c r="AC1027" i="90"/>
  <c r="AJ1027" i="90"/>
  <c r="AE1059" i="90"/>
  <c r="AO1059" i="90" s="1"/>
  <c r="AD1059" i="90"/>
  <c r="AC1059" i="90"/>
  <c r="AJ1059" i="90"/>
  <c r="AE1107" i="90"/>
  <c r="AO1107" i="90" s="1"/>
  <c r="AD1107" i="90"/>
  <c r="AC1107" i="90"/>
  <c r="AJ1107" i="90"/>
  <c r="AE1171" i="90"/>
  <c r="AO1171" i="90" s="1"/>
  <c r="AD1171" i="90"/>
  <c r="AC1171" i="90"/>
  <c r="AJ1171" i="90"/>
  <c r="AE1219" i="90"/>
  <c r="AO1219" i="90" s="1"/>
  <c r="AD1219" i="90"/>
  <c r="AC1219" i="90"/>
  <c r="AJ1219" i="90"/>
  <c r="AD1283" i="90"/>
  <c r="AE1283" i="90"/>
  <c r="AO1283" i="90" s="1"/>
  <c r="AC1283" i="90"/>
  <c r="AJ1283" i="90"/>
  <c r="AD1347" i="90"/>
  <c r="AE1347" i="90"/>
  <c r="AC1347" i="90"/>
  <c r="AJ1347" i="90"/>
  <c r="AD1395" i="90"/>
  <c r="AE1395" i="90"/>
  <c r="AO1395" i="90" s="1"/>
  <c r="AC1395" i="90"/>
  <c r="AJ1395" i="90"/>
  <c r="AH19" i="90"/>
  <c r="AH67" i="90"/>
  <c r="AH115" i="90"/>
  <c r="AH163" i="90"/>
  <c r="AH211" i="90"/>
  <c r="AH259" i="90"/>
  <c r="AH307" i="90"/>
  <c r="AH355" i="90"/>
  <c r="AH403" i="90"/>
  <c r="AH451" i="90"/>
  <c r="AH483" i="90"/>
  <c r="AH531" i="90"/>
  <c r="AH579" i="90"/>
  <c r="AH627" i="90"/>
  <c r="AH675" i="90"/>
  <c r="AH723" i="90"/>
  <c r="AH771" i="90"/>
  <c r="AH819" i="90"/>
  <c r="AH867" i="90"/>
  <c r="AH915" i="90"/>
  <c r="AH963" i="90"/>
  <c r="AH1011" i="90"/>
  <c r="AH1043" i="90"/>
  <c r="AH1091" i="90"/>
  <c r="AH1139" i="90"/>
  <c r="AH1187" i="90"/>
  <c r="AH1251" i="90"/>
  <c r="AH1299" i="90"/>
  <c r="AH1363" i="90"/>
  <c r="AH1411" i="90"/>
  <c r="AH1459" i="90"/>
  <c r="AD36" i="90"/>
  <c r="AE36" i="90"/>
  <c r="AO36" i="90" s="1"/>
  <c r="AC36" i="90"/>
  <c r="AJ36" i="90"/>
  <c r="AD84" i="90"/>
  <c r="AE84" i="90"/>
  <c r="AO84" i="90" s="1"/>
  <c r="AC84" i="90"/>
  <c r="AJ84" i="90"/>
  <c r="AE132" i="90"/>
  <c r="AO132" i="90" s="1"/>
  <c r="AD132" i="90"/>
  <c r="AC132" i="90"/>
  <c r="AJ132" i="90"/>
  <c r="AE164" i="90"/>
  <c r="AO164" i="90" s="1"/>
  <c r="AD164" i="90"/>
  <c r="AC164" i="90"/>
  <c r="AJ164" i="90"/>
  <c r="AD196" i="90"/>
  <c r="AE196" i="90"/>
  <c r="AO196" i="90" s="1"/>
  <c r="AC196" i="90"/>
  <c r="AJ196" i="90"/>
  <c r="AE244" i="90"/>
  <c r="AO244" i="90" s="1"/>
  <c r="AD244" i="90"/>
  <c r="AC244" i="90"/>
  <c r="AJ244" i="90"/>
  <c r="AE276" i="90"/>
  <c r="AO276" i="90" s="1"/>
  <c r="AD276" i="90"/>
  <c r="AC276" i="90"/>
  <c r="AJ276" i="90"/>
  <c r="AE308" i="90"/>
  <c r="AD308" i="90"/>
  <c r="AC308" i="90"/>
  <c r="AJ308" i="90"/>
  <c r="AE356" i="90"/>
  <c r="AO356" i="90" s="1"/>
  <c r="AD356" i="90"/>
  <c r="AC356" i="90"/>
  <c r="AJ356" i="90"/>
  <c r="AE404" i="90"/>
  <c r="AO404" i="90" s="1"/>
  <c r="AD404" i="90"/>
  <c r="AC404" i="90"/>
  <c r="AJ404" i="90"/>
  <c r="AD436" i="90"/>
  <c r="AE436" i="90"/>
  <c r="AO436" i="90" s="1"/>
  <c r="AC436" i="90"/>
  <c r="AJ436" i="90"/>
  <c r="AD468" i="90"/>
  <c r="AE468" i="90"/>
  <c r="AC468" i="90"/>
  <c r="AJ468" i="90"/>
  <c r="AD500" i="90"/>
  <c r="AE500" i="90"/>
  <c r="AO500" i="90" s="1"/>
  <c r="AC500" i="90"/>
  <c r="AJ500" i="90"/>
  <c r="AD532" i="90"/>
  <c r="AE532" i="90"/>
  <c r="AO532" i="90" s="1"/>
  <c r="AC532" i="90"/>
  <c r="AJ532" i="90"/>
  <c r="AD564" i="90"/>
  <c r="AE564" i="90"/>
  <c r="AO564" i="90" s="1"/>
  <c r="AC564" i="90"/>
  <c r="AJ564" i="90"/>
  <c r="AE612" i="90"/>
  <c r="AO612" i="90" s="1"/>
  <c r="AD612" i="90"/>
  <c r="AC612" i="90"/>
  <c r="AJ612" i="90"/>
  <c r="AE644" i="90"/>
  <c r="AO644" i="90" s="1"/>
  <c r="AD644" i="90"/>
  <c r="AC644" i="90"/>
  <c r="AJ644" i="90"/>
  <c r="AE676" i="90"/>
  <c r="AD676" i="90"/>
  <c r="AC676" i="90"/>
  <c r="AJ676" i="90"/>
  <c r="AE708" i="90"/>
  <c r="AO708" i="90" s="1"/>
  <c r="AD708" i="90"/>
  <c r="AC708" i="90"/>
  <c r="AJ708" i="90"/>
  <c r="AE740" i="90"/>
  <c r="AO740" i="90" s="1"/>
  <c r="AD740" i="90"/>
  <c r="AC740" i="90"/>
  <c r="AJ740" i="90"/>
  <c r="AE772" i="90"/>
  <c r="AO772" i="90" s="1"/>
  <c r="AD772" i="90"/>
  <c r="AC772" i="90"/>
  <c r="AJ772" i="90"/>
  <c r="AE804" i="90"/>
  <c r="AO804" i="90" s="1"/>
  <c r="AD804" i="90"/>
  <c r="AC804" i="90"/>
  <c r="AJ804" i="90"/>
  <c r="AE836" i="90"/>
  <c r="AD836" i="90"/>
  <c r="AC836" i="90"/>
  <c r="AJ836" i="90"/>
  <c r="AE868" i="90"/>
  <c r="AO868" i="90" s="1"/>
  <c r="AD868" i="90"/>
  <c r="AC868" i="90"/>
  <c r="AJ868" i="90"/>
  <c r="AE900" i="90"/>
  <c r="AO900" i="90" s="1"/>
  <c r="AD900" i="90"/>
  <c r="AC900" i="90"/>
  <c r="AJ900" i="90"/>
  <c r="AD932" i="90"/>
  <c r="AE932" i="90"/>
  <c r="AC932" i="90"/>
  <c r="AJ932" i="90"/>
  <c r="AD964" i="90"/>
  <c r="AE964" i="90"/>
  <c r="AO964" i="90" s="1"/>
  <c r="AC964" i="90"/>
  <c r="AJ964" i="90"/>
  <c r="AD980" i="90"/>
  <c r="AE980" i="90"/>
  <c r="AO980" i="90" s="1"/>
  <c r="AC980" i="90"/>
  <c r="AJ980" i="90"/>
  <c r="AD1012" i="90"/>
  <c r="AE1012" i="90"/>
  <c r="AO1012" i="90" s="1"/>
  <c r="AC1012" i="90"/>
  <c r="AJ1012" i="90"/>
  <c r="AD1060" i="90"/>
  <c r="AE1060" i="90"/>
  <c r="AO1060" i="90" s="1"/>
  <c r="AC1060" i="90"/>
  <c r="AJ1060" i="90"/>
  <c r="AD1092" i="90"/>
  <c r="AE1092" i="90"/>
  <c r="AC1092" i="90"/>
  <c r="AJ1092" i="90"/>
  <c r="AD1124" i="90"/>
  <c r="AE1124" i="90"/>
  <c r="AO1124" i="90" s="1"/>
  <c r="AC1124" i="90"/>
  <c r="AJ1124" i="90"/>
  <c r="AD1156" i="90"/>
  <c r="AE1156" i="90"/>
  <c r="AO1156" i="90" s="1"/>
  <c r="AC1156" i="90"/>
  <c r="AJ1156" i="90"/>
  <c r="AD1188" i="90"/>
  <c r="AE1188" i="90"/>
  <c r="AO1188" i="90" s="1"/>
  <c r="AC1188" i="90"/>
  <c r="AJ1188" i="90"/>
  <c r="AE1220" i="90"/>
  <c r="AO1220" i="90" s="1"/>
  <c r="AD1220" i="90"/>
  <c r="AC1220" i="90"/>
  <c r="AJ1220" i="90"/>
  <c r="AD1252" i="90"/>
  <c r="AE1252" i="90"/>
  <c r="AC1252" i="90"/>
  <c r="AJ1252" i="90"/>
  <c r="AD1268" i="90"/>
  <c r="AE1268" i="90"/>
  <c r="AO1268" i="90" s="1"/>
  <c r="AC1268" i="90"/>
  <c r="AJ1268" i="90"/>
  <c r="AE1300" i="90"/>
  <c r="AD1300" i="90"/>
  <c r="AC1300" i="90"/>
  <c r="AJ1300" i="90"/>
  <c r="AE1332" i="90"/>
  <c r="AO1332" i="90" s="1"/>
  <c r="AD1332" i="90"/>
  <c r="AC1332" i="90"/>
  <c r="AJ1332" i="90"/>
  <c r="AE1364" i="90"/>
  <c r="AO1364" i="90" s="1"/>
  <c r="AD1364" i="90"/>
  <c r="AC1364" i="90"/>
  <c r="AJ1364" i="90"/>
  <c r="AE1396" i="90"/>
  <c r="AO1396" i="90" s="1"/>
  <c r="AD1396" i="90"/>
  <c r="AC1396" i="90"/>
  <c r="AJ1396" i="90"/>
  <c r="AE1428" i="90"/>
  <c r="AO1428" i="90" s="1"/>
  <c r="AD1428" i="90"/>
  <c r="AC1428" i="90"/>
  <c r="AJ1428" i="90"/>
  <c r="AE1460" i="90"/>
  <c r="AD1460" i="90"/>
  <c r="AC1460" i="90"/>
  <c r="AJ1460" i="90"/>
  <c r="AH36" i="90"/>
  <c r="AH68" i="90"/>
  <c r="AH100" i="90"/>
  <c r="AH132" i="90"/>
  <c r="AH164" i="90"/>
  <c r="AH196" i="90"/>
  <c r="AH228" i="90"/>
  <c r="AH260" i="90"/>
  <c r="AH292" i="90"/>
  <c r="AH324" i="90"/>
  <c r="AH340" i="90"/>
  <c r="AH372" i="90"/>
  <c r="AH404" i="90"/>
  <c r="AH436" i="90"/>
  <c r="AH468" i="90"/>
  <c r="AH484" i="90"/>
  <c r="AH516" i="90"/>
  <c r="AH548" i="90"/>
  <c r="AH580" i="90"/>
  <c r="AH612" i="90"/>
  <c r="AH644" i="90"/>
  <c r="AH676" i="90"/>
  <c r="AH708" i="90"/>
  <c r="AH740" i="90"/>
  <c r="AH772" i="90"/>
  <c r="AH804" i="90"/>
  <c r="AH836" i="90"/>
  <c r="AH852" i="90"/>
  <c r="AH884" i="90"/>
  <c r="AH916" i="90"/>
  <c r="AH964" i="90"/>
  <c r="AH996" i="90"/>
  <c r="AH1028" i="90"/>
  <c r="AH1060" i="90"/>
  <c r="AH1092" i="90"/>
  <c r="AH1124" i="90"/>
  <c r="AH1156" i="90"/>
  <c r="AH1188" i="90"/>
  <c r="AH1220" i="90"/>
  <c r="AH1252" i="90"/>
  <c r="AH1284" i="90"/>
  <c r="AH1316" i="90"/>
  <c r="AH1364" i="90"/>
  <c r="AH1396" i="90"/>
  <c r="AH1428" i="90"/>
  <c r="AH1460" i="90"/>
  <c r="AD573" i="90"/>
  <c r="AE573" i="90"/>
  <c r="AC573" i="90"/>
  <c r="AJ573" i="90"/>
  <c r="AD765" i="90"/>
  <c r="AE765" i="90"/>
  <c r="AO765" i="90" s="1"/>
  <c r="AC765" i="90"/>
  <c r="AJ765" i="90"/>
  <c r="AD893" i="90"/>
  <c r="AE893" i="90"/>
  <c r="AO893" i="90" s="1"/>
  <c r="AC893" i="90"/>
  <c r="AJ893" i="90"/>
  <c r="AE1021" i="90"/>
  <c r="AO1021" i="90" s="1"/>
  <c r="AD1021" i="90"/>
  <c r="AC1021" i="90"/>
  <c r="AJ1021" i="90"/>
  <c r="AE1213" i="90"/>
  <c r="AO1213" i="90" s="1"/>
  <c r="AD1213" i="90"/>
  <c r="AC1213" i="90"/>
  <c r="AJ1213" i="90"/>
  <c r="AL537" i="90"/>
  <c r="AN601" i="90"/>
  <c r="AD18" i="90"/>
  <c r="AE18" i="90"/>
  <c r="AO18" i="90" s="1"/>
  <c r="AC18" i="90"/>
  <c r="AJ18" i="90"/>
  <c r="AD66" i="90"/>
  <c r="AE66" i="90"/>
  <c r="AO66" i="90" s="1"/>
  <c r="AC66" i="90"/>
  <c r="AJ66" i="90"/>
  <c r="AD114" i="90"/>
  <c r="AE114" i="90"/>
  <c r="AO114" i="90" s="1"/>
  <c r="AC114" i="90"/>
  <c r="AJ114" i="90"/>
  <c r="AD146" i="90"/>
  <c r="AE146" i="90"/>
  <c r="AO146" i="90" s="1"/>
  <c r="AC146" i="90"/>
  <c r="AJ146" i="90"/>
  <c r="AD194" i="90"/>
  <c r="AE194" i="90"/>
  <c r="AO194" i="90" s="1"/>
  <c r="AC194" i="90"/>
  <c r="AJ194" i="90"/>
  <c r="AE226" i="90"/>
  <c r="AO226" i="90" s="1"/>
  <c r="AD226" i="90"/>
  <c r="AC226" i="90"/>
  <c r="AJ226" i="90"/>
  <c r="AE274" i="90"/>
  <c r="AO274" i="90" s="1"/>
  <c r="AD274" i="90"/>
  <c r="AC274" i="90"/>
  <c r="AJ274" i="90"/>
  <c r="AE306" i="90"/>
  <c r="AD306" i="90"/>
  <c r="AC306" i="90"/>
  <c r="AJ306" i="90"/>
  <c r="AE338" i="90"/>
  <c r="AO338" i="90" s="1"/>
  <c r="AD338" i="90"/>
  <c r="AC338" i="90"/>
  <c r="AJ338" i="90"/>
  <c r="AE386" i="90"/>
  <c r="AO386" i="90" s="1"/>
  <c r="AD386" i="90"/>
  <c r="AC386" i="90"/>
  <c r="AJ386" i="90"/>
  <c r="AD434" i="90"/>
  <c r="AE434" i="90"/>
  <c r="AO434" i="90" s="1"/>
  <c r="AC434" i="90"/>
  <c r="AJ434" i="90"/>
  <c r="AD466" i="90"/>
  <c r="AE466" i="90"/>
  <c r="AC466" i="90"/>
  <c r="AJ466" i="90"/>
  <c r="AD498" i="90"/>
  <c r="AE498" i="90"/>
  <c r="AO498" i="90" s="1"/>
  <c r="AC498" i="90"/>
  <c r="AJ498" i="90"/>
  <c r="AD546" i="90"/>
  <c r="AE546" i="90"/>
  <c r="AO546" i="90" s="1"/>
  <c r="AC546" i="90"/>
  <c r="AJ546" i="90"/>
  <c r="AD578" i="90"/>
  <c r="AE578" i="90"/>
  <c r="AO578" i="90" s="1"/>
  <c r="AC578" i="90"/>
  <c r="AJ578" i="90"/>
  <c r="AE626" i="90"/>
  <c r="AD626" i="90"/>
  <c r="AC626" i="90"/>
  <c r="AJ626" i="90"/>
  <c r="AE674" i="90"/>
  <c r="AD674" i="90"/>
  <c r="AC674" i="90"/>
  <c r="AJ674" i="90"/>
  <c r="AE706" i="90"/>
  <c r="AO706" i="90" s="1"/>
  <c r="AD706" i="90"/>
  <c r="AC706" i="90"/>
  <c r="AJ706" i="90"/>
  <c r="AE738" i="90"/>
  <c r="AO738" i="90" s="1"/>
  <c r="AD738" i="90"/>
  <c r="AC738" i="90"/>
  <c r="AJ738" i="90"/>
  <c r="AE786" i="90"/>
  <c r="AO786" i="90" s="1"/>
  <c r="AD786" i="90"/>
  <c r="AC786" i="90"/>
  <c r="AJ786" i="90"/>
  <c r="AE834" i="90"/>
  <c r="AD834" i="90"/>
  <c r="AC834" i="90"/>
  <c r="AJ834" i="90"/>
  <c r="AE882" i="90"/>
  <c r="AD882" i="90"/>
  <c r="AC882" i="90"/>
  <c r="AJ882" i="90"/>
  <c r="AE930" i="90"/>
  <c r="AD930" i="90"/>
  <c r="AC930" i="90"/>
  <c r="AJ930" i="90"/>
  <c r="AD946" i="90"/>
  <c r="AE946" i="90"/>
  <c r="AO946" i="90" s="1"/>
  <c r="AC946" i="90"/>
  <c r="AJ946" i="90"/>
  <c r="AD994" i="90"/>
  <c r="AE994" i="90"/>
  <c r="AO994" i="90" s="1"/>
  <c r="AC994" i="90"/>
  <c r="AJ994" i="90"/>
  <c r="AD1042" i="90"/>
  <c r="AE1042" i="90"/>
  <c r="AC1042" i="90"/>
  <c r="AJ1042" i="90"/>
  <c r="AD1090" i="90"/>
  <c r="AE1090" i="90"/>
  <c r="AC1090" i="90"/>
  <c r="AJ1090" i="90"/>
  <c r="AD1154" i="90"/>
  <c r="AE1154" i="90"/>
  <c r="AO1154" i="90" s="1"/>
  <c r="AC1154" i="90"/>
  <c r="AJ1154" i="90"/>
  <c r="AD1202" i="90"/>
  <c r="AE1202" i="90"/>
  <c r="AO1202" i="90" s="1"/>
  <c r="AC1202" i="90"/>
  <c r="AJ1202" i="90"/>
  <c r="AD1266" i="90"/>
  <c r="AE1266" i="90"/>
  <c r="AO1266" i="90" s="1"/>
  <c r="AC1266" i="90"/>
  <c r="AJ1266" i="90"/>
  <c r="AD1298" i="90"/>
  <c r="AE1298" i="90"/>
  <c r="AC1298" i="90"/>
  <c r="AJ1298" i="90"/>
  <c r="AD1346" i="90"/>
  <c r="AE1346" i="90"/>
  <c r="AC1346" i="90"/>
  <c r="AJ1346" i="90"/>
  <c r="AD1394" i="90"/>
  <c r="AE1394" i="90"/>
  <c r="AO1394" i="90" s="1"/>
  <c r="AC1394" i="90"/>
  <c r="AJ1394" i="90"/>
  <c r="AH18" i="90"/>
  <c r="AH66" i="90"/>
  <c r="AH98" i="90"/>
  <c r="AH146" i="90"/>
  <c r="AH194" i="90"/>
  <c r="AH242" i="90"/>
  <c r="AH290" i="90"/>
  <c r="AH338" i="90"/>
  <c r="AH386" i="90"/>
  <c r="AH434" i="90"/>
  <c r="AH482" i="90"/>
  <c r="AH530" i="90"/>
  <c r="AH562" i="90"/>
  <c r="AH610" i="90"/>
  <c r="AH658" i="90"/>
  <c r="AH706" i="90"/>
  <c r="AH754" i="90"/>
  <c r="AH802" i="90"/>
  <c r="AH850" i="90"/>
  <c r="AH898" i="90"/>
  <c r="AH946" i="90"/>
  <c r="AH994" i="90"/>
  <c r="AH1042" i="90"/>
  <c r="AH1090" i="90"/>
  <c r="AH1138" i="90"/>
  <c r="AH1186" i="90"/>
  <c r="AH1234" i="90"/>
  <c r="AH1282" i="90"/>
  <c r="AH1330" i="90"/>
  <c r="AH1378" i="90"/>
  <c r="AH1442" i="90"/>
  <c r="AD51" i="90"/>
  <c r="AE51" i="90"/>
  <c r="AC51" i="90"/>
  <c r="AJ51" i="90"/>
  <c r="AD99" i="90"/>
  <c r="AE99" i="90"/>
  <c r="AC99" i="90"/>
  <c r="AJ99" i="90"/>
  <c r="AD163" i="90"/>
  <c r="AE163" i="90"/>
  <c r="AO163" i="90" s="1"/>
  <c r="AC163" i="90"/>
  <c r="AJ163" i="90"/>
  <c r="AE227" i="90"/>
  <c r="AO227" i="90" s="1"/>
  <c r="AD227" i="90"/>
  <c r="AC227" i="90"/>
  <c r="AJ227" i="90"/>
  <c r="AD291" i="90"/>
  <c r="AE291" i="90"/>
  <c r="AO291" i="90" s="1"/>
  <c r="AC291" i="90"/>
  <c r="AJ291" i="90"/>
  <c r="AD339" i="90"/>
  <c r="AE339" i="90"/>
  <c r="AO339" i="90" s="1"/>
  <c r="AC339" i="90"/>
  <c r="AJ339" i="90"/>
  <c r="AD403" i="90"/>
  <c r="AE403" i="90"/>
  <c r="AO403" i="90" s="1"/>
  <c r="AC403" i="90"/>
  <c r="AJ403" i="90"/>
  <c r="AE451" i="90"/>
  <c r="AO451" i="90" s="1"/>
  <c r="AD451" i="90"/>
  <c r="AC451" i="90"/>
  <c r="AJ451" i="90"/>
  <c r="AE515" i="90"/>
  <c r="AD515" i="90"/>
  <c r="AC515" i="90"/>
  <c r="AJ515" i="90"/>
  <c r="AD563" i="90"/>
  <c r="AE563" i="90"/>
  <c r="AO563" i="90" s="1"/>
  <c r="AC563" i="90"/>
  <c r="AJ563" i="90"/>
  <c r="AD611" i="90"/>
  <c r="AE611" i="90"/>
  <c r="AO611" i="90" s="1"/>
  <c r="AC611" i="90"/>
  <c r="AJ611" i="90"/>
  <c r="AD675" i="90"/>
  <c r="AE675" i="90"/>
  <c r="AC675" i="90"/>
  <c r="AJ675" i="90"/>
  <c r="AD739" i="90"/>
  <c r="AE739" i="90"/>
  <c r="AO739" i="90" s="1"/>
  <c r="AC739" i="90"/>
  <c r="AJ739" i="90"/>
  <c r="AD803" i="90"/>
  <c r="AE803" i="90"/>
  <c r="AO803" i="90" s="1"/>
  <c r="AC803" i="90"/>
  <c r="AJ803" i="90"/>
  <c r="AD851" i="90"/>
  <c r="AE851" i="90"/>
  <c r="AO851" i="90" s="1"/>
  <c r="AC851" i="90"/>
  <c r="AJ851" i="90"/>
  <c r="AD899" i="90"/>
  <c r="AE899" i="90"/>
  <c r="AO899" i="90" s="1"/>
  <c r="AC899" i="90"/>
  <c r="AJ899" i="90"/>
  <c r="AE947" i="90"/>
  <c r="AO947" i="90" s="1"/>
  <c r="AD947" i="90"/>
  <c r="AC947" i="90"/>
  <c r="AJ947" i="90"/>
  <c r="AE1011" i="90"/>
  <c r="AO1011" i="90" s="1"/>
  <c r="AD1011" i="90"/>
  <c r="AC1011" i="90"/>
  <c r="AJ1011" i="90"/>
  <c r="AE1075" i="90"/>
  <c r="AO1075" i="90" s="1"/>
  <c r="AD1075" i="90"/>
  <c r="AC1075" i="90"/>
  <c r="AJ1075" i="90"/>
  <c r="AE1139" i="90"/>
  <c r="AD1139" i="90"/>
  <c r="AC1139" i="90"/>
  <c r="AJ1139" i="90"/>
  <c r="AE1187" i="90"/>
  <c r="AO1187" i="90" s="1"/>
  <c r="AD1187" i="90"/>
  <c r="AC1187" i="90"/>
  <c r="AJ1187" i="90"/>
  <c r="AD1235" i="90"/>
  <c r="AE1235" i="90"/>
  <c r="AO1235" i="90" s="1"/>
  <c r="AC1235" i="90"/>
  <c r="AJ1235" i="90"/>
  <c r="AD1267" i="90"/>
  <c r="AE1267" i="90"/>
  <c r="AO1267" i="90" s="1"/>
  <c r="AC1267" i="90"/>
  <c r="AJ1267" i="90"/>
  <c r="AD1331" i="90"/>
  <c r="AE1331" i="90"/>
  <c r="AO1331" i="90" s="1"/>
  <c r="AC1331" i="90"/>
  <c r="AJ1331" i="90"/>
  <c r="AD1379" i="90"/>
  <c r="AE1379" i="90"/>
  <c r="AO1379" i="90" s="1"/>
  <c r="AC1379" i="90"/>
  <c r="AJ1379" i="90"/>
  <c r="AD1427" i="90"/>
  <c r="AE1427" i="90"/>
  <c r="AO1427" i="90" s="1"/>
  <c r="AC1427" i="90"/>
  <c r="AJ1427" i="90"/>
  <c r="AH35" i="90"/>
  <c r="AH83" i="90"/>
  <c r="AH131" i="90"/>
  <c r="AH179" i="90"/>
  <c r="AH227" i="90"/>
  <c r="AH275" i="90"/>
  <c r="AH323" i="90"/>
  <c r="AH371" i="90"/>
  <c r="AH435" i="90"/>
  <c r="AH499" i="90"/>
  <c r="AH547" i="90"/>
  <c r="AH595" i="90"/>
  <c r="AH643" i="90"/>
  <c r="AH691" i="90"/>
  <c r="AH739" i="90"/>
  <c r="AH787" i="90"/>
  <c r="AH835" i="90"/>
  <c r="AH883" i="90"/>
  <c r="AH931" i="90"/>
  <c r="AH979" i="90"/>
  <c r="AH1027" i="90"/>
  <c r="AH1075" i="90"/>
  <c r="AH1123" i="90"/>
  <c r="AH1171" i="90"/>
  <c r="AH1219" i="90"/>
  <c r="AH1267" i="90"/>
  <c r="AH1315" i="90"/>
  <c r="AH1347" i="90"/>
  <c r="AH1395" i="90"/>
  <c r="AH1443" i="90"/>
  <c r="AD52" i="90"/>
  <c r="AE52" i="90"/>
  <c r="AC52" i="90"/>
  <c r="AJ52" i="90"/>
  <c r="AE116" i="90"/>
  <c r="AO116" i="90" s="1"/>
  <c r="AD116" i="90"/>
  <c r="AC116" i="90"/>
  <c r="AJ116" i="90"/>
  <c r="AE212" i="90"/>
  <c r="AD212" i="90"/>
  <c r="AC212" i="90"/>
  <c r="AJ212" i="90"/>
  <c r="AE340" i="90"/>
  <c r="AO340" i="90" s="1"/>
  <c r="AD340" i="90"/>
  <c r="AC340" i="90"/>
  <c r="AJ340" i="90"/>
  <c r="AD580" i="90"/>
  <c r="AE580" i="90"/>
  <c r="AO580" i="90" s="1"/>
  <c r="AC580" i="90"/>
  <c r="AJ580" i="90"/>
  <c r="AD1044" i="90"/>
  <c r="AE1044" i="90"/>
  <c r="AC1044" i="90"/>
  <c r="AJ1044" i="90"/>
  <c r="AN1369" i="90"/>
  <c r="AD481" i="90"/>
  <c r="AE481" i="90"/>
  <c r="AO481" i="90" s="1"/>
  <c r="AC481" i="90"/>
  <c r="AJ481" i="90"/>
  <c r="AD545" i="90"/>
  <c r="AE545" i="90"/>
  <c r="AO545" i="90" s="1"/>
  <c r="AC545" i="90"/>
  <c r="AJ545" i="90"/>
  <c r="AE609" i="90"/>
  <c r="AO609" i="90" s="1"/>
  <c r="AD609" i="90"/>
  <c r="AC609" i="90"/>
  <c r="AJ609" i="90"/>
  <c r="AE673" i="90"/>
  <c r="AD673" i="90"/>
  <c r="AC673" i="90"/>
  <c r="AJ673" i="90"/>
  <c r="AE737" i="90"/>
  <c r="AO737" i="90" s="1"/>
  <c r="AD737" i="90"/>
  <c r="AC737" i="90"/>
  <c r="AJ737" i="90"/>
  <c r="AE801" i="90"/>
  <c r="AO801" i="90" s="1"/>
  <c r="AD801" i="90"/>
  <c r="AC801" i="90"/>
  <c r="AJ801" i="90"/>
  <c r="AD865" i="90"/>
  <c r="AE865" i="90"/>
  <c r="AO865" i="90" s="1"/>
  <c r="AC865" i="90"/>
  <c r="AJ865" i="90"/>
  <c r="AE929" i="90"/>
  <c r="AD929" i="90"/>
  <c r="AC929" i="90"/>
  <c r="AJ929" i="90"/>
  <c r="AE993" i="90"/>
  <c r="AO993" i="90" s="1"/>
  <c r="AD993" i="90"/>
  <c r="AC993" i="90"/>
  <c r="AJ993" i="90"/>
  <c r="AE1057" i="90"/>
  <c r="AO1057" i="90" s="1"/>
  <c r="AD1057" i="90"/>
  <c r="AC1057" i="90"/>
  <c r="AJ1057" i="90"/>
  <c r="AE1121" i="90"/>
  <c r="AO1121" i="90" s="1"/>
  <c r="AD1121" i="90"/>
  <c r="AC1121" i="90"/>
  <c r="AJ1121" i="90"/>
  <c r="AE1185" i="90"/>
  <c r="AO1185" i="90" s="1"/>
  <c r="AD1185" i="90"/>
  <c r="AC1185" i="90"/>
  <c r="AJ1185" i="90"/>
  <c r="AD1249" i="90"/>
  <c r="AE1249" i="90"/>
  <c r="AC1249" i="90"/>
  <c r="AJ1249" i="90"/>
  <c r="AD1313" i="90"/>
  <c r="AE1313" i="90"/>
  <c r="AO1313" i="90" s="1"/>
  <c r="AC1313" i="90"/>
  <c r="AJ1313" i="90"/>
  <c r="AD1377" i="90"/>
  <c r="AE1377" i="90"/>
  <c r="AO1377" i="90" s="1"/>
  <c r="AC1377" i="90"/>
  <c r="AJ1377" i="90"/>
  <c r="AD1441" i="90"/>
  <c r="AE1441" i="90"/>
  <c r="AO1441" i="90" s="1"/>
  <c r="AC1441" i="90"/>
  <c r="AJ1441" i="90"/>
  <c r="AE373" i="90"/>
  <c r="AO373" i="90" s="1"/>
  <c r="AD373" i="90"/>
  <c r="AC373" i="90"/>
  <c r="AJ373" i="90"/>
  <c r="AH373" i="90"/>
  <c r="AN729" i="90"/>
  <c r="AL793" i="90"/>
  <c r="AN937" i="90"/>
  <c r="AL985" i="90"/>
  <c r="AN1161" i="90"/>
  <c r="AN1385" i="90"/>
  <c r="AD469" i="90"/>
  <c r="AE469" i="90"/>
  <c r="AC469" i="90"/>
  <c r="AJ469" i="90"/>
  <c r="AD533" i="90"/>
  <c r="AE533" i="90"/>
  <c r="AO533" i="90" s="1"/>
  <c r="AC533" i="90"/>
  <c r="AJ533" i="90"/>
  <c r="AD597" i="90"/>
  <c r="AE597" i="90"/>
  <c r="AO597" i="90" s="1"/>
  <c r="AC597" i="90"/>
  <c r="AJ597" i="90"/>
  <c r="AD661" i="90"/>
  <c r="AE661" i="90"/>
  <c r="AO661" i="90" s="1"/>
  <c r="AC661" i="90"/>
  <c r="AJ661" i="90"/>
  <c r="AD725" i="90"/>
  <c r="AE725" i="90"/>
  <c r="AC725" i="90"/>
  <c r="AJ725" i="90"/>
  <c r="AD789" i="90"/>
  <c r="AE789" i="90"/>
  <c r="AO789" i="90" s="1"/>
  <c r="AC789" i="90"/>
  <c r="AJ789" i="90"/>
  <c r="AD853" i="90"/>
  <c r="AE853" i="90"/>
  <c r="AO853" i="90" s="1"/>
  <c r="AC853" i="90"/>
  <c r="AJ853" i="90"/>
  <c r="AE917" i="90"/>
  <c r="AO917" i="90" s="1"/>
  <c r="AD917" i="90"/>
  <c r="AC917" i="90"/>
  <c r="AJ917" i="90"/>
  <c r="AE981" i="90"/>
  <c r="AC981" i="90"/>
  <c r="AD981" i="90"/>
  <c r="AJ981" i="90"/>
  <c r="AE1045" i="90"/>
  <c r="AO1045" i="90" s="1"/>
  <c r="AD1045" i="90"/>
  <c r="AC1045" i="90"/>
  <c r="AJ1045" i="90"/>
  <c r="AE1109" i="90"/>
  <c r="AO1109" i="90" s="1"/>
  <c r="AC1109" i="90"/>
  <c r="AD1109" i="90"/>
  <c r="AJ1109" i="90"/>
  <c r="AE1173" i="90"/>
  <c r="AO1173" i="90" s="1"/>
  <c r="AD1173" i="90"/>
  <c r="AC1173" i="90"/>
  <c r="AJ1173" i="90"/>
  <c r="AD1237" i="90"/>
  <c r="AE1237" i="90"/>
  <c r="AO1237" i="90" s="1"/>
  <c r="AC1237" i="90"/>
  <c r="AJ1237" i="90"/>
  <c r="AD1301" i="90"/>
  <c r="AE1301" i="90"/>
  <c r="AC1301" i="90"/>
  <c r="AJ1301" i="90"/>
  <c r="AD1365" i="90"/>
  <c r="AE1365" i="90"/>
  <c r="AO1365" i="90" s="1"/>
  <c r="AC1365" i="90"/>
  <c r="AJ1365" i="90"/>
  <c r="AD1429" i="90"/>
  <c r="AE1429" i="90"/>
  <c r="AO1429" i="90" s="1"/>
  <c r="AC1429" i="90"/>
  <c r="AJ1429" i="90"/>
  <c r="AN649" i="90"/>
  <c r="AN873" i="90"/>
  <c r="AN1001" i="90"/>
  <c r="AL1049" i="90"/>
  <c r="AN1257" i="90"/>
  <c r="AD6" i="90"/>
  <c r="AE6" i="90"/>
  <c r="AO6" i="90" s="1"/>
  <c r="AC6" i="90"/>
  <c r="AJ6" i="90"/>
  <c r="AD22" i="90"/>
  <c r="AE22" i="90"/>
  <c r="AO22" i="90" s="1"/>
  <c r="AC22" i="90"/>
  <c r="AJ22" i="90"/>
  <c r="AD38" i="90"/>
  <c r="AE38" i="90"/>
  <c r="AO38" i="90" s="1"/>
  <c r="AC38" i="90"/>
  <c r="AJ38" i="90"/>
  <c r="AD54" i="90"/>
  <c r="AE54" i="90"/>
  <c r="AC54" i="90"/>
  <c r="AJ54" i="90"/>
  <c r="AD70" i="90"/>
  <c r="AE70" i="90"/>
  <c r="AO70" i="90" s="1"/>
  <c r="AC70" i="90"/>
  <c r="AJ70" i="90"/>
  <c r="AD86" i="90"/>
  <c r="AE86" i="90"/>
  <c r="AO86" i="90" s="1"/>
  <c r="AC86" i="90"/>
  <c r="AJ86" i="90"/>
  <c r="AD102" i="90"/>
  <c r="AE102" i="90"/>
  <c r="AC102" i="90"/>
  <c r="AJ102" i="90"/>
  <c r="AD118" i="90"/>
  <c r="AE118" i="90"/>
  <c r="AO118" i="90" s="1"/>
  <c r="AJ118" i="90"/>
  <c r="AC118" i="90"/>
  <c r="AD134" i="90"/>
  <c r="AE134" i="90"/>
  <c r="AO134" i="90" s="1"/>
  <c r="AC134" i="90"/>
  <c r="AJ134" i="90"/>
  <c r="AD150" i="90"/>
  <c r="AE150" i="90"/>
  <c r="AC150" i="90"/>
  <c r="AJ150" i="90"/>
  <c r="AD166" i="90"/>
  <c r="AE166" i="90"/>
  <c r="AO166" i="90" s="1"/>
  <c r="AC166" i="90"/>
  <c r="AJ166" i="90"/>
  <c r="AD182" i="90"/>
  <c r="AE182" i="90"/>
  <c r="AO182" i="90" s="1"/>
  <c r="AJ182" i="90"/>
  <c r="AC182" i="90"/>
  <c r="AD198" i="90"/>
  <c r="AE198" i="90"/>
  <c r="AO198" i="90" s="1"/>
  <c r="AC198" i="90"/>
  <c r="AJ198" i="90"/>
  <c r="AE214" i="90"/>
  <c r="AO214" i="90" s="1"/>
  <c r="AD214" i="90"/>
  <c r="AC214" i="90"/>
  <c r="AJ214" i="90"/>
  <c r="AE230" i="90"/>
  <c r="AO230" i="90" s="1"/>
  <c r="AD230" i="90"/>
  <c r="AC230" i="90"/>
  <c r="AJ230" i="90"/>
  <c r="AE246" i="90"/>
  <c r="AO246" i="90" s="1"/>
  <c r="AD246" i="90"/>
  <c r="AC246" i="90"/>
  <c r="AJ246" i="90"/>
  <c r="AE262" i="90"/>
  <c r="AD262" i="90"/>
  <c r="AC262" i="90"/>
  <c r="AJ262" i="90"/>
  <c r="AE278" i="90"/>
  <c r="AO278" i="90" s="1"/>
  <c r="AD278" i="90"/>
  <c r="AC278" i="90"/>
  <c r="AJ278" i="90"/>
  <c r="AE294" i="90"/>
  <c r="AO294" i="90" s="1"/>
  <c r="AD294" i="90"/>
  <c r="AC294" i="90"/>
  <c r="AJ294" i="90"/>
  <c r="AE310" i="90"/>
  <c r="AD310" i="90"/>
  <c r="AC310" i="90"/>
  <c r="AJ310" i="90"/>
  <c r="AE326" i="90"/>
  <c r="AO326" i="90" s="1"/>
  <c r="AD326" i="90"/>
  <c r="AC326" i="90"/>
  <c r="AJ326" i="90"/>
  <c r="AE342" i="90"/>
  <c r="AO342" i="90" s="1"/>
  <c r="AD342" i="90"/>
  <c r="AC342" i="90"/>
  <c r="AJ342" i="90"/>
  <c r="AE358" i="90"/>
  <c r="AD358" i="90"/>
  <c r="AC358" i="90"/>
  <c r="AJ358" i="90"/>
  <c r="AE374" i="90"/>
  <c r="AO374" i="90" s="1"/>
  <c r="AD374" i="90"/>
  <c r="AC374" i="90"/>
  <c r="AJ374" i="90"/>
  <c r="AE390" i="90"/>
  <c r="AO390" i="90" s="1"/>
  <c r="AD390" i="90"/>
  <c r="AC390" i="90"/>
  <c r="AJ390" i="90"/>
  <c r="AE406" i="90"/>
  <c r="AO406" i="90" s="1"/>
  <c r="AD406" i="90"/>
  <c r="AC406" i="90"/>
  <c r="AJ406" i="90"/>
  <c r="AE422" i="90"/>
  <c r="AO422" i="90" s="1"/>
  <c r="AD422" i="90"/>
  <c r="AC422" i="90"/>
  <c r="AJ422" i="90"/>
  <c r="AD438" i="90"/>
  <c r="AE438" i="90"/>
  <c r="AO438" i="90" s="1"/>
  <c r="AC438" i="90"/>
  <c r="AJ438" i="90"/>
  <c r="AD454" i="90"/>
  <c r="AE454" i="90"/>
  <c r="AO454" i="90" s="1"/>
  <c r="AC454" i="90"/>
  <c r="AJ454" i="90"/>
  <c r="AD470" i="90"/>
  <c r="AE470" i="90"/>
  <c r="AC470" i="90"/>
  <c r="AJ470" i="90"/>
  <c r="AD486" i="90"/>
  <c r="AE486" i="90"/>
  <c r="AO486" i="90" s="1"/>
  <c r="AC486" i="90"/>
  <c r="AJ486" i="90"/>
  <c r="AD502" i="90"/>
  <c r="AE502" i="90"/>
  <c r="AO502" i="90" s="1"/>
  <c r="AC502" i="90"/>
  <c r="AJ502" i="90"/>
  <c r="AD518" i="90"/>
  <c r="AE518" i="90"/>
  <c r="AC518" i="90"/>
  <c r="AJ518" i="90"/>
  <c r="AD534" i="90"/>
  <c r="AE534" i="90"/>
  <c r="AO534" i="90" s="1"/>
  <c r="AC534" i="90"/>
  <c r="AJ534" i="90"/>
  <c r="AD550" i="90"/>
  <c r="AE550" i="90"/>
  <c r="AO550" i="90" s="1"/>
  <c r="AC550" i="90"/>
  <c r="AJ550" i="90"/>
  <c r="AD566" i="90"/>
  <c r="AE566" i="90"/>
  <c r="AC566" i="90"/>
  <c r="AJ566" i="90"/>
  <c r="AD582" i="90"/>
  <c r="AE582" i="90"/>
  <c r="AO582" i="90" s="1"/>
  <c r="AC582" i="90"/>
  <c r="AJ582" i="90"/>
  <c r="AD598" i="90"/>
  <c r="AE598" i="90"/>
  <c r="AO598" i="90" s="1"/>
  <c r="AC598" i="90"/>
  <c r="AJ598" i="90"/>
  <c r="AE614" i="90"/>
  <c r="AO614" i="90" s="1"/>
  <c r="AD614" i="90"/>
  <c r="AC614" i="90"/>
  <c r="AJ614" i="90"/>
  <c r="AE630" i="90"/>
  <c r="AO630" i="90" s="1"/>
  <c r="AD630" i="90"/>
  <c r="AC630" i="90"/>
  <c r="AJ630" i="90"/>
  <c r="AE646" i="90"/>
  <c r="AO646" i="90" s="1"/>
  <c r="AD646" i="90"/>
  <c r="AC646" i="90"/>
  <c r="AJ646" i="90"/>
  <c r="AE662" i="90"/>
  <c r="AO662" i="90" s="1"/>
  <c r="AD662" i="90"/>
  <c r="AC662" i="90"/>
  <c r="AJ662" i="90"/>
  <c r="AE678" i="90"/>
  <c r="AD678" i="90"/>
  <c r="AC678" i="90"/>
  <c r="AJ678" i="90"/>
  <c r="AE694" i="90"/>
  <c r="AO694" i="90" s="1"/>
  <c r="AD694" i="90"/>
  <c r="AC694" i="90"/>
  <c r="AJ694" i="90"/>
  <c r="AE710" i="90"/>
  <c r="AO710" i="90" s="1"/>
  <c r="AD710" i="90"/>
  <c r="AC710" i="90"/>
  <c r="AJ710" i="90"/>
  <c r="AE726" i="90"/>
  <c r="AD726" i="90"/>
  <c r="AC726" i="90"/>
  <c r="AJ726" i="90"/>
  <c r="AE742" i="90"/>
  <c r="AO742" i="90" s="1"/>
  <c r="AD742" i="90"/>
  <c r="AC742" i="90"/>
  <c r="AJ742" i="90"/>
  <c r="AE758" i="90"/>
  <c r="AO758" i="90" s="1"/>
  <c r="AD758" i="90"/>
  <c r="AC758" i="90"/>
  <c r="AJ758" i="90"/>
  <c r="AE774" i="90"/>
  <c r="AD774" i="90"/>
  <c r="AC774" i="90"/>
  <c r="AJ774" i="90"/>
  <c r="AE790" i="90"/>
  <c r="AO790" i="90" s="1"/>
  <c r="AD790" i="90"/>
  <c r="AC790" i="90"/>
  <c r="AJ790" i="90"/>
  <c r="AE806" i="90"/>
  <c r="AO806" i="90" s="1"/>
  <c r="AD806" i="90"/>
  <c r="AC806" i="90"/>
  <c r="AJ806" i="90"/>
  <c r="AE822" i="90"/>
  <c r="AO822" i="90" s="1"/>
  <c r="AD822" i="90"/>
  <c r="AC822" i="90"/>
  <c r="AJ822" i="90"/>
  <c r="AE838" i="90"/>
  <c r="AO838" i="90" s="1"/>
  <c r="AD838" i="90"/>
  <c r="AC838" i="90"/>
  <c r="AJ838" i="90"/>
  <c r="AE854" i="90"/>
  <c r="AO854" i="90" s="1"/>
  <c r="AD854" i="90"/>
  <c r="AC854" i="90"/>
  <c r="AJ854" i="90"/>
  <c r="AE870" i="90"/>
  <c r="AO870" i="90" s="1"/>
  <c r="AD870" i="90"/>
  <c r="AC870" i="90"/>
  <c r="AJ870" i="90"/>
  <c r="AE886" i="90"/>
  <c r="AD886" i="90"/>
  <c r="AC886" i="90"/>
  <c r="AJ886" i="90"/>
  <c r="AE902" i="90"/>
  <c r="AO902" i="90" s="1"/>
  <c r="AD902" i="90"/>
  <c r="AC902" i="90"/>
  <c r="AJ902" i="90"/>
  <c r="AE918" i="90"/>
  <c r="AO918" i="90" s="1"/>
  <c r="AD918" i="90"/>
  <c r="AC918" i="90"/>
  <c r="AJ918" i="90"/>
  <c r="AD934" i="90"/>
  <c r="AE934" i="90"/>
  <c r="AC934" i="90"/>
  <c r="AJ934" i="90"/>
  <c r="AD950" i="90"/>
  <c r="AE950" i="90"/>
  <c r="AO950" i="90" s="1"/>
  <c r="AC950" i="90"/>
  <c r="AJ950" i="90"/>
  <c r="AD966" i="90"/>
  <c r="AE966" i="90"/>
  <c r="AO966" i="90" s="1"/>
  <c r="AC966" i="90"/>
  <c r="AJ966" i="90"/>
  <c r="AD982" i="90"/>
  <c r="AE982" i="90"/>
  <c r="AC982" i="90"/>
  <c r="AJ982" i="90"/>
  <c r="AD998" i="90"/>
  <c r="AE998" i="90"/>
  <c r="AO998" i="90" s="1"/>
  <c r="AC998" i="90"/>
  <c r="AJ998" i="90"/>
  <c r="AD1014" i="90"/>
  <c r="AE1014" i="90"/>
  <c r="AO1014" i="90" s="1"/>
  <c r="AC1014" i="90"/>
  <c r="AJ1014" i="90"/>
  <c r="AD1030" i="90"/>
  <c r="AE1030" i="90"/>
  <c r="AO1030" i="90" s="1"/>
  <c r="AC1030" i="90"/>
  <c r="AJ1030" i="90"/>
  <c r="AD1046" i="90"/>
  <c r="AE1046" i="90"/>
  <c r="AO1046" i="90" s="1"/>
  <c r="AC1046" i="90"/>
  <c r="AJ1046" i="90"/>
  <c r="AD1062" i="90"/>
  <c r="AE1062" i="90"/>
  <c r="AO1062" i="90" s="1"/>
  <c r="AJ1062" i="90"/>
  <c r="AC1062" i="90"/>
  <c r="AD1078" i="90"/>
  <c r="AE1078" i="90"/>
  <c r="AO1078" i="90" s="1"/>
  <c r="AC1078" i="90"/>
  <c r="AJ1078" i="90"/>
  <c r="AD1094" i="90"/>
  <c r="AE1094" i="90"/>
  <c r="AC1094" i="90"/>
  <c r="AJ1094" i="90"/>
  <c r="AD1110" i="90"/>
  <c r="AE1110" i="90"/>
  <c r="AO1110" i="90" s="1"/>
  <c r="AC1110" i="90"/>
  <c r="AJ1110" i="90"/>
  <c r="AD1126" i="90"/>
  <c r="AE1126" i="90"/>
  <c r="AO1126" i="90" s="1"/>
  <c r="AC1126" i="90"/>
  <c r="AJ1126" i="90"/>
  <c r="AD1142" i="90"/>
  <c r="AE1142" i="90"/>
  <c r="AC1142" i="90"/>
  <c r="AJ1142" i="90"/>
  <c r="AD1158" i="90"/>
  <c r="AE1158" i="90"/>
  <c r="AO1158" i="90" s="1"/>
  <c r="AC1158" i="90"/>
  <c r="AJ1158" i="90"/>
  <c r="AD1174" i="90"/>
  <c r="AE1174" i="90"/>
  <c r="AO1174" i="90" s="1"/>
  <c r="AC1174" i="90"/>
  <c r="AJ1174" i="90"/>
  <c r="AD1190" i="90"/>
  <c r="AE1190" i="90"/>
  <c r="AJ1190" i="90"/>
  <c r="AC1190" i="90"/>
  <c r="AD1206" i="90"/>
  <c r="AE1206" i="90"/>
  <c r="AO1206" i="90" s="1"/>
  <c r="AC1206" i="90"/>
  <c r="AJ1206" i="90"/>
  <c r="AD1222" i="90"/>
  <c r="AE1222" i="90"/>
  <c r="AO1222" i="90" s="1"/>
  <c r="AC1222" i="90"/>
  <c r="AJ1222" i="90"/>
  <c r="AD1238" i="90"/>
  <c r="AE1238" i="90"/>
  <c r="AO1238" i="90" s="1"/>
  <c r="AC1238" i="90"/>
  <c r="AJ1238" i="90"/>
  <c r="AD1254" i="90"/>
  <c r="AE1254" i="90"/>
  <c r="AO1254" i="90" s="1"/>
  <c r="AC1254" i="90"/>
  <c r="AJ1254" i="90"/>
  <c r="AD1270" i="90"/>
  <c r="AE1270" i="90"/>
  <c r="AO1270" i="90" s="1"/>
  <c r="AC1270" i="90"/>
  <c r="AJ1270" i="90"/>
  <c r="AD1286" i="90"/>
  <c r="AE1286" i="90"/>
  <c r="AO1286" i="90" s="1"/>
  <c r="AC1286" i="90"/>
  <c r="AJ1286" i="90"/>
  <c r="AD1302" i="90"/>
  <c r="AE1302" i="90"/>
  <c r="AC1302" i="90"/>
  <c r="AJ1302" i="90"/>
  <c r="AD1318" i="90"/>
  <c r="AE1318" i="90"/>
  <c r="AO1318" i="90" s="1"/>
  <c r="AJ1318" i="90"/>
  <c r="AC1318" i="90"/>
  <c r="AD1334" i="90"/>
  <c r="AE1334" i="90"/>
  <c r="AO1334" i="90" s="1"/>
  <c r="AC1334" i="90"/>
  <c r="AJ1334" i="90"/>
  <c r="AD1350" i="90"/>
  <c r="AE1350" i="90"/>
  <c r="AC1350" i="90"/>
  <c r="AJ1350" i="90"/>
  <c r="AD1366" i="90"/>
  <c r="AE1366" i="90"/>
  <c r="AO1366" i="90" s="1"/>
  <c r="AC1366" i="90"/>
  <c r="AJ1366" i="90"/>
  <c r="AD1382" i="90"/>
  <c r="AE1382" i="90"/>
  <c r="AO1382" i="90" s="1"/>
  <c r="AC1382" i="90"/>
  <c r="AJ1382" i="90"/>
  <c r="AD1398" i="90"/>
  <c r="AE1398" i="90"/>
  <c r="AC1398" i="90"/>
  <c r="AJ1398" i="90"/>
  <c r="AD1414" i="90"/>
  <c r="AE1414" i="90"/>
  <c r="AO1414" i="90" s="1"/>
  <c r="AC1414" i="90"/>
  <c r="AJ1414" i="90"/>
  <c r="AD1430" i="90"/>
  <c r="AE1430" i="90"/>
  <c r="AO1430" i="90" s="1"/>
  <c r="AC1430" i="90"/>
  <c r="AJ1430" i="90"/>
  <c r="AD1446" i="90"/>
  <c r="AE1446" i="90"/>
  <c r="AO1446" i="90" s="1"/>
  <c r="AC1446" i="90"/>
  <c r="AJ1446" i="90"/>
  <c r="AH6" i="90"/>
  <c r="AH22" i="90"/>
  <c r="AH38" i="90"/>
  <c r="AH54" i="90"/>
  <c r="AH70" i="90"/>
  <c r="AH86" i="90"/>
  <c r="AH102" i="90"/>
  <c r="AH118" i="90"/>
  <c r="AH134" i="90"/>
  <c r="AH150" i="90"/>
  <c r="AH166" i="90"/>
  <c r="AH182" i="90"/>
  <c r="AH198" i="90"/>
  <c r="AH214" i="90"/>
  <c r="AH230" i="90"/>
  <c r="AH246" i="90"/>
  <c r="AH262" i="90"/>
  <c r="AH278" i="90"/>
  <c r="AH294" i="90"/>
  <c r="AH310" i="90"/>
  <c r="AH326" i="90"/>
  <c r="AH342" i="90"/>
  <c r="AH358" i="90"/>
  <c r="AH374" i="90"/>
  <c r="AH390" i="90"/>
  <c r="AH406" i="90"/>
  <c r="AH422" i="90"/>
  <c r="AH438" i="90"/>
  <c r="AH454" i="90"/>
  <c r="AH470" i="90"/>
  <c r="AH486" i="90"/>
  <c r="AH502" i="90"/>
  <c r="AH518" i="90"/>
  <c r="AH534" i="90"/>
  <c r="AH550" i="90"/>
  <c r="AH566" i="90"/>
  <c r="AH582" i="90"/>
  <c r="AH598" i="90"/>
  <c r="AH614" i="90"/>
  <c r="AH630" i="90"/>
  <c r="AH646" i="90"/>
  <c r="AH662" i="90"/>
  <c r="AH678" i="90"/>
  <c r="AH694" i="90"/>
  <c r="AH710" i="90"/>
  <c r="AH726" i="90"/>
  <c r="AH742" i="90"/>
  <c r="AH758" i="90"/>
  <c r="AH774" i="90"/>
  <c r="AH790" i="90"/>
  <c r="AH806" i="90"/>
  <c r="AH822" i="90"/>
  <c r="AH838" i="90"/>
  <c r="AH854" i="90"/>
  <c r="AH870" i="90"/>
  <c r="AH886" i="90"/>
  <c r="AH902" i="90"/>
  <c r="AH918" i="90"/>
  <c r="AH934" i="90"/>
  <c r="AH950" i="90"/>
  <c r="AH966" i="90"/>
  <c r="AH982" i="90"/>
  <c r="AH998" i="90"/>
  <c r="AH1014" i="90"/>
  <c r="AH1030" i="90"/>
  <c r="AH1046" i="90"/>
  <c r="AH1062" i="90"/>
  <c r="AH1078" i="90"/>
  <c r="AH1094" i="90"/>
  <c r="AH1110" i="90"/>
  <c r="AH1126" i="90"/>
  <c r="AH1142" i="90"/>
  <c r="AH1158" i="90"/>
  <c r="AH1174" i="90"/>
  <c r="AH1190" i="90"/>
  <c r="AH1206" i="90"/>
  <c r="AH1222" i="90"/>
  <c r="AH1238" i="90"/>
  <c r="AH1254" i="90"/>
  <c r="AH1270" i="90"/>
  <c r="AH1286" i="90"/>
  <c r="AH1302" i="90"/>
  <c r="AH1318" i="90"/>
  <c r="AH1334" i="90"/>
  <c r="AH1350" i="90"/>
  <c r="AH1366" i="90"/>
  <c r="AH1382" i="90"/>
  <c r="AH1398" i="90"/>
  <c r="AH1414" i="90"/>
  <c r="AH1430" i="90"/>
  <c r="AH1446" i="90"/>
  <c r="AD7" i="90"/>
  <c r="AE7" i="90"/>
  <c r="AO7" i="90" s="1"/>
  <c r="AC7" i="90"/>
  <c r="AJ7" i="90"/>
  <c r="AD23" i="90"/>
  <c r="AE23" i="90"/>
  <c r="AO23" i="90" s="1"/>
  <c r="AC23" i="90"/>
  <c r="AJ23" i="90"/>
  <c r="AD39" i="90"/>
  <c r="AE39" i="90"/>
  <c r="AO39" i="90" s="1"/>
  <c r="AC39" i="90"/>
  <c r="AJ39" i="90"/>
  <c r="AD55" i="90"/>
  <c r="AE55" i="90"/>
  <c r="AC55" i="90"/>
  <c r="AJ55" i="90"/>
  <c r="AD71" i="90"/>
  <c r="AE71" i="90"/>
  <c r="AO71" i="90" s="1"/>
  <c r="AC71" i="90"/>
  <c r="AJ71" i="90"/>
  <c r="AD87" i="90"/>
  <c r="AE87" i="90"/>
  <c r="AO87" i="90" s="1"/>
  <c r="AC87" i="90"/>
  <c r="AJ87" i="90"/>
  <c r="AD103" i="90"/>
  <c r="AE103" i="90"/>
  <c r="AC103" i="90"/>
  <c r="AJ103" i="90"/>
  <c r="AD119" i="90"/>
  <c r="AE119" i="90"/>
  <c r="AO119" i="90" s="1"/>
  <c r="AC119" i="90"/>
  <c r="AJ119" i="90"/>
  <c r="AD135" i="90"/>
  <c r="AE135" i="90"/>
  <c r="AO135" i="90" s="1"/>
  <c r="AC135" i="90"/>
  <c r="AJ135" i="90"/>
  <c r="AD151" i="90"/>
  <c r="AE151" i="90"/>
  <c r="AC151" i="90"/>
  <c r="AJ151" i="90"/>
  <c r="AD167" i="90"/>
  <c r="AE167" i="90"/>
  <c r="AO167" i="90" s="1"/>
  <c r="AC167" i="90"/>
  <c r="AJ167" i="90"/>
  <c r="AE183" i="90"/>
  <c r="AO183" i="90" s="1"/>
  <c r="AD183" i="90"/>
  <c r="AC183" i="90"/>
  <c r="AJ183" i="90"/>
  <c r="AE199" i="90"/>
  <c r="AO199" i="90" s="1"/>
  <c r="AD199" i="90"/>
  <c r="AC199" i="90"/>
  <c r="AJ199" i="90"/>
  <c r="AE215" i="90"/>
  <c r="AO215" i="90" s="1"/>
  <c r="AD215" i="90"/>
  <c r="AC215" i="90"/>
  <c r="AJ215" i="90"/>
  <c r="AE231" i="90"/>
  <c r="AO231" i="90" s="1"/>
  <c r="AD231" i="90"/>
  <c r="AC231" i="90"/>
  <c r="AJ231" i="90"/>
  <c r="AE247" i="90"/>
  <c r="AO247" i="90" s="1"/>
  <c r="AD247" i="90"/>
  <c r="AC247" i="90"/>
  <c r="AJ247" i="90"/>
  <c r="AD263" i="90"/>
  <c r="AE263" i="90"/>
  <c r="AC263" i="90"/>
  <c r="AJ263" i="90"/>
  <c r="AD279" i="90"/>
  <c r="AE279" i="90"/>
  <c r="AO279" i="90" s="1"/>
  <c r="AC279" i="90"/>
  <c r="AJ279" i="90"/>
  <c r="AD295" i="90"/>
  <c r="AE295" i="90"/>
  <c r="AO295" i="90" s="1"/>
  <c r="AC295" i="90"/>
  <c r="AJ295" i="90"/>
  <c r="AD311" i="90"/>
  <c r="AE311" i="90"/>
  <c r="AC311" i="90"/>
  <c r="AJ311" i="90"/>
  <c r="AD327" i="90"/>
  <c r="AE327" i="90"/>
  <c r="AO327" i="90" s="1"/>
  <c r="AC327" i="90"/>
  <c r="AJ327" i="90"/>
  <c r="AD343" i="90"/>
  <c r="AE343" i="90"/>
  <c r="AO343" i="90" s="1"/>
  <c r="AC343" i="90"/>
  <c r="AJ343" i="90"/>
  <c r="AD359" i="90"/>
  <c r="AE359" i="90"/>
  <c r="AC359" i="90"/>
  <c r="AJ359" i="90"/>
  <c r="AD375" i="90"/>
  <c r="AE375" i="90"/>
  <c r="AO375" i="90" s="1"/>
  <c r="AC375" i="90"/>
  <c r="AJ375" i="90"/>
  <c r="AD391" i="90"/>
  <c r="AE391" i="90"/>
  <c r="AO391" i="90" s="1"/>
  <c r="AC391" i="90"/>
  <c r="AJ391" i="90"/>
  <c r="AD407" i="90"/>
  <c r="AE407" i="90"/>
  <c r="AO407" i="90" s="1"/>
  <c r="AC407" i="90"/>
  <c r="AJ407" i="90"/>
  <c r="AD423" i="90"/>
  <c r="AE423" i="90"/>
  <c r="AO423" i="90" s="1"/>
  <c r="AC423" i="90"/>
  <c r="AJ423" i="90"/>
  <c r="AD439" i="90"/>
  <c r="AE439" i="90"/>
  <c r="AO439" i="90" s="1"/>
  <c r="AC439" i="90"/>
  <c r="AJ439" i="90"/>
  <c r="AD455" i="90"/>
  <c r="AE455" i="90"/>
  <c r="AO455" i="90" s="1"/>
  <c r="AC455" i="90"/>
  <c r="AJ455" i="90"/>
  <c r="AD471" i="90"/>
  <c r="AE471" i="90"/>
  <c r="AC471" i="90"/>
  <c r="AJ471" i="90"/>
  <c r="AD487" i="90"/>
  <c r="AE487" i="90"/>
  <c r="AO487" i="90" s="1"/>
  <c r="AC487" i="90"/>
  <c r="AJ487" i="90"/>
  <c r="AD503" i="90"/>
  <c r="AE503" i="90"/>
  <c r="AO503" i="90" s="1"/>
  <c r="AC503" i="90"/>
  <c r="AJ503" i="90"/>
  <c r="AD519" i="90"/>
  <c r="AE519" i="90"/>
  <c r="AC519" i="90"/>
  <c r="AJ519" i="90"/>
  <c r="AD535" i="90"/>
  <c r="AE535" i="90"/>
  <c r="AO535" i="90" s="1"/>
  <c r="AC535" i="90"/>
  <c r="AJ535" i="90"/>
  <c r="AD551" i="90"/>
  <c r="AE551" i="90"/>
  <c r="AO551" i="90" s="1"/>
  <c r="AC551" i="90"/>
  <c r="AJ551" i="90"/>
  <c r="AE567" i="90"/>
  <c r="AD567" i="90"/>
  <c r="AC567" i="90"/>
  <c r="AJ567" i="90"/>
  <c r="AE583" i="90"/>
  <c r="AO583" i="90" s="1"/>
  <c r="AD583" i="90"/>
  <c r="AC583" i="90"/>
  <c r="AJ583" i="90"/>
  <c r="AE599" i="90"/>
  <c r="AO599" i="90" s="1"/>
  <c r="AD599" i="90"/>
  <c r="AC599" i="90"/>
  <c r="AJ599" i="90"/>
  <c r="AD615" i="90"/>
  <c r="AE615" i="90"/>
  <c r="AO615" i="90" s="1"/>
  <c r="AC615" i="90"/>
  <c r="AJ615" i="90"/>
  <c r="AD631" i="90"/>
  <c r="AE631" i="90"/>
  <c r="AO631" i="90" s="1"/>
  <c r="AC631" i="90"/>
  <c r="AJ631" i="90"/>
  <c r="AD647" i="90"/>
  <c r="AE647" i="90"/>
  <c r="AO647" i="90" s="1"/>
  <c r="AC647" i="90"/>
  <c r="AJ647" i="90"/>
  <c r="AD663" i="90"/>
  <c r="AE663" i="90"/>
  <c r="AO663" i="90" s="1"/>
  <c r="AC663" i="90"/>
  <c r="AJ663" i="90"/>
  <c r="AD679" i="90"/>
  <c r="AE679" i="90"/>
  <c r="AC679" i="90"/>
  <c r="AJ679" i="90"/>
  <c r="AD695" i="90"/>
  <c r="AE695" i="90"/>
  <c r="AO695" i="90" s="1"/>
  <c r="AC695" i="90"/>
  <c r="AJ695" i="90"/>
  <c r="AD711" i="90"/>
  <c r="AE711" i="90"/>
  <c r="AO711" i="90" s="1"/>
  <c r="AC711" i="90"/>
  <c r="AJ711" i="90"/>
  <c r="AD727" i="90"/>
  <c r="AE727" i="90"/>
  <c r="AC727" i="90"/>
  <c r="AJ727" i="90"/>
  <c r="AD743" i="90"/>
  <c r="AE743" i="90"/>
  <c r="AO743" i="90" s="1"/>
  <c r="AC743" i="90"/>
  <c r="AJ743" i="90"/>
  <c r="AD759" i="90"/>
  <c r="AE759" i="90"/>
  <c r="AO759" i="90" s="1"/>
  <c r="AC759" i="90"/>
  <c r="AJ759" i="90"/>
  <c r="AD775" i="90"/>
  <c r="AE775" i="90"/>
  <c r="AC775" i="90"/>
  <c r="AJ775" i="90"/>
  <c r="AD791" i="90"/>
  <c r="AE791" i="90"/>
  <c r="AO791" i="90" s="1"/>
  <c r="AC791" i="90"/>
  <c r="AJ791" i="90"/>
  <c r="AD807" i="90"/>
  <c r="AE807" i="90"/>
  <c r="AO807" i="90" s="1"/>
  <c r="AC807" i="90"/>
  <c r="AJ807" i="90"/>
  <c r="AD823" i="90"/>
  <c r="AE823" i="90"/>
  <c r="AO823" i="90" s="1"/>
  <c r="AC823" i="90"/>
  <c r="AJ823" i="90"/>
  <c r="AD839" i="90"/>
  <c r="AE839" i="90"/>
  <c r="AO839" i="90" s="1"/>
  <c r="AC839" i="90"/>
  <c r="AJ839" i="90"/>
  <c r="AD855" i="90"/>
  <c r="AE855" i="90"/>
  <c r="AO855" i="90" s="1"/>
  <c r="AC855" i="90"/>
  <c r="AJ855" i="90"/>
  <c r="AD871" i="90"/>
  <c r="AE871" i="90"/>
  <c r="AO871" i="90" s="1"/>
  <c r="AC871" i="90"/>
  <c r="AJ871" i="90"/>
  <c r="AD887" i="90"/>
  <c r="AE887" i="90"/>
  <c r="AC887" i="90"/>
  <c r="AJ887" i="90"/>
  <c r="AD903" i="90"/>
  <c r="AE903" i="90"/>
  <c r="AO903" i="90" s="1"/>
  <c r="AC903" i="90"/>
  <c r="AJ903" i="90"/>
  <c r="AE919" i="90"/>
  <c r="AO919" i="90" s="1"/>
  <c r="AD919" i="90"/>
  <c r="AC919" i="90"/>
  <c r="AJ919" i="90"/>
  <c r="AE935" i="90"/>
  <c r="AD935" i="90"/>
  <c r="AC935" i="90"/>
  <c r="AJ935" i="90"/>
  <c r="AE951" i="90"/>
  <c r="AO951" i="90" s="1"/>
  <c r="AD951" i="90"/>
  <c r="AC951" i="90"/>
  <c r="AJ951" i="90"/>
  <c r="AE967" i="90"/>
  <c r="AO967" i="90" s="1"/>
  <c r="AD967" i="90"/>
  <c r="AC967" i="90"/>
  <c r="AJ967" i="90"/>
  <c r="AE983" i="90"/>
  <c r="AD983" i="90"/>
  <c r="AC983" i="90"/>
  <c r="AJ983" i="90"/>
  <c r="AE999" i="90"/>
  <c r="AO999" i="90" s="1"/>
  <c r="AD999" i="90"/>
  <c r="AC999" i="90"/>
  <c r="AJ999" i="90"/>
  <c r="AE1015" i="90"/>
  <c r="AO1015" i="90" s="1"/>
  <c r="AD1015" i="90"/>
  <c r="AC1015" i="90"/>
  <c r="AJ1015" i="90"/>
  <c r="AE1031" i="90"/>
  <c r="AO1031" i="90" s="1"/>
  <c r="AD1031" i="90"/>
  <c r="AC1031" i="90"/>
  <c r="AJ1031" i="90"/>
  <c r="AE1047" i="90"/>
  <c r="AO1047" i="90" s="1"/>
  <c r="AD1047" i="90"/>
  <c r="AC1047" i="90"/>
  <c r="AJ1047" i="90"/>
  <c r="AE1063" i="90"/>
  <c r="AO1063" i="90" s="1"/>
  <c r="AD1063" i="90"/>
  <c r="AC1063" i="90"/>
  <c r="AJ1063" i="90"/>
  <c r="AE1079" i="90"/>
  <c r="AO1079" i="90" s="1"/>
  <c r="AD1079" i="90"/>
  <c r="AC1079" i="90"/>
  <c r="AJ1079" i="90"/>
  <c r="AE1095" i="90"/>
  <c r="AD1095" i="90"/>
  <c r="AC1095" i="90"/>
  <c r="AJ1095" i="90"/>
  <c r="AE1111" i="90"/>
  <c r="AO1111" i="90" s="1"/>
  <c r="AD1111" i="90"/>
  <c r="AC1111" i="90"/>
  <c r="AJ1111" i="90"/>
  <c r="AE1127" i="90"/>
  <c r="AO1127" i="90" s="1"/>
  <c r="AD1127" i="90"/>
  <c r="AC1127" i="90"/>
  <c r="AJ1127" i="90"/>
  <c r="AE1143" i="90"/>
  <c r="AD1143" i="90"/>
  <c r="AC1143" i="90"/>
  <c r="AJ1143" i="90"/>
  <c r="AE1159" i="90"/>
  <c r="AO1159" i="90" s="1"/>
  <c r="AD1159" i="90"/>
  <c r="AC1159" i="90"/>
  <c r="AJ1159" i="90"/>
  <c r="AE1175" i="90"/>
  <c r="AO1175" i="90" s="1"/>
  <c r="AD1175" i="90"/>
  <c r="AC1175" i="90"/>
  <c r="AJ1175" i="90"/>
  <c r="AE1191" i="90"/>
  <c r="AD1191" i="90"/>
  <c r="AC1191" i="90"/>
  <c r="AJ1191" i="90"/>
  <c r="AE1207" i="90"/>
  <c r="AO1207" i="90" s="1"/>
  <c r="AD1207" i="90"/>
  <c r="AC1207" i="90"/>
  <c r="AJ1207" i="90"/>
  <c r="AD1223" i="90"/>
  <c r="AE1223" i="90"/>
  <c r="AO1223" i="90" s="1"/>
  <c r="AC1223" i="90"/>
  <c r="AJ1223" i="90"/>
  <c r="AD1239" i="90"/>
  <c r="AE1239" i="90"/>
  <c r="AO1239" i="90" s="1"/>
  <c r="AC1239" i="90"/>
  <c r="AJ1239" i="90"/>
  <c r="AD1255" i="90"/>
  <c r="AE1255" i="90"/>
  <c r="AO1255" i="90" s="1"/>
  <c r="AC1255" i="90"/>
  <c r="AJ1255" i="90"/>
  <c r="AD1271" i="90"/>
  <c r="AE1271" i="90"/>
  <c r="AO1271" i="90" s="1"/>
  <c r="AC1271" i="90"/>
  <c r="AJ1271" i="90"/>
  <c r="AD1287" i="90"/>
  <c r="AE1287" i="90"/>
  <c r="AO1287" i="90" s="1"/>
  <c r="AC1287" i="90"/>
  <c r="AJ1287" i="90"/>
  <c r="AD1303" i="90"/>
  <c r="AE1303" i="90"/>
  <c r="AC1303" i="90"/>
  <c r="AJ1303" i="90"/>
  <c r="AD1319" i="90"/>
  <c r="AE1319" i="90"/>
  <c r="AO1319" i="90" s="1"/>
  <c r="AC1319" i="90"/>
  <c r="AJ1319" i="90"/>
  <c r="AD1335" i="90"/>
  <c r="AE1335" i="90"/>
  <c r="AO1335" i="90" s="1"/>
  <c r="AC1335" i="90"/>
  <c r="AJ1335" i="90"/>
  <c r="AD1351" i="90"/>
  <c r="AE1351" i="90"/>
  <c r="AC1351" i="90"/>
  <c r="AJ1351" i="90"/>
  <c r="AD1367" i="90"/>
  <c r="AE1367" i="90"/>
  <c r="AO1367" i="90" s="1"/>
  <c r="AC1367" i="90"/>
  <c r="AJ1367" i="90"/>
  <c r="AD1383" i="90"/>
  <c r="AE1383" i="90"/>
  <c r="AO1383" i="90" s="1"/>
  <c r="AC1383" i="90"/>
  <c r="AJ1383" i="90"/>
  <c r="AD1399" i="90"/>
  <c r="AE1399" i="90"/>
  <c r="AC1399" i="90"/>
  <c r="AJ1399" i="90"/>
  <c r="AD1415" i="90"/>
  <c r="AE1415" i="90"/>
  <c r="AO1415" i="90" s="1"/>
  <c r="AC1415" i="90"/>
  <c r="AJ1415" i="90"/>
  <c r="AD1431" i="90"/>
  <c r="AE1431" i="90"/>
  <c r="AO1431" i="90" s="1"/>
  <c r="AC1431" i="90"/>
  <c r="AJ1431" i="90"/>
  <c r="AD1447" i="90"/>
  <c r="AE1447" i="90"/>
  <c r="AO1447" i="90" s="1"/>
  <c r="AC1447" i="90"/>
  <c r="AJ1447" i="90"/>
  <c r="AH7" i="90"/>
  <c r="AH23" i="90"/>
  <c r="AH39" i="90"/>
  <c r="AH55" i="90"/>
  <c r="AH71" i="90"/>
  <c r="AH87" i="90"/>
  <c r="AH103" i="90"/>
  <c r="AH119" i="90"/>
  <c r="AH135" i="90"/>
  <c r="AH151" i="90"/>
  <c r="AH167" i="90"/>
  <c r="AH183" i="90"/>
  <c r="AH199" i="90"/>
  <c r="AH215" i="90"/>
  <c r="AH231" i="90"/>
  <c r="AH247" i="90"/>
  <c r="AH263" i="90"/>
  <c r="AH279" i="90"/>
  <c r="AH295" i="90"/>
  <c r="AH311" i="90"/>
  <c r="AH327" i="90"/>
  <c r="AH343" i="90"/>
  <c r="AH359" i="90"/>
  <c r="AH375" i="90"/>
  <c r="AH391" i="90"/>
  <c r="AH407" i="90"/>
  <c r="AH423" i="90"/>
  <c r="AH439" i="90"/>
  <c r="AH455" i="90"/>
  <c r="AH471" i="90"/>
  <c r="AH487" i="90"/>
  <c r="AH503" i="90"/>
  <c r="AH519" i="90"/>
  <c r="AH535" i="90"/>
  <c r="AH551" i="90"/>
  <c r="AH567" i="90"/>
  <c r="AH583" i="90"/>
  <c r="AH599" i="90"/>
  <c r="AH615" i="90"/>
  <c r="AH631" i="90"/>
  <c r="AH647" i="90"/>
  <c r="AH663" i="90"/>
  <c r="AH679" i="90"/>
  <c r="AH695" i="90"/>
  <c r="AH711" i="90"/>
  <c r="AH727" i="90"/>
  <c r="AH743" i="90"/>
  <c r="AH759" i="90"/>
  <c r="AH775" i="90"/>
  <c r="AH791" i="90"/>
  <c r="AH807" i="90"/>
  <c r="AH823" i="90"/>
  <c r="AH839" i="90"/>
  <c r="AH855" i="90"/>
  <c r="AH871" i="90"/>
  <c r="AH887" i="90"/>
  <c r="AH903" i="90"/>
  <c r="AH919" i="90"/>
  <c r="AH935" i="90"/>
  <c r="AH951" i="90"/>
  <c r="AH967" i="90"/>
  <c r="AH983" i="90"/>
  <c r="AH999" i="90"/>
  <c r="AH1015" i="90"/>
  <c r="AH1031" i="90"/>
  <c r="AH1047" i="90"/>
  <c r="AH1063" i="90"/>
  <c r="AH1079" i="90"/>
  <c r="AH1095" i="90"/>
  <c r="AH1111" i="90"/>
  <c r="AH1127" i="90"/>
  <c r="AH1143" i="90"/>
  <c r="AH1159" i="90"/>
  <c r="AH1175" i="90"/>
  <c r="AH1191" i="90"/>
  <c r="AH1207" i="90"/>
  <c r="AH1223" i="90"/>
  <c r="AH1239" i="90"/>
  <c r="AH1255" i="90"/>
  <c r="AH1271" i="90"/>
  <c r="AH1287" i="90"/>
  <c r="AH1303" i="90"/>
  <c r="AH1319" i="90"/>
  <c r="AH1335" i="90"/>
  <c r="AH1351" i="90"/>
  <c r="AH1367" i="90"/>
  <c r="AH1383" i="90"/>
  <c r="AH1399" i="90"/>
  <c r="AH1415" i="90"/>
  <c r="AH1431" i="90"/>
  <c r="AH1447" i="90"/>
  <c r="AD8" i="90"/>
  <c r="AE8" i="90"/>
  <c r="AO8" i="90" s="1"/>
  <c r="AC8" i="90"/>
  <c r="AJ8" i="90"/>
  <c r="AD24" i="90"/>
  <c r="AE24" i="90"/>
  <c r="AO24" i="90" s="1"/>
  <c r="AC24" i="90"/>
  <c r="AJ24" i="90"/>
  <c r="AD40" i="90"/>
  <c r="AE40" i="90"/>
  <c r="AO40" i="90" s="1"/>
  <c r="AC40" i="90"/>
  <c r="AJ40" i="90"/>
  <c r="AD56" i="90"/>
  <c r="AE56" i="90"/>
  <c r="AC56" i="90"/>
  <c r="AJ56" i="90"/>
  <c r="AD72" i="90"/>
  <c r="AE72" i="90"/>
  <c r="AO72" i="90" s="1"/>
  <c r="AC72" i="90"/>
  <c r="AJ72" i="90"/>
  <c r="AD88" i="90"/>
  <c r="AE88" i="90"/>
  <c r="AO88" i="90" s="1"/>
  <c r="AC88" i="90"/>
  <c r="AJ88" i="90"/>
  <c r="AD104" i="90"/>
  <c r="AE104" i="90"/>
  <c r="AC104" i="90"/>
  <c r="AJ104" i="90"/>
  <c r="AD120" i="90"/>
  <c r="AE120" i="90"/>
  <c r="AO120" i="90" s="1"/>
  <c r="AC120" i="90"/>
  <c r="AJ120" i="90"/>
  <c r="AD136" i="90"/>
  <c r="AE136" i="90"/>
  <c r="AO136" i="90" s="1"/>
  <c r="AC136" i="90"/>
  <c r="AJ136" i="90"/>
  <c r="AD152" i="90"/>
  <c r="AE152" i="90"/>
  <c r="AC152" i="90"/>
  <c r="AJ152" i="90"/>
  <c r="AD168" i="90"/>
  <c r="AE168" i="90"/>
  <c r="AO168" i="90" s="1"/>
  <c r="AC168" i="90"/>
  <c r="AJ168" i="90"/>
  <c r="AD184" i="90"/>
  <c r="AE184" i="90"/>
  <c r="AO184" i="90" s="1"/>
  <c r="AC184" i="90"/>
  <c r="AJ184" i="90"/>
  <c r="AD200" i="90"/>
  <c r="AE200" i="90"/>
  <c r="AO200" i="90" s="1"/>
  <c r="AC200" i="90"/>
  <c r="AJ200" i="90"/>
  <c r="AE216" i="90"/>
  <c r="AO216" i="90" s="1"/>
  <c r="AD216" i="90"/>
  <c r="AC216" i="90"/>
  <c r="AJ216" i="90"/>
  <c r="AE232" i="90"/>
  <c r="AO232" i="90" s="1"/>
  <c r="AD232" i="90"/>
  <c r="AC232" i="90"/>
  <c r="AJ232" i="90"/>
  <c r="AE248" i="90"/>
  <c r="AO248" i="90" s="1"/>
  <c r="AD248" i="90"/>
  <c r="AC248" i="90"/>
  <c r="AJ248" i="90"/>
  <c r="AE264" i="90"/>
  <c r="AD264" i="90"/>
  <c r="AC264" i="90"/>
  <c r="AJ264" i="90"/>
  <c r="AE280" i="90"/>
  <c r="AO280" i="90" s="1"/>
  <c r="AD280" i="90"/>
  <c r="AC280" i="90"/>
  <c r="AJ280" i="90"/>
  <c r="AE296" i="90"/>
  <c r="AO296" i="90" s="1"/>
  <c r="AD296" i="90"/>
  <c r="AC296" i="90"/>
  <c r="AJ296" i="90"/>
  <c r="AE312" i="90"/>
  <c r="AD312" i="90"/>
  <c r="AC312" i="90"/>
  <c r="AJ312" i="90"/>
  <c r="AE328" i="90"/>
  <c r="AO328" i="90" s="1"/>
  <c r="AD328" i="90"/>
  <c r="AC328" i="90"/>
  <c r="AJ328" i="90"/>
  <c r="AE344" i="90"/>
  <c r="AO344" i="90" s="1"/>
  <c r="AD344" i="90"/>
  <c r="AC344" i="90"/>
  <c r="AJ344" i="90"/>
  <c r="AE360" i="90"/>
  <c r="AD360" i="90"/>
  <c r="AC360" i="90"/>
  <c r="AJ360" i="90"/>
  <c r="AE376" i="90"/>
  <c r="AO376" i="90" s="1"/>
  <c r="AD376" i="90"/>
  <c r="AC376" i="90"/>
  <c r="AJ376" i="90"/>
  <c r="AE392" i="90"/>
  <c r="AO392" i="90" s="1"/>
  <c r="AD392" i="90"/>
  <c r="AC392" i="90"/>
  <c r="AJ392" i="90"/>
  <c r="AE408" i="90"/>
  <c r="AO408" i="90" s="1"/>
  <c r="AD408" i="90"/>
  <c r="AC408" i="90"/>
  <c r="AJ408" i="90"/>
  <c r="AE424" i="90"/>
  <c r="AO424" i="90" s="1"/>
  <c r="AD424" i="90"/>
  <c r="AC424" i="90"/>
  <c r="AJ424" i="90"/>
  <c r="AD440" i="90"/>
  <c r="AE440" i="90"/>
  <c r="AO440" i="90" s="1"/>
  <c r="AC440" i="90"/>
  <c r="AJ440" i="90"/>
  <c r="AD456" i="90"/>
  <c r="AE456" i="90"/>
  <c r="AO456" i="90" s="1"/>
  <c r="AC456" i="90"/>
  <c r="AJ456" i="90"/>
  <c r="AD472" i="90"/>
  <c r="AE472" i="90"/>
  <c r="AC472" i="90"/>
  <c r="AJ472" i="90"/>
  <c r="AD488" i="90"/>
  <c r="AE488" i="90"/>
  <c r="AO488" i="90" s="1"/>
  <c r="AC488" i="90"/>
  <c r="AJ488" i="90"/>
  <c r="AD504" i="90"/>
  <c r="AE504" i="90"/>
  <c r="AO504" i="90" s="1"/>
  <c r="AC504" i="90"/>
  <c r="AJ504" i="90"/>
  <c r="AD520" i="90"/>
  <c r="AE520" i="90"/>
  <c r="AC520" i="90"/>
  <c r="AJ520" i="90"/>
  <c r="AD536" i="90"/>
  <c r="AE536" i="90"/>
  <c r="AO536" i="90" s="1"/>
  <c r="AC536" i="90"/>
  <c r="AJ536" i="90"/>
  <c r="AD552" i="90"/>
  <c r="AE552" i="90"/>
  <c r="AO552" i="90" s="1"/>
  <c r="AC552" i="90"/>
  <c r="AJ552" i="90"/>
  <c r="AD568" i="90"/>
  <c r="AE568" i="90"/>
  <c r="AC568" i="90"/>
  <c r="AJ568" i="90"/>
  <c r="AD584" i="90"/>
  <c r="AE584" i="90"/>
  <c r="AO584" i="90" s="1"/>
  <c r="AC584" i="90"/>
  <c r="AJ584" i="90"/>
  <c r="AD600" i="90"/>
  <c r="AE600" i="90"/>
  <c r="AO600" i="90" s="1"/>
  <c r="AC600" i="90"/>
  <c r="AJ600" i="90"/>
  <c r="AE616" i="90"/>
  <c r="AO616" i="90" s="1"/>
  <c r="AD616" i="90"/>
  <c r="AC616" i="90"/>
  <c r="AJ616" i="90"/>
  <c r="AE632" i="90"/>
  <c r="AO632" i="90" s="1"/>
  <c r="AD632" i="90"/>
  <c r="AC632" i="90"/>
  <c r="AJ632" i="90"/>
  <c r="AE648" i="90"/>
  <c r="AO648" i="90" s="1"/>
  <c r="AD648" i="90"/>
  <c r="AC648" i="90"/>
  <c r="AJ648" i="90"/>
  <c r="AE664" i="90"/>
  <c r="AO664" i="90" s="1"/>
  <c r="AD664" i="90"/>
  <c r="AC664" i="90"/>
  <c r="AJ664" i="90"/>
  <c r="AE680" i="90"/>
  <c r="AD680" i="90"/>
  <c r="AC680" i="90"/>
  <c r="AJ680" i="90"/>
  <c r="AE696" i="90"/>
  <c r="AO696" i="90" s="1"/>
  <c r="AD696" i="90"/>
  <c r="AC696" i="90"/>
  <c r="AJ696" i="90"/>
  <c r="AE712" i="90"/>
  <c r="AO712" i="90" s="1"/>
  <c r="AD712" i="90"/>
  <c r="AC712" i="90"/>
  <c r="AJ712" i="90"/>
  <c r="AE728" i="90"/>
  <c r="AD728" i="90"/>
  <c r="AC728" i="90"/>
  <c r="AJ728" i="90"/>
  <c r="AE744" i="90"/>
  <c r="AO744" i="90" s="1"/>
  <c r="AD744" i="90"/>
  <c r="AC744" i="90"/>
  <c r="AJ744" i="90"/>
  <c r="AE760" i="90"/>
  <c r="AO760" i="90" s="1"/>
  <c r="AD760" i="90"/>
  <c r="AC760" i="90"/>
  <c r="AJ760" i="90"/>
  <c r="AE776" i="90"/>
  <c r="AD776" i="90"/>
  <c r="AC776" i="90"/>
  <c r="AJ776" i="90"/>
  <c r="AE792" i="90"/>
  <c r="AO792" i="90" s="1"/>
  <c r="AD792" i="90"/>
  <c r="AC792" i="90"/>
  <c r="AJ792" i="90"/>
  <c r="AE808" i="90"/>
  <c r="AO808" i="90" s="1"/>
  <c r="AD808" i="90"/>
  <c r="AC808" i="90"/>
  <c r="AJ808" i="90"/>
  <c r="AE824" i="90"/>
  <c r="AO824" i="90" s="1"/>
  <c r="AD824" i="90"/>
  <c r="AC824" i="90"/>
  <c r="AJ824" i="90"/>
  <c r="AE840" i="90"/>
  <c r="AO840" i="90" s="1"/>
  <c r="AD840" i="90"/>
  <c r="AC840" i="90"/>
  <c r="AJ840" i="90"/>
  <c r="AE856" i="90"/>
  <c r="AO856" i="90" s="1"/>
  <c r="AD856" i="90"/>
  <c r="AC856" i="90"/>
  <c r="AJ856" i="90"/>
  <c r="AE872" i="90"/>
  <c r="AO872" i="90" s="1"/>
  <c r="AD872" i="90"/>
  <c r="AC872" i="90"/>
  <c r="AJ872" i="90"/>
  <c r="AE888" i="90"/>
  <c r="AD888" i="90"/>
  <c r="AC888" i="90"/>
  <c r="AJ888" i="90"/>
  <c r="AE904" i="90"/>
  <c r="AO904" i="90" s="1"/>
  <c r="AD904" i="90"/>
  <c r="AC904" i="90"/>
  <c r="AJ904" i="90"/>
  <c r="AE920" i="90"/>
  <c r="AO920" i="90" s="1"/>
  <c r="AD920" i="90"/>
  <c r="AC920" i="90"/>
  <c r="AJ920" i="90"/>
  <c r="AE936" i="90"/>
  <c r="AD936" i="90"/>
  <c r="AC936" i="90"/>
  <c r="AJ936" i="90"/>
  <c r="AE952" i="90"/>
  <c r="AO952" i="90" s="1"/>
  <c r="AD952" i="90"/>
  <c r="AC952" i="90"/>
  <c r="AJ952" i="90"/>
  <c r="AE968" i="90"/>
  <c r="AO968" i="90" s="1"/>
  <c r="AD968" i="90"/>
  <c r="AC968" i="90"/>
  <c r="AJ968" i="90"/>
  <c r="AE984" i="90"/>
  <c r="AD984" i="90"/>
  <c r="AC984" i="90"/>
  <c r="AJ984" i="90"/>
  <c r="AE1000" i="90"/>
  <c r="AO1000" i="90" s="1"/>
  <c r="AD1000" i="90"/>
  <c r="AC1000" i="90"/>
  <c r="AJ1000" i="90"/>
  <c r="AE1016" i="90"/>
  <c r="AO1016" i="90" s="1"/>
  <c r="AD1016" i="90"/>
  <c r="AC1016" i="90"/>
  <c r="AJ1016" i="90"/>
  <c r="AE1032" i="90"/>
  <c r="AO1032" i="90" s="1"/>
  <c r="AD1032" i="90"/>
  <c r="AC1032" i="90"/>
  <c r="AJ1032" i="90"/>
  <c r="AE1048" i="90"/>
  <c r="AO1048" i="90" s="1"/>
  <c r="AD1048" i="90"/>
  <c r="AC1048" i="90"/>
  <c r="AJ1048" i="90"/>
  <c r="AE1064" i="90"/>
  <c r="AO1064" i="90" s="1"/>
  <c r="AD1064" i="90"/>
  <c r="AC1064" i="90"/>
  <c r="AJ1064" i="90"/>
  <c r="AE1080" i="90"/>
  <c r="AO1080" i="90" s="1"/>
  <c r="AD1080" i="90"/>
  <c r="AC1080" i="90"/>
  <c r="AJ1080" i="90"/>
  <c r="AE1096" i="90"/>
  <c r="AD1096" i="90"/>
  <c r="AC1096" i="90"/>
  <c r="AJ1096" i="90"/>
  <c r="AE1112" i="90"/>
  <c r="AO1112" i="90" s="1"/>
  <c r="AD1112" i="90"/>
  <c r="AC1112" i="90"/>
  <c r="AJ1112" i="90"/>
  <c r="AE1128" i="90"/>
  <c r="AO1128" i="90" s="1"/>
  <c r="AD1128" i="90"/>
  <c r="AC1128" i="90"/>
  <c r="AJ1128" i="90"/>
  <c r="AE1144" i="90"/>
  <c r="AD1144" i="90"/>
  <c r="AC1144" i="90"/>
  <c r="AJ1144" i="90"/>
  <c r="AE1160" i="90"/>
  <c r="AO1160" i="90" s="1"/>
  <c r="AD1160" i="90"/>
  <c r="AC1160" i="90"/>
  <c r="AJ1160" i="90"/>
  <c r="AE1176" i="90"/>
  <c r="AO1176" i="90" s="1"/>
  <c r="AD1176" i="90"/>
  <c r="AC1176" i="90"/>
  <c r="AJ1176" i="90"/>
  <c r="AE1192" i="90"/>
  <c r="AD1192" i="90"/>
  <c r="AC1192" i="90"/>
  <c r="AJ1192" i="90"/>
  <c r="AE1208" i="90"/>
  <c r="AO1208" i="90" s="1"/>
  <c r="AD1208" i="90"/>
  <c r="AC1208" i="90"/>
  <c r="AJ1208" i="90"/>
  <c r="AD1224" i="90"/>
  <c r="AE1224" i="90"/>
  <c r="AO1224" i="90" s="1"/>
  <c r="AC1224" i="90"/>
  <c r="AJ1224" i="90"/>
  <c r="AD1240" i="90"/>
  <c r="AE1240" i="90"/>
  <c r="AO1240" i="90" s="1"/>
  <c r="AC1240" i="90"/>
  <c r="AJ1240" i="90"/>
  <c r="AD1256" i="90"/>
  <c r="AE1256" i="90"/>
  <c r="AO1256" i="90" s="1"/>
  <c r="AC1256" i="90"/>
  <c r="AJ1256" i="90"/>
  <c r="AD1272" i="90"/>
  <c r="AE1272" i="90"/>
  <c r="AO1272" i="90" s="1"/>
  <c r="AC1272" i="90"/>
  <c r="AJ1272" i="90"/>
  <c r="AD1288" i="90"/>
  <c r="AE1288" i="90"/>
  <c r="AO1288" i="90" s="1"/>
  <c r="AC1288" i="90"/>
  <c r="AJ1288" i="90"/>
  <c r="AD1304" i="90"/>
  <c r="AE1304" i="90"/>
  <c r="AC1304" i="90"/>
  <c r="AJ1304" i="90"/>
  <c r="AD1320" i="90"/>
  <c r="AE1320" i="90"/>
  <c r="AO1320" i="90" s="1"/>
  <c r="AC1320" i="90"/>
  <c r="AJ1320" i="90"/>
  <c r="AD1336" i="90"/>
  <c r="AE1336" i="90"/>
  <c r="AO1336" i="90" s="1"/>
  <c r="AC1336" i="90"/>
  <c r="AJ1336" i="90"/>
  <c r="AD1352" i="90"/>
  <c r="AE1352" i="90"/>
  <c r="AC1352" i="90"/>
  <c r="AJ1352" i="90"/>
  <c r="AD1368" i="90"/>
  <c r="AE1368" i="90"/>
  <c r="AO1368" i="90" s="1"/>
  <c r="AC1368" i="90"/>
  <c r="AJ1368" i="90"/>
  <c r="AD1384" i="90"/>
  <c r="AE1384" i="90"/>
  <c r="AO1384" i="90" s="1"/>
  <c r="AC1384" i="90"/>
  <c r="AJ1384" i="90"/>
  <c r="AD1400" i="90"/>
  <c r="AE1400" i="90"/>
  <c r="AC1400" i="90"/>
  <c r="AJ1400" i="90"/>
  <c r="AD1416" i="90"/>
  <c r="AE1416" i="90"/>
  <c r="AO1416" i="90" s="1"/>
  <c r="AC1416" i="90"/>
  <c r="AJ1416" i="90"/>
  <c r="AD1432" i="90"/>
  <c r="AE1432" i="90"/>
  <c r="AO1432" i="90" s="1"/>
  <c r="AC1432" i="90"/>
  <c r="AJ1432" i="90"/>
  <c r="AD1448" i="90"/>
  <c r="AE1448" i="90"/>
  <c r="AO1448" i="90" s="1"/>
  <c r="AC1448" i="90"/>
  <c r="AJ1448" i="90"/>
  <c r="AH8" i="90"/>
  <c r="AH24" i="90"/>
  <c r="AH40" i="90"/>
  <c r="AH56" i="90"/>
  <c r="AH72" i="90"/>
  <c r="AH88" i="90"/>
  <c r="AH104" i="90"/>
  <c r="AH120" i="90"/>
  <c r="AH136" i="90"/>
  <c r="AH152" i="90"/>
  <c r="AH168" i="90"/>
  <c r="AH184" i="90"/>
  <c r="AH200" i="90"/>
  <c r="AH216" i="90"/>
  <c r="AH232" i="90"/>
  <c r="AH248" i="90"/>
  <c r="AH264" i="90"/>
  <c r="AH280" i="90"/>
  <c r="AH296" i="90"/>
  <c r="AH312" i="90"/>
  <c r="AH328" i="90"/>
  <c r="AH344" i="90"/>
  <c r="AH360" i="90"/>
  <c r="AH376" i="90"/>
  <c r="AH392" i="90"/>
  <c r="AH408" i="90"/>
  <c r="AH424" i="90"/>
  <c r="AH440" i="90"/>
  <c r="AH456" i="90"/>
  <c r="AH472" i="90"/>
  <c r="AH488" i="90"/>
  <c r="AH504" i="90"/>
  <c r="AH520" i="90"/>
  <c r="AH536" i="90"/>
  <c r="AH552" i="90"/>
  <c r="AH568" i="90"/>
  <c r="AH584" i="90"/>
  <c r="AH600" i="90"/>
  <c r="AH616" i="90"/>
  <c r="AH632" i="90"/>
  <c r="AH648" i="90"/>
  <c r="AH664" i="90"/>
  <c r="AH680" i="90"/>
  <c r="AH696" i="90"/>
  <c r="AH712" i="90"/>
  <c r="AH728" i="90"/>
  <c r="AH744" i="90"/>
  <c r="AH760" i="90"/>
  <c r="AH776" i="90"/>
  <c r="AH792" i="90"/>
  <c r="AH808" i="90"/>
  <c r="AH824" i="90"/>
  <c r="AH840" i="90"/>
  <c r="AH856" i="90"/>
  <c r="AH872" i="90"/>
  <c r="AH888" i="90"/>
  <c r="AH904" i="90"/>
  <c r="AH920" i="90"/>
  <c r="AH936" i="90"/>
  <c r="AH952" i="90"/>
  <c r="AH968" i="90"/>
  <c r="AH984" i="90"/>
  <c r="AH1000" i="90"/>
  <c r="AH1016" i="90"/>
  <c r="AH1032" i="90"/>
  <c r="AH1048" i="90"/>
  <c r="AH1064" i="90"/>
  <c r="AH1080" i="90"/>
  <c r="AH1096" i="90"/>
  <c r="AH1112" i="90"/>
  <c r="AH1128" i="90"/>
  <c r="AH1144" i="90"/>
  <c r="AH1160" i="90"/>
  <c r="AH1176" i="90"/>
  <c r="AH1192" i="90"/>
  <c r="AH1208" i="90"/>
  <c r="AH1224" i="90"/>
  <c r="AH1240" i="90"/>
  <c r="AH1256" i="90"/>
  <c r="AH1272" i="90"/>
  <c r="AH1288" i="90"/>
  <c r="AH1304" i="90"/>
  <c r="AH1320" i="90"/>
  <c r="AH1336" i="90"/>
  <c r="AH1352" i="90"/>
  <c r="AH1368" i="90"/>
  <c r="AH1384" i="90"/>
  <c r="AH1400" i="90"/>
  <c r="AH1416" i="90"/>
  <c r="AH1432" i="90"/>
  <c r="AH1448" i="90"/>
  <c r="AD461" i="90"/>
  <c r="AE461" i="90"/>
  <c r="AC461" i="90"/>
  <c r="AJ461" i="90"/>
  <c r="AD525" i="90"/>
  <c r="AE525" i="90"/>
  <c r="AO525" i="90" s="1"/>
  <c r="AC525" i="90"/>
  <c r="AJ525" i="90"/>
  <c r="AD589" i="90"/>
  <c r="AE589" i="90"/>
  <c r="AO589" i="90" s="1"/>
  <c r="AC589" i="90"/>
  <c r="AJ589" i="90"/>
  <c r="AD653" i="90"/>
  <c r="AE653" i="90"/>
  <c r="AO653" i="90" s="1"/>
  <c r="AC653" i="90"/>
  <c r="AJ653" i="90"/>
  <c r="AD717" i="90"/>
  <c r="AE717" i="90"/>
  <c r="AO717" i="90" s="1"/>
  <c r="AC717" i="90"/>
  <c r="AJ717" i="90"/>
  <c r="AD781" i="90"/>
  <c r="AE781" i="90"/>
  <c r="AC781" i="90"/>
  <c r="AJ781" i="90"/>
  <c r="AD845" i="90"/>
  <c r="AE845" i="90"/>
  <c r="AO845" i="90" s="1"/>
  <c r="AC845" i="90"/>
  <c r="AJ845" i="90"/>
  <c r="AE909" i="90"/>
  <c r="AO909" i="90" s="1"/>
  <c r="AD909" i="90"/>
  <c r="AC909" i="90"/>
  <c r="AJ909" i="90"/>
  <c r="AE973" i="90"/>
  <c r="AO973" i="90" s="1"/>
  <c r="AD973" i="90"/>
  <c r="AC973" i="90"/>
  <c r="AJ973" i="90"/>
  <c r="AE1037" i="90"/>
  <c r="AD1037" i="90"/>
  <c r="AC1037" i="90"/>
  <c r="AJ1037" i="90"/>
  <c r="AE1101" i="90"/>
  <c r="AO1101" i="90" s="1"/>
  <c r="AD1101" i="90"/>
  <c r="AC1101" i="90"/>
  <c r="AJ1101" i="90"/>
  <c r="AE1165" i="90"/>
  <c r="AO1165" i="90" s="1"/>
  <c r="AD1165" i="90"/>
  <c r="AC1165" i="90"/>
  <c r="AJ1165" i="90"/>
  <c r="AD1229" i="90"/>
  <c r="AE1229" i="90"/>
  <c r="AO1229" i="90" s="1"/>
  <c r="AC1229" i="90"/>
  <c r="AJ1229" i="90"/>
  <c r="AD1293" i="90"/>
  <c r="AE1293" i="90"/>
  <c r="AC1293" i="90"/>
  <c r="AJ1293" i="90"/>
  <c r="AD1357" i="90"/>
  <c r="AE1357" i="90"/>
  <c r="AO1357" i="90" s="1"/>
  <c r="AC1357" i="90"/>
  <c r="AJ1357" i="90"/>
  <c r="AD1421" i="90"/>
  <c r="AE1421" i="90"/>
  <c r="AO1421" i="90" s="1"/>
  <c r="AC1421" i="90"/>
  <c r="AJ1421" i="90"/>
  <c r="AH477" i="90"/>
  <c r="AH541" i="90"/>
  <c r="AH605" i="90"/>
  <c r="AH669" i="90"/>
  <c r="AH733" i="90"/>
  <c r="AH797" i="90"/>
  <c r="AH861" i="90"/>
  <c r="AH925" i="90"/>
  <c r="AH989" i="90"/>
  <c r="AH1053" i="90"/>
  <c r="AH1117" i="90"/>
  <c r="AH1181" i="90"/>
  <c r="AH1245" i="90"/>
  <c r="AH1309" i="90"/>
  <c r="AH1373" i="90"/>
  <c r="AH1437" i="90"/>
  <c r="AD497" i="90"/>
  <c r="AE497" i="90"/>
  <c r="AO497" i="90" s="1"/>
  <c r="AC497" i="90"/>
  <c r="AJ497" i="90"/>
  <c r="AE561" i="90"/>
  <c r="AO561" i="90" s="1"/>
  <c r="AD561" i="90"/>
  <c r="AC561" i="90"/>
  <c r="AJ561" i="90"/>
  <c r="AE625" i="90"/>
  <c r="AD625" i="90"/>
  <c r="AC625" i="90"/>
  <c r="AJ625" i="90"/>
  <c r="AE689" i="90"/>
  <c r="AO689" i="90" s="1"/>
  <c r="AD689" i="90"/>
  <c r="AC689" i="90"/>
  <c r="AJ689" i="90"/>
  <c r="AE753" i="90"/>
  <c r="AO753" i="90" s="1"/>
  <c r="AD753" i="90"/>
  <c r="AC753" i="90"/>
  <c r="AJ753" i="90"/>
  <c r="AE817" i="90"/>
  <c r="AO817" i="90" s="1"/>
  <c r="AD817" i="90"/>
  <c r="AC817" i="90"/>
  <c r="AJ817" i="90"/>
  <c r="AD881" i="90"/>
  <c r="AE881" i="90"/>
  <c r="AC881" i="90"/>
  <c r="AJ881" i="90"/>
  <c r="AE945" i="90"/>
  <c r="AO945" i="90" s="1"/>
  <c r="AD945" i="90"/>
  <c r="AC945" i="90"/>
  <c r="AJ945" i="90"/>
  <c r="AE1009" i="90"/>
  <c r="AO1009" i="90" s="1"/>
  <c r="AD1009" i="90"/>
  <c r="AC1009" i="90"/>
  <c r="AJ1009" i="90"/>
  <c r="AE1073" i="90"/>
  <c r="AO1073" i="90" s="1"/>
  <c r="AD1073" i="90"/>
  <c r="AC1073" i="90"/>
  <c r="AJ1073" i="90"/>
  <c r="AE1137" i="90"/>
  <c r="AD1137" i="90"/>
  <c r="AC1137" i="90"/>
  <c r="AJ1137" i="90"/>
  <c r="AE1201" i="90"/>
  <c r="AO1201" i="90" s="1"/>
  <c r="AD1201" i="90"/>
  <c r="AC1201" i="90"/>
  <c r="AJ1201" i="90"/>
  <c r="AD1265" i="90"/>
  <c r="AE1265" i="90"/>
  <c r="AO1265" i="90" s="1"/>
  <c r="AC1265" i="90"/>
  <c r="AJ1265" i="90"/>
  <c r="AD1329" i="90"/>
  <c r="AE1329" i="90"/>
  <c r="AO1329" i="90" s="1"/>
  <c r="AC1329" i="90"/>
  <c r="AJ1329" i="90"/>
  <c r="AD1393" i="90"/>
  <c r="AE1393" i="90"/>
  <c r="AO1393" i="90" s="1"/>
  <c r="AC1393" i="90"/>
  <c r="AJ1393" i="90"/>
  <c r="AD1457" i="90"/>
  <c r="AE1457" i="90"/>
  <c r="AC1457" i="90"/>
  <c r="AJ1457" i="90"/>
  <c r="AH513" i="90"/>
  <c r="AH577" i="90"/>
  <c r="AH641" i="90"/>
  <c r="AH705" i="90"/>
  <c r="AH769" i="90"/>
  <c r="AH833" i="90"/>
  <c r="AH897" i="90"/>
  <c r="AH961" i="90"/>
  <c r="AH1025" i="90"/>
  <c r="AH1089" i="90"/>
  <c r="AH1153" i="90"/>
  <c r="AH1217" i="90"/>
  <c r="AH1297" i="90"/>
  <c r="AH1361" i="90"/>
  <c r="AH1425" i="90"/>
  <c r="AD485" i="90"/>
  <c r="AE485" i="90"/>
  <c r="AO485" i="90" s="1"/>
  <c r="AC485" i="90"/>
  <c r="AJ485" i="90"/>
  <c r="AD549" i="90"/>
  <c r="AE549" i="90"/>
  <c r="AO549" i="90" s="1"/>
  <c r="AC549" i="90"/>
  <c r="AJ549" i="90"/>
  <c r="AD613" i="90"/>
  <c r="AE613" i="90"/>
  <c r="AO613" i="90" s="1"/>
  <c r="AC613" i="90"/>
  <c r="AJ613" i="90"/>
  <c r="AD677" i="90"/>
  <c r="AE677" i="90"/>
  <c r="AC677" i="90"/>
  <c r="AJ677" i="90"/>
  <c r="AD741" i="90"/>
  <c r="AE741" i="90"/>
  <c r="AO741" i="90" s="1"/>
  <c r="AC741" i="90"/>
  <c r="AJ741" i="90"/>
  <c r="AD805" i="90"/>
  <c r="AE805" i="90"/>
  <c r="AO805" i="90" s="1"/>
  <c r="AC805" i="90"/>
  <c r="AJ805" i="90"/>
  <c r="AD869" i="90"/>
  <c r="AE869" i="90"/>
  <c r="AO869" i="90" s="1"/>
  <c r="AC869" i="90"/>
  <c r="AJ869" i="90"/>
  <c r="AE933" i="90"/>
  <c r="AD933" i="90"/>
  <c r="AC933" i="90"/>
  <c r="AJ933" i="90"/>
  <c r="AE997" i="90"/>
  <c r="AO997" i="90" s="1"/>
  <c r="AD997" i="90"/>
  <c r="AC997" i="90"/>
  <c r="AJ997" i="90"/>
  <c r="AE1061" i="90"/>
  <c r="AO1061" i="90" s="1"/>
  <c r="AD1061" i="90"/>
  <c r="AC1061" i="90"/>
  <c r="AJ1061" i="90"/>
  <c r="AE1125" i="90"/>
  <c r="AO1125" i="90" s="1"/>
  <c r="AD1125" i="90"/>
  <c r="AC1125" i="90"/>
  <c r="AJ1125" i="90"/>
  <c r="AE1189" i="90"/>
  <c r="AD1189" i="90"/>
  <c r="AC1189" i="90"/>
  <c r="AJ1189" i="90"/>
  <c r="AD1253" i="90"/>
  <c r="AE1253" i="90"/>
  <c r="AO1253" i="90" s="1"/>
  <c r="AC1253" i="90"/>
  <c r="AJ1253" i="90"/>
  <c r="AD1317" i="90"/>
  <c r="AE1317" i="90"/>
  <c r="AO1317" i="90" s="1"/>
  <c r="AC1317" i="90"/>
  <c r="AJ1317" i="90"/>
  <c r="AD1381" i="90"/>
  <c r="AE1381" i="90"/>
  <c r="AO1381" i="90" s="1"/>
  <c r="AC1381" i="90"/>
  <c r="AJ1381" i="90"/>
  <c r="AD1445" i="90"/>
  <c r="AE1445" i="90"/>
  <c r="AO1445" i="90" s="1"/>
  <c r="AC1445" i="90"/>
  <c r="AJ1445" i="90"/>
  <c r="AH53" i="90"/>
  <c r="AH117" i="90"/>
  <c r="AH181" i="90"/>
  <c r="AH245" i="90"/>
  <c r="AH309" i="90"/>
  <c r="AH453" i="90"/>
  <c r="AH517" i="90"/>
  <c r="AH581" i="90"/>
  <c r="AH645" i="90"/>
  <c r="AH709" i="90"/>
  <c r="AH773" i="90"/>
  <c r="AH837" i="90"/>
  <c r="AH901" i="90"/>
  <c r="AH965" i="90"/>
  <c r="AH1029" i="90"/>
  <c r="AH1093" i="90"/>
  <c r="AH1157" i="90"/>
  <c r="AH1221" i="90"/>
  <c r="AH1285" i="90"/>
  <c r="AH1349" i="90"/>
  <c r="AH1413" i="90"/>
  <c r="AD9" i="90"/>
  <c r="AE9" i="90"/>
  <c r="AO9" i="90" s="1"/>
  <c r="AC9" i="90"/>
  <c r="AJ9" i="90"/>
  <c r="AD17" i="90"/>
  <c r="AE17" i="90"/>
  <c r="AO17" i="90" s="1"/>
  <c r="AC17" i="90"/>
  <c r="AJ17" i="90"/>
  <c r="AD33" i="90"/>
  <c r="AE33" i="90"/>
  <c r="AO33" i="90" s="1"/>
  <c r="AJ33" i="90"/>
  <c r="AC33" i="90"/>
  <c r="AD49" i="90"/>
  <c r="AE49" i="90"/>
  <c r="AC49" i="90"/>
  <c r="AJ49" i="90"/>
  <c r="AD57" i="90"/>
  <c r="AE57" i="90"/>
  <c r="AO57" i="90" s="1"/>
  <c r="AC57" i="90"/>
  <c r="AJ57" i="90"/>
  <c r="AD65" i="90"/>
  <c r="AE65" i="90"/>
  <c r="AO65" i="90" s="1"/>
  <c r="AC65" i="90"/>
  <c r="AJ65" i="90"/>
  <c r="AD73" i="90"/>
  <c r="AE73" i="90"/>
  <c r="AO73" i="90" s="1"/>
  <c r="AC73" i="90"/>
  <c r="AJ73" i="90"/>
  <c r="AD81" i="90"/>
  <c r="AE81" i="90"/>
  <c r="AO81" i="90" s="1"/>
  <c r="AC81" i="90"/>
  <c r="AJ81" i="90"/>
  <c r="AD97" i="90"/>
  <c r="AE97" i="90"/>
  <c r="AC97" i="90"/>
  <c r="AJ97" i="90"/>
  <c r="AD113" i="90"/>
  <c r="AE113" i="90"/>
  <c r="AO113" i="90" s="1"/>
  <c r="AC113" i="90"/>
  <c r="AJ113" i="90"/>
  <c r="AD121" i="90"/>
  <c r="AE121" i="90"/>
  <c r="AO121" i="90" s="1"/>
  <c r="AC121" i="90"/>
  <c r="AJ121" i="90"/>
  <c r="AD129" i="90"/>
  <c r="AE129" i="90"/>
  <c r="AO129" i="90" s="1"/>
  <c r="AC129" i="90"/>
  <c r="AJ129" i="90"/>
  <c r="AD137" i="90"/>
  <c r="AE137" i="90"/>
  <c r="AO137" i="90" s="1"/>
  <c r="AC137" i="90"/>
  <c r="AJ137" i="90"/>
  <c r="AD145" i="90"/>
  <c r="AE145" i="90"/>
  <c r="AO145" i="90" s="1"/>
  <c r="AC145" i="90"/>
  <c r="AJ145" i="90"/>
  <c r="AD153" i="90"/>
  <c r="AE153" i="90"/>
  <c r="AC153" i="90"/>
  <c r="AJ153" i="90"/>
  <c r="AD161" i="90"/>
  <c r="AE161" i="90"/>
  <c r="AO161" i="90" s="1"/>
  <c r="AC161" i="90"/>
  <c r="AJ161" i="90"/>
  <c r="AD169" i="90"/>
  <c r="AE169" i="90"/>
  <c r="AO169" i="90" s="1"/>
  <c r="AC169" i="90"/>
  <c r="AJ169" i="90"/>
  <c r="AE177" i="90"/>
  <c r="AO177" i="90" s="1"/>
  <c r="AD177" i="90"/>
  <c r="AC177" i="90"/>
  <c r="AJ177" i="90"/>
  <c r="AE185" i="90"/>
  <c r="AO185" i="90" s="1"/>
  <c r="AD185" i="90"/>
  <c r="AC185" i="90"/>
  <c r="AJ185" i="90"/>
  <c r="AE193" i="90"/>
  <c r="AO193" i="90" s="1"/>
  <c r="AD193" i="90"/>
  <c r="AC193" i="90"/>
  <c r="AJ193" i="90"/>
  <c r="AE201" i="90"/>
  <c r="AD201" i="90"/>
  <c r="AC201" i="90"/>
  <c r="AJ201" i="90"/>
  <c r="AE209" i="90"/>
  <c r="AD209" i="90"/>
  <c r="AC209" i="90"/>
  <c r="AJ209" i="90"/>
  <c r="AE217" i="90"/>
  <c r="AO217" i="90" s="1"/>
  <c r="AD217" i="90"/>
  <c r="AC217" i="90"/>
  <c r="AJ217" i="90"/>
  <c r="AE225" i="90"/>
  <c r="AO225" i="90" s="1"/>
  <c r="AD225" i="90"/>
  <c r="AC225" i="90"/>
  <c r="AJ225" i="90"/>
  <c r="AE233" i="90"/>
  <c r="AO233" i="90" s="1"/>
  <c r="AD233" i="90"/>
  <c r="AC233" i="90"/>
  <c r="AJ233" i="90"/>
  <c r="AE241" i="90"/>
  <c r="AO241" i="90" s="1"/>
  <c r="AD241" i="90"/>
  <c r="AC241" i="90"/>
  <c r="AJ241" i="90"/>
  <c r="AE249" i="90"/>
  <c r="AO249" i="90" s="1"/>
  <c r="AD249" i="90"/>
  <c r="AC249" i="90"/>
  <c r="AJ249" i="90"/>
  <c r="AE257" i="90"/>
  <c r="AD257" i="90"/>
  <c r="AC257" i="90"/>
  <c r="AJ257" i="90"/>
  <c r="AE265" i="90"/>
  <c r="AO265" i="90" s="1"/>
  <c r="AD265" i="90"/>
  <c r="AC265" i="90"/>
  <c r="AJ265" i="90"/>
  <c r="AE273" i="90"/>
  <c r="AO273" i="90" s="1"/>
  <c r="AD273" i="90"/>
  <c r="AC273" i="90"/>
  <c r="AJ273" i="90"/>
  <c r="AE289" i="90"/>
  <c r="AO289" i="90" s="1"/>
  <c r="AD289" i="90"/>
  <c r="AC289" i="90"/>
  <c r="AJ289" i="90"/>
  <c r="AE297" i="90"/>
  <c r="AO297" i="90" s="1"/>
  <c r="AD297" i="90"/>
  <c r="AC297" i="90"/>
  <c r="AJ297" i="90"/>
  <c r="AE305" i="90"/>
  <c r="AD305" i="90"/>
  <c r="AC305" i="90"/>
  <c r="AJ305" i="90"/>
  <c r="AE313" i="90"/>
  <c r="AD313" i="90"/>
  <c r="AC313" i="90"/>
  <c r="AJ313" i="90"/>
  <c r="AE321" i="90"/>
  <c r="AO321" i="90" s="1"/>
  <c r="AD321" i="90"/>
  <c r="AC321" i="90"/>
  <c r="AJ321" i="90"/>
  <c r="AE329" i="90"/>
  <c r="AO329" i="90" s="1"/>
  <c r="AD329" i="90"/>
  <c r="AC329" i="90"/>
  <c r="AJ329" i="90"/>
  <c r="AE337" i="90"/>
  <c r="AO337" i="90" s="1"/>
  <c r="AD337" i="90"/>
  <c r="AC337" i="90"/>
  <c r="AJ337" i="90"/>
  <c r="AE353" i="90"/>
  <c r="AO353" i="90" s="1"/>
  <c r="AD353" i="90"/>
  <c r="AC353" i="90"/>
  <c r="AJ353" i="90"/>
  <c r="AE369" i="90"/>
  <c r="AO369" i="90" s="1"/>
  <c r="AD369" i="90"/>
  <c r="AJ369" i="90"/>
  <c r="AC369" i="90"/>
  <c r="AE381" i="90"/>
  <c r="AO381" i="90" s="1"/>
  <c r="AD381" i="90"/>
  <c r="AC381" i="90"/>
  <c r="AJ381" i="90"/>
  <c r="AE389" i="90"/>
  <c r="AO389" i="90" s="1"/>
  <c r="AD389" i="90"/>
  <c r="AC389" i="90"/>
  <c r="AJ389" i="90"/>
  <c r="AE401" i="90"/>
  <c r="AO401" i="90" s="1"/>
  <c r="AD401" i="90"/>
  <c r="AC401" i="90"/>
  <c r="AJ401" i="90"/>
  <c r="AD417" i="90"/>
  <c r="AE417" i="90"/>
  <c r="AC417" i="90"/>
  <c r="AJ417" i="90"/>
  <c r="AD433" i="90"/>
  <c r="AE433" i="90"/>
  <c r="AO433" i="90" s="1"/>
  <c r="AC433" i="90"/>
  <c r="AJ433" i="90"/>
  <c r="AD441" i="90"/>
  <c r="AE441" i="90"/>
  <c r="AO441" i="90" s="1"/>
  <c r="AC441" i="90"/>
  <c r="AJ441" i="90"/>
  <c r="AD449" i="90"/>
  <c r="AE449" i="90"/>
  <c r="AO449" i="90" s="1"/>
  <c r="AC449" i="90"/>
  <c r="AJ449" i="90"/>
  <c r="AD457" i="90"/>
  <c r="AE457" i="90"/>
  <c r="AO457" i="90" s="1"/>
  <c r="AC457" i="90"/>
  <c r="AJ457" i="90"/>
  <c r="AH9" i="90"/>
  <c r="AH201" i="90"/>
  <c r="AD10" i="90"/>
  <c r="AE10" i="90"/>
  <c r="AO10" i="90" s="1"/>
  <c r="AC10" i="90"/>
  <c r="AJ10" i="90"/>
  <c r="AD26" i="90"/>
  <c r="AE26" i="90"/>
  <c r="AO26" i="90" s="1"/>
  <c r="AC26" i="90"/>
  <c r="AJ26" i="90"/>
  <c r="AD42" i="90"/>
  <c r="AE42" i="90"/>
  <c r="AO42" i="90" s="1"/>
  <c r="AC42" i="90"/>
  <c r="AJ42" i="90"/>
  <c r="AD58" i="90"/>
  <c r="AE58" i="90"/>
  <c r="AO58" i="90" s="1"/>
  <c r="AC58" i="90"/>
  <c r="AJ58" i="90"/>
  <c r="AD74" i="90"/>
  <c r="AE74" i="90"/>
  <c r="AO74" i="90" s="1"/>
  <c r="AC74" i="90"/>
  <c r="AJ74" i="90"/>
  <c r="AD90" i="90"/>
  <c r="AE90" i="90"/>
  <c r="AO90" i="90" s="1"/>
  <c r="AC90" i="90"/>
  <c r="AJ90" i="90"/>
  <c r="AD106" i="90"/>
  <c r="AE106" i="90"/>
  <c r="AC106" i="90"/>
  <c r="AJ106" i="90"/>
  <c r="AD122" i="90"/>
  <c r="AE122" i="90"/>
  <c r="AO122" i="90" s="1"/>
  <c r="AC122" i="90"/>
  <c r="AJ122" i="90"/>
  <c r="AD138" i="90"/>
  <c r="AE138" i="90"/>
  <c r="AO138" i="90" s="1"/>
  <c r="AC138" i="90"/>
  <c r="AJ138" i="90"/>
  <c r="AD154" i="90"/>
  <c r="AE154" i="90"/>
  <c r="AC154" i="90"/>
  <c r="AJ154" i="90"/>
  <c r="AD170" i="90"/>
  <c r="AE170" i="90"/>
  <c r="AO170" i="90" s="1"/>
  <c r="AC170" i="90"/>
  <c r="AJ170" i="90"/>
  <c r="AD186" i="90"/>
  <c r="AE186" i="90"/>
  <c r="AO186" i="90" s="1"/>
  <c r="AC186" i="90"/>
  <c r="AJ186" i="90"/>
  <c r="AD202" i="90"/>
  <c r="AE202" i="90"/>
  <c r="AC202" i="90"/>
  <c r="AJ202" i="90"/>
  <c r="AE218" i="90"/>
  <c r="AO218" i="90" s="1"/>
  <c r="AD218" i="90"/>
  <c r="AC218" i="90"/>
  <c r="AJ218" i="90"/>
  <c r="AE234" i="90"/>
  <c r="AO234" i="90" s="1"/>
  <c r="AD234" i="90"/>
  <c r="AC234" i="90"/>
  <c r="AJ234" i="90"/>
  <c r="AE250" i="90"/>
  <c r="AO250" i="90" s="1"/>
  <c r="AD250" i="90"/>
  <c r="AC250" i="90"/>
  <c r="AJ250" i="90"/>
  <c r="AE266" i="90"/>
  <c r="AO266" i="90" s="1"/>
  <c r="AD266" i="90"/>
  <c r="AC266" i="90"/>
  <c r="AJ266" i="90"/>
  <c r="AE282" i="90"/>
  <c r="AO282" i="90" s="1"/>
  <c r="AD282" i="90"/>
  <c r="AC282" i="90"/>
  <c r="AJ282" i="90"/>
  <c r="AE298" i="90"/>
  <c r="AO298" i="90" s="1"/>
  <c r="AD298" i="90"/>
  <c r="AC298" i="90"/>
  <c r="AJ298" i="90"/>
  <c r="AE314" i="90"/>
  <c r="AD314" i="90"/>
  <c r="AC314" i="90"/>
  <c r="AJ314" i="90"/>
  <c r="AE330" i="90"/>
  <c r="AO330" i="90" s="1"/>
  <c r="AD330" i="90"/>
  <c r="AC330" i="90"/>
  <c r="AJ330" i="90"/>
  <c r="AE346" i="90"/>
  <c r="AO346" i="90" s="1"/>
  <c r="AD346" i="90"/>
  <c r="AC346" i="90"/>
  <c r="AJ346" i="90"/>
  <c r="AE362" i="90"/>
  <c r="AD362" i="90"/>
  <c r="AC362" i="90"/>
  <c r="AJ362" i="90"/>
  <c r="AE378" i="90"/>
  <c r="AO378" i="90" s="1"/>
  <c r="AD378" i="90"/>
  <c r="AC378" i="90"/>
  <c r="AJ378" i="90"/>
  <c r="AE394" i="90"/>
  <c r="AO394" i="90" s="1"/>
  <c r="AD394" i="90"/>
  <c r="AC394" i="90"/>
  <c r="AJ394" i="90"/>
  <c r="AE410" i="90"/>
  <c r="AD410" i="90"/>
  <c r="AC410" i="90"/>
  <c r="AJ410" i="90"/>
  <c r="AE426" i="90"/>
  <c r="AO426" i="90" s="1"/>
  <c r="AD426" i="90"/>
  <c r="AC426" i="90"/>
  <c r="AJ426" i="90"/>
  <c r="AD442" i="90"/>
  <c r="AE442" i="90"/>
  <c r="AO442" i="90" s="1"/>
  <c r="AC442" i="90"/>
  <c r="AJ442" i="90"/>
  <c r="AD458" i="90"/>
  <c r="AE458" i="90"/>
  <c r="AO458" i="90" s="1"/>
  <c r="AC458" i="90"/>
  <c r="AJ458" i="90"/>
  <c r="AD474" i="90"/>
  <c r="AE474" i="90"/>
  <c r="AO474" i="90" s="1"/>
  <c r="AC474" i="90"/>
  <c r="AJ474" i="90"/>
  <c r="AD490" i="90"/>
  <c r="AE490" i="90"/>
  <c r="AO490" i="90" s="1"/>
  <c r="AC490" i="90"/>
  <c r="AJ490" i="90"/>
  <c r="AD506" i="90"/>
  <c r="AE506" i="90"/>
  <c r="AO506" i="90" s="1"/>
  <c r="AC506" i="90"/>
  <c r="AJ506" i="90"/>
  <c r="AD522" i="90"/>
  <c r="AE522" i="90"/>
  <c r="AC522" i="90"/>
  <c r="AJ522" i="90"/>
  <c r="AD538" i="90"/>
  <c r="AE538" i="90"/>
  <c r="AO538" i="90" s="1"/>
  <c r="AC538" i="90"/>
  <c r="AJ538" i="90"/>
  <c r="AD554" i="90"/>
  <c r="AE554" i="90"/>
  <c r="AO554" i="90" s="1"/>
  <c r="AC554" i="90"/>
  <c r="AJ554" i="90"/>
  <c r="AD570" i="90"/>
  <c r="AE570" i="90"/>
  <c r="AC570" i="90"/>
  <c r="AJ570" i="90"/>
  <c r="AD586" i="90"/>
  <c r="AE586" i="90"/>
  <c r="AO586" i="90" s="1"/>
  <c r="AJ586" i="90"/>
  <c r="AC586" i="90"/>
  <c r="AD602" i="90"/>
  <c r="AE602" i="90"/>
  <c r="AO602" i="90" s="1"/>
  <c r="AC602" i="90"/>
  <c r="AJ602" i="90"/>
  <c r="AE618" i="90"/>
  <c r="AD618" i="90"/>
  <c r="AC618" i="90"/>
  <c r="AJ618" i="90"/>
  <c r="AE634" i="90"/>
  <c r="AO634" i="90" s="1"/>
  <c r="AD634" i="90"/>
  <c r="AC634" i="90"/>
  <c r="AJ634" i="90"/>
  <c r="AE650" i="90"/>
  <c r="AO650" i="90" s="1"/>
  <c r="AD650" i="90"/>
  <c r="AC650" i="90"/>
  <c r="AJ650" i="90"/>
  <c r="AE666" i="90"/>
  <c r="AO666" i="90" s="1"/>
  <c r="AD666" i="90"/>
  <c r="AC666" i="90"/>
  <c r="AJ666" i="90"/>
  <c r="AE682" i="90"/>
  <c r="AO682" i="90" s="1"/>
  <c r="AD682" i="90"/>
  <c r="AC682" i="90"/>
  <c r="AJ682" i="90"/>
  <c r="AE698" i="90"/>
  <c r="AO698" i="90" s="1"/>
  <c r="AD698" i="90"/>
  <c r="AC698" i="90"/>
  <c r="AJ698" i="90"/>
  <c r="AE714" i="90"/>
  <c r="AO714" i="90" s="1"/>
  <c r="AD714" i="90"/>
  <c r="AC714" i="90"/>
  <c r="AJ714" i="90"/>
  <c r="AE730" i="90"/>
  <c r="AD730" i="90"/>
  <c r="AC730" i="90"/>
  <c r="AJ730" i="90"/>
  <c r="AE746" i="90"/>
  <c r="AO746" i="90" s="1"/>
  <c r="AD746" i="90"/>
  <c r="AC746" i="90"/>
  <c r="AJ746" i="90"/>
  <c r="AE762" i="90"/>
  <c r="AO762" i="90" s="1"/>
  <c r="AD762" i="90"/>
  <c r="AC762" i="90"/>
  <c r="AJ762" i="90"/>
  <c r="AE778" i="90"/>
  <c r="AD778" i="90"/>
  <c r="AC778" i="90"/>
  <c r="AJ778" i="90"/>
  <c r="AE794" i="90"/>
  <c r="AO794" i="90" s="1"/>
  <c r="AD794" i="90"/>
  <c r="AC794" i="90"/>
  <c r="AJ794" i="90"/>
  <c r="AE810" i="90"/>
  <c r="AO810" i="90" s="1"/>
  <c r="AD810" i="90"/>
  <c r="AC810" i="90"/>
  <c r="AJ810" i="90"/>
  <c r="AE826" i="90"/>
  <c r="AD826" i="90"/>
  <c r="AC826" i="90"/>
  <c r="AJ826" i="90"/>
  <c r="AE842" i="90"/>
  <c r="AO842" i="90" s="1"/>
  <c r="AD842" i="90"/>
  <c r="AC842" i="90"/>
  <c r="AJ842" i="90"/>
  <c r="AE858" i="90"/>
  <c r="AO858" i="90" s="1"/>
  <c r="AD858" i="90"/>
  <c r="AC858" i="90"/>
  <c r="AJ858" i="90"/>
  <c r="AE874" i="90"/>
  <c r="AO874" i="90" s="1"/>
  <c r="AD874" i="90"/>
  <c r="AC874" i="90"/>
  <c r="AJ874" i="90"/>
  <c r="AE890" i="90"/>
  <c r="AO890" i="90" s="1"/>
  <c r="AD890" i="90"/>
  <c r="AC890" i="90"/>
  <c r="AJ890" i="90"/>
  <c r="AE906" i="90"/>
  <c r="AO906" i="90" s="1"/>
  <c r="AD906" i="90"/>
  <c r="AC906" i="90"/>
  <c r="AJ906" i="90"/>
  <c r="AE922" i="90"/>
  <c r="AO922" i="90" s="1"/>
  <c r="AD922" i="90"/>
  <c r="AC922" i="90"/>
  <c r="AJ922" i="90"/>
  <c r="AD938" i="90"/>
  <c r="AC938" i="90"/>
  <c r="AE938" i="90"/>
  <c r="AJ938" i="90"/>
  <c r="AD954" i="90"/>
  <c r="AE954" i="90"/>
  <c r="AO954" i="90" s="1"/>
  <c r="AC954" i="90"/>
  <c r="AJ954" i="90"/>
  <c r="AD970" i="90"/>
  <c r="AE970" i="90"/>
  <c r="AO970" i="90" s="1"/>
  <c r="AC970" i="90"/>
  <c r="AJ970" i="90"/>
  <c r="AD986" i="90"/>
  <c r="AE986" i="90"/>
  <c r="AC986" i="90"/>
  <c r="AJ986" i="90"/>
  <c r="AD1002" i="90"/>
  <c r="AE1002" i="90"/>
  <c r="AO1002" i="90" s="1"/>
  <c r="AC1002" i="90"/>
  <c r="AJ1002" i="90"/>
  <c r="AD1018" i="90"/>
  <c r="AE1018" i="90"/>
  <c r="AO1018" i="90" s="1"/>
  <c r="AC1018" i="90"/>
  <c r="AJ1018" i="90"/>
  <c r="AD1034" i="90"/>
  <c r="AE1034" i="90"/>
  <c r="AC1034" i="90"/>
  <c r="AJ1034" i="90"/>
  <c r="AD1050" i="90"/>
  <c r="AE1050" i="90"/>
  <c r="AO1050" i="90" s="1"/>
  <c r="AC1050" i="90"/>
  <c r="AJ1050" i="90"/>
  <c r="AD1066" i="90"/>
  <c r="AC1066" i="90"/>
  <c r="AE1066" i="90"/>
  <c r="AO1066" i="90" s="1"/>
  <c r="AJ1066" i="90"/>
  <c r="AD1082" i="90"/>
  <c r="AE1082" i="90"/>
  <c r="AO1082" i="90" s="1"/>
  <c r="AC1082" i="90"/>
  <c r="AJ1082" i="90"/>
  <c r="AD1098" i="90"/>
  <c r="AE1098" i="90"/>
  <c r="AO1098" i="90" s="1"/>
  <c r="AC1098" i="90"/>
  <c r="AJ1098" i="90"/>
  <c r="AD1114" i="90"/>
  <c r="AE1114" i="90"/>
  <c r="AO1114" i="90" s="1"/>
  <c r="AC1114" i="90"/>
  <c r="AJ1114" i="90"/>
  <c r="AD1130" i="90"/>
  <c r="AE1130" i="90"/>
  <c r="AO1130" i="90" s="1"/>
  <c r="AC1130" i="90"/>
  <c r="AJ1130" i="90"/>
  <c r="AD1146" i="90"/>
  <c r="AE1146" i="90"/>
  <c r="AC1146" i="90"/>
  <c r="AJ1146" i="90"/>
  <c r="AD1162" i="90"/>
  <c r="AE1162" i="90"/>
  <c r="AO1162" i="90" s="1"/>
  <c r="AC1162" i="90"/>
  <c r="AJ1162" i="90"/>
  <c r="AD1178" i="90"/>
  <c r="AE1178" i="90"/>
  <c r="AO1178" i="90" s="1"/>
  <c r="AC1178" i="90"/>
  <c r="AJ1178" i="90"/>
  <c r="AD1194" i="90"/>
  <c r="AE1194" i="90"/>
  <c r="AC1194" i="90"/>
  <c r="AJ1194" i="90"/>
  <c r="AD1210" i="90"/>
  <c r="AE1210" i="90"/>
  <c r="AO1210" i="90" s="1"/>
  <c r="AC1210" i="90"/>
  <c r="AJ1210" i="90"/>
  <c r="AD1226" i="90"/>
  <c r="AE1226" i="90"/>
  <c r="AO1226" i="90" s="1"/>
  <c r="AC1226" i="90"/>
  <c r="AJ1226" i="90"/>
  <c r="AD1242" i="90"/>
  <c r="AE1242" i="90"/>
  <c r="AC1242" i="90"/>
  <c r="AJ1242" i="90"/>
  <c r="AD1258" i="90"/>
  <c r="AE1258" i="90"/>
  <c r="AO1258" i="90" s="1"/>
  <c r="AC1258" i="90"/>
  <c r="AJ1258" i="90"/>
  <c r="AD1274" i="90"/>
  <c r="AE1274" i="90"/>
  <c r="AO1274" i="90" s="1"/>
  <c r="AC1274" i="90"/>
  <c r="AJ1274" i="90"/>
  <c r="AD1290" i="90"/>
  <c r="AE1290" i="90"/>
  <c r="AO1290" i="90" s="1"/>
  <c r="AC1290" i="90"/>
  <c r="AJ1290" i="90"/>
  <c r="AD1306" i="90"/>
  <c r="AE1306" i="90"/>
  <c r="AO1306" i="90" s="1"/>
  <c r="AC1306" i="90"/>
  <c r="AJ1306" i="90"/>
  <c r="AD1322" i="90"/>
  <c r="AE1322" i="90"/>
  <c r="AO1322" i="90" s="1"/>
  <c r="AC1322" i="90"/>
  <c r="AJ1322" i="90"/>
  <c r="AD1338" i="90"/>
  <c r="AE1338" i="90"/>
  <c r="AO1338" i="90" s="1"/>
  <c r="AC1338" i="90"/>
  <c r="AJ1338" i="90"/>
  <c r="AD1354" i="90"/>
  <c r="AE1354" i="90"/>
  <c r="AC1354" i="90"/>
  <c r="AJ1354" i="90"/>
  <c r="AD1370" i="90"/>
  <c r="AE1370" i="90"/>
  <c r="AO1370" i="90" s="1"/>
  <c r="AC1370" i="90"/>
  <c r="AJ1370" i="90"/>
  <c r="AD1386" i="90"/>
  <c r="AE1386" i="90"/>
  <c r="AO1386" i="90" s="1"/>
  <c r="AC1386" i="90"/>
  <c r="AJ1386" i="90"/>
  <c r="AD1402" i="90"/>
  <c r="AE1402" i="90"/>
  <c r="AJ1402" i="90"/>
  <c r="AC1402" i="90"/>
  <c r="AD1418" i="90"/>
  <c r="AE1418" i="90"/>
  <c r="AO1418" i="90" s="1"/>
  <c r="AC1418" i="90"/>
  <c r="AJ1418" i="90"/>
  <c r="AD1434" i="90"/>
  <c r="AE1434" i="90"/>
  <c r="AO1434" i="90" s="1"/>
  <c r="AC1434" i="90"/>
  <c r="AJ1434" i="90"/>
  <c r="AD1450" i="90"/>
  <c r="AE1450" i="90"/>
  <c r="AC1450" i="90"/>
  <c r="AJ1450" i="90"/>
  <c r="AH10" i="90"/>
  <c r="AH26" i="90"/>
  <c r="AH42" i="90"/>
  <c r="AH58" i="90"/>
  <c r="AH74" i="90"/>
  <c r="AH90" i="90"/>
  <c r="AH106" i="90"/>
  <c r="AH122" i="90"/>
  <c r="AH138" i="90"/>
  <c r="AH154" i="90"/>
  <c r="AH170" i="90"/>
  <c r="AH186" i="90"/>
  <c r="AH202" i="90"/>
  <c r="AH218" i="90"/>
  <c r="AH234" i="90"/>
  <c r="AH250" i="90"/>
  <c r="AH266" i="90"/>
  <c r="AH282" i="90"/>
  <c r="AH298" i="90"/>
  <c r="AH314" i="90"/>
  <c r="AH330" i="90"/>
  <c r="AH346" i="90"/>
  <c r="AH362" i="90"/>
  <c r="AH378" i="90"/>
  <c r="AH394" i="90"/>
  <c r="AH410" i="90"/>
  <c r="AH426" i="90"/>
  <c r="AH442" i="90"/>
  <c r="AH458" i="90"/>
  <c r="AH474" i="90"/>
  <c r="AH490" i="90"/>
  <c r="AH506" i="90"/>
  <c r="AH522" i="90"/>
  <c r="AH538" i="90"/>
  <c r="AH554" i="90"/>
  <c r="AH570" i="90"/>
  <c r="AH586" i="90"/>
  <c r="AH602" i="90"/>
  <c r="AH618" i="90"/>
  <c r="AH634" i="90"/>
  <c r="AH650" i="90"/>
  <c r="AH666" i="90"/>
  <c r="AH682" i="90"/>
  <c r="AH698" i="90"/>
  <c r="AH714" i="90"/>
  <c r="AH730" i="90"/>
  <c r="AH746" i="90"/>
  <c r="AH762" i="90"/>
  <c r="AH778" i="90"/>
  <c r="AH794" i="90"/>
  <c r="AH810" i="90"/>
  <c r="AH826" i="90"/>
  <c r="AH842" i="90"/>
  <c r="AH858" i="90"/>
  <c r="AH874" i="90"/>
  <c r="AH890" i="90"/>
  <c r="AH906" i="90"/>
  <c r="AH922" i="90"/>
  <c r="AH938" i="90"/>
  <c r="AH954" i="90"/>
  <c r="AH970" i="90"/>
  <c r="AH986" i="90"/>
  <c r="AH1002" i="90"/>
  <c r="AH1018" i="90"/>
  <c r="AH1034" i="90"/>
  <c r="AH1050" i="90"/>
  <c r="AH1066" i="90"/>
  <c r="AH1082" i="90"/>
  <c r="AH1098" i="90"/>
  <c r="AH1114" i="90"/>
  <c r="AH1130" i="90"/>
  <c r="AH1146" i="90"/>
  <c r="AH1162" i="90"/>
  <c r="AH1178" i="90"/>
  <c r="AH1194" i="90"/>
  <c r="AH1210" i="90"/>
  <c r="AH1226" i="90"/>
  <c r="AH1242" i="90"/>
  <c r="AH1258" i="90"/>
  <c r="AH1274" i="90"/>
  <c r="AH1290" i="90"/>
  <c r="AH1306" i="90"/>
  <c r="AH1322" i="90"/>
  <c r="AH1338" i="90"/>
  <c r="AH1354" i="90"/>
  <c r="AH1370" i="90"/>
  <c r="AH1386" i="90"/>
  <c r="AH1402" i="90"/>
  <c r="AH1418" i="90"/>
  <c r="AH1434" i="90"/>
  <c r="AH1450" i="90"/>
  <c r="AD11" i="90"/>
  <c r="AE11" i="90"/>
  <c r="AO11" i="90" s="1"/>
  <c r="AC11" i="90"/>
  <c r="AJ11" i="90"/>
  <c r="AD27" i="90"/>
  <c r="AE27" i="90"/>
  <c r="AO27" i="90" s="1"/>
  <c r="AC27" i="90"/>
  <c r="AJ27" i="90"/>
  <c r="AD43" i="90"/>
  <c r="AE43" i="90"/>
  <c r="AO43" i="90" s="1"/>
  <c r="AC43" i="90"/>
  <c r="AJ43" i="90"/>
  <c r="AD59" i="90"/>
  <c r="AE59" i="90"/>
  <c r="AO59" i="90" s="1"/>
  <c r="AC59" i="90"/>
  <c r="AJ59" i="90"/>
  <c r="AD75" i="90"/>
  <c r="AE75" i="90"/>
  <c r="AO75" i="90" s="1"/>
  <c r="AC75" i="90"/>
  <c r="AJ75" i="90"/>
  <c r="AD91" i="90"/>
  <c r="AE91" i="90"/>
  <c r="AO91" i="90" s="1"/>
  <c r="AC91" i="90"/>
  <c r="AJ91" i="90"/>
  <c r="AD107" i="90"/>
  <c r="AE107" i="90"/>
  <c r="AC107" i="90"/>
  <c r="AJ107" i="90"/>
  <c r="AD123" i="90"/>
  <c r="AE123" i="90"/>
  <c r="AO123" i="90" s="1"/>
  <c r="AC123" i="90"/>
  <c r="AJ123" i="90"/>
  <c r="AD139" i="90"/>
  <c r="AE139" i="90"/>
  <c r="AO139" i="90" s="1"/>
  <c r="AC139" i="90"/>
  <c r="AJ139" i="90"/>
  <c r="AD155" i="90"/>
  <c r="AE155" i="90"/>
  <c r="AC155" i="90"/>
  <c r="AJ155" i="90"/>
  <c r="AD171" i="90"/>
  <c r="AE171" i="90"/>
  <c r="AO171" i="90" s="1"/>
  <c r="AC171" i="90"/>
  <c r="AJ171" i="90"/>
  <c r="AE187" i="90"/>
  <c r="AO187" i="90" s="1"/>
  <c r="AD187" i="90"/>
  <c r="AC187" i="90"/>
  <c r="AJ187" i="90"/>
  <c r="AE203" i="90"/>
  <c r="AD203" i="90"/>
  <c r="AC203" i="90"/>
  <c r="AJ203" i="90"/>
  <c r="AE219" i="90"/>
  <c r="AO219" i="90" s="1"/>
  <c r="AD219" i="90"/>
  <c r="AC219" i="90"/>
  <c r="AJ219" i="90"/>
  <c r="AE235" i="90"/>
  <c r="AO235" i="90" s="1"/>
  <c r="AD235" i="90"/>
  <c r="AC235" i="90"/>
  <c r="AJ235" i="90"/>
  <c r="AE251" i="90"/>
  <c r="AO251" i="90" s="1"/>
  <c r="AD251" i="90"/>
  <c r="AC251" i="90"/>
  <c r="AJ251" i="90"/>
  <c r="AD267" i="90"/>
  <c r="AE267" i="90"/>
  <c r="AO267" i="90" s="1"/>
  <c r="AC267" i="90"/>
  <c r="AJ267" i="90"/>
  <c r="AD283" i="90"/>
  <c r="AE283" i="90"/>
  <c r="AO283" i="90" s="1"/>
  <c r="AC283" i="90"/>
  <c r="AJ283" i="90"/>
  <c r="AD299" i="90"/>
  <c r="AE299" i="90"/>
  <c r="AO299" i="90" s="1"/>
  <c r="AC299" i="90"/>
  <c r="AJ299" i="90"/>
  <c r="AD315" i="90"/>
  <c r="AE315" i="90"/>
  <c r="AC315" i="90"/>
  <c r="AJ315" i="90"/>
  <c r="AD331" i="90"/>
  <c r="AE331" i="90"/>
  <c r="AO331" i="90" s="1"/>
  <c r="AC331" i="90"/>
  <c r="AJ331" i="90"/>
  <c r="AD347" i="90"/>
  <c r="AE347" i="90"/>
  <c r="AO347" i="90" s="1"/>
  <c r="AC347" i="90"/>
  <c r="AJ347" i="90"/>
  <c r="AD363" i="90"/>
  <c r="AE363" i="90"/>
  <c r="AC363" i="90"/>
  <c r="AJ363" i="90"/>
  <c r="AD379" i="90"/>
  <c r="AE379" i="90"/>
  <c r="AO379" i="90" s="1"/>
  <c r="AC379" i="90"/>
  <c r="AJ379" i="90"/>
  <c r="AD395" i="90"/>
  <c r="AE395" i="90"/>
  <c r="AO395" i="90" s="1"/>
  <c r="AC395" i="90"/>
  <c r="AJ395" i="90"/>
  <c r="AD411" i="90"/>
  <c r="AE411" i="90"/>
  <c r="AC411" i="90"/>
  <c r="AJ411" i="90"/>
  <c r="AD427" i="90"/>
  <c r="AE427" i="90"/>
  <c r="AO427" i="90" s="1"/>
  <c r="AC427" i="90"/>
  <c r="AJ427" i="90"/>
  <c r="AE443" i="90"/>
  <c r="AO443" i="90" s="1"/>
  <c r="AD443" i="90"/>
  <c r="AC443" i="90"/>
  <c r="AJ443" i="90"/>
  <c r="AE459" i="90"/>
  <c r="AO459" i="90" s="1"/>
  <c r="AD459" i="90"/>
  <c r="AC459" i="90"/>
  <c r="AJ459" i="90"/>
  <c r="AE475" i="90"/>
  <c r="AO475" i="90" s="1"/>
  <c r="AD475" i="90"/>
  <c r="AC475" i="90"/>
  <c r="AJ475" i="90"/>
  <c r="AE491" i="90"/>
  <c r="AO491" i="90" s="1"/>
  <c r="AD491" i="90"/>
  <c r="AC491" i="90"/>
  <c r="AJ491" i="90"/>
  <c r="AE507" i="90"/>
  <c r="AO507" i="90" s="1"/>
  <c r="AD507" i="90"/>
  <c r="AC507" i="90"/>
  <c r="AJ507" i="90"/>
  <c r="AE523" i="90"/>
  <c r="AD523" i="90"/>
  <c r="AC523" i="90"/>
  <c r="AJ523" i="90"/>
  <c r="AE539" i="90"/>
  <c r="AO539" i="90" s="1"/>
  <c r="AD539" i="90"/>
  <c r="AC539" i="90"/>
  <c r="AJ539" i="90"/>
  <c r="AD555" i="90"/>
  <c r="AE555" i="90"/>
  <c r="AO555" i="90" s="1"/>
  <c r="AC555" i="90"/>
  <c r="AJ555" i="90"/>
  <c r="AD571" i="90"/>
  <c r="AE571" i="90"/>
  <c r="AC571" i="90"/>
  <c r="AJ571" i="90"/>
  <c r="AD587" i="90"/>
  <c r="AE587" i="90"/>
  <c r="AO587" i="90" s="1"/>
  <c r="AC587" i="90"/>
  <c r="AJ587" i="90"/>
  <c r="AD603" i="90"/>
  <c r="AE603" i="90"/>
  <c r="AO603" i="90" s="1"/>
  <c r="AC603" i="90"/>
  <c r="AJ603" i="90"/>
  <c r="AD619" i="90"/>
  <c r="AE619" i="90"/>
  <c r="AC619" i="90"/>
  <c r="AJ619" i="90"/>
  <c r="AD635" i="90"/>
  <c r="AE635" i="90"/>
  <c r="AO635" i="90" s="1"/>
  <c r="AC635" i="90"/>
  <c r="AJ635" i="90"/>
  <c r="AD651" i="90"/>
  <c r="AE651" i="90"/>
  <c r="AO651" i="90" s="1"/>
  <c r="AC651" i="90"/>
  <c r="AJ651" i="90"/>
  <c r="AD667" i="90"/>
  <c r="AE667" i="90"/>
  <c r="AO667" i="90" s="1"/>
  <c r="AC667" i="90"/>
  <c r="AJ667" i="90"/>
  <c r="AD683" i="90"/>
  <c r="AE683" i="90"/>
  <c r="AO683" i="90" s="1"/>
  <c r="AC683" i="90"/>
  <c r="AJ683" i="90"/>
  <c r="AD699" i="90"/>
  <c r="AE699" i="90"/>
  <c r="AO699" i="90" s="1"/>
  <c r="AC699" i="90"/>
  <c r="AJ699" i="90"/>
  <c r="AD715" i="90"/>
  <c r="AE715" i="90"/>
  <c r="AO715" i="90" s="1"/>
  <c r="AC715" i="90"/>
  <c r="AJ715" i="90"/>
  <c r="AD731" i="90"/>
  <c r="AE731" i="90"/>
  <c r="AC731" i="90"/>
  <c r="AJ731" i="90"/>
  <c r="AD747" i="90"/>
  <c r="AE747" i="90"/>
  <c r="AO747" i="90" s="1"/>
  <c r="AC747" i="90"/>
  <c r="AJ747" i="90"/>
  <c r="AD763" i="90"/>
  <c r="AE763" i="90"/>
  <c r="AO763" i="90" s="1"/>
  <c r="AC763" i="90"/>
  <c r="AJ763" i="90"/>
  <c r="AD779" i="90"/>
  <c r="AE779" i="90"/>
  <c r="AC779" i="90"/>
  <c r="AJ779" i="90"/>
  <c r="AD795" i="90"/>
  <c r="AE795" i="90"/>
  <c r="AO795" i="90" s="1"/>
  <c r="AC795" i="90"/>
  <c r="AJ795" i="90"/>
  <c r="AD811" i="90"/>
  <c r="AE811" i="90"/>
  <c r="AO811" i="90" s="1"/>
  <c r="AC811" i="90"/>
  <c r="AJ811" i="90"/>
  <c r="AD827" i="90"/>
  <c r="AE827" i="90"/>
  <c r="AC827" i="90"/>
  <c r="AJ827" i="90"/>
  <c r="AD843" i="90"/>
  <c r="AE843" i="90"/>
  <c r="AO843" i="90" s="1"/>
  <c r="AC843" i="90"/>
  <c r="AJ843" i="90"/>
  <c r="AD859" i="90"/>
  <c r="AE859" i="90"/>
  <c r="AO859" i="90" s="1"/>
  <c r="AC859" i="90"/>
  <c r="AJ859" i="90"/>
  <c r="AD875" i="90"/>
  <c r="AE875" i="90"/>
  <c r="AO875" i="90" s="1"/>
  <c r="AC875" i="90"/>
  <c r="AJ875" i="90"/>
  <c r="AD891" i="90"/>
  <c r="AE891" i="90"/>
  <c r="AO891" i="90" s="1"/>
  <c r="AC891" i="90"/>
  <c r="AJ891" i="90"/>
  <c r="AD907" i="90"/>
  <c r="AE907" i="90"/>
  <c r="AO907" i="90" s="1"/>
  <c r="AC907" i="90"/>
  <c r="AJ907" i="90"/>
  <c r="AE923" i="90"/>
  <c r="AO923" i="90" s="1"/>
  <c r="AD923" i="90"/>
  <c r="AC923" i="90"/>
  <c r="AJ923" i="90"/>
  <c r="AE939" i="90"/>
  <c r="AD939" i="90"/>
  <c r="AC939" i="90"/>
  <c r="AJ939" i="90"/>
  <c r="AE955" i="90"/>
  <c r="AO955" i="90" s="1"/>
  <c r="AD955" i="90"/>
  <c r="AC955" i="90"/>
  <c r="AJ955" i="90"/>
  <c r="AE971" i="90"/>
  <c r="AO971" i="90" s="1"/>
  <c r="AD971" i="90"/>
  <c r="AC971" i="90"/>
  <c r="AJ971" i="90"/>
  <c r="AE987" i="90"/>
  <c r="AD987" i="90"/>
  <c r="AC987" i="90"/>
  <c r="AJ987" i="90"/>
  <c r="AE1003" i="90"/>
  <c r="AO1003" i="90" s="1"/>
  <c r="AD1003" i="90"/>
  <c r="AC1003" i="90"/>
  <c r="AJ1003" i="90"/>
  <c r="AE1019" i="90"/>
  <c r="AO1019" i="90" s="1"/>
  <c r="AD1019" i="90"/>
  <c r="AC1019" i="90"/>
  <c r="AJ1019" i="90"/>
  <c r="AE1035" i="90"/>
  <c r="AD1035" i="90"/>
  <c r="AC1035" i="90"/>
  <c r="AJ1035" i="90"/>
  <c r="AE1051" i="90"/>
  <c r="AO1051" i="90" s="1"/>
  <c r="AD1051" i="90"/>
  <c r="AC1051" i="90"/>
  <c r="AJ1051" i="90"/>
  <c r="AE1067" i="90"/>
  <c r="AO1067" i="90" s="1"/>
  <c r="AD1067" i="90"/>
  <c r="AC1067" i="90"/>
  <c r="AJ1067" i="90"/>
  <c r="AE1083" i="90"/>
  <c r="AO1083" i="90" s="1"/>
  <c r="AD1083" i="90"/>
  <c r="AC1083" i="90"/>
  <c r="AJ1083" i="90"/>
  <c r="AE1099" i="90"/>
  <c r="AO1099" i="90" s="1"/>
  <c r="AD1099" i="90"/>
  <c r="AC1099" i="90"/>
  <c r="AJ1099" i="90"/>
  <c r="AE1115" i="90"/>
  <c r="AO1115" i="90" s="1"/>
  <c r="AD1115" i="90"/>
  <c r="AC1115" i="90"/>
  <c r="AJ1115" i="90"/>
  <c r="AE1131" i="90"/>
  <c r="AO1131" i="90" s="1"/>
  <c r="AD1131" i="90"/>
  <c r="AC1131" i="90"/>
  <c r="AJ1131" i="90"/>
  <c r="AE1147" i="90"/>
  <c r="AD1147" i="90"/>
  <c r="AC1147" i="90"/>
  <c r="AJ1147" i="90"/>
  <c r="AE1163" i="90"/>
  <c r="AO1163" i="90" s="1"/>
  <c r="AD1163" i="90"/>
  <c r="AC1163" i="90"/>
  <c r="AJ1163" i="90"/>
  <c r="AE1179" i="90"/>
  <c r="AO1179" i="90" s="1"/>
  <c r="AD1179" i="90"/>
  <c r="AC1179" i="90"/>
  <c r="AJ1179" i="90"/>
  <c r="AE1195" i="90"/>
  <c r="AD1195" i="90"/>
  <c r="AC1195" i="90"/>
  <c r="AJ1195" i="90"/>
  <c r="AE1211" i="90"/>
  <c r="AO1211" i="90" s="1"/>
  <c r="AD1211" i="90"/>
  <c r="AC1211" i="90"/>
  <c r="AJ1211" i="90"/>
  <c r="AD1227" i="90"/>
  <c r="AE1227" i="90"/>
  <c r="AO1227" i="90" s="1"/>
  <c r="AC1227" i="90"/>
  <c r="AJ1227" i="90"/>
  <c r="AD1243" i="90"/>
  <c r="AE1243" i="90"/>
  <c r="AC1243" i="90"/>
  <c r="AJ1243" i="90"/>
  <c r="AD1259" i="90"/>
  <c r="AE1259" i="90"/>
  <c r="AO1259" i="90" s="1"/>
  <c r="AC1259" i="90"/>
  <c r="AJ1259" i="90"/>
  <c r="AD1275" i="90"/>
  <c r="AE1275" i="90"/>
  <c r="AO1275" i="90" s="1"/>
  <c r="AC1275" i="90"/>
  <c r="AJ1275" i="90"/>
  <c r="AD1291" i="90"/>
  <c r="AE1291" i="90"/>
  <c r="AO1291" i="90" s="1"/>
  <c r="AC1291" i="90"/>
  <c r="AJ1291" i="90"/>
  <c r="AD1307" i="90"/>
  <c r="AE1307" i="90"/>
  <c r="AO1307" i="90" s="1"/>
  <c r="AC1307" i="90"/>
  <c r="AJ1307" i="90"/>
  <c r="AD1323" i="90"/>
  <c r="AE1323" i="90"/>
  <c r="AO1323" i="90" s="1"/>
  <c r="AC1323" i="90"/>
  <c r="AJ1323" i="90"/>
  <c r="AD1339" i="90"/>
  <c r="AE1339" i="90"/>
  <c r="AO1339" i="90" s="1"/>
  <c r="AC1339" i="90"/>
  <c r="AJ1339" i="90"/>
  <c r="AD1355" i="90"/>
  <c r="AE1355" i="90"/>
  <c r="AC1355" i="90"/>
  <c r="AJ1355" i="90"/>
  <c r="AD1371" i="90"/>
  <c r="AE1371" i="90"/>
  <c r="AO1371" i="90" s="1"/>
  <c r="AC1371" i="90"/>
  <c r="AJ1371" i="90"/>
  <c r="AD1387" i="90"/>
  <c r="AE1387" i="90"/>
  <c r="AO1387" i="90" s="1"/>
  <c r="AC1387" i="90"/>
  <c r="AJ1387" i="90"/>
  <c r="AD1403" i="90"/>
  <c r="AE1403" i="90"/>
  <c r="AC1403" i="90"/>
  <c r="AJ1403" i="90"/>
  <c r="AD1419" i="90"/>
  <c r="AE1419" i="90"/>
  <c r="AO1419" i="90" s="1"/>
  <c r="AC1419" i="90"/>
  <c r="AJ1419" i="90"/>
  <c r="AD1435" i="90"/>
  <c r="AE1435" i="90"/>
  <c r="AO1435" i="90" s="1"/>
  <c r="AC1435" i="90"/>
  <c r="AJ1435" i="90"/>
  <c r="AD1451" i="90"/>
  <c r="AE1451" i="90"/>
  <c r="AC1451" i="90"/>
  <c r="AJ1451" i="90"/>
  <c r="AH11" i="90"/>
  <c r="AH27" i="90"/>
  <c r="AH43" i="90"/>
  <c r="AH59" i="90"/>
  <c r="AH75" i="90"/>
  <c r="AH91" i="90"/>
  <c r="AH107" i="90"/>
  <c r="AH123" i="90"/>
  <c r="AH139" i="90"/>
  <c r="AH155" i="90"/>
  <c r="AH171" i="90"/>
  <c r="AH187" i="90"/>
  <c r="AH203" i="90"/>
  <c r="AH219" i="90"/>
  <c r="AH235" i="90"/>
  <c r="AH251" i="90"/>
  <c r="AH267" i="90"/>
  <c r="AH283" i="90"/>
  <c r="AH299" i="90"/>
  <c r="AH315" i="90"/>
  <c r="AH331" i="90"/>
  <c r="AH347" i="90"/>
  <c r="AH363" i="90"/>
  <c r="AH379" i="90"/>
  <c r="AH395" i="90"/>
  <c r="AH411" i="90"/>
  <c r="AH427" i="90"/>
  <c r="AH443" i="90"/>
  <c r="AH459" i="90"/>
  <c r="AH475" i="90"/>
  <c r="AH491" i="90"/>
  <c r="AH507" i="90"/>
  <c r="AH523" i="90"/>
  <c r="AH539" i="90"/>
  <c r="AH555" i="90"/>
  <c r="AH571" i="90"/>
  <c r="AH587" i="90"/>
  <c r="AH603" i="90"/>
  <c r="AH619" i="90"/>
  <c r="AH635" i="90"/>
  <c r="AH651" i="90"/>
  <c r="AH667" i="90"/>
  <c r="AH683" i="90"/>
  <c r="AH699" i="90"/>
  <c r="AH715" i="90"/>
  <c r="AH731" i="90"/>
  <c r="AH747" i="90"/>
  <c r="AH763" i="90"/>
  <c r="AH779" i="90"/>
  <c r="AH795" i="90"/>
  <c r="AH811" i="90"/>
  <c r="AH827" i="90"/>
  <c r="AH843" i="90"/>
  <c r="AH859" i="90"/>
  <c r="AH875" i="90"/>
  <c r="AH891" i="90"/>
  <c r="AH907" i="90"/>
  <c r="AH923" i="90"/>
  <c r="AH939" i="90"/>
  <c r="AH955" i="90"/>
  <c r="AH971" i="90"/>
  <c r="AH987" i="90"/>
  <c r="AH1003" i="90"/>
  <c r="AH1019" i="90"/>
  <c r="AH1035" i="90"/>
  <c r="AH1051" i="90"/>
  <c r="AH1067" i="90"/>
  <c r="AH1083" i="90"/>
  <c r="AH1099" i="90"/>
  <c r="AH1115" i="90"/>
  <c r="AH1131" i="90"/>
  <c r="AH1147" i="90"/>
  <c r="AH1163" i="90"/>
  <c r="AH1179" i="90"/>
  <c r="AH1195" i="90"/>
  <c r="AH1211" i="90"/>
  <c r="AH1227" i="90"/>
  <c r="AH1243" i="90"/>
  <c r="AH1259" i="90"/>
  <c r="AH1275" i="90"/>
  <c r="AH1291" i="90"/>
  <c r="AH1307" i="90"/>
  <c r="AH1323" i="90"/>
  <c r="AH1339" i="90"/>
  <c r="AH1355" i="90"/>
  <c r="AH1371" i="90"/>
  <c r="AH1387" i="90"/>
  <c r="AH1403" i="90"/>
  <c r="AH1419" i="90"/>
  <c r="AH1435" i="90"/>
  <c r="AH1451" i="90"/>
  <c r="AD12" i="90"/>
  <c r="AE12" i="90"/>
  <c r="AO12" i="90" s="1"/>
  <c r="AC12" i="90"/>
  <c r="AJ12" i="90"/>
  <c r="AD28" i="90"/>
  <c r="AE28" i="90"/>
  <c r="AO28" i="90" s="1"/>
  <c r="AC28" i="90"/>
  <c r="AJ28" i="90"/>
  <c r="AD44" i="90"/>
  <c r="AE44" i="90"/>
  <c r="AO44" i="90" s="1"/>
  <c r="AC44" i="90"/>
  <c r="AJ44" i="90"/>
  <c r="AD60" i="90"/>
  <c r="AE60" i="90"/>
  <c r="AO60" i="90" s="1"/>
  <c r="AC60" i="90"/>
  <c r="AJ60" i="90"/>
  <c r="AD76" i="90"/>
  <c r="AE76" i="90"/>
  <c r="AO76" i="90" s="1"/>
  <c r="AC76" i="90"/>
  <c r="AJ76" i="90"/>
  <c r="AE92" i="90"/>
  <c r="AO92" i="90" s="1"/>
  <c r="AD92" i="90"/>
  <c r="AC92" i="90"/>
  <c r="AJ92" i="90"/>
  <c r="AE108" i="90"/>
  <c r="AD108" i="90"/>
  <c r="AC108" i="90"/>
  <c r="AJ108" i="90"/>
  <c r="AE124" i="90"/>
  <c r="AO124" i="90" s="1"/>
  <c r="AD124" i="90"/>
  <c r="AC124" i="90"/>
  <c r="AJ124" i="90"/>
  <c r="AE140" i="90"/>
  <c r="AO140" i="90" s="1"/>
  <c r="AD140" i="90"/>
  <c r="AC140" i="90"/>
  <c r="AJ140" i="90"/>
  <c r="AE156" i="90"/>
  <c r="AD156" i="90"/>
  <c r="AC156" i="90"/>
  <c r="AJ156" i="90"/>
  <c r="AE172" i="90"/>
  <c r="AO172" i="90" s="1"/>
  <c r="AD172" i="90"/>
  <c r="AC172" i="90"/>
  <c r="AJ172" i="90"/>
  <c r="AD188" i="90"/>
  <c r="AE188" i="90"/>
  <c r="AO188" i="90" s="1"/>
  <c r="AC188" i="90"/>
  <c r="AJ188" i="90"/>
  <c r="AE204" i="90"/>
  <c r="AD204" i="90"/>
  <c r="AJ204" i="90"/>
  <c r="AC204" i="90"/>
  <c r="AE220" i="90"/>
  <c r="AO220" i="90" s="1"/>
  <c r="AD220" i="90"/>
  <c r="AC220" i="90"/>
  <c r="AJ220" i="90"/>
  <c r="AE236" i="90"/>
  <c r="AO236" i="90" s="1"/>
  <c r="AD236" i="90"/>
  <c r="AC236" i="90"/>
  <c r="AJ236" i="90"/>
  <c r="AE252" i="90"/>
  <c r="AO252" i="90" s="1"/>
  <c r="AD252" i="90"/>
  <c r="AC252" i="90"/>
  <c r="AJ252" i="90"/>
  <c r="AE268" i="90"/>
  <c r="AO268" i="90" s="1"/>
  <c r="AD268" i="90"/>
  <c r="AC268" i="90"/>
  <c r="AJ268" i="90"/>
  <c r="AE284" i="90"/>
  <c r="AO284" i="90" s="1"/>
  <c r="AD284" i="90"/>
  <c r="AC284" i="90"/>
  <c r="AJ284" i="90"/>
  <c r="AE300" i="90"/>
  <c r="AO300" i="90" s="1"/>
  <c r="AD300" i="90"/>
  <c r="AC300" i="90"/>
  <c r="AJ300" i="90"/>
  <c r="AE316" i="90"/>
  <c r="AD316" i="90"/>
  <c r="AC316" i="90"/>
  <c r="AJ316" i="90"/>
  <c r="AE332" i="90"/>
  <c r="AO332" i="90" s="1"/>
  <c r="AD332" i="90"/>
  <c r="AC332" i="90"/>
  <c r="AJ332" i="90"/>
  <c r="AE348" i="90"/>
  <c r="AO348" i="90" s="1"/>
  <c r="AD348" i="90"/>
  <c r="AC348" i="90"/>
  <c r="AJ348" i="90"/>
  <c r="AE364" i="90"/>
  <c r="AD364" i="90"/>
  <c r="AC364" i="90"/>
  <c r="AJ364" i="90"/>
  <c r="AE380" i="90"/>
  <c r="AO380" i="90" s="1"/>
  <c r="AD380" i="90"/>
  <c r="AC380" i="90"/>
  <c r="AJ380" i="90"/>
  <c r="AE396" i="90"/>
  <c r="AO396" i="90" s="1"/>
  <c r="AD396" i="90"/>
  <c r="AC396" i="90"/>
  <c r="AJ396" i="90"/>
  <c r="AE412" i="90"/>
  <c r="AD412" i="90"/>
  <c r="AC412" i="90"/>
  <c r="AJ412" i="90"/>
  <c r="AE428" i="90"/>
  <c r="AO428" i="90" s="1"/>
  <c r="AD428" i="90"/>
  <c r="AC428" i="90"/>
  <c r="AJ428" i="90"/>
  <c r="AD444" i="90"/>
  <c r="AE444" i="90"/>
  <c r="AO444" i="90" s="1"/>
  <c r="AC444" i="90"/>
  <c r="AJ444" i="90"/>
  <c r="AD460" i="90"/>
  <c r="AE460" i="90"/>
  <c r="AO460" i="90" s="1"/>
  <c r="AC460" i="90"/>
  <c r="AJ460" i="90"/>
  <c r="AD476" i="90"/>
  <c r="AE476" i="90"/>
  <c r="AO476" i="90" s="1"/>
  <c r="AC476" i="90"/>
  <c r="AJ476" i="90"/>
  <c r="AD492" i="90"/>
  <c r="AE492" i="90"/>
  <c r="AO492" i="90" s="1"/>
  <c r="AC492" i="90"/>
  <c r="AJ492" i="90"/>
  <c r="AD508" i="90"/>
  <c r="AE508" i="90"/>
  <c r="AO508" i="90" s="1"/>
  <c r="AC508" i="90"/>
  <c r="AJ508" i="90"/>
  <c r="AD524" i="90"/>
  <c r="AE524" i="90"/>
  <c r="AC524" i="90"/>
  <c r="AJ524" i="90"/>
  <c r="AD540" i="90"/>
  <c r="AE540" i="90"/>
  <c r="AO540" i="90" s="1"/>
  <c r="AC540" i="90"/>
  <c r="AJ540" i="90"/>
  <c r="AD556" i="90"/>
  <c r="AE556" i="90"/>
  <c r="AO556" i="90" s="1"/>
  <c r="AC556" i="90"/>
  <c r="AJ556" i="90"/>
  <c r="AD572" i="90"/>
  <c r="AE572" i="90"/>
  <c r="AC572" i="90"/>
  <c r="AJ572" i="90"/>
  <c r="AD588" i="90"/>
  <c r="AE588" i="90"/>
  <c r="AO588" i="90" s="1"/>
  <c r="AC588" i="90"/>
  <c r="AJ588" i="90"/>
  <c r="AE604" i="90"/>
  <c r="AO604" i="90" s="1"/>
  <c r="AD604" i="90"/>
  <c r="AC604" i="90"/>
  <c r="AJ604" i="90"/>
  <c r="AE620" i="90"/>
  <c r="AD620" i="90"/>
  <c r="AC620" i="90"/>
  <c r="AJ620" i="90"/>
  <c r="AE636" i="90"/>
  <c r="AO636" i="90" s="1"/>
  <c r="AD636" i="90"/>
  <c r="AC636" i="90"/>
  <c r="AJ636" i="90"/>
  <c r="AE652" i="90"/>
  <c r="AO652" i="90" s="1"/>
  <c r="AD652" i="90"/>
  <c r="AC652" i="90"/>
  <c r="AJ652" i="90"/>
  <c r="AE668" i="90"/>
  <c r="AO668" i="90" s="1"/>
  <c r="AD668" i="90"/>
  <c r="AC668" i="90"/>
  <c r="AJ668" i="90"/>
  <c r="AE684" i="90"/>
  <c r="AO684" i="90" s="1"/>
  <c r="AD684" i="90"/>
  <c r="AC684" i="90"/>
  <c r="AJ684" i="90"/>
  <c r="AE700" i="90"/>
  <c r="AO700" i="90" s="1"/>
  <c r="AD700" i="90"/>
  <c r="AC700" i="90"/>
  <c r="AJ700" i="90"/>
  <c r="AE716" i="90"/>
  <c r="AO716" i="90" s="1"/>
  <c r="AD716" i="90"/>
  <c r="AC716" i="90"/>
  <c r="AJ716" i="90"/>
  <c r="AE732" i="90"/>
  <c r="AD732" i="90"/>
  <c r="AC732" i="90"/>
  <c r="AJ732" i="90"/>
  <c r="AE748" i="90"/>
  <c r="AO748" i="90" s="1"/>
  <c r="AD748" i="90"/>
  <c r="AC748" i="90"/>
  <c r="AJ748" i="90"/>
  <c r="AE764" i="90"/>
  <c r="AO764" i="90" s="1"/>
  <c r="AD764" i="90"/>
  <c r="AC764" i="90"/>
  <c r="AJ764" i="90"/>
  <c r="AE780" i="90"/>
  <c r="AD780" i="90"/>
  <c r="AC780" i="90"/>
  <c r="AJ780" i="90"/>
  <c r="AE796" i="90"/>
  <c r="AO796" i="90" s="1"/>
  <c r="AD796" i="90"/>
  <c r="AC796" i="90"/>
  <c r="AJ796" i="90"/>
  <c r="AE812" i="90"/>
  <c r="AO812" i="90" s="1"/>
  <c r="AD812" i="90"/>
  <c r="AC812" i="90"/>
  <c r="AJ812" i="90"/>
  <c r="AE828" i="90"/>
  <c r="AD828" i="90"/>
  <c r="AC828" i="90"/>
  <c r="AJ828" i="90"/>
  <c r="AE844" i="90"/>
  <c r="AO844" i="90" s="1"/>
  <c r="AD844" i="90"/>
  <c r="AC844" i="90"/>
  <c r="AJ844" i="90"/>
  <c r="AE860" i="90"/>
  <c r="AO860" i="90" s="1"/>
  <c r="AD860" i="90"/>
  <c r="AC860" i="90"/>
  <c r="AJ860" i="90"/>
  <c r="AE876" i="90"/>
  <c r="AO876" i="90" s="1"/>
  <c r="AD876" i="90"/>
  <c r="AC876" i="90"/>
  <c r="AJ876" i="90"/>
  <c r="AE892" i="90"/>
  <c r="AO892" i="90" s="1"/>
  <c r="AD892" i="90"/>
  <c r="AC892" i="90"/>
  <c r="AJ892" i="90"/>
  <c r="AE908" i="90"/>
  <c r="AO908" i="90" s="1"/>
  <c r="AD908" i="90"/>
  <c r="AC908" i="90"/>
  <c r="AJ908" i="90"/>
  <c r="AE924" i="90"/>
  <c r="AO924" i="90" s="1"/>
  <c r="AD924" i="90"/>
  <c r="AC924" i="90"/>
  <c r="AJ924" i="90"/>
  <c r="AD940" i="90"/>
  <c r="AE940" i="90"/>
  <c r="AC940" i="90"/>
  <c r="AJ940" i="90"/>
  <c r="AD956" i="90"/>
  <c r="AE956" i="90"/>
  <c r="AO956" i="90" s="1"/>
  <c r="AC956" i="90"/>
  <c r="AJ956" i="90"/>
  <c r="AD972" i="90"/>
  <c r="AE972" i="90"/>
  <c r="AO972" i="90" s="1"/>
  <c r="AC972" i="90"/>
  <c r="AJ972" i="90"/>
  <c r="AD988" i="90"/>
  <c r="AE988" i="90"/>
  <c r="AC988" i="90"/>
  <c r="AJ988" i="90"/>
  <c r="AD1004" i="90"/>
  <c r="AE1004" i="90"/>
  <c r="AO1004" i="90" s="1"/>
  <c r="AC1004" i="90"/>
  <c r="AJ1004" i="90"/>
  <c r="AD1020" i="90"/>
  <c r="AE1020" i="90"/>
  <c r="AO1020" i="90" s="1"/>
  <c r="AC1020" i="90"/>
  <c r="AJ1020" i="90"/>
  <c r="AD1036" i="90"/>
  <c r="AE1036" i="90"/>
  <c r="AC1036" i="90"/>
  <c r="AJ1036" i="90"/>
  <c r="AD1052" i="90"/>
  <c r="AE1052" i="90"/>
  <c r="AO1052" i="90" s="1"/>
  <c r="AC1052" i="90"/>
  <c r="AJ1052" i="90"/>
  <c r="AD1068" i="90"/>
  <c r="AE1068" i="90"/>
  <c r="AO1068" i="90" s="1"/>
  <c r="AC1068" i="90"/>
  <c r="AJ1068" i="90"/>
  <c r="AD1084" i="90"/>
  <c r="AE1084" i="90"/>
  <c r="AO1084" i="90" s="1"/>
  <c r="AC1084" i="90"/>
  <c r="AJ1084" i="90"/>
  <c r="AD1100" i="90"/>
  <c r="AE1100" i="90"/>
  <c r="AO1100" i="90" s="1"/>
  <c r="AC1100" i="90"/>
  <c r="AJ1100" i="90"/>
  <c r="AD1116" i="90"/>
  <c r="AE1116" i="90"/>
  <c r="AO1116" i="90" s="1"/>
  <c r="AC1116" i="90"/>
  <c r="AJ1116" i="90"/>
  <c r="AD1132" i="90"/>
  <c r="AE1132" i="90"/>
  <c r="AO1132" i="90" s="1"/>
  <c r="AC1132" i="90"/>
  <c r="AJ1132" i="90"/>
  <c r="AD1148" i="90"/>
  <c r="AE1148" i="90"/>
  <c r="AC1148" i="90"/>
  <c r="AJ1148" i="90"/>
  <c r="AD1164" i="90"/>
  <c r="AE1164" i="90"/>
  <c r="AO1164" i="90" s="1"/>
  <c r="AC1164" i="90"/>
  <c r="AJ1164" i="90"/>
  <c r="AD1180" i="90"/>
  <c r="AE1180" i="90"/>
  <c r="AO1180" i="90" s="1"/>
  <c r="AC1180" i="90"/>
  <c r="AJ1180" i="90"/>
  <c r="AE1196" i="90"/>
  <c r="AD1196" i="90"/>
  <c r="AC1196" i="90"/>
  <c r="AJ1196" i="90"/>
  <c r="AE1212" i="90"/>
  <c r="AO1212" i="90" s="1"/>
  <c r="AD1212" i="90"/>
  <c r="AC1212" i="90"/>
  <c r="AJ1212" i="90"/>
  <c r="AD1228" i="90"/>
  <c r="AC1228" i="90"/>
  <c r="AE1228" i="90"/>
  <c r="AO1228" i="90" s="1"/>
  <c r="AJ1228" i="90"/>
  <c r="AD1244" i="90"/>
  <c r="AC1244" i="90"/>
  <c r="AE1244" i="90"/>
  <c r="AJ1244" i="90"/>
  <c r="AD1260" i="90"/>
  <c r="AC1260" i="90"/>
  <c r="AE1260" i="90"/>
  <c r="AO1260" i="90" s="1"/>
  <c r="AJ1260" i="90"/>
  <c r="AD1276" i="90"/>
  <c r="AC1276" i="90"/>
  <c r="AE1276" i="90"/>
  <c r="AO1276" i="90" s="1"/>
  <c r="AJ1276" i="90"/>
  <c r="AE1292" i="90"/>
  <c r="AO1292" i="90" s="1"/>
  <c r="AC1292" i="90"/>
  <c r="AD1292" i="90"/>
  <c r="AJ1292" i="90"/>
  <c r="AE1308" i="90"/>
  <c r="AO1308" i="90" s="1"/>
  <c r="AD1308" i="90"/>
  <c r="AC1308" i="90"/>
  <c r="AJ1308" i="90"/>
  <c r="AE1324" i="90"/>
  <c r="AO1324" i="90" s="1"/>
  <c r="AC1324" i="90"/>
  <c r="AD1324" i="90"/>
  <c r="AJ1324" i="90"/>
  <c r="AE1340" i="90"/>
  <c r="AO1340" i="90" s="1"/>
  <c r="AD1340" i="90"/>
  <c r="AC1340" i="90"/>
  <c r="AJ1340" i="90"/>
  <c r="AE1356" i="90"/>
  <c r="AC1356" i="90"/>
  <c r="AD1356" i="90"/>
  <c r="AJ1356" i="90"/>
  <c r="AE1372" i="90"/>
  <c r="AO1372" i="90" s="1"/>
  <c r="AD1372" i="90"/>
  <c r="AC1372" i="90"/>
  <c r="AJ1372" i="90"/>
  <c r="AE1388" i="90"/>
  <c r="AO1388" i="90" s="1"/>
  <c r="AC1388" i="90"/>
  <c r="AD1388" i="90"/>
  <c r="AJ1388" i="90"/>
  <c r="AE1404" i="90"/>
  <c r="AD1404" i="90"/>
  <c r="AC1404" i="90"/>
  <c r="AJ1404" i="90"/>
  <c r="AE1420" i="90"/>
  <c r="AO1420" i="90" s="1"/>
  <c r="AC1420" i="90"/>
  <c r="AD1420" i="90"/>
  <c r="AJ1420" i="90"/>
  <c r="AE1436" i="90"/>
  <c r="AO1436" i="90" s="1"/>
  <c r="AD1436" i="90"/>
  <c r="AC1436" i="90"/>
  <c r="AJ1436" i="90"/>
  <c r="AE1452" i="90"/>
  <c r="AC1452" i="90"/>
  <c r="AD1452" i="90"/>
  <c r="AJ1452" i="90"/>
  <c r="AH12" i="90"/>
  <c r="AH28" i="90"/>
  <c r="AH44" i="90"/>
  <c r="AH60" i="90"/>
  <c r="AH76" i="90"/>
  <c r="AH92" i="90"/>
  <c r="AH108" i="90"/>
  <c r="AH124" i="90"/>
  <c r="AH140" i="90"/>
  <c r="AH156" i="90"/>
  <c r="AH172" i="90"/>
  <c r="AH188" i="90"/>
  <c r="AH204" i="90"/>
  <c r="AH220" i="90"/>
  <c r="AH236" i="90"/>
  <c r="AH252" i="90"/>
  <c r="AH268" i="90"/>
  <c r="AH284" i="90"/>
  <c r="AH300" i="90"/>
  <c r="AH316" i="90"/>
  <c r="AH332" i="90"/>
  <c r="AH348" i="90"/>
  <c r="AH364" i="90"/>
  <c r="AH380" i="90"/>
  <c r="AH396" i="90"/>
  <c r="AH412" i="90"/>
  <c r="AH428" i="90"/>
  <c r="AH444" i="90"/>
  <c r="AH460" i="90"/>
  <c r="AH476" i="90"/>
  <c r="AH492" i="90"/>
  <c r="AH508" i="90"/>
  <c r="AH524" i="90"/>
  <c r="AH540" i="90"/>
  <c r="AH556" i="90"/>
  <c r="AH572" i="90"/>
  <c r="AH588" i="90"/>
  <c r="AH604" i="90"/>
  <c r="AH620" i="90"/>
  <c r="AH636" i="90"/>
  <c r="AH652" i="90"/>
  <c r="AH668" i="90"/>
  <c r="AH684" i="90"/>
  <c r="AH700" i="90"/>
  <c r="AH716" i="90"/>
  <c r="AH732" i="90"/>
  <c r="AH748" i="90"/>
  <c r="AH764" i="90"/>
  <c r="AH780" i="90"/>
  <c r="AH796" i="90"/>
  <c r="AH812" i="90"/>
  <c r="AH828" i="90"/>
  <c r="AH844" i="90"/>
  <c r="AH860" i="90"/>
  <c r="AH876" i="90"/>
  <c r="AH892" i="90"/>
  <c r="AH908" i="90"/>
  <c r="AH924" i="90"/>
  <c r="AH940" i="90"/>
  <c r="AH956" i="90"/>
  <c r="AH972" i="90"/>
  <c r="AH988" i="90"/>
  <c r="AH1004" i="90"/>
  <c r="AH1020" i="90"/>
  <c r="AH1036" i="90"/>
  <c r="AH1052" i="90"/>
  <c r="AH1068" i="90"/>
  <c r="AH1084" i="90"/>
  <c r="AH1100" i="90"/>
  <c r="AH1116" i="90"/>
  <c r="AH1132" i="90"/>
  <c r="AH1148" i="90"/>
  <c r="AH1164" i="90"/>
  <c r="AH1180" i="90"/>
  <c r="AH1196" i="90"/>
  <c r="AH1212" i="90"/>
  <c r="AH1228" i="90"/>
  <c r="AH1244" i="90"/>
  <c r="AH1260" i="90"/>
  <c r="AH1276" i="90"/>
  <c r="AH1292" i="90"/>
  <c r="AH1308" i="90"/>
  <c r="AH1324" i="90"/>
  <c r="AH1340" i="90"/>
  <c r="AH1356" i="90"/>
  <c r="AH1372" i="90"/>
  <c r="AH1388" i="90"/>
  <c r="AH1404" i="90"/>
  <c r="AH1420" i="90"/>
  <c r="AH1436" i="90"/>
  <c r="AH1452" i="90"/>
  <c r="AD477" i="90"/>
  <c r="AE477" i="90"/>
  <c r="AO477" i="90" s="1"/>
  <c r="AC477" i="90"/>
  <c r="AJ477" i="90"/>
  <c r="AD541" i="90"/>
  <c r="AE541" i="90"/>
  <c r="AO541" i="90" s="1"/>
  <c r="AC541" i="90"/>
  <c r="AJ541" i="90"/>
  <c r="AD605" i="90"/>
  <c r="AE605" i="90"/>
  <c r="AO605" i="90" s="1"/>
  <c r="AC605" i="90"/>
  <c r="AJ605" i="90"/>
  <c r="AD669" i="90"/>
  <c r="AE669" i="90"/>
  <c r="AC669" i="90"/>
  <c r="AJ669" i="90"/>
  <c r="AD733" i="90"/>
  <c r="AE733" i="90"/>
  <c r="AO733" i="90" s="1"/>
  <c r="AC733" i="90"/>
  <c r="AJ733" i="90"/>
  <c r="AD797" i="90"/>
  <c r="AE797" i="90"/>
  <c r="AO797" i="90" s="1"/>
  <c r="AC797" i="90"/>
  <c r="AJ797" i="90"/>
  <c r="AD861" i="90"/>
  <c r="AE861" i="90"/>
  <c r="AO861" i="90" s="1"/>
  <c r="AC861" i="90"/>
  <c r="AJ861" i="90"/>
  <c r="AE925" i="90"/>
  <c r="AO925" i="90" s="1"/>
  <c r="AD925" i="90"/>
  <c r="AC925" i="90"/>
  <c r="AJ925" i="90"/>
  <c r="AE989" i="90"/>
  <c r="AD989" i="90"/>
  <c r="AC989" i="90"/>
  <c r="AJ989" i="90"/>
  <c r="AE1053" i="90"/>
  <c r="AO1053" i="90" s="1"/>
  <c r="AD1053" i="90"/>
  <c r="AC1053" i="90"/>
  <c r="AJ1053" i="90"/>
  <c r="AE1117" i="90"/>
  <c r="AO1117" i="90" s="1"/>
  <c r="AD1117" i="90"/>
  <c r="AC1117" i="90"/>
  <c r="AJ1117" i="90"/>
  <c r="AE1181" i="90"/>
  <c r="AO1181" i="90" s="1"/>
  <c r="AD1181" i="90"/>
  <c r="AC1181" i="90"/>
  <c r="AJ1181" i="90"/>
  <c r="AD1245" i="90"/>
  <c r="AE1245" i="90"/>
  <c r="AC1245" i="90"/>
  <c r="AJ1245" i="90"/>
  <c r="AD1309" i="90"/>
  <c r="AE1309" i="90"/>
  <c r="AO1309" i="90" s="1"/>
  <c r="AC1309" i="90"/>
  <c r="AJ1309" i="90"/>
  <c r="AD1373" i="90"/>
  <c r="AE1373" i="90"/>
  <c r="AO1373" i="90" s="1"/>
  <c r="AC1373" i="90"/>
  <c r="AJ1373" i="90"/>
  <c r="AD1437" i="90"/>
  <c r="AE1437" i="90"/>
  <c r="AO1437" i="90" s="1"/>
  <c r="AC1437" i="90"/>
  <c r="AJ1437" i="90"/>
  <c r="AH493" i="90"/>
  <c r="AH557" i="90"/>
  <c r="AH621" i="90"/>
  <c r="AH685" i="90"/>
  <c r="AH749" i="90"/>
  <c r="AH813" i="90"/>
  <c r="AH877" i="90"/>
  <c r="AH941" i="90"/>
  <c r="AH1005" i="90"/>
  <c r="AH1069" i="90"/>
  <c r="AH1133" i="90"/>
  <c r="AH1197" i="90"/>
  <c r="AH1261" i="90"/>
  <c r="AH1325" i="90"/>
  <c r="AH1389" i="90"/>
  <c r="AH1453" i="90"/>
  <c r="AD513" i="90"/>
  <c r="AE513" i="90"/>
  <c r="AC513" i="90"/>
  <c r="AJ513" i="90"/>
  <c r="AD577" i="90"/>
  <c r="AE577" i="90"/>
  <c r="AO577" i="90" s="1"/>
  <c r="AC577" i="90"/>
  <c r="AJ577" i="90"/>
  <c r="AE641" i="90"/>
  <c r="AO641" i="90" s="1"/>
  <c r="AD641" i="90"/>
  <c r="AC641" i="90"/>
  <c r="AJ641" i="90"/>
  <c r="AE705" i="90"/>
  <c r="AO705" i="90" s="1"/>
  <c r="AD705" i="90"/>
  <c r="AC705" i="90"/>
  <c r="AJ705" i="90"/>
  <c r="AE769" i="90"/>
  <c r="AO769" i="90" s="1"/>
  <c r="AD769" i="90"/>
  <c r="AC769" i="90"/>
  <c r="AJ769" i="90"/>
  <c r="AE833" i="90"/>
  <c r="AD833" i="90"/>
  <c r="AC833" i="90"/>
  <c r="AJ833" i="90"/>
  <c r="AD897" i="90"/>
  <c r="AE897" i="90"/>
  <c r="AO897" i="90" s="1"/>
  <c r="AC897" i="90"/>
  <c r="AJ897" i="90"/>
  <c r="AE961" i="90"/>
  <c r="AO961" i="90" s="1"/>
  <c r="AD961" i="90"/>
  <c r="AC961" i="90"/>
  <c r="AJ961" i="90"/>
  <c r="AE1025" i="90"/>
  <c r="AO1025" i="90" s="1"/>
  <c r="AD1025" i="90"/>
  <c r="AC1025" i="90"/>
  <c r="AJ1025" i="90"/>
  <c r="AE1089" i="90"/>
  <c r="AD1089" i="90"/>
  <c r="AC1089" i="90"/>
  <c r="AJ1089" i="90"/>
  <c r="AE1153" i="90"/>
  <c r="AO1153" i="90" s="1"/>
  <c r="AD1153" i="90"/>
  <c r="AC1153" i="90"/>
  <c r="AJ1153" i="90"/>
  <c r="AE1217" i="90"/>
  <c r="AO1217" i="90" s="1"/>
  <c r="AD1217" i="90"/>
  <c r="AC1217" i="90"/>
  <c r="AJ1217" i="90"/>
  <c r="AD1281" i="90"/>
  <c r="AE1281" i="90"/>
  <c r="AO1281" i="90" s="1"/>
  <c r="AC1281" i="90"/>
  <c r="AJ1281" i="90"/>
  <c r="AD1345" i="90"/>
  <c r="AE1345" i="90"/>
  <c r="AC1345" i="90"/>
  <c r="AJ1345" i="90"/>
  <c r="AD1409" i="90"/>
  <c r="AE1409" i="90"/>
  <c r="AO1409" i="90" s="1"/>
  <c r="AC1409" i="90"/>
  <c r="AJ1409" i="90"/>
  <c r="AH465" i="90"/>
  <c r="AH529" i="90"/>
  <c r="AH593" i="90"/>
  <c r="AH657" i="90"/>
  <c r="AH721" i="90"/>
  <c r="AH785" i="90"/>
  <c r="AH849" i="90"/>
  <c r="AH913" i="90"/>
  <c r="AH977" i="90"/>
  <c r="AH1041" i="90"/>
  <c r="AH1105" i="90"/>
  <c r="AH1169" i="90"/>
  <c r="AH1233" i="90"/>
  <c r="AH1313" i="90"/>
  <c r="AH1377" i="90"/>
  <c r="AH1441" i="90"/>
  <c r="AD501" i="90"/>
  <c r="AE501" i="90"/>
  <c r="AO501" i="90" s="1"/>
  <c r="AC501" i="90"/>
  <c r="AJ501" i="90"/>
  <c r="AD565" i="90"/>
  <c r="AE565" i="90"/>
  <c r="AC565" i="90"/>
  <c r="AJ565" i="90"/>
  <c r="AD629" i="90"/>
  <c r="AE629" i="90"/>
  <c r="AO629" i="90" s="1"/>
  <c r="AC629" i="90"/>
  <c r="AJ629" i="90"/>
  <c r="AD693" i="90"/>
  <c r="AE693" i="90"/>
  <c r="AO693" i="90" s="1"/>
  <c r="AC693" i="90"/>
  <c r="AJ693" i="90"/>
  <c r="AD757" i="90"/>
  <c r="AE757" i="90"/>
  <c r="AO757" i="90" s="1"/>
  <c r="AJ757" i="90"/>
  <c r="AC757" i="90"/>
  <c r="AD821" i="90"/>
  <c r="AE821" i="90"/>
  <c r="AO821" i="90" s="1"/>
  <c r="AC821" i="90"/>
  <c r="AJ821" i="90"/>
  <c r="AD885" i="90"/>
  <c r="AE885" i="90"/>
  <c r="AJ885" i="90"/>
  <c r="AC885" i="90"/>
  <c r="AE949" i="90"/>
  <c r="AO949" i="90" s="1"/>
  <c r="AD949" i="90"/>
  <c r="AC949" i="90"/>
  <c r="AJ949" i="90"/>
  <c r="AE1013" i="90"/>
  <c r="AO1013" i="90" s="1"/>
  <c r="AD1013" i="90"/>
  <c r="AC1013" i="90"/>
  <c r="AJ1013" i="90"/>
  <c r="AE1077" i="90"/>
  <c r="AO1077" i="90" s="1"/>
  <c r="AD1077" i="90"/>
  <c r="AC1077" i="90"/>
  <c r="AJ1077" i="90"/>
  <c r="AE1141" i="90"/>
  <c r="AD1141" i="90"/>
  <c r="AC1141" i="90"/>
  <c r="AJ1141" i="90"/>
  <c r="AE1205" i="90"/>
  <c r="AO1205" i="90" s="1"/>
  <c r="AD1205" i="90"/>
  <c r="AC1205" i="90"/>
  <c r="AJ1205" i="90"/>
  <c r="AD1269" i="90"/>
  <c r="AE1269" i="90"/>
  <c r="AO1269" i="90" s="1"/>
  <c r="AC1269" i="90"/>
  <c r="AJ1269" i="90"/>
  <c r="AD1333" i="90"/>
  <c r="AE1333" i="90"/>
  <c r="AO1333" i="90" s="1"/>
  <c r="AC1333" i="90"/>
  <c r="AJ1333" i="90"/>
  <c r="AD1397" i="90"/>
  <c r="AE1397" i="90"/>
  <c r="AC1397" i="90"/>
  <c r="AJ1397" i="90"/>
  <c r="AD5" i="90"/>
  <c r="AE5" i="90"/>
  <c r="AO5" i="90" s="1"/>
  <c r="AC5" i="90"/>
  <c r="AJ5" i="90" s="1"/>
  <c r="AH469" i="90"/>
  <c r="AH533" i="90"/>
  <c r="AH597" i="90"/>
  <c r="AH661" i="90"/>
  <c r="AH725" i="90"/>
  <c r="AH789" i="90"/>
  <c r="AH853" i="90"/>
  <c r="AH917" i="90"/>
  <c r="AH981" i="90"/>
  <c r="AH1045" i="90"/>
  <c r="AH1109" i="90"/>
  <c r="AH1173" i="90"/>
  <c r="AH1237" i="90"/>
  <c r="AH1301" i="90"/>
  <c r="AH1365" i="90"/>
  <c r="AH1429" i="90"/>
  <c r="AD25" i="90"/>
  <c r="AE25" i="90"/>
  <c r="AO25" i="90" s="1"/>
  <c r="AC25" i="90"/>
  <c r="AJ25" i="90"/>
  <c r="AD41" i="90"/>
  <c r="AE41" i="90"/>
  <c r="AO41" i="90" s="1"/>
  <c r="AC41" i="90"/>
  <c r="AJ41" i="90"/>
  <c r="AD89" i="90"/>
  <c r="AE89" i="90"/>
  <c r="AO89" i="90" s="1"/>
  <c r="AC89" i="90"/>
  <c r="AJ89" i="90"/>
  <c r="AD105" i="90"/>
  <c r="AE105" i="90"/>
  <c r="AC105" i="90"/>
  <c r="AJ105" i="90"/>
  <c r="AE281" i="90"/>
  <c r="AO281" i="90" s="1"/>
  <c r="AD281" i="90"/>
  <c r="AC281" i="90"/>
  <c r="AJ281" i="90"/>
  <c r="AE345" i="90"/>
  <c r="AO345" i="90" s="1"/>
  <c r="AD345" i="90"/>
  <c r="AC345" i="90"/>
  <c r="AJ345" i="90"/>
  <c r="AE361" i="90"/>
  <c r="AD361" i="90"/>
  <c r="AC361" i="90"/>
  <c r="AJ361" i="90"/>
  <c r="AD409" i="90"/>
  <c r="AE409" i="90"/>
  <c r="AC409" i="90"/>
  <c r="AJ409" i="90"/>
  <c r="AD425" i="90"/>
  <c r="AE425" i="90"/>
  <c r="AO425" i="90" s="1"/>
  <c r="AC425" i="90"/>
  <c r="AJ425" i="90"/>
  <c r="AH57" i="90"/>
  <c r="AD14" i="90"/>
  <c r="AE14" i="90"/>
  <c r="AO14" i="90" s="1"/>
  <c r="AC14" i="90"/>
  <c r="AJ14" i="90"/>
  <c r="AD30" i="90"/>
  <c r="AE30" i="90"/>
  <c r="AO30" i="90" s="1"/>
  <c r="AC30" i="90"/>
  <c r="AJ30" i="90"/>
  <c r="AD46" i="90"/>
  <c r="AE46" i="90"/>
  <c r="AC46" i="90"/>
  <c r="AJ46" i="90"/>
  <c r="AD62" i="90"/>
  <c r="AE62" i="90"/>
  <c r="AO62" i="90" s="1"/>
  <c r="AC62" i="90"/>
  <c r="AJ62" i="90"/>
  <c r="AD78" i="90"/>
  <c r="AE78" i="90"/>
  <c r="AO78" i="90" s="1"/>
  <c r="AC78" i="90"/>
  <c r="AJ78" i="90"/>
  <c r="AD94" i="90"/>
  <c r="AE94" i="90"/>
  <c r="AO94" i="90" s="1"/>
  <c r="AC94" i="90"/>
  <c r="AJ94" i="90"/>
  <c r="AD110" i="90"/>
  <c r="AE110" i="90"/>
  <c r="AO110" i="90" s="1"/>
  <c r="AC110" i="90"/>
  <c r="AJ110" i="90"/>
  <c r="AD126" i="90"/>
  <c r="AE126" i="90"/>
  <c r="AO126" i="90" s="1"/>
  <c r="AC126" i="90"/>
  <c r="AJ126" i="90"/>
  <c r="AD142" i="90"/>
  <c r="AE142" i="90"/>
  <c r="AO142" i="90" s="1"/>
  <c r="AC142" i="90"/>
  <c r="AJ142" i="90"/>
  <c r="AD158" i="90"/>
  <c r="AE158" i="90"/>
  <c r="AC158" i="90"/>
  <c r="AJ158" i="90"/>
  <c r="AD174" i="90"/>
  <c r="AE174" i="90"/>
  <c r="AO174" i="90" s="1"/>
  <c r="AC174" i="90"/>
  <c r="AJ174" i="90"/>
  <c r="AD190" i="90"/>
  <c r="AE190" i="90"/>
  <c r="AO190" i="90" s="1"/>
  <c r="AC190" i="90"/>
  <c r="AJ190" i="90"/>
  <c r="AE206" i="90"/>
  <c r="AD206" i="90"/>
  <c r="AC206" i="90"/>
  <c r="AJ206" i="90"/>
  <c r="AE222" i="90"/>
  <c r="AO222" i="90" s="1"/>
  <c r="AD222" i="90"/>
  <c r="AC222" i="90"/>
  <c r="AJ222" i="90"/>
  <c r="AE238" i="90"/>
  <c r="AO238" i="90" s="1"/>
  <c r="AD238" i="90"/>
  <c r="AC238" i="90"/>
  <c r="AJ238" i="90"/>
  <c r="AE254" i="90"/>
  <c r="AD254" i="90"/>
  <c r="AC254" i="90"/>
  <c r="AJ254" i="90"/>
  <c r="AE270" i="90"/>
  <c r="AO270" i="90" s="1"/>
  <c r="AD270" i="90"/>
  <c r="AC270" i="90"/>
  <c r="AJ270" i="90"/>
  <c r="AE286" i="90"/>
  <c r="AO286" i="90" s="1"/>
  <c r="AD286" i="90"/>
  <c r="AC286" i="90"/>
  <c r="AJ286" i="90"/>
  <c r="AE302" i="90"/>
  <c r="AO302" i="90" s="1"/>
  <c r="AD302" i="90"/>
  <c r="AC302" i="90"/>
  <c r="AJ302" i="90"/>
  <c r="AE318" i="90"/>
  <c r="AO318" i="90" s="1"/>
  <c r="AD318" i="90"/>
  <c r="AC318" i="90"/>
  <c r="AJ318" i="90"/>
  <c r="AE334" i="90"/>
  <c r="AO334" i="90" s="1"/>
  <c r="AD334" i="90"/>
  <c r="AC334" i="90"/>
  <c r="AJ334" i="90"/>
  <c r="AE350" i="90"/>
  <c r="AO350" i="90" s="1"/>
  <c r="AD350" i="90"/>
  <c r="AC350" i="90"/>
  <c r="AJ350" i="90"/>
  <c r="AE366" i="90"/>
  <c r="AD366" i="90"/>
  <c r="AC366" i="90"/>
  <c r="AJ366" i="90"/>
  <c r="AE382" i="90"/>
  <c r="AO382" i="90" s="1"/>
  <c r="AD382" i="90"/>
  <c r="AC382" i="90"/>
  <c r="AJ382" i="90"/>
  <c r="AE398" i="90"/>
  <c r="AO398" i="90" s="1"/>
  <c r="AD398" i="90"/>
  <c r="AC398" i="90"/>
  <c r="AJ398" i="90"/>
  <c r="AE414" i="90"/>
  <c r="AD414" i="90"/>
  <c r="AC414" i="90"/>
  <c r="AJ414" i="90"/>
  <c r="AE430" i="90"/>
  <c r="AO430" i="90" s="1"/>
  <c r="AD430" i="90"/>
  <c r="AC430" i="90"/>
  <c r="AJ430" i="90"/>
  <c r="AD446" i="90"/>
  <c r="AE446" i="90"/>
  <c r="AO446" i="90" s="1"/>
  <c r="AC446" i="90"/>
  <c r="AJ446" i="90"/>
  <c r="AD462" i="90"/>
  <c r="AE462" i="90"/>
  <c r="AC462" i="90"/>
  <c r="AJ462" i="90"/>
  <c r="AD478" i="90"/>
  <c r="AE478" i="90"/>
  <c r="AO478" i="90" s="1"/>
  <c r="AC478" i="90"/>
  <c r="AJ478" i="90"/>
  <c r="AD494" i="90"/>
  <c r="AE494" i="90"/>
  <c r="AO494" i="90" s="1"/>
  <c r="AC494" i="90"/>
  <c r="AJ494" i="90"/>
  <c r="AD510" i="90"/>
  <c r="AE510" i="90"/>
  <c r="AO510" i="90" s="1"/>
  <c r="AC510" i="90"/>
  <c r="AJ510" i="90"/>
  <c r="AD526" i="90"/>
  <c r="AE526" i="90"/>
  <c r="AO526" i="90" s="1"/>
  <c r="AC526" i="90"/>
  <c r="AJ526" i="90"/>
  <c r="AD542" i="90"/>
  <c r="AE542" i="90"/>
  <c r="AO542" i="90" s="1"/>
  <c r="AC542" i="90"/>
  <c r="AJ542" i="90"/>
  <c r="AD558" i="90"/>
  <c r="AE558" i="90"/>
  <c r="AO558" i="90" s="1"/>
  <c r="AC558" i="90"/>
  <c r="AJ558" i="90"/>
  <c r="AD574" i="90"/>
  <c r="AE574" i="90"/>
  <c r="AC574" i="90"/>
  <c r="AJ574" i="90"/>
  <c r="AD590" i="90"/>
  <c r="AE590" i="90"/>
  <c r="AO590" i="90" s="1"/>
  <c r="AC590" i="90"/>
  <c r="AJ590" i="90"/>
  <c r="AE606" i="90"/>
  <c r="AO606" i="90" s="1"/>
  <c r="AD606" i="90"/>
  <c r="AC606" i="90"/>
  <c r="AJ606" i="90"/>
  <c r="AE622" i="90"/>
  <c r="AD622" i="90"/>
  <c r="AC622" i="90"/>
  <c r="AJ622" i="90"/>
  <c r="AE638" i="90"/>
  <c r="AO638" i="90" s="1"/>
  <c r="AD638" i="90"/>
  <c r="AC638" i="90"/>
  <c r="AJ638" i="90"/>
  <c r="AE654" i="90"/>
  <c r="AO654" i="90" s="1"/>
  <c r="AD654" i="90"/>
  <c r="AC654" i="90"/>
  <c r="AJ654" i="90"/>
  <c r="AE670" i="90"/>
  <c r="AD670" i="90"/>
  <c r="AC670" i="90"/>
  <c r="AJ670" i="90"/>
  <c r="AE686" i="90"/>
  <c r="AO686" i="90" s="1"/>
  <c r="AD686" i="90"/>
  <c r="AC686" i="90"/>
  <c r="AJ686" i="90"/>
  <c r="AE702" i="90"/>
  <c r="AO702" i="90" s="1"/>
  <c r="AD702" i="90"/>
  <c r="AC702" i="90"/>
  <c r="AJ702" i="90"/>
  <c r="AE718" i="90"/>
  <c r="AO718" i="90" s="1"/>
  <c r="AD718" i="90"/>
  <c r="AC718" i="90"/>
  <c r="AJ718" i="90"/>
  <c r="AE734" i="90"/>
  <c r="AO734" i="90" s="1"/>
  <c r="AD734" i="90"/>
  <c r="AC734" i="90"/>
  <c r="AJ734" i="90"/>
  <c r="AE750" i="90"/>
  <c r="AO750" i="90" s="1"/>
  <c r="AD750" i="90"/>
  <c r="AC750" i="90"/>
  <c r="AJ750" i="90"/>
  <c r="AE766" i="90"/>
  <c r="AO766" i="90" s="1"/>
  <c r="AD766" i="90"/>
  <c r="AC766" i="90"/>
  <c r="AJ766" i="90"/>
  <c r="AE782" i="90"/>
  <c r="AD782" i="90"/>
  <c r="AC782" i="90"/>
  <c r="AJ782" i="90"/>
  <c r="AE798" i="90"/>
  <c r="AO798" i="90" s="1"/>
  <c r="AD798" i="90"/>
  <c r="AC798" i="90"/>
  <c r="AJ798" i="90"/>
  <c r="AE814" i="90"/>
  <c r="AO814" i="90" s="1"/>
  <c r="AD814" i="90"/>
  <c r="AC814" i="90"/>
  <c r="AJ814" i="90"/>
  <c r="AE830" i="90"/>
  <c r="AD830" i="90"/>
  <c r="AC830" i="90"/>
  <c r="AJ830" i="90"/>
  <c r="AE846" i="90"/>
  <c r="AO846" i="90" s="1"/>
  <c r="AD846" i="90"/>
  <c r="AC846" i="90"/>
  <c r="AJ846" i="90"/>
  <c r="AE862" i="90"/>
  <c r="AO862" i="90" s="1"/>
  <c r="AD862" i="90"/>
  <c r="AC862" i="90"/>
  <c r="AJ862" i="90"/>
  <c r="AE878" i="90"/>
  <c r="AD878" i="90"/>
  <c r="AC878" i="90"/>
  <c r="AJ878" i="90"/>
  <c r="AE894" i="90"/>
  <c r="AO894" i="90" s="1"/>
  <c r="AD894" i="90"/>
  <c r="AC894" i="90"/>
  <c r="AJ894" i="90"/>
  <c r="AE910" i="90"/>
  <c r="AO910" i="90" s="1"/>
  <c r="AD910" i="90"/>
  <c r="AC910" i="90"/>
  <c r="AJ910" i="90"/>
  <c r="AE926" i="90"/>
  <c r="AO926" i="90" s="1"/>
  <c r="AD926" i="90"/>
  <c r="AC926" i="90"/>
  <c r="AJ926" i="90"/>
  <c r="AD942" i="90"/>
  <c r="AE942" i="90"/>
  <c r="AO942" i="90" s="1"/>
  <c r="AC942" i="90"/>
  <c r="AJ942" i="90"/>
  <c r="AD958" i="90"/>
  <c r="AE958" i="90"/>
  <c r="AO958" i="90" s="1"/>
  <c r="AC958" i="90"/>
  <c r="AJ958" i="90"/>
  <c r="AD974" i="90"/>
  <c r="AE974" i="90"/>
  <c r="AO974" i="90" s="1"/>
  <c r="AC974" i="90"/>
  <c r="AJ974" i="90"/>
  <c r="AD990" i="90"/>
  <c r="AE990" i="90"/>
  <c r="AC990" i="90"/>
  <c r="AJ990" i="90"/>
  <c r="AD1006" i="90"/>
  <c r="AE1006" i="90"/>
  <c r="AO1006" i="90" s="1"/>
  <c r="AC1006" i="90"/>
  <c r="AJ1006" i="90"/>
  <c r="AD1022" i="90"/>
  <c r="AE1022" i="90"/>
  <c r="AO1022" i="90" s="1"/>
  <c r="AC1022" i="90"/>
  <c r="AJ1022" i="90"/>
  <c r="AD1038" i="90"/>
  <c r="AE1038" i="90"/>
  <c r="AC1038" i="90"/>
  <c r="AJ1038" i="90"/>
  <c r="AD1054" i="90"/>
  <c r="AE1054" i="90"/>
  <c r="AO1054" i="90" s="1"/>
  <c r="AC1054" i="90"/>
  <c r="AJ1054" i="90"/>
  <c r="AD1070" i="90"/>
  <c r="AE1070" i="90"/>
  <c r="AO1070" i="90" s="1"/>
  <c r="AC1070" i="90"/>
  <c r="AJ1070" i="90"/>
  <c r="AD1086" i="90"/>
  <c r="AE1086" i="90"/>
  <c r="AC1086" i="90"/>
  <c r="AJ1086" i="90"/>
  <c r="AD1102" i="90"/>
  <c r="AE1102" i="90"/>
  <c r="AO1102" i="90" s="1"/>
  <c r="AC1102" i="90"/>
  <c r="AJ1102" i="90"/>
  <c r="AD1118" i="90"/>
  <c r="AE1118" i="90"/>
  <c r="AO1118" i="90" s="1"/>
  <c r="AC1118" i="90"/>
  <c r="AJ1118" i="90"/>
  <c r="AD1134" i="90"/>
  <c r="AE1134" i="90"/>
  <c r="AO1134" i="90" s="1"/>
  <c r="AC1134" i="90"/>
  <c r="AJ1134" i="90"/>
  <c r="AD1150" i="90"/>
  <c r="AE1150" i="90"/>
  <c r="AO1150" i="90" s="1"/>
  <c r="AC1150" i="90"/>
  <c r="AJ1150" i="90"/>
  <c r="AD1166" i="90"/>
  <c r="AE1166" i="90"/>
  <c r="AO1166" i="90" s="1"/>
  <c r="AC1166" i="90"/>
  <c r="AJ1166" i="90"/>
  <c r="AD1182" i="90"/>
  <c r="AE1182" i="90"/>
  <c r="AO1182" i="90" s="1"/>
  <c r="AC1182" i="90"/>
  <c r="AJ1182" i="90"/>
  <c r="AD1198" i="90"/>
  <c r="AE1198" i="90"/>
  <c r="AC1198" i="90"/>
  <c r="AJ1198" i="90"/>
  <c r="AD1214" i="90"/>
  <c r="AE1214" i="90"/>
  <c r="AO1214" i="90" s="1"/>
  <c r="AC1214" i="90"/>
  <c r="AJ1214" i="90"/>
  <c r="AD1230" i="90"/>
  <c r="AE1230" i="90"/>
  <c r="AO1230" i="90" s="1"/>
  <c r="AC1230" i="90"/>
  <c r="AJ1230" i="90"/>
  <c r="AD1246" i="90"/>
  <c r="AE1246" i="90"/>
  <c r="AC1246" i="90"/>
  <c r="AJ1246" i="90"/>
  <c r="AD1262" i="90"/>
  <c r="AE1262" i="90"/>
  <c r="AO1262" i="90" s="1"/>
  <c r="AC1262" i="90"/>
  <c r="AJ1262" i="90"/>
  <c r="AD1278" i="90"/>
  <c r="AE1278" i="90"/>
  <c r="AO1278" i="90" s="1"/>
  <c r="AC1278" i="90"/>
  <c r="AJ1278" i="90"/>
  <c r="AD1294" i="90"/>
  <c r="AC1294" i="90"/>
  <c r="AE1294" i="90"/>
  <c r="AJ1294" i="90"/>
  <c r="AD1310" i="90"/>
  <c r="AE1310" i="90"/>
  <c r="AO1310" i="90" s="1"/>
  <c r="AC1310" i="90"/>
  <c r="AJ1310" i="90"/>
  <c r="AD1326" i="90"/>
  <c r="AE1326" i="90"/>
  <c r="AO1326" i="90" s="1"/>
  <c r="AC1326" i="90"/>
  <c r="AJ1326" i="90"/>
  <c r="AD1342" i="90"/>
  <c r="AE1342" i="90"/>
  <c r="AO1342" i="90" s="1"/>
  <c r="AC1342" i="90"/>
  <c r="AJ1342" i="90"/>
  <c r="AD1358" i="90"/>
  <c r="AE1358" i="90"/>
  <c r="AO1358" i="90" s="1"/>
  <c r="AC1358" i="90"/>
  <c r="AJ1358" i="90"/>
  <c r="AD1374" i="90"/>
  <c r="AE1374" i="90"/>
  <c r="AO1374" i="90" s="1"/>
  <c r="AC1374" i="90"/>
  <c r="AJ1374" i="90"/>
  <c r="AD1390" i="90"/>
  <c r="AC1390" i="90"/>
  <c r="AE1390" i="90"/>
  <c r="AO1390" i="90" s="1"/>
  <c r="AJ1390" i="90"/>
  <c r="AD1406" i="90"/>
  <c r="AE1406" i="90"/>
  <c r="AC1406" i="90"/>
  <c r="AJ1406" i="90"/>
  <c r="AD1422" i="90"/>
  <c r="AC1422" i="90"/>
  <c r="AE1422" i="90"/>
  <c r="AO1422" i="90" s="1"/>
  <c r="AJ1422" i="90"/>
  <c r="AD1438" i="90"/>
  <c r="AE1438" i="90"/>
  <c r="AO1438" i="90" s="1"/>
  <c r="AC1438" i="90"/>
  <c r="AJ1438" i="90"/>
  <c r="AD1454" i="90"/>
  <c r="AE1454" i="90"/>
  <c r="AC1454" i="90"/>
  <c r="AJ1454" i="90"/>
  <c r="AH14" i="90"/>
  <c r="AH30" i="90"/>
  <c r="AH46" i="90"/>
  <c r="AH62" i="90"/>
  <c r="AH78" i="90"/>
  <c r="AH94" i="90"/>
  <c r="AH110" i="90"/>
  <c r="AH126" i="90"/>
  <c r="AH142" i="90"/>
  <c r="AH158" i="90"/>
  <c r="AH174" i="90"/>
  <c r="AH190" i="90"/>
  <c r="AH206" i="90"/>
  <c r="AH222" i="90"/>
  <c r="AH238" i="90"/>
  <c r="AH254" i="90"/>
  <c r="AH270" i="90"/>
  <c r="AH286" i="90"/>
  <c r="AH302" i="90"/>
  <c r="AH318" i="90"/>
  <c r="AH334" i="90"/>
  <c r="AH350" i="90"/>
  <c r="AH366" i="90"/>
  <c r="AH382" i="90"/>
  <c r="AH398" i="90"/>
  <c r="AH414" i="90"/>
  <c r="AH430" i="90"/>
  <c r="AH446" i="90"/>
  <c r="AH462" i="90"/>
  <c r="AH478" i="90"/>
  <c r="AH494" i="90"/>
  <c r="AH510" i="90"/>
  <c r="AH526" i="90"/>
  <c r="AH542" i="90"/>
  <c r="AH558" i="90"/>
  <c r="AH574" i="90"/>
  <c r="AH590" i="90"/>
  <c r="AH606" i="90"/>
  <c r="AH622" i="90"/>
  <c r="AH638" i="90"/>
  <c r="AH654" i="90"/>
  <c r="AH670" i="90"/>
  <c r="AH686" i="90"/>
  <c r="AH702" i="90"/>
  <c r="AH718" i="90"/>
  <c r="AH734" i="90"/>
  <c r="AH750" i="90"/>
  <c r="AH766" i="90"/>
  <c r="AH782" i="90"/>
  <c r="AH798" i="90"/>
  <c r="AH814" i="90"/>
  <c r="AH830" i="90"/>
  <c r="AH846" i="90"/>
  <c r="AH862" i="90"/>
  <c r="AH878" i="90"/>
  <c r="AH894" i="90"/>
  <c r="AH910" i="90"/>
  <c r="AH926" i="90"/>
  <c r="AH942" i="90"/>
  <c r="AH958" i="90"/>
  <c r="AH974" i="90"/>
  <c r="AH990" i="90"/>
  <c r="AH1006" i="90"/>
  <c r="AH1022" i="90"/>
  <c r="AH1038" i="90"/>
  <c r="AH1054" i="90"/>
  <c r="AH1070" i="90"/>
  <c r="AH1086" i="90"/>
  <c r="AH1102" i="90"/>
  <c r="AH1118" i="90"/>
  <c r="AH1134" i="90"/>
  <c r="AH1150" i="90"/>
  <c r="AH1166" i="90"/>
  <c r="AH1182" i="90"/>
  <c r="AH1198" i="90"/>
  <c r="AH1214" i="90"/>
  <c r="AH1230" i="90"/>
  <c r="AH1246" i="90"/>
  <c r="AH1262" i="90"/>
  <c r="AH1278" i="90"/>
  <c r="AH1294" i="90"/>
  <c r="AH1310" i="90"/>
  <c r="AH1326" i="90"/>
  <c r="AH1342" i="90"/>
  <c r="AH1358" i="90"/>
  <c r="AH1374" i="90"/>
  <c r="AH1390" i="90"/>
  <c r="AH1406" i="90"/>
  <c r="AH1422" i="90"/>
  <c r="AH1438" i="90"/>
  <c r="AH1454" i="90"/>
  <c r="AD15" i="90"/>
  <c r="AE15" i="90"/>
  <c r="AO15" i="90" s="1"/>
  <c r="AC15" i="90"/>
  <c r="AJ15" i="90"/>
  <c r="AD31" i="90"/>
  <c r="AE31" i="90"/>
  <c r="AO31" i="90" s="1"/>
  <c r="AC31" i="90"/>
  <c r="AJ31" i="90"/>
  <c r="AD47" i="90"/>
  <c r="AE47" i="90"/>
  <c r="AC47" i="90"/>
  <c r="AJ47" i="90"/>
  <c r="AD63" i="90"/>
  <c r="AE63" i="90"/>
  <c r="AO63" i="90" s="1"/>
  <c r="AC63" i="90"/>
  <c r="AJ63" i="90"/>
  <c r="AD79" i="90"/>
  <c r="AE79" i="90"/>
  <c r="AO79" i="90" s="1"/>
  <c r="AC79" i="90"/>
  <c r="AJ79" i="90"/>
  <c r="AD95" i="90"/>
  <c r="AE95" i="90"/>
  <c r="AO95" i="90" s="1"/>
  <c r="AC95" i="90"/>
  <c r="AJ95" i="90"/>
  <c r="AD111" i="90"/>
  <c r="AE111" i="90"/>
  <c r="AO111" i="90" s="1"/>
  <c r="AC111" i="90"/>
  <c r="AJ111" i="90"/>
  <c r="AD127" i="90"/>
  <c r="AE127" i="90"/>
  <c r="AO127" i="90" s="1"/>
  <c r="AC127" i="90"/>
  <c r="AJ127" i="90"/>
  <c r="AD143" i="90"/>
  <c r="AE143" i="90"/>
  <c r="AO143" i="90" s="1"/>
  <c r="AC143" i="90"/>
  <c r="AJ143" i="90"/>
  <c r="AD159" i="90"/>
  <c r="AE159" i="90"/>
  <c r="AC159" i="90"/>
  <c r="AJ159" i="90"/>
  <c r="AD175" i="90"/>
  <c r="AE175" i="90"/>
  <c r="AO175" i="90" s="1"/>
  <c r="AC175" i="90"/>
  <c r="AJ175" i="90"/>
  <c r="AE191" i="90"/>
  <c r="AO191" i="90" s="1"/>
  <c r="AD191" i="90"/>
  <c r="AC191" i="90"/>
  <c r="AJ191" i="90"/>
  <c r="AE207" i="90"/>
  <c r="AD207" i="90"/>
  <c r="AC207" i="90"/>
  <c r="AJ207" i="90"/>
  <c r="AE223" i="90"/>
  <c r="AO223" i="90" s="1"/>
  <c r="AD223" i="90"/>
  <c r="AC223" i="90"/>
  <c r="AJ223" i="90"/>
  <c r="AE239" i="90"/>
  <c r="AO239" i="90" s="1"/>
  <c r="AD239" i="90"/>
  <c r="AC239" i="90"/>
  <c r="AJ239" i="90"/>
  <c r="AD255" i="90"/>
  <c r="AE255" i="90"/>
  <c r="AC255" i="90"/>
  <c r="AJ255" i="90"/>
  <c r="AD271" i="90"/>
  <c r="AE271" i="90"/>
  <c r="AO271" i="90" s="1"/>
  <c r="AC271" i="90"/>
  <c r="AJ271" i="90"/>
  <c r="AD287" i="90"/>
  <c r="AE287" i="90"/>
  <c r="AO287" i="90" s="1"/>
  <c r="AC287" i="90"/>
  <c r="AJ287" i="90"/>
  <c r="AD303" i="90"/>
  <c r="AE303" i="90"/>
  <c r="AO303" i="90" s="1"/>
  <c r="AC303" i="90"/>
  <c r="AJ303" i="90"/>
  <c r="AD319" i="90"/>
  <c r="AE319" i="90"/>
  <c r="AO319" i="90" s="1"/>
  <c r="AC319" i="90"/>
  <c r="AJ319" i="90"/>
  <c r="AD335" i="90"/>
  <c r="AE335" i="90"/>
  <c r="AO335" i="90" s="1"/>
  <c r="AC335" i="90"/>
  <c r="AJ335" i="90"/>
  <c r="AD351" i="90"/>
  <c r="AE351" i="90"/>
  <c r="AO351" i="90" s="1"/>
  <c r="AC351" i="90"/>
  <c r="AJ351" i="90"/>
  <c r="AD367" i="90"/>
  <c r="AE367" i="90"/>
  <c r="AC367" i="90"/>
  <c r="AJ367" i="90"/>
  <c r="AD383" i="90"/>
  <c r="AE383" i="90"/>
  <c r="AO383" i="90" s="1"/>
  <c r="AC383" i="90"/>
  <c r="AJ383" i="90"/>
  <c r="AD399" i="90"/>
  <c r="AE399" i="90"/>
  <c r="AO399" i="90" s="1"/>
  <c r="AC399" i="90"/>
  <c r="AJ399" i="90"/>
  <c r="AE415" i="90"/>
  <c r="AD415" i="90"/>
  <c r="AC415" i="90"/>
  <c r="AJ415" i="90"/>
  <c r="AD431" i="90"/>
  <c r="AE431" i="90"/>
  <c r="AO431" i="90" s="1"/>
  <c r="AC431" i="90"/>
  <c r="AJ431" i="90"/>
  <c r="AD447" i="90"/>
  <c r="AE447" i="90"/>
  <c r="AO447" i="90" s="1"/>
  <c r="AC447" i="90"/>
  <c r="AJ447" i="90"/>
  <c r="AD463" i="90"/>
  <c r="AE463" i="90"/>
  <c r="AC463" i="90"/>
  <c r="AJ463" i="90"/>
  <c r="AD479" i="90"/>
  <c r="AE479" i="90"/>
  <c r="AO479" i="90" s="1"/>
  <c r="AC479" i="90"/>
  <c r="AJ479" i="90"/>
  <c r="AD495" i="90"/>
  <c r="AE495" i="90"/>
  <c r="AO495" i="90" s="1"/>
  <c r="AC495" i="90"/>
  <c r="AJ495" i="90"/>
  <c r="AD511" i="90"/>
  <c r="AE511" i="90"/>
  <c r="AO511" i="90" s="1"/>
  <c r="AC511" i="90"/>
  <c r="AJ511" i="90"/>
  <c r="AD527" i="90"/>
  <c r="AE527" i="90"/>
  <c r="AO527" i="90" s="1"/>
  <c r="AC527" i="90"/>
  <c r="AJ527" i="90"/>
  <c r="AD543" i="90"/>
  <c r="AE543" i="90"/>
  <c r="AO543" i="90" s="1"/>
  <c r="AC543" i="90"/>
  <c r="AJ543" i="90"/>
  <c r="AE559" i="90"/>
  <c r="AO559" i="90" s="1"/>
  <c r="AD559" i="90"/>
  <c r="AC559" i="90"/>
  <c r="AJ559" i="90"/>
  <c r="AE575" i="90"/>
  <c r="AD575" i="90"/>
  <c r="AC575" i="90"/>
  <c r="AJ575" i="90"/>
  <c r="AE591" i="90"/>
  <c r="AO591" i="90" s="1"/>
  <c r="AD591" i="90"/>
  <c r="AC591" i="90"/>
  <c r="AJ591" i="90"/>
  <c r="AD607" i="90"/>
  <c r="AE607" i="90"/>
  <c r="AO607" i="90" s="1"/>
  <c r="AC607" i="90"/>
  <c r="AJ607" i="90"/>
  <c r="AD623" i="90"/>
  <c r="AE623" i="90"/>
  <c r="AC623" i="90"/>
  <c r="AJ623" i="90"/>
  <c r="AD639" i="90"/>
  <c r="AE639" i="90"/>
  <c r="AO639" i="90" s="1"/>
  <c r="AC639" i="90"/>
  <c r="AJ639" i="90"/>
  <c r="AD655" i="90"/>
  <c r="AE655" i="90"/>
  <c r="AO655" i="90" s="1"/>
  <c r="AC655" i="90"/>
  <c r="AJ655" i="90"/>
  <c r="AD671" i="90"/>
  <c r="AE671" i="90"/>
  <c r="AC671" i="90"/>
  <c r="AJ671" i="90"/>
  <c r="AD687" i="90"/>
  <c r="AE687" i="90"/>
  <c r="AO687" i="90" s="1"/>
  <c r="AC687" i="90"/>
  <c r="AJ687" i="90"/>
  <c r="AD703" i="90"/>
  <c r="AE703" i="90"/>
  <c r="AO703" i="90" s="1"/>
  <c r="AC703" i="90"/>
  <c r="AJ703" i="90"/>
  <c r="AD719" i="90"/>
  <c r="AE719" i="90"/>
  <c r="AO719" i="90" s="1"/>
  <c r="AC719" i="90"/>
  <c r="AJ719" i="90"/>
  <c r="AD735" i="90"/>
  <c r="AE735" i="90"/>
  <c r="AO735" i="90" s="1"/>
  <c r="AC735" i="90"/>
  <c r="AJ735" i="90"/>
  <c r="AD751" i="90"/>
  <c r="AE751" i="90"/>
  <c r="AO751" i="90" s="1"/>
  <c r="AC751" i="90"/>
  <c r="AJ751" i="90"/>
  <c r="AD767" i="90"/>
  <c r="AE767" i="90"/>
  <c r="AO767" i="90" s="1"/>
  <c r="AC767" i="90"/>
  <c r="AJ767" i="90"/>
  <c r="AD783" i="90"/>
  <c r="AE783" i="90"/>
  <c r="AC783" i="90"/>
  <c r="AJ783" i="90"/>
  <c r="AD799" i="90"/>
  <c r="AE799" i="90"/>
  <c r="AO799" i="90" s="1"/>
  <c r="AC799" i="90"/>
  <c r="AJ799" i="90"/>
  <c r="AD815" i="90"/>
  <c r="AE815" i="90"/>
  <c r="AO815" i="90" s="1"/>
  <c r="AC815" i="90"/>
  <c r="AJ815" i="90"/>
  <c r="AD831" i="90"/>
  <c r="AE831" i="90"/>
  <c r="AC831" i="90"/>
  <c r="AJ831" i="90"/>
  <c r="AD847" i="90"/>
  <c r="AE847" i="90"/>
  <c r="AO847" i="90" s="1"/>
  <c r="AC847" i="90"/>
  <c r="AJ847" i="90"/>
  <c r="AD863" i="90"/>
  <c r="AE863" i="90"/>
  <c r="AO863" i="90" s="1"/>
  <c r="AC863" i="90"/>
  <c r="AJ863" i="90"/>
  <c r="AD879" i="90"/>
  <c r="AE879" i="90"/>
  <c r="AC879" i="90"/>
  <c r="AJ879" i="90"/>
  <c r="AD895" i="90"/>
  <c r="AE895" i="90"/>
  <c r="AO895" i="90" s="1"/>
  <c r="AC895" i="90"/>
  <c r="AJ895" i="90"/>
  <c r="AE911" i="90"/>
  <c r="AO911" i="90" s="1"/>
  <c r="AD911" i="90"/>
  <c r="AC911" i="90"/>
  <c r="AJ911" i="90"/>
  <c r="AE927" i="90"/>
  <c r="AO927" i="90" s="1"/>
  <c r="AD927" i="90"/>
  <c r="AC927" i="90"/>
  <c r="AJ927" i="90"/>
  <c r="AE943" i="90"/>
  <c r="AO943" i="90" s="1"/>
  <c r="AD943" i="90"/>
  <c r="AC943" i="90"/>
  <c r="AJ943" i="90"/>
  <c r="AE959" i="90"/>
  <c r="AO959" i="90" s="1"/>
  <c r="AD959" i="90"/>
  <c r="AC959" i="90"/>
  <c r="AJ959" i="90"/>
  <c r="AE975" i="90"/>
  <c r="AO975" i="90" s="1"/>
  <c r="AD975" i="90"/>
  <c r="AC975" i="90"/>
  <c r="AJ975" i="90"/>
  <c r="AE991" i="90"/>
  <c r="AD991" i="90"/>
  <c r="AC991" i="90"/>
  <c r="AJ991" i="90"/>
  <c r="AE1007" i="90"/>
  <c r="AO1007" i="90" s="1"/>
  <c r="AD1007" i="90"/>
  <c r="AC1007" i="90"/>
  <c r="AJ1007" i="90"/>
  <c r="AE1023" i="90"/>
  <c r="AO1023" i="90" s="1"/>
  <c r="AD1023" i="90"/>
  <c r="AC1023" i="90"/>
  <c r="AJ1023" i="90"/>
  <c r="AE1039" i="90"/>
  <c r="AD1039" i="90"/>
  <c r="AC1039" i="90"/>
  <c r="AJ1039" i="90"/>
  <c r="AE1055" i="90"/>
  <c r="AO1055" i="90" s="1"/>
  <c r="AD1055" i="90"/>
  <c r="AC1055" i="90"/>
  <c r="AJ1055" i="90"/>
  <c r="AE1071" i="90"/>
  <c r="AO1071" i="90" s="1"/>
  <c r="AD1071" i="90"/>
  <c r="AC1071" i="90"/>
  <c r="AJ1071" i="90"/>
  <c r="AE1087" i="90"/>
  <c r="AD1087" i="90"/>
  <c r="AC1087" i="90"/>
  <c r="AJ1087" i="90"/>
  <c r="AE1103" i="90"/>
  <c r="AO1103" i="90" s="1"/>
  <c r="AD1103" i="90"/>
  <c r="AC1103" i="90"/>
  <c r="AJ1103" i="90"/>
  <c r="AE1119" i="90"/>
  <c r="AO1119" i="90" s="1"/>
  <c r="AD1119" i="90"/>
  <c r="AC1119" i="90"/>
  <c r="AJ1119" i="90"/>
  <c r="AE1135" i="90"/>
  <c r="AO1135" i="90" s="1"/>
  <c r="AD1135" i="90"/>
  <c r="AC1135" i="90"/>
  <c r="AJ1135" i="90"/>
  <c r="AE1151" i="90"/>
  <c r="AO1151" i="90" s="1"/>
  <c r="AD1151" i="90"/>
  <c r="AC1151" i="90"/>
  <c r="AJ1151" i="90"/>
  <c r="AE1167" i="90"/>
  <c r="AO1167" i="90" s="1"/>
  <c r="AD1167" i="90"/>
  <c r="AC1167" i="90"/>
  <c r="AJ1167" i="90"/>
  <c r="AE1183" i="90"/>
  <c r="AO1183" i="90" s="1"/>
  <c r="AD1183" i="90"/>
  <c r="AC1183" i="90"/>
  <c r="AJ1183" i="90"/>
  <c r="AE1199" i="90"/>
  <c r="AD1199" i="90"/>
  <c r="AC1199" i="90"/>
  <c r="AJ1199" i="90"/>
  <c r="AE1215" i="90"/>
  <c r="AO1215" i="90" s="1"/>
  <c r="AD1215" i="90"/>
  <c r="AC1215" i="90"/>
  <c r="AJ1215" i="90"/>
  <c r="AD1231" i="90"/>
  <c r="AE1231" i="90"/>
  <c r="AO1231" i="90" s="1"/>
  <c r="AC1231" i="90"/>
  <c r="AJ1231" i="90"/>
  <c r="AD1247" i="90"/>
  <c r="AE1247" i="90"/>
  <c r="AC1247" i="90"/>
  <c r="AJ1247" i="90"/>
  <c r="AD1263" i="90"/>
  <c r="AE1263" i="90"/>
  <c r="AO1263" i="90" s="1"/>
  <c r="AC1263" i="90"/>
  <c r="AJ1263" i="90"/>
  <c r="AD1279" i="90"/>
  <c r="AE1279" i="90"/>
  <c r="AO1279" i="90" s="1"/>
  <c r="AC1279" i="90"/>
  <c r="AJ1279" i="90"/>
  <c r="AD1295" i="90"/>
  <c r="AE1295" i="90"/>
  <c r="AC1295" i="90"/>
  <c r="AJ1295" i="90"/>
  <c r="AD1311" i="90"/>
  <c r="AE1311" i="90"/>
  <c r="AO1311" i="90" s="1"/>
  <c r="AC1311" i="90"/>
  <c r="AJ1311" i="90"/>
  <c r="AD1327" i="90"/>
  <c r="AE1327" i="90"/>
  <c r="AO1327" i="90" s="1"/>
  <c r="AC1327" i="90"/>
  <c r="AJ1327" i="90"/>
  <c r="AD1343" i="90"/>
  <c r="AE1343" i="90"/>
  <c r="AO1343" i="90" s="1"/>
  <c r="AC1343" i="90"/>
  <c r="AJ1343" i="90"/>
  <c r="AD1359" i="90"/>
  <c r="AE1359" i="90"/>
  <c r="AO1359" i="90" s="1"/>
  <c r="AC1359" i="90"/>
  <c r="AJ1359" i="90"/>
  <c r="AD1375" i="90"/>
  <c r="AE1375" i="90"/>
  <c r="AO1375" i="90" s="1"/>
  <c r="AC1375" i="90"/>
  <c r="AJ1375" i="90"/>
  <c r="AD1391" i="90"/>
  <c r="AE1391" i="90"/>
  <c r="AO1391" i="90" s="1"/>
  <c r="AC1391" i="90"/>
  <c r="AJ1391" i="90"/>
  <c r="AD1407" i="90"/>
  <c r="AE1407" i="90"/>
  <c r="AC1407" i="90"/>
  <c r="AJ1407" i="90"/>
  <c r="AD1423" i="90"/>
  <c r="AE1423" i="90"/>
  <c r="AO1423" i="90" s="1"/>
  <c r="AC1423" i="90"/>
  <c r="AJ1423" i="90"/>
  <c r="AD1439" i="90"/>
  <c r="AE1439" i="90"/>
  <c r="AO1439" i="90" s="1"/>
  <c r="AC1439" i="90"/>
  <c r="AJ1439" i="90"/>
  <c r="AD1455" i="90"/>
  <c r="AE1455" i="90"/>
  <c r="AC1455" i="90"/>
  <c r="AJ1455" i="90"/>
  <c r="AH15" i="90"/>
  <c r="AH31" i="90"/>
  <c r="AH47" i="90"/>
  <c r="AH63" i="90"/>
  <c r="AH79" i="90"/>
  <c r="AH95" i="90"/>
  <c r="AH111" i="90"/>
  <c r="AH127" i="90"/>
  <c r="AH143" i="90"/>
  <c r="AH159" i="90"/>
  <c r="AH175" i="90"/>
  <c r="AH191" i="90"/>
  <c r="AH207" i="90"/>
  <c r="AH223" i="90"/>
  <c r="AH239" i="90"/>
  <c r="AH255" i="90"/>
  <c r="AH271" i="90"/>
  <c r="AH287" i="90"/>
  <c r="AH303" i="90"/>
  <c r="AH319" i="90"/>
  <c r="AH335" i="90"/>
  <c r="AH351" i="90"/>
  <c r="AH367" i="90"/>
  <c r="AH383" i="90"/>
  <c r="AH399" i="90"/>
  <c r="AH415" i="90"/>
  <c r="AH431" i="90"/>
  <c r="AH447" i="90"/>
  <c r="AH463" i="90"/>
  <c r="AH479" i="90"/>
  <c r="AH495" i="90"/>
  <c r="AH511" i="90"/>
  <c r="AH527" i="90"/>
  <c r="AH543" i="90"/>
  <c r="AH559" i="90"/>
  <c r="AH575" i="90"/>
  <c r="AH591" i="90"/>
  <c r="AH607" i="90"/>
  <c r="AH623" i="90"/>
  <c r="AH639" i="90"/>
  <c r="AH655" i="90"/>
  <c r="AH671" i="90"/>
  <c r="AH687" i="90"/>
  <c r="AH703" i="90"/>
  <c r="AH719" i="90"/>
  <c r="AH735" i="90"/>
  <c r="AH751" i="90"/>
  <c r="AH767" i="90"/>
  <c r="AH783" i="90"/>
  <c r="AH799" i="90"/>
  <c r="AH815" i="90"/>
  <c r="AH831" i="90"/>
  <c r="AH847" i="90"/>
  <c r="AH863" i="90"/>
  <c r="AH879" i="90"/>
  <c r="AH895" i="90"/>
  <c r="AH911" i="90"/>
  <c r="AH927" i="90"/>
  <c r="AH943" i="90"/>
  <c r="AH959" i="90"/>
  <c r="AH975" i="90"/>
  <c r="AH991" i="90"/>
  <c r="AH1007" i="90"/>
  <c r="AH1023" i="90"/>
  <c r="AH1039" i="90"/>
  <c r="AH1055" i="90"/>
  <c r="AH1071" i="90"/>
  <c r="AH1087" i="90"/>
  <c r="AH1103" i="90"/>
  <c r="AH1119" i="90"/>
  <c r="AH1135" i="90"/>
  <c r="AH1151" i="90"/>
  <c r="AH1167" i="90"/>
  <c r="AH1183" i="90"/>
  <c r="AH1199" i="90"/>
  <c r="AH1215" i="90"/>
  <c r="AH1231" i="90"/>
  <c r="AH1247" i="90"/>
  <c r="AH1263" i="90"/>
  <c r="AH1279" i="90"/>
  <c r="AH1295" i="90"/>
  <c r="AH1311" i="90"/>
  <c r="AH1327" i="90"/>
  <c r="AH1343" i="90"/>
  <c r="AH1359" i="90"/>
  <c r="AH1375" i="90"/>
  <c r="AH1391" i="90"/>
  <c r="AH1407" i="90"/>
  <c r="AH1423" i="90"/>
  <c r="AH1439" i="90"/>
  <c r="AH1455" i="90"/>
  <c r="AD16" i="90"/>
  <c r="AE16" i="90"/>
  <c r="AO16" i="90" s="1"/>
  <c r="AC16" i="90"/>
  <c r="AJ16" i="90"/>
  <c r="AD32" i="90"/>
  <c r="AE32" i="90"/>
  <c r="AO32" i="90" s="1"/>
  <c r="AC32" i="90"/>
  <c r="AJ32" i="90"/>
  <c r="AD48" i="90"/>
  <c r="AE48" i="90"/>
  <c r="AC48" i="90"/>
  <c r="AJ48" i="90"/>
  <c r="AD64" i="90"/>
  <c r="AE64" i="90"/>
  <c r="AO64" i="90" s="1"/>
  <c r="AC64" i="90"/>
  <c r="AJ64" i="90"/>
  <c r="AD80" i="90"/>
  <c r="AE80" i="90"/>
  <c r="AO80" i="90" s="1"/>
  <c r="AC80" i="90"/>
  <c r="AJ80" i="90"/>
  <c r="AD96" i="90"/>
  <c r="AE96" i="90"/>
  <c r="AO96" i="90" s="1"/>
  <c r="AC96" i="90"/>
  <c r="AJ96" i="90"/>
  <c r="AD112" i="90"/>
  <c r="AE112" i="90"/>
  <c r="AO112" i="90" s="1"/>
  <c r="AC112" i="90"/>
  <c r="AJ112" i="90"/>
  <c r="AD128" i="90"/>
  <c r="AE128" i="90"/>
  <c r="AO128" i="90" s="1"/>
  <c r="AC128" i="90"/>
  <c r="AJ128" i="90"/>
  <c r="AD144" i="90"/>
  <c r="AE144" i="90"/>
  <c r="AO144" i="90" s="1"/>
  <c r="AC144" i="90"/>
  <c r="AJ144" i="90"/>
  <c r="AD160" i="90"/>
  <c r="AE160" i="90"/>
  <c r="AC160" i="90"/>
  <c r="AJ160" i="90"/>
  <c r="AD176" i="90"/>
  <c r="AE176" i="90"/>
  <c r="AO176" i="90" s="1"/>
  <c r="AC176" i="90"/>
  <c r="AJ176" i="90"/>
  <c r="AD192" i="90"/>
  <c r="AE192" i="90"/>
  <c r="AO192" i="90" s="1"/>
  <c r="AC192" i="90"/>
  <c r="AJ192" i="90"/>
  <c r="AE208" i="90"/>
  <c r="AD208" i="90"/>
  <c r="AC208" i="90"/>
  <c r="AJ208" i="90"/>
  <c r="AE224" i="90"/>
  <c r="AO224" i="90" s="1"/>
  <c r="AD224" i="90"/>
  <c r="AC224" i="90"/>
  <c r="AJ224" i="90"/>
  <c r="AE240" i="90"/>
  <c r="AO240" i="90" s="1"/>
  <c r="AD240" i="90"/>
  <c r="AC240" i="90"/>
  <c r="AJ240" i="90"/>
  <c r="AE256" i="90"/>
  <c r="AD256" i="90"/>
  <c r="AC256" i="90"/>
  <c r="AJ256" i="90"/>
  <c r="AE272" i="90"/>
  <c r="AO272" i="90" s="1"/>
  <c r="AD272" i="90"/>
  <c r="AC272" i="90"/>
  <c r="AJ272" i="90"/>
  <c r="AE288" i="90"/>
  <c r="AO288" i="90" s="1"/>
  <c r="AD288" i="90"/>
  <c r="AC288" i="90"/>
  <c r="AJ288" i="90"/>
  <c r="AE304" i="90"/>
  <c r="AO304" i="90" s="1"/>
  <c r="AD304" i="90"/>
  <c r="AC304" i="90"/>
  <c r="AJ304" i="90"/>
  <c r="AE320" i="90"/>
  <c r="AO320" i="90" s="1"/>
  <c r="AD320" i="90"/>
  <c r="AC320" i="90"/>
  <c r="AJ320" i="90"/>
  <c r="AE336" i="90"/>
  <c r="AO336" i="90" s="1"/>
  <c r="AD336" i="90"/>
  <c r="AC336" i="90"/>
  <c r="AJ336" i="90"/>
  <c r="AE352" i="90"/>
  <c r="AO352" i="90" s="1"/>
  <c r="AD352" i="90"/>
  <c r="AC352" i="90"/>
  <c r="AJ352" i="90"/>
  <c r="AE368" i="90"/>
  <c r="AD368" i="90"/>
  <c r="AC368" i="90"/>
  <c r="AJ368" i="90"/>
  <c r="AE384" i="90"/>
  <c r="AO384" i="90" s="1"/>
  <c r="AD384" i="90"/>
  <c r="AC384" i="90"/>
  <c r="AJ384" i="90"/>
  <c r="AE400" i="90"/>
  <c r="AO400" i="90" s="1"/>
  <c r="AD400" i="90"/>
  <c r="AC400" i="90"/>
  <c r="AJ400" i="90"/>
  <c r="AE416" i="90"/>
  <c r="AD416" i="90"/>
  <c r="AC416" i="90"/>
  <c r="AJ416" i="90"/>
  <c r="AD432" i="90"/>
  <c r="AE432" i="90"/>
  <c r="AO432" i="90" s="1"/>
  <c r="AC432" i="90"/>
  <c r="AJ432" i="90"/>
  <c r="AD448" i="90"/>
  <c r="AE448" i="90"/>
  <c r="AO448" i="90" s="1"/>
  <c r="AC448" i="90"/>
  <c r="AJ448" i="90"/>
  <c r="AD464" i="90"/>
  <c r="AE464" i="90"/>
  <c r="AC464" i="90"/>
  <c r="AJ464" i="90"/>
  <c r="AD480" i="90"/>
  <c r="AE480" i="90"/>
  <c r="AO480" i="90" s="1"/>
  <c r="AC480" i="90"/>
  <c r="AJ480" i="90"/>
  <c r="AD496" i="90"/>
  <c r="AE496" i="90"/>
  <c r="AO496" i="90" s="1"/>
  <c r="AC496" i="90"/>
  <c r="AJ496" i="90"/>
  <c r="AD512" i="90"/>
  <c r="AE512" i="90"/>
  <c r="AO512" i="90" s="1"/>
  <c r="AC512" i="90"/>
  <c r="AJ512" i="90"/>
  <c r="AD528" i="90"/>
  <c r="AE528" i="90"/>
  <c r="AO528" i="90" s="1"/>
  <c r="AC528" i="90"/>
  <c r="AJ528" i="90"/>
  <c r="AD544" i="90"/>
  <c r="AE544" i="90"/>
  <c r="AO544" i="90" s="1"/>
  <c r="AC544" i="90"/>
  <c r="AJ544" i="90"/>
  <c r="AD560" i="90"/>
  <c r="AE560" i="90"/>
  <c r="AO560" i="90" s="1"/>
  <c r="AC560" i="90"/>
  <c r="AJ560" i="90"/>
  <c r="AD576" i="90"/>
  <c r="AE576" i="90"/>
  <c r="AC576" i="90"/>
  <c r="AJ576" i="90"/>
  <c r="AD592" i="90"/>
  <c r="AE592" i="90"/>
  <c r="AO592" i="90" s="1"/>
  <c r="AC592" i="90"/>
  <c r="AJ592" i="90"/>
  <c r="AE608" i="90"/>
  <c r="AO608" i="90" s="1"/>
  <c r="AD608" i="90"/>
  <c r="AC608" i="90"/>
  <c r="AJ608" i="90"/>
  <c r="AE624" i="90"/>
  <c r="AD624" i="90"/>
  <c r="AC624" i="90"/>
  <c r="AJ624" i="90"/>
  <c r="AE640" i="90"/>
  <c r="AO640" i="90" s="1"/>
  <c r="AD640" i="90"/>
  <c r="AC640" i="90"/>
  <c r="AJ640" i="90"/>
  <c r="AE656" i="90"/>
  <c r="AO656" i="90" s="1"/>
  <c r="AD656" i="90"/>
  <c r="AC656" i="90"/>
  <c r="AJ656" i="90"/>
  <c r="AE672" i="90"/>
  <c r="AD672" i="90"/>
  <c r="AC672" i="90"/>
  <c r="AJ672" i="90"/>
  <c r="AE688" i="90"/>
  <c r="AO688" i="90" s="1"/>
  <c r="AD688" i="90"/>
  <c r="AC688" i="90"/>
  <c r="AJ688" i="90"/>
  <c r="AE704" i="90"/>
  <c r="AO704" i="90" s="1"/>
  <c r="AD704" i="90"/>
  <c r="AC704" i="90"/>
  <c r="AJ704" i="90"/>
  <c r="AE720" i="90"/>
  <c r="AO720" i="90" s="1"/>
  <c r="AD720" i="90"/>
  <c r="AC720" i="90"/>
  <c r="AJ720" i="90"/>
  <c r="AE736" i="90"/>
  <c r="AO736" i="90" s="1"/>
  <c r="AD736" i="90"/>
  <c r="AC736" i="90"/>
  <c r="AJ736" i="90"/>
  <c r="AE752" i="90"/>
  <c r="AO752" i="90" s="1"/>
  <c r="AD752" i="90"/>
  <c r="AC752" i="90"/>
  <c r="AJ752" i="90"/>
  <c r="AE768" i="90"/>
  <c r="AO768" i="90" s="1"/>
  <c r="AD768" i="90"/>
  <c r="AC768" i="90"/>
  <c r="AJ768" i="90"/>
  <c r="AE784" i="90"/>
  <c r="AD784" i="90"/>
  <c r="AC784" i="90"/>
  <c r="AJ784" i="90"/>
  <c r="AE800" i="90"/>
  <c r="AO800" i="90" s="1"/>
  <c r="AD800" i="90"/>
  <c r="AC800" i="90"/>
  <c r="AJ800" i="90"/>
  <c r="AE816" i="90"/>
  <c r="AO816" i="90" s="1"/>
  <c r="AD816" i="90"/>
  <c r="AC816" i="90"/>
  <c r="AJ816" i="90"/>
  <c r="AE832" i="90"/>
  <c r="AD832" i="90"/>
  <c r="AC832" i="90"/>
  <c r="AJ832" i="90"/>
  <c r="AE848" i="90"/>
  <c r="AO848" i="90" s="1"/>
  <c r="AC848" i="90"/>
  <c r="AD848" i="90"/>
  <c r="AJ848" i="90"/>
  <c r="AE864" i="90"/>
  <c r="AO864" i="90" s="1"/>
  <c r="AD864" i="90"/>
  <c r="AC864" i="90"/>
  <c r="AJ864" i="90"/>
  <c r="AE880" i="90"/>
  <c r="AC880" i="90"/>
  <c r="AD880" i="90"/>
  <c r="AJ880" i="90"/>
  <c r="AE896" i="90"/>
  <c r="AO896" i="90" s="1"/>
  <c r="AD896" i="90"/>
  <c r="AC896" i="90"/>
  <c r="AJ896" i="90"/>
  <c r="AE912" i="90"/>
  <c r="AO912" i="90" s="1"/>
  <c r="AD912" i="90"/>
  <c r="AC912" i="90"/>
  <c r="AJ912" i="90"/>
  <c r="AE928" i="90"/>
  <c r="AO928" i="90" s="1"/>
  <c r="AD928" i="90"/>
  <c r="AC928" i="90"/>
  <c r="AJ928" i="90"/>
  <c r="AE944" i="90"/>
  <c r="AO944" i="90" s="1"/>
  <c r="AD944" i="90"/>
  <c r="AC944" i="90"/>
  <c r="AJ944" i="90"/>
  <c r="AE960" i="90"/>
  <c r="AO960" i="90" s="1"/>
  <c r="AD960" i="90"/>
  <c r="AC960" i="90"/>
  <c r="AJ960" i="90"/>
  <c r="AE976" i="90"/>
  <c r="AO976" i="90" s="1"/>
  <c r="AD976" i="90"/>
  <c r="AC976" i="90"/>
  <c r="AJ976" i="90"/>
  <c r="AE992" i="90"/>
  <c r="AD992" i="90"/>
  <c r="AC992" i="90"/>
  <c r="AJ992" i="90"/>
  <c r="AE1008" i="90"/>
  <c r="AO1008" i="90" s="1"/>
  <c r="AD1008" i="90"/>
  <c r="AC1008" i="90"/>
  <c r="AJ1008" i="90"/>
  <c r="AE1024" i="90"/>
  <c r="AO1024" i="90" s="1"/>
  <c r="AC1024" i="90"/>
  <c r="AD1024" i="90"/>
  <c r="AJ1024" i="90"/>
  <c r="AE1040" i="90"/>
  <c r="AD1040" i="90"/>
  <c r="AC1040" i="90"/>
  <c r="AJ1040" i="90"/>
  <c r="AE1056" i="90"/>
  <c r="AO1056" i="90" s="1"/>
  <c r="AC1056" i="90"/>
  <c r="AD1056" i="90"/>
  <c r="AJ1056" i="90"/>
  <c r="AE1072" i="90"/>
  <c r="AO1072" i="90" s="1"/>
  <c r="AD1072" i="90"/>
  <c r="AC1072" i="90"/>
  <c r="AJ1072" i="90"/>
  <c r="AE1088" i="90"/>
  <c r="AD1088" i="90"/>
  <c r="AC1088" i="90"/>
  <c r="AJ1088" i="90"/>
  <c r="AE1104" i="90"/>
  <c r="AO1104" i="90" s="1"/>
  <c r="AD1104" i="90"/>
  <c r="AC1104" i="90"/>
  <c r="AJ1104" i="90"/>
  <c r="AE1120" i="90"/>
  <c r="AO1120" i="90" s="1"/>
  <c r="AD1120" i="90"/>
  <c r="AC1120" i="90"/>
  <c r="AJ1120" i="90"/>
  <c r="AE1136" i="90"/>
  <c r="AO1136" i="90" s="1"/>
  <c r="AD1136" i="90"/>
  <c r="AC1136" i="90"/>
  <c r="AJ1136" i="90"/>
  <c r="AE1152" i="90"/>
  <c r="AO1152" i="90" s="1"/>
  <c r="AC1152" i="90"/>
  <c r="AD1152" i="90"/>
  <c r="AJ1152" i="90"/>
  <c r="AE1168" i="90"/>
  <c r="AO1168" i="90" s="1"/>
  <c r="AD1168" i="90"/>
  <c r="AC1168" i="90"/>
  <c r="AJ1168" i="90"/>
  <c r="AE1184" i="90"/>
  <c r="AO1184" i="90" s="1"/>
  <c r="AC1184" i="90"/>
  <c r="AD1184" i="90"/>
  <c r="AJ1184" i="90"/>
  <c r="AE1200" i="90"/>
  <c r="AD1200" i="90"/>
  <c r="AC1200" i="90"/>
  <c r="AJ1200" i="90"/>
  <c r="AE1216" i="90"/>
  <c r="AO1216" i="90" s="1"/>
  <c r="AD1216" i="90"/>
  <c r="AC1216" i="90"/>
  <c r="AJ1216" i="90"/>
  <c r="AD1232" i="90"/>
  <c r="AC1232" i="90"/>
  <c r="AE1232" i="90"/>
  <c r="AO1232" i="90" s="1"/>
  <c r="AJ1232" i="90"/>
  <c r="AD1248" i="90"/>
  <c r="AC1248" i="90"/>
  <c r="AE1248" i="90"/>
  <c r="AJ1248" i="90"/>
  <c r="AD1264" i="90"/>
  <c r="AC1264" i="90"/>
  <c r="AE1264" i="90"/>
  <c r="AO1264" i="90" s="1"/>
  <c r="AJ1264" i="90"/>
  <c r="AD1280" i="90"/>
  <c r="AC1280" i="90"/>
  <c r="AE1280" i="90"/>
  <c r="AO1280" i="90" s="1"/>
  <c r="AJ1280" i="90"/>
  <c r="AD1296" i="90"/>
  <c r="AE1296" i="90"/>
  <c r="AC1296" i="90"/>
  <c r="AJ1296" i="90"/>
  <c r="AD1312" i="90"/>
  <c r="AE1312" i="90"/>
  <c r="AO1312" i="90" s="1"/>
  <c r="AC1312" i="90"/>
  <c r="AJ1312" i="90"/>
  <c r="AD1328" i="90"/>
  <c r="AE1328" i="90"/>
  <c r="AO1328" i="90" s="1"/>
  <c r="AC1328" i="90"/>
  <c r="AJ1328" i="90"/>
  <c r="AD1344" i="90"/>
  <c r="AE1344" i="90"/>
  <c r="AO1344" i="90" s="1"/>
  <c r="AC1344" i="90"/>
  <c r="AJ1344" i="90"/>
  <c r="AD1360" i="90"/>
  <c r="AE1360" i="90"/>
  <c r="AO1360" i="90" s="1"/>
  <c r="AC1360" i="90"/>
  <c r="AJ1360" i="90"/>
  <c r="AD1376" i="90"/>
  <c r="AE1376" i="90"/>
  <c r="AO1376" i="90" s="1"/>
  <c r="AC1376" i="90"/>
  <c r="AJ1376" i="90"/>
  <c r="AD1392" i="90"/>
  <c r="AE1392" i="90"/>
  <c r="AO1392" i="90" s="1"/>
  <c r="AC1392" i="90"/>
  <c r="AJ1392" i="90"/>
  <c r="AD1408" i="90"/>
  <c r="AE1408" i="90"/>
  <c r="AC1408" i="90"/>
  <c r="AJ1408" i="90"/>
  <c r="AD1424" i="90"/>
  <c r="AE1424" i="90"/>
  <c r="AO1424" i="90" s="1"/>
  <c r="AC1424" i="90"/>
  <c r="AJ1424" i="90"/>
  <c r="AD1440" i="90"/>
  <c r="AE1440" i="90"/>
  <c r="AO1440" i="90" s="1"/>
  <c r="AC1440" i="90"/>
  <c r="AJ1440" i="90"/>
  <c r="AD1456" i="90"/>
  <c r="AE1456" i="90"/>
  <c r="AC1456" i="90"/>
  <c r="AJ1456" i="90"/>
  <c r="AH16" i="90"/>
  <c r="AH32" i="90"/>
  <c r="AH48" i="90"/>
  <c r="AH64" i="90"/>
  <c r="AH80" i="90"/>
  <c r="AH96" i="90"/>
  <c r="AH112" i="90"/>
  <c r="AH128" i="90"/>
  <c r="AH144" i="90"/>
  <c r="AH160" i="90"/>
  <c r="AH176" i="90"/>
  <c r="AH192" i="90"/>
  <c r="AH208" i="90"/>
  <c r="AH224" i="90"/>
  <c r="AH240" i="90"/>
  <c r="AH256" i="90"/>
  <c r="AH272" i="90"/>
  <c r="AH288" i="90"/>
  <c r="AH304" i="90"/>
  <c r="AH320" i="90"/>
  <c r="AH336" i="90"/>
  <c r="AH352" i="90"/>
  <c r="AH368" i="90"/>
  <c r="AH384" i="90"/>
  <c r="AH400" i="90"/>
  <c r="AH416" i="90"/>
  <c r="AH432" i="90"/>
  <c r="AH448" i="90"/>
  <c r="AH464" i="90"/>
  <c r="AH480" i="90"/>
  <c r="AH496" i="90"/>
  <c r="AH512" i="90"/>
  <c r="AH528" i="90"/>
  <c r="AH544" i="90"/>
  <c r="AH560" i="90"/>
  <c r="AH576" i="90"/>
  <c r="AH592" i="90"/>
  <c r="AH608" i="90"/>
  <c r="AH624" i="90"/>
  <c r="AH640" i="90"/>
  <c r="AH656" i="90"/>
  <c r="AH672" i="90"/>
  <c r="AH688" i="90"/>
  <c r="AH704" i="90"/>
  <c r="AH720" i="90"/>
  <c r="AH736" i="90"/>
  <c r="AH752" i="90"/>
  <c r="AH768" i="90"/>
  <c r="AH784" i="90"/>
  <c r="AH800" i="90"/>
  <c r="AH816" i="90"/>
  <c r="AH832" i="90"/>
  <c r="AH848" i="90"/>
  <c r="AH864" i="90"/>
  <c r="AH880" i="90"/>
  <c r="AH896" i="90"/>
  <c r="AH912" i="90"/>
  <c r="AH928" i="90"/>
  <c r="AH944" i="90"/>
  <c r="AH960" i="90"/>
  <c r="AH976" i="90"/>
  <c r="AH992" i="90"/>
  <c r="AH1008" i="90"/>
  <c r="AH1024" i="90"/>
  <c r="AH1040" i="90"/>
  <c r="AH1056" i="90"/>
  <c r="AH1072" i="90"/>
  <c r="AH1088" i="90"/>
  <c r="AH1104" i="90"/>
  <c r="AH1120" i="90"/>
  <c r="AH1136" i="90"/>
  <c r="AH1152" i="90"/>
  <c r="AH1168" i="90"/>
  <c r="AH1184" i="90"/>
  <c r="AH1200" i="90"/>
  <c r="AH1216" i="90"/>
  <c r="AH1232" i="90"/>
  <c r="AH1248" i="90"/>
  <c r="AH1264" i="90"/>
  <c r="AH1280" i="90"/>
  <c r="AH1296" i="90"/>
  <c r="AH1312" i="90"/>
  <c r="AH1328" i="90"/>
  <c r="AH1344" i="90"/>
  <c r="AH1360" i="90"/>
  <c r="AH1376" i="90"/>
  <c r="AH1392" i="90"/>
  <c r="AH1408" i="90"/>
  <c r="AH1424" i="90"/>
  <c r="AH1440" i="90"/>
  <c r="AH1456" i="90"/>
  <c r="AD493" i="90"/>
  <c r="AE493" i="90"/>
  <c r="AO493" i="90" s="1"/>
  <c r="AC493" i="90"/>
  <c r="AJ493" i="90"/>
  <c r="AD557" i="90"/>
  <c r="AE557" i="90"/>
  <c r="AO557" i="90" s="1"/>
  <c r="AC557" i="90"/>
  <c r="AJ557" i="90"/>
  <c r="AD621" i="90"/>
  <c r="AE621" i="90"/>
  <c r="AC621" i="90"/>
  <c r="AJ621" i="90"/>
  <c r="AD685" i="90"/>
  <c r="AE685" i="90"/>
  <c r="AO685" i="90" s="1"/>
  <c r="AC685" i="90"/>
  <c r="AJ685" i="90"/>
  <c r="AD749" i="90"/>
  <c r="AE749" i="90"/>
  <c r="AO749" i="90" s="1"/>
  <c r="AC749" i="90"/>
  <c r="AJ749" i="90"/>
  <c r="AD813" i="90"/>
  <c r="AE813" i="90"/>
  <c r="AO813" i="90" s="1"/>
  <c r="AC813" i="90"/>
  <c r="AJ813" i="90"/>
  <c r="AD877" i="90"/>
  <c r="AE877" i="90"/>
  <c r="AC877" i="90"/>
  <c r="AJ877" i="90"/>
  <c r="AE941" i="90"/>
  <c r="AO941" i="90" s="1"/>
  <c r="AD941" i="90"/>
  <c r="AC941" i="90"/>
  <c r="AJ941" i="90"/>
  <c r="AE1005" i="90"/>
  <c r="AO1005" i="90" s="1"/>
  <c r="AD1005" i="90"/>
  <c r="AC1005" i="90"/>
  <c r="AJ1005" i="90"/>
  <c r="AE1069" i="90"/>
  <c r="AO1069" i="90" s="1"/>
  <c r="AD1069" i="90"/>
  <c r="AC1069" i="90"/>
  <c r="AJ1069" i="90"/>
  <c r="AE1133" i="90"/>
  <c r="AO1133" i="90" s="1"/>
  <c r="AD1133" i="90"/>
  <c r="AC1133" i="90"/>
  <c r="AJ1133" i="90"/>
  <c r="AE1197" i="90"/>
  <c r="AD1197" i="90"/>
  <c r="AC1197" i="90"/>
  <c r="AJ1197" i="90"/>
  <c r="AD1261" i="90"/>
  <c r="AE1261" i="90"/>
  <c r="AO1261" i="90" s="1"/>
  <c r="AC1261" i="90"/>
  <c r="AJ1261" i="90"/>
  <c r="AD1325" i="90"/>
  <c r="AE1325" i="90"/>
  <c r="AO1325" i="90" s="1"/>
  <c r="AC1325" i="90"/>
  <c r="AJ1325" i="90"/>
  <c r="AD1389" i="90"/>
  <c r="AE1389" i="90"/>
  <c r="AO1389" i="90" s="1"/>
  <c r="AC1389" i="90"/>
  <c r="AJ1389" i="90"/>
  <c r="AD1453" i="90"/>
  <c r="AE1453" i="90"/>
  <c r="AC1453" i="90"/>
  <c r="AJ1453" i="90"/>
  <c r="AH509" i="90"/>
  <c r="AH573" i="90"/>
  <c r="AH637" i="90"/>
  <c r="AH701" i="90"/>
  <c r="AH765" i="90"/>
  <c r="AH829" i="90"/>
  <c r="AH893" i="90"/>
  <c r="AH957" i="90"/>
  <c r="AH1021" i="90"/>
  <c r="AH1085" i="90"/>
  <c r="AH1149" i="90"/>
  <c r="AH1213" i="90"/>
  <c r="AH1277" i="90"/>
  <c r="AH1341" i="90"/>
  <c r="AH1405" i="90"/>
  <c r="AD465" i="90"/>
  <c r="AE465" i="90"/>
  <c r="AC465" i="90"/>
  <c r="AJ465" i="90"/>
  <c r="AD529" i="90"/>
  <c r="AE529" i="90"/>
  <c r="AO529" i="90" s="1"/>
  <c r="AC529" i="90"/>
  <c r="AJ529" i="90"/>
  <c r="AE593" i="90"/>
  <c r="AO593" i="90" s="1"/>
  <c r="AC593" i="90"/>
  <c r="AD593" i="90"/>
  <c r="AJ593" i="90"/>
  <c r="AE657" i="90"/>
  <c r="AO657" i="90" s="1"/>
  <c r="AD657" i="90"/>
  <c r="AC657" i="90"/>
  <c r="AJ657" i="90"/>
  <c r="AE721" i="90"/>
  <c r="AD721" i="90"/>
  <c r="AC721" i="90"/>
  <c r="AJ721" i="90"/>
  <c r="AE785" i="90"/>
  <c r="AO785" i="90" s="1"/>
  <c r="AD785" i="90"/>
  <c r="AC785" i="90"/>
  <c r="AJ785" i="90"/>
  <c r="AD849" i="90"/>
  <c r="AE849" i="90"/>
  <c r="AO849" i="90" s="1"/>
  <c r="AC849" i="90"/>
  <c r="AJ849" i="90"/>
  <c r="AE913" i="90"/>
  <c r="AO913" i="90" s="1"/>
  <c r="AD913" i="90"/>
  <c r="AC913" i="90"/>
  <c r="AJ913" i="90"/>
  <c r="AE977" i="90"/>
  <c r="AO977" i="90" s="1"/>
  <c r="AD977" i="90"/>
  <c r="AC977" i="90"/>
  <c r="AJ977" i="90"/>
  <c r="AE1041" i="90"/>
  <c r="AD1041" i="90"/>
  <c r="AC1041" i="90"/>
  <c r="AJ1041" i="90"/>
  <c r="AE1105" i="90"/>
  <c r="AO1105" i="90" s="1"/>
  <c r="AD1105" i="90"/>
  <c r="AC1105" i="90"/>
  <c r="AJ1105" i="90"/>
  <c r="AE1169" i="90"/>
  <c r="AO1169" i="90" s="1"/>
  <c r="AD1169" i="90"/>
  <c r="AC1169" i="90"/>
  <c r="AJ1169" i="90"/>
  <c r="AD1233" i="90"/>
  <c r="AE1233" i="90"/>
  <c r="AO1233" i="90" s="1"/>
  <c r="AC1233" i="90"/>
  <c r="AJ1233" i="90"/>
  <c r="AD1297" i="90"/>
  <c r="AE1297" i="90"/>
  <c r="AC1297" i="90"/>
  <c r="AJ1297" i="90"/>
  <c r="AD1361" i="90"/>
  <c r="AE1361" i="90"/>
  <c r="AO1361" i="90" s="1"/>
  <c r="AC1361" i="90"/>
  <c r="AJ1361" i="90"/>
  <c r="AD1425" i="90"/>
  <c r="AE1425" i="90"/>
  <c r="AO1425" i="90" s="1"/>
  <c r="AC1425" i="90"/>
  <c r="AJ1425" i="90"/>
  <c r="AH481" i="90"/>
  <c r="AH545" i="90"/>
  <c r="AH609" i="90"/>
  <c r="AH673" i="90"/>
  <c r="AH737" i="90"/>
  <c r="AH801" i="90"/>
  <c r="AH865" i="90"/>
  <c r="AH929" i="90"/>
  <c r="AH993" i="90"/>
  <c r="AH1057" i="90"/>
  <c r="AH1121" i="90"/>
  <c r="AH1185" i="90"/>
  <c r="AH1249" i="90"/>
  <c r="AD517" i="90"/>
  <c r="AE517" i="90"/>
  <c r="AC517" i="90"/>
  <c r="AJ517" i="90"/>
  <c r="AD581" i="90"/>
  <c r="AE581" i="90"/>
  <c r="AO581" i="90" s="1"/>
  <c r="AC581" i="90"/>
  <c r="AJ581" i="90"/>
  <c r="AD645" i="90"/>
  <c r="AE645" i="90"/>
  <c r="AO645" i="90" s="1"/>
  <c r="AC645" i="90"/>
  <c r="AJ645" i="90"/>
  <c r="AD709" i="90"/>
  <c r="AE709" i="90"/>
  <c r="AO709" i="90" s="1"/>
  <c r="AC709" i="90"/>
  <c r="AJ709" i="90"/>
  <c r="AD773" i="90"/>
  <c r="AE773" i="90"/>
  <c r="AC773" i="90"/>
  <c r="AJ773" i="90"/>
  <c r="AD837" i="90"/>
  <c r="AE837" i="90"/>
  <c r="AO837" i="90" s="1"/>
  <c r="AC837" i="90"/>
  <c r="AJ837" i="90"/>
  <c r="AD901" i="90"/>
  <c r="AE901" i="90"/>
  <c r="AO901" i="90" s="1"/>
  <c r="AC901" i="90"/>
  <c r="AJ901" i="90"/>
  <c r="AE965" i="90"/>
  <c r="AO965" i="90" s="1"/>
  <c r="AD965" i="90"/>
  <c r="AC965" i="90"/>
  <c r="AJ965" i="90"/>
  <c r="AE1029" i="90"/>
  <c r="AO1029" i="90" s="1"/>
  <c r="AD1029" i="90"/>
  <c r="AC1029" i="90"/>
  <c r="AJ1029" i="90"/>
  <c r="AE1093" i="90"/>
  <c r="AD1093" i="90"/>
  <c r="AC1093" i="90"/>
  <c r="AJ1093" i="90"/>
  <c r="AE1157" i="90"/>
  <c r="AO1157" i="90" s="1"/>
  <c r="AD1157" i="90"/>
  <c r="AC1157" i="90"/>
  <c r="AJ1157" i="90"/>
  <c r="AE1221" i="90"/>
  <c r="AO1221" i="90" s="1"/>
  <c r="AD1221" i="90"/>
  <c r="AC1221" i="90"/>
  <c r="AJ1221" i="90"/>
  <c r="AD1285" i="90"/>
  <c r="AE1285" i="90"/>
  <c r="AO1285" i="90" s="1"/>
  <c r="AC1285" i="90"/>
  <c r="AJ1285" i="90"/>
  <c r="AD1349" i="90"/>
  <c r="AE1349" i="90"/>
  <c r="AC1349" i="90"/>
  <c r="AJ1349" i="90"/>
  <c r="AD1413" i="90"/>
  <c r="AE1413" i="90"/>
  <c r="AO1413" i="90" s="1"/>
  <c r="AC1413" i="90"/>
  <c r="AJ1413" i="90"/>
  <c r="AD13" i="90"/>
  <c r="AE13" i="90"/>
  <c r="AO13" i="90" s="1"/>
  <c r="AC13" i="90"/>
  <c r="AJ13" i="90"/>
  <c r="AD21" i="90"/>
  <c r="AE21" i="90"/>
  <c r="AO21" i="90" s="1"/>
  <c r="AC21" i="90"/>
  <c r="AJ21" i="90"/>
  <c r="AD29" i="90"/>
  <c r="AE29" i="90"/>
  <c r="AO29" i="90" s="1"/>
  <c r="AC29" i="90"/>
  <c r="AJ29" i="90"/>
  <c r="AD37" i="90"/>
  <c r="AE37" i="90"/>
  <c r="AO37" i="90" s="1"/>
  <c r="AC37" i="90"/>
  <c r="AJ37" i="90"/>
  <c r="AD45" i="90"/>
  <c r="AE45" i="90"/>
  <c r="AC45" i="90"/>
  <c r="AJ45" i="90"/>
  <c r="AD53" i="90"/>
  <c r="AE53" i="90"/>
  <c r="AC53" i="90"/>
  <c r="AJ53" i="90"/>
  <c r="AD61" i="90"/>
  <c r="AE61" i="90"/>
  <c r="AO61" i="90" s="1"/>
  <c r="AC61" i="90"/>
  <c r="AJ61" i="90"/>
  <c r="AD69" i="90"/>
  <c r="AE69" i="90"/>
  <c r="AO69" i="90" s="1"/>
  <c r="AC69" i="90"/>
  <c r="AJ69" i="90"/>
  <c r="AD77" i="90"/>
  <c r="AE77" i="90"/>
  <c r="AO77" i="90" s="1"/>
  <c r="AC77" i="90"/>
  <c r="AJ77" i="90"/>
  <c r="AD85" i="90"/>
  <c r="AE85" i="90"/>
  <c r="AO85" i="90" s="1"/>
  <c r="AC85" i="90"/>
  <c r="AJ85" i="90"/>
  <c r="AD93" i="90"/>
  <c r="AE93" i="90"/>
  <c r="AO93" i="90" s="1"/>
  <c r="AC93" i="90"/>
  <c r="AJ93" i="90"/>
  <c r="AD101" i="90"/>
  <c r="AE101" i="90"/>
  <c r="AC101" i="90"/>
  <c r="AJ101" i="90"/>
  <c r="AD109" i="90"/>
  <c r="AE109" i="90"/>
  <c r="AO109" i="90" s="1"/>
  <c r="AC109" i="90"/>
  <c r="AJ109" i="90"/>
  <c r="AD117" i="90"/>
  <c r="AE117" i="90"/>
  <c r="AO117" i="90" s="1"/>
  <c r="AC117" i="90"/>
  <c r="AJ117" i="90"/>
  <c r="AD125" i="90"/>
  <c r="AE125" i="90"/>
  <c r="AO125" i="90" s="1"/>
  <c r="AC125" i="90"/>
  <c r="AJ125" i="90"/>
  <c r="AD133" i="90"/>
  <c r="AE133" i="90"/>
  <c r="AO133" i="90" s="1"/>
  <c r="AC133" i="90"/>
  <c r="AJ133" i="90"/>
  <c r="AD141" i="90"/>
  <c r="AE141" i="90"/>
  <c r="AO141" i="90" s="1"/>
  <c r="AC141" i="90"/>
  <c r="AJ141" i="90"/>
  <c r="AD149" i="90"/>
  <c r="AE149" i="90"/>
  <c r="AC149" i="90"/>
  <c r="AJ149" i="90"/>
  <c r="AD157" i="90"/>
  <c r="AE157" i="90"/>
  <c r="AC157" i="90"/>
  <c r="AJ157" i="90"/>
  <c r="AD165" i="90"/>
  <c r="AE165" i="90"/>
  <c r="AO165" i="90" s="1"/>
  <c r="AC165" i="90"/>
  <c r="AJ165" i="90"/>
  <c r="AD173" i="90"/>
  <c r="AE173" i="90"/>
  <c r="AO173" i="90" s="1"/>
  <c r="AC173" i="90"/>
  <c r="AJ173" i="90"/>
  <c r="AE181" i="90"/>
  <c r="AO181" i="90" s="1"/>
  <c r="AD181" i="90"/>
  <c r="AC181" i="90"/>
  <c r="AJ181" i="90"/>
  <c r="AE189" i="90"/>
  <c r="AO189" i="90" s="1"/>
  <c r="AD189" i="90"/>
  <c r="AC189" i="90"/>
  <c r="AJ189" i="90"/>
  <c r="AE197" i="90"/>
  <c r="AO197" i="90" s="1"/>
  <c r="AD197" i="90"/>
  <c r="AC197" i="90"/>
  <c r="AJ197" i="90"/>
  <c r="AE205" i="90"/>
  <c r="AD205" i="90"/>
  <c r="AC205" i="90"/>
  <c r="AJ205" i="90"/>
  <c r="AE213" i="90"/>
  <c r="AO213" i="90" s="1"/>
  <c r="AD213" i="90"/>
  <c r="AC213" i="90"/>
  <c r="AJ213" i="90"/>
  <c r="AE221" i="90"/>
  <c r="AO221" i="90" s="1"/>
  <c r="AD221" i="90"/>
  <c r="AC221" i="90"/>
  <c r="AJ221" i="90"/>
  <c r="AE229" i="90"/>
  <c r="AO229" i="90" s="1"/>
  <c r="AD229" i="90"/>
  <c r="AC229" i="90"/>
  <c r="AJ229" i="90"/>
  <c r="AE237" i="90"/>
  <c r="AO237" i="90" s="1"/>
  <c r="AD237" i="90"/>
  <c r="AC237" i="90"/>
  <c r="AJ237" i="90"/>
  <c r="AE245" i="90"/>
  <c r="AO245" i="90" s="1"/>
  <c r="AD245" i="90"/>
  <c r="AC245" i="90"/>
  <c r="AJ245" i="90"/>
  <c r="AD253" i="90"/>
  <c r="AE253" i="90"/>
  <c r="AC253" i="90"/>
  <c r="AJ253" i="90"/>
  <c r="AD261" i="90"/>
  <c r="AE261" i="90"/>
  <c r="AC261" i="90"/>
  <c r="AJ261" i="90"/>
  <c r="AD269" i="90"/>
  <c r="AE269" i="90"/>
  <c r="AO269" i="90" s="1"/>
  <c r="AC269" i="90"/>
  <c r="AJ269" i="90"/>
  <c r="AD277" i="90"/>
  <c r="AE277" i="90"/>
  <c r="AO277" i="90" s="1"/>
  <c r="AC277" i="90"/>
  <c r="AJ277" i="90"/>
  <c r="AD285" i="90"/>
  <c r="AE285" i="90"/>
  <c r="AO285" i="90" s="1"/>
  <c r="AC285" i="90"/>
  <c r="AJ285" i="90"/>
  <c r="AE293" i="90"/>
  <c r="AO293" i="90" s="1"/>
  <c r="AD293" i="90"/>
  <c r="AC293" i="90"/>
  <c r="AJ293" i="90"/>
  <c r="AE301" i="90"/>
  <c r="AO301" i="90" s="1"/>
  <c r="AD301" i="90"/>
  <c r="AC301" i="90"/>
  <c r="AJ301" i="90"/>
  <c r="AE309" i="90"/>
  <c r="AD309" i="90"/>
  <c r="AC309" i="90"/>
  <c r="AJ309" i="90"/>
  <c r="AE317" i="90"/>
  <c r="AO317" i="90" s="1"/>
  <c r="AD317" i="90"/>
  <c r="AC317" i="90"/>
  <c r="AJ317" i="90"/>
  <c r="AE325" i="90"/>
  <c r="AO325" i="90" s="1"/>
  <c r="AD325" i="90"/>
  <c r="AC325" i="90"/>
  <c r="AJ325" i="90"/>
  <c r="AE333" i="90"/>
  <c r="AO333" i="90" s="1"/>
  <c r="AD333" i="90"/>
  <c r="AC333" i="90"/>
  <c r="AJ333" i="90"/>
  <c r="AE341" i="90"/>
  <c r="AO341" i="90" s="1"/>
  <c r="AD341" i="90"/>
  <c r="AC341" i="90"/>
  <c r="AJ341" i="90"/>
  <c r="AE349" i="90"/>
  <c r="AO349" i="90" s="1"/>
  <c r="AD349" i="90"/>
  <c r="AC349" i="90"/>
  <c r="AJ349" i="90"/>
  <c r="AE357" i="90"/>
  <c r="AD357" i="90"/>
  <c r="AC357" i="90"/>
  <c r="AJ357" i="90"/>
  <c r="AE365" i="90"/>
  <c r="AD365" i="90"/>
  <c r="AC365" i="90"/>
  <c r="AJ365" i="90"/>
  <c r="AE377" i="90"/>
  <c r="AO377" i="90" s="1"/>
  <c r="AD377" i="90"/>
  <c r="AC377" i="90"/>
  <c r="AJ377" i="90"/>
  <c r="AE385" i="90"/>
  <c r="AO385" i="90" s="1"/>
  <c r="AD385" i="90"/>
  <c r="AC385" i="90"/>
  <c r="AJ385" i="90"/>
  <c r="AE397" i="90"/>
  <c r="AO397" i="90" s="1"/>
  <c r="AD397" i="90"/>
  <c r="AC397" i="90"/>
  <c r="AJ397" i="90"/>
  <c r="AE405" i="90"/>
  <c r="AO405" i="90" s="1"/>
  <c r="AD405" i="90"/>
  <c r="AC405" i="90"/>
  <c r="AJ405" i="90"/>
  <c r="AE413" i="90"/>
  <c r="AD413" i="90"/>
  <c r="AC413" i="90"/>
  <c r="AJ413" i="90"/>
  <c r="AE421" i="90"/>
  <c r="AO421" i="90" s="1"/>
  <c r="AD421" i="90"/>
  <c r="AC421" i="90"/>
  <c r="AJ421" i="90"/>
  <c r="AE429" i="90"/>
  <c r="AO429" i="90" s="1"/>
  <c r="AD429" i="90"/>
  <c r="AC429" i="90"/>
  <c r="AJ429" i="90"/>
  <c r="AD437" i="90"/>
  <c r="AE437" i="90"/>
  <c r="AO437" i="90" s="1"/>
  <c r="AC437" i="90"/>
  <c r="AJ437" i="90"/>
  <c r="AD445" i="90"/>
  <c r="AE445" i="90"/>
  <c r="AO445" i="90" s="1"/>
  <c r="AC445" i="90"/>
  <c r="AJ445" i="90"/>
  <c r="AD453" i="90"/>
  <c r="AE453" i="90"/>
  <c r="AO453" i="90" s="1"/>
  <c r="AC453" i="90"/>
  <c r="AJ453" i="90"/>
  <c r="AH105" i="90"/>
  <c r="AH313" i="90"/>
  <c r="B51" i="89"/>
  <c r="B52" i="89"/>
  <c r="B53" i="89"/>
  <c r="B54" i="89"/>
  <c r="B55" i="89"/>
  <c r="B56" i="89"/>
  <c r="B57" i="89"/>
  <c r="B58" i="89"/>
  <c r="B59" i="89"/>
  <c r="B60" i="89"/>
  <c r="B61" i="89"/>
  <c r="B62" i="89"/>
  <c r="B63" i="89"/>
  <c r="B64" i="89"/>
  <c r="B65" i="89"/>
  <c r="B66" i="89"/>
  <c r="B67" i="89"/>
  <c r="B68" i="89"/>
  <c r="B69" i="89"/>
  <c r="B70" i="89"/>
  <c r="B71" i="89"/>
  <c r="B72" i="89"/>
  <c r="B73" i="89"/>
  <c r="B74" i="89"/>
  <c r="B75" i="89"/>
  <c r="B76" i="89"/>
  <c r="B77" i="89"/>
  <c r="B78" i="89"/>
  <c r="B79" i="89"/>
  <c r="B80" i="89"/>
  <c r="B81" i="89"/>
  <c r="B82" i="89"/>
  <c r="B83" i="89"/>
  <c r="B84" i="89"/>
  <c r="B85" i="89"/>
  <c r="B86" i="89"/>
  <c r="B87" i="89"/>
  <c r="B88" i="89"/>
  <c r="B89" i="89"/>
  <c r="B90" i="89"/>
  <c r="B91" i="89"/>
  <c r="B92" i="89"/>
  <c r="B93" i="89"/>
  <c r="B94" i="89"/>
  <c r="B95" i="89"/>
  <c r="B96" i="89"/>
  <c r="B97" i="89"/>
  <c r="B98" i="89"/>
  <c r="B99" i="89"/>
  <c r="B100" i="89"/>
  <c r="B101" i="89"/>
  <c r="B102" i="89"/>
  <c r="B103" i="89"/>
  <c r="B104" i="89"/>
  <c r="B105" i="89"/>
  <c r="B106" i="89"/>
  <c r="B107" i="89"/>
  <c r="B108" i="89"/>
  <c r="B109" i="89"/>
  <c r="B110" i="89"/>
  <c r="B111" i="89"/>
  <c r="B112" i="89"/>
  <c r="B113" i="89"/>
  <c r="B114" i="89"/>
  <c r="B115" i="89"/>
  <c r="B116" i="89"/>
  <c r="B117" i="89"/>
  <c r="B118" i="89"/>
  <c r="B119" i="89"/>
  <c r="B120" i="89"/>
  <c r="B121" i="89"/>
  <c r="B122" i="89"/>
  <c r="B123" i="89"/>
  <c r="B124" i="89"/>
  <c r="B125" i="89"/>
  <c r="B126" i="89"/>
  <c r="B127" i="89"/>
  <c r="B128" i="89"/>
  <c r="B129" i="89"/>
  <c r="B130" i="89"/>
  <c r="B131" i="89"/>
  <c r="B132" i="89"/>
  <c r="B133" i="89"/>
  <c r="B134" i="89"/>
  <c r="B135" i="89"/>
  <c r="B136" i="89"/>
  <c r="B137" i="89"/>
  <c r="B138" i="89"/>
  <c r="B139" i="89"/>
  <c r="B140" i="89"/>
  <c r="B141" i="89"/>
  <c r="B142" i="89"/>
  <c r="B143" i="89"/>
  <c r="B144" i="89"/>
  <c r="B145" i="89"/>
  <c r="B146" i="89"/>
  <c r="B147" i="89"/>
  <c r="B148" i="89"/>
  <c r="B149" i="89"/>
  <c r="B150" i="89"/>
  <c r="B151" i="89"/>
  <c r="B152" i="89"/>
  <c r="B153" i="89"/>
  <c r="B154" i="89"/>
  <c r="B155" i="89"/>
  <c r="B156" i="89"/>
  <c r="B157" i="89"/>
  <c r="B158" i="89"/>
  <c r="B159" i="89"/>
  <c r="B160" i="89"/>
  <c r="B161" i="89"/>
  <c r="B162" i="89"/>
  <c r="B163" i="89"/>
  <c r="B164" i="89"/>
  <c r="B165" i="89"/>
  <c r="B50" i="89"/>
  <c r="AL1173" i="90" l="1"/>
  <c r="AL1045" i="90"/>
  <c r="AL917" i="90"/>
  <c r="AL1441" i="90"/>
  <c r="AL1377" i="90"/>
  <c r="AL1313" i="90"/>
  <c r="AL1249" i="90"/>
  <c r="AL481" i="90"/>
  <c r="AL340" i="90"/>
  <c r="AL765" i="90"/>
  <c r="AL1219" i="90"/>
  <c r="AL1171" i="90"/>
  <c r="AL1107" i="90"/>
  <c r="AL1059" i="90"/>
  <c r="AL979" i="90"/>
  <c r="AL931" i="90"/>
  <c r="AL579" i="90"/>
  <c r="AL531" i="90"/>
  <c r="AL467" i="90"/>
  <c r="AL243" i="90"/>
  <c r="AL195" i="90"/>
  <c r="AL452" i="90"/>
  <c r="AL1458" i="90"/>
  <c r="AL1442" i="90"/>
  <c r="AL1410" i="90"/>
  <c r="AL1378" i="90"/>
  <c r="AL1282" i="90"/>
  <c r="AL1250" i="90"/>
  <c r="AL1218" i="90"/>
  <c r="AL1170" i="90"/>
  <c r="AL1122" i="90"/>
  <c r="AL1026" i="90"/>
  <c r="AL978" i="90"/>
  <c r="AL98" i="90"/>
  <c r="BB474" i="90"/>
  <c r="BB195" i="90"/>
  <c r="BB131" i="90"/>
  <c r="BB422" i="90"/>
  <c r="BB294" i="90"/>
  <c r="BB338" i="90"/>
  <c r="BB249" i="90"/>
  <c r="BB121" i="90"/>
  <c r="BB57" i="90"/>
  <c r="BB560" i="90"/>
  <c r="BB544" i="90"/>
  <c r="BB528" i="90"/>
  <c r="BB512" i="90"/>
  <c r="BB496" i="90"/>
  <c r="BB480" i="90"/>
  <c r="BB464" i="90"/>
  <c r="BB448" i="90"/>
  <c r="BB432" i="90"/>
  <c r="BB416" i="90"/>
  <c r="BB400" i="90"/>
  <c r="BB384" i="90"/>
  <c r="BB368" i="90"/>
  <c r="BB352" i="90"/>
  <c r="BB336" i="90"/>
  <c r="BB320" i="90"/>
  <c r="BB304" i="90"/>
  <c r="BB288" i="90"/>
  <c r="BB268" i="90"/>
  <c r="BB244" i="90"/>
  <c r="BB224" i="90"/>
  <c r="BB208" i="90"/>
  <c r="BB188" i="90"/>
  <c r="BB124" i="90"/>
  <c r="BB60" i="90"/>
  <c r="BB458" i="90"/>
  <c r="BB330" i="90"/>
  <c r="BB559" i="90"/>
  <c r="BB543" i="90"/>
  <c r="BB511" i="90"/>
  <c r="BB495" i="90"/>
  <c r="BB479" i="90"/>
  <c r="BB463" i="90"/>
  <c r="BB431" i="90"/>
  <c r="BB415" i="90"/>
  <c r="BB135" i="90"/>
  <c r="BB71" i="90"/>
  <c r="BB470" i="90"/>
  <c r="BB342" i="90"/>
  <c r="BB282" i="90"/>
  <c r="BB262" i="90"/>
  <c r="BB242" i="90"/>
  <c r="BB218" i="90"/>
  <c r="BB202" i="90"/>
  <c r="BB170" i="90"/>
  <c r="BB154" i="90"/>
  <c r="BB138" i="90"/>
  <c r="BB122" i="90"/>
  <c r="BB90" i="90"/>
  <c r="BB74" i="90"/>
  <c r="BB58" i="90"/>
  <c r="BB42" i="90"/>
  <c r="BB10" i="90"/>
  <c r="BB221" i="90"/>
  <c r="BB157" i="90"/>
  <c r="BB93" i="90"/>
  <c r="BB29" i="90"/>
  <c r="BB494" i="90"/>
  <c r="BB222" i="90"/>
  <c r="BB144" i="90"/>
  <c r="BB80" i="90"/>
  <c r="BB16" i="90"/>
  <c r="BB442" i="90"/>
  <c r="BB314" i="90"/>
  <c r="BB199" i="90"/>
  <c r="BB155" i="90"/>
  <c r="BB91" i="90"/>
  <c r="BB454" i="90"/>
  <c r="BB434" i="90"/>
  <c r="BB273" i="90"/>
  <c r="BB209" i="90"/>
  <c r="BB81" i="90"/>
  <c r="BB17" i="90"/>
  <c r="BB564" i="90"/>
  <c r="BB548" i="90"/>
  <c r="BB532" i="90"/>
  <c r="BB516" i="90"/>
  <c r="BB500" i="90"/>
  <c r="BB484" i="90"/>
  <c r="BB468" i="90"/>
  <c r="BB452" i="90"/>
  <c r="BB436" i="90"/>
  <c r="BB420" i="90"/>
  <c r="BB404" i="90"/>
  <c r="BB388" i="90"/>
  <c r="BB372" i="90"/>
  <c r="BB356" i="90"/>
  <c r="BB340" i="90"/>
  <c r="BB324" i="90"/>
  <c r="BB308" i="90"/>
  <c r="BB292" i="90"/>
  <c r="BB272" i="90"/>
  <c r="BB252" i="90"/>
  <c r="BB228" i="90"/>
  <c r="BB212" i="90"/>
  <c r="BB196" i="90"/>
  <c r="BB180" i="90"/>
  <c r="BB148" i="90"/>
  <c r="BB116" i="90"/>
  <c r="BB84" i="90"/>
  <c r="BB52" i="90"/>
  <c r="BB20" i="90"/>
  <c r="BB554" i="90"/>
  <c r="BB239" i="90"/>
  <c r="BB175" i="90"/>
  <c r="BB143" i="90"/>
  <c r="BB482" i="90"/>
  <c r="BB354" i="90"/>
  <c r="BB549" i="90"/>
  <c r="BB533" i="90"/>
  <c r="BB517" i="90"/>
  <c r="BB501" i="90"/>
  <c r="BB469" i="90"/>
  <c r="BB453" i="90"/>
  <c r="BB437" i="90"/>
  <c r="BB421" i="90"/>
  <c r="BB389" i="90"/>
  <c r="BB373" i="90"/>
  <c r="BB357" i="90"/>
  <c r="BB341" i="90"/>
  <c r="BB309" i="90"/>
  <c r="BB293" i="90"/>
  <c r="BB277" i="90"/>
  <c r="BB213" i="90"/>
  <c r="BB181" i="90"/>
  <c r="BB149" i="90"/>
  <c r="BB117" i="90"/>
  <c r="BB53" i="90"/>
  <c r="BB21" i="90"/>
  <c r="BB462" i="90"/>
  <c r="BB334" i="90"/>
  <c r="AN665" i="90"/>
  <c r="AO665" i="90"/>
  <c r="AL649" i="90"/>
  <c r="AL1365" i="90"/>
  <c r="AL1301" i="90"/>
  <c r="AL1237" i="90"/>
  <c r="AL789" i="90"/>
  <c r="AL661" i="90"/>
  <c r="AL597" i="90"/>
  <c r="AL469" i="90"/>
  <c r="AL930" i="90"/>
  <c r="AL882" i="90"/>
  <c r="AL834" i="90"/>
  <c r="AL786" i="90"/>
  <c r="AL706" i="90"/>
  <c r="AL674" i="90"/>
  <c r="AL338" i="90"/>
  <c r="AL226" i="90"/>
  <c r="AL868" i="90"/>
  <c r="AL740" i="90"/>
  <c r="AL404" i="90"/>
  <c r="AL356" i="90"/>
  <c r="AL308" i="90"/>
  <c r="AL276" i="90"/>
  <c r="AL244" i="90"/>
  <c r="AL1395" i="90"/>
  <c r="AL1283" i="90"/>
  <c r="AL883" i="90"/>
  <c r="AL787" i="90"/>
  <c r="AL755" i="90"/>
  <c r="AL707" i="90"/>
  <c r="AL627" i="90"/>
  <c r="AL419" i="90"/>
  <c r="AL371" i="90"/>
  <c r="AL275" i="90"/>
  <c r="AL115" i="90"/>
  <c r="AL67" i="90"/>
  <c r="AL19" i="90"/>
  <c r="AL1203" i="90"/>
  <c r="AL1123" i="90"/>
  <c r="AL1091" i="90"/>
  <c r="AL995" i="90"/>
  <c r="AL963" i="90"/>
  <c r="AL915" i="90"/>
  <c r="AL547" i="90"/>
  <c r="AL483" i="90"/>
  <c r="AL435" i="90"/>
  <c r="AL211" i="90"/>
  <c r="BB168" i="90"/>
  <c r="BB136" i="90"/>
  <c r="BB104" i="90"/>
  <c r="BB72" i="90"/>
  <c r="BB40" i="90"/>
  <c r="BB8" i="90"/>
  <c r="BB83" i="90"/>
  <c r="BB19" i="90"/>
  <c r="BB201" i="90"/>
  <c r="BB137" i="90"/>
  <c r="BB73" i="90"/>
  <c r="BB9" i="90"/>
  <c r="BB318" i="90"/>
  <c r="BB140" i="90"/>
  <c r="BB76" i="90"/>
  <c r="BB12" i="90"/>
  <c r="BB255" i="90"/>
  <c r="BB151" i="90"/>
  <c r="BB23" i="90"/>
  <c r="BB514" i="90"/>
  <c r="BB248" i="90"/>
  <c r="BB553" i="90"/>
  <c r="BB537" i="90"/>
  <c r="BB521" i="90"/>
  <c r="BB489" i="90"/>
  <c r="BB473" i="90"/>
  <c r="BB457" i="90"/>
  <c r="BB441" i="90"/>
  <c r="BB409" i="90"/>
  <c r="BB393" i="90"/>
  <c r="BB377" i="90"/>
  <c r="BB361" i="90"/>
  <c r="BB329" i="90"/>
  <c r="BB313" i="90"/>
  <c r="BB297" i="90"/>
  <c r="BB281" i="90"/>
  <c r="BB237" i="90"/>
  <c r="BB173" i="90"/>
  <c r="BB109" i="90"/>
  <c r="BB160" i="90"/>
  <c r="BB96" i="90"/>
  <c r="BB32" i="90"/>
  <c r="BB171" i="90"/>
  <c r="BB43" i="90"/>
  <c r="BB161" i="90"/>
  <c r="BB97" i="90"/>
  <c r="BB33" i="90"/>
  <c r="BB542" i="90"/>
  <c r="BB414" i="90"/>
  <c r="BB298" i="90"/>
  <c r="BB555" i="90"/>
  <c r="BB539" i="90"/>
  <c r="BB523" i="90"/>
  <c r="BB491" i="90"/>
  <c r="BB475" i="90"/>
  <c r="BB459" i="90"/>
  <c r="BB443" i="90"/>
  <c r="BB411" i="90"/>
  <c r="BB395" i="90"/>
  <c r="BB379" i="90"/>
  <c r="BB363" i="90"/>
  <c r="BB331" i="90"/>
  <c r="BB315" i="90"/>
  <c r="BB299" i="90"/>
  <c r="BB283" i="90"/>
  <c r="BB263" i="90"/>
  <c r="BB219" i="90"/>
  <c r="BB203" i="90"/>
  <c r="BB111" i="90"/>
  <c r="BB79" i="90"/>
  <c r="BB15" i="90"/>
  <c r="BB438" i="90"/>
  <c r="BB310" i="90"/>
  <c r="BB278" i="90"/>
  <c r="BB258" i="90"/>
  <c r="BB234" i="90"/>
  <c r="BB214" i="90"/>
  <c r="BB198" i="90"/>
  <c r="BB182" i="90"/>
  <c r="BB150" i="90"/>
  <c r="BB134" i="90"/>
  <c r="BB118" i="90"/>
  <c r="BB102" i="90"/>
  <c r="BB70" i="90"/>
  <c r="BB54" i="90"/>
  <c r="BB38" i="90"/>
  <c r="BB22" i="90"/>
  <c r="AL553" i="90"/>
  <c r="AL585" i="90"/>
  <c r="AL1187" i="90"/>
  <c r="AL1139" i="90"/>
  <c r="AL1011" i="90"/>
  <c r="AL947" i="90"/>
  <c r="AL515" i="90"/>
  <c r="AL451" i="90"/>
  <c r="AL227" i="90"/>
  <c r="AL1346" i="90"/>
  <c r="AL1298" i="90"/>
  <c r="AL1202" i="90"/>
  <c r="AL1154" i="90"/>
  <c r="AL1090" i="90"/>
  <c r="AL1042" i="90"/>
  <c r="AL994" i="90"/>
  <c r="AL946" i="90"/>
  <c r="AL546" i="90"/>
  <c r="AL466" i="90"/>
  <c r="AL66" i="90"/>
  <c r="AL18" i="90"/>
  <c r="AL1252" i="90"/>
  <c r="AL1124" i="90"/>
  <c r="AL436" i="90"/>
  <c r="AL84" i="90"/>
  <c r="AL914" i="90"/>
  <c r="AL866" i="90"/>
  <c r="AL770" i="90"/>
  <c r="AL290" i="90"/>
  <c r="AL393" i="90"/>
  <c r="AL1149" i="90"/>
  <c r="AL1085" i="90"/>
  <c r="AL957" i="90"/>
  <c r="AL1380" i="90"/>
  <c r="AL1411" i="90"/>
  <c r="AL1363" i="90"/>
  <c r="AL1315" i="90"/>
  <c r="AL1299" i="90"/>
  <c r="AL867" i="90"/>
  <c r="AL819" i="90"/>
  <c r="AL723" i="90"/>
  <c r="AL595" i="90"/>
  <c r="AL355" i="90"/>
  <c r="AL307" i="90"/>
  <c r="AL259" i="90"/>
  <c r="AL83" i="90"/>
  <c r="BB538" i="90"/>
  <c r="BB410" i="90"/>
  <c r="BB280" i="90"/>
  <c r="BB163" i="90"/>
  <c r="BB99" i="90"/>
  <c r="BB35" i="90"/>
  <c r="BB358" i="90"/>
  <c r="BB530" i="90"/>
  <c r="BB402" i="90"/>
  <c r="BB270" i="90"/>
  <c r="BB217" i="90"/>
  <c r="BB153" i="90"/>
  <c r="BB89" i="90"/>
  <c r="BB552" i="90"/>
  <c r="BB536" i="90"/>
  <c r="BB520" i="90"/>
  <c r="BB504" i="90"/>
  <c r="BB488" i="90"/>
  <c r="BB472" i="90"/>
  <c r="BB456" i="90"/>
  <c r="BB440" i="90"/>
  <c r="BB424" i="90"/>
  <c r="BB408" i="90"/>
  <c r="BB392" i="90"/>
  <c r="BB376" i="90"/>
  <c r="BB360" i="90"/>
  <c r="BB344" i="90"/>
  <c r="BB328" i="90"/>
  <c r="BB312" i="90"/>
  <c r="BB296" i="90"/>
  <c r="BB276" i="90"/>
  <c r="BB256" i="90"/>
  <c r="BB236" i="90"/>
  <c r="BB216" i="90"/>
  <c r="BB200" i="90"/>
  <c r="BB156" i="90"/>
  <c r="BB92" i="90"/>
  <c r="BB28" i="90"/>
  <c r="BB522" i="90"/>
  <c r="BB394" i="90"/>
  <c r="BB259" i="90"/>
  <c r="BB551" i="90"/>
  <c r="BB535" i="90"/>
  <c r="BB519" i="90"/>
  <c r="BB503" i="90"/>
  <c r="BB471" i="90"/>
  <c r="BB455" i="90"/>
  <c r="BB439" i="90"/>
  <c r="BB423" i="90"/>
  <c r="BB391" i="90"/>
  <c r="BB375" i="90"/>
  <c r="BB359" i="90"/>
  <c r="BB343" i="90"/>
  <c r="BB311" i="90"/>
  <c r="BB295" i="90"/>
  <c r="BB279" i="90"/>
  <c r="BB235" i="90"/>
  <c r="BB215" i="90"/>
  <c r="BB103" i="90"/>
  <c r="BB39" i="90"/>
  <c r="BB534" i="90"/>
  <c r="BB275" i="90"/>
  <c r="BB274" i="90"/>
  <c r="BB250" i="90"/>
  <c r="BB230" i="90"/>
  <c r="BB210" i="90"/>
  <c r="BB194" i="90"/>
  <c r="BB178" i="90"/>
  <c r="BB162" i="90"/>
  <c r="BB130" i="90"/>
  <c r="BB114" i="90"/>
  <c r="BB98" i="90"/>
  <c r="BB82" i="90"/>
  <c r="BB50" i="90"/>
  <c r="BB34" i="90"/>
  <c r="BB18" i="90"/>
  <c r="BB253" i="90"/>
  <c r="BB189" i="90"/>
  <c r="BB61" i="90"/>
  <c r="BB558" i="90"/>
  <c r="BB430" i="90"/>
  <c r="BB302" i="90"/>
  <c r="BB176" i="90"/>
  <c r="BB112" i="90"/>
  <c r="BB48" i="90"/>
  <c r="BB378" i="90"/>
  <c r="BB238" i="90"/>
  <c r="BB123" i="90"/>
  <c r="BB59" i="90"/>
  <c r="BB518" i="90"/>
  <c r="BB390" i="90"/>
  <c r="BB254" i="90"/>
  <c r="BB498" i="90"/>
  <c r="BB370" i="90"/>
  <c r="BB241" i="90"/>
  <c r="BB177" i="90"/>
  <c r="BB113" i="90"/>
  <c r="BB49" i="90"/>
  <c r="BB556" i="90"/>
  <c r="BB540" i="90"/>
  <c r="BB524" i="90"/>
  <c r="BB508" i="90"/>
  <c r="BB492" i="90"/>
  <c r="BB476" i="90"/>
  <c r="BB460" i="90"/>
  <c r="BB444" i="90"/>
  <c r="BB428" i="90"/>
  <c r="BB412" i="90"/>
  <c r="BB396" i="90"/>
  <c r="BB380" i="90"/>
  <c r="BB364" i="90"/>
  <c r="BB348" i="90"/>
  <c r="BB332" i="90"/>
  <c r="BB316" i="90"/>
  <c r="BB300" i="90"/>
  <c r="BB284" i="90"/>
  <c r="BB260" i="90"/>
  <c r="BB240" i="90"/>
  <c r="BB220" i="90"/>
  <c r="BB204" i="90"/>
  <c r="BB192" i="90"/>
  <c r="BB164" i="90"/>
  <c r="BB132" i="90"/>
  <c r="BB100" i="90"/>
  <c r="BB68" i="90"/>
  <c r="BB36" i="90"/>
  <c r="BB271" i="90"/>
  <c r="BB191" i="90"/>
  <c r="BB159" i="90"/>
  <c r="BB418" i="90"/>
  <c r="BB290" i="90"/>
  <c r="BB557" i="90"/>
  <c r="BB541" i="90"/>
  <c r="BB509" i="90"/>
  <c r="BB493" i="90"/>
  <c r="BB477" i="90"/>
  <c r="BB461" i="90"/>
  <c r="BB429" i="90"/>
  <c r="BB413" i="90"/>
  <c r="BB397" i="90"/>
  <c r="BB381" i="90"/>
  <c r="BB349" i="90"/>
  <c r="BB333" i="90"/>
  <c r="BB317" i="90"/>
  <c r="BB301" i="90"/>
  <c r="BB261" i="90"/>
  <c r="BB229" i="90"/>
  <c r="BB197" i="90"/>
  <c r="BB133" i="90"/>
  <c r="BB101" i="90"/>
  <c r="BB69" i="90"/>
  <c r="BB37" i="90"/>
  <c r="BB398" i="90"/>
  <c r="BB264" i="90"/>
  <c r="AL1433" i="90"/>
  <c r="AN1065" i="90"/>
  <c r="AO1065" i="90"/>
  <c r="AL1109" i="90"/>
  <c r="AL981" i="90"/>
  <c r="AL373" i="90"/>
  <c r="AL1121" i="90"/>
  <c r="AL1057" i="90"/>
  <c r="AL801" i="90"/>
  <c r="AL673" i="90"/>
  <c r="AL1427" i="90"/>
  <c r="AL1379" i="90"/>
  <c r="AL1331" i="90"/>
  <c r="AL1267" i="90"/>
  <c r="AL1235" i="90"/>
  <c r="AL899" i="90"/>
  <c r="AL851" i="90"/>
  <c r="AL803" i="90"/>
  <c r="AL739" i="90"/>
  <c r="AL675" i="90"/>
  <c r="AL611" i="90"/>
  <c r="AL403" i="90"/>
  <c r="AL291" i="90"/>
  <c r="AL163" i="90"/>
  <c r="AL99" i="90"/>
  <c r="AL51" i="90"/>
  <c r="AL1213" i="90"/>
  <c r="AL1021" i="90"/>
  <c r="AL1426" i="90"/>
  <c r="AL1362" i="90"/>
  <c r="AL1314" i="90"/>
  <c r="AL1234" i="90"/>
  <c r="AL1186" i="90"/>
  <c r="AL1138" i="90"/>
  <c r="AL1106" i="90"/>
  <c r="AL1058" i="90"/>
  <c r="AL1010" i="90"/>
  <c r="AL962" i="90"/>
  <c r="AL594" i="90"/>
  <c r="AL482" i="90"/>
  <c r="AL130" i="90"/>
  <c r="AL82" i="90"/>
  <c r="AL34" i="90"/>
  <c r="AL1277" i="90"/>
  <c r="AL829" i="90"/>
  <c r="AL701" i="90"/>
  <c r="AL637" i="90"/>
  <c r="AL788" i="90"/>
  <c r="AL756" i="90"/>
  <c r="AL388" i="90"/>
  <c r="AL372" i="90"/>
  <c r="AL292" i="90"/>
  <c r="AL228" i="90"/>
  <c r="AL148" i="90"/>
  <c r="AL898" i="90"/>
  <c r="AL850" i="90"/>
  <c r="AL802" i="90"/>
  <c r="AL754" i="90"/>
  <c r="AL690" i="90"/>
  <c r="AL610" i="90"/>
  <c r="AL210" i="90"/>
  <c r="BB184" i="90"/>
  <c r="BB152" i="90"/>
  <c r="BB120" i="90"/>
  <c r="BB88" i="90"/>
  <c r="BB56" i="90"/>
  <c r="BB24" i="90"/>
  <c r="BB179" i="90"/>
  <c r="BB115" i="90"/>
  <c r="BB51" i="90"/>
  <c r="BB550" i="90"/>
  <c r="BB233" i="90"/>
  <c r="BB169" i="90"/>
  <c r="BB41" i="90"/>
  <c r="BB510" i="90"/>
  <c r="BB382" i="90"/>
  <c r="BB243" i="90"/>
  <c r="BB172" i="90"/>
  <c r="BB108" i="90"/>
  <c r="BB44" i="90"/>
  <c r="BB399" i="90"/>
  <c r="BB383" i="90"/>
  <c r="BB351" i="90"/>
  <c r="BB335" i="90"/>
  <c r="BB319" i="90"/>
  <c r="BB303" i="90"/>
  <c r="BB223" i="90"/>
  <c r="BB183" i="90"/>
  <c r="BB119" i="90"/>
  <c r="BB55" i="90"/>
  <c r="BB450" i="90"/>
  <c r="BB322" i="90"/>
  <c r="BB561" i="90"/>
  <c r="BB529" i="90"/>
  <c r="BB513" i="90"/>
  <c r="BB497" i="90"/>
  <c r="BB481" i="90"/>
  <c r="BB449" i="90"/>
  <c r="BB433" i="90"/>
  <c r="BB417" i="90"/>
  <c r="BB401" i="90"/>
  <c r="BB369" i="90"/>
  <c r="BB353" i="90"/>
  <c r="BB337" i="90"/>
  <c r="BB321" i="90"/>
  <c r="BB289" i="90"/>
  <c r="BB269" i="90"/>
  <c r="BB141" i="90"/>
  <c r="BB77" i="90"/>
  <c r="BB13" i="90"/>
  <c r="BB128" i="90"/>
  <c r="BB64" i="90"/>
  <c r="BB139" i="90"/>
  <c r="BB75" i="90"/>
  <c r="BB11" i="90"/>
  <c r="BB562" i="90"/>
  <c r="BB257" i="90"/>
  <c r="BB193" i="90"/>
  <c r="BB129" i="90"/>
  <c r="BB478" i="90"/>
  <c r="BB350" i="90"/>
  <c r="BB490" i="90"/>
  <c r="BB362" i="90"/>
  <c r="BB563" i="90"/>
  <c r="BB531" i="90"/>
  <c r="BB515" i="90"/>
  <c r="BB499" i="90"/>
  <c r="BB483" i="90"/>
  <c r="BB451" i="90"/>
  <c r="BB435" i="90"/>
  <c r="BB419" i="90"/>
  <c r="BB403" i="90"/>
  <c r="BB371" i="90"/>
  <c r="BB355" i="90"/>
  <c r="BB339" i="90"/>
  <c r="BB323" i="90"/>
  <c r="BB291" i="90"/>
  <c r="BB251" i="90"/>
  <c r="BB231" i="90"/>
  <c r="BB211" i="90"/>
  <c r="BB95" i="90"/>
  <c r="BB63" i="90"/>
  <c r="BB31" i="90"/>
  <c r="BB502" i="90"/>
  <c r="BB374" i="90"/>
  <c r="BB232" i="90"/>
  <c r="BB190" i="90"/>
  <c r="BB174" i="90"/>
  <c r="BB158" i="90"/>
  <c r="BB142" i="90"/>
  <c r="BB110" i="90"/>
  <c r="BB94" i="90"/>
  <c r="BB78" i="90"/>
  <c r="BB62" i="90"/>
  <c r="BB30" i="90"/>
  <c r="BB14" i="90"/>
  <c r="AL1353" i="90"/>
  <c r="AL841" i="90"/>
  <c r="AZ6" i="90"/>
  <c r="S163" i="89"/>
  <c r="W163" i="89"/>
  <c r="V163" i="89"/>
  <c r="T163" i="89"/>
  <c r="X163" i="89"/>
  <c r="Q163" i="89"/>
  <c r="U163" i="89"/>
  <c r="Y163" i="89"/>
  <c r="R163" i="89"/>
  <c r="Z163" i="89"/>
  <c r="T151" i="89"/>
  <c r="X151" i="89"/>
  <c r="Q151" i="89"/>
  <c r="U151" i="89"/>
  <c r="Y151" i="89"/>
  <c r="S151" i="89"/>
  <c r="V151" i="89"/>
  <c r="W151" i="89"/>
  <c r="R151" i="89"/>
  <c r="Z151" i="89"/>
  <c r="T147" i="89"/>
  <c r="X147" i="89"/>
  <c r="Q147" i="89"/>
  <c r="U147" i="89"/>
  <c r="Y147" i="89"/>
  <c r="S147" i="89"/>
  <c r="V147" i="89"/>
  <c r="W147" i="89"/>
  <c r="R147" i="89"/>
  <c r="Z147" i="89"/>
  <c r="T135" i="89"/>
  <c r="X135" i="89"/>
  <c r="Q135" i="89"/>
  <c r="U135" i="89"/>
  <c r="Y135" i="89"/>
  <c r="S135" i="89"/>
  <c r="V135" i="89"/>
  <c r="R135" i="89"/>
  <c r="Z135" i="89"/>
  <c r="W135" i="89"/>
  <c r="T119" i="89"/>
  <c r="X119" i="89"/>
  <c r="Q119" i="89"/>
  <c r="U119" i="89"/>
  <c r="Y119" i="89"/>
  <c r="S119" i="89"/>
  <c r="V119" i="89"/>
  <c r="R119" i="89"/>
  <c r="Z119" i="89"/>
  <c r="W119" i="89"/>
  <c r="Q107" i="89"/>
  <c r="U107" i="89"/>
  <c r="Y107" i="89"/>
  <c r="R107" i="89"/>
  <c r="V107" i="89"/>
  <c r="Z107" i="89"/>
  <c r="X107" i="89"/>
  <c r="S107" i="89"/>
  <c r="T107" i="89"/>
  <c r="W107" i="89"/>
  <c r="Q95" i="89"/>
  <c r="U95" i="89"/>
  <c r="Y95" i="89"/>
  <c r="R95" i="89"/>
  <c r="V95" i="89"/>
  <c r="Z95" i="89"/>
  <c r="X95" i="89"/>
  <c r="S95" i="89"/>
  <c r="T95" i="89"/>
  <c r="W95" i="89"/>
  <c r="Q83" i="89"/>
  <c r="U83" i="89"/>
  <c r="Y83" i="89"/>
  <c r="R83" i="89"/>
  <c r="V83" i="89"/>
  <c r="Z83" i="89"/>
  <c r="S83" i="89"/>
  <c r="W83" i="89"/>
  <c r="X83" i="89"/>
  <c r="T83" i="89"/>
  <c r="Q71" i="89"/>
  <c r="U71" i="89"/>
  <c r="Y71" i="89"/>
  <c r="R71" i="89"/>
  <c r="V71" i="89"/>
  <c r="Z71" i="89"/>
  <c r="S71" i="89"/>
  <c r="W71" i="89"/>
  <c r="T71" i="89"/>
  <c r="X71" i="89"/>
  <c r="Q55" i="89"/>
  <c r="U55" i="89"/>
  <c r="Y55" i="89"/>
  <c r="R55" i="89"/>
  <c r="V55" i="89"/>
  <c r="Z55" i="89"/>
  <c r="S55" i="89"/>
  <c r="W55" i="89"/>
  <c r="T55" i="89"/>
  <c r="X55" i="89"/>
  <c r="R50" i="89"/>
  <c r="V50" i="89"/>
  <c r="Z50" i="89"/>
  <c r="S50" i="89"/>
  <c r="W50" i="89"/>
  <c r="Q50" i="89"/>
  <c r="T50" i="89"/>
  <c r="X50" i="89"/>
  <c r="U50" i="89"/>
  <c r="Y50" i="89"/>
  <c r="Q162" i="89"/>
  <c r="U162" i="89"/>
  <c r="Y162" i="89"/>
  <c r="X162" i="89"/>
  <c r="R162" i="89"/>
  <c r="V162" i="89"/>
  <c r="Z162" i="89"/>
  <c r="S162" i="89"/>
  <c r="W162" i="89"/>
  <c r="T162" i="89"/>
  <c r="R158" i="89"/>
  <c r="V158" i="89"/>
  <c r="Z158" i="89"/>
  <c r="S158" i="89"/>
  <c r="W158" i="89"/>
  <c r="U158" i="89"/>
  <c r="X158" i="89"/>
  <c r="Q158" i="89"/>
  <c r="Y158" i="89"/>
  <c r="T158" i="89"/>
  <c r="R154" i="89"/>
  <c r="V154" i="89"/>
  <c r="Z154" i="89"/>
  <c r="S154" i="89"/>
  <c r="W154" i="89"/>
  <c r="U154" i="89"/>
  <c r="X154" i="89"/>
  <c r="Q154" i="89"/>
  <c r="Y154" i="89"/>
  <c r="T154" i="89"/>
  <c r="R150" i="89"/>
  <c r="V150" i="89"/>
  <c r="Z150" i="89"/>
  <c r="S150" i="89"/>
  <c r="W150" i="89"/>
  <c r="U150" i="89"/>
  <c r="X150" i="89"/>
  <c r="Q150" i="89"/>
  <c r="Y150" i="89"/>
  <c r="T150" i="89"/>
  <c r="R146" i="89"/>
  <c r="V146" i="89"/>
  <c r="Z146" i="89"/>
  <c r="S146" i="89"/>
  <c r="W146" i="89"/>
  <c r="U146" i="89"/>
  <c r="X146" i="89"/>
  <c r="Q146" i="89"/>
  <c r="Y146" i="89"/>
  <c r="T146" i="89"/>
  <c r="R142" i="89"/>
  <c r="V142" i="89"/>
  <c r="Z142" i="89"/>
  <c r="S142" i="89"/>
  <c r="W142" i="89"/>
  <c r="U142" i="89"/>
  <c r="X142" i="89"/>
  <c r="T142" i="89"/>
  <c r="Q142" i="89"/>
  <c r="Y142" i="89"/>
  <c r="R138" i="89"/>
  <c r="V138" i="89"/>
  <c r="Z138" i="89"/>
  <c r="S138" i="89"/>
  <c r="W138" i="89"/>
  <c r="U138" i="89"/>
  <c r="X138" i="89"/>
  <c r="T138" i="89"/>
  <c r="Q138" i="89"/>
  <c r="Y138" i="89"/>
  <c r="R134" i="89"/>
  <c r="V134" i="89"/>
  <c r="Z134" i="89"/>
  <c r="S134" i="89"/>
  <c r="W134" i="89"/>
  <c r="U134" i="89"/>
  <c r="X134" i="89"/>
  <c r="T134" i="89"/>
  <c r="Q134" i="89"/>
  <c r="Y134" i="89"/>
  <c r="R130" i="89"/>
  <c r="V130" i="89"/>
  <c r="Z130" i="89"/>
  <c r="S130" i="89"/>
  <c r="W130" i="89"/>
  <c r="U130" i="89"/>
  <c r="X130" i="89"/>
  <c r="T130" i="89"/>
  <c r="Q130" i="89"/>
  <c r="Y130" i="89"/>
  <c r="R126" i="89"/>
  <c r="V126" i="89"/>
  <c r="Z126" i="89"/>
  <c r="S126" i="89"/>
  <c r="W126" i="89"/>
  <c r="U126" i="89"/>
  <c r="X126" i="89"/>
  <c r="T126" i="89"/>
  <c r="Q126" i="89"/>
  <c r="Y126" i="89"/>
  <c r="R122" i="89"/>
  <c r="V122" i="89"/>
  <c r="Z122" i="89"/>
  <c r="S122" i="89"/>
  <c r="W122" i="89"/>
  <c r="U122" i="89"/>
  <c r="X122" i="89"/>
  <c r="T122" i="89"/>
  <c r="Q122" i="89"/>
  <c r="Y122" i="89"/>
  <c r="R118" i="89"/>
  <c r="V118" i="89"/>
  <c r="Z118" i="89"/>
  <c r="S118" i="89"/>
  <c r="W118" i="89"/>
  <c r="U118" i="89"/>
  <c r="X118" i="89"/>
  <c r="T118" i="89"/>
  <c r="Q118" i="89"/>
  <c r="Y118" i="89"/>
  <c r="R114" i="89"/>
  <c r="V114" i="89"/>
  <c r="Z114" i="89"/>
  <c r="S114" i="89"/>
  <c r="W114" i="89"/>
  <c r="U114" i="89"/>
  <c r="X114" i="89"/>
  <c r="T114" i="89"/>
  <c r="Q114" i="89"/>
  <c r="Y114" i="89"/>
  <c r="S110" i="89"/>
  <c r="W110" i="89"/>
  <c r="T110" i="89"/>
  <c r="U110" i="89"/>
  <c r="Z110" i="89"/>
  <c r="V110" i="89"/>
  <c r="R110" i="89"/>
  <c r="X110" i="89"/>
  <c r="Q110" i="89"/>
  <c r="Y110" i="89"/>
  <c r="S106" i="89"/>
  <c r="W106" i="89"/>
  <c r="T106" i="89"/>
  <c r="X106" i="89"/>
  <c r="R106" i="89"/>
  <c r="Z106" i="89"/>
  <c r="U106" i="89"/>
  <c r="V106" i="89"/>
  <c r="Q106" i="89"/>
  <c r="Y106" i="89"/>
  <c r="S102" i="89"/>
  <c r="W102" i="89"/>
  <c r="T102" i="89"/>
  <c r="X102" i="89"/>
  <c r="R102" i="89"/>
  <c r="Z102" i="89"/>
  <c r="U102" i="89"/>
  <c r="V102" i="89"/>
  <c r="Y102" i="89"/>
  <c r="Q102" i="89"/>
  <c r="S98" i="89"/>
  <c r="W98" i="89"/>
  <c r="T98" i="89"/>
  <c r="X98" i="89"/>
  <c r="R98" i="89"/>
  <c r="Z98" i="89"/>
  <c r="U98" i="89"/>
  <c r="V98" i="89"/>
  <c r="Y98" i="89"/>
  <c r="Q98" i="89"/>
  <c r="S94" i="89"/>
  <c r="W94" i="89"/>
  <c r="T94" i="89"/>
  <c r="X94" i="89"/>
  <c r="R94" i="89"/>
  <c r="Z94" i="89"/>
  <c r="U94" i="89"/>
  <c r="V94" i="89"/>
  <c r="Q94" i="89"/>
  <c r="Y94" i="89"/>
  <c r="S90" i="89"/>
  <c r="W90" i="89"/>
  <c r="T90" i="89"/>
  <c r="X90" i="89"/>
  <c r="R90" i="89"/>
  <c r="Z90" i="89"/>
  <c r="U90" i="89"/>
  <c r="V90" i="89"/>
  <c r="Q90" i="89"/>
  <c r="Y90" i="89"/>
  <c r="S86" i="89"/>
  <c r="W86" i="89"/>
  <c r="T86" i="89"/>
  <c r="X86" i="89"/>
  <c r="R86" i="89"/>
  <c r="Z86" i="89"/>
  <c r="U86" i="89"/>
  <c r="V86" i="89"/>
  <c r="Y86" i="89"/>
  <c r="Q86" i="89"/>
  <c r="S82" i="89"/>
  <c r="W82" i="89"/>
  <c r="T82" i="89"/>
  <c r="X82" i="89"/>
  <c r="Q82" i="89"/>
  <c r="U82" i="89"/>
  <c r="Y82" i="89"/>
  <c r="R82" i="89"/>
  <c r="V82" i="89"/>
  <c r="Z82" i="89"/>
  <c r="S78" i="89"/>
  <c r="W78" i="89"/>
  <c r="T78" i="89"/>
  <c r="X78" i="89"/>
  <c r="Q78" i="89"/>
  <c r="U78" i="89"/>
  <c r="Y78" i="89"/>
  <c r="Z78" i="89"/>
  <c r="R78" i="89"/>
  <c r="V78" i="89"/>
  <c r="S74" i="89"/>
  <c r="W74" i="89"/>
  <c r="T74" i="89"/>
  <c r="X74" i="89"/>
  <c r="Q74" i="89"/>
  <c r="U74" i="89"/>
  <c r="Y74" i="89"/>
  <c r="R74" i="89"/>
  <c r="V74" i="89"/>
  <c r="Z74" i="89"/>
  <c r="S70" i="89"/>
  <c r="W70" i="89"/>
  <c r="T70" i="89"/>
  <c r="X70" i="89"/>
  <c r="Q70" i="89"/>
  <c r="U70" i="89"/>
  <c r="Y70" i="89"/>
  <c r="Z70" i="89"/>
  <c r="V70" i="89"/>
  <c r="R70" i="89"/>
  <c r="S66" i="89"/>
  <c r="W66" i="89"/>
  <c r="T66" i="89"/>
  <c r="X66" i="89"/>
  <c r="Q66" i="89"/>
  <c r="U66" i="89"/>
  <c r="Y66" i="89"/>
  <c r="R66" i="89"/>
  <c r="V66" i="89"/>
  <c r="Z66" i="89"/>
  <c r="S62" i="89"/>
  <c r="W62" i="89"/>
  <c r="T62" i="89"/>
  <c r="X62" i="89"/>
  <c r="Q62" i="89"/>
  <c r="U62" i="89"/>
  <c r="Y62" i="89"/>
  <c r="Z62" i="89"/>
  <c r="R62" i="89"/>
  <c r="V62" i="89"/>
  <c r="S58" i="89"/>
  <c r="W58" i="89"/>
  <c r="T58" i="89"/>
  <c r="X58" i="89"/>
  <c r="Q58" i="89"/>
  <c r="U58" i="89"/>
  <c r="Y58" i="89"/>
  <c r="R58" i="89"/>
  <c r="V58" i="89"/>
  <c r="Z58" i="89"/>
  <c r="S54" i="89"/>
  <c r="W54" i="89"/>
  <c r="T54" i="89"/>
  <c r="X54" i="89"/>
  <c r="Q54" i="89"/>
  <c r="U54" i="89"/>
  <c r="Y54" i="89"/>
  <c r="Z54" i="89"/>
  <c r="V54" i="89"/>
  <c r="R54" i="89"/>
  <c r="T155" i="89"/>
  <c r="X155" i="89"/>
  <c r="Q155" i="89"/>
  <c r="U155" i="89"/>
  <c r="Y155" i="89"/>
  <c r="S155" i="89"/>
  <c r="V155" i="89"/>
  <c r="W155" i="89"/>
  <c r="R155" i="89"/>
  <c r="Z155" i="89"/>
  <c r="T139" i="89"/>
  <c r="X139" i="89"/>
  <c r="Q139" i="89"/>
  <c r="U139" i="89"/>
  <c r="Y139" i="89"/>
  <c r="S139" i="89"/>
  <c r="V139" i="89"/>
  <c r="R139" i="89"/>
  <c r="Z139" i="89"/>
  <c r="W139" i="89"/>
  <c r="T127" i="89"/>
  <c r="X127" i="89"/>
  <c r="Q127" i="89"/>
  <c r="U127" i="89"/>
  <c r="Y127" i="89"/>
  <c r="S127" i="89"/>
  <c r="V127" i="89"/>
  <c r="R127" i="89"/>
  <c r="Z127" i="89"/>
  <c r="W127" i="89"/>
  <c r="T115" i="89"/>
  <c r="X115" i="89"/>
  <c r="Q115" i="89"/>
  <c r="U115" i="89"/>
  <c r="Y115" i="89"/>
  <c r="S115" i="89"/>
  <c r="V115" i="89"/>
  <c r="R115" i="89"/>
  <c r="Z115" i="89"/>
  <c r="W115" i="89"/>
  <c r="Q103" i="89"/>
  <c r="U103" i="89"/>
  <c r="Y103" i="89"/>
  <c r="R103" i="89"/>
  <c r="V103" i="89"/>
  <c r="Z103" i="89"/>
  <c r="X103" i="89"/>
  <c r="S103" i="89"/>
  <c r="T103" i="89"/>
  <c r="W103" i="89"/>
  <c r="Q91" i="89"/>
  <c r="U91" i="89"/>
  <c r="Y91" i="89"/>
  <c r="R91" i="89"/>
  <c r="V91" i="89"/>
  <c r="Z91" i="89"/>
  <c r="X91" i="89"/>
  <c r="S91" i="89"/>
  <c r="T91" i="89"/>
  <c r="W91" i="89"/>
  <c r="Q75" i="89"/>
  <c r="U75" i="89"/>
  <c r="Y75" i="89"/>
  <c r="R75" i="89"/>
  <c r="V75" i="89"/>
  <c r="Z75" i="89"/>
  <c r="S75" i="89"/>
  <c r="W75" i="89"/>
  <c r="X75" i="89"/>
  <c r="T75" i="89"/>
  <c r="Q59" i="89"/>
  <c r="U59" i="89"/>
  <c r="Y59" i="89"/>
  <c r="R59" i="89"/>
  <c r="V59" i="89"/>
  <c r="Z59" i="89"/>
  <c r="S59" i="89"/>
  <c r="W59" i="89"/>
  <c r="X59" i="89"/>
  <c r="T59" i="89"/>
  <c r="S165" i="89"/>
  <c r="W165" i="89"/>
  <c r="R165" i="89"/>
  <c r="Z165" i="89"/>
  <c r="T165" i="89"/>
  <c r="X165" i="89"/>
  <c r="Q165" i="89"/>
  <c r="U165" i="89"/>
  <c r="Y165" i="89"/>
  <c r="V165" i="89"/>
  <c r="T161" i="89"/>
  <c r="Q161" i="89"/>
  <c r="U161" i="89"/>
  <c r="W161" i="89"/>
  <c r="V161" i="89"/>
  <c r="R161" i="89"/>
  <c r="X161" i="89"/>
  <c r="S161" i="89"/>
  <c r="Y161" i="89"/>
  <c r="Z161" i="89"/>
  <c r="T157" i="89"/>
  <c r="X157" i="89"/>
  <c r="Q157" i="89"/>
  <c r="U157" i="89"/>
  <c r="Y157" i="89"/>
  <c r="W157" i="89"/>
  <c r="R157" i="89"/>
  <c r="Z157" i="89"/>
  <c r="S157" i="89"/>
  <c r="V157" i="89"/>
  <c r="T153" i="89"/>
  <c r="X153" i="89"/>
  <c r="Q153" i="89"/>
  <c r="U153" i="89"/>
  <c r="Y153" i="89"/>
  <c r="W153" i="89"/>
  <c r="R153" i="89"/>
  <c r="Z153" i="89"/>
  <c r="S153" i="89"/>
  <c r="V153" i="89"/>
  <c r="T149" i="89"/>
  <c r="X149" i="89"/>
  <c r="Q149" i="89"/>
  <c r="U149" i="89"/>
  <c r="Y149" i="89"/>
  <c r="W149" i="89"/>
  <c r="R149" i="89"/>
  <c r="Z149" i="89"/>
  <c r="S149" i="89"/>
  <c r="V149" i="89"/>
  <c r="T145" i="89"/>
  <c r="X145" i="89"/>
  <c r="Q145" i="89"/>
  <c r="U145" i="89"/>
  <c r="Y145" i="89"/>
  <c r="W145" i="89"/>
  <c r="R145" i="89"/>
  <c r="Z145" i="89"/>
  <c r="S145" i="89"/>
  <c r="V145" i="89"/>
  <c r="T141" i="89"/>
  <c r="X141" i="89"/>
  <c r="Q141" i="89"/>
  <c r="U141" i="89"/>
  <c r="Y141" i="89"/>
  <c r="W141" i="89"/>
  <c r="R141" i="89"/>
  <c r="Z141" i="89"/>
  <c r="V141" i="89"/>
  <c r="S141" i="89"/>
  <c r="T137" i="89"/>
  <c r="X137" i="89"/>
  <c r="Q137" i="89"/>
  <c r="U137" i="89"/>
  <c r="Y137" i="89"/>
  <c r="W137" i="89"/>
  <c r="R137" i="89"/>
  <c r="Z137" i="89"/>
  <c r="V137" i="89"/>
  <c r="S137" i="89"/>
  <c r="T133" i="89"/>
  <c r="X133" i="89"/>
  <c r="Q133" i="89"/>
  <c r="U133" i="89"/>
  <c r="Y133" i="89"/>
  <c r="W133" i="89"/>
  <c r="R133" i="89"/>
  <c r="Z133" i="89"/>
  <c r="V133" i="89"/>
  <c r="S133" i="89"/>
  <c r="T129" i="89"/>
  <c r="X129" i="89"/>
  <c r="Q129" i="89"/>
  <c r="U129" i="89"/>
  <c r="Y129" i="89"/>
  <c r="W129" i="89"/>
  <c r="R129" i="89"/>
  <c r="Z129" i="89"/>
  <c r="V129" i="89"/>
  <c r="S129" i="89"/>
  <c r="T125" i="89"/>
  <c r="X125" i="89"/>
  <c r="Q125" i="89"/>
  <c r="U125" i="89"/>
  <c r="Y125" i="89"/>
  <c r="W125" i="89"/>
  <c r="R125" i="89"/>
  <c r="Z125" i="89"/>
  <c r="V125" i="89"/>
  <c r="S125" i="89"/>
  <c r="T121" i="89"/>
  <c r="X121" i="89"/>
  <c r="Q121" i="89"/>
  <c r="U121" i="89"/>
  <c r="Y121" i="89"/>
  <c r="W121" i="89"/>
  <c r="R121" i="89"/>
  <c r="Z121" i="89"/>
  <c r="V121" i="89"/>
  <c r="S121" i="89"/>
  <c r="T117" i="89"/>
  <c r="X117" i="89"/>
  <c r="Q117" i="89"/>
  <c r="U117" i="89"/>
  <c r="Y117" i="89"/>
  <c r="W117" i="89"/>
  <c r="R117" i="89"/>
  <c r="Z117" i="89"/>
  <c r="V117" i="89"/>
  <c r="S117" i="89"/>
  <c r="T113" i="89"/>
  <c r="X113" i="89"/>
  <c r="Q113" i="89"/>
  <c r="U113" i="89"/>
  <c r="Y113" i="89"/>
  <c r="W113" i="89"/>
  <c r="R113" i="89"/>
  <c r="Z113" i="89"/>
  <c r="V113" i="89"/>
  <c r="S113" i="89"/>
  <c r="Q109" i="89"/>
  <c r="U109" i="89"/>
  <c r="Y109" i="89"/>
  <c r="R109" i="89"/>
  <c r="V109" i="89"/>
  <c r="Z109" i="89"/>
  <c r="W109" i="89"/>
  <c r="X109" i="89"/>
  <c r="S109" i="89"/>
  <c r="T109" i="89"/>
  <c r="Q105" i="89"/>
  <c r="U105" i="89"/>
  <c r="Y105" i="89"/>
  <c r="R105" i="89"/>
  <c r="V105" i="89"/>
  <c r="Z105" i="89"/>
  <c r="T105" i="89"/>
  <c r="W105" i="89"/>
  <c r="X105" i="89"/>
  <c r="S105" i="89"/>
  <c r="Q101" i="89"/>
  <c r="U101" i="89"/>
  <c r="Y101" i="89"/>
  <c r="R101" i="89"/>
  <c r="V101" i="89"/>
  <c r="Z101" i="89"/>
  <c r="T101" i="89"/>
  <c r="W101" i="89"/>
  <c r="X101" i="89"/>
  <c r="S101" i="89"/>
  <c r="Q97" i="89"/>
  <c r="U97" i="89"/>
  <c r="Y97" i="89"/>
  <c r="R97" i="89"/>
  <c r="V97" i="89"/>
  <c r="Z97" i="89"/>
  <c r="T97" i="89"/>
  <c r="W97" i="89"/>
  <c r="X97" i="89"/>
  <c r="S97" i="89"/>
  <c r="Q93" i="89"/>
  <c r="U93" i="89"/>
  <c r="Y93" i="89"/>
  <c r="R93" i="89"/>
  <c r="V93" i="89"/>
  <c r="Z93" i="89"/>
  <c r="T93" i="89"/>
  <c r="W93" i="89"/>
  <c r="X93" i="89"/>
  <c r="S93" i="89"/>
  <c r="Q89" i="89"/>
  <c r="U89" i="89"/>
  <c r="Y89" i="89"/>
  <c r="R89" i="89"/>
  <c r="V89" i="89"/>
  <c r="Z89" i="89"/>
  <c r="T89" i="89"/>
  <c r="W89" i="89"/>
  <c r="X89" i="89"/>
  <c r="S89" i="89"/>
  <c r="Q85" i="89"/>
  <c r="U85" i="89"/>
  <c r="Y85" i="89"/>
  <c r="R85" i="89"/>
  <c r="V85" i="89"/>
  <c r="Z85" i="89"/>
  <c r="T85" i="89"/>
  <c r="W85" i="89"/>
  <c r="X85" i="89"/>
  <c r="S85" i="89"/>
  <c r="Q81" i="89"/>
  <c r="U81" i="89"/>
  <c r="Y81" i="89"/>
  <c r="R81" i="89"/>
  <c r="V81" i="89"/>
  <c r="Z81" i="89"/>
  <c r="S81" i="89"/>
  <c r="W81" i="89"/>
  <c r="T81" i="89"/>
  <c r="X81" i="89"/>
  <c r="Q77" i="89"/>
  <c r="U77" i="89"/>
  <c r="Y77" i="89"/>
  <c r="R77" i="89"/>
  <c r="V77" i="89"/>
  <c r="Z77" i="89"/>
  <c r="S77" i="89"/>
  <c r="W77" i="89"/>
  <c r="T77" i="89"/>
  <c r="X77" i="89"/>
  <c r="Q73" i="89"/>
  <c r="U73" i="89"/>
  <c r="Y73" i="89"/>
  <c r="R73" i="89"/>
  <c r="V73" i="89"/>
  <c r="Z73" i="89"/>
  <c r="S73" i="89"/>
  <c r="W73" i="89"/>
  <c r="X73" i="89"/>
  <c r="T73" i="89"/>
  <c r="Q69" i="89"/>
  <c r="U69" i="89"/>
  <c r="Y69" i="89"/>
  <c r="R69" i="89"/>
  <c r="V69" i="89"/>
  <c r="Z69" i="89"/>
  <c r="S69" i="89"/>
  <c r="W69" i="89"/>
  <c r="T69" i="89"/>
  <c r="X69" i="89"/>
  <c r="Q65" i="89"/>
  <c r="U65" i="89"/>
  <c r="Y65" i="89"/>
  <c r="R65" i="89"/>
  <c r="V65" i="89"/>
  <c r="Z65" i="89"/>
  <c r="S65" i="89"/>
  <c r="W65" i="89"/>
  <c r="T65" i="89"/>
  <c r="X65" i="89"/>
  <c r="Q61" i="89"/>
  <c r="U61" i="89"/>
  <c r="Y61" i="89"/>
  <c r="R61" i="89"/>
  <c r="V61" i="89"/>
  <c r="Z61" i="89"/>
  <c r="S61" i="89"/>
  <c r="W61" i="89"/>
  <c r="T61" i="89"/>
  <c r="X61" i="89"/>
  <c r="Q57" i="89"/>
  <c r="U57" i="89"/>
  <c r="Y57" i="89"/>
  <c r="R57" i="89"/>
  <c r="V57" i="89"/>
  <c r="Z57" i="89"/>
  <c r="S57" i="89"/>
  <c r="W57" i="89"/>
  <c r="X57" i="89"/>
  <c r="T57" i="89"/>
  <c r="Q53" i="89"/>
  <c r="U53" i="89"/>
  <c r="Y53" i="89"/>
  <c r="R53" i="89"/>
  <c r="V53" i="89"/>
  <c r="Z53" i="89"/>
  <c r="S53" i="89"/>
  <c r="W53" i="89"/>
  <c r="T53" i="89"/>
  <c r="X53" i="89"/>
  <c r="T159" i="89"/>
  <c r="X159" i="89"/>
  <c r="Q159" i="89"/>
  <c r="U159" i="89"/>
  <c r="Y159" i="89"/>
  <c r="S159" i="89"/>
  <c r="V159" i="89"/>
  <c r="W159" i="89"/>
  <c r="R159" i="89"/>
  <c r="Z159" i="89"/>
  <c r="T143" i="89"/>
  <c r="X143" i="89"/>
  <c r="Q143" i="89"/>
  <c r="U143" i="89"/>
  <c r="Y143" i="89"/>
  <c r="S143" i="89"/>
  <c r="V143" i="89"/>
  <c r="R143" i="89"/>
  <c r="Z143" i="89"/>
  <c r="W143" i="89"/>
  <c r="T131" i="89"/>
  <c r="X131" i="89"/>
  <c r="Q131" i="89"/>
  <c r="U131" i="89"/>
  <c r="Y131" i="89"/>
  <c r="S131" i="89"/>
  <c r="V131" i="89"/>
  <c r="R131" i="89"/>
  <c r="Z131" i="89"/>
  <c r="W131" i="89"/>
  <c r="T111" i="89"/>
  <c r="X111" i="89"/>
  <c r="Q111" i="89"/>
  <c r="U111" i="89"/>
  <c r="Y111" i="89"/>
  <c r="S111" i="89"/>
  <c r="V111" i="89"/>
  <c r="R111" i="89"/>
  <c r="Z111" i="89"/>
  <c r="W111" i="89"/>
  <c r="Q99" i="89"/>
  <c r="U99" i="89"/>
  <c r="Y99" i="89"/>
  <c r="R99" i="89"/>
  <c r="V99" i="89"/>
  <c r="Z99" i="89"/>
  <c r="X99" i="89"/>
  <c r="S99" i="89"/>
  <c r="T99" i="89"/>
  <c r="W99" i="89"/>
  <c r="Q87" i="89"/>
  <c r="U87" i="89"/>
  <c r="Y87" i="89"/>
  <c r="R87" i="89"/>
  <c r="V87" i="89"/>
  <c r="Z87" i="89"/>
  <c r="X87" i="89"/>
  <c r="S87" i="89"/>
  <c r="T87" i="89"/>
  <c r="W87" i="89"/>
  <c r="Q79" i="89"/>
  <c r="U79" i="89"/>
  <c r="Y79" i="89"/>
  <c r="R79" i="89"/>
  <c r="V79" i="89"/>
  <c r="Z79" i="89"/>
  <c r="S79" i="89"/>
  <c r="W79" i="89"/>
  <c r="T79" i="89"/>
  <c r="X79" i="89"/>
  <c r="Q63" i="89"/>
  <c r="U63" i="89"/>
  <c r="Y63" i="89"/>
  <c r="R63" i="89"/>
  <c r="V63" i="89"/>
  <c r="Z63" i="89"/>
  <c r="S63" i="89"/>
  <c r="W63" i="89"/>
  <c r="T63" i="89"/>
  <c r="X63" i="89"/>
  <c r="Q51" i="89"/>
  <c r="U51" i="89"/>
  <c r="Y51" i="89"/>
  <c r="R51" i="89"/>
  <c r="V51" i="89"/>
  <c r="Z51" i="89"/>
  <c r="S51" i="89"/>
  <c r="W51" i="89"/>
  <c r="X51" i="89"/>
  <c r="T51" i="89"/>
  <c r="Q164" i="89"/>
  <c r="U164" i="89"/>
  <c r="Y164" i="89"/>
  <c r="T164" i="89"/>
  <c r="R164" i="89"/>
  <c r="V164" i="89"/>
  <c r="Z164" i="89"/>
  <c r="S164" i="89"/>
  <c r="W164" i="89"/>
  <c r="X164" i="89"/>
  <c r="R160" i="89"/>
  <c r="V160" i="89"/>
  <c r="Z160" i="89"/>
  <c r="S160" i="89"/>
  <c r="W160" i="89"/>
  <c r="Q160" i="89"/>
  <c r="Y160" i="89"/>
  <c r="T160" i="89"/>
  <c r="U160" i="89"/>
  <c r="X160" i="89"/>
  <c r="R156" i="89"/>
  <c r="V156" i="89"/>
  <c r="Z156" i="89"/>
  <c r="S156" i="89"/>
  <c r="W156" i="89"/>
  <c r="Q156" i="89"/>
  <c r="Y156" i="89"/>
  <c r="T156" i="89"/>
  <c r="U156" i="89"/>
  <c r="X156" i="89"/>
  <c r="R152" i="89"/>
  <c r="V152" i="89"/>
  <c r="Z152" i="89"/>
  <c r="S152" i="89"/>
  <c r="W152" i="89"/>
  <c r="Q152" i="89"/>
  <c r="Y152" i="89"/>
  <c r="T152" i="89"/>
  <c r="U152" i="89"/>
  <c r="X152" i="89"/>
  <c r="R148" i="89"/>
  <c r="V148" i="89"/>
  <c r="Z148" i="89"/>
  <c r="S148" i="89"/>
  <c r="W148" i="89"/>
  <c r="Q148" i="89"/>
  <c r="Y148" i="89"/>
  <c r="T148" i="89"/>
  <c r="U148" i="89"/>
  <c r="X148" i="89"/>
  <c r="R144" i="89"/>
  <c r="V144" i="89"/>
  <c r="Z144" i="89"/>
  <c r="S144" i="89"/>
  <c r="W144" i="89"/>
  <c r="Q144" i="89"/>
  <c r="Y144" i="89"/>
  <c r="T144" i="89"/>
  <c r="U144" i="89"/>
  <c r="X144" i="89"/>
  <c r="R140" i="89"/>
  <c r="V140" i="89"/>
  <c r="Z140" i="89"/>
  <c r="S140" i="89"/>
  <c r="W140" i="89"/>
  <c r="Q140" i="89"/>
  <c r="Y140" i="89"/>
  <c r="T140" i="89"/>
  <c r="X140" i="89"/>
  <c r="U140" i="89"/>
  <c r="R136" i="89"/>
  <c r="V136" i="89"/>
  <c r="Z136" i="89"/>
  <c r="S136" i="89"/>
  <c r="W136" i="89"/>
  <c r="Q136" i="89"/>
  <c r="Y136" i="89"/>
  <c r="T136" i="89"/>
  <c r="X136" i="89"/>
  <c r="U136" i="89"/>
  <c r="R132" i="89"/>
  <c r="V132" i="89"/>
  <c r="Z132" i="89"/>
  <c r="S132" i="89"/>
  <c r="W132" i="89"/>
  <c r="Q132" i="89"/>
  <c r="Y132" i="89"/>
  <c r="T132" i="89"/>
  <c r="X132" i="89"/>
  <c r="U132" i="89"/>
  <c r="R128" i="89"/>
  <c r="V128" i="89"/>
  <c r="Z128" i="89"/>
  <c r="S128" i="89"/>
  <c r="W128" i="89"/>
  <c r="Q128" i="89"/>
  <c r="Y128" i="89"/>
  <c r="T128" i="89"/>
  <c r="X128" i="89"/>
  <c r="U128" i="89"/>
  <c r="R124" i="89"/>
  <c r="V124" i="89"/>
  <c r="Z124" i="89"/>
  <c r="S124" i="89"/>
  <c r="W124" i="89"/>
  <c r="Q124" i="89"/>
  <c r="Y124" i="89"/>
  <c r="T124" i="89"/>
  <c r="X124" i="89"/>
  <c r="U124" i="89"/>
  <c r="R120" i="89"/>
  <c r="V120" i="89"/>
  <c r="Z120" i="89"/>
  <c r="S120" i="89"/>
  <c r="W120" i="89"/>
  <c r="Q120" i="89"/>
  <c r="Y120" i="89"/>
  <c r="T120" i="89"/>
  <c r="X120" i="89"/>
  <c r="U120" i="89"/>
  <c r="R116" i="89"/>
  <c r="V116" i="89"/>
  <c r="Z116" i="89"/>
  <c r="S116" i="89"/>
  <c r="W116" i="89"/>
  <c r="Q116" i="89"/>
  <c r="Y116" i="89"/>
  <c r="T116" i="89"/>
  <c r="X116" i="89"/>
  <c r="U116" i="89"/>
  <c r="R112" i="89"/>
  <c r="V112" i="89"/>
  <c r="Z112" i="89"/>
  <c r="S112" i="89"/>
  <c r="W112" i="89"/>
  <c r="Q112" i="89"/>
  <c r="Y112" i="89"/>
  <c r="T112" i="89"/>
  <c r="X112" i="89"/>
  <c r="U112" i="89"/>
  <c r="S108" i="89"/>
  <c r="W108" i="89"/>
  <c r="T108" i="89"/>
  <c r="X108" i="89"/>
  <c r="Q108" i="89"/>
  <c r="Y108" i="89"/>
  <c r="R108" i="89"/>
  <c r="Z108" i="89"/>
  <c r="V108" i="89"/>
  <c r="U108" i="89"/>
  <c r="S104" i="89"/>
  <c r="W104" i="89"/>
  <c r="T104" i="89"/>
  <c r="X104" i="89"/>
  <c r="V104" i="89"/>
  <c r="Q104" i="89"/>
  <c r="Y104" i="89"/>
  <c r="R104" i="89"/>
  <c r="Z104" i="89"/>
  <c r="U104" i="89"/>
  <c r="S100" i="89"/>
  <c r="W100" i="89"/>
  <c r="T100" i="89"/>
  <c r="X100" i="89"/>
  <c r="V100" i="89"/>
  <c r="Q100" i="89"/>
  <c r="Y100" i="89"/>
  <c r="R100" i="89"/>
  <c r="Z100" i="89"/>
  <c r="U100" i="89"/>
  <c r="S96" i="89"/>
  <c r="W96" i="89"/>
  <c r="T96" i="89"/>
  <c r="X96" i="89"/>
  <c r="V96" i="89"/>
  <c r="Q96" i="89"/>
  <c r="Y96" i="89"/>
  <c r="R96" i="89"/>
  <c r="Z96" i="89"/>
  <c r="U96" i="89"/>
  <c r="S92" i="89"/>
  <c r="W92" i="89"/>
  <c r="T92" i="89"/>
  <c r="X92" i="89"/>
  <c r="V92" i="89"/>
  <c r="Q92" i="89"/>
  <c r="Y92" i="89"/>
  <c r="R92" i="89"/>
  <c r="Z92" i="89"/>
  <c r="U92" i="89"/>
  <c r="S88" i="89"/>
  <c r="W88" i="89"/>
  <c r="T88" i="89"/>
  <c r="X88" i="89"/>
  <c r="V88" i="89"/>
  <c r="Q88" i="89"/>
  <c r="Y88" i="89"/>
  <c r="R88" i="89"/>
  <c r="Z88" i="89"/>
  <c r="U88" i="89"/>
  <c r="S84" i="89"/>
  <c r="W84" i="89"/>
  <c r="T84" i="89"/>
  <c r="X84" i="89"/>
  <c r="Q84" i="89"/>
  <c r="U84" i="89"/>
  <c r="Y84" i="89"/>
  <c r="R84" i="89"/>
  <c r="V84" i="89"/>
  <c r="Z84" i="89"/>
  <c r="S80" i="89"/>
  <c r="W80" i="89"/>
  <c r="T80" i="89"/>
  <c r="X80" i="89"/>
  <c r="Q80" i="89"/>
  <c r="U80" i="89"/>
  <c r="Y80" i="89"/>
  <c r="V80" i="89"/>
  <c r="Z80" i="89"/>
  <c r="R80" i="89"/>
  <c r="S76" i="89"/>
  <c r="W76" i="89"/>
  <c r="T76" i="89"/>
  <c r="X76" i="89"/>
  <c r="Q76" i="89"/>
  <c r="U76" i="89"/>
  <c r="Y76" i="89"/>
  <c r="R76" i="89"/>
  <c r="Z76" i="89"/>
  <c r="V76" i="89"/>
  <c r="S72" i="89"/>
  <c r="W72" i="89"/>
  <c r="T72" i="89"/>
  <c r="X72" i="89"/>
  <c r="Q72" i="89"/>
  <c r="U72" i="89"/>
  <c r="Y72" i="89"/>
  <c r="V72" i="89"/>
  <c r="Z72" i="89"/>
  <c r="R72" i="89"/>
  <c r="S68" i="89"/>
  <c r="W68" i="89"/>
  <c r="T68" i="89"/>
  <c r="X68" i="89"/>
  <c r="Q68" i="89"/>
  <c r="U68" i="89"/>
  <c r="Y68" i="89"/>
  <c r="R68" i="89"/>
  <c r="V68" i="89"/>
  <c r="Z68" i="89"/>
  <c r="S64" i="89"/>
  <c r="W64" i="89"/>
  <c r="T64" i="89"/>
  <c r="X64" i="89"/>
  <c r="Q64" i="89"/>
  <c r="U64" i="89"/>
  <c r="Y64" i="89"/>
  <c r="V64" i="89"/>
  <c r="Z64" i="89"/>
  <c r="R64" i="89"/>
  <c r="S60" i="89"/>
  <c r="W60" i="89"/>
  <c r="T60" i="89"/>
  <c r="X60" i="89"/>
  <c r="Q60" i="89"/>
  <c r="U60" i="89"/>
  <c r="Y60" i="89"/>
  <c r="R60" i="89"/>
  <c r="Z60" i="89"/>
  <c r="V60" i="89"/>
  <c r="S56" i="89"/>
  <c r="W56" i="89"/>
  <c r="T56" i="89"/>
  <c r="X56" i="89"/>
  <c r="Q56" i="89"/>
  <c r="U56" i="89"/>
  <c r="Y56" i="89"/>
  <c r="V56" i="89"/>
  <c r="Z56" i="89"/>
  <c r="R56" i="89"/>
  <c r="S52" i="89"/>
  <c r="W52" i="89"/>
  <c r="T52" i="89"/>
  <c r="X52" i="89"/>
  <c r="Q52" i="89"/>
  <c r="U52" i="89"/>
  <c r="Y52" i="89"/>
  <c r="R52" i="89"/>
  <c r="V52" i="89"/>
  <c r="Z52" i="89"/>
  <c r="T123" i="89"/>
  <c r="X123" i="89"/>
  <c r="Q123" i="89"/>
  <c r="U123" i="89"/>
  <c r="Y123" i="89"/>
  <c r="S123" i="89"/>
  <c r="V123" i="89"/>
  <c r="R123" i="89"/>
  <c r="Z123" i="89"/>
  <c r="W123" i="89"/>
  <c r="Q67" i="89"/>
  <c r="U67" i="89"/>
  <c r="Y67" i="89"/>
  <c r="R67" i="89"/>
  <c r="V67" i="89"/>
  <c r="Z67" i="89"/>
  <c r="S67" i="89"/>
  <c r="W67" i="89"/>
  <c r="X67" i="89"/>
  <c r="T67" i="89"/>
  <c r="AN1097" i="90"/>
  <c r="BB346" i="90"/>
  <c r="BB67" i="90"/>
  <c r="BB466" i="90"/>
  <c r="AZ265" i="90"/>
  <c r="BB185" i="90"/>
  <c r="BB527" i="90"/>
  <c r="BB447" i="90"/>
  <c r="BB267" i="90"/>
  <c r="BB247" i="90"/>
  <c r="BB7" i="90"/>
  <c r="BB186" i="90"/>
  <c r="BB106" i="90"/>
  <c r="BB26" i="90"/>
  <c r="AZ505" i="90"/>
  <c r="AZ425" i="90"/>
  <c r="AZ345" i="90"/>
  <c r="AZ45" i="90"/>
  <c r="BB366" i="90"/>
  <c r="BB27" i="90"/>
  <c r="BB326" i="90"/>
  <c r="BB306" i="90"/>
  <c r="AZ225" i="90"/>
  <c r="BB145" i="90"/>
  <c r="AZ5" i="90"/>
  <c r="AZ485" i="90"/>
  <c r="BB405" i="90"/>
  <c r="AZ325" i="90"/>
  <c r="AZ245" i="90"/>
  <c r="AZ85" i="90"/>
  <c r="BB147" i="90"/>
  <c r="BB265" i="90"/>
  <c r="AZ25" i="90"/>
  <c r="BB446" i="90"/>
  <c r="BB87" i="90"/>
  <c r="BB386" i="90"/>
  <c r="BB505" i="90"/>
  <c r="BB425" i="90"/>
  <c r="BB345" i="90"/>
  <c r="AZ125" i="90"/>
  <c r="BB45" i="90"/>
  <c r="BB107" i="90"/>
  <c r="BB225" i="90"/>
  <c r="BB286" i="90"/>
  <c r="BB426" i="90"/>
  <c r="BB507" i="90"/>
  <c r="BB427" i="90"/>
  <c r="BB347" i="90"/>
  <c r="BB47" i="90"/>
  <c r="BB166" i="90"/>
  <c r="BB86" i="90"/>
  <c r="BB6" i="90"/>
  <c r="BB5" i="90"/>
  <c r="BB485" i="90"/>
  <c r="AZ405" i="90"/>
  <c r="BB325" i="90"/>
  <c r="BB245" i="90"/>
  <c r="BB85" i="90"/>
  <c r="BB486" i="90"/>
  <c r="AZ105" i="90"/>
  <c r="BB25" i="90"/>
  <c r="BB487" i="90"/>
  <c r="BB407" i="90"/>
  <c r="BB327" i="90"/>
  <c r="BB167" i="90"/>
  <c r="BB406" i="90"/>
  <c r="BB146" i="90"/>
  <c r="BB66" i="90"/>
  <c r="AZ545" i="90"/>
  <c r="AZ465" i="90"/>
  <c r="AZ385" i="90"/>
  <c r="AZ305" i="90"/>
  <c r="AZ205" i="90"/>
  <c r="BB125" i="90"/>
  <c r="BB506" i="90"/>
  <c r="BB187" i="90"/>
  <c r="BB227" i="90"/>
  <c r="AZ65" i="90"/>
  <c r="BB127" i="90"/>
  <c r="BB546" i="90"/>
  <c r="AZ525" i="90"/>
  <c r="AZ445" i="90"/>
  <c r="AZ365" i="90"/>
  <c r="AZ285" i="90"/>
  <c r="AZ165" i="90"/>
  <c r="AZ185" i="90"/>
  <c r="BB105" i="90"/>
  <c r="BB367" i="90"/>
  <c r="BB287" i="90"/>
  <c r="BB207" i="90"/>
  <c r="BB545" i="90"/>
  <c r="BB465" i="90"/>
  <c r="BB385" i="90"/>
  <c r="BB305" i="90"/>
  <c r="BB205" i="90"/>
  <c r="AZ145" i="90"/>
  <c r="BB65" i="90"/>
  <c r="BB547" i="90"/>
  <c r="BB467" i="90"/>
  <c r="BB387" i="90"/>
  <c r="BB307" i="90"/>
  <c r="BB266" i="90"/>
  <c r="BB246" i="90"/>
  <c r="BB226" i="90"/>
  <c r="BB206" i="90"/>
  <c r="BB126" i="90"/>
  <c r="BB46" i="90"/>
  <c r="BB525" i="90"/>
  <c r="BB445" i="90"/>
  <c r="BB365" i="90"/>
  <c r="BB285" i="90"/>
  <c r="BB165" i="90"/>
  <c r="BB526" i="90"/>
  <c r="AL1043" i="90"/>
  <c r="AL162" i="90"/>
  <c r="AL354" i="90"/>
  <c r="AL835" i="90"/>
  <c r="AL324" i="90"/>
  <c r="AL691" i="90"/>
  <c r="AL35" i="90"/>
  <c r="AL1075" i="90"/>
  <c r="AL996" i="90"/>
  <c r="AL179" i="90"/>
  <c r="AL339" i="90"/>
  <c r="AL164" i="90"/>
  <c r="AL1347" i="90"/>
  <c r="AL509" i="90"/>
  <c r="AL420" i="90"/>
  <c r="AL20" i="90"/>
  <c r="AL1251" i="90"/>
  <c r="AL387" i="90"/>
  <c r="AL1394" i="90"/>
  <c r="AL573" i="90"/>
  <c r="AL1405" i="90"/>
  <c r="AL1341" i="90"/>
  <c r="AL643" i="90"/>
  <c r="AL533" i="90"/>
  <c r="AL1266" i="90"/>
  <c r="AN1420" i="90"/>
  <c r="AL1340" i="90"/>
  <c r="AN1292" i="90"/>
  <c r="AN1260" i="90"/>
  <c r="AL700" i="90"/>
  <c r="AN652" i="90"/>
  <c r="AN491" i="90"/>
  <c r="AL277" i="90"/>
  <c r="AN269" i="90"/>
  <c r="AN245" i="90"/>
  <c r="AN213" i="90"/>
  <c r="AL149" i="90"/>
  <c r="AN45" i="90"/>
  <c r="AL1221" i="90"/>
  <c r="AL965" i="90"/>
  <c r="AN709" i="90"/>
  <c r="AL517" i="90"/>
  <c r="AN1233" i="90"/>
  <c r="AL977" i="90"/>
  <c r="AN465" i="90"/>
  <c r="AN1453" i="90"/>
  <c r="AL1261" i="90"/>
  <c r="AL1197" i="90"/>
  <c r="AN1005" i="90"/>
  <c r="AL941" i="90"/>
  <c r="AL749" i="90"/>
  <c r="AN685" i="90"/>
  <c r="AL493" i="90"/>
  <c r="AL1456" i="90"/>
  <c r="AN1440" i="90"/>
  <c r="AL1392" i="90"/>
  <c r="AN1376" i="90"/>
  <c r="AL1328" i="90"/>
  <c r="AN1312" i="90"/>
  <c r="AL1264" i="90"/>
  <c r="AN1232" i="90"/>
  <c r="AN1200" i="90"/>
  <c r="AL1152" i="90"/>
  <c r="AN1136" i="90"/>
  <c r="AL1120" i="90"/>
  <c r="AN1072" i="90"/>
  <c r="AN1008" i="90"/>
  <c r="AL992" i="90"/>
  <c r="AN944" i="90"/>
  <c r="AL928" i="90"/>
  <c r="AN880" i="90"/>
  <c r="AL864" i="90"/>
  <c r="AL848" i="90"/>
  <c r="AN816" i="90"/>
  <c r="AL800" i="90"/>
  <c r="AN752" i="90"/>
  <c r="AL736" i="90"/>
  <c r="AN688" i="90"/>
  <c r="AL672" i="90"/>
  <c r="AN624" i="90"/>
  <c r="AL608" i="90"/>
  <c r="AL560" i="90"/>
  <c r="AN544" i="90"/>
  <c r="AL496" i="90"/>
  <c r="AN480" i="90"/>
  <c r="AL432" i="90"/>
  <c r="AL416" i="90"/>
  <c r="AN368" i="90"/>
  <c r="AL352" i="90"/>
  <c r="AN304" i="90"/>
  <c r="AL288" i="90"/>
  <c r="AN240" i="90"/>
  <c r="AL224" i="90"/>
  <c r="AL176" i="90"/>
  <c r="AN160" i="90"/>
  <c r="AL112" i="90"/>
  <c r="AN96" i="90"/>
  <c r="AL48" i="90"/>
  <c r="AN32" i="90"/>
  <c r="AL413" i="90"/>
  <c r="AN385" i="90"/>
  <c r="AN349" i="90"/>
  <c r="AN317" i="90"/>
  <c r="AN277" i="90"/>
  <c r="AL213" i="90"/>
  <c r="AL125" i="90"/>
  <c r="AL93" i="90"/>
  <c r="AN53" i="90"/>
  <c r="AL1029" i="90"/>
  <c r="AL837" i="90"/>
  <c r="AL581" i="90"/>
  <c r="AN1297" i="90"/>
  <c r="AL1041" i="90"/>
  <c r="AL849" i="90"/>
  <c r="AN529" i="90"/>
  <c r="AL1005" i="90"/>
  <c r="AL813" i="90"/>
  <c r="AL557" i="90"/>
  <c r="AL1408" i="90"/>
  <c r="AL1344" i="90"/>
  <c r="AL1280" i="90"/>
  <c r="AL1200" i="90"/>
  <c r="AL1072" i="90"/>
  <c r="AN1024" i="90"/>
  <c r="AN960" i="90"/>
  <c r="AN832" i="90"/>
  <c r="AL624" i="90"/>
  <c r="AN384" i="90"/>
  <c r="AN176" i="90"/>
  <c r="AN112" i="90"/>
  <c r="AN48" i="90"/>
  <c r="AN1423" i="90"/>
  <c r="AL1375" i="90"/>
  <c r="AL1167" i="90"/>
  <c r="AN1119" i="90"/>
  <c r="AN1055" i="90"/>
  <c r="AN991" i="90"/>
  <c r="AN927" i="90"/>
  <c r="AL863" i="90"/>
  <c r="AL735" i="90"/>
  <c r="AN335" i="90"/>
  <c r="AN271" i="90"/>
  <c r="AL207" i="90"/>
  <c r="AN143" i="90"/>
  <c r="AL95" i="90"/>
  <c r="AL1406" i="90"/>
  <c r="AL1086" i="90"/>
  <c r="AL958" i="90"/>
  <c r="AN830" i="90"/>
  <c r="AL750" i="90"/>
  <c r="AL686" i="90"/>
  <c r="AN558" i="90"/>
  <c r="AL510" i="90"/>
  <c r="AL366" i="90"/>
  <c r="AL302" i="90"/>
  <c r="AN254" i="90"/>
  <c r="AL190" i="90"/>
  <c r="AL62" i="90"/>
  <c r="AL41" i="90"/>
  <c r="AL5" i="90"/>
  <c r="AN629" i="90"/>
  <c r="AL1409" i="90"/>
  <c r="AL1089" i="90"/>
  <c r="AL833" i="90"/>
  <c r="AN577" i="90"/>
  <c r="AN1309" i="90"/>
  <c r="AN1117" i="90"/>
  <c r="AL1404" i="90"/>
  <c r="AN1356" i="90"/>
  <c r="AL1324" i="90"/>
  <c r="AN1084" i="90"/>
  <c r="AL1036" i="90"/>
  <c r="AN1020" i="90"/>
  <c r="AL972" i="90"/>
  <c r="AL892" i="90"/>
  <c r="AN844" i="90"/>
  <c r="AN508" i="90"/>
  <c r="AL460" i="90"/>
  <c r="AL316" i="90"/>
  <c r="AN268" i="90"/>
  <c r="AL124" i="90"/>
  <c r="AN437" i="90"/>
  <c r="AL405" i="90"/>
  <c r="AL365" i="90"/>
  <c r="AN341" i="90"/>
  <c r="AN309" i="90"/>
  <c r="AN173" i="90"/>
  <c r="AN109" i="90"/>
  <c r="AL85" i="90"/>
  <c r="AL21" i="90"/>
  <c r="AL1285" i="90"/>
  <c r="AN1029" i="90"/>
  <c r="AL773" i="90"/>
  <c r="AL1297" i="90"/>
  <c r="AL721" i="90"/>
  <c r="AL437" i="90"/>
  <c r="AL429" i="90"/>
  <c r="AN405" i="90"/>
  <c r="AL397" i="90"/>
  <c r="AN365" i="90"/>
  <c r="AL357" i="90"/>
  <c r="AN333" i="90"/>
  <c r="AL325" i="90"/>
  <c r="AN301" i="90"/>
  <c r="AL293" i="90"/>
  <c r="AN445" i="90"/>
  <c r="AL377" i="90"/>
  <c r="AL341" i="90"/>
  <c r="AL309" i="90"/>
  <c r="AL253" i="90"/>
  <c r="AL181" i="90"/>
  <c r="AN149" i="90"/>
  <c r="AN117" i="90"/>
  <c r="AL61" i="90"/>
  <c r="AN21" i="90"/>
  <c r="AL1349" i="90"/>
  <c r="AN1093" i="90"/>
  <c r="AN517" i="90"/>
  <c r="AL1361" i="90"/>
  <c r="AN1261" i="90"/>
  <c r="AN749" i="90"/>
  <c r="AN1328" i="90"/>
  <c r="AL1136" i="90"/>
  <c r="AL752" i="90"/>
  <c r="AN704" i="90"/>
  <c r="AN640" i="90"/>
  <c r="AL576" i="90"/>
  <c r="AN496" i="90"/>
  <c r="AN432" i="90"/>
  <c r="AL368" i="90"/>
  <c r="AL304" i="90"/>
  <c r="AN256" i="90"/>
  <c r="AL240" i="90"/>
  <c r="AL192" i="90"/>
  <c r="AL128" i="90"/>
  <c r="AL64" i="90"/>
  <c r="AL1439" i="90"/>
  <c r="AN1359" i="90"/>
  <c r="AL1311" i="90"/>
  <c r="AL1247" i="90"/>
  <c r="AL1039" i="90"/>
  <c r="AL975" i="90"/>
  <c r="AL911" i="90"/>
  <c r="AN847" i="90"/>
  <c r="AN783" i="90"/>
  <c r="AN719" i="90"/>
  <c r="AL671" i="90"/>
  <c r="AL607" i="90"/>
  <c r="AL543" i="90"/>
  <c r="AN463" i="90"/>
  <c r="AN415" i="90"/>
  <c r="AL351" i="90"/>
  <c r="AL159" i="90"/>
  <c r="AN79" i="90"/>
  <c r="AN15" i="90"/>
  <c r="AN1454" i="90"/>
  <c r="AL1342" i="90"/>
  <c r="AL1278" i="90"/>
  <c r="AN1198" i="90"/>
  <c r="AL1150" i="90"/>
  <c r="AN1070" i="90"/>
  <c r="AL1022" i="90"/>
  <c r="AN942" i="90"/>
  <c r="AL878" i="90"/>
  <c r="AL814" i="90"/>
  <c r="AN766" i="90"/>
  <c r="AN702" i="90"/>
  <c r="AN638" i="90"/>
  <c r="AL574" i="90"/>
  <c r="AN494" i="90"/>
  <c r="AL430" i="90"/>
  <c r="AN318" i="90"/>
  <c r="AN110" i="90"/>
  <c r="AN425" i="90"/>
  <c r="AL281" i="90"/>
  <c r="AN25" i="90"/>
  <c r="AL1141" i="90"/>
  <c r="AN885" i="90"/>
  <c r="AN1345" i="90"/>
  <c r="AL897" i="90"/>
  <c r="AL1053" i="90"/>
  <c r="AL861" i="90"/>
  <c r="AN541" i="90"/>
  <c r="AL1388" i="90"/>
  <c r="AL1212" i="90"/>
  <c r="AL1164" i="90"/>
  <c r="AN1148" i="90"/>
  <c r="AL1100" i="90"/>
  <c r="AN780" i="90"/>
  <c r="AN716" i="90"/>
  <c r="AL636" i="90"/>
  <c r="AL588" i="90"/>
  <c r="AL380" i="90"/>
  <c r="AL252" i="90"/>
  <c r="AN204" i="90"/>
  <c r="AL475" i="90"/>
  <c r="AL445" i="90"/>
  <c r="AN413" i="90"/>
  <c r="AN377" i="90"/>
  <c r="AL333" i="90"/>
  <c r="AL301" i="90"/>
  <c r="AL237" i="90"/>
  <c r="AL205" i="90"/>
  <c r="AN181" i="90"/>
  <c r="AN141" i="90"/>
  <c r="AL117" i="90"/>
  <c r="AN77" i="90"/>
  <c r="AL53" i="90"/>
  <c r="AN13" i="90"/>
  <c r="AN1041" i="90"/>
  <c r="AN785" i="90"/>
  <c r="AL529" i="90"/>
  <c r="AN453" i="90"/>
  <c r="AN429" i="90"/>
  <c r="AL421" i="90"/>
  <c r="AN397" i="90"/>
  <c r="AL385" i="90"/>
  <c r="AN357" i="90"/>
  <c r="AL349" i="90"/>
  <c r="AN325" i="90"/>
  <c r="AL317" i="90"/>
  <c r="AN293" i="90"/>
  <c r="AN285" i="90"/>
  <c r="AL261" i="90"/>
  <c r="AN253" i="90"/>
  <c r="AN229" i="90"/>
  <c r="AL221" i="90"/>
  <c r="AN197" i="90"/>
  <c r="AL189" i="90"/>
  <c r="AL165" i="90"/>
  <c r="AN157" i="90"/>
  <c r="AL133" i="90"/>
  <c r="AL453" i="90"/>
  <c r="AN421" i="90"/>
  <c r="AL285" i="90"/>
  <c r="AL245" i="90"/>
  <c r="AN221" i="90"/>
  <c r="AN189" i="90"/>
  <c r="AL157" i="90"/>
  <c r="AN85" i="90"/>
  <c r="AL29" i="90"/>
  <c r="AN1285" i="90"/>
  <c r="AN773" i="90"/>
  <c r="AN1105" i="90"/>
  <c r="AL785" i="90"/>
  <c r="AN593" i="90"/>
  <c r="AL1325" i="90"/>
  <c r="AN1069" i="90"/>
  <c r="AN493" i="90"/>
  <c r="AN1456" i="90"/>
  <c r="AN1392" i="90"/>
  <c r="AN1248" i="90"/>
  <c r="AN1216" i="90"/>
  <c r="AL1184" i="90"/>
  <c r="AN1152" i="90"/>
  <c r="AN1088" i="90"/>
  <c r="AL1056" i="90"/>
  <c r="AL1008" i="90"/>
  <c r="AL944" i="90"/>
  <c r="AN896" i="90"/>
  <c r="AL816" i="90"/>
  <c r="AN768" i="90"/>
  <c r="AL688" i="90"/>
  <c r="AN560" i="90"/>
  <c r="AL512" i="90"/>
  <c r="AL448" i="90"/>
  <c r="AN320" i="90"/>
  <c r="AN1295" i="90"/>
  <c r="AN1231" i="90"/>
  <c r="AN1183" i="90"/>
  <c r="AL1103" i="90"/>
  <c r="AL799" i="90"/>
  <c r="AN655" i="90"/>
  <c r="AL591" i="90"/>
  <c r="AN527" i="90"/>
  <c r="AL479" i="90"/>
  <c r="AN399" i="90"/>
  <c r="AL287" i="90"/>
  <c r="AN223" i="90"/>
  <c r="AL31" i="90"/>
  <c r="AN1326" i="90"/>
  <c r="AN1294" i="90"/>
  <c r="AN1262" i="90"/>
  <c r="AL1214" i="90"/>
  <c r="AN1134" i="90"/>
  <c r="AN1006" i="90"/>
  <c r="AN894" i="90"/>
  <c r="AL622" i="90"/>
  <c r="AL446" i="90"/>
  <c r="AN382" i="90"/>
  <c r="AL238" i="90"/>
  <c r="AN174" i="90"/>
  <c r="AL126" i="90"/>
  <c r="AN46" i="90"/>
  <c r="AN345" i="90"/>
  <c r="AN1397" i="90"/>
  <c r="AN1205" i="90"/>
  <c r="AN949" i="90"/>
  <c r="AL693" i="90"/>
  <c r="AN1153" i="90"/>
  <c r="AN641" i="90"/>
  <c r="AL1373" i="90"/>
  <c r="AN797" i="90"/>
  <c r="AL605" i="90"/>
  <c r="AL1452" i="90"/>
  <c r="AL1228" i="90"/>
  <c r="AN956" i="90"/>
  <c r="AN908" i="90"/>
  <c r="AL828" i="90"/>
  <c r="AL764" i="90"/>
  <c r="AN572" i="90"/>
  <c r="AL524" i="90"/>
  <c r="AN444" i="90"/>
  <c r="AN396" i="90"/>
  <c r="AN332" i="90"/>
  <c r="AN188" i="90"/>
  <c r="AN140" i="90"/>
  <c r="AL76" i="90"/>
  <c r="AN60" i="90"/>
  <c r="AL12" i="90"/>
  <c r="AL1451" i="90"/>
  <c r="AN1435" i="90"/>
  <c r="AL1387" i="90"/>
  <c r="AN1371" i="90"/>
  <c r="AL1323" i="90"/>
  <c r="AN1307" i="90"/>
  <c r="AL1259" i="90"/>
  <c r="AN1243" i="90"/>
  <c r="AN1195" i="90"/>
  <c r="AL1179" i="90"/>
  <c r="AN1131" i="90"/>
  <c r="AL1115" i="90"/>
  <c r="AN1067" i="90"/>
  <c r="AL1051" i="90"/>
  <c r="AN1003" i="90"/>
  <c r="AL987" i="90"/>
  <c r="AN939" i="90"/>
  <c r="AL923" i="90"/>
  <c r="AL875" i="90"/>
  <c r="AN859" i="90"/>
  <c r="AL811" i="90"/>
  <c r="AN795" i="90"/>
  <c r="AL747" i="90"/>
  <c r="AN731" i="90"/>
  <c r="AL683" i="90"/>
  <c r="AN667" i="90"/>
  <c r="AL619" i="90"/>
  <c r="AN603" i="90"/>
  <c r="AL555" i="90"/>
  <c r="AL539" i="90"/>
  <c r="AL427" i="90"/>
  <c r="AN411" i="90"/>
  <c r="AL363" i="90"/>
  <c r="AN347" i="90"/>
  <c r="AL299" i="90"/>
  <c r="AN283" i="90"/>
  <c r="AN235" i="90"/>
  <c r="AL219" i="90"/>
  <c r="AL171" i="90"/>
  <c r="AN155" i="90"/>
  <c r="AL107" i="90"/>
  <c r="AN91" i="90"/>
  <c r="AL43" i="90"/>
  <c r="AN27" i="90"/>
  <c r="AL1418" i="90"/>
  <c r="AN1402" i="90"/>
  <c r="AL1354" i="90"/>
  <c r="AN1338" i="90"/>
  <c r="AL1290" i="90"/>
  <c r="AN1274" i="90"/>
  <c r="AL1226" i="90"/>
  <c r="AN1210" i="90"/>
  <c r="AL1162" i="90"/>
  <c r="AN1146" i="90"/>
  <c r="AL1098" i="90"/>
  <c r="AN1082" i="90"/>
  <c r="AL1034" i="90"/>
  <c r="AN1018" i="90"/>
  <c r="AL970" i="90"/>
  <c r="AN954" i="90"/>
  <c r="AN906" i="90"/>
  <c r="AL890" i="90"/>
  <c r="AN842" i="90"/>
  <c r="AL826" i="90"/>
  <c r="AN778" i="90"/>
  <c r="AL762" i="90"/>
  <c r="AN714" i="90"/>
  <c r="AL698" i="90"/>
  <c r="AN650" i="90"/>
  <c r="AL634" i="90"/>
  <c r="AL586" i="90"/>
  <c r="AN570" i="90"/>
  <c r="AL522" i="90"/>
  <c r="AN506" i="90"/>
  <c r="AL458" i="90"/>
  <c r="AN442" i="90"/>
  <c r="AN394" i="90"/>
  <c r="AL378" i="90"/>
  <c r="AN330" i="90"/>
  <c r="AL314" i="90"/>
  <c r="AN266" i="90"/>
  <c r="AL250" i="90"/>
  <c r="AL202" i="90"/>
  <c r="AN186" i="90"/>
  <c r="AL138" i="90"/>
  <c r="AN122" i="90"/>
  <c r="AL74" i="90"/>
  <c r="AN58" i="90"/>
  <c r="AL10" i="90"/>
  <c r="AL449" i="90"/>
  <c r="AN441" i="90"/>
  <c r="AN401" i="90"/>
  <c r="AL389" i="90"/>
  <c r="AN353" i="90"/>
  <c r="AL337" i="90"/>
  <c r="AN313" i="90"/>
  <c r="AL305" i="90"/>
  <c r="AN273" i="90"/>
  <c r="AL265" i="90"/>
  <c r="AN241" i="90"/>
  <c r="AL233" i="90"/>
  <c r="AN209" i="90"/>
  <c r="AL201" i="90"/>
  <c r="AN177" i="90"/>
  <c r="AN169" i="90"/>
  <c r="AL145" i="90"/>
  <c r="AN137" i="90"/>
  <c r="AL113" i="90"/>
  <c r="AN97" i="90"/>
  <c r="AL65" i="90"/>
  <c r="AN57" i="90"/>
  <c r="AL17" i="90"/>
  <c r="AN9" i="90"/>
  <c r="AL1381" i="90"/>
  <c r="AN1317" i="90"/>
  <c r="AN1125" i="90"/>
  <c r="AL1061" i="90"/>
  <c r="AL869" i="90"/>
  <c r="AN805" i="90"/>
  <c r="AL613" i="90"/>
  <c r="AN549" i="90"/>
  <c r="AL1329" i="90"/>
  <c r="AN1265" i="90"/>
  <c r="AN1073" i="90"/>
  <c r="AL1009" i="90"/>
  <c r="AN817" i="90"/>
  <c r="AL753" i="90"/>
  <c r="AN561" i="90"/>
  <c r="AN497" i="90"/>
  <c r="AL1293" i="90"/>
  <c r="AN1229" i="90"/>
  <c r="AN1037" i="90"/>
  <c r="AL973" i="90"/>
  <c r="AL781" i="90"/>
  <c r="AN717" i="90"/>
  <c r="AL525" i="90"/>
  <c r="AN461" i="90"/>
  <c r="AN1448" i="90"/>
  <c r="AL1400" i="90"/>
  <c r="AN1384" i="90"/>
  <c r="AL1336" i="90"/>
  <c r="AN1320" i="90"/>
  <c r="AL1272" i="90"/>
  <c r="AN1256" i="90"/>
  <c r="AN1208" i="90"/>
  <c r="AL1192" i="90"/>
  <c r="AN1144" i="90"/>
  <c r="AL1128" i="90"/>
  <c r="AN1080" i="90"/>
  <c r="AL1064" i="90"/>
  <c r="AN1016" i="90"/>
  <c r="AL1000" i="90"/>
  <c r="AN952" i="90"/>
  <c r="AL936" i="90"/>
  <c r="AN888" i="90"/>
  <c r="AL872" i="90"/>
  <c r="AN824" i="90"/>
  <c r="AL808" i="90"/>
  <c r="AN760" i="90"/>
  <c r="AL744" i="90"/>
  <c r="AN696" i="90"/>
  <c r="AL680" i="90"/>
  <c r="AN632" i="90"/>
  <c r="AL616" i="90"/>
  <c r="AL568" i="90"/>
  <c r="AN552" i="90"/>
  <c r="AL504" i="90"/>
  <c r="AN488" i="90"/>
  <c r="AL440" i="90"/>
  <c r="AL424" i="90"/>
  <c r="AN376" i="90"/>
  <c r="AL360" i="90"/>
  <c r="AN312" i="90"/>
  <c r="AL296" i="90"/>
  <c r="AN248" i="90"/>
  <c r="AL232" i="90"/>
  <c r="AL184" i="90"/>
  <c r="AN168" i="90"/>
  <c r="AL120" i="90"/>
  <c r="AN104" i="90"/>
  <c r="AL56" i="90"/>
  <c r="AN40" i="90"/>
  <c r="AL1431" i="90"/>
  <c r="AN1415" i="90"/>
  <c r="AL1367" i="90"/>
  <c r="AN1351" i="90"/>
  <c r="AL1303" i="90"/>
  <c r="AN1287" i="90"/>
  <c r="AL1239" i="90"/>
  <c r="AN1223" i="90"/>
  <c r="AN1175" i="90"/>
  <c r="AL1159" i="90"/>
  <c r="AN1111" i="90"/>
  <c r="AL1095" i="90"/>
  <c r="AN1047" i="90"/>
  <c r="AL1031" i="90"/>
  <c r="AN983" i="90"/>
  <c r="AL967" i="90"/>
  <c r="AN919" i="90"/>
  <c r="AN903" i="90"/>
  <c r="AL855" i="90"/>
  <c r="AN839" i="90"/>
  <c r="AL791" i="90"/>
  <c r="AN775" i="90"/>
  <c r="AL727" i="90"/>
  <c r="AN711" i="90"/>
  <c r="AL663" i="90"/>
  <c r="AN647" i="90"/>
  <c r="AN599" i="90"/>
  <c r="AL583" i="90"/>
  <c r="AL535" i="90"/>
  <c r="AN519" i="90"/>
  <c r="AL471" i="90"/>
  <c r="AN455" i="90"/>
  <c r="AL407" i="90"/>
  <c r="AN391" i="90"/>
  <c r="AL343" i="90"/>
  <c r="AN327" i="90"/>
  <c r="AL279" i="90"/>
  <c r="AN263" i="90"/>
  <c r="AN215" i="90"/>
  <c r="AL199" i="90"/>
  <c r="AL151" i="90"/>
  <c r="AN135" i="90"/>
  <c r="AL87" i="90"/>
  <c r="AN71" i="90"/>
  <c r="AL23" i="90"/>
  <c r="AN7" i="90"/>
  <c r="AN1446" i="90"/>
  <c r="AL1398" i="90"/>
  <c r="AN1382" i="90"/>
  <c r="AL1334" i="90"/>
  <c r="AN1318" i="90"/>
  <c r="AL1270" i="90"/>
  <c r="AN1254" i="90"/>
  <c r="AL1206" i="90"/>
  <c r="AN1190" i="90"/>
  <c r="AL1142" i="90"/>
  <c r="AN1126" i="90"/>
  <c r="AL1078" i="90"/>
  <c r="AN1062" i="90"/>
  <c r="AL1014" i="90"/>
  <c r="AN998" i="90"/>
  <c r="AL950" i="90"/>
  <c r="AN934" i="90"/>
  <c r="AN886" i="90"/>
  <c r="AL870" i="90"/>
  <c r="AN822" i="90"/>
  <c r="AL806" i="90"/>
  <c r="AN758" i="90"/>
  <c r="AL742" i="90"/>
  <c r="AN694" i="90"/>
  <c r="AL678" i="90"/>
  <c r="AN630" i="90"/>
  <c r="AL614" i="90"/>
  <c r="AL566" i="90"/>
  <c r="AN550" i="90"/>
  <c r="AL502" i="90"/>
  <c r="AN486" i="90"/>
  <c r="AL438" i="90"/>
  <c r="AL422" i="90"/>
  <c r="AN374" i="90"/>
  <c r="AL358" i="90"/>
  <c r="AN310" i="90"/>
  <c r="AL294" i="90"/>
  <c r="AN246" i="90"/>
  <c r="AL230" i="90"/>
  <c r="AL182" i="90"/>
  <c r="AN166" i="90"/>
  <c r="AL118" i="90"/>
  <c r="AN102" i="90"/>
  <c r="AL54" i="90"/>
  <c r="AN38" i="90"/>
  <c r="AN1301" i="90"/>
  <c r="AN1045" i="90"/>
  <c r="AL853" i="90"/>
  <c r="AN661" i="90"/>
  <c r="AN533" i="90"/>
  <c r="AN1377" i="90"/>
  <c r="AL1185" i="90"/>
  <c r="AN1057" i="90"/>
  <c r="AL993" i="90"/>
  <c r="AN801" i="90"/>
  <c r="AL737" i="90"/>
  <c r="AL545" i="90"/>
  <c r="AL1044" i="90"/>
  <c r="AN580" i="90"/>
  <c r="AN116" i="90"/>
  <c r="AN52" i="90"/>
  <c r="AN1427" i="90"/>
  <c r="AN1331" i="90"/>
  <c r="AN1075" i="90"/>
  <c r="AN403" i="90"/>
  <c r="AN1394" i="90"/>
  <c r="AN1154" i="90"/>
  <c r="AN994" i="90"/>
  <c r="AN786" i="90"/>
  <c r="AL738" i="90"/>
  <c r="AN674" i="90"/>
  <c r="AL626" i="90"/>
  <c r="AL498" i="90"/>
  <c r="AN386" i="90"/>
  <c r="AN274" i="90"/>
  <c r="AL146" i="90"/>
  <c r="AN114" i="90"/>
  <c r="AN573" i="90"/>
  <c r="AN1460" i="90"/>
  <c r="AL1428" i="90"/>
  <c r="AN1332" i="90"/>
  <c r="AL1300" i="90"/>
  <c r="AL1220" i="90"/>
  <c r="AN1124" i="90"/>
  <c r="AL1012" i="90"/>
  <c r="AN980" i="90"/>
  <c r="AN900" i="90"/>
  <c r="AN804" i="90"/>
  <c r="AL772" i="90"/>
  <c r="AN708" i="90"/>
  <c r="AL676" i="90"/>
  <c r="AL564" i="90"/>
  <c r="AN532" i="90"/>
  <c r="AN356" i="90"/>
  <c r="AN164" i="90"/>
  <c r="AL132" i="90"/>
  <c r="AL36" i="90"/>
  <c r="AN1395" i="90"/>
  <c r="AN1107" i="90"/>
  <c r="AN883" i="90"/>
  <c r="AN659" i="90"/>
  <c r="AL323" i="90"/>
  <c r="AN243" i="90"/>
  <c r="AN1234" i="90"/>
  <c r="AN1010" i="90"/>
  <c r="AN594" i="90"/>
  <c r="AL418" i="90"/>
  <c r="AN290" i="90"/>
  <c r="AL242" i="90"/>
  <c r="AN82" i="90"/>
  <c r="AN1277" i="90"/>
  <c r="AN1085" i="90"/>
  <c r="AN1444" i="90"/>
  <c r="AN1348" i="90"/>
  <c r="AN1204" i="90"/>
  <c r="AN1172" i="90"/>
  <c r="AL1076" i="90"/>
  <c r="AN1028" i="90"/>
  <c r="AL948" i="90"/>
  <c r="AL916" i="90"/>
  <c r="AN820" i="90"/>
  <c r="AN692" i="90"/>
  <c r="AL660" i="90"/>
  <c r="AL548" i="90"/>
  <c r="AN516" i="90"/>
  <c r="AN388" i="90"/>
  <c r="AN292" i="90"/>
  <c r="AL260" i="90"/>
  <c r="AL1443" i="90"/>
  <c r="AN1123" i="90"/>
  <c r="AN915" i="90"/>
  <c r="AN771" i="90"/>
  <c r="AN691" i="90"/>
  <c r="AN387" i="90"/>
  <c r="AN259" i="90"/>
  <c r="AN179" i="90"/>
  <c r="AN131" i="90"/>
  <c r="AN1410" i="90"/>
  <c r="AN1282" i="90"/>
  <c r="AL1074" i="90"/>
  <c r="AN850" i="90"/>
  <c r="AN610" i="90"/>
  <c r="AN562" i="90"/>
  <c r="AN402" i="90"/>
  <c r="AL370" i="90"/>
  <c r="AN50" i="90"/>
  <c r="AL1423" i="90"/>
  <c r="AN1407" i="90"/>
  <c r="AL1359" i="90"/>
  <c r="AN1343" i="90"/>
  <c r="AL1295" i="90"/>
  <c r="AN1279" i="90"/>
  <c r="AL1231" i="90"/>
  <c r="AL1215" i="90"/>
  <c r="AN1167" i="90"/>
  <c r="AL1151" i="90"/>
  <c r="AN1103" i="90"/>
  <c r="AL1087" i="90"/>
  <c r="AN1039" i="90"/>
  <c r="AL1023" i="90"/>
  <c r="AN975" i="90"/>
  <c r="AL959" i="90"/>
  <c r="AN911" i="90"/>
  <c r="AN895" i="90"/>
  <c r="AL847" i="90"/>
  <c r="AN831" i="90"/>
  <c r="AL783" i="90"/>
  <c r="AN767" i="90"/>
  <c r="AL719" i="90"/>
  <c r="AN703" i="90"/>
  <c r="AL655" i="90"/>
  <c r="AN639" i="90"/>
  <c r="AN591" i="90"/>
  <c r="AL575" i="90"/>
  <c r="AL527" i="90"/>
  <c r="AN511" i="90"/>
  <c r="AL463" i="90"/>
  <c r="AN447" i="90"/>
  <c r="AL399" i="90"/>
  <c r="AN383" i="90"/>
  <c r="AL335" i="90"/>
  <c r="AN319" i="90"/>
  <c r="AL271" i="90"/>
  <c r="AN255" i="90"/>
  <c r="AN207" i="90"/>
  <c r="AL191" i="90"/>
  <c r="AL143" i="90"/>
  <c r="AN127" i="90"/>
  <c r="AL79" i="90"/>
  <c r="AN63" i="90"/>
  <c r="AL15" i="90"/>
  <c r="AL1454" i="90"/>
  <c r="AN1438" i="90"/>
  <c r="AN1422" i="90"/>
  <c r="AL1390" i="90"/>
  <c r="AN1374" i="90"/>
  <c r="AL1326" i="90"/>
  <c r="AN1310" i="90"/>
  <c r="AL1262" i="90"/>
  <c r="AN1246" i="90"/>
  <c r="AL1198" i="90"/>
  <c r="AN1182" i="90"/>
  <c r="AL1134" i="90"/>
  <c r="AN1118" i="90"/>
  <c r="AL1070" i="90"/>
  <c r="AN1054" i="90"/>
  <c r="AL1006" i="90"/>
  <c r="AN990" i="90"/>
  <c r="AL942" i="90"/>
  <c r="AL926" i="90"/>
  <c r="AN878" i="90"/>
  <c r="AL862" i="90"/>
  <c r="AN814" i="90"/>
  <c r="AL798" i="90"/>
  <c r="AN750" i="90"/>
  <c r="AL734" i="90"/>
  <c r="AN686" i="90"/>
  <c r="AL670" i="90"/>
  <c r="AN622" i="90"/>
  <c r="AL606" i="90"/>
  <c r="AL558" i="90"/>
  <c r="AN542" i="90"/>
  <c r="AL494" i="90"/>
  <c r="AN478" i="90"/>
  <c r="AN430" i="90"/>
  <c r="AL414" i="90"/>
  <c r="AN366" i="90"/>
  <c r="AL350" i="90"/>
  <c r="AN302" i="90"/>
  <c r="AL286" i="90"/>
  <c r="AN238" i="90"/>
  <c r="AL222" i="90"/>
  <c r="AL174" i="90"/>
  <c r="AN158" i="90"/>
  <c r="AL110" i="90"/>
  <c r="AN94" i="90"/>
  <c r="AL46" i="90"/>
  <c r="AN30" i="90"/>
  <c r="AL425" i="90"/>
  <c r="AN409" i="90"/>
  <c r="AN281" i="90"/>
  <c r="AN105" i="90"/>
  <c r="AL25" i="90"/>
  <c r="AL1397" i="90"/>
  <c r="AN1333" i="90"/>
  <c r="AN1141" i="90"/>
  <c r="AL1077" i="90"/>
  <c r="AL885" i="90"/>
  <c r="AN821" i="90"/>
  <c r="AL629" i="90"/>
  <c r="AN565" i="90"/>
  <c r="AL1345" i="90"/>
  <c r="AN1281" i="90"/>
  <c r="AN1089" i="90"/>
  <c r="AL1025" i="90"/>
  <c r="AN833" i="90"/>
  <c r="AL769" i="90"/>
  <c r="AL577" i="90"/>
  <c r="AN513" i="90"/>
  <c r="AL1309" i="90"/>
  <c r="AN1245" i="90"/>
  <c r="AN1053" i="90"/>
  <c r="AL989" i="90"/>
  <c r="AL797" i="90"/>
  <c r="AN733" i="90"/>
  <c r="AL541" i="90"/>
  <c r="AN477" i="90"/>
  <c r="AN1404" i="90"/>
  <c r="AN1340" i="90"/>
  <c r="AL1276" i="90"/>
  <c r="AN1244" i="90"/>
  <c r="AN1212" i="90"/>
  <c r="AL1196" i="90"/>
  <c r="AL1148" i="90"/>
  <c r="AN1132" i="90"/>
  <c r="AL1084" i="90"/>
  <c r="AN1068" i="90"/>
  <c r="AL1020" i="90"/>
  <c r="AN1004" i="90"/>
  <c r="AL956" i="90"/>
  <c r="AN940" i="90"/>
  <c r="AN892" i="90"/>
  <c r="AL876" i="90"/>
  <c r="AN828" i="90"/>
  <c r="AL812" i="90"/>
  <c r="AN764" i="90"/>
  <c r="AL748" i="90"/>
  <c r="AN700" i="90"/>
  <c r="AL684" i="90"/>
  <c r="AN636" i="90"/>
  <c r="AL620" i="90"/>
  <c r="AL572" i="90"/>
  <c r="AN556" i="90"/>
  <c r="AL508" i="90"/>
  <c r="AN492" i="90"/>
  <c r="AL444" i="90"/>
  <c r="AL428" i="90"/>
  <c r="AN380" i="90"/>
  <c r="AL364" i="90"/>
  <c r="AN316" i="90"/>
  <c r="AL300" i="90"/>
  <c r="AN252" i="90"/>
  <c r="AL236" i="90"/>
  <c r="AL188" i="90"/>
  <c r="AL172" i="90"/>
  <c r="AN124" i="90"/>
  <c r="AL108" i="90"/>
  <c r="AL60" i="90"/>
  <c r="AN44" i="90"/>
  <c r="AL1435" i="90"/>
  <c r="AN1419" i="90"/>
  <c r="AL1371" i="90"/>
  <c r="AN1355" i="90"/>
  <c r="AL1307" i="90"/>
  <c r="AN1291" i="90"/>
  <c r="AL1243" i="90"/>
  <c r="AN1227" i="90"/>
  <c r="AN1179" i="90"/>
  <c r="AL1163" i="90"/>
  <c r="AN1115" i="90"/>
  <c r="AL1099" i="90"/>
  <c r="AN1051" i="90"/>
  <c r="AL1035" i="90"/>
  <c r="AN987" i="90"/>
  <c r="AL971" i="90"/>
  <c r="AN923" i="90"/>
  <c r="AN907" i="90"/>
  <c r="AL859" i="90"/>
  <c r="AN843" i="90"/>
  <c r="AL795" i="90"/>
  <c r="AN779" i="90"/>
  <c r="AL731" i="90"/>
  <c r="AN715" i="90"/>
  <c r="AL667" i="90"/>
  <c r="AN651" i="90"/>
  <c r="AL603" i="90"/>
  <c r="AN587" i="90"/>
  <c r="AN539" i="90"/>
  <c r="AL523" i="90"/>
  <c r="AN475" i="90"/>
  <c r="AL459" i="90"/>
  <c r="AL411" i="90"/>
  <c r="AN395" i="90"/>
  <c r="AL347" i="90"/>
  <c r="AN331" i="90"/>
  <c r="AL283" i="90"/>
  <c r="AN267" i="90"/>
  <c r="AN219" i="90"/>
  <c r="AL203" i="90"/>
  <c r="AL155" i="90"/>
  <c r="AN139" i="90"/>
  <c r="AL91" i="90"/>
  <c r="AN75" i="90"/>
  <c r="AL27" i="90"/>
  <c r="AN11" i="90"/>
  <c r="AN1450" i="90"/>
  <c r="AL1402" i="90"/>
  <c r="AN1386" i="90"/>
  <c r="AL1338" i="90"/>
  <c r="AN1322" i="90"/>
  <c r="AL1274" i="90"/>
  <c r="AN1258" i="90"/>
  <c r="AL1210" i="90"/>
  <c r="AN1194" i="90"/>
  <c r="AL1146" i="90"/>
  <c r="AN1130" i="90"/>
  <c r="AL1082" i="90"/>
  <c r="AL1018" i="90"/>
  <c r="AN1002" i="90"/>
  <c r="AL954" i="90"/>
  <c r="AN890" i="90"/>
  <c r="AL874" i="90"/>
  <c r="AN826" i="90"/>
  <c r="AL810" i="90"/>
  <c r="AN762" i="90"/>
  <c r="AL746" i="90"/>
  <c r="AN698" i="90"/>
  <c r="AL682" i="90"/>
  <c r="AN634" i="90"/>
  <c r="AL618" i="90"/>
  <c r="AL570" i="90"/>
  <c r="AN554" i="90"/>
  <c r="AL506" i="90"/>
  <c r="AN490" i="90"/>
  <c r="AL442" i="90"/>
  <c r="AL426" i="90"/>
  <c r="AN378" i="90"/>
  <c r="AL362" i="90"/>
  <c r="AN314" i="90"/>
  <c r="AL298" i="90"/>
  <c r="AN250" i="90"/>
  <c r="AL234" i="90"/>
  <c r="AL186" i="90"/>
  <c r="AN170" i="90"/>
  <c r="AL122" i="90"/>
  <c r="AN106" i="90"/>
  <c r="AL58" i="90"/>
  <c r="AN42" i="90"/>
  <c r="AL441" i="90"/>
  <c r="AN433" i="90"/>
  <c r="AN389" i="90"/>
  <c r="AL381" i="90"/>
  <c r="AN337" i="90"/>
  <c r="AL329" i="90"/>
  <c r="AN305" i="90"/>
  <c r="AL297" i="90"/>
  <c r="AN265" i="90"/>
  <c r="AL257" i="90"/>
  <c r="AN233" i="90"/>
  <c r="AL225" i="90"/>
  <c r="AN201" i="90"/>
  <c r="AL193" i="90"/>
  <c r="AL169" i="90"/>
  <c r="AN161" i="90"/>
  <c r="AL137" i="90"/>
  <c r="AN129" i="90"/>
  <c r="AL97" i="90"/>
  <c r="AN81" i="90"/>
  <c r="AL57" i="90"/>
  <c r="AN49" i="90"/>
  <c r="AL9" i="90"/>
  <c r="AL1317" i="90"/>
  <c r="AN1253" i="90"/>
  <c r="AN1061" i="90"/>
  <c r="AL997" i="90"/>
  <c r="AL805" i="90"/>
  <c r="AN741" i="90"/>
  <c r="AL549" i="90"/>
  <c r="AN485" i="90"/>
  <c r="AN1457" i="90"/>
  <c r="AL1265" i="90"/>
  <c r="AL1201" i="90"/>
  <c r="AN1009" i="90"/>
  <c r="AL945" i="90"/>
  <c r="AN753" i="90"/>
  <c r="AL689" i="90"/>
  <c r="AL497" i="90"/>
  <c r="AN1421" i="90"/>
  <c r="AL1229" i="90"/>
  <c r="AL1165" i="90"/>
  <c r="AN973" i="90"/>
  <c r="AL909" i="90"/>
  <c r="AL717" i="90"/>
  <c r="AN653" i="90"/>
  <c r="AL461" i="90"/>
  <c r="AL1448" i="90"/>
  <c r="AN1432" i="90"/>
  <c r="AL1384" i="90"/>
  <c r="AN1368" i="90"/>
  <c r="AL1320" i="90"/>
  <c r="AN1304" i="90"/>
  <c r="AL1256" i="90"/>
  <c r="AN1240" i="90"/>
  <c r="AN1192" i="90"/>
  <c r="AL1176" i="90"/>
  <c r="AN1128" i="90"/>
  <c r="AL1112" i="90"/>
  <c r="AN1064" i="90"/>
  <c r="AL1048" i="90"/>
  <c r="AN1000" i="90"/>
  <c r="AL984" i="90"/>
  <c r="AN936" i="90"/>
  <c r="AL920" i="90"/>
  <c r="AN872" i="90"/>
  <c r="AL856" i="90"/>
  <c r="AN808" i="90"/>
  <c r="AL792" i="90"/>
  <c r="AN744" i="90"/>
  <c r="AL728" i="90"/>
  <c r="AN680" i="90"/>
  <c r="AL664" i="90"/>
  <c r="AN616" i="90"/>
  <c r="AN600" i="90"/>
  <c r="AL552" i="90"/>
  <c r="AN536" i="90"/>
  <c r="AL488" i="90"/>
  <c r="AN472" i="90"/>
  <c r="AN424" i="90"/>
  <c r="AL408" i="90"/>
  <c r="AN360" i="90"/>
  <c r="AL344" i="90"/>
  <c r="AN296" i="90"/>
  <c r="AL280" i="90"/>
  <c r="AN232" i="90"/>
  <c r="AL216" i="90"/>
  <c r="AL168" i="90"/>
  <c r="AN152" i="90"/>
  <c r="AL104" i="90"/>
  <c r="AN88" i="90"/>
  <c r="AL40" i="90"/>
  <c r="AN24" i="90"/>
  <c r="AL1415" i="90"/>
  <c r="AN1399" i="90"/>
  <c r="AL1351" i="90"/>
  <c r="AN1335" i="90"/>
  <c r="AL1287" i="90"/>
  <c r="AN1271" i="90"/>
  <c r="AL1223" i="90"/>
  <c r="AL1207" i="90"/>
  <c r="AN1159" i="90"/>
  <c r="AL1143" i="90"/>
  <c r="AN1095" i="90"/>
  <c r="AL1079" i="90"/>
  <c r="AN1031" i="90"/>
  <c r="AL1015" i="90"/>
  <c r="AN967" i="90"/>
  <c r="AL951" i="90"/>
  <c r="AL903" i="90"/>
  <c r="AN887" i="90"/>
  <c r="AL839" i="90"/>
  <c r="AN823" i="90"/>
  <c r="AL775" i="90"/>
  <c r="AN759" i="90"/>
  <c r="AL711" i="90"/>
  <c r="AN695" i="90"/>
  <c r="AL647" i="90"/>
  <c r="AN631" i="90"/>
  <c r="AN583" i="90"/>
  <c r="AL567" i="90"/>
  <c r="AL519" i="90"/>
  <c r="AN503" i="90"/>
  <c r="AL455" i="90"/>
  <c r="AN439" i="90"/>
  <c r="AL391" i="90"/>
  <c r="AN375" i="90"/>
  <c r="AL327" i="90"/>
  <c r="AN311" i="90"/>
  <c r="AL263" i="90"/>
  <c r="AL247" i="90"/>
  <c r="AN199" i="90"/>
  <c r="AL183" i="90"/>
  <c r="AL135" i="90"/>
  <c r="AN119" i="90"/>
  <c r="AL71" i="90"/>
  <c r="AN55" i="90"/>
  <c r="AL7" i="90"/>
  <c r="AL1446" i="90"/>
  <c r="AN1430" i="90"/>
  <c r="AL1382" i="90"/>
  <c r="AN1366" i="90"/>
  <c r="AL1318" i="90"/>
  <c r="AN1302" i="90"/>
  <c r="AL1254" i="90"/>
  <c r="AN1238" i="90"/>
  <c r="AL1190" i="90"/>
  <c r="AN1174" i="90"/>
  <c r="AL1126" i="90"/>
  <c r="AN1110" i="90"/>
  <c r="AL1062" i="90"/>
  <c r="AN1046" i="90"/>
  <c r="AL998" i="90"/>
  <c r="AN982" i="90"/>
  <c r="AL934" i="90"/>
  <c r="AL918" i="90"/>
  <c r="AN870" i="90"/>
  <c r="AL854" i="90"/>
  <c r="AN806" i="90"/>
  <c r="AL790" i="90"/>
  <c r="AN742" i="90"/>
  <c r="AL726" i="90"/>
  <c r="AN678" i="90"/>
  <c r="AL662" i="90"/>
  <c r="AN614" i="90"/>
  <c r="AN598" i="90"/>
  <c r="AL550" i="90"/>
  <c r="AN534" i="90"/>
  <c r="AL486" i="90"/>
  <c r="AN470" i="90"/>
  <c r="AN422" i="90"/>
  <c r="AL406" i="90"/>
  <c r="AN358" i="90"/>
  <c r="AL342" i="90"/>
  <c r="AN294" i="90"/>
  <c r="AL278" i="90"/>
  <c r="AN230" i="90"/>
  <c r="AL214" i="90"/>
  <c r="AL166" i="90"/>
  <c r="AN150" i="90"/>
  <c r="AL102" i="90"/>
  <c r="AN86" i="90"/>
  <c r="AL38" i="90"/>
  <c r="AN22" i="90"/>
  <c r="AN1429" i="90"/>
  <c r="AN1173" i="90"/>
  <c r="AN981" i="90"/>
  <c r="AN789" i="90"/>
  <c r="AN1313" i="90"/>
  <c r="AN1185" i="90"/>
  <c r="AN993" i="90"/>
  <c r="AL929" i="90"/>
  <c r="AN737" i="90"/>
  <c r="AN481" i="90"/>
  <c r="AL580" i="90"/>
  <c r="AL52" i="90"/>
  <c r="AN1267" i="90"/>
  <c r="AN1187" i="90"/>
  <c r="AN1011" i="90"/>
  <c r="AN851" i="90"/>
  <c r="AN739" i="90"/>
  <c r="AN611" i="90"/>
  <c r="AN515" i="90"/>
  <c r="AN99" i="90"/>
  <c r="AN1346" i="90"/>
  <c r="AN1266" i="90"/>
  <c r="AN1090" i="90"/>
  <c r="AN946" i="90"/>
  <c r="AN882" i="90"/>
  <c r="AN738" i="90"/>
  <c r="AN626" i="90"/>
  <c r="AN578" i="90"/>
  <c r="AN466" i="90"/>
  <c r="AL114" i="90"/>
  <c r="AN66" i="90"/>
  <c r="AN1021" i="90"/>
  <c r="AN893" i="90"/>
  <c r="AN1428" i="90"/>
  <c r="AL1396" i="90"/>
  <c r="AN1300" i="90"/>
  <c r="AN1268" i="90"/>
  <c r="AN1220" i="90"/>
  <c r="AN1188" i="90"/>
  <c r="AN1092" i="90"/>
  <c r="AL980" i="90"/>
  <c r="AN964" i="90"/>
  <c r="AN772" i="90"/>
  <c r="AN676" i="90"/>
  <c r="AL644" i="90"/>
  <c r="AL532" i="90"/>
  <c r="AN500" i="90"/>
  <c r="AN244" i="90"/>
  <c r="AN196" i="90"/>
  <c r="AN132" i="90"/>
  <c r="AN1219" i="90"/>
  <c r="AN979" i="90"/>
  <c r="AN755" i="90"/>
  <c r="AL659" i="90"/>
  <c r="AN579" i="90"/>
  <c r="AN467" i="90"/>
  <c r="AN419" i="90"/>
  <c r="AN275" i="90"/>
  <c r="AN195" i="90"/>
  <c r="AN147" i="90"/>
  <c r="AN67" i="90"/>
  <c r="AN1362" i="90"/>
  <c r="AN1186" i="90"/>
  <c r="AN1106" i="90"/>
  <c r="AN914" i="90"/>
  <c r="AN770" i="90"/>
  <c r="AL722" i="90"/>
  <c r="AN530" i="90"/>
  <c r="AN418" i="90"/>
  <c r="AN242" i="90"/>
  <c r="AN178" i="90"/>
  <c r="AN34" i="90"/>
  <c r="AN393" i="90"/>
  <c r="AN1405" i="90"/>
  <c r="AN701" i="90"/>
  <c r="AN509" i="90"/>
  <c r="AN1412" i="90"/>
  <c r="AN1316" i="90"/>
  <c r="AN1284" i="90"/>
  <c r="AL1172" i="90"/>
  <c r="AN1140" i="90"/>
  <c r="AL1028" i="90"/>
  <c r="AN916" i="90"/>
  <c r="AL884" i="90"/>
  <c r="AN788" i="90"/>
  <c r="AN660" i="90"/>
  <c r="AL628" i="90"/>
  <c r="AL516" i="90"/>
  <c r="AN484" i="90"/>
  <c r="AN372" i="90"/>
  <c r="AN260" i="90"/>
  <c r="AN148" i="90"/>
  <c r="AL100" i="90"/>
  <c r="AN1411" i="90"/>
  <c r="AN1315" i="90"/>
  <c r="AN995" i="90"/>
  <c r="AN867" i="90"/>
  <c r="AL771" i="90"/>
  <c r="AN643" i="90"/>
  <c r="AN547" i="90"/>
  <c r="AN355" i="90"/>
  <c r="AL131" i="90"/>
  <c r="AN83" i="90"/>
  <c r="AN1458" i="90"/>
  <c r="AN1378" i="90"/>
  <c r="AN1250" i="90"/>
  <c r="AN1170" i="90"/>
  <c r="AN1026" i="90"/>
  <c r="AN802" i="90"/>
  <c r="AN690" i="90"/>
  <c r="AL642" i="90"/>
  <c r="AL562" i="90"/>
  <c r="AN514" i="90"/>
  <c r="AN370" i="90"/>
  <c r="AL322" i="90"/>
  <c r="AN210" i="90"/>
  <c r="AN162" i="90"/>
  <c r="AL50" i="90"/>
  <c r="AL269" i="90"/>
  <c r="AN261" i="90"/>
  <c r="AN237" i="90"/>
  <c r="AL229" i="90"/>
  <c r="AN205" i="90"/>
  <c r="AL197" i="90"/>
  <c r="AL173" i="90"/>
  <c r="AN165" i="90"/>
  <c r="AL141" i="90"/>
  <c r="AN133" i="90"/>
  <c r="AL109" i="90"/>
  <c r="AN101" i="90"/>
  <c r="AL77" i="90"/>
  <c r="AN69" i="90"/>
  <c r="AL45" i="90"/>
  <c r="AN37" i="90"/>
  <c r="AL13" i="90"/>
  <c r="AN1413" i="90"/>
  <c r="AN1221" i="90"/>
  <c r="AL1157" i="90"/>
  <c r="AN965" i="90"/>
  <c r="AN901" i="90"/>
  <c r="AL709" i="90"/>
  <c r="AN645" i="90"/>
  <c r="AN1425" i="90"/>
  <c r="AL1233" i="90"/>
  <c r="AL1169" i="90"/>
  <c r="AN977" i="90"/>
  <c r="AL913" i="90"/>
  <c r="AN721" i="90"/>
  <c r="AL657" i="90"/>
  <c r="AL593" i="90"/>
  <c r="AL465" i="90"/>
  <c r="AL1453" i="90"/>
  <c r="AN1389" i="90"/>
  <c r="AN1197" i="90"/>
  <c r="AL1133" i="90"/>
  <c r="AN941" i="90"/>
  <c r="AN877" i="90"/>
  <c r="AL685" i="90"/>
  <c r="AN621" i="90"/>
  <c r="AL1440" i="90"/>
  <c r="AN1424" i="90"/>
  <c r="AL1376" i="90"/>
  <c r="AN1360" i="90"/>
  <c r="AL1312" i="90"/>
  <c r="AN1296" i="90"/>
  <c r="AN1280" i="90"/>
  <c r="AL1248" i="90"/>
  <c r="AN1184" i="90"/>
  <c r="AL1168" i="90"/>
  <c r="AN1120" i="90"/>
  <c r="AL1104" i="90"/>
  <c r="AN1056" i="90"/>
  <c r="AL1040" i="90"/>
  <c r="AL1024" i="90"/>
  <c r="AN992" i="90"/>
  <c r="AL976" i="90"/>
  <c r="AN928" i="90"/>
  <c r="AL912" i="90"/>
  <c r="AN864" i="90"/>
  <c r="AN800" i="90"/>
  <c r="AL784" i="90"/>
  <c r="AN736" i="90"/>
  <c r="AL720" i="90"/>
  <c r="AN672" i="90"/>
  <c r="AL656" i="90"/>
  <c r="AN608" i="90"/>
  <c r="AN592" i="90"/>
  <c r="AL544" i="90"/>
  <c r="AN528" i="90"/>
  <c r="AL480" i="90"/>
  <c r="AN464" i="90"/>
  <c r="AN416" i="90"/>
  <c r="AL400" i="90"/>
  <c r="AN352" i="90"/>
  <c r="AL336" i="90"/>
  <c r="AN288" i="90"/>
  <c r="AL272" i="90"/>
  <c r="AN224" i="90"/>
  <c r="AL208" i="90"/>
  <c r="AL160" i="90"/>
  <c r="AN144" i="90"/>
  <c r="AL96" i="90"/>
  <c r="AN80" i="90"/>
  <c r="AL32" i="90"/>
  <c r="AN16" i="90"/>
  <c r="AN1455" i="90"/>
  <c r="AL1407" i="90"/>
  <c r="AN1391" i="90"/>
  <c r="AL1343" i="90"/>
  <c r="AN1327" i="90"/>
  <c r="AL1279" i="90"/>
  <c r="AN1263" i="90"/>
  <c r="AN1215" i="90"/>
  <c r="AL1199" i="90"/>
  <c r="AN1151" i="90"/>
  <c r="AL1135" i="90"/>
  <c r="AN1087" i="90"/>
  <c r="AL1071" i="90"/>
  <c r="AN1023" i="90"/>
  <c r="AL1007" i="90"/>
  <c r="AN959" i="90"/>
  <c r="AL943" i="90"/>
  <c r="AL895" i="90"/>
  <c r="AN879" i="90"/>
  <c r="AL831" i="90"/>
  <c r="AN815" i="90"/>
  <c r="AL767" i="90"/>
  <c r="AN751" i="90"/>
  <c r="AL703" i="90"/>
  <c r="AN687" i="90"/>
  <c r="AL639" i="90"/>
  <c r="AN623" i="90"/>
  <c r="AN575" i="90"/>
  <c r="AL559" i="90"/>
  <c r="AL511" i="90"/>
  <c r="AN495" i="90"/>
  <c r="AL447" i="90"/>
  <c r="AN431" i="90"/>
  <c r="AL383" i="90"/>
  <c r="AN367" i="90"/>
  <c r="AL319" i="90"/>
  <c r="AN303" i="90"/>
  <c r="AL255" i="90"/>
  <c r="AL239" i="90"/>
  <c r="AN191" i="90"/>
  <c r="AN175" i="90"/>
  <c r="AL127" i="90"/>
  <c r="AN111" i="90"/>
  <c r="AL63" i="90"/>
  <c r="AN47" i="90"/>
  <c r="AL1438" i="90"/>
  <c r="AN1390" i="90"/>
  <c r="AL1374" i="90"/>
  <c r="AN1358" i="90"/>
  <c r="AL1310" i="90"/>
  <c r="AL1246" i="90"/>
  <c r="AN1230" i="90"/>
  <c r="AL1182" i="90"/>
  <c r="AN1166" i="90"/>
  <c r="AL1118" i="90"/>
  <c r="AN1102" i="90"/>
  <c r="AL1054" i="90"/>
  <c r="AN1038" i="90"/>
  <c r="AL990" i="90"/>
  <c r="AN974" i="90"/>
  <c r="AN926" i="90"/>
  <c r="AL910" i="90"/>
  <c r="AN862" i="90"/>
  <c r="AL846" i="90"/>
  <c r="AN798" i="90"/>
  <c r="AL782" i="90"/>
  <c r="AN734" i="90"/>
  <c r="AL718" i="90"/>
  <c r="AN670" i="90"/>
  <c r="AL654" i="90"/>
  <c r="AN606" i="90"/>
  <c r="AN590" i="90"/>
  <c r="AL542" i="90"/>
  <c r="AN526" i="90"/>
  <c r="AL478" i="90"/>
  <c r="AN462" i="90"/>
  <c r="AN414" i="90"/>
  <c r="AL398" i="90"/>
  <c r="AN350" i="90"/>
  <c r="AL334" i="90"/>
  <c r="AN286" i="90"/>
  <c r="AL270" i="90"/>
  <c r="AN222" i="90"/>
  <c r="AL206" i="90"/>
  <c r="AL158" i="90"/>
  <c r="AN142" i="90"/>
  <c r="AL94" i="90"/>
  <c r="AN78" i="90"/>
  <c r="AL30" i="90"/>
  <c r="AN14" i="90"/>
  <c r="AL409" i="90"/>
  <c r="AL361" i="90"/>
  <c r="AL105" i="90"/>
  <c r="AN89" i="90"/>
  <c r="AL1333" i="90"/>
  <c r="AN1269" i="90"/>
  <c r="AN1077" i="90"/>
  <c r="AL1013" i="90"/>
  <c r="AL821" i="90"/>
  <c r="AN757" i="90"/>
  <c r="AL565" i="90"/>
  <c r="AN501" i="90"/>
  <c r="AL1281" i="90"/>
  <c r="AL1217" i="90"/>
  <c r="AN1025" i="90"/>
  <c r="AL961" i="90"/>
  <c r="AN769" i="90"/>
  <c r="AL705" i="90"/>
  <c r="AL513" i="90"/>
  <c r="AN1437" i="90"/>
  <c r="AL1245" i="90"/>
  <c r="AL1181" i="90"/>
  <c r="AN989" i="90"/>
  <c r="AL925" i="90"/>
  <c r="AL733" i="90"/>
  <c r="AN669" i="90"/>
  <c r="AL477" i="90"/>
  <c r="AN1452" i="90"/>
  <c r="AL1436" i="90"/>
  <c r="AL1420" i="90"/>
  <c r="AN1388" i="90"/>
  <c r="AL1372" i="90"/>
  <c r="AL1356" i="90"/>
  <c r="AN1324" i="90"/>
  <c r="AL1308" i="90"/>
  <c r="AL1292" i="90"/>
  <c r="AL1260" i="90"/>
  <c r="AN1228" i="90"/>
  <c r="AN1196" i="90"/>
  <c r="AN1180" i="90"/>
  <c r="AL1132" i="90"/>
  <c r="AN1116" i="90"/>
  <c r="AL1068" i="90"/>
  <c r="AN1052" i="90"/>
  <c r="AL1004" i="90"/>
  <c r="AN988" i="90"/>
  <c r="AL940" i="90"/>
  <c r="AL924" i="90"/>
  <c r="AN876" i="90"/>
  <c r="AL860" i="90"/>
  <c r="AN812" i="90"/>
  <c r="AL796" i="90"/>
  <c r="AN748" i="90"/>
  <c r="AL732" i="90"/>
  <c r="AN684" i="90"/>
  <c r="AL668" i="90"/>
  <c r="AN620" i="90"/>
  <c r="AL604" i="90"/>
  <c r="AL556" i="90"/>
  <c r="AN540" i="90"/>
  <c r="AL492" i="90"/>
  <c r="AN476" i="90"/>
  <c r="AN428" i="90"/>
  <c r="AL412" i="90"/>
  <c r="AN364" i="90"/>
  <c r="AL348" i="90"/>
  <c r="AN300" i="90"/>
  <c r="AL284" i="90"/>
  <c r="AN236" i="90"/>
  <c r="AL220" i="90"/>
  <c r="AN172" i="90"/>
  <c r="AL156" i="90"/>
  <c r="AN108" i="90"/>
  <c r="AL92" i="90"/>
  <c r="AL44" i="90"/>
  <c r="AN28" i="90"/>
  <c r="AL1419" i="90"/>
  <c r="AN1403" i="90"/>
  <c r="AL1355" i="90"/>
  <c r="AN1339" i="90"/>
  <c r="AL1291" i="90"/>
  <c r="AN1275" i="90"/>
  <c r="AL1227" i="90"/>
  <c r="AL1211" i="90"/>
  <c r="AN1163" i="90"/>
  <c r="AL1147" i="90"/>
  <c r="AN1099" i="90"/>
  <c r="AL1083" i="90"/>
  <c r="AN1035" i="90"/>
  <c r="AL1019" i="90"/>
  <c r="AN971" i="90"/>
  <c r="AL955" i="90"/>
  <c r="AL907" i="90"/>
  <c r="AN891" i="90"/>
  <c r="AL843" i="90"/>
  <c r="AN827" i="90"/>
  <c r="AL779" i="90"/>
  <c r="AN763" i="90"/>
  <c r="AL715" i="90"/>
  <c r="AN699" i="90"/>
  <c r="AL651" i="90"/>
  <c r="AN635" i="90"/>
  <c r="AL587" i="90"/>
  <c r="AN571" i="90"/>
  <c r="AN523" i="90"/>
  <c r="AL507" i="90"/>
  <c r="AN459" i="90"/>
  <c r="AL443" i="90"/>
  <c r="AL395" i="90"/>
  <c r="AN379" i="90"/>
  <c r="AL331" i="90"/>
  <c r="AN315" i="90"/>
  <c r="AL267" i="90"/>
  <c r="AL251" i="90"/>
  <c r="AN203" i="90"/>
  <c r="AL187" i="90"/>
  <c r="AL139" i="90"/>
  <c r="AN123" i="90"/>
  <c r="AL75" i="90"/>
  <c r="AN59" i="90"/>
  <c r="AL11" i="90"/>
  <c r="AL1450" i="90"/>
  <c r="AN1434" i="90"/>
  <c r="AL1386" i="90"/>
  <c r="AN1370" i="90"/>
  <c r="AL1322" i="90"/>
  <c r="AN1306" i="90"/>
  <c r="AL1258" i="90"/>
  <c r="AN1242" i="90"/>
  <c r="AL1194" i="90"/>
  <c r="AN1178" i="90"/>
  <c r="AL1130" i="90"/>
  <c r="AN1114" i="90"/>
  <c r="AL1066" i="90"/>
  <c r="AN1050" i="90"/>
  <c r="AL1002" i="90"/>
  <c r="AN986" i="90"/>
  <c r="AL938" i="90"/>
  <c r="AL922" i="90"/>
  <c r="AN874" i="90"/>
  <c r="AL858" i="90"/>
  <c r="AN810" i="90"/>
  <c r="AL794" i="90"/>
  <c r="AN746" i="90"/>
  <c r="AL730" i="90"/>
  <c r="AN682" i="90"/>
  <c r="AL666" i="90"/>
  <c r="AN618" i="90"/>
  <c r="AN602" i="90"/>
  <c r="AL554" i="90"/>
  <c r="AN538" i="90"/>
  <c r="AL490" i="90"/>
  <c r="AN474" i="90"/>
  <c r="AN426" i="90"/>
  <c r="AL410" i="90"/>
  <c r="AN362" i="90"/>
  <c r="AL346" i="90"/>
  <c r="AN298" i="90"/>
  <c r="AL282" i="90"/>
  <c r="AN234" i="90"/>
  <c r="AL218" i="90"/>
  <c r="AL170" i="90"/>
  <c r="AN154" i="90"/>
  <c r="AL106" i="90"/>
  <c r="AN90" i="90"/>
  <c r="AL42" i="90"/>
  <c r="AN26" i="90"/>
  <c r="AN457" i="90"/>
  <c r="AL433" i="90"/>
  <c r="AN417" i="90"/>
  <c r="AN381" i="90"/>
  <c r="AL369" i="90"/>
  <c r="AN329" i="90"/>
  <c r="AL321" i="90"/>
  <c r="AN297" i="90"/>
  <c r="AL289" i="90"/>
  <c r="AN257" i="90"/>
  <c r="AL249" i="90"/>
  <c r="AN225" i="90"/>
  <c r="AL217" i="90"/>
  <c r="AN193" i="90"/>
  <c r="AL185" i="90"/>
  <c r="AL161" i="90"/>
  <c r="AN153" i="90"/>
  <c r="AL129" i="90"/>
  <c r="AN121" i="90"/>
  <c r="AL81" i="90"/>
  <c r="AN73" i="90"/>
  <c r="AL49" i="90"/>
  <c r="AN33" i="90"/>
  <c r="AN1445" i="90"/>
  <c r="AL1253" i="90"/>
  <c r="AL1189" i="90"/>
  <c r="AN997" i="90"/>
  <c r="AL933" i="90"/>
  <c r="AL741" i="90"/>
  <c r="AN677" i="90"/>
  <c r="AL485" i="90"/>
  <c r="AL1457" i="90"/>
  <c r="AN1393" i="90"/>
  <c r="AN1201" i="90"/>
  <c r="AL1137" i="90"/>
  <c r="AN945" i="90"/>
  <c r="AN881" i="90"/>
  <c r="AN689" i="90"/>
  <c r="AL625" i="90"/>
  <c r="AL1421" i="90"/>
  <c r="AN1357" i="90"/>
  <c r="AN1165" i="90"/>
  <c r="AL1101" i="90"/>
  <c r="AN909" i="90"/>
  <c r="AN845" i="90"/>
  <c r="AL653" i="90"/>
  <c r="AN589" i="90"/>
  <c r="AL1432" i="90"/>
  <c r="AN1416" i="90"/>
  <c r="AL1368" i="90"/>
  <c r="AN1352" i="90"/>
  <c r="AL1304" i="90"/>
  <c r="AN1288" i="90"/>
  <c r="AL1240" i="90"/>
  <c r="AN1224" i="90"/>
  <c r="AN1176" i="90"/>
  <c r="AL1160" i="90"/>
  <c r="AN1112" i="90"/>
  <c r="AL1096" i="90"/>
  <c r="AN1048" i="90"/>
  <c r="AL1032" i="90"/>
  <c r="AN984" i="90"/>
  <c r="AL968" i="90"/>
  <c r="AN920" i="90"/>
  <c r="AL904" i="90"/>
  <c r="AN856" i="90"/>
  <c r="AL840" i="90"/>
  <c r="AN792" i="90"/>
  <c r="AL776" i="90"/>
  <c r="AN728" i="90"/>
  <c r="AL712" i="90"/>
  <c r="AN664" i="90"/>
  <c r="AL648" i="90"/>
  <c r="AL600" i="90"/>
  <c r="AN584" i="90"/>
  <c r="AL536" i="90"/>
  <c r="AN520" i="90"/>
  <c r="AL472" i="90"/>
  <c r="AN456" i="90"/>
  <c r="AN408" i="90"/>
  <c r="AL392" i="90"/>
  <c r="AN344" i="90"/>
  <c r="AL328" i="90"/>
  <c r="AN280" i="90"/>
  <c r="AL264" i="90"/>
  <c r="AN216" i="90"/>
  <c r="AN200" i="90"/>
  <c r="AL152" i="90"/>
  <c r="AN136" i="90"/>
  <c r="AL88" i="90"/>
  <c r="AN72" i="90"/>
  <c r="AL24" i="90"/>
  <c r="AN8" i="90"/>
  <c r="AN1447" i="90"/>
  <c r="AL1399" i="90"/>
  <c r="AN1383" i="90"/>
  <c r="AL1335" i="90"/>
  <c r="AN1319" i="90"/>
  <c r="AL1271" i="90"/>
  <c r="AN1255" i="90"/>
  <c r="AN1207" i="90"/>
  <c r="AL1191" i="90"/>
  <c r="AN1143" i="90"/>
  <c r="AL1127" i="90"/>
  <c r="AN1079" i="90"/>
  <c r="AL1063" i="90"/>
  <c r="AN1015" i="90"/>
  <c r="AL999" i="90"/>
  <c r="AN951" i="90"/>
  <c r="AL935" i="90"/>
  <c r="AL887" i="90"/>
  <c r="AN871" i="90"/>
  <c r="AL823" i="90"/>
  <c r="AN807" i="90"/>
  <c r="AL759" i="90"/>
  <c r="AN743" i="90"/>
  <c r="AL695" i="90"/>
  <c r="AN679" i="90"/>
  <c r="AL631" i="90"/>
  <c r="AN615" i="90"/>
  <c r="AN567" i="90"/>
  <c r="AN551" i="90"/>
  <c r="AL503" i="90"/>
  <c r="AN487" i="90"/>
  <c r="AL439" i="90"/>
  <c r="AN423" i="90"/>
  <c r="AL375" i="90"/>
  <c r="AN359" i="90"/>
  <c r="AL311" i="90"/>
  <c r="AN295" i="90"/>
  <c r="AN247" i="90"/>
  <c r="AL231" i="90"/>
  <c r="AN183" i="90"/>
  <c r="AN167" i="90"/>
  <c r="AL119" i="90"/>
  <c r="AN103" i="90"/>
  <c r="AL55" i="90"/>
  <c r="AN39" i="90"/>
  <c r="AL1430" i="90"/>
  <c r="AN1414" i="90"/>
  <c r="AL1366" i="90"/>
  <c r="AN1350" i="90"/>
  <c r="AL1302" i="90"/>
  <c r="AN1286" i="90"/>
  <c r="AL1238" i="90"/>
  <c r="AN1222" i="90"/>
  <c r="AL1174" i="90"/>
  <c r="AN1158" i="90"/>
  <c r="AL1110" i="90"/>
  <c r="AN1094" i="90"/>
  <c r="AL1046" i="90"/>
  <c r="AN1030" i="90"/>
  <c r="AL982" i="90"/>
  <c r="AN966" i="90"/>
  <c r="AN918" i="90"/>
  <c r="AL902" i="90"/>
  <c r="AN854" i="90"/>
  <c r="AL838" i="90"/>
  <c r="AN790" i="90"/>
  <c r="AL774" i="90"/>
  <c r="AN726" i="90"/>
  <c r="AL710" i="90"/>
  <c r="AN662" i="90"/>
  <c r="AL646" i="90"/>
  <c r="AL598" i="90"/>
  <c r="AN582" i="90"/>
  <c r="AL534" i="90"/>
  <c r="AN518" i="90"/>
  <c r="AL470" i="90"/>
  <c r="AN454" i="90"/>
  <c r="AN406" i="90"/>
  <c r="AL390" i="90"/>
  <c r="AN342" i="90"/>
  <c r="AL326" i="90"/>
  <c r="AN278" i="90"/>
  <c r="AL262" i="90"/>
  <c r="AN214" i="90"/>
  <c r="AN198" i="90"/>
  <c r="AL150" i="90"/>
  <c r="AN134" i="90"/>
  <c r="AL86" i="90"/>
  <c r="AN70" i="90"/>
  <c r="AL22" i="90"/>
  <c r="AN6" i="90"/>
  <c r="AL1429" i="90"/>
  <c r="AN1365" i="90"/>
  <c r="AN1237" i="90"/>
  <c r="AN1109" i="90"/>
  <c r="AN725" i="90"/>
  <c r="AN597" i="90"/>
  <c r="AN469" i="90"/>
  <c r="AN373" i="90"/>
  <c r="AN929" i="90"/>
  <c r="AN865" i="90"/>
  <c r="AN673" i="90"/>
  <c r="AL609" i="90"/>
  <c r="AN340" i="90"/>
  <c r="AL212" i="90"/>
  <c r="AN1379" i="90"/>
  <c r="AN1235" i="90"/>
  <c r="AN1139" i="90"/>
  <c r="AN563" i="90"/>
  <c r="AN339" i="90"/>
  <c r="AN227" i="90"/>
  <c r="AN1202" i="90"/>
  <c r="AN834" i="90"/>
  <c r="AL578" i="90"/>
  <c r="AN546" i="90"/>
  <c r="AN434" i="90"/>
  <c r="AN338" i="90"/>
  <c r="AL306" i="90"/>
  <c r="AN226" i="90"/>
  <c r="AN194" i="90"/>
  <c r="AN18" i="90"/>
  <c r="AL893" i="90"/>
  <c r="AN765" i="90"/>
  <c r="AN1396" i="90"/>
  <c r="AL1364" i="90"/>
  <c r="AL1268" i="90"/>
  <c r="AL1188" i="90"/>
  <c r="AN1156" i="90"/>
  <c r="AL1092" i="90"/>
  <c r="AN1060" i="90"/>
  <c r="AL964" i="90"/>
  <c r="AN932" i="90"/>
  <c r="AN868" i="90"/>
  <c r="AL836" i="90"/>
  <c r="AN644" i="90"/>
  <c r="AL612" i="90"/>
  <c r="AL500" i="90"/>
  <c r="AN468" i="90"/>
  <c r="AN404" i="90"/>
  <c r="AN308" i="90"/>
  <c r="AL196" i="90"/>
  <c r="AN84" i="90"/>
  <c r="AN1347" i="90"/>
  <c r="AN1171" i="90"/>
  <c r="AN1059" i="90"/>
  <c r="AL1027" i="90"/>
  <c r="AN835" i="90"/>
  <c r="AN627" i="90"/>
  <c r="AN531" i="90"/>
  <c r="AL499" i="90"/>
  <c r="AN371" i="90"/>
  <c r="AL147" i="90"/>
  <c r="AN1314" i="90"/>
  <c r="AN1058" i="90"/>
  <c r="AN962" i="90"/>
  <c r="AN866" i="90"/>
  <c r="AL818" i="90"/>
  <c r="AN722" i="90"/>
  <c r="AL658" i="90"/>
  <c r="AL530" i="90"/>
  <c r="AL178" i="90"/>
  <c r="AN1341" i="90"/>
  <c r="AN957" i="90"/>
  <c r="AL1444" i="90"/>
  <c r="AL1348" i="90"/>
  <c r="AL1284" i="90"/>
  <c r="AN1236" i="90"/>
  <c r="AL1140" i="90"/>
  <c r="AN1108" i="90"/>
  <c r="AN996" i="90"/>
  <c r="AN884" i="90"/>
  <c r="AL852" i="90"/>
  <c r="AN756" i="90"/>
  <c r="AL724" i="90"/>
  <c r="AN628" i="90"/>
  <c r="AN596" i="90"/>
  <c r="AL484" i="90"/>
  <c r="AN420" i="90"/>
  <c r="AN228" i="90"/>
  <c r="AN180" i="90"/>
  <c r="AN100" i="90"/>
  <c r="AN68" i="90"/>
  <c r="AN1459" i="90"/>
  <c r="AN1299" i="90"/>
  <c r="AN1203" i="90"/>
  <c r="AL1155" i="90"/>
  <c r="AN1091" i="90"/>
  <c r="AN723" i="90"/>
  <c r="AN595" i="90"/>
  <c r="AN483" i="90"/>
  <c r="AN211" i="90"/>
  <c r="AN35" i="90"/>
  <c r="AN1442" i="90"/>
  <c r="AN1330" i="90"/>
  <c r="AN1122" i="90"/>
  <c r="AN898" i="90"/>
  <c r="AN642" i="90"/>
  <c r="AL514" i="90"/>
  <c r="AN450" i="90"/>
  <c r="AN322" i="90"/>
  <c r="AL258" i="90"/>
  <c r="AN125" i="90"/>
  <c r="AL101" i="90"/>
  <c r="AN93" i="90"/>
  <c r="AL69" i="90"/>
  <c r="AN61" i="90"/>
  <c r="AL37" i="90"/>
  <c r="AN29" i="90"/>
  <c r="AL1413" i="90"/>
  <c r="AN1349" i="90"/>
  <c r="AN1157" i="90"/>
  <c r="AL1093" i="90"/>
  <c r="AL901" i="90"/>
  <c r="AN837" i="90"/>
  <c r="AL645" i="90"/>
  <c r="AN581" i="90"/>
  <c r="AL1425" i="90"/>
  <c r="AN1361" i="90"/>
  <c r="AN1169" i="90"/>
  <c r="AL1105" i="90"/>
  <c r="AN913" i="90"/>
  <c r="AN849" i="90"/>
  <c r="AN657" i="90"/>
  <c r="AL1389" i="90"/>
  <c r="AN1325" i="90"/>
  <c r="AN1133" i="90"/>
  <c r="AL1069" i="90"/>
  <c r="AL877" i="90"/>
  <c r="AN813" i="90"/>
  <c r="AL621" i="90"/>
  <c r="AN557" i="90"/>
  <c r="AL1424" i="90"/>
  <c r="AN1408" i="90"/>
  <c r="AL1360" i="90"/>
  <c r="AN1344" i="90"/>
  <c r="AL1296" i="90"/>
  <c r="AN1264" i="90"/>
  <c r="AL1232" i="90"/>
  <c r="AL1216" i="90"/>
  <c r="AN1168" i="90"/>
  <c r="AN1104" i="90"/>
  <c r="AL1088" i="90"/>
  <c r="AN1040" i="90"/>
  <c r="AN976" i="90"/>
  <c r="AL960" i="90"/>
  <c r="AN912" i="90"/>
  <c r="AL896" i="90"/>
  <c r="AL880" i="90"/>
  <c r="AN848" i="90"/>
  <c r="AL832" i="90"/>
  <c r="AN784" i="90"/>
  <c r="AL768" i="90"/>
  <c r="AN720" i="90"/>
  <c r="AL704" i="90"/>
  <c r="AN656" i="90"/>
  <c r="AL640" i="90"/>
  <c r="AL592" i="90"/>
  <c r="AN576" i="90"/>
  <c r="AL528" i="90"/>
  <c r="AN512" i="90"/>
  <c r="AL464" i="90"/>
  <c r="AN448" i="90"/>
  <c r="AN400" i="90"/>
  <c r="AL384" i="90"/>
  <c r="AN336" i="90"/>
  <c r="AL320" i="90"/>
  <c r="AN272" i="90"/>
  <c r="AL256" i="90"/>
  <c r="AN208" i="90"/>
  <c r="AN192" i="90"/>
  <c r="AL144" i="90"/>
  <c r="AN128" i="90"/>
  <c r="AL80" i="90"/>
  <c r="AN64" i="90"/>
  <c r="AL16" i="90"/>
  <c r="AL1455" i="90"/>
  <c r="AN1439" i="90"/>
  <c r="AL1391" i="90"/>
  <c r="AN1375" i="90"/>
  <c r="AL1327" i="90"/>
  <c r="AN1311" i="90"/>
  <c r="AL1263" i="90"/>
  <c r="AN1247" i="90"/>
  <c r="AN1199" i="90"/>
  <c r="AL1183" i="90"/>
  <c r="AN1135" i="90"/>
  <c r="AL1119" i="90"/>
  <c r="AN1071" i="90"/>
  <c r="AL1055" i="90"/>
  <c r="AN1007" i="90"/>
  <c r="AL991" i="90"/>
  <c r="AN943" i="90"/>
  <c r="AL927" i="90"/>
  <c r="AL879" i="90"/>
  <c r="AN863" i="90"/>
  <c r="AL815" i="90"/>
  <c r="AN799" i="90"/>
  <c r="AL751" i="90"/>
  <c r="AN735" i="90"/>
  <c r="AL687" i="90"/>
  <c r="AN671" i="90"/>
  <c r="AL623" i="90"/>
  <c r="AN607" i="90"/>
  <c r="AN559" i="90"/>
  <c r="AN543" i="90"/>
  <c r="AL495" i="90"/>
  <c r="AN479" i="90"/>
  <c r="AL431" i="90"/>
  <c r="AL415" i="90"/>
  <c r="AL367" i="90"/>
  <c r="AN351" i="90"/>
  <c r="AL303" i="90"/>
  <c r="AN287" i="90"/>
  <c r="AN239" i="90"/>
  <c r="AL223" i="90"/>
  <c r="AL175" i="90"/>
  <c r="AN159" i="90"/>
  <c r="AL111" i="90"/>
  <c r="AN95" i="90"/>
  <c r="AL47" i="90"/>
  <c r="AN31" i="90"/>
  <c r="AL1422" i="90"/>
  <c r="AN1406" i="90"/>
  <c r="AL1358" i="90"/>
  <c r="AN1342" i="90"/>
  <c r="AL1294" i="90"/>
  <c r="AN1278" i="90"/>
  <c r="AL1230" i="90"/>
  <c r="AN1214" i="90"/>
  <c r="AL1166" i="90"/>
  <c r="AN1150" i="90"/>
  <c r="AL1102" i="90"/>
  <c r="AN1086" i="90"/>
  <c r="AL1038" i="90"/>
  <c r="AN1022" i="90"/>
  <c r="AL974" i="90"/>
  <c r="AN958" i="90"/>
  <c r="AN910" i="90"/>
  <c r="AL894" i="90"/>
  <c r="AN846" i="90"/>
  <c r="AL830" i="90"/>
  <c r="AN782" i="90"/>
  <c r="AL766" i="90"/>
  <c r="AN718" i="90"/>
  <c r="AL702" i="90"/>
  <c r="AN654" i="90"/>
  <c r="AL638" i="90"/>
  <c r="AL590" i="90"/>
  <c r="AN574" i="90"/>
  <c r="AL526" i="90"/>
  <c r="AN510" i="90"/>
  <c r="AL462" i="90"/>
  <c r="AN446" i="90"/>
  <c r="AN398" i="90"/>
  <c r="AL382" i="90"/>
  <c r="AN334" i="90"/>
  <c r="AL318" i="90"/>
  <c r="AN270" i="90"/>
  <c r="AL254" i="90"/>
  <c r="AN206" i="90"/>
  <c r="AN190" i="90"/>
  <c r="AL142" i="90"/>
  <c r="AN126" i="90"/>
  <c r="AL78" i="90"/>
  <c r="AN62" i="90"/>
  <c r="AL14" i="90"/>
  <c r="AN361" i="90"/>
  <c r="AL345" i="90"/>
  <c r="AL89" i="90"/>
  <c r="AN41" i="90"/>
  <c r="AN5" i="90"/>
  <c r="AL1269" i="90"/>
  <c r="AL1205" i="90"/>
  <c r="AN1013" i="90"/>
  <c r="AL949" i="90"/>
  <c r="AL757" i="90"/>
  <c r="AN693" i="90"/>
  <c r="AL501" i="90"/>
  <c r="AN1409" i="90"/>
  <c r="AN1217" i="90"/>
  <c r="AL1153" i="90"/>
  <c r="AN961" i="90"/>
  <c r="AN897" i="90"/>
  <c r="AN705" i="90"/>
  <c r="AL641" i="90"/>
  <c r="AL1437" i="90"/>
  <c r="AN1373" i="90"/>
  <c r="AN1181" i="90"/>
  <c r="AL1117" i="90"/>
  <c r="AN925" i="90"/>
  <c r="AN861" i="90"/>
  <c r="AL669" i="90"/>
  <c r="AN605" i="90"/>
  <c r="AN1436" i="90"/>
  <c r="AN1372" i="90"/>
  <c r="AN1308" i="90"/>
  <c r="AN1276" i="90"/>
  <c r="AL1244" i="90"/>
  <c r="AL1180" i="90"/>
  <c r="AN1164" i="90"/>
  <c r="AL1116" i="90"/>
  <c r="AN1100" i="90"/>
  <c r="AL1052" i="90"/>
  <c r="AN1036" i="90"/>
  <c r="AL988" i="90"/>
  <c r="AN972" i="90"/>
  <c r="AN924" i="90"/>
  <c r="AL908" i="90"/>
  <c r="AN860" i="90"/>
  <c r="AL844" i="90"/>
  <c r="AN796" i="90"/>
  <c r="AL780" i="90"/>
  <c r="AN732" i="90"/>
  <c r="AL716" i="90"/>
  <c r="AN668" i="90"/>
  <c r="AL652" i="90"/>
  <c r="AN604" i="90"/>
  <c r="AN588" i="90"/>
  <c r="AL540" i="90"/>
  <c r="AN524" i="90"/>
  <c r="AL476" i="90"/>
  <c r="AN460" i="90"/>
  <c r="AN412" i="90"/>
  <c r="AL396" i="90"/>
  <c r="AN348" i="90"/>
  <c r="AL332" i="90"/>
  <c r="AN284" i="90"/>
  <c r="AL268" i="90"/>
  <c r="AN220" i="90"/>
  <c r="AL204" i="90"/>
  <c r="AN156" i="90"/>
  <c r="AL140" i="90"/>
  <c r="AN92" i="90"/>
  <c r="AN76" i="90"/>
  <c r="AL28" i="90"/>
  <c r="AN12" i="90"/>
  <c r="AN1451" i="90"/>
  <c r="AL1403" i="90"/>
  <c r="AN1387" i="90"/>
  <c r="AL1339" i="90"/>
  <c r="AN1323" i="90"/>
  <c r="AL1275" i="90"/>
  <c r="AN1259" i="90"/>
  <c r="AN1211" i="90"/>
  <c r="AL1195" i="90"/>
  <c r="AN1147" i="90"/>
  <c r="AL1131" i="90"/>
  <c r="AN1083" i="90"/>
  <c r="AL1067" i="90"/>
  <c r="AN1019" i="90"/>
  <c r="AL1003" i="90"/>
  <c r="AN955" i="90"/>
  <c r="AL939" i="90"/>
  <c r="AL891" i="90"/>
  <c r="AN875" i="90"/>
  <c r="AL827" i="90"/>
  <c r="AN811" i="90"/>
  <c r="AL763" i="90"/>
  <c r="AN747" i="90"/>
  <c r="AL699" i="90"/>
  <c r="AN683" i="90"/>
  <c r="AL635" i="90"/>
  <c r="AN619" i="90"/>
  <c r="AL571" i="90"/>
  <c r="AN555" i="90"/>
  <c r="AN507" i="90"/>
  <c r="AL491" i="90"/>
  <c r="AN443" i="90"/>
  <c r="AN427" i="90"/>
  <c r="AL379" i="90"/>
  <c r="AN363" i="90"/>
  <c r="AL315" i="90"/>
  <c r="AN299" i="90"/>
  <c r="AN251" i="90"/>
  <c r="AL235" i="90"/>
  <c r="AN187" i="90"/>
  <c r="AN171" i="90"/>
  <c r="AL123" i="90"/>
  <c r="AN107" i="90"/>
  <c r="AL59" i="90"/>
  <c r="AN43" i="90"/>
  <c r="AL1434" i="90"/>
  <c r="AN1418" i="90"/>
  <c r="AL1370" i="90"/>
  <c r="AN1354" i="90"/>
  <c r="AL1306" i="90"/>
  <c r="AN1290" i="90"/>
  <c r="AL1242" i="90"/>
  <c r="AN1226" i="90"/>
  <c r="AL1178" i="90"/>
  <c r="AN1162" i="90"/>
  <c r="AL1114" i="90"/>
  <c r="AN1098" i="90"/>
  <c r="AN1066" i="90"/>
  <c r="AL1050" i="90"/>
  <c r="AN1034" i="90"/>
  <c r="AL986" i="90"/>
  <c r="AN970" i="90"/>
  <c r="AN938" i="90"/>
  <c r="AN922" i="90"/>
  <c r="AL906" i="90"/>
  <c r="AN858" i="90"/>
  <c r="AL842" i="90"/>
  <c r="AN794" i="90"/>
  <c r="AL778" i="90"/>
  <c r="AN730" i="90"/>
  <c r="AL714" i="90"/>
  <c r="AN666" i="90"/>
  <c r="AL650" i="90"/>
  <c r="AL602" i="90"/>
  <c r="AN586" i="90"/>
  <c r="AL538" i="90"/>
  <c r="AN522" i="90"/>
  <c r="AL474" i="90"/>
  <c r="AN458" i="90"/>
  <c r="AN410" i="90"/>
  <c r="AL394" i="90"/>
  <c r="AN346" i="90"/>
  <c r="AL330" i="90"/>
  <c r="AN282" i="90"/>
  <c r="AL266" i="90"/>
  <c r="AN218" i="90"/>
  <c r="AN202" i="90"/>
  <c r="AL154" i="90"/>
  <c r="AN138" i="90"/>
  <c r="AL90" i="90"/>
  <c r="AN74" i="90"/>
  <c r="AL26" i="90"/>
  <c r="AN10" i="90"/>
  <c r="AL457" i="90"/>
  <c r="AN449" i="90"/>
  <c r="AL417" i="90"/>
  <c r="AL401" i="90"/>
  <c r="AN369" i="90"/>
  <c r="AL353" i="90"/>
  <c r="AN321" i="90"/>
  <c r="AL313" i="90"/>
  <c r="AN289" i="90"/>
  <c r="AL273" i="90"/>
  <c r="AN249" i="90"/>
  <c r="AL241" i="90"/>
  <c r="AN217" i="90"/>
  <c r="AL209" i="90"/>
  <c r="AN185" i="90"/>
  <c r="AL177" i="90"/>
  <c r="AL153" i="90"/>
  <c r="AN145" i="90"/>
  <c r="AL121" i="90"/>
  <c r="AN113" i="90"/>
  <c r="AL73" i="90"/>
  <c r="AN65" i="90"/>
  <c r="AL33" i="90"/>
  <c r="AN17" i="90"/>
  <c r="AL1445" i="90"/>
  <c r="AN1381" i="90"/>
  <c r="AN1189" i="90"/>
  <c r="AL1125" i="90"/>
  <c r="AN933" i="90"/>
  <c r="AN869" i="90"/>
  <c r="AL677" i="90"/>
  <c r="AN613" i="90"/>
  <c r="AL1393" i="90"/>
  <c r="AN1329" i="90"/>
  <c r="AN1137" i="90"/>
  <c r="AL1073" i="90"/>
  <c r="AL881" i="90"/>
  <c r="AL817" i="90"/>
  <c r="AN625" i="90"/>
  <c r="AL561" i="90"/>
  <c r="AL1357" i="90"/>
  <c r="AN1293" i="90"/>
  <c r="AN1101" i="90"/>
  <c r="AL1037" i="90"/>
  <c r="AL845" i="90"/>
  <c r="AN781" i="90"/>
  <c r="AL589" i="90"/>
  <c r="AN525" i="90"/>
  <c r="AL1416" i="90"/>
  <c r="AN1400" i="90"/>
  <c r="AL1352" i="90"/>
  <c r="AN1336" i="90"/>
  <c r="AL1288" i="90"/>
  <c r="AN1272" i="90"/>
  <c r="AL1224" i="90"/>
  <c r="AL1208" i="90"/>
  <c r="AN1160" i="90"/>
  <c r="AL1144" i="90"/>
  <c r="AN1096" i="90"/>
  <c r="AL1080" i="90"/>
  <c r="AN1032" i="90"/>
  <c r="AL1016" i="90"/>
  <c r="AN968" i="90"/>
  <c r="AL952" i="90"/>
  <c r="AN904" i="90"/>
  <c r="AL888" i="90"/>
  <c r="AN840" i="90"/>
  <c r="AL824" i="90"/>
  <c r="AN776" i="90"/>
  <c r="AL760" i="90"/>
  <c r="AN712" i="90"/>
  <c r="AL696" i="90"/>
  <c r="AN648" i="90"/>
  <c r="AL632" i="90"/>
  <c r="AL584" i="90"/>
  <c r="AN568" i="90"/>
  <c r="AL520" i="90"/>
  <c r="AN504" i="90"/>
  <c r="AL456" i="90"/>
  <c r="AN440" i="90"/>
  <c r="AN392" i="90"/>
  <c r="AL376" i="90"/>
  <c r="AN328" i="90"/>
  <c r="AL312" i="90"/>
  <c r="AN264" i="90"/>
  <c r="AL248" i="90"/>
  <c r="AL200" i="90"/>
  <c r="AN184" i="90"/>
  <c r="AL136" i="90"/>
  <c r="AN120" i="90"/>
  <c r="AL72" i="90"/>
  <c r="AN56" i="90"/>
  <c r="AL8" i="90"/>
  <c r="AL1447" i="90"/>
  <c r="AN1431" i="90"/>
  <c r="AL1383" i="90"/>
  <c r="AN1367" i="90"/>
  <c r="AL1319" i="90"/>
  <c r="AN1303" i="90"/>
  <c r="AL1255" i="90"/>
  <c r="AN1239" i="90"/>
  <c r="AN1191" i="90"/>
  <c r="AL1175" i="90"/>
  <c r="AN1127" i="90"/>
  <c r="AL1111" i="90"/>
  <c r="AN1063" i="90"/>
  <c r="AL1047" i="90"/>
  <c r="AN999" i="90"/>
  <c r="AL983" i="90"/>
  <c r="AN935" i="90"/>
  <c r="AL919" i="90"/>
  <c r="AL871" i="90"/>
  <c r="AN855" i="90"/>
  <c r="AL807" i="90"/>
  <c r="AN791" i="90"/>
  <c r="AL743" i="90"/>
  <c r="AN727" i="90"/>
  <c r="AL679" i="90"/>
  <c r="AN663" i="90"/>
  <c r="AL615" i="90"/>
  <c r="AL599" i="90"/>
  <c r="AL551" i="90"/>
  <c r="AN535" i="90"/>
  <c r="AL487" i="90"/>
  <c r="AN471" i="90"/>
  <c r="AL423" i="90"/>
  <c r="AN407" i="90"/>
  <c r="AL359" i="90"/>
  <c r="AN343" i="90"/>
  <c r="AL295" i="90"/>
  <c r="AN279" i="90"/>
  <c r="AN231" i="90"/>
  <c r="AL215" i="90"/>
  <c r="AL167" i="90"/>
  <c r="AN151" i="90"/>
  <c r="AL103" i="90"/>
  <c r="AN87" i="90"/>
  <c r="AL39" i="90"/>
  <c r="AN23" i="90"/>
  <c r="AL1414" i="90"/>
  <c r="AN1398" i="90"/>
  <c r="AL1350" i="90"/>
  <c r="AN1334" i="90"/>
  <c r="AL1286" i="90"/>
  <c r="AN1270" i="90"/>
  <c r="AL1222" i="90"/>
  <c r="AN1206" i="90"/>
  <c r="AL1158" i="90"/>
  <c r="AN1142" i="90"/>
  <c r="AL1094" i="90"/>
  <c r="AN1078" i="90"/>
  <c r="AL1030" i="90"/>
  <c r="AN1014" i="90"/>
  <c r="AL966" i="90"/>
  <c r="AN950" i="90"/>
  <c r="AN902" i="90"/>
  <c r="AL886" i="90"/>
  <c r="AN838" i="90"/>
  <c r="AL822" i="90"/>
  <c r="AN774" i="90"/>
  <c r="AL758" i="90"/>
  <c r="AN710" i="90"/>
  <c r="AL694" i="90"/>
  <c r="AN646" i="90"/>
  <c r="AL630" i="90"/>
  <c r="AL582" i="90"/>
  <c r="AN566" i="90"/>
  <c r="AL518" i="90"/>
  <c r="AN502" i="90"/>
  <c r="AL454" i="90"/>
  <c r="AN438" i="90"/>
  <c r="AN390" i="90"/>
  <c r="AL374" i="90"/>
  <c r="AN326" i="90"/>
  <c r="AL310" i="90"/>
  <c r="AN262" i="90"/>
  <c r="AL246" i="90"/>
  <c r="AL198" i="90"/>
  <c r="AN182" i="90"/>
  <c r="AL134" i="90"/>
  <c r="AN118" i="90"/>
  <c r="AL70" i="90"/>
  <c r="AN54" i="90"/>
  <c r="AL6" i="90"/>
  <c r="AN917" i="90"/>
  <c r="AN853" i="90"/>
  <c r="AL725" i="90"/>
  <c r="AN1441" i="90"/>
  <c r="AN1249" i="90"/>
  <c r="AN1121" i="90"/>
  <c r="AL865" i="90"/>
  <c r="AN609" i="90"/>
  <c r="AN545" i="90"/>
  <c r="AN1044" i="90"/>
  <c r="AN212" i="90"/>
  <c r="AL116" i="90"/>
  <c r="AN947" i="90"/>
  <c r="AN899" i="90"/>
  <c r="AN803" i="90"/>
  <c r="AN675" i="90"/>
  <c r="AL563" i="90"/>
  <c r="AN451" i="90"/>
  <c r="AN291" i="90"/>
  <c r="AN163" i="90"/>
  <c r="AN51" i="90"/>
  <c r="AN1298" i="90"/>
  <c r="AN1042" i="90"/>
  <c r="AN930" i="90"/>
  <c r="AN706" i="90"/>
  <c r="AN498" i="90"/>
  <c r="AL434" i="90"/>
  <c r="AL386" i="90"/>
  <c r="AN306" i="90"/>
  <c r="AL274" i="90"/>
  <c r="AL194" i="90"/>
  <c r="AN146" i="90"/>
  <c r="AN1213" i="90"/>
  <c r="AL1460" i="90"/>
  <c r="AN1364" i="90"/>
  <c r="AL1332" i="90"/>
  <c r="AN1252" i="90"/>
  <c r="AL1156" i="90"/>
  <c r="AL1060" i="90"/>
  <c r="AN1012" i="90"/>
  <c r="AL932" i="90"/>
  <c r="AL900" i="90"/>
  <c r="AN836" i="90"/>
  <c r="AL804" i="90"/>
  <c r="AN740" i="90"/>
  <c r="AL708" i="90"/>
  <c r="AN612" i="90"/>
  <c r="AN564" i="90"/>
  <c r="AL468" i="90"/>
  <c r="AN436" i="90"/>
  <c r="AN276" i="90"/>
  <c r="AN36" i="90"/>
  <c r="AN1283" i="90"/>
  <c r="AN1027" i="90"/>
  <c r="AN931" i="90"/>
  <c r="AN787" i="90"/>
  <c r="AN707" i="90"/>
  <c r="AN499" i="90"/>
  <c r="AN323" i="90"/>
  <c r="AN115" i="90"/>
  <c r="AN19" i="90"/>
  <c r="AN1426" i="90"/>
  <c r="AN1138" i="90"/>
  <c r="AN818" i="90"/>
  <c r="AN658" i="90"/>
  <c r="AN482" i="90"/>
  <c r="AN354" i="90"/>
  <c r="AN130" i="90"/>
  <c r="AN1149" i="90"/>
  <c r="AN829" i="90"/>
  <c r="AN637" i="90"/>
  <c r="AL1412" i="90"/>
  <c r="AN1380" i="90"/>
  <c r="AL1316" i="90"/>
  <c r="AL1236" i="90"/>
  <c r="AL1204" i="90"/>
  <c r="AL1108" i="90"/>
  <c r="AN1076" i="90"/>
  <c r="AN948" i="90"/>
  <c r="AN852" i="90"/>
  <c r="AL820" i="90"/>
  <c r="AN724" i="90"/>
  <c r="AL692" i="90"/>
  <c r="AL596" i="90"/>
  <c r="AN548" i="90"/>
  <c r="AN452" i="90"/>
  <c r="AN324" i="90"/>
  <c r="AL180" i="90"/>
  <c r="AL68" i="90"/>
  <c r="AN20" i="90"/>
  <c r="AL1459" i="90"/>
  <c r="AN1443" i="90"/>
  <c r="AN1363" i="90"/>
  <c r="AN1251" i="90"/>
  <c r="AN1155" i="90"/>
  <c r="AN1043" i="90"/>
  <c r="AN963" i="90"/>
  <c r="AN819" i="90"/>
  <c r="AN435" i="90"/>
  <c r="AN307" i="90"/>
  <c r="AL1330" i="90"/>
  <c r="AN1218" i="90"/>
  <c r="AN1074" i="90"/>
  <c r="AN978" i="90"/>
  <c r="AN754" i="90"/>
  <c r="AL450" i="90"/>
  <c r="AL402" i="90"/>
  <c r="AN258" i="90"/>
  <c r="AN98" i="90"/>
  <c r="AB28" i="89" l="1"/>
  <c r="AB29" i="89"/>
  <c r="AB30" i="89"/>
  <c r="AB31" i="89"/>
  <c r="AB32" i="89"/>
  <c r="AB33" i="89"/>
  <c r="AB34" i="89"/>
  <c r="AB35" i="89"/>
  <c r="AB36" i="89"/>
  <c r="F14" i="90"/>
  <c r="F15" i="90"/>
  <c r="F16" i="90"/>
  <c r="F17" i="90"/>
  <c r="F18" i="90"/>
  <c r="F19" i="90"/>
  <c r="F20" i="90"/>
  <c r="F21" i="90"/>
  <c r="F22" i="90"/>
  <c r="F23" i="90"/>
  <c r="F24" i="90"/>
  <c r="F25" i="90"/>
  <c r="F26" i="90"/>
  <c r="F27" i="90"/>
  <c r="F28" i="90"/>
  <c r="F29" i="90"/>
  <c r="F30" i="90"/>
  <c r="F31" i="90"/>
  <c r="F32" i="90"/>
  <c r="F33" i="90"/>
  <c r="F34" i="90"/>
  <c r="F35" i="90"/>
  <c r="F36" i="90"/>
  <c r="F37" i="90"/>
  <c r="F38" i="90"/>
  <c r="F39" i="90"/>
  <c r="F40" i="90"/>
  <c r="F13" i="90"/>
  <c r="AB149" i="89" l="1"/>
  <c r="AB147" i="89"/>
  <c r="AB146" i="89"/>
  <c r="AB148" i="89"/>
  <c r="AB159" i="89"/>
  <c r="AB161" i="89"/>
  <c r="AB158" i="89"/>
  <c r="AB160" i="89"/>
  <c r="AB143" i="89"/>
  <c r="AB145" i="89"/>
  <c r="AB142" i="89"/>
  <c r="AB144" i="89"/>
  <c r="AB165" i="89"/>
  <c r="AB163" i="89"/>
  <c r="AB162" i="89"/>
  <c r="AB164" i="89"/>
  <c r="AB155" i="89"/>
  <c r="AB157" i="89"/>
  <c r="AB154" i="89"/>
  <c r="AB156" i="89"/>
  <c r="AB139" i="89"/>
  <c r="AB141" i="89"/>
  <c r="AB138" i="89"/>
  <c r="AB140" i="89"/>
  <c r="AB169" i="89"/>
  <c r="AB167" i="89"/>
  <c r="AB166" i="89"/>
  <c r="AB168" i="89"/>
  <c r="AB151" i="89"/>
  <c r="AB153" i="89"/>
  <c r="AB150" i="89"/>
  <c r="AB152" i="89"/>
  <c r="AB135" i="89"/>
  <c r="AB137" i="89"/>
  <c r="AB134" i="89"/>
  <c r="AB136" i="89"/>
  <c r="FU7" i="98"/>
  <c r="FW7" i="98"/>
  <c r="FX7" i="98"/>
  <c r="FY7" i="98"/>
  <c r="FZ7" i="98"/>
  <c r="FU8" i="98"/>
  <c r="FW8" i="98"/>
  <c r="FX8" i="98"/>
  <c r="FY8" i="98"/>
  <c r="FZ8" i="98"/>
  <c r="FU9" i="98"/>
  <c r="FW9" i="98"/>
  <c r="FX9" i="98"/>
  <c r="FY9" i="98"/>
  <c r="FZ9" i="98"/>
  <c r="FU10" i="98"/>
  <c r="FW10" i="98"/>
  <c r="FX10" i="98"/>
  <c r="FY10" i="98"/>
  <c r="FZ10" i="98"/>
  <c r="FU11" i="98"/>
  <c r="FW11" i="98"/>
  <c r="FX11" i="98"/>
  <c r="FY11" i="98"/>
  <c r="FZ11" i="98"/>
  <c r="FU12" i="98"/>
  <c r="FW12" i="98"/>
  <c r="FX12" i="98"/>
  <c r="FY12" i="98"/>
  <c r="FZ12" i="98"/>
  <c r="FU13" i="98"/>
  <c r="FW13" i="98"/>
  <c r="FX13" i="98"/>
  <c r="FY13" i="98"/>
  <c r="FZ13" i="98"/>
  <c r="FU14" i="98"/>
  <c r="FW14" i="98"/>
  <c r="FX14" i="98"/>
  <c r="FY14" i="98"/>
  <c r="FZ14" i="98"/>
  <c r="FU15" i="98"/>
  <c r="FW15" i="98"/>
  <c r="FX15" i="98"/>
  <c r="FY15" i="98"/>
  <c r="FZ15" i="98"/>
  <c r="FU16" i="98"/>
  <c r="FW16" i="98"/>
  <c r="FX16" i="98"/>
  <c r="FY16" i="98"/>
  <c r="FZ16" i="98"/>
  <c r="FU17" i="98"/>
  <c r="FW17" i="98"/>
  <c r="FY17" i="98"/>
  <c r="FZ17" i="98"/>
  <c r="FU18" i="98"/>
  <c r="FW18" i="98"/>
  <c r="FY18" i="98"/>
  <c r="FZ18" i="98"/>
  <c r="FU19" i="98"/>
  <c r="FW19" i="98"/>
  <c r="FY19" i="98"/>
  <c r="FZ19" i="98"/>
  <c r="FU20" i="98"/>
  <c r="FW20" i="98"/>
  <c r="FY20" i="98"/>
  <c r="FZ20" i="98"/>
  <c r="FU21" i="98"/>
  <c r="FW21" i="98"/>
  <c r="FY21" i="98"/>
  <c r="FZ21" i="98"/>
  <c r="FU22" i="98"/>
  <c r="FW22" i="98"/>
  <c r="FY22" i="98"/>
  <c r="FZ22" i="98"/>
  <c r="FU23" i="98"/>
  <c r="FW23" i="98"/>
  <c r="FY23" i="98"/>
  <c r="FZ23" i="98"/>
  <c r="FU24" i="98"/>
  <c r="FW24" i="98"/>
  <c r="FY24" i="98"/>
  <c r="FZ24" i="98"/>
  <c r="FU25" i="98"/>
  <c r="FW25" i="98"/>
  <c r="FY25" i="98"/>
  <c r="FZ25" i="98"/>
  <c r="FU26" i="98"/>
  <c r="FW26" i="98"/>
  <c r="FX26" i="98"/>
  <c r="FY26" i="98"/>
  <c r="FZ26" i="98"/>
  <c r="FU27" i="98"/>
  <c r="FW27" i="98"/>
  <c r="FY27" i="98"/>
  <c r="FZ27" i="98"/>
  <c r="FU28" i="98"/>
  <c r="FW28" i="98"/>
  <c r="FY28" i="98"/>
  <c r="FZ28" i="98"/>
  <c r="FU29" i="98"/>
  <c r="FW29" i="98"/>
  <c r="FY29" i="98"/>
  <c r="FZ29" i="98"/>
  <c r="FU30" i="98"/>
  <c r="FW30" i="98"/>
  <c r="FY30" i="98"/>
  <c r="FZ30" i="98"/>
  <c r="FU31" i="98"/>
  <c r="FW31" i="98"/>
  <c r="FY31" i="98"/>
  <c r="FZ31" i="98"/>
  <c r="FU32" i="98"/>
  <c r="FW32" i="98"/>
  <c r="FY32" i="98"/>
  <c r="FZ32" i="98"/>
  <c r="FU33" i="98"/>
  <c r="FW33" i="98"/>
  <c r="FY33" i="98"/>
  <c r="FZ33" i="98"/>
  <c r="FU34" i="98"/>
  <c r="FW34" i="98"/>
  <c r="FY34" i="98"/>
  <c r="FZ34" i="98"/>
  <c r="FU35" i="98"/>
  <c r="FW35" i="98"/>
  <c r="FY35" i="98"/>
  <c r="FZ35" i="98"/>
  <c r="FU36" i="98"/>
  <c r="FW36" i="98"/>
  <c r="FX36" i="98"/>
  <c r="FY36" i="98"/>
  <c r="FZ36" i="98"/>
  <c r="FU37" i="98"/>
  <c r="FW37" i="98"/>
  <c r="FY37" i="98"/>
  <c r="FZ37" i="98"/>
  <c r="FU38" i="98"/>
  <c r="FW38" i="98"/>
  <c r="FY38" i="98"/>
  <c r="FZ38" i="98"/>
  <c r="FU39" i="98"/>
  <c r="FW39" i="98"/>
  <c r="FY39" i="98"/>
  <c r="FZ39" i="98"/>
  <c r="FU40" i="98"/>
  <c r="FW40" i="98"/>
  <c r="FY40" i="98"/>
  <c r="FZ40" i="98"/>
  <c r="FU41" i="98"/>
  <c r="FW41" i="98"/>
  <c r="FY41" i="98"/>
  <c r="FZ41" i="98"/>
  <c r="FU42" i="98"/>
  <c r="FW42" i="98"/>
  <c r="FY42" i="98"/>
  <c r="FZ42" i="98"/>
  <c r="FU43" i="98"/>
  <c r="FW43" i="98"/>
  <c r="FY43" i="98"/>
  <c r="FZ43" i="98"/>
  <c r="FU44" i="98"/>
  <c r="FW44" i="98"/>
  <c r="FY44" i="98"/>
  <c r="FZ44" i="98"/>
  <c r="FU45" i="98"/>
  <c r="FW45" i="98"/>
  <c r="FY45" i="98"/>
  <c r="FZ45" i="98"/>
  <c r="FU46" i="98"/>
  <c r="FW46" i="98"/>
  <c r="FX46" i="98"/>
  <c r="FY46" i="98"/>
  <c r="FZ46" i="98"/>
  <c r="FU47" i="98"/>
  <c r="FW47" i="98"/>
  <c r="FY47" i="98"/>
  <c r="FZ47" i="98"/>
  <c r="FU48" i="98"/>
  <c r="FW48" i="98"/>
  <c r="FY48" i="98"/>
  <c r="FZ48" i="98"/>
  <c r="FU49" i="98"/>
  <c r="FW49" i="98"/>
  <c r="FY49" i="98"/>
  <c r="FZ49" i="98"/>
  <c r="FU50" i="98"/>
  <c r="FW50" i="98"/>
  <c r="FY50" i="98"/>
  <c r="FZ50" i="98"/>
  <c r="FU51" i="98"/>
  <c r="FW51" i="98"/>
  <c r="FY51" i="98"/>
  <c r="FZ51" i="98"/>
  <c r="FU52" i="98"/>
  <c r="FW52" i="98"/>
  <c r="FY52" i="98"/>
  <c r="FZ52" i="98"/>
  <c r="FU53" i="98"/>
  <c r="FW53" i="98"/>
  <c r="FY53" i="98"/>
  <c r="FZ53" i="98"/>
  <c r="FU54" i="98"/>
  <c r="FW54" i="98"/>
  <c r="FY54" i="98"/>
  <c r="FZ54" i="98"/>
  <c r="FU55" i="98"/>
  <c r="FW55" i="98"/>
  <c r="FY55" i="98"/>
  <c r="FZ55" i="98"/>
  <c r="FU56" i="98"/>
  <c r="FW56" i="98"/>
  <c r="FX56" i="98"/>
  <c r="FY56" i="98"/>
  <c r="FZ56" i="98"/>
  <c r="FU57" i="98"/>
  <c r="FW57" i="98"/>
  <c r="FY57" i="98"/>
  <c r="FZ57" i="98"/>
  <c r="FU58" i="98"/>
  <c r="FW58" i="98"/>
  <c r="FY58" i="98"/>
  <c r="FZ58" i="98"/>
  <c r="FU59" i="98"/>
  <c r="FW59" i="98"/>
  <c r="FY59" i="98"/>
  <c r="FZ59" i="98"/>
  <c r="FU60" i="98"/>
  <c r="FW60" i="98"/>
  <c r="FY60" i="98"/>
  <c r="FZ60" i="98"/>
  <c r="FU61" i="98"/>
  <c r="FW61" i="98"/>
  <c r="FY61" i="98"/>
  <c r="FZ61" i="98"/>
  <c r="FU62" i="98"/>
  <c r="FW62" i="98"/>
  <c r="FY62" i="98"/>
  <c r="FZ62" i="98"/>
  <c r="FU63" i="98"/>
  <c r="FW63" i="98"/>
  <c r="FY63" i="98"/>
  <c r="FZ63" i="98"/>
  <c r="FU64" i="98"/>
  <c r="FW64" i="98"/>
  <c r="FY64" i="98"/>
  <c r="FZ64" i="98"/>
  <c r="FU65" i="98"/>
  <c r="FW65" i="98"/>
  <c r="FY65" i="98"/>
  <c r="FZ65" i="98"/>
  <c r="FU66" i="98"/>
  <c r="FW66" i="98"/>
  <c r="FX66" i="98"/>
  <c r="FY66" i="98"/>
  <c r="FZ66" i="98"/>
  <c r="FU67" i="98"/>
  <c r="FW67" i="98"/>
  <c r="FY67" i="98"/>
  <c r="FZ67" i="98"/>
  <c r="FU68" i="98"/>
  <c r="FW68" i="98"/>
  <c r="FY68" i="98"/>
  <c r="FZ68" i="98"/>
  <c r="FU69" i="98"/>
  <c r="FW69" i="98"/>
  <c r="FY69" i="98"/>
  <c r="FZ69" i="98"/>
  <c r="FU70" i="98"/>
  <c r="FW70" i="98"/>
  <c r="FY70" i="98"/>
  <c r="FZ70" i="98"/>
  <c r="FU71" i="98"/>
  <c r="FW71" i="98"/>
  <c r="FY71" i="98"/>
  <c r="FZ71" i="98"/>
  <c r="FU72" i="98"/>
  <c r="FW72" i="98"/>
  <c r="FY72" i="98"/>
  <c r="FZ72" i="98"/>
  <c r="FU73" i="98"/>
  <c r="FW73" i="98"/>
  <c r="FY73" i="98"/>
  <c r="FZ73" i="98"/>
  <c r="FU74" i="98"/>
  <c r="FW74" i="98"/>
  <c r="FY74" i="98"/>
  <c r="FZ74" i="98"/>
  <c r="FU75" i="98"/>
  <c r="FW75" i="98"/>
  <c r="FY75" i="98"/>
  <c r="FZ75" i="98"/>
  <c r="FU76" i="98"/>
  <c r="FW76" i="98"/>
  <c r="FX76" i="98"/>
  <c r="FY76" i="98"/>
  <c r="FZ76" i="98"/>
  <c r="FU77" i="98"/>
  <c r="FW77" i="98"/>
  <c r="FX77" i="98"/>
  <c r="FY77" i="98"/>
  <c r="FZ77" i="98"/>
  <c r="FU78" i="98"/>
  <c r="FW78" i="98"/>
  <c r="FX78" i="98"/>
  <c r="FY78" i="98"/>
  <c r="FZ78" i="98"/>
  <c r="FU79" i="98"/>
  <c r="FW79" i="98"/>
  <c r="FX79" i="98"/>
  <c r="FY79" i="98"/>
  <c r="FZ79" i="98"/>
  <c r="FU80" i="98"/>
  <c r="FW80" i="98"/>
  <c r="FX80" i="98"/>
  <c r="FY80" i="98"/>
  <c r="FZ80" i="98"/>
  <c r="FU81" i="98"/>
  <c r="FW81" i="98"/>
  <c r="FX81" i="98"/>
  <c r="FY81" i="98"/>
  <c r="FZ81" i="98"/>
  <c r="FU82" i="98"/>
  <c r="FW82" i="98"/>
  <c r="FX82" i="98"/>
  <c r="FY82" i="98"/>
  <c r="FZ82" i="98"/>
  <c r="FU83" i="98"/>
  <c r="FW83" i="98"/>
  <c r="FX83" i="98"/>
  <c r="FY83" i="98"/>
  <c r="FZ83" i="98"/>
  <c r="FU84" i="98"/>
  <c r="FW84" i="98"/>
  <c r="FX84" i="98"/>
  <c r="FY84" i="98"/>
  <c r="FZ84" i="98"/>
  <c r="FU85" i="98"/>
  <c r="FW85" i="98"/>
  <c r="FX85" i="98"/>
  <c r="FY85" i="98"/>
  <c r="FZ85" i="98"/>
  <c r="FU86" i="98"/>
  <c r="FW86" i="98"/>
  <c r="FX86" i="98"/>
  <c r="FY86" i="98"/>
  <c r="FZ86" i="98"/>
  <c r="FU87" i="98"/>
  <c r="FW87" i="98"/>
  <c r="FX87" i="98"/>
  <c r="FY87" i="98"/>
  <c r="FZ87" i="98"/>
  <c r="FU88" i="98"/>
  <c r="FW88" i="98"/>
  <c r="FX88" i="98"/>
  <c r="FY88" i="98"/>
  <c r="FZ88" i="98"/>
  <c r="FU89" i="98"/>
  <c r="FW89" i="98"/>
  <c r="FX89" i="98"/>
  <c r="FY89" i="98"/>
  <c r="FZ89" i="98"/>
  <c r="FU90" i="98"/>
  <c r="FW90" i="98"/>
  <c r="FX90" i="98"/>
  <c r="FY90" i="98"/>
  <c r="FZ90" i="98"/>
  <c r="FU91" i="98"/>
  <c r="FW91" i="98"/>
  <c r="FX91" i="98"/>
  <c r="FY91" i="98"/>
  <c r="FZ91" i="98"/>
  <c r="FU92" i="98"/>
  <c r="FW92" i="98"/>
  <c r="FX92" i="98"/>
  <c r="FY92" i="98"/>
  <c r="FZ92" i="98"/>
  <c r="FU93" i="98"/>
  <c r="FW93" i="98"/>
  <c r="FX93" i="98"/>
  <c r="FY93" i="98"/>
  <c r="FZ93" i="98"/>
  <c r="FU94" i="98"/>
  <c r="FW94" i="98"/>
  <c r="FX94" i="98"/>
  <c r="FY94" i="98"/>
  <c r="FZ94" i="98"/>
  <c r="FU95" i="98"/>
  <c r="FW95" i="98"/>
  <c r="FX95" i="98"/>
  <c r="FY95" i="98"/>
  <c r="FZ95" i="98"/>
  <c r="FU96" i="98"/>
  <c r="FW96" i="98"/>
  <c r="FX96" i="98"/>
  <c r="FY96" i="98"/>
  <c r="FZ96" i="98"/>
  <c r="FU97" i="98"/>
  <c r="FW97" i="98"/>
  <c r="FY97" i="98"/>
  <c r="FZ97" i="98"/>
  <c r="FU98" i="98"/>
  <c r="FW98" i="98"/>
  <c r="FY98" i="98"/>
  <c r="FZ98" i="98"/>
  <c r="FU99" i="98"/>
  <c r="FW99" i="98"/>
  <c r="FY99" i="98"/>
  <c r="FZ99" i="98"/>
  <c r="FU100" i="98"/>
  <c r="FW100" i="98"/>
  <c r="FY100" i="98"/>
  <c r="FZ100" i="98"/>
  <c r="FU101" i="98"/>
  <c r="FW101" i="98"/>
  <c r="FY101" i="98"/>
  <c r="FZ101" i="98"/>
  <c r="FU102" i="98"/>
  <c r="FW102" i="98"/>
  <c r="FY102" i="98"/>
  <c r="FZ102" i="98"/>
  <c r="FU103" i="98"/>
  <c r="FW103" i="98"/>
  <c r="FY103" i="98"/>
  <c r="FZ103" i="98"/>
  <c r="FU104" i="98"/>
  <c r="FW104" i="98"/>
  <c r="FY104" i="98"/>
  <c r="FZ104" i="98"/>
  <c r="FU105" i="98"/>
  <c r="FW105" i="98"/>
  <c r="FY105" i="98"/>
  <c r="FZ105" i="98"/>
  <c r="FU106" i="98"/>
  <c r="FW106" i="98"/>
  <c r="FX106" i="98"/>
  <c r="FY106" i="98"/>
  <c r="FZ106" i="98"/>
  <c r="FU107" i="98"/>
  <c r="FW107" i="98"/>
  <c r="FY107" i="98"/>
  <c r="FZ107" i="98"/>
  <c r="FU108" i="98"/>
  <c r="FW108" i="98"/>
  <c r="FY108" i="98"/>
  <c r="FZ108" i="98"/>
  <c r="FU109" i="98"/>
  <c r="FW109" i="98"/>
  <c r="FY109" i="98"/>
  <c r="FZ109" i="98"/>
  <c r="FU110" i="98"/>
  <c r="FW110" i="98"/>
  <c r="FY110" i="98"/>
  <c r="FZ110" i="98"/>
  <c r="FU111" i="98"/>
  <c r="FW111" i="98"/>
  <c r="FY111" i="98"/>
  <c r="FZ111" i="98"/>
  <c r="FU112" i="98"/>
  <c r="FW112" i="98"/>
  <c r="FY112" i="98"/>
  <c r="FZ112" i="98"/>
  <c r="FU113" i="98"/>
  <c r="FW113" i="98"/>
  <c r="FY113" i="98"/>
  <c r="FZ113" i="98"/>
  <c r="FU114" i="98"/>
  <c r="FW114" i="98"/>
  <c r="FY114" i="98"/>
  <c r="FZ114" i="98"/>
  <c r="FU115" i="98"/>
  <c r="FW115" i="98"/>
  <c r="FY115" i="98"/>
  <c r="FZ115" i="98"/>
  <c r="FU116" i="98"/>
  <c r="FW116" i="98"/>
  <c r="FX116" i="98"/>
  <c r="FY116" i="98"/>
  <c r="FZ116" i="98"/>
  <c r="FU117" i="98"/>
  <c r="FW117" i="98"/>
  <c r="FY117" i="98"/>
  <c r="FZ117" i="98"/>
  <c r="FU118" i="98"/>
  <c r="FW118" i="98"/>
  <c r="FY118" i="98"/>
  <c r="FZ118" i="98"/>
  <c r="FU119" i="98"/>
  <c r="FW119" i="98"/>
  <c r="FY119" i="98"/>
  <c r="FZ119" i="98"/>
  <c r="FU120" i="98"/>
  <c r="FW120" i="98"/>
  <c r="FY120" i="98"/>
  <c r="FZ120" i="98"/>
  <c r="FU121" i="98"/>
  <c r="FW121" i="98"/>
  <c r="FY121" i="98"/>
  <c r="FZ121" i="98"/>
  <c r="FU122" i="98"/>
  <c r="FW122" i="98"/>
  <c r="FY122" i="98"/>
  <c r="FZ122" i="98"/>
  <c r="FU123" i="98"/>
  <c r="FW123" i="98"/>
  <c r="FY123" i="98"/>
  <c r="FZ123" i="98"/>
  <c r="FU124" i="98"/>
  <c r="FW124" i="98"/>
  <c r="FY124" i="98"/>
  <c r="FZ124" i="98"/>
  <c r="FU125" i="98"/>
  <c r="FW125" i="98"/>
  <c r="FY125" i="98"/>
  <c r="FZ125" i="98"/>
  <c r="FU126" i="98"/>
  <c r="FW126" i="98"/>
  <c r="FX126" i="98"/>
  <c r="FY126" i="98"/>
  <c r="FZ126" i="98"/>
  <c r="FU127" i="98"/>
  <c r="FW127" i="98"/>
  <c r="FY127" i="98"/>
  <c r="FZ127" i="98"/>
  <c r="FU128" i="98"/>
  <c r="FW128" i="98"/>
  <c r="FY128" i="98"/>
  <c r="FZ128" i="98"/>
  <c r="FU129" i="98"/>
  <c r="FW129" i="98"/>
  <c r="FY129" i="98"/>
  <c r="FZ129" i="98"/>
  <c r="FU130" i="98"/>
  <c r="FW130" i="98"/>
  <c r="FY130" i="98"/>
  <c r="FZ130" i="98"/>
  <c r="FU131" i="98"/>
  <c r="FW131" i="98"/>
  <c r="FY131" i="98"/>
  <c r="FZ131" i="98"/>
  <c r="FU132" i="98"/>
  <c r="FW132" i="98"/>
  <c r="FY132" i="98"/>
  <c r="FZ132" i="98"/>
  <c r="FU133" i="98"/>
  <c r="FW133" i="98"/>
  <c r="FY133" i="98"/>
  <c r="FZ133" i="98"/>
  <c r="FU134" i="98"/>
  <c r="FW134" i="98"/>
  <c r="FY134" i="98"/>
  <c r="FZ134" i="98"/>
  <c r="FU135" i="98"/>
  <c r="FW135" i="98"/>
  <c r="FY135" i="98"/>
  <c r="FZ135" i="98"/>
  <c r="FU136" i="98"/>
  <c r="FW136" i="98"/>
  <c r="FX136" i="98"/>
  <c r="FY136" i="98"/>
  <c r="FZ136" i="98"/>
  <c r="FU137" i="98"/>
  <c r="FW137" i="98"/>
  <c r="FY137" i="98"/>
  <c r="FZ137" i="98"/>
  <c r="FU138" i="98"/>
  <c r="FW138" i="98"/>
  <c r="FY138" i="98"/>
  <c r="FZ138" i="98"/>
  <c r="FU139" i="98"/>
  <c r="FW139" i="98"/>
  <c r="FY139" i="98"/>
  <c r="FZ139" i="98"/>
  <c r="FU140" i="98"/>
  <c r="FW140" i="98"/>
  <c r="FY140" i="98"/>
  <c r="FZ140" i="98"/>
  <c r="FU141" i="98"/>
  <c r="FW141" i="98"/>
  <c r="FY141" i="98"/>
  <c r="FZ141" i="98"/>
  <c r="FU142" i="98"/>
  <c r="FW142" i="98"/>
  <c r="FY142" i="98"/>
  <c r="FZ142" i="98"/>
  <c r="FU143" i="98"/>
  <c r="FW143" i="98"/>
  <c r="FY143" i="98"/>
  <c r="FZ143" i="98"/>
  <c r="FU144" i="98"/>
  <c r="FW144" i="98"/>
  <c r="FY144" i="98"/>
  <c r="FZ144" i="98"/>
  <c r="FU145" i="98"/>
  <c r="FW145" i="98"/>
  <c r="FY145" i="98"/>
  <c r="FZ145" i="98"/>
  <c r="FU146" i="98"/>
  <c r="FW146" i="98"/>
  <c r="FX146" i="98"/>
  <c r="FY146" i="98"/>
  <c r="FZ146" i="98"/>
  <c r="FU147" i="98"/>
  <c r="FW147" i="98"/>
  <c r="FY147" i="98"/>
  <c r="FZ147" i="98"/>
  <c r="FU148" i="98"/>
  <c r="FW148" i="98"/>
  <c r="FY148" i="98"/>
  <c r="FZ148" i="98"/>
  <c r="FU149" i="98"/>
  <c r="FW149" i="98"/>
  <c r="FY149" i="98"/>
  <c r="FZ149" i="98"/>
  <c r="FU150" i="98"/>
  <c r="FW150" i="98"/>
  <c r="FY150" i="98"/>
  <c r="FZ150" i="98"/>
  <c r="FU151" i="98"/>
  <c r="FW151" i="98"/>
  <c r="FY151" i="98"/>
  <c r="FZ151" i="98"/>
  <c r="FU152" i="98"/>
  <c r="FW152" i="98"/>
  <c r="FY152" i="98"/>
  <c r="FZ152" i="98"/>
  <c r="FU153" i="98"/>
  <c r="FW153" i="98"/>
  <c r="FY153" i="98"/>
  <c r="FZ153" i="98"/>
  <c r="FU154" i="98"/>
  <c r="FW154" i="98"/>
  <c r="FY154" i="98"/>
  <c r="FZ154" i="98"/>
  <c r="FU155" i="98"/>
  <c r="FW155" i="98"/>
  <c r="FY155" i="98"/>
  <c r="FZ155" i="98"/>
  <c r="FU156" i="98"/>
  <c r="FW156" i="98"/>
  <c r="FX156" i="98"/>
  <c r="FY156" i="98"/>
  <c r="FZ156" i="98"/>
  <c r="FU157" i="98"/>
  <c r="FW157" i="98"/>
  <c r="FX157" i="98"/>
  <c r="FY157" i="98"/>
  <c r="FZ157" i="98"/>
  <c r="FU158" i="98"/>
  <c r="FW158" i="98"/>
  <c r="FX158" i="98"/>
  <c r="FY158" i="98"/>
  <c r="FZ158" i="98"/>
  <c r="FU159" i="98"/>
  <c r="FW159" i="98"/>
  <c r="FX159" i="98"/>
  <c r="FY159" i="98"/>
  <c r="FZ159" i="98"/>
  <c r="FU160" i="98"/>
  <c r="FW160" i="98"/>
  <c r="FX160" i="98"/>
  <c r="FY160" i="98"/>
  <c r="FZ160" i="98"/>
  <c r="FU161" i="98"/>
  <c r="FW161" i="98"/>
  <c r="FX161" i="98"/>
  <c r="FY161" i="98"/>
  <c r="FZ161" i="98"/>
  <c r="FU162" i="98"/>
  <c r="FW162" i="98"/>
  <c r="FX162" i="98"/>
  <c r="FY162" i="98"/>
  <c r="FZ162" i="98"/>
  <c r="FU163" i="98"/>
  <c r="FW163" i="98"/>
  <c r="FX163" i="98"/>
  <c r="FY163" i="98"/>
  <c r="FZ163" i="98"/>
  <c r="FU164" i="98"/>
  <c r="FW164" i="98"/>
  <c r="FX164" i="98"/>
  <c r="FY164" i="98"/>
  <c r="FZ164" i="98"/>
  <c r="FU165" i="98"/>
  <c r="FW165" i="98"/>
  <c r="FX165" i="98"/>
  <c r="FY165" i="98"/>
  <c r="FZ165" i="98"/>
  <c r="FU166" i="98"/>
  <c r="FW166" i="98"/>
  <c r="FX166" i="98"/>
  <c r="FY166" i="98"/>
  <c r="FZ166" i="98"/>
  <c r="FU167" i="98"/>
  <c r="FW167" i="98"/>
  <c r="FX167" i="98"/>
  <c r="FY167" i="98"/>
  <c r="FZ167" i="98"/>
  <c r="FU168" i="98"/>
  <c r="FW168" i="98"/>
  <c r="FX168" i="98"/>
  <c r="FY168" i="98"/>
  <c r="FZ168" i="98"/>
  <c r="FU169" i="98"/>
  <c r="FW169" i="98"/>
  <c r="FX169" i="98"/>
  <c r="FY169" i="98"/>
  <c r="FZ169" i="98"/>
  <c r="FU170" i="98"/>
  <c r="FW170" i="98"/>
  <c r="FX170" i="98"/>
  <c r="FY170" i="98"/>
  <c r="FZ170" i="98"/>
  <c r="FU171" i="98"/>
  <c r="FW171" i="98"/>
  <c r="FX171" i="98"/>
  <c r="FY171" i="98"/>
  <c r="FZ171" i="98"/>
  <c r="FU172" i="98"/>
  <c r="FW172" i="98"/>
  <c r="FX172" i="98"/>
  <c r="FY172" i="98"/>
  <c r="FZ172" i="98"/>
  <c r="FU173" i="98"/>
  <c r="FW173" i="98"/>
  <c r="FX173" i="98"/>
  <c r="FY173" i="98"/>
  <c r="FZ173" i="98"/>
  <c r="FU174" i="98"/>
  <c r="FW174" i="98"/>
  <c r="FX174" i="98"/>
  <c r="FY174" i="98"/>
  <c r="FZ174" i="98"/>
  <c r="FU175" i="98"/>
  <c r="FW175" i="98"/>
  <c r="FX175" i="98"/>
  <c r="FY175" i="98"/>
  <c r="FZ175" i="98"/>
  <c r="FU176" i="98"/>
  <c r="FW176" i="98"/>
  <c r="FX176" i="98"/>
  <c r="FY176" i="98"/>
  <c r="FZ176" i="98"/>
  <c r="FU177" i="98"/>
  <c r="FW177" i="98"/>
  <c r="FY177" i="98"/>
  <c r="FZ177" i="98"/>
  <c r="FU178" i="98"/>
  <c r="FW178" i="98"/>
  <c r="FY178" i="98"/>
  <c r="FZ178" i="98"/>
  <c r="FU179" i="98"/>
  <c r="FW179" i="98"/>
  <c r="FY179" i="98"/>
  <c r="FZ179" i="98"/>
  <c r="FU180" i="98"/>
  <c r="FW180" i="98"/>
  <c r="FY180" i="98"/>
  <c r="FZ180" i="98"/>
  <c r="FU181" i="98"/>
  <c r="FW181" i="98"/>
  <c r="FY181" i="98"/>
  <c r="FZ181" i="98"/>
  <c r="FU182" i="98"/>
  <c r="FW182" i="98"/>
  <c r="FY182" i="98"/>
  <c r="FZ182" i="98"/>
  <c r="FU183" i="98"/>
  <c r="FW183" i="98"/>
  <c r="FY183" i="98"/>
  <c r="FZ183" i="98"/>
  <c r="FU184" i="98"/>
  <c r="FW184" i="98"/>
  <c r="FY184" i="98"/>
  <c r="FZ184" i="98"/>
  <c r="FU185" i="98"/>
  <c r="FW185" i="98"/>
  <c r="FY185" i="98"/>
  <c r="FZ185" i="98"/>
  <c r="FU186" i="98"/>
  <c r="FW186" i="98"/>
  <c r="FX186" i="98"/>
  <c r="FY186" i="98"/>
  <c r="FZ186" i="98"/>
  <c r="FU187" i="98"/>
  <c r="FW187" i="98"/>
  <c r="FY187" i="98"/>
  <c r="FZ187" i="98"/>
  <c r="FU188" i="98"/>
  <c r="FW188" i="98"/>
  <c r="FY188" i="98"/>
  <c r="FZ188" i="98"/>
  <c r="FU189" i="98"/>
  <c r="FW189" i="98"/>
  <c r="FY189" i="98"/>
  <c r="FZ189" i="98"/>
  <c r="FU190" i="98"/>
  <c r="FW190" i="98"/>
  <c r="FY190" i="98"/>
  <c r="FZ190" i="98"/>
  <c r="FU191" i="98"/>
  <c r="FW191" i="98"/>
  <c r="FY191" i="98"/>
  <c r="FZ191" i="98"/>
  <c r="FU192" i="98"/>
  <c r="FW192" i="98"/>
  <c r="FY192" i="98"/>
  <c r="FZ192" i="98"/>
  <c r="FU193" i="98"/>
  <c r="FW193" i="98"/>
  <c r="FY193" i="98"/>
  <c r="FZ193" i="98"/>
  <c r="FU194" i="98"/>
  <c r="FW194" i="98"/>
  <c r="FY194" i="98"/>
  <c r="FZ194" i="98"/>
  <c r="FU195" i="98"/>
  <c r="FW195" i="98"/>
  <c r="FY195" i="98"/>
  <c r="FZ195" i="98"/>
  <c r="FU196" i="98"/>
  <c r="FW196" i="98"/>
  <c r="FX196" i="98"/>
  <c r="FY196" i="98"/>
  <c r="FZ196" i="98"/>
  <c r="FU197" i="98"/>
  <c r="FW197" i="98"/>
  <c r="FY197" i="98"/>
  <c r="FZ197" i="98"/>
  <c r="FU198" i="98"/>
  <c r="FW198" i="98"/>
  <c r="FY198" i="98"/>
  <c r="FZ198" i="98"/>
  <c r="FU199" i="98"/>
  <c r="FW199" i="98"/>
  <c r="FY199" i="98"/>
  <c r="FZ199" i="98"/>
  <c r="FU200" i="98"/>
  <c r="FW200" i="98"/>
  <c r="FY200" i="98"/>
  <c r="FZ200" i="98"/>
  <c r="FU201" i="98"/>
  <c r="FW201" i="98"/>
  <c r="FY201" i="98"/>
  <c r="FZ201" i="98"/>
  <c r="FU202" i="98"/>
  <c r="FW202" i="98"/>
  <c r="FY202" i="98"/>
  <c r="FZ202" i="98"/>
  <c r="FU203" i="98"/>
  <c r="FW203" i="98"/>
  <c r="FY203" i="98"/>
  <c r="FZ203" i="98"/>
  <c r="FU204" i="98"/>
  <c r="FW204" i="98"/>
  <c r="FY204" i="98"/>
  <c r="FZ204" i="98"/>
  <c r="FU205" i="98"/>
  <c r="FW205" i="98"/>
  <c r="FY205" i="98"/>
  <c r="FZ205" i="98"/>
  <c r="FU206" i="98"/>
  <c r="FW206" i="98"/>
  <c r="FX206" i="98"/>
  <c r="FY206" i="98"/>
  <c r="FZ206" i="98"/>
  <c r="FU207" i="98"/>
  <c r="FW207" i="98"/>
  <c r="FY207" i="98"/>
  <c r="FZ207" i="98"/>
  <c r="FU208" i="98"/>
  <c r="FW208" i="98"/>
  <c r="FY208" i="98"/>
  <c r="FZ208" i="98"/>
  <c r="FU209" i="98"/>
  <c r="FW209" i="98"/>
  <c r="FY209" i="98"/>
  <c r="FZ209" i="98"/>
  <c r="FU210" i="98"/>
  <c r="FW210" i="98"/>
  <c r="FY210" i="98"/>
  <c r="FZ210" i="98"/>
  <c r="FU211" i="98"/>
  <c r="FW211" i="98"/>
  <c r="FY211" i="98"/>
  <c r="FZ211" i="98"/>
  <c r="FU212" i="98"/>
  <c r="FW212" i="98"/>
  <c r="FY212" i="98"/>
  <c r="FZ212" i="98"/>
  <c r="FU213" i="98"/>
  <c r="FW213" i="98"/>
  <c r="FY213" i="98"/>
  <c r="FZ213" i="98"/>
  <c r="FU214" i="98"/>
  <c r="FW214" i="98"/>
  <c r="FY214" i="98"/>
  <c r="FZ214" i="98"/>
  <c r="FU215" i="98"/>
  <c r="FW215" i="98"/>
  <c r="FY215" i="98"/>
  <c r="FZ215" i="98"/>
  <c r="FU216" i="98"/>
  <c r="FW216" i="98"/>
  <c r="FX216" i="98"/>
  <c r="FY216" i="98"/>
  <c r="FZ216" i="98"/>
  <c r="FU217" i="98"/>
  <c r="FW217" i="98"/>
  <c r="FY217" i="98"/>
  <c r="FZ217" i="98"/>
  <c r="FU218" i="98"/>
  <c r="FW218" i="98"/>
  <c r="FY218" i="98"/>
  <c r="FZ218" i="98"/>
  <c r="FU219" i="98"/>
  <c r="FW219" i="98"/>
  <c r="FY219" i="98"/>
  <c r="FZ219" i="98"/>
  <c r="FU220" i="98"/>
  <c r="FW220" i="98"/>
  <c r="FY220" i="98"/>
  <c r="FZ220" i="98"/>
  <c r="FU221" i="98"/>
  <c r="FW221" i="98"/>
  <c r="FY221" i="98"/>
  <c r="FZ221" i="98"/>
  <c r="FU222" i="98"/>
  <c r="FW222" i="98"/>
  <c r="FY222" i="98"/>
  <c r="FZ222" i="98"/>
  <c r="FU223" i="98"/>
  <c r="FW223" i="98"/>
  <c r="FY223" i="98"/>
  <c r="FZ223" i="98"/>
  <c r="FU224" i="98"/>
  <c r="FW224" i="98"/>
  <c r="FY224" i="98"/>
  <c r="FZ224" i="98"/>
  <c r="FU225" i="98"/>
  <c r="FW225" i="98"/>
  <c r="FY225" i="98"/>
  <c r="FZ225" i="98"/>
  <c r="FU226" i="98"/>
  <c r="FW226" i="98"/>
  <c r="FX226" i="98"/>
  <c r="FY226" i="98"/>
  <c r="FZ226" i="98"/>
  <c r="FU227" i="98"/>
  <c r="FW227" i="98"/>
  <c r="FY227" i="98"/>
  <c r="FZ227" i="98"/>
  <c r="FU228" i="98"/>
  <c r="FW228" i="98"/>
  <c r="FY228" i="98"/>
  <c r="FZ228" i="98"/>
  <c r="FU229" i="98"/>
  <c r="FW229" i="98"/>
  <c r="FY229" i="98"/>
  <c r="FZ229" i="98"/>
  <c r="FU230" i="98"/>
  <c r="FW230" i="98"/>
  <c r="FY230" i="98"/>
  <c r="FZ230" i="98"/>
  <c r="FU231" i="98"/>
  <c r="FW231" i="98"/>
  <c r="FY231" i="98"/>
  <c r="FZ231" i="98"/>
  <c r="FU232" i="98"/>
  <c r="FW232" i="98"/>
  <c r="FY232" i="98"/>
  <c r="FZ232" i="98"/>
  <c r="FU233" i="98"/>
  <c r="FW233" i="98"/>
  <c r="FY233" i="98"/>
  <c r="FZ233" i="98"/>
  <c r="FU234" i="98"/>
  <c r="FW234" i="98"/>
  <c r="FY234" i="98"/>
  <c r="FZ234" i="98"/>
  <c r="FU235" i="98"/>
  <c r="FW235" i="98"/>
  <c r="FY235" i="98"/>
  <c r="FZ235" i="98"/>
  <c r="FU236" i="98"/>
  <c r="FW236" i="98"/>
  <c r="FX236" i="98"/>
  <c r="FY236" i="98"/>
  <c r="FZ236" i="98"/>
  <c r="FU237" i="98"/>
  <c r="FW237" i="98"/>
  <c r="FX237" i="98"/>
  <c r="FY237" i="98"/>
  <c r="FZ237" i="98"/>
  <c r="FU238" i="98"/>
  <c r="FW238" i="98"/>
  <c r="FX238" i="98"/>
  <c r="FY238" i="98"/>
  <c r="FZ238" i="98"/>
  <c r="FU239" i="98"/>
  <c r="FW239" i="98"/>
  <c r="FX239" i="98"/>
  <c r="FY239" i="98"/>
  <c r="FZ239" i="98"/>
  <c r="FU240" i="98"/>
  <c r="FW240" i="98"/>
  <c r="FX240" i="98"/>
  <c r="FY240" i="98"/>
  <c r="FZ240" i="98"/>
  <c r="FU241" i="98"/>
  <c r="FW241" i="98"/>
  <c r="FX241" i="98"/>
  <c r="FY241" i="98"/>
  <c r="FZ241" i="98"/>
  <c r="FU242" i="98"/>
  <c r="FW242" i="98"/>
  <c r="FX242" i="98"/>
  <c r="FY242" i="98"/>
  <c r="FZ242" i="98"/>
  <c r="FU243" i="98"/>
  <c r="FW243" i="98"/>
  <c r="FX243" i="98"/>
  <c r="FY243" i="98"/>
  <c r="FZ243" i="98"/>
  <c r="FU244" i="98"/>
  <c r="FW244" i="98"/>
  <c r="FX244" i="98"/>
  <c r="FY244" i="98"/>
  <c r="FZ244" i="98"/>
  <c r="FU245" i="98"/>
  <c r="FW245" i="98"/>
  <c r="FX245" i="98"/>
  <c r="FY245" i="98"/>
  <c r="FZ245" i="98"/>
  <c r="FU246" i="98"/>
  <c r="FW246" i="98"/>
  <c r="FX246" i="98"/>
  <c r="FY246" i="98"/>
  <c r="FZ246" i="98"/>
  <c r="FU247" i="98"/>
  <c r="FW247" i="98"/>
  <c r="FX247" i="98"/>
  <c r="FY247" i="98"/>
  <c r="FZ247" i="98"/>
  <c r="FU248" i="98"/>
  <c r="FW248" i="98"/>
  <c r="FX248" i="98"/>
  <c r="FY248" i="98"/>
  <c r="FZ248" i="98"/>
  <c r="FU249" i="98"/>
  <c r="FW249" i="98"/>
  <c r="FX249" i="98"/>
  <c r="FY249" i="98"/>
  <c r="FZ249" i="98"/>
  <c r="FU250" i="98"/>
  <c r="FW250" i="98"/>
  <c r="FX250" i="98"/>
  <c r="FY250" i="98"/>
  <c r="FZ250" i="98"/>
  <c r="FU251" i="98"/>
  <c r="FW251" i="98"/>
  <c r="FX251" i="98"/>
  <c r="FY251" i="98"/>
  <c r="FZ251" i="98"/>
  <c r="FU252" i="98"/>
  <c r="FW252" i="98"/>
  <c r="FX252" i="98"/>
  <c r="FY252" i="98"/>
  <c r="FZ252" i="98"/>
  <c r="FU253" i="98"/>
  <c r="FW253" i="98"/>
  <c r="FX253" i="98"/>
  <c r="FY253" i="98"/>
  <c r="FZ253" i="98"/>
  <c r="FU254" i="98"/>
  <c r="FW254" i="98"/>
  <c r="FX254" i="98"/>
  <c r="FY254" i="98"/>
  <c r="FZ254" i="98"/>
  <c r="FU255" i="98"/>
  <c r="FW255" i="98"/>
  <c r="FX255" i="98"/>
  <c r="FY255" i="98"/>
  <c r="FZ255" i="98"/>
  <c r="FU256" i="98"/>
  <c r="FW256" i="98"/>
  <c r="FX256" i="98"/>
  <c r="FY256" i="98"/>
  <c r="FZ256" i="98"/>
  <c r="FU257" i="98"/>
  <c r="FW257" i="98"/>
  <c r="FY257" i="98"/>
  <c r="FZ257" i="98"/>
  <c r="FU258" i="98"/>
  <c r="FW258" i="98"/>
  <c r="FY258" i="98"/>
  <c r="FZ258" i="98"/>
  <c r="FU259" i="98"/>
  <c r="FW259" i="98"/>
  <c r="FY259" i="98"/>
  <c r="FZ259" i="98"/>
  <c r="FU260" i="98"/>
  <c r="FW260" i="98"/>
  <c r="FY260" i="98"/>
  <c r="FZ260" i="98"/>
  <c r="FU261" i="98"/>
  <c r="FW261" i="98"/>
  <c r="FY261" i="98"/>
  <c r="FZ261" i="98"/>
  <c r="FU262" i="98"/>
  <c r="FW262" i="98"/>
  <c r="FY262" i="98"/>
  <c r="FZ262" i="98"/>
  <c r="FU263" i="98"/>
  <c r="FW263" i="98"/>
  <c r="FY263" i="98"/>
  <c r="FZ263" i="98"/>
  <c r="FU264" i="98"/>
  <c r="FW264" i="98"/>
  <c r="FY264" i="98"/>
  <c r="FZ264" i="98"/>
  <c r="FU265" i="98"/>
  <c r="FW265" i="98"/>
  <c r="FY265" i="98"/>
  <c r="FZ265" i="98"/>
  <c r="FU266" i="98"/>
  <c r="FW266" i="98"/>
  <c r="FX266" i="98"/>
  <c r="FY266" i="98"/>
  <c r="FZ266" i="98"/>
  <c r="FU267" i="98"/>
  <c r="FW267" i="98"/>
  <c r="FY267" i="98"/>
  <c r="FZ267" i="98"/>
  <c r="FU268" i="98"/>
  <c r="FW268" i="98"/>
  <c r="FY268" i="98"/>
  <c r="FZ268" i="98"/>
  <c r="FU269" i="98"/>
  <c r="FW269" i="98"/>
  <c r="FY269" i="98"/>
  <c r="FZ269" i="98"/>
  <c r="FU270" i="98"/>
  <c r="FW270" i="98"/>
  <c r="FY270" i="98"/>
  <c r="FZ270" i="98"/>
  <c r="FU271" i="98"/>
  <c r="FW271" i="98"/>
  <c r="FY271" i="98"/>
  <c r="FZ271" i="98"/>
  <c r="FU272" i="98"/>
  <c r="FW272" i="98"/>
  <c r="FY272" i="98"/>
  <c r="FZ272" i="98"/>
  <c r="FU273" i="98"/>
  <c r="FW273" i="98"/>
  <c r="FY273" i="98"/>
  <c r="FZ273" i="98"/>
  <c r="FU274" i="98"/>
  <c r="FW274" i="98"/>
  <c r="FY274" i="98"/>
  <c r="FZ274" i="98"/>
  <c r="FU275" i="98"/>
  <c r="FW275" i="98"/>
  <c r="FY275" i="98"/>
  <c r="FZ275" i="98"/>
  <c r="FU276" i="98"/>
  <c r="FW276" i="98"/>
  <c r="FX276" i="98"/>
  <c r="FY276" i="98"/>
  <c r="FZ276" i="98"/>
  <c r="FU277" i="98"/>
  <c r="FW277" i="98"/>
  <c r="FY277" i="98"/>
  <c r="FZ277" i="98"/>
  <c r="FU278" i="98"/>
  <c r="FW278" i="98"/>
  <c r="FY278" i="98"/>
  <c r="FZ278" i="98"/>
  <c r="FU279" i="98"/>
  <c r="FW279" i="98"/>
  <c r="FY279" i="98"/>
  <c r="FZ279" i="98"/>
  <c r="FU280" i="98"/>
  <c r="FW280" i="98"/>
  <c r="FY280" i="98"/>
  <c r="FZ280" i="98"/>
  <c r="FU281" i="98"/>
  <c r="FW281" i="98"/>
  <c r="FY281" i="98"/>
  <c r="FZ281" i="98"/>
  <c r="FU282" i="98"/>
  <c r="FW282" i="98"/>
  <c r="FY282" i="98"/>
  <c r="FZ282" i="98"/>
  <c r="FU283" i="98"/>
  <c r="FW283" i="98"/>
  <c r="FY283" i="98"/>
  <c r="FZ283" i="98"/>
  <c r="FU284" i="98"/>
  <c r="FW284" i="98"/>
  <c r="FY284" i="98"/>
  <c r="FZ284" i="98"/>
  <c r="FU285" i="98"/>
  <c r="FW285" i="98"/>
  <c r="FY285" i="98"/>
  <c r="FZ285" i="98"/>
  <c r="FU286" i="98"/>
  <c r="FW286" i="98"/>
  <c r="FX286" i="98"/>
  <c r="FY286" i="98"/>
  <c r="FZ286" i="98"/>
  <c r="FU287" i="98"/>
  <c r="FW287" i="98"/>
  <c r="FY287" i="98"/>
  <c r="FZ287" i="98"/>
  <c r="FU288" i="98"/>
  <c r="FW288" i="98"/>
  <c r="FY288" i="98"/>
  <c r="FZ288" i="98"/>
  <c r="FU289" i="98"/>
  <c r="FW289" i="98"/>
  <c r="FY289" i="98"/>
  <c r="FZ289" i="98"/>
  <c r="FU290" i="98"/>
  <c r="FW290" i="98"/>
  <c r="FY290" i="98"/>
  <c r="FZ290" i="98"/>
  <c r="FU291" i="98"/>
  <c r="FW291" i="98"/>
  <c r="FY291" i="98"/>
  <c r="FZ291" i="98"/>
  <c r="FU292" i="98"/>
  <c r="FW292" i="98"/>
  <c r="FY292" i="98"/>
  <c r="FZ292" i="98"/>
  <c r="FU293" i="98"/>
  <c r="FW293" i="98"/>
  <c r="FY293" i="98"/>
  <c r="FZ293" i="98"/>
  <c r="FU294" i="98"/>
  <c r="FW294" i="98"/>
  <c r="FY294" i="98"/>
  <c r="FZ294" i="98"/>
  <c r="FU295" i="98"/>
  <c r="FW295" i="98"/>
  <c r="FY295" i="98"/>
  <c r="FZ295" i="98"/>
  <c r="FU296" i="98"/>
  <c r="FW296" i="98"/>
  <c r="FX296" i="98"/>
  <c r="FY296" i="98"/>
  <c r="FZ296" i="98"/>
  <c r="FU297" i="98"/>
  <c r="FW297" i="98"/>
  <c r="FY297" i="98"/>
  <c r="FZ297" i="98"/>
  <c r="FU298" i="98"/>
  <c r="FW298" i="98"/>
  <c r="FY298" i="98"/>
  <c r="FZ298" i="98"/>
  <c r="FU299" i="98"/>
  <c r="FW299" i="98"/>
  <c r="FY299" i="98"/>
  <c r="FZ299" i="98"/>
  <c r="FU300" i="98"/>
  <c r="FW300" i="98"/>
  <c r="FY300" i="98"/>
  <c r="FZ300" i="98"/>
  <c r="FU301" i="98"/>
  <c r="FW301" i="98"/>
  <c r="FY301" i="98"/>
  <c r="FZ301" i="98"/>
  <c r="FU302" i="98"/>
  <c r="FW302" i="98"/>
  <c r="FY302" i="98"/>
  <c r="FZ302" i="98"/>
  <c r="FU303" i="98"/>
  <c r="FW303" i="98"/>
  <c r="FY303" i="98"/>
  <c r="FZ303" i="98"/>
  <c r="FU304" i="98"/>
  <c r="FW304" i="98"/>
  <c r="FY304" i="98"/>
  <c r="FZ304" i="98"/>
  <c r="FU305" i="98"/>
  <c r="FW305" i="98"/>
  <c r="FY305" i="98"/>
  <c r="FZ305" i="98"/>
  <c r="FU306" i="98"/>
  <c r="FW306" i="98"/>
  <c r="FX306" i="98"/>
  <c r="FY306" i="98"/>
  <c r="FZ306" i="98"/>
  <c r="FU307" i="98"/>
  <c r="FW307" i="98"/>
  <c r="FY307" i="98"/>
  <c r="FZ307" i="98"/>
  <c r="FU308" i="98"/>
  <c r="FW308" i="98"/>
  <c r="FY308" i="98"/>
  <c r="FZ308" i="98"/>
  <c r="FU309" i="98"/>
  <c r="FW309" i="98"/>
  <c r="FY309" i="98"/>
  <c r="FZ309" i="98"/>
  <c r="FU310" i="98"/>
  <c r="FW310" i="98"/>
  <c r="FY310" i="98"/>
  <c r="FZ310" i="98"/>
  <c r="FU311" i="98"/>
  <c r="FW311" i="98"/>
  <c r="FY311" i="98"/>
  <c r="FZ311" i="98"/>
  <c r="FU312" i="98"/>
  <c r="FW312" i="98"/>
  <c r="FY312" i="98"/>
  <c r="FZ312" i="98"/>
  <c r="FU313" i="98"/>
  <c r="FW313" i="98"/>
  <c r="FY313" i="98"/>
  <c r="FZ313" i="98"/>
  <c r="FU314" i="98"/>
  <c r="FW314" i="98"/>
  <c r="FY314" i="98"/>
  <c r="FZ314" i="98"/>
  <c r="FU315" i="98"/>
  <c r="FW315" i="98"/>
  <c r="FY315" i="98"/>
  <c r="FZ315" i="98"/>
  <c r="FU316" i="98"/>
  <c r="FW316" i="98"/>
  <c r="FX316" i="98"/>
  <c r="FY316" i="98"/>
  <c r="FZ316" i="98"/>
  <c r="FU317" i="98"/>
  <c r="FW317" i="98"/>
  <c r="FX317" i="98"/>
  <c r="FY317" i="98"/>
  <c r="FZ317" i="98"/>
  <c r="FU318" i="98"/>
  <c r="FW318" i="98"/>
  <c r="FX318" i="98"/>
  <c r="FY318" i="98"/>
  <c r="FZ318" i="98"/>
  <c r="FU319" i="98"/>
  <c r="FW319" i="98"/>
  <c r="FX319" i="98"/>
  <c r="FY319" i="98"/>
  <c r="FZ319" i="98"/>
  <c r="FU320" i="98"/>
  <c r="FW320" i="98"/>
  <c r="FX320" i="98"/>
  <c r="FY320" i="98"/>
  <c r="FZ320" i="98"/>
  <c r="FU321" i="98"/>
  <c r="FW321" i="98"/>
  <c r="FX321" i="98"/>
  <c r="FY321" i="98"/>
  <c r="FZ321" i="98"/>
  <c r="FU322" i="98"/>
  <c r="FW322" i="98"/>
  <c r="FX322" i="98"/>
  <c r="FY322" i="98"/>
  <c r="FZ322" i="98"/>
  <c r="FU323" i="98"/>
  <c r="FW323" i="98"/>
  <c r="FX323" i="98"/>
  <c r="FY323" i="98"/>
  <c r="FZ323" i="98"/>
  <c r="FU324" i="98"/>
  <c r="FW324" i="98"/>
  <c r="FX324" i="98"/>
  <c r="FY324" i="98"/>
  <c r="FZ324" i="98"/>
  <c r="FU325" i="98"/>
  <c r="FW325" i="98"/>
  <c r="FX325" i="98"/>
  <c r="FY325" i="98"/>
  <c r="FZ325" i="98"/>
  <c r="FU326" i="98"/>
  <c r="FW326" i="98"/>
  <c r="FX326" i="98"/>
  <c r="FY326" i="98"/>
  <c r="FZ326" i="98"/>
  <c r="FU327" i="98"/>
  <c r="FW327" i="98"/>
  <c r="FX327" i="98"/>
  <c r="FY327" i="98"/>
  <c r="FZ327" i="98"/>
  <c r="FU328" i="98"/>
  <c r="FW328" i="98"/>
  <c r="FX328" i="98"/>
  <c r="FY328" i="98"/>
  <c r="FZ328" i="98"/>
  <c r="FU329" i="98"/>
  <c r="FW329" i="98"/>
  <c r="FX329" i="98"/>
  <c r="FY329" i="98"/>
  <c r="FZ329" i="98"/>
  <c r="FU330" i="98"/>
  <c r="FW330" i="98"/>
  <c r="FX330" i="98"/>
  <c r="FY330" i="98"/>
  <c r="FZ330" i="98"/>
  <c r="FU331" i="98"/>
  <c r="FW331" i="98"/>
  <c r="FX331" i="98"/>
  <c r="FY331" i="98"/>
  <c r="FZ331" i="98"/>
  <c r="FU332" i="98"/>
  <c r="FW332" i="98"/>
  <c r="FX332" i="98"/>
  <c r="FY332" i="98"/>
  <c r="FZ332" i="98"/>
  <c r="FU333" i="98"/>
  <c r="FW333" i="98"/>
  <c r="FX333" i="98"/>
  <c r="FY333" i="98"/>
  <c r="FZ333" i="98"/>
  <c r="FU334" i="98"/>
  <c r="FW334" i="98"/>
  <c r="FX334" i="98"/>
  <c r="FY334" i="98"/>
  <c r="FZ334" i="98"/>
  <c r="FU335" i="98"/>
  <c r="FW335" i="98"/>
  <c r="FX335" i="98"/>
  <c r="FY335" i="98"/>
  <c r="FZ335" i="98"/>
  <c r="FU336" i="98"/>
  <c r="FW336" i="98"/>
  <c r="FX336" i="98"/>
  <c r="FY336" i="98"/>
  <c r="FZ336" i="98"/>
  <c r="FU337" i="98"/>
  <c r="FW337" i="98"/>
  <c r="FY337" i="98"/>
  <c r="FZ337" i="98"/>
  <c r="FU338" i="98"/>
  <c r="FW338" i="98"/>
  <c r="FY338" i="98"/>
  <c r="FZ338" i="98"/>
  <c r="FU339" i="98"/>
  <c r="FW339" i="98"/>
  <c r="FY339" i="98"/>
  <c r="FZ339" i="98"/>
  <c r="FU340" i="98"/>
  <c r="FW340" i="98"/>
  <c r="FY340" i="98"/>
  <c r="FZ340" i="98"/>
  <c r="FU341" i="98"/>
  <c r="FW341" i="98"/>
  <c r="FY341" i="98"/>
  <c r="FZ341" i="98"/>
  <c r="FU342" i="98"/>
  <c r="FW342" i="98"/>
  <c r="FY342" i="98"/>
  <c r="FZ342" i="98"/>
  <c r="FU343" i="98"/>
  <c r="FW343" i="98"/>
  <c r="FY343" i="98"/>
  <c r="FZ343" i="98"/>
  <c r="FU344" i="98"/>
  <c r="FW344" i="98"/>
  <c r="FY344" i="98"/>
  <c r="FZ344" i="98"/>
  <c r="FU345" i="98"/>
  <c r="FW345" i="98"/>
  <c r="FY345" i="98"/>
  <c r="FZ345" i="98"/>
  <c r="FU346" i="98"/>
  <c r="FW346" i="98"/>
  <c r="FX346" i="98"/>
  <c r="FY346" i="98"/>
  <c r="FZ346" i="98"/>
  <c r="FU347" i="98"/>
  <c r="FW347" i="98"/>
  <c r="FY347" i="98"/>
  <c r="FZ347" i="98"/>
  <c r="FU348" i="98"/>
  <c r="FW348" i="98"/>
  <c r="FY348" i="98"/>
  <c r="FZ348" i="98"/>
  <c r="FU349" i="98"/>
  <c r="FW349" i="98"/>
  <c r="FY349" i="98"/>
  <c r="FZ349" i="98"/>
  <c r="FU350" i="98"/>
  <c r="FW350" i="98"/>
  <c r="FY350" i="98"/>
  <c r="FZ350" i="98"/>
  <c r="FU351" i="98"/>
  <c r="FW351" i="98"/>
  <c r="FY351" i="98"/>
  <c r="FZ351" i="98"/>
  <c r="FU352" i="98"/>
  <c r="FW352" i="98"/>
  <c r="FY352" i="98"/>
  <c r="FZ352" i="98"/>
  <c r="FU353" i="98"/>
  <c r="FW353" i="98"/>
  <c r="FY353" i="98"/>
  <c r="FZ353" i="98"/>
  <c r="FU354" i="98"/>
  <c r="FW354" i="98"/>
  <c r="FY354" i="98"/>
  <c r="FZ354" i="98"/>
  <c r="FU355" i="98"/>
  <c r="FW355" i="98"/>
  <c r="FY355" i="98"/>
  <c r="FZ355" i="98"/>
  <c r="FU356" i="98"/>
  <c r="FW356" i="98"/>
  <c r="FX356" i="98"/>
  <c r="FY356" i="98"/>
  <c r="FZ356" i="98"/>
  <c r="FU357" i="98"/>
  <c r="FW357" i="98"/>
  <c r="FY357" i="98"/>
  <c r="FZ357" i="98"/>
  <c r="FU358" i="98"/>
  <c r="FW358" i="98"/>
  <c r="FY358" i="98"/>
  <c r="FZ358" i="98"/>
  <c r="FU359" i="98"/>
  <c r="FW359" i="98"/>
  <c r="FY359" i="98"/>
  <c r="FZ359" i="98"/>
  <c r="FU360" i="98"/>
  <c r="FW360" i="98"/>
  <c r="FY360" i="98"/>
  <c r="FZ360" i="98"/>
  <c r="FU361" i="98"/>
  <c r="FW361" i="98"/>
  <c r="FY361" i="98"/>
  <c r="FZ361" i="98"/>
  <c r="FU362" i="98"/>
  <c r="FW362" i="98"/>
  <c r="FY362" i="98"/>
  <c r="FZ362" i="98"/>
  <c r="FU363" i="98"/>
  <c r="FW363" i="98"/>
  <c r="FY363" i="98"/>
  <c r="FZ363" i="98"/>
  <c r="FU364" i="98"/>
  <c r="FW364" i="98"/>
  <c r="FY364" i="98"/>
  <c r="FZ364" i="98"/>
  <c r="FU365" i="98"/>
  <c r="FW365" i="98"/>
  <c r="FY365" i="98"/>
  <c r="FZ365" i="98"/>
  <c r="FU366" i="98"/>
  <c r="FW366" i="98"/>
  <c r="FX366" i="98"/>
  <c r="FY366" i="98"/>
  <c r="FZ366" i="98"/>
  <c r="FU367" i="98"/>
  <c r="FW367" i="98"/>
  <c r="FY367" i="98"/>
  <c r="FZ367" i="98"/>
  <c r="FU368" i="98"/>
  <c r="FW368" i="98"/>
  <c r="FY368" i="98"/>
  <c r="FZ368" i="98"/>
  <c r="FU369" i="98"/>
  <c r="FW369" i="98"/>
  <c r="FY369" i="98"/>
  <c r="FZ369" i="98"/>
  <c r="FU370" i="98"/>
  <c r="FW370" i="98"/>
  <c r="FY370" i="98"/>
  <c r="FZ370" i="98"/>
  <c r="FU371" i="98"/>
  <c r="FW371" i="98"/>
  <c r="FY371" i="98"/>
  <c r="FZ371" i="98"/>
  <c r="FU372" i="98"/>
  <c r="FW372" i="98"/>
  <c r="FY372" i="98"/>
  <c r="FZ372" i="98"/>
  <c r="FU373" i="98"/>
  <c r="FW373" i="98"/>
  <c r="FY373" i="98"/>
  <c r="FZ373" i="98"/>
  <c r="FU374" i="98"/>
  <c r="FW374" i="98"/>
  <c r="FY374" i="98"/>
  <c r="FZ374" i="98"/>
  <c r="FU375" i="98"/>
  <c r="FW375" i="98"/>
  <c r="FY375" i="98"/>
  <c r="FZ375" i="98"/>
  <c r="FU376" i="98"/>
  <c r="FW376" i="98"/>
  <c r="FX376" i="98"/>
  <c r="FY376" i="98"/>
  <c r="FZ376" i="98"/>
  <c r="FU377" i="98"/>
  <c r="FW377" i="98"/>
  <c r="FY377" i="98"/>
  <c r="FZ377" i="98"/>
  <c r="FU378" i="98"/>
  <c r="FW378" i="98"/>
  <c r="FY378" i="98"/>
  <c r="FZ378" i="98"/>
  <c r="FU379" i="98"/>
  <c r="FW379" i="98"/>
  <c r="FY379" i="98"/>
  <c r="FZ379" i="98"/>
  <c r="FU380" i="98"/>
  <c r="FW380" i="98"/>
  <c r="FY380" i="98"/>
  <c r="FZ380" i="98"/>
  <c r="FU381" i="98"/>
  <c r="FW381" i="98"/>
  <c r="FY381" i="98"/>
  <c r="FZ381" i="98"/>
  <c r="FU382" i="98"/>
  <c r="FW382" i="98"/>
  <c r="FY382" i="98"/>
  <c r="FZ382" i="98"/>
  <c r="FU383" i="98"/>
  <c r="FW383" i="98"/>
  <c r="FY383" i="98"/>
  <c r="FZ383" i="98"/>
  <c r="FU384" i="98"/>
  <c r="FW384" i="98"/>
  <c r="FY384" i="98"/>
  <c r="FZ384" i="98"/>
  <c r="FU385" i="98"/>
  <c r="FW385" i="98"/>
  <c r="FY385" i="98"/>
  <c r="FZ385" i="98"/>
  <c r="FU386" i="98"/>
  <c r="FW386" i="98"/>
  <c r="FX386" i="98"/>
  <c r="FY386" i="98"/>
  <c r="FZ386" i="98"/>
  <c r="FU387" i="98"/>
  <c r="FW387" i="98"/>
  <c r="FY387" i="98"/>
  <c r="FZ387" i="98"/>
  <c r="FU388" i="98"/>
  <c r="FW388" i="98"/>
  <c r="FY388" i="98"/>
  <c r="FZ388" i="98"/>
  <c r="FU389" i="98"/>
  <c r="FW389" i="98"/>
  <c r="FY389" i="98"/>
  <c r="FZ389" i="98"/>
  <c r="FU390" i="98"/>
  <c r="FW390" i="98"/>
  <c r="FY390" i="98"/>
  <c r="FZ390" i="98"/>
  <c r="FU391" i="98"/>
  <c r="FW391" i="98"/>
  <c r="FY391" i="98"/>
  <c r="FZ391" i="98"/>
  <c r="FU392" i="98"/>
  <c r="FW392" i="98"/>
  <c r="FY392" i="98"/>
  <c r="FZ392" i="98"/>
  <c r="FU393" i="98"/>
  <c r="FW393" i="98"/>
  <c r="FY393" i="98"/>
  <c r="FZ393" i="98"/>
  <c r="FU394" i="98"/>
  <c r="FW394" i="98"/>
  <c r="FY394" i="98"/>
  <c r="FZ394" i="98"/>
  <c r="FU395" i="98"/>
  <c r="FW395" i="98"/>
  <c r="FY395" i="98"/>
  <c r="FZ395" i="98"/>
  <c r="FU396" i="98"/>
  <c r="FW396" i="98"/>
  <c r="FX396" i="98"/>
  <c r="FY396" i="98"/>
  <c r="FZ396" i="98"/>
  <c r="FU397" i="98"/>
  <c r="FW397" i="98"/>
  <c r="FX397" i="98"/>
  <c r="FY397" i="98"/>
  <c r="FZ397" i="98"/>
  <c r="FU398" i="98"/>
  <c r="FW398" i="98"/>
  <c r="FX398" i="98"/>
  <c r="FY398" i="98"/>
  <c r="FZ398" i="98"/>
  <c r="FU399" i="98"/>
  <c r="FW399" i="98"/>
  <c r="FX399" i="98"/>
  <c r="FY399" i="98"/>
  <c r="FZ399" i="98"/>
  <c r="FU400" i="98"/>
  <c r="FW400" i="98"/>
  <c r="FX400" i="98"/>
  <c r="FY400" i="98"/>
  <c r="FZ400" i="98"/>
  <c r="FU401" i="98"/>
  <c r="FW401" i="98"/>
  <c r="FX401" i="98"/>
  <c r="FY401" i="98"/>
  <c r="FZ401" i="98"/>
  <c r="FU402" i="98"/>
  <c r="FW402" i="98"/>
  <c r="FX402" i="98"/>
  <c r="FY402" i="98"/>
  <c r="FZ402" i="98"/>
  <c r="FU403" i="98"/>
  <c r="FW403" i="98"/>
  <c r="FX403" i="98"/>
  <c r="FY403" i="98"/>
  <c r="FZ403" i="98"/>
  <c r="FU404" i="98"/>
  <c r="FW404" i="98"/>
  <c r="FX404" i="98"/>
  <c r="FY404" i="98"/>
  <c r="FZ404" i="98"/>
  <c r="FU405" i="98"/>
  <c r="FW405" i="98"/>
  <c r="FX405" i="98"/>
  <c r="FY405" i="98"/>
  <c r="FZ405" i="98"/>
  <c r="FU406" i="98"/>
  <c r="FW406" i="98"/>
  <c r="FX406" i="98"/>
  <c r="FY406" i="98"/>
  <c r="FZ406" i="98"/>
  <c r="FU407" i="98"/>
  <c r="FW407" i="98"/>
  <c r="FX407" i="98"/>
  <c r="FY407" i="98"/>
  <c r="FZ407" i="98"/>
  <c r="FU408" i="98"/>
  <c r="FW408" i="98"/>
  <c r="FX408" i="98"/>
  <c r="FY408" i="98"/>
  <c r="FZ408" i="98"/>
  <c r="FU409" i="98"/>
  <c r="FW409" i="98"/>
  <c r="FX409" i="98"/>
  <c r="FY409" i="98"/>
  <c r="FZ409" i="98"/>
  <c r="FU410" i="98"/>
  <c r="FW410" i="98"/>
  <c r="FX410" i="98"/>
  <c r="FY410" i="98"/>
  <c r="FZ410" i="98"/>
  <c r="FU411" i="98"/>
  <c r="FW411" i="98"/>
  <c r="FX411" i="98"/>
  <c r="FY411" i="98"/>
  <c r="FZ411" i="98"/>
  <c r="FU412" i="98"/>
  <c r="FW412" i="98"/>
  <c r="FX412" i="98"/>
  <c r="FY412" i="98"/>
  <c r="FZ412" i="98"/>
  <c r="FU413" i="98"/>
  <c r="FW413" i="98"/>
  <c r="FX413" i="98"/>
  <c r="FY413" i="98"/>
  <c r="FZ413" i="98"/>
  <c r="FU414" i="98"/>
  <c r="FW414" i="98"/>
  <c r="FX414" i="98"/>
  <c r="FY414" i="98"/>
  <c r="FZ414" i="98"/>
  <c r="FU415" i="98"/>
  <c r="FW415" i="98"/>
  <c r="FX415" i="98"/>
  <c r="FY415" i="98"/>
  <c r="FZ415" i="98"/>
  <c r="FU416" i="98"/>
  <c r="FW416" i="98"/>
  <c r="FX416" i="98"/>
  <c r="FY416" i="98"/>
  <c r="FZ416" i="98"/>
  <c r="FU417" i="98"/>
  <c r="FW417" i="98"/>
  <c r="FY417" i="98"/>
  <c r="FZ417" i="98"/>
  <c r="FU418" i="98"/>
  <c r="FW418" i="98"/>
  <c r="FY418" i="98"/>
  <c r="FZ418" i="98"/>
  <c r="FU419" i="98"/>
  <c r="FW419" i="98"/>
  <c r="FY419" i="98"/>
  <c r="FZ419" i="98"/>
  <c r="FU420" i="98"/>
  <c r="FW420" i="98"/>
  <c r="FY420" i="98"/>
  <c r="FZ420" i="98"/>
  <c r="FU421" i="98"/>
  <c r="FW421" i="98"/>
  <c r="FY421" i="98"/>
  <c r="FZ421" i="98"/>
  <c r="FU422" i="98"/>
  <c r="FW422" i="98"/>
  <c r="FY422" i="98"/>
  <c r="FZ422" i="98"/>
  <c r="FU423" i="98"/>
  <c r="FW423" i="98"/>
  <c r="FY423" i="98"/>
  <c r="FZ423" i="98"/>
  <c r="FU424" i="98"/>
  <c r="FW424" i="98"/>
  <c r="FY424" i="98"/>
  <c r="FZ424" i="98"/>
  <c r="FU425" i="98"/>
  <c r="FW425" i="98"/>
  <c r="FY425" i="98"/>
  <c r="FZ425" i="98"/>
  <c r="FU426" i="98"/>
  <c r="FW426" i="98"/>
  <c r="FX426" i="98"/>
  <c r="FY426" i="98"/>
  <c r="FZ426" i="98"/>
  <c r="FU427" i="98"/>
  <c r="FW427" i="98"/>
  <c r="FY427" i="98"/>
  <c r="FZ427" i="98"/>
  <c r="FU428" i="98"/>
  <c r="FW428" i="98"/>
  <c r="FY428" i="98"/>
  <c r="FZ428" i="98"/>
  <c r="FU429" i="98"/>
  <c r="FW429" i="98"/>
  <c r="FY429" i="98"/>
  <c r="FZ429" i="98"/>
  <c r="FU430" i="98"/>
  <c r="FW430" i="98"/>
  <c r="FY430" i="98"/>
  <c r="FZ430" i="98"/>
  <c r="FU431" i="98"/>
  <c r="FW431" i="98"/>
  <c r="FY431" i="98"/>
  <c r="FZ431" i="98"/>
  <c r="FU432" i="98"/>
  <c r="FW432" i="98"/>
  <c r="FY432" i="98"/>
  <c r="FZ432" i="98"/>
  <c r="FU433" i="98"/>
  <c r="FW433" i="98"/>
  <c r="FY433" i="98"/>
  <c r="FZ433" i="98"/>
  <c r="FU434" i="98"/>
  <c r="FW434" i="98"/>
  <c r="FY434" i="98"/>
  <c r="FZ434" i="98"/>
  <c r="FU435" i="98"/>
  <c r="FW435" i="98"/>
  <c r="FY435" i="98"/>
  <c r="FZ435" i="98"/>
  <c r="FU436" i="98"/>
  <c r="FW436" i="98"/>
  <c r="FX436" i="98"/>
  <c r="FY436" i="98"/>
  <c r="FZ436" i="98"/>
  <c r="FU437" i="98"/>
  <c r="FW437" i="98"/>
  <c r="FY437" i="98"/>
  <c r="FZ437" i="98"/>
  <c r="FU438" i="98"/>
  <c r="FW438" i="98"/>
  <c r="FY438" i="98"/>
  <c r="FZ438" i="98"/>
  <c r="FU439" i="98"/>
  <c r="FW439" i="98"/>
  <c r="FY439" i="98"/>
  <c r="FZ439" i="98"/>
  <c r="FU440" i="98"/>
  <c r="FW440" i="98"/>
  <c r="FY440" i="98"/>
  <c r="FZ440" i="98"/>
  <c r="FU441" i="98"/>
  <c r="FW441" i="98"/>
  <c r="FY441" i="98"/>
  <c r="FZ441" i="98"/>
  <c r="FU442" i="98"/>
  <c r="FW442" i="98"/>
  <c r="FY442" i="98"/>
  <c r="FZ442" i="98"/>
  <c r="FU443" i="98"/>
  <c r="FW443" i="98"/>
  <c r="FY443" i="98"/>
  <c r="FZ443" i="98"/>
  <c r="FU444" i="98"/>
  <c r="FW444" i="98"/>
  <c r="FY444" i="98"/>
  <c r="FZ444" i="98"/>
  <c r="FU445" i="98"/>
  <c r="FW445" i="98"/>
  <c r="FY445" i="98"/>
  <c r="FZ445" i="98"/>
  <c r="FU446" i="98"/>
  <c r="FW446" i="98"/>
  <c r="FX446" i="98"/>
  <c r="FY446" i="98"/>
  <c r="FZ446" i="98"/>
  <c r="FU447" i="98"/>
  <c r="FW447" i="98"/>
  <c r="FY447" i="98"/>
  <c r="FZ447" i="98"/>
  <c r="FU448" i="98"/>
  <c r="FW448" i="98"/>
  <c r="FY448" i="98"/>
  <c r="FZ448" i="98"/>
  <c r="FU449" i="98"/>
  <c r="FW449" i="98"/>
  <c r="FY449" i="98"/>
  <c r="FZ449" i="98"/>
  <c r="FU450" i="98"/>
  <c r="FW450" i="98"/>
  <c r="FY450" i="98"/>
  <c r="FZ450" i="98"/>
  <c r="FU451" i="98"/>
  <c r="FW451" i="98"/>
  <c r="FY451" i="98"/>
  <c r="FZ451" i="98"/>
  <c r="FU452" i="98"/>
  <c r="FW452" i="98"/>
  <c r="FY452" i="98"/>
  <c r="FZ452" i="98"/>
  <c r="FU453" i="98"/>
  <c r="FW453" i="98"/>
  <c r="FY453" i="98"/>
  <c r="FZ453" i="98"/>
  <c r="FU454" i="98"/>
  <c r="FW454" i="98"/>
  <c r="FY454" i="98"/>
  <c r="FZ454" i="98"/>
  <c r="FU455" i="98"/>
  <c r="FW455" i="98"/>
  <c r="FY455" i="98"/>
  <c r="FZ455" i="98"/>
  <c r="FU456" i="98"/>
  <c r="FW456" i="98"/>
  <c r="FX456" i="98"/>
  <c r="FY456" i="98"/>
  <c r="FZ456" i="98"/>
  <c r="FU457" i="98"/>
  <c r="FW457" i="98"/>
  <c r="FY457" i="98"/>
  <c r="FZ457" i="98"/>
  <c r="FU458" i="98"/>
  <c r="FW458" i="98"/>
  <c r="FY458" i="98"/>
  <c r="FZ458" i="98"/>
  <c r="FU459" i="98"/>
  <c r="FW459" i="98"/>
  <c r="FY459" i="98"/>
  <c r="FZ459" i="98"/>
  <c r="FU460" i="98"/>
  <c r="FW460" i="98"/>
  <c r="FY460" i="98"/>
  <c r="FZ460" i="98"/>
  <c r="FU461" i="98"/>
  <c r="FW461" i="98"/>
  <c r="FY461" i="98"/>
  <c r="FZ461" i="98"/>
  <c r="FU462" i="98"/>
  <c r="FW462" i="98"/>
  <c r="FY462" i="98"/>
  <c r="FZ462" i="98"/>
  <c r="FU463" i="98"/>
  <c r="FW463" i="98"/>
  <c r="FY463" i="98"/>
  <c r="FZ463" i="98"/>
  <c r="FU464" i="98"/>
  <c r="FW464" i="98"/>
  <c r="FY464" i="98"/>
  <c r="FZ464" i="98"/>
  <c r="FU465" i="98"/>
  <c r="FW465" i="98"/>
  <c r="FY465" i="98"/>
  <c r="FZ465" i="98"/>
  <c r="FU466" i="98"/>
  <c r="FW466" i="98"/>
  <c r="FX466" i="98"/>
  <c r="FY466" i="98"/>
  <c r="FZ466" i="98"/>
  <c r="FU467" i="98"/>
  <c r="FW467" i="98"/>
  <c r="FY467" i="98"/>
  <c r="FZ467" i="98"/>
  <c r="FU468" i="98"/>
  <c r="FW468" i="98"/>
  <c r="FY468" i="98"/>
  <c r="FZ468" i="98"/>
  <c r="FU469" i="98"/>
  <c r="FW469" i="98"/>
  <c r="FY469" i="98"/>
  <c r="FZ469" i="98"/>
  <c r="FU470" i="98"/>
  <c r="FW470" i="98"/>
  <c r="FY470" i="98"/>
  <c r="FZ470" i="98"/>
  <c r="FU471" i="98"/>
  <c r="FW471" i="98"/>
  <c r="FY471" i="98"/>
  <c r="FZ471" i="98"/>
  <c r="FU472" i="98"/>
  <c r="FW472" i="98"/>
  <c r="FY472" i="98"/>
  <c r="FZ472" i="98"/>
  <c r="FU473" i="98"/>
  <c r="FW473" i="98"/>
  <c r="FY473" i="98"/>
  <c r="FZ473" i="98"/>
  <c r="FU474" i="98"/>
  <c r="FW474" i="98"/>
  <c r="FY474" i="98"/>
  <c r="FZ474" i="98"/>
  <c r="FU475" i="98"/>
  <c r="FW475" i="98"/>
  <c r="FY475" i="98"/>
  <c r="FZ475" i="98"/>
  <c r="FU476" i="98"/>
  <c r="FW476" i="98"/>
  <c r="FX476" i="98"/>
  <c r="FY476" i="98"/>
  <c r="FZ476" i="98"/>
  <c r="FU477" i="98"/>
  <c r="FW477" i="98"/>
  <c r="FX477" i="98"/>
  <c r="FY477" i="98"/>
  <c r="FZ477" i="98"/>
  <c r="FU478" i="98"/>
  <c r="FW478" i="98"/>
  <c r="FX478" i="98"/>
  <c r="FY478" i="98"/>
  <c r="FZ478" i="98"/>
  <c r="FU479" i="98"/>
  <c r="FW479" i="98"/>
  <c r="FX479" i="98"/>
  <c r="FY479" i="98"/>
  <c r="FZ479" i="98"/>
  <c r="FU480" i="98"/>
  <c r="FW480" i="98"/>
  <c r="FX480" i="98"/>
  <c r="FY480" i="98"/>
  <c r="FZ480" i="98"/>
  <c r="FU481" i="98"/>
  <c r="FW481" i="98"/>
  <c r="FX481" i="98"/>
  <c r="FY481" i="98"/>
  <c r="FZ481" i="98"/>
  <c r="FU482" i="98"/>
  <c r="FW482" i="98"/>
  <c r="FX482" i="98"/>
  <c r="FY482" i="98"/>
  <c r="FZ482" i="98"/>
  <c r="FU483" i="98"/>
  <c r="FW483" i="98"/>
  <c r="FX483" i="98"/>
  <c r="FY483" i="98"/>
  <c r="FZ483" i="98"/>
  <c r="FU484" i="98"/>
  <c r="FW484" i="98"/>
  <c r="FX484" i="98"/>
  <c r="FY484" i="98"/>
  <c r="FZ484" i="98"/>
  <c r="FU485" i="98"/>
  <c r="FW485" i="98"/>
  <c r="FX485" i="98"/>
  <c r="FY485" i="98"/>
  <c r="FZ485" i="98"/>
  <c r="FU486" i="98"/>
  <c r="FW486" i="98"/>
  <c r="FX486" i="98"/>
  <c r="FY486" i="98"/>
  <c r="FZ486" i="98"/>
  <c r="FU487" i="98"/>
  <c r="FW487" i="98"/>
  <c r="FX487" i="98"/>
  <c r="FY487" i="98"/>
  <c r="FZ487" i="98"/>
  <c r="FU488" i="98"/>
  <c r="FW488" i="98"/>
  <c r="FX488" i="98"/>
  <c r="FY488" i="98"/>
  <c r="FZ488" i="98"/>
  <c r="FU489" i="98"/>
  <c r="FW489" i="98"/>
  <c r="FX489" i="98"/>
  <c r="FY489" i="98"/>
  <c r="FZ489" i="98"/>
  <c r="FU490" i="98"/>
  <c r="FW490" i="98"/>
  <c r="FX490" i="98"/>
  <c r="FY490" i="98"/>
  <c r="FZ490" i="98"/>
  <c r="FU491" i="98"/>
  <c r="FW491" i="98"/>
  <c r="FX491" i="98"/>
  <c r="FY491" i="98"/>
  <c r="FZ491" i="98"/>
  <c r="FU492" i="98"/>
  <c r="FW492" i="98"/>
  <c r="FX492" i="98"/>
  <c r="FY492" i="98"/>
  <c r="FZ492" i="98"/>
  <c r="FU493" i="98"/>
  <c r="FW493" i="98"/>
  <c r="FX493" i="98"/>
  <c r="FY493" i="98"/>
  <c r="FZ493" i="98"/>
  <c r="FU494" i="98"/>
  <c r="FW494" i="98"/>
  <c r="FX494" i="98"/>
  <c r="FY494" i="98"/>
  <c r="FZ494" i="98"/>
  <c r="FU495" i="98"/>
  <c r="FW495" i="98"/>
  <c r="FX495" i="98"/>
  <c r="FY495" i="98"/>
  <c r="FZ495" i="98"/>
  <c r="FU496" i="98"/>
  <c r="FW496" i="98"/>
  <c r="FX496" i="98"/>
  <c r="FY496" i="98"/>
  <c r="FZ496" i="98"/>
  <c r="FU497" i="98"/>
  <c r="FW497" i="98"/>
  <c r="FY497" i="98"/>
  <c r="FZ497" i="98"/>
  <c r="FU498" i="98"/>
  <c r="FW498" i="98"/>
  <c r="FY498" i="98"/>
  <c r="FZ498" i="98"/>
  <c r="FU499" i="98"/>
  <c r="FW499" i="98"/>
  <c r="FY499" i="98"/>
  <c r="FZ499" i="98"/>
  <c r="FU500" i="98"/>
  <c r="FW500" i="98"/>
  <c r="FY500" i="98"/>
  <c r="FZ500" i="98"/>
  <c r="FU501" i="98"/>
  <c r="FW501" i="98"/>
  <c r="FY501" i="98"/>
  <c r="FZ501" i="98"/>
  <c r="FU502" i="98"/>
  <c r="FW502" i="98"/>
  <c r="FY502" i="98"/>
  <c r="FZ502" i="98"/>
  <c r="FU503" i="98"/>
  <c r="FW503" i="98"/>
  <c r="FY503" i="98"/>
  <c r="FZ503" i="98"/>
  <c r="FU504" i="98"/>
  <c r="FW504" i="98"/>
  <c r="FY504" i="98"/>
  <c r="FZ504" i="98"/>
  <c r="FU505" i="98"/>
  <c r="FW505" i="98"/>
  <c r="FY505" i="98"/>
  <c r="FZ505" i="98"/>
  <c r="FU506" i="98"/>
  <c r="FW506" i="98"/>
  <c r="FX506" i="98"/>
  <c r="FY506" i="98"/>
  <c r="FZ506" i="98"/>
  <c r="FU507" i="98"/>
  <c r="FW507" i="98"/>
  <c r="FY507" i="98"/>
  <c r="FZ507" i="98"/>
  <c r="FU508" i="98"/>
  <c r="FW508" i="98"/>
  <c r="FY508" i="98"/>
  <c r="FZ508" i="98"/>
  <c r="FU509" i="98"/>
  <c r="FW509" i="98"/>
  <c r="FY509" i="98"/>
  <c r="FZ509" i="98"/>
  <c r="FU510" i="98"/>
  <c r="FW510" i="98"/>
  <c r="FY510" i="98"/>
  <c r="FZ510" i="98"/>
  <c r="FU511" i="98"/>
  <c r="FW511" i="98"/>
  <c r="FY511" i="98"/>
  <c r="FZ511" i="98"/>
  <c r="FU512" i="98"/>
  <c r="FW512" i="98"/>
  <c r="FY512" i="98"/>
  <c r="FZ512" i="98"/>
  <c r="FU513" i="98"/>
  <c r="FW513" i="98"/>
  <c r="FY513" i="98"/>
  <c r="FZ513" i="98"/>
  <c r="FU514" i="98"/>
  <c r="FW514" i="98"/>
  <c r="FY514" i="98"/>
  <c r="FZ514" i="98"/>
  <c r="FU515" i="98"/>
  <c r="FW515" i="98"/>
  <c r="FY515" i="98"/>
  <c r="FZ515" i="98"/>
  <c r="FU516" i="98"/>
  <c r="FW516" i="98"/>
  <c r="FX516" i="98"/>
  <c r="FY516" i="98"/>
  <c r="FZ516" i="98"/>
  <c r="FU517" i="98"/>
  <c r="FW517" i="98"/>
  <c r="FY517" i="98"/>
  <c r="FZ517" i="98"/>
  <c r="FU518" i="98"/>
  <c r="FW518" i="98"/>
  <c r="FY518" i="98"/>
  <c r="FZ518" i="98"/>
  <c r="FU519" i="98"/>
  <c r="FW519" i="98"/>
  <c r="FY519" i="98"/>
  <c r="FZ519" i="98"/>
  <c r="FU520" i="98"/>
  <c r="FW520" i="98"/>
  <c r="FY520" i="98"/>
  <c r="FZ520" i="98"/>
  <c r="FU521" i="98"/>
  <c r="FW521" i="98"/>
  <c r="FY521" i="98"/>
  <c r="FZ521" i="98"/>
  <c r="FU522" i="98"/>
  <c r="FW522" i="98"/>
  <c r="FY522" i="98"/>
  <c r="FZ522" i="98"/>
  <c r="FU523" i="98"/>
  <c r="FW523" i="98"/>
  <c r="FY523" i="98"/>
  <c r="FZ523" i="98"/>
  <c r="FU524" i="98"/>
  <c r="FW524" i="98"/>
  <c r="FY524" i="98"/>
  <c r="FZ524" i="98"/>
  <c r="FU525" i="98"/>
  <c r="FW525" i="98"/>
  <c r="FY525" i="98"/>
  <c r="FZ525" i="98"/>
  <c r="FU526" i="98"/>
  <c r="FW526" i="98"/>
  <c r="FX526" i="98"/>
  <c r="FY526" i="98"/>
  <c r="FZ526" i="98"/>
  <c r="FU527" i="98"/>
  <c r="FW527" i="98"/>
  <c r="FY527" i="98"/>
  <c r="FZ527" i="98"/>
  <c r="FU528" i="98"/>
  <c r="FW528" i="98"/>
  <c r="FY528" i="98"/>
  <c r="FZ528" i="98"/>
  <c r="FU529" i="98"/>
  <c r="FW529" i="98"/>
  <c r="FY529" i="98"/>
  <c r="FZ529" i="98"/>
  <c r="FU530" i="98"/>
  <c r="FW530" i="98"/>
  <c r="FY530" i="98"/>
  <c r="FZ530" i="98"/>
  <c r="FU531" i="98"/>
  <c r="FW531" i="98"/>
  <c r="FY531" i="98"/>
  <c r="FZ531" i="98"/>
  <c r="FU532" i="98"/>
  <c r="FW532" i="98"/>
  <c r="FY532" i="98"/>
  <c r="FZ532" i="98"/>
  <c r="FU533" i="98"/>
  <c r="FW533" i="98"/>
  <c r="FY533" i="98"/>
  <c r="FZ533" i="98"/>
  <c r="FU534" i="98"/>
  <c r="FW534" i="98"/>
  <c r="FY534" i="98"/>
  <c r="FZ534" i="98"/>
  <c r="FU535" i="98"/>
  <c r="FW535" i="98"/>
  <c r="FY535" i="98"/>
  <c r="FZ535" i="98"/>
  <c r="FU536" i="98"/>
  <c r="FW536" i="98"/>
  <c r="FX536" i="98"/>
  <c r="FY536" i="98"/>
  <c r="FZ536" i="98"/>
  <c r="FU537" i="98"/>
  <c r="FW537" i="98"/>
  <c r="FY537" i="98"/>
  <c r="FZ537" i="98"/>
  <c r="FU538" i="98"/>
  <c r="FW538" i="98"/>
  <c r="FY538" i="98"/>
  <c r="FZ538" i="98"/>
  <c r="FU539" i="98"/>
  <c r="FW539" i="98"/>
  <c r="FY539" i="98"/>
  <c r="FZ539" i="98"/>
  <c r="FU540" i="98"/>
  <c r="FW540" i="98"/>
  <c r="FY540" i="98"/>
  <c r="FZ540" i="98"/>
  <c r="FU541" i="98"/>
  <c r="FW541" i="98"/>
  <c r="FY541" i="98"/>
  <c r="FZ541" i="98"/>
  <c r="FU542" i="98"/>
  <c r="FW542" i="98"/>
  <c r="FY542" i="98"/>
  <c r="FZ542" i="98"/>
  <c r="FU543" i="98"/>
  <c r="FW543" i="98"/>
  <c r="FY543" i="98"/>
  <c r="FZ543" i="98"/>
  <c r="FU544" i="98"/>
  <c r="FW544" i="98"/>
  <c r="FY544" i="98"/>
  <c r="FZ544" i="98"/>
  <c r="FU545" i="98"/>
  <c r="FW545" i="98"/>
  <c r="FY545" i="98"/>
  <c r="FZ545" i="98"/>
  <c r="FU546" i="98"/>
  <c r="FW546" i="98"/>
  <c r="FX546" i="98"/>
  <c r="FY546" i="98"/>
  <c r="FZ546" i="98"/>
  <c r="FU547" i="98"/>
  <c r="FW547" i="98"/>
  <c r="FY547" i="98"/>
  <c r="FZ547" i="98"/>
  <c r="FU548" i="98"/>
  <c r="FW548" i="98"/>
  <c r="FY548" i="98"/>
  <c r="FZ548" i="98"/>
  <c r="FU549" i="98"/>
  <c r="FW549" i="98"/>
  <c r="FY549" i="98"/>
  <c r="FZ549" i="98"/>
  <c r="FU550" i="98"/>
  <c r="FW550" i="98"/>
  <c r="FY550" i="98"/>
  <c r="FZ550" i="98"/>
  <c r="FU551" i="98"/>
  <c r="FW551" i="98"/>
  <c r="FY551" i="98"/>
  <c r="FZ551" i="98"/>
  <c r="FU552" i="98"/>
  <c r="FW552" i="98"/>
  <c r="FY552" i="98"/>
  <c r="FZ552" i="98"/>
  <c r="FU553" i="98"/>
  <c r="FW553" i="98"/>
  <c r="FY553" i="98"/>
  <c r="FZ553" i="98"/>
  <c r="FU554" i="98"/>
  <c r="FW554" i="98"/>
  <c r="FY554" i="98"/>
  <c r="FZ554" i="98"/>
  <c r="FU555" i="98"/>
  <c r="FW555" i="98"/>
  <c r="FY555" i="98"/>
  <c r="FZ555" i="98"/>
  <c r="FU556" i="98"/>
  <c r="FW556" i="98"/>
  <c r="FX556" i="98"/>
  <c r="FY556" i="98"/>
  <c r="FZ556" i="98"/>
  <c r="FU557" i="98"/>
  <c r="FW557" i="98"/>
  <c r="FX557" i="98"/>
  <c r="FY557" i="98"/>
  <c r="FZ557" i="98"/>
  <c r="FU558" i="98"/>
  <c r="FW558" i="98"/>
  <c r="FX558" i="98"/>
  <c r="FY558" i="98"/>
  <c r="FZ558" i="98"/>
  <c r="FU559" i="98"/>
  <c r="FW559" i="98"/>
  <c r="FX559" i="98"/>
  <c r="FY559" i="98"/>
  <c r="FZ559" i="98"/>
  <c r="FU560" i="98"/>
  <c r="FW560" i="98"/>
  <c r="FX560" i="98"/>
  <c r="FY560" i="98"/>
  <c r="FZ560" i="98"/>
  <c r="FU561" i="98"/>
  <c r="FW561" i="98"/>
  <c r="FX561" i="98"/>
  <c r="FY561" i="98"/>
  <c r="FZ561" i="98"/>
  <c r="FU562" i="98"/>
  <c r="FW562" i="98"/>
  <c r="FX562" i="98"/>
  <c r="FY562" i="98"/>
  <c r="FZ562" i="98"/>
  <c r="FU563" i="98"/>
  <c r="FW563" i="98"/>
  <c r="FX563" i="98"/>
  <c r="FY563" i="98"/>
  <c r="FZ563" i="98"/>
  <c r="FU564" i="98"/>
  <c r="FW564" i="98"/>
  <c r="FX564" i="98"/>
  <c r="FY564" i="98"/>
  <c r="FZ564" i="98"/>
  <c r="FU565" i="98"/>
  <c r="FW565" i="98"/>
  <c r="FX565" i="98"/>
  <c r="FY565" i="98"/>
  <c r="FZ565" i="98"/>
  <c r="FU566" i="98"/>
  <c r="FW566" i="98"/>
  <c r="FX566" i="98"/>
  <c r="FY566" i="98"/>
  <c r="FZ566" i="98"/>
  <c r="FU567" i="98"/>
  <c r="FW567" i="98"/>
  <c r="FX567" i="98"/>
  <c r="FY567" i="98"/>
  <c r="FZ567" i="98"/>
  <c r="FU568" i="98"/>
  <c r="FW568" i="98"/>
  <c r="FX568" i="98"/>
  <c r="FY568" i="98"/>
  <c r="FZ568" i="98"/>
  <c r="FU569" i="98"/>
  <c r="FW569" i="98"/>
  <c r="FX569" i="98"/>
  <c r="FY569" i="98"/>
  <c r="FZ569" i="98"/>
  <c r="FU570" i="98"/>
  <c r="FW570" i="98"/>
  <c r="FX570" i="98"/>
  <c r="FY570" i="98"/>
  <c r="FZ570" i="98"/>
  <c r="FU571" i="98"/>
  <c r="FW571" i="98"/>
  <c r="FX571" i="98"/>
  <c r="FY571" i="98"/>
  <c r="FZ571" i="98"/>
  <c r="FU572" i="98"/>
  <c r="FW572" i="98"/>
  <c r="FX572" i="98"/>
  <c r="FY572" i="98"/>
  <c r="FZ572" i="98"/>
  <c r="FU573" i="98"/>
  <c r="FW573" i="98"/>
  <c r="FX573" i="98"/>
  <c r="FY573" i="98"/>
  <c r="FZ573" i="98"/>
  <c r="FU574" i="98"/>
  <c r="FW574" i="98"/>
  <c r="FX574" i="98"/>
  <c r="FY574" i="98"/>
  <c r="FZ574" i="98"/>
  <c r="FU575" i="98"/>
  <c r="FW575" i="98"/>
  <c r="FX575" i="98"/>
  <c r="FY575" i="98"/>
  <c r="FZ575" i="98"/>
  <c r="FU576" i="98"/>
  <c r="FW576" i="98"/>
  <c r="FX576" i="98"/>
  <c r="FY576" i="98"/>
  <c r="FZ576" i="98"/>
  <c r="FU577" i="98"/>
  <c r="FW577" i="98"/>
  <c r="FY577" i="98"/>
  <c r="FZ577" i="98"/>
  <c r="FU578" i="98"/>
  <c r="FW578" i="98"/>
  <c r="FY578" i="98"/>
  <c r="FZ578" i="98"/>
  <c r="FU579" i="98"/>
  <c r="FW579" i="98"/>
  <c r="FY579" i="98"/>
  <c r="FZ579" i="98"/>
  <c r="FU580" i="98"/>
  <c r="FW580" i="98"/>
  <c r="FY580" i="98"/>
  <c r="FZ580" i="98"/>
  <c r="FU581" i="98"/>
  <c r="FW581" i="98"/>
  <c r="FY581" i="98"/>
  <c r="FZ581" i="98"/>
  <c r="FU582" i="98"/>
  <c r="FW582" i="98"/>
  <c r="FY582" i="98"/>
  <c r="FZ582" i="98"/>
  <c r="FU583" i="98"/>
  <c r="FW583" i="98"/>
  <c r="FY583" i="98"/>
  <c r="FZ583" i="98"/>
  <c r="FU584" i="98"/>
  <c r="FW584" i="98"/>
  <c r="FY584" i="98"/>
  <c r="FZ584" i="98"/>
  <c r="FU585" i="98"/>
  <c r="FW585" i="98"/>
  <c r="FY585" i="98"/>
  <c r="FZ585" i="98"/>
  <c r="FU586" i="98"/>
  <c r="FW586" i="98"/>
  <c r="FX586" i="98"/>
  <c r="FY586" i="98"/>
  <c r="FZ586" i="98"/>
  <c r="FU587" i="98"/>
  <c r="FW587" i="98"/>
  <c r="FY587" i="98"/>
  <c r="FZ587" i="98"/>
  <c r="FU588" i="98"/>
  <c r="FW588" i="98"/>
  <c r="FY588" i="98"/>
  <c r="FZ588" i="98"/>
  <c r="FU589" i="98"/>
  <c r="FW589" i="98"/>
  <c r="FY589" i="98"/>
  <c r="FZ589" i="98"/>
  <c r="FU590" i="98"/>
  <c r="FW590" i="98"/>
  <c r="FY590" i="98"/>
  <c r="FZ590" i="98"/>
  <c r="FU591" i="98"/>
  <c r="FW591" i="98"/>
  <c r="FY591" i="98"/>
  <c r="FZ591" i="98"/>
  <c r="FU592" i="98"/>
  <c r="FW592" i="98"/>
  <c r="FY592" i="98"/>
  <c r="FZ592" i="98"/>
  <c r="FU593" i="98"/>
  <c r="FW593" i="98"/>
  <c r="FY593" i="98"/>
  <c r="FZ593" i="98"/>
  <c r="FU594" i="98"/>
  <c r="FW594" i="98"/>
  <c r="FY594" i="98"/>
  <c r="FZ594" i="98"/>
  <c r="FU595" i="98"/>
  <c r="FW595" i="98"/>
  <c r="FY595" i="98"/>
  <c r="FZ595" i="98"/>
  <c r="FU596" i="98"/>
  <c r="FW596" i="98"/>
  <c r="FX596" i="98"/>
  <c r="FY596" i="98"/>
  <c r="FZ596" i="98"/>
  <c r="FU597" i="98"/>
  <c r="FW597" i="98"/>
  <c r="FY597" i="98"/>
  <c r="FZ597" i="98"/>
  <c r="FU598" i="98"/>
  <c r="FW598" i="98"/>
  <c r="FY598" i="98"/>
  <c r="FZ598" i="98"/>
  <c r="FU599" i="98"/>
  <c r="FW599" i="98"/>
  <c r="FY599" i="98"/>
  <c r="FZ599" i="98"/>
  <c r="FU600" i="98"/>
  <c r="FW600" i="98"/>
  <c r="FY600" i="98"/>
  <c r="FZ600" i="98"/>
  <c r="FU601" i="98"/>
  <c r="FW601" i="98"/>
  <c r="FY601" i="98"/>
  <c r="FZ601" i="98"/>
  <c r="FU602" i="98"/>
  <c r="FW602" i="98"/>
  <c r="FY602" i="98"/>
  <c r="FZ602" i="98"/>
  <c r="FU603" i="98"/>
  <c r="FW603" i="98"/>
  <c r="FY603" i="98"/>
  <c r="FZ603" i="98"/>
  <c r="FU604" i="98"/>
  <c r="FW604" i="98"/>
  <c r="FY604" i="98"/>
  <c r="FZ604" i="98"/>
  <c r="FU605" i="98"/>
  <c r="FW605" i="98"/>
  <c r="FY605" i="98"/>
  <c r="FZ605" i="98"/>
  <c r="FU606" i="98"/>
  <c r="FW606" i="98"/>
  <c r="FX606" i="98"/>
  <c r="FY606" i="98"/>
  <c r="FZ606" i="98"/>
  <c r="FU607" i="98"/>
  <c r="FW607" i="98"/>
  <c r="FY607" i="98"/>
  <c r="FZ607" i="98"/>
  <c r="FU608" i="98"/>
  <c r="FW608" i="98"/>
  <c r="FY608" i="98"/>
  <c r="FZ608" i="98"/>
  <c r="FU609" i="98"/>
  <c r="FW609" i="98"/>
  <c r="FY609" i="98"/>
  <c r="FZ609" i="98"/>
  <c r="FU610" i="98"/>
  <c r="FW610" i="98"/>
  <c r="FY610" i="98"/>
  <c r="FZ610" i="98"/>
  <c r="FU611" i="98"/>
  <c r="FW611" i="98"/>
  <c r="FY611" i="98"/>
  <c r="FZ611" i="98"/>
  <c r="FU612" i="98"/>
  <c r="FW612" i="98"/>
  <c r="FY612" i="98"/>
  <c r="FZ612" i="98"/>
  <c r="FU613" i="98"/>
  <c r="FW613" i="98"/>
  <c r="FY613" i="98"/>
  <c r="FZ613" i="98"/>
  <c r="FU614" i="98"/>
  <c r="FW614" i="98"/>
  <c r="FY614" i="98"/>
  <c r="FZ614" i="98"/>
  <c r="FU615" i="98"/>
  <c r="FW615" i="98"/>
  <c r="FY615" i="98"/>
  <c r="FZ615" i="98"/>
  <c r="FU616" i="98"/>
  <c r="FW616" i="98"/>
  <c r="FX616" i="98"/>
  <c r="FY616" i="98"/>
  <c r="FZ616" i="98"/>
  <c r="FU617" i="98"/>
  <c r="FW617" i="98"/>
  <c r="FY617" i="98"/>
  <c r="FZ617" i="98"/>
  <c r="FU618" i="98"/>
  <c r="FW618" i="98"/>
  <c r="FY618" i="98"/>
  <c r="FZ618" i="98"/>
  <c r="FU619" i="98"/>
  <c r="FW619" i="98"/>
  <c r="FY619" i="98"/>
  <c r="FZ619" i="98"/>
  <c r="FU620" i="98"/>
  <c r="FW620" i="98"/>
  <c r="FY620" i="98"/>
  <c r="FZ620" i="98"/>
  <c r="FU621" i="98"/>
  <c r="FW621" i="98"/>
  <c r="FY621" i="98"/>
  <c r="FZ621" i="98"/>
  <c r="FU622" i="98"/>
  <c r="FW622" i="98"/>
  <c r="FY622" i="98"/>
  <c r="FZ622" i="98"/>
  <c r="FU623" i="98"/>
  <c r="FW623" i="98"/>
  <c r="FY623" i="98"/>
  <c r="FZ623" i="98"/>
  <c r="FU624" i="98"/>
  <c r="FW624" i="98"/>
  <c r="FY624" i="98"/>
  <c r="FZ624" i="98"/>
  <c r="FU625" i="98"/>
  <c r="FW625" i="98"/>
  <c r="FY625" i="98"/>
  <c r="FZ625" i="98"/>
  <c r="FU626" i="98"/>
  <c r="FW626" i="98"/>
  <c r="FX626" i="98"/>
  <c r="FY626" i="98"/>
  <c r="FZ626" i="98"/>
  <c r="FU627" i="98"/>
  <c r="FW627" i="98"/>
  <c r="FY627" i="98"/>
  <c r="FZ627" i="98"/>
  <c r="FU628" i="98"/>
  <c r="FW628" i="98"/>
  <c r="FY628" i="98"/>
  <c r="FZ628" i="98"/>
  <c r="FU629" i="98"/>
  <c r="FW629" i="98"/>
  <c r="FY629" i="98"/>
  <c r="FZ629" i="98"/>
  <c r="FU630" i="98"/>
  <c r="FW630" i="98"/>
  <c r="FY630" i="98"/>
  <c r="FZ630" i="98"/>
  <c r="FU631" i="98"/>
  <c r="FW631" i="98"/>
  <c r="FY631" i="98"/>
  <c r="FZ631" i="98"/>
  <c r="FU632" i="98"/>
  <c r="FW632" i="98"/>
  <c r="FY632" i="98"/>
  <c r="FZ632" i="98"/>
  <c r="FU633" i="98"/>
  <c r="FW633" i="98"/>
  <c r="FY633" i="98"/>
  <c r="FZ633" i="98"/>
  <c r="FU634" i="98"/>
  <c r="FW634" i="98"/>
  <c r="FY634" i="98"/>
  <c r="FZ634" i="98"/>
  <c r="FU635" i="98"/>
  <c r="FW635" i="98"/>
  <c r="FY635" i="98"/>
  <c r="FZ635" i="98"/>
  <c r="FU636" i="98"/>
  <c r="FW636" i="98"/>
  <c r="FX636" i="98"/>
  <c r="FY636" i="98"/>
  <c r="FZ636" i="98"/>
  <c r="FU637" i="98"/>
  <c r="FW637" i="98"/>
  <c r="FX637" i="98"/>
  <c r="FY637" i="98"/>
  <c r="FZ637" i="98"/>
  <c r="FU638" i="98"/>
  <c r="FW638" i="98"/>
  <c r="FX638" i="98"/>
  <c r="FY638" i="98"/>
  <c r="FZ638" i="98"/>
  <c r="FU639" i="98"/>
  <c r="FW639" i="98"/>
  <c r="FX639" i="98"/>
  <c r="FY639" i="98"/>
  <c r="FZ639" i="98"/>
  <c r="FU640" i="98"/>
  <c r="FW640" i="98"/>
  <c r="FX640" i="98"/>
  <c r="FY640" i="98"/>
  <c r="FZ640" i="98"/>
  <c r="FU641" i="98"/>
  <c r="FW641" i="98"/>
  <c r="FX641" i="98"/>
  <c r="FY641" i="98"/>
  <c r="FZ641" i="98"/>
  <c r="FU642" i="98"/>
  <c r="FW642" i="98"/>
  <c r="FX642" i="98"/>
  <c r="FY642" i="98"/>
  <c r="FZ642" i="98"/>
  <c r="FU643" i="98"/>
  <c r="FW643" i="98"/>
  <c r="FX643" i="98"/>
  <c r="FY643" i="98"/>
  <c r="FZ643" i="98"/>
  <c r="FU644" i="98"/>
  <c r="FW644" i="98"/>
  <c r="FX644" i="98"/>
  <c r="FY644" i="98"/>
  <c r="FZ644" i="98"/>
  <c r="FU645" i="98"/>
  <c r="FW645" i="98"/>
  <c r="FX645" i="98"/>
  <c r="FY645" i="98"/>
  <c r="FZ645" i="98"/>
  <c r="FU646" i="98"/>
  <c r="FW646" i="98"/>
  <c r="FX646" i="98"/>
  <c r="FY646" i="98"/>
  <c r="FZ646" i="98"/>
  <c r="FU647" i="98"/>
  <c r="FW647" i="98"/>
  <c r="FX647" i="98"/>
  <c r="FY647" i="98"/>
  <c r="FZ647" i="98"/>
  <c r="FU648" i="98"/>
  <c r="FW648" i="98"/>
  <c r="FX648" i="98"/>
  <c r="FY648" i="98"/>
  <c r="FZ648" i="98"/>
  <c r="FU649" i="98"/>
  <c r="FW649" i="98"/>
  <c r="FX649" i="98"/>
  <c r="FY649" i="98"/>
  <c r="FZ649" i="98"/>
  <c r="FU650" i="98"/>
  <c r="FW650" i="98"/>
  <c r="FX650" i="98"/>
  <c r="FY650" i="98"/>
  <c r="FZ650" i="98"/>
  <c r="FU651" i="98"/>
  <c r="FW651" i="98"/>
  <c r="FX651" i="98"/>
  <c r="FY651" i="98"/>
  <c r="FZ651" i="98"/>
  <c r="FU652" i="98"/>
  <c r="FW652" i="98"/>
  <c r="FX652" i="98"/>
  <c r="FY652" i="98"/>
  <c r="FZ652" i="98"/>
  <c r="FU653" i="98"/>
  <c r="FW653" i="98"/>
  <c r="FX653" i="98"/>
  <c r="FY653" i="98"/>
  <c r="FZ653" i="98"/>
  <c r="FU654" i="98"/>
  <c r="FW654" i="98"/>
  <c r="FX654" i="98"/>
  <c r="FY654" i="98"/>
  <c r="FZ654" i="98"/>
  <c r="FU655" i="98"/>
  <c r="FW655" i="98"/>
  <c r="FX655" i="98"/>
  <c r="FY655" i="98"/>
  <c r="FZ655" i="98"/>
  <c r="FU656" i="98"/>
  <c r="FW656" i="98"/>
  <c r="FX656" i="98"/>
  <c r="FY656" i="98"/>
  <c r="FZ656" i="98"/>
  <c r="FU657" i="98"/>
  <c r="FW657" i="98"/>
  <c r="FY657" i="98"/>
  <c r="FZ657" i="98"/>
  <c r="FU658" i="98"/>
  <c r="FW658" i="98"/>
  <c r="FY658" i="98"/>
  <c r="FZ658" i="98"/>
  <c r="FU659" i="98"/>
  <c r="FW659" i="98"/>
  <c r="FY659" i="98"/>
  <c r="FZ659" i="98"/>
  <c r="FU660" i="98"/>
  <c r="FW660" i="98"/>
  <c r="FY660" i="98"/>
  <c r="FZ660" i="98"/>
  <c r="FU661" i="98"/>
  <c r="FW661" i="98"/>
  <c r="FY661" i="98"/>
  <c r="FZ661" i="98"/>
  <c r="FU662" i="98"/>
  <c r="FW662" i="98"/>
  <c r="FY662" i="98"/>
  <c r="FZ662" i="98"/>
  <c r="FU663" i="98"/>
  <c r="FW663" i="98"/>
  <c r="FY663" i="98"/>
  <c r="FZ663" i="98"/>
  <c r="FU664" i="98"/>
  <c r="FW664" i="98"/>
  <c r="FY664" i="98"/>
  <c r="FZ664" i="98"/>
  <c r="FU665" i="98"/>
  <c r="FW665" i="98"/>
  <c r="FY665" i="98"/>
  <c r="FZ665" i="98"/>
  <c r="FU666" i="98"/>
  <c r="FW666" i="98"/>
  <c r="FX666" i="98"/>
  <c r="FY666" i="98"/>
  <c r="FZ666" i="98"/>
  <c r="FU667" i="98"/>
  <c r="FW667" i="98"/>
  <c r="FY667" i="98"/>
  <c r="FZ667" i="98"/>
  <c r="FU668" i="98"/>
  <c r="FW668" i="98"/>
  <c r="FY668" i="98"/>
  <c r="FZ668" i="98"/>
  <c r="FU669" i="98"/>
  <c r="FW669" i="98"/>
  <c r="FY669" i="98"/>
  <c r="FZ669" i="98"/>
  <c r="FU670" i="98"/>
  <c r="FW670" i="98"/>
  <c r="FY670" i="98"/>
  <c r="FZ670" i="98"/>
  <c r="FU671" i="98"/>
  <c r="FW671" i="98"/>
  <c r="FY671" i="98"/>
  <c r="FZ671" i="98"/>
  <c r="FU672" i="98"/>
  <c r="FW672" i="98"/>
  <c r="FY672" i="98"/>
  <c r="FZ672" i="98"/>
  <c r="FU673" i="98"/>
  <c r="FW673" i="98"/>
  <c r="FY673" i="98"/>
  <c r="FZ673" i="98"/>
  <c r="FU674" i="98"/>
  <c r="FW674" i="98"/>
  <c r="FY674" i="98"/>
  <c r="FZ674" i="98"/>
  <c r="FU675" i="98"/>
  <c r="FW675" i="98"/>
  <c r="FY675" i="98"/>
  <c r="FZ675" i="98"/>
  <c r="FU676" i="98"/>
  <c r="FW676" i="98"/>
  <c r="FX676" i="98"/>
  <c r="FY676" i="98"/>
  <c r="FZ676" i="98"/>
  <c r="FU677" i="98"/>
  <c r="FW677" i="98"/>
  <c r="FY677" i="98"/>
  <c r="FZ677" i="98"/>
  <c r="FU678" i="98"/>
  <c r="FW678" i="98"/>
  <c r="FY678" i="98"/>
  <c r="FZ678" i="98"/>
  <c r="FU679" i="98"/>
  <c r="FW679" i="98"/>
  <c r="FY679" i="98"/>
  <c r="FZ679" i="98"/>
  <c r="FU680" i="98"/>
  <c r="FW680" i="98"/>
  <c r="FY680" i="98"/>
  <c r="FZ680" i="98"/>
  <c r="FU681" i="98"/>
  <c r="FW681" i="98"/>
  <c r="FY681" i="98"/>
  <c r="FZ681" i="98"/>
  <c r="FU682" i="98"/>
  <c r="FW682" i="98"/>
  <c r="FY682" i="98"/>
  <c r="FZ682" i="98"/>
  <c r="FU683" i="98"/>
  <c r="FW683" i="98"/>
  <c r="FY683" i="98"/>
  <c r="FZ683" i="98"/>
  <c r="FU684" i="98"/>
  <c r="FW684" i="98"/>
  <c r="FY684" i="98"/>
  <c r="FZ684" i="98"/>
  <c r="FU685" i="98"/>
  <c r="FW685" i="98"/>
  <c r="FY685" i="98"/>
  <c r="FZ685" i="98"/>
  <c r="FU686" i="98"/>
  <c r="FW686" i="98"/>
  <c r="FX686" i="98"/>
  <c r="FY686" i="98"/>
  <c r="FZ686" i="98"/>
  <c r="FU687" i="98"/>
  <c r="FW687" i="98"/>
  <c r="FY687" i="98"/>
  <c r="FZ687" i="98"/>
  <c r="FU688" i="98"/>
  <c r="FW688" i="98"/>
  <c r="FY688" i="98"/>
  <c r="FZ688" i="98"/>
  <c r="FU689" i="98"/>
  <c r="FW689" i="98"/>
  <c r="FY689" i="98"/>
  <c r="FZ689" i="98"/>
  <c r="FU690" i="98"/>
  <c r="FW690" i="98"/>
  <c r="FY690" i="98"/>
  <c r="FZ690" i="98"/>
  <c r="FU691" i="98"/>
  <c r="FW691" i="98"/>
  <c r="FY691" i="98"/>
  <c r="FZ691" i="98"/>
  <c r="FU692" i="98"/>
  <c r="FW692" i="98"/>
  <c r="FY692" i="98"/>
  <c r="FZ692" i="98"/>
  <c r="FU693" i="98"/>
  <c r="FW693" i="98"/>
  <c r="FY693" i="98"/>
  <c r="FZ693" i="98"/>
  <c r="FU694" i="98"/>
  <c r="FW694" i="98"/>
  <c r="FY694" i="98"/>
  <c r="FZ694" i="98"/>
  <c r="FU695" i="98"/>
  <c r="FW695" i="98"/>
  <c r="FY695" i="98"/>
  <c r="FZ695" i="98"/>
  <c r="FU696" i="98"/>
  <c r="FW696" i="98"/>
  <c r="FX696" i="98"/>
  <c r="FY696" i="98"/>
  <c r="FZ696" i="98"/>
  <c r="FU697" i="98"/>
  <c r="FW697" i="98"/>
  <c r="FY697" i="98"/>
  <c r="FZ697" i="98"/>
  <c r="FU698" i="98"/>
  <c r="FW698" i="98"/>
  <c r="FY698" i="98"/>
  <c r="FZ698" i="98"/>
  <c r="FU699" i="98"/>
  <c r="FW699" i="98"/>
  <c r="FY699" i="98"/>
  <c r="FZ699" i="98"/>
  <c r="FU700" i="98"/>
  <c r="FW700" i="98"/>
  <c r="FY700" i="98"/>
  <c r="FZ700" i="98"/>
  <c r="FU701" i="98"/>
  <c r="FW701" i="98"/>
  <c r="FY701" i="98"/>
  <c r="FZ701" i="98"/>
  <c r="FU702" i="98"/>
  <c r="FW702" i="98"/>
  <c r="FY702" i="98"/>
  <c r="FZ702" i="98"/>
  <c r="FU703" i="98"/>
  <c r="FW703" i="98"/>
  <c r="FY703" i="98"/>
  <c r="FZ703" i="98"/>
  <c r="FU704" i="98"/>
  <c r="FW704" i="98"/>
  <c r="FY704" i="98"/>
  <c r="FZ704" i="98"/>
  <c r="FU705" i="98"/>
  <c r="FW705" i="98"/>
  <c r="FY705" i="98"/>
  <c r="FZ705" i="98"/>
  <c r="FU706" i="98"/>
  <c r="FW706" i="98"/>
  <c r="FX706" i="98"/>
  <c r="FY706" i="98"/>
  <c r="FZ706" i="98"/>
  <c r="FU707" i="98"/>
  <c r="FW707" i="98"/>
  <c r="FY707" i="98"/>
  <c r="FZ707" i="98"/>
  <c r="FU708" i="98"/>
  <c r="FW708" i="98"/>
  <c r="FY708" i="98"/>
  <c r="FZ708" i="98"/>
  <c r="FU709" i="98"/>
  <c r="FW709" i="98"/>
  <c r="FY709" i="98"/>
  <c r="FZ709" i="98"/>
  <c r="FU710" i="98"/>
  <c r="FW710" i="98"/>
  <c r="FY710" i="98"/>
  <c r="FZ710" i="98"/>
  <c r="FU711" i="98"/>
  <c r="FW711" i="98"/>
  <c r="FY711" i="98"/>
  <c r="FZ711" i="98"/>
  <c r="FU712" i="98"/>
  <c r="FW712" i="98"/>
  <c r="FY712" i="98"/>
  <c r="FZ712" i="98"/>
  <c r="FU713" i="98"/>
  <c r="FW713" i="98"/>
  <c r="FY713" i="98"/>
  <c r="FZ713" i="98"/>
  <c r="FU714" i="98"/>
  <c r="FW714" i="98"/>
  <c r="FY714" i="98"/>
  <c r="FZ714" i="98"/>
  <c r="FU715" i="98"/>
  <c r="FW715" i="98"/>
  <c r="FY715" i="98"/>
  <c r="FZ715" i="98"/>
  <c r="FU716" i="98"/>
  <c r="FW716" i="98"/>
  <c r="FX716" i="98"/>
  <c r="FY716" i="98"/>
  <c r="FZ716" i="98"/>
  <c r="FU717" i="98"/>
  <c r="FW717" i="98"/>
  <c r="FX717" i="98"/>
  <c r="FY717" i="98"/>
  <c r="FZ717" i="98"/>
  <c r="FU718" i="98"/>
  <c r="FW718" i="98"/>
  <c r="FX718" i="98"/>
  <c r="FY718" i="98"/>
  <c r="FZ718" i="98"/>
  <c r="FU719" i="98"/>
  <c r="FW719" i="98"/>
  <c r="FX719" i="98"/>
  <c r="FY719" i="98"/>
  <c r="FZ719" i="98"/>
  <c r="FU720" i="98"/>
  <c r="FW720" i="98"/>
  <c r="FX720" i="98"/>
  <c r="FY720" i="98"/>
  <c r="FZ720" i="98"/>
  <c r="FU721" i="98"/>
  <c r="FW721" i="98"/>
  <c r="FX721" i="98"/>
  <c r="FY721" i="98"/>
  <c r="FZ721" i="98"/>
  <c r="FU722" i="98"/>
  <c r="FW722" i="98"/>
  <c r="FX722" i="98"/>
  <c r="FY722" i="98"/>
  <c r="FZ722" i="98"/>
  <c r="FU723" i="98"/>
  <c r="FW723" i="98"/>
  <c r="FX723" i="98"/>
  <c r="FY723" i="98"/>
  <c r="FZ723" i="98"/>
  <c r="FU724" i="98"/>
  <c r="FW724" i="98"/>
  <c r="FX724" i="98"/>
  <c r="FY724" i="98"/>
  <c r="FZ724" i="98"/>
  <c r="FU725" i="98"/>
  <c r="FW725" i="98"/>
  <c r="FX725" i="98"/>
  <c r="FY725" i="98"/>
  <c r="FZ725" i="98"/>
  <c r="FU726" i="98"/>
  <c r="FW726" i="98"/>
  <c r="FX726" i="98"/>
  <c r="FY726" i="98"/>
  <c r="FZ726" i="98"/>
  <c r="FU727" i="98"/>
  <c r="FW727" i="98"/>
  <c r="FX727" i="98"/>
  <c r="FY727" i="98"/>
  <c r="FZ727" i="98"/>
  <c r="FU728" i="98"/>
  <c r="FW728" i="98"/>
  <c r="FX728" i="98"/>
  <c r="FY728" i="98"/>
  <c r="FZ728" i="98"/>
  <c r="FU729" i="98"/>
  <c r="FW729" i="98"/>
  <c r="FX729" i="98"/>
  <c r="FY729" i="98"/>
  <c r="FZ729" i="98"/>
  <c r="FU730" i="98"/>
  <c r="FW730" i="98"/>
  <c r="FX730" i="98"/>
  <c r="FY730" i="98"/>
  <c r="FZ730" i="98"/>
  <c r="FU731" i="98"/>
  <c r="FW731" i="98"/>
  <c r="FX731" i="98"/>
  <c r="FY731" i="98"/>
  <c r="FZ731" i="98"/>
  <c r="FU732" i="98"/>
  <c r="FW732" i="98"/>
  <c r="FX732" i="98"/>
  <c r="FY732" i="98"/>
  <c r="FZ732" i="98"/>
  <c r="FU733" i="98"/>
  <c r="FW733" i="98"/>
  <c r="FX733" i="98"/>
  <c r="FY733" i="98"/>
  <c r="FZ733" i="98"/>
  <c r="FU734" i="98"/>
  <c r="FW734" i="98"/>
  <c r="FX734" i="98"/>
  <c r="FY734" i="98"/>
  <c r="FZ734" i="98"/>
  <c r="FU735" i="98"/>
  <c r="FW735" i="98"/>
  <c r="FX735" i="98"/>
  <c r="FY735" i="98"/>
  <c r="FZ735" i="98"/>
  <c r="FU736" i="98"/>
  <c r="FW736" i="98"/>
  <c r="FX736" i="98"/>
  <c r="FY736" i="98"/>
  <c r="FZ736" i="98"/>
  <c r="FU737" i="98"/>
  <c r="FW737" i="98"/>
  <c r="FY737" i="98"/>
  <c r="FZ737" i="98"/>
  <c r="FU738" i="98"/>
  <c r="FW738" i="98"/>
  <c r="FY738" i="98"/>
  <c r="FZ738" i="98"/>
  <c r="FU739" i="98"/>
  <c r="FW739" i="98"/>
  <c r="FY739" i="98"/>
  <c r="FZ739" i="98"/>
  <c r="FU740" i="98"/>
  <c r="FW740" i="98"/>
  <c r="FY740" i="98"/>
  <c r="FZ740" i="98"/>
  <c r="FU741" i="98"/>
  <c r="FW741" i="98"/>
  <c r="FY741" i="98"/>
  <c r="FZ741" i="98"/>
  <c r="FU742" i="98"/>
  <c r="FW742" i="98"/>
  <c r="FY742" i="98"/>
  <c r="FZ742" i="98"/>
  <c r="FU743" i="98"/>
  <c r="FW743" i="98"/>
  <c r="FY743" i="98"/>
  <c r="FZ743" i="98"/>
  <c r="FU744" i="98"/>
  <c r="FW744" i="98"/>
  <c r="FY744" i="98"/>
  <c r="FZ744" i="98"/>
  <c r="FU745" i="98"/>
  <c r="FW745" i="98"/>
  <c r="FY745" i="98"/>
  <c r="FZ745" i="98"/>
  <c r="FU746" i="98"/>
  <c r="FW746" i="98"/>
  <c r="FX746" i="98"/>
  <c r="FY746" i="98"/>
  <c r="FZ746" i="98"/>
  <c r="FU747" i="98"/>
  <c r="FW747" i="98"/>
  <c r="FY747" i="98"/>
  <c r="FZ747" i="98"/>
  <c r="FU748" i="98"/>
  <c r="FW748" i="98"/>
  <c r="FY748" i="98"/>
  <c r="FZ748" i="98"/>
  <c r="FU749" i="98"/>
  <c r="FW749" i="98"/>
  <c r="FY749" i="98"/>
  <c r="FZ749" i="98"/>
  <c r="FU750" i="98"/>
  <c r="FW750" i="98"/>
  <c r="FY750" i="98"/>
  <c r="FZ750" i="98"/>
  <c r="FU751" i="98"/>
  <c r="FW751" i="98"/>
  <c r="FY751" i="98"/>
  <c r="FZ751" i="98"/>
  <c r="FU752" i="98"/>
  <c r="FW752" i="98"/>
  <c r="FY752" i="98"/>
  <c r="FZ752" i="98"/>
  <c r="FU753" i="98"/>
  <c r="FW753" i="98"/>
  <c r="FY753" i="98"/>
  <c r="FZ753" i="98"/>
  <c r="FU754" i="98"/>
  <c r="FW754" i="98"/>
  <c r="FY754" i="98"/>
  <c r="FZ754" i="98"/>
  <c r="FU755" i="98"/>
  <c r="FW755" i="98"/>
  <c r="FY755" i="98"/>
  <c r="FZ755" i="98"/>
  <c r="FU756" i="98"/>
  <c r="FW756" i="98"/>
  <c r="FX756" i="98"/>
  <c r="FY756" i="98"/>
  <c r="FZ756" i="98"/>
  <c r="FU757" i="98"/>
  <c r="FW757" i="98"/>
  <c r="FY757" i="98"/>
  <c r="FZ757" i="98"/>
  <c r="FU758" i="98"/>
  <c r="FW758" i="98"/>
  <c r="FY758" i="98"/>
  <c r="FZ758" i="98"/>
  <c r="FU759" i="98"/>
  <c r="FW759" i="98"/>
  <c r="FY759" i="98"/>
  <c r="FZ759" i="98"/>
  <c r="FU760" i="98"/>
  <c r="FW760" i="98"/>
  <c r="FY760" i="98"/>
  <c r="FZ760" i="98"/>
  <c r="FU761" i="98"/>
  <c r="FW761" i="98"/>
  <c r="FY761" i="98"/>
  <c r="FZ761" i="98"/>
  <c r="FU762" i="98"/>
  <c r="FW762" i="98"/>
  <c r="FY762" i="98"/>
  <c r="FZ762" i="98"/>
  <c r="FU763" i="98"/>
  <c r="FW763" i="98"/>
  <c r="FY763" i="98"/>
  <c r="FZ763" i="98"/>
  <c r="FU764" i="98"/>
  <c r="FW764" i="98"/>
  <c r="FY764" i="98"/>
  <c r="FZ764" i="98"/>
  <c r="FU765" i="98"/>
  <c r="FW765" i="98"/>
  <c r="FY765" i="98"/>
  <c r="FZ765" i="98"/>
  <c r="FU766" i="98"/>
  <c r="FW766" i="98"/>
  <c r="FX766" i="98"/>
  <c r="FY766" i="98"/>
  <c r="FZ766" i="98"/>
  <c r="FU767" i="98"/>
  <c r="FW767" i="98"/>
  <c r="FY767" i="98"/>
  <c r="FZ767" i="98"/>
  <c r="FU768" i="98"/>
  <c r="FW768" i="98"/>
  <c r="FY768" i="98"/>
  <c r="FZ768" i="98"/>
  <c r="FU769" i="98"/>
  <c r="FW769" i="98"/>
  <c r="FY769" i="98"/>
  <c r="FZ769" i="98"/>
  <c r="FU770" i="98"/>
  <c r="FW770" i="98"/>
  <c r="FY770" i="98"/>
  <c r="FZ770" i="98"/>
  <c r="FU771" i="98"/>
  <c r="FW771" i="98"/>
  <c r="FY771" i="98"/>
  <c r="FZ771" i="98"/>
  <c r="FU772" i="98"/>
  <c r="FW772" i="98"/>
  <c r="FY772" i="98"/>
  <c r="FZ772" i="98"/>
  <c r="FU773" i="98"/>
  <c r="FW773" i="98"/>
  <c r="FY773" i="98"/>
  <c r="FZ773" i="98"/>
  <c r="FU774" i="98"/>
  <c r="FW774" i="98"/>
  <c r="FY774" i="98"/>
  <c r="FZ774" i="98"/>
  <c r="FU775" i="98"/>
  <c r="FW775" i="98"/>
  <c r="FY775" i="98"/>
  <c r="FZ775" i="98"/>
  <c r="FU776" i="98"/>
  <c r="FW776" i="98"/>
  <c r="FX776" i="98"/>
  <c r="FY776" i="98"/>
  <c r="FZ776" i="98"/>
  <c r="FU777" i="98"/>
  <c r="FW777" i="98"/>
  <c r="FY777" i="98"/>
  <c r="FZ777" i="98"/>
  <c r="FU778" i="98"/>
  <c r="FW778" i="98"/>
  <c r="FY778" i="98"/>
  <c r="FZ778" i="98"/>
  <c r="FU779" i="98"/>
  <c r="FW779" i="98"/>
  <c r="FY779" i="98"/>
  <c r="FZ779" i="98"/>
  <c r="FU780" i="98"/>
  <c r="FW780" i="98"/>
  <c r="FY780" i="98"/>
  <c r="FZ780" i="98"/>
  <c r="FU781" i="98"/>
  <c r="FW781" i="98"/>
  <c r="FY781" i="98"/>
  <c r="FZ781" i="98"/>
  <c r="FU782" i="98"/>
  <c r="FW782" i="98"/>
  <c r="FY782" i="98"/>
  <c r="FZ782" i="98"/>
  <c r="FU783" i="98"/>
  <c r="FW783" i="98"/>
  <c r="FY783" i="98"/>
  <c r="FZ783" i="98"/>
  <c r="FU784" i="98"/>
  <c r="FW784" i="98"/>
  <c r="FY784" i="98"/>
  <c r="FZ784" i="98"/>
  <c r="FU785" i="98"/>
  <c r="FW785" i="98"/>
  <c r="FY785" i="98"/>
  <c r="FZ785" i="98"/>
  <c r="FU786" i="98"/>
  <c r="FW786" i="98"/>
  <c r="FX786" i="98"/>
  <c r="FY786" i="98"/>
  <c r="FZ786" i="98"/>
  <c r="FU787" i="98"/>
  <c r="FW787" i="98"/>
  <c r="FY787" i="98"/>
  <c r="FZ787" i="98"/>
  <c r="FU788" i="98"/>
  <c r="FW788" i="98"/>
  <c r="FY788" i="98"/>
  <c r="FZ788" i="98"/>
  <c r="FU789" i="98"/>
  <c r="FW789" i="98"/>
  <c r="FY789" i="98"/>
  <c r="FZ789" i="98"/>
  <c r="FU790" i="98"/>
  <c r="FW790" i="98"/>
  <c r="FY790" i="98"/>
  <c r="FZ790" i="98"/>
  <c r="FU791" i="98"/>
  <c r="FW791" i="98"/>
  <c r="FY791" i="98"/>
  <c r="FZ791" i="98"/>
  <c r="FU792" i="98"/>
  <c r="FW792" i="98"/>
  <c r="FY792" i="98"/>
  <c r="FZ792" i="98"/>
  <c r="FU793" i="98"/>
  <c r="FW793" i="98"/>
  <c r="FY793" i="98"/>
  <c r="FZ793" i="98"/>
  <c r="FU794" i="98"/>
  <c r="FW794" i="98"/>
  <c r="FY794" i="98"/>
  <c r="FZ794" i="98"/>
  <c r="FU795" i="98"/>
  <c r="FW795" i="98"/>
  <c r="FY795" i="98"/>
  <c r="FZ795" i="98"/>
  <c r="FU796" i="98"/>
  <c r="FW796" i="98"/>
  <c r="FX796" i="98"/>
  <c r="FY796" i="98"/>
  <c r="FZ796" i="98"/>
  <c r="FU797" i="98"/>
  <c r="FW797" i="98"/>
  <c r="FX797" i="98"/>
  <c r="FY797" i="98"/>
  <c r="FZ797" i="98"/>
  <c r="FU798" i="98"/>
  <c r="FW798" i="98"/>
  <c r="FX798" i="98"/>
  <c r="FY798" i="98"/>
  <c r="FZ798" i="98"/>
  <c r="FU799" i="98"/>
  <c r="FW799" i="98"/>
  <c r="FX799" i="98"/>
  <c r="FY799" i="98"/>
  <c r="FZ799" i="98"/>
  <c r="FU800" i="98"/>
  <c r="FW800" i="98"/>
  <c r="FX800" i="98"/>
  <c r="FY800" i="98"/>
  <c r="FZ800" i="98"/>
  <c r="FU801" i="98"/>
  <c r="FW801" i="98"/>
  <c r="FX801" i="98"/>
  <c r="FY801" i="98"/>
  <c r="FZ801" i="98"/>
  <c r="FU802" i="98"/>
  <c r="FW802" i="98"/>
  <c r="FX802" i="98"/>
  <c r="FY802" i="98"/>
  <c r="FZ802" i="98"/>
  <c r="FU803" i="98"/>
  <c r="FW803" i="98"/>
  <c r="FX803" i="98"/>
  <c r="FY803" i="98"/>
  <c r="FZ803" i="98"/>
  <c r="FU804" i="98"/>
  <c r="FW804" i="98"/>
  <c r="FX804" i="98"/>
  <c r="FY804" i="98"/>
  <c r="FZ804" i="98"/>
  <c r="FU805" i="98"/>
  <c r="FW805" i="98"/>
  <c r="FX805" i="98"/>
  <c r="FY805" i="98"/>
  <c r="FZ805" i="98"/>
  <c r="FU806" i="98"/>
  <c r="FW806" i="98"/>
  <c r="FX806" i="98"/>
  <c r="FY806" i="98"/>
  <c r="FZ806" i="98"/>
  <c r="FU807" i="98"/>
  <c r="FW807" i="98"/>
  <c r="FX807" i="98"/>
  <c r="FY807" i="98"/>
  <c r="FZ807" i="98"/>
  <c r="FU808" i="98"/>
  <c r="FW808" i="98"/>
  <c r="FX808" i="98"/>
  <c r="FY808" i="98"/>
  <c r="FZ808" i="98"/>
  <c r="FU809" i="98"/>
  <c r="FW809" i="98"/>
  <c r="FX809" i="98"/>
  <c r="FY809" i="98"/>
  <c r="FZ809" i="98"/>
  <c r="FU810" i="98"/>
  <c r="FW810" i="98"/>
  <c r="FX810" i="98"/>
  <c r="FY810" i="98"/>
  <c r="FZ810" i="98"/>
  <c r="FU811" i="98"/>
  <c r="FW811" i="98"/>
  <c r="FX811" i="98"/>
  <c r="FY811" i="98"/>
  <c r="FZ811" i="98"/>
  <c r="FU812" i="98"/>
  <c r="FW812" i="98"/>
  <c r="FX812" i="98"/>
  <c r="FY812" i="98"/>
  <c r="FZ812" i="98"/>
  <c r="FU813" i="98"/>
  <c r="FW813" i="98"/>
  <c r="FX813" i="98"/>
  <c r="FY813" i="98"/>
  <c r="FZ813" i="98"/>
  <c r="FU814" i="98"/>
  <c r="FW814" i="98"/>
  <c r="FX814" i="98"/>
  <c r="FY814" i="98"/>
  <c r="FZ814" i="98"/>
  <c r="FU815" i="98"/>
  <c r="FW815" i="98"/>
  <c r="FX815" i="98"/>
  <c r="FY815" i="98"/>
  <c r="FZ815" i="98"/>
  <c r="FU816" i="98"/>
  <c r="FW816" i="98"/>
  <c r="FX816" i="98"/>
  <c r="FY816" i="98"/>
  <c r="FZ816" i="98"/>
  <c r="FU817" i="98"/>
  <c r="FW817" i="98"/>
  <c r="FY817" i="98"/>
  <c r="FZ817" i="98"/>
  <c r="FU818" i="98"/>
  <c r="FW818" i="98"/>
  <c r="FY818" i="98"/>
  <c r="FZ818" i="98"/>
  <c r="FU819" i="98"/>
  <c r="FW819" i="98"/>
  <c r="FY819" i="98"/>
  <c r="FZ819" i="98"/>
  <c r="FU820" i="98"/>
  <c r="FW820" i="98"/>
  <c r="FY820" i="98"/>
  <c r="FZ820" i="98"/>
  <c r="FU821" i="98"/>
  <c r="FW821" i="98"/>
  <c r="FY821" i="98"/>
  <c r="FZ821" i="98"/>
  <c r="FU822" i="98"/>
  <c r="FW822" i="98"/>
  <c r="FY822" i="98"/>
  <c r="FZ822" i="98"/>
  <c r="FU823" i="98"/>
  <c r="FW823" i="98"/>
  <c r="FY823" i="98"/>
  <c r="FZ823" i="98"/>
  <c r="FU824" i="98"/>
  <c r="FW824" i="98"/>
  <c r="FY824" i="98"/>
  <c r="FZ824" i="98"/>
  <c r="FU825" i="98"/>
  <c r="FW825" i="98"/>
  <c r="FY825" i="98"/>
  <c r="FZ825" i="98"/>
  <c r="FU826" i="98"/>
  <c r="FW826" i="98"/>
  <c r="FX826" i="98"/>
  <c r="FY826" i="98"/>
  <c r="FZ826" i="98"/>
  <c r="FU827" i="98"/>
  <c r="FW827" i="98"/>
  <c r="FY827" i="98"/>
  <c r="FZ827" i="98"/>
  <c r="FU828" i="98"/>
  <c r="FW828" i="98"/>
  <c r="FY828" i="98"/>
  <c r="FZ828" i="98"/>
  <c r="FU829" i="98"/>
  <c r="FW829" i="98"/>
  <c r="FY829" i="98"/>
  <c r="FZ829" i="98"/>
  <c r="FU830" i="98"/>
  <c r="FW830" i="98"/>
  <c r="FY830" i="98"/>
  <c r="FZ830" i="98"/>
  <c r="FU831" i="98"/>
  <c r="FW831" i="98"/>
  <c r="FY831" i="98"/>
  <c r="FZ831" i="98"/>
  <c r="FU832" i="98"/>
  <c r="FW832" i="98"/>
  <c r="FY832" i="98"/>
  <c r="FZ832" i="98"/>
  <c r="FU833" i="98"/>
  <c r="FW833" i="98"/>
  <c r="FY833" i="98"/>
  <c r="FZ833" i="98"/>
  <c r="FU834" i="98"/>
  <c r="FW834" i="98"/>
  <c r="FY834" i="98"/>
  <c r="FZ834" i="98"/>
  <c r="FU835" i="98"/>
  <c r="FW835" i="98"/>
  <c r="FY835" i="98"/>
  <c r="FZ835" i="98"/>
  <c r="FU836" i="98"/>
  <c r="FW836" i="98"/>
  <c r="FX836" i="98"/>
  <c r="FY836" i="98"/>
  <c r="FZ836" i="98"/>
  <c r="FU837" i="98"/>
  <c r="FW837" i="98"/>
  <c r="FY837" i="98"/>
  <c r="FZ837" i="98"/>
  <c r="FU838" i="98"/>
  <c r="FW838" i="98"/>
  <c r="FY838" i="98"/>
  <c r="FZ838" i="98"/>
  <c r="FU839" i="98"/>
  <c r="FW839" i="98"/>
  <c r="FY839" i="98"/>
  <c r="FZ839" i="98"/>
  <c r="FU840" i="98"/>
  <c r="FW840" i="98"/>
  <c r="FY840" i="98"/>
  <c r="FZ840" i="98"/>
  <c r="FU841" i="98"/>
  <c r="FW841" i="98"/>
  <c r="FY841" i="98"/>
  <c r="FZ841" i="98"/>
  <c r="FU842" i="98"/>
  <c r="FW842" i="98"/>
  <c r="FY842" i="98"/>
  <c r="FZ842" i="98"/>
  <c r="FU843" i="98"/>
  <c r="FW843" i="98"/>
  <c r="FY843" i="98"/>
  <c r="FZ843" i="98"/>
  <c r="FU844" i="98"/>
  <c r="FW844" i="98"/>
  <c r="FY844" i="98"/>
  <c r="FZ844" i="98"/>
  <c r="FU845" i="98"/>
  <c r="FW845" i="98"/>
  <c r="FY845" i="98"/>
  <c r="FZ845" i="98"/>
  <c r="FU846" i="98"/>
  <c r="FW846" i="98"/>
  <c r="FX846" i="98"/>
  <c r="FY846" i="98"/>
  <c r="FZ846" i="98"/>
  <c r="FU847" i="98"/>
  <c r="FW847" i="98"/>
  <c r="FY847" i="98"/>
  <c r="FZ847" i="98"/>
  <c r="FU848" i="98"/>
  <c r="FW848" i="98"/>
  <c r="FY848" i="98"/>
  <c r="FZ848" i="98"/>
  <c r="FU849" i="98"/>
  <c r="FW849" i="98"/>
  <c r="FY849" i="98"/>
  <c r="FZ849" i="98"/>
  <c r="FU850" i="98"/>
  <c r="FW850" i="98"/>
  <c r="FY850" i="98"/>
  <c r="FZ850" i="98"/>
  <c r="FU851" i="98"/>
  <c r="FW851" i="98"/>
  <c r="FY851" i="98"/>
  <c r="FZ851" i="98"/>
  <c r="FU852" i="98"/>
  <c r="FW852" i="98"/>
  <c r="FY852" i="98"/>
  <c r="FZ852" i="98"/>
  <c r="FU853" i="98"/>
  <c r="FW853" i="98"/>
  <c r="FY853" i="98"/>
  <c r="FZ853" i="98"/>
  <c r="FU854" i="98"/>
  <c r="FW854" i="98"/>
  <c r="FY854" i="98"/>
  <c r="FZ854" i="98"/>
  <c r="FU855" i="98"/>
  <c r="FW855" i="98"/>
  <c r="FY855" i="98"/>
  <c r="FZ855" i="98"/>
  <c r="FU856" i="98"/>
  <c r="FW856" i="98"/>
  <c r="FX856" i="98"/>
  <c r="FY856" i="98"/>
  <c r="FZ856" i="98"/>
  <c r="FU857" i="98"/>
  <c r="FW857" i="98"/>
  <c r="FY857" i="98"/>
  <c r="FZ857" i="98"/>
  <c r="FU858" i="98"/>
  <c r="FW858" i="98"/>
  <c r="FY858" i="98"/>
  <c r="FZ858" i="98"/>
  <c r="FU859" i="98"/>
  <c r="FW859" i="98"/>
  <c r="FY859" i="98"/>
  <c r="FZ859" i="98"/>
  <c r="FU860" i="98"/>
  <c r="FW860" i="98"/>
  <c r="FY860" i="98"/>
  <c r="FZ860" i="98"/>
  <c r="FU861" i="98"/>
  <c r="FW861" i="98"/>
  <c r="FY861" i="98"/>
  <c r="FZ861" i="98"/>
  <c r="FU862" i="98"/>
  <c r="FW862" i="98"/>
  <c r="FY862" i="98"/>
  <c r="FZ862" i="98"/>
  <c r="FU863" i="98"/>
  <c r="FW863" i="98"/>
  <c r="FY863" i="98"/>
  <c r="FZ863" i="98"/>
  <c r="FU864" i="98"/>
  <c r="FW864" i="98"/>
  <c r="FY864" i="98"/>
  <c r="FZ864" i="98"/>
  <c r="FU865" i="98"/>
  <c r="FW865" i="98"/>
  <c r="FY865" i="98"/>
  <c r="FZ865" i="98"/>
  <c r="FU866" i="98"/>
  <c r="FW866" i="98"/>
  <c r="FX866" i="98"/>
  <c r="FY866" i="98"/>
  <c r="FZ866" i="98"/>
  <c r="FU867" i="98"/>
  <c r="FW867" i="98"/>
  <c r="FY867" i="98"/>
  <c r="FZ867" i="98"/>
  <c r="FU868" i="98"/>
  <c r="FW868" i="98"/>
  <c r="FY868" i="98"/>
  <c r="FZ868" i="98"/>
  <c r="FU869" i="98"/>
  <c r="FW869" i="98"/>
  <c r="FY869" i="98"/>
  <c r="FZ869" i="98"/>
  <c r="FU870" i="98"/>
  <c r="FW870" i="98"/>
  <c r="FY870" i="98"/>
  <c r="FZ870" i="98"/>
  <c r="FU871" i="98"/>
  <c r="FW871" i="98"/>
  <c r="FY871" i="98"/>
  <c r="FZ871" i="98"/>
  <c r="FU872" i="98"/>
  <c r="FW872" i="98"/>
  <c r="FY872" i="98"/>
  <c r="FZ872" i="98"/>
  <c r="FU873" i="98"/>
  <c r="FW873" i="98"/>
  <c r="FY873" i="98"/>
  <c r="FZ873" i="98"/>
  <c r="FU874" i="98"/>
  <c r="FW874" i="98"/>
  <c r="FY874" i="98"/>
  <c r="FZ874" i="98"/>
  <c r="FU875" i="98"/>
  <c r="FW875" i="98"/>
  <c r="FY875" i="98"/>
  <c r="FZ875" i="98"/>
  <c r="FU876" i="98"/>
  <c r="FW876" i="98"/>
  <c r="FX876" i="98"/>
  <c r="FY876" i="98"/>
  <c r="FZ876" i="98"/>
  <c r="FU877" i="98"/>
  <c r="FW877" i="98"/>
  <c r="FX877" i="98"/>
  <c r="FY877" i="98"/>
  <c r="FZ877" i="98"/>
  <c r="FU878" i="98"/>
  <c r="FW878" i="98"/>
  <c r="FX878" i="98"/>
  <c r="FY878" i="98"/>
  <c r="FZ878" i="98"/>
  <c r="FU879" i="98"/>
  <c r="FW879" i="98"/>
  <c r="FX879" i="98"/>
  <c r="FY879" i="98"/>
  <c r="FZ879" i="98"/>
  <c r="FU880" i="98"/>
  <c r="FW880" i="98"/>
  <c r="FX880" i="98"/>
  <c r="FY880" i="98"/>
  <c r="FZ880" i="98"/>
  <c r="FU881" i="98"/>
  <c r="FW881" i="98"/>
  <c r="FX881" i="98"/>
  <c r="FY881" i="98"/>
  <c r="FZ881" i="98"/>
  <c r="FU882" i="98"/>
  <c r="FW882" i="98"/>
  <c r="FX882" i="98"/>
  <c r="FY882" i="98"/>
  <c r="FZ882" i="98"/>
  <c r="FU883" i="98"/>
  <c r="FW883" i="98"/>
  <c r="FX883" i="98"/>
  <c r="FY883" i="98"/>
  <c r="FZ883" i="98"/>
  <c r="FU884" i="98"/>
  <c r="FW884" i="98"/>
  <c r="FX884" i="98"/>
  <c r="FY884" i="98"/>
  <c r="FZ884" i="98"/>
  <c r="FU885" i="98"/>
  <c r="FW885" i="98"/>
  <c r="FX885" i="98"/>
  <c r="FY885" i="98"/>
  <c r="FZ885" i="98"/>
  <c r="FU886" i="98"/>
  <c r="FW886" i="98"/>
  <c r="FX886" i="98"/>
  <c r="FY886" i="98"/>
  <c r="FZ886" i="98"/>
  <c r="FU887" i="98"/>
  <c r="FW887" i="98"/>
  <c r="FX887" i="98"/>
  <c r="FY887" i="98"/>
  <c r="FZ887" i="98"/>
  <c r="FU888" i="98"/>
  <c r="FW888" i="98"/>
  <c r="FX888" i="98"/>
  <c r="FY888" i="98"/>
  <c r="FZ888" i="98"/>
  <c r="FU889" i="98"/>
  <c r="FW889" i="98"/>
  <c r="FX889" i="98"/>
  <c r="FY889" i="98"/>
  <c r="FZ889" i="98"/>
  <c r="FU890" i="98"/>
  <c r="FW890" i="98"/>
  <c r="FX890" i="98"/>
  <c r="FY890" i="98"/>
  <c r="FZ890" i="98"/>
  <c r="FU891" i="98"/>
  <c r="FW891" i="98"/>
  <c r="FX891" i="98"/>
  <c r="FY891" i="98"/>
  <c r="FZ891" i="98"/>
  <c r="FU892" i="98"/>
  <c r="FW892" i="98"/>
  <c r="FX892" i="98"/>
  <c r="FY892" i="98"/>
  <c r="FZ892" i="98"/>
  <c r="FU893" i="98"/>
  <c r="FW893" i="98"/>
  <c r="FX893" i="98"/>
  <c r="FY893" i="98"/>
  <c r="FZ893" i="98"/>
  <c r="FU894" i="98"/>
  <c r="FW894" i="98"/>
  <c r="FX894" i="98"/>
  <c r="FY894" i="98"/>
  <c r="FZ894" i="98"/>
  <c r="FU895" i="98"/>
  <c r="FW895" i="98"/>
  <c r="FX895" i="98"/>
  <c r="FY895" i="98"/>
  <c r="FZ895" i="98"/>
  <c r="FU896" i="98"/>
  <c r="FW896" i="98"/>
  <c r="FX896" i="98"/>
  <c r="FY896" i="98"/>
  <c r="FZ896" i="98"/>
  <c r="FU897" i="98"/>
  <c r="FW897" i="98"/>
  <c r="FY897" i="98"/>
  <c r="FZ897" i="98"/>
  <c r="FU898" i="98"/>
  <c r="FW898" i="98"/>
  <c r="FY898" i="98"/>
  <c r="FZ898" i="98"/>
  <c r="FU899" i="98"/>
  <c r="FW899" i="98"/>
  <c r="FY899" i="98"/>
  <c r="FZ899" i="98"/>
  <c r="FU900" i="98"/>
  <c r="FW900" i="98"/>
  <c r="FY900" i="98"/>
  <c r="FZ900" i="98"/>
  <c r="FU901" i="98"/>
  <c r="FW901" i="98"/>
  <c r="FY901" i="98"/>
  <c r="FZ901" i="98"/>
  <c r="FU902" i="98"/>
  <c r="FW902" i="98"/>
  <c r="FY902" i="98"/>
  <c r="FZ902" i="98"/>
  <c r="FU903" i="98"/>
  <c r="FW903" i="98"/>
  <c r="FY903" i="98"/>
  <c r="FZ903" i="98"/>
  <c r="FU904" i="98"/>
  <c r="FW904" i="98"/>
  <c r="FY904" i="98"/>
  <c r="FZ904" i="98"/>
  <c r="FU905" i="98"/>
  <c r="FW905" i="98"/>
  <c r="FY905" i="98"/>
  <c r="FZ905" i="98"/>
  <c r="FU906" i="98"/>
  <c r="FW906" i="98"/>
  <c r="FX906" i="98"/>
  <c r="FY906" i="98"/>
  <c r="FZ906" i="98"/>
  <c r="FU907" i="98"/>
  <c r="FW907" i="98"/>
  <c r="FY907" i="98"/>
  <c r="FZ907" i="98"/>
  <c r="FU908" i="98"/>
  <c r="FW908" i="98"/>
  <c r="FY908" i="98"/>
  <c r="FZ908" i="98"/>
  <c r="FU909" i="98"/>
  <c r="FW909" i="98"/>
  <c r="FY909" i="98"/>
  <c r="FZ909" i="98"/>
  <c r="FU910" i="98"/>
  <c r="FW910" i="98"/>
  <c r="FY910" i="98"/>
  <c r="FZ910" i="98"/>
  <c r="FU911" i="98"/>
  <c r="FW911" i="98"/>
  <c r="FY911" i="98"/>
  <c r="FZ911" i="98"/>
  <c r="FU912" i="98"/>
  <c r="FW912" i="98"/>
  <c r="FY912" i="98"/>
  <c r="FZ912" i="98"/>
  <c r="FU913" i="98"/>
  <c r="FW913" i="98"/>
  <c r="FY913" i="98"/>
  <c r="FZ913" i="98"/>
  <c r="FU914" i="98"/>
  <c r="FW914" i="98"/>
  <c r="FY914" i="98"/>
  <c r="FZ914" i="98"/>
  <c r="FU915" i="98"/>
  <c r="FW915" i="98"/>
  <c r="FY915" i="98"/>
  <c r="FZ915" i="98"/>
  <c r="FU916" i="98"/>
  <c r="FW916" i="98"/>
  <c r="FX916" i="98"/>
  <c r="FY916" i="98"/>
  <c r="FZ916" i="98"/>
  <c r="FU917" i="98"/>
  <c r="FW917" i="98"/>
  <c r="FY917" i="98"/>
  <c r="FZ917" i="98"/>
  <c r="FU918" i="98"/>
  <c r="FW918" i="98"/>
  <c r="FY918" i="98"/>
  <c r="FZ918" i="98"/>
  <c r="FU919" i="98"/>
  <c r="FW919" i="98"/>
  <c r="FY919" i="98"/>
  <c r="FZ919" i="98"/>
  <c r="FU920" i="98"/>
  <c r="FW920" i="98"/>
  <c r="FY920" i="98"/>
  <c r="FZ920" i="98"/>
  <c r="FU921" i="98"/>
  <c r="FW921" i="98"/>
  <c r="FY921" i="98"/>
  <c r="FZ921" i="98"/>
  <c r="FU922" i="98"/>
  <c r="FW922" i="98"/>
  <c r="FY922" i="98"/>
  <c r="FZ922" i="98"/>
  <c r="FU923" i="98"/>
  <c r="FW923" i="98"/>
  <c r="FY923" i="98"/>
  <c r="FZ923" i="98"/>
  <c r="FU924" i="98"/>
  <c r="FW924" i="98"/>
  <c r="FY924" i="98"/>
  <c r="FZ924" i="98"/>
  <c r="FU925" i="98"/>
  <c r="FW925" i="98"/>
  <c r="FY925" i="98"/>
  <c r="FZ925" i="98"/>
  <c r="FU926" i="98"/>
  <c r="FW926" i="98"/>
  <c r="FX926" i="98"/>
  <c r="FY926" i="98"/>
  <c r="FZ926" i="98"/>
  <c r="FU927" i="98"/>
  <c r="FW927" i="98"/>
  <c r="FY927" i="98"/>
  <c r="FZ927" i="98"/>
  <c r="FU928" i="98"/>
  <c r="FW928" i="98"/>
  <c r="FY928" i="98"/>
  <c r="FZ928" i="98"/>
  <c r="FU929" i="98"/>
  <c r="FW929" i="98"/>
  <c r="FY929" i="98"/>
  <c r="FZ929" i="98"/>
  <c r="FU930" i="98"/>
  <c r="FW930" i="98"/>
  <c r="FY930" i="98"/>
  <c r="FZ930" i="98"/>
  <c r="FU931" i="98"/>
  <c r="FW931" i="98"/>
  <c r="FY931" i="98"/>
  <c r="FZ931" i="98"/>
  <c r="FU932" i="98"/>
  <c r="FW932" i="98"/>
  <c r="FY932" i="98"/>
  <c r="FZ932" i="98"/>
  <c r="FU933" i="98"/>
  <c r="FW933" i="98"/>
  <c r="FY933" i="98"/>
  <c r="FZ933" i="98"/>
  <c r="FU934" i="98"/>
  <c r="FW934" i="98"/>
  <c r="FY934" i="98"/>
  <c r="FZ934" i="98"/>
  <c r="FU935" i="98"/>
  <c r="FW935" i="98"/>
  <c r="FY935" i="98"/>
  <c r="FZ935" i="98"/>
  <c r="FU936" i="98"/>
  <c r="FW936" i="98"/>
  <c r="FX936" i="98"/>
  <c r="FY936" i="98"/>
  <c r="FZ936" i="98"/>
  <c r="FU937" i="98"/>
  <c r="FW937" i="98"/>
  <c r="FY937" i="98"/>
  <c r="FZ937" i="98"/>
  <c r="FU938" i="98"/>
  <c r="FW938" i="98"/>
  <c r="FY938" i="98"/>
  <c r="FZ938" i="98"/>
  <c r="FU939" i="98"/>
  <c r="FW939" i="98"/>
  <c r="FY939" i="98"/>
  <c r="FZ939" i="98"/>
  <c r="FU940" i="98"/>
  <c r="FW940" i="98"/>
  <c r="FY940" i="98"/>
  <c r="FZ940" i="98"/>
  <c r="FU941" i="98"/>
  <c r="FW941" i="98"/>
  <c r="FY941" i="98"/>
  <c r="FZ941" i="98"/>
  <c r="FU942" i="98"/>
  <c r="FW942" i="98"/>
  <c r="FY942" i="98"/>
  <c r="FZ942" i="98"/>
  <c r="FU943" i="98"/>
  <c r="FW943" i="98"/>
  <c r="FY943" i="98"/>
  <c r="FZ943" i="98"/>
  <c r="FU944" i="98"/>
  <c r="FW944" i="98"/>
  <c r="FY944" i="98"/>
  <c r="FZ944" i="98"/>
  <c r="FU945" i="98"/>
  <c r="FW945" i="98"/>
  <c r="FY945" i="98"/>
  <c r="FZ945" i="98"/>
  <c r="FU946" i="98"/>
  <c r="FW946" i="98"/>
  <c r="FX946" i="98"/>
  <c r="FY946" i="98"/>
  <c r="FZ946" i="98"/>
  <c r="FU947" i="98"/>
  <c r="FW947" i="98"/>
  <c r="FY947" i="98"/>
  <c r="FZ947" i="98"/>
  <c r="FU948" i="98"/>
  <c r="FW948" i="98"/>
  <c r="FY948" i="98"/>
  <c r="FZ948" i="98"/>
  <c r="FU949" i="98"/>
  <c r="FW949" i="98"/>
  <c r="FY949" i="98"/>
  <c r="FZ949" i="98"/>
  <c r="FU950" i="98"/>
  <c r="FW950" i="98"/>
  <c r="FY950" i="98"/>
  <c r="FZ950" i="98"/>
  <c r="FU951" i="98"/>
  <c r="FW951" i="98"/>
  <c r="FY951" i="98"/>
  <c r="FZ951" i="98"/>
  <c r="FU952" i="98"/>
  <c r="FW952" i="98"/>
  <c r="FY952" i="98"/>
  <c r="FZ952" i="98"/>
  <c r="FU953" i="98"/>
  <c r="FW953" i="98"/>
  <c r="FY953" i="98"/>
  <c r="FZ953" i="98"/>
  <c r="FU954" i="98"/>
  <c r="FW954" i="98"/>
  <c r="FY954" i="98"/>
  <c r="FZ954" i="98"/>
  <c r="FU955" i="98"/>
  <c r="FW955" i="98"/>
  <c r="FY955" i="98"/>
  <c r="FZ955" i="98"/>
  <c r="FU956" i="98"/>
  <c r="FW956" i="98"/>
  <c r="FX956" i="98"/>
  <c r="FY956" i="98"/>
  <c r="FZ956" i="98"/>
  <c r="FU957" i="98"/>
  <c r="FW957" i="98"/>
  <c r="FX957" i="98"/>
  <c r="FY957" i="98"/>
  <c r="FZ957" i="98"/>
  <c r="FU958" i="98"/>
  <c r="FW958" i="98"/>
  <c r="FX958" i="98"/>
  <c r="FY958" i="98"/>
  <c r="FZ958" i="98"/>
  <c r="FU959" i="98"/>
  <c r="FW959" i="98"/>
  <c r="FX959" i="98"/>
  <c r="FY959" i="98"/>
  <c r="FZ959" i="98"/>
  <c r="FU960" i="98"/>
  <c r="FW960" i="98"/>
  <c r="FX960" i="98"/>
  <c r="FY960" i="98"/>
  <c r="FZ960" i="98"/>
  <c r="FU961" i="98"/>
  <c r="FW961" i="98"/>
  <c r="FX961" i="98"/>
  <c r="FY961" i="98"/>
  <c r="FZ961" i="98"/>
  <c r="FU962" i="98"/>
  <c r="FW962" i="98"/>
  <c r="FX962" i="98"/>
  <c r="FY962" i="98"/>
  <c r="FZ962" i="98"/>
  <c r="FU963" i="98"/>
  <c r="FW963" i="98"/>
  <c r="FX963" i="98"/>
  <c r="FY963" i="98"/>
  <c r="FZ963" i="98"/>
  <c r="FU964" i="98"/>
  <c r="FW964" i="98"/>
  <c r="FX964" i="98"/>
  <c r="FY964" i="98"/>
  <c r="FZ964" i="98"/>
  <c r="FU965" i="98"/>
  <c r="FW965" i="98"/>
  <c r="FX965" i="98"/>
  <c r="FY965" i="98"/>
  <c r="FZ965" i="98"/>
  <c r="FU966" i="98"/>
  <c r="FW966" i="98"/>
  <c r="FX966" i="98"/>
  <c r="FY966" i="98"/>
  <c r="FZ966" i="98"/>
  <c r="FU967" i="98"/>
  <c r="FW967" i="98"/>
  <c r="FX967" i="98"/>
  <c r="FY967" i="98"/>
  <c r="FZ967" i="98"/>
  <c r="FU968" i="98"/>
  <c r="FW968" i="98"/>
  <c r="FX968" i="98"/>
  <c r="FY968" i="98"/>
  <c r="FZ968" i="98"/>
  <c r="FU969" i="98"/>
  <c r="FW969" i="98"/>
  <c r="FX969" i="98"/>
  <c r="FY969" i="98"/>
  <c r="FZ969" i="98"/>
  <c r="FU970" i="98"/>
  <c r="FW970" i="98"/>
  <c r="FX970" i="98"/>
  <c r="FY970" i="98"/>
  <c r="FZ970" i="98"/>
  <c r="FU971" i="98"/>
  <c r="FW971" i="98"/>
  <c r="FX971" i="98"/>
  <c r="FY971" i="98"/>
  <c r="FZ971" i="98"/>
  <c r="FU972" i="98"/>
  <c r="FW972" i="98"/>
  <c r="FX972" i="98"/>
  <c r="FY972" i="98"/>
  <c r="FZ972" i="98"/>
  <c r="FU973" i="98"/>
  <c r="FW973" i="98"/>
  <c r="FX973" i="98"/>
  <c r="FY973" i="98"/>
  <c r="FZ973" i="98"/>
  <c r="FU974" i="98"/>
  <c r="FW974" i="98"/>
  <c r="FX974" i="98"/>
  <c r="FY974" i="98"/>
  <c r="FZ974" i="98"/>
  <c r="FU975" i="98"/>
  <c r="FW975" i="98"/>
  <c r="FX975" i="98"/>
  <c r="FY975" i="98"/>
  <c r="FZ975" i="98"/>
  <c r="FU976" i="98"/>
  <c r="FW976" i="98"/>
  <c r="FX976" i="98"/>
  <c r="FY976" i="98"/>
  <c r="FZ976" i="98"/>
  <c r="FU977" i="98"/>
  <c r="FW977" i="98"/>
  <c r="FY977" i="98"/>
  <c r="FZ977" i="98"/>
  <c r="FU978" i="98"/>
  <c r="FW978" i="98"/>
  <c r="FY978" i="98"/>
  <c r="FZ978" i="98"/>
  <c r="FU979" i="98"/>
  <c r="FW979" i="98"/>
  <c r="FY979" i="98"/>
  <c r="FZ979" i="98"/>
  <c r="FU980" i="98"/>
  <c r="FW980" i="98"/>
  <c r="FY980" i="98"/>
  <c r="FZ980" i="98"/>
  <c r="FU981" i="98"/>
  <c r="FW981" i="98"/>
  <c r="FY981" i="98"/>
  <c r="FZ981" i="98"/>
  <c r="FU982" i="98"/>
  <c r="FW982" i="98"/>
  <c r="FY982" i="98"/>
  <c r="FZ982" i="98"/>
  <c r="FU983" i="98"/>
  <c r="FW983" i="98"/>
  <c r="FY983" i="98"/>
  <c r="FZ983" i="98"/>
  <c r="FU984" i="98"/>
  <c r="FW984" i="98"/>
  <c r="FY984" i="98"/>
  <c r="FZ984" i="98"/>
  <c r="FU985" i="98"/>
  <c r="FW985" i="98"/>
  <c r="FY985" i="98"/>
  <c r="FZ985" i="98"/>
  <c r="FU986" i="98"/>
  <c r="FW986" i="98"/>
  <c r="FX986" i="98"/>
  <c r="FY986" i="98"/>
  <c r="FZ986" i="98"/>
  <c r="FU987" i="98"/>
  <c r="FW987" i="98"/>
  <c r="FY987" i="98"/>
  <c r="FZ987" i="98"/>
  <c r="FU988" i="98"/>
  <c r="FW988" i="98"/>
  <c r="FY988" i="98"/>
  <c r="FZ988" i="98"/>
  <c r="FU989" i="98"/>
  <c r="FW989" i="98"/>
  <c r="FY989" i="98"/>
  <c r="FZ989" i="98"/>
  <c r="FU990" i="98"/>
  <c r="FW990" i="98"/>
  <c r="FY990" i="98"/>
  <c r="FZ990" i="98"/>
  <c r="FU991" i="98"/>
  <c r="FW991" i="98"/>
  <c r="FY991" i="98"/>
  <c r="FZ991" i="98"/>
  <c r="FU992" i="98"/>
  <c r="FW992" i="98"/>
  <c r="FY992" i="98"/>
  <c r="FZ992" i="98"/>
  <c r="FU993" i="98"/>
  <c r="FW993" i="98"/>
  <c r="FY993" i="98"/>
  <c r="FZ993" i="98"/>
  <c r="FU994" i="98"/>
  <c r="FW994" i="98"/>
  <c r="FY994" i="98"/>
  <c r="FZ994" i="98"/>
  <c r="FU995" i="98"/>
  <c r="FW995" i="98"/>
  <c r="FY995" i="98"/>
  <c r="FZ995" i="98"/>
  <c r="FU996" i="98"/>
  <c r="FW996" i="98"/>
  <c r="FX996" i="98"/>
  <c r="FY996" i="98"/>
  <c r="FZ996" i="98"/>
  <c r="FU997" i="98"/>
  <c r="FW997" i="98"/>
  <c r="FY997" i="98"/>
  <c r="FZ997" i="98"/>
  <c r="FU998" i="98"/>
  <c r="FW998" i="98"/>
  <c r="FY998" i="98"/>
  <c r="FZ998" i="98"/>
  <c r="FU999" i="98"/>
  <c r="FW999" i="98"/>
  <c r="FY999" i="98"/>
  <c r="FZ999" i="98"/>
  <c r="FU1000" i="98"/>
  <c r="FW1000" i="98"/>
  <c r="FY1000" i="98"/>
  <c r="FZ1000" i="98"/>
  <c r="FU1001" i="98"/>
  <c r="FW1001" i="98"/>
  <c r="FY1001" i="98"/>
  <c r="FZ1001" i="98"/>
  <c r="FU1002" i="98"/>
  <c r="FW1002" i="98"/>
  <c r="FY1002" i="98"/>
  <c r="FZ1002" i="98"/>
  <c r="FU1003" i="98"/>
  <c r="FW1003" i="98"/>
  <c r="FY1003" i="98"/>
  <c r="FZ1003" i="98"/>
  <c r="FU1004" i="98"/>
  <c r="FW1004" i="98"/>
  <c r="FY1004" i="98"/>
  <c r="FZ1004" i="98"/>
  <c r="FU1005" i="98"/>
  <c r="FW1005" i="98"/>
  <c r="FY1005" i="98"/>
  <c r="FZ1005" i="98"/>
  <c r="FU1006" i="98"/>
  <c r="FW1006" i="98"/>
  <c r="FX1006" i="98"/>
  <c r="FY1006" i="98"/>
  <c r="FZ1006" i="98"/>
  <c r="FU1007" i="98"/>
  <c r="FW1007" i="98"/>
  <c r="FY1007" i="98"/>
  <c r="FZ1007" i="98"/>
  <c r="FU1008" i="98"/>
  <c r="FW1008" i="98"/>
  <c r="FY1008" i="98"/>
  <c r="FZ1008" i="98"/>
  <c r="FU1009" i="98"/>
  <c r="FW1009" i="98"/>
  <c r="FY1009" i="98"/>
  <c r="FZ1009" i="98"/>
  <c r="FU1010" i="98"/>
  <c r="FW1010" i="98"/>
  <c r="FY1010" i="98"/>
  <c r="FZ1010" i="98"/>
  <c r="FU1011" i="98"/>
  <c r="FW1011" i="98"/>
  <c r="FY1011" i="98"/>
  <c r="FZ1011" i="98"/>
  <c r="FU1012" i="98"/>
  <c r="FW1012" i="98"/>
  <c r="FY1012" i="98"/>
  <c r="FZ1012" i="98"/>
  <c r="FU1013" i="98"/>
  <c r="FW1013" i="98"/>
  <c r="FY1013" i="98"/>
  <c r="FZ1013" i="98"/>
  <c r="FU1014" i="98"/>
  <c r="FW1014" i="98"/>
  <c r="FY1014" i="98"/>
  <c r="FZ1014" i="98"/>
  <c r="FU1015" i="98"/>
  <c r="FW1015" i="98"/>
  <c r="FY1015" i="98"/>
  <c r="FZ1015" i="98"/>
  <c r="FU1016" i="98"/>
  <c r="FW1016" i="98"/>
  <c r="FX1016" i="98"/>
  <c r="FY1016" i="98"/>
  <c r="FZ1016" i="98"/>
  <c r="FU1017" i="98"/>
  <c r="FW1017" i="98"/>
  <c r="FY1017" i="98"/>
  <c r="FZ1017" i="98"/>
  <c r="FU1018" i="98"/>
  <c r="FW1018" i="98"/>
  <c r="FY1018" i="98"/>
  <c r="FZ1018" i="98"/>
  <c r="FU1019" i="98"/>
  <c r="FW1019" i="98"/>
  <c r="FY1019" i="98"/>
  <c r="FZ1019" i="98"/>
  <c r="FU1020" i="98"/>
  <c r="FW1020" i="98"/>
  <c r="FY1020" i="98"/>
  <c r="FZ1020" i="98"/>
  <c r="FU1021" i="98"/>
  <c r="FW1021" i="98"/>
  <c r="FY1021" i="98"/>
  <c r="FZ1021" i="98"/>
  <c r="FU1022" i="98"/>
  <c r="FW1022" i="98"/>
  <c r="FY1022" i="98"/>
  <c r="FZ1022" i="98"/>
  <c r="FU1023" i="98"/>
  <c r="FW1023" i="98"/>
  <c r="FY1023" i="98"/>
  <c r="FZ1023" i="98"/>
  <c r="FU1024" i="98"/>
  <c r="FW1024" i="98"/>
  <c r="FY1024" i="98"/>
  <c r="FZ1024" i="98"/>
  <c r="FU1025" i="98"/>
  <c r="FW1025" i="98"/>
  <c r="FY1025" i="98"/>
  <c r="FZ1025" i="98"/>
  <c r="FU1026" i="98"/>
  <c r="FW1026" i="98"/>
  <c r="FX1026" i="98"/>
  <c r="FY1026" i="98"/>
  <c r="FZ1026" i="98"/>
  <c r="FU1027" i="98"/>
  <c r="FW1027" i="98"/>
  <c r="FY1027" i="98"/>
  <c r="FZ1027" i="98"/>
  <c r="FU1028" i="98"/>
  <c r="FW1028" i="98"/>
  <c r="FY1028" i="98"/>
  <c r="FZ1028" i="98"/>
  <c r="FU1029" i="98"/>
  <c r="FW1029" i="98"/>
  <c r="FY1029" i="98"/>
  <c r="FZ1029" i="98"/>
  <c r="FU1030" i="98"/>
  <c r="FW1030" i="98"/>
  <c r="FY1030" i="98"/>
  <c r="FZ1030" i="98"/>
  <c r="FU1031" i="98"/>
  <c r="FW1031" i="98"/>
  <c r="FY1031" i="98"/>
  <c r="FZ1031" i="98"/>
  <c r="FU1032" i="98"/>
  <c r="FW1032" i="98"/>
  <c r="FY1032" i="98"/>
  <c r="FZ1032" i="98"/>
  <c r="FU1033" i="98"/>
  <c r="FW1033" i="98"/>
  <c r="FY1033" i="98"/>
  <c r="FZ1033" i="98"/>
  <c r="FU1034" i="98"/>
  <c r="FW1034" i="98"/>
  <c r="FY1034" i="98"/>
  <c r="FZ1034" i="98"/>
  <c r="FU1035" i="98"/>
  <c r="FW1035" i="98"/>
  <c r="FY1035" i="98"/>
  <c r="FZ1035" i="98"/>
  <c r="FU1036" i="98"/>
  <c r="FW1036" i="98"/>
  <c r="FX1036" i="98"/>
  <c r="FY1036" i="98"/>
  <c r="FZ1036" i="98"/>
  <c r="FU1037" i="98"/>
  <c r="FW1037" i="98"/>
  <c r="FX1037" i="98"/>
  <c r="FY1037" i="98"/>
  <c r="FZ1037" i="98"/>
  <c r="FU1038" i="98"/>
  <c r="FW1038" i="98"/>
  <c r="FX1038" i="98"/>
  <c r="FY1038" i="98"/>
  <c r="FZ1038" i="98"/>
  <c r="FU1039" i="98"/>
  <c r="FW1039" i="98"/>
  <c r="FX1039" i="98"/>
  <c r="FY1039" i="98"/>
  <c r="FZ1039" i="98"/>
  <c r="FU1040" i="98"/>
  <c r="FW1040" i="98"/>
  <c r="FX1040" i="98"/>
  <c r="FY1040" i="98"/>
  <c r="FZ1040" i="98"/>
  <c r="FU1041" i="98"/>
  <c r="FW1041" i="98"/>
  <c r="FX1041" i="98"/>
  <c r="FY1041" i="98"/>
  <c r="FZ1041" i="98"/>
  <c r="FU1042" i="98"/>
  <c r="FW1042" i="98"/>
  <c r="FX1042" i="98"/>
  <c r="FY1042" i="98"/>
  <c r="FZ1042" i="98"/>
  <c r="FU1043" i="98"/>
  <c r="FW1043" i="98"/>
  <c r="FX1043" i="98"/>
  <c r="FY1043" i="98"/>
  <c r="FZ1043" i="98"/>
  <c r="FU1044" i="98"/>
  <c r="FW1044" i="98"/>
  <c r="FX1044" i="98"/>
  <c r="FY1044" i="98"/>
  <c r="FZ1044" i="98"/>
  <c r="FU1045" i="98"/>
  <c r="FW1045" i="98"/>
  <c r="FX1045" i="98"/>
  <c r="FY1045" i="98"/>
  <c r="FZ1045" i="98"/>
  <c r="FU1046" i="98"/>
  <c r="FW1046" i="98"/>
  <c r="FX1046" i="98"/>
  <c r="FY1046" i="98"/>
  <c r="FZ1046" i="98"/>
  <c r="FU1047" i="98"/>
  <c r="FW1047" i="98"/>
  <c r="FX1047" i="98"/>
  <c r="FY1047" i="98"/>
  <c r="FZ1047" i="98"/>
  <c r="FU1048" i="98"/>
  <c r="FW1048" i="98"/>
  <c r="FX1048" i="98"/>
  <c r="FY1048" i="98"/>
  <c r="FZ1048" i="98"/>
  <c r="FU1049" i="98"/>
  <c r="FW1049" i="98"/>
  <c r="FX1049" i="98"/>
  <c r="FY1049" i="98"/>
  <c r="FZ1049" i="98"/>
  <c r="FU1050" i="98"/>
  <c r="FW1050" i="98"/>
  <c r="FX1050" i="98"/>
  <c r="FY1050" i="98"/>
  <c r="FZ1050" i="98"/>
  <c r="FU1051" i="98"/>
  <c r="FW1051" i="98"/>
  <c r="FX1051" i="98"/>
  <c r="FY1051" i="98"/>
  <c r="FZ1051" i="98"/>
  <c r="FU1052" i="98"/>
  <c r="FW1052" i="98"/>
  <c r="FX1052" i="98"/>
  <c r="FY1052" i="98"/>
  <c r="FZ1052" i="98"/>
  <c r="FU1053" i="98"/>
  <c r="FW1053" i="98"/>
  <c r="FX1053" i="98"/>
  <c r="FY1053" i="98"/>
  <c r="FZ1053" i="98"/>
  <c r="FU1054" i="98"/>
  <c r="FW1054" i="98"/>
  <c r="FX1054" i="98"/>
  <c r="FY1054" i="98"/>
  <c r="FZ1054" i="98"/>
  <c r="FU1055" i="98"/>
  <c r="FW1055" i="98"/>
  <c r="FX1055" i="98"/>
  <c r="FY1055" i="98"/>
  <c r="FZ1055" i="98"/>
  <c r="FU1056" i="98"/>
  <c r="FW1056" i="98"/>
  <c r="FX1056" i="98"/>
  <c r="FY1056" i="98"/>
  <c r="FZ1056" i="98"/>
  <c r="FU1057" i="98"/>
  <c r="FW1057" i="98"/>
  <c r="FY1057" i="98"/>
  <c r="FZ1057" i="98"/>
  <c r="FU1058" i="98"/>
  <c r="FW1058" i="98"/>
  <c r="FY1058" i="98"/>
  <c r="FZ1058" i="98"/>
  <c r="FU1059" i="98"/>
  <c r="FW1059" i="98"/>
  <c r="FY1059" i="98"/>
  <c r="FZ1059" i="98"/>
  <c r="FU1060" i="98"/>
  <c r="FW1060" i="98"/>
  <c r="FY1060" i="98"/>
  <c r="FZ1060" i="98"/>
  <c r="FU1061" i="98"/>
  <c r="FW1061" i="98"/>
  <c r="FY1061" i="98"/>
  <c r="FZ1061" i="98"/>
  <c r="FU1062" i="98"/>
  <c r="FW1062" i="98"/>
  <c r="FY1062" i="98"/>
  <c r="FZ1062" i="98"/>
  <c r="FU1063" i="98"/>
  <c r="FW1063" i="98"/>
  <c r="FY1063" i="98"/>
  <c r="FZ1063" i="98"/>
  <c r="FU1064" i="98"/>
  <c r="FW1064" i="98"/>
  <c r="FY1064" i="98"/>
  <c r="FZ1064" i="98"/>
  <c r="FU1065" i="98"/>
  <c r="FW1065" i="98"/>
  <c r="FY1065" i="98"/>
  <c r="FZ1065" i="98"/>
  <c r="FU1066" i="98"/>
  <c r="FW1066" i="98"/>
  <c r="FX1066" i="98"/>
  <c r="FY1066" i="98"/>
  <c r="FZ1066" i="98"/>
  <c r="FU1067" i="98"/>
  <c r="FW1067" i="98"/>
  <c r="FY1067" i="98"/>
  <c r="FZ1067" i="98"/>
  <c r="FU1068" i="98"/>
  <c r="FW1068" i="98"/>
  <c r="FY1068" i="98"/>
  <c r="FZ1068" i="98"/>
  <c r="FU1069" i="98"/>
  <c r="FW1069" i="98"/>
  <c r="FY1069" i="98"/>
  <c r="FZ1069" i="98"/>
  <c r="FU1070" i="98"/>
  <c r="FW1070" i="98"/>
  <c r="FY1070" i="98"/>
  <c r="FZ1070" i="98"/>
  <c r="FU1071" i="98"/>
  <c r="FW1071" i="98"/>
  <c r="FY1071" i="98"/>
  <c r="FZ1071" i="98"/>
  <c r="FU1072" i="98"/>
  <c r="FW1072" i="98"/>
  <c r="FY1072" i="98"/>
  <c r="FZ1072" i="98"/>
  <c r="FU1073" i="98"/>
  <c r="FW1073" i="98"/>
  <c r="FY1073" i="98"/>
  <c r="FZ1073" i="98"/>
  <c r="FU1074" i="98"/>
  <c r="FW1074" i="98"/>
  <c r="FY1074" i="98"/>
  <c r="FZ1074" i="98"/>
  <c r="FU1075" i="98"/>
  <c r="FW1075" i="98"/>
  <c r="FY1075" i="98"/>
  <c r="FZ1075" i="98"/>
  <c r="FU1076" i="98"/>
  <c r="FW1076" i="98"/>
  <c r="FX1076" i="98"/>
  <c r="FY1076" i="98"/>
  <c r="FZ1076" i="98"/>
  <c r="FU1077" i="98"/>
  <c r="FW1077" i="98"/>
  <c r="FY1077" i="98"/>
  <c r="FZ1077" i="98"/>
  <c r="FU1078" i="98"/>
  <c r="FW1078" i="98"/>
  <c r="FY1078" i="98"/>
  <c r="FZ1078" i="98"/>
  <c r="FU1079" i="98"/>
  <c r="FW1079" i="98"/>
  <c r="FY1079" i="98"/>
  <c r="FZ1079" i="98"/>
  <c r="FU1080" i="98"/>
  <c r="FW1080" i="98"/>
  <c r="FY1080" i="98"/>
  <c r="FZ1080" i="98"/>
  <c r="FU1081" i="98"/>
  <c r="FW1081" i="98"/>
  <c r="FY1081" i="98"/>
  <c r="FZ1081" i="98"/>
  <c r="FU1082" i="98"/>
  <c r="FW1082" i="98"/>
  <c r="FY1082" i="98"/>
  <c r="FZ1082" i="98"/>
  <c r="FU1083" i="98"/>
  <c r="FW1083" i="98"/>
  <c r="FY1083" i="98"/>
  <c r="FZ1083" i="98"/>
  <c r="FU1084" i="98"/>
  <c r="FW1084" i="98"/>
  <c r="FY1084" i="98"/>
  <c r="FZ1084" i="98"/>
  <c r="FU1085" i="98"/>
  <c r="FW1085" i="98"/>
  <c r="FY1085" i="98"/>
  <c r="FZ1085" i="98"/>
  <c r="FU1086" i="98"/>
  <c r="FW1086" i="98"/>
  <c r="FX1086" i="98"/>
  <c r="FY1086" i="98"/>
  <c r="FZ1086" i="98"/>
  <c r="FU1087" i="98"/>
  <c r="FW1087" i="98"/>
  <c r="FY1087" i="98"/>
  <c r="FZ1087" i="98"/>
  <c r="FU1088" i="98"/>
  <c r="FW1088" i="98"/>
  <c r="FY1088" i="98"/>
  <c r="FZ1088" i="98"/>
  <c r="FU1089" i="98"/>
  <c r="FW1089" i="98"/>
  <c r="FY1089" i="98"/>
  <c r="FZ1089" i="98"/>
  <c r="FU1090" i="98"/>
  <c r="FW1090" i="98"/>
  <c r="FY1090" i="98"/>
  <c r="FZ1090" i="98"/>
  <c r="FU1091" i="98"/>
  <c r="FW1091" i="98"/>
  <c r="FY1091" i="98"/>
  <c r="FZ1091" i="98"/>
  <c r="FU1092" i="98"/>
  <c r="FW1092" i="98"/>
  <c r="FY1092" i="98"/>
  <c r="FZ1092" i="98"/>
  <c r="FU1093" i="98"/>
  <c r="FW1093" i="98"/>
  <c r="FY1093" i="98"/>
  <c r="FZ1093" i="98"/>
  <c r="FU1094" i="98"/>
  <c r="FW1094" i="98"/>
  <c r="FY1094" i="98"/>
  <c r="FZ1094" i="98"/>
  <c r="FU1095" i="98"/>
  <c r="FW1095" i="98"/>
  <c r="FY1095" i="98"/>
  <c r="FZ1095" i="98"/>
  <c r="FU1096" i="98"/>
  <c r="FW1096" i="98"/>
  <c r="FX1096" i="98"/>
  <c r="FY1096" i="98"/>
  <c r="FZ1096" i="98"/>
  <c r="FU1097" i="98"/>
  <c r="FW1097" i="98"/>
  <c r="FY1097" i="98"/>
  <c r="FZ1097" i="98"/>
  <c r="FU1098" i="98"/>
  <c r="FW1098" i="98"/>
  <c r="FY1098" i="98"/>
  <c r="FZ1098" i="98"/>
  <c r="FU1099" i="98"/>
  <c r="FW1099" i="98"/>
  <c r="FY1099" i="98"/>
  <c r="FZ1099" i="98"/>
  <c r="FU1100" i="98"/>
  <c r="FW1100" i="98"/>
  <c r="FY1100" i="98"/>
  <c r="FZ1100" i="98"/>
  <c r="FU1101" i="98"/>
  <c r="FW1101" i="98"/>
  <c r="FY1101" i="98"/>
  <c r="FZ1101" i="98"/>
  <c r="FU1102" i="98"/>
  <c r="FW1102" i="98"/>
  <c r="FY1102" i="98"/>
  <c r="FZ1102" i="98"/>
  <c r="FU1103" i="98"/>
  <c r="FW1103" i="98"/>
  <c r="FY1103" i="98"/>
  <c r="FZ1103" i="98"/>
  <c r="FU1104" i="98"/>
  <c r="FW1104" i="98"/>
  <c r="FY1104" i="98"/>
  <c r="FZ1104" i="98"/>
  <c r="FU1105" i="98"/>
  <c r="FW1105" i="98"/>
  <c r="FY1105" i="98"/>
  <c r="FZ1105" i="98"/>
  <c r="FU1106" i="98"/>
  <c r="FW1106" i="98"/>
  <c r="FX1106" i="98"/>
  <c r="FY1106" i="98"/>
  <c r="FZ1106" i="98"/>
  <c r="FU1107" i="98"/>
  <c r="FW1107" i="98"/>
  <c r="FY1107" i="98"/>
  <c r="FZ1107" i="98"/>
  <c r="FU1108" i="98"/>
  <c r="FW1108" i="98"/>
  <c r="FY1108" i="98"/>
  <c r="FZ1108" i="98"/>
  <c r="FU1109" i="98"/>
  <c r="FW1109" i="98"/>
  <c r="FY1109" i="98"/>
  <c r="FZ1109" i="98"/>
  <c r="FU1110" i="98"/>
  <c r="FW1110" i="98"/>
  <c r="FY1110" i="98"/>
  <c r="FZ1110" i="98"/>
  <c r="FU1111" i="98"/>
  <c r="FW1111" i="98"/>
  <c r="FY1111" i="98"/>
  <c r="FZ1111" i="98"/>
  <c r="FU1112" i="98"/>
  <c r="FW1112" i="98"/>
  <c r="FY1112" i="98"/>
  <c r="FZ1112" i="98"/>
  <c r="FU1113" i="98"/>
  <c r="FW1113" i="98"/>
  <c r="FY1113" i="98"/>
  <c r="FZ1113" i="98"/>
  <c r="FU1114" i="98"/>
  <c r="FW1114" i="98"/>
  <c r="FY1114" i="98"/>
  <c r="FZ1114" i="98"/>
  <c r="FU1115" i="98"/>
  <c r="FW1115" i="98"/>
  <c r="FY1115" i="98"/>
  <c r="FZ1115" i="98"/>
  <c r="FU1116" i="98"/>
  <c r="FW1116" i="98"/>
  <c r="FX1116" i="98"/>
  <c r="FY1116" i="98"/>
  <c r="FZ1116" i="98"/>
  <c r="FU1117" i="98"/>
  <c r="FW1117" i="98"/>
  <c r="FX1117" i="98"/>
  <c r="FY1117" i="98"/>
  <c r="FZ1117" i="98"/>
  <c r="FU1118" i="98"/>
  <c r="FW1118" i="98"/>
  <c r="FX1118" i="98"/>
  <c r="FY1118" i="98"/>
  <c r="FZ1118" i="98"/>
  <c r="FU1119" i="98"/>
  <c r="FW1119" i="98"/>
  <c r="FX1119" i="98"/>
  <c r="FY1119" i="98"/>
  <c r="FZ1119" i="98"/>
  <c r="FU1120" i="98"/>
  <c r="FW1120" i="98"/>
  <c r="FX1120" i="98"/>
  <c r="FY1120" i="98"/>
  <c r="FZ1120" i="98"/>
  <c r="FU1121" i="98"/>
  <c r="FW1121" i="98"/>
  <c r="FX1121" i="98"/>
  <c r="FY1121" i="98"/>
  <c r="FZ1121" i="98"/>
  <c r="FU1122" i="98"/>
  <c r="FW1122" i="98"/>
  <c r="FX1122" i="98"/>
  <c r="FY1122" i="98"/>
  <c r="FZ1122" i="98"/>
  <c r="FU1123" i="98"/>
  <c r="FW1123" i="98"/>
  <c r="FX1123" i="98"/>
  <c r="FY1123" i="98"/>
  <c r="FZ1123" i="98"/>
  <c r="FU1124" i="98"/>
  <c r="FW1124" i="98"/>
  <c r="FX1124" i="98"/>
  <c r="FY1124" i="98"/>
  <c r="FZ1124" i="98"/>
  <c r="FU1125" i="98"/>
  <c r="FW1125" i="98"/>
  <c r="FX1125" i="98"/>
  <c r="FY1125" i="98"/>
  <c r="FZ1125" i="98"/>
  <c r="FU1126" i="98"/>
  <c r="FW1126" i="98"/>
  <c r="FX1126" i="98"/>
  <c r="FY1126" i="98"/>
  <c r="FZ1126" i="98"/>
  <c r="FU1127" i="98"/>
  <c r="FW1127" i="98"/>
  <c r="FX1127" i="98"/>
  <c r="FY1127" i="98"/>
  <c r="FZ1127" i="98"/>
  <c r="FU1128" i="98"/>
  <c r="FW1128" i="98"/>
  <c r="FX1128" i="98"/>
  <c r="FY1128" i="98"/>
  <c r="FZ1128" i="98"/>
  <c r="FU1129" i="98"/>
  <c r="FW1129" i="98"/>
  <c r="FX1129" i="98"/>
  <c r="FY1129" i="98"/>
  <c r="FZ1129" i="98"/>
  <c r="FU1130" i="98"/>
  <c r="FW1130" i="98"/>
  <c r="FX1130" i="98"/>
  <c r="FY1130" i="98"/>
  <c r="FZ1130" i="98"/>
  <c r="FU1131" i="98"/>
  <c r="FW1131" i="98"/>
  <c r="FX1131" i="98"/>
  <c r="FY1131" i="98"/>
  <c r="FZ1131" i="98"/>
  <c r="FU1132" i="98"/>
  <c r="FW1132" i="98"/>
  <c r="FX1132" i="98"/>
  <c r="FY1132" i="98"/>
  <c r="FZ1132" i="98"/>
  <c r="FU1133" i="98"/>
  <c r="FW1133" i="98"/>
  <c r="FX1133" i="98"/>
  <c r="FY1133" i="98"/>
  <c r="FZ1133" i="98"/>
  <c r="FU1134" i="98"/>
  <c r="FW1134" i="98"/>
  <c r="FX1134" i="98"/>
  <c r="FY1134" i="98"/>
  <c r="FZ1134" i="98"/>
  <c r="FU1135" i="98"/>
  <c r="FW1135" i="98"/>
  <c r="FX1135" i="98"/>
  <c r="FY1135" i="98"/>
  <c r="FZ1135" i="98"/>
  <c r="FU1136" i="98"/>
  <c r="FW1136" i="98"/>
  <c r="FX1136" i="98"/>
  <c r="FY1136" i="98"/>
  <c r="FZ1136" i="98"/>
  <c r="FU1137" i="98"/>
  <c r="FW1137" i="98"/>
  <c r="FY1137" i="98"/>
  <c r="FZ1137" i="98"/>
  <c r="FU1138" i="98"/>
  <c r="FW1138" i="98"/>
  <c r="FY1138" i="98"/>
  <c r="FZ1138" i="98"/>
  <c r="FU1139" i="98"/>
  <c r="FW1139" i="98"/>
  <c r="FY1139" i="98"/>
  <c r="FZ1139" i="98"/>
  <c r="FU1140" i="98"/>
  <c r="FW1140" i="98"/>
  <c r="FY1140" i="98"/>
  <c r="FZ1140" i="98"/>
  <c r="FU1141" i="98"/>
  <c r="FW1141" i="98"/>
  <c r="FY1141" i="98"/>
  <c r="FZ1141" i="98"/>
  <c r="FU1142" i="98"/>
  <c r="FW1142" i="98"/>
  <c r="FY1142" i="98"/>
  <c r="FZ1142" i="98"/>
  <c r="FU1143" i="98"/>
  <c r="FW1143" i="98"/>
  <c r="FY1143" i="98"/>
  <c r="FZ1143" i="98"/>
  <c r="FU1144" i="98"/>
  <c r="FW1144" i="98"/>
  <c r="FY1144" i="98"/>
  <c r="FZ1144" i="98"/>
  <c r="FU1145" i="98"/>
  <c r="FW1145" i="98"/>
  <c r="FY1145" i="98"/>
  <c r="FZ1145" i="98"/>
  <c r="FU1146" i="98"/>
  <c r="FW1146" i="98"/>
  <c r="FX1146" i="98"/>
  <c r="FY1146" i="98"/>
  <c r="FZ1146" i="98"/>
  <c r="FU1147" i="98"/>
  <c r="FW1147" i="98"/>
  <c r="FY1147" i="98"/>
  <c r="FZ1147" i="98"/>
  <c r="FU1148" i="98"/>
  <c r="FW1148" i="98"/>
  <c r="FY1148" i="98"/>
  <c r="FZ1148" i="98"/>
  <c r="FU1149" i="98"/>
  <c r="FW1149" i="98"/>
  <c r="FY1149" i="98"/>
  <c r="FZ1149" i="98"/>
  <c r="FU1150" i="98"/>
  <c r="FW1150" i="98"/>
  <c r="FY1150" i="98"/>
  <c r="FZ1150" i="98"/>
  <c r="FU1151" i="98"/>
  <c r="FW1151" i="98"/>
  <c r="FY1151" i="98"/>
  <c r="FZ1151" i="98"/>
  <c r="FU1152" i="98"/>
  <c r="FW1152" i="98"/>
  <c r="FY1152" i="98"/>
  <c r="FZ1152" i="98"/>
  <c r="FU1153" i="98"/>
  <c r="FW1153" i="98"/>
  <c r="FY1153" i="98"/>
  <c r="FZ1153" i="98"/>
  <c r="FU1154" i="98"/>
  <c r="FW1154" i="98"/>
  <c r="FY1154" i="98"/>
  <c r="FZ1154" i="98"/>
  <c r="FU1155" i="98"/>
  <c r="FW1155" i="98"/>
  <c r="FY1155" i="98"/>
  <c r="FZ1155" i="98"/>
  <c r="FU1156" i="98"/>
  <c r="FW1156" i="98"/>
  <c r="FX1156" i="98"/>
  <c r="FY1156" i="98"/>
  <c r="FZ1156" i="98"/>
  <c r="FU1157" i="98"/>
  <c r="FW1157" i="98"/>
  <c r="FY1157" i="98"/>
  <c r="FZ1157" i="98"/>
  <c r="FU1158" i="98"/>
  <c r="FW1158" i="98"/>
  <c r="FY1158" i="98"/>
  <c r="FZ1158" i="98"/>
  <c r="FU1159" i="98"/>
  <c r="FW1159" i="98"/>
  <c r="FY1159" i="98"/>
  <c r="FZ1159" i="98"/>
  <c r="FU1160" i="98"/>
  <c r="FW1160" i="98"/>
  <c r="FY1160" i="98"/>
  <c r="FZ1160" i="98"/>
  <c r="FU1161" i="98"/>
  <c r="FW1161" i="98"/>
  <c r="FY1161" i="98"/>
  <c r="FZ1161" i="98"/>
  <c r="FU1162" i="98"/>
  <c r="FW1162" i="98"/>
  <c r="FY1162" i="98"/>
  <c r="FZ1162" i="98"/>
  <c r="FU1163" i="98"/>
  <c r="FW1163" i="98"/>
  <c r="FY1163" i="98"/>
  <c r="FZ1163" i="98"/>
  <c r="FU1164" i="98"/>
  <c r="FW1164" i="98"/>
  <c r="FY1164" i="98"/>
  <c r="FZ1164" i="98"/>
  <c r="FU1165" i="98"/>
  <c r="FW1165" i="98"/>
  <c r="FY1165" i="98"/>
  <c r="FZ1165" i="98"/>
  <c r="FU1166" i="98"/>
  <c r="FW1166" i="98"/>
  <c r="FX1166" i="98"/>
  <c r="FY1166" i="98"/>
  <c r="FZ1166" i="98"/>
  <c r="FU1167" i="98"/>
  <c r="FW1167" i="98"/>
  <c r="FY1167" i="98"/>
  <c r="FZ1167" i="98"/>
  <c r="FU1168" i="98"/>
  <c r="FW1168" i="98"/>
  <c r="FY1168" i="98"/>
  <c r="FZ1168" i="98"/>
  <c r="FU1169" i="98"/>
  <c r="FW1169" i="98"/>
  <c r="FY1169" i="98"/>
  <c r="FZ1169" i="98"/>
  <c r="FU1170" i="98"/>
  <c r="FW1170" i="98"/>
  <c r="FY1170" i="98"/>
  <c r="FZ1170" i="98"/>
  <c r="FU1171" i="98"/>
  <c r="FW1171" i="98"/>
  <c r="FY1171" i="98"/>
  <c r="FZ1171" i="98"/>
  <c r="FU1172" i="98"/>
  <c r="FW1172" i="98"/>
  <c r="FY1172" i="98"/>
  <c r="FZ1172" i="98"/>
  <c r="FU1173" i="98"/>
  <c r="FW1173" i="98"/>
  <c r="FY1173" i="98"/>
  <c r="FZ1173" i="98"/>
  <c r="FU1174" i="98"/>
  <c r="FW1174" i="98"/>
  <c r="FY1174" i="98"/>
  <c r="FZ1174" i="98"/>
  <c r="FU1175" i="98"/>
  <c r="FW1175" i="98"/>
  <c r="FY1175" i="98"/>
  <c r="FZ1175" i="98"/>
  <c r="FU1176" i="98"/>
  <c r="FW1176" i="98"/>
  <c r="FX1176" i="98"/>
  <c r="FY1176" i="98"/>
  <c r="FZ1176" i="98"/>
  <c r="FU1177" i="98"/>
  <c r="FW1177" i="98"/>
  <c r="FY1177" i="98"/>
  <c r="FZ1177" i="98"/>
  <c r="FU1178" i="98"/>
  <c r="FW1178" i="98"/>
  <c r="FY1178" i="98"/>
  <c r="FZ1178" i="98"/>
  <c r="FU1179" i="98"/>
  <c r="FW1179" i="98"/>
  <c r="FY1179" i="98"/>
  <c r="FZ1179" i="98"/>
  <c r="FU1180" i="98"/>
  <c r="FW1180" i="98"/>
  <c r="FY1180" i="98"/>
  <c r="FZ1180" i="98"/>
  <c r="FU1181" i="98"/>
  <c r="FW1181" i="98"/>
  <c r="FY1181" i="98"/>
  <c r="FZ1181" i="98"/>
  <c r="FU1182" i="98"/>
  <c r="FW1182" i="98"/>
  <c r="FY1182" i="98"/>
  <c r="FZ1182" i="98"/>
  <c r="FU1183" i="98"/>
  <c r="FW1183" i="98"/>
  <c r="FY1183" i="98"/>
  <c r="FZ1183" i="98"/>
  <c r="FU1184" i="98"/>
  <c r="FW1184" i="98"/>
  <c r="FY1184" i="98"/>
  <c r="FZ1184" i="98"/>
  <c r="FU1185" i="98"/>
  <c r="FW1185" i="98"/>
  <c r="FY1185" i="98"/>
  <c r="FZ1185" i="98"/>
  <c r="FU1186" i="98"/>
  <c r="FW1186" i="98"/>
  <c r="FX1186" i="98"/>
  <c r="FY1186" i="98"/>
  <c r="FZ1186" i="98"/>
  <c r="FU1187" i="98"/>
  <c r="FW1187" i="98"/>
  <c r="FY1187" i="98"/>
  <c r="FZ1187" i="98"/>
  <c r="FU1188" i="98"/>
  <c r="FW1188" i="98"/>
  <c r="FY1188" i="98"/>
  <c r="FZ1188" i="98"/>
  <c r="FU1189" i="98"/>
  <c r="FW1189" i="98"/>
  <c r="FY1189" i="98"/>
  <c r="FZ1189" i="98"/>
  <c r="FU1190" i="98"/>
  <c r="FW1190" i="98"/>
  <c r="FY1190" i="98"/>
  <c r="FZ1190" i="98"/>
  <c r="FU1191" i="98"/>
  <c r="FW1191" i="98"/>
  <c r="FY1191" i="98"/>
  <c r="FZ1191" i="98"/>
  <c r="FU1192" i="98"/>
  <c r="FW1192" i="98"/>
  <c r="FY1192" i="98"/>
  <c r="FZ1192" i="98"/>
  <c r="FU1193" i="98"/>
  <c r="FW1193" i="98"/>
  <c r="FY1193" i="98"/>
  <c r="FZ1193" i="98"/>
  <c r="FU1194" i="98"/>
  <c r="FW1194" i="98"/>
  <c r="FY1194" i="98"/>
  <c r="FZ1194" i="98"/>
  <c r="FU1195" i="98"/>
  <c r="FW1195" i="98"/>
  <c r="FY1195" i="98"/>
  <c r="FZ1195" i="98"/>
  <c r="FU1196" i="98"/>
  <c r="FW1196" i="98"/>
  <c r="FX1196" i="98"/>
  <c r="FY1196" i="98"/>
  <c r="FZ1196" i="98"/>
  <c r="FU1197" i="98"/>
  <c r="FW1197" i="98"/>
  <c r="FX1197" i="98"/>
  <c r="FY1197" i="98"/>
  <c r="FZ1197" i="98"/>
  <c r="FU1198" i="98"/>
  <c r="FW1198" i="98"/>
  <c r="FX1198" i="98"/>
  <c r="FY1198" i="98"/>
  <c r="FZ1198" i="98"/>
  <c r="FU1199" i="98"/>
  <c r="FW1199" i="98"/>
  <c r="FX1199" i="98"/>
  <c r="FY1199" i="98"/>
  <c r="FZ1199" i="98"/>
  <c r="FU1200" i="98"/>
  <c r="FW1200" i="98"/>
  <c r="FX1200" i="98"/>
  <c r="FY1200" i="98"/>
  <c r="FZ1200" i="98"/>
  <c r="FU1201" i="98"/>
  <c r="FW1201" i="98"/>
  <c r="FX1201" i="98"/>
  <c r="FY1201" i="98"/>
  <c r="FZ1201" i="98"/>
  <c r="FU1202" i="98"/>
  <c r="FW1202" i="98"/>
  <c r="FX1202" i="98"/>
  <c r="FY1202" i="98"/>
  <c r="FZ1202" i="98"/>
  <c r="FU1203" i="98"/>
  <c r="FW1203" i="98"/>
  <c r="FX1203" i="98"/>
  <c r="FY1203" i="98"/>
  <c r="FZ1203" i="98"/>
  <c r="FU1204" i="98"/>
  <c r="FW1204" i="98"/>
  <c r="FX1204" i="98"/>
  <c r="FY1204" i="98"/>
  <c r="FZ1204" i="98"/>
  <c r="FU1205" i="98"/>
  <c r="FW1205" i="98"/>
  <c r="FX1205" i="98"/>
  <c r="FY1205" i="98"/>
  <c r="FZ1205" i="98"/>
  <c r="FU1206" i="98"/>
  <c r="FW1206" i="98"/>
  <c r="FX1206" i="98"/>
  <c r="FY1206" i="98"/>
  <c r="FZ1206" i="98"/>
  <c r="FU1207" i="98"/>
  <c r="FW1207" i="98"/>
  <c r="FX1207" i="98"/>
  <c r="FY1207" i="98"/>
  <c r="FZ1207" i="98"/>
  <c r="FU1208" i="98"/>
  <c r="FW1208" i="98"/>
  <c r="FX1208" i="98"/>
  <c r="FY1208" i="98"/>
  <c r="FZ1208" i="98"/>
  <c r="FU1209" i="98"/>
  <c r="FW1209" i="98"/>
  <c r="FX1209" i="98"/>
  <c r="FY1209" i="98"/>
  <c r="FZ1209" i="98"/>
  <c r="FU1210" i="98"/>
  <c r="FW1210" i="98"/>
  <c r="FX1210" i="98"/>
  <c r="FY1210" i="98"/>
  <c r="FZ1210" i="98"/>
  <c r="FU1211" i="98"/>
  <c r="FW1211" i="98"/>
  <c r="FX1211" i="98"/>
  <c r="FY1211" i="98"/>
  <c r="FZ1211" i="98"/>
  <c r="FU1212" i="98"/>
  <c r="FW1212" i="98"/>
  <c r="FX1212" i="98"/>
  <c r="FY1212" i="98"/>
  <c r="FZ1212" i="98"/>
  <c r="FU1213" i="98"/>
  <c r="FW1213" i="98"/>
  <c r="FX1213" i="98"/>
  <c r="FY1213" i="98"/>
  <c r="FZ1213" i="98"/>
  <c r="FU1214" i="98"/>
  <c r="FW1214" i="98"/>
  <c r="FX1214" i="98"/>
  <c r="FY1214" i="98"/>
  <c r="FZ1214" i="98"/>
  <c r="FU1215" i="98"/>
  <c r="FW1215" i="98"/>
  <c r="FX1215" i="98"/>
  <c r="FY1215" i="98"/>
  <c r="FZ1215" i="98"/>
  <c r="FU1216" i="98"/>
  <c r="FW1216" i="98"/>
  <c r="FX1216" i="98"/>
  <c r="FY1216" i="98"/>
  <c r="FZ1216" i="98"/>
  <c r="FU1217" i="98"/>
  <c r="FW1217" i="98"/>
  <c r="FY1217" i="98"/>
  <c r="FZ1217" i="98"/>
  <c r="FU1218" i="98"/>
  <c r="FW1218" i="98"/>
  <c r="FY1218" i="98"/>
  <c r="FZ1218" i="98"/>
  <c r="FU1219" i="98"/>
  <c r="FW1219" i="98"/>
  <c r="FY1219" i="98"/>
  <c r="FZ1219" i="98"/>
  <c r="FU1220" i="98"/>
  <c r="FW1220" i="98"/>
  <c r="FY1220" i="98"/>
  <c r="FZ1220" i="98"/>
  <c r="FU1221" i="98"/>
  <c r="FW1221" i="98"/>
  <c r="FY1221" i="98"/>
  <c r="FZ1221" i="98"/>
  <c r="FU1222" i="98"/>
  <c r="FW1222" i="98"/>
  <c r="FY1222" i="98"/>
  <c r="FZ1222" i="98"/>
  <c r="FU1223" i="98"/>
  <c r="FW1223" i="98"/>
  <c r="FY1223" i="98"/>
  <c r="FZ1223" i="98"/>
  <c r="FU1224" i="98"/>
  <c r="FW1224" i="98"/>
  <c r="FY1224" i="98"/>
  <c r="FZ1224" i="98"/>
  <c r="FU1225" i="98"/>
  <c r="FW1225" i="98"/>
  <c r="FY1225" i="98"/>
  <c r="FZ1225" i="98"/>
  <c r="FU1226" i="98"/>
  <c r="FW1226" i="98"/>
  <c r="FX1226" i="98"/>
  <c r="FY1226" i="98"/>
  <c r="FZ1226" i="98"/>
  <c r="FU1227" i="98"/>
  <c r="FW1227" i="98"/>
  <c r="FY1227" i="98"/>
  <c r="FZ1227" i="98"/>
  <c r="FU1228" i="98"/>
  <c r="FW1228" i="98"/>
  <c r="FY1228" i="98"/>
  <c r="FZ1228" i="98"/>
  <c r="FU1229" i="98"/>
  <c r="FW1229" i="98"/>
  <c r="FY1229" i="98"/>
  <c r="FZ1229" i="98"/>
  <c r="FU1230" i="98"/>
  <c r="FW1230" i="98"/>
  <c r="FY1230" i="98"/>
  <c r="FZ1230" i="98"/>
  <c r="FU1231" i="98"/>
  <c r="FW1231" i="98"/>
  <c r="FY1231" i="98"/>
  <c r="FZ1231" i="98"/>
  <c r="FU1232" i="98"/>
  <c r="FW1232" i="98"/>
  <c r="FY1232" i="98"/>
  <c r="FZ1232" i="98"/>
  <c r="FU1233" i="98"/>
  <c r="FW1233" i="98"/>
  <c r="FY1233" i="98"/>
  <c r="FZ1233" i="98"/>
  <c r="FU1234" i="98"/>
  <c r="FW1234" i="98"/>
  <c r="FY1234" i="98"/>
  <c r="FZ1234" i="98"/>
  <c r="FU1235" i="98"/>
  <c r="FW1235" i="98"/>
  <c r="FY1235" i="98"/>
  <c r="FZ1235" i="98"/>
  <c r="FU1236" i="98"/>
  <c r="FW1236" i="98"/>
  <c r="FX1236" i="98"/>
  <c r="FY1236" i="98"/>
  <c r="FZ1236" i="98"/>
  <c r="FU1237" i="98"/>
  <c r="FW1237" i="98"/>
  <c r="FY1237" i="98"/>
  <c r="FZ1237" i="98"/>
  <c r="FU1238" i="98"/>
  <c r="FW1238" i="98"/>
  <c r="FY1238" i="98"/>
  <c r="FZ1238" i="98"/>
  <c r="FU1239" i="98"/>
  <c r="FW1239" i="98"/>
  <c r="FY1239" i="98"/>
  <c r="FZ1239" i="98"/>
  <c r="FU1240" i="98"/>
  <c r="FW1240" i="98"/>
  <c r="FY1240" i="98"/>
  <c r="FZ1240" i="98"/>
  <c r="FU1241" i="98"/>
  <c r="FW1241" i="98"/>
  <c r="FY1241" i="98"/>
  <c r="FZ1241" i="98"/>
  <c r="FU1242" i="98"/>
  <c r="FW1242" i="98"/>
  <c r="FY1242" i="98"/>
  <c r="FZ1242" i="98"/>
  <c r="FU1243" i="98"/>
  <c r="FW1243" i="98"/>
  <c r="FY1243" i="98"/>
  <c r="FZ1243" i="98"/>
  <c r="FU1244" i="98"/>
  <c r="FW1244" i="98"/>
  <c r="FY1244" i="98"/>
  <c r="FZ1244" i="98"/>
  <c r="FU1245" i="98"/>
  <c r="FW1245" i="98"/>
  <c r="FY1245" i="98"/>
  <c r="FZ1245" i="98"/>
  <c r="FU1246" i="98"/>
  <c r="FW1246" i="98"/>
  <c r="FX1246" i="98"/>
  <c r="FY1246" i="98"/>
  <c r="FZ1246" i="98"/>
  <c r="FU1247" i="98"/>
  <c r="FW1247" i="98"/>
  <c r="FY1247" i="98"/>
  <c r="FZ1247" i="98"/>
  <c r="FU1248" i="98"/>
  <c r="FW1248" i="98"/>
  <c r="FY1248" i="98"/>
  <c r="FZ1248" i="98"/>
  <c r="FU1249" i="98"/>
  <c r="FW1249" i="98"/>
  <c r="FY1249" i="98"/>
  <c r="FZ1249" i="98"/>
  <c r="FU1250" i="98"/>
  <c r="FW1250" i="98"/>
  <c r="FY1250" i="98"/>
  <c r="FZ1250" i="98"/>
  <c r="FU1251" i="98"/>
  <c r="FW1251" i="98"/>
  <c r="FY1251" i="98"/>
  <c r="FZ1251" i="98"/>
  <c r="FU1252" i="98"/>
  <c r="FW1252" i="98"/>
  <c r="FY1252" i="98"/>
  <c r="FZ1252" i="98"/>
  <c r="FU1253" i="98"/>
  <c r="FW1253" i="98"/>
  <c r="FY1253" i="98"/>
  <c r="FZ1253" i="98"/>
  <c r="FU1254" i="98"/>
  <c r="FW1254" i="98"/>
  <c r="FY1254" i="98"/>
  <c r="FZ1254" i="98"/>
  <c r="FU1255" i="98"/>
  <c r="FW1255" i="98"/>
  <c r="FY1255" i="98"/>
  <c r="FZ1255" i="98"/>
  <c r="FU1256" i="98"/>
  <c r="FW1256" i="98"/>
  <c r="FX1256" i="98"/>
  <c r="FY1256" i="98"/>
  <c r="FZ1256" i="98"/>
  <c r="FU1257" i="98"/>
  <c r="FW1257" i="98"/>
  <c r="FY1257" i="98"/>
  <c r="FZ1257" i="98"/>
  <c r="FU1258" i="98"/>
  <c r="FW1258" i="98"/>
  <c r="FY1258" i="98"/>
  <c r="FZ1258" i="98"/>
  <c r="FU1259" i="98"/>
  <c r="FW1259" i="98"/>
  <c r="FY1259" i="98"/>
  <c r="FZ1259" i="98"/>
  <c r="FU1260" i="98"/>
  <c r="FW1260" i="98"/>
  <c r="FY1260" i="98"/>
  <c r="FZ1260" i="98"/>
  <c r="FU1261" i="98"/>
  <c r="FW1261" i="98"/>
  <c r="FY1261" i="98"/>
  <c r="FZ1261" i="98"/>
  <c r="FU1262" i="98"/>
  <c r="FW1262" i="98"/>
  <c r="FY1262" i="98"/>
  <c r="FZ1262" i="98"/>
  <c r="FU1263" i="98"/>
  <c r="FW1263" i="98"/>
  <c r="FY1263" i="98"/>
  <c r="FZ1263" i="98"/>
  <c r="FU1264" i="98"/>
  <c r="FW1264" i="98"/>
  <c r="FY1264" i="98"/>
  <c r="FZ1264" i="98"/>
  <c r="FU1265" i="98"/>
  <c r="FW1265" i="98"/>
  <c r="FY1265" i="98"/>
  <c r="FZ1265" i="98"/>
  <c r="FU1266" i="98"/>
  <c r="FW1266" i="98"/>
  <c r="FX1266" i="98"/>
  <c r="FY1266" i="98"/>
  <c r="FZ1266" i="98"/>
  <c r="FU1267" i="98"/>
  <c r="FW1267" i="98"/>
  <c r="FY1267" i="98"/>
  <c r="FZ1267" i="98"/>
  <c r="FU1268" i="98"/>
  <c r="FW1268" i="98"/>
  <c r="FY1268" i="98"/>
  <c r="FZ1268" i="98"/>
  <c r="FU1269" i="98"/>
  <c r="FW1269" i="98"/>
  <c r="FY1269" i="98"/>
  <c r="FZ1269" i="98"/>
  <c r="FU1270" i="98"/>
  <c r="FW1270" i="98"/>
  <c r="FY1270" i="98"/>
  <c r="FZ1270" i="98"/>
  <c r="FU1271" i="98"/>
  <c r="FW1271" i="98"/>
  <c r="FY1271" i="98"/>
  <c r="FZ1271" i="98"/>
  <c r="FU1272" i="98"/>
  <c r="FW1272" i="98"/>
  <c r="FY1272" i="98"/>
  <c r="FZ1272" i="98"/>
  <c r="FU1273" i="98"/>
  <c r="FW1273" i="98"/>
  <c r="FY1273" i="98"/>
  <c r="FZ1273" i="98"/>
  <c r="FU1274" i="98"/>
  <c r="FW1274" i="98"/>
  <c r="FY1274" i="98"/>
  <c r="FZ1274" i="98"/>
  <c r="FU1275" i="98"/>
  <c r="FW1275" i="98"/>
  <c r="FY1275" i="98"/>
  <c r="FZ1275" i="98"/>
  <c r="FU1276" i="98"/>
  <c r="FW1276" i="98"/>
  <c r="FX1276" i="98"/>
  <c r="FY1276" i="98"/>
  <c r="FZ1276" i="98"/>
  <c r="FU1277" i="98"/>
  <c r="FW1277" i="98"/>
  <c r="FX1277" i="98"/>
  <c r="FY1277" i="98"/>
  <c r="FZ1277" i="98"/>
  <c r="FU1278" i="98"/>
  <c r="FW1278" i="98"/>
  <c r="FX1278" i="98"/>
  <c r="FY1278" i="98"/>
  <c r="FZ1278" i="98"/>
  <c r="FU1279" i="98"/>
  <c r="FW1279" i="98"/>
  <c r="FX1279" i="98"/>
  <c r="FY1279" i="98"/>
  <c r="FZ1279" i="98"/>
  <c r="FU1280" i="98"/>
  <c r="FW1280" i="98"/>
  <c r="FX1280" i="98"/>
  <c r="FY1280" i="98"/>
  <c r="FZ1280" i="98"/>
  <c r="FU1281" i="98"/>
  <c r="FW1281" i="98"/>
  <c r="FX1281" i="98"/>
  <c r="FY1281" i="98"/>
  <c r="FZ1281" i="98"/>
  <c r="FU1282" i="98"/>
  <c r="FW1282" i="98"/>
  <c r="FX1282" i="98"/>
  <c r="FY1282" i="98"/>
  <c r="FZ1282" i="98"/>
  <c r="FU1283" i="98"/>
  <c r="FW1283" i="98"/>
  <c r="FX1283" i="98"/>
  <c r="FY1283" i="98"/>
  <c r="FZ1283" i="98"/>
  <c r="FU1284" i="98"/>
  <c r="FW1284" i="98"/>
  <c r="FX1284" i="98"/>
  <c r="FY1284" i="98"/>
  <c r="FZ1284" i="98"/>
  <c r="FU1285" i="98"/>
  <c r="FW1285" i="98"/>
  <c r="FX1285" i="98"/>
  <c r="FY1285" i="98"/>
  <c r="FZ1285" i="98"/>
  <c r="FU1286" i="98"/>
  <c r="FW1286" i="98"/>
  <c r="FX1286" i="98"/>
  <c r="FY1286" i="98"/>
  <c r="FZ1286" i="98"/>
  <c r="FU1287" i="98"/>
  <c r="FW1287" i="98"/>
  <c r="FX1287" i="98"/>
  <c r="FY1287" i="98"/>
  <c r="FZ1287" i="98"/>
  <c r="FU1288" i="98"/>
  <c r="FW1288" i="98"/>
  <c r="FX1288" i="98"/>
  <c r="FY1288" i="98"/>
  <c r="FZ1288" i="98"/>
  <c r="FU1289" i="98"/>
  <c r="FW1289" i="98"/>
  <c r="FX1289" i="98"/>
  <c r="FY1289" i="98"/>
  <c r="FZ1289" i="98"/>
  <c r="FU1290" i="98"/>
  <c r="FW1290" i="98"/>
  <c r="FX1290" i="98"/>
  <c r="FY1290" i="98"/>
  <c r="FZ1290" i="98"/>
  <c r="FU1291" i="98"/>
  <c r="FW1291" i="98"/>
  <c r="FX1291" i="98"/>
  <c r="FY1291" i="98"/>
  <c r="FZ1291" i="98"/>
  <c r="FU1292" i="98"/>
  <c r="FW1292" i="98"/>
  <c r="FX1292" i="98"/>
  <c r="FY1292" i="98"/>
  <c r="FZ1292" i="98"/>
  <c r="FU1293" i="98"/>
  <c r="FW1293" i="98"/>
  <c r="FX1293" i="98"/>
  <c r="FY1293" i="98"/>
  <c r="FZ1293" i="98"/>
  <c r="FU1294" i="98"/>
  <c r="FW1294" i="98"/>
  <c r="FX1294" i="98"/>
  <c r="FY1294" i="98"/>
  <c r="FZ1294" i="98"/>
  <c r="FU1295" i="98"/>
  <c r="FW1295" i="98"/>
  <c r="FX1295" i="98"/>
  <c r="FY1295" i="98"/>
  <c r="FZ1295" i="98"/>
  <c r="FU1296" i="98"/>
  <c r="FW1296" i="98"/>
  <c r="FX1296" i="98"/>
  <c r="FY1296" i="98"/>
  <c r="FZ1296" i="98"/>
  <c r="FU1297" i="98"/>
  <c r="FW1297" i="98"/>
  <c r="FY1297" i="98"/>
  <c r="FZ1297" i="98"/>
  <c r="FU1298" i="98"/>
  <c r="FW1298" i="98"/>
  <c r="FY1298" i="98"/>
  <c r="FZ1298" i="98"/>
  <c r="FU1299" i="98"/>
  <c r="FW1299" i="98"/>
  <c r="FY1299" i="98"/>
  <c r="FZ1299" i="98"/>
  <c r="FU1300" i="98"/>
  <c r="FW1300" i="98"/>
  <c r="FY1300" i="98"/>
  <c r="FZ1300" i="98"/>
  <c r="FU1301" i="98"/>
  <c r="FW1301" i="98"/>
  <c r="FY1301" i="98"/>
  <c r="FZ1301" i="98"/>
  <c r="FU1302" i="98"/>
  <c r="FW1302" i="98"/>
  <c r="FY1302" i="98"/>
  <c r="FZ1302" i="98"/>
  <c r="FU1303" i="98"/>
  <c r="FW1303" i="98"/>
  <c r="FY1303" i="98"/>
  <c r="FZ1303" i="98"/>
  <c r="FU1304" i="98"/>
  <c r="FW1304" i="98"/>
  <c r="FY1304" i="98"/>
  <c r="FZ1304" i="98"/>
  <c r="FU1305" i="98"/>
  <c r="FW1305" i="98"/>
  <c r="FY1305" i="98"/>
  <c r="FZ1305" i="98"/>
  <c r="FU1306" i="98"/>
  <c r="FW1306" i="98"/>
  <c r="FX1306" i="98"/>
  <c r="FY1306" i="98"/>
  <c r="FZ1306" i="98"/>
  <c r="FU1307" i="98"/>
  <c r="FW1307" i="98"/>
  <c r="FY1307" i="98"/>
  <c r="FZ1307" i="98"/>
  <c r="FU1308" i="98"/>
  <c r="FW1308" i="98"/>
  <c r="FY1308" i="98"/>
  <c r="FZ1308" i="98"/>
  <c r="FU1309" i="98"/>
  <c r="FW1309" i="98"/>
  <c r="FY1309" i="98"/>
  <c r="FZ1309" i="98"/>
  <c r="FU1310" i="98"/>
  <c r="FW1310" i="98"/>
  <c r="FY1310" i="98"/>
  <c r="FZ1310" i="98"/>
  <c r="FU1311" i="98"/>
  <c r="FW1311" i="98"/>
  <c r="FY1311" i="98"/>
  <c r="FZ1311" i="98"/>
  <c r="FU1312" i="98"/>
  <c r="FW1312" i="98"/>
  <c r="FY1312" i="98"/>
  <c r="FZ1312" i="98"/>
  <c r="FU1313" i="98"/>
  <c r="FW1313" i="98"/>
  <c r="FY1313" i="98"/>
  <c r="FZ1313" i="98"/>
  <c r="FU1314" i="98"/>
  <c r="FW1314" i="98"/>
  <c r="FY1314" i="98"/>
  <c r="FZ1314" i="98"/>
  <c r="FU1315" i="98"/>
  <c r="FW1315" i="98"/>
  <c r="FY1315" i="98"/>
  <c r="FZ1315" i="98"/>
  <c r="FU1316" i="98"/>
  <c r="FW1316" i="98"/>
  <c r="FX1316" i="98"/>
  <c r="FY1316" i="98"/>
  <c r="FZ1316" i="98"/>
  <c r="FU1317" i="98"/>
  <c r="FW1317" i="98"/>
  <c r="FY1317" i="98"/>
  <c r="FZ1317" i="98"/>
  <c r="FU1318" i="98"/>
  <c r="FW1318" i="98"/>
  <c r="FY1318" i="98"/>
  <c r="FZ1318" i="98"/>
  <c r="FU1319" i="98"/>
  <c r="FW1319" i="98"/>
  <c r="FY1319" i="98"/>
  <c r="FZ1319" i="98"/>
  <c r="FU1320" i="98"/>
  <c r="FW1320" i="98"/>
  <c r="FY1320" i="98"/>
  <c r="FZ1320" i="98"/>
  <c r="FU1321" i="98"/>
  <c r="FW1321" i="98"/>
  <c r="FY1321" i="98"/>
  <c r="FZ1321" i="98"/>
  <c r="FU1322" i="98"/>
  <c r="FW1322" i="98"/>
  <c r="FY1322" i="98"/>
  <c r="FZ1322" i="98"/>
  <c r="FU1323" i="98"/>
  <c r="FW1323" i="98"/>
  <c r="FY1323" i="98"/>
  <c r="FZ1323" i="98"/>
  <c r="FU1324" i="98"/>
  <c r="FW1324" i="98"/>
  <c r="FY1324" i="98"/>
  <c r="FZ1324" i="98"/>
  <c r="FU1325" i="98"/>
  <c r="FW1325" i="98"/>
  <c r="FY1325" i="98"/>
  <c r="FZ1325" i="98"/>
  <c r="FU1326" i="98"/>
  <c r="FW1326" i="98"/>
  <c r="FX1326" i="98"/>
  <c r="FY1326" i="98"/>
  <c r="FZ1326" i="98"/>
  <c r="FU1327" i="98"/>
  <c r="FW1327" i="98"/>
  <c r="FY1327" i="98"/>
  <c r="FZ1327" i="98"/>
  <c r="FU1328" i="98"/>
  <c r="FW1328" i="98"/>
  <c r="FY1328" i="98"/>
  <c r="FZ1328" i="98"/>
  <c r="FU1329" i="98"/>
  <c r="FW1329" i="98"/>
  <c r="FY1329" i="98"/>
  <c r="FZ1329" i="98"/>
  <c r="FU1330" i="98"/>
  <c r="FW1330" i="98"/>
  <c r="FY1330" i="98"/>
  <c r="FZ1330" i="98"/>
  <c r="FU1331" i="98"/>
  <c r="FW1331" i="98"/>
  <c r="FY1331" i="98"/>
  <c r="FZ1331" i="98"/>
  <c r="FU1332" i="98"/>
  <c r="FW1332" i="98"/>
  <c r="FY1332" i="98"/>
  <c r="FZ1332" i="98"/>
  <c r="FU1333" i="98"/>
  <c r="FW1333" i="98"/>
  <c r="FY1333" i="98"/>
  <c r="FZ1333" i="98"/>
  <c r="FU1334" i="98"/>
  <c r="FW1334" i="98"/>
  <c r="FY1334" i="98"/>
  <c r="FZ1334" i="98"/>
  <c r="FU1335" i="98"/>
  <c r="FW1335" i="98"/>
  <c r="FY1335" i="98"/>
  <c r="FZ1335" i="98"/>
  <c r="FU1336" i="98"/>
  <c r="FW1336" i="98"/>
  <c r="FX1336" i="98"/>
  <c r="FY1336" i="98"/>
  <c r="FZ1336" i="98"/>
  <c r="FU1337" i="98"/>
  <c r="FW1337" i="98"/>
  <c r="FY1337" i="98"/>
  <c r="FZ1337" i="98"/>
  <c r="FU1338" i="98"/>
  <c r="FW1338" i="98"/>
  <c r="FY1338" i="98"/>
  <c r="FZ1338" i="98"/>
  <c r="FU1339" i="98"/>
  <c r="FW1339" i="98"/>
  <c r="FY1339" i="98"/>
  <c r="FZ1339" i="98"/>
  <c r="FU1340" i="98"/>
  <c r="FW1340" i="98"/>
  <c r="FY1340" i="98"/>
  <c r="FZ1340" i="98"/>
  <c r="FU1341" i="98"/>
  <c r="FW1341" i="98"/>
  <c r="FY1341" i="98"/>
  <c r="FZ1341" i="98"/>
  <c r="FU1342" i="98"/>
  <c r="FW1342" i="98"/>
  <c r="FY1342" i="98"/>
  <c r="FZ1342" i="98"/>
  <c r="FU1343" i="98"/>
  <c r="FW1343" i="98"/>
  <c r="FY1343" i="98"/>
  <c r="FZ1343" i="98"/>
  <c r="FU1344" i="98"/>
  <c r="FW1344" i="98"/>
  <c r="FY1344" i="98"/>
  <c r="FZ1344" i="98"/>
  <c r="FU1345" i="98"/>
  <c r="FW1345" i="98"/>
  <c r="FY1345" i="98"/>
  <c r="FZ1345" i="98"/>
  <c r="FU1346" i="98"/>
  <c r="FW1346" i="98"/>
  <c r="FX1346" i="98"/>
  <c r="FY1346" i="98"/>
  <c r="FZ1346" i="98"/>
  <c r="FU1347" i="98"/>
  <c r="FW1347" i="98"/>
  <c r="FY1347" i="98"/>
  <c r="FZ1347" i="98"/>
  <c r="FU1348" i="98"/>
  <c r="FW1348" i="98"/>
  <c r="FY1348" i="98"/>
  <c r="FZ1348" i="98"/>
  <c r="FU1349" i="98"/>
  <c r="FW1349" i="98"/>
  <c r="FY1349" i="98"/>
  <c r="FZ1349" i="98"/>
  <c r="FU1350" i="98"/>
  <c r="FW1350" i="98"/>
  <c r="FY1350" i="98"/>
  <c r="FZ1350" i="98"/>
  <c r="FU1351" i="98"/>
  <c r="FW1351" i="98"/>
  <c r="FY1351" i="98"/>
  <c r="FZ1351" i="98"/>
  <c r="FU1352" i="98"/>
  <c r="FW1352" i="98"/>
  <c r="FY1352" i="98"/>
  <c r="FZ1352" i="98"/>
  <c r="FU1353" i="98"/>
  <c r="FW1353" i="98"/>
  <c r="FY1353" i="98"/>
  <c r="FZ1353" i="98"/>
  <c r="FU1354" i="98"/>
  <c r="FW1354" i="98"/>
  <c r="FY1354" i="98"/>
  <c r="FZ1354" i="98"/>
  <c r="FU1355" i="98"/>
  <c r="FW1355" i="98"/>
  <c r="FY1355" i="98"/>
  <c r="FZ1355" i="98"/>
  <c r="FU1356" i="98"/>
  <c r="FW1356" i="98"/>
  <c r="FX1356" i="98"/>
  <c r="FY1356" i="98"/>
  <c r="FZ1356" i="98"/>
  <c r="FU1357" i="98"/>
  <c r="FW1357" i="98"/>
  <c r="FX1357" i="98"/>
  <c r="FY1357" i="98"/>
  <c r="FZ1357" i="98"/>
  <c r="FU1358" i="98"/>
  <c r="FW1358" i="98"/>
  <c r="FX1358" i="98"/>
  <c r="FY1358" i="98"/>
  <c r="FZ1358" i="98"/>
  <c r="FU1359" i="98"/>
  <c r="FW1359" i="98"/>
  <c r="FX1359" i="98"/>
  <c r="FY1359" i="98"/>
  <c r="FZ1359" i="98"/>
  <c r="FU1360" i="98"/>
  <c r="FW1360" i="98"/>
  <c r="FX1360" i="98"/>
  <c r="FY1360" i="98"/>
  <c r="FZ1360" i="98"/>
  <c r="FU1361" i="98"/>
  <c r="FW1361" i="98"/>
  <c r="FX1361" i="98"/>
  <c r="FY1361" i="98"/>
  <c r="FZ1361" i="98"/>
  <c r="FU1362" i="98"/>
  <c r="FW1362" i="98"/>
  <c r="FX1362" i="98"/>
  <c r="FY1362" i="98"/>
  <c r="FZ1362" i="98"/>
  <c r="FU1363" i="98"/>
  <c r="FW1363" i="98"/>
  <c r="FX1363" i="98"/>
  <c r="FY1363" i="98"/>
  <c r="FZ1363" i="98"/>
  <c r="FU1364" i="98"/>
  <c r="FW1364" i="98"/>
  <c r="FX1364" i="98"/>
  <c r="FY1364" i="98"/>
  <c r="FZ1364" i="98"/>
  <c r="FU1365" i="98"/>
  <c r="FW1365" i="98"/>
  <c r="FX1365" i="98"/>
  <c r="FY1365" i="98"/>
  <c r="FZ1365" i="98"/>
  <c r="FU1366" i="98"/>
  <c r="FW1366" i="98"/>
  <c r="FX1366" i="98"/>
  <c r="FY1366" i="98"/>
  <c r="FZ1366" i="98"/>
  <c r="FU1367" i="98"/>
  <c r="FW1367" i="98"/>
  <c r="FX1367" i="98"/>
  <c r="FY1367" i="98"/>
  <c r="FZ1367" i="98"/>
  <c r="FU1368" i="98"/>
  <c r="FW1368" i="98"/>
  <c r="FX1368" i="98"/>
  <c r="FY1368" i="98"/>
  <c r="FZ1368" i="98"/>
  <c r="FU1369" i="98"/>
  <c r="FW1369" i="98"/>
  <c r="FX1369" i="98"/>
  <c r="FY1369" i="98"/>
  <c r="FZ1369" i="98"/>
  <c r="FU1370" i="98"/>
  <c r="FW1370" i="98"/>
  <c r="FX1370" i="98"/>
  <c r="FY1370" i="98"/>
  <c r="FZ1370" i="98"/>
  <c r="FU1371" i="98"/>
  <c r="FW1371" i="98"/>
  <c r="FX1371" i="98"/>
  <c r="FY1371" i="98"/>
  <c r="FZ1371" i="98"/>
  <c r="FU1372" i="98"/>
  <c r="FW1372" i="98"/>
  <c r="FX1372" i="98"/>
  <c r="FY1372" i="98"/>
  <c r="FZ1372" i="98"/>
  <c r="FU1373" i="98"/>
  <c r="FW1373" i="98"/>
  <c r="FX1373" i="98"/>
  <c r="FY1373" i="98"/>
  <c r="FZ1373" i="98"/>
  <c r="FU1374" i="98"/>
  <c r="FW1374" i="98"/>
  <c r="FX1374" i="98"/>
  <c r="FY1374" i="98"/>
  <c r="FZ1374" i="98"/>
  <c r="FU1375" i="98"/>
  <c r="FW1375" i="98"/>
  <c r="FX1375" i="98"/>
  <c r="FY1375" i="98"/>
  <c r="FZ1375" i="98"/>
  <c r="FU1376" i="98"/>
  <c r="FW1376" i="98"/>
  <c r="FX1376" i="98"/>
  <c r="FY1376" i="98"/>
  <c r="FZ1376" i="98"/>
  <c r="FU1377" i="98"/>
  <c r="FW1377" i="98"/>
  <c r="FY1377" i="98"/>
  <c r="FZ1377" i="98"/>
  <c r="FU1378" i="98"/>
  <c r="FW1378" i="98"/>
  <c r="FY1378" i="98"/>
  <c r="FZ1378" i="98"/>
  <c r="FU1379" i="98"/>
  <c r="FW1379" i="98"/>
  <c r="FY1379" i="98"/>
  <c r="FZ1379" i="98"/>
  <c r="FU1380" i="98"/>
  <c r="FW1380" i="98"/>
  <c r="FY1380" i="98"/>
  <c r="FZ1380" i="98"/>
  <c r="FU1381" i="98"/>
  <c r="FW1381" i="98"/>
  <c r="FY1381" i="98"/>
  <c r="FZ1381" i="98"/>
  <c r="FU1382" i="98"/>
  <c r="FW1382" i="98"/>
  <c r="FY1382" i="98"/>
  <c r="FZ1382" i="98"/>
  <c r="FU1383" i="98"/>
  <c r="FW1383" i="98"/>
  <c r="FY1383" i="98"/>
  <c r="FZ1383" i="98"/>
  <c r="FU1384" i="98"/>
  <c r="FW1384" i="98"/>
  <c r="FY1384" i="98"/>
  <c r="FZ1384" i="98"/>
  <c r="FU1385" i="98"/>
  <c r="FW1385" i="98"/>
  <c r="FY1385" i="98"/>
  <c r="FZ1385" i="98"/>
  <c r="FU1386" i="98"/>
  <c r="FW1386" i="98"/>
  <c r="FX1386" i="98"/>
  <c r="FY1386" i="98"/>
  <c r="FZ1386" i="98"/>
  <c r="FU1387" i="98"/>
  <c r="FW1387" i="98"/>
  <c r="FY1387" i="98"/>
  <c r="FZ1387" i="98"/>
  <c r="FU1388" i="98"/>
  <c r="FW1388" i="98"/>
  <c r="FY1388" i="98"/>
  <c r="FZ1388" i="98"/>
  <c r="FU1389" i="98"/>
  <c r="FW1389" i="98"/>
  <c r="FY1389" i="98"/>
  <c r="FZ1389" i="98"/>
  <c r="FU1390" i="98"/>
  <c r="FW1390" i="98"/>
  <c r="FY1390" i="98"/>
  <c r="FZ1390" i="98"/>
  <c r="FU1391" i="98"/>
  <c r="FW1391" i="98"/>
  <c r="FY1391" i="98"/>
  <c r="FZ1391" i="98"/>
  <c r="FU1392" i="98"/>
  <c r="FW1392" i="98"/>
  <c r="FY1392" i="98"/>
  <c r="FZ1392" i="98"/>
  <c r="FU1393" i="98"/>
  <c r="FW1393" i="98"/>
  <c r="FY1393" i="98"/>
  <c r="FZ1393" i="98"/>
  <c r="FU1394" i="98"/>
  <c r="FW1394" i="98"/>
  <c r="FY1394" i="98"/>
  <c r="FZ1394" i="98"/>
  <c r="FU1395" i="98"/>
  <c r="FW1395" i="98"/>
  <c r="FY1395" i="98"/>
  <c r="FZ1395" i="98"/>
  <c r="FU1396" i="98"/>
  <c r="FW1396" i="98"/>
  <c r="FX1396" i="98"/>
  <c r="FY1396" i="98"/>
  <c r="FZ1396" i="98"/>
  <c r="FU1397" i="98"/>
  <c r="FW1397" i="98"/>
  <c r="FY1397" i="98"/>
  <c r="FZ1397" i="98"/>
  <c r="FU1398" i="98"/>
  <c r="FW1398" i="98"/>
  <c r="FY1398" i="98"/>
  <c r="FZ1398" i="98"/>
  <c r="FU1399" i="98"/>
  <c r="FW1399" i="98"/>
  <c r="FY1399" i="98"/>
  <c r="FZ1399" i="98"/>
  <c r="FU1400" i="98"/>
  <c r="FW1400" i="98"/>
  <c r="FY1400" i="98"/>
  <c r="FZ1400" i="98"/>
  <c r="FU1401" i="98"/>
  <c r="FW1401" i="98"/>
  <c r="FY1401" i="98"/>
  <c r="FZ1401" i="98"/>
  <c r="FU1402" i="98"/>
  <c r="FW1402" i="98"/>
  <c r="FY1402" i="98"/>
  <c r="FZ1402" i="98"/>
  <c r="FU1403" i="98"/>
  <c r="FW1403" i="98"/>
  <c r="FY1403" i="98"/>
  <c r="FZ1403" i="98"/>
  <c r="FU1404" i="98"/>
  <c r="FW1404" i="98"/>
  <c r="FY1404" i="98"/>
  <c r="FZ1404" i="98"/>
  <c r="FU1405" i="98"/>
  <c r="FW1405" i="98"/>
  <c r="FY1405" i="98"/>
  <c r="FZ1405" i="98"/>
  <c r="FU1406" i="98"/>
  <c r="FW1406" i="98"/>
  <c r="FX1406" i="98"/>
  <c r="FY1406" i="98"/>
  <c r="FZ1406" i="98"/>
  <c r="FU1407" i="98"/>
  <c r="FW1407" i="98"/>
  <c r="FY1407" i="98"/>
  <c r="FZ1407" i="98"/>
  <c r="FU1408" i="98"/>
  <c r="FW1408" i="98"/>
  <c r="FY1408" i="98"/>
  <c r="FZ1408" i="98"/>
  <c r="FU1409" i="98"/>
  <c r="FW1409" i="98"/>
  <c r="FY1409" i="98"/>
  <c r="FZ1409" i="98"/>
  <c r="FU1410" i="98"/>
  <c r="FW1410" i="98"/>
  <c r="FY1410" i="98"/>
  <c r="FZ1410" i="98"/>
  <c r="FU1411" i="98"/>
  <c r="FW1411" i="98"/>
  <c r="FY1411" i="98"/>
  <c r="FZ1411" i="98"/>
  <c r="FU1412" i="98"/>
  <c r="FW1412" i="98"/>
  <c r="FY1412" i="98"/>
  <c r="FZ1412" i="98"/>
  <c r="FU1413" i="98"/>
  <c r="FW1413" i="98"/>
  <c r="FY1413" i="98"/>
  <c r="FZ1413" i="98"/>
  <c r="FU1414" i="98"/>
  <c r="FW1414" i="98"/>
  <c r="FY1414" i="98"/>
  <c r="FZ1414" i="98"/>
  <c r="FU1415" i="98"/>
  <c r="FW1415" i="98"/>
  <c r="FY1415" i="98"/>
  <c r="FZ1415" i="98"/>
  <c r="FU1416" i="98"/>
  <c r="FW1416" i="98"/>
  <c r="FX1416" i="98"/>
  <c r="FY1416" i="98"/>
  <c r="FZ1416" i="98"/>
  <c r="FU1417" i="98"/>
  <c r="FW1417" i="98"/>
  <c r="FY1417" i="98"/>
  <c r="FZ1417" i="98"/>
  <c r="FU1418" i="98"/>
  <c r="FW1418" i="98"/>
  <c r="FY1418" i="98"/>
  <c r="FZ1418" i="98"/>
  <c r="FU1419" i="98"/>
  <c r="FW1419" i="98"/>
  <c r="FY1419" i="98"/>
  <c r="FZ1419" i="98"/>
  <c r="FU1420" i="98"/>
  <c r="FW1420" i="98"/>
  <c r="FY1420" i="98"/>
  <c r="FZ1420" i="98"/>
  <c r="FU1421" i="98"/>
  <c r="FW1421" i="98"/>
  <c r="FY1421" i="98"/>
  <c r="FZ1421" i="98"/>
  <c r="FU1422" i="98"/>
  <c r="FW1422" i="98"/>
  <c r="FY1422" i="98"/>
  <c r="FZ1422" i="98"/>
  <c r="FU1423" i="98"/>
  <c r="FW1423" i="98"/>
  <c r="FY1423" i="98"/>
  <c r="FZ1423" i="98"/>
  <c r="FU1424" i="98"/>
  <c r="FW1424" i="98"/>
  <c r="FY1424" i="98"/>
  <c r="FZ1424" i="98"/>
  <c r="FU1425" i="98"/>
  <c r="FW1425" i="98"/>
  <c r="FY1425" i="98"/>
  <c r="FZ1425" i="98"/>
  <c r="FU1426" i="98"/>
  <c r="FW1426" i="98"/>
  <c r="FX1426" i="98"/>
  <c r="FY1426" i="98"/>
  <c r="FZ1426" i="98"/>
  <c r="FU1427" i="98"/>
  <c r="FW1427" i="98"/>
  <c r="FY1427" i="98"/>
  <c r="FZ1427" i="98"/>
  <c r="FU1428" i="98"/>
  <c r="FW1428" i="98"/>
  <c r="FY1428" i="98"/>
  <c r="FZ1428" i="98"/>
  <c r="FU1429" i="98"/>
  <c r="FW1429" i="98"/>
  <c r="FY1429" i="98"/>
  <c r="FZ1429" i="98"/>
  <c r="FU1430" i="98"/>
  <c r="FW1430" i="98"/>
  <c r="FY1430" i="98"/>
  <c r="FZ1430" i="98"/>
  <c r="FU1431" i="98"/>
  <c r="FW1431" i="98"/>
  <c r="FY1431" i="98"/>
  <c r="FZ1431" i="98"/>
  <c r="FU1432" i="98"/>
  <c r="FW1432" i="98"/>
  <c r="FY1432" i="98"/>
  <c r="FZ1432" i="98"/>
  <c r="FU1433" i="98"/>
  <c r="FW1433" i="98"/>
  <c r="FY1433" i="98"/>
  <c r="FZ1433" i="98"/>
  <c r="FU1434" i="98"/>
  <c r="FW1434" i="98"/>
  <c r="FY1434" i="98"/>
  <c r="FZ1434" i="98"/>
  <c r="FU1435" i="98"/>
  <c r="FW1435" i="98"/>
  <c r="FY1435" i="98"/>
  <c r="FZ1435" i="98"/>
  <c r="FU1436" i="98"/>
  <c r="FW1436" i="98"/>
  <c r="FX1436" i="98"/>
  <c r="FY1436" i="98"/>
  <c r="FZ1436" i="98"/>
  <c r="FU1437" i="98"/>
  <c r="FW1437" i="98"/>
  <c r="FX1437" i="98"/>
  <c r="FY1437" i="98"/>
  <c r="FZ1437" i="98"/>
  <c r="FU1438" i="98"/>
  <c r="FW1438" i="98"/>
  <c r="FX1438" i="98"/>
  <c r="FY1438" i="98"/>
  <c r="FZ1438" i="98"/>
  <c r="FU1439" i="98"/>
  <c r="FW1439" i="98"/>
  <c r="FX1439" i="98"/>
  <c r="FY1439" i="98"/>
  <c r="FZ1439" i="98"/>
  <c r="FU1440" i="98"/>
  <c r="FW1440" i="98"/>
  <c r="FX1440" i="98"/>
  <c r="FY1440" i="98"/>
  <c r="FZ1440" i="98"/>
  <c r="FU1441" i="98"/>
  <c r="FW1441" i="98"/>
  <c r="FX1441" i="98"/>
  <c r="FY1441" i="98"/>
  <c r="FZ1441" i="98"/>
  <c r="FU1442" i="98"/>
  <c r="FW1442" i="98"/>
  <c r="FX1442" i="98"/>
  <c r="FY1442" i="98"/>
  <c r="FZ1442" i="98"/>
  <c r="FU1443" i="98"/>
  <c r="FW1443" i="98"/>
  <c r="FX1443" i="98"/>
  <c r="FY1443" i="98"/>
  <c r="FZ1443" i="98"/>
  <c r="FU1444" i="98"/>
  <c r="FW1444" i="98"/>
  <c r="FX1444" i="98"/>
  <c r="FY1444" i="98"/>
  <c r="FZ1444" i="98"/>
  <c r="FU1445" i="98"/>
  <c r="FW1445" i="98"/>
  <c r="FX1445" i="98"/>
  <c r="FY1445" i="98"/>
  <c r="FZ1445" i="98"/>
  <c r="FU1446" i="98"/>
  <c r="FW1446" i="98"/>
  <c r="FX1446" i="98"/>
  <c r="FY1446" i="98"/>
  <c r="FZ1446" i="98"/>
  <c r="FU1447" i="98"/>
  <c r="FW1447" i="98"/>
  <c r="FX1447" i="98"/>
  <c r="FY1447" i="98"/>
  <c r="FZ1447" i="98"/>
  <c r="FU1448" i="98"/>
  <c r="FW1448" i="98"/>
  <c r="FX1448" i="98"/>
  <c r="FY1448" i="98"/>
  <c r="FZ1448" i="98"/>
  <c r="FU1449" i="98"/>
  <c r="FW1449" i="98"/>
  <c r="FX1449" i="98"/>
  <c r="FY1449" i="98"/>
  <c r="FZ1449" i="98"/>
  <c r="FU1450" i="98"/>
  <c r="FW1450" i="98"/>
  <c r="FX1450" i="98"/>
  <c r="FY1450" i="98"/>
  <c r="FZ1450" i="98"/>
  <c r="FU1451" i="98"/>
  <c r="FW1451" i="98"/>
  <c r="FX1451" i="98"/>
  <c r="FY1451" i="98"/>
  <c r="FZ1451" i="98"/>
  <c r="FU1452" i="98"/>
  <c r="FW1452" i="98"/>
  <c r="FX1452" i="98"/>
  <c r="FY1452" i="98"/>
  <c r="FZ1452" i="98"/>
  <c r="FU1453" i="98"/>
  <c r="FW1453" i="98"/>
  <c r="FX1453" i="98"/>
  <c r="FY1453" i="98"/>
  <c r="FZ1453" i="98"/>
  <c r="FU1454" i="98"/>
  <c r="FW1454" i="98"/>
  <c r="FX1454" i="98"/>
  <c r="FY1454" i="98"/>
  <c r="FZ1454" i="98"/>
  <c r="FU1455" i="98"/>
  <c r="FW1455" i="98"/>
  <c r="FX1455" i="98"/>
  <c r="FY1455" i="98"/>
  <c r="FZ1455" i="98"/>
  <c r="FU1456" i="98"/>
  <c r="FW1456" i="98"/>
  <c r="FX1456" i="98"/>
  <c r="FY1456" i="98"/>
  <c r="FZ1456" i="98"/>
  <c r="FU1457" i="98"/>
  <c r="FW1457" i="98"/>
  <c r="FY1457" i="98"/>
  <c r="FZ1457" i="98"/>
  <c r="FU1458" i="98"/>
  <c r="FW1458" i="98"/>
  <c r="FY1458" i="98"/>
  <c r="FZ1458" i="98"/>
  <c r="FU1459" i="98"/>
  <c r="FW1459" i="98"/>
  <c r="FY1459" i="98"/>
  <c r="FZ1459" i="98"/>
  <c r="FU1460" i="98"/>
  <c r="FW1460" i="98"/>
  <c r="FY1460" i="98"/>
  <c r="FZ1460" i="98"/>
  <c r="FU1461" i="98"/>
  <c r="FW1461" i="98"/>
  <c r="FY1461" i="98"/>
  <c r="FZ1461" i="98"/>
  <c r="FU1462" i="98"/>
  <c r="FW1462" i="98"/>
  <c r="FY1462" i="98"/>
  <c r="FZ1462" i="98"/>
  <c r="FU1463" i="98"/>
  <c r="FW1463" i="98"/>
  <c r="FY1463" i="98"/>
  <c r="FZ1463" i="98"/>
  <c r="FU1464" i="98"/>
  <c r="FW1464" i="98"/>
  <c r="FY1464" i="98"/>
  <c r="FZ1464" i="98"/>
  <c r="FU1465" i="98"/>
  <c r="FW1465" i="98"/>
  <c r="FY1465" i="98"/>
  <c r="FZ1465" i="98"/>
  <c r="FU1466" i="98"/>
  <c r="FW1466" i="98"/>
  <c r="FX1466" i="98"/>
  <c r="FY1466" i="98"/>
  <c r="FZ1466" i="98"/>
  <c r="FU1467" i="98"/>
  <c r="FW1467" i="98"/>
  <c r="FY1467" i="98"/>
  <c r="FZ1467" i="98"/>
  <c r="FU1468" i="98"/>
  <c r="FW1468" i="98"/>
  <c r="FY1468" i="98"/>
  <c r="FZ1468" i="98"/>
  <c r="FU1469" i="98"/>
  <c r="FW1469" i="98"/>
  <c r="FY1469" i="98"/>
  <c r="FZ1469" i="98"/>
  <c r="FU1470" i="98"/>
  <c r="FW1470" i="98"/>
  <c r="FY1470" i="98"/>
  <c r="FZ1470" i="98"/>
  <c r="FU1471" i="98"/>
  <c r="FW1471" i="98"/>
  <c r="FY1471" i="98"/>
  <c r="FZ1471" i="98"/>
  <c r="FU1472" i="98"/>
  <c r="FW1472" i="98"/>
  <c r="FY1472" i="98"/>
  <c r="FZ1472" i="98"/>
  <c r="FU1473" i="98"/>
  <c r="FW1473" i="98"/>
  <c r="FY1473" i="98"/>
  <c r="FZ1473" i="98"/>
  <c r="FU1474" i="98"/>
  <c r="FW1474" i="98"/>
  <c r="FY1474" i="98"/>
  <c r="FZ1474" i="98"/>
  <c r="FU1475" i="98"/>
  <c r="FW1475" i="98"/>
  <c r="FY1475" i="98"/>
  <c r="FZ1475" i="98"/>
  <c r="FU1476" i="98"/>
  <c r="FW1476" i="98"/>
  <c r="FX1476" i="98"/>
  <c r="FY1476" i="98"/>
  <c r="FZ1476" i="98"/>
  <c r="FU1477" i="98"/>
  <c r="FW1477" i="98"/>
  <c r="FY1477" i="98"/>
  <c r="FZ1477" i="98"/>
  <c r="FU1478" i="98"/>
  <c r="FW1478" i="98"/>
  <c r="FY1478" i="98"/>
  <c r="FZ1478" i="98"/>
  <c r="FU1479" i="98"/>
  <c r="FW1479" i="98"/>
  <c r="FY1479" i="98"/>
  <c r="FZ1479" i="98"/>
  <c r="FU1480" i="98"/>
  <c r="FW1480" i="98"/>
  <c r="FY1480" i="98"/>
  <c r="FZ1480" i="98"/>
  <c r="FU1481" i="98"/>
  <c r="FW1481" i="98"/>
  <c r="FY1481" i="98"/>
  <c r="FZ1481" i="98"/>
  <c r="FU1482" i="98"/>
  <c r="FW1482" i="98"/>
  <c r="FY1482" i="98"/>
  <c r="FZ1482" i="98"/>
  <c r="FU1483" i="98"/>
  <c r="FW1483" i="98"/>
  <c r="FY1483" i="98"/>
  <c r="FZ1483" i="98"/>
  <c r="FU1484" i="98"/>
  <c r="FW1484" i="98"/>
  <c r="FY1484" i="98"/>
  <c r="FZ1484" i="98"/>
  <c r="FU1485" i="98"/>
  <c r="FW1485" i="98"/>
  <c r="FY1485" i="98"/>
  <c r="FZ1485" i="98"/>
  <c r="FU1486" i="98"/>
  <c r="FW1486" i="98"/>
  <c r="FX1486" i="98"/>
  <c r="FY1486" i="98"/>
  <c r="FZ1486" i="98"/>
  <c r="FU1487" i="98"/>
  <c r="FW1487" i="98"/>
  <c r="FY1487" i="98"/>
  <c r="FZ1487" i="98"/>
  <c r="FU1488" i="98"/>
  <c r="FW1488" i="98"/>
  <c r="FY1488" i="98"/>
  <c r="FZ1488" i="98"/>
  <c r="FU1489" i="98"/>
  <c r="FW1489" i="98"/>
  <c r="FY1489" i="98"/>
  <c r="FZ1489" i="98"/>
  <c r="FU1490" i="98"/>
  <c r="FW1490" i="98"/>
  <c r="FY1490" i="98"/>
  <c r="FZ1490" i="98"/>
  <c r="FU1491" i="98"/>
  <c r="FW1491" i="98"/>
  <c r="FY1491" i="98"/>
  <c r="FZ1491" i="98"/>
  <c r="FU1492" i="98"/>
  <c r="FW1492" i="98"/>
  <c r="FY1492" i="98"/>
  <c r="FZ1492" i="98"/>
  <c r="FU1493" i="98"/>
  <c r="FW1493" i="98"/>
  <c r="FY1493" i="98"/>
  <c r="FZ1493" i="98"/>
  <c r="FU1494" i="98"/>
  <c r="FW1494" i="98"/>
  <c r="FY1494" i="98"/>
  <c r="FZ1494" i="98"/>
  <c r="FU1495" i="98"/>
  <c r="FW1495" i="98"/>
  <c r="FY1495" i="98"/>
  <c r="FZ1495" i="98"/>
  <c r="FU1496" i="98"/>
  <c r="FW1496" i="98"/>
  <c r="FX1496" i="98"/>
  <c r="FY1496" i="98"/>
  <c r="FZ1496" i="98"/>
  <c r="FU1497" i="98"/>
  <c r="FW1497" i="98"/>
  <c r="FY1497" i="98"/>
  <c r="FZ1497" i="98"/>
  <c r="FU1498" i="98"/>
  <c r="FW1498" i="98"/>
  <c r="FY1498" i="98"/>
  <c r="FZ1498" i="98"/>
  <c r="FU1499" i="98"/>
  <c r="FW1499" i="98"/>
  <c r="FY1499" i="98"/>
  <c r="FZ1499" i="98"/>
  <c r="FU1500" i="98"/>
  <c r="FW1500" i="98"/>
  <c r="FY1500" i="98"/>
  <c r="FZ1500" i="98"/>
  <c r="FU1501" i="98"/>
  <c r="FW1501" i="98"/>
  <c r="FY1501" i="98"/>
  <c r="FZ1501" i="98"/>
  <c r="FU1502" i="98"/>
  <c r="FW1502" i="98"/>
  <c r="FY1502" i="98"/>
  <c r="FZ1502" i="98"/>
  <c r="FU1503" i="98"/>
  <c r="FW1503" i="98"/>
  <c r="FY1503" i="98"/>
  <c r="FZ1503" i="98"/>
  <c r="FU1504" i="98"/>
  <c r="FW1504" i="98"/>
  <c r="FY1504" i="98"/>
  <c r="FZ1504" i="98"/>
  <c r="FU1505" i="98"/>
  <c r="FW1505" i="98"/>
  <c r="FY1505" i="98"/>
  <c r="FZ1505" i="98"/>
  <c r="FU1506" i="98"/>
  <c r="FW1506" i="98"/>
  <c r="FX1506" i="98"/>
  <c r="FY1506" i="98"/>
  <c r="FZ1506" i="98"/>
  <c r="FU1507" i="98"/>
  <c r="FW1507" i="98"/>
  <c r="FY1507" i="98"/>
  <c r="FZ1507" i="98"/>
  <c r="FU1508" i="98"/>
  <c r="FW1508" i="98"/>
  <c r="FY1508" i="98"/>
  <c r="FZ1508" i="98"/>
  <c r="FU1509" i="98"/>
  <c r="FW1509" i="98"/>
  <c r="FY1509" i="98"/>
  <c r="FZ1509" i="98"/>
  <c r="FU1510" i="98"/>
  <c r="FW1510" i="98"/>
  <c r="FY1510" i="98"/>
  <c r="FZ1510" i="98"/>
  <c r="FU1511" i="98"/>
  <c r="FW1511" i="98"/>
  <c r="FY1511" i="98"/>
  <c r="FZ1511" i="98"/>
  <c r="FU1512" i="98"/>
  <c r="FW1512" i="98"/>
  <c r="FY1512" i="98"/>
  <c r="FZ1512" i="98"/>
  <c r="FU1513" i="98"/>
  <c r="FW1513" i="98"/>
  <c r="FY1513" i="98"/>
  <c r="FZ1513" i="98"/>
  <c r="FU1514" i="98"/>
  <c r="FW1514" i="98"/>
  <c r="FY1514" i="98"/>
  <c r="FZ1514" i="98"/>
  <c r="FU1515" i="98"/>
  <c r="FW1515" i="98"/>
  <c r="FY1515" i="98"/>
  <c r="FZ1515" i="98"/>
  <c r="FU1516" i="98"/>
  <c r="FW1516" i="98"/>
  <c r="FX1516" i="98"/>
  <c r="FY1516" i="98"/>
  <c r="FZ1516" i="98"/>
  <c r="FU1517" i="98"/>
  <c r="FW1517" i="98"/>
  <c r="FX1517" i="98"/>
  <c r="FY1517" i="98"/>
  <c r="FZ1517" i="98"/>
  <c r="FU1518" i="98"/>
  <c r="FW1518" i="98"/>
  <c r="FX1518" i="98"/>
  <c r="FY1518" i="98"/>
  <c r="FZ1518" i="98"/>
  <c r="FU1519" i="98"/>
  <c r="FW1519" i="98"/>
  <c r="FX1519" i="98"/>
  <c r="FY1519" i="98"/>
  <c r="FZ1519" i="98"/>
  <c r="FU1520" i="98"/>
  <c r="FW1520" i="98"/>
  <c r="FX1520" i="98"/>
  <c r="FY1520" i="98"/>
  <c r="FZ1520" i="98"/>
  <c r="FU1521" i="98"/>
  <c r="FW1521" i="98"/>
  <c r="FX1521" i="98"/>
  <c r="FY1521" i="98"/>
  <c r="FZ1521" i="98"/>
  <c r="FU1522" i="98"/>
  <c r="FW1522" i="98"/>
  <c r="FX1522" i="98"/>
  <c r="FY1522" i="98"/>
  <c r="FZ1522" i="98"/>
  <c r="FU1523" i="98"/>
  <c r="FW1523" i="98"/>
  <c r="FX1523" i="98"/>
  <c r="FY1523" i="98"/>
  <c r="FZ1523" i="98"/>
  <c r="FU1524" i="98"/>
  <c r="FW1524" i="98"/>
  <c r="FX1524" i="98"/>
  <c r="FY1524" i="98"/>
  <c r="FZ1524" i="98"/>
  <c r="FU1525" i="98"/>
  <c r="FW1525" i="98"/>
  <c r="FX1525" i="98"/>
  <c r="FY1525" i="98"/>
  <c r="FZ1525" i="98"/>
  <c r="FU1526" i="98"/>
  <c r="FW1526" i="98"/>
  <c r="FX1526" i="98"/>
  <c r="FY1526" i="98"/>
  <c r="FZ1526" i="98"/>
  <c r="FU1527" i="98"/>
  <c r="FW1527" i="98"/>
  <c r="FX1527" i="98"/>
  <c r="FY1527" i="98"/>
  <c r="FZ1527" i="98"/>
  <c r="FU1528" i="98"/>
  <c r="FW1528" i="98"/>
  <c r="FX1528" i="98"/>
  <c r="FY1528" i="98"/>
  <c r="FZ1528" i="98"/>
  <c r="FU1529" i="98"/>
  <c r="FW1529" i="98"/>
  <c r="FX1529" i="98"/>
  <c r="FY1529" i="98"/>
  <c r="FZ1529" i="98"/>
  <c r="FU1530" i="98"/>
  <c r="FW1530" i="98"/>
  <c r="FX1530" i="98"/>
  <c r="FY1530" i="98"/>
  <c r="FZ1530" i="98"/>
  <c r="FU1531" i="98"/>
  <c r="FW1531" i="98"/>
  <c r="FX1531" i="98"/>
  <c r="FY1531" i="98"/>
  <c r="FZ1531" i="98"/>
  <c r="FU1532" i="98"/>
  <c r="FW1532" i="98"/>
  <c r="FX1532" i="98"/>
  <c r="FY1532" i="98"/>
  <c r="FZ1532" i="98"/>
  <c r="FU1533" i="98"/>
  <c r="FW1533" i="98"/>
  <c r="FX1533" i="98"/>
  <c r="FY1533" i="98"/>
  <c r="FZ1533" i="98"/>
  <c r="FU1534" i="98"/>
  <c r="FW1534" i="98"/>
  <c r="FX1534" i="98"/>
  <c r="FY1534" i="98"/>
  <c r="FZ1534" i="98"/>
  <c r="FU1535" i="98"/>
  <c r="FW1535" i="98"/>
  <c r="FX1535" i="98"/>
  <c r="FY1535" i="98"/>
  <c r="FZ1535" i="98"/>
  <c r="FU1536" i="98"/>
  <c r="FW1536" i="98"/>
  <c r="FX1536" i="98"/>
  <c r="FY1536" i="98"/>
  <c r="FZ1536" i="98"/>
  <c r="FU1537" i="98"/>
  <c r="FW1537" i="98"/>
  <c r="FY1537" i="98"/>
  <c r="FZ1537" i="98"/>
  <c r="FU1538" i="98"/>
  <c r="FW1538" i="98"/>
  <c r="FY1538" i="98"/>
  <c r="FZ1538" i="98"/>
  <c r="FU1539" i="98"/>
  <c r="FW1539" i="98"/>
  <c r="FY1539" i="98"/>
  <c r="FZ1539" i="98"/>
  <c r="FU1540" i="98"/>
  <c r="FW1540" i="98"/>
  <c r="FY1540" i="98"/>
  <c r="FZ1540" i="98"/>
  <c r="FU1541" i="98"/>
  <c r="FW1541" i="98"/>
  <c r="FY1541" i="98"/>
  <c r="FZ1541" i="98"/>
  <c r="FU1542" i="98"/>
  <c r="FW1542" i="98"/>
  <c r="FY1542" i="98"/>
  <c r="FZ1542" i="98"/>
  <c r="FU1543" i="98"/>
  <c r="FW1543" i="98"/>
  <c r="FY1543" i="98"/>
  <c r="FZ1543" i="98"/>
  <c r="FU1544" i="98"/>
  <c r="FW1544" i="98"/>
  <c r="FY1544" i="98"/>
  <c r="FZ1544" i="98"/>
  <c r="FU1545" i="98"/>
  <c r="FW1545" i="98"/>
  <c r="FY1545" i="98"/>
  <c r="FZ1545" i="98"/>
  <c r="FU1546" i="98"/>
  <c r="FW1546" i="98"/>
  <c r="FX1546" i="98"/>
  <c r="FY1546" i="98"/>
  <c r="FZ1546" i="98"/>
  <c r="FU1547" i="98"/>
  <c r="FW1547" i="98"/>
  <c r="FY1547" i="98"/>
  <c r="FZ1547" i="98"/>
  <c r="FU1548" i="98"/>
  <c r="FW1548" i="98"/>
  <c r="FY1548" i="98"/>
  <c r="FZ1548" i="98"/>
  <c r="FU1549" i="98"/>
  <c r="FW1549" i="98"/>
  <c r="FY1549" i="98"/>
  <c r="FZ1549" i="98"/>
  <c r="FU1550" i="98"/>
  <c r="FW1550" i="98"/>
  <c r="FY1550" i="98"/>
  <c r="FZ1550" i="98"/>
  <c r="FU1551" i="98"/>
  <c r="FW1551" i="98"/>
  <c r="FY1551" i="98"/>
  <c r="FZ1551" i="98"/>
  <c r="FU1552" i="98"/>
  <c r="FW1552" i="98"/>
  <c r="FY1552" i="98"/>
  <c r="FZ1552" i="98"/>
  <c r="FU1553" i="98"/>
  <c r="FW1553" i="98"/>
  <c r="FY1553" i="98"/>
  <c r="FZ1553" i="98"/>
  <c r="FU1554" i="98"/>
  <c r="FW1554" i="98"/>
  <c r="FY1554" i="98"/>
  <c r="FZ1554" i="98"/>
  <c r="FU1555" i="98"/>
  <c r="FW1555" i="98"/>
  <c r="FY1555" i="98"/>
  <c r="FZ1555" i="98"/>
  <c r="FU1556" i="98"/>
  <c r="FW1556" i="98"/>
  <c r="FX1556" i="98"/>
  <c r="FY1556" i="98"/>
  <c r="FZ1556" i="98"/>
  <c r="FU1557" i="98"/>
  <c r="FW1557" i="98"/>
  <c r="FY1557" i="98"/>
  <c r="FZ1557" i="98"/>
  <c r="FU1558" i="98"/>
  <c r="FW1558" i="98"/>
  <c r="FY1558" i="98"/>
  <c r="FZ1558" i="98"/>
  <c r="FU1559" i="98"/>
  <c r="FW1559" i="98"/>
  <c r="FY1559" i="98"/>
  <c r="FZ1559" i="98"/>
  <c r="FU1560" i="98"/>
  <c r="FW1560" i="98"/>
  <c r="FY1560" i="98"/>
  <c r="FZ1560" i="98"/>
  <c r="FU1561" i="98"/>
  <c r="FW1561" i="98"/>
  <c r="FY1561" i="98"/>
  <c r="FZ1561" i="98"/>
  <c r="FU1562" i="98"/>
  <c r="FW1562" i="98"/>
  <c r="FY1562" i="98"/>
  <c r="FZ1562" i="98"/>
  <c r="FU1563" i="98"/>
  <c r="FW1563" i="98"/>
  <c r="FY1563" i="98"/>
  <c r="FZ1563" i="98"/>
  <c r="FU1564" i="98"/>
  <c r="FW1564" i="98"/>
  <c r="FY1564" i="98"/>
  <c r="FZ1564" i="98"/>
  <c r="FU1565" i="98"/>
  <c r="FW1565" i="98"/>
  <c r="FY1565" i="98"/>
  <c r="FZ1565" i="98"/>
  <c r="FU1566" i="98"/>
  <c r="FW1566" i="98"/>
  <c r="FX1566" i="98"/>
  <c r="FY1566" i="98"/>
  <c r="FZ1566" i="98"/>
  <c r="FU1567" i="98"/>
  <c r="FW1567" i="98"/>
  <c r="FY1567" i="98"/>
  <c r="FZ1567" i="98"/>
  <c r="FU1568" i="98"/>
  <c r="FW1568" i="98"/>
  <c r="FY1568" i="98"/>
  <c r="FZ1568" i="98"/>
  <c r="FU1569" i="98"/>
  <c r="FW1569" i="98"/>
  <c r="FY1569" i="98"/>
  <c r="FZ1569" i="98"/>
  <c r="FU1570" i="98"/>
  <c r="FW1570" i="98"/>
  <c r="FY1570" i="98"/>
  <c r="FZ1570" i="98"/>
  <c r="FU1571" i="98"/>
  <c r="FW1571" i="98"/>
  <c r="FY1571" i="98"/>
  <c r="FZ1571" i="98"/>
  <c r="FU1572" i="98"/>
  <c r="FW1572" i="98"/>
  <c r="FY1572" i="98"/>
  <c r="FZ1572" i="98"/>
  <c r="FU1573" i="98"/>
  <c r="FW1573" i="98"/>
  <c r="FY1573" i="98"/>
  <c r="FZ1573" i="98"/>
  <c r="FU1574" i="98"/>
  <c r="FW1574" i="98"/>
  <c r="FY1574" i="98"/>
  <c r="FZ1574" i="98"/>
  <c r="FU1575" i="98"/>
  <c r="FW1575" i="98"/>
  <c r="FY1575" i="98"/>
  <c r="FZ1575" i="98"/>
  <c r="FU1576" i="98"/>
  <c r="FW1576" i="98"/>
  <c r="FX1576" i="98"/>
  <c r="FY1576" i="98"/>
  <c r="FZ1576" i="98"/>
  <c r="FU1577" i="98"/>
  <c r="FW1577" i="98"/>
  <c r="FY1577" i="98"/>
  <c r="FZ1577" i="98"/>
  <c r="FU1578" i="98"/>
  <c r="FW1578" i="98"/>
  <c r="FY1578" i="98"/>
  <c r="FZ1578" i="98"/>
  <c r="FU1579" i="98"/>
  <c r="FW1579" i="98"/>
  <c r="FY1579" i="98"/>
  <c r="FZ1579" i="98"/>
  <c r="FU1580" i="98"/>
  <c r="FW1580" i="98"/>
  <c r="FY1580" i="98"/>
  <c r="FZ1580" i="98"/>
  <c r="FU1581" i="98"/>
  <c r="FW1581" i="98"/>
  <c r="FY1581" i="98"/>
  <c r="FZ1581" i="98"/>
  <c r="FU1582" i="98"/>
  <c r="FW1582" i="98"/>
  <c r="FY1582" i="98"/>
  <c r="FZ1582" i="98"/>
  <c r="FU1583" i="98"/>
  <c r="FW1583" i="98"/>
  <c r="FY1583" i="98"/>
  <c r="FZ1583" i="98"/>
  <c r="FU1584" i="98"/>
  <c r="FW1584" i="98"/>
  <c r="FY1584" i="98"/>
  <c r="FZ1584" i="98"/>
  <c r="FU1585" i="98"/>
  <c r="FW1585" i="98"/>
  <c r="FY1585" i="98"/>
  <c r="FZ1585" i="98"/>
  <c r="FU1586" i="98"/>
  <c r="FW1586" i="98"/>
  <c r="FX1586" i="98"/>
  <c r="FY1586" i="98"/>
  <c r="FZ1586" i="98"/>
  <c r="FU1587" i="98"/>
  <c r="FW1587" i="98"/>
  <c r="FY1587" i="98"/>
  <c r="FZ1587" i="98"/>
  <c r="FU1588" i="98"/>
  <c r="FW1588" i="98"/>
  <c r="FY1588" i="98"/>
  <c r="FZ1588" i="98"/>
  <c r="FU1589" i="98"/>
  <c r="FW1589" i="98"/>
  <c r="FY1589" i="98"/>
  <c r="FZ1589" i="98"/>
  <c r="FU1590" i="98"/>
  <c r="FW1590" i="98"/>
  <c r="FY1590" i="98"/>
  <c r="FZ1590" i="98"/>
  <c r="FU1591" i="98"/>
  <c r="FW1591" i="98"/>
  <c r="FY1591" i="98"/>
  <c r="FZ1591" i="98"/>
  <c r="FU1592" i="98"/>
  <c r="FW1592" i="98"/>
  <c r="FY1592" i="98"/>
  <c r="FZ1592" i="98"/>
  <c r="FU1593" i="98"/>
  <c r="FW1593" i="98"/>
  <c r="FY1593" i="98"/>
  <c r="FZ1593" i="98"/>
  <c r="FU1594" i="98"/>
  <c r="FW1594" i="98"/>
  <c r="FY1594" i="98"/>
  <c r="FZ1594" i="98"/>
  <c r="FU1595" i="98"/>
  <c r="FW1595" i="98"/>
  <c r="FY1595" i="98"/>
  <c r="FZ1595" i="98"/>
  <c r="FU1596" i="98"/>
  <c r="FW1596" i="98"/>
  <c r="FX1596" i="98"/>
  <c r="FY1596" i="98"/>
  <c r="FZ1596" i="98"/>
  <c r="FU1597" i="98"/>
  <c r="FW1597" i="98"/>
  <c r="FX1597" i="98"/>
  <c r="FY1597" i="98"/>
  <c r="FZ1597" i="98"/>
  <c r="FU1598" i="98"/>
  <c r="FW1598" i="98"/>
  <c r="FX1598" i="98"/>
  <c r="FY1598" i="98"/>
  <c r="FZ1598" i="98"/>
  <c r="FU1599" i="98"/>
  <c r="FW1599" i="98"/>
  <c r="FX1599" i="98"/>
  <c r="FY1599" i="98"/>
  <c r="FZ1599" i="98"/>
  <c r="FU1600" i="98"/>
  <c r="FW1600" i="98"/>
  <c r="FX1600" i="98"/>
  <c r="FY1600" i="98"/>
  <c r="FZ1600" i="98"/>
  <c r="FU1601" i="98"/>
  <c r="FW1601" i="98"/>
  <c r="FX1601" i="98"/>
  <c r="FY1601" i="98"/>
  <c r="FZ1601" i="98"/>
  <c r="FU1602" i="98"/>
  <c r="FW1602" i="98"/>
  <c r="FX1602" i="98"/>
  <c r="FY1602" i="98"/>
  <c r="FZ1602" i="98"/>
  <c r="FU1603" i="98"/>
  <c r="FW1603" i="98"/>
  <c r="FX1603" i="98"/>
  <c r="FY1603" i="98"/>
  <c r="FZ1603" i="98"/>
  <c r="FU1604" i="98"/>
  <c r="FW1604" i="98"/>
  <c r="FX1604" i="98"/>
  <c r="FY1604" i="98"/>
  <c r="FZ1604" i="98"/>
  <c r="FU1605" i="98"/>
  <c r="FW1605" i="98"/>
  <c r="FX1605" i="98"/>
  <c r="FY1605" i="98"/>
  <c r="FZ1605" i="98"/>
  <c r="FU1606" i="98"/>
  <c r="FW1606" i="98"/>
  <c r="FX1606" i="98"/>
  <c r="FY1606" i="98"/>
  <c r="FZ1606" i="98"/>
  <c r="FU1607" i="98"/>
  <c r="FW1607" i="98"/>
  <c r="FX1607" i="98"/>
  <c r="FY1607" i="98"/>
  <c r="FZ1607" i="98"/>
  <c r="FU1608" i="98"/>
  <c r="FW1608" i="98"/>
  <c r="FX1608" i="98"/>
  <c r="FY1608" i="98"/>
  <c r="FZ1608" i="98"/>
  <c r="FU1609" i="98"/>
  <c r="FW1609" i="98"/>
  <c r="FX1609" i="98"/>
  <c r="FY1609" i="98"/>
  <c r="FZ1609" i="98"/>
  <c r="FU1610" i="98"/>
  <c r="FW1610" i="98"/>
  <c r="FX1610" i="98"/>
  <c r="FY1610" i="98"/>
  <c r="FZ1610" i="98"/>
  <c r="FU1611" i="98"/>
  <c r="FW1611" i="98"/>
  <c r="FX1611" i="98"/>
  <c r="FY1611" i="98"/>
  <c r="FZ1611" i="98"/>
  <c r="FU1612" i="98"/>
  <c r="FW1612" i="98"/>
  <c r="FX1612" i="98"/>
  <c r="FY1612" i="98"/>
  <c r="FZ1612" i="98"/>
  <c r="FU1613" i="98"/>
  <c r="FW1613" i="98"/>
  <c r="FX1613" i="98"/>
  <c r="FY1613" i="98"/>
  <c r="FZ1613" i="98"/>
  <c r="FU1614" i="98"/>
  <c r="FW1614" i="98"/>
  <c r="FX1614" i="98"/>
  <c r="FY1614" i="98"/>
  <c r="FZ1614" i="98"/>
  <c r="FU1615" i="98"/>
  <c r="FW1615" i="98"/>
  <c r="FX1615" i="98"/>
  <c r="FY1615" i="98"/>
  <c r="FZ1615" i="98"/>
  <c r="FU1616" i="98"/>
  <c r="FW1616" i="98"/>
  <c r="FX1616" i="98"/>
  <c r="FY1616" i="98"/>
  <c r="FZ1616" i="98"/>
  <c r="FU1617" i="98"/>
  <c r="FW1617" i="98"/>
  <c r="FY1617" i="98"/>
  <c r="FZ1617" i="98"/>
  <c r="FU1618" i="98"/>
  <c r="FW1618" i="98"/>
  <c r="FY1618" i="98"/>
  <c r="FZ1618" i="98"/>
  <c r="FU1619" i="98"/>
  <c r="FW1619" i="98"/>
  <c r="FY1619" i="98"/>
  <c r="FZ1619" i="98"/>
  <c r="FU1620" i="98"/>
  <c r="FW1620" i="98"/>
  <c r="FY1620" i="98"/>
  <c r="FZ1620" i="98"/>
  <c r="FU1621" i="98"/>
  <c r="FW1621" i="98"/>
  <c r="FY1621" i="98"/>
  <c r="FZ1621" i="98"/>
  <c r="FU1622" i="98"/>
  <c r="FW1622" i="98"/>
  <c r="FY1622" i="98"/>
  <c r="FZ1622" i="98"/>
  <c r="FU1623" i="98"/>
  <c r="FW1623" i="98"/>
  <c r="FY1623" i="98"/>
  <c r="FZ1623" i="98"/>
  <c r="FU1624" i="98"/>
  <c r="FW1624" i="98"/>
  <c r="FY1624" i="98"/>
  <c r="FZ1624" i="98"/>
  <c r="FU1625" i="98"/>
  <c r="FW1625" i="98"/>
  <c r="FY1625" i="98"/>
  <c r="FZ1625" i="98"/>
  <c r="FU1626" i="98"/>
  <c r="FW1626" i="98"/>
  <c r="FX1626" i="98"/>
  <c r="FY1626" i="98"/>
  <c r="FZ1626" i="98"/>
  <c r="FU1627" i="98"/>
  <c r="FW1627" i="98"/>
  <c r="FY1627" i="98"/>
  <c r="FZ1627" i="98"/>
  <c r="FU1628" i="98"/>
  <c r="FW1628" i="98"/>
  <c r="FY1628" i="98"/>
  <c r="FZ1628" i="98"/>
  <c r="FU1629" i="98"/>
  <c r="FW1629" i="98"/>
  <c r="FY1629" i="98"/>
  <c r="FZ1629" i="98"/>
  <c r="FU1630" i="98"/>
  <c r="FW1630" i="98"/>
  <c r="FY1630" i="98"/>
  <c r="FZ1630" i="98"/>
  <c r="FU1631" i="98"/>
  <c r="FW1631" i="98"/>
  <c r="FY1631" i="98"/>
  <c r="FZ1631" i="98"/>
  <c r="FU1632" i="98"/>
  <c r="FW1632" i="98"/>
  <c r="FY1632" i="98"/>
  <c r="FZ1632" i="98"/>
  <c r="FU1633" i="98"/>
  <c r="FW1633" i="98"/>
  <c r="FY1633" i="98"/>
  <c r="FZ1633" i="98"/>
  <c r="FU1634" i="98"/>
  <c r="FW1634" i="98"/>
  <c r="FY1634" i="98"/>
  <c r="FZ1634" i="98"/>
  <c r="FU1635" i="98"/>
  <c r="FW1635" i="98"/>
  <c r="FY1635" i="98"/>
  <c r="FZ1635" i="98"/>
  <c r="FU1636" i="98"/>
  <c r="FW1636" i="98"/>
  <c r="FX1636" i="98"/>
  <c r="FY1636" i="98"/>
  <c r="FZ1636" i="98"/>
  <c r="FU1637" i="98"/>
  <c r="FW1637" i="98"/>
  <c r="FY1637" i="98"/>
  <c r="FZ1637" i="98"/>
  <c r="FU1638" i="98"/>
  <c r="FW1638" i="98"/>
  <c r="FY1638" i="98"/>
  <c r="FZ1638" i="98"/>
  <c r="FU1639" i="98"/>
  <c r="FW1639" i="98"/>
  <c r="FY1639" i="98"/>
  <c r="FZ1639" i="98"/>
  <c r="FU1640" i="98"/>
  <c r="FW1640" i="98"/>
  <c r="FY1640" i="98"/>
  <c r="FZ1640" i="98"/>
  <c r="FU1641" i="98"/>
  <c r="FW1641" i="98"/>
  <c r="FY1641" i="98"/>
  <c r="FZ1641" i="98"/>
  <c r="FU1642" i="98"/>
  <c r="FW1642" i="98"/>
  <c r="FY1642" i="98"/>
  <c r="FZ1642" i="98"/>
  <c r="FU1643" i="98"/>
  <c r="FW1643" i="98"/>
  <c r="FY1643" i="98"/>
  <c r="FZ1643" i="98"/>
  <c r="FU1644" i="98"/>
  <c r="FW1644" i="98"/>
  <c r="FY1644" i="98"/>
  <c r="FZ1644" i="98"/>
  <c r="FU1645" i="98"/>
  <c r="FW1645" i="98"/>
  <c r="FY1645" i="98"/>
  <c r="FZ1645" i="98"/>
  <c r="FU1646" i="98"/>
  <c r="FW1646" i="98"/>
  <c r="FX1646" i="98"/>
  <c r="FY1646" i="98"/>
  <c r="FZ1646" i="98"/>
  <c r="FU1647" i="98"/>
  <c r="FW1647" i="98"/>
  <c r="FY1647" i="98"/>
  <c r="FZ1647" i="98"/>
  <c r="FU1648" i="98"/>
  <c r="FW1648" i="98"/>
  <c r="FY1648" i="98"/>
  <c r="FZ1648" i="98"/>
  <c r="FU1649" i="98"/>
  <c r="FW1649" i="98"/>
  <c r="FY1649" i="98"/>
  <c r="FZ1649" i="98"/>
  <c r="FU1650" i="98"/>
  <c r="FW1650" i="98"/>
  <c r="FY1650" i="98"/>
  <c r="FZ1650" i="98"/>
  <c r="FU1651" i="98"/>
  <c r="FW1651" i="98"/>
  <c r="FY1651" i="98"/>
  <c r="FZ1651" i="98"/>
  <c r="FU1652" i="98"/>
  <c r="FW1652" i="98"/>
  <c r="FY1652" i="98"/>
  <c r="FZ1652" i="98"/>
  <c r="FU1653" i="98"/>
  <c r="FW1653" i="98"/>
  <c r="FY1653" i="98"/>
  <c r="FZ1653" i="98"/>
  <c r="FU1654" i="98"/>
  <c r="FW1654" i="98"/>
  <c r="FY1654" i="98"/>
  <c r="FZ1654" i="98"/>
  <c r="FU1655" i="98"/>
  <c r="FW1655" i="98"/>
  <c r="FY1655" i="98"/>
  <c r="FZ1655" i="98"/>
  <c r="FU1656" i="98"/>
  <c r="FW1656" i="98"/>
  <c r="FX1656" i="98"/>
  <c r="FY1656" i="98"/>
  <c r="FZ1656" i="98"/>
  <c r="FU1657" i="98"/>
  <c r="FW1657" i="98"/>
  <c r="FY1657" i="98"/>
  <c r="FZ1657" i="98"/>
  <c r="FU1658" i="98"/>
  <c r="FW1658" i="98"/>
  <c r="FY1658" i="98"/>
  <c r="FZ1658" i="98"/>
  <c r="FU1659" i="98"/>
  <c r="FW1659" i="98"/>
  <c r="FY1659" i="98"/>
  <c r="FZ1659" i="98"/>
  <c r="FU1660" i="98"/>
  <c r="FW1660" i="98"/>
  <c r="FY1660" i="98"/>
  <c r="FZ1660" i="98"/>
  <c r="FU1661" i="98"/>
  <c r="FW1661" i="98"/>
  <c r="FY1661" i="98"/>
  <c r="FZ1661" i="98"/>
  <c r="FU1662" i="98"/>
  <c r="FW1662" i="98"/>
  <c r="FY1662" i="98"/>
  <c r="FZ1662" i="98"/>
  <c r="FU1663" i="98"/>
  <c r="FW1663" i="98"/>
  <c r="FY1663" i="98"/>
  <c r="FZ1663" i="98"/>
  <c r="FU1664" i="98"/>
  <c r="FW1664" i="98"/>
  <c r="FY1664" i="98"/>
  <c r="FZ1664" i="98"/>
  <c r="FU1665" i="98"/>
  <c r="FW1665" i="98"/>
  <c r="FY1665" i="98"/>
  <c r="FZ1665" i="98"/>
  <c r="FU1666" i="98"/>
  <c r="FW1666" i="98"/>
  <c r="FX1666" i="98"/>
  <c r="FY1666" i="98"/>
  <c r="FZ1666" i="98"/>
  <c r="FU1667" i="98"/>
  <c r="FW1667" i="98"/>
  <c r="FY1667" i="98"/>
  <c r="FZ1667" i="98"/>
  <c r="FU1668" i="98"/>
  <c r="FW1668" i="98"/>
  <c r="FY1668" i="98"/>
  <c r="FZ1668" i="98"/>
  <c r="FU1669" i="98"/>
  <c r="FW1669" i="98"/>
  <c r="FY1669" i="98"/>
  <c r="FZ1669" i="98"/>
  <c r="FU1670" i="98"/>
  <c r="FW1670" i="98"/>
  <c r="FY1670" i="98"/>
  <c r="FZ1670" i="98"/>
  <c r="FU1671" i="98"/>
  <c r="FW1671" i="98"/>
  <c r="FY1671" i="98"/>
  <c r="FZ1671" i="98"/>
  <c r="FU1672" i="98"/>
  <c r="FW1672" i="98"/>
  <c r="FY1672" i="98"/>
  <c r="FZ1672" i="98"/>
  <c r="FU1673" i="98"/>
  <c r="FW1673" i="98"/>
  <c r="FY1673" i="98"/>
  <c r="FZ1673" i="98"/>
  <c r="FU1674" i="98"/>
  <c r="FW1674" i="98"/>
  <c r="FY1674" i="98"/>
  <c r="FZ1674" i="98"/>
  <c r="FU1675" i="98"/>
  <c r="FW1675" i="98"/>
  <c r="FY1675" i="98"/>
  <c r="FZ1675" i="98"/>
  <c r="FU1676" i="98"/>
  <c r="FW1676" i="98"/>
  <c r="FX1676" i="98"/>
  <c r="FY1676" i="98"/>
  <c r="FZ1676" i="98"/>
  <c r="FU1677" i="98"/>
  <c r="FW1677" i="98"/>
  <c r="FX1677" i="98"/>
  <c r="FY1677" i="98"/>
  <c r="FZ1677" i="98"/>
  <c r="FU1678" i="98"/>
  <c r="FW1678" i="98"/>
  <c r="FX1678" i="98"/>
  <c r="FY1678" i="98"/>
  <c r="FZ1678" i="98"/>
  <c r="FU1679" i="98"/>
  <c r="FW1679" i="98"/>
  <c r="FX1679" i="98"/>
  <c r="FY1679" i="98"/>
  <c r="FZ1679" i="98"/>
  <c r="FU1680" i="98"/>
  <c r="FW1680" i="98"/>
  <c r="FX1680" i="98"/>
  <c r="FY1680" i="98"/>
  <c r="FZ1680" i="98"/>
  <c r="FU1681" i="98"/>
  <c r="FW1681" i="98"/>
  <c r="FX1681" i="98"/>
  <c r="FY1681" i="98"/>
  <c r="FZ1681" i="98"/>
  <c r="FU1682" i="98"/>
  <c r="FW1682" i="98"/>
  <c r="FX1682" i="98"/>
  <c r="FY1682" i="98"/>
  <c r="FZ1682" i="98"/>
  <c r="FU1683" i="98"/>
  <c r="FW1683" i="98"/>
  <c r="FX1683" i="98"/>
  <c r="FY1683" i="98"/>
  <c r="FZ1683" i="98"/>
  <c r="FU1684" i="98"/>
  <c r="FW1684" i="98"/>
  <c r="FX1684" i="98"/>
  <c r="FY1684" i="98"/>
  <c r="FZ1684" i="98"/>
  <c r="FU1685" i="98"/>
  <c r="FW1685" i="98"/>
  <c r="FX1685" i="98"/>
  <c r="FY1685" i="98"/>
  <c r="FZ1685" i="98"/>
  <c r="FW6" i="98"/>
  <c r="FX6" i="98"/>
  <c r="FY6" i="98"/>
  <c r="FZ6" i="98"/>
  <c r="FU6" i="98"/>
  <c r="FL86" i="98"/>
  <c r="FL85" i="98"/>
  <c r="FP86" i="98"/>
  <c r="FS86" i="98" s="1"/>
  <c r="FT86" i="98" s="1"/>
  <c r="GB86" i="98" s="1"/>
  <c r="FO87" i="98"/>
  <c r="FP87" i="98"/>
  <c r="FS87" i="98" s="1"/>
  <c r="FR87" i="98"/>
  <c r="FT87" i="98"/>
  <c r="FP88" i="98"/>
  <c r="FS88" i="98"/>
  <c r="FP89" i="98"/>
  <c r="FS89" i="98"/>
  <c r="FP90" i="98"/>
  <c r="FP91" i="98"/>
  <c r="FS91" i="98" s="1"/>
  <c r="FP92" i="98"/>
  <c r="FS92" i="98"/>
  <c r="FP93" i="98"/>
  <c r="FS93" i="98"/>
  <c r="FP94" i="98"/>
  <c r="FO95" i="98"/>
  <c r="FP95" i="98"/>
  <c r="FS95" i="98" s="1"/>
  <c r="FR95" i="98"/>
  <c r="FT95" i="98"/>
  <c r="GK95" i="98"/>
  <c r="FP96" i="98"/>
  <c r="FP97" i="98"/>
  <c r="FS97" i="98"/>
  <c r="FT97" i="98" s="1"/>
  <c r="FP98" i="98"/>
  <c r="FP99" i="98"/>
  <c r="FP100" i="98"/>
  <c r="FS100" i="98"/>
  <c r="FP101" i="98"/>
  <c r="FS101" i="98"/>
  <c r="FP102" i="98"/>
  <c r="FS102" i="98" s="1"/>
  <c r="FR102" i="98"/>
  <c r="FT102" i="98"/>
  <c r="FP103" i="98"/>
  <c r="FP104" i="98"/>
  <c r="FS104" i="98"/>
  <c r="FT104" i="98"/>
  <c r="FO104" i="98" s="1"/>
  <c r="GE104" i="98"/>
  <c r="FP105" i="98"/>
  <c r="FS105" i="98"/>
  <c r="FP106" i="98"/>
  <c r="FP107" i="98"/>
  <c r="FS107" i="98"/>
  <c r="FP108" i="98"/>
  <c r="FR108" i="98"/>
  <c r="FS108" i="98"/>
  <c r="FT108" i="98"/>
  <c r="FP109" i="98"/>
  <c r="FS109" i="98"/>
  <c r="FT109" i="98"/>
  <c r="FP110" i="98"/>
  <c r="FS110" i="98" s="1"/>
  <c r="FT110" i="98"/>
  <c r="FP111" i="98"/>
  <c r="FP112" i="98"/>
  <c r="FS112" i="98"/>
  <c r="FT112" i="98" s="1"/>
  <c r="FP113" i="98"/>
  <c r="FP114" i="98"/>
  <c r="FP115" i="98"/>
  <c r="FS115" i="98"/>
  <c r="FP116" i="98"/>
  <c r="FR116" i="98"/>
  <c r="FS116" i="98"/>
  <c r="FT116" i="98"/>
  <c r="GA116" i="98"/>
  <c r="GB116" i="98"/>
  <c r="GE116" i="98"/>
  <c r="GF116" i="98"/>
  <c r="GH116" i="98"/>
  <c r="GJ116" i="98"/>
  <c r="GL116" i="98"/>
  <c r="FO117" i="98"/>
  <c r="FP117" i="98"/>
  <c r="FS117" i="98"/>
  <c r="FT117" i="98"/>
  <c r="FP118" i="98"/>
  <c r="FS118" i="98" s="1"/>
  <c r="FR118" i="98"/>
  <c r="FT118" i="98"/>
  <c r="FP119" i="98"/>
  <c r="FP120" i="98"/>
  <c r="FS120" i="98"/>
  <c r="FT120" i="98"/>
  <c r="FP121" i="98"/>
  <c r="FT121" i="98" s="1"/>
  <c r="FR121" i="98"/>
  <c r="FS121" i="98"/>
  <c r="FP122" i="98"/>
  <c r="FS122" i="98"/>
  <c r="FT122" i="98"/>
  <c r="FP123" i="98"/>
  <c r="FP124" i="98"/>
  <c r="FP125" i="98"/>
  <c r="FT125" i="98" s="1"/>
  <c r="FR125" i="98"/>
  <c r="FS125" i="98"/>
  <c r="FP126" i="98"/>
  <c r="FS126" i="98"/>
  <c r="FT126" i="98"/>
  <c r="GJ126" i="98"/>
  <c r="FP127" i="98"/>
  <c r="FP128" i="98"/>
  <c r="FP129" i="98"/>
  <c r="FT129" i="98" s="1"/>
  <c r="FR129" i="98"/>
  <c r="FS129" i="98"/>
  <c r="FP130" i="98"/>
  <c r="FS130" i="98"/>
  <c r="FT130" i="98"/>
  <c r="FP131" i="98"/>
  <c r="FP132" i="98"/>
  <c r="FP133" i="98"/>
  <c r="FT133" i="98" s="1"/>
  <c r="FR133" i="98"/>
  <c r="FS133" i="98"/>
  <c r="FP134" i="98"/>
  <c r="FS134" i="98"/>
  <c r="FT134" i="98"/>
  <c r="FP135" i="98"/>
  <c r="FP136" i="98"/>
  <c r="FP137" i="98"/>
  <c r="FT137" i="98" s="1"/>
  <c r="FR137" i="98"/>
  <c r="FS137" i="98"/>
  <c r="FP138" i="98"/>
  <c r="FS138" i="98" s="1"/>
  <c r="FP139" i="98"/>
  <c r="FO140" i="98"/>
  <c r="FP140" i="98"/>
  <c r="FS140" i="98"/>
  <c r="FR140" i="98" s="1"/>
  <c r="FT140" i="98"/>
  <c r="FP141" i="98"/>
  <c r="FS141" i="98"/>
  <c r="FT141" i="98" s="1"/>
  <c r="FP142" i="98"/>
  <c r="FP143" i="98"/>
  <c r="FP144" i="98"/>
  <c r="FS144" i="98"/>
  <c r="FT144" i="98" s="1"/>
  <c r="FP145" i="98"/>
  <c r="FS145" i="98" s="1"/>
  <c r="FP146" i="98"/>
  <c r="FS146" i="98" s="1"/>
  <c r="FT146" i="98"/>
  <c r="GD146" i="98"/>
  <c r="GJ146" i="98"/>
  <c r="FP147" i="98"/>
  <c r="FS147" i="98"/>
  <c r="FP148" i="98"/>
  <c r="FS148" i="98"/>
  <c r="FT148" i="98"/>
  <c r="FP149" i="98"/>
  <c r="FS149" i="98"/>
  <c r="FT149" i="98" s="1"/>
  <c r="FP150" i="98"/>
  <c r="FP151" i="98"/>
  <c r="FP152" i="98"/>
  <c r="FR152" i="98"/>
  <c r="FS152" i="98"/>
  <c r="FT152" i="98" s="1"/>
  <c r="FP153" i="98"/>
  <c r="FS153" i="98" s="1"/>
  <c r="FP154" i="98"/>
  <c r="FS154" i="98" s="1"/>
  <c r="FT154" i="98"/>
  <c r="FP155" i="98"/>
  <c r="FS155" i="98"/>
  <c r="FO156" i="98"/>
  <c r="FP156" i="98"/>
  <c r="FS156" i="98"/>
  <c r="FR156" i="98" s="1"/>
  <c r="FT156" i="98"/>
  <c r="GE156" i="98" s="1"/>
  <c r="GJ156" i="98"/>
  <c r="FP157" i="98"/>
  <c r="FS157" i="98"/>
  <c r="FT157" i="98" s="1"/>
  <c r="FP158" i="98"/>
  <c r="FP159" i="98"/>
  <c r="FP160" i="98"/>
  <c r="FS160" i="98"/>
  <c r="FT160" i="98" s="1"/>
  <c r="FP161" i="98"/>
  <c r="FS161" i="98" s="1"/>
  <c r="FP162" i="98"/>
  <c r="FS162" i="98" s="1"/>
  <c r="FT162" i="98"/>
  <c r="FP163" i="98"/>
  <c r="FS163" i="98"/>
  <c r="FP164" i="98"/>
  <c r="FS164" i="98"/>
  <c r="FT164" i="98"/>
  <c r="FO164" i="98" s="1"/>
  <c r="GE164" i="98"/>
  <c r="FP165" i="98"/>
  <c r="FS165" i="98"/>
  <c r="FT165" i="98" s="1"/>
  <c r="FP166" i="98"/>
  <c r="FP167" i="98"/>
  <c r="FP168" i="98"/>
  <c r="FS168" i="98"/>
  <c r="FT168" i="98" s="1"/>
  <c r="FP169" i="98"/>
  <c r="FP170" i="98"/>
  <c r="FT170" i="98" s="1"/>
  <c r="FR170" i="98"/>
  <c r="FS170" i="98"/>
  <c r="FP171" i="98"/>
  <c r="FS171" i="98"/>
  <c r="FT171" i="98"/>
  <c r="FP172" i="98"/>
  <c r="FP173" i="98"/>
  <c r="FP174" i="98"/>
  <c r="FT174" i="98" s="1"/>
  <c r="FR174" i="98"/>
  <c r="FS174" i="98"/>
  <c r="FP175" i="98"/>
  <c r="FS175" i="98"/>
  <c r="FT175" i="98"/>
  <c r="FP176" i="98"/>
  <c r="FP177" i="98"/>
  <c r="FP178" i="98"/>
  <c r="FT178" i="98" s="1"/>
  <c r="FR178" i="98"/>
  <c r="FS178" i="98"/>
  <c r="FP179" i="98"/>
  <c r="FS179" i="98"/>
  <c r="FT179" i="98"/>
  <c r="FP180" i="98"/>
  <c r="FP181" i="98"/>
  <c r="FP182" i="98"/>
  <c r="FT182" i="98" s="1"/>
  <c r="FR182" i="98"/>
  <c r="FS182" i="98"/>
  <c r="FP183" i="98"/>
  <c r="FS183" i="98"/>
  <c r="FT183" i="98"/>
  <c r="FP184" i="98"/>
  <c r="FP185" i="98"/>
  <c r="FP186" i="98"/>
  <c r="FT186" i="98" s="1"/>
  <c r="GA186" i="98" s="1"/>
  <c r="FR186" i="98"/>
  <c r="FS186" i="98"/>
  <c r="GD186" i="98"/>
  <c r="GE186" i="98"/>
  <c r="GH186" i="98"/>
  <c r="GL186" i="98"/>
  <c r="FP187" i="98"/>
  <c r="FS187" i="98"/>
  <c r="FT187" i="98"/>
  <c r="FP188" i="98"/>
  <c r="FP189" i="98"/>
  <c r="FP190" i="98"/>
  <c r="FT190" i="98" s="1"/>
  <c r="FR190" i="98"/>
  <c r="FS190" i="98"/>
  <c r="FP191" i="98"/>
  <c r="FS191" i="98"/>
  <c r="FT191" i="98"/>
  <c r="FP192" i="98"/>
  <c r="FP193" i="98"/>
  <c r="FP194" i="98"/>
  <c r="FT194" i="98" s="1"/>
  <c r="FR194" i="98"/>
  <c r="FS194" i="98"/>
  <c r="FP195" i="98"/>
  <c r="FS195" i="98"/>
  <c r="FT195" i="98"/>
  <c r="FP196" i="98"/>
  <c r="FP197" i="98"/>
  <c r="FP198" i="98"/>
  <c r="FT198" i="98" s="1"/>
  <c r="FR198" i="98"/>
  <c r="FS198" i="98"/>
  <c r="FO199" i="98"/>
  <c r="GE199" i="98" s="1"/>
  <c r="FP199" i="98"/>
  <c r="FS199" i="98"/>
  <c r="FT199" i="98"/>
  <c r="GB199" i="98"/>
  <c r="FP200" i="98"/>
  <c r="FP201" i="98"/>
  <c r="FP202" i="98"/>
  <c r="FR202" i="98"/>
  <c r="FS202" i="98"/>
  <c r="FT202" i="98" s="1"/>
  <c r="FP203" i="98"/>
  <c r="FS203" i="98" s="1"/>
  <c r="FP204" i="98"/>
  <c r="FS204" i="98" s="1"/>
  <c r="FT204" i="98"/>
  <c r="FP205" i="98"/>
  <c r="FS205" i="98"/>
  <c r="FO206" i="98"/>
  <c r="FP206" i="98"/>
  <c r="FS206" i="98"/>
  <c r="FR206" i="98" s="1"/>
  <c r="FT206" i="98"/>
  <c r="GE206" i="98"/>
  <c r="GJ206" i="98"/>
  <c r="FP207" i="98"/>
  <c r="FS207" i="98"/>
  <c r="FT207" i="98" s="1"/>
  <c r="FP208" i="98"/>
  <c r="FP209" i="98"/>
  <c r="FP210" i="98"/>
  <c r="FS210" i="98"/>
  <c r="FT210" i="98" s="1"/>
  <c r="FP211" i="98"/>
  <c r="FS211" i="98" s="1"/>
  <c r="FP212" i="98"/>
  <c r="FS212" i="98" s="1"/>
  <c r="FT212" i="98"/>
  <c r="FP213" i="98"/>
  <c r="FS213" i="98"/>
  <c r="FO214" i="98"/>
  <c r="GE214" i="98" s="1"/>
  <c r="FP214" i="98"/>
  <c r="FS214" i="98"/>
  <c r="FT214" i="98"/>
  <c r="FP215" i="98"/>
  <c r="FS215" i="98"/>
  <c r="FT215" i="98" s="1"/>
  <c r="FP216" i="98"/>
  <c r="FP217" i="98"/>
  <c r="FP218" i="98"/>
  <c r="FS218" i="98"/>
  <c r="FT218" i="98" s="1"/>
  <c r="FP219" i="98"/>
  <c r="FS219" i="98" s="1"/>
  <c r="FP220" i="98"/>
  <c r="FS220" i="98" s="1"/>
  <c r="FT220" i="98"/>
  <c r="FP221" i="98"/>
  <c r="FS221" i="98"/>
  <c r="FP222" i="98"/>
  <c r="FS222" i="98"/>
  <c r="FT222" i="98"/>
  <c r="FP223" i="98"/>
  <c r="FS223" i="98"/>
  <c r="FT223" i="98" s="1"/>
  <c r="FP224" i="98"/>
  <c r="FP225" i="98"/>
  <c r="FP226" i="98"/>
  <c r="FR226" i="98"/>
  <c r="FS226" i="98"/>
  <c r="FT226" i="98" s="1"/>
  <c r="GH226" i="98"/>
  <c r="FP227" i="98"/>
  <c r="FS227" i="98" s="1"/>
  <c r="FP228" i="98"/>
  <c r="FS228" i="98" s="1"/>
  <c r="FT228" i="98"/>
  <c r="FP229" i="98"/>
  <c r="FS229" i="98"/>
  <c r="FP230" i="98"/>
  <c r="FS230" i="98"/>
  <c r="FR230" i="98" s="1"/>
  <c r="FT230" i="98"/>
  <c r="FO230" i="98" s="1"/>
  <c r="GE230" i="98" s="1"/>
  <c r="FP231" i="98"/>
  <c r="FS231" i="98"/>
  <c r="FT231" i="98"/>
  <c r="FP232" i="98"/>
  <c r="FP233" i="98"/>
  <c r="FP234" i="98"/>
  <c r="FR234" i="98"/>
  <c r="FS234" i="98"/>
  <c r="FT234" i="98" s="1"/>
  <c r="FP235" i="98"/>
  <c r="FP236" i="98"/>
  <c r="FS236" i="98" s="1"/>
  <c r="FT236" i="98"/>
  <c r="FP237" i="98"/>
  <c r="FS237" i="98"/>
  <c r="FP238" i="98"/>
  <c r="FS238" i="98"/>
  <c r="FT238" i="98"/>
  <c r="FP239" i="98"/>
  <c r="FS239" i="98"/>
  <c r="FT239" i="98" s="1"/>
  <c r="FP240" i="98"/>
  <c r="FS240" i="98"/>
  <c r="FP241" i="98"/>
  <c r="FP242" i="98"/>
  <c r="FP243" i="98"/>
  <c r="FS243" i="98"/>
  <c r="FP244" i="98"/>
  <c r="FS244" i="98"/>
  <c r="FP245" i="98"/>
  <c r="FP246" i="98"/>
  <c r="FP247" i="98"/>
  <c r="FS247" i="98"/>
  <c r="FP248" i="98"/>
  <c r="FS248" i="98"/>
  <c r="FP249" i="98"/>
  <c r="FP250" i="98"/>
  <c r="FP251" i="98"/>
  <c r="FS251" i="98"/>
  <c r="FP252" i="98"/>
  <c r="FS252" i="98"/>
  <c r="FP253" i="98"/>
  <c r="FP254" i="98"/>
  <c r="FP255" i="98"/>
  <c r="FS255" i="98"/>
  <c r="FP256" i="98"/>
  <c r="FS256" i="98"/>
  <c r="FP257" i="98"/>
  <c r="FP258" i="98"/>
  <c r="FP259" i="98"/>
  <c r="FS259" i="98"/>
  <c r="FP260" i="98"/>
  <c r="FR260" i="98"/>
  <c r="FS260" i="98"/>
  <c r="FT260" i="98"/>
  <c r="FP261" i="98"/>
  <c r="FS261" i="98"/>
  <c r="FT261" i="98"/>
  <c r="FP262" i="98"/>
  <c r="FS262" i="98" s="1"/>
  <c r="FR262" i="98"/>
  <c r="FT262" i="98"/>
  <c r="FO262" i="98" s="1"/>
  <c r="FP263" i="98"/>
  <c r="FP264" i="98"/>
  <c r="FS264" i="98"/>
  <c r="FP265" i="98"/>
  <c r="FP266" i="98"/>
  <c r="FS266" i="98" s="1"/>
  <c r="FP267" i="98"/>
  <c r="FT267" i="98" s="1"/>
  <c r="FS267" i="98"/>
  <c r="FP268" i="98"/>
  <c r="FS268" i="98"/>
  <c r="FP269" i="98"/>
  <c r="FP270" i="98"/>
  <c r="FP271" i="98"/>
  <c r="FT271" i="98" s="1"/>
  <c r="FR271" i="98"/>
  <c r="FS271" i="98"/>
  <c r="FP272" i="98"/>
  <c r="FS272" i="98"/>
  <c r="FP273" i="98"/>
  <c r="FP274" i="98"/>
  <c r="FP275" i="98"/>
  <c r="FT275" i="98" s="1"/>
  <c r="FR275" i="98"/>
  <c r="FS275" i="98"/>
  <c r="FP276" i="98"/>
  <c r="FS276" i="98"/>
  <c r="FP277" i="98"/>
  <c r="FP278" i="98"/>
  <c r="FP279" i="98"/>
  <c r="FS279" i="98"/>
  <c r="FT279" i="98" s="1"/>
  <c r="FP280" i="98"/>
  <c r="FR280" i="98" s="1"/>
  <c r="FS280" i="98"/>
  <c r="FT280" i="98" s="1"/>
  <c r="FP281" i="98"/>
  <c r="FP282" i="98"/>
  <c r="FP283" i="98"/>
  <c r="FT283" i="98" s="1"/>
  <c r="FS283" i="98"/>
  <c r="FP284" i="98"/>
  <c r="FS284" i="98"/>
  <c r="FP285" i="98"/>
  <c r="FP286" i="98"/>
  <c r="FP287" i="98"/>
  <c r="FT287" i="98" s="1"/>
  <c r="FR287" i="98" s="1"/>
  <c r="FS287" i="98"/>
  <c r="FO288" i="98"/>
  <c r="FP288" i="98"/>
  <c r="FR288" i="98" s="1"/>
  <c r="FS288" i="98"/>
  <c r="FT288" i="98" s="1"/>
  <c r="GE288" i="98"/>
  <c r="FP289" i="98"/>
  <c r="FP290" i="98"/>
  <c r="FP291" i="98"/>
  <c r="FT291" i="98" s="1"/>
  <c r="FS291" i="98"/>
  <c r="FP292" i="98"/>
  <c r="FR292" i="98" s="1"/>
  <c r="FS292" i="98"/>
  <c r="FT292" i="98" s="1"/>
  <c r="FO292" i="98" s="1"/>
  <c r="GE292" i="98" s="1"/>
  <c r="FP293" i="98"/>
  <c r="FP294" i="98"/>
  <c r="FP295" i="98"/>
  <c r="FR295" i="98"/>
  <c r="FS295" i="98"/>
  <c r="FT295" i="98" s="1"/>
  <c r="FO296" i="98"/>
  <c r="FP296" i="98"/>
  <c r="FR296" i="98" s="1"/>
  <c r="FS296" i="98"/>
  <c r="FT296" i="98" s="1"/>
  <c r="GE296" i="98"/>
  <c r="GF296" i="98"/>
  <c r="FP297" i="98"/>
  <c r="FP298" i="98"/>
  <c r="FP299" i="98"/>
  <c r="FT299" i="98" s="1"/>
  <c r="FS299" i="98"/>
  <c r="FP300" i="98"/>
  <c r="FR300" i="98" s="1"/>
  <c r="FS300" i="98"/>
  <c r="FT300" i="98" s="1"/>
  <c r="FO300" i="98" s="1"/>
  <c r="FP301" i="98"/>
  <c r="FP302" i="98"/>
  <c r="FP303" i="98"/>
  <c r="FR303" i="98"/>
  <c r="FS303" i="98"/>
  <c r="FT303" i="98" s="1"/>
  <c r="FO304" i="98"/>
  <c r="FP304" i="98"/>
  <c r="FR304" i="98" s="1"/>
  <c r="FS304" i="98"/>
  <c r="FT304" i="98" s="1"/>
  <c r="GE304" i="98"/>
  <c r="FP305" i="98"/>
  <c r="FP306" i="98"/>
  <c r="FP307" i="98"/>
  <c r="FT307" i="98" s="1"/>
  <c r="FS307" i="98"/>
  <c r="FP308" i="98"/>
  <c r="FR308" i="98" s="1"/>
  <c r="FS308" i="98"/>
  <c r="FT308" i="98" s="1"/>
  <c r="FP309" i="98"/>
  <c r="FP310" i="98"/>
  <c r="FP311" i="98"/>
  <c r="FT311" i="98" s="1"/>
  <c r="FR311" i="98" s="1"/>
  <c r="FS311" i="98"/>
  <c r="FO312" i="98"/>
  <c r="FP312" i="98"/>
  <c r="FR312" i="98" s="1"/>
  <c r="FS312" i="98"/>
  <c r="FT312" i="98" s="1"/>
  <c r="GE312" i="98"/>
  <c r="FP313" i="98"/>
  <c r="FP314" i="98"/>
  <c r="FP315" i="98"/>
  <c r="FT315" i="98" s="1"/>
  <c r="FS315" i="98"/>
  <c r="FP316" i="98"/>
  <c r="FR316" i="98" s="1"/>
  <c r="FS316" i="98"/>
  <c r="FT316" i="98" s="1"/>
  <c r="GE316" i="98"/>
  <c r="GF316" i="98"/>
  <c r="FP317" i="98"/>
  <c r="FP318" i="98"/>
  <c r="FP319" i="98"/>
  <c r="FT319" i="98" s="1"/>
  <c r="FR319" i="98" s="1"/>
  <c r="FS319" i="98"/>
  <c r="FO320" i="98"/>
  <c r="FP320" i="98"/>
  <c r="FR320" i="98" s="1"/>
  <c r="FS320" i="98"/>
  <c r="FT320" i="98" s="1"/>
  <c r="GE320" i="98"/>
  <c r="FP321" i="98"/>
  <c r="FP322" i="98"/>
  <c r="FP323" i="98"/>
  <c r="FT323" i="98" s="1"/>
  <c r="FS323" i="98"/>
  <c r="FP324" i="98"/>
  <c r="FR324" i="98" s="1"/>
  <c r="FS324" i="98"/>
  <c r="FT324" i="98" s="1"/>
  <c r="FP325" i="98"/>
  <c r="FP326" i="98"/>
  <c r="FP327" i="98"/>
  <c r="FT327" i="98" s="1"/>
  <c r="FR327" i="98" s="1"/>
  <c r="FS327" i="98"/>
  <c r="FO328" i="98"/>
  <c r="FP328" i="98"/>
  <c r="FR328" i="98" s="1"/>
  <c r="FS328" i="98"/>
  <c r="FT328" i="98" s="1"/>
  <c r="GE328" i="98"/>
  <c r="FP329" i="98"/>
  <c r="FP330" i="98"/>
  <c r="FP331" i="98"/>
  <c r="FR331" i="98"/>
  <c r="FS331" i="98"/>
  <c r="FT331" i="98" s="1"/>
  <c r="FP332" i="98"/>
  <c r="FR332" i="98" s="1"/>
  <c r="FS332" i="98"/>
  <c r="FT332" i="98" s="1"/>
  <c r="FP333" i="98"/>
  <c r="FP334" i="98"/>
  <c r="FP335" i="98"/>
  <c r="FT335" i="98" s="1"/>
  <c r="FR335" i="98" s="1"/>
  <c r="FS335" i="98"/>
  <c r="FO336" i="98"/>
  <c r="FP336" i="98"/>
  <c r="FR336" i="98" s="1"/>
  <c r="FS336" i="98"/>
  <c r="FT336" i="98" s="1"/>
  <c r="GE336" i="98"/>
  <c r="GF336" i="98"/>
  <c r="FP337" i="98"/>
  <c r="FP338" i="98"/>
  <c r="FP339" i="98"/>
  <c r="FT339" i="98" s="1"/>
  <c r="FS339" i="98"/>
  <c r="FP340" i="98"/>
  <c r="FS340" i="98" s="1"/>
  <c r="FP341" i="98"/>
  <c r="FP342" i="98"/>
  <c r="FS342" i="98"/>
  <c r="FP343" i="98"/>
  <c r="FS343" i="98"/>
  <c r="FT343" i="98" s="1"/>
  <c r="FP344" i="98"/>
  <c r="FS344" i="98" s="1"/>
  <c r="FT344" i="98"/>
  <c r="FP345" i="98"/>
  <c r="FS345" i="98" s="1"/>
  <c r="FT345" i="98"/>
  <c r="FP346" i="98"/>
  <c r="FP347" i="98"/>
  <c r="FS347" i="98"/>
  <c r="FP348" i="98"/>
  <c r="FP349" i="98"/>
  <c r="FP350" i="98"/>
  <c r="FS350" i="98"/>
  <c r="FP351" i="98"/>
  <c r="FR351" i="98"/>
  <c r="FS351" i="98"/>
  <c r="FT351" i="98" s="1"/>
  <c r="FP352" i="98"/>
  <c r="FS352" i="98" s="1"/>
  <c r="FT352" i="98" s="1"/>
  <c r="FP353" i="98"/>
  <c r="FS353" i="98" s="1"/>
  <c r="FR353" i="98"/>
  <c r="FT353" i="98"/>
  <c r="FP354" i="98"/>
  <c r="FP355" i="98"/>
  <c r="FS355" i="98"/>
  <c r="FT355" i="98"/>
  <c r="FP356" i="98"/>
  <c r="FS356" i="98"/>
  <c r="FP357" i="98"/>
  <c r="FP358" i="98"/>
  <c r="FS358" i="98"/>
  <c r="FP359" i="98"/>
  <c r="FS359" i="98"/>
  <c r="FT359" i="98" s="1"/>
  <c r="FO360" i="98"/>
  <c r="FP360" i="98"/>
  <c r="FS360" i="98" s="1"/>
  <c r="FT360" i="98" s="1"/>
  <c r="FP361" i="98"/>
  <c r="FS361" i="98" s="1"/>
  <c r="FT361" i="98"/>
  <c r="FP362" i="98"/>
  <c r="FP363" i="98"/>
  <c r="FS363" i="98"/>
  <c r="FT363" i="98" s="1"/>
  <c r="FP364" i="98"/>
  <c r="FS364" i="98" s="1"/>
  <c r="FP365" i="98"/>
  <c r="FP366" i="98"/>
  <c r="FS366" i="98"/>
  <c r="FP367" i="98"/>
  <c r="FP368" i="98"/>
  <c r="FR368" i="98"/>
  <c r="FS368" i="98"/>
  <c r="FT368" i="98" s="1"/>
  <c r="FP369" i="98"/>
  <c r="FR369" i="98" s="1"/>
  <c r="FS369" i="98"/>
  <c r="FT369" i="98" s="1"/>
  <c r="FP370" i="98"/>
  <c r="FP371" i="98"/>
  <c r="FP372" i="98"/>
  <c r="FS372" i="98"/>
  <c r="FT372" i="98" s="1"/>
  <c r="FP373" i="98"/>
  <c r="FS373" i="98" s="1"/>
  <c r="FP374" i="98"/>
  <c r="FS374" i="98" s="1"/>
  <c r="FT374" i="98"/>
  <c r="FP375" i="98"/>
  <c r="FS375" i="98"/>
  <c r="FP376" i="98"/>
  <c r="FS376" i="98"/>
  <c r="FT376" i="98"/>
  <c r="FP377" i="98"/>
  <c r="FS377" i="98"/>
  <c r="FT377" i="98" s="1"/>
  <c r="FP378" i="98"/>
  <c r="FP379" i="98"/>
  <c r="FP380" i="98"/>
  <c r="FR380" i="98"/>
  <c r="FS380" i="98"/>
  <c r="FT380" i="98" s="1"/>
  <c r="FP381" i="98"/>
  <c r="FS381" i="98" s="1"/>
  <c r="FP382" i="98"/>
  <c r="FS382" i="98" s="1"/>
  <c r="FT382" i="98"/>
  <c r="FP383" i="98"/>
  <c r="FS383" i="98"/>
  <c r="FP384" i="98"/>
  <c r="FS384" i="98"/>
  <c r="FT384" i="98"/>
  <c r="FO384" i="98" s="1"/>
  <c r="FP385" i="98"/>
  <c r="FS385" i="98"/>
  <c r="FT385" i="98" s="1"/>
  <c r="FP386" i="98"/>
  <c r="FP387" i="98"/>
  <c r="FP388" i="98"/>
  <c r="FS388" i="98"/>
  <c r="FT388" i="98" s="1"/>
  <c r="FP389" i="98"/>
  <c r="FS389" i="98" s="1"/>
  <c r="FP390" i="98"/>
  <c r="FS390" i="98" s="1"/>
  <c r="FT390" i="98"/>
  <c r="FP391" i="98"/>
  <c r="FS391" i="98"/>
  <c r="FP392" i="98"/>
  <c r="FS392" i="98"/>
  <c r="FT392" i="98" s="1"/>
  <c r="FP393" i="98"/>
  <c r="FR393" i="98" s="1"/>
  <c r="FS393" i="98"/>
  <c r="FT393" i="98" s="1"/>
  <c r="FP394" i="98"/>
  <c r="FP395" i="98"/>
  <c r="FP396" i="98"/>
  <c r="FR396" i="98"/>
  <c r="FS396" i="98"/>
  <c r="FT396" i="98" s="1"/>
  <c r="GD396" i="98"/>
  <c r="GH396" i="98"/>
  <c r="FP397" i="98"/>
  <c r="FS397" i="98"/>
  <c r="FT397" i="98" s="1"/>
  <c r="FP398" i="98"/>
  <c r="FP399" i="98"/>
  <c r="FP400" i="98"/>
  <c r="FS400" i="98"/>
  <c r="FT400" i="98" s="1"/>
  <c r="FP401" i="98"/>
  <c r="FR401" i="98" s="1"/>
  <c r="FS401" i="98"/>
  <c r="FT401" i="98" s="1"/>
  <c r="FP402" i="98"/>
  <c r="FP403" i="98"/>
  <c r="FP404" i="98"/>
  <c r="FR404" i="98"/>
  <c r="FS404" i="98"/>
  <c r="FT404" i="98" s="1"/>
  <c r="FP405" i="98"/>
  <c r="FS405" i="98"/>
  <c r="FT405" i="98" s="1"/>
  <c r="FP406" i="98"/>
  <c r="FP407" i="98"/>
  <c r="FP408" i="98"/>
  <c r="FT408" i="98" s="1"/>
  <c r="FS408" i="98"/>
  <c r="FP409" i="98"/>
  <c r="FS409" i="98"/>
  <c r="FP410" i="98"/>
  <c r="FP411" i="98"/>
  <c r="FP412" i="98"/>
  <c r="FS412" i="98" s="1"/>
  <c r="FP413" i="98"/>
  <c r="FT413" i="98" s="1"/>
  <c r="FS413" i="98"/>
  <c r="FP414" i="98"/>
  <c r="FP415" i="98"/>
  <c r="FP416" i="98"/>
  <c r="FS416" i="98" s="1"/>
  <c r="FP417" i="98"/>
  <c r="FT417" i="98" s="1"/>
  <c r="FS417" i="98"/>
  <c r="FP418" i="98"/>
  <c r="FP419" i="98"/>
  <c r="FP420" i="98"/>
  <c r="FS420" i="98" s="1"/>
  <c r="FP421" i="98"/>
  <c r="FR421" i="98" s="1"/>
  <c r="FS421" i="98"/>
  <c r="FT421" i="98" s="1"/>
  <c r="FP422" i="98"/>
  <c r="FP423" i="98"/>
  <c r="FP424" i="98"/>
  <c r="FS424" i="98" s="1"/>
  <c r="FP425" i="98"/>
  <c r="FT425" i="98" s="1"/>
  <c r="FS425" i="98"/>
  <c r="FP426" i="98"/>
  <c r="FP427" i="98"/>
  <c r="FP428" i="98"/>
  <c r="FS428" i="98" s="1"/>
  <c r="FP429" i="98"/>
  <c r="FS429" i="98"/>
  <c r="FO430" i="98"/>
  <c r="FP430" i="98"/>
  <c r="FR430" i="98" s="1"/>
  <c r="FS430" i="98"/>
  <c r="FT430" i="98"/>
  <c r="FP431" i="98"/>
  <c r="FP432" i="98"/>
  <c r="FS432" i="98" s="1"/>
  <c r="FP433" i="98"/>
  <c r="FS433" i="98"/>
  <c r="FT433" i="98" s="1"/>
  <c r="FP434" i="98"/>
  <c r="FP435" i="98"/>
  <c r="FP436" i="98"/>
  <c r="FS436" i="98" s="1"/>
  <c r="FP437" i="98"/>
  <c r="FS437" i="98"/>
  <c r="FT437" i="98" s="1"/>
  <c r="FP438" i="98"/>
  <c r="FP439" i="98"/>
  <c r="FP440" i="98"/>
  <c r="FS440" i="98" s="1"/>
  <c r="FP441" i="98"/>
  <c r="FS441" i="98"/>
  <c r="FP442" i="98"/>
  <c r="FP443" i="98"/>
  <c r="FP444" i="98"/>
  <c r="FS444" i="98" s="1"/>
  <c r="FP445" i="98"/>
  <c r="FS445" i="98"/>
  <c r="FP446" i="98"/>
  <c r="FP447" i="98"/>
  <c r="FP448" i="98"/>
  <c r="FS448" i="98" s="1"/>
  <c r="FT448" i="98" s="1"/>
  <c r="FP449" i="98"/>
  <c r="FS449" i="98"/>
  <c r="FT449" i="98" s="1"/>
  <c r="FP450" i="98"/>
  <c r="FP451" i="98"/>
  <c r="FP452" i="98"/>
  <c r="FS452" i="98" s="1"/>
  <c r="FP453" i="98"/>
  <c r="FS453" i="98"/>
  <c r="FP454" i="98"/>
  <c r="FP455" i="98"/>
  <c r="FP456" i="98"/>
  <c r="FS456" i="98" s="1"/>
  <c r="FP457" i="98"/>
  <c r="FS457" i="98"/>
  <c r="FP458" i="98"/>
  <c r="FR458" i="98" s="1"/>
  <c r="FS458" i="98"/>
  <c r="FT458" i="98"/>
  <c r="FO458" i="98" s="1"/>
  <c r="FP459" i="98"/>
  <c r="FP460" i="98"/>
  <c r="FS460" i="98" s="1"/>
  <c r="FP461" i="98"/>
  <c r="FT461" i="98" s="1"/>
  <c r="FS461" i="98"/>
  <c r="FO462" i="98"/>
  <c r="FP462" i="98"/>
  <c r="FS462" i="98"/>
  <c r="FT462" i="98"/>
  <c r="GB462" i="98" s="1"/>
  <c r="FP463" i="98"/>
  <c r="FP464" i="98"/>
  <c r="FS464" i="98" s="1"/>
  <c r="FP465" i="98"/>
  <c r="FS465" i="98"/>
  <c r="FP466" i="98"/>
  <c r="FS466" i="98"/>
  <c r="FT466" i="98"/>
  <c r="GJ466" i="98"/>
  <c r="FP467" i="98"/>
  <c r="FP468" i="98"/>
  <c r="FS468" i="98" s="1"/>
  <c r="FP469" i="98"/>
  <c r="FT469" i="98" s="1"/>
  <c r="FS469" i="98"/>
  <c r="FP470" i="98"/>
  <c r="FP471" i="98"/>
  <c r="FP472" i="98"/>
  <c r="FR472" i="98"/>
  <c r="FS472" i="98"/>
  <c r="FT472" i="98" s="1"/>
  <c r="FP473" i="98"/>
  <c r="FS473" i="98"/>
  <c r="FT473" i="98" s="1"/>
  <c r="FP474" i="98"/>
  <c r="FP475" i="98"/>
  <c r="FR475" i="98"/>
  <c r="FS475" i="98"/>
  <c r="FT475" i="98"/>
  <c r="FP476" i="98"/>
  <c r="FT476" i="98" s="1"/>
  <c r="GI476" i="98" s="1"/>
  <c r="FS476" i="98"/>
  <c r="GA476" i="98"/>
  <c r="GE476" i="98"/>
  <c r="FP477" i="98"/>
  <c r="FS477" i="98" s="1"/>
  <c r="FP478" i="98"/>
  <c r="FP479" i="98"/>
  <c r="FR479" i="98"/>
  <c r="FS479" i="98"/>
  <c r="FT479" i="98"/>
  <c r="FP480" i="98"/>
  <c r="FT480" i="98" s="1"/>
  <c r="FS480" i="98"/>
  <c r="FP481" i="98"/>
  <c r="FS481" i="98" s="1"/>
  <c r="FP482" i="98"/>
  <c r="FP483" i="98"/>
  <c r="FR483" i="98"/>
  <c r="FS483" i="98"/>
  <c r="FT483" i="98"/>
  <c r="FP484" i="98"/>
  <c r="FT484" i="98" s="1"/>
  <c r="FS484" i="98"/>
  <c r="FP485" i="98"/>
  <c r="FS485" i="98" s="1"/>
  <c r="FP486" i="98"/>
  <c r="FP487" i="98"/>
  <c r="FR487" i="98"/>
  <c r="FS487" i="98"/>
  <c r="FT487" i="98"/>
  <c r="FP488" i="98"/>
  <c r="FT488" i="98" s="1"/>
  <c r="FS488" i="98"/>
  <c r="FP489" i="98"/>
  <c r="FS489" i="98" s="1"/>
  <c r="FP490" i="98"/>
  <c r="FP491" i="98"/>
  <c r="FR491" i="98"/>
  <c r="FS491" i="98"/>
  <c r="FT491" i="98"/>
  <c r="FP492" i="98"/>
  <c r="FT492" i="98" s="1"/>
  <c r="FS492" i="98"/>
  <c r="FP493" i="98"/>
  <c r="FS493" i="98" s="1"/>
  <c r="FP494" i="98"/>
  <c r="FP495" i="98"/>
  <c r="FR495" i="98"/>
  <c r="FS495" i="98"/>
  <c r="FT495" i="98"/>
  <c r="FP496" i="98"/>
  <c r="FT496" i="98" s="1"/>
  <c r="GI496" i="98" s="1"/>
  <c r="FS496" i="98"/>
  <c r="GA496" i="98"/>
  <c r="GE496" i="98"/>
  <c r="FP497" i="98"/>
  <c r="FS497" i="98" s="1"/>
  <c r="FP498" i="98"/>
  <c r="FP499" i="98"/>
  <c r="FR499" i="98"/>
  <c r="FS499" i="98"/>
  <c r="FT499" i="98"/>
  <c r="FP500" i="98"/>
  <c r="FT500" i="98" s="1"/>
  <c r="FS500" i="98"/>
  <c r="FP501" i="98"/>
  <c r="FS501" i="98" s="1"/>
  <c r="FP502" i="98"/>
  <c r="FP503" i="98"/>
  <c r="FR503" i="98"/>
  <c r="FS503" i="98"/>
  <c r="FT503" i="98"/>
  <c r="FP504" i="98"/>
  <c r="FT504" i="98" s="1"/>
  <c r="FS504" i="98"/>
  <c r="FP505" i="98"/>
  <c r="FS505" i="98" s="1"/>
  <c r="FP506" i="98"/>
  <c r="FP507" i="98"/>
  <c r="FR507" i="98"/>
  <c r="FS507" i="98"/>
  <c r="FT507" i="98"/>
  <c r="FP508" i="98"/>
  <c r="FT508" i="98" s="1"/>
  <c r="FS508" i="98"/>
  <c r="FP509" i="98"/>
  <c r="FS509" i="98" s="1"/>
  <c r="FP510" i="98"/>
  <c r="FP511" i="98"/>
  <c r="FR511" i="98"/>
  <c r="FS511" i="98"/>
  <c r="FT511" i="98"/>
  <c r="FP512" i="98"/>
  <c r="FT512" i="98" s="1"/>
  <c r="FS512" i="98"/>
  <c r="FP513" i="98"/>
  <c r="FS513" i="98" s="1"/>
  <c r="FP514" i="98"/>
  <c r="FP515" i="98"/>
  <c r="FR515" i="98"/>
  <c r="FS515" i="98"/>
  <c r="FT515" i="98"/>
  <c r="FP516" i="98"/>
  <c r="FT516" i="98" s="1"/>
  <c r="GI516" i="98" s="1"/>
  <c r="FS516" i="98"/>
  <c r="GA516" i="98"/>
  <c r="GE516" i="98"/>
  <c r="FP517" i="98"/>
  <c r="FS517" i="98" s="1"/>
  <c r="FP518" i="98"/>
  <c r="FP519" i="98"/>
  <c r="FR519" i="98"/>
  <c r="FS519" i="98"/>
  <c r="FT519" i="98"/>
  <c r="FP520" i="98"/>
  <c r="FT520" i="98" s="1"/>
  <c r="FS520" i="98"/>
  <c r="FP521" i="98"/>
  <c r="FS521" i="98" s="1"/>
  <c r="FP522" i="98"/>
  <c r="FP523" i="98"/>
  <c r="FS523" i="98" s="1"/>
  <c r="FP524" i="98"/>
  <c r="FS524" i="98"/>
  <c r="FP525" i="98"/>
  <c r="FS525" i="98" s="1"/>
  <c r="FT525" i="98" s="1"/>
  <c r="FP526" i="98"/>
  <c r="FP527" i="98"/>
  <c r="FR527" i="98"/>
  <c r="FS527" i="98"/>
  <c r="FT527" i="98"/>
  <c r="FP528" i="98"/>
  <c r="FS528" i="98"/>
  <c r="FP529" i="98"/>
  <c r="FS529" i="98" s="1"/>
  <c r="FT529" i="98" s="1"/>
  <c r="FP530" i="98"/>
  <c r="FP531" i="98"/>
  <c r="FS531" i="98" s="1"/>
  <c r="FT531" i="98" s="1"/>
  <c r="FP532" i="98"/>
  <c r="FT532" i="98" s="1"/>
  <c r="FS532" i="98"/>
  <c r="FP533" i="98"/>
  <c r="FS533" i="98" s="1"/>
  <c r="FP534" i="98"/>
  <c r="FP535" i="98"/>
  <c r="FS535" i="98" s="1"/>
  <c r="FP536" i="98"/>
  <c r="FS536" i="98"/>
  <c r="FP537" i="98"/>
  <c r="FS537" i="98" s="1"/>
  <c r="FT537" i="98" s="1"/>
  <c r="FP538" i="98"/>
  <c r="FP539" i="98"/>
  <c r="FS539" i="98" s="1"/>
  <c r="FT539" i="98" s="1"/>
  <c r="FP540" i="98"/>
  <c r="FT540" i="98" s="1"/>
  <c r="FS540" i="98"/>
  <c r="FP541" i="98"/>
  <c r="FS541" i="98" s="1"/>
  <c r="FP542" i="98"/>
  <c r="FP543" i="98"/>
  <c r="FS543" i="98" s="1"/>
  <c r="FP544" i="98"/>
  <c r="FS544" i="98"/>
  <c r="FP545" i="98"/>
  <c r="FS545" i="98" s="1"/>
  <c r="FT545" i="98" s="1"/>
  <c r="FP546" i="98"/>
  <c r="FP547" i="98"/>
  <c r="FR547" i="98"/>
  <c r="FS547" i="98"/>
  <c r="FT547" i="98"/>
  <c r="FP548" i="98"/>
  <c r="FS548" i="98"/>
  <c r="FP549" i="98"/>
  <c r="FS549" i="98" s="1"/>
  <c r="FT549" i="98" s="1"/>
  <c r="FP550" i="98"/>
  <c r="FP551" i="98"/>
  <c r="FS551" i="98" s="1"/>
  <c r="FT551" i="98" s="1"/>
  <c r="FP552" i="98"/>
  <c r="FT552" i="98" s="1"/>
  <c r="FS552" i="98"/>
  <c r="FP553" i="98"/>
  <c r="FS553" i="98" s="1"/>
  <c r="FP554" i="98"/>
  <c r="FP555" i="98"/>
  <c r="FS555" i="98" s="1"/>
  <c r="FP556" i="98"/>
  <c r="FS556" i="98"/>
  <c r="FT556" i="98" s="1"/>
  <c r="GI556" i="98"/>
  <c r="FP557" i="98"/>
  <c r="FS557" i="98" s="1"/>
  <c r="FT557" i="98" s="1"/>
  <c r="FP558" i="98"/>
  <c r="FP559" i="98"/>
  <c r="FS559" i="98" s="1"/>
  <c r="FP560" i="98"/>
  <c r="FT560" i="98" s="1"/>
  <c r="FS560" i="98"/>
  <c r="FP561" i="98"/>
  <c r="FP562" i="98"/>
  <c r="FP563" i="98"/>
  <c r="FS563" i="98" s="1"/>
  <c r="FP564" i="98"/>
  <c r="FS564" i="98"/>
  <c r="FP565" i="98"/>
  <c r="FP566" i="98"/>
  <c r="FP567" i="98"/>
  <c r="FS567" i="98" s="1"/>
  <c r="FP568" i="98"/>
  <c r="FP569" i="98"/>
  <c r="FS569" i="98"/>
  <c r="FT569" i="98" s="1"/>
  <c r="FP570" i="98"/>
  <c r="FS570" i="98"/>
  <c r="FT570" i="98" s="1"/>
  <c r="FP571" i="98"/>
  <c r="FP572" i="98"/>
  <c r="FP573" i="98"/>
  <c r="FS573" i="98"/>
  <c r="FT573" i="98" s="1"/>
  <c r="FP574" i="98"/>
  <c r="FS574" i="98"/>
  <c r="FT574" i="98" s="1"/>
  <c r="FP575" i="98"/>
  <c r="FP576" i="98"/>
  <c r="FP577" i="98"/>
  <c r="FS577" i="98"/>
  <c r="FT577" i="98" s="1"/>
  <c r="FP578" i="98"/>
  <c r="FR578" i="98" s="1"/>
  <c r="FS578" i="98"/>
  <c r="FT578" i="98" s="1"/>
  <c r="FP579" i="98"/>
  <c r="FP580" i="98"/>
  <c r="FP581" i="98"/>
  <c r="FR581" i="98"/>
  <c r="FS581" i="98"/>
  <c r="FT581" i="98" s="1"/>
  <c r="FP582" i="98"/>
  <c r="FS582" i="98"/>
  <c r="FT582" i="98" s="1"/>
  <c r="FP583" i="98"/>
  <c r="FP584" i="98"/>
  <c r="FP585" i="98"/>
  <c r="FS585" i="98"/>
  <c r="FT585" i="98" s="1"/>
  <c r="FP586" i="98"/>
  <c r="FS586" i="98"/>
  <c r="FT586" i="98" s="1"/>
  <c r="GI586" i="98"/>
  <c r="FP587" i="98"/>
  <c r="FP588" i="98"/>
  <c r="FP589" i="98"/>
  <c r="FS589" i="98"/>
  <c r="FT589" i="98" s="1"/>
  <c r="FP590" i="98"/>
  <c r="FS590" i="98"/>
  <c r="FT590" i="98" s="1"/>
  <c r="FP591" i="98"/>
  <c r="FP592" i="98"/>
  <c r="FP593" i="98"/>
  <c r="FS593" i="98"/>
  <c r="FT593" i="98" s="1"/>
  <c r="FP594" i="98"/>
  <c r="FR594" i="98" s="1"/>
  <c r="FS594" i="98"/>
  <c r="FT594" i="98" s="1"/>
  <c r="FP595" i="98"/>
  <c r="FP596" i="98"/>
  <c r="FP597" i="98"/>
  <c r="FR597" i="98"/>
  <c r="FS597" i="98"/>
  <c r="FT597" i="98" s="1"/>
  <c r="FP598" i="98"/>
  <c r="FS598" i="98"/>
  <c r="FT598" i="98" s="1"/>
  <c r="FP599" i="98"/>
  <c r="FP600" i="98"/>
  <c r="FP601" i="98"/>
  <c r="FS601" i="98"/>
  <c r="FT601" i="98" s="1"/>
  <c r="FP602" i="98"/>
  <c r="FS602" i="98"/>
  <c r="FT602" i="98" s="1"/>
  <c r="FP603" i="98"/>
  <c r="FP604" i="98"/>
  <c r="FP605" i="98"/>
  <c r="FS605" i="98"/>
  <c r="FT605" i="98" s="1"/>
  <c r="FP606" i="98"/>
  <c r="FS606" i="98"/>
  <c r="FT606" i="98" s="1"/>
  <c r="GA606" i="98"/>
  <c r="GI606" i="98"/>
  <c r="FP607" i="98"/>
  <c r="FP608" i="98"/>
  <c r="FP609" i="98"/>
  <c r="FS609" i="98"/>
  <c r="FT609" i="98" s="1"/>
  <c r="FP610" i="98"/>
  <c r="FR610" i="98" s="1"/>
  <c r="FS610" i="98"/>
  <c r="FT610" i="98" s="1"/>
  <c r="FP611" i="98"/>
  <c r="FP612" i="98"/>
  <c r="FP613" i="98"/>
  <c r="FR613" i="98"/>
  <c r="FS613" i="98"/>
  <c r="FT613" i="98" s="1"/>
  <c r="FP614" i="98"/>
  <c r="FS614" i="98"/>
  <c r="FT614" i="98" s="1"/>
  <c r="FP615" i="98"/>
  <c r="FP616" i="98"/>
  <c r="FP617" i="98"/>
  <c r="FS617" i="98"/>
  <c r="FT617" i="98" s="1"/>
  <c r="FP618" i="98"/>
  <c r="FS618" i="98"/>
  <c r="FT618" i="98" s="1"/>
  <c r="FP619" i="98"/>
  <c r="FP620" i="98"/>
  <c r="FP621" i="98"/>
  <c r="FS621" i="98"/>
  <c r="FT621" i="98" s="1"/>
  <c r="FP622" i="98"/>
  <c r="FS622" i="98"/>
  <c r="FT622" i="98" s="1"/>
  <c r="FP623" i="98"/>
  <c r="FP624" i="98"/>
  <c r="FP625" i="98"/>
  <c r="FS625" i="98"/>
  <c r="FT625" i="98" s="1"/>
  <c r="FP626" i="98"/>
  <c r="FR626" i="98" s="1"/>
  <c r="FS626" i="98"/>
  <c r="FT626" i="98" s="1"/>
  <c r="GA626" i="98"/>
  <c r="GE626" i="98"/>
  <c r="GI626" i="98"/>
  <c r="FP627" i="98"/>
  <c r="FP628" i="98"/>
  <c r="FP629" i="98"/>
  <c r="FR629" i="98"/>
  <c r="FS629" i="98"/>
  <c r="FT629" i="98" s="1"/>
  <c r="FP630" i="98"/>
  <c r="FS630" i="98"/>
  <c r="FT630" i="98" s="1"/>
  <c r="FP631" i="98"/>
  <c r="FP632" i="98"/>
  <c r="FP633" i="98"/>
  <c r="FT633" i="98" s="1"/>
  <c r="FR633" i="98"/>
  <c r="FS633" i="98"/>
  <c r="FP634" i="98"/>
  <c r="FS634" i="98"/>
  <c r="FT634" i="98" s="1"/>
  <c r="FP635" i="98"/>
  <c r="FP636" i="98"/>
  <c r="FP637" i="98"/>
  <c r="FT637" i="98" s="1"/>
  <c r="FR637" i="98"/>
  <c r="FS637" i="98"/>
  <c r="FP638" i="98"/>
  <c r="FS638" i="98"/>
  <c r="FT638" i="98" s="1"/>
  <c r="FP639" i="98"/>
  <c r="FP640" i="98"/>
  <c r="FP641" i="98"/>
  <c r="FT641" i="98" s="1"/>
  <c r="FS641" i="98"/>
  <c r="FP642" i="98"/>
  <c r="FR642" i="98" s="1"/>
  <c r="FS642" i="98"/>
  <c r="FT642" i="98" s="1"/>
  <c r="FP643" i="98"/>
  <c r="FP644" i="98"/>
  <c r="FP645" i="98"/>
  <c r="FR645" i="98"/>
  <c r="FS645" i="98"/>
  <c r="FT645" i="98" s="1"/>
  <c r="FP646" i="98"/>
  <c r="FS646" i="98"/>
  <c r="FT646" i="98" s="1"/>
  <c r="FP647" i="98"/>
  <c r="FP648" i="98"/>
  <c r="FP649" i="98"/>
  <c r="FT649" i="98" s="1"/>
  <c r="FR649" i="98"/>
  <c r="FS649" i="98"/>
  <c r="FP650" i="98"/>
  <c r="FS650" i="98"/>
  <c r="FT650" i="98" s="1"/>
  <c r="FP651" i="98"/>
  <c r="FP652" i="98"/>
  <c r="FP653" i="98"/>
  <c r="FT653" i="98" s="1"/>
  <c r="FR653" i="98"/>
  <c r="FS653" i="98"/>
  <c r="FP654" i="98"/>
  <c r="FS654" i="98"/>
  <c r="FT654" i="98" s="1"/>
  <c r="FP655" i="98"/>
  <c r="FP656" i="98"/>
  <c r="FP657" i="98"/>
  <c r="FT657" i="98" s="1"/>
  <c r="FS657" i="98"/>
  <c r="FP658" i="98"/>
  <c r="FR658" i="98" s="1"/>
  <c r="FS658" i="98"/>
  <c r="FT658" i="98" s="1"/>
  <c r="FP659" i="98"/>
  <c r="FP660" i="98"/>
  <c r="FP661" i="98"/>
  <c r="FR661" i="98"/>
  <c r="FS661" i="98"/>
  <c r="FT661" i="98" s="1"/>
  <c r="FP662" i="98"/>
  <c r="FS662" i="98"/>
  <c r="FT662" i="98" s="1"/>
  <c r="FP663" i="98"/>
  <c r="FP664" i="98"/>
  <c r="FP665" i="98"/>
  <c r="FT665" i="98" s="1"/>
  <c r="FR665" i="98"/>
  <c r="FS665" i="98"/>
  <c r="FP666" i="98"/>
  <c r="FS666" i="98"/>
  <c r="FP667" i="98"/>
  <c r="FP668" i="98"/>
  <c r="FP669" i="98"/>
  <c r="FT669" i="98" s="1"/>
  <c r="FR669" i="98"/>
  <c r="FS669" i="98"/>
  <c r="FP670" i="98"/>
  <c r="FS670" i="98"/>
  <c r="FP671" i="98"/>
  <c r="FP672" i="98"/>
  <c r="FP673" i="98"/>
  <c r="FT673" i="98" s="1"/>
  <c r="FS673" i="98"/>
  <c r="FP674" i="98"/>
  <c r="FS674" i="98"/>
  <c r="FP675" i="98"/>
  <c r="FP676" i="98"/>
  <c r="FP677" i="98"/>
  <c r="FT677" i="98" s="1"/>
  <c r="FR677" i="98"/>
  <c r="FS677" i="98"/>
  <c r="FP678" i="98"/>
  <c r="FS678" i="98"/>
  <c r="FP679" i="98"/>
  <c r="FP680" i="98"/>
  <c r="FP681" i="98"/>
  <c r="FS681" i="98"/>
  <c r="FT681" i="98" s="1"/>
  <c r="FP682" i="98"/>
  <c r="FS682" i="98"/>
  <c r="FT682" i="98" s="1"/>
  <c r="FP683" i="98"/>
  <c r="FP684" i="98"/>
  <c r="FP685" i="98"/>
  <c r="FS685" i="98"/>
  <c r="FT685" i="98" s="1"/>
  <c r="FP686" i="98"/>
  <c r="FS686" i="98"/>
  <c r="FT686" i="98" s="1"/>
  <c r="GA686" i="98"/>
  <c r="GI686" i="98"/>
  <c r="FP687" i="98"/>
  <c r="FP688" i="98"/>
  <c r="FP689" i="98"/>
  <c r="FS689" i="98"/>
  <c r="FT689" i="98" s="1"/>
  <c r="FP690" i="98"/>
  <c r="FR690" i="98" s="1"/>
  <c r="FS690" i="98"/>
  <c r="FT690" i="98" s="1"/>
  <c r="FP691" i="98"/>
  <c r="FP692" i="98"/>
  <c r="FP693" i="98"/>
  <c r="FT693" i="98" s="1"/>
  <c r="FR693" i="98"/>
  <c r="FS693" i="98"/>
  <c r="FP694" i="98"/>
  <c r="FS694" i="98"/>
  <c r="FT694" i="98" s="1"/>
  <c r="FP695" i="98"/>
  <c r="FP696" i="98"/>
  <c r="FP697" i="98"/>
  <c r="FT697" i="98" s="1"/>
  <c r="FR697" i="98"/>
  <c r="FS697" i="98"/>
  <c r="FP698" i="98"/>
  <c r="FS698" i="98"/>
  <c r="FT698" i="98" s="1"/>
  <c r="FP699" i="98"/>
  <c r="FP700" i="98"/>
  <c r="FP701" i="98"/>
  <c r="FT701" i="98" s="1"/>
  <c r="FR701" i="98"/>
  <c r="FS701" i="98"/>
  <c r="FP702" i="98"/>
  <c r="FS702" i="98"/>
  <c r="FT702" i="98" s="1"/>
  <c r="FP703" i="98"/>
  <c r="FP704" i="98"/>
  <c r="FP705" i="98"/>
  <c r="FT705" i="98" s="1"/>
  <c r="FS705" i="98"/>
  <c r="FP706" i="98"/>
  <c r="FS706" i="98"/>
  <c r="FP707" i="98"/>
  <c r="FP708" i="98"/>
  <c r="FP709" i="98"/>
  <c r="FT709" i="98" s="1"/>
  <c r="FR709" i="98"/>
  <c r="FS709" i="98"/>
  <c r="FP710" i="98"/>
  <c r="FS710" i="98"/>
  <c r="FP711" i="98"/>
  <c r="FP712" i="98"/>
  <c r="FP713" i="98"/>
  <c r="FS713" i="98"/>
  <c r="FT713" i="98" s="1"/>
  <c r="FP714" i="98"/>
  <c r="FS714" i="98"/>
  <c r="FT714" i="98" s="1"/>
  <c r="FP715" i="98"/>
  <c r="FP716" i="98"/>
  <c r="FP717" i="98"/>
  <c r="FS717" i="98"/>
  <c r="FT717" i="98" s="1"/>
  <c r="FP718" i="98"/>
  <c r="FS718" i="98"/>
  <c r="FT718" i="98" s="1"/>
  <c r="FP719" i="98"/>
  <c r="FP720" i="98"/>
  <c r="FP721" i="98"/>
  <c r="FS721" i="98"/>
  <c r="FT721" i="98" s="1"/>
  <c r="FP722" i="98"/>
  <c r="FR722" i="98" s="1"/>
  <c r="FS722" i="98"/>
  <c r="FT722" i="98" s="1"/>
  <c r="FP723" i="98"/>
  <c r="FP724" i="98"/>
  <c r="FP725" i="98"/>
  <c r="FT725" i="98" s="1"/>
  <c r="FR725" i="98"/>
  <c r="FS725" i="98"/>
  <c r="FP726" i="98"/>
  <c r="FS726" i="98"/>
  <c r="FP727" i="98"/>
  <c r="FP728" i="98"/>
  <c r="FP729" i="98"/>
  <c r="FT729" i="98" s="1"/>
  <c r="FR729" i="98"/>
  <c r="FS729" i="98"/>
  <c r="FP730" i="98"/>
  <c r="FS730" i="98"/>
  <c r="FP731" i="98"/>
  <c r="FP732" i="98"/>
  <c r="FP733" i="98"/>
  <c r="FT733" i="98" s="1"/>
  <c r="FR733" i="98"/>
  <c r="FS733" i="98"/>
  <c r="FP734" i="98"/>
  <c r="FS734" i="98"/>
  <c r="FP735" i="98"/>
  <c r="FP736" i="98"/>
  <c r="FP737" i="98"/>
  <c r="FT737" i="98" s="1"/>
  <c r="FS737" i="98"/>
  <c r="FP738" i="98"/>
  <c r="FS738" i="98"/>
  <c r="FP739" i="98"/>
  <c r="FP740" i="98"/>
  <c r="FP741" i="98"/>
  <c r="FT741" i="98" s="1"/>
  <c r="FR741" i="98"/>
  <c r="FS741" i="98"/>
  <c r="FP742" i="98"/>
  <c r="FS742" i="98"/>
  <c r="FP743" i="98"/>
  <c r="FP744" i="98"/>
  <c r="FP745" i="98"/>
  <c r="FT745" i="98" s="1"/>
  <c r="FR745" i="98"/>
  <c r="FS745" i="98"/>
  <c r="FP746" i="98"/>
  <c r="FS746" i="98"/>
  <c r="FP747" i="98"/>
  <c r="FP748" i="98"/>
  <c r="FP749" i="98"/>
  <c r="FT749" i="98" s="1"/>
  <c r="FR749" i="98"/>
  <c r="FS749" i="98"/>
  <c r="FP750" i="98"/>
  <c r="FS750" i="98"/>
  <c r="FP751" i="98"/>
  <c r="FP752" i="98"/>
  <c r="FP753" i="98"/>
  <c r="FT753" i="98" s="1"/>
  <c r="FS753" i="98"/>
  <c r="FP754" i="98"/>
  <c r="FS754" i="98"/>
  <c r="FP755" i="98"/>
  <c r="FP756" i="98"/>
  <c r="FP757" i="98"/>
  <c r="FT757" i="98" s="1"/>
  <c r="FR757" i="98"/>
  <c r="FS757" i="98"/>
  <c r="FP758" i="98"/>
  <c r="FS758" i="98"/>
  <c r="FP759" i="98"/>
  <c r="FP760" i="98"/>
  <c r="FP761" i="98"/>
  <c r="FT761" i="98" s="1"/>
  <c r="FR761" i="98"/>
  <c r="FS761" i="98"/>
  <c r="FP762" i="98"/>
  <c r="FS762" i="98"/>
  <c r="FP763" i="98"/>
  <c r="FP764" i="98"/>
  <c r="FP765" i="98"/>
  <c r="FT765" i="98" s="1"/>
  <c r="FR765" i="98"/>
  <c r="FS765" i="98"/>
  <c r="FP766" i="98"/>
  <c r="FS766" i="98"/>
  <c r="FP767" i="98"/>
  <c r="FP768" i="98"/>
  <c r="FP769" i="98"/>
  <c r="FT769" i="98" s="1"/>
  <c r="FS769" i="98"/>
  <c r="FP770" i="98"/>
  <c r="FS770" i="98"/>
  <c r="FP771" i="98"/>
  <c r="FP772" i="98"/>
  <c r="FP773" i="98"/>
  <c r="FT773" i="98" s="1"/>
  <c r="FR773" i="98"/>
  <c r="FS773" i="98"/>
  <c r="FO774" i="98"/>
  <c r="GB774" i="98" s="1"/>
  <c r="FP774" i="98"/>
  <c r="FS774" i="98"/>
  <c r="FT774" i="98"/>
  <c r="GE774" i="98"/>
  <c r="FP775" i="98"/>
  <c r="FP776" i="98"/>
  <c r="FP777" i="98"/>
  <c r="FT777" i="98" s="1"/>
  <c r="FR777" i="98"/>
  <c r="FS777" i="98"/>
  <c r="FO778" i="98"/>
  <c r="FP778" i="98"/>
  <c r="FS778" i="98"/>
  <c r="FT778" i="98"/>
  <c r="GB778" i="98"/>
  <c r="GD778" i="98"/>
  <c r="GK778" i="98"/>
  <c r="FP779" i="98"/>
  <c r="FS779" i="98"/>
  <c r="FP780" i="98"/>
  <c r="FS780" i="98"/>
  <c r="FP781" i="98"/>
  <c r="FP782" i="98"/>
  <c r="FP783" i="98"/>
  <c r="FS783" i="98"/>
  <c r="FP784" i="98"/>
  <c r="FS784" i="98"/>
  <c r="FP785" i="98"/>
  <c r="FP786" i="98"/>
  <c r="FP787" i="98"/>
  <c r="FS787" i="98"/>
  <c r="FP788" i="98"/>
  <c r="FS788" i="98"/>
  <c r="FP789" i="98"/>
  <c r="FP790" i="98"/>
  <c r="FP791" i="98"/>
  <c r="FS791" i="98"/>
  <c r="FP792" i="98"/>
  <c r="FS792" i="98"/>
  <c r="FP793" i="98"/>
  <c r="FP794" i="98"/>
  <c r="FP795" i="98"/>
  <c r="FS795" i="98"/>
  <c r="FP796" i="98"/>
  <c r="FS796" i="98"/>
  <c r="FP797" i="98"/>
  <c r="FP798" i="98"/>
  <c r="FP799" i="98"/>
  <c r="FS799" i="98"/>
  <c r="FP800" i="98"/>
  <c r="FS800" i="98"/>
  <c r="FP801" i="98"/>
  <c r="FP802" i="98"/>
  <c r="FP803" i="98"/>
  <c r="FS803" i="98"/>
  <c r="FP804" i="98"/>
  <c r="FS804" i="98"/>
  <c r="FP805" i="98"/>
  <c r="FP806" i="98"/>
  <c r="FP807" i="98"/>
  <c r="FS807" i="98"/>
  <c r="FP808" i="98"/>
  <c r="FS808" i="98"/>
  <c r="FP809" i="98"/>
  <c r="FP810" i="98"/>
  <c r="FP811" i="98"/>
  <c r="FS811" i="98"/>
  <c r="FP812" i="98"/>
  <c r="FS812" i="98"/>
  <c r="FP813" i="98"/>
  <c r="FP814" i="98"/>
  <c r="FP815" i="98"/>
  <c r="FS815" i="98"/>
  <c r="FP816" i="98"/>
  <c r="FS816" i="98"/>
  <c r="FP817" i="98"/>
  <c r="FP818" i="98"/>
  <c r="FP819" i="98"/>
  <c r="FS819" i="98"/>
  <c r="FP820" i="98"/>
  <c r="FS820" i="98"/>
  <c r="FP821" i="98"/>
  <c r="FP822" i="98"/>
  <c r="FP823" i="98"/>
  <c r="FS823" i="98"/>
  <c r="FP824" i="98"/>
  <c r="FS824" i="98"/>
  <c r="FP825" i="98"/>
  <c r="FP826" i="98"/>
  <c r="FP827" i="98"/>
  <c r="FS827" i="98"/>
  <c r="FP828" i="98"/>
  <c r="FS828" i="98"/>
  <c r="FP829" i="98"/>
  <c r="FP830" i="98"/>
  <c r="FP831" i="98"/>
  <c r="FS831" i="98"/>
  <c r="FP832" i="98"/>
  <c r="FS832" i="98"/>
  <c r="FP833" i="98"/>
  <c r="FP834" i="98"/>
  <c r="FP835" i="98"/>
  <c r="FS835" i="98"/>
  <c r="FP836" i="98"/>
  <c r="FS836" i="98"/>
  <c r="FP837" i="98"/>
  <c r="FP838" i="98"/>
  <c r="FP839" i="98"/>
  <c r="FS839" i="98"/>
  <c r="FP840" i="98"/>
  <c r="FS840" i="98"/>
  <c r="FP841" i="98"/>
  <c r="FP842" i="98"/>
  <c r="FP843" i="98"/>
  <c r="FS843" i="98"/>
  <c r="FP844" i="98"/>
  <c r="FS844" i="98"/>
  <c r="FP845" i="98"/>
  <c r="FP846" i="98"/>
  <c r="FP847" i="98"/>
  <c r="FS847" i="98"/>
  <c r="FP848" i="98"/>
  <c r="FS848" i="98"/>
  <c r="FP849" i="98"/>
  <c r="FP850" i="98"/>
  <c r="FP851" i="98"/>
  <c r="FS851" i="98"/>
  <c r="FP852" i="98"/>
  <c r="FS852" i="98"/>
  <c r="FP853" i="98"/>
  <c r="FP854" i="98"/>
  <c r="FP855" i="98"/>
  <c r="FS855" i="98"/>
  <c r="FP856" i="98"/>
  <c r="FS856" i="98"/>
  <c r="FP857" i="98"/>
  <c r="FP858" i="98"/>
  <c r="FP859" i="98"/>
  <c r="FS859" i="98"/>
  <c r="FP860" i="98"/>
  <c r="FS860" i="98"/>
  <c r="FP861" i="98"/>
  <c r="FP862" i="98"/>
  <c r="FP863" i="98"/>
  <c r="FS863" i="98"/>
  <c r="FP864" i="98"/>
  <c r="FS864" i="98"/>
  <c r="FP865" i="98"/>
  <c r="FP866" i="98"/>
  <c r="FP867" i="98"/>
  <c r="FS867" i="98"/>
  <c r="FP868" i="98"/>
  <c r="FS868" i="98"/>
  <c r="FP869" i="98"/>
  <c r="FP870" i="98"/>
  <c r="FP871" i="98"/>
  <c r="FS871" i="98"/>
  <c r="FP872" i="98"/>
  <c r="FS872" i="98"/>
  <c r="FP873" i="98"/>
  <c r="FP874" i="98"/>
  <c r="FP875" i="98"/>
  <c r="FS875" i="98"/>
  <c r="FP876" i="98"/>
  <c r="FS876" i="98"/>
  <c r="FP877" i="98"/>
  <c r="FP878" i="98"/>
  <c r="FP879" i="98"/>
  <c r="FS879" i="98"/>
  <c r="FP880" i="98"/>
  <c r="FS880" i="98"/>
  <c r="FP881" i="98"/>
  <c r="FP882" i="98"/>
  <c r="FP883" i="98"/>
  <c r="FS883" i="98"/>
  <c r="FP884" i="98"/>
  <c r="FS884" i="98"/>
  <c r="FP885" i="98"/>
  <c r="FP886" i="98"/>
  <c r="FP887" i="98"/>
  <c r="FS887" i="98"/>
  <c r="FP888" i="98"/>
  <c r="FS888" i="98"/>
  <c r="FP889" i="98"/>
  <c r="FP890" i="98"/>
  <c r="FP891" i="98"/>
  <c r="FS891" i="98"/>
  <c r="FP892" i="98"/>
  <c r="FS892" i="98"/>
  <c r="FP893" i="98"/>
  <c r="FP894" i="98"/>
  <c r="FP895" i="98"/>
  <c r="FS895" i="98"/>
  <c r="FP896" i="98"/>
  <c r="FS896" i="98"/>
  <c r="FP897" i="98"/>
  <c r="FP898" i="98"/>
  <c r="FP899" i="98"/>
  <c r="FS899" i="98"/>
  <c r="FP900" i="98"/>
  <c r="FS900" i="98"/>
  <c r="FP901" i="98"/>
  <c r="FP902" i="98"/>
  <c r="FP903" i="98"/>
  <c r="FS903" i="98"/>
  <c r="FP904" i="98"/>
  <c r="FS904" i="98"/>
  <c r="FP905" i="98"/>
  <c r="FP906" i="98"/>
  <c r="FP907" i="98"/>
  <c r="FS907" i="98"/>
  <c r="FP908" i="98"/>
  <c r="FS908" i="98"/>
  <c r="FP909" i="98"/>
  <c r="FP910" i="98"/>
  <c r="FP911" i="98"/>
  <c r="FS911" i="98"/>
  <c r="FP912" i="98"/>
  <c r="FS912" i="98"/>
  <c r="FP913" i="98"/>
  <c r="FP914" i="98"/>
  <c r="FP915" i="98"/>
  <c r="FS915" i="98"/>
  <c r="FP916" i="98"/>
  <c r="FS916" i="98"/>
  <c r="FP917" i="98"/>
  <c r="FP918" i="98"/>
  <c r="FP919" i="98"/>
  <c r="FS919" i="98"/>
  <c r="FP920" i="98"/>
  <c r="FS920" i="98"/>
  <c r="FP921" i="98"/>
  <c r="FP922" i="98"/>
  <c r="FP923" i="98"/>
  <c r="FS923" i="98"/>
  <c r="FP924" i="98"/>
  <c r="FS924" i="98"/>
  <c r="FP925" i="98"/>
  <c r="FP926" i="98"/>
  <c r="FP927" i="98"/>
  <c r="FS927" i="98"/>
  <c r="FP928" i="98"/>
  <c r="FS928" i="98"/>
  <c r="FP929" i="98"/>
  <c r="FP930" i="98"/>
  <c r="FP931" i="98"/>
  <c r="FS931" i="98"/>
  <c r="FP932" i="98"/>
  <c r="FS932" i="98"/>
  <c r="FP933" i="98"/>
  <c r="FP934" i="98"/>
  <c r="FP935" i="98"/>
  <c r="FS935" i="98"/>
  <c r="FP936" i="98"/>
  <c r="FS936" i="98"/>
  <c r="FP937" i="98"/>
  <c r="FP938" i="98"/>
  <c r="FP939" i="98"/>
  <c r="FS939" i="98"/>
  <c r="FP940" i="98"/>
  <c r="FS940" i="98"/>
  <c r="FP941" i="98"/>
  <c r="FS941" i="98"/>
  <c r="FT941" i="98" s="1"/>
  <c r="FP942" i="98"/>
  <c r="FP943" i="98"/>
  <c r="FP944" i="98"/>
  <c r="FS944" i="98"/>
  <c r="FT944" i="98" s="1"/>
  <c r="FP945" i="98"/>
  <c r="FS945" i="98" s="1"/>
  <c r="FP946" i="98"/>
  <c r="FS946" i="98" s="1"/>
  <c r="FT946" i="98"/>
  <c r="GD946" i="98"/>
  <c r="GJ946" i="98"/>
  <c r="FP947" i="98"/>
  <c r="FS947" i="98"/>
  <c r="FP948" i="98"/>
  <c r="FS948" i="98"/>
  <c r="FT948" i="98"/>
  <c r="FO948" i="98" s="1"/>
  <c r="GE948" i="98" s="1"/>
  <c r="FP949" i="98"/>
  <c r="FS949" i="98"/>
  <c r="FT949" i="98" s="1"/>
  <c r="FP950" i="98"/>
  <c r="FP951" i="98"/>
  <c r="FP952" i="98"/>
  <c r="FR952" i="98"/>
  <c r="FS952" i="98"/>
  <c r="FT952" i="98" s="1"/>
  <c r="FP953" i="98"/>
  <c r="FS953" i="98" s="1"/>
  <c r="FP954" i="98"/>
  <c r="FS954" i="98" s="1"/>
  <c r="FT954" i="98"/>
  <c r="FP955" i="98"/>
  <c r="FS955" i="98"/>
  <c r="FO956" i="98"/>
  <c r="FP956" i="98"/>
  <c r="FS956" i="98"/>
  <c r="FR956" i="98" s="1"/>
  <c r="FT956" i="98"/>
  <c r="GJ956" i="98"/>
  <c r="FP957" i="98"/>
  <c r="FS957" i="98"/>
  <c r="FT957" i="98" s="1"/>
  <c r="FP958" i="98"/>
  <c r="FP959" i="98"/>
  <c r="FP960" i="98"/>
  <c r="FS960" i="98"/>
  <c r="FT960" i="98" s="1"/>
  <c r="FP961" i="98"/>
  <c r="FT961" i="98" s="1"/>
  <c r="FR961" i="98"/>
  <c r="FS961" i="98"/>
  <c r="FP962" i="98"/>
  <c r="FS962" i="98"/>
  <c r="FP963" i="98"/>
  <c r="FP964" i="98"/>
  <c r="FP965" i="98"/>
  <c r="FT965" i="98" s="1"/>
  <c r="FS965" i="98"/>
  <c r="FP966" i="98"/>
  <c r="FS966" i="98"/>
  <c r="FP967" i="98"/>
  <c r="FP968" i="98"/>
  <c r="FP969" i="98"/>
  <c r="FT969" i="98" s="1"/>
  <c r="FR969" i="98"/>
  <c r="FS969" i="98"/>
  <c r="FP970" i="98"/>
  <c r="FS970" i="98"/>
  <c r="FP971" i="98"/>
  <c r="FP972" i="98"/>
  <c r="FP973" i="98"/>
  <c r="FT973" i="98" s="1"/>
  <c r="FR973" i="98" s="1"/>
  <c r="FS973" i="98"/>
  <c r="FP974" i="98"/>
  <c r="FS974" i="98"/>
  <c r="FP975" i="98"/>
  <c r="FP976" i="98"/>
  <c r="FP977" i="98"/>
  <c r="FT977" i="98" s="1"/>
  <c r="FR977" i="98"/>
  <c r="FS977" i="98"/>
  <c r="FP978" i="98"/>
  <c r="FS978" i="98"/>
  <c r="FP979" i="98"/>
  <c r="FP980" i="98"/>
  <c r="FP981" i="98"/>
  <c r="FT981" i="98" s="1"/>
  <c r="FS981" i="98"/>
  <c r="FP982" i="98"/>
  <c r="FS982" i="98"/>
  <c r="FP983" i="98"/>
  <c r="FP984" i="98"/>
  <c r="FP985" i="98"/>
  <c r="FT985" i="98" s="1"/>
  <c r="FR985" i="98"/>
  <c r="FS985" i="98"/>
  <c r="FP986" i="98"/>
  <c r="FS986" i="98"/>
  <c r="FP987" i="98"/>
  <c r="FP988" i="98"/>
  <c r="FP989" i="98"/>
  <c r="FT989" i="98" s="1"/>
  <c r="FR989" i="98" s="1"/>
  <c r="FS989" i="98"/>
  <c r="FP990" i="98"/>
  <c r="FS990" i="98"/>
  <c r="FP991" i="98"/>
  <c r="FP992" i="98"/>
  <c r="FP993" i="98"/>
  <c r="FT993" i="98" s="1"/>
  <c r="FR993" i="98"/>
  <c r="FS993" i="98"/>
  <c r="FP994" i="98"/>
  <c r="FS994" i="98"/>
  <c r="FP995" i="98"/>
  <c r="FP996" i="98"/>
  <c r="FP997" i="98"/>
  <c r="FT997" i="98" s="1"/>
  <c r="FS997" i="98"/>
  <c r="FP998" i="98"/>
  <c r="FS998" i="98"/>
  <c r="FP999" i="98"/>
  <c r="FP1000" i="98"/>
  <c r="FP1001" i="98"/>
  <c r="FT1001" i="98" s="1"/>
  <c r="FR1001" i="98"/>
  <c r="FS1001" i="98"/>
  <c r="FP1002" i="98"/>
  <c r="FS1002" i="98"/>
  <c r="FP1003" i="98"/>
  <c r="FP1004" i="98"/>
  <c r="FP1005" i="98"/>
  <c r="FT1005" i="98" s="1"/>
  <c r="FR1005" i="98" s="1"/>
  <c r="FS1005" i="98"/>
  <c r="FP1006" i="98"/>
  <c r="FS1006" i="98"/>
  <c r="FT1006" i="98"/>
  <c r="GB1006" i="98" s="1"/>
  <c r="GJ1006" i="98"/>
  <c r="FP1007" i="98"/>
  <c r="FP1008" i="98"/>
  <c r="FP1009" i="98"/>
  <c r="FS1009" i="98"/>
  <c r="FP1010" i="98"/>
  <c r="FS1010" i="98"/>
  <c r="FT1010" i="98"/>
  <c r="FP1011" i="98"/>
  <c r="FP1012" i="98"/>
  <c r="FP1013" i="98"/>
  <c r="FS1013" i="98"/>
  <c r="FP1014" i="98"/>
  <c r="FS1014" i="98"/>
  <c r="FT1014" i="98"/>
  <c r="FP1015" i="98"/>
  <c r="FP1016" i="98"/>
  <c r="FP1017" i="98"/>
  <c r="FS1017" i="98"/>
  <c r="FP1018" i="98"/>
  <c r="FS1018" i="98"/>
  <c r="FT1018" i="98"/>
  <c r="FP1019" i="98"/>
  <c r="FP1020" i="98"/>
  <c r="FP1021" i="98"/>
  <c r="FS1021" i="98"/>
  <c r="FP1022" i="98"/>
  <c r="FS1022" i="98"/>
  <c r="FT1022" i="98"/>
  <c r="FP1023" i="98"/>
  <c r="FP1024" i="98"/>
  <c r="FP1025" i="98"/>
  <c r="FS1025" i="98"/>
  <c r="FP1026" i="98"/>
  <c r="FS1026" i="98"/>
  <c r="FT1026" i="98"/>
  <c r="FP1027" i="98"/>
  <c r="FP1028" i="98"/>
  <c r="FP1029" i="98"/>
  <c r="FS1029" i="98"/>
  <c r="FP1030" i="98"/>
  <c r="FS1030" i="98"/>
  <c r="FT1030" i="98"/>
  <c r="FP1031" i="98"/>
  <c r="FP1032" i="98"/>
  <c r="FP1033" i="98"/>
  <c r="FS1033" i="98"/>
  <c r="FP1034" i="98"/>
  <c r="FS1034" i="98"/>
  <c r="FT1034" i="98"/>
  <c r="FP1035" i="98"/>
  <c r="FP1036" i="98"/>
  <c r="FP1037" i="98"/>
  <c r="FO1038" i="98"/>
  <c r="GE1038" i="98" s="1"/>
  <c r="FP1038" i="98"/>
  <c r="FS1038" i="98"/>
  <c r="FT1038" i="98"/>
  <c r="FP1039" i="98"/>
  <c r="FS1039" i="98"/>
  <c r="FP1040" i="98"/>
  <c r="FP1041" i="98"/>
  <c r="FS1041" i="98"/>
  <c r="FP1042" i="98"/>
  <c r="FR1042" i="98"/>
  <c r="FS1042" i="98"/>
  <c r="FT1042" i="98"/>
  <c r="FP1043" i="98"/>
  <c r="FS1043" i="98"/>
  <c r="FT1043" i="98" s="1"/>
  <c r="FP1044" i="98"/>
  <c r="FS1044" i="98" s="1"/>
  <c r="FT1044" i="98"/>
  <c r="FP1045" i="98"/>
  <c r="FP1046" i="98"/>
  <c r="FS1046" i="98"/>
  <c r="FT1046" i="98"/>
  <c r="FO1046" i="98" s="1"/>
  <c r="GE1046" i="98"/>
  <c r="FP1047" i="98"/>
  <c r="FS1047" i="98"/>
  <c r="FP1048" i="98"/>
  <c r="FP1049" i="98"/>
  <c r="FS1049" i="98"/>
  <c r="FP1050" i="98"/>
  <c r="FR1050" i="98"/>
  <c r="FS1050" i="98"/>
  <c r="FT1050" i="98"/>
  <c r="FO1051" i="98"/>
  <c r="GK1051" i="98" s="1"/>
  <c r="FP1051" i="98"/>
  <c r="FS1051" i="98"/>
  <c r="FT1051" i="98" s="1"/>
  <c r="FP1052" i="98"/>
  <c r="FS1052" i="98" s="1"/>
  <c r="FT1052" i="98"/>
  <c r="FP1053" i="98"/>
  <c r="FP1054" i="98"/>
  <c r="FS1054" i="98"/>
  <c r="FT1054" i="98"/>
  <c r="FO1054" i="98" s="1"/>
  <c r="FP1055" i="98"/>
  <c r="FS1055" i="98"/>
  <c r="FP1056" i="98"/>
  <c r="FP1057" i="98"/>
  <c r="FS1057" i="98"/>
  <c r="FP1058" i="98"/>
  <c r="FR1058" i="98"/>
  <c r="FS1058" i="98"/>
  <c r="FT1058" i="98"/>
  <c r="FO1059" i="98"/>
  <c r="GK1059" i="98" s="1"/>
  <c r="FP1059" i="98"/>
  <c r="FS1059" i="98"/>
  <c r="FT1059" i="98" s="1"/>
  <c r="FP1060" i="98"/>
  <c r="FS1060" i="98" s="1"/>
  <c r="FT1060" i="98"/>
  <c r="FP1061" i="98"/>
  <c r="FP1062" i="98"/>
  <c r="FS1062" i="98"/>
  <c r="FT1062" i="98"/>
  <c r="FP1063" i="98"/>
  <c r="FS1063" i="98"/>
  <c r="FP1064" i="98"/>
  <c r="FP1065" i="98"/>
  <c r="FS1065" i="98"/>
  <c r="FP1066" i="98"/>
  <c r="FR1066" i="98"/>
  <c r="FS1066" i="98"/>
  <c r="FT1066" i="98"/>
  <c r="GB1066" i="98"/>
  <c r="GE1066" i="98"/>
  <c r="GH1066" i="98"/>
  <c r="GJ1066" i="98"/>
  <c r="FO1067" i="98"/>
  <c r="FP1067" i="98"/>
  <c r="FS1067" i="98"/>
  <c r="FT1067" i="98" s="1"/>
  <c r="FP1068" i="98"/>
  <c r="FS1068" i="98" s="1"/>
  <c r="FT1068" i="98"/>
  <c r="FP1069" i="98"/>
  <c r="FP1070" i="98"/>
  <c r="FS1070" i="98"/>
  <c r="FT1070" i="98"/>
  <c r="FO1070" i="98" s="1"/>
  <c r="FP1071" i="98"/>
  <c r="FS1071" i="98"/>
  <c r="FP1072" i="98"/>
  <c r="FP1073" i="98"/>
  <c r="FS1073" i="98"/>
  <c r="FP1074" i="98"/>
  <c r="FR1074" i="98"/>
  <c r="FS1074" i="98"/>
  <c r="FT1074" i="98"/>
  <c r="FO1075" i="98"/>
  <c r="GK1075" i="98" s="1"/>
  <c r="FP1075" i="98"/>
  <c r="FS1075" i="98"/>
  <c r="FT1075" i="98" s="1"/>
  <c r="FP1076" i="98"/>
  <c r="FS1076" i="98" s="1"/>
  <c r="FT1076" i="98"/>
  <c r="FP1077" i="98"/>
  <c r="FP1078" i="98"/>
  <c r="FS1078" i="98"/>
  <c r="FT1078" i="98"/>
  <c r="FP1079" i="98"/>
  <c r="FS1079" i="98"/>
  <c r="FP1080" i="98"/>
  <c r="FP1081" i="98"/>
  <c r="FS1081" i="98"/>
  <c r="FP1082" i="98"/>
  <c r="FR1082" i="98"/>
  <c r="FS1082" i="98"/>
  <c r="FT1082" i="98"/>
  <c r="FP1083" i="98"/>
  <c r="FS1083" i="98"/>
  <c r="FT1083" i="98" s="1"/>
  <c r="FP1084" i="98"/>
  <c r="FS1084" i="98" s="1"/>
  <c r="FT1084" i="98"/>
  <c r="FP1085" i="98"/>
  <c r="FO1086" i="98"/>
  <c r="FP1086" i="98"/>
  <c r="FS1086" i="98"/>
  <c r="FT1086" i="98"/>
  <c r="GE1086" i="98"/>
  <c r="GJ1086" i="98"/>
  <c r="FP1087" i="98"/>
  <c r="FS1087" i="98"/>
  <c r="FP1088" i="98"/>
  <c r="FP1089" i="98"/>
  <c r="FS1089" i="98"/>
  <c r="FP1090" i="98"/>
  <c r="FR1090" i="98"/>
  <c r="FS1090" i="98"/>
  <c r="FT1090" i="98"/>
  <c r="FP1091" i="98"/>
  <c r="FS1091" i="98"/>
  <c r="FT1091" i="98" s="1"/>
  <c r="FP1092" i="98"/>
  <c r="FS1092" i="98" s="1"/>
  <c r="FT1092" i="98"/>
  <c r="FP1093" i="98"/>
  <c r="FP1094" i="98"/>
  <c r="FS1094" i="98"/>
  <c r="FT1094" i="98"/>
  <c r="FO1094" i="98" s="1"/>
  <c r="FP1095" i="98"/>
  <c r="FS1095" i="98"/>
  <c r="FP1096" i="98"/>
  <c r="FS1096" i="98"/>
  <c r="FT1096" i="98"/>
  <c r="GF1096" i="98" s="1"/>
  <c r="GJ1096" i="98"/>
  <c r="FP1097" i="98"/>
  <c r="FP1098" i="98"/>
  <c r="FS1098" i="98" s="1"/>
  <c r="FT1098" i="98" s="1"/>
  <c r="FR1098" i="98"/>
  <c r="FP1099" i="98"/>
  <c r="FT1099" i="98" s="1"/>
  <c r="FS1099" i="98"/>
  <c r="FO1100" i="98"/>
  <c r="GB1100" i="98" s="1"/>
  <c r="FP1100" i="98"/>
  <c r="FS1100" i="98"/>
  <c r="FT1100" i="98"/>
  <c r="FP1101" i="98"/>
  <c r="FP1102" i="98"/>
  <c r="FS1102" i="98" s="1"/>
  <c r="FT1102" i="98" s="1"/>
  <c r="FP1103" i="98"/>
  <c r="FS1103" i="98"/>
  <c r="FP1104" i="98"/>
  <c r="FS1104" i="98"/>
  <c r="FT1104" i="98"/>
  <c r="FO1104" i="98" s="1"/>
  <c r="FP1105" i="98"/>
  <c r="FP1106" i="98"/>
  <c r="FS1106" i="98" s="1"/>
  <c r="FT1106" i="98" s="1"/>
  <c r="FR1106" i="98"/>
  <c r="GD1106" i="98"/>
  <c r="GH1106" i="98"/>
  <c r="FP1107" i="98"/>
  <c r="FT1107" i="98" s="1"/>
  <c r="FS1107" i="98"/>
  <c r="FO1108" i="98"/>
  <c r="FP1108" i="98"/>
  <c r="FS1108" i="98"/>
  <c r="FT1108" i="98"/>
  <c r="GB1108" i="98" s="1"/>
  <c r="FP1109" i="98"/>
  <c r="FP1110" i="98"/>
  <c r="FS1110" i="98" s="1"/>
  <c r="FT1110" i="98" s="1"/>
  <c r="FP1111" i="98"/>
  <c r="FS1111" i="98"/>
  <c r="FP1112" i="98"/>
  <c r="FS1112" i="98"/>
  <c r="FT1112" i="98"/>
  <c r="FP1113" i="98"/>
  <c r="FP1114" i="98"/>
  <c r="FS1114" i="98" s="1"/>
  <c r="FT1114" i="98" s="1"/>
  <c r="FR1114" i="98"/>
  <c r="FP1115" i="98"/>
  <c r="FT1115" i="98" s="1"/>
  <c r="FS1115" i="98"/>
  <c r="FO1116" i="98"/>
  <c r="FP1116" i="98"/>
  <c r="FS1116" i="98"/>
  <c r="FT1116" i="98"/>
  <c r="GB1116" i="98"/>
  <c r="GF1116" i="98"/>
  <c r="GJ1116" i="98"/>
  <c r="FP1117" i="98"/>
  <c r="FP1118" i="98"/>
  <c r="FS1118" i="98" s="1"/>
  <c r="FT1118" i="98" s="1"/>
  <c r="FP1119" i="98"/>
  <c r="FS1119" i="98"/>
  <c r="FP1120" i="98"/>
  <c r="FS1120" i="98"/>
  <c r="FT1120" i="98"/>
  <c r="FO1120" i="98" s="1"/>
  <c r="FP1121" i="98"/>
  <c r="FP1122" i="98"/>
  <c r="FS1122" i="98" s="1"/>
  <c r="FT1122" i="98" s="1"/>
  <c r="FR1122" i="98"/>
  <c r="FP1123" i="98"/>
  <c r="FT1123" i="98" s="1"/>
  <c r="FS1123" i="98"/>
  <c r="FO1124" i="98"/>
  <c r="FP1124" i="98"/>
  <c r="FS1124" i="98"/>
  <c r="FT1124" i="98"/>
  <c r="GB1124" i="98" s="1"/>
  <c r="FP1125" i="98"/>
  <c r="FP1126" i="98"/>
  <c r="FS1126" i="98" s="1"/>
  <c r="FT1126" i="98" s="1"/>
  <c r="GD1126" i="98"/>
  <c r="FP1127" i="98"/>
  <c r="FS1127" i="98"/>
  <c r="FP1128" i="98"/>
  <c r="FS1128" i="98"/>
  <c r="FT1128" i="98"/>
  <c r="FP1129" i="98"/>
  <c r="FP1130" i="98"/>
  <c r="FS1130" i="98" s="1"/>
  <c r="FT1130" i="98" s="1"/>
  <c r="FR1130" i="98"/>
  <c r="FP1131" i="98"/>
  <c r="FT1131" i="98" s="1"/>
  <c r="FS1131" i="98"/>
  <c r="FO1132" i="98"/>
  <c r="GB1132" i="98" s="1"/>
  <c r="FP1132" i="98"/>
  <c r="FS1132" i="98"/>
  <c r="FT1132" i="98"/>
  <c r="FP1133" i="98"/>
  <c r="FP1134" i="98"/>
  <c r="FS1134" i="98" s="1"/>
  <c r="FT1134" i="98" s="1"/>
  <c r="FP1135" i="98"/>
  <c r="FS1135" i="98"/>
  <c r="FP1136" i="98"/>
  <c r="FS1136" i="98"/>
  <c r="FT1136" i="98"/>
  <c r="FO1136" i="98" s="1"/>
  <c r="GB1136" i="98"/>
  <c r="GJ1136" i="98"/>
  <c r="FP1137" i="98"/>
  <c r="FP1138" i="98"/>
  <c r="FS1138" i="98" s="1"/>
  <c r="FT1138" i="98" s="1"/>
  <c r="FR1138" i="98"/>
  <c r="FP1139" i="98"/>
  <c r="FT1139" i="98" s="1"/>
  <c r="FS1139" i="98"/>
  <c r="FO1140" i="98"/>
  <c r="FP1140" i="98"/>
  <c r="FS1140" i="98"/>
  <c r="FT1140" i="98"/>
  <c r="GB1140" i="98" s="1"/>
  <c r="FP1141" i="98"/>
  <c r="FP1142" i="98"/>
  <c r="FS1142" i="98" s="1"/>
  <c r="FT1142" i="98" s="1"/>
  <c r="FP1143" i="98"/>
  <c r="FS1143" i="98"/>
  <c r="FP1144" i="98"/>
  <c r="FS1144" i="98"/>
  <c r="FT1144" i="98"/>
  <c r="FP1145" i="98"/>
  <c r="FS1145" i="98"/>
  <c r="FP1146" i="98"/>
  <c r="FS1146" i="98" s="1"/>
  <c r="FT1146" i="98" s="1"/>
  <c r="FP1147" i="98"/>
  <c r="FS1147" i="98"/>
  <c r="FP1148" i="98"/>
  <c r="FS1148" i="98"/>
  <c r="FT1148" i="98"/>
  <c r="FP1149" i="98"/>
  <c r="FS1149" i="98" s="1"/>
  <c r="FP1150" i="98"/>
  <c r="FS1150" i="98" s="1"/>
  <c r="FR1150" i="98" s="1"/>
  <c r="FT1150" i="98"/>
  <c r="FP1151" i="98"/>
  <c r="FS1151" i="98" s="1"/>
  <c r="FP1152" i="98"/>
  <c r="FS1152" i="98"/>
  <c r="FT1152" i="98"/>
  <c r="FR1152" i="98" s="1"/>
  <c r="FP1153" i="98"/>
  <c r="FS1153" i="98"/>
  <c r="FO1154" i="98"/>
  <c r="GB1154" i="98" s="1"/>
  <c r="FP1154" i="98"/>
  <c r="FS1154" i="98" s="1"/>
  <c r="FR1154" i="98"/>
  <c r="FT1154" i="98"/>
  <c r="GD1154" i="98"/>
  <c r="GH1154" i="98"/>
  <c r="FP1155" i="98"/>
  <c r="FS1155" i="98"/>
  <c r="FP1156" i="98"/>
  <c r="FR1156" i="98"/>
  <c r="FS1156" i="98"/>
  <c r="FT1156" i="98"/>
  <c r="GB1156" i="98"/>
  <c r="GF1156" i="98"/>
  <c r="GJ1156" i="98"/>
  <c r="FP1157" i="98"/>
  <c r="FP1158" i="98"/>
  <c r="FS1158" i="98" s="1"/>
  <c r="FP1159" i="98"/>
  <c r="FP1160" i="98"/>
  <c r="FR1160" i="98"/>
  <c r="FS1160" i="98"/>
  <c r="FT1160" i="98"/>
  <c r="FP1161" i="98"/>
  <c r="FS1161" i="98"/>
  <c r="FP1162" i="98"/>
  <c r="FS1162" i="98" s="1"/>
  <c r="FT1162" i="98" s="1"/>
  <c r="FP1163" i="98"/>
  <c r="FS1163" i="98"/>
  <c r="FP1164" i="98"/>
  <c r="FS1164" i="98"/>
  <c r="FT1164" i="98"/>
  <c r="FP1165" i="98"/>
  <c r="FS1165" i="98" s="1"/>
  <c r="FP1166" i="98"/>
  <c r="FS1166" i="98" s="1"/>
  <c r="FR1166" i="98" s="1"/>
  <c r="FT1166" i="98"/>
  <c r="FP1167" i="98"/>
  <c r="FS1167" i="98" s="1"/>
  <c r="FP1168" i="98"/>
  <c r="FS1168" i="98"/>
  <c r="FT1168" i="98"/>
  <c r="FR1168" i="98" s="1"/>
  <c r="FP1169" i="98"/>
  <c r="FS1169" i="98"/>
  <c r="FO1170" i="98"/>
  <c r="GB1170" i="98" s="1"/>
  <c r="FP1170" i="98"/>
  <c r="FS1170" i="98" s="1"/>
  <c r="FR1170" i="98"/>
  <c r="FT1170" i="98"/>
  <c r="GD1170" i="98"/>
  <c r="GH1170" i="98"/>
  <c r="FP1171" i="98"/>
  <c r="FS1171" i="98"/>
  <c r="FP1172" i="98"/>
  <c r="FR1172" i="98"/>
  <c r="FS1172" i="98"/>
  <c r="FT1172" i="98"/>
  <c r="FP1173" i="98"/>
  <c r="FP1174" i="98"/>
  <c r="FS1174" i="98" s="1"/>
  <c r="FP1175" i="98"/>
  <c r="FP1176" i="98"/>
  <c r="FR1176" i="98"/>
  <c r="FS1176" i="98"/>
  <c r="FT1176" i="98"/>
  <c r="GB1176" i="98"/>
  <c r="GD1176" i="98"/>
  <c r="GF1176" i="98"/>
  <c r="GH1176" i="98"/>
  <c r="GJ1176" i="98"/>
  <c r="GL1176" i="98"/>
  <c r="FP1177" i="98"/>
  <c r="FS1177" i="98"/>
  <c r="FP1178" i="98"/>
  <c r="FS1178" i="98" s="1"/>
  <c r="FT1178" i="98" s="1"/>
  <c r="FP1179" i="98"/>
  <c r="FS1179" i="98"/>
  <c r="FP1180" i="98"/>
  <c r="FS1180" i="98"/>
  <c r="FT1180" i="98"/>
  <c r="FP1181" i="98"/>
  <c r="FS1181" i="98" s="1"/>
  <c r="FP1182" i="98"/>
  <c r="FS1182" i="98" s="1"/>
  <c r="FR1182" i="98" s="1"/>
  <c r="FT1182" i="98"/>
  <c r="FP1183" i="98"/>
  <c r="FS1183" i="98" s="1"/>
  <c r="FP1184" i="98"/>
  <c r="FS1184" i="98"/>
  <c r="FT1184" i="98"/>
  <c r="FR1184" i="98" s="1"/>
  <c r="FP1185" i="98"/>
  <c r="FS1185" i="98"/>
  <c r="FO1186" i="98"/>
  <c r="FP1186" i="98"/>
  <c r="FS1186" i="98" s="1"/>
  <c r="FR1186" i="98"/>
  <c r="FT1186" i="98"/>
  <c r="GB1186" i="98"/>
  <c r="GD1186" i="98"/>
  <c r="GH1186" i="98"/>
  <c r="GJ1186" i="98"/>
  <c r="GL1186" i="98"/>
  <c r="FP1187" i="98"/>
  <c r="FS1187" i="98"/>
  <c r="FP1188" i="98"/>
  <c r="FR1188" i="98"/>
  <c r="FS1188" i="98"/>
  <c r="FT1188" i="98"/>
  <c r="FP1189" i="98"/>
  <c r="FP1190" i="98"/>
  <c r="FS1190" i="98" s="1"/>
  <c r="FP1191" i="98"/>
  <c r="FP1192" i="98"/>
  <c r="FR1192" i="98"/>
  <c r="FS1192" i="98"/>
  <c r="FT1192" i="98"/>
  <c r="FP1193" i="98"/>
  <c r="FS1193" i="98"/>
  <c r="FP1194" i="98"/>
  <c r="FS1194" i="98" s="1"/>
  <c r="FT1194" i="98" s="1"/>
  <c r="FP1195" i="98"/>
  <c r="FS1195" i="98"/>
  <c r="FP1196" i="98"/>
  <c r="FS1196" i="98"/>
  <c r="FT1196" i="98"/>
  <c r="FP1197" i="98"/>
  <c r="FS1197" i="98" s="1"/>
  <c r="FP1198" i="98"/>
  <c r="FS1198" i="98" s="1"/>
  <c r="FR1198" i="98" s="1"/>
  <c r="FT1198" i="98"/>
  <c r="FP1199" i="98"/>
  <c r="FS1199" i="98" s="1"/>
  <c r="FP1200" i="98"/>
  <c r="FS1200" i="98"/>
  <c r="FT1200" i="98"/>
  <c r="FR1200" i="98" s="1"/>
  <c r="FP1201" i="98"/>
  <c r="FS1201" i="98"/>
  <c r="FO1202" i="98"/>
  <c r="GB1202" i="98" s="1"/>
  <c r="FP1202" i="98"/>
  <c r="FS1202" i="98" s="1"/>
  <c r="FR1202" i="98"/>
  <c r="FT1202" i="98"/>
  <c r="GD1202" i="98"/>
  <c r="GH1202" i="98"/>
  <c r="FP1203" i="98"/>
  <c r="FS1203" i="98"/>
  <c r="FP1204" i="98"/>
  <c r="FR1204" i="98"/>
  <c r="FS1204" i="98"/>
  <c r="FT1204" i="98"/>
  <c r="FP1205" i="98"/>
  <c r="FP1206" i="98"/>
  <c r="FS1206" i="98" s="1"/>
  <c r="FP1207" i="98"/>
  <c r="FP1208" i="98"/>
  <c r="FR1208" i="98"/>
  <c r="FS1208" i="98"/>
  <c r="FT1208" i="98"/>
  <c r="FP1209" i="98"/>
  <c r="FS1209" i="98"/>
  <c r="FP1210" i="98"/>
  <c r="FS1210" i="98" s="1"/>
  <c r="FT1210" i="98" s="1"/>
  <c r="FP1211" i="98"/>
  <c r="FS1211" i="98"/>
  <c r="FP1212" i="98"/>
  <c r="FS1212" i="98"/>
  <c r="FT1212" i="98"/>
  <c r="FP1213" i="98"/>
  <c r="FS1213" i="98" s="1"/>
  <c r="FP1214" i="98"/>
  <c r="FS1214" i="98" s="1"/>
  <c r="FR1214" i="98" s="1"/>
  <c r="FT1214" i="98"/>
  <c r="FP1215" i="98"/>
  <c r="FS1215" i="98" s="1"/>
  <c r="FP1216" i="98"/>
  <c r="FS1216" i="98"/>
  <c r="FT1216" i="98"/>
  <c r="FR1216" i="98" s="1"/>
  <c r="GB1216" i="98"/>
  <c r="GD1216" i="98"/>
  <c r="GH1216" i="98"/>
  <c r="GJ1216" i="98"/>
  <c r="GL1216" i="98"/>
  <c r="FP1217" i="98"/>
  <c r="FS1217" i="98"/>
  <c r="FO1218" i="98"/>
  <c r="GB1218" i="98" s="1"/>
  <c r="FP1218" i="98"/>
  <c r="FS1218" i="98" s="1"/>
  <c r="FR1218" i="98"/>
  <c r="FT1218" i="98"/>
  <c r="GD1218" i="98"/>
  <c r="GH1218" i="98"/>
  <c r="FP1219" i="98"/>
  <c r="FS1219" i="98"/>
  <c r="FP1220" i="98"/>
  <c r="FR1220" i="98"/>
  <c r="FS1220" i="98"/>
  <c r="FT1220" i="98"/>
  <c r="FP1221" i="98"/>
  <c r="FP1222" i="98"/>
  <c r="FS1222" i="98" s="1"/>
  <c r="FP1223" i="98"/>
  <c r="FP1224" i="98"/>
  <c r="FR1224" i="98"/>
  <c r="FS1224" i="98"/>
  <c r="FT1224" i="98"/>
  <c r="FP1225" i="98"/>
  <c r="FS1225" i="98"/>
  <c r="FP1226" i="98"/>
  <c r="FS1226" i="98" s="1"/>
  <c r="FT1226" i="98" s="1"/>
  <c r="FP1227" i="98"/>
  <c r="FS1227" i="98"/>
  <c r="FP1228" i="98"/>
  <c r="FS1228" i="98"/>
  <c r="FT1228" i="98"/>
  <c r="FP1229" i="98"/>
  <c r="FS1229" i="98" s="1"/>
  <c r="FP1230" i="98"/>
  <c r="FS1230" i="98" s="1"/>
  <c r="FR1230" i="98" s="1"/>
  <c r="FT1230" i="98"/>
  <c r="FP1231" i="98"/>
  <c r="FS1231" i="98" s="1"/>
  <c r="FP1232" i="98"/>
  <c r="FS1232" i="98"/>
  <c r="FT1232" i="98"/>
  <c r="FR1232" i="98" s="1"/>
  <c r="FP1233" i="98"/>
  <c r="FS1233" i="98"/>
  <c r="FO1234" i="98"/>
  <c r="GB1234" i="98" s="1"/>
  <c r="FP1234" i="98"/>
  <c r="FS1234" i="98" s="1"/>
  <c r="FR1234" i="98"/>
  <c r="FT1234" i="98"/>
  <c r="GD1234" i="98"/>
  <c r="GH1234" i="98"/>
  <c r="FP1235" i="98"/>
  <c r="FS1235" i="98"/>
  <c r="FP1236" i="98"/>
  <c r="FR1236" i="98"/>
  <c r="FS1236" i="98"/>
  <c r="FT1236" i="98"/>
  <c r="GB1236" i="98"/>
  <c r="GF1236" i="98"/>
  <c r="GJ1236" i="98"/>
  <c r="FP1237" i="98"/>
  <c r="FP1238" i="98"/>
  <c r="FS1238" i="98" s="1"/>
  <c r="FP1239" i="98"/>
  <c r="FP1240" i="98"/>
  <c r="FR1240" i="98"/>
  <c r="FS1240" i="98"/>
  <c r="FT1240" i="98"/>
  <c r="FP1241" i="98"/>
  <c r="FS1241" i="98"/>
  <c r="FP1242" i="98"/>
  <c r="FS1242" i="98" s="1"/>
  <c r="FT1242" i="98" s="1"/>
  <c r="FP1243" i="98"/>
  <c r="FS1243" i="98"/>
  <c r="FP1244" i="98"/>
  <c r="FS1244" i="98"/>
  <c r="FT1244" i="98"/>
  <c r="FP1245" i="98"/>
  <c r="FS1245" i="98" s="1"/>
  <c r="FP1246" i="98"/>
  <c r="FS1246" i="98" s="1"/>
  <c r="FR1246" i="98" s="1"/>
  <c r="FT1246" i="98"/>
  <c r="GB1246" i="98"/>
  <c r="GJ1246" i="98"/>
  <c r="FP1247" i="98"/>
  <c r="FS1247" i="98" s="1"/>
  <c r="FP1248" i="98"/>
  <c r="FS1248" i="98"/>
  <c r="FT1248" i="98"/>
  <c r="FR1248" i="98" s="1"/>
  <c r="FP1249" i="98"/>
  <c r="FS1249" i="98"/>
  <c r="FO1250" i="98"/>
  <c r="GB1250" i="98" s="1"/>
  <c r="FP1250" i="98"/>
  <c r="FS1250" i="98" s="1"/>
  <c r="FR1250" i="98"/>
  <c r="FT1250" i="98"/>
  <c r="GD1250" i="98"/>
  <c r="GH1250" i="98"/>
  <c r="FP1251" i="98"/>
  <c r="FS1251" i="98"/>
  <c r="FP1252" i="98"/>
  <c r="FR1252" i="98"/>
  <c r="FS1252" i="98"/>
  <c r="FT1252" i="98"/>
  <c r="FP1253" i="98"/>
  <c r="FP1254" i="98"/>
  <c r="FS1254" i="98" s="1"/>
  <c r="FP1255" i="98"/>
  <c r="FP1256" i="98"/>
  <c r="FR1256" i="98"/>
  <c r="FS1256" i="98"/>
  <c r="FT1256" i="98"/>
  <c r="GB1256" i="98"/>
  <c r="GD1256" i="98"/>
  <c r="GF1256" i="98"/>
  <c r="GH1256" i="98"/>
  <c r="GJ1256" i="98"/>
  <c r="GL1256" i="98"/>
  <c r="FP1257" i="98"/>
  <c r="FS1257" i="98"/>
  <c r="FP1258" i="98"/>
  <c r="FS1258" i="98" s="1"/>
  <c r="FT1258" i="98" s="1"/>
  <c r="FP1259" i="98"/>
  <c r="FS1259" i="98"/>
  <c r="FP1260" i="98"/>
  <c r="FS1260" i="98"/>
  <c r="FT1260" i="98"/>
  <c r="FP1261" i="98"/>
  <c r="FS1261" i="98" s="1"/>
  <c r="FP1262" i="98"/>
  <c r="FS1262" i="98" s="1"/>
  <c r="FR1262" i="98" s="1"/>
  <c r="FT1262" i="98"/>
  <c r="FP1263" i="98"/>
  <c r="FS1263" i="98" s="1"/>
  <c r="FP1264" i="98"/>
  <c r="FS1264" i="98"/>
  <c r="FT1264" i="98"/>
  <c r="FR1264" i="98" s="1"/>
  <c r="FP1265" i="98"/>
  <c r="FS1265" i="98"/>
  <c r="FO1266" i="98"/>
  <c r="FP1266" i="98"/>
  <c r="FS1266" i="98" s="1"/>
  <c r="FR1266" i="98"/>
  <c r="FT1266" i="98"/>
  <c r="GB1266" i="98"/>
  <c r="GD1266" i="98"/>
  <c r="GH1266" i="98"/>
  <c r="GJ1266" i="98"/>
  <c r="GL1266" i="98"/>
  <c r="FP1267" i="98"/>
  <c r="FS1267" i="98"/>
  <c r="FP1268" i="98"/>
  <c r="FR1268" i="98"/>
  <c r="FS1268" i="98"/>
  <c r="FT1268" i="98"/>
  <c r="FP1269" i="98"/>
  <c r="FP1270" i="98"/>
  <c r="FS1270" i="98" s="1"/>
  <c r="FP1271" i="98"/>
  <c r="FP1272" i="98"/>
  <c r="FR1272" i="98"/>
  <c r="FS1272" i="98"/>
  <c r="FT1272" i="98"/>
  <c r="FP1273" i="98"/>
  <c r="FS1273" i="98"/>
  <c r="FO1274" i="98"/>
  <c r="FP1274" i="98"/>
  <c r="FS1274" i="98" s="1"/>
  <c r="FT1274" i="98" s="1"/>
  <c r="FP1275" i="98"/>
  <c r="FS1275" i="98"/>
  <c r="FP1276" i="98"/>
  <c r="FS1276" i="98"/>
  <c r="FT1276" i="98"/>
  <c r="FP1277" i="98"/>
  <c r="FS1277" i="98" s="1"/>
  <c r="FP1278" i="98"/>
  <c r="FS1278" i="98" s="1"/>
  <c r="FT1278" i="98"/>
  <c r="FP1279" i="98"/>
  <c r="FS1279" i="98" s="1"/>
  <c r="FP1280" i="98"/>
  <c r="FS1280" i="98"/>
  <c r="FT1280" i="98"/>
  <c r="FR1280" i="98" s="1"/>
  <c r="FP1281" i="98"/>
  <c r="FS1281" i="98"/>
  <c r="FO1282" i="98"/>
  <c r="GB1282" i="98" s="1"/>
  <c r="FP1282" i="98"/>
  <c r="FS1282" i="98" s="1"/>
  <c r="FR1282" i="98"/>
  <c r="FT1282" i="98"/>
  <c r="GD1282" i="98"/>
  <c r="GH1282" i="98"/>
  <c r="FP1283" i="98"/>
  <c r="FS1283" i="98"/>
  <c r="FP1284" i="98"/>
  <c r="FR1284" i="98"/>
  <c r="FS1284" i="98"/>
  <c r="FT1284" i="98"/>
  <c r="FP1285" i="98"/>
  <c r="FP1286" i="98"/>
  <c r="FS1286" i="98" s="1"/>
  <c r="FP1287" i="98"/>
  <c r="FP1288" i="98"/>
  <c r="FR1288" i="98"/>
  <c r="FS1288" i="98"/>
  <c r="FT1288" i="98"/>
  <c r="FP1289" i="98"/>
  <c r="FS1289" i="98"/>
  <c r="FP1290" i="98"/>
  <c r="FS1290" i="98" s="1"/>
  <c r="FT1290" i="98" s="1"/>
  <c r="FP1291" i="98"/>
  <c r="FS1291" i="98"/>
  <c r="FO1292" i="98"/>
  <c r="FP1292" i="98"/>
  <c r="FS1292" i="98"/>
  <c r="FT1292" i="98"/>
  <c r="FP1293" i="98"/>
  <c r="FS1293" i="98" s="1"/>
  <c r="FP1294" i="98"/>
  <c r="FS1294" i="98" s="1"/>
  <c r="FR1294" i="98" s="1"/>
  <c r="FT1294" i="98"/>
  <c r="FP1295" i="98"/>
  <c r="FS1295" i="98" s="1"/>
  <c r="FP1296" i="98"/>
  <c r="FS1296" i="98"/>
  <c r="FT1296" i="98"/>
  <c r="FR1296" i="98" s="1"/>
  <c r="GB1296" i="98"/>
  <c r="GD1296" i="98"/>
  <c r="GH1296" i="98"/>
  <c r="GJ1296" i="98"/>
  <c r="GL1296" i="98"/>
  <c r="FP1297" i="98"/>
  <c r="FS1297" i="98"/>
  <c r="FO1298" i="98"/>
  <c r="GB1298" i="98" s="1"/>
  <c r="FP1298" i="98"/>
  <c r="FS1298" i="98" s="1"/>
  <c r="FR1298" i="98"/>
  <c r="FT1298" i="98"/>
  <c r="GD1298" i="98"/>
  <c r="GH1298" i="98"/>
  <c r="FP1299" i="98"/>
  <c r="FS1299" i="98"/>
  <c r="FP1300" i="98"/>
  <c r="FR1300" i="98"/>
  <c r="FS1300" i="98"/>
  <c r="FT1300" i="98"/>
  <c r="FP1301" i="98"/>
  <c r="FP1302" i="98"/>
  <c r="FS1302" i="98" s="1"/>
  <c r="FP1303" i="98"/>
  <c r="FP1304" i="98"/>
  <c r="FR1304" i="98"/>
  <c r="FS1304" i="98"/>
  <c r="FT1304" i="98"/>
  <c r="FP1305" i="98"/>
  <c r="FS1305" i="98"/>
  <c r="FO1306" i="98"/>
  <c r="FP1306" i="98"/>
  <c r="FS1306" i="98" s="1"/>
  <c r="FT1306" i="98" s="1"/>
  <c r="GD1306" i="98"/>
  <c r="GL1306" i="98"/>
  <c r="FP1307" i="98"/>
  <c r="FS1307" i="98"/>
  <c r="FP1308" i="98"/>
  <c r="FS1308" i="98"/>
  <c r="FT1308" i="98"/>
  <c r="FO1308" i="98" s="1"/>
  <c r="FP1309" i="98"/>
  <c r="FS1309" i="98" s="1"/>
  <c r="FP1310" i="98"/>
  <c r="FS1310" i="98" s="1"/>
  <c r="FR1310" i="98" s="1"/>
  <c r="FT1310" i="98"/>
  <c r="FP1311" i="98"/>
  <c r="FS1311" i="98" s="1"/>
  <c r="FP1312" i="98"/>
  <c r="FS1312" i="98"/>
  <c r="FT1312" i="98"/>
  <c r="FP1313" i="98"/>
  <c r="FS1313" i="98"/>
  <c r="FT1313" i="98" s="1"/>
  <c r="FP1314" i="98"/>
  <c r="FP1315" i="98"/>
  <c r="FS1315" i="98" s="1"/>
  <c r="FP1316" i="98"/>
  <c r="FR1316" i="98"/>
  <c r="FS1316" i="98"/>
  <c r="FT1316" i="98"/>
  <c r="GB1316" i="98"/>
  <c r="GE1316" i="98"/>
  <c r="GH1316" i="98"/>
  <c r="GJ1316" i="98"/>
  <c r="FO1317" i="98"/>
  <c r="FP1317" i="98"/>
  <c r="FT1317" i="98" s="1"/>
  <c r="GK1317" i="98" s="1"/>
  <c r="FS1317" i="98"/>
  <c r="FP1318" i="98"/>
  <c r="FS1318" i="98" s="1"/>
  <c r="FT1318" i="98"/>
  <c r="FP1319" i="98"/>
  <c r="FS1319" i="98"/>
  <c r="FP1320" i="98"/>
  <c r="FS1320" i="98"/>
  <c r="FT1320" i="98"/>
  <c r="FO1320" i="98" s="1"/>
  <c r="FP1321" i="98"/>
  <c r="FS1321" i="98"/>
  <c r="FT1321" i="98" s="1"/>
  <c r="FP1322" i="98"/>
  <c r="FP1323" i="98"/>
  <c r="FS1323" i="98" s="1"/>
  <c r="FP1324" i="98"/>
  <c r="FR1324" i="98"/>
  <c r="FS1324" i="98"/>
  <c r="FT1324" i="98"/>
  <c r="FP1325" i="98"/>
  <c r="FT1325" i="98" s="1"/>
  <c r="FS1325" i="98"/>
  <c r="FP1326" i="98"/>
  <c r="FS1326" i="98" s="1"/>
  <c r="FT1326" i="98"/>
  <c r="GD1326" i="98"/>
  <c r="GJ1326" i="98"/>
  <c r="FP1327" i="98"/>
  <c r="FS1327" i="98"/>
  <c r="FP1328" i="98"/>
  <c r="FS1328" i="98"/>
  <c r="FT1328" i="98"/>
  <c r="FP1329" i="98"/>
  <c r="FS1329" i="98"/>
  <c r="FT1329" i="98" s="1"/>
  <c r="FP1330" i="98"/>
  <c r="FP1331" i="98"/>
  <c r="FS1331" i="98" s="1"/>
  <c r="FP1332" i="98"/>
  <c r="FR1332" i="98"/>
  <c r="FS1332" i="98"/>
  <c r="FT1332" i="98"/>
  <c r="FO1333" i="98"/>
  <c r="FP1333" i="98"/>
  <c r="FT1333" i="98" s="1"/>
  <c r="FS1333" i="98"/>
  <c r="GK1333" i="98"/>
  <c r="FP1334" i="98"/>
  <c r="FS1334" i="98" s="1"/>
  <c r="FT1334" i="98"/>
  <c r="FP1335" i="98"/>
  <c r="FS1335" i="98"/>
  <c r="FO1336" i="98"/>
  <c r="FP1336" i="98"/>
  <c r="FS1336" i="98"/>
  <c r="FT1336" i="98"/>
  <c r="GE1336" i="98"/>
  <c r="GJ1336" i="98"/>
  <c r="FP1337" i="98"/>
  <c r="FS1337" i="98"/>
  <c r="FT1337" i="98" s="1"/>
  <c r="FP1338" i="98"/>
  <c r="FP1339" i="98"/>
  <c r="FS1339" i="98" s="1"/>
  <c r="FP1340" i="98"/>
  <c r="FR1340" i="98"/>
  <c r="FS1340" i="98"/>
  <c r="FT1340" i="98"/>
  <c r="FO1341" i="98"/>
  <c r="FP1341" i="98"/>
  <c r="FT1341" i="98" s="1"/>
  <c r="GK1341" i="98" s="1"/>
  <c r="FS1341" i="98"/>
  <c r="FP1342" i="98"/>
  <c r="FS1342" i="98" s="1"/>
  <c r="FT1342" i="98"/>
  <c r="FP1343" i="98"/>
  <c r="FS1343" i="98"/>
  <c r="FP1344" i="98"/>
  <c r="FS1344" i="98"/>
  <c r="FT1344" i="98"/>
  <c r="FO1344" i="98" s="1"/>
  <c r="FP1345" i="98"/>
  <c r="FS1345" i="98"/>
  <c r="FT1345" i="98" s="1"/>
  <c r="FP1346" i="98"/>
  <c r="FP1347" i="98"/>
  <c r="FS1347" i="98" s="1"/>
  <c r="FP1348" i="98"/>
  <c r="FR1348" i="98"/>
  <c r="FS1348" i="98"/>
  <c r="FT1348" i="98"/>
  <c r="FO1349" i="98"/>
  <c r="FP1349" i="98"/>
  <c r="FT1349" i="98" s="1"/>
  <c r="GK1349" i="98" s="1"/>
  <c r="FS1349" i="98"/>
  <c r="FP1350" i="98"/>
  <c r="FS1350" i="98" s="1"/>
  <c r="FT1350" i="98"/>
  <c r="FP1351" i="98"/>
  <c r="FS1351" i="98"/>
  <c r="FP1352" i="98"/>
  <c r="FS1352" i="98"/>
  <c r="FT1352" i="98"/>
  <c r="FO1352" i="98" s="1"/>
  <c r="FP1353" i="98"/>
  <c r="FS1353" i="98"/>
  <c r="FT1353" i="98" s="1"/>
  <c r="FP1354" i="98"/>
  <c r="FP1355" i="98"/>
  <c r="FS1355" i="98" s="1"/>
  <c r="FP1356" i="98"/>
  <c r="FR1356" i="98"/>
  <c r="FS1356" i="98"/>
  <c r="FT1356" i="98"/>
  <c r="GB1356" i="98"/>
  <c r="GE1356" i="98"/>
  <c r="GH1356" i="98"/>
  <c r="GJ1356" i="98"/>
  <c r="FO1357" i="98"/>
  <c r="FP1357" i="98"/>
  <c r="FT1357" i="98" s="1"/>
  <c r="GK1357" i="98" s="1"/>
  <c r="FS1357" i="98"/>
  <c r="FP1358" i="98"/>
  <c r="FS1358" i="98" s="1"/>
  <c r="FT1358" i="98"/>
  <c r="FP1359" i="98"/>
  <c r="FS1359" i="98"/>
  <c r="FP1360" i="98"/>
  <c r="FS1360" i="98"/>
  <c r="FT1360" i="98"/>
  <c r="FO1360" i="98" s="1"/>
  <c r="FP1361" i="98"/>
  <c r="FS1361" i="98"/>
  <c r="FT1361" i="98" s="1"/>
  <c r="FP1362" i="98"/>
  <c r="FP1363" i="98"/>
  <c r="FS1363" i="98" s="1"/>
  <c r="FP1364" i="98"/>
  <c r="FR1364" i="98"/>
  <c r="FS1364" i="98"/>
  <c r="FT1364" i="98"/>
  <c r="FO1365" i="98"/>
  <c r="FP1365" i="98"/>
  <c r="FT1365" i="98" s="1"/>
  <c r="GK1365" i="98" s="1"/>
  <c r="FS1365" i="98"/>
  <c r="FP1366" i="98"/>
  <c r="FS1366" i="98" s="1"/>
  <c r="FT1366" i="98"/>
  <c r="GD1366" i="98" s="1"/>
  <c r="FP1367" i="98"/>
  <c r="FS1367" i="98"/>
  <c r="FP1368" i="98"/>
  <c r="FS1368" i="98"/>
  <c r="FT1368" i="98"/>
  <c r="FO1368" i="98" s="1"/>
  <c r="FP1369" i="98"/>
  <c r="FS1369" i="98"/>
  <c r="FT1369" i="98" s="1"/>
  <c r="FP1370" i="98"/>
  <c r="FP1371" i="98"/>
  <c r="FS1371" i="98" s="1"/>
  <c r="FP1372" i="98"/>
  <c r="FR1372" i="98"/>
  <c r="FS1372" i="98"/>
  <c r="FT1372" i="98"/>
  <c r="FP1373" i="98"/>
  <c r="FT1373" i="98" s="1"/>
  <c r="FS1373" i="98"/>
  <c r="FP1374" i="98"/>
  <c r="FS1374" i="98" s="1"/>
  <c r="FT1374" i="98"/>
  <c r="FP1375" i="98"/>
  <c r="FS1375" i="98"/>
  <c r="FP1376" i="98"/>
  <c r="FS1376" i="98"/>
  <c r="FT1376" i="98"/>
  <c r="GE1376" i="98" s="1"/>
  <c r="FP1377" i="98"/>
  <c r="FS1377" i="98"/>
  <c r="FT1377" i="98" s="1"/>
  <c r="FP1378" i="98"/>
  <c r="FP1379" i="98"/>
  <c r="FS1379" i="98" s="1"/>
  <c r="FP1380" i="98"/>
  <c r="FR1380" i="98"/>
  <c r="FS1380" i="98"/>
  <c r="FT1380" i="98"/>
  <c r="FO1381" i="98"/>
  <c r="FP1381" i="98"/>
  <c r="FT1381" i="98" s="1"/>
  <c r="FS1381" i="98"/>
  <c r="GK1381" i="98"/>
  <c r="FP1382" i="98"/>
  <c r="FS1382" i="98" s="1"/>
  <c r="FT1382" i="98"/>
  <c r="FP1383" i="98"/>
  <c r="FS1383" i="98"/>
  <c r="FO1384" i="98"/>
  <c r="GE1384" i="98" s="1"/>
  <c r="FP1384" i="98"/>
  <c r="FS1384" i="98"/>
  <c r="FT1384" i="98"/>
  <c r="FP1385" i="98"/>
  <c r="FS1385" i="98"/>
  <c r="FT1385" i="98" s="1"/>
  <c r="FP1386" i="98"/>
  <c r="FP1387" i="98"/>
  <c r="FS1387" i="98" s="1"/>
  <c r="FP1388" i="98"/>
  <c r="FR1388" i="98"/>
  <c r="FS1388" i="98"/>
  <c r="FT1388" i="98"/>
  <c r="FO1389" i="98"/>
  <c r="FP1389" i="98"/>
  <c r="FT1389" i="98" s="1"/>
  <c r="GK1389" i="98" s="1"/>
  <c r="FS1389" i="98"/>
  <c r="FP1390" i="98"/>
  <c r="FS1390" i="98" s="1"/>
  <c r="FT1390" i="98"/>
  <c r="FP1391" i="98"/>
  <c r="FS1391" i="98"/>
  <c r="FP1392" i="98"/>
  <c r="FS1392" i="98"/>
  <c r="FT1392" i="98"/>
  <c r="FO1392" i="98" s="1"/>
  <c r="FP1393" i="98"/>
  <c r="FS1393" i="98"/>
  <c r="FT1393" i="98" s="1"/>
  <c r="FP1394" i="98"/>
  <c r="FP1395" i="98"/>
  <c r="FS1395" i="98" s="1"/>
  <c r="FP1396" i="98"/>
  <c r="FR1396" i="98"/>
  <c r="FS1396" i="98"/>
  <c r="FT1396" i="98"/>
  <c r="GB1396" i="98"/>
  <c r="GE1396" i="98"/>
  <c r="GH1396" i="98"/>
  <c r="GJ1396" i="98"/>
  <c r="FO1397" i="98"/>
  <c r="FP1397" i="98"/>
  <c r="FT1397" i="98" s="1"/>
  <c r="FS1397" i="98"/>
  <c r="GK1397" i="98"/>
  <c r="FP1398" i="98"/>
  <c r="FS1398" i="98" s="1"/>
  <c r="FT1398" i="98"/>
  <c r="FP1399" i="98"/>
  <c r="FS1399" i="98"/>
  <c r="FO1400" i="98"/>
  <c r="GE1400" i="98" s="1"/>
  <c r="FP1400" i="98"/>
  <c r="FS1400" i="98"/>
  <c r="FT1400" i="98"/>
  <c r="FP1401" i="98"/>
  <c r="FS1401" i="98"/>
  <c r="FT1401" i="98" s="1"/>
  <c r="FP1402" i="98"/>
  <c r="FP1403" i="98"/>
  <c r="FS1403" i="98" s="1"/>
  <c r="FP1404" i="98"/>
  <c r="FR1404" i="98"/>
  <c r="FS1404" i="98"/>
  <c r="FT1404" i="98"/>
  <c r="FO1405" i="98"/>
  <c r="FP1405" i="98"/>
  <c r="FT1405" i="98" s="1"/>
  <c r="GK1405" i="98" s="1"/>
  <c r="FS1405" i="98"/>
  <c r="FP1406" i="98"/>
  <c r="FS1406" i="98" s="1"/>
  <c r="FT1406" i="98"/>
  <c r="GJ1406" i="98"/>
  <c r="FP1407" i="98"/>
  <c r="FS1407" i="98"/>
  <c r="FP1408" i="98"/>
  <c r="FS1408" i="98"/>
  <c r="FT1408" i="98"/>
  <c r="FO1408" i="98" s="1"/>
  <c r="FP1409" i="98"/>
  <c r="FS1409" i="98"/>
  <c r="FT1409" i="98" s="1"/>
  <c r="FP1410" i="98"/>
  <c r="FP1411" i="98"/>
  <c r="FS1411" i="98" s="1"/>
  <c r="FP1412" i="98"/>
  <c r="FR1412" i="98"/>
  <c r="FS1412" i="98"/>
  <c r="FT1412" i="98"/>
  <c r="FO1413" i="98"/>
  <c r="FP1413" i="98"/>
  <c r="FT1413" i="98" s="1"/>
  <c r="GK1413" i="98" s="1"/>
  <c r="FS1413" i="98"/>
  <c r="FP1414" i="98"/>
  <c r="FS1414" i="98" s="1"/>
  <c r="FT1414" i="98"/>
  <c r="FP1415" i="98"/>
  <c r="FS1415" i="98"/>
  <c r="FP1416" i="98"/>
  <c r="FS1416" i="98"/>
  <c r="FT1416" i="98"/>
  <c r="FO1416" i="98" s="1"/>
  <c r="GJ1416" i="98"/>
  <c r="FP1417" i="98"/>
  <c r="FS1417" i="98"/>
  <c r="FT1417" i="98" s="1"/>
  <c r="FP1418" i="98"/>
  <c r="FP1419" i="98"/>
  <c r="FS1419" i="98" s="1"/>
  <c r="FP1420" i="98"/>
  <c r="FR1420" i="98"/>
  <c r="FS1420" i="98"/>
  <c r="FT1420" i="98"/>
  <c r="FP1421" i="98"/>
  <c r="FT1421" i="98" s="1"/>
  <c r="FS1421" i="98"/>
  <c r="FP1422" i="98"/>
  <c r="FS1422" i="98" s="1"/>
  <c r="FT1422" i="98"/>
  <c r="FP1423" i="98"/>
  <c r="FS1423" i="98"/>
  <c r="FP1424" i="98"/>
  <c r="FS1424" i="98"/>
  <c r="FT1424" i="98"/>
  <c r="FP1425" i="98"/>
  <c r="FS1425" i="98"/>
  <c r="FT1425" i="98" s="1"/>
  <c r="FP1426" i="98"/>
  <c r="FP1427" i="98"/>
  <c r="FS1427" i="98" s="1"/>
  <c r="FP1428" i="98"/>
  <c r="FR1428" i="98"/>
  <c r="FS1428" i="98"/>
  <c r="FT1428" i="98"/>
  <c r="FO1429" i="98"/>
  <c r="FP1429" i="98"/>
  <c r="FT1429" i="98" s="1"/>
  <c r="FS1429" i="98"/>
  <c r="GK1429" i="98"/>
  <c r="FP1430" i="98"/>
  <c r="FS1430" i="98" s="1"/>
  <c r="FT1430" i="98"/>
  <c r="FP1431" i="98"/>
  <c r="FS1431" i="98"/>
  <c r="FO1432" i="98"/>
  <c r="GE1432" i="98" s="1"/>
  <c r="FP1432" i="98"/>
  <c r="FS1432" i="98"/>
  <c r="FT1432" i="98"/>
  <c r="FP1433" i="98"/>
  <c r="FS1433" i="98"/>
  <c r="FT1433" i="98" s="1"/>
  <c r="FP1434" i="98"/>
  <c r="FP1435" i="98"/>
  <c r="FS1435" i="98" s="1"/>
  <c r="FP1436" i="98"/>
  <c r="FR1436" i="98"/>
  <c r="FS1436" i="98"/>
  <c r="FT1436" i="98"/>
  <c r="GB1436" i="98"/>
  <c r="GE1436" i="98"/>
  <c r="GH1436" i="98"/>
  <c r="GJ1436" i="98"/>
  <c r="FP1437" i="98"/>
  <c r="FT1437" i="98" s="1"/>
  <c r="FS1437" i="98"/>
  <c r="FP1438" i="98"/>
  <c r="FS1438" i="98" s="1"/>
  <c r="FT1438" i="98"/>
  <c r="FP1439" i="98"/>
  <c r="FS1439" i="98"/>
  <c r="FP1440" i="98"/>
  <c r="FS1440" i="98"/>
  <c r="FT1440" i="98"/>
  <c r="FP1441" i="98"/>
  <c r="FS1441" i="98"/>
  <c r="FT1441" i="98" s="1"/>
  <c r="FP1442" i="98"/>
  <c r="FP1443" i="98"/>
  <c r="FS1443" i="98" s="1"/>
  <c r="FP1444" i="98"/>
  <c r="FR1444" i="98"/>
  <c r="FS1444" i="98"/>
  <c r="FT1444" i="98"/>
  <c r="FO1445" i="98"/>
  <c r="FP1445" i="98"/>
  <c r="FT1445" i="98" s="1"/>
  <c r="FS1445" i="98"/>
  <c r="GK1445" i="98"/>
  <c r="FP1446" i="98"/>
  <c r="FS1446" i="98" s="1"/>
  <c r="FT1446" i="98"/>
  <c r="GD1446" i="98"/>
  <c r="GJ1446" i="98"/>
  <c r="FP1447" i="98"/>
  <c r="FS1447" i="98"/>
  <c r="FO1448" i="98"/>
  <c r="GE1448" i="98" s="1"/>
  <c r="FP1448" i="98"/>
  <c r="FS1448" i="98"/>
  <c r="FT1448" i="98"/>
  <c r="FP1449" i="98"/>
  <c r="FS1449" i="98"/>
  <c r="FT1449" i="98" s="1"/>
  <c r="FP1450" i="98"/>
  <c r="FP1451" i="98"/>
  <c r="FS1451" i="98" s="1"/>
  <c r="FP1452" i="98"/>
  <c r="FR1452" i="98"/>
  <c r="FS1452" i="98"/>
  <c r="FT1452" i="98"/>
  <c r="FO1453" i="98"/>
  <c r="FP1453" i="98"/>
  <c r="FT1453" i="98" s="1"/>
  <c r="GK1453" i="98" s="1"/>
  <c r="FS1453" i="98"/>
  <c r="FP1454" i="98"/>
  <c r="FS1454" i="98" s="1"/>
  <c r="FT1454" i="98"/>
  <c r="FP1455" i="98"/>
  <c r="FS1455" i="98"/>
  <c r="FP1456" i="98"/>
  <c r="FS1456" i="98"/>
  <c r="FT1456" i="98"/>
  <c r="FO1456" i="98" s="1"/>
  <c r="GE1456" i="98"/>
  <c r="GJ1456" i="98"/>
  <c r="FP1457" i="98"/>
  <c r="FS1457" i="98"/>
  <c r="FT1457" i="98" s="1"/>
  <c r="FP1458" i="98"/>
  <c r="FP1459" i="98"/>
  <c r="FS1459" i="98" s="1"/>
  <c r="FP1460" i="98"/>
  <c r="FR1460" i="98"/>
  <c r="FS1460" i="98"/>
  <c r="FT1460" i="98"/>
  <c r="FO1461" i="98"/>
  <c r="FP1461" i="98"/>
  <c r="FT1461" i="98" s="1"/>
  <c r="GK1461" i="98" s="1"/>
  <c r="FS1461" i="98"/>
  <c r="FP1462" i="98"/>
  <c r="FS1462" i="98" s="1"/>
  <c r="FT1462" i="98"/>
  <c r="FP1463" i="98"/>
  <c r="FS1463" i="98"/>
  <c r="FP1464" i="98"/>
  <c r="FS1464" i="98"/>
  <c r="FT1464" i="98"/>
  <c r="FO1464" i="98" s="1"/>
  <c r="FP1465" i="98"/>
  <c r="FS1465" i="98"/>
  <c r="FT1465" i="98" s="1"/>
  <c r="FP1466" i="98"/>
  <c r="FP1467" i="98"/>
  <c r="FS1467" i="98" s="1"/>
  <c r="FP1468" i="98"/>
  <c r="FR1468" i="98"/>
  <c r="FS1468" i="98"/>
  <c r="FT1468" i="98"/>
  <c r="FP1469" i="98"/>
  <c r="FT1469" i="98" s="1"/>
  <c r="FS1469" i="98"/>
  <c r="FP1470" i="98"/>
  <c r="FS1470" i="98" s="1"/>
  <c r="FT1470" i="98"/>
  <c r="FP1471" i="98"/>
  <c r="FS1471" i="98"/>
  <c r="FP1472" i="98"/>
  <c r="FS1472" i="98"/>
  <c r="FT1472" i="98"/>
  <c r="FP1473" i="98"/>
  <c r="FS1473" i="98"/>
  <c r="FT1473" i="98" s="1"/>
  <c r="FP1474" i="98"/>
  <c r="FP1475" i="98"/>
  <c r="FS1475" i="98" s="1"/>
  <c r="FP1476" i="98"/>
  <c r="FR1476" i="98"/>
  <c r="FS1476" i="98"/>
  <c r="FT1476" i="98"/>
  <c r="GB1476" i="98"/>
  <c r="GE1476" i="98"/>
  <c r="GH1476" i="98"/>
  <c r="GJ1476" i="98"/>
  <c r="FO1477" i="98"/>
  <c r="FP1477" i="98"/>
  <c r="FT1477" i="98" s="1"/>
  <c r="GK1477" i="98" s="1"/>
  <c r="FS1477" i="98"/>
  <c r="FP1478" i="98"/>
  <c r="FS1478" i="98" s="1"/>
  <c r="FT1478" i="98"/>
  <c r="FP1479" i="98"/>
  <c r="FS1479" i="98"/>
  <c r="FP1480" i="98"/>
  <c r="FS1480" i="98"/>
  <c r="FT1480" i="98"/>
  <c r="FO1480" i="98" s="1"/>
  <c r="FP1481" i="98"/>
  <c r="FS1481" i="98"/>
  <c r="FT1481" i="98" s="1"/>
  <c r="FP1482" i="98"/>
  <c r="FP1483" i="98"/>
  <c r="FS1483" i="98" s="1"/>
  <c r="FP1484" i="98"/>
  <c r="FR1484" i="98"/>
  <c r="FS1484" i="98"/>
  <c r="FT1484" i="98"/>
  <c r="FP1485" i="98"/>
  <c r="FT1485" i="98" s="1"/>
  <c r="FS1485" i="98"/>
  <c r="FP1486" i="98"/>
  <c r="FS1486" i="98" s="1"/>
  <c r="FT1486" i="98"/>
  <c r="GD1486" i="98"/>
  <c r="GJ1486" i="98"/>
  <c r="FP1487" i="98"/>
  <c r="FS1487" i="98"/>
  <c r="FP1488" i="98"/>
  <c r="FS1488" i="98"/>
  <c r="FT1488" i="98"/>
  <c r="FP1489" i="98"/>
  <c r="FS1489" i="98"/>
  <c r="FT1489" i="98" s="1"/>
  <c r="FP1490" i="98"/>
  <c r="FP1491" i="98"/>
  <c r="FS1491" i="98" s="1"/>
  <c r="FP1492" i="98"/>
  <c r="FR1492" i="98"/>
  <c r="FS1492" i="98"/>
  <c r="FT1492" i="98"/>
  <c r="FO1493" i="98"/>
  <c r="FP1493" i="98"/>
  <c r="FT1493" i="98" s="1"/>
  <c r="FS1493" i="98"/>
  <c r="GK1493" i="98"/>
  <c r="FP1494" i="98"/>
  <c r="FS1494" i="98" s="1"/>
  <c r="FT1494" i="98"/>
  <c r="FP1495" i="98"/>
  <c r="FS1495" i="98"/>
  <c r="FO1496" i="98"/>
  <c r="FP1496" i="98"/>
  <c r="FS1496" i="98"/>
  <c r="FT1496" i="98"/>
  <c r="GE1496" i="98"/>
  <c r="GJ1496" i="98"/>
  <c r="FP1497" i="98"/>
  <c r="FS1497" i="98"/>
  <c r="FT1497" i="98" s="1"/>
  <c r="FP1498" i="98"/>
  <c r="FP1499" i="98"/>
  <c r="FS1499" i="98" s="1"/>
  <c r="FP1500" i="98"/>
  <c r="FR1500" i="98"/>
  <c r="FS1500" i="98"/>
  <c r="FT1500" i="98"/>
  <c r="FO1501" i="98"/>
  <c r="FP1501" i="98"/>
  <c r="FT1501" i="98" s="1"/>
  <c r="GK1501" i="98" s="1"/>
  <c r="FS1501" i="98"/>
  <c r="FP1502" i="98"/>
  <c r="FS1502" i="98" s="1"/>
  <c r="FT1502" i="98"/>
  <c r="FP1503" i="98"/>
  <c r="FS1503" i="98"/>
  <c r="FP1504" i="98"/>
  <c r="FS1504" i="98"/>
  <c r="FT1504" i="98"/>
  <c r="FO1504" i="98" s="1"/>
  <c r="FP1505" i="98"/>
  <c r="FS1505" i="98"/>
  <c r="FT1505" i="98" s="1"/>
  <c r="FP1506" i="98"/>
  <c r="FS1506" i="98" s="1"/>
  <c r="FP1507" i="98"/>
  <c r="FP1508" i="98"/>
  <c r="FR1508" i="98"/>
  <c r="FS1508" i="98"/>
  <c r="FT1508" i="98"/>
  <c r="FP1509" i="98"/>
  <c r="FT1509" i="98" s="1"/>
  <c r="FS1509" i="98"/>
  <c r="FP1510" i="98"/>
  <c r="FS1510" i="98" s="1"/>
  <c r="FP1511" i="98"/>
  <c r="FP1512" i="98"/>
  <c r="FR1512" i="98"/>
  <c r="FS1512" i="98"/>
  <c r="FT1512" i="98"/>
  <c r="FP1513" i="98"/>
  <c r="FT1513" i="98" s="1"/>
  <c r="FS1513" i="98"/>
  <c r="FP1514" i="98"/>
  <c r="FS1514" i="98" s="1"/>
  <c r="FP1515" i="98"/>
  <c r="FP1516" i="98"/>
  <c r="FR1516" i="98"/>
  <c r="FS1516" i="98"/>
  <c r="FT1516" i="98"/>
  <c r="GB1516" i="98"/>
  <c r="GD1516" i="98"/>
  <c r="GF1516" i="98"/>
  <c r="GH1516" i="98"/>
  <c r="GJ1516" i="98"/>
  <c r="GL1516" i="98"/>
  <c r="FP1517" i="98"/>
  <c r="FT1517" i="98" s="1"/>
  <c r="FS1517" i="98"/>
  <c r="FP1518" i="98"/>
  <c r="FS1518" i="98" s="1"/>
  <c r="FT1518" i="98"/>
  <c r="FP1519" i="98"/>
  <c r="FP1520" i="98"/>
  <c r="FR1520" i="98"/>
  <c r="FS1520" i="98"/>
  <c r="FT1520" i="98"/>
  <c r="FP1521" i="98"/>
  <c r="FT1521" i="98" s="1"/>
  <c r="FS1521" i="98"/>
  <c r="FP1522" i="98"/>
  <c r="FS1522" i="98" s="1"/>
  <c r="FT1522" i="98"/>
  <c r="FP1523" i="98"/>
  <c r="FP1524" i="98"/>
  <c r="FR1524" i="98"/>
  <c r="FS1524" i="98"/>
  <c r="FT1524" i="98"/>
  <c r="FP1525" i="98"/>
  <c r="FT1525" i="98" s="1"/>
  <c r="FS1525" i="98"/>
  <c r="FP1526" i="98"/>
  <c r="FS1526" i="98" s="1"/>
  <c r="FT1526" i="98"/>
  <c r="GF1526" i="98" s="1"/>
  <c r="FP1527" i="98"/>
  <c r="FP1528" i="98"/>
  <c r="FR1528" i="98"/>
  <c r="FS1528" i="98"/>
  <c r="FT1528" i="98"/>
  <c r="FP1529" i="98"/>
  <c r="FT1529" i="98" s="1"/>
  <c r="FS1529" i="98"/>
  <c r="FP1530" i="98"/>
  <c r="FS1530" i="98" s="1"/>
  <c r="FT1530" i="98"/>
  <c r="FP1531" i="98"/>
  <c r="FP1532" i="98"/>
  <c r="FR1532" i="98"/>
  <c r="FS1532" i="98"/>
  <c r="FT1532" i="98"/>
  <c r="FP1533" i="98"/>
  <c r="FT1533" i="98" s="1"/>
  <c r="FS1533" i="98"/>
  <c r="FP1534" i="98"/>
  <c r="FS1534" i="98" s="1"/>
  <c r="FT1534" i="98"/>
  <c r="FP1535" i="98"/>
  <c r="FP1536" i="98"/>
  <c r="FR1536" i="98"/>
  <c r="FS1536" i="98"/>
  <c r="FT1536" i="98"/>
  <c r="GB1536" i="98"/>
  <c r="GD1536" i="98"/>
  <c r="GF1536" i="98"/>
  <c r="GH1536" i="98"/>
  <c r="GJ1536" i="98"/>
  <c r="GL1536" i="98"/>
  <c r="FP1537" i="98"/>
  <c r="FS1537" i="98"/>
  <c r="FP1538" i="98"/>
  <c r="FS1538" i="98" s="1"/>
  <c r="FT1538" i="98" s="1"/>
  <c r="FP1539" i="98"/>
  <c r="FP1540" i="98"/>
  <c r="FR1540" i="98"/>
  <c r="FS1540" i="98"/>
  <c r="FT1540" i="98"/>
  <c r="FP1541" i="98"/>
  <c r="FS1541" i="98"/>
  <c r="FP1542" i="98"/>
  <c r="FS1542" i="98" s="1"/>
  <c r="FT1542" i="98" s="1"/>
  <c r="FP1543" i="98"/>
  <c r="FP1544" i="98"/>
  <c r="FR1544" i="98"/>
  <c r="FS1544" i="98"/>
  <c r="FT1544" i="98"/>
  <c r="FP1545" i="98"/>
  <c r="FS1545" i="98"/>
  <c r="FP1546" i="98"/>
  <c r="FS1546" i="98" s="1"/>
  <c r="FT1546" i="98" s="1"/>
  <c r="FP1547" i="98"/>
  <c r="FP1548" i="98"/>
  <c r="FR1548" i="98"/>
  <c r="FS1548" i="98"/>
  <c r="FT1548" i="98"/>
  <c r="FP1549" i="98"/>
  <c r="FS1549" i="98"/>
  <c r="FP1550" i="98"/>
  <c r="FS1550" i="98" s="1"/>
  <c r="FT1550" i="98" s="1"/>
  <c r="FP1551" i="98"/>
  <c r="FP1552" i="98"/>
  <c r="FR1552" i="98"/>
  <c r="FS1552" i="98"/>
  <c r="FT1552" i="98"/>
  <c r="FP1553" i="98"/>
  <c r="FS1553" i="98"/>
  <c r="FP1554" i="98"/>
  <c r="FS1554" i="98" s="1"/>
  <c r="FT1554" i="98" s="1"/>
  <c r="FP1555" i="98"/>
  <c r="FP1556" i="98"/>
  <c r="FR1556" i="98"/>
  <c r="FS1556" i="98"/>
  <c r="FT1556" i="98"/>
  <c r="GB1556" i="98"/>
  <c r="GD1556" i="98"/>
  <c r="GF1556" i="98"/>
  <c r="GH1556" i="98"/>
  <c r="GJ1556" i="98"/>
  <c r="GL1556" i="98"/>
  <c r="FP1557" i="98"/>
  <c r="FT1557" i="98" s="1"/>
  <c r="FS1557" i="98"/>
  <c r="FP1558" i="98"/>
  <c r="FS1558" i="98" s="1"/>
  <c r="FT1558" i="98" s="1"/>
  <c r="FP1559" i="98"/>
  <c r="FP1560" i="98"/>
  <c r="FR1560" i="98"/>
  <c r="FS1560" i="98"/>
  <c r="FT1560" i="98"/>
  <c r="FP1561" i="98"/>
  <c r="FT1561" i="98" s="1"/>
  <c r="FS1561" i="98"/>
  <c r="FP1562" i="98"/>
  <c r="FS1562" i="98" s="1"/>
  <c r="FT1562" i="98" s="1"/>
  <c r="FP1563" i="98"/>
  <c r="FP1564" i="98"/>
  <c r="FR1564" i="98"/>
  <c r="FS1564" i="98"/>
  <c r="FT1564" i="98"/>
  <c r="FP1565" i="98"/>
  <c r="FT1565" i="98" s="1"/>
  <c r="FS1565" i="98"/>
  <c r="FP1566" i="98"/>
  <c r="FS1566" i="98" s="1"/>
  <c r="FT1566" i="98" s="1"/>
  <c r="FP1567" i="98"/>
  <c r="FP1568" i="98"/>
  <c r="FR1568" i="98"/>
  <c r="FS1568" i="98"/>
  <c r="FT1568" i="98"/>
  <c r="FP1569" i="98"/>
  <c r="FT1569" i="98" s="1"/>
  <c r="FS1569" i="98"/>
  <c r="FP1570" i="98"/>
  <c r="FS1570" i="98" s="1"/>
  <c r="FT1570" i="98" s="1"/>
  <c r="FP1571" i="98"/>
  <c r="FP1572" i="98"/>
  <c r="FR1572" i="98"/>
  <c r="FS1572" i="98"/>
  <c r="FT1572" i="98"/>
  <c r="FP1573" i="98"/>
  <c r="FT1573" i="98" s="1"/>
  <c r="FS1573" i="98"/>
  <c r="FP1574" i="98"/>
  <c r="FS1574" i="98" s="1"/>
  <c r="FT1574" i="98" s="1"/>
  <c r="FP1575" i="98"/>
  <c r="FP1576" i="98"/>
  <c r="FR1576" i="98"/>
  <c r="FS1576" i="98"/>
  <c r="FT1576" i="98"/>
  <c r="GB1576" i="98"/>
  <c r="GD1576" i="98"/>
  <c r="GF1576" i="98"/>
  <c r="GH1576" i="98"/>
  <c r="GJ1576" i="98"/>
  <c r="GL1576" i="98"/>
  <c r="FP1577" i="98"/>
  <c r="FT1577" i="98" s="1"/>
  <c r="FS1577" i="98"/>
  <c r="FP1578" i="98"/>
  <c r="FS1578" i="98" s="1"/>
  <c r="FP1579" i="98"/>
  <c r="FP1580" i="98"/>
  <c r="FR1580" i="98"/>
  <c r="FS1580" i="98"/>
  <c r="FT1580" i="98"/>
  <c r="FP1581" i="98"/>
  <c r="FT1581" i="98" s="1"/>
  <c r="FS1581" i="98"/>
  <c r="FP1582" i="98"/>
  <c r="FS1582" i="98" s="1"/>
  <c r="FP1583" i="98"/>
  <c r="FP1584" i="98"/>
  <c r="FR1584" i="98"/>
  <c r="FS1584" i="98"/>
  <c r="FT1584" i="98"/>
  <c r="FP1585" i="98"/>
  <c r="FT1585" i="98" s="1"/>
  <c r="FS1585" i="98"/>
  <c r="FP1586" i="98"/>
  <c r="FS1586" i="98" s="1"/>
  <c r="FP1587" i="98"/>
  <c r="FP1588" i="98"/>
  <c r="FR1588" i="98"/>
  <c r="FS1588" i="98"/>
  <c r="FT1588" i="98"/>
  <c r="FP1589" i="98"/>
  <c r="FT1589" i="98" s="1"/>
  <c r="FS1589" i="98"/>
  <c r="FP1590" i="98"/>
  <c r="FS1590" i="98" s="1"/>
  <c r="FP1591" i="98"/>
  <c r="FP1592" i="98"/>
  <c r="FR1592" i="98"/>
  <c r="FS1592" i="98"/>
  <c r="FT1592" i="98"/>
  <c r="FP1593" i="98"/>
  <c r="FT1593" i="98" s="1"/>
  <c r="FS1593" i="98"/>
  <c r="FP1594" i="98"/>
  <c r="FS1594" i="98" s="1"/>
  <c r="FP1595" i="98"/>
  <c r="FP1596" i="98"/>
  <c r="FR1596" i="98"/>
  <c r="FS1596" i="98"/>
  <c r="FT1596" i="98"/>
  <c r="GB1596" i="98"/>
  <c r="GD1596" i="98"/>
  <c r="GF1596" i="98"/>
  <c r="GH1596" i="98"/>
  <c r="GJ1596" i="98"/>
  <c r="GL1596" i="98"/>
  <c r="FP1597" i="98"/>
  <c r="FT1597" i="98" s="1"/>
  <c r="FS1597" i="98"/>
  <c r="FP1598" i="98"/>
  <c r="FS1598" i="98" s="1"/>
  <c r="FT1598" i="98"/>
  <c r="FP1599" i="98"/>
  <c r="FP1600" i="98"/>
  <c r="FR1600" i="98"/>
  <c r="FS1600" i="98"/>
  <c r="FT1600" i="98"/>
  <c r="FP1601" i="98"/>
  <c r="FT1601" i="98" s="1"/>
  <c r="FS1601" i="98"/>
  <c r="FP1602" i="98"/>
  <c r="FS1602" i="98" s="1"/>
  <c r="FT1602" i="98"/>
  <c r="FP1603" i="98"/>
  <c r="FP1604" i="98"/>
  <c r="FR1604" i="98"/>
  <c r="FS1604" i="98"/>
  <c r="FT1604" i="98"/>
  <c r="FP1605" i="98"/>
  <c r="FT1605" i="98" s="1"/>
  <c r="FS1605" i="98"/>
  <c r="FP1606" i="98"/>
  <c r="FS1606" i="98" s="1"/>
  <c r="FT1606" i="98"/>
  <c r="GF1606" i="98" s="1"/>
  <c r="FP1607" i="98"/>
  <c r="FP1608" i="98"/>
  <c r="FR1608" i="98"/>
  <c r="FS1608" i="98"/>
  <c r="FT1608" i="98"/>
  <c r="FP1609" i="98"/>
  <c r="FT1609" i="98" s="1"/>
  <c r="FS1609" i="98"/>
  <c r="FP1610" i="98"/>
  <c r="FS1610" i="98" s="1"/>
  <c r="FT1610" i="98"/>
  <c r="FP1611" i="98"/>
  <c r="FP1612" i="98"/>
  <c r="FR1612" i="98"/>
  <c r="FS1612" i="98"/>
  <c r="FT1612" i="98"/>
  <c r="FP1613" i="98"/>
  <c r="FT1613" i="98" s="1"/>
  <c r="FS1613" i="98"/>
  <c r="FP1614" i="98"/>
  <c r="FS1614" i="98" s="1"/>
  <c r="FT1614" i="98"/>
  <c r="FP1615" i="98"/>
  <c r="FP1616" i="98"/>
  <c r="FR1616" i="98"/>
  <c r="FS1616" i="98"/>
  <c r="FT1616" i="98"/>
  <c r="GB1616" i="98"/>
  <c r="GD1616" i="98"/>
  <c r="GF1616" i="98"/>
  <c r="GH1616" i="98"/>
  <c r="GJ1616" i="98"/>
  <c r="GL1616" i="98"/>
  <c r="FP1617" i="98"/>
  <c r="FS1617" i="98"/>
  <c r="FP1618" i="98"/>
  <c r="FS1618" i="98" s="1"/>
  <c r="FT1618" i="98" s="1"/>
  <c r="FP1619" i="98"/>
  <c r="FP1620" i="98"/>
  <c r="FR1620" i="98"/>
  <c r="FS1620" i="98"/>
  <c r="FT1620" i="98"/>
  <c r="FP1621" i="98"/>
  <c r="FS1621" i="98"/>
  <c r="FP1622" i="98"/>
  <c r="FS1622" i="98" s="1"/>
  <c r="FT1622" i="98" s="1"/>
  <c r="FP1623" i="98"/>
  <c r="FP1624" i="98"/>
  <c r="FR1624" i="98"/>
  <c r="FS1624" i="98"/>
  <c r="FT1624" i="98"/>
  <c r="FP1625" i="98"/>
  <c r="FS1625" i="98"/>
  <c r="FP1626" i="98"/>
  <c r="FS1626" i="98" s="1"/>
  <c r="FT1626" i="98" s="1"/>
  <c r="FP1627" i="98"/>
  <c r="FP1628" i="98"/>
  <c r="FR1628" i="98"/>
  <c r="FS1628" i="98"/>
  <c r="FT1628" i="98"/>
  <c r="FP1629" i="98"/>
  <c r="FS1629" i="98"/>
  <c r="FP1630" i="98"/>
  <c r="FS1630" i="98" s="1"/>
  <c r="FT1630" i="98" s="1"/>
  <c r="FP1631" i="98"/>
  <c r="FP1632" i="98"/>
  <c r="FR1632" i="98"/>
  <c r="FS1632" i="98"/>
  <c r="FT1632" i="98"/>
  <c r="FP1633" i="98"/>
  <c r="FS1633" i="98"/>
  <c r="FP1634" i="98"/>
  <c r="FS1634" i="98" s="1"/>
  <c r="FT1634" i="98" s="1"/>
  <c r="FP1635" i="98"/>
  <c r="FP1636" i="98"/>
  <c r="FR1636" i="98"/>
  <c r="FS1636" i="98"/>
  <c r="FT1636" i="98"/>
  <c r="GB1636" i="98"/>
  <c r="GD1636" i="98"/>
  <c r="GF1636" i="98"/>
  <c r="GH1636" i="98"/>
  <c r="GJ1636" i="98"/>
  <c r="GL1636" i="98"/>
  <c r="FP1637" i="98"/>
  <c r="FT1637" i="98" s="1"/>
  <c r="FS1637" i="98"/>
  <c r="FP1638" i="98"/>
  <c r="FS1638" i="98" s="1"/>
  <c r="FT1638" i="98" s="1"/>
  <c r="FP1639" i="98"/>
  <c r="FP1640" i="98"/>
  <c r="FR1640" i="98"/>
  <c r="FS1640" i="98"/>
  <c r="FT1640" i="98"/>
  <c r="FP1641" i="98"/>
  <c r="FT1641" i="98" s="1"/>
  <c r="FS1641" i="98"/>
  <c r="FP1642" i="98"/>
  <c r="FS1642" i="98" s="1"/>
  <c r="FT1642" i="98" s="1"/>
  <c r="FP1643" i="98"/>
  <c r="FP1644" i="98"/>
  <c r="FR1644" i="98"/>
  <c r="FS1644" i="98"/>
  <c r="FT1644" i="98"/>
  <c r="FP1645" i="98"/>
  <c r="FT1645" i="98" s="1"/>
  <c r="FS1645" i="98"/>
  <c r="FP1646" i="98"/>
  <c r="FS1646" i="98" s="1"/>
  <c r="FT1646" i="98" s="1"/>
  <c r="FP1647" i="98"/>
  <c r="FP1648" i="98"/>
  <c r="FR1648" i="98"/>
  <c r="FS1648" i="98"/>
  <c r="FT1648" i="98"/>
  <c r="FP1649" i="98"/>
  <c r="FT1649" i="98" s="1"/>
  <c r="FS1649" i="98"/>
  <c r="FP1650" i="98"/>
  <c r="FS1650" i="98" s="1"/>
  <c r="FT1650" i="98" s="1"/>
  <c r="FP1651" i="98"/>
  <c r="FP1652" i="98"/>
  <c r="FR1652" i="98"/>
  <c r="FS1652" i="98"/>
  <c r="FT1652" i="98"/>
  <c r="FP1653" i="98"/>
  <c r="FT1653" i="98" s="1"/>
  <c r="FS1653" i="98"/>
  <c r="FP1654" i="98"/>
  <c r="FS1654" i="98" s="1"/>
  <c r="FT1654" i="98" s="1"/>
  <c r="FP1655" i="98"/>
  <c r="FP1656" i="98"/>
  <c r="FR1656" i="98"/>
  <c r="FS1656" i="98"/>
  <c r="FT1656" i="98"/>
  <c r="GB1656" i="98"/>
  <c r="GD1656" i="98"/>
  <c r="GF1656" i="98"/>
  <c r="GH1656" i="98"/>
  <c r="GJ1656" i="98"/>
  <c r="GL1656" i="98"/>
  <c r="FP1657" i="98"/>
  <c r="FT1657" i="98" s="1"/>
  <c r="FS1657" i="98"/>
  <c r="FP1658" i="98"/>
  <c r="FS1658" i="98" s="1"/>
  <c r="FP1659" i="98"/>
  <c r="FP1660" i="98"/>
  <c r="FR1660" i="98"/>
  <c r="FS1660" i="98"/>
  <c r="FT1660" i="98"/>
  <c r="FP1661" i="98"/>
  <c r="FT1661" i="98" s="1"/>
  <c r="FS1661" i="98"/>
  <c r="FP1662" i="98"/>
  <c r="FS1662" i="98" s="1"/>
  <c r="FP1663" i="98"/>
  <c r="FP1664" i="98"/>
  <c r="FR1664" i="98"/>
  <c r="FS1664" i="98"/>
  <c r="FT1664" i="98"/>
  <c r="FP1665" i="98"/>
  <c r="FT1665" i="98" s="1"/>
  <c r="FS1665" i="98"/>
  <c r="FP1666" i="98"/>
  <c r="FS1666" i="98" s="1"/>
  <c r="FP1667" i="98"/>
  <c r="FP1668" i="98"/>
  <c r="FR1668" i="98"/>
  <c r="FS1668" i="98"/>
  <c r="FT1668" i="98"/>
  <c r="FP1669" i="98"/>
  <c r="FT1669" i="98" s="1"/>
  <c r="FS1669" i="98"/>
  <c r="FP1670" i="98"/>
  <c r="FS1670" i="98" s="1"/>
  <c r="FP1671" i="98"/>
  <c r="FP1672" i="98"/>
  <c r="FR1672" i="98"/>
  <c r="FS1672" i="98"/>
  <c r="FT1672" i="98"/>
  <c r="FP1673" i="98"/>
  <c r="FT1673" i="98" s="1"/>
  <c r="FS1673" i="98"/>
  <c r="FP1674" i="98"/>
  <c r="FS1674" i="98" s="1"/>
  <c r="FP1675" i="98"/>
  <c r="FP1676" i="98"/>
  <c r="FR1676" i="98"/>
  <c r="FS1676" i="98"/>
  <c r="FT1676" i="98"/>
  <c r="GD1676" i="98"/>
  <c r="GH1676" i="98"/>
  <c r="GL1676" i="98"/>
  <c r="FP1677" i="98"/>
  <c r="FT1677" i="98" s="1"/>
  <c r="FS1677" i="98"/>
  <c r="FP1678" i="98"/>
  <c r="FS1678" i="98" s="1"/>
  <c r="FP1679" i="98"/>
  <c r="FP1680" i="98"/>
  <c r="FR1680" i="98"/>
  <c r="FS1680" i="98"/>
  <c r="FT1680" i="98"/>
  <c r="FP1681" i="98"/>
  <c r="FT1681" i="98" s="1"/>
  <c r="FS1681" i="98"/>
  <c r="FP1682" i="98"/>
  <c r="FS1682" i="98" s="1"/>
  <c r="FP1683" i="98"/>
  <c r="FP1684" i="98"/>
  <c r="FR1684" i="98"/>
  <c r="FS1684" i="98"/>
  <c r="FT1684" i="98"/>
  <c r="FP1685" i="98"/>
  <c r="FT1685" i="98" s="1"/>
  <c r="FS1685" i="98"/>
  <c r="GD7" i="98"/>
  <c r="GE7" i="98"/>
  <c r="GH7" i="98"/>
  <c r="GK7" i="98"/>
  <c r="GD8" i="98"/>
  <c r="GE8" i="98"/>
  <c r="GH8" i="98"/>
  <c r="GK8" i="98"/>
  <c r="GD9" i="98"/>
  <c r="GE9" i="98"/>
  <c r="GH9" i="98"/>
  <c r="GK9" i="98"/>
  <c r="GD10" i="98"/>
  <c r="GE10" i="98"/>
  <c r="GH10" i="98"/>
  <c r="GK10" i="98"/>
  <c r="GD11" i="98"/>
  <c r="GE11" i="98"/>
  <c r="GH11" i="98"/>
  <c r="GK11" i="98"/>
  <c r="GD12" i="98"/>
  <c r="GE12" i="98"/>
  <c r="GH12" i="98"/>
  <c r="GK12" i="98"/>
  <c r="GD13" i="98"/>
  <c r="GE13" i="98"/>
  <c r="GH13" i="98"/>
  <c r="GK13" i="98"/>
  <c r="GD14" i="98"/>
  <c r="GE14" i="98"/>
  <c r="GH14" i="98"/>
  <c r="GK14" i="98"/>
  <c r="GD15" i="98"/>
  <c r="GE15" i="98"/>
  <c r="GH15" i="98"/>
  <c r="GK15" i="98"/>
  <c r="GD16" i="98"/>
  <c r="GE16" i="98"/>
  <c r="GF16" i="98"/>
  <c r="GG16" i="98"/>
  <c r="GH16" i="98"/>
  <c r="GI16" i="98"/>
  <c r="GJ16" i="98"/>
  <c r="GK16" i="98"/>
  <c r="GL16" i="98"/>
  <c r="GD17" i="98"/>
  <c r="GE17" i="98"/>
  <c r="GH17" i="98"/>
  <c r="GK17" i="98"/>
  <c r="GD18" i="98"/>
  <c r="GE18" i="98"/>
  <c r="GH18" i="98"/>
  <c r="GK18" i="98"/>
  <c r="GD19" i="98"/>
  <c r="GE19" i="98"/>
  <c r="GH19" i="98"/>
  <c r="GK19" i="98"/>
  <c r="GD20" i="98"/>
  <c r="GE20" i="98"/>
  <c r="GH20" i="98"/>
  <c r="GK20" i="98"/>
  <c r="GD21" i="98"/>
  <c r="GE21" i="98"/>
  <c r="GH21" i="98"/>
  <c r="GK21" i="98"/>
  <c r="GD22" i="98"/>
  <c r="GE22" i="98"/>
  <c r="GH22" i="98"/>
  <c r="GK22" i="98"/>
  <c r="GD23" i="98"/>
  <c r="GE23" i="98"/>
  <c r="GH23" i="98"/>
  <c r="GK23" i="98"/>
  <c r="GD24" i="98"/>
  <c r="GE24" i="98"/>
  <c r="GH24" i="98"/>
  <c r="GK24" i="98"/>
  <c r="GD25" i="98"/>
  <c r="GE25" i="98"/>
  <c r="GH25" i="98"/>
  <c r="GK25" i="98"/>
  <c r="GD26" i="98"/>
  <c r="GE26" i="98"/>
  <c r="GF26" i="98"/>
  <c r="GG26" i="98"/>
  <c r="GH26" i="98"/>
  <c r="GI26" i="98"/>
  <c r="GJ26" i="98"/>
  <c r="GK26" i="98"/>
  <c r="GL26" i="98"/>
  <c r="GD27" i="98"/>
  <c r="GE27" i="98"/>
  <c r="GH27" i="98"/>
  <c r="GK27" i="98"/>
  <c r="GD28" i="98"/>
  <c r="GE28" i="98"/>
  <c r="GH28" i="98"/>
  <c r="GK28" i="98"/>
  <c r="GD29" i="98"/>
  <c r="GE29" i="98"/>
  <c r="GH29" i="98"/>
  <c r="GK29" i="98"/>
  <c r="GD30" i="98"/>
  <c r="GE30" i="98"/>
  <c r="GH30" i="98"/>
  <c r="GK30" i="98"/>
  <c r="GD31" i="98"/>
  <c r="GE31" i="98"/>
  <c r="GH31" i="98"/>
  <c r="GK31" i="98"/>
  <c r="GD32" i="98"/>
  <c r="GE32" i="98"/>
  <c r="GH32" i="98"/>
  <c r="GK32" i="98"/>
  <c r="GD33" i="98"/>
  <c r="GE33" i="98"/>
  <c r="GH33" i="98"/>
  <c r="GK33" i="98"/>
  <c r="GD34" i="98"/>
  <c r="GE34" i="98"/>
  <c r="GH34" i="98"/>
  <c r="GK34" i="98"/>
  <c r="GD35" i="98"/>
  <c r="GE35" i="98"/>
  <c r="GH35" i="98"/>
  <c r="GK35" i="98"/>
  <c r="GD36" i="98"/>
  <c r="GE36" i="98"/>
  <c r="GF36" i="98"/>
  <c r="GG36" i="98"/>
  <c r="GH36" i="98"/>
  <c r="GI36" i="98"/>
  <c r="GJ36" i="98"/>
  <c r="GK36" i="98"/>
  <c r="GL36" i="98"/>
  <c r="GD37" i="98"/>
  <c r="GE37" i="98"/>
  <c r="GH37" i="98"/>
  <c r="GK37" i="98"/>
  <c r="GD38" i="98"/>
  <c r="GE38" i="98"/>
  <c r="GH38" i="98"/>
  <c r="GK38" i="98"/>
  <c r="GD39" i="98"/>
  <c r="GE39" i="98"/>
  <c r="GH39" i="98"/>
  <c r="GK39" i="98"/>
  <c r="GD40" i="98"/>
  <c r="GE40" i="98"/>
  <c r="GH40" i="98"/>
  <c r="GK40" i="98"/>
  <c r="GD41" i="98"/>
  <c r="GE41" i="98"/>
  <c r="GH41" i="98"/>
  <c r="GK41" i="98"/>
  <c r="GD42" i="98"/>
  <c r="GE42" i="98"/>
  <c r="GH42" i="98"/>
  <c r="GK42" i="98"/>
  <c r="GD43" i="98"/>
  <c r="GE43" i="98"/>
  <c r="GH43" i="98"/>
  <c r="GK43" i="98"/>
  <c r="GD44" i="98"/>
  <c r="GE44" i="98"/>
  <c r="GH44" i="98"/>
  <c r="GK44" i="98"/>
  <c r="GD45" i="98"/>
  <c r="GE45" i="98"/>
  <c r="GH45" i="98"/>
  <c r="GK45" i="98"/>
  <c r="GD46" i="98"/>
  <c r="GE46" i="98"/>
  <c r="GF46" i="98"/>
  <c r="GG46" i="98"/>
  <c r="GH46" i="98"/>
  <c r="GI46" i="98"/>
  <c r="GJ46" i="98"/>
  <c r="GK46" i="98"/>
  <c r="GL46" i="98"/>
  <c r="GD47" i="98"/>
  <c r="GE47" i="98"/>
  <c r="GH47" i="98"/>
  <c r="GK47" i="98"/>
  <c r="GD48" i="98"/>
  <c r="GE48" i="98"/>
  <c r="GH48" i="98"/>
  <c r="GK48" i="98"/>
  <c r="GD49" i="98"/>
  <c r="GE49" i="98"/>
  <c r="GH49" i="98"/>
  <c r="GK49" i="98"/>
  <c r="GD50" i="98"/>
  <c r="GE50" i="98"/>
  <c r="GH50" i="98"/>
  <c r="GK50" i="98"/>
  <c r="GD51" i="98"/>
  <c r="GE51" i="98"/>
  <c r="GH51" i="98"/>
  <c r="GK51" i="98"/>
  <c r="GD52" i="98"/>
  <c r="GE52" i="98"/>
  <c r="GH52" i="98"/>
  <c r="GK52" i="98"/>
  <c r="GD53" i="98"/>
  <c r="GE53" i="98"/>
  <c r="GH53" i="98"/>
  <c r="GK53" i="98"/>
  <c r="GD54" i="98"/>
  <c r="GE54" i="98"/>
  <c r="GH54" i="98"/>
  <c r="GK54" i="98"/>
  <c r="GD55" i="98"/>
  <c r="GE55" i="98"/>
  <c r="GH55" i="98"/>
  <c r="GK55" i="98"/>
  <c r="GD56" i="98"/>
  <c r="GE56" i="98"/>
  <c r="GF56" i="98"/>
  <c r="GG56" i="98"/>
  <c r="GH56" i="98"/>
  <c r="GI56" i="98"/>
  <c r="GJ56" i="98"/>
  <c r="GK56" i="98"/>
  <c r="GL56" i="98"/>
  <c r="GD57" i="98"/>
  <c r="GE57" i="98"/>
  <c r="GH57" i="98"/>
  <c r="GK57" i="98"/>
  <c r="GD58" i="98"/>
  <c r="GE58" i="98"/>
  <c r="GH58" i="98"/>
  <c r="GK58" i="98"/>
  <c r="GD59" i="98"/>
  <c r="GE59" i="98"/>
  <c r="GH59" i="98"/>
  <c r="GK59" i="98"/>
  <c r="GD60" i="98"/>
  <c r="GE60" i="98"/>
  <c r="GH60" i="98"/>
  <c r="GK60" i="98"/>
  <c r="GD61" i="98"/>
  <c r="GE61" i="98"/>
  <c r="GH61" i="98"/>
  <c r="GK61" i="98"/>
  <c r="GD62" i="98"/>
  <c r="GE62" i="98"/>
  <c r="GH62" i="98"/>
  <c r="GK62" i="98"/>
  <c r="GD63" i="98"/>
  <c r="GE63" i="98"/>
  <c r="GH63" i="98"/>
  <c r="GK63" i="98"/>
  <c r="GD64" i="98"/>
  <c r="GE64" i="98"/>
  <c r="GH64" i="98"/>
  <c r="GK64" i="98"/>
  <c r="GD65" i="98"/>
  <c r="GE65" i="98"/>
  <c r="GH65" i="98"/>
  <c r="GK65" i="98"/>
  <c r="GD66" i="98"/>
  <c r="GE66" i="98"/>
  <c r="GF66" i="98"/>
  <c r="GG66" i="98"/>
  <c r="GH66" i="98"/>
  <c r="GI66" i="98"/>
  <c r="GJ66" i="98"/>
  <c r="GK66" i="98"/>
  <c r="GL66" i="98"/>
  <c r="GD67" i="98"/>
  <c r="GE67" i="98"/>
  <c r="GH67" i="98"/>
  <c r="GK67" i="98"/>
  <c r="GD68" i="98"/>
  <c r="GE68" i="98"/>
  <c r="GH68" i="98"/>
  <c r="GK68" i="98"/>
  <c r="GD69" i="98"/>
  <c r="GE69" i="98"/>
  <c r="GH69" i="98"/>
  <c r="GK69" i="98"/>
  <c r="GD70" i="98"/>
  <c r="GE70" i="98"/>
  <c r="GH70" i="98"/>
  <c r="GK70" i="98"/>
  <c r="GD71" i="98"/>
  <c r="GE71" i="98"/>
  <c r="GH71" i="98"/>
  <c r="GK71" i="98"/>
  <c r="GD72" i="98"/>
  <c r="GE72" i="98"/>
  <c r="GH72" i="98"/>
  <c r="GK72" i="98"/>
  <c r="GD73" i="98"/>
  <c r="GE73" i="98"/>
  <c r="GH73" i="98"/>
  <c r="GK73" i="98"/>
  <c r="GD74" i="98"/>
  <c r="GE74" i="98"/>
  <c r="GH74" i="98"/>
  <c r="GK74" i="98"/>
  <c r="GD75" i="98"/>
  <c r="GE75" i="98"/>
  <c r="GH75" i="98"/>
  <c r="GK75" i="98"/>
  <c r="GD76" i="98"/>
  <c r="GE76" i="98"/>
  <c r="GF76" i="98"/>
  <c r="GG76" i="98"/>
  <c r="GH76" i="98"/>
  <c r="GI76" i="98"/>
  <c r="GJ76" i="98"/>
  <c r="GK76" i="98"/>
  <c r="GL76" i="98"/>
  <c r="GD77" i="98"/>
  <c r="GE77" i="98"/>
  <c r="GH77" i="98"/>
  <c r="GK77" i="98"/>
  <c r="GD78" i="98"/>
  <c r="GE78" i="98"/>
  <c r="GH78" i="98"/>
  <c r="GK78" i="98"/>
  <c r="GD79" i="98"/>
  <c r="GE79" i="98"/>
  <c r="GH79" i="98"/>
  <c r="GK79" i="98"/>
  <c r="GD80" i="98"/>
  <c r="GE80" i="98"/>
  <c r="GH80" i="98"/>
  <c r="GK80" i="98"/>
  <c r="GD81" i="98"/>
  <c r="GE81" i="98"/>
  <c r="GH81" i="98"/>
  <c r="GK81" i="98"/>
  <c r="GD82" i="98"/>
  <c r="GE82" i="98"/>
  <c r="GH82" i="98"/>
  <c r="GK82" i="98"/>
  <c r="GD83" i="98"/>
  <c r="GE83" i="98"/>
  <c r="GH83" i="98"/>
  <c r="GK83" i="98"/>
  <c r="GD84" i="98"/>
  <c r="GE84" i="98"/>
  <c r="GH84" i="98"/>
  <c r="GK84" i="98"/>
  <c r="GD85" i="98"/>
  <c r="GE85" i="98"/>
  <c r="GH85" i="98"/>
  <c r="GK85" i="98"/>
  <c r="GE6" i="98"/>
  <c r="GF6" i="98"/>
  <c r="GG6" i="98"/>
  <c r="GH6" i="98"/>
  <c r="GI6" i="98"/>
  <c r="GJ6" i="98"/>
  <c r="GK6" i="98"/>
  <c r="GL6" i="98"/>
  <c r="GD6" i="98"/>
  <c r="GB7" i="98"/>
  <c r="GB8" i="98"/>
  <c r="GB9" i="98"/>
  <c r="GB10" i="98"/>
  <c r="GB11" i="98"/>
  <c r="GB12" i="98"/>
  <c r="GB13" i="98"/>
  <c r="GB14" i="98"/>
  <c r="GB15" i="98"/>
  <c r="GA16" i="98"/>
  <c r="GB16" i="98"/>
  <c r="GC16" i="98"/>
  <c r="GB17" i="98"/>
  <c r="GB18" i="98"/>
  <c r="GB19" i="98"/>
  <c r="GB20" i="98"/>
  <c r="GB21" i="98"/>
  <c r="GB22" i="98"/>
  <c r="GB23" i="98"/>
  <c r="GB24" i="98"/>
  <c r="GB25" i="98"/>
  <c r="GA26" i="98"/>
  <c r="GB26" i="98"/>
  <c r="GC26" i="98"/>
  <c r="GB27" i="98"/>
  <c r="GB28" i="98"/>
  <c r="GB29" i="98"/>
  <c r="GB30" i="98"/>
  <c r="GB31" i="98"/>
  <c r="GB32" i="98"/>
  <c r="GB33" i="98"/>
  <c r="GB34" i="98"/>
  <c r="GB35" i="98"/>
  <c r="GA36" i="98"/>
  <c r="GB36" i="98"/>
  <c r="GC36" i="98"/>
  <c r="GB37" i="98"/>
  <c r="GB38" i="98"/>
  <c r="GB39" i="98"/>
  <c r="GB40" i="98"/>
  <c r="GB41" i="98"/>
  <c r="GB42" i="98"/>
  <c r="GB43" i="98"/>
  <c r="GB44" i="98"/>
  <c r="GB45" i="98"/>
  <c r="GA46" i="98"/>
  <c r="GB46" i="98"/>
  <c r="GC46" i="98"/>
  <c r="GB47" i="98"/>
  <c r="GB48" i="98"/>
  <c r="GB49" i="98"/>
  <c r="GB50" i="98"/>
  <c r="GB51" i="98"/>
  <c r="GB52" i="98"/>
  <c r="GB53" i="98"/>
  <c r="GB54" i="98"/>
  <c r="GB55" i="98"/>
  <c r="GA56" i="98"/>
  <c r="GB56" i="98"/>
  <c r="GC56" i="98"/>
  <c r="GB57" i="98"/>
  <c r="GB58" i="98"/>
  <c r="GB59" i="98"/>
  <c r="GB60" i="98"/>
  <c r="GB61" i="98"/>
  <c r="GB62" i="98"/>
  <c r="GB63" i="98"/>
  <c r="GB64" i="98"/>
  <c r="GB65" i="98"/>
  <c r="GA66" i="98"/>
  <c r="GB66" i="98"/>
  <c r="GC66" i="98"/>
  <c r="GB67" i="98"/>
  <c r="GB68" i="98"/>
  <c r="GB69" i="98"/>
  <c r="GB70" i="98"/>
  <c r="GB71" i="98"/>
  <c r="GB72" i="98"/>
  <c r="GB73" i="98"/>
  <c r="GB74" i="98"/>
  <c r="GB75" i="98"/>
  <c r="GA76" i="98"/>
  <c r="GB76" i="98"/>
  <c r="GC76" i="98"/>
  <c r="GB77" i="98"/>
  <c r="GB78" i="98"/>
  <c r="GB79" i="98"/>
  <c r="GB80" i="98"/>
  <c r="GB81" i="98"/>
  <c r="GB82" i="98"/>
  <c r="GB83" i="98"/>
  <c r="GB84" i="98"/>
  <c r="GB85" i="98"/>
  <c r="GA6" i="98"/>
  <c r="GB6" i="98"/>
  <c r="GC6" i="98"/>
  <c r="FO7" i="98"/>
  <c r="FO8" i="98"/>
  <c r="FO9" i="98"/>
  <c r="FO10" i="98"/>
  <c r="FO11" i="98"/>
  <c r="FO12" i="98"/>
  <c r="FO13" i="98"/>
  <c r="FO14" i="98"/>
  <c r="FO15" i="98"/>
  <c r="FO16" i="98"/>
  <c r="FO17" i="98"/>
  <c r="FO18" i="98"/>
  <c r="FO19" i="98"/>
  <c r="FO20" i="98"/>
  <c r="FO21" i="98"/>
  <c r="FO22" i="98"/>
  <c r="FO23" i="98"/>
  <c r="FO24" i="98"/>
  <c r="FO25" i="98"/>
  <c r="FO26" i="98"/>
  <c r="FO27" i="98"/>
  <c r="FO28" i="98"/>
  <c r="FO29" i="98"/>
  <c r="FO30" i="98"/>
  <c r="FO31" i="98"/>
  <c r="FO32" i="98"/>
  <c r="FO33" i="98"/>
  <c r="FO34" i="98"/>
  <c r="FO35" i="98"/>
  <c r="FO36" i="98"/>
  <c r="FO37" i="98"/>
  <c r="FO38" i="98"/>
  <c r="FO39" i="98"/>
  <c r="FO40" i="98"/>
  <c r="FO41" i="98"/>
  <c r="FO42" i="98"/>
  <c r="FO43" i="98"/>
  <c r="FO44" i="98"/>
  <c r="FO45" i="98"/>
  <c r="FO46" i="98"/>
  <c r="FO47" i="98"/>
  <c r="FO48" i="98"/>
  <c r="FO49" i="98"/>
  <c r="FO50" i="98"/>
  <c r="FO51" i="98"/>
  <c r="FO52" i="98"/>
  <c r="FO53" i="98"/>
  <c r="FO54" i="98"/>
  <c r="FO55" i="98"/>
  <c r="FO56" i="98"/>
  <c r="FO57" i="98"/>
  <c r="FO58" i="98"/>
  <c r="FO59" i="98"/>
  <c r="FO60" i="98"/>
  <c r="FO61" i="98"/>
  <c r="FO62" i="98"/>
  <c r="FO63" i="98"/>
  <c r="FO64" i="98"/>
  <c r="FO65" i="98"/>
  <c r="FO66" i="98"/>
  <c r="FO67" i="98"/>
  <c r="FO68" i="98"/>
  <c r="FO69" i="98"/>
  <c r="FO70" i="98"/>
  <c r="FO71" i="98"/>
  <c r="FO72" i="98"/>
  <c r="FO73" i="98"/>
  <c r="FO74" i="98"/>
  <c r="FO75" i="98"/>
  <c r="FO76" i="98"/>
  <c r="FO77" i="98"/>
  <c r="FO78" i="98"/>
  <c r="FO79" i="98"/>
  <c r="FO80" i="98"/>
  <c r="FO81" i="98"/>
  <c r="FO82" i="98"/>
  <c r="FO83" i="98"/>
  <c r="FO84" i="98"/>
  <c r="FO85" i="98"/>
  <c r="FO6" i="98"/>
  <c r="FO1634" i="98" l="1"/>
  <c r="GD1630" i="98"/>
  <c r="FO1630" i="98"/>
  <c r="GB1630" i="98"/>
  <c r="GC1626" i="98"/>
  <c r="GG1626" i="98"/>
  <c r="GK1626" i="98"/>
  <c r="GD1626" i="98"/>
  <c r="GH1626" i="98"/>
  <c r="GL1626" i="98"/>
  <c r="GA1626" i="98"/>
  <c r="GE1626" i="98"/>
  <c r="GI1626" i="98"/>
  <c r="FO1626" i="98"/>
  <c r="GB1626" i="98"/>
  <c r="GF1626" i="98"/>
  <c r="GJ1626" i="98"/>
  <c r="GK1622" i="98"/>
  <c r="GD1622" i="98"/>
  <c r="GH1622" i="98"/>
  <c r="GE1622" i="98"/>
  <c r="FO1622" i="98"/>
  <c r="GB1622" i="98"/>
  <c r="FO1618" i="98"/>
  <c r="GE1472" i="98"/>
  <c r="GE1360" i="98"/>
  <c r="GK1654" i="98"/>
  <c r="GH1654" i="98"/>
  <c r="GE1654" i="98"/>
  <c r="FO1654" i="98"/>
  <c r="GK1650" i="98"/>
  <c r="GD1650" i="98"/>
  <c r="GH1650" i="98"/>
  <c r="GE1650" i="98"/>
  <c r="GB1650" i="98"/>
  <c r="FO1650" i="98"/>
  <c r="GC1646" i="98"/>
  <c r="GG1646" i="98"/>
  <c r="GK1646" i="98"/>
  <c r="GD1646" i="98"/>
  <c r="GH1646" i="98"/>
  <c r="GL1646" i="98"/>
  <c r="GA1646" i="98"/>
  <c r="GE1646" i="98"/>
  <c r="GI1646" i="98"/>
  <c r="GF1646" i="98"/>
  <c r="GJ1646" i="98"/>
  <c r="FO1646" i="98"/>
  <c r="GB1646" i="98"/>
  <c r="FO1642" i="98"/>
  <c r="GK1638" i="98"/>
  <c r="GH1638" i="98"/>
  <c r="GE1638" i="98"/>
  <c r="FO1638" i="98"/>
  <c r="GE1408" i="98"/>
  <c r="GK1574" i="98"/>
  <c r="GH1574" i="98"/>
  <c r="GE1574" i="98"/>
  <c r="FO1574" i="98"/>
  <c r="GB1574" i="98"/>
  <c r="GD1570" i="98"/>
  <c r="GB1570" i="98"/>
  <c r="FO1570" i="98"/>
  <c r="GC1566" i="98"/>
  <c r="GG1566" i="98"/>
  <c r="GK1566" i="98"/>
  <c r="GD1566" i="98"/>
  <c r="GH1566" i="98"/>
  <c r="GL1566" i="98"/>
  <c r="GA1566" i="98"/>
  <c r="GE1566" i="98"/>
  <c r="GI1566" i="98"/>
  <c r="GF1566" i="98"/>
  <c r="GJ1566" i="98"/>
  <c r="GB1566" i="98"/>
  <c r="FO1566" i="98"/>
  <c r="GK1562" i="98"/>
  <c r="GH1562" i="98"/>
  <c r="GE1562" i="98"/>
  <c r="FO1562" i="98"/>
  <c r="FO1558" i="98"/>
  <c r="GE1344" i="98"/>
  <c r="GD1318" i="98"/>
  <c r="GK1554" i="98"/>
  <c r="GD1554" i="98"/>
  <c r="GH1554" i="98"/>
  <c r="GE1554" i="98"/>
  <c r="FO1554" i="98"/>
  <c r="GB1554" i="98"/>
  <c r="GK1550" i="98"/>
  <c r="GD1550" i="98"/>
  <c r="GH1550" i="98"/>
  <c r="GE1550" i="98"/>
  <c r="FO1550" i="98"/>
  <c r="GB1550" i="98"/>
  <c r="GC1546" i="98"/>
  <c r="GG1546" i="98"/>
  <c r="GK1546" i="98"/>
  <c r="GD1546" i="98"/>
  <c r="GH1546" i="98"/>
  <c r="GL1546" i="98"/>
  <c r="GA1546" i="98"/>
  <c r="GE1546" i="98"/>
  <c r="GI1546" i="98"/>
  <c r="FO1546" i="98"/>
  <c r="GB1546" i="98"/>
  <c r="GF1546" i="98"/>
  <c r="GJ1546" i="98"/>
  <c r="GD1542" i="98"/>
  <c r="FO1542" i="98"/>
  <c r="GB1542" i="98"/>
  <c r="GK1538" i="98"/>
  <c r="GD1538" i="98"/>
  <c r="GH1538" i="98"/>
  <c r="GE1538" i="98"/>
  <c r="FO1538" i="98"/>
  <c r="GB1538" i="98"/>
  <c r="GE1504" i="98"/>
  <c r="GE1392" i="98"/>
  <c r="FS1631" i="98"/>
  <c r="FR1631" i="98" s="1"/>
  <c r="FT1631" i="98"/>
  <c r="FS1627" i="98"/>
  <c r="FR1627" i="98" s="1"/>
  <c r="FT1627" i="98"/>
  <c r="FR1619" i="98"/>
  <c r="FS1619" i="98"/>
  <c r="FT1619" i="98"/>
  <c r="FO1609" i="98"/>
  <c r="GB1609" i="98" s="1"/>
  <c r="GK1609" i="98"/>
  <c r="GD1609" i="98"/>
  <c r="GH1609" i="98"/>
  <c r="FO1601" i="98"/>
  <c r="GB1601" i="98" s="1"/>
  <c r="GK1601" i="98"/>
  <c r="GD1601" i="98"/>
  <c r="GH1601" i="98"/>
  <c r="FS1543" i="98"/>
  <c r="FR1543" i="98" s="1"/>
  <c r="FT1543" i="98"/>
  <c r="GD1534" i="98"/>
  <c r="GE1533" i="98"/>
  <c r="GJ1526" i="98"/>
  <c r="FO1525" i="98"/>
  <c r="GD1525" i="98"/>
  <c r="GE1517" i="98"/>
  <c r="GD1497" i="98"/>
  <c r="GE1497" i="98"/>
  <c r="FO1497" i="98"/>
  <c r="GH1497" i="98" s="1"/>
  <c r="GK1497" i="98"/>
  <c r="GB1497" i="98"/>
  <c r="GD1485" i="98"/>
  <c r="GB1485" i="98"/>
  <c r="GD1437" i="98"/>
  <c r="GH1437" i="98"/>
  <c r="GB1437" i="98"/>
  <c r="FR1424" i="98"/>
  <c r="FS1402" i="98"/>
  <c r="FT1402" i="98"/>
  <c r="GD1385" i="98"/>
  <c r="GE1385" i="98"/>
  <c r="FO1385" i="98"/>
  <c r="GH1385" i="98" s="1"/>
  <c r="GK1385" i="98"/>
  <c r="GB1385" i="98"/>
  <c r="FO1350" i="98"/>
  <c r="GE1350" i="98" s="1"/>
  <c r="GK1350" i="98"/>
  <c r="FS1338" i="98"/>
  <c r="GE1325" i="98"/>
  <c r="FS1303" i="98"/>
  <c r="FT1303" i="98" s="1"/>
  <c r="GK1290" i="98"/>
  <c r="FR1290" i="98"/>
  <c r="GC1276" i="98"/>
  <c r="GG1276" i="98"/>
  <c r="GK1276" i="98"/>
  <c r="GA1276" i="98"/>
  <c r="GE1276" i="98"/>
  <c r="GI1276" i="98"/>
  <c r="GD1276" i="98"/>
  <c r="GL1276" i="98"/>
  <c r="FR1276" i="98"/>
  <c r="GF1276" i="98"/>
  <c r="GH1276" i="98"/>
  <c r="FR1158" i="98"/>
  <c r="GH1094" i="98"/>
  <c r="GD1094" i="98"/>
  <c r="FS1655" i="98"/>
  <c r="FR1655" i="98" s="1"/>
  <c r="FT1655" i="98"/>
  <c r="FR1651" i="98"/>
  <c r="FS1651" i="98"/>
  <c r="FT1651" i="98"/>
  <c r="FS1647" i="98"/>
  <c r="FT1647" i="98" s="1"/>
  <c r="FS1643" i="98"/>
  <c r="FR1643" i="98" s="1"/>
  <c r="FT1643" i="98"/>
  <c r="FS1639" i="98"/>
  <c r="FR1639" i="98" s="1"/>
  <c r="FT1639" i="98"/>
  <c r="FT1633" i="98"/>
  <c r="FT1629" i="98"/>
  <c r="FT1625" i="98"/>
  <c r="FT1621" i="98"/>
  <c r="FT1617" i="98"/>
  <c r="FR1614" i="98"/>
  <c r="FR1610" i="98"/>
  <c r="FR1606" i="98"/>
  <c r="FR1602" i="98"/>
  <c r="FR1598" i="98"/>
  <c r="FS1575" i="98"/>
  <c r="FR1575" i="98" s="1"/>
  <c r="FT1575" i="98"/>
  <c r="FR1571" i="98"/>
  <c r="FS1571" i="98"/>
  <c r="FT1571" i="98"/>
  <c r="FS1567" i="98"/>
  <c r="FT1567" i="98" s="1"/>
  <c r="FS1563" i="98"/>
  <c r="FR1563" i="98" s="1"/>
  <c r="FT1563" i="98"/>
  <c r="FS1559" i="98"/>
  <c r="FR1559" i="98" s="1"/>
  <c r="FT1559" i="98"/>
  <c r="FT1553" i="98"/>
  <c r="FT1549" i="98"/>
  <c r="FT1545" i="98"/>
  <c r="FT1541" i="98"/>
  <c r="FT1537" i="98"/>
  <c r="FR1534" i="98"/>
  <c r="FR1530" i="98"/>
  <c r="FR1526" i="98"/>
  <c r="FR1522" i="98"/>
  <c r="FR1518" i="98"/>
  <c r="GD1505" i="98"/>
  <c r="GE1505" i="98"/>
  <c r="FO1505" i="98"/>
  <c r="GK1505" i="98"/>
  <c r="GB1505" i="98"/>
  <c r="GC1496" i="98"/>
  <c r="GG1496" i="98"/>
  <c r="GK1496" i="98"/>
  <c r="GA1496" i="98"/>
  <c r="GF1496" i="98"/>
  <c r="GL1496" i="98"/>
  <c r="FR1496" i="98"/>
  <c r="GB1496" i="98"/>
  <c r="GH1496" i="98"/>
  <c r="GD1496" i="98"/>
  <c r="GI1496" i="98"/>
  <c r="GD1493" i="98"/>
  <c r="GH1493" i="98"/>
  <c r="GB1493" i="98"/>
  <c r="GE1493" i="98"/>
  <c r="GA1486" i="98"/>
  <c r="GE1486" i="98"/>
  <c r="GI1486" i="98"/>
  <c r="FO1486" i="98"/>
  <c r="GF1486" i="98"/>
  <c r="GK1486" i="98"/>
  <c r="GB1486" i="98"/>
  <c r="GG1486" i="98"/>
  <c r="GL1486" i="98"/>
  <c r="GC1486" i="98"/>
  <c r="GH1486" i="98"/>
  <c r="FO1485" i="98"/>
  <c r="GH1485" i="98" s="1"/>
  <c r="GE1480" i="98"/>
  <c r="GE1470" i="98"/>
  <c r="FO1470" i="98"/>
  <c r="GK1470" i="98"/>
  <c r="GB1470" i="98"/>
  <c r="GH1470" i="98"/>
  <c r="FO1469" i="98"/>
  <c r="FR1467" i="98"/>
  <c r="GE1464" i="98"/>
  <c r="FS1458" i="98"/>
  <c r="FT1458" i="98" s="1"/>
  <c r="GD1457" i="98"/>
  <c r="GE1457" i="98"/>
  <c r="FO1457" i="98"/>
  <c r="GK1457" i="98"/>
  <c r="GB1457" i="98"/>
  <c r="GK1448" i="98"/>
  <c r="FR1448" i="98"/>
  <c r="GB1448" i="98"/>
  <c r="GH1448" i="98"/>
  <c r="GD1448" i="98"/>
  <c r="GD1445" i="98"/>
  <c r="GH1445" i="98"/>
  <c r="GB1445" i="98"/>
  <c r="GE1445" i="98"/>
  <c r="GE1438" i="98"/>
  <c r="FO1438" i="98"/>
  <c r="GK1438" i="98"/>
  <c r="GB1438" i="98"/>
  <c r="GH1438" i="98"/>
  <c r="FO1437" i="98"/>
  <c r="GK1432" i="98"/>
  <c r="FR1432" i="98"/>
  <c r="GB1432" i="98"/>
  <c r="GH1432" i="98"/>
  <c r="GD1432" i="98"/>
  <c r="GD1429" i="98"/>
  <c r="GH1429" i="98"/>
  <c r="GB1429" i="98"/>
  <c r="GE1429" i="98"/>
  <c r="FO1422" i="98"/>
  <c r="GK1422" i="98"/>
  <c r="FO1421" i="98"/>
  <c r="GH1421" i="98" s="1"/>
  <c r="GE1416" i="98"/>
  <c r="FS1410" i="98"/>
  <c r="FT1410" i="98"/>
  <c r="FO1409" i="98"/>
  <c r="GK1409" i="98"/>
  <c r="GD1406" i="98"/>
  <c r="GK1400" i="98"/>
  <c r="FR1400" i="98"/>
  <c r="GB1400" i="98"/>
  <c r="GH1400" i="98"/>
  <c r="GD1400" i="98"/>
  <c r="GD1397" i="98"/>
  <c r="GH1397" i="98"/>
  <c r="GB1397" i="98"/>
  <c r="GE1397" i="98"/>
  <c r="FS1394" i="98"/>
  <c r="FT1394" i="98"/>
  <c r="FO1393" i="98"/>
  <c r="GK1393" i="98"/>
  <c r="GK1384" i="98"/>
  <c r="FR1384" i="98"/>
  <c r="GB1384" i="98"/>
  <c r="GH1384" i="98"/>
  <c r="GD1384" i="98"/>
  <c r="GD1381" i="98"/>
  <c r="GH1381" i="98"/>
  <c r="GB1381" i="98"/>
  <c r="GE1381" i="98"/>
  <c r="GJ1376" i="98"/>
  <c r="FO1374" i="98"/>
  <c r="GK1374" i="98"/>
  <c r="FO1373" i="98"/>
  <c r="GE1368" i="98"/>
  <c r="GJ1366" i="98"/>
  <c r="FS1362" i="98"/>
  <c r="FT1362" i="98"/>
  <c r="FR1362" i="98" s="1"/>
  <c r="GD1361" i="98"/>
  <c r="GH1361" i="98"/>
  <c r="GE1361" i="98"/>
  <c r="FO1361" i="98"/>
  <c r="GK1361" i="98"/>
  <c r="GB1361" i="98"/>
  <c r="GE1352" i="98"/>
  <c r="FS1346" i="98"/>
  <c r="FO1345" i="98"/>
  <c r="GK1345" i="98"/>
  <c r="GD1342" i="98"/>
  <c r="GC1336" i="98"/>
  <c r="GG1336" i="98"/>
  <c r="GK1336" i="98"/>
  <c r="GA1336" i="98"/>
  <c r="GF1336" i="98"/>
  <c r="GL1336" i="98"/>
  <c r="FR1336" i="98"/>
  <c r="GB1336" i="98"/>
  <c r="GH1336" i="98"/>
  <c r="GD1336" i="98"/>
  <c r="GI1336" i="98"/>
  <c r="GD1333" i="98"/>
  <c r="GH1333" i="98"/>
  <c r="GB1333" i="98"/>
  <c r="GE1333" i="98"/>
  <c r="GA1326" i="98"/>
  <c r="GE1326" i="98"/>
  <c r="GI1326" i="98"/>
  <c r="FO1326" i="98"/>
  <c r="GF1326" i="98"/>
  <c r="GK1326" i="98"/>
  <c r="GB1326" i="98"/>
  <c r="GG1326" i="98"/>
  <c r="GL1326" i="98"/>
  <c r="GC1326" i="98"/>
  <c r="GH1326" i="98"/>
  <c r="FO1325" i="98"/>
  <c r="GD1325" i="98" s="1"/>
  <c r="GE1320" i="98"/>
  <c r="GB1308" i="98"/>
  <c r="GA1306" i="98"/>
  <c r="GE1306" i="98"/>
  <c r="GI1306" i="98"/>
  <c r="GC1306" i="98"/>
  <c r="GG1306" i="98"/>
  <c r="GK1306" i="98"/>
  <c r="GF1306" i="98"/>
  <c r="FR1306" i="98"/>
  <c r="GH1306" i="98"/>
  <c r="GB1306" i="98"/>
  <c r="GJ1306" i="98"/>
  <c r="GE1294" i="98"/>
  <c r="FO1294" i="98"/>
  <c r="GK1292" i="98"/>
  <c r="GE1292" i="98"/>
  <c r="GD1292" i="98"/>
  <c r="FR1292" i="98"/>
  <c r="GH1292" i="98"/>
  <c r="FO1290" i="98"/>
  <c r="FS1285" i="98"/>
  <c r="FR1278" i="98"/>
  <c r="GD1274" i="98"/>
  <c r="FT1270" i="98"/>
  <c r="GE1262" i="98"/>
  <c r="FO1262" i="98"/>
  <c r="GD1262" i="98"/>
  <c r="GD1260" i="98"/>
  <c r="FR1260" i="98"/>
  <c r="FO1260" i="98"/>
  <c r="FR1242" i="98"/>
  <c r="FO1242" i="98"/>
  <c r="FR1238" i="98"/>
  <c r="FR1174" i="98"/>
  <c r="GB1120" i="98"/>
  <c r="GB1104" i="98"/>
  <c r="FO1613" i="98"/>
  <c r="GE1613" i="98" s="1"/>
  <c r="GB1613" i="98"/>
  <c r="GK1613" i="98"/>
  <c r="GD1613" i="98"/>
  <c r="GH1613" i="98"/>
  <c r="GC1606" i="98"/>
  <c r="GG1606" i="98"/>
  <c r="GK1606" i="98"/>
  <c r="GD1606" i="98"/>
  <c r="GH1606" i="98"/>
  <c r="GL1606" i="98"/>
  <c r="GA1606" i="98"/>
  <c r="GE1606" i="98"/>
  <c r="GI1606" i="98"/>
  <c r="GE1601" i="98"/>
  <c r="GD1598" i="98"/>
  <c r="FR1590" i="98"/>
  <c r="FS1555" i="98"/>
  <c r="FT1555" i="98" s="1"/>
  <c r="FS1551" i="98"/>
  <c r="FR1551" i="98" s="1"/>
  <c r="FT1551" i="98"/>
  <c r="FS1547" i="98"/>
  <c r="FR1547" i="98" s="1"/>
  <c r="FT1547" i="98"/>
  <c r="GC1526" i="98"/>
  <c r="GG1526" i="98"/>
  <c r="GK1526" i="98"/>
  <c r="GD1526" i="98"/>
  <c r="GH1526" i="98"/>
  <c r="GL1526" i="98"/>
  <c r="GA1526" i="98"/>
  <c r="GE1526" i="98"/>
  <c r="GI1526" i="98"/>
  <c r="FO1521" i="98"/>
  <c r="GE1521" i="98" s="1"/>
  <c r="GD1521" i="98"/>
  <c r="FO1517" i="98"/>
  <c r="GK1517" i="98"/>
  <c r="GD1517" i="98"/>
  <c r="GH1517" i="98"/>
  <c r="FR1488" i="98"/>
  <c r="GD1488" i="98"/>
  <c r="FO1462" i="98"/>
  <c r="GE1462" i="98" s="1"/>
  <c r="GK1462" i="98"/>
  <c r="FS1450" i="98"/>
  <c r="FT1450" i="98" s="1"/>
  <c r="FO1433" i="98"/>
  <c r="GD1433" i="98" s="1"/>
  <c r="GK1433" i="98"/>
  <c r="FO1414" i="98"/>
  <c r="FR1411" i="98"/>
  <c r="FS1386" i="98"/>
  <c r="FT1386" i="98"/>
  <c r="GD1337" i="98"/>
  <c r="GE1337" i="98"/>
  <c r="FO1337" i="98"/>
  <c r="GH1337" i="98" s="1"/>
  <c r="GK1337" i="98"/>
  <c r="GB1337" i="98"/>
  <c r="FR1328" i="98"/>
  <c r="GD1328" i="98"/>
  <c r="FR1312" i="98"/>
  <c r="GB1292" i="98"/>
  <c r="GE1278" i="98"/>
  <c r="FO1278" i="98"/>
  <c r="GD1278" i="98"/>
  <c r="FS1269" i="98"/>
  <c r="FR1162" i="98"/>
  <c r="FO1162" i="98"/>
  <c r="GD1162" i="98"/>
  <c r="FS1683" i="98"/>
  <c r="FR1683" i="98" s="1"/>
  <c r="FT1683" i="98"/>
  <c r="FR1679" i="98"/>
  <c r="FS1679" i="98"/>
  <c r="FT1679" i="98"/>
  <c r="FS1675" i="98"/>
  <c r="FT1675" i="98" s="1"/>
  <c r="FS1671" i="98"/>
  <c r="FR1671" i="98" s="1"/>
  <c r="FT1671" i="98"/>
  <c r="FS1667" i="98"/>
  <c r="FR1667" i="98" s="1"/>
  <c r="FT1667" i="98"/>
  <c r="FR1663" i="98"/>
  <c r="FS1663" i="98"/>
  <c r="FT1663" i="98"/>
  <c r="FS1659" i="98"/>
  <c r="FT1659" i="98" s="1"/>
  <c r="FO1653" i="98"/>
  <c r="GB1653" i="98"/>
  <c r="GK1653" i="98"/>
  <c r="GD1653" i="98"/>
  <c r="GH1653" i="98"/>
  <c r="FO1649" i="98"/>
  <c r="GB1649" i="98"/>
  <c r="GK1649" i="98"/>
  <c r="GD1649" i="98"/>
  <c r="GH1649" i="98"/>
  <c r="FO1645" i="98"/>
  <c r="GD1645" i="98"/>
  <c r="FO1641" i="98"/>
  <c r="GK1641" i="98"/>
  <c r="GD1641" i="98"/>
  <c r="GH1641" i="98"/>
  <c r="FO1637" i="98"/>
  <c r="GB1637" i="98"/>
  <c r="GK1637" i="98"/>
  <c r="GD1637" i="98"/>
  <c r="GH1637" i="98"/>
  <c r="FR1634" i="98"/>
  <c r="FR1630" i="98"/>
  <c r="FR1626" i="98"/>
  <c r="FR1622" i="98"/>
  <c r="FR1618" i="98"/>
  <c r="FO1614" i="98"/>
  <c r="FO1610" i="98"/>
  <c r="GB1606" i="98"/>
  <c r="FO1606" i="98"/>
  <c r="FO1602" i="98"/>
  <c r="FO1598" i="98"/>
  <c r="FR1595" i="98"/>
  <c r="FS1595" i="98"/>
  <c r="FT1595" i="98"/>
  <c r="FS1591" i="98"/>
  <c r="FT1591" i="98" s="1"/>
  <c r="FS1587" i="98"/>
  <c r="FR1587" i="98" s="1"/>
  <c r="FT1587" i="98"/>
  <c r="FS1583" i="98"/>
  <c r="FR1583" i="98" s="1"/>
  <c r="FT1583" i="98"/>
  <c r="FR1579" i="98"/>
  <c r="FS1579" i="98"/>
  <c r="FT1579" i="98"/>
  <c r="FO1573" i="98"/>
  <c r="GK1573" i="98"/>
  <c r="GD1573" i="98"/>
  <c r="GH1573" i="98"/>
  <c r="FO1569" i="98"/>
  <c r="GB1569" i="98"/>
  <c r="GK1569" i="98"/>
  <c r="GD1569" i="98"/>
  <c r="GH1569" i="98"/>
  <c r="FO1565" i="98"/>
  <c r="GB1565" i="98"/>
  <c r="GK1565" i="98"/>
  <c r="GD1565" i="98"/>
  <c r="GH1565" i="98"/>
  <c r="FO1561" i="98"/>
  <c r="GD1561" i="98"/>
  <c r="FO1557" i="98"/>
  <c r="GK1557" i="98"/>
  <c r="GD1557" i="98"/>
  <c r="GH1557" i="98"/>
  <c r="FR1554" i="98"/>
  <c r="FR1550" i="98"/>
  <c r="FR1546" i="98"/>
  <c r="FR1542" i="98"/>
  <c r="FR1538" i="98"/>
  <c r="GB1534" i="98"/>
  <c r="FO1534" i="98"/>
  <c r="FO1530" i="98"/>
  <c r="GB1526" i="98"/>
  <c r="FO1526" i="98"/>
  <c r="FO1522" i="98"/>
  <c r="FO1518" i="98"/>
  <c r="FS1515" i="98"/>
  <c r="FR1515" i="98" s="1"/>
  <c r="FT1515" i="98"/>
  <c r="FR1511" i="98"/>
  <c r="FS1511" i="98"/>
  <c r="FT1511" i="98"/>
  <c r="FS1507" i="98"/>
  <c r="FT1507" i="98" s="1"/>
  <c r="GK1504" i="98"/>
  <c r="FR1504" i="98"/>
  <c r="GB1504" i="98"/>
  <c r="GH1504" i="98"/>
  <c r="GD1504" i="98"/>
  <c r="GD1501" i="98"/>
  <c r="GH1501" i="98"/>
  <c r="GB1501" i="98"/>
  <c r="GE1501" i="98"/>
  <c r="GE1494" i="98"/>
  <c r="FO1494" i="98"/>
  <c r="GK1494" i="98"/>
  <c r="GB1494" i="98"/>
  <c r="GH1494" i="98"/>
  <c r="GE1488" i="98"/>
  <c r="FS1482" i="98"/>
  <c r="FT1482" i="98"/>
  <c r="FO1481" i="98"/>
  <c r="GH1481" i="98" s="1"/>
  <c r="FS1466" i="98"/>
  <c r="FT1466" i="98" s="1"/>
  <c r="GD1465" i="98"/>
  <c r="GE1465" i="98"/>
  <c r="FO1465" i="98"/>
  <c r="GK1465" i="98"/>
  <c r="GB1465" i="98"/>
  <c r="GD1462" i="98"/>
  <c r="GC1456" i="98"/>
  <c r="GG1456" i="98"/>
  <c r="GK1456" i="98"/>
  <c r="GA1456" i="98"/>
  <c r="GF1456" i="98"/>
  <c r="GL1456" i="98"/>
  <c r="FR1456" i="98"/>
  <c r="GB1456" i="98"/>
  <c r="GH1456" i="98"/>
  <c r="GD1456" i="98"/>
  <c r="GI1456" i="98"/>
  <c r="GD1453" i="98"/>
  <c r="GH1453" i="98"/>
  <c r="GB1453" i="98"/>
  <c r="GE1453" i="98"/>
  <c r="GA1446" i="98"/>
  <c r="GE1446" i="98"/>
  <c r="GI1446" i="98"/>
  <c r="FO1446" i="98"/>
  <c r="GF1446" i="98"/>
  <c r="GK1446" i="98"/>
  <c r="GB1446" i="98"/>
  <c r="GG1446" i="98"/>
  <c r="GL1446" i="98"/>
  <c r="GC1446" i="98"/>
  <c r="GH1446" i="98"/>
  <c r="FR1443" i="98"/>
  <c r="FO1430" i="98"/>
  <c r="GK1430" i="98"/>
  <c r="FS1418" i="98"/>
  <c r="FT1418" i="98" s="1"/>
  <c r="GD1417" i="98"/>
  <c r="GE1417" i="98"/>
  <c r="FO1417" i="98"/>
  <c r="GK1417" i="98"/>
  <c r="GB1417" i="98"/>
  <c r="GK1408" i="98"/>
  <c r="FR1408" i="98"/>
  <c r="GB1408" i="98"/>
  <c r="GH1408" i="98"/>
  <c r="GD1408" i="98"/>
  <c r="GD1405" i="98"/>
  <c r="GH1405" i="98"/>
  <c r="GB1405" i="98"/>
  <c r="GE1405" i="98"/>
  <c r="FO1398" i="98"/>
  <c r="GK1398" i="98"/>
  <c r="GK1392" i="98"/>
  <c r="FR1392" i="98"/>
  <c r="GB1392" i="98"/>
  <c r="GH1392" i="98"/>
  <c r="GD1392" i="98"/>
  <c r="GD1389" i="98"/>
  <c r="GH1389" i="98"/>
  <c r="GB1389" i="98"/>
  <c r="GE1389" i="98"/>
  <c r="FO1382" i="98"/>
  <c r="GK1382" i="98"/>
  <c r="FR1379" i="98"/>
  <c r="FS1370" i="98"/>
  <c r="FT1370" i="98"/>
  <c r="FO1369" i="98"/>
  <c r="GK1369" i="98"/>
  <c r="GK1360" i="98"/>
  <c r="FR1360" i="98"/>
  <c r="GB1360" i="98"/>
  <c r="GH1360" i="98"/>
  <c r="GD1360" i="98"/>
  <c r="GD1357" i="98"/>
  <c r="GH1357" i="98"/>
  <c r="GB1357" i="98"/>
  <c r="GE1357" i="98"/>
  <c r="FS1354" i="98"/>
  <c r="FT1354" i="98" s="1"/>
  <c r="GD1353" i="98"/>
  <c r="GE1353" i="98"/>
  <c r="FO1353" i="98"/>
  <c r="GK1353" i="98"/>
  <c r="GB1353" i="98"/>
  <c r="GD1350" i="98"/>
  <c r="GK1344" i="98"/>
  <c r="FR1344" i="98"/>
  <c r="GB1344" i="98"/>
  <c r="GH1344" i="98"/>
  <c r="GD1344" i="98"/>
  <c r="GD1341" i="98"/>
  <c r="GH1341" i="98"/>
  <c r="GB1341" i="98"/>
  <c r="GE1341" i="98"/>
  <c r="FO1334" i="98"/>
  <c r="GK1334" i="98"/>
  <c r="FR1331" i="98"/>
  <c r="FS1322" i="98"/>
  <c r="FT1322" i="98" s="1"/>
  <c r="GD1321" i="98"/>
  <c r="GE1321" i="98"/>
  <c r="FO1321" i="98"/>
  <c r="GK1321" i="98"/>
  <c r="GB1321" i="98"/>
  <c r="FR1315" i="98"/>
  <c r="GE1310" i="98"/>
  <c r="FO1310" i="98"/>
  <c r="GK1308" i="98"/>
  <c r="GE1308" i="98"/>
  <c r="GD1308" i="98"/>
  <c r="FR1308" i="98"/>
  <c r="GH1308" i="98"/>
  <c r="FS1301" i="98"/>
  <c r="FT1301" i="98" s="1"/>
  <c r="GD1290" i="98"/>
  <c r="FR1286" i="98"/>
  <c r="FT1286" i="98"/>
  <c r="GJ1276" i="98"/>
  <c r="FT1271" i="98"/>
  <c r="FS1271" i="98"/>
  <c r="FR1271" i="98" s="1"/>
  <c r="FR1258" i="98"/>
  <c r="GH1258" i="98"/>
  <c r="FO1258" i="98"/>
  <c r="GE1258" i="98" s="1"/>
  <c r="GK1194" i="98"/>
  <c r="FR1194" i="98"/>
  <c r="GH1194" i="98"/>
  <c r="FO1194" i="98"/>
  <c r="GE1194" i="98" s="1"/>
  <c r="GD1194" i="98"/>
  <c r="GB1194" i="98"/>
  <c r="FR1190" i="98"/>
  <c r="GA1146" i="98"/>
  <c r="GE1146" i="98"/>
  <c r="GI1146" i="98"/>
  <c r="GC1146" i="98"/>
  <c r="GG1146" i="98"/>
  <c r="GK1146" i="98"/>
  <c r="GF1146" i="98"/>
  <c r="FR1146" i="98"/>
  <c r="GH1146" i="98"/>
  <c r="GL1146" i="98"/>
  <c r="GB1146" i="98"/>
  <c r="GJ1146" i="98"/>
  <c r="FO1146" i="98"/>
  <c r="GD1146" i="98"/>
  <c r="GH1102" i="98"/>
  <c r="FS1635" i="98"/>
  <c r="FR1635" i="98" s="1"/>
  <c r="FT1635" i="98"/>
  <c r="FR1623" i="98"/>
  <c r="FS1623" i="98"/>
  <c r="FT1623" i="98"/>
  <c r="GJ1606" i="98"/>
  <c r="FO1605" i="98"/>
  <c r="GE1605" i="98" s="1"/>
  <c r="GD1605" i="98"/>
  <c r="FO1597" i="98"/>
  <c r="GB1597" i="98" s="1"/>
  <c r="GK1597" i="98"/>
  <c r="GD1597" i="98"/>
  <c r="GH1597" i="98"/>
  <c r="FS1539" i="98"/>
  <c r="FR1539" i="98" s="1"/>
  <c r="FT1539" i="98"/>
  <c r="FO1533" i="98"/>
  <c r="GB1533" i="98"/>
  <c r="GK1533" i="98"/>
  <c r="GD1533" i="98"/>
  <c r="GH1533" i="98"/>
  <c r="FO1529" i="98"/>
  <c r="GB1529" i="98"/>
  <c r="GK1529" i="98"/>
  <c r="GD1529" i="98"/>
  <c r="GH1529" i="98"/>
  <c r="FS1498" i="98"/>
  <c r="FT1498" i="98" s="1"/>
  <c r="FO1478" i="98"/>
  <c r="GD1478" i="98" s="1"/>
  <c r="GK1478" i="98"/>
  <c r="FR1472" i="98"/>
  <c r="GD1469" i="98"/>
  <c r="GH1469" i="98"/>
  <c r="GB1469" i="98"/>
  <c r="GE1469" i="98"/>
  <c r="GD1449" i="98"/>
  <c r="GE1449" i="98"/>
  <c r="FO1449" i="98"/>
  <c r="GH1449" i="98" s="1"/>
  <c r="GK1449" i="98"/>
  <c r="GB1449" i="98"/>
  <c r="FR1440" i="98"/>
  <c r="GD1440" i="98"/>
  <c r="FS1434" i="98"/>
  <c r="FT1434" i="98" s="1"/>
  <c r="GD1421" i="98"/>
  <c r="GB1421" i="98"/>
  <c r="FO1401" i="98"/>
  <c r="GK1401" i="98"/>
  <c r="FR1395" i="98"/>
  <c r="GC1376" i="98"/>
  <c r="GG1376" i="98"/>
  <c r="GK1376" i="98"/>
  <c r="GA1376" i="98"/>
  <c r="GF1376" i="98"/>
  <c r="GL1376" i="98"/>
  <c r="FR1376" i="98"/>
  <c r="GB1376" i="98"/>
  <c r="GH1376" i="98"/>
  <c r="GD1376" i="98"/>
  <c r="GI1376" i="98"/>
  <c r="GH1373" i="98"/>
  <c r="GA1366" i="98"/>
  <c r="GE1366" i="98"/>
  <c r="GI1366" i="98"/>
  <c r="FO1366" i="98"/>
  <c r="GF1366" i="98"/>
  <c r="GK1366" i="98"/>
  <c r="GB1366" i="98"/>
  <c r="GG1366" i="98"/>
  <c r="GL1366" i="98"/>
  <c r="GC1366" i="98"/>
  <c r="GH1366" i="98"/>
  <c r="GE1318" i="98"/>
  <c r="FO1318" i="98"/>
  <c r="GK1318" i="98"/>
  <c r="GB1318" i="98"/>
  <c r="GH1318" i="98"/>
  <c r="FO1685" i="98"/>
  <c r="GB1685" i="98"/>
  <c r="GK1685" i="98"/>
  <c r="GD1685" i="98"/>
  <c r="GH1685" i="98"/>
  <c r="FT1682" i="98"/>
  <c r="FO1681" i="98"/>
  <c r="GB1681" i="98"/>
  <c r="GK1681" i="98"/>
  <c r="GD1681" i="98"/>
  <c r="GH1681" i="98"/>
  <c r="FT1678" i="98"/>
  <c r="FR1678" i="98" s="1"/>
  <c r="FO1677" i="98"/>
  <c r="GB1677" i="98"/>
  <c r="GK1677" i="98"/>
  <c r="GD1677" i="98"/>
  <c r="GH1677" i="98"/>
  <c r="FT1674" i="98"/>
  <c r="FR1674" i="98" s="1"/>
  <c r="FO1673" i="98"/>
  <c r="GB1673" i="98"/>
  <c r="GK1673" i="98"/>
  <c r="GD1673" i="98"/>
  <c r="GH1673" i="98"/>
  <c r="FT1670" i="98"/>
  <c r="FO1669" i="98"/>
  <c r="GB1669" i="98"/>
  <c r="GK1669" i="98"/>
  <c r="GD1669" i="98"/>
  <c r="GH1669" i="98"/>
  <c r="FT1666" i="98"/>
  <c r="FR1666" i="98" s="1"/>
  <c r="FO1665" i="98"/>
  <c r="GB1665" i="98"/>
  <c r="GK1665" i="98"/>
  <c r="GD1665" i="98"/>
  <c r="GH1665" i="98"/>
  <c r="FT1662" i="98"/>
  <c r="FO1661" i="98"/>
  <c r="GB1661" i="98"/>
  <c r="GK1661" i="98"/>
  <c r="GD1661" i="98"/>
  <c r="GH1661" i="98"/>
  <c r="FT1658" i="98"/>
  <c r="FO1657" i="98"/>
  <c r="GB1657" i="98"/>
  <c r="GK1657" i="98"/>
  <c r="GD1657" i="98"/>
  <c r="GH1657" i="98"/>
  <c r="FR1654" i="98"/>
  <c r="FR1650" i="98"/>
  <c r="FR1646" i="98"/>
  <c r="FR1642" i="98"/>
  <c r="FR1638" i="98"/>
  <c r="FS1615" i="98"/>
  <c r="FR1615" i="98" s="1"/>
  <c r="FT1615" i="98"/>
  <c r="FS1611" i="98"/>
  <c r="FT1611" i="98" s="1"/>
  <c r="FR1607" i="98"/>
  <c r="FS1607" i="98"/>
  <c r="FT1607" i="98"/>
  <c r="FS1603" i="98"/>
  <c r="FR1603" i="98" s="1"/>
  <c r="FT1603" i="98"/>
  <c r="FS1599" i="98"/>
  <c r="FR1599" i="98" s="1"/>
  <c r="FT1599" i="98"/>
  <c r="FT1594" i="98"/>
  <c r="FO1593" i="98"/>
  <c r="GD1593" i="98"/>
  <c r="FT1590" i="98"/>
  <c r="FO1589" i="98"/>
  <c r="GD1589" i="98"/>
  <c r="FT1586" i="98"/>
  <c r="FO1585" i="98"/>
  <c r="GD1585" i="98"/>
  <c r="FT1582" i="98"/>
  <c r="FO1581" i="98"/>
  <c r="GD1581" i="98"/>
  <c r="FT1578" i="98"/>
  <c r="FO1577" i="98"/>
  <c r="GD1577" i="98"/>
  <c r="FR1574" i="98"/>
  <c r="FR1570" i="98"/>
  <c r="FR1566" i="98"/>
  <c r="FR1562" i="98"/>
  <c r="FR1558" i="98"/>
  <c r="FS1535" i="98"/>
  <c r="FR1535" i="98" s="1"/>
  <c r="FT1535" i="98"/>
  <c r="FS1531" i="98"/>
  <c r="FR1531" i="98" s="1"/>
  <c r="FT1531" i="98"/>
  <c r="FS1527" i="98"/>
  <c r="FT1527" i="98" s="1"/>
  <c r="FR1523" i="98"/>
  <c r="FS1523" i="98"/>
  <c r="FT1523" i="98"/>
  <c r="FS1519" i="98"/>
  <c r="FR1519" i="98" s="1"/>
  <c r="FT1519" i="98"/>
  <c r="FT1514" i="98"/>
  <c r="FO1513" i="98"/>
  <c r="GK1513" i="98"/>
  <c r="GD1513" i="98"/>
  <c r="GH1513" i="98"/>
  <c r="FT1510" i="98"/>
  <c r="FO1509" i="98"/>
  <c r="GK1509" i="98"/>
  <c r="GD1509" i="98"/>
  <c r="GH1509" i="98"/>
  <c r="FT1506" i="98"/>
  <c r="FO1502" i="98"/>
  <c r="GK1502" i="98"/>
  <c r="FR1499" i="98"/>
  <c r="FS1490" i="98"/>
  <c r="FT1490" i="98"/>
  <c r="GD1489" i="98"/>
  <c r="GH1489" i="98"/>
  <c r="GE1489" i="98"/>
  <c r="FO1489" i="98"/>
  <c r="GK1489" i="98"/>
  <c r="GB1489" i="98"/>
  <c r="FO1488" i="98"/>
  <c r="GK1485" i="98"/>
  <c r="GK1480" i="98"/>
  <c r="FR1480" i="98"/>
  <c r="GB1480" i="98"/>
  <c r="GH1480" i="98"/>
  <c r="GD1480" i="98"/>
  <c r="GD1477" i="98"/>
  <c r="GH1477" i="98"/>
  <c r="GB1477" i="98"/>
  <c r="GE1477" i="98"/>
  <c r="FS1474" i="98"/>
  <c r="FT1474" i="98" s="1"/>
  <c r="GD1473" i="98"/>
  <c r="GE1473" i="98"/>
  <c r="FO1473" i="98"/>
  <c r="GK1473" i="98"/>
  <c r="GB1473" i="98"/>
  <c r="FO1472" i="98"/>
  <c r="GK1469" i="98"/>
  <c r="GK1464" i="98"/>
  <c r="FR1464" i="98"/>
  <c r="GB1464" i="98"/>
  <c r="GH1464" i="98"/>
  <c r="GD1464" i="98"/>
  <c r="GD1461" i="98"/>
  <c r="GH1461" i="98"/>
  <c r="GB1461" i="98"/>
  <c r="GE1461" i="98"/>
  <c r="FO1454" i="98"/>
  <c r="FS1442" i="98"/>
  <c r="FT1442" i="98" s="1"/>
  <c r="GD1441" i="98"/>
  <c r="GE1441" i="98"/>
  <c r="FO1441" i="98"/>
  <c r="GK1441" i="98"/>
  <c r="GB1441" i="98"/>
  <c r="FO1440" i="98"/>
  <c r="GE1440" i="98" s="1"/>
  <c r="GK1437" i="98"/>
  <c r="FS1426" i="98"/>
  <c r="FO1425" i="98"/>
  <c r="GK1425" i="98"/>
  <c r="FO1424" i="98"/>
  <c r="GC1416" i="98"/>
  <c r="GG1416" i="98"/>
  <c r="GK1416" i="98"/>
  <c r="GA1416" i="98"/>
  <c r="GF1416" i="98"/>
  <c r="GL1416" i="98"/>
  <c r="FR1416" i="98"/>
  <c r="GB1416" i="98"/>
  <c r="GH1416" i="98"/>
  <c r="GD1416" i="98"/>
  <c r="GI1416" i="98"/>
  <c r="GD1413" i="98"/>
  <c r="GH1413" i="98"/>
  <c r="GB1413" i="98"/>
  <c r="GE1413" i="98"/>
  <c r="GA1406" i="98"/>
  <c r="GE1406" i="98"/>
  <c r="GI1406" i="98"/>
  <c r="FO1406" i="98"/>
  <c r="GF1406" i="98"/>
  <c r="GK1406" i="98"/>
  <c r="GB1406" i="98"/>
  <c r="GG1406" i="98"/>
  <c r="GL1406" i="98"/>
  <c r="GC1406" i="98"/>
  <c r="GH1406" i="98"/>
  <c r="FO1390" i="98"/>
  <c r="FS1378" i="98"/>
  <c r="FT1378" i="98" s="1"/>
  <c r="GD1377" i="98"/>
  <c r="GE1377" i="98"/>
  <c r="FO1377" i="98"/>
  <c r="GK1377" i="98"/>
  <c r="GB1377" i="98"/>
  <c r="FO1376" i="98"/>
  <c r="GK1373" i="98"/>
  <c r="GK1368" i="98"/>
  <c r="FR1368" i="98"/>
  <c r="GB1368" i="98"/>
  <c r="GH1368" i="98"/>
  <c r="GD1368" i="98"/>
  <c r="GD1365" i="98"/>
  <c r="GH1365" i="98"/>
  <c r="GB1365" i="98"/>
  <c r="GE1365" i="98"/>
  <c r="FO1358" i="98"/>
  <c r="GK1352" i="98"/>
  <c r="FR1352" i="98"/>
  <c r="GB1352" i="98"/>
  <c r="GH1352" i="98"/>
  <c r="GD1352" i="98"/>
  <c r="GD1349" i="98"/>
  <c r="GH1349" i="98"/>
  <c r="GB1349" i="98"/>
  <c r="GE1349" i="98"/>
  <c r="FO1342" i="98"/>
  <c r="GK1342" i="98"/>
  <c r="FR1339" i="98"/>
  <c r="FS1330" i="98"/>
  <c r="FT1330" i="98"/>
  <c r="FR1330" i="98" s="1"/>
  <c r="GD1329" i="98"/>
  <c r="GH1329" i="98"/>
  <c r="GE1329" i="98"/>
  <c r="FO1329" i="98"/>
  <c r="GK1329" i="98"/>
  <c r="GB1329" i="98"/>
  <c r="FO1328" i="98"/>
  <c r="GK1325" i="98"/>
  <c r="GK1320" i="98"/>
  <c r="FR1320" i="98"/>
  <c r="GB1320" i="98"/>
  <c r="GH1320" i="98"/>
  <c r="GD1320" i="98"/>
  <c r="GD1317" i="98"/>
  <c r="GH1317" i="98"/>
  <c r="GB1317" i="98"/>
  <c r="GE1317" i="98"/>
  <c r="FS1314" i="98"/>
  <c r="FT1314" i="98" s="1"/>
  <c r="GD1313" i="98"/>
  <c r="GE1313" i="98"/>
  <c r="FO1313" i="98"/>
  <c r="GK1313" i="98"/>
  <c r="GB1313" i="98"/>
  <c r="FO1312" i="98"/>
  <c r="FR1302" i="98"/>
  <c r="FT1302" i="98"/>
  <c r="FT1287" i="98"/>
  <c r="FR1287" i="98"/>
  <c r="FS1287" i="98"/>
  <c r="GB1278" i="98"/>
  <c r="GB1276" i="98"/>
  <c r="FO1276" i="98"/>
  <c r="GE1274" i="98"/>
  <c r="GK1274" i="98"/>
  <c r="FR1274" i="98"/>
  <c r="GH1274" i="98"/>
  <c r="GB1274" i="98"/>
  <c r="GA1226" i="98"/>
  <c r="GE1226" i="98"/>
  <c r="GI1226" i="98"/>
  <c r="GC1226" i="98"/>
  <c r="GG1226" i="98"/>
  <c r="GK1226" i="98"/>
  <c r="GF1226" i="98"/>
  <c r="FR1226" i="98"/>
  <c r="GH1226" i="98"/>
  <c r="GL1226" i="98"/>
  <c r="GB1226" i="98"/>
  <c r="GJ1226" i="98"/>
  <c r="FO1226" i="98"/>
  <c r="GD1226" i="98"/>
  <c r="GK1210" i="98"/>
  <c r="FR1210" i="98"/>
  <c r="FO1210" i="98"/>
  <c r="GD1210" i="98"/>
  <c r="GB1210" i="98"/>
  <c r="FR1206" i="98"/>
  <c r="FR1178" i="98"/>
  <c r="FO1178" i="98"/>
  <c r="GD1178" i="98"/>
  <c r="FT1255" i="98"/>
  <c r="GA1246" i="98"/>
  <c r="GE1246" i="98"/>
  <c r="GI1246" i="98"/>
  <c r="GC1246" i="98"/>
  <c r="GG1246" i="98"/>
  <c r="GK1246" i="98"/>
  <c r="GE1244" i="98"/>
  <c r="FO1244" i="98"/>
  <c r="FT1239" i="98"/>
  <c r="FR1239" i="98"/>
  <c r="GK1230" i="98"/>
  <c r="FO1228" i="98"/>
  <c r="FO1212" i="98"/>
  <c r="GK1198" i="98"/>
  <c r="GC1196" i="98"/>
  <c r="GG1196" i="98"/>
  <c r="GK1196" i="98"/>
  <c r="GA1196" i="98"/>
  <c r="GE1196" i="98"/>
  <c r="GI1196" i="98"/>
  <c r="GK1182" i="98"/>
  <c r="GE1180" i="98"/>
  <c r="FT1173" i="98"/>
  <c r="GJ1166" i="98"/>
  <c r="GB1166" i="98"/>
  <c r="FO1164" i="98"/>
  <c r="GH1164" i="98" s="1"/>
  <c r="FO1148" i="98"/>
  <c r="FR1144" i="98"/>
  <c r="GD1142" i="98"/>
  <c r="FR1128" i="98"/>
  <c r="GH1128" i="98"/>
  <c r="GE1128" i="98"/>
  <c r="GA1126" i="98"/>
  <c r="GE1126" i="98"/>
  <c r="GI1126" i="98"/>
  <c r="FO1126" i="98"/>
  <c r="GB1126" i="98"/>
  <c r="GF1126" i="98"/>
  <c r="GJ1126" i="98"/>
  <c r="GC1126" i="98"/>
  <c r="GG1126" i="98"/>
  <c r="GK1126" i="98"/>
  <c r="FO1123" i="98"/>
  <c r="GE1123" i="98" s="1"/>
  <c r="GK1123" i="98"/>
  <c r="GD1123" i="98"/>
  <c r="GH1123" i="98"/>
  <c r="FS1117" i="98"/>
  <c r="FR1117" i="98" s="1"/>
  <c r="FT1117" i="98"/>
  <c r="FR1112" i="98"/>
  <c r="FO1110" i="98"/>
  <c r="GD1110" i="98" s="1"/>
  <c r="FO1107" i="98"/>
  <c r="GE1107" i="98" s="1"/>
  <c r="GB1107" i="98"/>
  <c r="GK1107" i="98"/>
  <c r="GD1107" i="98"/>
  <c r="GH1107" i="98"/>
  <c r="FS1101" i="98"/>
  <c r="FR1101" i="98" s="1"/>
  <c r="FT1101" i="98"/>
  <c r="FS1088" i="98"/>
  <c r="GK1078" i="98"/>
  <c r="FR1078" i="98"/>
  <c r="GH1078" i="98"/>
  <c r="GA1076" i="98"/>
  <c r="GE1076" i="98"/>
  <c r="GI1076" i="98"/>
  <c r="FO1076" i="98"/>
  <c r="GF1076" i="98"/>
  <c r="GK1076" i="98"/>
  <c r="GB1076" i="98"/>
  <c r="GG1076" i="98"/>
  <c r="GL1076" i="98"/>
  <c r="GC1076" i="98"/>
  <c r="GH1076" i="98"/>
  <c r="GC1026" i="98"/>
  <c r="GG1026" i="98"/>
  <c r="GK1026" i="98"/>
  <c r="GD1026" i="98"/>
  <c r="GH1026" i="98"/>
  <c r="GL1026" i="98"/>
  <c r="FO1026" i="98"/>
  <c r="GE1026" i="98"/>
  <c r="GF1026" i="98"/>
  <c r="GA1026" i="98"/>
  <c r="GI1026" i="98"/>
  <c r="FO1010" i="98"/>
  <c r="FT726" i="98"/>
  <c r="FS648" i="98"/>
  <c r="FR648" i="98" s="1"/>
  <c r="FT648" i="98"/>
  <c r="FR1685" i="98"/>
  <c r="FR1681" i="98"/>
  <c r="GK1680" i="98"/>
  <c r="FR1677" i="98"/>
  <c r="GK1676" i="98"/>
  <c r="GG1676" i="98"/>
  <c r="GC1676" i="98"/>
  <c r="FR1673" i="98"/>
  <c r="GK1672" i="98"/>
  <c r="FR1669" i="98"/>
  <c r="FR1665" i="98"/>
  <c r="GK1664" i="98"/>
  <c r="FR1661" i="98"/>
  <c r="FR1657" i="98"/>
  <c r="GK1656" i="98"/>
  <c r="GG1656" i="98"/>
  <c r="GC1656" i="98"/>
  <c r="FR1653" i="98"/>
  <c r="FR1649" i="98"/>
  <c r="GK1648" i="98"/>
  <c r="FR1645" i="98"/>
  <c r="FR1641" i="98"/>
  <c r="GK1640" i="98"/>
  <c r="FR1637" i="98"/>
  <c r="GK1636" i="98"/>
  <c r="GG1636" i="98"/>
  <c r="GC1636" i="98"/>
  <c r="GK1632" i="98"/>
  <c r="FR1629" i="98"/>
  <c r="FR1625" i="98"/>
  <c r="GK1624" i="98"/>
  <c r="GK1616" i="98"/>
  <c r="GG1616" i="98"/>
  <c r="GC1616" i="98"/>
  <c r="FR1613" i="98"/>
  <c r="FR1609" i="98"/>
  <c r="GK1608" i="98"/>
  <c r="FR1605" i="98"/>
  <c r="FR1601" i="98"/>
  <c r="GK1600" i="98"/>
  <c r="FR1597" i="98"/>
  <c r="GK1596" i="98"/>
  <c r="GG1596" i="98"/>
  <c r="GC1596" i="98"/>
  <c r="FR1593" i="98"/>
  <c r="GK1592" i="98"/>
  <c r="FR1589" i="98"/>
  <c r="FR1585" i="98"/>
  <c r="GK1584" i="98"/>
  <c r="FR1581" i="98"/>
  <c r="FR1577" i="98"/>
  <c r="GK1576" i="98"/>
  <c r="GG1576" i="98"/>
  <c r="GC1576" i="98"/>
  <c r="FR1573" i="98"/>
  <c r="FR1569" i="98"/>
  <c r="GK1568" i="98"/>
  <c r="FR1565" i="98"/>
  <c r="FR1561" i="98"/>
  <c r="GK1560" i="98"/>
  <c r="FR1557" i="98"/>
  <c r="GK1556" i="98"/>
  <c r="GG1556" i="98"/>
  <c r="GC1556" i="98"/>
  <c r="GK1552" i="98"/>
  <c r="FR1549" i="98"/>
  <c r="FR1545" i="98"/>
  <c r="GK1544" i="98"/>
  <c r="GK1536" i="98"/>
  <c r="GG1536" i="98"/>
  <c r="GC1536" i="98"/>
  <c r="FR1533" i="98"/>
  <c r="FR1529" i="98"/>
  <c r="GK1528" i="98"/>
  <c r="FR1525" i="98"/>
  <c r="FR1521" i="98"/>
  <c r="GK1520" i="98"/>
  <c r="FR1517" i="98"/>
  <c r="GK1516" i="98"/>
  <c r="GG1516" i="98"/>
  <c r="GC1516" i="98"/>
  <c r="FR1513" i="98"/>
  <c r="GK1512" i="98"/>
  <c r="FR1509" i="98"/>
  <c r="FR1505" i="98"/>
  <c r="FT1503" i="98"/>
  <c r="FR1502" i="98"/>
  <c r="FR1497" i="98"/>
  <c r="FT1495" i="98"/>
  <c r="FR1494" i="98"/>
  <c r="FR1489" i="98"/>
  <c r="FT1487" i="98"/>
  <c r="FR1486" i="98"/>
  <c r="FR1481" i="98"/>
  <c r="FT1479" i="98"/>
  <c r="FR1478" i="98"/>
  <c r="GL1476" i="98"/>
  <c r="GF1476" i="98"/>
  <c r="GA1476" i="98"/>
  <c r="FR1473" i="98"/>
  <c r="FT1471" i="98"/>
  <c r="FR1470" i="98"/>
  <c r="FR1465" i="98"/>
  <c r="FT1463" i="98"/>
  <c r="FR1462" i="98"/>
  <c r="FR1457" i="98"/>
  <c r="FT1455" i="98"/>
  <c r="FR1454" i="98"/>
  <c r="FR1449" i="98"/>
  <c r="FT1447" i="98"/>
  <c r="FR1446" i="98"/>
  <c r="FR1441" i="98"/>
  <c r="FT1439" i="98"/>
  <c r="FR1438" i="98"/>
  <c r="GL1436" i="98"/>
  <c r="GF1436" i="98"/>
  <c r="GA1436" i="98"/>
  <c r="FR1433" i="98"/>
  <c r="FT1431" i="98"/>
  <c r="FR1430" i="98"/>
  <c r="FR1425" i="98"/>
  <c r="FT1423" i="98"/>
  <c r="FR1422" i="98"/>
  <c r="FR1417" i="98"/>
  <c r="FT1415" i="98"/>
  <c r="FR1414" i="98"/>
  <c r="FR1409" i="98"/>
  <c r="FT1407" i="98"/>
  <c r="FR1406" i="98"/>
  <c r="FR1401" i="98"/>
  <c r="FT1399" i="98"/>
  <c r="FR1398" i="98"/>
  <c r="GL1396" i="98"/>
  <c r="GF1396" i="98"/>
  <c r="GA1396" i="98"/>
  <c r="FR1393" i="98"/>
  <c r="FT1391" i="98"/>
  <c r="FR1390" i="98"/>
  <c r="FR1385" i="98"/>
  <c r="FT1383" i="98"/>
  <c r="FR1382" i="98"/>
  <c r="FR1377" i="98"/>
  <c r="FT1375" i="98"/>
  <c r="FR1374" i="98"/>
  <c r="FR1369" i="98"/>
  <c r="FT1367" i="98"/>
  <c r="FR1366" i="98"/>
  <c r="FR1361" i="98"/>
  <c r="FT1359" i="98"/>
  <c r="FR1358" i="98"/>
  <c r="GL1356" i="98"/>
  <c r="GF1356" i="98"/>
  <c r="GA1356" i="98"/>
  <c r="FR1353" i="98"/>
  <c r="FT1351" i="98"/>
  <c r="FR1350" i="98"/>
  <c r="FR1345" i="98"/>
  <c r="FT1343" i="98"/>
  <c r="FR1342" i="98"/>
  <c r="FR1337" i="98"/>
  <c r="FT1335" i="98"/>
  <c r="FR1334" i="98"/>
  <c r="FR1329" i="98"/>
  <c r="FT1327" i="98"/>
  <c r="FR1326" i="98"/>
  <c r="FR1321" i="98"/>
  <c r="FT1319" i="98"/>
  <c r="FR1318" i="98"/>
  <c r="GL1316" i="98"/>
  <c r="GF1316" i="98"/>
  <c r="GA1316" i="98"/>
  <c r="FR1313" i="98"/>
  <c r="GK1304" i="98"/>
  <c r="GE1304" i="98"/>
  <c r="FO1304" i="98"/>
  <c r="FT1299" i="98"/>
  <c r="FT1297" i="98"/>
  <c r="GF1296" i="98"/>
  <c r="FO1288" i="98"/>
  <c r="FT1283" i="98"/>
  <c r="FR1283" i="98"/>
  <c r="FT1281" i="98"/>
  <c r="FO1272" i="98"/>
  <c r="FT1267" i="98"/>
  <c r="FR1267" i="98"/>
  <c r="GF1266" i="98"/>
  <c r="FT1265" i="98"/>
  <c r="GC1256" i="98"/>
  <c r="GG1256" i="98"/>
  <c r="GK1256" i="98"/>
  <c r="GA1256" i="98"/>
  <c r="GE1256" i="98"/>
  <c r="GI1256" i="98"/>
  <c r="FO1256" i="98"/>
  <c r="GD1252" i="98"/>
  <c r="FT1251" i="98"/>
  <c r="FR1251" i="98"/>
  <c r="FR1249" i="98"/>
  <c r="FT1249" i="98"/>
  <c r="GH1246" i="98"/>
  <c r="GH1244" i="98"/>
  <c r="GK1240" i="98"/>
  <c r="GE1240" i="98"/>
  <c r="FO1240" i="98"/>
  <c r="GL1236" i="98"/>
  <c r="GD1236" i="98"/>
  <c r="FT1235" i="98"/>
  <c r="FT1233" i="98"/>
  <c r="FR1233" i="98" s="1"/>
  <c r="GH1230" i="98"/>
  <c r="GH1228" i="98"/>
  <c r="FO1224" i="98"/>
  <c r="FT1219" i="98"/>
  <c r="FR1219" i="98"/>
  <c r="FT1217" i="98"/>
  <c r="GF1216" i="98"/>
  <c r="FO1208" i="98"/>
  <c r="FT1203" i="98"/>
  <c r="FR1203" i="98"/>
  <c r="FT1201" i="98"/>
  <c r="GH1196" i="98"/>
  <c r="FO1192" i="98"/>
  <c r="FT1187" i="98"/>
  <c r="FR1187" i="98"/>
  <c r="GF1186" i="98"/>
  <c r="FT1185" i="98"/>
  <c r="GH1180" i="98"/>
  <c r="GC1176" i="98"/>
  <c r="GG1176" i="98"/>
  <c r="GK1176" i="98"/>
  <c r="GA1176" i="98"/>
  <c r="GE1176" i="98"/>
  <c r="GI1176" i="98"/>
  <c r="FO1176" i="98"/>
  <c r="GD1172" i="98"/>
  <c r="FT1171" i="98"/>
  <c r="FR1171" i="98"/>
  <c r="FR1169" i="98"/>
  <c r="FT1169" i="98"/>
  <c r="GH1166" i="98"/>
  <c r="FO1160" i="98"/>
  <c r="GL1156" i="98"/>
  <c r="GD1156" i="98"/>
  <c r="FT1155" i="98"/>
  <c r="FR1155" i="98"/>
  <c r="FT1153" i="98"/>
  <c r="FT1143" i="98"/>
  <c r="FS1137" i="98"/>
  <c r="FT1137" i="98" s="1"/>
  <c r="FR1134" i="98"/>
  <c r="GK1132" i="98"/>
  <c r="FR1132" i="98"/>
  <c r="GD1132" i="98"/>
  <c r="GH1132" i="98"/>
  <c r="GE1132" i="98"/>
  <c r="FO1130" i="98"/>
  <c r="FT1127" i="98"/>
  <c r="FS1121" i="98"/>
  <c r="FT1121" i="98" s="1"/>
  <c r="FR1118" i="98"/>
  <c r="GC1116" i="98"/>
  <c r="GG1116" i="98"/>
  <c r="GK1116" i="98"/>
  <c r="FR1116" i="98"/>
  <c r="GD1116" i="98"/>
  <c r="GH1116" i="98"/>
  <c r="GL1116" i="98"/>
  <c r="GA1116" i="98"/>
  <c r="GE1116" i="98"/>
  <c r="GI1116" i="98"/>
  <c r="FO1114" i="98"/>
  <c r="GK1114" i="98"/>
  <c r="FT1111" i="98"/>
  <c r="GL1106" i="98"/>
  <c r="FS1105" i="98"/>
  <c r="FR1105" i="98" s="1"/>
  <c r="FT1105" i="98"/>
  <c r="FR1102" i="98"/>
  <c r="GK1100" i="98"/>
  <c r="FR1100" i="98"/>
  <c r="GD1100" i="98"/>
  <c r="GH1100" i="98"/>
  <c r="GE1100" i="98"/>
  <c r="FO1098" i="98"/>
  <c r="GK1098" i="98"/>
  <c r="FT1095" i="98"/>
  <c r="GC1086" i="98"/>
  <c r="GG1086" i="98"/>
  <c r="GK1086" i="98"/>
  <c r="GA1086" i="98"/>
  <c r="GF1086" i="98"/>
  <c r="GL1086" i="98"/>
  <c r="FR1086" i="98"/>
  <c r="GB1086" i="98"/>
  <c r="GH1086" i="98"/>
  <c r="GD1086" i="98"/>
  <c r="GI1086" i="98"/>
  <c r="FO1084" i="98"/>
  <c r="GK1084" i="98"/>
  <c r="FO1083" i="98"/>
  <c r="GJ1076" i="98"/>
  <c r="GE1070" i="98"/>
  <c r="GK1067" i="98"/>
  <c r="GD1067" i="98"/>
  <c r="GH1067" i="98"/>
  <c r="GB1067" i="98"/>
  <c r="GE1067" i="98"/>
  <c r="GE1054" i="98"/>
  <c r="GD1051" i="98"/>
  <c r="GH1051" i="98"/>
  <c r="GB1051" i="98"/>
  <c r="GE1051" i="98"/>
  <c r="FS1048" i="98"/>
  <c r="FT1048" i="98"/>
  <c r="FR1048" i="98" s="1"/>
  <c r="GK1038" i="98"/>
  <c r="FR1038" i="98"/>
  <c r="GB1038" i="98"/>
  <c r="GH1038" i="98"/>
  <c r="GD1038" i="98"/>
  <c r="FS1004" i="98"/>
  <c r="FT1004" i="98" s="1"/>
  <c r="FT1002" i="98"/>
  <c r="FR1002" i="98"/>
  <c r="FO997" i="98"/>
  <c r="FR997" i="98"/>
  <c r="GH997" i="98"/>
  <c r="FR972" i="98"/>
  <c r="FS972" i="98"/>
  <c r="FT972" i="98"/>
  <c r="FT970" i="98"/>
  <c r="FR970" i="98"/>
  <c r="GE965" i="98"/>
  <c r="FO965" i="98"/>
  <c r="GB965" i="98"/>
  <c r="FR965" i="98"/>
  <c r="GD965" i="98"/>
  <c r="GH965" i="98"/>
  <c r="FR963" i="98"/>
  <c r="GD957" i="98"/>
  <c r="GH957" i="98"/>
  <c r="GE957" i="98"/>
  <c r="FO957" i="98"/>
  <c r="GK957" i="98"/>
  <c r="GB957" i="98"/>
  <c r="FS600" i="98"/>
  <c r="FR600" i="98" s="1"/>
  <c r="FT600" i="98"/>
  <c r="GK1228" i="98"/>
  <c r="GE1228" i="98"/>
  <c r="FT1223" i="98"/>
  <c r="FT1221" i="98"/>
  <c r="GE1212" i="98"/>
  <c r="GJ1196" i="98"/>
  <c r="GB1196" i="98"/>
  <c r="FO1196" i="98"/>
  <c r="GB1180" i="98"/>
  <c r="FO1180" i="98"/>
  <c r="GA1166" i="98"/>
  <c r="GE1166" i="98"/>
  <c r="GI1166" i="98"/>
  <c r="GC1166" i="98"/>
  <c r="GG1166" i="98"/>
  <c r="GK1166" i="98"/>
  <c r="GE1164" i="98"/>
  <c r="GK1148" i="98"/>
  <c r="GE1142" i="98"/>
  <c r="FO1142" i="98"/>
  <c r="GB1142" i="98"/>
  <c r="GK1142" i="98"/>
  <c r="FO1139" i="98"/>
  <c r="GE1139" i="98" s="1"/>
  <c r="GD1139" i="98"/>
  <c r="FS1133" i="98"/>
  <c r="FT1133" i="98" s="1"/>
  <c r="GC1096" i="98"/>
  <c r="GG1096" i="98"/>
  <c r="GK1096" i="98"/>
  <c r="FR1096" i="98"/>
  <c r="GD1096" i="98"/>
  <c r="GH1096" i="98"/>
  <c r="GL1096" i="98"/>
  <c r="GA1096" i="98"/>
  <c r="GE1096" i="98"/>
  <c r="GI1096" i="98"/>
  <c r="GD1091" i="98"/>
  <c r="GH1091" i="98"/>
  <c r="GB1091" i="98"/>
  <c r="GK1062" i="98"/>
  <c r="FR1062" i="98"/>
  <c r="GB1062" i="98"/>
  <c r="GH1062" i="98"/>
  <c r="FO1060" i="98"/>
  <c r="FS1040" i="98"/>
  <c r="FR1040" i="98" s="1"/>
  <c r="FT1040" i="98"/>
  <c r="GK1018" i="98"/>
  <c r="GD1018" i="98"/>
  <c r="GH1018" i="98"/>
  <c r="FO1018" i="98"/>
  <c r="GE1018" i="98"/>
  <c r="FO1684" i="98"/>
  <c r="FO1680" i="98"/>
  <c r="GJ1676" i="98"/>
  <c r="GF1676" i="98"/>
  <c r="GB1676" i="98"/>
  <c r="FO1676" i="98"/>
  <c r="FO1672" i="98"/>
  <c r="FO1668" i="98"/>
  <c r="FO1664" i="98"/>
  <c r="FO1660" i="98"/>
  <c r="GK1660" i="98" s="1"/>
  <c r="FO1656" i="98"/>
  <c r="FO1652" i="98"/>
  <c r="FO1648" i="98"/>
  <c r="FO1644" i="98"/>
  <c r="FO1640" i="98"/>
  <c r="FO1636" i="98"/>
  <c r="FO1632" i="98"/>
  <c r="FO1628" i="98"/>
  <c r="FO1624" i="98"/>
  <c r="FO1620" i="98"/>
  <c r="FO1616" i="98"/>
  <c r="FO1612" i="98"/>
  <c r="FO1608" i="98"/>
  <c r="FO1604" i="98"/>
  <c r="FO1600" i="98"/>
  <c r="FO1596" i="98"/>
  <c r="FO1592" i="98"/>
  <c r="FO1588" i="98"/>
  <c r="FO1584" i="98"/>
  <c r="FO1580" i="98"/>
  <c r="FO1576" i="98"/>
  <c r="FO1572" i="98"/>
  <c r="FO1568" i="98"/>
  <c r="FO1564" i="98"/>
  <c r="FO1560" i="98"/>
  <c r="FO1556" i="98"/>
  <c r="FO1552" i="98"/>
  <c r="FO1548" i="98"/>
  <c r="FO1544" i="98"/>
  <c r="FO1540" i="98"/>
  <c r="FO1536" i="98"/>
  <c r="FO1532" i="98"/>
  <c r="FO1528" i="98"/>
  <c r="FO1524" i="98"/>
  <c r="FO1520" i="98"/>
  <c r="FO1516" i="98"/>
  <c r="FO1512" i="98"/>
  <c r="FO1508" i="98"/>
  <c r="FO1500" i="98"/>
  <c r="GK1492" i="98"/>
  <c r="FO1492" i="98"/>
  <c r="FO1484" i="98"/>
  <c r="GC1476" i="98"/>
  <c r="GG1476" i="98"/>
  <c r="GK1476" i="98"/>
  <c r="FO1476" i="98"/>
  <c r="FO1468" i="98"/>
  <c r="GK1460" i="98"/>
  <c r="FO1460" i="98"/>
  <c r="FO1452" i="98"/>
  <c r="GK1444" i="98"/>
  <c r="FO1444" i="98"/>
  <c r="GC1436" i="98"/>
  <c r="GG1436" i="98"/>
  <c r="GK1436" i="98"/>
  <c r="FO1436" i="98"/>
  <c r="GK1428" i="98"/>
  <c r="FO1428" i="98"/>
  <c r="FO1420" i="98"/>
  <c r="GK1412" i="98"/>
  <c r="FO1412" i="98"/>
  <c r="FO1404" i="98"/>
  <c r="GC1396" i="98"/>
  <c r="GG1396" i="98"/>
  <c r="GK1396" i="98"/>
  <c r="FO1396" i="98"/>
  <c r="FO1388" i="98"/>
  <c r="GK1380" i="98"/>
  <c r="FO1380" i="98"/>
  <c r="FO1372" i="98"/>
  <c r="GK1364" i="98"/>
  <c r="FO1364" i="98"/>
  <c r="GC1356" i="98"/>
  <c r="GG1356" i="98"/>
  <c r="GK1356" i="98"/>
  <c r="FO1356" i="98"/>
  <c r="GK1348" i="98"/>
  <c r="FO1348" i="98"/>
  <c r="FO1340" i="98"/>
  <c r="GK1332" i="98"/>
  <c r="FO1332" i="98"/>
  <c r="FO1324" i="98"/>
  <c r="GC1316" i="98"/>
  <c r="GG1316" i="98"/>
  <c r="GK1316" i="98"/>
  <c r="FO1316" i="98"/>
  <c r="FT1311" i="98"/>
  <c r="FR1311" i="98"/>
  <c r="FR1309" i="98"/>
  <c r="FT1309" i="98"/>
  <c r="FO1300" i="98"/>
  <c r="FT1295" i="98"/>
  <c r="FR1295" i="98" s="1"/>
  <c r="FT1293" i="98"/>
  <c r="GK1284" i="98"/>
  <c r="GE1284" i="98"/>
  <c r="FO1284" i="98"/>
  <c r="FT1279" i="98"/>
  <c r="FR1279" i="98"/>
  <c r="FR1277" i="98"/>
  <c r="FT1277" i="98"/>
  <c r="FO1268" i="98"/>
  <c r="FT1263" i="98"/>
  <c r="FR1263" i="98" s="1"/>
  <c r="FT1261" i="98"/>
  <c r="FR1261" i="98" s="1"/>
  <c r="FT1254" i="98"/>
  <c r="FO1252" i="98"/>
  <c r="FT1247" i="98"/>
  <c r="GF1246" i="98"/>
  <c r="FR1245" i="98"/>
  <c r="FT1245" i="98"/>
  <c r="FR1244" i="98"/>
  <c r="FT1238" i="98"/>
  <c r="GC1236" i="98"/>
  <c r="GG1236" i="98"/>
  <c r="GK1236" i="98"/>
  <c r="GA1236" i="98"/>
  <c r="GE1236" i="98"/>
  <c r="GI1236" i="98"/>
  <c r="FO1236" i="98"/>
  <c r="FT1231" i="98"/>
  <c r="FR1229" i="98"/>
  <c r="FT1229" i="98"/>
  <c r="FR1228" i="98"/>
  <c r="FT1222" i="98"/>
  <c r="FR1222" i="98" s="1"/>
  <c r="FO1220" i="98"/>
  <c r="FT1215" i="98"/>
  <c r="FR1213" i="98"/>
  <c r="FT1213" i="98"/>
  <c r="FR1212" i="98"/>
  <c r="FT1206" i="98"/>
  <c r="FO1204" i="98"/>
  <c r="FT1199" i="98"/>
  <c r="FR1197" i="98"/>
  <c r="FT1197" i="98"/>
  <c r="GF1196" i="98"/>
  <c r="FR1196" i="98"/>
  <c r="FT1190" i="98"/>
  <c r="FO1188" i="98"/>
  <c r="FT1183" i="98"/>
  <c r="FR1181" i="98"/>
  <c r="FT1181" i="98"/>
  <c r="FR1180" i="98"/>
  <c r="FT1174" i="98"/>
  <c r="FO1172" i="98"/>
  <c r="FT1167" i="98"/>
  <c r="GF1166" i="98"/>
  <c r="FR1165" i="98"/>
  <c r="FT1165" i="98"/>
  <c r="FR1164" i="98"/>
  <c r="FT1158" i="98"/>
  <c r="GC1156" i="98"/>
  <c r="GG1156" i="98"/>
  <c r="GK1156" i="98"/>
  <c r="GA1156" i="98"/>
  <c r="GE1156" i="98"/>
  <c r="GI1156" i="98"/>
  <c r="FO1156" i="98"/>
  <c r="FT1151" i="98"/>
  <c r="FR1149" i="98"/>
  <c r="FT1149" i="98"/>
  <c r="FR1148" i="98"/>
  <c r="FS1141" i="98"/>
  <c r="FT1141" i="98" s="1"/>
  <c r="GC1136" i="98"/>
  <c r="GG1136" i="98"/>
  <c r="GK1136" i="98"/>
  <c r="FR1136" i="98"/>
  <c r="GD1136" i="98"/>
  <c r="GH1136" i="98"/>
  <c r="GL1136" i="98"/>
  <c r="GA1136" i="98"/>
  <c r="GE1136" i="98"/>
  <c r="GI1136" i="98"/>
  <c r="FO1134" i="98"/>
  <c r="GK1134" i="98"/>
  <c r="FO1131" i="98"/>
  <c r="GB1131" i="98"/>
  <c r="GK1131" i="98"/>
  <c r="GD1131" i="98"/>
  <c r="GH1131" i="98"/>
  <c r="GL1126" i="98"/>
  <c r="FS1125" i="98"/>
  <c r="FT1125" i="98" s="1"/>
  <c r="GK1120" i="98"/>
  <c r="FR1120" i="98"/>
  <c r="GD1120" i="98"/>
  <c r="GH1120" i="98"/>
  <c r="GE1120" i="98"/>
  <c r="FO1118" i="98"/>
  <c r="GK1118" i="98"/>
  <c r="FO1115" i="98"/>
  <c r="GB1115" i="98"/>
  <c r="GD1115" i="98"/>
  <c r="GB1112" i="98"/>
  <c r="FS1109" i="98"/>
  <c r="FT1109" i="98" s="1"/>
  <c r="GK1104" i="98"/>
  <c r="FR1104" i="98"/>
  <c r="GD1104" i="98"/>
  <c r="GH1104" i="98"/>
  <c r="GE1104" i="98"/>
  <c r="GE1102" i="98"/>
  <c r="FO1102" i="98"/>
  <c r="GB1102" i="98"/>
  <c r="GK1102" i="98"/>
  <c r="FO1099" i="98"/>
  <c r="GB1099" i="98"/>
  <c r="GD1099" i="98"/>
  <c r="GB1096" i="98"/>
  <c r="GE1094" i="98"/>
  <c r="FR1094" i="98"/>
  <c r="GB1094" i="98"/>
  <c r="GK1094" i="98"/>
  <c r="FO1092" i="98"/>
  <c r="GK1092" i="98"/>
  <c r="FO1091" i="98"/>
  <c r="GK1091" i="98" s="1"/>
  <c r="GE1078" i="98"/>
  <c r="GD1076" i="98"/>
  <c r="GD1075" i="98"/>
  <c r="GH1075" i="98"/>
  <c r="GB1075" i="98"/>
  <c r="GE1075" i="98"/>
  <c r="FS1072" i="98"/>
  <c r="FT1072" i="98" s="1"/>
  <c r="GE1062" i="98"/>
  <c r="GD1060" i="98"/>
  <c r="GD1059" i="98"/>
  <c r="GH1059" i="98"/>
  <c r="GB1059" i="98"/>
  <c r="GE1059" i="98"/>
  <c r="FS1056" i="98"/>
  <c r="FT1056" i="98" s="1"/>
  <c r="GC1046" i="98"/>
  <c r="GG1046" i="98"/>
  <c r="GK1046" i="98"/>
  <c r="GA1046" i="98"/>
  <c r="GF1046" i="98"/>
  <c r="GL1046" i="98"/>
  <c r="FR1046" i="98"/>
  <c r="GB1046" i="98"/>
  <c r="GH1046" i="98"/>
  <c r="GD1046" i="98"/>
  <c r="GI1046" i="98"/>
  <c r="FO1044" i="98"/>
  <c r="GK1044" i="98"/>
  <c r="FO1043" i="98"/>
  <c r="GK1043" i="98" s="1"/>
  <c r="GK1030" i="98"/>
  <c r="GH1030" i="98"/>
  <c r="FO1030" i="98"/>
  <c r="GE1030" i="98"/>
  <c r="GJ1026" i="98"/>
  <c r="GD1022" i="98"/>
  <c r="FO1022" i="98"/>
  <c r="GK1014" i="98"/>
  <c r="GH1014" i="98"/>
  <c r="FO1014" i="98"/>
  <c r="GE1014" i="98"/>
  <c r="FO1006" i="98"/>
  <c r="GC1006" i="98"/>
  <c r="GG1006" i="98"/>
  <c r="GK1006" i="98"/>
  <c r="GD1006" i="98"/>
  <c r="GH1006" i="98"/>
  <c r="GL1006" i="98"/>
  <c r="GE1006" i="98"/>
  <c r="GF1006" i="98"/>
  <c r="GA1006" i="98"/>
  <c r="GI1006" i="98"/>
  <c r="FS775" i="98"/>
  <c r="FR775" i="98" s="1"/>
  <c r="FT775" i="98"/>
  <c r="FO694" i="98"/>
  <c r="GB694" i="98"/>
  <c r="GK694" i="98"/>
  <c r="GD694" i="98"/>
  <c r="GH694" i="98"/>
  <c r="GE694" i="98"/>
  <c r="FO1034" i="98"/>
  <c r="FS958" i="98"/>
  <c r="FT958" i="98" s="1"/>
  <c r="GE1684" i="98"/>
  <c r="GE1680" i="98"/>
  <c r="GI1676" i="98"/>
  <c r="GE1676" i="98"/>
  <c r="GA1676" i="98"/>
  <c r="GE1672" i="98"/>
  <c r="GE1668" i="98"/>
  <c r="GE1664" i="98"/>
  <c r="GI1656" i="98"/>
  <c r="GE1656" i="98"/>
  <c r="GA1656" i="98"/>
  <c r="GE1652" i="98"/>
  <c r="GE1648" i="98"/>
  <c r="GE1640" i="98"/>
  <c r="GI1636" i="98"/>
  <c r="GE1636" i="98"/>
  <c r="GA1636" i="98"/>
  <c r="GE1632" i="98"/>
  <c r="GE1624" i="98"/>
  <c r="GE1620" i="98"/>
  <c r="GI1616" i="98"/>
  <c r="GE1616" i="98"/>
  <c r="GA1616" i="98"/>
  <c r="GE1608" i="98"/>
  <c r="GE1604" i="98"/>
  <c r="GE1600" i="98"/>
  <c r="GI1596" i="98"/>
  <c r="GE1596" i="98"/>
  <c r="GA1596" i="98"/>
  <c r="GE1592" i="98"/>
  <c r="GE1588" i="98"/>
  <c r="GE1584" i="98"/>
  <c r="GI1576" i="98"/>
  <c r="GE1576" i="98"/>
  <c r="GA1576" i="98"/>
  <c r="GE1572" i="98"/>
  <c r="GE1568" i="98"/>
  <c r="GE1560" i="98"/>
  <c r="GI1556" i="98"/>
  <c r="GE1556" i="98"/>
  <c r="GA1556" i="98"/>
  <c r="GE1552" i="98"/>
  <c r="GE1544" i="98"/>
  <c r="GE1540" i="98"/>
  <c r="GI1536" i="98"/>
  <c r="GE1536" i="98"/>
  <c r="GA1536" i="98"/>
  <c r="GE1528" i="98"/>
  <c r="GE1524" i="98"/>
  <c r="GE1520" i="98"/>
  <c r="GI1516" i="98"/>
  <c r="GE1516" i="98"/>
  <c r="GA1516" i="98"/>
  <c r="GE1512" i="98"/>
  <c r="GE1508" i="98"/>
  <c r="FR1501" i="98"/>
  <c r="GD1500" i="98"/>
  <c r="FT1499" i="98"/>
  <c r="FR1493" i="98"/>
  <c r="GD1492" i="98"/>
  <c r="FT1491" i="98"/>
  <c r="FR1485" i="98"/>
  <c r="FT1483" i="98"/>
  <c r="FR1477" i="98"/>
  <c r="GI1476" i="98"/>
  <c r="GD1476" i="98"/>
  <c r="FT1475" i="98"/>
  <c r="FR1475" i="98" s="1"/>
  <c r="FR1469" i="98"/>
  <c r="GD1468" i="98"/>
  <c r="FT1467" i="98"/>
  <c r="FR1461" i="98"/>
  <c r="GD1460" i="98"/>
  <c r="FT1459" i="98"/>
  <c r="FR1453" i="98"/>
  <c r="FT1451" i="98"/>
  <c r="FR1445" i="98"/>
  <c r="GD1444" i="98"/>
  <c r="FT1443" i="98"/>
  <c r="FR1437" i="98"/>
  <c r="GI1436" i="98"/>
  <c r="GD1436" i="98"/>
  <c r="FT1435" i="98"/>
  <c r="FR1429" i="98"/>
  <c r="GD1428" i="98"/>
  <c r="FT1427" i="98"/>
  <c r="FR1421" i="98"/>
  <c r="FT1419" i="98"/>
  <c r="FR1413" i="98"/>
  <c r="GD1412" i="98"/>
  <c r="FT1411" i="98"/>
  <c r="FR1405" i="98"/>
  <c r="GD1404" i="98"/>
  <c r="FT1403" i="98"/>
  <c r="FR1397" i="98"/>
  <c r="GI1396" i="98"/>
  <c r="GD1396" i="98"/>
  <c r="FT1395" i="98"/>
  <c r="FR1389" i="98"/>
  <c r="FT1387" i="98"/>
  <c r="FR1381" i="98"/>
  <c r="GD1380" i="98"/>
  <c r="FT1379" i="98"/>
  <c r="FR1373" i="98"/>
  <c r="GD1372" i="98"/>
  <c r="FT1371" i="98"/>
  <c r="FR1365" i="98"/>
  <c r="GD1364" i="98"/>
  <c r="FT1363" i="98"/>
  <c r="FR1357" i="98"/>
  <c r="GI1356" i="98"/>
  <c r="GD1356" i="98"/>
  <c r="FT1355" i="98"/>
  <c r="FR1355" i="98" s="1"/>
  <c r="FR1349" i="98"/>
  <c r="GD1348" i="98"/>
  <c r="FT1347" i="98"/>
  <c r="FR1341" i="98"/>
  <c r="GD1340" i="98"/>
  <c r="FT1339" i="98"/>
  <c r="FR1333" i="98"/>
  <c r="GD1332" i="98"/>
  <c r="FT1331" i="98"/>
  <c r="FR1325" i="98"/>
  <c r="FT1323" i="98"/>
  <c r="FR1317" i="98"/>
  <c r="GI1316" i="98"/>
  <c r="GD1316" i="98"/>
  <c r="FT1315" i="98"/>
  <c r="FT1307" i="98"/>
  <c r="FR1307" i="98"/>
  <c r="FR1305" i="98"/>
  <c r="FT1305" i="98"/>
  <c r="GE1298" i="98"/>
  <c r="GK1298" i="98"/>
  <c r="GC1296" i="98"/>
  <c r="GG1296" i="98"/>
  <c r="GK1296" i="98"/>
  <c r="GA1296" i="98"/>
  <c r="GE1296" i="98"/>
  <c r="GI1296" i="98"/>
  <c r="FO1296" i="98"/>
  <c r="FT1291" i="98"/>
  <c r="FT1289" i="98"/>
  <c r="GH1284" i="98"/>
  <c r="GE1282" i="98"/>
  <c r="GK1282" i="98"/>
  <c r="GK1280" i="98"/>
  <c r="GE1280" i="98"/>
  <c r="FO1280" i="98"/>
  <c r="FT1275" i="98"/>
  <c r="FR1275" i="98"/>
  <c r="FR1273" i="98"/>
  <c r="FT1273" i="98"/>
  <c r="GA1266" i="98"/>
  <c r="GE1266" i="98"/>
  <c r="GI1266" i="98"/>
  <c r="GC1266" i="98"/>
  <c r="GG1266" i="98"/>
  <c r="GK1266" i="98"/>
  <c r="GK1264" i="98"/>
  <c r="GE1264" i="98"/>
  <c r="FO1264" i="98"/>
  <c r="FT1259" i="98"/>
  <c r="FR1259" i="98"/>
  <c r="FR1257" i="98"/>
  <c r="FT1257" i="98"/>
  <c r="FS1255" i="98"/>
  <c r="FR1255" i="98" s="1"/>
  <c r="FS1253" i="98"/>
  <c r="GE1250" i="98"/>
  <c r="GK1250" i="98"/>
  <c r="GK1248" i="98"/>
  <c r="GE1248" i="98"/>
  <c r="FO1248" i="98"/>
  <c r="GL1246" i="98"/>
  <c r="GD1246" i="98"/>
  <c r="FO1246" i="98"/>
  <c r="GD1244" i="98"/>
  <c r="FT1243" i="98"/>
  <c r="FR1243" i="98"/>
  <c r="FR1241" i="98"/>
  <c r="FT1241" i="98"/>
  <c r="FS1239" i="98"/>
  <c r="FS1237" i="98"/>
  <c r="GH1236" i="98"/>
  <c r="GE1234" i="98"/>
  <c r="GK1234" i="98"/>
  <c r="GK1232" i="98"/>
  <c r="GE1232" i="98"/>
  <c r="FO1232" i="98"/>
  <c r="GD1230" i="98"/>
  <c r="FO1230" i="98"/>
  <c r="GE1230" i="98" s="1"/>
  <c r="GD1228" i="98"/>
  <c r="FT1227" i="98"/>
  <c r="FR1227" i="98" s="1"/>
  <c r="FT1225" i="98"/>
  <c r="FS1223" i="98"/>
  <c r="FR1223" i="98" s="1"/>
  <c r="FS1221" i="98"/>
  <c r="FR1221" i="98" s="1"/>
  <c r="GH1220" i="98"/>
  <c r="GE1218" i="98"/>
  <c r="GK1218" i="98"/>
  <c r="GC1216" i="98"/>
  <c r="GG1216" i="98"/>
  <c r="GK1216" i="98"/>
  <c r="GA1216" i="98"/>
  <c r="GE1216" i="98"/>
  <c r="GI1216" i="98"/>
  <c r="FO1216" i="98"/>
  <c r="FO1214" i="98"/>
  <c r="GH1214" i="98" s="1"/>
  <c r="FT1211" i="98"/>
  <c r="FT1209" i="98"/>
  <c r="FS1207" i="98"/>
  <c r="FT1207" i="98" s="1"/>
  <c r="FS1205" i="98"/>
  <c r="FT1205" i="98" s="1"/>
  <c r="GE1202" i="98"/>
  <c r="GK1202" i="98"/>
  <c r="FO1200" i="98"/>
  <c r="FO1198" i="98"/>
  <c r="GL1196" i="98"/>
  <c r="GD1196" i="98"/>
  <c r="FT1195" i="98"/>
  <c r="FR1195" i="98"/>
  <c r="FR1193" i="98"/>
  <c r="FT1193" i="98"/>
  <c r="FS1191" i="98"/>
  <c r="FT1191" i="98" s="1"/>
  <c r="FS1189" i="98"/>
  <c r="GA1186" i="98"/>
  <c r="GE1186" i="98"/>
  <c r="GI1186" i="98"/>
  <c r="GC1186" i="98"/>
  <c r="GG1186" i="98"/>
  <c r="GK1186" i="98"/>
  <c r="GK1184" i="98"/>
  <c r="GE1184" i="98"/>
  <c r="FO1184" i="98"/>
  <c r="GD1182" i="98"/>
  <c r="FO1182" i="98"/>
  <c r="GD1180" i="98"/>
  <c r="FT1179" i="98"/>
  <c r="FR1179" i="98" s="1"/>
  <c r="FT1177" i="98"/>
  <c r="FR1177" i="98" s="1"/>
  <c r="FS1175" i="98"/>
  <c r="FT1175" i="98" s="1"/>
  <c r="FS1173" i="98"/>
  <c r="FR1173" i="98" s="1"/>
  <c r="GH1172" i="98"/>
  <c r="GE1170" i="98"/>
  <c r="GK1170" i="98"/>
  <c r="FO1168" i="98"/>
  <c r="GL1166" i="98"/>
  <c r="GD1166" i="98"/>
  <c r="FO1166" i="98"/>
  <c r="FT1163" i="98"/>
  <c r="FT1161" i="98"/>
  <c r="FS1159" i="98"/>
  <c r="FT1159" i="98" s="1"/>
  <c r="FS1157" i="98"/>
  <c r="FT1157" i="98" s="1"/>
  <c r="GH1156" i="98"/>
  <c r="GE1154" i="98"/>
  <c r="GK1154" i="98"/>
  <c r="FO1152" i="98"/>
  <c r="FO1150" i="98"/>
  <c r="FT1147" i="98"/>
  <c r="FR1147" i="98"/>
  <c r="FR1145" i="98"/>
  <c r="FT1145" i="98"/>
  <c r="FO1144" i="98"/>
  <c r="GH1142" i="98"/>
  <c r="FR1142" i="98"/>
  <c r="GK1140" i="98"/>
  <c r="FR1140" i="98"/>
  <c r="GD1140" i="98"/>
  <c r="GH1140" i="98"/>
  <c r="GE1140" i="98"/>
  <c r="FO1138" i="98"/>
  <c r="GK1138" i="98"/>
  <c r="GF1136" i="98"/>
  <c r="FT1135" i="98"/>
  <c r="FS1129" i="98"/>
  <c r="FT1129" i="98"/>
  <c r="FO1128" i="98"/>
  <c r="GH1126" i="98"/>
  <c r="FR1126" i="98"/>
  <c r="GK1124" i="98"/>
  <c r="FR1124" i="98"/>
  <c r="GD1124" i="98"/>
  <c r="GH1124" i="98"/>
  <c r="GE1124" i="98"/>
  <c r="FO1122" i="98"/>
  <c r="FT1119" i="98"/>
  <c r="FS1113" i="98"/>
  <c r="FR1113" i="98" s="1"/>
  <c r="FT1113" i="98"/>
  <c r="FO1112" i="98"/>
  <c r="FR1110" i="98"/>
  <c r="GK1108" i="98"/>
  <c r="FR1108" i="98"/>
  <c r="GD1108" i="98"/>
  <c r="GH1108" i="98"/>
  <c r="GE1108" i="98"/>
  <c r="GA1106" i="98"/>
  <c r="GE1106" i="98"/>
  <c r="GI1106" i="98"/>
  <c r="FO1106" i="98"/>
  <c r="GB1106" i="98"/>
  <c r="GF1106" i="98"/>
  <c r="GJ1106" i="98"/>
  <c r="GC1106" i="98"/>
  <c r="GG1106" i="98"/>
  <c r="GK1106" i="98"/>
  <c r="FT1103" i="98"/>
  <c r="FR1103" i="98" s="1"/>
  <c r="FS1097" i="98"/>
  <c r="FR1097" i="98" s="1"/>
  <c r="FT1097" i="98"/>
  <c r="FO1096" i="98"/>
  <c r="GE1083" i="98"/>
  <c r="FS1080" i="98"/>
  <c r="FT1080" i="98"/>
  <c r="FR1080" i="98" s="1"/>
  <c r="FO1078" i="98"/>
  <c r="GK1070" i="98"/>
  <c r="FR1070" i="98"/>
  <c r="GB1070" i="98"/>
  <c r="GH1070" i="98"/>
  <c r="GD1070" i="98"/>
  <c r="GE1068" i="98"/>
  <c r="FO1068" i="98"/>
  <c r="GK1068" i="98"/>
  <c r="GB1068" i="98"/>
  <c r="GH1068" i="98"/>
  <c r="FS1064" i="98"/>
  <c r="FR1064" i="98" s="1"/>
  <c r="FT1064" i="98"/>
  <c r="FO1062" i="98"/>
  <c r="GK1054" i="98"/>
  <c r="FR1054" i="98"/>
  <c r="GB1054" i="98"/>
  <c r="GH1054" i="98"/>
  <c r="GD1054" i="98"/>
  <c r="FO1052" i="98"/>
  <c r="GK1052" i="98"/>
  <c r="GJ1046" i="98"/>
  <c r="FT1031" i="98"/>
  <c r="GB1026" i="98"/>
  <c r="GB1018" i="98"/>
  <c r="FT1015" i="98"/>
  <c r="FS988" i="98"/>
  <c r="FT988" i="98" s="1"/>
  <c r="FT986" i="98"/>
  <c r="FR986" i="98"/>
  <c r="FO981" i="98"/>
  <c r="FR981" i="98"/>
  <c r="GH981" i="98"/>
  <c r="GD960" i="98"/>
  <c r="FO960" i="98"/>
  <c r="GK960" i="98" s="1"/>
  <c r="GB960" i="98"/>
  <c r="FR960" i="98"/>
  <c r="GH617" i="98"/>
  <c r="GE569" i="98"/>
  <c r="FO569" i="98"/>
  <c r="GB569" i="98"/>
  <c r="FR569" i="98"/>
  <c r="GD569" i="98"/>
  <c r="GH569" i="98"/>
  <c r="FR1143" i="98"/>
  <c r="FR1139" i="98"/>
  <c r="FR1135" i="98"/>
  <c r="FR1131" i="98"/>
  <c r="FR1123" i="98"/>
  <c r="FR1119" i="98"/>
  <c r="FR1115" i="98"/>
  <c r="FR1111" i="98"/>
  <c r="FR1107" i="98"/>
  <c r="FR1099" i="98"/>
  <c r="FR1095" i="98"/>
  <c r="FR1092" i="98"/>
  <c r="FR1087" i="98"/>
  <c r="FT1085" i="98"/>
  <c r="FR1084" i="98"/>
  <c r="FR1076" i="98"/>
  <c r="FT1069" i="98"/>
  <c r="FR1068" i="98"/>
  <c r="GL1066" i="98"/>
  <c r="GF1066" i="98"/>
  <c r="GA1066" i="98"/>
  <c r="FR1060" i="98"/>
  <c r="FR1055" i="98"/>
  <c r="FT1053" i="98"/>
  <c r="FR1052" i="98"/>
  <c r="FR1044" i="98"/>
  <c r="FT1037" i="98"/>
  <c r="FR1034" i="98"/>
  <c r="FR1030" i="98"/>
  <c r="FR1026" i="98"/>
  <c r="FR1022" i="98"/>
  <c r="FR1018" i="98"/>
  <c r="FR1014" i="98"/>
  <c r="FR1010" i="98"/>
  <c r="FR1006" i="98"/>
  <c r="GE1001" i="98"/>
  <c r="FO1001" i="98"/>
  <c r="GB1001" i="98"/>
  <c r="GK1001" i="98"/>
  <c r="FR999" i="98"/>
  <c r="FS992" i="98"/>
  <c r="FT992" i="98"/>
  <c r="FT990" i="98"/>
  <c r="FO985" i="98"/>
  <c r="GK985" i="98"/>
  <c r="FR983" i="98"/>
  <c r="FS976" i="98"/>
  <c r="FR976" i="98" s="1"/>
  <c r="FT976" i="98"/>
  <c r="FT974" i="98"/>
  <c r="FR974" i="98" s="1"/>
  <c r="FO969" i="98"/>
  <c r="GC956" i="98"/>
  <c r="GG956" i="98"/>
  <c r="GK956" i="98"/>
  <c r="GA956" i="98"/>
  <c r="GF956" i="98"/>
  <c r="GL956" i="98"/>
  <c r="GB956" i="98"/>
  <c r="GH956" i="98"/>
  <c r="GD956" i="98"/>
  <c r="GI956" i="98"/>
  <c r="GD952" i="98"/>
  <c r="FO952" i="98"/>
  <c r="GE952" i="98"/>
  <c r="FS950" i="98"/>
  <c r="FT950" i="98"/>
  <c r="GD949" i="98"/>
  <c r="GH949" i="98"/>
  <c r="GE949" i="98"/>
  <c r="FO949" i="98"/>
  <c r="GK949" i="98"/>
  <c r="GB949" i="98"/>
  <c r="FR719" i="98"/>
  <c r="FR687" i="98"/>
  <c r="GE641" i="98"/>
  <c r="FO641" i="98"/>
  <c r="GB641" i="98"/>
  <c r="GK641" i="98"/>
  <c r="FR641" i="98"/>
  <c r="GD641" i="98"/>
  <c r="GH641" i="98"/>
  <c r="FT541" i="98"/>
  <c r="FR541" i="98" s="1"/>
  <c r="GK1090" i="98"/>
  <c r="FO1090" i="98"/>
  <c r="FO1082" i="98"/>
  <c r="GK1074" i="98"/>
  <c r="FO1074" i="98"/>
  <c r="GC1066" i="98"/>
  <c r="GG1066" i="98"/>
  <c r="GK1066" i="98"/>
  <c r="FO1066" i="98"/>
  <c r="GK1058" i="98"/>
  <c r="FO1058" i="98"/>
  <c r="FO1050" i="98"/>
  <c r="GK1042" i="98"/>
  <c r="FO1042" i="98"/>
  <c r="FS1035" i="98"/>
  <c r="FT1035" i="98" s="1"/>
  <c r="FS1031" i="98"/>
  <c r="FS1027" i="98"/>
  <c r="FT1027" i="98" s="1"/>
  <c r="FS1023" i="98"/>
  <c r="FT1023" i="98" s="1"/>
  <c r="FS1019" i="98"/>
  <c r="FT1019" i="98" s="1"/>
  <c r="FS1015" i="98"/>
  <c r="FS1011" i="98"/>
  <c r="FT1011" i="98" s="1"/>
  <c r="FS1007" i="98"/>
  <c r="FT1007" i="98" s="1"/>
  <c r="FO1005" i="98"/>
  <c r="GK1005" i="98"/>
  <c r="FS996" i="98"/>
  <c r="FR996" i="98" s="1"/>
  <c r="FT996" i="98"/>
  <c r="FT994" i="98"/>
  <c r="FR994" i="98" s="1"/>
  <c r="FO989" i="98"/>
  <c r="GK989" i="98"/>
  <c r="FS980" i="98"/>
  <c r="FR980" i="98" s="1"/>
  <c r="FT980" i="98"/>
  <c r="FT978" i="98"/>
  <c r="FR978" i="98" s="1"/>
  <c r="FO973" i="98"/>
  <c r="GK973" i="98"/>
  <c r="FS964" i="98"/>
  <c r="FR964" i="98" s="1"/>
  <c r="FT964" i="98"/>
  <c r="FT962" i="98"/>
  <c r="FR962" i="98" s="1"/>
  <c r="FO954" i="98"/>
  <c r="GD954" i="98" s="1"/>
  <c r="GK954" i="98"/>
  <c r="FR954" i="98"/>
  <c r="GH954" i="98"/>
  <c r="GK948" i="98"/>
  <c r="GB948" i="98"/>
  <c r="GH948" i="98"/>
  <c r="GD948" i="98"/>
  <c r="FO944" i="98"/>
  <c r="GB944" i="98" s="1"/>
  <c r="FS942" i="98"/>
  <c r="FT942" i="98" s="1"/>
  <c r="GD941" i="98"/>
  <c r="GH941" i="98"/>
  <c r="GE941" i="98"/>
  <c r="FO941" i="98"/>
  <c r="GK941" i="98"/>
  <c r="GB941" i="98"/>
  <c r="FT940" i="98"/>
  <c r="FR936" i="98"/>
  <c r="FT936" i="98"/>
  <c r="FR932" i="98"/>
  <c r="FT932" i="98"/>
  <c r="FT928" i="98"/>
  <c r="FT924" i="98"/>
  <c r="FR920" i="98"/>
  <c r="FT920" i="98"/>
  <c r="FR916" i="98"/>
  <c r="FT916" i="98"/>
  <c r="FT912" i="98"/>
  <c r="FT908" i="98"/>
  <c r="FR904" i="98"/>
  <c r="FT904" i="98"/>
  <c r="FR900" i="98"/>
  <c r="FT900" i="98"/>
  <c r="FT896" i="98"/>
  <c r="FT892" i="98"/>
  <c r="FR888" i="98"/>
  <c r="FT888" i="98"/>
  <c r="FR884" i="98"/>
  <c r="FT884" i="98"/>
  <c r="FT880" i="98"/>
  <c r="FT876" i="98"/>
  <c r="FR872" i="98"/>
  <c r="FT872" i="98"/>
  <c r="FR868" i="98"/>
  <c r="FT868" i="98"/>
  <c r="FT864" i="98"/>
  <c r="FT860" i="98"/>
  <c r="FR856" i="98"/>
  <c r="FT856" i="98"/>
  <c r="FR852" i="98"/>
  <c r="FT852" i="98"/>
  <c r="FT848" i="98"/>
  <c r="FT844" i="98"/>
  <c r="FR840" i="98"/>
  <c r="FT840" i="98"/>
  <c r="FR836" i="98"/>
  <c r="FT836" i="98"/>
  <c r="FT832" i="98"/>
  <c r="FT828" i="98"/>
  <c r="FR824" i="98"/>
  <c r="FT824" i="98"/>
  <c r="FR820" i="98"/>
  <c r="FT820" i="98"/>
  <c r="FT816" i="98"/>
  <c r="FT812" i="98"/>
  <c r="FR808" i="98"/>
  <c r="FT808" i="98"/>
  <c r="FR804" i="98"/>
  <c r="FT804" i="98"/>
  <c r="FT800" i="98"/>
  <c r="FT796" i="98"/>
  <c r="FR792" i="98"/>
  <c r="FT792" i="98"/>
  <c r="FR788" i="98"/>
  <c r="FT788" i="98"/>
  <c r="FT784" i="98"/>
  <c r="FT780" i="98"/>
  <c r="FS728" i="98"/>
  <c r="FR728" i="98" s="1"/>
  <c r="FT728" i="98"/>
  <c r="FS696" i="98"/>
  <c r="FT696" i="98"/>
  <c r="FO646" i="98"/>
  <c r="GB646" i="98"/>
  <c r="GF646" i="98"/>
  <c r="GJ646" i="98"/>
  <c r="GC646" i="98"/>
  <c r="GG646" i="98"/>
  <c r="GK646" i="98"/>
  <c r="GD646" i="98"/>
  <c r="GH646" i="98"/>
  <c r="GL646" i="98"/>
  <c r="GA646" i="98"/>
  <c r="GE646" i="98"/>
  <c r="GI646" i="98"/>
  <c r="FO598" i="98"/>
  <c r="GB598" i="98" s="1"/>
  <c r="GK598" i="98"/>
  <c r="GD598" i="98"/>
  <c r="GH598" i="98"/>
  <c r="GE598" i="98"/>
  <c r="FS1093" i="98"/>
  <c r="FR1091" i="98"/>
  <c r="GD1090" i="98"/>
  <c r="FT1089" i="98"/>
  <c r="FT1087" i="98"/>
  <c r="FS1085" i="98"/>
  <c r="FR1083" i="98"/>
  <c r="FT1081" i="98"/>
  <c r="FT1079" i="98"/>
  <c r="FS1077" i="98"/>
  <c r="FR1075" i="98"/>
  <c r="GD1074" i="98"/>
  <c r="FT1073" i="98"/>
  <c r="FT1071" i="98"/>
  <c r="FR1071" i="98" s="1"/>
  <c r="FS1069" i="98"/>
  <c r="FR1067" i="98"/>
  <c r="GI1066" i="98"/>
  <c r="GD1066" i="98"/>
  <c r="FT1065" i="98"/>
  <c r="FT1063" i="98"/>
  <c r="FS1061" i="98"/>
  <c r="FR1059" i="98"/>
  <c r="GD1058" i="98"/>
  <c r="FT1057" i="98"/>
  <c r="FT1055" i="98"/>
  <c r="FS1053" i="98"/>
  <c r="FR1051" i="98"/>
  <c r="FT1049" i="98"/>
  <c r="FT1047" i="98"/>
  <c r="FS1045" i="98"/>
  <c r="FR1043" i="98"/>
  <c r="GD1042" i="98"/>
  <c r="FT1041" i="98"/>
  <c r="FT1039" i="98"/>
  <c r="FR1039" i="98" s="1"/>
  <c r="FS1037" i="98"/>
  <c r="FS1036" i="98"/>
  <c r="FT1036" i="98"/>
  <c r="FT1033" i="98"/>
  <c r="FS1032" i="98"/>
  <c r="FT1032" i="98" s="1"/>
  <c r="FT1029" i="98"/>
  <c r="FS1028" i="98"/>
  <c r="FT1025" i="98"/>
  <c r="FS1024" i="98"/>
  <c r="FT1024" i="98"/>
  <c r="FT1021" i="98"/>
  <c r="FS1020" i="98"/>
  <c r="FT1020" i="98"/>
  <c r="FT1017" i="98"/>
  <c r="FS1016" i="98"/>
  <c r="FT1016" i="98" s="1"/>
  <c r="FT1013" i="98"/>
  <c r="FS1012" i="98"/>
  <c r="FT1009" i="98"/>
  <c r="FS1008" i="98"/>
  <c r="FT1008" i="98"/>
  <c r="GH1001" i="98"/>
  <c r="FS1000" i="98"/>
  <c r="FT1000" i="98" s="1"/>
  <c r="FT998" i="98"/>
  <c r="FR998" i="98"/>
  <c r="GE993" i="98"/>
  <c r="FO993" i="98"/>
  <c r="GB993" i="98"/>
  <c r="FS984" i="98"/>
  <c r="FT984" i="98" s="1"/>
  <c r="FT982" i="98"/>
  <c r="FR982" i="98"/>
  <c r="FO977" i="98"/>
  <c r="FS968" i="98"/>
  <c r="FR968" i="98" s="1"/>
  <c r="FT968" i="98"/>
  <c r="FT966" i="98"/>
  <c r="FR966" i="98" s="1"/>
  <c r="FO961" i="98"/>
  <c r="GK961" i="98"/>
  <c r="GE956" i="98"/>
  <c r="GB952" i="98"/>
  <c r="FR948" i="98"/>
  <c r="GA946" i="98"/>
  <c r="GE946" i="98"/>
  <c r="GI946" i="98"/>
  <c r="FO946" i="98"/>
  <c r="GF946" i="98"/>
  <c r="GK946" i="98"/>
  <c r="GB946" i="98"/>
  <c r="GG946" i="98"/>
  <c r="GL946" i="98"/>
  <c r="FR946" i="98"/>
  <c r="GC946" i="98"/>
  <c r="GH946" i="98"/>
  <c r="FR944" i="98"/>
  <c r="FR878" i="98"/>
  <c r="FR862" i="98"/>
  <c r="FR846" i="98"/>
  <c r="FR830" i="98"/>
  <c r="FR814" i="98"/>
  <c r="FR798" i="98"/>
  <c r="FR782" i="98"/>
  <c r="FS1003" i="98"/>
  <c r="FT1003" i="98" s="1"/>
  <c r="FS999" i="98"/>
  <c r="FT999" i="98" s="1"/>
  <c r="FS995" i="98"/>
  <c r="FT995" i="98" s="1"/>
  <c r="FS991" i="98"/>
  <c r="FT991" i="98" s="1"/>
  <c r="FS987" i="98"/>
  <c r="FT987" i="98" s="1"/>
  <c r="FS983" i="98"/>
  <c r="FT983" i="98" s="1"/>
  <c r="FS979" i="98"/>
  <c r="FT979" i="98" s="1"/>
  <c r="FS975" i="98"/>
  <c r="FT975" i="98" s="1"/>
  <c r="FS971" i="98"/>
  <c r="FT971" i="98" s="1"/>
  <c r="FS967" i="98"/>
  <c r="FT967" i="98" s="1"/>
  <c r="FS963" i="98"/>
  <c r="FT963" i="98" s="1"/>
  <c r="FS959" i="98"/>
  <c r="FR959" i="98" s="1"/>
  <c r="FR957" i="98"/>
  <c r="FT955" i="98"/>
  <c r="FT953" i="98"/>
  <c r="FS951" i="98"/>
  <c r="FT951" i="98" s="1"/>
  <c r="FR949" i="98"/>
  <c r="FT947" i="98"/>
  <c r="FT945" i="98"/>
  <c r="FS943" i="98"/>
  <c r="FR943" i="98" s="1"/>
  <c r="FR941" i="98"/>
  <c r="FS937" i="98"/>
  <c r="FT937" i="98" s="1"/>
  <c r="FR933" i="98"/>
  <c r="FS933" i="98"/>
  <c r="FT933" i="98" s="1"/>
  <c r="FS929" i="98"/>
  <c r="FT929" i="98" s="1"/>
  <c r="FR925" i="98"/>
  <c r="FS925" i="98"/>
  <c r="FT925" i="98" s="1"/>
  <c r="FS921" i="98"/>
  <c r="FT921" i="98" s="1"/>
  <c r="FR917" i="98"/>
  <c r="FS917" i="98"/>
  <c r="FT917" i="98" s="1"/>
  <c r="FS913" i="98"/>
  <c r="FT913" i="98" s="1"/>
  <c r="FR909" i="98"/>
  <c r="FS909" i="98"/>
  <c r="FT909" i="98" s="1"/>
  <c r="FS905" i="98"/>
  <c r="FT905" i="98" s="1"/>
  <c r="FR901" i="98"/>
  <c r="FS901" i="98"/>
  <c r="FT901" i="98" s="1"/>
  <c r="FS897" i="98"/>
  <c r="FT897" i="98" s="1"/>
  <c r="FR893" i="98"/>
  <c r="FS893" i="98"/>
  <c r="FT893" i="98" s="1"/>
  <c r="FS889" i="98"/>
  <c r="FT889" i="98" s="1"/>
  <c r="FR885" i="98"/>
  <c r="FS885" i="98"/>
  <c r="FT885" i="98" s="1"/>
  <c r="FS881" i="98"/>
  <c r="FT881" i="98" s="1"/>
  <c r="FR877" i="98"/>
  <c r="FS877" i="98"/>
  <c r="FT877" i="98" s="1"/>
  <c r="FS873" i="98"/>
  <c r="FT873" i="98" s="1"/>
  <c r="FR869" i="98"/>
  <c r="FS869" i="98"/>
  <c r="FT869" i="98" s="1"/>
  <c r="FS865" i="98"/>
  <c r="FT865" i="98" s="1"/>
  <c r="FR861" i="98"/>
  <c r="FS861" i="98"/>
  <c r="FT861" i="98" s="1"/>
  <c r="FS857" i="98"/>
  <c r="FT857" i="98" s="1"/>
  <c r="FR853" i="98"/>
  <c r="FS853" i="98"/>
  <c r="FT853" i="98" s="1"/>
  <c r="FS849" i="98"/>
  <c r="FT849" i="98" s="1"/>
  <c r="FR845" i="98"/>
  <c r="FS845" i="98"/>
  <c r="FT845" i="98" s="1"/>
  <c r="FS841" i="98"/>
  <c r="FT841" i="98" s="1"/>
  <c r="FR837" i="98"/>
  <c r="FS837" i="98"/>
  <c r="FT837" i="98" s="1"/>
  <c r="FS833" i="98"/>
  <c r="FT833" i="98" s="1"/>
  <c r="FR829" i="98"/>
  <c r="FS829" i="98"/>
  <c r="FT829" i="98" s="1"/>
  <c r="FS825" i="98"/>
  <c r="FT825" i="98" s="1"/>
  <c r="FR821" i="98"/>
  <c r="FS821" i="98"/>
  <c r="FT821" i="98" s="1"/>
  <c r="FS817" i="98"/>
  <c r="FT817" i="98" s="1"/>
  <c r="FR813" i="98"/>
  <c r="FS813" i="98"/>
  <c r="FT813" i="98" s="1"/>
  <c r="FS809" i="98"/>
  <c r="FT809" i="98" s="1"/>
  <c r="FR805" i="98"/>
  <c r="FS805" i="98"/>
  <c r="FT805" i="98" s="1"/>
  <c r="FS801" i="98"/>
  <c r="FT801" i="98" s="1"/>
  <c r="FR797" i="98"/>
  <c r="FS797" i="98"/>
  <c r="FT797" i="98" s="1"/>
  <c r="FS793" i="98"/>
  <c r="FT793" i="98" s="1"/>
  <c r="FR789" i="98"/>
  <c r="FS789" i="98"/>
  <c r="FT789" i="98" s="1"/>
  <c r="FS785" i="98"/>
  <c r="FT785" i="98" s="1"/>
  <c r="FR781" i="98"/>
  <c r="FS781" i="98"/>
  <c r="FT781" i="98" s="1"/>
  <c r="GH778" i="98"/>
  <c r="FS744" i="98"/>
  <c r="FT744" i="98" s="1"/>
  <c r="FT742" i="98"/>
  <c r="FR742" i="98"/>
  <c r="FO737" i="98"/>
  <c r="FR737" i="98"/>
  <c r="GH737" i="98"/>
  <c r="FR735" i="98"/>
  <c r="FS712" i="98"/>
  <c r="FT712" i="98" s="1"/>
  <c r="FT710" i="98"/>
  <c r="FR710" i="98"/>
  <c r="GE705" i="98"/>
  <c r="FO705" i="98"/>
  <c r="GB705" i="98"/>
  <c r="FR705" i="98"/>
  <c r="GD705" i="98"/>
  <c r="GH705" i="98"/>
  <c r="FR703" i="98"/>
  <c r="FS664" i="98"/>
  <c r="FT664" i="98"/>
  <c r="FO662" i="98"/>
  <c r="GD662" i="98"/>
  <c r="GE657" i="98"/>
  <c r="FO657" i="98"/>
  <c r="GB657" i="98"/>
  <c r="GK657" i="98"/>
  <c r="FR657" i="98"/>
  <c r="GD657" i="98"/>
  <c r="GH657" i="98"/>
  <c r="FR655" i="98"/>
  <c r="FO601" i="98"/>
  <c r="GH601" i="98" s="1"/>
  <c r="GK601" i="98"/>
  <c r="FR601" i="98"/>
  <c r="FS538" i="98"/>
  <c r="FR538" i="98" s="1"/>
  <c r="FT538" i="98"/>
  <c r="FT489" i="98"/>
  <c r="FR489" i="98" s="1"/>
  <c r="GE382" i="98"/>
  <c r="FO382" i="98"/>
  <c r="GK382" i="98"/>
  <c r="GB382" i="98"/>
  <c r="GH382" i="98"/>
  <c r="FT939" i="98"/>
  <c r="FS938" i="98"/>
  <c r="FT938" i="98" s="1"/>
  <c r="FT935" i="98"/>
  <c r="FR935" i="98" s="1"/>
  <c r="FS934" i="98"/>
  <c r="FT931" i="98"/>
  <c r="FS930" i="98"/>
  <c r="FT930" i="98"/>
  <c r="FR930" i="98" s="1"/>
  <c r="FT927" i="98"/>
  <c r="FS926" i="98"/>
  <c r="FT926" i="98"/>
  <c r="FT923" i="98"/>
  <c r="FS922" i="98"/>
  <c r="FT919" i="98"/>
  <c r="FR919" i="98" s="1"/>
  <c r="FS918" i="98"/>
  <c r="FT918" i="98" s="1"/>
  <c r="FT915" i="98"/>
  <c r="FS914" i="98"/>
  <c r="FT914" i="98"/>
  <c r="FT911" i="98"/>
  <c r="FS910" i="98"/>
  <c r="FT910" i="98"/>
  <c r="FT907" i="98"/>
  <c r="FS906" i="98"/>
  <c r="FT903" i="98"/>
  <c r="FS902" i="98"/>
  <c r="FT902" i="98" s="1"/>
  <c r="FT899" i="98"/>
  <c r="FS898" i="98"/>
  <c r="FT898" i="98"/>
  <c r="FT895" i="98"/>
  <c r="FS894" i="98"/>
  <c r="FT894" i="98"/>
  <c r="FT891" i="98"/>
  <c r="FS890" i="98"/>
  <c r="FT887" i="98"/>
  <c r="FR887" i="98" s="1"/>
  <c r="FS886" i="98"/>
  <c r="FT883" i="98"/>
  <c r="FS882" i="98"/>
  <c r="FR882" i="98" s="1"/>
  <c r="FT882" i="98"/>
  <c r="FT879" i="98"/>
  <c r="FS878" i="98"/>
  <c r="FT878" i="98"/>
  <c r="FT875" i="98"/>
  <c r="FS874" i="98"/>
  <c r="FT871" i="98"/>
  <c r="FS870" i="98"/>
  <c r="FT870" i="98" s="1"/>
  <c r="FT867" i="98"/>
  <c r="FS866" i="98"/>
  <c r="FR866" i="98" s="1"/>
  <c r="FT866" i="98"/>
  <c r="FT863" i="98"/>
  <c r="FS862" i="98"/>
  <c r="FT862" i="98"/>
  <c r="FT859" i="98"/>
  <c r="FS858" i="98"/>
  <c r="FT855" i="98"/>
  <c r="FR855" i="98" s="1"/>
  <c r="FS854" i="98"/>
  <c r="FT854" i="98" s="1"/>
  <c r="FT851" i="98"/>
  <c r="FS850" i="98"/>
  <c r="FR850" i="98" s="1"/>
  <c r="FT850" i="98"/>
  <c r="FT847" i="98"/>
  <c r="FS846" i="98"/>
  <c r="FT846" i="98"/>
  <c r="FT843" i="98"/>
  <c r="FS842" i="98"/>
  <c r="FT839" i="98"/>
  <c r="FS838" i="98"/>
  <c r="FT838" i="98" s="1"/>
  <c r="FT835" i="98"/>
  <c r="FS834" i="98"/>
  <c r="FR834" i="98" s="1"/>
  <c r="FT834" i="98"/>
  <c r="FT831" i="98"/>
  <c r="FS830" i="98"/>
  <c r="FT830" i="98"/>
  <c r="FT827" i="98"/>
  <c r="FR827" i="98" s="1"/>
  <c r="FS826" i="98"/>
  <c r="FT823" i="98"/>
  <c r="FS822" i="98"/>
  <c r="FT822" i="98" s="1"/>
  <c r="FT819" i="98"/>
  <c r="FS818" i="98"/>
  <c r="FR818" i="98" s="1"/>
  <c r="FT818" i="98"/>
  <c r="FT815" i="98"/>
  <c r="FS814" i="98"/>
  <c r="FT814" i="98"/>
  <c r="FT811" i="98"/>
  <c r="FS810" i="98"/>
  <c r="FT807" i="98"/>
  <c r="FR807" i="98" s="1"/>
  <c r="FS806" i="98"/>
  <c r="FT806" i="98" s="1"/>
  <c r="FT803" i="98"/>
  <c r="FS802" i="98"/>
  <c r="FR802" i="98" s="1"/>
  <c r="FT802" i="98"/>
  <c r="FT799" i="98"/>
  <c r="FS798" i="98"/>
  <c r="FT798" i="98"/>
  <c r="FT795" i="98"/>
  <c r="FS794" i="98"/>
  <c r="FT791" i="98"/>
  <c r="FS790" i="98"/>
  <c r="FT790" i="98" s="1"/>
  <c r="FT787" i="98"/>
  <c r="FS786" i="98"/>
  <c r="FR786" i="98" s="1"/>
  <c r="FT786" i="98"/>
  <c r="FT783" i="98"/>
  <c r="FS782" i="98"/>
  <c r="FT782" i="98"/>
  <c r="FT779" i="98"/>
  <c r="FR779" i="98" s="1"/>
  <c r="FS760" i="98"/>
  <c r="FT760" i="98" s="1"/>
  <c r="FT758" i="98"/>
  <c r="FR758" i="98"/>
  <c r="GE753" i="98"/>
  <c r="FO753" i="98"/>
  <c r="GB753" i="98"/>
  <c r="FR753" i="98"/>
  <c r="GD753" i="98"/>
  <c r="GH753" i="98"/>
  <c r="FR751" i="98"/>
  <c r="GE713" i="98"/>
  <c r="FO713" i="98"/>
  <c r="GH713" i="98" s="1"/>
  <c r="GB713" i="98"/>
  <c r="FR713" i="98"/>
  <c r="GD713" i="98"/>
  <c r="FS680" i="98"/>
  <c r="FT680" i="98" s="1"/>
  <c r="FT678" i="98"/>
  <c r="FR678" i="98"/>
  <c r="GE673" i="98"/>
  <c r="FO673" i="98"/>
  <c r="GB673" i="98"/>
  <c r="FR673" i="98"/>
  <c r="GD673" i="98"/>
  <c r="GH673" i="98"/>
  <c r="FR671" i="98"/>
  <c r="FS616" i="98"/>
  <c r="FT616" i="98"/>
  <c r="FO614" i="98"/>
  <c r="GD614" i="98"/>
  <c r="FS584" i="98"/>
  <c r="FT584" i="98" s="1"/>
  <c r="FO582" i="98"/>
  <c r="GB582" i="98"/>
  <c r="GK582" i="98"/>
  <c r="GD582" i="98"/>
  <c r="GH582" i="98"/>
  <c r="GE582" i="98"/>
  <c r="FR575" i="98"/>
  <c r="GD557" i="98"/>
  <c r="FO557" i="98"/>
  <c r="GB557" i="98"/>
  <c r="FT543" i="98"/>
  <c r="FT501" i="98"/>
  <c r="FS455" i="98"/>
  <c r="FT455" i="98" s="1"/>
  <c r="FT959" i="98"/>
  <c r="FR945" i="98"/>
  <c r="FT943" i="98"/>
  <c r="GE769" i="98"/>
  <c r="FO769" i="98"/>
  <c r="GB769" i="98"/>
  <c r="FR769" i="98"/>
  <c r="GD769" i="98"/>
  <c r="GH769" i="98"/>
  <c r="FR767" i="98"/>
  <c r="GE681" i="98"/>
  <c r="FO681" i="98"/>
  <c r="GH681" i="98" s="1"/>
  <c r="GB681" i="98"/>
  <c r="FR681" i="98"/>
  <c r="GD681" i="98"/>
  <c r="FS632" i="98"/>
  <c r="FT632" i="98" s="1"/>
  <c r="FO630" i="98"/>
  <c r="GB630" i="98" s="1"/>
  <c r="GK630" i="98"/>
  <c r="GD630" i="98"/>
  <c r="GH630" i="98"/>
  <c r="GE630" i="98"/>
  <c r="GE617" i="98"/>
  <c r="FO617" i="98"/>
  <c r="GB617" i="98"/>
  <c r="FR617" i="98"/>
  <c r="GD617" i="98"/>
  <c r="FO585" i="98"/>
  <c r="FR585" i="98"/>
  <c r="FS568" i="98"/>
  <c r="FT568" i="98" s="1"/>
  <c r="FO777" i="98"/>
  <c r="GB777" i="98"/>
  <c r="GK777" i="98"/>
  <c r="FS776" i="98"/>
  <c r="GE773" i="98"/>
  <c r="FO773" i="98"/>
  <c r="GB773" i="98"/>
  <c r="GK773" i="98"/>
  <c r="FR771" i="98"/>
  <c r="FS764" i="98"/>
  <c r="FT764" i="98"/>
  <c r="FT762" i="98"/>
  <c r="GE757" i="98"/>
  <c r="FO757" i="98"/>
  <c r="GB757" i="98"/>
  <c r="GK757" i="98"/>
  <c r="FR755" i="98"/>
  <c r="FS748" i="98"/>
  <c r="FT748" i="98"/>
  <c r="FT746" i="98"/>
  <c r="GE741" i="98"/>
  <c r="FO741" i="98"/>
  <c r="GB741" i="98"/>
  <c r="GK741" i="98"/>
  <c r="FR739" i="98"/>
  <c r="FS732" i="98"/>
  <c r="FT732" i="98"/>
  <c r="FT730" i="98"/>
  <c r="GE725" i="98"/>
  <c r="FO725" i="98"/>
  <c r="GB725" i="98"/>
  <c r="GK725" i="98"/>
  <c r="FR723" i="98"/>
  <c r="GE717" i="98"/>
  <c r="FO717" i="98"/>
  <c r="GB717" i="98"/>
  <c r="FS716" i="98"/>
  <c r="FT716" i="98" s="1"/>
  <c r="FO714" i="98"/>
  <c r="GB714" i="98"/>
  <c r="GK714" i="98"/>
  <c r="GD714" i="98"/>
  <c r="GH714" i="98"/>
  <c r="GE709" i="98"/>
  <c r="FO709" i="98"/>
  <c r="GB709" i="98"/>
  <c r="FR707" i="98"/>
  <c r="FS700" i="98"/>
  <c r="FT700" i="98" s="1"/>
  <c r="FO698" i="98"/>
  <c r="GK698" i="98"/>
  <c r="GD698" i="98"/>
  <c r="GH698" i="98"/>
  <c r="FR694" i="98"/>
  <c r="FO693" i="98"/>
  <c r="GK693" i="98"/>
  <c r="GE685" i="98"/>
  <c r="FO685" i="98"/>
  <c r="GB685" i="98"/>
  <c r="GK685" i="98"/>
  <c r="FS684" i="98"/>
  <c r="FT684" i="98" s="1"/>
  <c r="FO682" i="98"/>
  <c r="GK682" i="98"/>
  <c r="GD682" i="98"/>
  <c r="GH682" i="98"/>
  <c r="GE677" i="98"/>
  <c r="FO677" i="98"/>
  <c r="GB677" i="98"/>
  <c r="GK677" i="98"/>
  <c r="FR675" i="98"/>
  <c r="FS668" i="98"/>
  <c r="FT668" i="98"/>
  <c r="FT666" i="98"/>
  <c r="FR662" i="98"/>
  <c r="FR659" i="98"/>
  <c r="FS652" i="98"/>
  <c r="FT652" i="98" s="1"/>
  <c r="FO650" i="98"/>
  <c r="GK650" i="98"/>
  <c r="GD650" i="98"/>
  <c r="GH650" i="98"/>
  <c r="FR646" i="98"/>
  <c r="FR643" i="98"/>
  <c r="FS636" i="98"/>
  <c r="FT636" i="98" s="1"/>
  <c r="FO634" i="98"/>
  <c r="GK634" i="98"/>
  <c r="GD634" i="98"/>
  <c r="GH634" i="98"/>
  <c r="FR630" i="98"/>
  <c r="FR627" i="98"/>
  <c r="FO621" i="98"/>
  <c r="FS620" i="98"/>
  <c r="FR620" i="98" s="1"/>
  <c r="FT620" i="98"/>
  <c r="FO618" i="98"/>
  <c r="GB618" i="98"/>
  <c r="GD618" i="98"/>
  <c r="FR614" i="98"/>
  <c r="GE605" i="98"/>
  <c r="FO605" i="98"/>
  <c r="GB605" i="98"/>
  <c r="GK605" i="98"/>
  <c r="FS604" i="98"/>
  <c r="FT604" i="98" s="1"/>
  <c r="FO602" i="98"/>
  <c r="GK602" i="98"/>
  <c r="GD602" i="98"/>
  <c r="GH602" i="98"/>
  <c r="FR598" i="98"/>
  <c r="FR595" i="98"/>
  <c r="FO589" i="98"/>
  <c r="FS588" i="98"/>
  <c r="FR588" i="98" s="1"/>
  <c r="FT588" i="98"/>
  <c r="FO586" i="98"/>
  <c r="GB586" i="98"/>
  <c r="GF586" i="98"/>
  <c r="GJ586" i="98"/>
  <c r="GC586" i="98"/>
  <c r="GG586" i="98"/>
  <c r="GK586" i="98"/>
  <c r="GD586" i="98"/>
  <c r="GH586" i="98"/>
  <c r="GL586" i="98"/>
  <c r="FR582" i="98"/>
  <c r="GE573" i="98"/>
  <c r="FO573" i="98"/>
  <c r="GB573" i="98"/>
  <c r="GK573" i="98"/>
  <c r="FS572" i="98"/>
  <c r="FT572" i="98" s="1"/>
  <c r="FO570" i="98"/>
  <c r="GK570" i="98"/>
  <c r="GD570" i="98"/>
  <c r="GH570" i="98"/>
  <c r="FR553" i="98"/>
  <c r="FT553" i="98"/>
  <c r="FS550" i="98"/>
  <c r="FT550" i="98" s="1"/>
  <c r="FS546" i="98"/>
  <c r="FR546" i="98" s="1"/>
  <c r="FT546" i="98"/>
  <c r="GH531" i="98"/>
  <c r="FO529" i="98"/>
  <c r="GK525" i="98"/>
  <c r="GD525" i="98"/>
  <c r="GH525" i="98"/>
  <c r="GE525" i="98"/>
  <c r="FO525" i="98"/>
  <c r="GB525" i="98"/>
  <c r="FT513" i="98"/>
  <c r="FT497" i="98"/>
  <c r="FR497" i="98" s="1"/>
  <c r="FR485" i="98"/>
  <c r="FT485" i="98"/>
  <c r="FR347" i="98"/>
  <c r="FT347" i="98"/>
  <c r="GD777" i="98"/>
  <c r="GK774" i="98"/>
  <c r="GD774" i="98"/>
  <c r="GH774" i="98"/>
  <c r="FS768" i="98"/>
  <c r="FT768" i="98" s="1"/>
  <c r="FT766" i="98"/>
  <c r="FR766" i="98"/>
  <c r="FO761" i="98"/>
  <c r="GE761" i="98" s="1"/>
  <c r="FS752" i="98"/>
  <c r="FT752" i="98"/>
  <c r="FT750" i="98"/>
  <c r="GE745" i="98"/>
  <c r="FO745" i="98"/>
  <c r="GB745" i="98"/>
  <c r="GK745" i="98"/>
  <c r="FS736" i="98"/>
  <c r="FT736" i="98" s="1"/>
  <c r="FT734" i="98"/>
  <c r="FR734" i="98"/>
  <c r="FO729" i="98"/>
  <c r="GE721" i="98"/>
  <c r="FO721" i="98"/>
  <c r="GB721" i="98"/>
  <c r="FS720" i="98"/>
  <c r="FT720" i="98" s="1"/>
  <c r="FO718" i="98"/>
  <c r="GB718" i="98"/>
  <c r="GK718" i="98"/>
  <c r="GD718" i="98"/>
  <c r="GH718" i="98"/>
  <c r="GD717" i="98"/>
  <c r="FR717" i="98"/>
  <c r="GE714" i="98"/>
  <c r="FR714" i="98"/>
  <c r="FS704" i="98"/>
  <c r="FT704" i="98" s="1"/>
  <c r="FO702" i="98"/>
  <c r="GK702" i="98"/>
  <c r="GD702" i="98"/>
  <c r="GH702" i="98"/>
  <c r="FR698" i="98"/>
  <c r="FO697" i="98"/>
  <c r="GE689" i="98"/>
  <c r="FO689" i="98"/>
  <c r="GB689" i="98"/>
  <c r="FS688" i="98"/>
  <c r="FT688" i="98" s="1"/>
  <c r="FO686" i="98"/>
  <c r="GB686" i="98"/>
  <c r="GF686" i="98"/>
  <c r="GJ686" i="98"/>
  <c r="GC686" i="98"/>
  <c r="GG686" i="98"/>
  <c r="GK686" i="98"/>
  <c r="GD686" i="98"/>
  <c r="GH686" i="98"/>
  <c r="GL686" i="98"/>
  <c r="GD685" i="98"/>
  <c r="FR685" i="98"/>
  <c r="GE682" i="98"/>
  <c r="FR682" i="98"/>
  <c r="FS672" i="98"/>
  <c r="FT672" i="98" s="1"/>
  <c r="FT670" i="98"/>
  <c r="FR670" i="98"/>
  <c r="GE665" i="98"/>
  <c r="FO665" i="98"/>
  <c r="GB665" i="98"/>
  <c r="FS656" i="98"/>
  <c r="FT656" i="98" s="1"/>
  <c r="FO654" i="98"/>
  <c r="GK654" i="98"/>
  <c r="GD654" i="98"/>
  <c r="GH654" i="98"/>
  <c r="FR650" i="98"/>
  <c r="FO649" i="98"/>
  <c r="FS640" i="98"/>
  <c r="FT640" i="98" s="1"/>
  <c r="FO638" i="98"/>
  <c r="GB638" i="98"/>
  <c r="GK638" i="98"/>
  <c r="GD638" i="98"/>
  <c r="GH638" i="98"/>
  <c r="FR634" i="98"/>
  <c r="FO633" i="98"/>
  <c r="GK633" i="98"/>
  <c r="GE625" i="98"/>
  <c r="FO625" i="98"/>
  <c r="GB625" i="98"/>
  <c r="GK625" i="98"/>
  <c r="FS624" i="98"/>
  <c r="FT624" i="98" s="1"/>
  <c r="FO622" i="98"/>
  <c r="GK622" i="98"/>
  <c r="GD622" i="98"/>
  <c r="GH622" i="98"/>
  <c r="FR621" i="98"/>
  <c r="GE618" i="98"/>
  <c r="FR618" i="98"/>
  <c r="FO609" i="98"/>
  <c r="GK609" i="98"/>
  <c r="FS608" i="98"/>
  <c r="FT608" i="98"/>
  <c r="FO606" i="98"/>
  <c r="GB606" i="98"/>
  <c r="GF606" i="98"/>
  <c r="GJ606" i="98"/>
  <c r="GC606" i="98"/>
  <c r="GG606" i="98"/>
  <c r="GK606" i="98"/>
  <c r="GD606" i="98"/>
  <c r="GH606" i="98"/>
  <c r="GL606" i="98"/>
  <c r="GD605" i="98"/>
  <c r="FR605" i="98"/>
  <c r="FR602" i="98"/>
  <c r="FO593" i="98"/>
  <c r="FS592" i="98"/>
  <c r="FR592" i="98" s="1"/>
  <c r="FT592" i="98"/>
  <c r="FO590" i="98"/>
  <c r="GB590" i="98"/>
  <c r="GD590" i="98"/>
  <c r="GD589" i="98"/>
  <c r="FR589" i="98"/>
  <c r="GE586" i="98"/>
  <c r="FR586" i="98"/>
  <c r="GE577" i="98"/>
  <c r="FO577" i="98"/>
  <c r="GB577" i="98"/>
  <c r="FS576" i="98"/>
  <c r="FT576" i="98" s="1"/>
  <c r="FO574" i="98"/>
  <c r="GB574" i="98"/>
  <c r="GK574" i="98"/>
  <c r="GD574" i="98"/>
  <c r="GH574" i="98"/>
  <c r="GD573" i="98"/>
  <c r="FR573" i="98"/>
  <c r="GE570" i="98"/>
  <c r="FR570" i="98"/>
  <c r="FR563" i="98"/>
  <c r="FS558" i="98"/>
  <c r="FT558" i="98" s="1"/>
  <c r="FO556" i="98"/>
  <c r="GB556" i="98"/>
  <c r="GF556" i="98"/>
  <c r="GJ556" i="98"/>
  <c r="GC556" i="98"/>
  <c r="GG556" i="98"/>
  <c r="GK556" i="98"/>
  <c r="GD556" i="98"/>
  <c r="GH556" i="98"/>
  <c r="GL556" i="98"/>
  <c r="GA556" i="98"/>
  <c r="GE556" i="98"/>
  <c r="GD537" i="98"/>
  <c r="FO537" i="98"/>
  <c r="GB537" i="98"/>
  <c r="FT523" i="98"/>
  <c r="FT521" i="98"/>
  <c r="FR509" i="98"/>
  <c r="FT509" i="98"/>
  <c r="FR481" i="98"/>
  <c r="FT481" i="98"/>
  <c r="FO425" i="98"/>
  <c r="GB425" i="98" s="1"/>
  <c r="GK425" i="98"/>
  <c r="GD425" i="98"/>
  <c r="GH425" i="98"/>
  <c r="FO372" i="98"/>
  <c r="FR372" i="98"/>
  <c r="GE778" i="98"/>
  <c r="FR778" i="98"/>
  <c r="FR774" i="98"/>
  <c r="GH773" i="98"/>
  <c r="FS772" i="98"/>
  <c r="FR772" i="98" s="1"/>
  <c r="FT772" i="98"/>
  <c r="FT770" i="98"/>
  <c r="FR770" i="98" s="1"/>
  <c r="FO765" i="98"/>
  <c r="GK765" i="98"/>
  <c r="GH757" i="98"/>
  <c r="FS756" i="98"/>
  <c r="FT756" i="98"/>
  <c r="FT754" i="98"/>
  <c r="GE749" i="98"/>
  <c r="FO749" i="98"/>
  <c r="GB749" i="98"/>
  <c r="GK749" i="98"/>
  <c r="FR747" i="98"/>
  <c r="GH741" i="98"/>
  <c r="FS740" i="98"/>
  <c r="FT740" i="98" s="1"/>
  <c r="FT738" i="98"/>
  <c r="FR738" i="98"/>
  <c r="GE733" i="98"/>
  <c r="FO733" i="98"/>
  <c r="GB733" i="98"/>
  <c r="GH725" i="98"/>
  <c r="FS724" i="98"/>
  <c r="FT724" i="98" s="1"/>
  <c r="FO722" i="98"/>
  <c r="GB722" i="98"/>
  <c r="GK722" i="98"/>
  <c r="GD722" i="98"/>
  <c r="GH722" i="98"/>
  <c r="GD721" i="98"/>
  <c r="FR721" i="98"/>
  <c r="GE718" i="98"/>
  <c r="FR718" i="98"/>
  <c r="GH709" i="98"/>
  <c r="FS708" i="98"/>
  <c r="FT708" i="98"/>
  <c r="FT706" i="98"/>
  <c r="FR702" i="98"/>
  <c r="FO701" i="98"/>
  <c r="FS692" i="98"/>
  <c r="FT692" i="98" s="1"/>
  <c r="FO690" i="98"/>
  <c r="GB690" i="98"/>
  <c r="GK690" i="98"/>
  <c r="GD690" i="98"/>
  <c r="GH690" i="98"/>
  <c r="GD689" i="98"/>
  <c r="FR689" i="98"/>
  <c r="GE686" i="98"/>
  <c r="FR686" i="98"/>
  <c r="GH677" i="98"/>
  <c r="FS676" i="98"/>
  <c r="FT676" i="98"/>
  <c r="FT674" i="98"/>
  <c r="GE669" i="98"/>
  <c r="FO669" i="98"/>
  <c r="GB669" i="98"/>
  <c r="GK669" i="98"/>
  <c r="FR667" i="98"/>
  <c r="FO661" i="98"/>
  <c r="GK661" i="98"/>
  <c r="FS660" i="98"/>
  <c r="FT660" i="98"/>
  <c r="FO658" i="98"/>
  <c r="GD658" i="98"/>
  <c r="GE654" i="98"/>
  <c r="FR654" i="98"/>
  <c r="GE653" i="98"/>
  <c r="FO653" i="98"/>
  <c r="GB653" i="98"/>
  <c r="FO645" i="98"/>
  <c r="GK645" i="98"/>
  <c r="FS644" i="98"/>
  <c r="FT644" i="98"/>
  <c r="FO642" i="98"/>
  <c r="GD642" i="98"/>
  <c r="GE638" i="98"/>
  <c r="FR638" i="98"/>
  <c r="GE637" i="98"/>
  <c r="FO637" i="98"/>
  <c r="GB637" i="98"/>
  <c r="FO629" i="98"/>
  <c r="GK629" i="98"/>
  <c r="FS628" i="98"/>
  <c r="FT628" i="98"/>
  <c r="FO626" i="98"/>
  <c r="GB626" i="98"/>
  <c r="GF626" i="98"/>
  <c r="GJ626" i="98"/>
  <c r="GC626" i="98"/>
  <c r="GG626" i="98"/>
  <c r="GK626" i="98"/>
  <c r="GD626" i="98"/>
  <c r="GH626" i="98"/>
  <c r="GL626" i="98"/>
  <c r="GD625" i="98"/>
  <c r="FR625" i="98"/>
  <c r="FR622" i="98"/>
  <c r="FR619" i="98"/>
  <c r="GE613" i="98"/>
  <c r="FO613" i="98"/>
  <c r="GB613" i="98"/>
  <c r="GK613" i="98"/>
  <c r="FS612" i="98"/>
  <c r="FT612" i="98" s="1"/>
  <c r="FO610" i="98"/>
  <c r="GK610" i="98"/>
  <c r="GD610" i="98"/>
  <c r="GH610" i="98"/>
  <c r="FR609" i="98"/>
  <c r="GE606" i="98"/>
  <c r="FR606" i="98"/>
  <c r="GE597" i="98"/>
  <c r="FO597" i="98"/>
  <c r="GB597" i="98"/>
  <c r="FS596" i="98"/>
  <c r="FT596" i="98" s="1"/>
  <c r="FO594" i="98"/>
  <c r="GB594" i="98"/>
  <c r="GK594" i="98"/>
  <c r="GD594" i="98"/>
  <c r="GH594" i="98"/>
  <c r="FR593" i="98"/>
  <c r="GE590" i="98"/>
  <c r="FR590" i="98"/>
  <c r="GA586" i="98"/>
  <c r="FO581" i="98"/>
  <c r="GE581" i="98" s="1"/>
  <c r="FS580" i="98"/>
  <c r="FR580" i="98" s="1"/>
  <c r="FT580" i="98"/>
  <c r="FO578" i="98"/>
  <c r="GB578" i="98"/>
  <c r="GD578" i="98"/>
  <c r="GD577" i="98"/>
  <c r="FR577" i="98"/>
  <c r="GE574" i="98"/>
  <c r="FR574" i="98"/>
  <c r="FS566" i="98"/>
  <c r="FT566" i="98" s="1"/>
  <c r="GK549" i="98"/>
  <c r="GH549" i="98"/>
  <c r="GE549" i="98"/>
  <c r="FO549" i="98"/>
  <c r="GD545" i="98"/>
  <c r="FO545" i="98"/>
  <c r="GB545" i="98"/>
  <c r="FT535" i="98"/>
  <c r="FT533" i="98"/>
  <c r="FS530" i="98"/>
  <c r="FT530" i="98" s="1"/>
  <c r="FS526" i="98"/>
  <c r="FT526" i="98" s="1"/>
  <c r="FT517" i="98"/>
  <c r="FR505" i="98"/>
  <c r="FT505" i="98"/>
  <c r="FT493" i="98"/>
  <c r="FT477" i="98"/>
  <c r="FS771" i="98"/>
  <c r="FT771" i="98" s="1"/>
  <c r="FS767" i="98"/>
  <c r="FT767" i="98" s="1"/>
  <c r="FS763" i="98"/>
  <c r="FT763" i="98" s="1"/>
  <c r="FS759" i="98"/>
  <c r="FT759" i="98" s="1"/>
  <c r="FS755" i="98"/>
  <c r="FT755" i="98" s="1"/>
  <c r="FS751" i="98"/>
  <c r="FT751" i="98" s="1"/>
  <c r="FS747" i="98"/>
  <c r="FT747" i="98" s="1"/>
  <c r="FS743" i="98"/>
  <c r="FT743" i="98" s="1"/>
  <c r="FS739" i="98"/>
  <c r="FT739" i="98" s="1"/>
  <c r="FS735" i="98"/>
  <c r="FT735" i="98" s="1"/>
  <c r="FS731" i="98"/>
  <c r="FT731" i="98" s="1"/>
  <c r="FS727" i="98"/>
  <c r="FT727" i="98" s="1"/>
  <c r="FS723" i="98"/>
  <c r="FT723" i="98" s="1"/>
  <c r="FS719" i="98"/>
  <c r="FT719" i="98" s="1"/>
  <c r="FS715" i="98"/>
  <c r="FT715" i="98" s="1"/>
  <c r="FS711" i="98"/>
  <c r="FT711" i="98" s="1"/>
  <c r="FS707" i="98"/>
  <c r="FT707" i="98" s="1"/>
  <c r="FS703" i="98"/>
  <c r="FT703" i="98" s="1"/>
  <c r="FS699" i="98"/>
  <c r="FT699" i="98" s="1"/>
  <c r="FS695" i="98"/>
  <c r="FT695" i="98" s="1"/>
  <c r="FS691" i="98"/>
  <c r="FT691" i="98" s="1"/>
  <c r="FS687" i="98"/>
  <c r="FT687" i="98" s="1"/>
  <c r="FS683" i="98"/>
  <c r="FT683" i="98" s="1"/>
  <c r="FS679" i="98"/>
  <c r="FT679" i="98" s="1"/>
  <c r="FS675" i="98"/>
  <c r="FT675" i="98" s="1"/>
  <c r="FS671" i="98"/>
  <c r="FT671" i="98" s="1"/>
  <c r="FS667" i="98"/>
  <c r="FT667" i="98" s="1"/>
  <c r="FS663" i="98"/>
  <c r="FT663" i="98" s="1"/>
  <c r="FS659" i="98"/>
  <c r="FT659" i="98" s="1"/>
  <c r="FS655" i="98"/>
  <c r="FT655" i="98" s="1"/>
  <c r="FS651" i="98"/>
  <c r="FT651" i="98" s="1"/>
  <c r="FS647" i="98"/>
  <c r="FT647" i="98" s="1"/>
  <c r="FS643" i="98"/>
  <c r="FT643" i="98" s="1"/>
  <c r="FS639" i="98"/>
  <c r="FT639" i="98" s="1"/>
  <c r="FS635" i="98"/>
  <c r="FT635" i="98" s="1"/>
  <c r="FS631" i="98"/>
  <c r="FT631" i="98" s="1"/>
  <c r="FS627" i="98"/>
  <c r="FT627" i="98" s="1"/>
  <c r="FS623" i="98"/>
  <c r="FT623" i="98" s="1"/>
  <c r="FS619" i="98"/>
  <c r="FT619" i="98" s="1"/>
  <c r="FS615" i="98"/>
  <c r="FT615" i="98" s="1"/>
  <c r="FS611" i="98"/>
  <c r="FT611" i="98" s="1"/>
  <c r="FS607" i="98"/>
  <c r="FT607" i="98" s="1"/>
  <c r="FS603" i="98"/>
  <c r="FT603" i="98" s="1"/>
  <c r="FS599" i="98"/>
  <c r="FT599" i="98" s="1"/>
  <c r="FS595" i="98"/>
  <c r="FT595" i="98" s="1"/>
  <c r="FS591" i="98"/>
  <c r="FT591" i="98" s="1"/>
  <c r="FS587" i="98"/>
  <c r="FT587" i="98" s="1"/>
  <c r="FS583" i="98"/>
  <c r="FT583" i="98" s="1"/>
  <c r="FS579" i="98"/>
  <c r="FT579" i="98" s="1"/>
  <c r="FS575" i="98"/>
  <c r="FT575" i="98" s="1"/>
  <c r="FS571" i="98"/>
  <c r="FT571" i="98" s="1"/>
  <c r="FT564" i="98"/>
  <c r="FR556" i="98"/>
  <c r="FR551" i="98"/>
  <c r="FT548" i="98"/>
  <c r="FR548" i="98" s="1"/>
  <c r="FT544" i="98"/>
  <c r="FR539" i="98"/>
  <c r="FT536" i="98"/>
  <c r="FR536" i="98" s="1"/>
  <c r="FR531" i="98"/>
  <c r="FT528" i="98"/>
  <c r="FT524" i="98"/>
  <c r="FR524" i="98" s="1"/>
  <c r="GC466" i="98"/>
  <c r="GG466" i="98"/>
  <c r="GK466" i="98"/>
  <c r="GD466" i="98"/>
  <c r="GH466" i="98"/>
  <c r="GL466" i="98"/>
  <c r="GA466" i="98"/>
  <c r="GE466" i="98"/>
  <c r="GI466" i="98"/>
  <c r="FO466" i="98"/>
  <c r="GB466" i="98"/>
  <c r="GF466" i="98"/>
  <c r="GB458" i="98"/>
  <c r="GH448" i="98"/>
  <c r="FS431" i="98"/>
  <c r="FT431" i="98" s="1"/>
  <c r="FS399" i="98"/>
  <c r="FT399" i="98" s="1"/>
  <c r="FO397" i="98"/>
  <c r="GK397" i="98"/>
  <c r="GD397" i="98"/>
  <c r="GH397" i="98"/>
  <c r="GE397" i="98"/>
  <c r="FO339" i="98"/>
  <c r="GK339" i="98"/>
  <c r="GB339" i="98"/>
  <c r="GH339" i="98"/>
  <c r="FR339" i="98"/>
  <c r="GD339" i="98"/>
  <c r="GE339" i="98"/>
  <c r="FS302" i="98"/>
  <c r="FT302" i="98"/>
  <c r="FR302" i="98"/>
  <c r="FS562" i="98"/>
  <c r="FR562" i="98" s="1"/>
  <c r="FT562" i="98"/>
  <c r="FR557" i="98"/>
  <c r="FS554" i="98"/>
  <c r="FR554" i="98" s="1"/>
  <c r="FT554" i="98"/>
  <c r="GE551" i="98"/>
  <c r="FO551" i="98"/>
  <c r="GH551" i="98" s="1"/>
  <c r="GB551" i="98"/>
  <c r="FR549" i="98"/>
  <c r="FR545" i="98"/>
  <c r="FS542" i="98"/>
  <c r="FT542" i="98"/>
  <c r="FO539" i="98"/>
  <c r="FR537" i="98"/>
  <c r="FS534" i="98"/>
  <c r="FT534" i="98" s="1"/>
  <c r="GE531" i="98"/>
  <c r="FO531" i="98"/>
  <c r="GB531" i="98"/>
  <c r="GK531" i="98"/>
  <c r="FR529" i="98"/>
  <c r="FR525" i="98"/>
  <c r="FS522" i="98"/>
  <c r="FR522" i="98" s="1"/>
  <c r="FT522" i="98"/>
  <c r="FS518" i="98"/>
  <c r="FT518" i="98"/>
  <c r="FS514" i="98"/>
  <c r="FT514" i="98" s="1"/>
  <c r="FS510" i="98"/>
  <c r="FT510" i="98" s="1"/>
  <c r="FS506" i="98"/>
  <c r="FR506" i="98" s="1"/>
  <c r="FT506" i="98"/>
  <c r="FS502" i="98"/>
  <c r="FT502" i="98"/>
  <c r="FS498" i="98"/>
  <c r="FT498" i="98" s="1"/>
  <c r="FS494" i="98"/>
  <c r="FT494" i="98" s="1"/>
  <c r="FS490" i="98"/>
  <c r="FR490" i="98" s="1"/>
  <c r="FT490" i="98"/>
  <c r="FS486" i="98"/>
  <c r="FT486" i="98"/>
  <c r="FS482" i="98"/>
  <c r="FT482" i="98" s="1"/>
  <c r="FS478" i="98"/>
  <c r="FT478" i="98" s="1"/>
  <c r="FR456" i="98"/>
  <c r="FR444" i="98"/>
  <c r="FS439" i="98"/>
  <c r="FR439" i="98" s="1"/>
  <c r="FT439" i="98"/>
  <c r="FO437" i="98"/>
  <c r="GB437" i="98"/>
  <c r="GD437" i="98"/>
  <c r="GB430" i="98"/>
  <c r="FO417" i="98"/>
  <c r="GE417" i="98" s="1"/>
  <c r="GB417" i="98"/>
  <c r="GK417" i="98"/>
  <c r="GD417" i="98"/>
  <c r="GH417" i="98"/>
  <c r="FO400" i="98"/>
  <c r="FR400" i="98"/>
  <c r="GK363" i="98"/>
  <c r="GH363" i="98"/>
  <c r="GE363" i="98"/>
  <c r="FO363" i="98"/>
  <c r="GD361" i="98"/>
  <c r="FT354" i="98"/>
  <c r="FS354" i="98"/>
  <c r="FR354" i="98"/>
  <c r="FO299" i="98"/>
  <c r="GB299" i="98" s="1"/>
  <c r="GK299" i="98"/>
  <c r="GD299" i="98"/>
  <c r="FR299" i="98"/>
  <c r="GE299" i="98"/>
  <c r="GH299" i="98"/>
  <c r="FO560" i="98"/>
  <c r="GB560" i="98" s="1"/>
  <c r="GD560" i="98"/>
  <c r="FO552" i="98"/>
  <c r="GK552" i="98"/>
  <c r="GD552" i="98"/>
  <c r="GH552" i="98"/>
  <c r="FO540" i="98"/>
  <c r="GK540" i="98"/>
  <c r="GD540" i="98"/>
  <c r="GH540" i="98"/>
  <c r="FO532" i="98"/>
  <c r="GB532" i="98"/>
  <c r="GK532" i="98"/>
  <c r="GD532" i="98"/>
  <c r="GH532" i="98"/>
  <c r="FO520" i="98"/>
  <c r="GB520" i="98"/>
  <c r="GK520" i="98"/>
  <c r="GD520" i="98"/>
  <c r="GH520" i="98"/>
  <c r="FO516" i="98"/>
  <c r="GB516" i="98"/>
  <c r="GF516" i="98"/>
  <c r="GJ516" i="98"/>
  <c r="GC516" i="98"/>
  <c r="GG516" i="98"/>
  <c r="GK516" i="98"/>
  <c r="GD516" i="98"/>
  <c r="GH516" i="98"/>
  <c r="GL516" i="98"/>
  <c r="FO512" i="98"/>
  <c r="GD512" i="98"/>
  <c r="FO508" i="98"/>
  <c r="GK508" i="98"/>
  <c r="GD508" i="98"/>
  <c r="GH508" i="98"/>
  <c r="FO504" i="98"/>
  <c r="GB504" i="98"/>
  <c r="GK504" i="98"/>
  <c r="GD504" i="98"/>
  <c r="GH504" i="98"/>
  <c r="FO500" i="98"/>
  <c r="GB500" i="98"/>
  <c r="GD500" i="98"/>
  <c r="FO496" i="98"/>
  <c r="GB496" i="98"/>
  <c r="GF496" i="98"/>
  <c r="GJ496" i="98"/>
  <c r="GC496" i="98"/>
  <c r="GG496" i="98"/>
  <c r="GK496" i="98"/>
  <c r="GD496" i="98"/>
  <c r="GH496" i="98"/>
  <c r="GL496" i="98"/>
  <c r="FO492" i="98"/>
  <c r="GK492" i="98"/>
  <c r="GH492" i="98"/>
  <c r="FO488" i="98"/>
  <c r="GB488" i="98"/>
  <c r="GK488" i="98"/>
  <c r="GD488" i="98"/>
  <c r="GH488" i="98"/>
  <c r="FO484" i="98"/>
  <c r="GB484" i="98"/>
  <c r="GD484" i="98"/>
  <c r="FO480" i="98"/>
  <c r="GD480" i="98"/>
  <c r="FO476" i="98"/>
  <c r="GB476" i="98"/>
  <c r="GF476" i="98"/>
  <c r="GJ476" i="98"/>
  <c r="GC476" i="98"/>
  <c r="GG476" i="98"/>
  <c r="GK476" i="98"/>
  <c r="GD476" i="98"/>
  <c r="GH476" i="98"/>
  <c r="GL476" i="98"/>
  <c r="FO461" i="98"/>
  <c r="GB461" i="98" s="1"/>
  <c r="GK461" i="98"/>
  <c r="GD461" i="98"/>
  <c r="GH461" i="98"/>
  <c r="FR452" i="98"/>
  <c r="FS447" i="98"/>
  <c r="FT447" i="98" s="1"/>
  <c r="FR432" i="98"/>
  <c r="FO408" i="98"/>
  <c r="FR408" i="98"/>
  <c r="GH408" i="98"/>
  <c r="GD390" i="98"/>
  <c r="GC376" i="98"/>
  <c r="GG376" i="98"/>
  <c r="GK376" i="98"/>
  <c r="GA376" i="98"/>
  <c r="GF376" i="98"/>
  <c r="GL376" i="98"/>
  <c r="FR376" i="98"/>
  <c r="GB376" i="98"/>
  <c r="GH376" i="98"/>
  <c r="GD376" i="98"/>
  <c r="GI376" i="98"/>
  <c r="FO376" i="98"/>
  <c r="GE376" i="98"/>
  <c r="GJ376" i="98"/>
  <c r="GE300" i="98"/>
  <c r="FR281" i="98"/>
  <c r="FS565" i="98"/>
  <c r="FT565" i="98" s="1"/>
  <c r="FS561" i="98"/>
  <c r="FT561" i="98" s="1"/>
  <c r="FR560" i="98"/>
  <c r="FR552" i="98"/>
  <c r="GK547" i="98"/>
  <c r="FR544" i="98"/>
  <c r="FR540" i="98"/>
  <c r="FR532" i="98"/>
  <c r="FR528" i="98"/>
  <c r="GK527" i="98"/>
  <c r="FR520" i="98"/>
  <c r="GK519" i="98"/>
  <c r="FR516" i="98"/>
  <c r="FR512" i="98"/>
  <c r="GK511" i="98"/>
  <c r="FR508" i="98"/>
  <c r="FR504" i="98"/>
  <c r="GK503" i="98"/>
  <c r="FR500" i="98"/>
  <c r="FR496" i="98"/>
  <c r="GK495" i="98"/>
  <c r="FR492" i="98"/>
  <c r="FR488" i="98"/>
  <c r="GK487" i="98"/>
  <c r="FR484" i="98"/>
  <c r="FR480" i="98"/>
  <c r="GK479" i="98"/>
  <c r="FR476" i="98"/>
  <c r="FO472" i="98"/>
  <c r="GK472" i="98"/>
  <c r="FS471" i="98"/>
  <c r="FT471" i="98"/>
  <c r="FT465" i="98"/>
  <c r="FR462" i="98"/>
  <c r="FS459" i="98"/>
  <c r="FR459" i="98" s="1"/>
  <c r="FT459" i="98"/>
  <c r="FT453" i="98"/>
  <c r="FR448" i="98"/>
  <c r="FT445" i="98"/>
  <c r="FR445" i="98" s="1"/>
  <c r="FR437" i="98"/>
  <c r="GK430" i="98"/>
  <c r="GD430" i="98"/>
  <c r="GH430" i="98"/>
  <c r="GE430" i="98"/>
  <c r="FT429" i="98"/>
  <c r="FS423" i="98"/>
  <c r="FT423" i="98" s="1"/>
  <c r="FO421" i="98"/>
  <c r="GB421" i="98"/>
  <c r="GK421" i="98"/>
  <c r="GD421" i="98"/>
  <c r="GH421" i="98"/>
  <c r="FS415" i="98"/>
  <c r="FR415" i="98" s="1"/>
  <c r="FT415" i="98"/>
  <c r="GE404" i="98"/>
  <c r="FO404" i="98"/>
  <c r="GB404" i="98"/>
  <c r="GK404" i="98"/>
  <c r="FS403" i="98"/>
  <c r="FT403" i="98" s="1"/>
  <c r="FO401" i="98"/>
  <c r="GK401" i="98"/>
  <c r="GD401" i="98"/>
  <c r="GH401" i="98"/>
  <c r="FR397" i="98"/>
  <c r="FR394" i="98"/>
  <c r="GE384" i="98"/>
  <c r="FO374" i="98"/>
  <c r="GK374" i="98"/>
  <c r="GK369" i="98"/>
  <c r="GH369" i="98"/>
  <c r="GB369" i="98"/>
  <c r="FO369" i="98"/>
  <c r="GE369" i="98"/>
  <c r="FS334" i="98"/>
  <c r="FR334" i="98" s="1"/>
  <c r="FT334" i="98"/>
  <c r="GA236" i="98"/>
  <c r="GE236" i="98"/>
  <c r="GI236" i="98"/>
  <c r="GB236" i="98"/>
  <c r="GG236" i="98"/>
  <c r="GL236" i="98"/>
  <c r="FR236" i="98"/>
  <c r="GC236" i="98"/>
  <c r="GH236" i="98"/>
  <c r="GF236" i="98"/>
  <c r="FO236" i="98"/>
  <c r="GJ236" i="98"/>
  <c r="GK236" i="98"/>
  <c r="GD236" i="98"/>
  <c r="FT567" i="98"/>
  <c r="FR567" i="98" s="1"/>
  <c r="FT563" i="98"/>
  <c r="FT559" i="98"/>
  <c r="FT555" i="98"/>
  <c r="FR555" i="98" s="1"/>
  <c r="FO547" i="98"/>
  <c r="FO527" i="98"/>
  <c r="FO519" i="98"/>
  <c r="FO515" i="98"/>
  <c r="FO511" i="98"/>
  <c r="FO507" i="98"/>
  <c r="FO503" i="98"/>
  <c r="FO499" i="98"/>
  <c r="FO495" i="98"/>
  <c r="FO491" i="98"/>
  <c r="FO487" i="98"/>
  <c r="FO483" i="98"/>
  <c r="FO479" i="98"/>
  <c r="FO475" i="98"/>
  <c r="FO473" i="98"/>
  <c r="GK473" i="98"/>
  <c r="GD473" i="98"/>
  <c r="GH473" i="98"/>
  <c r="FO469" i="98"/>
  <c r="GB469" i="98"/>
  <c r="GK469" i="98"/>
  <c r="GD469" i="98"/>
  <c r="GH469" i="98"/>
  <c r="FR466" i="98"/>
  <c r="FS463" i="98"/>
  <c r="FR463" i="98" s="1"/>
  <c r="FT463" i="98"/>
  <c r="GK458" i="98"/>
  <c r="GD458" i="98"/>
  <c r="GH458" i="98"/>
  <c r="GE458" i="98"/>
  <c r="FS451" i="98"/>
  <c r="FT451" i="98" s="1"/>
  <c r="FO449" i="98"/>
  <c r="GK449" i="98"/>
  <c r="GD449" i="98"/>
  <c r="GH449" i="98"/>
  <c r="GE448" i="98"/>
  <c r="FO448" i="98"/>
  <c r="GB448" i="98"/>
  <c r="GK448" i="98"/>
  <c r="FR446" i="98"/>
  <c r="FS443" i="98"/>
  <c r="FT443" i="98"/>
  <c r="FR438" i="98"/>
  <c r="FS435" i="98"/>
  <c r="FT435" i="98"/>
  <c r="FO433" i="98"/>
  <c r="GD433" i="98"/>
  <c r="FO413" i="98"/>
  <c r="GK413" i="98"/>
  <c r="GD413" i="98"/>
  <c r="GH413" i="98"/>
  <c r="FS407" i="98"/>
  <c r="FR407" i="98" s="1"/>
  <c r="FT407" i="98"/>
  <c r="FO405" i="98"/>
  <c r="GB405" i="98"/>
  <c r="GD405" i="98"/>
  <c r="FR398" i="98"/>
  <c r="GL396" i="98"/>
  <c r="GE392" i="98"/>
  <c r="FO392" i="98"/>
  <c r="GB392" i="98"/>
  <c r="GK392" i="98"/>
  <c r="FO388" i="98"/>
  <c r="GB388" i="98" s="1"/>
  <c r="FS386" i="98"/>
  <c r="FO385" i="98"/>
  <c r="GK385" i="98"/>
  <c r="FS370" i="98"/>
  <c r="FT370" i="98"/>
  <c r="FO359" i="98"/>
  <c r="FR359" i="98"/>
  <c r="FS357" i="98"/>
  <c r="FT357" i="98" s="1"/>
  <c r="FR348" i="98"/>
  <c r="FT348" i="98"/>
  <c r="FS348" i="98"/>
  <c r="FO344" i="98"/>
  <c r="GE344" i="98" s="1"/>
  <c r="FS326" i="98"/>
  <c r="FR326" i="98" s="1"/>
  <c r="FT326" i="98"/>
  <c r="FO323" i="98"/>
  <c r="GK323" i="98"/>
  <c r="GD323" i="98"/>
  <c r="FR323" i="98"/>
  <c r="GE323" i="98"/>
  <c r="GH323" i="98"/>
  <c r="FS318" i="98"/>
  <c r="FT318" i="98"/>
  <c r="FR318" i="98"/>
  <c r="FS294" i="98"/>
  <c r="FR294" i="98" s="1"/>
  <c r="FT294" i="98"/>
  <c r="FO291" i="98"/>
  <c r="FR291" i="98"/>
  <c r="GE291" i="98"/>
  <c r="GE547" i="98"/>
  <c r="GE527" i="98"/>
  <c r="GE511" i="98"/>
  <c r="GE507" i="98"/>
  <c r="GE495" i="98"/>
  <c r="GE491" i="98"/>
  <c r="GE479" i="98"/>
  <c r="GE475" i="98"/>
  <c r="FR473" i="98"/>
  <c r="FS467" i="98"/>
  <c r="FT467" i="98"/>
  <c r="GK462" i="98"/>
  <c r="GD462" i="98"/>
  <c r="GH462" i="98"/>
  <c r="GE462" i="98"/>
  <c r="FR461" i="98"/>
  <c r="FT457" i="98"/>
  <c r="FR457" i="98" s="1"/>
  <c r="FR449" i="98"/>
  <c r="FT441" i="98"/>
  <c r="FR433" i="98"/>
  <c r="FS427" i="98"/>
  <c r="FT427" i="98" s="1"/>
  <c r="FS419" i="98"/>
  <c r="FT419" i="98" s="1"/>
  <c r="FS411" i="98"/>
  <c r="FT411" i="98" s="1"/>
  <c r="FT409" i="98"/>
  <c r="FR409" i="98"/>
  <c r="GE405" i="98"/>
  <c r="FR405" i="98"/>
  <c r="FR402" i="98"/>
  <c r="GA396" i="98"/>
  <c r="GE396" i="98"/>
  <c r="GI396" i="98"/>
  <c r="FO396" i="98"/>
  <c r="GB396" i="98"/>
  <c r="GF396" i="98"/>
  <c r="GJ396" i="98"/>
  <c r="GC396" i="98"/>
  <c r="GG396" i="98"/>
  <c r="GK396" i="98"/>
  <c r="FS395" i="98"/>
  <c r="FR395" i="98" s="1"/>
  <c r="FT395" i="98"/>
  <c r="FO393" i="98"/>
  <c r="GB393" i="98"/>
  <c r="GD393" i="98"/>
  <c r="GD392" i="98"/>
  <c r="FR392" i="98"/>
  <c r="GE390" i="98"/>
  <c r="FO390" i="98"/>
  <c r="GK390" i="98"/>
  <c r="GB390" i="98"/>
  <c r="GH390" i="98"/>
  <c r="FR388" i="98"/>
  <c r="GK384" i="98"/>
  <c r="FR384" i="98"/>
  <c r="GB384" i="98"/>
  <c r="GH384" i="98"/>
  <c r="GD384" i="98"/>
  <c r="GD380" i="98"/>
  <c r="FO380" i="98"/>
  <c r="GH380" i="98" s="1"/>
  <c r="GE380" i="98"/>
  <c r="FS378" i="98"/>
  <c r="FR378" i="98" s="1"/>
  <c r="FT378" i="98"/>
  <c r="FO377" i="98"/>
  <c r="GK377" i="98"/>
  <c r="GE361" i="98"/>
  <c r="FO361" i="98"/>
  <c r="GK361" i="98"/>
  <c r="GB361" i="98"/>
  <c r="GH361" i="98"/>
  <c r="FR361" i="98"/>
  <c r="GD360" i="98"/>
  <c r="GH360" i="98"/>
  <c r="GB360" i="98"/>
  <c r="GK360" i="98"/>
  <c r="GE360" i="98"/>
  <c r="FO355" i="98"/>
  <c r="GD352" i="98"/>
  <c r="GB352" i="98"/>
  <c r="FO352" i="98"/>
  <c r="GH352" i="98" s="1"/>
  <c r="GK352" i="98"/>
  <c r="FO315" i="98"/>
  <c r="GB315" i="98"/>
  <c r="FR315" i="98"/>
  <c r="GE315" i="98"/>
  <c r="FS310" i="98"/>
  <c r="FT310" i="98" s="1"/>
  <c r="FO307" i="98"/>
  <c r="FR307" i="98"/>
  <c r="GE307" i="98"/>
  <c r="FS474" i="98"/>
  <c r="FT474" i="98" s="1"/>
  <c r="FS470" i="98"/>
  <c r="FT470" i="98" s="1"/>
  <c r="FR469" i="98"/>
  <c r="FS454" i="98"/>
  <c r="FT454" i="98" s="1"/>
  <c r="FR453" i="98"/>
  <c r="FS450" i="98"/>
  <c r="FT450" i="98" s="1"/>
  <c r="FS446" i="98"/>
  <c r="FT446" i="98" s="1"/>
  <c r="FS442" i="98"/>
  <c r="FT442" i="98" s="1"/>
  <c r="FS438" i="98"/>
  <c r="FT438" i="98" s="1"/>
  <c r="FS434" i="98"/>
  <c r="FT434" i="98" s="1"/>
  <c r="FS426" i="98"/>
  <c r="FT426" i="98" s="1"/>
  <c r="FR425" i="98"/>
  <c r="FS422" i="98"/>
  <c r="FT422" i="98" s="1"/>
  <c r="FS418" i="98"/>
  <c r="FT418" i="98" s="1"/>
  <c r="FR417" i="98"/>
  <c r="FS414" i="98"/>
  <c r="FT414" i="98" s="1"/>
  <c r="FR413" i="98"/>
  <c r="FS410" i="98"/>
  <c r="FT410" i="98" s="1"/>
  <c r="FS406" i="98"/>
  <c r="FT406" i="98" s="1"/>
  <c r="FS402" i="98"/>
  <c r="FT402" i="98" s="1"/>
  <c r="FS398" i="98"/>
  <c r="FT398" i="98" s="1"/>
  <c r="FS394" i="98"/>
  <c r="FT394" i="98" s="1"/>
  <c r="FT391" i="98"/>
  <c r="FR390" i="98"/>
  <c r="FT389" i="98"/>
  <c r="FS387" i="98"/>
  <c r="FR387" i="98" s="1"/>
  <c r="FR385" i="98"/>
  <c r="FT383" i="98"/>
  <c r="FR382" i="98"/>
  <c r="FT381" i="98"/>
  <c r="FS379" i="98"/>
  <c r="FT379" i="98" s="1"/>
  <c r="FR377" i="98"/>
  <c r="FT375" i="98"/>
  <c r="FR374" i="98"/>
  <c r="FT373" i="98"/>
  <c r="FS371" i="98"/>
  <c r="FT371" i="98" s="1"/>
  <c r="FS367" i="98"/>
  <c r="FT367" i="98" s="1"/>
  <c r="FS365" i="98"/>
  <c r="FT365" i="98" s="1"/>
  <c r="FS362" i="98"/>
  <c r="FT362" i="98" s="1"/>
  <c r="FR356" i="98"/>
  <c r="FT356" i="98"/>
  <c r="FR355" i="98"/>
  <c r="FR342" i="98"/>
  <c r="GC336" i="98"/>
  <c r="GG336" i="98"/>
  <c r="GK336" i="98"/>
  <c r="GD336" i="98"/>
  <c r="GH336" i="98"/>
  <c r="GL336" i="98"/>
  <c r="GA336" i="98"/>
  <c r="GI336" i="98"/>
  <c r="GB336" i="98"/>
  <c r="GJ336" i="98"/>
  <c r="GE335" i="98"/>
  <c r="FS333" i="98"/>
  <c r="FT333" i="98"/>
  <c r="FO332" i="98"/>
  <c r="GK328" i="98"/>
  <c r="GD328" i="98"/>
  <c r="GH328" i="98"/>
  <c r="GB328" i="98"/>
  <c r="FS325" i="98"/>
  <c r="FT325" i="98"/>
  <c r="FO324" i="98"/>
  <c r="GK320" i="98"/>
  <c r="GD320" i="98"/>
  <c r="GH320" i="98"/>
  <c r="GB320" i="98"/>
  <c r="GE319" i="98"/>
  <c r="FS317" i="98"/>
  <c r="FT317" i="98"/>
  <c r="FO316" i="98"/>
  <c r="GK312" i="98"/>
  <c r="GD312" i="98"/>
  <c r="GH312" i="98"/>
  <c r="GB312" i="98"/>
  <c r="GE311" i="98"/>
  <c r="FS309" i="98"/>
  <c r="FT309" i="98"/>
  <c r="FO308" i="98"/>
  <c r="GK304" i="98"/>
  <c r="GD304" i="98"/>
  <c r="GH304" i="98"/>
  <c r="GB304" i="98"/>
  <c r="FS301" i="98"/>
  <c r="FT301" i="98" s="1"/>
  <c r="GC296" i="98"/>
  <c r="GG296" i="98"/>
  <c r="GK296" i="98"/>
  <c r="GD296" i="98"/>
  <c r="GH296" i="98"/>
  <c r="GL296" i="98"/>
  <c r="GA296" i="98"/>
  <c r="GI296" i="98"/>
  <c r="GB296" i="98"/>
  <c r="GJ296" i="98"/>
  <c r="FS293" i="98"/>
  <c r="FR293" i="98" s="1"/>
  <c r="FT293" i="98"/>
  <c r="GK288" i="98"/>
  <c r="GD288" i="98"/>
  <c r="GH288" i="98"/>
  <c r="GB288" i="98"/>
  <c r="GE287" i="98"/>
  <c r="GK222" i="98"/>
  <c r="GB222" i="98"/>
  <c r="GD222" i="98"/>
  <c r="FO222" i="98"/>
  <c r="GE222" i="98"/>
  <c r="FT468" i="98"/>
  <c r="FT464" i="98"/>
  <c r="FR464" i="98" s="1"/>
  <c r="FT460" i="98"/>
  <c r="FT456" i="98"/>
  <c r="FT452" i="98"/>
  <c r="FT444" i="98"/>
  <c r="FT440" i="98"/>
  <c r="FT436" i="98"/>
  <c r="FT432" i="98"/>
  <c r="FT428" i="98"/>
  <c r="FT424" i="98"/>
  <c r="FT420" i="98"/>
  <c r="FT416" i="98"/>
  <c r="FT412" i="98"/>
  <c r="FT364" i="98"/>
  <c r="FR363" i="98"/>
  <c r="GH353" i="98"/>
  <c r="FO345" i="98"/>
  <c r="GE345" i="98" s="1"/>
  <c r="GD343" i="98"/>
  <c r="FO343" i="98"/>
  <c r="GE343" i="98"/>
  <c r="FS341" i="98"/>
  <c r="FR341" i="98" s="1"/>
  <c r="FT341" i="98"/>
  <c r="FS338" i="98"/>
  <c r="FT338" i="98" s="1"/>
  <c r="FO335" i="98"/>
  <c r="GB335" i="98"/>
  <c r="GK335" i="98"/>
  <c r="GD335" i="98"/>
  <c r="FS330" i="98"/>
  <c r="FT330" i="98"/>
  <c r="FO327" i="98"/>
  <c r="GB327" i="98" s="1"/>
  <c r="FS322" i="98"/>
  <c r="FR322" i="98" s="1"/>
  <c r="FT322" i="98"/>
  <c r="FO319" i="98"/>
  <c r="GB319" i="98"/>
  <c r="FS314" i="98"/>
  <c r="FT314" i="98" s="1"/>
  <c r="FO311" i="98"/>
  <c r="GB311" i="98"/>
  <c r="GK311" i="98"/>
  <c r="GD311" i="98"/>
  <c r="FS306" i="98"/>
  <c r="FT306" i="98" s="1"/>
  <c r="FS298" i="98"/>
  <c r="FR298" i="98" s="1"/>
  <c r="FT298" i="98"/>
  <c r="FS290" i="98"/>
  <c r="FT290" i="98" s="1"/>
  <c r="FO287" i="98"/>
  <c r="GK287" i="98"/>
  <c r="GD287" i="98"/>
  <c r="GE283" i="98"/>
  <c r="FO283" i="98"/>
  <c r="GB283" i="98"/>
  <c r="GK283" i="98"/>
  <c r="FR283" i="98"/>
  <c r="GD283" i="98"/>
  <c r="GH283" i="98"/>
  <c r="FS274" i="98"/>
  <c r="FT274" i="98" s="1"/>
  <c r="FT272" i="98"/>
  <c r="FR272" i="98"/>
  <c r="FO267" i="98"/>
  <c r="FR267" i="98"/>
  <c r="GH267" i="98"/>
  <c r="GK238" i="98"/>
  <c r="GB238" i="98"/>
  <c r="GD238" i="98"/>
  <c r="FO238" i="98"/>
  <c r="GE238" i="98"/>
  <c r="FR389" i="98"/>
  <c r="FT387" i="98"/>
  <c r="FR381" i="98"/>
  <c r="FO368" i="98"/>
  <c r="GK368" i="98"/>
  <c r="FR358" i="98"/>
  <c r="GE353" i="98"/>
  <c r="FO353" i="98"/>
  <c r="GK353" i="98"/>
  <c r="GB353" i="98"/>
  <c r="FO351" i="98"/>
  <c r="FS349" i="98"/>
  <c r="FT349" i="98" s="1"/>
  <c r="FS346" i="98"/>
  <c r="FR345" i="98"/>
  <c r="FR343" i="98"/>
  <c r="FR340" i="98"/>
  <c r="FT340" i="98"/>
  <c r="FS337" i="98"/>
  <c r="FR337" i="98" s="1"/>
  <c r="FT337" i="98"/>
  <c r="GK332" i="98"/>
  <c r="GD332" i="98"/>
  <c r="GH332" i="98"/>
  <c r="GB332" i="98"/>
  <c r="FS329" i="98"/>
  <c r="FT329" i="98" s="1"/>
  <c r="GD324" i="98"/>
  <c r="FS321" i="98"/>
  <c r="FT321" i="98" s="1"/>
  <c r="GC316" i="98"/>
  <c r="GG316" i="98"/>
  <c r="GK316" i="98"/>
  <c r="GD316" i="98"/>
  <c r="GH316" i="98"/>
  <c r="GL316" i="98"/>
  <c r="GA316" i="98"/>
  <c r="GI316" i="98"/>
  <c r="GB316" i="98"/>
  <c r="GJ316" i="98"/>
  <c r="FS313" i="98"/>
  <c r="FT313" i="98"/>
  <c r="GK308" i="98"/>
  <c r="GD308" i="98"/>
  <c r="GH308" i="98"/>
  <c r="GB308" i="98"/>
  <c r="FS305" i="98"/>
  <c r="FR305" i="98" s="1"/>
  <c r="FT305" i="98"/>
  <c r="GK300" i="98"/>
  <c r="GD300" i="98"/>
  <c r="GH300" i="98"/>
  <c r="GB300" i="98"/>
  <c r="FS297" i="98"/>
  <c r="FT297" i="98" s="1"/>
  <c r="GK292" i="98"/>
  <c r="GD292" i="98"/>
  <c r="GH292" i="98"/>
  <c r="GB292" i="98"/>
  <c r="FS289" i="98"/>
  <c r="FT289" i="98" s="1"/>
  <c r="GE279" i="98"/>
  <c r="FO279" i="98"/>
  <c r="GB279" i="98"/>
  <c r="FS278" i="98"/>
  <c r="FT278" i="98" s="1"/>
  <c r="FT276" i="98"/>
  <c r="FR276" i="98"/>
  <c r="FO271" i="98"/>
  <c r="FT263" i="98"/>
  <c r="FR263" i="98"/>
  <c r="FS263" i="98"/>
  <c r="GD262" i="98"/>
  <c r="FR259" i="98"/>
  <c r="FT256" i="98"/>
  <c r="FR256" i="98" s="1"/>
  <c r="FR255" i="98"/>
  <c r="FR252" i="98"/>
  <c r="FT252" i="98"/>
  <c r="FR248" i="98"/>
  <c r="FT248" i="98"/>
  <c r="FT244" i="98"/>
  <c r="FR243" i="98"/>
  <c r="FT240" i="98"/>
  <c r="FR240" i="98" s="1"/>
  <c r="FO239" i="98"/>
  <c r="GK239" i="98"/>
  <c r="GH239" i="98"/>
  <c r="GE228" i="98"/>
  <c r="FO228" i="98"/>
  <c r="GK228" i="98"/>
  <c r="GB228" i="98"/>
  <c r="FR228" i="98"/>
  <c r="GH228" i="98"/>
  <c r="GD228" i="98"/>
  <c r="GD218" i="98"/>
  <c r="FO218" i="98"/>
  <c r="GE218" i="98"/>
  <c r="FR218" i="98"/>
  <c r="GH218" i="98"/>
  <c r="GD331" i="98"/>
  <c r="GD295" i="98"/>
  <c r="FS282" i="98"/>
  <c r="FT282" i="98"/>
  <c r="FO280" i="98"/>
  <c r="GB280" i="98" s="1"/>
  <c r="GD280" i="98"/>
  <c r="GD279" i="98"/>
  <c r="FR279" i="98"/>
  <c r="GE275" i="98"/>
  <c r="FO275" i="98"/>
  <c r="GB275" i="98"/>
  <c r="GH262" i="98"/>
  <c r="FS216" i="98"/>
  <c r="FT216" i="98"/>
  <c r="GD162" i="98"/>
  <c r="FT366" i="98"/>
  <c r="FR360" i="98"/>
  <c r="FT358" i="98"/>
  <c r="FR352" i="98"/>
  <c r="FT350" i="98"/>
  <c r="FR344" i="98"/>
  <c r="FT342" i="98"/>
  <c r="FO331" i="98"/>
  <c r="GK331" i="98"/>
  <c r="FO303" i="98"/>
  <c r="GB303" i="98"/>
  <c r="FO295" i="98"/>
  <c r="GK295" i="98"/>
  <c r="FS286" i="98"/>
  <c r="FT286" i="98"/>
  <c r="FT284" i="98"/>
  <c r="FR277" i="98"/>
  <c r="GH271" i="98"/>
  <c r="FS270" i="98"/>
  <c r="FT270" i="98"/>
  <c r="FT268" i="98"/>
  <c r="FS265" i="98"/>
  <c r="FR265" i="98" s="1"/>
  <c r="FT265" i="98"/>
  <c r="FT264" i="98"/>
  <c r="FR264" i="98" s="1"/>
  <c r="GH261" i="98"/>
  <c r="FO261" i="98"/>
  <c r="GK261" i="98"/>
  <c r="GB261" i="98"/>
  <c r="GD215" i="98"/>
  <c r="GH215" i="98"/>
  <c r="GE215" i="98"/>
  <c r="FO215" i="98"/>
  <c r="GK215" i="98"/>
  <c r="GB215" i="98"/>
  <c r="GD179" i="98"/>
  <c r="FO179" i="98"/>
  <c r="FS285" i="98"/>
  <c r="FT285" i="98" s="1"/>
  <c r="FS281" i="98"/>
  <c r="FT281" i="98" s="1"/>
  <c r="FS277" i="98"/>
  <c r="FT277" i="98" s="1"/>
  <c r="FS273" i="98"/>
  <c r="FT273" i="98" s="1"/>
  <c r="FS269" i="98"/>
  <c r="FT269" i="98" s="1"/>
  <c r="FT266" i="98"/>
  <c r="GB262" i="98"/>
  <c r="FO260" i="98"/>
  <c r="FR257" i="98"/>
  <c r="FS257" i="98"/>
  <c r="FT257" i="98" s="1"/>
  <c r="FS253" i="98"/>
  <c r="FT253" i="98" s="1"/>
  <c r="FR249" i="98"/>
  <c r="FS249" i="98"/>
  <c r="FT249" i="98" s="1"/>
  <c r="FS245" i="98"/>
  <c r="FT245" i="98" s="1"/>
  <c r="FR241" i="98"/>
  <c r="FS241" i="98"/>
  <c r="FT241" i="98" s="1"/>
  <c r="FR238" i="98"/>
  <c r="FT233" i="98"/>
  <c r="FR233" i="98"/>
  <c r="FS233" i="98"/>
  <c r="GD231" i="98"/>
  <c r="FO231" i="98"/>
  <c r="GB226" i="98"/>
  <c r="FR222" i="98"/>
  <c r="FO220" i="98"/>
  <c r="GK220" i="98"/>
  <c r="FR220" i="98"/>
  <c r="GH220" i="98"/>
  <c r="GK214" i="98"/>
  <c r="GB214" i="98"/>
  <c r="GH214" i="98"/>
  <c r="GD214" i="98"/>
  <c r="FO210" i="98"/>
  <c r="FS208" i="98"/>
  <c r="FO207" i="98"/>
  <c r="GH207" i="98" s="1"/>
  <c r="GK207" i="98"/>
  <c r="GD204" i="98"/>
  <c r="GB175" i="98"/>
  <c r="FR266" i="98"/>
  <c r="GK262" i="98"/>
  <c r="FR261" i="98"/>
  <c r="GD260" i="98"/>
  <c r="FT259" i="98"/>
  <c r="FS258" i="98"/>
  <c r="FT258" i="98"/>
  <c r="FT255" i="98"/>
  <c r="FS254" i="98"/>
  <c r="FT254" i="98"/>
  <c r="FT251" i="98"/>
  <c r="FR251" i="98" s="1"/>
  <c r="FS250" i="98"/>
  <c r="FT250" i="98" s="1"/>
  <c r="FT247" i="98"/>
  <c r="FS246" i="98"/>
  <c r="FT243" i="98"/>
  <c r="FS242" i="98"/>
  <c r="FT242" i="98"/>
  <c r="FS235" i="98"/>
  <c r="FT235" i="98"/>
  <c r="GK234" i="98"/>
  <c r="FO234" i="98"/>
  <c r="GE234" i="98"/>
  <c r="FS232" i="98"/>
  <c r="FT232" i="98" s="1"/>
  <c r="FR214" i="98"/>
  <c r="GE212" i="98"/>
  <c r="FO212" i="98"/>
  <c r="GK212" i="98"/>
  <c r="GB212" i="98"/>
  <c r="FR212" i="98"/>
  <c r="GH212" i="98"/>
  <c r="FR210" i="98"/>
  <c r="GC206" i="98"/>
  <c r="GG206" i="98"/>
  <c r="GK206" i="98"/>
  <c r="GA206" i="98"/>
  <c r="GF206" i="98"/>
  <c r="GL206" i="98"/>
  <c r="GB206" i="98"/>
  <c r="GH206" i="98"/>
  <c r="GD206" i="98"/>
  <c r="GI206" i="98"/>
  <c r="GD202" i="98"/>
  <c r="FO202" i="98"/>
  <c r="GE202" i="98"/>
  <c r="GE262" i="98"/>
  <c r="GK230" i="98"/>
  <c r="GB230" i="98"/>
  <c r="GH230" i="98"/>
  <c r="GD230" i="98"/>
  <c r="GC226" i="98"/>
  <c r="GG226" i="98"/>
  <c r="GK226" i="98"/>
  <c r="GD226" i="98"/>
  <c r="GI226" i="98"/>
  <c r="FO226" i="98"/>
  <c r="GE226" i="98"/>
  <c r="GJ226" i="98"/>
  <c r="GA226" i="98"/>
  <c r="GF226" i="98"/>
  <c r="GL226" i="98"/>
  <c r="FS224" i="98"/>
  <c r="FT224" i="98"/>
  <c r="GD223" i="98"/>
  <c r="GH223" i="98"/>
  <c r="GE223" i="98"/>
  <c r="FO223" i="98"/>
  <c r="GK223" i="98"/>
  <c r="GB223" i="98"/>
  <c r="GE204" i="98"/>
  <c r="FO204" i="98"/>
  <c r="GK204" i="98"/>
  <c r="GB204" i="98"/>
  <c r="FR204" i="98"/>
  <c r="GH204" i="98"/>
  <c r="FO183" i="98"/>
  <c r="FR239" i="98"/>
  <c r="FT237" i="98"/>
  <c r="FR231" i="98"/>
  <c r="FT229" i="98"/>
  <c r="FT227" i="98"/>
  <c r="FR227" i="98" s="1"/>
  <c r="FS225" i="98"/>
  <c r="FR225" i="98" s="1"/>
  <c r="FR223" i="98"/>
  <c r="FT221" i="98"/>
  <c r="FT219" i="98"/>
  <c r="FS217" i="98"/>
  <c r="FR215" i="98"/>
  <c r="FT213" i="98"/>
  <c r="FT211" i="98"/>
  <c r="FR211" i="98" s="1"/>
  <c r="FS209" i="98"/>
  <c r="FR207" i="98"/>
  <c r="FT205" i="98"/>
  <c r="FT203" i="98"/>
  <c r="FS201" i="98"/>
  <c r="FT201" i="98" s="1"/>
  <c r="FR201" i="98"/>
  <c r="GB191" i="98"/>
  <c r="GD144" i="98"/>
  <c r="FO144" i="98"/>
  <c r="GE144" i="98"/>
  <c r="FR144" i="98"/>
  <c r="GH144" i="98"/>
  <c r="GE140" i="98"/>
  <c r="FS200" i="98"/>
  <c r="FT200" i="98" s="1"/>
  <c r="GK199" i="98"/>
  <c r="GD199" i="98"/>
  <c r="GH199" i="98"/>
  <c r="FS196" i="98"/>
  <c r="FR196" i="98" s="1"/>
  <c r="FT196" i="98"/>
  <c r="FS192" i="98"/>
  <c r="FT192" i="98"/>
  <c r="FS188" i="98"/>
  <c r="FT188" i="98" s="1"/>
  <c r="GK171" i="98"/>
  <c r="GD171" i="98"/>
  <c r="GH171" i="98"/>
  <c r="FO171" i="98"/>
  <c r="GE171" i="98"/>
  <c r="GB148" i="98"/>
  <c r="GD148" i="98"/>
  <c r="FO148" i="98"/>
  <c r="GE148" i="98"/>
  <c r="FS142" i="98"/>
  <c r="FR142" i="98" s="1"/>
  <c r="FT142" i="98"/>
  <c r="FT225" i="98"/>
  <c r="FR219" i="98"/>
  <c r="FT217" i="98"/>
  <c r="FT209" i="98"/>
  <c r="FR203" i="98"/>
  <c r="GD195" i="98"/>
  <c r="FO195" i="98"/>
  <c r="GK191" i="98"/>
  <c r="GD191" i="98"/>
  <c r="GH191" i="98"/>
  <c r="FO191" i="98"/>
  <c r="GE191" i="98"/>
  <c r="GK187" i="98"/>
  <c r="GH187" i="98"/>
  <c r="FO187" i="98"/>
  <c r="GE187" i="98"/>
  <c r="FS184" i="98"/>
  <c r="FR184" i="98" s="1"/>
  <c r="FT184" i="98"/>
  <c r="FS180" i="98"/>
  <c r="FT180" i="98"/>
  <c r="GK175" i="98"/>
  <c r="GD175" i="98"/>
  <c r="GH175" i="98"/>
  <c r="FO175" i="98"/>
  <c r="GE175" i="98"/>
  <c r="FO154" i="98"/>
  <c r="GE154" i="98" s="1"/>
  <c r="GK154" i="98"/>
  <c r="FR154" i="98"/>
  <c r="GH154" i="98"/>
  <c r="FO141" i="98"/>
  <c r="GD141" i="98" s="1"/>
  <c r="GK141" i="98"/>
  <c r="FR199" i="98"/>
  <c r="FR195" i="98"/>
  <c r="FR191" i="98"/>
  <c r="FR187" i="98"/>
  <c r="GI186" i="98"/>
  <c r="FR183" i="98"/>
  <c r="FR179" i="98"/>
  <c r="FR175" i="98"/>
  <c r="FR171" i="98"/>
  <c r="FT167" i="98"/>
  <c r="FR167" i="98"/>
  <c r="FS167" i="98"/>
  <c r="FS166" i="98"/>
  <c r="FT166" i="98"/>
  <c r="GD165" i="98"/>
  <c r="GH165" i="98"/>
  <c r="GE165" i="98"/>
  <c r="FO165" i="98"/>
  <c r="GK165" i="98"/>
  <c r="GB165" i="98"/>
  <c r="FR148" i="98"/>
  <c r="GA146" i="98"/>
  <c r="GE146" i="98"/>
  <c r="GI146" i="98"/>
  <c r="FO146" i="98"/>
  <c r="GF146" i="98"/>
  <c r="GK146" i="98"/>
  <c r="GB146" i="98"/>
  <c r="GG146" i="98"/>
  <c r="GL146" i="98"/>
  <c r="FR146" i="98"/>
  <c r="GC146" i="98"/>
  <c r="GH146" i="98"/>
  <c r="GK140" i="98"/>
  <c r="GB140" i="98"/>
  <c r="GH140" i="98"/>
  <c r="GD140" i="98"/>
  <c r="GK134" i="98"/>
  <c r="GD134" i="98"/>
  <c r="GH134" i="98"/>
  <c r="FO134" i="98"/>
  <c r="GE134" i="98"/>
  <c r="GB134" i="98"/>
  <c r="FO112" i="98"/>
  <c r="FS176" i="98"/>
  <c r="FT176" i="98" s="1"/>
  <c r="FS172" i="98"/>
  <c r="FS169" i="98"/>
  <c r="FT169" i="98"/>
  <c r="GK168" i="98"/>
  <c r="FO168" i="98"/>
  <c r="GH168" i="98" s="1"/>
  <c r="GE168" i="98"/>
  <c r="GK164" i="98"/>
  <c r="GB164" i="98"/>
  <c r="GH164" i="98"/>
  <c r="GD164" i="98"/>
  <c r="FO160" i="98"/>
  <c r="GB160" i="98" s="1"/>
  <c r="FS158" i="98"/>
  <c r="FO157" i="98"/>
  <c r="FR138" i="98"/>
  <c r="FT138" i="98"/>
  <c r="FO130" i="98"/>
  <c r="FO198" i="98"/>
  <c r="GB198" i="98" s="1"/>
  <c r="FS197" i="98"/>
  <c r="FT197" i="98"/>
  <c r="FO194" i="98"/>
  <c r="FS193" i="98"/>
  <c r="FT193" i="98"/>
  <c r="FO190" i="98"/>
  <c r="FS189" i="98"/>
  <c r="FT189" i="98"/>
  <c r="FO186" i="98"/>
  <c r="GB186" i="98"/>
  <c r="GF186" i="98"/>
  <c r="GJ186" i="98"/>
  <c r="GC186" i="98"/>
  <c r="GG186" i="98"/>
  <c r="GK186" i="98"/>
  <c r="FS185" i="98"/>
  <c r="FT185" i="98"/>
  <c r="FO182" i="98"/>
  <c r="GB182" i="98" s="1"/>
  <c r="FS181" i="98"/>
  <c r="FT181" i="98"/>
  <c r="FO178" i="98"/>
  <c r="GB178" i="98" s="1"/>
  <c r="FS177" i="98"/>
  <c r="FT177" i="98"/>
  <c r="FO174" i="98"/>
  <c r="GB174" i="98" s="1"/>
  <c r="FS173" i="98"/>
  <c r="FT173" i="98"/>
  <c r="FO170" i="98"/>
  <c r="GB170" i="98" s="1"/>
  <c r="FR168" i="98"/>
  <c r="FR164" i="98"/>
  <c r="GE162" i="98"/>
  <c r="FO162" i="98"/>
  <c r="GK162" i="98"/>
  <c r="GB162" i="98"/>
  <c r="FR162" i="98"/>
  <c r="GH162" i="98"/>
  <c r="FR160" i="98"/>
  <c r="GC156" i="98"/>
  <c r="GG156" i="98"/>
  <c r="GK156" i="98"/>
  <c r="GA156" i="98"/>
  <c r="GF156" i="98"/>
  <c r="GL156" i="98"/>
  <c r="GB156" i="98"/>
  <c r="GH156" i="98"/>
  <c r="GD156" i="98"/>
  <c r="GI156" i="98"/>
  <c r="GD152" i="98"/>
  <c r="FO152" i="98"/>
  <c r="GB152" i="98" s="1"/>
  <c r="GE152" i="98"/>
  <c r="FS150" i="98"/>
  <c r="FR150" i="98" s="1"/>
  <c r="FT150" i="98"/>
  <c r="FO149" i="98"/>
  <c r="FS139" i="98"/>
  <c r="GC126" i="98"/>
  <c r="GG126" i="98"/>
  <c r="GK126" i="98"/>
  <c r="GD126" i="98"/>
  <c r="GH126" i="98"/>
  <c r="GL126" i="98"/>
  <c r="FO126" i="98"/>
  <c r="GE126" i="98"/>
  <c r="GA126" i="98"/>
  <c r="GI126" i="98"/>
  <c r="GB126" i="98"/>
  <c r="GF126" i="98"/>
  <c r="GK117" i="98"/>
  <c r="GE117" i="98"/>
  <c r="FR165" i="98"/>
  <c r="FT163" i="98"/>
  <c r="FT161" i="98"/>
  <c r="FS159" i="98"/>
  <c r="FT159" i="98" s="1"/>
  <c r="FR157" i="98"/>
  <c r="FT155" i="98"/>
  <c r="FT153" i="98"/>
  <c r="FS151" i="98"/>
  <c r="FR151" i="98" s="1"/>
  <c r="FR149" i="98"/>
  <c r="FT147" i="98"/>
  <c r="FT145" i="98"/>
  <c r="FS143" i="98"/>
  <c r="FT143" i="98" s="1"/>
  <c r="FR141" i="98"/>
  <c r="GB120" i="98"/>
  <c r="FO120" i="98"/>
  <c r="GD109" i="98"/>
  <c r="GB109" i="98"/>
  <c r="GK109" i="98"/>
  <c r="FO109" i="98"/>
  <c r="FR134" i="98"/>
  <c r="GD122" i="98"/>
  <c r="FO122" i="98"/>
  <c r="FS119" i="98"/>
  <c r="FS113" i="98"/>
  <c r="FT113" i="98" s="1"/>
  <c r="GE110" i="98"/>
  <c r="FO110" i="98"/>
  <c r="GH110" i="98" s="1"/>
  <c r="GK110" i="98"/>
  <c r="GB110" i="98"/>
  <c r="FR110" i="98"/>
  <c r="FR161" i="98"/>
  <c r="FR153" i="98"/>
  <c r="FT151" i="98"/>
  <c r="FR145" i="98"/>
  <c r="FS135" i="98"/>
  <c r="FR135" i="98" s="1"/>
  <c r="FT135" i="98"/>
  <c r="FS131" i="98"/>
  <c r="FT131" i="98"/>
  <c r="FS127" i="98"/>
  <c r="FT127" i="98" s="1"/>
  <c r="FT123" i="98"/>
  <c r="FR130" i="98"/>
  <c r="FR126" i="98"/>
  <c r="FR122" i="98"/>
  <c r="FR120" i="98"/>
  <c r="GD117" i="98"/>
  <c r="GH117" i="98"/>
  <c r="GB117" i="98"/>
  <c r="FS106" i="98"/>
  <c r="FT106" i="98" s="1"/>
  <c r="FS103" i="98"/>
  <c r="FS98" i="98"/>
  <c r="FT98" i="98" s="1"/>
  <c r="FS123" i="98"/>
  <c r="FR112" i="98"/>
  <c r="GK104" i="98"/>
  <c r="GB104" i="98"/>
  <c r="GH104" i="98"/>
  <c r="GD104" i="98"/>
  <c r="GD87" i="98"/>
  <c r="GK87" i="98"/>
  <c r="GH87" i="98"/>
  <c r="FO137" i="98"/>
  <c r="FS136" i="98"/>
  <c r="FT136" i="98"/>
  <c r="FO133" i="98"/>
  <c r="GB133" i="98"/>
  <c r="FS132" i="98"/>
  <c r="FT132" i="98"/>
  <c r="FO129" i="98"/>
  <c r="GB129" i="98"/>
  <c r="FS128" i="98"/>
  <c r="FT128" i="98"/>
  <c r="FO125" i="98"/>
  <c r="GB125" i="98"/>
  <c r="FS124" i="98"/>
  <c r="FT124" i="98"/>
  <c r="FO121" i="98"/>
  <c r="GB121" i="98"/>
  <c r="FO118" i="98"/>
  <c r="FS114" i="98"/>
  <c r="FS111" i="98"/>
  <c r="FT101" i="98"/>
  <c r="FR101" i="98"/>
  <c r="GB97" i="98"/>
  <c r="GH97" i="98"/>
  <c r="FO97" i="98"/>
  <c r="GD97" i="98"/>
  <c r="GC116" i="98"/>
  <c r="GG116" i="98"/>
  <c r="GK116" i="98"/>
  <c r="FO116" i="98"/>
  <c r="FR105" i="98"/>
  <c r="FT105" i="98"/>
  <c r="FR104" i="98"/>
  <c r="FS99" i="98"/>
  <c r="FT99" i="98"/>
  <c r="FR99" i="98"/>
  <c r="GE86" i="98"/>
  <c r="FR117" i="98"/>
  <c r="GI116" i="98"/>
  <c r="GD116" i="98"/>
  <c r="FT115" i="98"/>
  <c r="FR107" i="98"/>
  <c r="GH102" i="98"/>
  <c r="FR97" i="98"/>
  <c r="FS96" i="98"/>
  <c r="FT96" i="98" s="1"/>
  <c r="GD95" i="98"/>
  <c r="GH95" i="98"/>
  <c r="FS94" i="98"/>
  <c r="FT94" i="98" s="1"/>
  <c r="FT93" i="98"/>
  <c r="FS90" i="98"/>
  <c r="FT90" i="98" s="1"/>
  <c r="FT89" i="98"/>
  <c r="FR89" i="98"/>
  <c r="GE102" i="98"/>
  <c r="FO102" i="98"/>
  <c r="GK102" i="98"/>
  <c r="GB102" i="98"/>
  <c r="GD86" i="98"/>
  <c r="GH86" i="98"/>
  <c r="GL86" i="98"/>
  <c r="FO86" i="98"/>
  <c r="GA86" i="98"/>
  <c r="GF86" i="98"/>
  <c r="GK86" i="98"/>
  <c r="GC86" i="98"/>
  <c r="GI86" i="98"/>
  <c r="GG86" i="98"/>
  <c r="GJ86" i="98"/>
  <c r="FO108" i="98"/>
  <c r="FT92" i="98"/>
  <c r="FR92" i="98" s="1"/>
  <c r="FT88" i="98"/>
  <c r="FR88" i="98"/>
  <c r="FR109" i="98"/>
  <c r="GD108" i="98"/>
  <c r="FT107" i="98"/>
  <c r="FT100" i="98"/>
  <c r="FR100" i="98"/>
  <c r="GB95" i="98"/>
  <c r="FT91" i="98"/>
  <c r="GB87" i="98"/>
  <c r="FR86" i="98"/>
  <c r="GE95" i="98"/>
  <c r="GE87" i="98"/>
  <c r="FO96" i="98" l="1"/>
  <c r="GB96" i="98"/>
  <c r="GF96" i="98"/>
  <c r="GJ96" i="98"/>
  <c r="GE96" i="98"/>
  <c r="GK96" i="98"/>
  <c r="GG96" i="98"/>
  <c r="GA96" i="98"/>
  <c r="GH96" i="98"/>
  <c r="GC96" i="98"/>
  <c r="GD96" i="98"/>
  <c r="GI96" i="98"/>
  <c r="GL96" i="98"/>
  <c r="GA106" i="98"/>
  <c r="GE106" i="98"/>
  <c r="GI106" i="98"/>
  <c r="GC106" i="98"/>
  <c r="GH106" i="98"/>
  <c r="GD106" i="98"/>
  <c r="GJ106" i="98"/>
  <c r="GG106" i="98"/>
  <c r="FO106" i="98"/>
  <c r="GK106" i="98"/>
  <c r="GB106" i="98"/>
  <c r="GF106" i="98"/>
  <c r="GL106" i="98"/>
  <c r="FR106" i="98"/>
  <c r="GD349" i="98"/>
  <c r="FO349" i="98"/>
  <c r="FR349" i="98"/>
  <c r="FO379" i="98"/>
  <c r="GK379" i="98"/>
  <c r="FO427" i="98"/>
  <c r="GD427" i="98" s="1"/>
  <c r="GD624" i="98"/>
  <c r="FO624" i="98"/>
  <c r="GH624" i="98" s="1"/>
  <c r="GK624" i="98"/>
  <c r="FR624" i="98"/>
  <c r="GD688" i="98"/>
  <c r="FO688" i="98"/>
  <c r="GH688" i="98" s="1"/>
  <c r="GK688" i="98"/>
  <c r="GD720" i="98"/>
  <c r="GH720" i="98"/>
  <c r="GE720" i="98"/>
  <c r="FO720" i="98"/>
  <c r="GB720" i="98"/>
  <c r="GK720" i="98"/>
  <c r="GH652" i="98"/>
  <c r="GE652" i="98"/>
  <c r="FO652" i="98"/>
  <c r="GB652" i="98"/>
  <c r="FR652" i="98"/>
  <c r="FO790" i="98"/>
  <c r="FO822" i="98"/>
  <c r="FO854" i="98"/>
  <c r="GE918" i="98"/>
  <c r="FO918" i="98"/>
  <c r="GB918" i="98"/>
  <c r="GD918" i="98"/>
  <c r="GH918" i="98"/>
  <c r="GK918" i="98"/>
  <c r="FO938" i="98"/>
  <c r="FO712" i="98"/>
  <c r="GD712" i="98" s="1"/>
  <c r="FR712" i="98"/>
  <c r="FO744" i="98"/>
  <c r="GD744" i="98" s="1"/>
  <c r="GE1032" i="98"/>
  <c r="FO1032" i="98"/>
  <c r="GB1032" i="98"/>
  <c r="GH1032" i="98"/>
  <c r="GK1032" i="98"/>
  <c r="GD1032" i="98"/>
  <c r="FO942" i="98"/>
  <c r="GK942" i="98"/>
  <c r="GB942" i="98"/>
  <c r="FR942" i="98"/>
  <c r="GD1019" i="98"/>
  <c r="GH1019" i="98"/>
  <c r="GE1019" i="98"/>
  <c r="FO1019" i="98"/>
  <c r="GB1019" i="98"/>
  <c r="GK1019" i="98"/>
  <c r="GH1035" i="98"/>
  <c r="GE1035" i="98"/>
  <c r="FO1035" i="98"/>
  <c r="GK1035" i="98"/>
  <c r="FO988" i="98"/>
  <c r="GD988" i="98" s="1"/>
  <c r="FO1207" i="98"/>
  <c r="GB1207" i="98"/>
  <c r="GD1207" i="98"/>
  <c r="GH1207" i="98"/>
  <c r="GK1207" i="98"/>
  <c r="GE1207" i="98"/>
  <c r="FO958" i="98"/>
  <c r="GK958" i="98"/>
  <c r="FR958" i="98"/>
  <c r="GA1056" i="98"/>
  <c r="GE1056" i="98"/>
  <c r="GI1056" i="98"/>
  <c r="GC1056" i="98"/>
  <c r="GH1056" i="98"/>
  <c r="GD1056" i="98"/>
  <c r="GJ1056" i="98"/>
  <c r="FO1056" i="98"/>
  <c r="GF1056" i="98"/>
  <c r="GK1056" i="98"/>
  <c r="GG1056" i="98"/>
  <c r="GL1056" i="98"/>
  <c r="GB1056" i="98"/>
  <c r="FR1056" i="98"/>
  <c r="FO1442" i="98"/>
  <c r="GK1442" i="98"/>
  <c r="FR1442" i="98"/>
  <c r="GD1527" i="98"/>
  <c r="FO1527" i="98"/>
  <c r="GH1527" i="98" s="1"/>
  <c r="GD1611" i="98"/>
  <c r="GH1611" i="98"/>
  <c r="GE1611" i="98"/>
  <c r="FO1611" i="98"/>
  <c r="GB1611" i="98"/>
  <c r="GK1611" i="98"/>
  <c r="GD1434" i="98"/>
  <c r="FO1434" i="98"/>
  <c r="GE1434" i="98" s="1"/>
  <c r="GK1434" i="98"/>
  <c r="GB1434" i="98"/>
  <c r="FR1434" i="98"/>
  <c r="GD1354" i="98"/>
  <c r="FO1354" i="98"/>
  <c r="GE1354" i="98" s="1"/>
  <c r="GK1354" i="98"/>
  <c r="GB1354" i="98"/>
  <c r="FR1354" i="98"/>
  <c r="GA1466" i="98"/>
  <c r="GE1466" i="98"/>
  <c r="GI1466" i="98"/>
  <c r="GC1466" i="98"/>
  <c r="GH1466" i="98"/>
  <c r="GD1466" i="98"/>
  <c r="GJ1466" i="98"/>
  <c r="FO1466" i="98"/>
  <c r="GF1466" i="98"/>
  <c r="GK1466" i="98"/>
  <c r="GG1466" i="98"/>
  <c r="GB1466" i="98"/>
  <c r="GL1466" i="98"/>
  <c r="FR1466" i="98"/>
  <c r="GH1591" i="98"/>
  <c r="GE1591" i="98"/>
  <c r="FO1591" i="98"/>
  <c r="GB1591" i="98"/>
  <c r="GK1591" i="98"/>
  <c r="FO1659" i="98"/>
  <c r="GD1659" i="98" s="1"/>
  <c r="GK1659" i="98"/>
  <c r="GD1675" i="98"/>
  <c r="FO1675" i="98"/>
  <c r="GH1675" i="98" s="1"/>
  <c r="GK1675" i="98"/>
  <c r="FO1647" i="98"/>
  <c r="GD1647" i="98" s="1"/>
  <c r="GK1647" i="98"/>
  <c r="GD94" i="98"/>
  <c r="FO94" i="98"/>
  <c r="GH94" i="98" s="1"/>
  <c r="GK94" i="98"/>
  <c r="GE94" i="98"/>
  <c r="GB94" i="98"/>
  <c r="GD98" i="98"/>
  <c r="GH98" i="98"/>
  <c r="FO98" i="98"/>
  <c r="GK98" i="98"/>
  <c r="GB98" i="98"/>
  <c r="GE98" i="98"/>
  <c r="GD176" i="98"/>
  <c r="GH176" i="98"/>
  <c r="GL176" i="98"/>
  <c r="GA176" i="98"/>
  <c r="GE176" i="98"/>
  <c r="GI176" i="98"/>
  <c r="FO176" i="98"/>
  <c r="GF176" i="98"/>
  <c r="GG176" i="98"/>
  <c r="GB176" i="98"/>
  <c r="GJ176" i="98"/>
  <c r="GC176" i="98"/>
  <c r="GK176" i="98"/>
  <c r="FR176" i="98"/>
  <c r="GH188" i="98"/>
  <c r="GE188" i="98"/>
  <c r="FO188" i="98"/>
  <c r="GB188" i="98"/>
  <c r="GK188" i="98"/>
  <c r="FR188" i="98"/>
  <c r="GH329" i="98"/>
  <c r="GE329" i="98"/>
  <c r="FO329" i="98"/>
  <c r="FO274" i="98"/>
  <c r="GD274" i="98" s="1"/>
  <c r="GA306" i="98"/>
  <c r="GE306" i="98"/>
  <c r="GI306" i="98"/>
  <c r="FO306" i="98"/>
  <c r="GB306" i="98"/>
  <c r="GF306" i="98"/>
  <c r="GJ306" i="98"/>
  <c r="GC306" i="98"/>
  <c r="GK306" i="98"/>
  <c r="GD306" i="98"/>
  <c r="GL306" i="98"/>
  <c r="GG306" i="98"/>
  <c r="GH306" i="98"/>
  <c r="FR306" i="98"/>
  <c r="GE314" i="98"/>
  <c r="FO314" i="98"/>
  <c r="GB314" i="98"/>
  <c r="GK314" i="98"/>
  <c r="GD314" i="98"/>
  <c r="GH314" i="98"/>
  <c r="GE367" i="98"/>
  <c r="FO367" i="98"/>
  <c r="GB367" i="98"/>
  <c r="GK367" i="98"/>
  <c r="GH367" i="98"/>
  <c r="GH411" i="98"/>
  <c r="GE411" i="98"/>
  <c r="FO411" i="98"/>
  <c r="GB411" i="98"/>
  <c r="GK411" i="98"/>
  <c r="FR411" i="98"/>
  <c r="GH451" i="98"/>
  <c r="GE451" i="98"/>
  <c r="FO451" i="98"/>
  <c r="GB451" i="98"/>
  <c r="GK451" i="98"/>
  <c r="FR451" i="98"/>
  <c r="GH423" i="98"/>
  <c r="GE423" i="98"/>
  <c r="FO423" i="98"/>
  <c r="GB423" i="98"/>
  <c r="GK423" i="98"/>
  <c r="FO482" i="98"/>
  <c r="GD482" i="98" s="1"/>
  <c r="GK482" i="98"/>
  <c r="FR482" i="98"/>
  <c r="FO514" i="98"/>
  <c r="GD514" i="98" s="1"/>
  <c r="GK514" i="98"/>
  <c r="FR514" i="98"/>
  <c r="FO534" i="98"/>
  <c r="GD534" i="98" s="1"/>
  <c r="GK534" i="98"/>
  <c r="GD526" i="98"/>
  <c r="GH526" i="98"/>
  <c r="GL526" i="98"/>
  <c r="GA526" i="98"/>
  <c r="GE526" i="98"/>
  <c r="GI526" i="98"/>
  <c r="FO526" i="98"/>
  <c r="GB526" i="98"/>
  <c r="GF526" i="98"/>
  <c r="GJ526" i="98"/>
  <c r="GK526" i="98"/>
  <c r="GC526" i="98"/>
  <c r="GG526" i="98"/>
  <c r="GD566" i="98"/>
  <c r="GH566" i="98"/>
  <c r="GL566" i="98"/>
  <c r="GA566" i="98"/>
  <c r="GE566" i="98"/>
  <c r="GI566" i="98"/>
  <c r="FO566" i="98"/>
  <c r="GB566" i="98"/>
  <c r="GF566" i="98"/>
  <c r="GJ566" i="98"/>
  <c r="GK566" i="98"/>
  <c r="GC566" i="98"/>
  <c r="GG566" i="98"/>
  <c r="GD596" i="98"/>
  <c r="GH596" i="98"/>
  <c r="GL596" i="98"/>
  <c r="GA596" i="98"/>
  <c r="GE596" i="98"/>
  <c r="GI596" i="98"/>
  <c r="FO596" i="98"/>
  <c r="GB596" i="98"/>
  <c r="GF596" i="98"/>
  <c r="GJ596" i="98"/>
  <c r="GG596" i="98"/>
  <c r="GK596" i="98"/>
  <c r="GC596" i="98"/>
  <c r="FO740" i="98"/>
  <c r="GD740" i="98" s="1"/>
  <c r="FR740" i="98"/>
  <c r="GD736" i="98"/>
  <c r="GH736" i="98"/>
  <c r="GL736" i="98"/>
  <c r="GA736" i="98"/>
  <c r="GE736" i="98"/>
  <c r="GI736" i="98"/>
  <c r="FO736" i="98"/>
  <c r="GB736" i="98"/>
  <c r="GF736" i="98"/>
  <c r="GJ736" i="98"/>
  <c r="GC736" i="98"/>
  <c r="GG736" i="98"/>
  <c r="GK736" i="98"/>
  <c r="GD768" i="98"/>
  <c r="FO768" i="98"/>
  <c r="GH768" i="98" s="1"/>
  <c r="GK768" i="98"/>
  <c r="GD572" i="98"/>
  <c r="GH572" i="98"/>
  <c r="GE572" i="98"/>
  <c r="FO572" i="98"/>
  <c r="GB572" i="98"/>
  <c r="GK572" i="98"/>
  <c r="FR572" i="98"/>
  <c r="GD604" i="98"/>
  <c r="GH604" i="98"/>
  <c r="GE604" i="98"/>
  <c r="FO604" i="98"/>
  <c r="GB604" i="98"/>
  <c r="GK604" i="98"/>
  <c r="FR604" i="98"/>
  <c r="GD700" i="98"/>
  <c r="GH700" i="98"/>
  <c r="GE700" i="98"/>
  <c r="FO700" i="98"/>
  <c r="GB700" i="98"/>
  <c r="GK700" i="98"/>
  <c r="FR700" i="98"/>
  <c r="GD568" i="98"/>
  <c r="GH568" i="98"/>
  <c r="GE568" i="98"/>
  <c r="FO568" i="98"/>
  <c r="GB568" i="98"/>
  <c r="GK568" i="98"/>
  <c r="GH760" i="98"/>
  <c r="GE760" i="98"/>
  <c r="FO760" i="98"/>
  <c r="GB760" i="98"/>
  <c r="GK760" i="98"/>
  <c r="FR760" i="98"/>
  <c r="GH1007" i="98"/>
  <c r="GE1007" i="98"/>
  <c r="FO1007" i="98"/>
  <c r="GK1007" i="98"/>
  <c r="FR1007" i="98"/>
  <c r="GH1023" i="98"/>
  <c r="GE1023" i="98"/>
  <c r="FO1023" i="98"/>
  <c r="FR1023" i="98"/>
  <c r="GH1157" i="98"/>
  <c r="FO1157" i="98"/>
  <c r="GB1157" i="98"/>
  <c r="FR1157" i="98"/>
  <c r="GH1109" i="98"/>
  <c r="GE1109" i="98"/>
  <c r="FO1109" i="98"/>
  <c r="GB1109" i="98"/>
  <c r="GK1109" i="98"/>
  <c r="FO1125" i="98"/>
  <c r="GD1125" i="98" s="1"/>
  <c r="GK1125" i="98"/>
  <c r="FR1125" i="98"/>
  <c r="FO1301" i="98"/>
  <c r="GD1301" i="98" s="1"/>
  <c r="FR1301" i="98"/>
  <c r="FO1507" i="98"/>
  <c r="GD1507" i="98" s="1"/>
  <c r="FO1450" i="98"/>
  <c r="GK1450" i="98"/>
  <c r="FR1450" i="98"/>
  <c r="GD1567" i="98"/>
  <c r="FO1567" i="98"/>
  <c r="GH1567" i="98" s="1"/>
  <c r="GK1567" i="98"/>
  <c r="GD113" i="98"/>
  <c r="GH113" i="98"/>
  <c r="GE113" i="98"/>
  <c r="FO113" i="98"/>
  <c r="GK113" i="98"/>
  <c r="GB113" i="98"/>
  <c r="FO200" i="98"/>
  <c r="FO290" i="98"/>
  <c r="FR290" i="98"/>
  <c r="FO301" i="98"/>
  <c r="FR301" i="98"/>
  <c r="FO310" i="98"/>
  <c r="GD357" i="98"/>
  <c r="FO357" i="98"/>
  <c r="GE357" i="98" s="1"/>
  <c r="GK357" i="98"/>
  <c r="GB357" i="98"/>
  <c r="FR357" i="98"/>
  <c r="GH403" i="98"/>
  <c r="GE403" i="98"/>
  <c r="FO403" i="98"/>
  <c r="GB403" i="98"/>
  <c r="FR403" i="98"/>
  <c r="GH494" i="98"/>
  <c r="GE494" i="98"/>
  <c r="FO494" i="98"/>
  <c r="GB494" i="98"/>
  <c r="GK494" i="98"/>
  <c r="FO399" i="98"/>
  <c r="GD399" i="98" s="1"/>
  <c r="FR399" i="98"/>
  <c r="FO530" i="98"/>
  <c r="GD530" i="98" s="1"/>
  <c r="FR530" i="98"/>
  <c r="FO612" i="98"/>
  <c r="GD612" i="98" s="1"/>
  <c r="FR612" i="98"/>
  <c r="FO558" i="98"/>
  <c r="GD558" i="98" s="1"/>
  <c r="GD656" i="98"/>
  <c r="GH656" i="98"/>
  <c r="GL656" i="98"/>
  <c r="GA656" i="98"/>
  <c r="GE656" i="98"/>
  <c r="GI656" i="98"/>
  <c r="FO656" i="98"/>
  <c r="GB656" i="98"/>
  <c r="GF656" i="98"/>
  <c r="GJ656" i="98"/>
  <c r="GC656" i="98"/>
  <c r="GG656" i="98"/>
  <c r="GK656" i="98"/>
  <c r="FR656" i="98"/>
  <c r="GD672" i="98"/>
  <c r="FO672" i="98"/>
  <c r="GH672" i="98" s="1"/>
  <c r="GK672" i="98"/>
  <c r="FR672" i="98"/>
  <c r="GD636" i="98"/>
  <c r="GH636" i="98"/>
  <c r="GL636" i="98"/>
  <c r="GA636" i="98"/>
  <c r="GE636" i="98"/>
  <c r="GI636" i="98"/>
  <c r="FO636" i="98"/>
  <c r="GB636" i="98"/>
  <c r="GF636" i="98"/>
  <c r="GJ636" i="98"/>
  <c r="GC636" i="98"/>
  <c r="GG636" i="98"/>
  <c r="GK636" i="98"/>
  <c r="FR636" i="98"/>
  <c r="GD584" i="98"/>
  <c r="FO584" i="98"/>
  <c r="GH584" i="98" s="1"/>
  <c r="GD680" i="98"/>
  <c r="GH680" i="98"/>
  <c r="GE680" i="98"/>
  <c r="FO680" i="98"/>
  <c r="GB680" i="98"/>
  <c r="GK680" i="98"/>
  <c r="FR680" i="98"/>
  <c r="GA806" i="98"/>
  <c r="GE806" i="98"/>
  <c r="GI806" i="98"/>
  <c r="FO806" i="98"/>
  <c r="GB806" i="98"/>
  <c r="GF806" i="98"/>
  <c r="GJ806" i="98"/>
  <c r="GD806" i="98"/>
  <c r="GL806" i="98"/>
  <c r="GG806" i="98"/>
  <c r="GH806" i="98"/>
  <c r="GC806" i="98"/>
  <c r="GK806" i="98"/>
  <c r="GE838" i="98"/>
  <c r="FO838" i="98"/>
  <c r="GB838" i="98"/>
  <c r="GD838" i="98"/>
  <c r="GH838" i="98"/>
  <c r="GK838" i="98"/>
  <c r="GE870" i="98"/>
  <c r="FO870" i="98"/>
  <c r="GB870" i="98"/>
  <c r="GD870" i="98"/>
  <c r="GH870" i="98"/>
  <c r="GK870" i="98"/>
  <c r="GE902" i="98"/>
  <c r="FO902" i="98"/>
  <c r="GB902" i="98"/>
  <c r="GD902" i="98"/>
  <c r="GH902" i="98"/>
  <c r="GK902" i="98"/>
  <c r="GD984" i="98"/>
  <c r="FO984" i="98"/>
  <c r="GH984" i="98" s="1"/>
  <c r="GA1016" i="98"/>
  <c r="GE1016" i="98"/>
  <c r="GI1016" i="98"/>
  <c r="FO1016" i="98"/>
  <c r="GB1016" i="98"/>
  <c r="GF1016" i="98"/>
  <c r="GJ1016" i="98"/>
  <c r="GG1016" i="98"/>
  <c r="GH1016" i="98"/>
  <c r="GC1016" i="98"/>
  <c r="GK1016" i="98"/>
  <c r="GD1016" i="98"/>
  <c r="GL1016" i="98"/>
  <c r="GH1011" i="98"/>
  <c r="GE1011" i="98"/>
  <c r="FO1011" i="98"/>
  <c r="FO1027" i="98"/>
  <c r="GD1027" i="98" s="1"/>
  <c r="FO1159" i="98"/>
  <c r="GB1159" i="98"/>
  <c r="GD1159" i="98"/>
  <c r="GH1159" i="98"/>
  <c r="GK1159" i="98"/>
  <c r="GE1159" i="98"/>
  <c r="FO1175" i="98"/>
  <c r="GB1175" i="98"/>
  <c r="GD1175" i="98"/>
  <c r="GH1175" i="98"/>
  <c r="GK1175" i="98"/>
  <c r="GE1175" i="98"/>
  <c r="FR1175" i="98"/>
  <c r="GD1072" i="98"/>
  <c r="FO1072" i="98"/>
  <c r="GE1072" i="98" s="1"/>
  <c r="GK1072" i="98"/>
  <c r="GB1072" i="98"/>
  <c r="FR1072" i="98"/>
  <c r="FO1141" i="98"/>
  <c r="GD1141" i="98" s="1"/>
  <c r="FR1141" i="98"/>
  <c r="FO1133" i="98"/>
  <c r="GD1133" i="98" s="1"/>
  <c r="GD1004" i="98"/>
  <c r="FO1004" i="98"/>
  <c r="GH1004" i="98" s="1"/>
  <c r="GD1121" i="98"/>
  <c r="GH1121" i="98"/>
  <c r="GE1121" i="98"/>
  <c r="FO1121" i="98"/>
  <c r="GB1121" i="98"/>
  <c r="GK1121" i="98"/>
  <c r="GH1137" i="98"/>
  <c r="GE1137" i="98"/>
  <c r="FO1137" i="98"/>
  <c r="GB1137" i="98"/>
  <c r="GK1137" i="98"/>
  <c r="GD1314" i="98"/>
  <c r="FO1314" i="98"/>
  <c r="GE1314" i="98" s="1"/>
  <c r="GK1314" i="98"/>
  <c r="GB1314" i="98"/>
  <c r="FR1314" i="98"/>
  <c r="GD1474" i="98"/>
  <c r="FO1474" i="98"/>
  <c r="GE1474" i="98" s="1"/>
  <c r="GK1474" i="98"/>
  <c r="GB1474" i="98"/>
  <c r="FR1474" i="98"/>
  <c r="GD1322" i="98"/>
  <c r="FO1322" i="98"/>
  <c r="GE1322" i="98" s="1"/>
  <c r="GK1322" i="98"/>
  <c r="GB1322" i="98"/>
  <c r="FR1322" i="98"/>
  <c r="GD1418" i="98"/>
  <c r="FO1418" i="98"/>
  <c r="GE1418" i="98" s="1"/>
  <c r="GK1418" i="98"/>
  <c r="GB1418" i="98"/>
  <c r="FR1418" i="98"/>
  <c r="FO1458" i="98"/>
  <c r="GK1458" i="98"/>
  <c r="GB1458" i="98"/>
  <c r="FR1458" i="98"/>
  <c r="FO1303" i="98"/>
  <c r="GB1303" i="98"/>
  <c r="GD1303" i="98"/>
  <c r="GH1303" i="98"/>
  <c r="GK1303" i="98"/>
  <c r="GE1303" i="98"/>
  <c r="FR158" i="98"/>
  <c r="GE365" i="98"/>
  <c r="GH365" i="98"/>
  <c r="FO365" i="98"/>
  <c r="GK365" i="98"/>
  <c r="GB365" i="98"/>
  <c r="FR365" i="98"/>
  <c r="GD447" i="98"/>
  <c r="FO447" i="98"/>
  <c r="GH447" i="98" s="1"/>
  <c r="GD478" i="98"/>
  <c r="GH478" i="98"/>
  <c r="GE478" i="98"/>
  <c r="FO478" i="98"/>
  <c r="GB478" i="98"/>
  <c r="GK478" i="98"/>
  <c r="GH510" i="98"/>
  <c r="GE510" i="98"/>
  <c r="FO510" i="98"/>
  <c r="GB510" i="98"/>
  <c r="GK510" i="98"/>
  <c r="FO431" i="98"/>
  <c r="GD431" i="98" s="1"/>
  <c r="GD640" i="98"/>
  <c r="FO640" i="98"/>
  <c r="GH640" i="98" s="1"/>
  <c r="GK640" i="98"/>
  <c r="GE232" i="98"/>
  <c r="GD232" i="98"/>
  <c r="FO232" i="98"/>
  <c r="GK232" i="98"/>
  <c r="GH232" i="98"/>
  <c r="GB232" i="98"/>
  <c r="GH297" i="98"/>
  <c r="GE297" i="98"/>
  <c r="FO297" i="98"/>
  <c r="GH321" i="98"/>
  <c r="GE321" i="98"/>
  <c r="FO321" i="98"/>
  <c r="FR321" i="98"/>
  <c r="FO90" i="98"/>
  <c r="GK90" i="98"/>
  <c r="FR90" i="98"/>
  <c r="GD127" i="98"/>
  <c r="GH127" i="98"/>
  <c r="GE127" i="98"/>
  <c r="FO127" i="98"/>
  <c r="GB127" i="98"/>
  <c r="GK127" i="98"/>
  <c r="FR127" i="98"/>
  <c r="FO143" i="98"/>
  <c r="GB143" i="98"/>
  <c r="GH143" i="98"/>
  <c r="GD143" i="98"/>
  <c r="GK143" i="98"/>
  <c r="GE143" i="98"/>
  <c r="FR143" i="98"/>
  <c r="FO159" i="98"/>
  <c r="GB159" i="98"/>
  <c r="GH159" i="98"/>
  <c r="GD159" i="98"/>
  <c r="GE159" i="98"/>
  <c r="GK159" i="98"/>
  <c r="GE250" i="98"/>
  <c r="FO250" i="98"/>
  <c r="GB250" i="98"/>
  <c r="GD250" i="98"/>
  <c r="GH250" i="98"/>
  <c r="GK250" i="98"/>
  <c r="GD278" i="98"/>
  <c r="GH278" i="98"/>
  <c r="GE278" i="98"/>
  <c r="FO278" i="98"/>
  <c r="GB278" i="98"/>
  <c r="GK278" i="98"/>
  <c r="GH289" i="98"/>
  <c r="GE289" i="98"/>
  <c r="FO289" i="98"/>
  <c r="FR289" i="98"/>
  <c r="FO338" i="98"/>
  <c r="FO362" i="98"/>
  <c r="GB362" i="98" s="1"/>
  <c r="FO371" i="98"/>
  <c r="GB371" i="98" s="1"/>
  <c r="GD371" i="98"/>
  <c r="GE371" i="98"/>
  <c r="GD419" i="98"/>
  <c r="GH419" i="98"/>
  <c r="GE419" i="98"/>
  <c r="FO419" i="98"/>
  <c r="GB419" i="98"/>
  <c r="GK419" i="98"/>
  <c r="GH498" i="98"/>
  <c r="GE498" i="98"/>
  <c r="FO498" i="98"/>
  <c r="GB498" i="98"/>
  <c r="GK498" i="98"/>
  <c r="FR498" i="98"/>
  <c r="GH692" i="98"/>
  <c r="GE692" i="98"/>
  <c r="FO692" i="98"/>
  <c r="GB692" i="98"/>
  <c r="GK692" i="98"/>
  <c r="FO724" i="98"/>
  <c r="GD724" i="98" s="1"/>
  <c r="GD576" i="98"/>
  <c r="GH576" i="98"/>
  <c r="GL576" i="98"/>
  <c r="GA576" i="98"/>
  <c r="GE576" i="98"/>
  <c r="GI576" i="98"/>
  <c r="FO576" i="98"/>
  <c r="GB576" i="98"/>
  <c r="GF576" i="98"/>
  <c r="GJ576" i="98"/>
  <c r="GC576" i="98"/>
  <c r="GG576" i="98"/>
  <c r="GK576" i="98"/>
  <c r="GD704" i="98"/>
  <c r="GH704" i="98"/>
  <c r="GE704" i="98"/>
  <c r="FO704" i="98"/>
  <c r="GB704" i="98"/>
  <c r="GK704" i="98"/>
  <c r="FR704" i="98"/>
  <c r="GD550" i="98"/>
  <c r="GH550" i="98"/>
  <c r="GE550" i="98"/>
  <c r="FO550" i="98"/>
  <c r="GB550" i="98"/>
  <c r="GK550" i="98"/>
  <c r="GH684" i="98"/>
  <c r="GE684" i="98"/>
  <c r="FO684" i="98"/>
  <c r="GB684" i="98"/>
  <c r="FR684" i="98"/>
  <c r="GD716" i="98"/>
  <c r="GH716" i="98"/>
  <c r="GL716" i="98"/>
  <c r="GA716" i="98"/>
  <c r="GE716" i="98"/>
  <c r="GI716" i="98"/>
  <c r="FO716" i="98"/>
  <c r="GB716" i="98"/>
  <c r="GF716" i="98"/>
  <c r="GJ716" i="98"/>
  <c r="GC716" i="98"/>
  <c r="GG716" i="98"/>
  <c r="GK716" i="98"/>
  <c r="FO632" i="98"/>
  <c r="GD632" i="98" s="1"/>
  <c r="FR632" i="98"/>
  <c r="FO455" i="98"/>
  <c r="GD455" i="98" s="1"/>
  <c r="FR455" i="98"/>
  <c r="FO951" i="98"/>
  <c r="GB951" i="98" s="1"/>
  <c r="GD951" i="98"/>
  <c r="GE951" i="98"/>
  <c r="GD1000" i="98"/>
  <c r="FO1000" i="98"/>
  <c r="GH1000" i="98" s="1"/>
  <c r="FR1000" i="98"/>
  <c r="FO1191" i="98"/>
  <c r="GB1191" i="98"/>
  <c r="GD1191" i="98"/>
  <c r="GH1191" i="98"/>
  <c r="GK1191" i="98"/>
  <c r="GE1191" i="98"/>
  <c r="FR1191" i="98"/>
  <c r="GD1205" i="98"/>
  <c r="FO1205" i="98"/>
  <c r="GH1205" i="98" s="1"/>
  <c r="GK1205" i="98"/>
  <c r="GE1205" i="98"/>
  <c r="FR1205" i="98"/>
  <c r="GD1378" i="98"/>
  <c r="FO1378" i="98"/>
  <c r="GE1378" i="98" s="1"/>
  <c r="GK1378" i="98"/>
  <c r="GB1378" i="98"/>
  <c r="FR1378" i="98"/>
  <c r="GD1498" i="98"/>
  <c r="FO1498" i="98"/>
  <c r="GE1498" i="98" s="1"/>
  <c r="GK1498" i="98"/>
  <c r="GB1498" i="98"/>
  <c r="FR1498" i="98"/>
  <c r="FO1555" i="98"/>
  <c r="GD1555" i="98" s="1"/>
  <c r="GE108" i="98"/>
  <c r="GH108" i="98"/>
  <c r="GB108" i="98"/>
  <c r="GE132" i="98"/>
  <c r="FO132" i="98"/>
  <c r="GB132" i="98"/>
  <c r="GH132" i="98"/>
  <c r="GA136" i="98"/>
  <c r="GE136" i="98"/>
  <c r="GI136" i="98"/>
  <c r="FO136" i="98"/>
  <c r="GB136" i="98"/>
  <c r="GF136" i="98"/>
  <c r="GJ136" i="98"/>
  <c r="GG136" i="98"/>
  <c r="GC136" i="98"/>
  <c r="GK136" i="98"/>
  <c r="GL136" i="98"/>
  <c r="GD136" i="98"/>
  <c r="GH136" i="98"/>
  <c r="GD137" i="98"/>
  <c r="GH137" i="98"/>
  <c r="GK137" i="98"/>
  <c r="GE137" i="98"/>
  <c r="GD112" i="98"/>
  <c r="GD184" i="98"/>
  <c r="FO184" i="98"/>
  <c r="GH184" i="98" s="1"/>
  <c r="FO205" i="98"/>
  <c r="GB205" i="98"/>
  <c r="GD205" i="98"/>
  <c r="GE205" i="98"/>
  <c r="GK205" i="98"/>
  <c r="FR205" i="98"/>
  <c r="GH205" i="98"/>
  <c r="FO229" i="98"/>
  <c r="GB229" i="98"/>
  <c r="GD229" i="98"/>
  <c r="GE229" i="98"/>
  <c r="GK229" i="98"/>
  <c r="FR229" i="98"/>
  <c r="GD224" i="98"/>
  <c r="FO224" i="98"/>
  <c r="GE224" i="98" s="1"/>
  <c r="GK224" i="98"/>
  <c r="GB224" i="98"/>
  <c r="GE242" i="98"/>
  <c r="FO242" i="98"/>
  <c r="GB242" i="98"/>
  <c r="GD242" i="98"/>
  <c r="GH242" i="98"/>
  <c r="GK242" i="98"/>
  <c r="GE258" i="98"/>
  <c r="FO258" i="98"/>
  <c r="GB258" i="98"/>
  <c r="GD258" i="98"/>
  <c r="GH258" i="98"/>
  <c r="GK258" i="98"/>
  <c r="FO269" i="98"/>
  <c r="FO268" i="98"/>
  <c r="GB268" i="98"/>
  <c r="GD268" i="98"/>
  <c r="GE268" i="98"/>
  <c r="FO350" i="98"/>
  <c r="GD350" i="98"/>
  <c r="GA216" i="98"/>
  <c r="GE216" i="98"/>
  <c r="GI216" i="98"/>
  <c r="GC216" i="98"/>
  <c r="GH216" i="98"/>
  <c r="GD216" i="98"/>
  <c r="GJ216" i="98"/>
  <c r="FO216" i="98"/>
  <c r="GF216" i="98"/>
  <c r="GK216" i="98"/>
  <c r="GB216" i="98"/>
  <c r="GG216" i="98"/>
  <c r="GL216" i="98"/>
  <c r="FO244" i="98"/>
  <c r="FO305" i="98"/>
  <c r="GH305" i="98" s="1"/>
  <c r="GH337" i="98"/>
  <c r="GE337" i="98"/>
  <c r="FO337" i="98"/>
  <c r="GK345" i="98"/>
  <c r="FO424" i="98"/>
  <c r="GE424" i="98" s="1"/>
  <c r="GK424" i="98"/>
  <c r="FR424" i="98"/>
  <c r="GH424" i="98"/>
  <c r="GD293" i="98"/>
  <c r="GB293" i="98"/>
  <c r="GK293" i="98"/>
  <c r="FO293" i="98"/>
  <c r="GH293" i="98" s="1"/>
  <c r="GD373" i="98"/>
  <c r="GB373" i="98"/>
  <c r="GK373" i="98"/>
  <c r="FO373" i="98"/>
  <c r="GH373" i="98" s="1"/>
  <c r="FO391" i="98"/>
  <c r="GB391" i="98"/>
  <c r="GD391" i="98"/>
  <c r="FR391" i="98"/>
  <c r="GK391" i="98"/>
  <c r="GC426" i="98"/>
  <c r="GG426" i="98"/>
  <c r="GK426" i="98"/>
  <c r="GD426" i="98"/>
  <c r="GH426" i="98"/>
  <c r="GL426" i="98"/>
  <c r="GA426" i="98"/>
  <c r="GE426" i="98"/>
  <c r="GI426" i="98"/>
  <c r="FO426" i="98"/>
  <c r="GB426" i="98"/>
  <c r="GF426" i="98"/>
  <c r="GJ426" i="98"/>
  <c r="GK470" i="98"/>
  <c r="GD470" i="98"/>
  <c r="GH470" i="98"/>
  <c r="GE470" i="98"/>
  <c r="FO470" i="98"/>
  <c r="GD395" i="98"/>
  <c r="GH395" i="98"/>
  <c r="GE395" i="98"/>
  <c r="FO395" i="98"/>
  <c r="GB395" i="98"/>
  <c r="GK395" i="98"/>
  <c r="FO441" i="98"/>
  <c r="GB441" i="98"/>
  <c r="GD441" i="98"/>
  <c r="GE441" i="98"/>
  <c r="GK344" i="98"/>
  <c r="FR379" i="98"/>
  <c r="GH463" i="98"/>
  <c r="GE463" i="98"/>
  <c r="FO463" i="98"/>
  <c r="GB463" i="98"/>
  <c r="GK463" i="98"/>
  <c r="GB483" i="98"/>
  <c r="GD483" i="98"/>
  <c r="GH483" i="98"/>
  <c r="GB515" i="98"/>
  <c r="GD515" i="98"/>
  <c r="GH515" i="98"/>
  <c r="GD459" i="98"/>
  <c r="GH459" i="98"/>
  <c r="GE459" i="98"/>
  <c r="FO459" i="98"/>
  <c r="GB459" i="98"/>
  <c r="GK459" i="98"/>
  <c r="GE512" i="98"/>
  <c r="GD506" i="98"/>
  <c r="GH506" i="98"/>
  <c r="GL506" i="98"/>
  <c r="GA506" i="98"/>
  <c r="GE506" i="98"/>
  <c r="GI506" i="98"/>
  <c r="FO506" i="98"/>
  <c r="GB506" i="98"/>
  <c r="GF506" i="98"/>
  <c r="GJ506" i="98"/>
  <c r="GC506" i="98"/>
  <c r="GG506" i="98"/>
  <c r="GK506" i="98"/>
  <c r="FO522" i="98"/>
  <c r="GD522" i="98" s="1"/>
  <c r="GK522" i="98"/>
  <c r="FO528" i="98"/>
  <c r="GB528" i="98"/>
  <c r="GK528" i="98"/>
  <c r="GD528" i="98"/>
  <c r="GH528" i="98"/>
  <c r="GE528" i="98"/>
  <c r="FO564" i="98"/>
  <c r="GB564" i="98"/>
  <c r="GD564" i="98"/>
  <c r="GK615" i="98"/>
  <c r="GD615" i="98"/>
  <c r="GH615" i="98"/>
  <c r="GE615" i="98"/>
  <c r="FO615" i="98"/>
  <c r="GB615" i="98"/>
  <c r="GK663" i="98"/>
  <c r="GH663" i="98"/>
  <c r="GE663" i="98"/>
  <c r="FO663" i="98"/>
  <c r="FO711" i="98"/>
  <c r="GD759" i="98"/>
  <c r="FO759" i="98"/>
  <c r="GB759" i="98"/>
  <c r="FO493" i="98"/>
  <c r="GK493" i="98" s="1"/>
  <c r="FO535" i="98"/>
  <c r="GE535" i="98" s="1"/>
  <c r="GK535" i="98"/>
  <c r="GD580" i="98"/>
  <c r="FO580" i="98"/>
  <c r="GH580" i="98" s="1"/>
  <c r="GE642" i="98"/>
  <c r="GE658" i="98"/>
  <c r="GK372" i="98"/>
  <c r="GH593" i="98"/>
  <c r="GD697" i="98"/>
  <c r="GH697" i="98"/>
  <c r="GD729" i="98"/>
  <c r="GH729" i="98"/>
  <c r="GD513" i="98"/>
  <c r="FO513" i="98"/>
  <c r="GD546" i="98"/>
  <c r="GH546" i="98"/>
  <c r="GL546" i="98"/>
  <c r="GA546" i="98"/>
  <c r="GE546" i="98"/>
  <c r="GI546" i="98"/>
  <c r="FO546" i="98"/>
  <c r="GB546" i="98"/>
  <c r="GF546" i="98"/>
  <c r="GJ546" i="98"/>
  <c r="GK546" i="98"/>
  <c r="GC546" i="98"/>
  <c r="GG546" i="98"/>
  <c r="GH588" i="98"/>
  <c r="GE588" i="98"/>
  <c r="FO588" i="98"/>
  <c r="GB588" i="98"/>
  <c r="GH620" i="98"/>
  <c r="GE620" i="98"/>
  <c r="FO620" i="98"/>
  <c r="GB620" i="98"/>
  <c r="GH621" i="98"/>
  <c r="FO730" i="98"/>
  <c r="GB730" i="98" s="1"/>
  <c r="GK730" i="98"/>
  <c r="GD730" i="98"/>
  <c r="GH730" i="98"/>
  <c r="GE730" i="98"/>
  <c r="FO959" i="98"/>
  <c r="GB959" i="98" s="1"/>
  <c r="GD959" i="98"/>
  <c r="FO875" i="98"/>
  <c r="GB875" i="98"/>
  <c r="GK875" i="98"/>
  <c r="GD875" i="98"/>
  <c r="GE875" i="98"/>
  <c r="GH875" i="98"/>
  <c r="FO891" i="98"/>
  <c r="GB891" i="98"/>
  <c r="GD891" i="98"/>
  <c r="GE891" i="98"/>
  <c r="GH891" i="98"/>
  <c r="FO907" i="98"/>
  <c r="GH907" i="98"/>
  <c r="FO923" i="98"/>
  <c r="GB923" i="98" s="1"/>
  <c r="GK923" i="98"/>
  <c r="GH923" i="98"/>
  <c r="FO939" i="98"/>
  <c r="GB939" i="98"/>
  <c r="GK939" i="98"/>
  <c r="GD939" i="98"/>
  <c r="GE939" i="98"/>
  <c r="GH939" i="98"/>
  <c r="GH968" i="98"/>
  <c r="GE968" i="98"/>
  <c r="FO968" i="98"/>
  <c r="GB968" i="98"/>
  <c r="GK968" i="98"/>
  <c r="FO1017" i="98"/>
  <c r="GB1017" i="98"/>
  <c r="GE1017" i="98"/>
  <c r="FR1017" i="98"/>
  <c r="GH1017" i="98"/>
  <c r="GD1017" i="98"/>
  <c r="FO1049" i="98"/>
  <c r="GB1049" i="98"/>
  <c r="FR1049" i="98"/>
  <c r="GH1049" i="98"/>
  <c r="GD1049" i="98"/>
  <c r="GK1049" i="98"/>
  <c r="GE1049" i="98"/>
  <c r="FO1081" i="98"/>
  <c r="GB1081" i="98" s="1"/>
  <c r="FR1081" i="98"/>
  <c r="GH1081" i="98"/>
  <c r="GE1081" i="98"/>
  <c r="GC816" i="98"/>
  <c r="GG816" i="98"/>
  <c r="GK816" i="98"/>
  <c r="GD816" i="98"/>
  <c r="GH816" i="98"/>
  <c r="GL816" i="98"/>
  <c r="GB816" i="98"/>
  <c r="GJ816" i="98"/>
  <c r="FO816" i="98"/>
  <c r="GE816" i="98"/>
  <c r="GF816" i="98"/>
  <c r="GA816" i="98"/>
  <c r="GI816" i="98"/>
  <c r="FO832" i="98"/>
  <c r="GB848" i="98"/>
  <c r="FO848" i="98"/>
  <c r="GE848" i="98"/>
  <c r="GD864" i="98"/>
  <c r="GB864" i="98"/>
  <c r="FO864" i="98"/>
  <c r="GE864" i="98"/>
  <c r="FO880" i="98"/>
  <c r="FO912" i="98"/>
  <c r="GB928" i="98"/>
  <c r="FO928" i="98"/>
  <c r="GE928" i="98"/>
  <c r="GD964" i="98"/>
  <c r="GH964" i="98"/>
  <c r="GE964" i="98"/>
  <c r="FO964" i="98"/>
  <c r="GB964" i="98"/>
  <c r="GK964" i="98"/>
  <c r="GD996" i="98"/>
  <c r="GH996" i="98"/>
  <c r="GL996" i="98"/>
  <c r="GA996" i="98"/>
  <c r="GE996" i="98"/>
  <c r="GI996" i="98"/>
  <c r="FO996" i="98"/>
  <c r="GB996" i="98"/>
  <c r="GF996" i="98"/>
  <c r="GJ996" i="98"/>
  <c r="GC996" i="98"/>
  <c r="GG996" i="98"/>
  <c r="GK996" i="98"/>
  <c r="GE1082" i="98"/>
  <c r="GB1082" i="98"/>
  <c r="GH1082" i="98"/>
  <c r="GE950" i="98"/>
  <c r="FO950" i="98"/>
  <c r="GK950" i="98" s="1"/>
  <c r="GD969" i="98"/>
  <c r="FO1037" i="98"/>
  <c r="GB1037" i="98"/>
  <c r="GD1037" i="98"/>
  <c r="GE1037" i="98"/>
  <c r="GK1037" i="98"/>
  <c r="GH1037" i="98"/>
  <c r="FO1085" i="98"/>
  <c r="GB1085" i="98"/>
  <c r="GD1085" i="98"/>
  <c r="GE1085" i="98"/>
  <c r="GK1085" i="98"/>
  <c r="GH1085" i="98"/>
  <c r="GD1031" i="98"/>
  <c r="FO1031" i="98"/>
  <c r="GH1031" i="98" s="1"/>
  <c r="GB1031" i="98"/>
  <c r="GK1031" i="98"/>
  <c r="GD1097" i="98"/>
  <c r="GH1097" i="98"/>
  <c r="GE1097" i="98"/>
  <c r="FO1097" i="98"/>
  <c r="GB1097" i="98"/>
  <c r="GK1097" i="98"/>
  <c r="GH1113" i="98"/>
  <c r="GE1113" i="98"/>
  <c r="FO1113" i="98"/>
  <c r="GB1113" i="98"/>
  <c r="GK1113" i="98"/>
  <c r="GH1225" i="98"/>
  <c r="FO1225" i="98"/>
  <c r="GB1225" i="98"/>
  <c r="GE1225" i="98"/>
  <c r="FO1291" i="98"/>
  <c r="GB1291" i="98" s="1"/>
  <c r="GH1291" i="98"/>
  <c r="GK1291" i="98"/>
  <c r="FO1323" i="98"/>
  <c r="GB1323" i="98"/>
  <c r="GH1323" i="98"/>
  <c r="GD1323" i="98"/>
  <c r="GE1323" i="98"/>
  <c r="GK1323" i="98"/>
  <c r="FO1451" i="98"/>
  <c r="GB1451" i="98"/>
  <c r="GH1451" i="98"/>
  <c r="GK1451" i="98"/>
  <c r="FO1483" i="98"/>
  <c r="GD1092" i="98"/>
  <c r="FO1199" i="98"/>
  <c r="GB1199" i="98" s="1"/>
  <c r="GH1199" i="98"/>
  <c r="FO1231" i="98"/>
  <c r="GB1231" i="98"/>
  <c r="GD1231" i="98"/>
  <c r="GH1231" i="98"/>
  <c r="GE1231" i="98"/>
  <c r="GK1231" i="98"/>
  <c r="FO1247" i="98"/>
  <c r="GB1247" i="98"/>
  <c r="GD1247" i="98"/>
  <c r="GH1247" i="98"/>
  <c r="GE1247" i="98"/>
  <c r="GK1247" i="98"/>
  <c r="GB1268" i="98"/>
  <c r="GD1293" i="98"/>
  <c r="GH1293" i="98"/>
  <c r="FO1293" i="98"/>
  <c r="GB1293" i="98"/>
  <c r="GE1293" i="98"/>
  <c r="GK1293" i="98"/>
  <c r="GE1452" i="98"/>
  <c r="GH1452" i="98"/>
  <c r="GB1452" i="98"/>
  <c r="GE1468" i="98"/>
  <c r="GB1468" i="98"/>
  <c r="GH1468" i="98"/>
  <c r="GE1484" i="98"/>
  <c r="GB1484" i="98"/>
  <c r="GH1484" i="98"/>
  <c r="GB1532" i="98"/>
  <c r="GD1532" i="98"/>
  <c r="GH1532" i="98"/>
  <c r="GB1580" i="98"/>
  <c r="GD1580" i="98"/>
  <c r="GH1580" i="98"/>
  <c r="GB1628" i="98"/>
  <c r="GH1628" i="98"/>
  <c r="GD1628" i="98"/>
  <c r="GK1060" i="98"/>
  <c r="FR951" i="98"/>
  <c r="GK1083" i="98"/>
  <c r="FO1235" i="98"/>
  <c r="GB1235" i="98"/>
  <c r="GD1235" i="98"/>
  <c r="GH1235" i="98"/>
  <c r="GK1235" i="98"/>
  <c r="GE1235" i="98"/>
  <c r="GH1288" i="98"/>
  <c r="GB1288" i="98"/>
  <c r="GD1288" i="98"/>
  <c r="GD1297" i="98"/>
  <c r="FO1297" i="98"/>
  <c r="GH1297" i="98" s="1"/>
  <c r="GE1297" i="98"/>
  <c r="FO1343" i="98"/>
  <c r="GB1343" i="98"/>
  <c r="GD1343" i="98"/>
  <c r="GE1343" i="98"/>
  <c r="GK1343" i="98"/>
  <c r="FR1343" i="98"/>
  <c r="GH1343" i="98"/>
  <c r="FO1359" i="98"/>
  <c r="GB1359" i="98"/>
  <c r="GD1359" i="98"/>
  <c r="GE1359" i="98"/>
  <c r="GK1359" i="98"/>
  <c r="FR1359" i="98"/>
  <c r="GH1359" i="98"/>
  <c r="FO1391" i="98"/>
  <c r="GB1391" i="98"/>
  <c r="GD1391" i="98"/>
  <c r="GE1391" i="98"/>
  <c r="GK1391" i="98"/>
  <c r="FR1391" i="98"/>
  <c r="GH1391" i="98"/>
  <c r="FO1407" i="98"/>
  <c r="GB1407" i="98"/>
  <c r="GD1407" i="98"/>
  <c r="GE1407" i="98"/>
  <c r="GK1407" i="98"/>
  <c r="FR1407" i="98"/>
  <c r="GH1407" i="98"/>
  <c r="FO1455" i="98"/>
  <c r="GB1455" i="98" s="1"/>
  <c r="FR1455" i="98"/>
  <c r="FO1487" i="98"/>
  <c r="GH1487" i="98"/>
  <c r="FR1487" i="98"/>
  <c r="FO1255" i="98"/>
  <c r="GE1255" i="98"/>
  <c r="GK1390" i="98"/>
  <c r="GE1490" i="98"/>
  <c r="FO1490" i="98"/>
  <c r="GK1490" i="98"/>
  <c r="GE1581" i="98"/>
  <c r="GE1585" i="98"/>
  <c r="GE1589" i="98"/>
  <c r="FO1662" i="98"/>
  <c r="FO1670" i="98"/>
  <c r="GB1670" i="98"/>
  <c r="GD1539" i="98"/>
  <c r="FO1539" i="98"/>
  <c r="GH1539" i="98" s="1"/>
  <c r="GD1430" i="98"/>
  <c r="GK1481" i="98"/>
  <c r="GE1561" i="98"/>
  <c r="GH1587" i="98"/>
  <c r="GE1587" i="98"/>
  <c r="FO1587" i="98"/>
  <c r="GB1587" i="98"/>
  <c r="GK1587" i="98"/>
  <c r="GE1645" i="98"/>
  <c r="GD1671" i="98"/>
  <c r="FO1671" i="98"/>
  <c r="GH1671" i="98" s="1"/>
  <c r="GK1671" i="98"/>
  <c r="GK1414" i="98"/>
  <c r="GD1551" i="98"/>
  <c r="GH1551" i="98"/>
  <c r="GE1551" i="98"/>
  <c r="FO1551" i="98"/>
  <c r="GB1551" i="98"/>
  <c r="GK1551" i="98"/>
  <c r="GH1610" i="98"/>
  <c r="GK1610" i="98"/>
  <c r="FO1270" i="98"/>
  <c r="FO1537" i="98"/>
  <c r="GB1537" i="98"/>
  <c r="GK1537" i="98"/>
  <c r="GD1537" i="98"/>
  <c r="GH1537" i="98"/>
  <c r="GE1537" i="98"/>
  <c r="FO1553" i="98"/>
  <c r="GB1553" i="98"/>
  <c r="GD1553" i="98"/>
  <c r="GH1563" i="98"/>
  <c r="GE1563" i="98"/>
  <c r="FO1563" i="98"/>
  <c r="GB1563" i="98"/>
  <c r="GK1563" i="98"/>
  <c r="FO1617" i="98"/>
  <c r="GB1617" i="98"/>
  <c r="GK1617" i="98"/>
  <c r="GD1617" i="98"/>
  <c r="GH1617" i="98"/>
  <c r="GE1617" i="98"/>
  <c r="FO1633" i="98"/>
  <c r="GB1633" i="98"/>
  <c r="GD1633" i="98"/>
  <c r="GE1633" i="98"/>
  <c r="GH1643" i="98"/>
  <c r="GE1643" i="98"/>
  <c r="FO1643" i="98"/>
  <c r="GB1643" i="98"/>
  <c r="GK1643" i="98"/>
  <c r="GE1530" i="98"/>
  <c r="GK1530" i="98"/>
  <c r="GH1631" i="98"/>
  <c r="GE1631" i="98"/>
  <c r="FO1631" i="98"/>
  <c r="GB1631" i="98"/>
  <c r="GK1631" i="98"/>
  <c r="GD1642" i="98"/>
  <c r="FO88" i="98"/>
  <c r="FO93" i="98"/>
  <c r="GK118" i="98"/>
  <c r="FR132" i="98"/>
  <c r="GH123" i="98"/>
  <c r="GE123" i="98"/>
  <c r="FO123" i="98"/>
  <c r="GB123" i="98"/>
  <c r="GK123" i="98"/>
  <c r="FO151" i="98"/>
  <c r="GB151" i="98" s="1"/>
  <c r="GD151" i="98"/>
  <c r="GK151" i="98"/>
  <c r="GH149" i="98"/>
  <c r="GH160" i="98"/>
  <c r="GE173" i="98"/>
  <c r="FO173" i="98"/>
  <c r="GB173" i="98"/>
  <c r="GH173" i="98"/>
  <c r="GK173" i="98"/>
  <c r="GD173" i="98"/>
  <c r="FO189" i="98"/>
  <c r="FO197" i="98"/>
  <c r="GE197" i="98" s="1"/>
  <c r="GK197" i="98"/>
  <c r="FO167" i="98"/>
  <c r="GB167" i="98"/>
  <c r="GH167" i="98"/>
  <c r="GD167" i="98"/>
  <c r="GK167" i="98"/>
  <c r="GE167" i="98"/>
  <c r="GE142" i="98"/>
  <c r="FO142" i="98"/>
  <c r="GK142" i="98"/>
  <c r="FR242" i="98"/>
  <c r="FR258" i="98"/>
  <c r="GE231" i="98"/>
  <c r="GD253" i="98"/>
  <c r="FO253" i="98"/>
  <c r="GH253" i="98" s="1"/>
  <c r="GB253" i="98"/>
  <c r="GE295" i="98"/>
  <c r="GH295" i="98"/>
  <c r="FR244" i="98"/>
  <c r="GH313" i="98"/>
  <c r="GE313" i="98"/>
  <c r="GB313" i="98"/>
  <c r="GK313" i="98"/>
  <c r="FO313" i="98"/>
  <c r="FO387" i="98"/>
  <c r="GE387" i="98"/>
  <c r="GD267" i="98"/>
  <c r="FR274" i="98"/>
  <c r="GD364" i="98"/>
  <c r="GE364" i="98"/>
  <c r="FO364" i="98"/>
  <c r="GH364" i="98" s="1"/>
  <c r="GK364" i="98"/>
  <c r="GB364" i="98"/>
  <c r="GE428" i="98"/>
  <c r="FO428" i="98"/>
  <c r="GB428" i="98"/>
  <c r="GK428" i="98"/>
  <c r="GD428" i="98"/>
  <c r="FR428" i="98"/>
  <c r="GH428" i="98"/>
  <c r="GH325" i="98"/>
  <c r="FO325" i="98"/>
  <c r="GH381" i="98"/>
  <c r="GE381" i="98"/>
  <c r="FO381" i="98"/>
  <c r="GK381" i="98"/>
  <c r="GK410" i="98"/>
  <c r="GH410" i="98"/>
  <c r="GE410" i="98"/>
  <c r="FO410" i="98"/>
  <c r="GB410" i="98"/>
  <c r="GH377" i="98"/>
  <c r="FO409" i="98"/>
  <c r="GB409" i="98"/>
  <c r="GK409" i="98"/>
  <c r="GD409" i="98"/>
  <c r="GH409" i="98"/>
  <c r="GE409" i="98"/>
  <c r="FR427" i="98"/>
  <c r="GH370" i="98"/>
  <c r="GE370" i="98"/>
  <c r="GB370" i="98"/>
  <c r="GK370" i="98"/>
  <c r="FO370" i="98"/>
  <c r="GD370" i="98" s="1"/>
  <c r="GE413" i="98"/>
  <c r="FO443" i="98"/>
  <c r="GK443" i="98"/>
  <c r="FR454" i="98"/>
  <c r="GB519" i="98"/>
  <c r="GD519" i="98"/>
  <c r="GH519" i="98"/>
  <c r="FR314" i="98"/>
  <c r="GE401" i="98"/>
  <c r="FR423" i="98"/>
  <c r="GD471" i="98"/>
  <c r="GH471" i="98"/>
  <c r="GE471" i="98"/>
  <c r="FO471" i="98"/>
  <c r="GB471" i="98"/>
  <c r="GK471" i="98"/>
  <c r="GD472" i="98"/>
  <c r="GH472" i="98"/>
  <c r="GD492" i="98"/>
  <c r="GE540" i="98"/>
  <c r="GE552" i="98"/>
  <c r="FR510" i="98"/>
  <c r="FR534" i="98"/>
  <c r="GD542" i="98"/>
  <c r="FO542" i="98"/>
  <c r="GH542" i="98" s="1"/>
  <c r="GK542" i="98"/>
  <c r="FR431" i="98"/>
  <c r="FO571" i="98"/>
  <c r="FO603" i="98"/>
  <c r="GD651" i="98"/>
  <c r="FO651" i="98"/>
  <c r="GB651" i="98"/>
  <c r="GK699" i="98"/>
  <c r="GD699" i="98"/>
  <c r="GH699" i="98"/>
  <c r="GE699" i="98"/>
  <c r="FO699" i="98"/>
  <c r="GB699" i="98"/>
  <c r="GK747" i="98"/>
  <c r="GD747" i="98"/>
  <c r="GH747" i="98"/>
  <c r="GE747" i="98"/>
  <c r="GB747" i="98"/>
  <c r="FO747" i="98"/>
  <c r="FO517" i="98"/>
  <c r="GB517" i="98"/>
  <c r="FR526" i="98"/>
  <c r="FR566" i="98"/>
  <c r="GE610" i="98"/>
  <c r="FO628" i="98"/>
  <c r="GD676" i="98"/>
  <c r="GH676" i="98"/>
  <c r="GL676" i="98"/>
  <c r="GA676" i="98"/>
  <c r="GE676" i="98"/>
  <c r="GI676" i="98"/>
  <c r="FO676" i="98"/>
  <c r="GB676" i="98"/>
  <c r="GF676" i="98"/>
  <c r="GJ676" i="98"/>
  <c r="GG676" i="98"/>
  <c r="GK676" i="98"/>
  <c r="GC676" i="98"/>
  <c r="FR724" i="98"/>
  <c r="GD633" i="98"/>
  <c r="GH633" i="98"/>
  <c r="FR640" i="98"/>
  <c r="FO670" i="98"/>
  <c r="GB670" i="98" s="1"/>
  <c r="GK670" i="98"/>
  <c r="GD670" i="98"/>
  <c r="GH670" i="98"/>
  <c r="FO668" i="98"/>
  <c r="GD764" i="98"/>
  <c r="FO764" i="98"/>
  <c r="GH764" i="98" s="1"/>
  <c r="GK764" i="98"/>
  <c r="FR584" i="98"/>
  <c r="FO903" i="98"/>
  <c r="GB903" i="98" s="1"/>
  <c r="GK903" i="98"/>
  <c r="GH903" i="98"/>
  <c r="GA926" i="98"/>
  <c r="GE926" i="98"/>
  <c r="GI926" i="98"/>
  <c r="FO926" i="98"/>
  <c r="GB926" i="98"/>
  <c r="GF926" i="98"/>
  <c r="GJ926" i="98"/>
  <c r="GD926" i="98"/>
  <c r="GL926" i="98"/>
  <c r="GG926" i="98"/>
  <c r="GH926" i="98"/>
  <c r="GC926" i="98"/>
  <c r="GK926" i="98"/>
  <c r="FO710" i="98"/>
  <c r="GB710" i="98"/>
  <c r="GK710" i="98"/>
  <c r="GD710" i="98"/>
  <c r="GH710" i="98"/>
  <c r="GE710" i="98"/>
  <c r="GD793" i="98"/>
  <c r="GH793" i="98"/>
  <c r="GE793" i="98"/>
  <c r="GK793" i="98"/>
  <c r="FO793" i="98"/>
  <c r="GB793" i="98"/>
  <c r="FO817" i="98"/>
  <c r="FO841" i="98"/>
  <c r="GD841" i="98" s="1"/>
  <c r="GB841" i="98"/>
  <c r="GD865" i="98"/>
  <c r="FO865" i="98"/>
  <c r="GH865" i="98" s="1"/>
  <c r="GB865" i="98"/>
  <c r="GD889" i="98"/>
  <c r="GH889" i="98"/>
  <c r="GE889" i="98"/>
  <c r="GK889" i="98"/>
  <c r="FO889" i="98"/>
  <c r="GB889" i="98"/>
  <c r="FO913" i="98"/>
  <c r="FO929" i="98"/>
  <c r="GD929" i="98" s="1"/>
  <c r="GB929" i="98"/>
  <c r="GD945" i="98"/>
  <c r="GB945" i="98"/>
  <c r="GE945" i="98"/>
  <c r="FO945" i="98"/>
  <c r="GH945" i="98" s="1"/>
  <c r="GK945" i="98"/>
  <c r="GD995" i="98"/>
  <c r="FO995" i="98"/>
  <c r="GB995" i="98"/>
  <c r="FR902" i="98"/>
  <c r="FR984" i="98"/>
  <c r="FR991" i="98"/>
  <c r="FO1013" i="98"/>
  <c r="FR1013" i="98"/>
  <c r="FR1024" i="98"/>
  <c r="GA1036" i="98"/>
  <c r="GE1036" i="98"/>
  <c r="GI1036" i="98"/>
  <c r="FO1036" i="98"/>
  <c r="GB1036" i="98"/>
  <c r="GF1036" i="98"/>
  <c r="GK1036" i="98"/>
  <c r="GG1036" i="98"/>
  <c r="GL1036" i="98"/>
  <c r="GC1036" i="98"/>
  <c r="GH1036" i="98"/>
  <c r="GD1036" i="98"/>
  <c r="GJ1036" i="98"/>
  <c r="GC796" i="98"/>
  <c r="GG796" i="98"/>
  <c r="GK796" i="98"/>
  <c r="GD796" i="98"/>
  <c r="GH796" i="98"/>
  <c r="GL796" i="98"/>
  <c r="GB796" i="98"/>
  <c r="GJ796" i="98"/>
  <c r="FO796" i="98"/>
  <c r="GE796" i="98"/>
  <c r="GF796" i="98"/>
  <c r="GA796" i="98"/>
  <c r="GI796" i="98"/>
  <c r="FO828" i="98"/>
  <c r="GB844" i="98"/>
  <c r="FO844" i="98"/>
  <c r="GE844" i="98"/>
  <c r="GC876" i="98"/>
  <c r="GG876" i="98"/>
  <c r="GK876" i="98"/>
  <c r="GD876" i="98"/>
  <c r="GH876" i="98"/>
  <c r="GL876" i="98"/>
  <c r="GB876" i="98"/>
  <c r="GJ876" i="98"/>
  <c r="FO876" i="98"/>
  <c r="GE876" i="98"/>
  <c r="GF876" i="98"/>
  <c r="GA876" i="98"/>
  <c r="GI876" i="98"/>
  <c r="GK908" i="98"/>
  <c r="GH908" i="98"/>
  <c r="FO908" i="98"/>
  <c r="FO924" i="98"/>
  <c r="GK944" i="98"/>
  <c r="GH973" i="98"/>
  <c r="GH989" i="98"/>
  <c r="GH1005" i="98"/>
  <c r="FR1011" i="98"/>
  <c r="FR1019" i="98"/>
  <c r="FR1027" i="98"/>
  <c r="FR1035" i="98"/>
  <c r="GK1050" i="98"/>
  <c r="GK1082" i="98"/>
  <c r="FR950" i="98"/>
  <c r="GD973" i="98"/>
  <c r="GD985" i="98"/>
  <c r="FO992" i="98"/>
  <c r="FR979" i="98"/>
  <c r="GD981" i="98"/>
  <c r="FR988" i="98"/>
  <c r="GB1034" i="98"/>
  <c r="GH1052" i="98"/>
  <c r="GD1064" i="98"/>
  <c r="FO1064" i="98"/>
  <c r="GE1064" i="98" s="1"/>
  <c r="GK1064" i="98"/>
  <c r="GB1064" i="98"/>
  <c r="GH1083" i="98"/>
  <c r="GH1110" i="98"/>
  <c r="FO1119" i="98"/>
  <c r="GB1119" i="98"/>
  <c r="GK1119" i="98"/>
  <c r="GD1119" i="98"/>
  <c r="GH1119" i="98"/>
  <c r="FO1129" i="98"/>
  <c r="GD1138" i="98"/>
  <c r="GH1138" i="98"/>
  <c r="FO1147" i="98"/>
  <c r="GB1147" i="98" s="1"/>
  <c r="GH1147" i="98"/>
  <c r="GK1147" i="98"/>
  <c r="GB1152" i="98"/>
  <c r="GD1152" i="98"/>
  <c r="GH1152" i="98"/>
  <c r="FO1161" i="98"/>
  <c r="GK1168" i="98"/>
  <c r="FO1195" i="98"/>
  <c r="GB1195" i="98" s="1"/>
  <c r="GH1195" i="98"/>
  <c r="GK1195" i="98"/>
  <c r="GB1200" i="98"/>
  <c r="GD1200" i="98"/>
  <c r="GH1200" i="98"/>
  <c r="FO1209" i="98"/>
  <c r="FR1225" i="98"/>
  <c r="FO1259" i="98"/>
  <c r="GK1259" i="98"/>
  <c r="GD1289" i="98"/>
  <c r="GH1289" i="98"/>
  <c r="FO1289" i="98"/>
  <c r="GB1289" i="98"/>
  <c r="GK1289" i="98"/>
  <c r="GE1289" i="98"/>
  <c r="FO1331" i="98"/>
  <c r="GB1331" i="98"/>
  <c r="GH1331" i="98"/>
  <c r="GD1331" i="98"/>
  <c r="GE1331" i="98"/>
  <c r="GK1331" i="98"/>
  <c r="FO1363" i="98"/>
  <c r="GB1363" i="98"/>
  <c r="GD1363" i="98"/>
  <c r="GK1363" i="98"/>
  <c r="GE1363" i="98"/>
  <c r="FO1395" i="98"/>
  <c r="GB1395" i="98" s="1"/>
  <c r="GD1395" i="98"/>
  <c r="GK1395" i="98"/>
  <c r="FO1427" i="98"/>
  <c r="FO1459" i="98"/>
  <c r="FO1491" i="98"/>
  <c r="GB1491" i="98"/>
  <c r="GH1491" i="98"/>
  <c r="GD1491" i="98"/>
  <c r="GE1491" i="98"/>
  <c r="GK1491" i="98"/>
  <c r="GD1044" i="98"/>
  <c r="GH1092" i="98"/>
  <c r="FR1109" i="98"/>
  <c r="GD1118" i="98"/>
  <c r="GD1134" i="98"/>
  <c r="GB1172" i="98"/>
  <c r="GB1188" i="98"/>
  <c r="GB1204" i="98"/>
  <c r="GB1220" i="98"/>
  <c r="GB1252" i="98"/>
  <c r="GK1268" i="98"/>
  <c r="FO1279" i="98"/>
  <c r="FR1293" i="98"/>
  <c r="GK1300" i="98"/>
  <c r="FO1311" i="98"/>
  <c r="GB1311" i="98" s="1"/>
  <c r="GD1311" i="98"/>
  <c r="GK1311" i="98"/>
  <c r="GH1311" i="98"/>
  <c r="GK1324" i="98"/>
  <c r="GK1340" i="98"/>
  <c r="GK1372" i="98"/>
  <c r="GK1388" i="98"/>
  <c r="GK1404" i="98"/>
  <c r="GK1420" i="98"/>
  <c r="GK1452" i="98"/>
  <c r="GK1468" i="98"/>
  <c r="GK1484" i="98"/>
  <c r="GK1500" i="98"/>
  <c r="GB1520" i="98"/>
  <c r="GD1520" i="98"/>
  <c r="GH1520" i="98"/>
  <c r="GB1552" i="98"/>
  <c r="GH1552" i="98"/>
  <c r="GD1552" i="98"/>
  <c r="GB1568" i="98"/>
  <c r="GH1568" i="98"/>
  <c r="GD1568" i="98"/>
  <c r="GB1584" i="98"/>
  <c r="GD1584" i="98"/>
  <c r="GH1584" i="98"/>
  <c r="GB1600" i="98"/>
  <c r="GD1600" i="98"/>
  <c r="GH1600" i="98"/>
  <c r="GB1632" i="98"/>
  <c r="GH1632" i="98"/>
  <c r="GD1632" i="98"/>
  <c r="GB1648" i="98"/>
  <c r="GH1648" i="98"/>
  <c r="GD1648" i="98"/>
  <c r="GB1664" i="98"/>
  <c r="GD1664" i="98"/>
  <c r="GH1664" i="98"/>
  <c r="GD1680" i="98"/>
  <c r="GH1680" i="98"/>
  <c r="GD1684" i="98"/>
  <c r="GH1684" i="98"/>
  <c r="GD1040" i="98"/>
  <c r="FO1040" i="98"/>
  <c r="GK1040" i="98"/>
  <c r="GB1040" i="98"/>
  <c r="GH1060" i="98"/>
  <c r="FR1133" i="98"/>
  <c r="GE1148" i="98"/>
  <c r="GB1150" i="98"/>
  <c r="FR1159" i="98"/>
  <c r="GB1198" i="98"/>
  <c r="FR1207" i="98"/>
  <c r="GD1221" i="98"/>
  <c r="GH1221" i="98"/>
  <c r="FO1221" i="98"/>
  <c r="GB1221" i="98"/>
  <c r="GK1221" i="98"/>
  <c r="GE1221" i="98"/>
  <c r="FO970" i="98"/>
  <c r="FR995" i="98"/>
  <c r="GD997" i="98"/>
  <c r="FR1004" i="98"/>
  <c r="GD1052" i="98"/>
  <c r="GD1084" i="98"/>
  <c r="GD1098" i="98"/>
  <c r="GH1098" i="98"/>
  <c r="GD1114" i="98"/>
  <c r="GH1114" i="98"/>
  <c r="FR1121" i="98"/>
  <c r="FO1127" i="98"/>
  <c r="GB1127" i="98"/>
  <c r="GK1127" i="98"/>
  <c r="GD1127" i="98"/>
  <c r="GH1127" i="98"/>
  <c r="GE1127" i="98"/>
  <c r="FR1137" i="98"/>
  <c r="GH1148" i="98"/>
  <c r="GH1160" i="98"/>
  <c r="GD1160" i="98"/>
  <c r="GB1160" i="98"/>
  <c r="GH1192" i="98"/>
  <c r="GD1192" i="98"/>
  <c r="GB1192" i="98"/>
  <c r="GD1201" i="98"/>
  <c r="FO1201" i="98"/>
  <c r="GH1201" i="98" s="1"/>
  <c r="GE1201" i="98"/>
  <c r="FO1203" i="98"/>
  <c r="GB1203" i="98"/>
  <c r="GD1203" i="98"/>
  <c r="GH1203" i="98"/>
  <c r="GK1203" i="98"/>
  <c r="GE1203" i="98"/>
  <c r="GK1208" i="98"/>
  <c r="GH1224" i="98"/>
  <c r="GD1224" i="98"/>
  <c r="GB1224" i="98"/>
  <c r="GH1272" i="98"/>
  <c r="GB1272" i="98"/>
  <c r="GD1272" i="98"/>
  <c r="GD1281" i="98"/>
  <c r="GH1281" i="98"/>
  <c r="FO1281" i="98"/>
  <c r="GB1281" i="98"/>
  <c r="GE1281" i="98"/>
  <c r="FO1283" i="98"/>
  <c r="GH1283" i="98"/>
  <c r="GK1283" i="98"/>
  <c r="GK1288" i="98"/>
  <c r="FR1297" i="98"/>
  <c r="GD1300" i="98"/>
  <c r="FR1537" i="98"/>
  <c r="FR1553" i="98"/>
  <c r="FR1617" i="98"/>
  <c r="FR1633" i="98"/>
  <c r="GE1043" i="98"/>
  <c r="FO1101" i="98"/>
  <c r="GB1148" i="98"/>
  <c r="GE1150" i="98"/>
  <c r="GB1164" i="98"/>
  <c r="GD1173" i="98"/>
  <c r="GH1173" i="98"/>
  <c r="FO1173" i="98"/>
  <c r="GB1173" i="98"/>
  <c r="GK1173" i="98"/>
  <c r="GE1173" i="98"/>
  <c r="FT1189" i="98"/>
  <c r="FO1239" i="98"/>
  <c r="GE1239" i="98"/>
  <c r="FT1253" i="98"/>
  <c r="GE1178" i="98"/>
  <c r="FO1287" i="98"/>
  <c r="GH1287" i="98"/>
  <c r="GE1287" i="98"/>
  <c r="GH1358" i="98"/>
  <c r="GH1390" i="98"/>
  <c r="GH1454" i="98"/>
  <c r="FR1490" i="98"/>
  <c r="GE1509" i="98"/>
  <c r="GE1513" i="98"/>
  <c r="GD1519" i="98"/>
  <c r="GH1519" i="98"/>
  <c r="GE1519" i="98"/>
  <c r="FO1519" i="98"/>
  <c r="GB1519" i="98"/>
  <c r="GK1519" i="98"/>
  <c r="FR1527" i="98"/>
  <c r="GD1535" i="98"/>
  <c r="GH1535" i="98"/>
  <c r="GE1535" i="98"/>
  <c r="FO1535" i="98"/>
  <c r="GB1535" i="98"/>
  <c r="GK1535" i="98"/>
  <c r="FO1578" i="98"/>
  <c r="GB1578" i="98"/>
  <c r="GK1582" i="98"/>
  <c r="GD1582" i="98"/>
  <c r="GH1582" i="98"/>
  <c r="GE1582" i="98"/>
  <c r="FO1582" i="98"/>
  <c r="GB1582" i="98"/>
  <c r="GC1586" i="98"/>
  <c r="GG1586" i="98"/>
  <c r="GK1586" i="98"/>
  <c r="GD1586" i="98"/>
  <c r="GH1586" i="98"/>
  <c r="GL1586" i="98"/>
  <c r="GA1586" i="98"/>
  <c r="GE1586" i="98"/>
  <c r="GI1586" i="98"/>
  <c r="GJ1586" i="98"/>
  <c r="GF1586" i="98"/>
  <c r="FO1586" i="98"/>
  <c r="GB1586" i="98"/>
  <c r="GK1590" i="98"/>
  <c r="GD1590" i="98"/>
  <c r="GH1590" i="98"/>
  <c r="GE1590" i="98"/>
  <c r="FO1590" i="98"/>
  <c r="GB1590" i="98"/>
  <c r="GD1594" i="98"/>
  <c r="FO1594" i="98"/>
  <c r="GB1594" i="98"/>
  <c r="GD1603" i="98"/>
  <c r="GH1603" i="98"/>
  <c r="GE1603" i="98"/>
  <c r="FO1603" i="98"/>
  <c r="GB1603" i="98"/>
  <c r="GK1603" i="98"/>
  <c r="FR1611" i="98"/>
  <c r="GB1373" i="98"/>
  <c r="GD1373" i="98"/>
  <c r="GH1401" i="98"/>
  <c r="GH1472" i="98"/>
  <c r="GK1472" i="98"/>
  <c r="FR1582" i="98"/>
  <c r="FO1635" i="98"/>
  <c r="GH1118" i="98"/>
  <c r="GK1258" i="98"/>
  <c r="GD1334" i="98"/>
  <c r="GH1369" i="98"/>
  <c r="GH1370" i="98"/>
  <c r="FO1370" i="98"/>
  <c r="GK1370" i="98" s="1"/>
  <c r="GD1382" i="98"/>
  <c r="GD1398" i="98"/>
  <c r="GD1414" i="98"/>
  <c r="GH1430" i="98"/>
  <c r="GD1482" i="98"/>
  <c r="FO1482" i="98"/>
  <c r="GK1482" i="98"/>
  <c r="GB1482" i="98"/>
  <c r="FR1507" i="98"/>
  <c r="GD1515" i="98"/>
  <c r="GH1515" i="98"/>
  <c r="GE1515" i="98"/>
  <c r="FO1515" i="98"/>
  <c r="GB1515" i="98"/>
  <c r="GK1515" i="98"/>
  <c r="GB1530" i="98"/>
  <c r="GE1557" i="98"/>
  <c r="GE1573" i="98"/>
  <c r="GD1583" i="98"/>
  <c r="FO1583" i="98"/>
  <c r="GH1583" i="98" s="1"/>
  <c r="GK1583" i="98"/>
  <c r="FR1591" i="98"/>
  <c r="GB1610" i="98"/>
  <c r="GB1614" i="98"/>
  <c r="GE1641" i="98"/>
  <c r="FR1659" i="98"/>
  <c r="FO1667" i="98"/>
  <c r="FR1675" i="98"/>
  <c r="FO1683" i="98"/>
  <c r="GB1022" i="98"/>
  <c r="GE1162" i="98"/>
  <c r="FT1269" i="98"/>
  <c r="GH1312" i="98"/>
  <c r="GK1312" i="98"/>
  <c r="GA1386" i="98"/>
  <c r="GE1386" i="98"/>
  <c r="GI1386" i="98"/>
  <c r="GC1386" i="98"/>
  <c r="GH1386" i="98"/>
  <c r="GD1386" i="98"/>
  <c r="GJ1386" i="98"/>
  <c r="FO1386" i="98"/>
  <c r="GF1386" i="98"/>
  <c r="GK1386" i="98"/>
  <c r="GB1386" i="98"/>
  <c r="GL1386" i="98"/>
  <c r="GG1386" i="98"/>
  <c r="GH1414" i="98"/>
  <c r="FO1547" i="98"/>
  <c r="FR1555" i="98"/>
  <c r="FR1594" i="98"/>
  <c r="GD1610" i="98"/>
  <c r="GB1260" i="98"/>
  <c r="FR1270" i="98"/>
  <c r="FT1285" i="98"/>
  <c r="GB1294" i="98"/>
  <c r="FR1323" i="98"/>
  <c r="GD1374" i="98"/>
  <c r="GH1393" i="98"/>
  <c r="GH1394" i="98"/>
  <c r="FO1394" i="98"/>
  <c r="GK1394" i="98" s="1"/>
  <c r="GH1409" i="98"/>
  <c r="FO1410" i="98"/>
  <c r="GK1410" i="98"/>
  <c r="GB1410" i="98"/>
  <c r="GD1422" i="98"/>
  <c r="GD1454" i="98"/>
  <c r="FR1483" i="98"/>
  <c r="GD1502" i="98"/>
  <c r="FO1541" i="98"/>
  <c r="GB1541" i="98"/>
  <c r="GK1541" i="98"/>
  <c r="GD1541" i="98"/>
  <c r="GH1541" i="98"/>
  <c r="GE1541" i="98"/>
  <c r="GD1559" i="98"/>
  <c r="GH1559" i="98"/>
  <c r="GE1559" i="98"/>
  <c r="FO1559" i="98"/>
  <c r="GB1559" i="98"/>
  <c r="FR1567" i="98"/>
  <c r="GD1575" i="98"/>
  <c r="GH1575" i="98"/>
  <c r="GE1575" i="98"/>
  <c r="FO1575" i="98"/>
  <c r="GB1575" i="98"/>
  <c r="GK1575" i="98"/>
  <c r="FO1621" i="98"/>
  <c r="GB1621" i="98"/>
  <c r="GK1621" i="98"/>
  <c r="GD1621" i="98"/>
  <c r="GH1621" i="98"/>
  <c r="GE1621" i="98"/>
  <c r="GD1639" i="98"/>
  <c r="GH1639" i="98"/>
  <c r="GE1639" i="98"/>
  <c r="FO1639" i="98"/>
  <c r="GB1639" i="98"/>
  <c r="GK1639" i="98"/>
  <c r="FR1647" i="98"/>
  <c r="GD1655" i="98"/>
  <c r="GH1655" i="98"/>
  <c r="GE1655" i="98"/>
  <c r="FO1655" i="98"/>
  <c r="GB1655" i="98"/>
  <c r="GK1655" i="98"/>
  <c r="FO1402" i="98"/>
  <c r="GK1402" i="98"/>
  <c r="GB1424" i="98"/>
  <c r="GE1522" i="98"/>
  <c r="GH1522" i="98"/>
  <c r="GK1522" i="98"/>
  <c r="GD1530" i="98"/>
  <c r="GE1597" i="98"/>
  <c r="GE1614" i="98"/>
  <c r="GH1614" i="98"/>
  <c r="GK1614" i="98"/>
  <c r="FO1627" i="98"/>
  <c r="GD1638" i="98"/>
  <c r="GD1654" i="98"/>
  <c r="GE91" i="98"/>
  <c r="GB91" i="98"/>
  <c r="GD91" i="98"/>
  <c r="FR91" i="98"/>
  <c r="FO91" i="98"/>
  <c r="GH91" i="98"/>
  <c r="FO128" i="98"/>
  <c r="GE128" i="98" s="1"/>
  <c r="GK128" i="98"/>
  <c r="GD128" i="98"/>
  <c r="GK149" i="98"/>
  <c r="GE190" i="98"/>
  <c r="GH190" i="98"/>
  <c r="GD190" i="98"/>
  <c r="GD196" i="98"/>
  <c r="GH196" i="98"/>
  <c r="GL196" i="98"/>
  <c r="GA196" i="98"/>
  <c r="GE196" i="98"/>
  <c r="GI196" i="98"/>
  <c r="FO196" i="98"/>
  <c r="GF196" i="98"/>
  <c r="GB196" i="98"/>
  <c r="GJ196" i="98"/>
  <c r="GC196" i="98"/>
  <c r="GG196" i="98"/>
  <c r="GK196" i="98"/>
  <c r="FO213" i="98"/>
  <c r="GB213" i="98"/>
  <c r="GD213" i="98"/>
  <c r="GE213" i="98"/>
  <c r="FR213" i="98"/>
  <c r="GK210" i="98"/>
  <c r="GD220" i="98"/>
  <c r="FO366" i="98"/>
  <c r="GD366" i="98"/>
  <c r="GH366" i="98"/>
  <c r="GL366" i="98"/>
  <c r="GA366" i="98"/>
  <c r="GE366" i="98"/>
  <c r="GI366" i="98"/>
  <c r="GB366" i="98"/>
  <c r="GJ366" i="98"/>
  <c r="GC366" i="98"/>
  <c r="GK366" i="98"/>
  <c r="GF366" i="98"/>
  <c r="GG366" i="98"/>
  <c r="GD271" i="98"/>
  <c r="FO322" i="98"/>
  <c r="FO440" i="98"/>
  <c r="GE440" i="98" s="1"/>
  <c r="GK440" i="98"/>
  <c r="GH440" i="98"/>
  <c r="GK355" i="98"/>
  <c r="FR366" i="98"/>
  <c r="GE294" i="98"/>
  <c r="FO294" i="98"/>
  <c r="GB294" i="98"/>
  <c r="GK294" i="98"/>
  <c r="GD294" i="98"/>
  <c r="GH294" i="98"/>
  <c r="GA326" i="98"/>
  <c r="GE326" i="98"/>
  <c r="GI326" i="98"/>
  <c r="FO326" i="98"/>
  <c r="GB326" i="98"/>
  <c r="GF326" i="98"/>
  <c r="GJ326" i="98"/>
  <c r="GC326" i="98"/>
  <c r="GK326" i="98"/>
  <c r="GD326" i="98"/>
  <c r="GL326" i="98"/>
  <c r="GH326" i="98"/>
  <c r="GG326" i="98"/>
  <c r="GK388" i="98"/>
  <c r="GD407" i="98"/>
  <c r="GH407" i="98"/>
  <c r="GE407" i="98"/>
  <c r="FO407" i="98"/>
  <c r="GB407" i="98"/>
  <c r="GK407" i="98"/>
  <c r="GB499" i="98"/>
  <c r="GD499" i="98"/>
  <c r="GH499" i="98"/>
  <c r="GE555" i="98"/>
  <c r="FO555" i="98"/>
  <c r="GB555" i="98"/>
  <c r="GK555" i="98"/>
  <c r="GH555" i="98"/>
  <c r="GD555" i="98"/>
  <c r="FO334" i="98"/>
  <c r="FO415" i="98"/>
  <c r="FO465" i="98"/>
  <c r="GB465" i="98"/>
  <c r="GK465" i="98"/>
  <c r="GD465" i="98"/>
  <c r="GH465" i="98"/>
  <c r="GE465" i="98"/>
  <c r="GD539" i="98"/>
  <c r="GK599" i="98"/>
  <c r="GD599" i="98"/>
  <c r="GH599" i="98"/>
  <c r="GE599" i="98"/>
  <c r="FO599" i="98"/>
  <c r="GB599" i="98"/>
  <c r="FO647" i="98"/>
  <c r="GD695" i="98"/>
  <c r="FO695" i="98"/>
  <c r="GB695" i="98"/>
  <c r="GK743" i="98"/>
  <c r="GD743" i="98"/>
  <c r="GH743" i="98"/>
  <c r="GE743" i="98"/>
  <c r="FO743" i="98"/>
  <c r="GB743" i="98"/>
  <c r="FR440" i="98"/>
  <c r="FO674" i="98"/>
  <c r="GD701" i="98"/>
  <c r="GH701" i="98"/>
  <c r="GD772" i="98"/>
  <c r="GH772" i="98"/>
  <c r="GE772" i="98"/>
  <c r="FO772" i="98"/>
  <c r="GB772" i="98"/>
  <c r="GH539" i="98"/>
  <c r="GD592" i="98"/>
  <c r="GH592" i="98"/>
  <c r="GE592" i="98"/>
  <c r="FO592" i="98"/>
  <c r="GB592" i="98"/>
  <c r="GK592" i="98"/>
  <c r="GD649" i="98"/>
  <c r="GH649" i="98"/>
  <c r="FR743" i="98"/>
  <c r="FO750" i="98"/>
  <c r="GH589" i="98"/>
  <c r="FO746" i="98"/>
  <c r="GB746" i="98"/>
  <c r="GF746" i="98"/>
  <c r="GJ746" i="98"/>
  <c r="GC746" i="98"/>
  <c r="GG746" i="98"/>
  <c r="GK746" i="98"/>
  <c r="GD746" i="98"/>
  <c r="GH746" i="98"/>
  <c r="GL746" i="98"/>
  <c r="GA746" i="98"/>
  <c r="GE746" i="98"/>
  <c r="GI746" i="98"/>
  <c r="FO762" i="98"/>
  <c r="GB762" i="98" s="1"/>
  <c r="GK762" i="98"/>
  <c r="GD762" i="98"/>
  <c r="GH762" i="98"/>
  <c r="GE762" i="98"/>
  <c r="GA786" i="98"/>
  <c r="GE786" i="98"/>
  <c r="GI786" i="98"/>
  <c r="FO786" i="98"/>
  <c r="GB786" i="98"/>
  <c r="GF786" i="98"/>
  <c r="GJ786" i="98"/>
  <c r="GD786" i="98"/>
  <c r="GL786" i="98"/>
  <c r="GG786" i="98"/>
  <c r="GH786" i="98"/>
  <c r="GC786" i="98"/>
  <c r="GK786" i="98"/>
  <c r="FO795" i="98"/>
  <c r="GB795" i="98"/>
  <c r="GK795" i="98"/>
  <c r="GE795" i="98"/>
  <c r="GH795" i="98"/>
  <c r="FO811" i="98"/>
  <c r="GB811" i="98"/>
  <c r="GK811" i="98"/>
  <c r="GD811" i="98"/>
  <c r="GE811" i="98"/>
  <c r="GH811" i="98"/>
  <c r="FO834" i="98"/>
  <c r="FO850" i="98"/>
  <c r="GE850" i="98" s="1"/>
  <c r="GA866" i="98"/>
  <c r="GE866" i="98"/>
  <c r="GI866" i="98"/>
  <c r="FO866" i="98"/>
  <c r="GB866" i="98"/>
  <c r="GF866" i="98"/>
  <c r="GJ866" i="98"/>
  <c r="GD866" i="98"/>
  <c r="GL866" i="98"/>
  <c r="GG866" i="98"/>
  <c r="GH866" i="98"/>
  <c r="GC866" i="98"/>
  <c r="GK866" i="98"/>
  <c r="GE882" i="98"/>
  <c r="FO882" i="98"/>
  <c r="GB882" i="98"/>
  <c r="GD882" i="98"/>
  <c r="GH882" i="98"/>
  <c r="GK882" i="98"/>
  <c r="FO898" i="98"/>
  <c r="FO914" i="98"/>
  <c r="GE914" i="98" s="1"/>
  <c r="GE930" i="98"/>
  <c r="FO930" i="98"/>
  <c r="GB930" i="98"/>
  <c r="GD930" i="98"/>
  <c r="GK930" i="98"/>
  <c r="GD991" i="98"/>
  <c r="FO991" i="98"/>
  <c r="GB991" i="98"/>
  <c r="FR898" i="98"/>
  <c r="GD977" i="98"/>
  <c r="GH977" i="98"/>
  <c r="FO1024" i="98"/>
  <c r="GE1024" i="98" s="1"/>
  <c r="GH1024" i="98"/>
  <c r="GD1039" i="98"/>
  <c r="GE1039" i="98"/>
  <c r="FO1039" i="98"/>
  <c r="GH1039" i="98" s="1"/>
  <c r="GK1039" i="98"/>
  <c r="GB1039" i="98"/>
  <c r="GD728" i="98"/>
  <c r="GH728" i="98"/>
  <c r="GE728" i="98"/>
  <c r="FO728" i="98"/>
  <c r="GB728" i="98"/>
  <c r="GK728" i="98"/>
  <c r="GK784" i="98"/>
  <c r="FO784" i="98"/>
  <c r="FO800" i="98"/>
  <c r="FR811" i="98"/>
  <c r="FR875" i="98"/>
  <c r="GC896" i="98"/>
  <c r="GG896" i="98"/>
  <c r="GK896" i="98"/>
  <c r="GD896" i="98"/>
  <c r="GH896" i="98"/>
  <c r="GL896" i="98"/>
  <c r="GB896" i="98"/>
  <c r="GJ896" i="98"/>
  <c r="FO896" i="98"/>
  <c r="GE896" i="98"/>
  <c r="GF896" i="98"/>
  <c r="GA896" i="98"/>
  <c r="GI896" i="98"/>
  <c r="FR923" i="98"/>
  <c r="FR939" i="98"/>
  <c r="GD980" i="98"/>
  <c r="GH980" i="98"/>
  <c r="GE980" i="98"/>
  <c r="FO980" i="98"/>
  <c r="GB980" i="98"/>
  <c r="GK980" i="98"/>
  <c r="GE1050" i="98"/>
  <c r="GH1050" i="98"/>
  <c r="GB1050" i="98"/>
  <c r="GK541" i="98"/>
  <c r="GH541" i="98"/>
  <c r="GE541" i="98"/>
  <c r="FO541" i="98"/>
  <c r="GD1122" i="98"/>
  <c r="GH1122" i="98"/>
  <c r="FO1163" i="98"/>
  <c r="GB1163" i="98"/>
  <c r="GH1163" i="98"/>
  <c r="GE1163" i="98"/>
  <c r="GK1163" i="98"/>
  <c r="GD1177" i="98"/>
  <c r="FO1177" i="98"/>
  <c r="GH1177" i="98" s="1"/>
  <c r="GE1177" i="98"/>
  <c r="FO1211" i="98"/>
  <c r="GB1211" i="98"/>
  <c r="GD1211" i="98"/>
  <c r="GH1211" i="98"/>
  <c r="GE1211" i="98"/>
  <c r="GK1211" i="98"/>
  <c r="FO1387" i="98"/>
  <c r="FO1419" i="98"/>
  <c r="GB1419" i="98" s="1"/>
  <c r="GD1419" i="98"/>
  <c r="GE1419" i="98"/>
  <c r="GH775" i="98"/>
  <c r="GE775" i="98"/>
  <c r="GB775" i="98"/>
  <c r="GK775" i="98"/>
  <c r="FO775" i="98"/>
  <c r="GD775" i="98" s="1"/>
  <c r="FO1151" i="98"/>
  <c r="GB1151" i="98"/>
  <c r="GH1151" i="98"/>
  <c r="GK1151" i="98"/>
  <c r="FO1167" i="98"/>
  <c r="GB1167" i="98"/>
  <c r="GD1167" i="98"/>
  <c r="GH1167" i="98"/>
  <c r="GE1167" i="98"/>
  <c r="GK1167" i="98"/>
  <c r="GD1261" i="98"/>
  <c r="GH1261" i="98"/>
  <c r="FO1261" i="98"/>
  <c r="GB1261" i="98"/>
  <c r="GE1261" i="98"/>
  <c r="GK1261" i="98"/>
  <c r="GB1564" i="98"/>
  <c r="GH1564" i="98"/>
  <c r="GD1564" i="98"/>
  <c r="GB1644" i="98"/>
  <c r="GD1644" i="98"/>
  <c r="GH1644" i="98"/>
  <c r="GK1214" i="98"/>
  <c r="GE1048" i="98"/>
  <c r="FO1048" i="98"/>
  <c r="GK1048" i="98"/>
  <c r="GH1130" i="98"/>
  <c r="GD1130" i="98"/>
  <c r="GH1208" i="98"/>
  <c r="GB1208" i="98"/>
  <c r="GD1208" i="98"/>
  <c r="GD1233" i="98"/>
  <c r="GH1233" i="98"/>
  <c r="FO1233" i="98"/>
  <c r="GB1233" i="98"/>
  <c r="GE1233" i="98"/>
  <c r="FO1299" i="98"/>
  <c r="GB1299" i="98"/>
  <c r="GD1299" i="98"/>
  <c r="GH1299" i="98"/>
  <c r="GK1299" i="98"/>
  <c r="GE1299" i="98"/>
  <c r="FO1327" i="98"/>
  <c r="FR1327" i="98"/>
  <c r="FO1375" i="98"/>
  <c r="GB1375" i="98"/>
  <c r="GD1375" i="98"/>
  <c r="GE1375" i="98"/>
  <c r="GK1375" i="98"/>
  <c r="FR1375" i="98"/>
  <c r="GH1375" i="98"/>
  <c r="FO1423" i="98"/>
  <c r="GB1423" i="98" s="1"/>
  <c r="FR1423" i="98"/>
  <c r="FO1439" i="98"/>
  <c r="GB1439" i="98" s="1"/>
  <c r="FR1439" i="98"/>
  <c r="FO726" i="98"/>
  <c r="GB726" i="98"/>
  <c r="GF726" i="98"/>
  <c r="GJ726" i="98"/>
  <c r="GC726" i="98"/>
  <c r="GG726" i="98"/>
  <c r="GK726" i="98"/>
  <c r="GD726" i="98"/>
  <c r="GH726" i="98"/>
  <c r="GL726" i="98"/>
  <c r="GA726" i="98"/>
  <c r="GE726" i="98"/>
  <c r="GI726" i="98"/>
  <c r="GD1117" i="98"/>
  <c r="GH1117" i="98"/>
  <c r="GE1117" i="98"/>
  <c r="FO1117" i="98"/>
  <c r="GB1117" i="98"/>
  <c r="GK1117" i="98"/>
  <c r="GE1330" i="98"/>
  <c r="FO1330" i="98"/>
  <c r="GK1330" i="98"/>
  <c r="GB1330" i="98"/>
  <c r="GK1358" i="98"/>
  <c r="GK1454" i="98"/>
  <c r="GE1577" i="98"/>
  <c r="GE1593" i="98"/>
  <c r="GD1658" i="98"/>
  <c r="FO1658" i="98"/>
  <c r="GB1658" i="98"/>
  <c r="GK1682" i="98"/>
  <c r="GD1682" i="98"/>
  <c r="GE1682" i="98"/>
  <c r="FO1682" i="98"/>
  <c r="GB1682" i="98"/>
  <c r="GE1610" i="98"/>
  <c r="GK1242" i="98"/>
  <c r="FO1362" i="98"/>
  <c r="GK1362" i="98"/>
  <c r="GB1362" i="98"/>
  <c r="GH1424" i="98"/>
  <c r="GK1424" i="98"/>
  <c r="GH1530" i="98"/>
  <c r="GD1543" i="98"/>
  <c r="FO1543" i="98"/>
  <c r="GH1543" i="98" s="1"/>
  <c r="FR1682" i="98"/>
  <c r="FO100" i="98"/>
  <c r="GB100" i="98"/>
  <c r="GH100" i="98"/>
  <c r="GE100" i="98"/>
  <c r="GK100" i="98"/>
  <c r="GD100" i="98"/>
  <c r="GK89" i="98"/>
  <c r="FO89" i="98"/>
  <c r="GE89" i="98"/>
  <c r="GH89" i="98"/>
  <c r="FR94" i="98"/>
  <c r="FR96" i="98"/>
  <c r="GH99" i="98"/>
  <c r="FO99" i="98"/>
  <c r="GK99" i="98"/>
  <c r="FT111" i="98"/>
  <c r="GD118" i="98"/>
  <c r="GH118" i="98"/>
  <c r="FR124" i="98"/>
  <c r="GB122" i="98"/>
  <c r="GE109" i="98"/>
  <c r="GD120" i="98"/>
  <c r="FO181" i="98"/>
  <c r="GE181" i="98" s="1"/>
  <c r="GK181" i="98"/>
  <c r="GD181" i="98"/>
  <c r="FO193" i="98"/>
  <c r="GE193" i="98" s="1"/>
  <c r="GK193" i="98"/>
  <c r="GK157" i="98"/>
  <c r="GE169" i="98"/>
  <c r="FO169" i="98"/>
  <c r="GH169" i="98"/>
  <c r="GK169" i="98"/>
  <c r="GD169" i="98"/>
  <c r="FO225" i="98"/>
  <c r="GK225" i="98"/>
  <c r="FR200" i="98"/>
  <c r="FO235" i="98"/>
  <c r="FO247" i="98"/>
  <c r="GB247" i="98" s="1"/>
  <c r="GK247" i="98"/>
  <c r="GH247" i="98"/>
  <c r="GD245" i="98"/>
  <c r="GH245" i="98"/>
  <c r="GE245" i="98"/>
  <c r="GK245" i="98"/>
  <c r="FO245" i="98"/>
  <c r="GB245" i="98"/>
  <c r="GB260" i="98"/>
  <c r="GH260" i="98"/>
  <c r="GE260" i="98"/>
  <c r="GD270" i="98"/>
  <c r="FO270" i="98"/>
  <c r="GH270" i="98" s="1"/>
  <c r="FR216" i="98"/>
  <c r="FR273" i="98"/>
  <c r="FR278" i="98"/>
  <c r="FR297" i="98"/>
  <c r="FR329" i="98"/>
  <c r="GB351" i="98"/>
  <c r="GK351" i="98"/>
  <c r="GH287" i="98"/>
  <c r="FO330" i="98"/>
  <c r="GD341" i="98"/>
  <c r="FO341" i="98"/>
  <c r="GE341" i="98" s="1"/>
  <c r="GK341" i="98"/>
  <c r="GB341" i="98"/>
  <c r="FR350" i="98"/>
  <c r="FO444" i="98"/>
  <c r="GD309" i="98"/>
  <c r="GB309" i="98"/>
  <c r="GK309" i="98"/>
  <c r="FO309" i="98"/>
  <c r="GH309" i="98" s="1"/>
  <c r="GD317" i="98"/>
  <c r="GB317" i="98"/>
  <c r="GK317" i="98"/>
  <c r="FO317" i="98"/>
  <c r="GH317" i="98" s="1"/>
  <c r="GH345" i="98"/>
  <c r="FO394" i="98"/>
  <c r="GD434" i="98"/>
  <c r="FO434" i="98"/>
  <c r="GK454" i="98"/>
  <c r="GD454" i="98"/>
  <c r="GH454" i="98"/>
  <c r="GE454" i="98"/>
  <c r="FO454" i="98"/>
  <c r="GB454" i="98"/>
  <c r="GD378" i="98"/>
  <c r="FO378" i="98"/>
  <c r="GE378" i="98" s="1"/>
  <c r="GK378" i="98"/>
  <c r="GB378" i="98"/>
  <c r="FR419" i="98"/>
  <c r="FO467" i="98"/>
  <c r="FO318" i="98"/>
  <c r="GH359" i="98"/>
  <c r="GB487" i="98"/>
  <c r="GD487" i="98"/>
  <c r="GH487" i="98"/>
  <c r="FO559" i="98"/>
  <c r="FO561" i="98"/>
  <c r="GB561" i="98"/>
  <c r="FR406" i="98"/>
  <c r="GD408" i="98"/>
  <c r="FR447" i="98"/>
  <c r="GE492" i="98"/>
  <c r="FR478" i="98"/>
  <c r="GD502" i="98"/>
  <c r="FO502" i="98"/>
  <c r="GH502" i="98" s="1"/>
  <c r="GK502" i="98"/>
  <c r="GD518" i="98"/>
  <c r="GH518" i="98"/>
  <c r="GE518" i="98"/>
  <c r="FO518" i="98"/>
  <c r="GB518" i="98"/>
  <c r="GK518" i="98"/>
  <c r="GE302" i="98"/>
  <c r="FO302" i="98"/>
  <c r="GB302" i="98"/>
  <c r="GK302" i="98"/>
  <c r="GH302" i="98"/>
  <c r="FO587" i="98"/>
  <c r="GK635" i="98"/>
  <c r="GD635" i="98"/>
  <c r="GH635" i="98"/>
  <c r="GE635" i="98"/>
  <c r="FO635" i="98"/>
  <c r="GB635" i="98"/>
  <c r="GK683" i="98"/>
  <c r="GD683" i="98"/>
  <c r="GH683" i="98"/>
  <c r="GE683" i="98"/>
  <c r="FO683" i="98"/>
  <c r="FO731" i="98"/>
  <c r="GD477" i="98"/>
  <c r="FO477" i="98"/>
  <c r="GB477" i="98"/>
  <c r="GD533" i="98"/>
  <c r="FO533" i="98"/>
  <c r="FR603" i="98"/>
  <c r="GH629" i="98"/>
  <c r="GD629" i="98"/>
  <c r="FR635" i="98"/>
  <c r="GH645" i="98"/>
  <c r="GD645" i="98"/>
  <c r="FR651" i="98"/>
  <c r="FO660" i="98"/>
  <c r="GH661" i="98"/>
  <c r="GD661" i="98"/>
  <c r="FR731" i="98"/>
  <c r="FO738" i="98"/>
  <c r="GD738" i="98"/>
  <c r="GD756" i="98"/>
  <c r="GH756" i="98"/>
  <c r="GL756" i="98"/>
  <c r="GA756" i="98"/>
  <c r="GE756" i="98"/>
  <c r="GI756" i="98"/>
  <c r="FO756" i="98"/>
  <c r="GB756" i="98"/>
  <c r="GF756" i="98"/>
  <c r="GJ756" i="98"/>
  <c r="GG756" i="98"/>
  <c r="GK756" i="98"/>
  <c r="GC756" i="98"/>
  <c r="GD765" i="98"/>
  <c r="GH765" i="98"/>
  <c r="GH400" i="98"/>
  <c r="FO521" i="98"/>
  <c r="FR599" i="98"/>
  <c r="FR663" i="98"/>
  <c r="FR736" i="98"/>
  <c r="FR768" i="98"/>
  <c r="GE461" i="98"/>
  <c r="FR513" i="98"/>
  <c r="GH748" i="98"/>
  <c r="GE748" i="98"/>
  <c r="FO748" i="98"/>
  <c r="GB748" i="98"/>
  <c r="GK748" i="98"/>
  <c r="GK501" i="98"/>
  <c r="GD501" i="98"/>
  <c r="GE501" i="98"/>
  <c r="FO501" i="98"/>
  <c r="GD616" i="98"/>
  <c r="GH616" i="98"/>
  <c r="GL616" i="98"/>
  <c r="GA616" i="98"/>
  <c r="GE616" i="98"/>
  <c r="GI616" i="98"/>
  <c r="FO616" i="98"/>
  <c r="GB616" i="98"/>
  <c r="GF616" i="98"/>
  <c r="GJ616" i="98"/>
  <c r="GK616" i="98"/>
  <c r="GC616" i="98"/>
  <c r="GG616" i="98"/>
  <c r="FO678" i="98"/>
  <c r="GD678" i="98"/>
  <c r="FO758" i="98"/>
  <c r="GK758" i="98"/>
  <c r="GD758" i="98"/>
  <c r="GE758" i="98"/>
  <c r="FO791" i="98"/>
  <c r="GB791" i="98"/>
  <c r="GK791" i="98"/>
  <c r="GD791" i="98"/>
  <c r="GE791" i="98"/>
  <c r="GH791" i="98"/>
  <c r="FO807" i="98"/>
  <c r="GB807" i="98"/>
  <c r="GD807" i="98"/>
  <c r="GE807" i="98"/>
  <c r="GH807" i="98"/>
  <c r="FO823" i="98"/>
  <c r="GD823" i="98"/>
  <c r="GH823" i="98"/>
  <c r="FO839" i="98"/>
  <c r="GK839" i="98"/>
  <c r="GH839" i="98"/>
  <c r="FO855" i="98"/>
  <c r="GB855" i="98"/>
  <c r="GK855" i="98"/>
  <c r="GD855" i="98"/>
  <c r="GE855" i="98"/>
  <c r="GH855" i="98"/>
  <c r="FO871" i="98"/>
  <c r="GB871" i="98"/>
  <c r="GD871" i="98"/>
  <c r="GE871" i="98"/>
  <c r="GH871" i="98"/>
  <c r="FO887" i="98"/>
  <c r="GD887" i="98"/>
  <c r="GH887" i="98"/>
  <c r="GD737" i="98"/>
  <c r="FR744" i="98"/>
  <c r="GH801" i="98"/>
  <c r="GE801" i="98"/>
  <c r="GK801" i="98"/>
  <c r="FO801" i="98"/>
  <c r="FO825" i="98"/>
  <c r="GD849" i="98"/>
  <c r="GH849" i="98"/>
  <c r="GE849" i="98"/>
  <c r="GK849" i="98"/>
  <c r="FO849" i="98"/>
  <c r="GB849" i="98"/>
  <c r="GD873" i="98"/>
  <c r="GH873" i="98"/>
  <c r="GE873" i="98"/>
  <c r="GK873" i="98"/>
  <c r="FO873" i="98"/>
  <c r="FO897" i="98"/>
  <c r="GE897" i="98" s="1"/>
  <c r="FO921" i="98"/>
  <c r="GB921" i="98"/>
  <c r="GD937" i="98"/>
  <c r="GH937" i="98"/>
  <c r="GE937" i="98"/>
  <c r="GK937" i="98"/>
  <c r="FO937" i="98"/>
  <c r="GB937" i="98"/>
  <c r="GD953" i="98"/>
  <c r="GH953" i="98"/>
  <c r="GB953" i="98"/>
  <c r="FO953" i="98"/>
  <c r="GK953" i="98"/>
  <c r="GK979" i="98"/>
  <c r="GE979" i="98"/>
  <c r="FO979" i="98"/>
  <c r="GH585" i="98"/>
  <c r="FR918" i="98"/>
  <c r="GD961" i="98"/>
  <c r="GH961" i="98"/>
  <c r="FO998" i="98"/>
  <c r="FR1008" i="98"/>
  <c r="FO1020" i="98"/>
  <c r="GH1020" i="98"/>
  <c r="FO1029" i="98"/>
  <c r="FR1029" i="98"/>
  <c r="FO1041" i="98"/>
  <c r="FR1041" i="98"/>
  <c r="GH1041" i="98"/>
  <c r="GE1041" i="98"/>
  <c r="GK1041" i="98"/>
  <c r="FR1053" i="98"/>
  <c r="FO1063" i="98"/>
  <c r="GH1063" i="98" s="1"/>
  <c r="FO1073" i="98"/>
  <c r="FR1073" i="98"/>
  <c r="GH1073" i="98"/>
  <c r="FR1085" i="98"/>
  <c r="GD696" i="98"/>
  <c r="GH696" i="98"/>
  <c r="GL696" i="98"/>
  <c r="GA696" i="98"/>
  <c r="GE696" i="98"/>
  <c r="GI696" i="98"/>
  <c r="FO696" i="98"/>
  <c r="GB696" i="98"/>
  <c r="GF696" i="98"/>
  <c r="GJ696" i="98"/>
  <c r="GK696" i="98"/>
  <c r="GC696" i="98"/>
  <c r="GG696" i="98"/>
  <c r="FO780" i="98"/>
  <c r="GD780" i="98" s="1"/>
  <c r="FR784" i="98"/>
  <c r="FR791" i="98"/>
  <c r="FR800" i="98"/>
  <c r="GD812" i="98"/>
  <c r="GB812" i="98"/>
  <c r="FO812" i="98"/>
  <c r="GE812" i="98"/>
  <c r="FR816" i="98"/>
  <c r="FR823" i="98"/>
  <c r="FR832" i="98"/>
  <c r="FR839" i="98"/>
  <c r="FR848" i="98"/>
  <c r="GD860" i="98"/>
  <c r="GB860" i="98"/>
  <c r="FO860" i="98"/>
  <c r="GE860" i="98"/>
  <c r="FR864" i="98"/>
  <c r="FR871" i="98"/>
  <c r="FR880" i="98"/>
  <c r="FO892" i="98"/>
  <c r="GD892" i="98" s="1"/>
  <c r="FR896" i="98"/>
  <c r="FR903" i="98"/>
  <c r="FR912" i="98"/>
  <c r="FR928" i="98"/>
  <c r="GH940" i="98"/>
  <c r="FO940" i="98"/>
  <c r="FO107" i="98"/>
  <c r="GD107" i="98"/>
  <c r="FR93" i="98"/>
  <c r="FO115" i="98"/>
  <c r="GH115" i="98"/>
  <c r="GD115" i="98"/>
  <c r="FO105" i="98"/>
  <c r="GE97" i="98"/>
  <c r="FT114" i="98"/>
  <c r="GK121" i="98"/>
  <c r="GK125" i="98"/>
  <c r="GK129" i="98"/>
  <c r="GK133" i="98"/>
  <c r="GB137" i="98"/>
  <c r="FR98" i="98"/>
  <c r="FR115" i="98"/>
  <c r="GD110" i="98"/>
  <c r="FR113" i="98"/>
  <c r="GB145" i="98"/>
  <c r="GK145" i="98"/>
  <c r="FO145" i="98"/>
  <c r="GD153" i="98"/>
  <c r="GH153" i="98"/>
  <c r="FO153" i="98"/>
  <c r="FO161" i="98"/>
  <c r="FT139" i="98"/>
  <c r="GB149" i="98"/>
  <c r="GE149" i="98"/>
  <c r="GD149" i="98"/>
  <c r="GB168" i="98"/>
  <c r="FR173" i="98"/>
  <c r="FR177" i="98"/>
  <c r="FR181" i="98"/>
  <c r="FR185" i="98"/>
  <c r="FR189" i="98"/>
  <c r="GB190" i="98"/>
  <c r="FR193" i="98"/>
  <c r="GB194" i="98"/>
  <c r="FR197" i="98"/>
  <c r="GB130" i="98"/>
  <c r="GE130" i="98"/>
  <c r="GH130" i="98"/>
  <c r="GK130" i="98"/>
  <c r="GH157" i="98"/>
  <c r="FT158" i="98"/>
  <c r="GE160" i="98"/>
  <c r="GD160" i="98"/>
  <c r="GK112" i="98"/>
  <c r="FR159" i="98"/>
  <c r="GH141" i="98"/>
  <c r="FT172" i="98"/>
  <c r="GD187" i="98"/>
  <c r="GK148" i="98"/>
  <c r="GB171" i="98"/>
  <c r="GB144" i="98"/>
  <c r="FO201" i="98"/>
  <c r="GH201" i="98"/>
  <c r="GE201" i="98"/>
  <c r="FO237" i="98"/>
  <c r="GB237" i="98"/>
  <c r="GE237" i="98"/>
  <c r="GK237" i="98"/>
  <c r="FR237" i="98"/>
  <c r="GD237" i="98"/>
  <c r="GH237" i="98"/>
  <c r="GB183" i="98"/>
  <c r="GE183" i="98"/>
  <c r="GH183" i="98"/>
  <c r="GK183" i="98"/>
  <c r="GD212" i="98"/>
  <c r="FO243" i="98"/>
  <c r="GB243" i="98"/>
  <c r="GD243" i="98"/>
  <c r="GE243" i="98"/>
  <c r="GH243" i="98"/>
  <c r="FR254" i="98"/>
  <c r="FO259" i="98"/>
  <c r="GB259" i="98"/>
  <c r="GE259" i="98"/>
  <c r="GK259" i="98"/>
  <c r="GH259" i="98"/>
  <c r="GD259" i="98"/>
  <c r="FT208" i="98"/>
  <c r="GE210" i="98"/>
  <c r="GD210" i="98"/>
  <c r="GB220" i="98"/>
  <c r="GE220" i="98"/>
  <c r="FR245" i="98"/>
  <c r="FR253" i="98"/>
  <c r="GK260" i="98"/>
  <c r="GK277" i="98"/>
  <c r="GD277" i="98"/>
  <c r="GH277" i="98"/>
  <c r="GE277" i="98"/>
  <c r="GB277" i="98"/>
  <c r="FO277" i="98"/>
  <c r="GD261" i="98"/>
  <c r="GK303" i="98"/>
  <c r="FO342" i="98"/>
  <c r="FO358" i="98"/>
  <c r="GK358" i="98"/>
  <c r="GE358" i="98"/>
  <c r="GK275" i="98"/>
  <c r="GD303" i="98"/>
  <c r="GB218" i="98"/>
  <c r="GE239" i="98"/>
  <c r="GD239" i="98"/>
  <c r="FR247" i="98"/>
  <c r="GD252" i="98"/>
  <c r="GH252" i="98"/>
  <c r="FO252" i="98"/>
  <c r="FR269" i="98"/>
  <c r="GB271" i="98"/>
  <c r="GE271" i="98"/>
  <c r="FO276" i="98"/>
  <c r="GB276" i="98"/>
  <c r="GF276" i="98"/>
  <c r="GJ276" i="98"/>
  <c r="GC276" i="98"/>
  <c r="GG276" i="98"/>
  <c r="GK276" i="98"/>
  <c r="GD276" i="98"/>
  <c r="GH276" i="98"/>
  <c r="GL276" i="98"/>
  <c r="GA276" i="98"/>
  <c r="GE276" i="98"/>
  <c r="GI276" i="98"/>
  <c r="GK279" i="98"/>
  <c r="GB324" i="98"/>
  <c r="GH324" i="98"/>
  <c r="GK324" i="98"/>
  <c r="FT346" i="98"/>
  <c r="GD353" i="98"/>
  <c r="FR373" i="98"/>
  <c r="GH238" i="98"/>
  <c r="GB267" i="98"/>
  <c r="GE267" i="98"/>
  <c r="FO272" i="98"/>
  <c r="GB272" i="98"/>
  <c r="GK272" i="98"/>
  <c r="GD272" i="98"/>
  <c r="GH272" i="98"/>
  <c r="GE272" i="98"/>
  <c r="GH311" i="98"/>
  <c r="GD319" i="98"/>
  <c r="GK319" i="98"/>
  <c r="GH335" i="98"/>
  <c r="GB345" i="98"/>
  <c r="FR364" i="98"/>
  <c r="GA416" i="98"/>
  <c r="GE416" i="98"/>
  <c r="GI416" i="98"/>
  <c r="FO416" i="98"/>
  <c r="GB416" i="98"/>
  <c r="GF416" i="98"/>
  <c r="GJ416" i="98"/>
  <c r="GC416" i="98"/>
  <c r="GG416" i="98"/>
  <c r="GK416" i="98"/>
  <c r="GD416" i="98"/>
  <c r="FR416" i="98"/>
  <c r="GH416" i="98"/>
  <c r="GL416" i="98"/>
  <c r="GE432" i="98"/>
  <c r="FO432" i="98"/>
  <c r="GB432" i="98"/>
  <c r="GD432" i="98"/>
  <c r="GH432" i="98"/>
  <c r="FO452" i="98"/>
  <c r="FO468" i="98"/>
  <c r="FR468" i="98"/>
  <c r="GH222" i="98"/>
  <c r="FO375" i="98"/>
  <c r="GB375" i="98"/>
  <c r="GD375" i="98"/>
  <c r="GE375" i="98"/>
  <c r="GK375" i="98"/>
  <c r="GH375" i="98"/>
  <c r="FR375" i="98"/>
  <c r="GD389" i="98"/>
  <c r="GB389" i="98"/>
  <c r="FO389" i="98"/>
  <c r="GH389" i="98" s="1"/>
  <c r="GK389" i="98"/>
  <c r="FO398" i="98"/>
  <c r="GD398" i="98" s="1"/>
  <c r="GK422" i="98"/>
  <c r="GD422" i="98"/>
  <c r="GH422" i="98"/>
  <c r="GE422" i="98"/>
  <c r="GB422" i="98"/>
  <c r="FO422" i="98"/>
  <c r="GK438" i="98"/>
  <c r="GH438" i="98"/>
  <c r="GE438" i="98"/>
  <c r="FO438" i="98"/>
  <c r="GC446" i="98"/>
  <c r="GG446" i="98"/>
  <c r="GK446" i="98"/>
  <c r="GD446" i="98"/>
  <c r="GH446" i="98"/>
  <c r="GL446" i="98"/>
  <c r="GA446" i="98"/>
  <c r="GE446" i="98"/>
  <c r="GI446" i="98"/>
  <c r="FO446" i="98"/>
  <c r="GB446" i="98"/>
  <c r="GF446" i="98"/>
  <c r="GJ446" i="98"/>
  <c r="GB307" i="98"/>
  <c r="FR310" i="98"/>
  <c r="GH315" i="98"/>
  <c r="GD315" i="98"/>
  <c r="GK315" i="98"/>
  <c r="GE352" i="98"/>
  <c r="GB355" i="98"/>
  <c r="GB377" i="98"/>
  <c r="GE377" i="98"/>
  <c r="GD377" i="98"/>
  <c r="GH388" i="98"/>
  <c r="GH393" i="98"/>
  <c r="GK393" i="98"/>
  <c r="FR414" i="98"/>
  <c r="FR422" i="98"/>
  <c r="GE487" i="98"/>
  <c r="GE503" i="98"/>
  <c r="GE519" i="98"/>
  <c r="GB291" i="98"/>
  <c r="FR338" i="98"/>
  <c r="GH344" i="98"/>
  <c r="GE359" i="98"/>
  <c r="GD359" i="98"/>
  <c r="GH385" i="98"/>
  <c r="FT386" i="98"/>
  <c r="FR386" i="98" s="1"/>
  <c r="GE388" i="98"/>
  <c r="GD388" i="98"/>
  <c r="GH392" i="98"/>
  <c r="GH405" i="98"/>
  <c r="GK405" i="98"/>
  <c r="GB433" i="98"/>
  <c r="GD448" i="98"/>
  <c r="GE469" i="98"/>
  <c r="GB475" i="98"/>
  <c r="GD475" i="98"/>
  <c r="GH475" i="98"/>
  <c r="GB491" i="98"/>
  <c r="GD491" i="98"/>
  <c r="GH491" i="98"/>
  <c r="GB507" i="98"/>
  <c r="GD507" i="98"/>
  <c r="GH507" i="98"/>
  <c r="GB527" i="98"/>
  <c r="GH527" i="98"/>
  <c r="GD527" i="98"/>
  <c r="FO563" i="98"/>
  <c r="GD369" i="98"/>
  <c r="GH374" i="98"/>
  <c r="GD404" i="98"/>
  <c r="GH404" i="98"/>
  <c r="GE421" i="98"/>
  <c r="FR426" i="98"/>
  <c r="FO453" i="98"/>
  <c r="GK453" i="98"/>
  <c r="GD453" i="98"/>
  <c r="GH453" i="98"/>
  <c r="GE453" i="98"/>
  <c r="GK475" i="98"/>
  <c r="GK483" i="98"/>
  <c r="GK491" i="98"/>
  <c r="GK499" i="98"/>
  <c r="GK507" i="98"/>
  <c r="GK515" i="98"/>
  <c r="FR564" i="98"/>
  <c r="GE355" i="98"/>
  <c r="GB408" i="98"/>
  <c r="GE408" i="98"/>
  <c r="FR450" i="98"/>
  <c r="GB480" i="98"/>
  <c r="GH484" i="98"/>
  <c r="GK484" i="98"/>
  <c r="GE488" i="98"/>
  <c r="GH500" i="98"/>
  <c r="GK500" i="98"/>
  <c r="GE504" i="98"/>
  <c r="GB512" i="98"/>
  <c r="GE520" i="98"/>
  <c r="GE532" i="98"/>
  <c r="GD363" i="98"/>
  <c r="GB363" i="98"/>
  <c r="GD400" i="98"/>
  <c r="GB400" i="98"/>
  <c r="GE400" i="98"/>
  <c r="GE437" i="98"/>
  <c r="GH437" i="98"/>
  <c r="GK437" i="98"/>
  <c r="GD531" i="98"/>
  <c r="GB539" i="98"/>
  <c r="GE539" i="98"/>
  <c r="GK551" i="98"/>
  <c r="FR434" i="98"/>
  <c r="FR474" i="98"/>
  <c r="FO544" i="98"/>
  <c r="GB544" i="98"/>
  <c r="GK544" i="98"/>
  <c r="GD544" i="98"/>
  <c r="GH544" i="98"/>
  <c r="GE544" i="98"/>
  <c r="GD575" i="98"/>
  <c r="FO575" i="98"/>
  <c r="GD591" i="98"/>
  <c r="FO591" i="98"/>
  <c r="GK607" i="98"/>
  <c r="GE607" i="98"/>
  <c r="FO607" i="98"/>
  <c r="GB607" i="98"/>
  <c r="GD623" i="98"/>
  <c r="FO623" i="98"/>
  <c r="GB623" i="98"/>
  <c r="GD639" i="98"/>
  <c r="FO639" i="98"/>
  <c r="GD655" i="98"/>
  <c r="FO655" i="98"/>
  <c r="GK671" i="98"/>
  <c r="GE671" i="98"/>
  <c r="FO671" i="98"/>
  <c r="GB671" i="98"/>
  <c r="GD687" i="98"/>
  <c r="FO687" i="98"/>
  <c r="GB687" i="98"/>
  <c r="GD703" i="98"/>
  <c r="FO703" i="98"/>
  <c r="GD719" i="98"/>
  <c r="FO719" i="98"/>
  <c r="GK735" i="98"/>
  <c r="GE735" i="98"/>
  <c r="FO735" i="98"/>
  <c r="GB735" i="98"/>
  <c r="GD751" i="98"/>
  <c r="FO751" i="98"/>
  <c r="GB751" i="98"/>
  <c r="GD767" i="98"/>
  <c r="FO767" i="98"/>
  <c r="FR477" i="98"/>
  <c r="FR517" i="98"/>
  <c r="FR533" i="98"/>
  <c r="GB549" i="98"/>
  <c r="GD549" i="98"/>
  <c r="GH578" i="98"/>
  <c r="GK578" i="98"/>
  <c r="GB581" i="98"/>
  <c r="FR587" i="98"/>
  <c r="GE594" i="98"/>
  <c r="GK597" i="98"/>
  <c r="GD609" i="98"/>
  <c r="GH613" i="98"/>
  <c r="GD613" i="98"/>
  <c r="GK637" i="98"/>
  <c r="GB642" i="98"/>
  <c r="GK653" i="98"/>
  <c r="GB658" i="98"/>
  <c r="GD669" i="98"/>
  <c r="GH669" i="98"/>
  <c r="FR683" i="98"/>
  <c r="GE690" i="98"/>
  <c r="GH693" i="98"/>
  <c r="FR699" i="98"/>
  <c r="GB701" i="98"/>
  <c r="GE701" i="98"/>
  <c r="GE702" i="98"/>
  <c r="FR715" i="98"/>
  <c r="GE722" i="98"/>
  <c r="GK733" i="98"/>
  <c r="GD749" i="98"/>
  <c r="GH749" i="98"/>
  <c r="GE372" i="98"/>
  <c r="GD372" i="98"/>
  <c r="FR521" i="98"/>
  <c r="FR561" i="98"/>
  <c r="GK577" i="98"/>
  <c r="GH590" i="98"/>
  <c r="GK590" i="98"/>
  <c r="GB593" i="98"/>
  <c r="GE593" i="98"/>
  <c r="FR615" i="98"/>
  <c r="GD621" i="98"/>
  <c r="GH625" i="98"/>
  <c r="FR647" i="98"/>
  <c r="GB649" i="98"/>
  <c r="GE649" i="98"/>
  <c r="GE650" i="98"/>
  <c r="GK665" i="98"/>
  <c r="GK689" i="98"/>
  <c r="FR695" i="98"/>
  <c r="GB697" i="98"/>
  <c r="GE697" i="98"/>
  <c r="GE698" i="98"/>
  <c r="GK721" i="98"/>
  <c r="FR727" i="98"/>
  <c r="GB729" i="98"/>
  <c r="GE729" i="98"/>
  <c r="FO734" i="98"/>
  <c r="GB734" i="98"/>
  <c r="GD734" i="98"/>
  <c r="GE734" i="98"/>
  <c r="GD745" i="98"/>
  <c r="GH745" i="98"/>
  <c r="FR759" i="98"/>
  <c r="GB761" i="98"/>
  <c r="FO766" i="98"/>
  <c r="GB766" i="98"/>
  <c r="GF766" i="98"/>
  <c r="GJ766" i="98"/>
  <c r="GC766" i="98"/>
  <c r="GG766" i="98"/>
  <c r="GK766" i="98"/>
  <c r="GD766" i="98"/>
  <c r="GH766" i="98"/>
  <c r="GL766" i="98"/>
  <c r="GE766" i="98"/>
  <c r="GI766" i="98"/>
  <c r="GA766" i="98"/>
  <c r="GE529" i="98"/>
  <c r="GH529" i="98"/>
  <c r="GK529" i="98"/>
  <c r="FO553" i="98"/>
  <c r="GH573" i="98"/>
  <c r="GB589" i="98"/>
  <c r="GE589" i="98"/>
  <c r="GH605" i="98"/>
  <c r="GH618" i="98"/>
  <c r="GK618" i="98"/>
  <c r="GB621" i="98"/>
  <c r="GE621" i="98"/>
  <c r="GD677" i="98"/>
  <c r="GH685" i="98"/>
  <c r="GK709" i="98"/>
  <c r="GK717" i="98"/>
  <c r="GD725" i="98"/>
  <c r="GD741" i="98"/>
  <c r="GD757" i="98"/>
  <c r="GD773" i="98"/>
  <c r="GH777" i="98"/>
  <c r="GE777" i="98"/>
  <c r="GD585" i="98"/>
  <c r="GB585" i="98"/>
  <c r="GE585" i="98"/>
  <c r="GK617" i="98"/>
  <c r="GK681" i="98"/>
  <c r="GK769" i="98"/>
  <c r="FR501" i="98"/>
  <c r="FR607" i="98"/>
  <c r="GB614" i="98"/>
  <c r="GK673" i="98"/>
  <c r="GK713" i="98"/>
  <c r="GK753" i="98"/>
  <c r="FO787" i="98"/>
  <c r="GB787" i="98"/>
  <c r="GD787" i="98"/>
  <c r="GE787" i="98"/>
  <c r="GH787" i="98"/>
  <c r="FT794" i="98"/>
  <c r="FO803" i="98"/>
  <c r="GB803" i="98"/>
  <c r="GD803" i="98"/>
  <c r="GE803" i="98"/>
  <c r="GH803" i="98"/>
  <c r="FT810" i="98"/>
  <c r="FO819" i="98"/>
  <c r="GB819" i="98"/>
  <c r="GD819" i="98"/>
  <c r="GE819" i="98"/>
  <c r="GH819" i="98"/>
  <c r="FT826" i="98"/>
  <c r="FO835" i="98"/>
  <c r="GB835" i="98"/>
  <c r="GD835" i="98"/>
  <c r="GE835" i="98"/>
  <c r="GH835" i="98"/>
  <c r="FT842" i="98"/>
  <c r="FO851" i="98"/>
  <c r="GB851" i="98"/>
  <c r="GD851" i="98"/>
  <c r="GE851" i="98"/>
  <c r="GH851" i="98"/>
  <c r="FT858" i="98"/>
  <c r="FO867" i="98"/>
  <c r="GB867" i="98"/>
  <c r="GD867" i="98"/>
  <c r="GE867" i="98"/>
  <c r="GH867" i="98"/>
  <c r="FT874" i="98"/>
  <c r="FO883" i="98"/>
  <c r="GB883" i="98"/>
  <c r="GD883" i="98"/>
  <c r="GE883" i="98"/>
  <c r="GH883" i="98"/>
  <c r="FT890" i="98"/>
  <c r="FO899" i="98"/>
  <c r="GB899" i="98"/>
  <c r="GD899" i="98"/>
  <c r="GE899" i="98"/>
  <c r="GH899" i="98"/>
  <c r="FT906" i="98"/>
  <c r="FO915" i="98"/>
  <c r="GB915" i="98"/>
  <c r="GD915" i="98"/>
  <c r="GE915" i="98"/>
  <c r="GH915" i="98"/>
  <c r="FT922" i="98"/>
  <c r="FO931" i="98"/>
  <c r="GB931" i="98"/>
  <c r="GD931" i="98"/>
  <c r="GE931" i="98"/>
  <c r="GH931" i="98"/>
  <c r="GD382" i="98"/>
  <c r="FR623" i="98"/>
  <c r="GB662" i="98"/>
  <c r="GK705" i="98"/>
  <c r="GB737" i="98"/>
  <c r="GE737" i="98"/>
  <c r="FO742" i="98"/>
  <c r="GD742" i="98"/>
  <c r="FR785" i="98"/>
  <c r="FR793" i="98"/>
  <c r="FR801" i="98"/>
  <c r="FR809" i="98"/>
  <c r="FR817" i="98"/>
  <c r="FR825" i="98"/>
  <c r="FR833" i="98"/>
  <c r="FR841" i="98"/>
  <c r="FR849" i="98"/>
  <c r="FR857" i="98"/>
  <c r="FR865" i="98"/>
  <c r="FR873" i="98"/>
  <c r="FR881" i="98"/>
  <c r="FR889" i="98"/>
  <c r="FR897" i="98"/>
  <c r="FR905" i="98"/>
  <c r="FR913" i="98"/>
  <c r="FR921" i="98"/>
  <c r="FR929" i="98"/>
  <c r="FR937" i="98"/>
  <c r="FO947" i="98"/>
  <c r="FR947" i="98"/>
  <c r="FO955" i="98"/>
  <c r="FR955" i="98"/>
  <c r="GK967" i="98"/>
  <c r="GH967" i="98"/>
  <c r="GE967" i="98"/>
  <c r="FO967" i="98"/>
  <c r="GB967" i="98"/>
  <c r="FO983" i="98"/>
  <c r="FO999" i="98"/>
  <c r="FR591" i="98"/>
  <c r="FR790" i="98"/>
  <c r="FR806" i="98"/>
  <c r="FR822" i="98"/>
  <c r="FR838" i="98"/>
  <c r="FR854" i="98"/>
  <c r="FR870" i="98"/>
  <c r="FR975" i="98"/>
  <c r="GB977" i="98"/>
  <c r="GE977" i="98"/>
  <c r="FO982" i="98"/>
  <c r="GH985" i="98"/>
  <c r="GK993" i="98"/>
  <c r="FO1009" i="98"/>
  <c r="GE1009" i="98"/>
  <c r="FR1009" i="98"/>
  <c r="FR1020" i="98"/>
  <c r="FO1025" i="98"/>
  <c r="GB1025" i="98"/>
  <c r="GE1025" i="98"/>
  <c r="FR1025" i="98"/>
  <c r="GH1025" i="98"/>
  <c r="GD1025" i="98"/>
  <c r="FR1036" i="98"/>
  <c r="GD1050" i="98"/>
  <c r="GH1055" i="98"/>
  <c r="FO1055" i="98"/>
  <c r="GK1055" i="98"/>
  <c r="FO1065" i="98"/>
  <c r="FR1065" i="98"/>
  <c r="GH1065" i="98"/>
  <c r="GE1065" i="98"/>
  <c r="FR1077" i="98"/>
  <c r="GD1082" i="98"/>
  <c r="GD1087" i="98"/>
  <c r="GH1087" i="98"/>
  <c r="GE1087" i="98"/>
  <c r="FO1087" i="98"/>
  <c r="GK1087" i="98"/>
  <c r="GB1087" i="98"/>
  <c r="FR559" i="98"/>
  <c r="FR780" i="98"/>
  <c r="FR787" i="98"/>
  <c r="GD792" i="98"/>
  <c r="GB792" i="98"/>
  <c r="FO792" i="98"/>
  <c r="GE792" i="98"/>
  <c r="FR796" i="98"/>
  <c r="FR803" i="98"/>
  <c r="GD808" i="98"/>
  <c r="GB808" i="98"/>
  <c r="FO808" i="98"/>
  <c r="GE808" i="98"/>
  <c r="FR812" i="98"/>
  <c r="FR819" i="98"/>
  <c r="FO824" i="98"/>
  <c r="FR828" i="98"/>
  <c r="FR835" i="98"/>
  <c r="FO840" i="98"/>
  <c r="GD840" i="98" s="1"/>
  <c r="FR844" i="98"/>
  <c r="FR851" i="98"/>
  <c r="GC856" i="98"/>
  <c r="GG856" i="98"/>
  <c r="GK856" i="98"/>
  <c r="GD856" i="98"/>
  <c r="GH856" i="98"/>
  <c r="GL856" i="98"/>
  <c r="GB856" i="98"/>
  <c r="GJ856" i="98"/>
  <c r="FO856" i="98"/>
  <c r="GE856" i="98"/>
  <c r="GF856" i="98"/>
  <c r="GA856" i="98"/>
  <c r="GI856" i="98"/>
  <c r="FR860" i="98"/>
  <c r="FR867" i="98"/>
  <c r="GD872" i="98"/>
  <c r="GB872" i="98"/>
  <c r="FO872" i="98"/>
  <c r="GE872" i="98"/>
  <c r="FR876" i="98"/>
  <c r="FR883" i="98"/>
  <c r="GH888" i="98"/>
  <c r="FO888" i="98"/>
  <c r="FR892" i="98"/>
  <c r="FR899" i="98"/>
  <c r="GD904" i="98"/>
  <c r="GH904" i="98"/>
  <c r="FO904" i="98"/>
  <c r="FR908" i="98"/>
  <c r="FR915" i="98"/>
  <c r="GD920" i="98"/>
  <c r="GB920" i="98"/>
  <c r="FO920" i="98"/>
  <c r="GE920" i="98"/>
  <c r="FR924" i="98"/>
  <c r="FR931" i="98"/>
  <c r="GC936" i="98"/>
  <c r="GG936" i="98"/>
  <c r="GK936" i="98"/>
  <c r="GD936" i="98"/>
  <c r="GH936" i="98"/>
  <c r="GL936" i="98"/>
  <c r="GB936" i="98"/>
  <c r="GJ936" i="98"/>
  <c r="FO936" i="98"/>
  <c r="GE936" i="98"/>
  <c r="GF936" i="98"/>
  <c r="GA936" i="98"/>
  <c r="GI936" i="98"/>
  <c r="FR940" i="98"/>
  <c r="GE1042" i="98"/>
  <c r="GH1042" i="98"/>
  <c r="GB1042" i="98"/>
  <c r="GE1058" i="98"/>
  <c r="GB1058" i="98"/>
  <c r="GH1058" i="98"/>
  <c r="GE1074" i="98"/>
  <c r="GB1074" i="98"/>
  <c r="GH1074" i="98"/>
  <c r="GE1090" i="98"/>
  <c r="GH1090" i="98"/>
  <c r="GB1090" i="98"/>
  <c r="GH952" i="98"/>
  <c r="GK952" i="98"/>
  <c r="FR967" i="98"/>
  <c r="GB969" i="98"/>
  <c r="GE969" i="98"/>
  <c r="GD989" i="98"/>
  <c r="GD1001" i="98"/>
  <c r="FT1045" i="98"/>
  <c r="FR1045" i="98" s="1"/>
  <c r="FT1061" i="98"/>
  <c r="FT1077" i="98"/>
  <c r="FT1093" i="98"/>
  <c r="FR1093" i="98" s="1"/>
  <c r="GK569" i="98"/>
  <c r="GB981" i="98"/>
  <c r="GE981" i="98"/>
  <c r="FO986" i="98"/>
  <c r="GB986" i="98"/>
  <c r="GF986" i="98"/>
  <c r="GJ986" i="98"/>
  <c r="GC986" i="98"/>
  <c r="GG986" i="98"/>
  <c r="GK986" i="98"/>
  <c r="GD986" i="98"/>
  <c r="GH986" i="98"/>
  <c r="GL986" i="98"/>
  <c r="GA986" i="98"/>
  <c r="GE986" i="98"/>
  <c r="GI986" i="98"/>
  <c r="GB1052" i="98"/>
  <c r="GE1052" i="98"/>
  <c r="GB1083" i="98"/>
  <c r="GD1083" i="98"/>
  <c r="GB1122" i="98"/>
  <c r="GE1122" i="98"/>
  <c r="FO1135" i="98"/>
  <c r="GD1135" i="98"/>
  <c r="GE1135" i="98"/>
  <c r="FO1145" i="98"/>
  <c r="GK1152" i="98"/>
  <c r="FR1161" i="98"/>
  <c r="GD1164" i="98"/>
  <c r="GE1168" i="98"/>
  <c r="FO1193" i="98"/>
  <c r="GK1193" i="98"/>
  <c r="GK1200" i="98"/>
  <c r="GH1204" i="98"/>
  <c r="FR1209" i="98"/>
  <c r="GD1212" i="98"/>
  <c r="GD1214" i="98"/>
  <c r="FO1243" i="98"/>
  <c r="GD1243" i="98"/>
  <c r="GH1243" i="98"/>
  <c r="GK1243" i="98"/>
  <c r="GB1248" i="98"/>
  <c r="GD1248" i="98"/>
  <c r="GH1248" i="98"/>
  <c r="GD1257" i="98"/>
  <c r="GH1257" i="98"/>
  <c r="FO1257" i="98"/>
  <c r="GB1257" i="98"/>
  <c r="GK1257" i="98"/>
  <c r="GE1257" i="98"/>
  <c r="GB1264" i="98"/>
  <c r="GD1264" i="98"/>
  <c r="GH1264" i="98"/>
  <c r="GH1268" i="98"/>
  <c r="FO1275" i="98"/>
  <c r="GB1275" i="98"/>
  <c r="GD1275" i="98"/>
  <c r="GH1275" i="98"/>
  <c r="GK1275" i="98"/>
  <c r="GE1275" i="98"/>
  <c r="FR1289" i="98"/>
  <c r="GH1300" i="98"/>
  <c r="FO1307" i="98"/>
  <c r="GB1307" i="98"/>
  <c r="GD1307" i="98"/>
  <c r="GH1307" i="98"/>
  <c r="GK1307" i="98"/>
  <c r="GE1307" i="98"/>
  <c r="GD1324" i="98"/>
  <c r="FO1339" i="98"/>
  <c r="GB1339" i="98"/>
  <c r="GH1339" i="98"/>
  <c r="GK1339" i="98"/>
  <c r="GE1339" i="98"/>
  <c r="FO1371" i="98"/>
  <c r="GD1388" i="98"/>
  <c r="FO1403" i="98"/>
  <c r="GH1403" i="98"/>
  <c r="GD1420" i="98"/>
  <c r="FO1435" i="98"/>
  <c r="GK1435" i="98"/>
  <c r="GD1452" i="98"/>
  <c r="FO1467" i="98"/>
  <c r="GH1467" i="98"/>
  <c r="GE1467" i="98"/>
  <c r="GD1484" i="98"/>
  <c r="FO1499" i="98"/>
  <c r="GK1499" i="98"/>
  <c r="GE1499" i="98"/>
  <c r="GE1532" i="98"/>
  <c r="GE1548" i="98"/>
  <c r="GE1564" i="98"/>
  <c r="GE1580" i="98"/>
  <c r="GE1612" i="98"/>
  <c r="GE1628" i="98"/>
  <c r="GE1644" i="98"/>
  <c r="GE1660" i="98"/>
  <c r="GE1034" i="98"/>
  <c r="GH1034" i="98"/>
  <c r="GK1034" i="98"/>
  <c r="GD1014" i="98"/>
  <c r="GD1030" i="98"/>
  <c r="GH1044" i="98"/>
  <c r="GB1092" i="98"/>
  <c r="GE1092" i="98"/>
  <c r="GH1099" i="98"/>
  <c r="GK1099" i="98"/>
  <c r="GD1102" i="98"/>
  <c r="GH1115" i="98"/>
  <c r="GK1115" i="98"/>
  <c r="GE1131" i="98"/>
  <c r="GK1172" i="98"/>
  <c r="GK1188" i="98"/>
  <c r="GK1204" i="98"/>
  <c r="GK1220" i="98"/>
  <c r="GK1252" i="98"/>
  <c r="GE1268" i="98"/>
  <c r="FO1277" i="98"/>
  <c r="GB1284" i="98"/>
  <c r="GE1300" i="98"/>
  <c r="GD1309" i="98"/>
  <c r="FO1309" i="98"/>
  <c r="GK1309" i="98"/>
  <c r="GE1332" i="98"/>
  <c r="GH1332" i="98"/>
  <c r="GB1332" i="98"/>
  <c r="GE1348" i="98"/>
  <c r="GB1348" i="98"/>
  <c r="GH1348" i="98"/>
  <c r="GE1364" i="98"/>
  <c r="GB1364" i="98"/>
  <c r="GH1364" i="98"/>
  <c r="GE1380" i="98"/>
  <c r="GH1380" i="98"/>
  <c r="GB1380" i="98"/>
  <c r="GE1412" i="98"/>
  <c r="GB1412" i="98"/>
  <c r="GH1412" i="98"/>
  <c r="GE1428" i="98"/>
  <c r="GH1428" i="98"/>
  <c r="GB1428" i="98"/>
  <c r="GE1444" i="98"/>
  <c r="GH1444" i="98"/>
  <c r="GB1444" i="98"/>
  <c r="GE1460" i="98"/>
  <c r="GB1460" i="98"/>
  <c r="GH1460" i="98"/>
  <c r="GE1492" i="98"/>
  <c r="GH1492" i="98"/>
  <c r="GB1492" i="98"/>
  <c r="GB1508" i="98"/>
  <c r="GD1508" i="98"/>
  <c r="GH1508" i="98"/>
  <c r="GB1524" i="98"/>
  <c r="GD1524" i="98"/>
  <c r="GH1524" i="98"/>
  <c r="GB1540" i="98"/>
  <c r="GH1540" i="98"/>
  <c r="GD1540" i="98"/>
  <c r="GB1572" i="98"/>
  <c r="GD1572" i="98"/>
  <c r="GH1572" i="98"/>
  <c r="GB1588" i="98"/>
  <c r="GD1588" i="98"/>
  <c r="GH1588" i="98"/>
  <c r="GB1604" i="98"/>
  <c r="GD1604" i="98"/>
  <c r="GH1604" i="98"/>
  <c r="GB1620" i="98"/>
  <c r="GH1620" i="98"/>
  <c r="GD1620" i="98"/>
  <c r="GB1652" i="98"/>
  <c r="GH1652" i="98"/>
  <c r="GD1652" i="98"/>
  <c r="GB1668" i="98"/>
  <c r="GD1668" i="98"/>
  <c r="GH1668" i="98"/>
  <c r="GB1060" i="98"/>
  <c r="GE1060" i="98"/>
  <c r="GD1062" i="98"/>
  <c r="GB1139" i="98"/>
  <c r="GB1182" i="98"/>
  <c r="GE1214" i="98"/>
  <c r="GB1230" i="98"/>
  <c r="GK965" i="98"/>
  <c r="GH972" i="98"/>
  <c r="GE972" i="98"/>
  <c r="FO972" i="98"/>
  <c r="GB972" i="98"/>
  <c r="GK972" i="98"/>
  <c r="GB997" i="98"/>
  <c r="GE997" i="98"/>
  <c r="FO1002" i="98"/>
  <c r="GH1002" i="98"/>
  <c r="GH1084" i="98"/>
  <c r="FO1111" i="98"/>
  <c r="GB1130" i="98"/>
  <c r="GE1130" i="98"/>
  <c r="GH1153" i="98"/>
  <c r="FO1153" i="98"/>
  <c r="GB1153" i="98"/>
  <c r="GK1153" i="98"/>
  <c r="FO1155" i="98"/>
  <c r="GH1155" i="98"/>
  <c r="GK1160" i="98"/>
  <c r="FO1185" i="98"/>
  <c r="FO1187" i="98"/>
  <c r="GB1187" i="98"/>
  <c r="GD1187" i="98"/>
  <c r="GH1187" i="98"/>
  <c r="GK1187" i="98"/>
  <c r="GE1187" i="98"/>
  <c r="GK1192" i="98"/>
  <c r="GH1198" i="98"/>
  <c r="FR1201" i="98"/>
  <c r="GD1204" i="98"/>
  <c r="GE1208" i="98"/>
  <c r="GH1212" i="98"/>
  <c r="FO1217" i="98"/>
  <c r="FO1219" i="98"/>
  <c r="GB1219" i="98"/>
  <c r="GD1219" i="98"/>
  <c r="GH1219" i="98"/>
  <c r="GK1219" i="98"/>
  <c r="GE1219" i="98"/>
  <c r="GK1224" i="98"/>
  <c r="GD1265" i="98"/>
  <c r="GH1265" i="98"/>
  <c r="FO1265" i="98"/>
  <c r="GB1265" i="98"/>
  <c r="GK1265" i="98"/>
  <c r="GE1265" i="98"/>
  <c r="FO1267" i="98"/>
  <c r="GD1267" i="98"/>
  <c r="GH1267" i="98"/>
  <c r="GK1272" i="98"/>
  <c r="FR1281" i="98"/>
  <c r="GD1284" i="98"/>
  <c r="GE1288" i="98"/>
  <c r="FO1319" i="98"/>
  <c r="FR1319" i="98"/>
  <c r="GH1319" i="98"/>
  <c r="FO1335" i="98"/>
  <c r="GB1335" i="98"/>
  <c r="GD1335" i="98"/>
  <c r="GE1335" i="98"/>
  <c r="GK1335" i="98"/>
  <c r="FR1335" i="98"/>
  <c r="GH1335" i="98"/>
  <c r="FO1351" i="98"/>
  <c r="GB1351" i="98"/>
  <c r="GD1351" i="98"/>
  <c r="GE1351" i="98"/>
  <c r="GK1351" i="98"/>
  <c r="FR1351" i="98"/>
  <c r="GH1351" i="98"/>
  <c r="FO1367" i="98"/>
  <c r="FR1367" i="98"/>
  <c r="GH1367" i="98"/>
  <c r="FO1383" i="98"/>
  <c r="GK1383" i="98"/>
  <c r="FR1383" i="98"/>
  <c r="GH1383" i="98"/>
  <c r="FO1399" i="98"/>
  <c r="FR1399" i="98"/>
  <c r="FO1415" i="98"/>
  <c r="GB1415" i="98"/>
  <c r="GD1415" i="98"/>
  <c r="GE1415" i="98"/>
  <c r="GK1415" i="98"/>
  <c r="FR1415" i="98"/>
  <c r="FO1431" i="98"/>
  <c r="GB1431" i="98"/>
  <c r="GD1431" i="98"/>
  <c r="GE1431" i="98"/>
  <c r="GK1431" i="98"/>
  <c r="FR1431" i="98"/>
  <c r="GH1431" i="98"/>
  <c r="FO1447" i="98"/>
  <c r="FR1447" i="98"/>
  <c r="FO1463" i="98"/>
  <c r="GB1463" i="98"/>
  <c r="GD1463" i="98"/>
  <c r="GE1463" i="98"/>
  <c r="GK1463" i="98"/>
  <c r="FR1463" i="98"/>
  <c r="FO1479" i="98"/>
  <c r="GB1479" i="98"/>
  <c r="GD1479" i="98"/>
  <c r="GE1479" i="98"/>
  <c r="GK1479" i="98"/>
  <c r="FR1479" i="98"/>
  <c r="GH1479" i="98"/>
  <c r="FO1495" i="98"/>
  <c r="FR1495" i="98"/>
  <c r="GK1508" i="98"/>
  <c r="GK1524" i="98"/>
  <c r="GK1532" i="98"/>
  <c r="GK1540" i="98"/>
  <c r="GK1548" i="98"/>
  <c r="GK1564" i="98"/>
  <c r="GK1572" i="98"/>
  <c r="GK1580" i="98"/>
  <c r="GK1588" i="98"/>
  <c r="GK1604" i="98"/>
  <c r="GK1612" i="98"/>
  <c r="GK1620" i="98"/>
  <c r="GK1628" i="98"/>
  <c r="GK1644" i="98"/>
  <c r="GK1652" i="98"/>
  <c r="GK1668" i="98"/>
  <c r="GK1684" i="98"/>
  <c r="GE1010" i="98"/>
  <c r="GH1010" i="98"/>
  <c r="GK1010" i="98"/>
  <c r="GH1043" i="98"/>
  <c r="GB1078" i="98"/>
  <c r="FT1088" i="98"/>
  <c r="GB1110" i="98"/>
  <c r="GE1110" i="98"/>
  <c r="GE1112" i="98"/>
  <c r="GH1112" i="98"/>
  <c r="GD1128" i="98"/>
  <c r="GK1128" i="98"/>
  <c r="GE1144" i="98"/>
  <c r="GH1144" i="98"/>
  <c r="GE1182" i="98"/>
  <c r="GE1198" i="98"/>
  <c r="GB1212" i="98"/>
  <c r="FT1237" i="98"/>
  <c r="FR1237" i="98" s="1"/>
  <c r="GB1244" i="98"/>
  <c r="GH1178" i="98"/>
  <c r="GE1210" i="98"/>
  <c r="GH1342" i="98"/>
  <c r="GB1358" i="98"/>
  <c r="GE1358" i="98"/>
  <c r="GB1390" i="98"/>
  <c r="GE1390" i="98"/>
  <c r="FR1403" i="98"/>
  <c r="GH1425" i="98"/>
  <c r="FT1426" i="98"/>
  <c r="FR1426" i="98" s="1"/>
  <c r="FR1435" i="98"/>
  <c r="GB1454" i="98"/>
  <c r="GE1454" i="98"/>
  <c r="GH1502" i="98"/>
  <c r="GC1506" i="98"/>
  <c r="GG1506" i="98"/>
  <c r="GK1506" i="98"/>
  <c r="GD1506" i="98"/>
  <c r="GH1506" i="98"/>
  <c r="GL1506" i="98"/>
  <c r="GA1506" i="98"/>
  <c r="GE1506" i="98"/>
  <c r="GI1506" i="98"/>
  <c r="GJ1506" i="98"/>
  <c r="GF1506" i="98"/>
  <c r="FO1506" i="98"/>
  <c r="GB1506" i="98"/>
  <c r="GK1510" i="98"/>
  <c r="GD1510" i="98"/>
  <c r="GE1510" i="98"/>
  <c r="FO1510" i="98"/>
  <c r="FO1514" i="98"/>
  <c r="GB1514" i="98"/>
  <c r="GD1523" i="98"/>
  <c r="GH1523" i="98"/>
  <c r="GE1523" i="98"/>
  <c r="FO1523" i="98"/>
  <c r="GB1523" i="98"/>
  <c r="GK1523" i="98"/>
  <c r="GB1577" i="98"/>
  <c r="GB1581" i="98"/>
  <c r="GB1585" i="98"/>
  <c r="GB1589" i="98"/>
  <c r="GB1593" i="98"/>
  <c r="GD1607" i="98"/>
  <c r="FO1607" i="98"/>
  <c r="GB1401" i="98"/>
  <c r="GE1401" i="98"/>
  <c r="GD1401" i="98"/>
  <c r="GE1421" i="98"/>
  <c r="GH1440" i="98"/>
  <c r="GK1440" i="98"/>
  <c r="GB1472" i="98"/>
  <c r="GH1478" i="98"/>
  <c r="FR1510" i="98"/>
  <c r="FR1586" i="98"/>
  <c r="GB1605" i="98"/>
  <c r="GD1623" i="98"/>
  <c r="GH1623" i="98"/>
  <c r="GE1623" i="98"/>
  <c r="FO1623" i="98"/>
  <c r="GB1623" i="98"/>
  <c r="GK1623" i="98"/>
  <c r="FR1658" i="98"/>
  <c r="GB1014" i="98"/>
  <c r="GH1310" i="98"/>
  <c r="GK1310" i="98"/>
  <c r="GH1334" i="98"/>
  <c r="GB1369" i="98"/>
  <c r="GE1369" i="98"/>
  <c r="GD1369" i="98"/>
  <c r="FR1370" i="98"/>
  <c r="GH1382" i="98"/>
  <c r="GH1398" i="98"/>
  <c r="GE1424" i="98"/>
  <c r="GB1430" i="98"/>
  <c r="GE1430" i="98"/>
  <c r="GB1481" i="98"/>
  <c r="GE1481" i="98"/>
  <c r="GD1481" i="98"/>
  <c r="FR1482" i="98"/>
  <c r="FR1491" i="98"/>
  <c r="GH1511" i="98"/>
  <c r="GE1511" i="98"/>
  <c r="FO1511" i="98"/>
  <c r="GB1511" i="98"/>
  <c r="GB1518" i="98"/>
  <c r="GB1522" i="98"/>
  <c r="GB1561" i="98"/>
  <c r="GE1569" i="98"/>
  <c r="FO1579" i="98"/>
  <c r="GK1579" i="98"/>
  <c r="FO1595" i="98"/>
  <c r="GK1595" i="98" s="1"/>
  <c r="GB1598" i="98"/>
  <c r="GB1602" i="98"/>
  <c r="GE1637" i="98"/>
  <c r="GB1645" i="98"/>
  <c r="GE1653" i="98"/>
  <c r="GD1663" i="98"/>
  <c r="GH1663" i="98"/>
  <c r="GE1663" i="98"/>
  <c r="FO1663" i="98"/>
  <c r="GB1663" i="98"/>
  <c r="GK1663" i="98"/>
  <c r="GH1679" i="98"/>
  <c r="GE1679" i="98"/>
  <c r="FO1679" i="98"/>
  <c r="GB1679" i="98"/>
  <c r="GH1162" i="98"/>
  <c r="GB1312" i="98"/>
  <c r="GH1328" i="98"/>
  <c r="GK1328" i="98"/>
  <c r="FR1386" i="98"/>
  <c r="GB1414" i="98"/>
  <c r="GE1414" i="98"/>
  <c r="GH1433" i="98"/>
  <c r="GH1462" i="98"/>
  <c r="GH1488" i="98"/>
  <c r="GK1488" i="98"/>
  <c r="GB1521" i="98"/>
  <c r="GE1525" i="98"/>
  <c r="GE1602" i="98"/>
  <c r="GH1602" i="98"/>
  <c r="GK1602" i="98"/>
  <c r="GE1609" i="98"/>
  <c r="GD1242" i="98"/>
  <c r="GB1242" i="98"/>
  <c r="GE1242" i="98"/>
  <c r="GH1260" i="98"/>
  <c r="GK1260" i="98"/>
  <c r="GB1262" i="98"/>
  <c r="GH1294" i="98"/>
  <c r="GK1294" i="98"/>
  <c r="GH1345" i="98"/>
  <c r="FT1346" i="98"/>
  <c r="FR1346" i="98" s="1"/>
  <c r="GD1358" i="98"/>
  <c r="FR1371" i="98"/>
  <c r="GH1374" i="98"/>
  <c r="GB1393" i="98"/>
  <c r="GE1393" i="98"/>
  <c r="GD1393" i="98"/>
  <c r="FR1394" i="98"/>
  <c r="GB1409" i="98"/>
  <c r="GE1409" i="98"/>
  <c r="GD1409" i="98"/>
  <c r="FR1410" i="98"/>
  <c r="FR1419" i="98"/>
  <c r="GH1422" i="98"/>
  <c r="FO1545" i="98"/>
  <c r="FO1571" i="98"/>
  <c r="GK1571" i="98"/>
  <c r="FO1625" i="98"/>
  <c r="GB1625" i="98"/>
  <c r="GK1625" i="98"/>
  <c r="GD1625" i="98"/>
  <c r="GH1625" i="98"/>
  <c r="GE1625" i="98"/>
  <c r="GD1651" i="98"/>
  <c r="GH1651" i="98"/>
  <c r="GE1651" i="98"/>
  <c r="FO1651" i="98"/>
  <c r="GB1651" i="98"/>
  <c r="GK1651" i="98"/>
  <c r="GB1290" i="98"/>
  <c r="GE1290" i="98"/>
  <c r="FR1303" i="98"/>
  <c r="GH1325" i="98"/>
  <c r="FT1338" i="98"/>
  <c r="GH1350" i="98"/>
  <c r="FR1363" i="98"/>
  <c r="FR1402" i="98"/>
  <c r="GD1424" i="98"/>
  <c r="GE1485" i="98"/>
  <c r="GE1518" i="98"/>
  <c r="GH1518" i="98"/>
  <c r="GK1518" i="98"/>
  <c r="GD1522" i="98"/>
  <c r="GB1525" i="98"/>
  <c r="GE1529" i="98"/>
  <c r="GD1614" i="98"/>
  <c r="GD1619" i="98"/>
  <c r="GH1619" i="98"/>
  <c r="GE1619" i="98"/>
  <c r="FO1619" i="98"/>
  <c r="GB1619" i="98"/>
  <c r="GK1619" i="98"/>
  <c r="GE1558" i="98"/>
  <c r="GH1558" i="98"/>
  <c r="GK1558" i="98"/>
  <c r="GD1562" i="98"/>
  <c r="GB1642" i="98"/>
  <c r="GB1310" i="98"/>
  <c r="GE1618" i="98"/>
  <c r="GH1618" i="98"/>
  <c r="GK1618" i="98"/>
  <c r="GE1634" i="98"/>
  <c r="GH1634" i="98"/>
  <c r="GK1634" i="98"/>
  <c r="FO124" i="98"/>
  <c r="GB124" i="98"/>
  <c r="GD124" i="98"/>
  <c r="GD135" i="98"/>
  <c r="GE135" i="98"/>
  <c r="FO135" i="98"/>
  <c r="GE170" i="98"/>
  <c r="GH170" i="98"/>
  <c r="GD170" i="98"/>
  <c r="GE174" i="98"/>
  <c r="GH174" i="98"/>
  <c r="GD174" i="98"/>
  <c r="GE178" i="98"/>
  <c r="GH178" i="98"/>
  <c r="GD178" i="98"/>
  <c r="GE182" i="98"/>
  <c r="GD182" i="98"/>
  <c r="GH182" i="98"/>
  <c r="GE194" i="98"/>
  <c r="GH194" i="98"/>
  <c r="GD194" i="98"/>
  <c r="GE198" i="98"/>
  <c r="GH198" i="98"/>
  <c r="GD198" i="98"/>
  <c r="GK160" i="98"/>
  <c r="GB112" i="98"/>
  <c r="GA166" i="98"/>
  <c r="GE166" i="98"/>
  <c r="GI166" i="98"/>
  <c r="GD166" i="98"/>
  <c r="GJ166" i="98"/>
  <c r="FO166" i="98"/>
  <c r="GF166" i="98"/>
  <c r="GK166" i="98"/>
  <c r="GH166" i="98"/>
  <c r="GB166" i="98"/>
  <c r="GL166" i="98"/>
  <c r="GC166" i="98"/>
  <c r="GG166" i="98"/>
  <c r="FO221" i="98"/>
  <c r="GB221" i="98"/>
  <c r="GD221" i="98"/>
  <c r="GE221" i="98"/>
  <c r="GH221" i="98"/>
  <c r="FR221" i="98"/>
  <c r="FO251" i="98"/>
  <c r="GB251" i="98"/>
  <c r="GH251" i="98"/>
  <c r="GB210" i="98"/>
  <c r="GD285" i="98"/>
  <c r="GE285" i="98"/>
  <c r="FO285" i="98"/>
  <c r="GB285" i="98"/>
  <c r="GD265" i="98"/>
  <c r="GE265" i="98"/>
  <c r="FO265" i="98"/>
  <c r="GH265" i="98" s="1"/>
  <c r="GK265" i="98"/>
  <c r="GB265" i="98"/>
  <c r="FO284" i="98"/>
  <c r="GB284" i="98"/>
  <c r="GK284" i="98"/>
  <c r="GD284" i="98"/>
  <c r="GH284" i="98"/>
  <c r="GE284" i="98"/>
  <c r="GE280" i="98"/>
  <c r="FO298" i="98"/>
  <c r="GB298" i="98"/>
  <c r="GH298" i="98"/>
  <c r="GH327" i="98"/>
  <c r="GD345" i="98"/>
  <c r="FO460" i="98"/>
  <c r="FR460" i="98"/>
  <c r="GE327" i="98"/>
  <c r="GC406" i="98"/>
  <c r="GG406" i="98"/>
  <c r="GK406" i="98"/>
  <c r="GD406" i="98"/>
  <c r="GH406" i="98"/>
  <c r="GL406" i="98"/>
  <c r="GA406" i="98"/>
  <c r="GE406" i="98"/>
  <c r="GI406" i="98"/>
  <c r="GJ406" i="98"/>
  <c r="FO406" i="98"/>
  <c r="GB406" i="98"/>
  <c r="GF406" i="98"/>
  <c r="GK442" i="98"/>
  <c r="GD442" i="98"/>
  <c r="GH442" i="98"/>
  <c r="GE442" i="98"/>
  <c r="FO442" i="98"/>
  <c r="GB442" i="98"/>
  <c r="FO457" i="98"/>
  <c r="GK457" i="98"/>
  <c r="GE457" i="98"/>
  <c r="GK359" i="98"/>
  <c r="FO429" i="98"/>
  <c r="GB429" i="98"/>
  <c r="GK429" i="98"/>
  <c r="GD429" i="98"/>
  <c r="GH429" i="98"/>
  <c r="GE429" i="98"/>
  <c r="FO445" i="98"/>
  <c r="GE480" i="98"/>
  <c r="GE560" i="98"/>
  <c r="GB359" i="98"/>
  <c r="FO439" i="98"/>
  <c r="FO490" i="98"/>
  <c r="GH490" i="98" s="1"/>
  <c r="GD554" i="98"/>
  <c r="GH554" i="98"/>
  <c r="GE554" i="98"/>
  <c r="FO554" i="98"/>
  <c r="GB554" i="98"/>
  <c r="GK554" i="98"/>
  <c r="GE562" i="98"/>
  <c r="FO562" i="98"/>
  <c r="GK583" i="98"/>
  <c r="GE583" i="98"/>
  <c r="FO583" i="98"/>
  <c r="FO631" i="98"/>
  <c r="FO679" i="98"/>
  <c r="GK727" i="98"/>
  <c r="GD727" i="98"/>
  <c r="GH727" i="98"/>
  <c r="GE727" i="98"/>
  <c r="FO727" i="98"/>
  <c r="GB727" i="98"/>
  <c r="GH581" i="98"/>
  <c r="GD581" i="98"/>
  <c r="FO706" i="98"/>
  <c r="GB706" i="98"/>
  <c r="GF706" i="98"/>
  <c r="GJ706" i="98"/>
  <c r="GC706" i="98"/>
  <c r="GG706" i="98"/>
  <c r="GK706" i="98"/>
  <c r="GD706" i="98"/>
  <c r="GH706" i="98"/>
  <c r="GL706" i="98"/>
  <c r="GI706" i="98"/>
  <c r="GA706" i="98"/>
  <c r="GE706" i="98"/>
  <c r="FO754" i="98"/>
  <c r="GD754" i="98"/>
  <c r="GH754" i="98"/>
  <c r="GE754" i="98"/>
  <c r="FO523" i="98"/>
  <c r="FR583" i="98"/>
  <c r="GD761" i="98"/>
  <c r="GH761" i="98"/>
  <c r="FO666" i="98"/>
  <c r="GB666" i="98"/>
  <c r="GF666" i="98"/>
  <c r="GJ666" i="98"/>
  <c r="GC666" i="98"/>
  <c r="GG666" i="98"/>
  <c r="GK666" i="98"/>
  <c r="GD666" i="98"/>
  <c r="GH666" i="98"/>
  <c r="GL666" i="98"/>
  <c r="GA666" i="98"/>
  <c r="GE666" i="98"/>
  <c r="GI666" i="98"/>
  <c r="FO943" i="98"/>
  <c r="GB943" i="98"/>
  <c r="GH943" i="98"/>
  <c r="GD943" i="98"/>
  <c r="GE943" i="98"/>
  <c r="GK943" i="98"/>
  <c r="GE543" i="98"/>
  <c r="FO543" i="98"/>
  <c r="GB543" i="98"/>
  <c r="GH543" i="98"/>
  <c r="GD543" i="98"/>
  <c r="FO779" i="98"/>
  <c r="GE802" i="98"/>
  <c r="FO802" i="98"/>
  <c r="GB802" i="98"/>
  <c r="GD802" i="98"/>
  <c r="GK802" i="98"/>
  <c r="GE818" i="98"/>
  <c r="FO818" i="98"/>
  <c r="GB818" i="98"/>
  <c r="GD818" i="98"/>
  <c r="GH818" i="98"/>
  <c r="GK818" i="98"/>
  <c r="FO827" i="98"/>
  <c r="GB827" i="98" s="1"/>
  <c r="FO843" i="98"/>
  <c r="GK843" i="98"/>
  <c r="GD843" i="98"/>
  <c r="GH843" i="98"/>
  <c r="FO859" i="98"/>
  <c r="GK859" i="98"/>
  <c r="GD859" i="98"/>
  <c r="GH859" i="98"/>
  <c r="GD538" i="98"/>
  <c r="GH538" i="98"/>
  <c r="GE538" i="98"/>
  <c r="FO538" i="98"/>
  <c r="GB538" i="98"/>
  <c r="GK538" i="98"/>
  <c r="GK975" i="98"/>
  <c r="GD975" i="98"/>
  <c r="GH975" i="98"/>
  <c r="GE975" i="98"/>
  <c r="GB975" i="98"/>
  <c r="FO975" i="98"/>
  <c r="FR914" i="98"/>
  <c r="FO1008" i="98"/>
  <c r="GK1008" i="98"/>
  <c r="FO1033" i="98"/>
  <c r="FR1033" i="98"/>
  <c r="GE1071" i="98"/>
  <c r="FO1071" i="98"/>
  <c r="GK1071" i="98"/>
  <c r="FR795" i="98"/>
  <c r="FR843" i="98"/>
  <c r="FR859" i="98"/>
  <c r="FR891" i="98"/>
  <c r="FR907" i="98"/>
  <c r="GD976" i="98"/>
  <c r="GH976" i="98"/>
  <c r="GL976" i="98"/>
  <c r="GA976" i="98"/>
  <c r="GE976" i="98"/>
  <c r="GI976" i="98"/>
  <c r="FO976" i="98"/>
  <c r="GB976" i="98"/>
  <c r="GF976" i="98"/>
  <c r="GJ976" i="98"/>
  <c r="GC976" i="98"/>
  <c r="GG976" i="98"/>
  <c r="GK976" i="98"/>
  <c r="FO990" i="98"/>
  <c r="GK990" i="98"/>
  <c r="GE990" i="98"/>
  <c r="FO1053" i="98"/>
  <c r="GB1053" i="98"/>
  <c r="GD1053" i="98"/>
  <c r="GE1053" i="98"/>
  <c r="GK1053" i="98"/>
  <c r="GH1053" i="98"/>
  <c r="FO1069" i="98"/>
  <c r="GB1069" i="98"/>
  <c r="GD1069" i="98"/>
  <c r="GE1069" i="98"/>
  <c r="GK1069" i="98"/>
  <c r="GH1069" i="98"/>
  <c r="GD1015" i="98"/>
  <c r="GH1015" i="98"/>
  <c r="GE1015" i="98"/>
  <c r="FO1015" i="98"/>
  <c r="GB1015" i="98"/>
  <c r="GK1015" i="98"/>
  <c r="GD1080" i="98"/>
  <c r="FO1080" i="98"/>
  <c r="GE1080" i="98" s="1"/>
  <c r="GK1080" i="98"/>
  <c r="GB1080" i="98"/>
  <c r="FO1103" i="98"/>
  <c r="GB1168" i="98"/>
  <c r="GD1168" i="98"/>
  <c r="GH1168" i="98"/>
  <c r="FO1355" i="98"/>
  <c r="GH1355" i="98"/>
  <c r="GE1355" i="98"/>
  <c r="FO1183" i="98"/>
  <c r="GB1183" i="98"/>
  <c r="GH1183" i="98"/>
  <c r="GK1183" i="98"/>
  <c r="FO1215" i="98"/>
  <c r="GB1215" i="98"/>
  <c r="GD1215" i="98"/>
  <c r="GH1215" i="98"/>
  <c r="GE1215" i="98"/>
  <c r="GK1215" i="98"/>
  <c r="GB1300" i="98"/>
  <c r="GE1324" i="98"/>
  <c r="GB1324" i="98"/>
  <c r="GH1324" i="98"/>
  <c r="GE1340" i="98"/>
  <c r="GB1340" i="98"/>
  <c r="GH1340" i="98"/>
  <c r="GE1372" i="98"/>
  <c r="GB1372" i="98"/>
  <c r="GH1372" i="98"/>
  <c r="GE1388" i="98"/>
  <c r="GH1388" i="98"/>
  <c r="GB1388" i="98"/>
  <c r="GE1404" i="98"/>
  <c r="GH1404" i="98"/>
  <c r="GB1404" i="98"/>
  <c r="GE1420" i="98"/>
  <c r="GB1420" i="98"/>
  <c r="GH1420" i="98"/>
  <c r="GE1500" i="98"/>
  <c r="GH1500" i="98"/>
  <c r="GB1500" i="98"/>
  <c r="GB1548" i="98"/>
  <c r="GH1548" i="98"/>
  <c r="GD1548" i="98"/>
  <c r="GB1612" i="98"/>
  <c r="GD1612" i="98"/>
  <c r="GH1612" i="98"/>
  <c r="GB1660" i="98"/>
  <c r="GD1660" i="98"/>
  <c r="GH1660" i="98"/>
  <c r="FO1223" i="98"/>
  <c r="GB1223" i="98"/>
  <c r="GH1223" i="98"/>
  <c r="GK1223" i="98"/>
  <c r="GE1223" i="98"/>
  <c r="FO600" i="98"/>
  <c r="GD1105" i="98"/>
  <c r="GE1105" i="98"/>
  <c r="FO1105" i="98"/>
  <c r="GB1105" i="98"/>
  <c r="GK1105" i="98"/>
  <c r="FO1471" i="98"/>
  <c r="GK1471" i="98"/>
  <c r="FR1471" i="98"/>
  <c r="GH1471" i="98"/>
  <c r="FO1503" i="98"/>
  <c r="GB1503" i="98" s="1"/>
  <c r="GD1503" i="98"/>
  <c r="GE1503" i="98"/>
  <c r="GK1503" i="98"/>
  <c r="FR1503" i="98"/>
  <c r="GH1503" i="98"/>
  <c r="GH648" i="98"/>
  <c r="GE648" i="98"/>
  <c r="FO648" i="98"/>
  <c r="GB648" i="98"/>
  <c r="GK648" i="98"/>
  <c r="GB1214" i="98"/>
  <c r="FO1531" i="98"/>
  <c r="GK1531" i="98"/>
  <c r="GH1599" i="98"/>
  <c r="GE1599" i="98"/>
  <c r="FO1599" i="98"/>
  <c r="GB1599" i="98"/>
  <c r="GK1599" i="98"/>
  <c r="FO1615" i="98"/>
  <c r="GK1615" i="98"/>
  <c r="GC1666" i="98"/>
  <c r="GG1666" i="98"/>
  <c r="GK1666" i="98"/>
  <c r="GD1666" i="98"/>
  <c r="GH1666" i="98"/>
  <c r="GL1666" i="98"/>
  <c r="GA1666" i="98"/>
  <c r="GE1666" i="98"/>
  <c r="GI1666" i="98"/>
  <c r="GJ1666" i="98"/>
  <c r="FO1666" i="98"/>
  <c r="GB1666" i="98"/>
  <c r="GF1666" i="98"/>
  <c r="FO1674" i="98"/>
  <c r="FO1678" i="98"/>
  <c r="FO1271" i="98"/>
  <c r="GH1271" i="98"/>
  <c r="GE1271" i="98"/>
  <c r="GK108" i="98"/>
  <c r="FO101" i="98"/>
  <c r="GD101" i="98"/>
  <c r="GH101" i="98"/>
  <c r="GB101" i="98"/>
  <c r="GK101" i="98"/>
  <c r="GE101" i="98"/>
  <c r="FR128" i="98"/>
  <c r="FR136" i="98"/>
  <c r="FT103" i="98"/>
  <c r="GD131" i="98"/>
  <c r="GH131" i="98"/>
  <c r="GE131" i="98"/>
  <c r="FO131" i="98"/>
  <c r="GB131" i="98"/>
  <c r="GK131" i="98"/>
  <c r="FT119" i="98"/>
  <c r="GH120" i="98"/>
  <c r="GD150" i="98"/>
  <c r="FO150" i="98"/>
  <c r="GE150" i="98" s="1"/>
  <c r="GK150" i="98"/>
  <c r="GB150" i="98"/>
  <c r="FO177" i="98"/>
  <c r="GH177" i="98"/>
  <c r="GK177" i="98"/>
  <c r="FO185" i="98"/>
  <c r="GE112" i="98"/>
  <c r="FR166" i="98"/>
  <c r="FO180" i="98"/>
  <c r="FO209" i="98"/>
  <c r="GB209" i="98"/>
  <c r="GH209" i="98"/>
  <c r="GK209" i="98"/>
  <c r="GH192" i="98"/>
  <c r="GE192" i="98"/>
  <c r="FO192" i="98"/>
  <c r="GB192" i="98"/>
  <c r="GK192" i="98"/>
  <c r="FR224" i="98"/>
  <c r="GH210" i="98"/>
  <c r="FO254" i="98"/>
  <c r="GH254" i="98"/>
  <c r="GK254" i="98"/>
  <c r="GK231" i="98"/>
  <c r="FO233" i="98"/>
  <c r="GB233" i="98"/>
  <c r="GH233" i="98"/>
  <c r="GK233" i="98"/>
  <c r="GE233" i="98"/>
  <c r="GK273" i="98"/>
  <c r="GD273" i="98"/>
  <c r="GH273" i="98"/>
  <c r="GE273" i="98"/>
  <c r="FO273" i="98"/>
  <c r="GB273" i="98"/>
  <c r="GD286" i="98"/>
  <c r="GH286" i="98"/>
  <c r="GL286" i="98"/>
  <c r="GA286" i="98"/>
  <c r="GE286" i="98"/>
  <c r="GI286" i="98"/>
  <c r="FO286" i="98"/>
  <c r="GB286" i="98"/>
  <c r="GF286" i="98"/>
  <c r="GJ286" i="98"/>
  <c r="GG286" i="98"/>
  <c r="GK286" i="98"/>
  <c r="GC286" i="98"/>
  <c r="GE331" i="98"/>
  <c r="GH331" i="98"/>
  <c r="FO282" i="98"/>
  <c r="GK282" i="98"/>
  <c r="FO240" i="98"/>
  <c r="GC256" i="98"/>
  <c r="GG256" i="98"/>
  <c r="GK256" i="98"/>
  <c r="GD256" i="98"/>
  <c r="GH256" i="98"/>
  <c r="GL256" i="98"/>
  <c r="GB256" i="98"/>
  <c r="GJ256" i="98"/>
  <c r="FO256" i="98"/>
  <c r="GE256" i="98"/>
  <c r="GF256" i="98"/>
  <c r="GI256" i="98"/>
  <c r="GA256" i="98"/>
  <c r="FO263" i="98"/>
  <c r="GB263" i="98"/>
  <c r="GH263" i="98"/>
  <c r="GK263" i="98"/>
  <c r="GH368" i="98"/>
  <c r="GE412" i="98"/>
  <c r="FO412" i="98"/>
  <c r="GB412" i="98"/>
  <c r="FR412" i="98"/>
  <c r="GH412" i="98"/>
  <c r="GE464" i="98"/>
  <c r="FO464" i="98"/>
  <c r="GB464" i="98"/>
  <c r="GH464" i="98"/>
  <c r="GD464" i="98"/>
  <c r="GE333" i="98"/>
  <c r="FO333" i="98"/>
  <c r="GH333" i="98" s="1"/>
  <c r="FR362" i="98"/>
  <c r="GE368" i="98"/>
  <c r="FO418" i="98"/>
  <c r="GD474" i="98"/>
  <c r="GH474" i="98"/>
  <c r="GE474" i="98"/>
  <c r="FO474" i="98"/>
  <c r="GB474" i="98"/>
  <c r="GK474" i="98"/>
  <c r="GH355" i="98"/>
  <c r="FR470" i="98"/>
  <c r="FO435" i="98"/>
  <c r="GK435" i="98"/>
  <c r="GB503" i="98"/>
  <c r="GD503" i="98"/>
  <c r="GH503" i="98"/>
  <c r="GD374" i="98"/>
  <c r="GE508" i="98"/>
  <c r="GD486" i="98"/>
  <c r="GH486" i="98"/>
  <c r="GL486" i="98"/>
  <c r="GA486" i="98"/>
  <c r="GE486" i="98"/>
  <c r="GI486" i="98"/>
  <c r="FO486" i="98"/>
  <c r="GB486" i="98"/>
  <c r="GF486" i="98"/>
  <c r="GJ486" i="98"/>
  <c r="GC486" i="98"/>
  <c r="GG486" i="98"/>
  <c r="GK486" i="98"/>
  <c r="FR494" i="98"/>
  <c r="GK619" i="98"/>
  <c r="GD619" i="98"/>
  <c r="GH619" i="98"/>
  <c r="GE619" i="98"/>
  <c r="FO619" i="98"/>
  <c r="GK667" i="98"/>
  <c r="GH667" i="98"/>
  <c r="GE667" i="98"/>
  <c r="GB667" i="98"/>
  <c r="FO667" i="98"/>
  <c r="GB715" i="98"/>
  <c r="FO715" i="98"/>
  <c r="FO763" i="98"/>
  <c r="FR493" i="98"/>
  <c r="FR596" i="98"/>
  <c r="GD644" i="98"/>
  <c r="GH644" i="98"/>
  <c r="GE644" i="98"/>
  <c r="FO644" i="98"/>
  <c r="GB644" i="98"/>
  <c r="GK644" i="98"/>
  <c r="FR692" i="98"/>
  <c r="GD708" i="98"/>
  <c r="GH708" i="98"/>
  <c r="GE708" i="98"/>
  <c r="FO708" i="98"/>
  <c r="GB708" i="98"/>
  <c r="GK708" i="98"/>
  <c r="GH372" i="98"/>
  <c r="FR558" i="98"/>
  <c r="FR576" i="98"/>
  <c r="FO608" i="98"/>
  <c r="GK608" i="98"/>
  <c r="GH609" i="98"/>
  <c r="FR688" i="98"/>
  <c r="FR720" i="98"/>
  <c r="FO752" i="98"/>
  <c r="GK752" i="98"/>
  <c r="GE497" i="98"/>
  <c r="FO497" i="98"/>
  <c r="GK497" i="98" s="1"/>
  <c r="FR550" i="98"/>
  <c r="GD693" i="98"/>
  <c r="FR716" i="98"/>
  <c r="FO732" i="98"/>
  <c r="FR568" i="98"/>
  <c r="FO782" i="98"/>
  <c r="GH782" i="98"/>
  <c r="FO798" i="98"/>
  <c r="GE814" i="98"/>
  <c r="FO814" i="98"/>
  <c r="GB814" i="98"/>
  <c r="GD814" i="98"/>
  <c r="GH814" i="98"/>
  <c r="GK814" i="98"/>
  <c r="GE830" i="98"/>
  <c r="FO830" i="98"/>
  <c r="GB830" i="98"/>
  <c r="GD830" i="98"/>
  <c r="GH830" i="98"/>
  <c r="GK830" i="98"/>
  <c r="GA846" i="98"/>
  <c r="GE846" i="98"/>
  <c r="GI846" i="98"/>
  <c r="FO846" i="98"/>
  <c r="GB846" i="98"/>
  <c r="GF846" i="98"/>
  <c r="GJ846" i="98"/>
  <c r="GD846" i="98"/>
  <c r="GL846" i="98"/>
  <c r="GG846" i="98"/>
  <c r="GH846" i="98"/>
  <c r="GC846" i="98"/>
  <c r="GK846" i="98"/>
  <c r="FO862" i="98"/>
  <c r="GE878" i="98"/>
  <c r="FO878" i="98"/>
  <c r="GB878" i="98"/>
  <c r="GD878" i="98"/>
  <c r="GH878" i="98"/>
  <c r="GK878" i="98"/>
  <c r="GE894" i="98"/>
  <c r="FO894" i="98"/>
  <c r="GB894" i="98"/>
  <c r="GD894" i="98"/>
  <c r="GH894" i="98"/>
  <c r="GK894" i="98"/>
  <c r="FO910" i="98"/>
  <c r="GH910" i="98"/>
  <c r="FO919" i="98"/>
  <c r="GK919" i="98"/>
  <c r="GH919" i="98"/>
  <c r="FO935" i="98"/>
  <c r="GB935" i="98"/>
  <c r="GK935" i="98"/>
  <c r="GD935" i="98"/>
  <c r="GE935" i="98"/>
  <c r="GH935" i="98"/>
  <c r="GD489" i="98"/>
  <c r="FO489" i="98"/>
  <c r="GD664" i="98"/>
  <c r="GH664" i="98"/>
  <c r="GE664" i="98"/>
  <c r="FO664" i="98"/>
  <c r="GB664" i="98"/>
  <c r="GK664" i="98"/>
  <c r="GD785" i="98"/>
  <c r="GH785" i="98"/>
  <c r="GE785" i="98"/>
  <c r="GK785" i="98"/>
  <c r="FO785" i="98"/>
  <c r="GH809" i="98"/>
  <c r="GK809" i="98"/>
  <c r="FO809" i="98"/>
  <c r="GE809" i="98" s="1"/>
  <c r="FO833" i="98"/>
  <c r="GB833" i="98"/>
  <c r="GD857" i="98"/>
  <c r="GH857" i="98"/>
  <c r="GE857" i="98"/>
  <c r="GK857" i="98"/>
  <c r="FO857" i="98"/>
  <c r="GB857" i="98"/>
  <c r="GD881" i="98"/>
  <c r="GH881" i="98"/>
  <c r="GE881" i="98"/>
  <c r="GK881" i="98"/>
  <c r="FO881" i="98"/>
  <c r="GE905" i="98"/>
  <c r="FO905" i="98"/>
  <c r="GK963" i="98"/>
  <c r="GE963" i="98"/>
  <c r="FO963" i="98"/>
  <c r="GB963" i="98"/>
  <c r="FO92" i="98"/>
  <c r="GK92" i="98"/>
  <c r="GD102" i="98"/>
  <c r="GK97" i="98"/>
  <c r="GB118" i="98"/>
  <c r="GE118" i="98"/>
  <c r="GE121" i="98"/>
  <c r="GH121" i="98"/>
  <c r="GD121" i="98"/>
  <c r="GE125" i="98"/>
  <c r="GD125" i="98"/>
  <c r="GH125" i="98"/>
  <c r="GE129" i="98"/>
  <c r="GD129" i="98"/>
  <c r="GH129" i="98"/>
  <c r="GE133" i="98"/>
  <c r="GD133" i="98"/>
  <c r="GH133" i="98"/>
  <c r="FR123" i="98"/>
  <c r="FR131" i="98"/>
  <c r="GE122" i="98"/>
  <c r="GH122" i="98"/>
  <c r="GK122" i="98"/>
  <c r="GH109" i="98"/>
  <c r="GK120" i="98"/>
  <c r="GE120" i="98"/>
  <c r="FO147" i="98"/>
  <c r="GB147" i="98"/>
  <c r="GD147" i="98"/>
  <c r="GE147" i="98"/>
  <c r="GK147" i="98"/>
  <c r="FR147" i="98"/>
  <c r="GH147" i="98"/>
  <c r="FO155" i="98"/>
  <c r="GB155" i="98"/>
  <c r="GD155" i="98"/>
  <c r="GE155" i="98"/>
  <c r="FR155" i="98"/>
  <c r="GH155" i="98"/>
  <c r="FO163" i="98"/>
  <c r="GB163" i="98"/>
  <c r="GD163" i="98"/>
  <c r="GE163" i="98"/>
  <c r="FR163" i="98"/>
  <c r="GH163" i="98"/>
  <c r="GH152" i="98"/>
  <c r="GK152" i="98"/>
  <c r="GK170" i="98"/>
  <c r="GK174" i="98"/>
  <c r="GK178" i="98"/>
  <c r="GK182" i="98"/>
  <c r="GK190" i="98"/>
  <c r="GK194" i="98"/>
  <c r="GK198" i="98"/>
  <c r="GD130" i="98"/>
  <c r="GE138" i="98"/>
  <c r="GH138" i="98"/>
  <c r="GB138" i="98"/>
  <c r="FO138" i="98"/>
  <c r="GD138" i="98"/>
  <c r="GB157" i="98"/>
  <c r="GE157" i="98"/>
  <c r="GD157" i="98"/>
  <c r="GD168" i="98"/>
  <c r="FR169" i="98"/>
  <c r="GH112" i="98"/>
  <c r="GB141" i="98"/>
  <c r="GE141" i="98"/>
  <c r="GD154" i="98"/>
  <c r="GB154" i="98"/>
  <c r="FR180" i="98"/>
  <c r="GE195" i="98"/>
  <c r="GH195" i="98"/>
  <c r="GK195" i="98"/>
  <c r="FO217" i="98"/>
  <c r="GH148" i="98"/>
  <c r="FR192" i="98"/>
  <c r="GK144" i="98"/>
  <c r="GB187" i="98"/>
  <c r="GB195" i="98"/>
  <c r="GE203" i="98"/>
  <c r="FO203" i="98"/>
  <c r="GD203" i="98" s="1"/>
  <c r="GK203" i="98"/>
  <c r="GD211" i="98"/>
  <c r="GB211" i="98"/>
  <c r="FO211" i="98"/>
  <c r="GH211" i="98" s="1"/>
  <c r="GK211" i="98"/>
  <c r="GH219" i="98"/>
  <c r="GB219" i="98"/>
  <c r="GK219" i="98"/>
  <c r="FO219" i="98"/>
  <c r="GH227" i="98"/>
  <c r="GE227" i="98"/>
  <c r="FO227" i="98"/>
  <c r="GK227" i="98"/>
  <c r="GD183" i="98"/>
  <c r="FR217" i="98"/>
  <c r="GH202" i="98"/>
  <c r="GB202" i="98"/>
  <c r="GK202" i="98"/>
  <c r="FR232" i="98"/>
  <c r="GB234" i="98"/>
  <c r="GD234" i="98"/>
  <c r="GH234" i="98"/>
  <c r="FR235" i="98"/>
  <c r="FT246" i="98"/>
  <c r="FR250" i="98"/>
  <c r="FO255" i="98"/>
  <c r="GH255" i="98"/>
  <c r="GB207" i="98"/>
  <c r="GE207" i="98"/>
  <c r="GD207" i="98"/>
  <c r="GB231" i="98"/>
  <c r="GH231" i="98"/>
  <c r="GD241" i="98"/>
  <c r="FO241" i="98"/>
  <c r="GH241" i="98" s="1"/>
  <c r="GB241" i="98"/>
  <c r="GD249" i="98"/>
  <c r="GH249" i="98"/>
  <c r="GE249" i="98"/>
  <c r="GK249" i="98"/>
  <c r="FO249" i="98"/>
  <c r="GB249" i="98"/>
  <c r="GH257" i="98"/>
  <c r="GE257" i="98"/>
  <c r="GK257" i="98"/>
  <c r="FO257" i="98"/>
  <c r="GD266" i="98"/>
  <c r="GH266" i="98"/>
  <c r="GL266" i="98"/>
  <c r="GA266" i="98"/>
  <c r="GE266" i="98"/>
  <c r="GI266" i="98"/>
  <c r="GB266" i="98"/>
  <c r="GF266" i="98"/>
  <c r="GJ266" i="98"/>
  <c r="FO266" i="98"/>
  <c r="GC266" i="98"/>
  <c r="GG266" i="98"/>
  <c r="GK266" i="98"/>
  <c r="FO281" i="98"/>
  <c r="GB179" i="98"/>
  <c r="GE179" i="98"/>
  <c r="GH179" i="98"/>
  <c r="GK179" i="98"/>
  <c r="GE261" i="98"/>
  <c r="GK264" i="98"/>
  <c r="FO264" i="98"/>
  <c r="GB264" i="98"/>
  <c r="GD264" i="98"/>
  <c r="FR268" i="98"/>
  <c r="FR270" i="98"/>
  <c r="FR284" i="98"/>
  <c r="FR286" i="98"/>
  <c r="GB295" i="98"/>
  <c r="GE303" i="98"/>
  <c r="GH303" i="98"/>
  <c r="GB331" i="98"/>
  <c r="GD275" i="98"/>
  <c r="GH275" i="98"/>
  <c r="GH280" i="98"/>
  <c r="GK280" i="98"/>
  <c r="FR282" i="98"/>
  <c r="FR209" i="98"/>
  <c r="GK218" i="98"/>
  <c r="GB239" i="98"/>
  <c r="GB248" i="98"/>
  <c r="FO248" i="98"/>
  <c r="GE248" i="98"/>
  <c r="GK271" i="98"/>
  <c r="GH279" i="98"/>
  <c r="FR313" i="98"/>
  <c r="GD340" i="98"/>
  <c r="GE340" i="98"/>
  <c r="FO340" i="98"/>
  <c r="GH340" i="98" s="1"/>
  <c r="GK340" i="98"/>
  <c r="GB340" i="98"/>
  <c r="GE351" i="98"/>
  <c r="GD351" i="98"/>
  <c r="GB368" i="98"/>
  <c r="GK267" i="98"/>
  <c r="GB287" i="98"/>
  <c r="GH319" i="98"/>
  <c r="GD327" i="98"/>
  <c r="GK327" i="98"/>
  <c r="GB343" i="98"/>
  <c r="GH343" i="98"/>
  <c r="GK343" i="98"/>
  <c r="GD368" i="98"/>
  <c r="GE420" i="98"/>
  <c r="FO420" i="98"/>
  <c r="GB420" i="98"/>
  <c r="GK420" i="98"/>
  <c r="GD420" i="98"/>
  <c r="FR420" i="98"/>
  <c r="GH420" i="98"/>
  <c r="GA436" i="98"/>
  <c r="GE436" i="98"/>
  <c r="GI436" i="98"/>
  <c r="FO436" i="98"/>
  <c r="GB436" i="98"/>
  <c r="GF436" i="98"/>
  <c r="GJ436" i="98"/>
  <c r="GC436" i="98"/>
  <c r="GG436" i="98"/>
  <c r="GK436" i="98"/>
  <c r="GH436" i="98"/>
  <c r="GL436" i="98"/>
  <c r="GD436" i="98"/>
  <c r="GA456" i="98"/>
  <c r="GE456" i="98"/>
  <c r="GI456" i="98"/>
  <c r="FO456" i="98"/>
  <c r="GB456" i="98"/>
  <c r="GF456" i="98"/>
  <c r="GJ456" i="98"/>
  <c r="GC456" i="98"/>
  <c r="GG456" i="98"/>
  <c r="GK456" i="98"/>
  <c r="GD456" i="98"/>
  <c r="GH456" i="98"/>
  <c r="GL456" i="98"/>
  <c r="FR285" i="98"/>
  <c r="GE308" i="98"/>
  <c r="FR309" i="98"/>
  <c r="FR317" i="98"/>
  <c r="GE324" i="98"/>
  <c r="FR325" i="98"/>
  <c r="GE332" i="98"/>
  <c r="FR333" i="98"/>
  <c r="GH351" i="98"/>
  <c r="GD356" i="98"/>
  <c r="GH356" i="98"/>
  <c r="GL356" i="98"/>
  <c r="GE356" i="98"/>
  <c r="GJ356" i="98"/>
  <c r="FO356" i="98"/>
  <c r="GA356" i="98"/>
  <c r="GF356" i="98"/>
  <c r="GK356" i="98"/>
  <c r="GG356" i="98"/>
  <c r="GI356" i="98"/>
  <c r="GB356" i="98"/>
  <c r="GC356" i="98"/>
  <c r="FR367" i="98"/>
  <c r="FR371" i="98"/>
  <c r="FO383" i="98"/>
  <c r="GK383" i="98"/>
  <c r="FR383" i="98"/>
  <c r="GK402" i="98"/>
  <c r="GD402" i="98"/>
  <c r="GH402" i="98"/>
  <c r="GE402" i="98"/>
  <c r="FO402" i="98"/>
  <c r="GK414" i="98"/>
  <c r="GH414" i="98"/>
  <c r="GE414" i="98"/>
  <c r="FO414" i="98"/>
  <c r="FR441" i="98"/>
  <c r="FO450" i="98"/>
  <c r="GH307" i="98"/>
  <c r="GD307" i="98"/>
  <c r="GK307" i="98"/>
  <c r="GD355" i="98"/>
  <c r="GK380" i="98"/>
  <c r="GE393" i="98"/>
  <c r="GE433" i="98"/>
  <c r="GE449" i="98"/>
  <c r="FR467" i="98"/>
  <c r="GE473" i="98"/>
  <c r="GE483" i="98"/>
  <c r="GE499" i="98"/>
  <c r="GE515" i="98"/>
  <c r="GH291" i="98"/>
  <c r="GD291" i="98"/>
  <c r="GK291" i="98"/>
  <c r="GB323" i="98"/>
  <c r="GB344" i="98"/>
  <c r="GD344" i="98"/>
  <c r="GD348" i="98"/>
  <c r="GE348" i="98"/>
  <c r="FO348" i="98"/>
  <c r="GH348" i="98" s="1"/>
  <c r="GK348" i="98"/>
  <c r="GB348" i="98"/>
  <c r="FR370" i="98"/>
  <c r="GB385" i="98"/>
  <c r="GE385" i="98"/>
  <c r="GD385" i="98"/>
  <c r="GB413" i="98"/>
  <c r="GH433" i="98"/>
  <c r="GK433" i="98"/>
  <c r="FR435" i="98"/>
  <c r="FR443" i="98"/>
  <c r="GB449" i="98"/>
  <c r="GB473" i="98"/>
  <c r="GB479" i="98"/>
  <c r="GD479" i="98"/>
  <c r="GH479" i="98"/>
  <c r="GB495" i="98"/>
  <c r="GD495" i="98"/>
  <c r="GH495" i="98"/>
  <c r="GB511" i="98"/>
  <c r="GD511" i="98"/>
  <c r="GH511" i="98"/>
  <c r="GB547" i="98"/>
  <c r="GH547" i="98"/>
  <c r="GD547" i="98"/>
  <c r="FO567" i="98"/>
  <c r="GD567" i="98"/>
  <c r="GE567" i="98"/>
  <c r="GB374" i="98"/>
  <c r="GE374" i="98"/>
  <c r="GB380" i="98"/>
  <c r="GB401" i="98"/>
  <c r="FR410" i="98"/>
  <c r="FR418" i="98"/>
  <c r="FR429" i="98"/>
  <c r="FR471" i="98"/>
  <c r="GB472" i="98"/>
  <c r="GE472" i="98"/>
  <c r="GK565" i="98"/>
  <c r="GD565" i="98"/>
  <c r="GH565" i="98"/>
  <c r="GE565" i="98"/>
  <c r="FO565" i="98"/>
  <c r="GB565" i="98"/>
  <c r="GK408" i="98"/>
  <c r="GH480" i="98"/>
  <c r="GK480" i="98"/>
  <c r="GE484" i="98"/>
  <c r="GB492" i="98"/>
  <c r="GE500" i="98"/>
  <c r="GB508" i="98"/>
  <c r="GH512" i="98"/>
  <c r="GK512" i="98"/>
  <c r="GB540" i="98"/>
  <c r="GB552" i="98"/>
  <c r="GH560" i="98"/>
  <c r="GK560" i="98"/>
  <c r="FR330" i="98"/>
  <c r="FO354" i="98"/>
  <c r="GB354" i="98"/>
  <c r="GD354" i="98"/>
  <c r="GE354" i="98"/>
  <c r="GK354" i="98"/>
  <c r="GH354" i="98"/>
  <c r="GK400" i="98"/>
  <c r="FR442" i="98"/>
  <c r="FR486" i="98"/>
  <c r="FR502" i="98"/>
  <c r="FR518" i="98"/>
  <c r="GK539" i="98"/>
  <c r="FR542" i="98"/>
  <c r="GD551" i="98"/>
  <c r="FR565" i="98"/>
  <c r="GB397" i="98"/>
  <c r="FR436" i="98"/>
  <c r="FR465" i="98"/>
  <c r="FO524" i="98"/>
  <c r="GD524" i="98"/>
  <c r="FO536" i="98"/>
  <c r="GB536" i="98"/>
  <c r="GF536" i="98"/>
  <c r="GJ536" i="98"/>
  <c r="GC536" i="98"/>
  <c r="GG536" i="98"/>
  <c r="GK536" i="98"/>
  <c r="GD536" i="98"/>
  <c r="GH536" i="98"/>
  <c r="GL536" i="98"/>
  <c r="GA536" i="98"/>
  <c r="GE536" i="98"/>
  <c r="GI536" i="98"/>
  <c r="FO548" i="98"/>
  <c r="GB548" i="98"/>
  <c r="GK548" i="98"/>
  <c r="GD548" i="98"/>
  <c r="GH548" i="98"/>
  <c r="GE548" i="98"/>
  <c r="FO579" i="98"/>
  <c r="FO595" i="98"/>
  <c r="GK611" i="98"/>
  <c r="GH611" i="98"/>
  <c r="GE611" i="98"/>
  <c r="FO611" i="98"/>
  <c r="GB611" i="98"/>
  <c r="GK627" i="98"/>
  <c r="GH627" i="98"/>
  <c r="GE627" i="98"/>
  <c r="FO627" i="98"/>
  <c r="GB627" i="98"/>
  <c r="FO643" i="98"/>
  <c r="FO659" i="98"/>
  <c r="GK675" i="98"/>
  <c r="GH675" i="98"/>
  <c r="GE675" i="98"/>
  <c r="FO675" i="98"/>
  <c r="GB675" i="98"/>
  <c r="GK691" i="98"/>
  <c r="GH691" i="98"/>
  <c r="GE691" i="98"/>
  <c r="FO691" i="98"/>
  <c r="GB691" i="98"/>
  <c r="FO707" i="98"/>
  <c r="FO723" i="98"/>
  <c r="GK739" i="98"/>
  <c r="GH739" i="98"/>
  <c r="GE739" i="98"/>
  <c r="FO739" i="98"/>
  <c r="GB739" i="98"/>
  <c r="GK755" i="98"/>
  <c r="GH755" i="98"/>
  <c r="GE755" i="98"/>
  <c r="FO755" i="98"/>
  <c r="GB755" i="98"/>
  <c r="FO771" i="98"/>
  <c r="GD505" i="98"/>
  <c r="FO505" i="98"/>
  <c r="FR535" i="98"/>
  <c r="GE545" i="98"/>
  <c r="GH545" i="98"/>
  <c r="GK545" i="98"/>
  <c r="FR571" i="98"/>
  <c r="GE578" i="98"/>
  <c r="GK581" i="98"/>
  <c r="GD593" i="98"/>
  <c r="GH597" i="98"/>
  <c r="GD597" i="98"/>
  <c r="GB610" i="98"/>
  <c r="GE622" i="98"/>
  <c r="FR628" i="98"/>
  <c r="GB629" i="98"/>
  <c r="GE629" i="98"/>
  <c r="GD637" i="98"/>
  <c r="GH637" i="98"/>
  <c r="GH642" i="98"/>
  <c r="GK642" i="98"/>
  <c r="FR644" i="98"/>
  <c r="GB645" i="98"/>
  <c r="GE645" i="98"/>
  <c r="GD653" i="98"/>
  <c r="GH653" i="98"/>
  <c r="GH658" i="98"/>
  <c r="GK658" i="98"/>
  <c r="FR660" i="98"/>
  <c r="GB661" i="98"/>
  <c r="GE661" i="98"/>
  <c r="FR674" i="98"/>
  <c r="FR676" i="98"/>
  <c r="GK701" i="98"/>
  <c r="FR706" i="98"/>
  <c r="FR708" i="98"/>
  <c r="GD733" i="98"/>
  <c r="GH733" i="98"/>
  <c r="FR754" i="98"/>
  <c r="FR756" i="98"/>
  <c r="FR763" i="98"/>
  <c r="GB765" i="98"/>
  <c r="GE765" i="98"/>
  <c r="FO770" i="98"/>
  <c r="GD770" i="98"/>
  <c r="GB372" i="98"/>
  <c r="GE425" i="98"/>
  <c r="FO481" i="98"/>
  <c r="FO509" i="98"/>
  <c r="GB509" i="98"/>
  <c r="FR523" i="98"/>
  <c r="GE537" i="98"/>
  <c r="GH537" i="98"/>
  <c r="GK537" i="98"/>
  <c r="GH577" i="98"/>
  <c r="GK593" i="98"/>
  <c r="GE602" i="98"/>
  <c r="FR608" i="98"/>
  <c r="GB609" i="98"/>
  <c r="GE609" i="98"/>
  <c r="GB622" i="98"/>
  <c r="FR631" i="98"/>
  <c r="GB633" i="98"/>
  <c r="GE633" i="98"/>
  <c r="GE634" i="98"/>
  <c r="GK649" i="98"/>
  <c r="GB654" i="98"/>
  <c r="GD665" i="98"/>
  <c r="GH665" i="98"/>
  <c r="FR679" i="98"/>
  <c r="GH689" i="98"/>
  <c r="GK697" i="98"/>
  <c r="GB702" i="98"/>
  <c r="FR711" i="98"/>
  <c r="GH721" i="98"/>
  <c r="GK729" i="98"/>
  <c r="FR750" i="98"/>
  <c r="FR752" i="98"/>
  <c r="GK761" i="98"/>
  <c r="GB347" i="98"/>
  <c r="GH347" i="98"/>
  <c r="FO347" i="98"/>
  <c r="GD347" i="98"/>
  <c r="GD485" i="98"/>
  <c r="FO485" i="98"/>
  <c r="GB529" i="98"/>
  <c r="GD529" i="98"/>
  <c r="GB570" i="98"/>
  <c r="FR579" i="98"/>
  <c r="GK589" i="98"/>
  <c r="GB602" i="98"/>
  <c r="FR611" i="98"/>
  <c r="GK621" i="98"/>
  <c r="GB634" i="98"/>
  <c r="GB650" i="98"/>
  <c r="FR666" i="98"/>
  <c r="FR668" i="98"/>
  <c r="GB682" i="98"/>
  <c r="FR691" i="98"/>
  <c r="GB693" i="98"/>
  <c r="GE693" i="98"/>
  <c r="GB698" i="98"/>
  <c r="GD709" i="98"/>
  <c r="GH717" i="98"/>
  <c r="FR730" i="98"/>
  <c r="FR732" i="98"/>
  <c r="FR746" i="98"/>
  <c r="FR748" i="98"/>
  <c r="FR762" i="98"/>
  <c r="FR764" i="98"/>
  <c r="FT776" i="98"/>
  <c r="GK585" i="98"/>
  <c r="FR953" i="98"/>
  <c r="FR543" i="98"/>
  <c r="GE557" i="98"/>
  <c r="GH557" i="98"/>
  <c r="GK557" i="98"/>
  <c r="GE614" i="98"/>
  <c r="GH614" i="98"/>
  <c r="GK614" i="98"/>
  <c r="FR616" i="98"/>
  <c r="FO783" i="98"/>
  <c r="GB783" i="98"/>
  <c r="GK783" i="98"/>
  <c r="GE783" i="98"/>
  <c r="GH783" i="98"/>
  <c r="FO799" i="98"/>
  <c r="GB799" i="98"/>
  <c r="GK799" i="98"/>
  <c r="GD799" i="98"/>
  <c r="GE799" i="98"/>
  <c r="GH799" i="98"/>
  <c r="FO815" i="98"/>
  <c r="GD815" i="98"/>
  <c r="GH815" i="98"/>
  <c r="FO831" i="98"/>
  <c r="GH831" i="98"/>
  <c r="FO847" i="98"/>
  <c r="GB847" i="98"/>
  <c r="GK847" i="98"/>
  <c r="GE847" i="98"/>
  <c r="GH847" i="98"/>
  <c r="FO863" i="98"/>
  <c r="GB863" i="98"/>
  <c r="GK863" i="98"/>
  <c r="GD863" i="98"/>
  <c r="GE863" i="98"/>
  <c r="GH863" i="98"/>
  <c r="FO879" i="98"/>
  <c r="GD879" i="98"/>
  <c r="GH879" i="98"/>
  <c r="FT886" i="98"/>
  <c r="FO895" i="98"/>
  <c r="GD895" i="98"/>
  <c r="GH895" i="98"/>
  <c r="FO911" i="98"/>
  <c r="GH911" i="98"/>
  <c r="FO927" i="98"/>
  <c r="GB927" i="98"/>
  <c r="GK927" i="98"/>
  <c r="GE927" i="98"/>
  <c r="GH927" i="98"/>
  <c r="FT934" i="98"/>
  <c r="FR938" i="98"/>
  <c r="GD601" i="98"/>
  <c r="GB601" i="98"/>
  <c r="GE601" i="98"/>
  <c r="GE662" i="98"/>
  <c r="GH662" i="98"/>
  <c r="GK662" i="98"/>
  <c r="FR664" i="98"/>
  <c r="GK737" i="98"/>
  <c r="GD781" i="98"/>
  <c r="GH781" i="98"/>
  <c r="GE781" i="98"/>
  <c r="GK781" i="98"/>
  <c r="FO781" i="98"/>
  <c r="GB781" i="98"/>
  <c r="GH789" i="98"/>
  <c r="GE789" i="98"/>
  <c r="GK789" i="98"/>
  <c r="FO789" i="98"/>
  <c r="FO797" i="98"/>
  <c r="GD805" i="98"/>
  <c r="FO805" i="98"/>
  <c r="GH805" i="98" s="1"/>
  <c r="GB805" i="98"/>
  <c r="GD813" i="98"/>
  <c r="GH813" i="98"/>
  <c r="GE813" i="98"/>
  <c r="GK813" i="98"/>
  <c r="FO813" i="98"/>
  <c r="GB813" i="98"/>
  <c r="GH821" i="98"/>
  <c r="GE821" i="98"/>
  <c r="GK821" i="98"/>
  <c r="FO821" i="98"/>
  <c r="FO829" i="98"/>
  <c r="GD837" i="98"/>
  <c r="FO837" i="98"/>
  <c r="GH837" i="98" s="1"/>
  <c r="GB837" i="98"/>
  <c r="GD845" i="98"/>
  <c r="GH845" i="98"/>
  <c r="GE845" i="98"/>
  <c r="GK845" i="98"/>
  <c r="FO845" i="98"/>
  <c r="GB845" i="98"/>
  <c r="GH853" i="98"/>
  <c r="GE853" i="98"/>
  <c r="GK853" i="98"/>
  <c r="FO853" i="98"/>
  <c r="FO861" i="98"/>
  <c r="GD869" i="98"/>
  <c r="FO869" i="98"/>
  <c r="GH869" i="98" s="1"/>
  <c r="GB869" i="98"/>
  <c r="GD877" i="98"/>
  <c r="GH877" i="98"/>
  <c r="GE877" i="98"/>
  <c r="GK877" i="98"/>
  <c r="FO877" i="98"/>
  <c r="GB877" i="98"/>
  <c r="GH885" i="98"/>
  <c r="GE885" i="98"/>
  <c r="GK885" i="98"/>
  <c r="FO885" i="98"/>
  <c r="FO893" i="98"/>
  <c r="GD901" i="98"/>
  <c r="FO901" i="98"/>
  <c r="GH901" i="98" s="1"/>
  <c r="GB901" i="98"/>
  <c r="GD909" i="98"/>
  <c r="GH909" i="98"/>
  <c r="GE909" i="98"/>
  <c r="GK909" i="98"/>
  <c r="FO909" i="98"/>
  <c r="GB909" i="98"/>
  <c r="GH917" i="98"/>
  <c r="GE917" i="98"/>
  <c r="GK917" i="98"/>
  <c r="FO917" i="98"/>
  <c r="FO925" i="98"/>
  <c r="GD933" i="98"/>
  <c r="FO933" i="98"/>
  <c r="GH933" i="98" s="1"/>
  <c r="GB933" i="98"/>
  <c r="FO971" i="98"/>
  <c r="GK987" i="98"/>
  <c r="GD987" i="98"/>
  <c r="GH987" i="98"/>
  <c r="GE987" i="98"/>
  <c r="FO987" i="98"/>
  <c r="GB987" i="98"/>
  <c r="GK1003" i="98"/>
  <c r="GD1003" i="98"/>
  <c r="GH1003" i="98"/>
  <c r="GE1003" i="98"/>
  <c r="FO1003" i="98"/>
  <c r="GB1003" i="98"/>
  <c r="FR639" i="98"/>
  <c r="FR894" i="98"/>
  <c r="FR910" i="98"/>
  <c r="FR926" i="98"/>
  <c r="GH944" i="98"/>
  <c r="GB961" i="98"/>
  <c r="GE961" i="98"/>
  <c r="FO966" i="98"/>
  <c r="GB966" i="98"/>
  <c r="GF966" i="98"/>
  <c r="GJ966" i="98"/>
  <c r="GC966" i="98"/>
  <c r="GG966" i="98"/>
  <c r="GK966" i="98"/>
  <c r="GD966" i="98"/>
  <c r="GH966" i="98"/>
  <c r="GL966" i="98"/>
  <c r="GI966" i="98"/>
  <c r="GA966" i="98"/>
  <c r="GE966" i="98"/>
  <c r="GH969" i="98"/>
  <c r="GK977" i="98"/>
  <c r="GD993" i="98"/>
  <c r="GH993" i="98"/>
  <c r="FT1012" i="98"/>
  <c r="FR1016" i="98"/>
  <c r="FO1021" i="98"/>
  <c r="GB1021" i="98"/>
  <c r="GK1021" i="98"/>
  <c r="FR1021" i="98"/>
  <c r="GH1021" i="98"/>
  <c r="GD1021" i="98"/>
  <c r="FT1028" i="98"/>
  <c r="FR1032" i="98"/>
  <c r="FR1037" i="98"/>
  <c r="GD1047" i="98"/>
  <c r="GH1047" i="98"/>
  <c r="GE1047" i="98"/>
  <c r="FO1047" i="98"/>
  <c r="GK1047" i="98"/>
  <c r="GB1047" i="98"/>
  <c r="FO1057" i="98"/>
  <c r="GB1057" i="98"/>
  <c r="FR1057" i="98"/>
  <c r="GH1057" i="98"/>
  <c r="GD1057" i="98"/>
  <c r="GK1057" i="98"/>
  <c r="GE1057" i="98"/>
  <c r="FR1069" i="98"/>
  <c r="FO1079" i="98"/>
  <c r="GK1079" i="98"/>
  <c r="FO1089" i="98"/>
  <c r="FR1089" i="98"/>
  <c r="GH1089" i="98"/>
  <c r="GE1089" i="98"/>
  <c r="FR696" i="98"/>
  <c r="FR783" i="98"/>
  <c r="GB788" i="98"/>
  <c r="FO788" i="98"/>
  <c r="GE788" i="98"/>
  <c r="FR799" i="98"/>
  <c r="GB804" i="98"/>
  <c r="FO804" i="98"/>
  <c r="GE804" i="98"/>
  <c r="FR815" i="98"/>
  <c r="GB820" i="98"/>
  <c r="FO820" i="98"/>
  <c r="GE820" i="98"/>
  <c r="FR831" i="98"/>
  <c r="GC836" i="98"/>
  <c r="GG836" i="98"/>
  <c r="GK836" i="98"/>
  <c r="GD836" i="98"/>
  <c r="GH836" i="98"/>
  <c r="GL836" i="98"/>
  <c r="GB836" i="98"/>
  <c r="GJ836" i="98"/>
  <c r="FO836" i="98"/>
  <c r="GE836" i="98"/>
  <c r="GF836" i="98"/>
  <c r="GA836" i="98"/>
  <c r="GI836" i="98"/>
  <c r="FR847" i="98"/>
  <c r="GB852" i="98"/>
  <c r="FO852" i="98"/>
  <c r="GE852" i="98"/>
  <c r="FR863" i="98"/>
  <c r="GB868" i="98"/>
  <c r="FO868" i="98"/>
  <c r="GE868" i="98"/>
  <c r="FR879" i="98"/>
  <c r="GB884" i="98"/>
  <c r="FO884" i="98"/>
  <c r="GE884" i="98"/>
  <c r="FR895" i="98"/>
  <c r="GB900" i="98"/>
  <c r="FO900" i="98"/>
  <c r="GE900" i="98"/>
  <c r="FR911" i="98"/>
  <c r="GC916" i="98"/>
  <c r="GG916" i="98"/>
  <c r="GK916" i="98"/>
  <c r="GD916" i="98"/>
  <c r="GH916" i="98"/>
  <c r="GL916" i="98"/>
  <c r="GB916" i="98"/>
  <c r="GJ916" i="98"/>
  <c r="FO916" i="98"/>
  <c r="GE916" i="98"/>
  <c r="GF916" i="98"/>
  <c r="GA916" i="98"/>
  <c r="GI916" i="98"/>
  <c r="FR927" i="98"/>
  <c r="GB932" i="98"/>
  <c r="FO932" i="98"/>
  <c r="GE932" i="98"/>
  <c r="GE944" i="98"/>
  <c r="GD944" i="98"/>
  <c r="GB954" i="98"/>
  <c r="GE954" i="98"/>
  <c r="FO962" i="98"/>
  <c r="GB962" i="98"/>
  <c r="GK962" i="98"/>
  <c r="GD962" i="98"/>
  <c r="GH962" i="98"/>
  <c r="GE962" i="98"/>
  <c r="FR971" i="98"/>
  <c r="GB973" i="98"/>
  <c r="GE973" i="98"/>
  <c r="FO978" i="98"/>
  <c r="GD978" i="98"/>
  <c r="GE978" i="98"/>
  <c r="FR987" i="98"/>
  <c r="GB989" i="98"/>
  <c r="GE989" i="98"/>
  <c r="FO994" i="98"/>
  <c r="GD994" i="98"/>
  <c r="FR1003" i="98"/>
  <c r="GB1005" i="98"/>
  <c r="GE1005" i="98"/>
  <c r="FR1015" i="98"/>
  <c r="FR1031" i="98"/>
  <c r="GK969" i="98"/>
  <c r="FO974" i="98"/>
  <c r="GB974" i="98"/>
  <c r="GK974" i="98"/>
  <c r="GD974" i="98"/>
  <c r="GH974" i="98"/>
  <c r="GE974" i="98"/>
  <c r="GB985" i="98"/>
  <c r="GE985" i="98"/>
  <c r="FR990" i="98"/>
  <c r="FR992" i="98"/>
  <c r="GD1005" i="98"/>
  <c r="FR1047" i="98"/>
  <c r="FR1063" i="98"/>
  <c r="FR1079" i="98"/>
  <c r="FR1127" i="98"/>
  <c r="GE960" i="98"/>
  <c r="GH960" i="98"/>
  <c r="GK981" i="98"/>
  <c r="GB1010" i="98"/>
  <c r="GK1122" i="98"/>
  <c r="FR1129" i="98"/>
  <c r="GB1138" i="98"/>
  <c r="GE1138" i="98"/>
  <c r="GD1148" i="98"/>
  <c r="GD1150" i="98"/>
  <c r="GE1152" i="98"/>
  <c r="FR1163" i="98"/>
  <c r="FO1179" i="98"/>
  <c r="GB1179" i="98"/>
  <c r="GH1179" i="98"/>
  <c r="GK1179" i="98"/>
  <c r="GE1179" i="98"/>
  <c r="GB1184" i="98"/>
  <c r="GD1184" i="98"/>
  <c r="GH1184" i="98"/>
  <c r="GH1188" i="98"/>
  <c r="GD1198" i="98"/>
  <c r="GE1200" i="98"/>
  <c r="FR1211" i="98"/>
  <c r="FO1227" i="98"/>
  <c r="GB1227" i="98"/>
  <c r="GD1227" i="98"/>
  <c r="GH1227" i="98"/>
  <c r="GE1227" i="98"/>
  <c r="GK1227" i="98"/>
  <c r="GB1232" i="98"/>
  <c r="GD1232" i="98"/>
  <c r="GH1232" i="98"/>
  <c r="FO1241" i="98"/>
  <c r="GD1241" i="98" s="1"/>
  <c r="GH1252" i="98"/>
  <c r="FO1273" i="98"/>
  <c r="GD1273" i="98" s="1"/>
  <c r="GB1280" i="98"/>
  <c r="GD1280" i="98"/>
  <c r="GH1280" i="98"/>
  <c r="FR1291" i="98"/>
  <c r="FO1305" i="98"/>
  <c r="GK1305" i="98"/>
  <c r="GE1305" i="98"/>
  <c r="FO1315" i="98"/>
  <c r="GB1315" i="98"/>
  <c r="GD1315" i="98"/>
  <c r="GK1315" i="98"/>
  <c r="FO1347" i="98"/>
  <c r="GK1347" i="98"/>
  <c r="FO1379" i="98"/>
  <c r="GK1379" i="98"/>
  <c r="FO1411" i="98"/>
  <c r="GH1411" i="98"/>
  <c r="GK1411" i="98"/>
  <c r="FO1443" i="98"/>
  <c r="GB1443" i="98"/>
  <c r="GH1443" i="98"/>
  <c r="GD1443" i="98"/>
  <c r="GE1443" i="98"/>
  <c r="GK1443" i="98"/>
  <c r="FO1475" i="98"/>
  <c r="GB1475" i="98"/>
  <c r="GD1475" i="98"/>
  <c r="GK1475" i="98"/>
  <c r="GD1034" i="98"/>
  <c r="GE1022" i="98"/>
  <c r="GH1022" i="98"/>
  <c r="GK1022" i="98"/>
  <c r="GB1044" i="98"/>
  <c r="GE1044" i="98"/>
  <c r="GE1099" i="98"/>
  <c r="GE1115" i="98"/>
  <c r="GB1118" i="98"/>
  <c r="GE1118" i="98"/>
  <c r="GB1128" i="98"/>
  <c r="GB1134" i="98"/>
  <c r="GE1134" i="98"/>
  <c r="GB1144" i="98"/>
  <c r="GD1149" i="98"/>
  <c r="GH1149" i="98"/>
  <c r="FO1149" i="98"/>
  <c r="GB1149" i="98"/>
  <c r="GE1149" i="98"/>
  <c r="GK1149" i="98"/>
  <c r="FR1151" i="98"/>
  <c r="FO1158" i="98"/>
  <c r="FO1165" i="98"/>
  <c r="FR1167" i="98"/>
  <c r="GE1172" i="98"/>
  <c r="GE1174" i="98"/>
  <c r="GH1174" i="98"/>
  <c r="FO1174" i="98"/>
  <c r="GD1181" i="98"/>
  <c r="GH1181" i="98"/>
  <c r="FO1181" i="98"/>
  <c r="GB1181" i="98"/>
  <c r="GE1181" i="98"/>
  <c r="GK1181" i="98"/>
  <c r="FR1183" i="98"/>
  <c r="GE1188" i="98"/>
  <c r="GE1190" i="98"/>
  <c r="GK1190" i="98"/>
  <c r="GH1190" i="98"/>
  <c r="FO1190" i="98"/>
  <c r="GD1190" i="98"/>
  <c r="GD1197" i="98"/>
  <c r="GH1197" i="98"/>
  <c r="FO1197" i="98"/>
  <c r="GB1197" i="98"/>
  <c r="GE1197" i="98"/>
  <c r="FR1199" i="98"/>
  <c r="GE1204" i="98"/>
  <c r="GA1206" i="98"/>
  <c r="GE1206" i="98"/>
  <c r="GI1206" i="98"/>
  <c r="GC1206" i="98"/>
  <c r="GG1206" i="98"/>
  <c r="GK1206" i="98"/>
  <c r="GH1206" i="98"/>
  <c r="GB1206" i="98"/>
  <c r="GJ1206" i="98"/>
  <c r="FO1206" i="98"/>
  <c r="GD1206" i="98"/>
  <c r="GL1206" i="98"/>
  <c r="GF1206" i="98"/>
  <c r="FO1213" i="98"/>
  <c r="GD1213" i="98" s="1"/>
  <c r="FR1215" i="98"/>
  <c r="GE1220" i="98"/>
  <c r="FO1222" i="98"/>
  <c r="FO1229" i="98"/>
  <c r="FR1231" i="98"/>
  <c r="GK1238" i="98"/>
  <c r="FO1238" i="98"/>
  <c r="FO1245" i="98"/>
  <c r="GD1245" i="98" s="1"/>
  <c r="FR1247" i="98"/>
  <c r="GE1252" i="98"/>
  <c r="GE1254" i="98"/>
  <c r="GK1254" i="98"/>
  <c r="GH1254" i="98"/>
  <c r="GB1254" i="98"/>
  <c r="FO1254" i="98"/>
  <c r="GD1254" i="98"/>
  <c r="FO1263" i="98"/>
  <c r="GH1263" i="98"/>
  <c r="GK1263" i="98"/>
  <c r="FO1295" i="98"/>
  <c r="GD1295" i="98"/>
  <c r="GH1295" i="98"/>
  <c r="GE1295" i="98"/>
  <c r="GK1295" i="98"/>
  <c r="GB1512" i="98"/>
  <c r="GD1512" i="98"/>
  <c r="GH1512" i="98"/>
  <c r="GB1528" i="98"/>
  <c r="GD1528" i="98"/>
  <c r="GH1528" i="98"/>
  <c r="GB1544" i="98"/>
  <c r="GH1544" i="98"/>
  <c r="GD1544" i="98"/>
  <c r="GB1560" i="98"/>
  <c r="GD1560" i="98"/>
  <c r="GH1560" i="98"/>
  <c r="GB1592" i="98"/>
  <c r="GD1592" i="98"/>
  <c r="GH1592" i="98"/>
  <c r="GB1608" i="98"/>
  <c r="GD1608" i="98"/>
  <c r="GH1608" i="98"/>
  <c r="GB1624" i="98"/>
  <c r="GH1624" i="98"/>
  <c r="GD1624" i="98"/>
  <c r="GB1640" i="98"/>
  <c r="GD1640" i="98"/>
  <c r="GH1640" i="98"/>
  <c r="GB1672" i="98"/>
  <c r="GD1672" i="98"/>
  <c r="GH1672" i="98"/>
  <c r="GB1680" i="98"/>
  <c r="GB1684" i="98"/>
  <c r="GE1091" i="98"/>
  <c r="GH1139" i="98"/>
  <c r="GK1139" i="98"/>
  <c r="GK1164" i="98"/>
  <c r="GK1212" i="98"/>
  <c r="GK997" i="98"/>
  <c r="GD1068" i="98"/>
  <c r="GB1084" i="98"/>
  <c r="GE1084" i="98"/>
  <c r="FO1095" i="98"/>
  <c r="GD1095" i="98"/>
  <c r="GB1098" i="98"/>
  <c r="GE1098" i="98"/>
  <c r="GB1114" i="98"/>
  <c r="GE1114" i="98"/>
  <c r="GK1130" i="98"/>
  <c r="FO1143" i="98"/>
  <c r="GB1143" i="98"/>
  <c r="GK1143" i="98"/>
  <c r="GD1143" i="98"/>
  <c r="GH1143" i="98"/>
  <c r="GE1143" i="98"/>
  <c r="GH1150" i="98"/>
  <c r="FR1153" i="98"/>
  <c r="GE1160" i="98"/>
  <c r="GD1169" i="98"/>
  <c r="GH1169" i="98"/>
  <c r="FO1169" i="98"/>
  <c r="GB1169" i="98"/>
  <c r="GE1169" i="98"/>
  <c r="FO1171" i="98"/>
  <c r="GD1171" i="98"/>
  <c r="GH1171" i="98"/>
  <c r="GK1171" i="98"/>
  <c r="GH1182" i="98"/>
  <c r="FR1185" i="98"/>
  <c r="GD1188" i="98"/>
  <c r="GE1192" i="98"/>
  <c r="FR1217" i="98"/>
  <c r="GD1220" i="98"/>
  <c r="GE1224" i="98"/>
  <c r="FR1235" i="98"/>
  <c r="GH1240" i="98"/>
  <c r="GB1240" i="98"/>
  <c r="GD1240" i="98"/>
  <c r="GD1249" i="98"/>
  <c r="GH1249" i="98"/>
  <c r="FO1249" i="98"/>
  <c r="GB1249" i="98"/>
  <c r="GK1249" i="98"/>
  <c r="GE1249" i="98"/>
  <c r="FO1251" i="98"/>
  <c r="GH1251" i="98"/>
  <c r="FR1265" i="98"/>
  <c r="GD1268" i="98"/>
  <c r="GE1272" i="98"/>
  <c r="FR1299" i="98"/>
  <c r="GH1304" i="98"/>
  <c r="GB1304" i="98"/>
  <c r="GD1304" i="98"/>
  <c r="FR1541" i="98"/>
  <c r="FR1621" i="98"/>
  <c r="FR726" i="98"/>
  <c r="GD1010" i="98"/>
  <c r="GB1043" i="98"/>
  <c r="GD1043" i="98"/>
  <c r="GD1078" i="98"/>
  <c r="GK1110" i="98"/>
  <c r="GD1112" i="98"/>
  <c r="GK1112" i="98"/>
  <c r="GB1123" i="98"/>
  <c r="GD1144" i="98"/>
  <c r="GK1144" i="98"/>
  <c r="GK1150" i="98"/>
  <c r="GK1180" i="98"/>
  <c r="GB1228" i="98"/>
  <c r="GK1244" i="98"/>
  <c r="GB1178" i="98"/>
  <c r="GK1178" i="98"/>
  <c r="GH1210" i="98"/>
  <c r="GE1302" i="98"/>
  <c r="GK1302" i="98"/>
  <c r="GH1302" i="98"/>
  <c r="GB1302" i="98"/>
  <c r="FO1302" i="98"/>
  <c r="GD1302" i="98"/>
  <c r="GH1313" i="98"/>
  <c r="GB1342" i="98"/>
  <c r="GE1342" i="98"/>
  <c r="GH1377" i="98"/>
  <c r="FR1387" i="98"/>
  <c r="GK1421" i="98"/>
  <c r="GB1425" i="98"/>
  <c r="GE1425" i="98"/>
  <c r="GD1425" i="98"/>
  <c r="GH1441" i="98"/>
  <c r="FR1451" i="98"/>
  <c r="GH1473" i="98"/>
  <c r="GB1502" i="98"/>
  <c r="GE1502" i="98"/>
  <c r="GB1509" i="98"/>
  <c r="GB1513" i="98"/>
  <c r="GH1577" i="98"/>
  <c r="GK1577" i="98"/>
  <c r="GH1581" i="98"/>
  <c r="GK1581" i="98"/>
  <c r="GH1585" i="98"/>
  <c r="GK1585" i="98"/>
  <c r="GH1589" i="98"/>
  <c r="GK1589" i="98"/>
  <c r="GH1593" i="98"/>
  <c r="GK1593" i="98"/>
  <c r="GE1657" i="98"/>
  <c r="GE1661" i="98"/>
  <c r="GE1665" i="98"/>
  <c r="GE1669" i="98"/>
  <c r="GE1673" i="98"/>
  <c r="GE1677" i="98"/>
  <c r="GE1681" i="98"/>
  <c r="GE1685" i="98"/>
  <c r="GE1373" i="98"/>
  <c r="GB1440" i="98"/>
  <c r="FR1459" i="98"/>
  <c r="GD1472" i="98"/>
  <c r="GB1478" i="98"/>
  <c r="GE1478" i="98"/>
  <c r="FR1514" i="98"/>
  <c r="GH1605" i="98"/>
  <c r="GK1605" i="98"/>
  <c r="FR1670" i="98"/>
  <c r="GB1030" i="98"/>
  <c r="GH1134" i="98"/>
  <c r="GD1258" i="98"/>
  <c r="GB1258" i="98"/>
  <c r="GA1286" i="98"/>
  <c r="GE1286" i="98"/>
  <c r="GI1286" i="98"/>
  <c r="GC1286" i="98"/>
  <c r="GG1286" i="98"/>
  <c r="GK1286" i="98"/>
  <c r="GH1286" i="98"/>
  <c r="GB1286" i="98"/>
  <c r="GJ1286" i="98"/>
  <c r="FO1286" i="98"/>
  <c r="GD1286" i="98"/>
  <c r="GL1286" i="98"/>
  <c r="GF1286" i="98"/>
  <c r="GD1310" i="98"/>
  <c r="GE1312" i="98"/>
  <c r="GH1321" i="98"/>
  <c r="GE1328" i="98"/>
  <c r="GB1334" i="98"/>
  <c r="GE1334" i="98"/>
  <c r="GH1353" i="98"/>
  <c r="GB1382" i="98"/>
  <c r="GE1382" i="98"/>
  <c r="GB1398" i="98"/>
  <c r="GE1398" i="98"/>
  <c r="GH1417" i="98"/>
  <c r="FR1427" i="98"/>
  <c r="GH1465" i="98"/>
  <c r="GD1494" i="98"/>
  <c r="GB1557" i="98"/>
  <c r="GH1561" i="98"/>
  <c r="GK1561" i="98"/>
  <c r="GE1565" i="98"/>
  <c r="GB1573" i="98"/>
  <c r="GB1641" i="98"/>
  <c r="GH1645" i="98"/>
  <c r="GK1645" i="98"/>
  <c r="GE1649" i="98"/>
  <c r="GB1162" i="98"/>
  <c r="GK1162" i="98"/>
  <c r="GH1278" i="98"/>
  <c r="GK1278" i="98"/>
  <c r="GD1312" i="98"/>
  <c r="GB1328" i="98"/>
  <c r="FR1347" i="98"/>
  <c r="GB1433" i="98"/>
  <c r="GE1433" i="98"/>
  <c r="GB1462" i="98"/>
  <c r="GB1488" i="98"/>
  <c r="GB1517" i="98"/>
  <c r="GH1521" i="98"/>
  <c r="GK1521" i="98"/>
  <c r="FR1578" i="98"/>
  <c r="GE1598" i="98"/>
  <c r="GH1598" i="98"/>
  <c r="GK1598" i="98"/>
  <c r="GD1602" i="98"/>
  <c r="FR1662" i="98"/>
  <c r="GH1242" i="98"/>
  <c r="GE1260" i="98"/>
  <c r="GH1262" i="98"/>
  <c r="GK1262" i="98"/>
  <c r="GD1294" i="98"/>
  <c r="GB1345" i="98"/>
  <c r="GE1345" i="98"/>
  <c r="GD1345" i="98"/>
  <c r="GB1374" i="98"/>
  <c r="GE1374" i="98"/>
  <c r="GD1390" i="98"/>
  <c r="GB1422" i="98"/>
  <c r="GE1422" i="98"/>
  <c r="GD1438" i="98"/>
  <c r="GH1457" i="98"/>
  <c r="GD1470" i="98"/>
  <c r="GH1505" i="98"/>
  <c r="FO1549" i="98"/>
  <c r="GD1549" i="98"/>
  <c r="FO1629" i="98"/>
  <c r="GB1629" i="98"/>
  <c r="GK1629" i="98"/>
  <c r="GD1629" i="98"/>
  <c r="GH1629" i="98"/>
  <c r="GE1629" i="98"/>
  <c r="FR1254" i="98"/>
  <c r="GH1290" i="98"/>
  <c r="GB1325" i="98"/>
  <c r="GB1350" i="98"/>
  <c r="GE1437" i="98"/>
  <c r="FR1506" i="98"/>
  <c r="GD1518" i="98"/>
  <c r="GH1525" i="98"/>
  <c r="GK1525" i="98"/>
  <c r="GE1534" i="98"/>
  <c r="GH1534" i="98"/>
  <c r="GK1534" i="98"/>
  <c r="GE1542" i="98"/>
  <c r="GH1542" i="98"/>
  <c r="GK1542" i="98"/>
  <c r="GB1558" i="98"/>
  <c r="GD1558" i="98"/>
  <c r="GB1562" i="98"/>
  <c r="GE1570" i="98"/>
  <c r="GH1570" i="98"/>
  <c r="GK1570" i="98"/>
  <c r="GD1574" i="98"/>
  <c r="GB1638" i="98"/>
  <c r="GE1642" i="98"/>
  <c r="GH1642" i="98"/>
  <c r="GK1642" i="98"/>
  <c r="GB1654" i="98"/>
  <c r="GB1618" i="98"/>
  <c r="GD1618" i="98"/>
  <c r="GE1630" i="98"/>
  <c r="GH1630" i="98"/>
  <c r="GK1630" i="98"/>
  <c r="GB1634" i="98"/>
  <c r="GD1634" i="98"/>
  <c r="FR7" i="98"/>
  <c r="FR8" i="98"/>
  <c r="FR9" i="98"/>
  <c r="FR10" i="98"/>
  <c r="FR11" i="98"/>
  <c r="FR12" i="98"/>
  <c r="FR13" i="98"/>
  <c r="FR14" i="98"/>
  <c r="FR15" i="98"/>
  <c r="FR16" i="98"/>
  <c r="FR17" i="98"/>
  <c r="FR18" i="98"/>
  <c r="FR19" i="98"/>
  <c r="FR20" i="98"/>
  <c r="FR21" i="98"/>
  <c r="FR22" i="98"/>
  <c r="FR23" i="98"/>
  <c r="FR24" i="98"/>
  <c r="FR25" i="98"/>
  <c r="FR26" i="98"/>
  <c r="FR27" i="98"/>
  <c r="FR28" i="98"/>
  <c r="FR29" i="98"/>
  <c r="FR30" i="98"/>
  <c r="FR31" i="98"/>
  <c r="FR32" i="98"/>
  <c r="FR33" i="98"/>
  <c r="FR34" i="98"/>
  <c r="FR35" i="98"/>
  <c r="FR36" i="98"/>
  <c r="FR37" i="98"/>
  <c r="FR38" i="98"/>
  <c r="FR39" i="98"/>
  <c r="FR40" i="98"/>
  <c r="FR41" i="98"/>
  <c r="FR42" i="98"/>
  <c r="FR43" i="98"/>
  <c r="FR44" i="98"/>
  <c r="FR45" i="98"/>
  <c r="FR46" i="98"/>
  <c r="FR47" i="98"/>
  <c r="FR48" i="98"/>
  <c r="FR49" i="98"/>
  <c r="FR50" i="98"/>
  <c r="FR51" i="98"/>
  <c r="FR52" i="98"/>
  <c r="FR53" i="98"/>
  <c r="FR54" i="98"/>
  <c r="FR55" i="98"/>
  <c r="FR56" i="98"/>
  <c r="FR57" i="98"/>
  <c r="FR58" i="98"/>
  <c r="FR59" i="98"/>
  <c r="FR60" i="98"/>
  <c r="FR61" i="98"/>
  <c r="FR62" i="98"/>
  <c r="FR63" i="98"/>
  <c r="FR64" i="98"/>
  <c r="FR65" i="98"/>
  <c r="FR66" i="98"/>
  <c r="FR67" i="98"/>
  <c r="FR68" i="98"/>
  <c r="FR69" i="98"/>
  <c r="FR70" i="98"/>
  <c r="FR71" i="98"/>
  <c r="FR72" i="98"/>
  <c r="FR73" i="98"/>
  <c r="FR74" i="98"/>
  <c r="FR75" i="98"/>
  <c r="FR76" i="98"/>
  <c r="FR77" i="98"/>
  <c r="FR78" i="98"/>
  <c r="FR79" i="98"/>
  <c r="FR80" i="98"/>
  <c r="FR81" i="98"/>
  <c r="FR82" i="98"/>
  <c r="FR83" i="98"/>
  <c r="FR84" i="98"/>
  <c r="FR85" i="98"/>
  <c r="FR6" i="98"/>
  <c r="FT7" i="98"/>
  <c r="FT8" i="98"/>
  <c r="FT9" i="98"/>
  <c r="FT10" i="98"/>
  <c r="FT11" i="98"/>
  <c r="FT12" i="98"/>
  <c r="FT13" i="98"/>
  <c r="FT14" i="98"/>
  <c r="FT15" i="98"/>
  <c r="FT16" i="98"/>
  <c r="FT17" i="98"/>
  <c r="FT18" i="98"/>
  <c r="FT19" i="98"/>
  <c r="FT20" i="98"/>
  <c r="FT21" i="98"/>
  <c r="FT22" i="98"/>
  <c r="FT23" i="98"/>
  <c r="FT24" i="98"/>
  <c r="FT25" i="98"/>
  <c r="FT26" i="98"/>
  <c r="FT27" i="98"/>
  <c r="FT28" i="98"/>
  <c r="FT29" i="98"/>
  <c r="FT30" i="98"/>
  <c r="FT31" i="98"/>
  <c r="FT32" i="98"/>
  <c r="FT33" i="98"/>
  <c r="FT34" i="98"/>
  <c r="FT35" i="98"/>
  <c r="FT36" i="98"/>
  <c r="FT37" i="98"/>
  <c r="FT38" i="98"/>
  <c r="FT39" i="98"/>
  <c r="FT40" i="98"/>
  <c r="FT41" i="98"/>
  <c r="FT42" i="98"/>
  <c r="FT43" i="98"/>
  <c r="FT44" i="98"/>
  <c r="FT45" i="98"/>
  <c r="FT46" i="98"/>
  <c r="FT47" i="98"/>
  <c r="FT48" i="98"/>
  <c r="FT49" i="98"/>
  <c r="FT50" i="98"/>
  <c r="FT51" i="98"/>
  <c r="FT52" i="98"/>
  <c r="FT53" i="98"/>
  <c r="FT54" i="98"/>
  <c r="FT55" i="98"/>
  <c r="FT56" i="98"/>
  <c r="FT57" i="98"/>
  <c r="FT58" i="98"/>
  <c r="FT59" i="98"/>
  <c r="FT60" i="98"/>
  <c r="FT61" i="98"/>
  <c r="FT62" i="98"/>
  <c r="FT63" i="98"/>
  <c r="FT64" i="98"/>
  <c r="FT65" i="98"/>
  <c r="FT66" i="98"/>
  <c r="FT67" i="98"/>
  <c r="FT68" i="98"/>
  <c r="FT69" i="98"/>
  <c r="FT70" i="98"/>
  <c r="FT71" i="98"/>
  <c r="FT72" i="98"/>
  <c r="FT73" i="98"/>
  <c r="FT74" i="98"/>
  <c r="FT75" i="98"/>
  <c r="FT76" i="98"/>
  <c r="FT77" i="98"/>
  <c r="FT78" i="98"/>
  <c r="FT79" i="98"/>
  <c r="FT80" i="98"/>
  <c r="FT81" i="98"/>
  <c r="FT82" i="98"/>
  <c r="FT83" i="98"/>
  <c r="FT84" i="98"/>
  <c r="FT85" i="98"/>
  <c r="FT6" i="98"/>
  <c r="GA886" i="98" l="1"/>
  <c r="GE886" i="98"/>
  <c r="GI886" i="98"/>
  <c r="FO886" i="98"/>
  <c r="GB886" i="98"/>
  <c r="GF886" i="98"/>
  <c r="GJ886" i="98"/>
  <c r="GD886" i="98"/>
  <c r="GL886" i="98"/>
  <c r="GG886" i="98"/>
  <c r="GH886" i="98"/>
  <c r="GC886" i="98"/>
  <c r="GK886" i="98"/>
  <c r="FR886" i="98"/>
  <c r="GA776" i="98"/>
  <c r="GE776" i="98"/>
  <c r="GI776" i="98"/>
  <c r="FO776" i="98"/>
  <c r="GB776" i="98"/>
  <c r="GF776" i="98"/>
  <c r="GJ776" i="98"/>
  <c r="GC776" i="98"/>
  <c r="GK776" i="98"/>
  <c r="GD776" i="98"/>
  <c r="GL776" i="98"/>
  <c r="GG776" i="98"/>
  <c r="GH776" i="98"/>
  <c r="FR776" i="98"/>
  <c r="GE481" i="98"/>
  <c r="GH481" i="98"/>
  <c r="GK481" i="98"/>
  <c r="GD723" i="98"/>
  <c r="GD659" i="98"/>
  <c r="GD595" i="98"/>
  <c r="GE450" i="98"/>
  <c r="GH450" i="98"/>
  <c r="GK450" i="98"/>
  <c r="GD281" i="98"/>
  <c r="GK281" i="98"/>
  <c r="GK255" i="98"/>
  <c r="GB255" i="98"/>
  <c r="GE255" i="98"/>
  <c r="GD217" i="98"/>
  <c r="GB217" i="98"/>
  <c r="GE217" i="98"/>
  <c r="GB1158" i="98"/>
  <c r="GE1549" i="98"/>
  <c r="GB1549" i="98"/>
  <c r="GD1251" i="98"/>
  <c r="GE1171" i="98"/>
  <c r="GB1171" i="98"/>
  <c r="GB1295" i="98"/>
  <c r="GE1263" i="98"/>
  <c r="GD1263" i="98"/>
  <c r="GD1238" i="98"/>
  <c r="GB1238" i="98"/>
  <c r="GE1229" i="98"/>
  <c r="GB1229" i="98"/>
  <c r="GH1229" i="98"/>
  <c r="GH1222" i="98"/>
  <c r="GE1222" i="98"/>
  <c r="GD1174" i="98"/>
  <c r="GE1165" i="98"/>
  <c r="GB1165" i="98"/>
  <c r="GH1165" i="98"/>
  <c r="GH1158" i="98"/>
  <c r="GE1158" i="98"/>
  <c r="GE1411" i="98"/>
  <c r="GB1411" i="98"/>
  <c r="GE1379" i="98"/>
  <c r="GH1379" i="98"/>
  <c r="GH1347" i="98"/>
  <c r="GB1305" i="98"/>
  <c r="GH1305" i="98"/>
  <c r="GK1273" i="98"/>
  <c r="GK1241" i="98"/>
  <c r="GE994" i="98"/>
  <c r="GB978" i="98"/>
  <c r="GH932" i="98"/>
  <c r="GK932" i="98"/>
  <c r="GH900" i="98"/>
  <c r="GK900" i="98"/>
  <c r="GH884" i="98"/>
  <c r="GK884" i="98"/>
  <c r="GH868" i="98"/>
  <c r="GK868" i="98"/>
  <c r="GH852" i="98"/>
  <c r="GK852" i="98"/>
  <c r="GH820" i="98"/>
  <c r="GK820" i="98"/>
  <c r="GH804" i="98"/>
  <c r="GK804" i="98"/>
  <c r="GH788" i="98"/>
  <c r="GK788" i="98"/>
  <c r="GH1079" i="98"/>
  <c r="GE1028" i="98"/>
  <c r="FO1028" i="98"/>
  <c r="GB1028" i="98"/>
  <c r="GH1028" i="98"/>
  <c r="GD1028" i="98"/>
  <c r="FR1028" i="98"/>
  <c r="GK925" i="98"/>
  <c r="GE925" i="98"/>
  <c r="GH925" i="98"/>
  <c r="GD917" i="98"/>
  <c r="GK893" i="98"/>
  <c r="GE893" i="98"/>
  <c r="GH893" i="98"/>
  <c r="GD885" i="98"/>
  <c r="GK861" i="98"/>
  <c r="GE861" i="98"/>
  <c r="GH861" i="98"/>
  <c r="GD853" i="98"/>
  <c r="GK829" i="98"/>
  <c r="GE829" i="98"/>
  <c r="GH829" i="98"/>
  <c r="GD821" i="98"/>
  <c r="GK797" i="98"/>
  <c r="GE797" i="98"/>
  <c r="GH797" i="98"/>
  <c r="GD789" i="98"/>
  <c r="GD911" i="98"/>
  <c r="GE895" i="98"/>
  <c r="GB895" i="98"/>
  <c r="GE879" i="98"/>
  <c r="GB879" i="98"/>
  <c r="GD831" i="98"/>
  <c r="GE815" i="98"/>
  <c r="GB815" i="98"/>
  <c r="GE509" i="98"/>
  <c r="GH509" i="98"/>
  <c r="GK509" i="98"/>
  <c r="GD481" i="98"/>
  <c r="GE770" i="98"/>
  <c r="GB770" i="98"/>
  <c r="GD739" i="98"/>
  <c r="GD675" i="98"/>
  <c r="GD611" i="98"/>
  <c r="GD450" i="98"/>
  <c r="GD414" i="98"/>
  <c r="GE383" i="98"/>
  <c r="GD383" i="98"/>
  <c r="GB383" i="98"/>
  <c r="GH248" i="98"/>
  <c r="GK248" i="98"/>
  <c r="GE219" i="98"/>
  <c r="GD219" i="98"/>
  <c r="GK217" i="98"/>
  <c r="GB905" i="98"/>
  <c r="GD905" i="98"/>
  <c r="GH497" i="98"/>
  <c r="GD763" i="98"/>
  <c r="GK763" i="98"/>
  <c r="GH763" i="98"/>
  <c r="GE763" i="98"/>
  <c r="GB763" i="98"/>
  <c r="GB1222" i="98"/>
  <c r="GH1549" i="98"/>
  <c r="GK1549" i="98"/>
  <c r="GE1251" i="98"/>
  <c r="GB1251" i="98"/>
  <c r="GK1169" i="98"/>
  <c r="GB1095" i="98"/>
  <c r="GB1263" i="98"/>
  <c r="GE1245" i="98"/>
  <c r="GB1245" i="98"/>
  <c r="GH1245" i="98"/>
  <c r="GH1238" i="98"/>
  <c r="GE1238" i="98"/>
  <c r="GK1229" i="98"/>
  <c r="GD1229" i="98"/>
  <c r="GD1222" i="98"/>
  <c r="GE1213" i="98"/>
  <c r="GB1213" i="98"/>
  <c r="GH1213" i="98"/>
  <c r="GK1197" i="98"/>
  <c r="GB1190" i="98"/>
  <c r="GK1174" i="98"/>
  <c r="GK1165" i="98"/>
  <c r="GD1165" i="98"/>
  <c r="GD1158" i="98"/>
  <c r="GE1475" i="98"/>
  <c r="GH1475" i="98"/>
  <c r="GD1411" i="98"/>
  <c r="GB1379" i="98"/>
  <c r="GE1347" i="98"/>
  <c r="GB1347" i="98"/>
  <c r="GE1315" i="98"/>
  <c r="GH1315" i="98"/>
  <c r="GD1305" i="98"/>
  <c r="GB1273" i="98"/>
  <c r="GH1273" i="98"/>
  <c r="GB1241" i="98"/>
  <c r="GH1241" i="98"/>
  <c r="GD1179" i="98"/>
  <c r="GB994" i="98"/>
  <c r="GH978" i="98"/>
  <c r="GK978" i="98"/>
  <c r="GD932" i="98"/>
  <c r="GD900" i="98"/>
  <c r="GD884" i="98"/>
  <c r="GD868" i="98"/>
  <c r="GD852" i="98"/>
  <c r="GD820" i="98"/>
  <c r="GD804" i="98"/>
  <c r="GD788" i="98"/>
  <c r="GD1089" i="98"/>
  <c r="GB1089" i="98"/>
  <c r="GB1079" i="98"/>
  <c r="GE1079" i="98"/>
  <c r="GD1079" i="98"/>
  <c r="GE1021" i="98"/>
  <c r="GE971" i="98"/>
  <c r="GH971" i="98"/>
  <c r="GK971" i="98"/>
  <c r="GK933" i="98"/>
  <c r="GE933" i="98"/>
  <c r="GD925" i="98"/>
  <c r="GB917" i="98"/>
  <c r="GK901" i="98"/>
  <c r="GE901" i="98"/>
  <c r="GD893" i="98"/>
  <c r="GB885" i="98"/>
  <c r="GK869" i="98"/>
  <c r="GE869" i="98"/>
  <c r="GD861" i="98"/>
  <c r="GB853" i="98"/>
  <c r="GK837" i="98"/>
  <c r="GE837" i="98"/>
  <c r="GD829" i="98"/>
  <c r="GB821" i="98"/>
  <c r="GK805" i="98"/>
  <c r="GE805" i="98"/>
  <c r="GD797" i="98"/>
  <c r="GB789" i="98"/>
  <c r="FO934" i="98"/>
  <c r="GE934" i="98" s="1"/>
  <c r="FR934" i="98"/>
  <c r="GD927" i="98"/>
  <c r="GE911" i="98"/>
  <c r="GB911" i="98"/>
  <c r="GK895" i="98"/>
  <c r="GK879" i="98"/>
  <c r="GD847" i="98"/>
  <c r="GE831" i="98"/>
  <c r="GB831" i="98"/>
  <c r="GK815" i="98"/>
  <c r="GD783" i="98"/>
  <c r="GB485" i="98"/>
  <c r="GE347" i="98"/>
  <c r="GK347" i="98"/>
  <c r="GD509" i="98"/>
  <c r="GH770" i="98"/>
  <c r="GK770" i="98"/>
  <c r="GB505" i="98"/>
  <c r="GB771" i="98"/>
  <c r="GE771" i="98"/>
  <c r="GH771" i="98"/>
  <c r="GK771" i="98"/>
  <c r="GD755" i="98"/>
  <c r="GB707" i="98"/>
  <c r="GE707" i="98"/>
  <c r="GH707" i="98"/>
  <c r="GK707" i="98"/>
  <c r="GD691" i="98"/>
  <c r="GB643" i="98"/>
  <c r="GE643" i="98"/>
  <c r="GH643" i="98"/>
  <c r="GK643" i="98"/>
  <c r="GD627" i="98"/>
  <c r="GB579" i="98"/>
  <c r="GE579" i="98"/>
  <c r="GH579" i="98"/>
  <c r="GK579" i="98"/>
  <c r="GB524" i="98"/>
  <c r="GB567" i="98"/>
  <c r="GK567" i="98"/>
  <c r="GB414" i="98"/>
  <c r="GB402" i="98"/>
  <c r="GH383" i="98"/>
  <c r="GD248" i="98"/>
  <c r="GE264" i="98"/>
  <c r="GH264" i="98"/>
  <c r="GH281" i="98"/>
  <c r="GD257" i="98"/>
  <c r="GB257" i="98"/>
  <c r="GD92" i="98"/>
  <c r="GD963" i="98"/>
  <c r="GH963" i="98"/>
  <c r="GK905" i="98"/>
  <c r="GH905" i="98"/>
  <c r="GD833" i="98"/>
  <c r="GH833" i="98"/>
  <c r="GE833" i="98"/>
  <c r="GK833" i="98"/>
  <c r="GB919" i="98"/>
  <c r="GE919" i="98"/>
  <c r="GD919" i="98"/>
  <c r="GE798" i="98"/>
  <c r="GB798" i="98"/>
  <c r="GD798" i="98"/>
  <c r="GK798" i="98"/>
  <c r="GH798" i="98"/>
  <c r="GB333" i="98"/>
  <c r="GK333" i="98"/>
  <c r="GD333" i="98"/>
  <c r="GK1251" i="98"/>
  <c r="GE1095" i="98"/>
  <c r="GH1095" i="98"/>
  <c r="GK1095" i="98"/>
  <c r="GK1245" i="98"/>
  <c r="GK1222" i="98"/>
  <c r="GK1213" i="98"/>
  <c r="GB1174" i="98"/>
  <c r="GK1158" i="98"/>
  <c r="GD1379" i="98"/>
  <c r="GD1347" i="98"/>
  <c r="GE1273" i="98"/>
  <c r="GE1241" i="98"/>
  <c r="GH994" i="98"/>
  <c r="GK994" i="98"/>
  <c r="GK1089" i="98"/>
  <c r="FO1012" i="98"/>
  <c r="GH1012" i="98"/>
  <c r="GD1012" i="98"/>
  <c r="FR1012" i="98"/>
  <c r="GB971" i="98"/>
  <c r="GD971" i="98"/>
  <c r="GB925" i="98"/>
  <c r="GB893" i="98"/>
  <c r="GB861" i="98"/>
  <c r="GB829" i="98"/>
  <c r="GB797" i="98"/>
  <c r="GK911" i="98"/>
  <c r="GK831" i="98"/>
  <c r="GE485" i="98"/>
  <c r="GH485" i="98"/>
  <c r="GK485" i="98"/>
  <c r="GB481" i="98"/>
  <c r="GE505" i="98"/>
  <c r="GH505" i="98"/>
  <c r="GK505" i="98"/>
  <c r="GD771" i="98"/>
  <c r="GB723" i="98"/>
  <c r="GE723" i="98"/>
  <c r="GH723" i="98"/>
  <c r="GK723" i="98"/>
  <c r="GD707" i="98"/>
  <c r="GB659" i="98"/>
  <c r="GE659" i="98"/>
  <c r="GH659" i="98"/>
  <c r="GK659" i="98"/>
  <c r="GD643" i="98"/>
  <c r="GB595" i="98"/>
  <c r="GE595" i="98"/>
  <c r="GH595" i="98"/>
  <c r="GK595" i="98"/>
  <c r="GD579" i="98"/>
  <c r="GE524" i="98"/>
  <c r="GH524" i="98"/>
  <c r="GK524" i="98"/>
  <c r="GH567" i="98"/>
  <c r="GB450" i="98"/>
  <c r="GB281" i="98"/>
  <c r="GE281" i="98"/>
  <c r="GD255" i="98"/>
  <c r="GH217" i="98"/>
  <c r="GB92" i="98"/>
  <c r="GE92" i="98"/>
  <c r="GH92" i="98"/>
  <c r="GB809" i="98"/>
  <c r="GD809" i="98"/>
  <c r="GE862" i="98"/>
  <c r="GB862" i="98"/>
  <c r="GD862" i="98"/>
  <c r="GK862" i="98"/>
  <c r="GH862" i="98"/>
  <c r="GB497" i="98"/>
  <c r="GD497" i="98"/>
  <c r="GA246" i="98"/>
  <c r="GE246" i="98"/>
  <c r="GI246" i="98"/>
  <c r="FO246" i="98"/>
  <c r="GB246" i="98"/>
  <c r="GF246" i="98"/>
  <c r="GJ246" i="98"/>
  <c r="GD246" i="98"/>
  <c r="GL246" i="98"/>
  <c r="GG246" i="98"/>
  <c r="GH246" i="98"/>
  <c r="GK246" i="98"/>
  <c r="GC246" i="98"/>
  <c r="FR246" i="98"/>
  <c r="GB227" i="98"/>
  <c r="GD227" i="98"/>
  <c r="GE211" i="98"/>
  <c r="GH203" i="98"/>
  <c r="GB881" i="98"/>
  <c r="GB785" i="98"/>
  <c r="GB489" i="98"/>
  <c r="GK910" i="98"/>
  <c r="GD910" i="98"/>
  <c r="GB910" i="98"/>
  <c r="GE910" i="98"/>
  <c r="GK782" i="98"/>
  <c r="GD782" i="98"/>
  <c r="GB782" i="98"/>
  <c r="GE782" i="98"/>
  <c r="GB732" i="98"/>
  <c r="GE732" i="98"/>
  <c r="GH732" i="98"/>
  <c r="GB752" i="98"/>
  <c r="GE752" i="98"/>
  <c r="GH752" i="98"/>
  <c r="GB608" i="98"/>
  <c r="GE608" i="98"/>
  <c r="GH608" i="98"/>
  <c r="GE715" i="98"/>
  <c r="GH715" i="98"/>
  <c r="GK715" i="98"/>
  <c r="GD667" i="98"/>
  <c r="GB619" i="98"/>
  <c r="GB435" i="98"/>
  <c r="GE435" i="98"/>
  <c r="GH435" i="98"/>
  <c r="GK464" i="98"/>
  <c r="GD412" i="98"/>
  <c r="GK412" i="98"/>
  <c r="GE263" i="98"/>
  <c r="GD263" i="98"/>
  <c r="GD240" i="98"/>
  <c r="GB282" i="98"/>
  <c r="GE282" i="98"/>
  <c r="GH282" i="98"/>
  <c r="GD233" i="98"/>
  <c r="GD254" i="98"/>
  <c r="GB254" i="98"/>
  <c r="GE254" i="98"/>
  <c r="GD192" i="98"/>
  <c r="GE209" i="98"/>
  <c r="GD209" i="98"/>
  <c r="GK180" i="98"/>
  <c r="GB180" i="98"/>
  <c r="GH185" i="98"/>
  <c r="GB185" i="98"/>
  <c r="GE185" i="98"/>
  <c r="GB177" i="98"/>
  <c r="GE177" i="98"/>
  <c r="GH150" i="98"/>
  <c r="GD1271" i="98"/>
  <c r="GD1678" i="98"/>
  <c r="GB1674" i="98"/>
  <c r="GH1674" i="98"/>
  <c r="GB1615" i="98"/>
  <c r="GE1615" i="98"/>
  <c r="GH1615" i="98"/>
  <c r="GD1599" i="98"/>
  <c r="GB1531" i="98"/>
  <c r="GE1531" i="98"/>
  <c r="GH1531" i="98"/>
  <c r="GD648" i="98"/>
  <c r="GH1105" i="98"/>
  <c r="GE600" i="98"/>
  <c r="GD600" i="98"/>
  <c r="GD1223" i="98"/>
  <c r="GD1183" i="98"/>
  <c r="GE1183" i="98"/>
  <c r="GD1355" i="98"/>
  <c r="GK1103" i="98"/>
  <c r="GH990" i="98"/>
  <c r="GB990" i="98"/>
  <c r="GH1033" i="98"/>
  <c r="GK1033" i="98"/>
  <c r="GD1008" i="98"/>
  <c r="GH1008" i="98"/>
  <c r="GD779" i="98"/>
  <c r="GB754" i="98"/>
  <c r="GE679" i="98"/>
  <c r="GD583" i="98"/>
  <c r="GB583" i="98"/>
  <c r="GH583" i="98"/>
  <c r="GB490" i="98"/>
  <c r="GH439" i="98"/>
  <c r="GE439" i="98"/>
  <c r="GB439" i="98"/>
  <c r="GK439" i="98"/>
  <c r="GD439" i="98"/>
  <c r="GB457" i="98"/>
  <c r="GD457" i="98"/>
  <c r="GH457" i="98"/>
  <c r="GK241" i="98"/>
  <c r="GE241" i="98"/>
  <c r="GB203" i="98"/>
  <c r="GK138" i="98"/>
  <c r="GK163" i="98"/>
  <c r="GK155" i="98"/>
  <c r="GE489" i="98"/>
  <c r="GH489" i="98"/>
  <c r="GK489" i="98"/>
  <c r="GK732" i="98"/>
  <c r="GD732" i="98"/>
  <c r="GD752" i="98"/>
  <c r="GD608" i="98"/>
  <c r="GD715" i="98"/>
  <c r="GD435" i="98"/>
  <c r="GB418" i="98"/>
  <c r="GE418" i="98"/>
  <c r="GH418" i="98"/>
  <c r="GK418" i="98"/>
  <c r="GE240" i="98"/>
  <c r="GB240" i="98"/>
  <c r="GD282" i="98"/>
  <c r="GE180" i="98"/>
  <c r="GH180" i="98"/>
  <c r="GD185" i="98"/>
  <c r="GK185" i="98"/>
  <c r="GD177" i="98"/>
  <c r="GK1271" i="98"/>
  <c r="GB1271" i="98"/>
  <c r="GB1678" i="98"/>
  <c r="GH1678" i="98"/>
  <c r="GE1674" i="98"/>
  <c r="GD1674" i="98"/>
  <c r="GK1674" i="98"/>
  <c r="GD1615" i="98"/>
  <c r="GD1531" i="98"/>
  <c r="GB1471" i="98"/>
  <c r="GD1471" i="98"/>
  <c r="GE1471" i="98"/>
  <c r="GB600" i="98"/>
  <c r="GH1103" i="98"/>
  <c r="GB1103" i="98"/>
  <c r="GD990" i="98"/>
  <c r="GB1071" i="98"/>
  <c r="GB1033" i="98"/>
  <c r="GD827" i="98"/>
  <c r="GH779" i="98"/>
  <c r="GK779" i="98"/>
  <c r="GB631" i="98"/>
  <c r="GK562" i="98"/>
  <c r="GB562" i="98"/>
  <c r="GK490" i="98"/>
  <c r="GD418" i="98"/>
  <c r="GD180" i="98"/>
  <c r="FO119" i="98"/>
  <c r="GK119" i="98"/>
  <c r="GH119" i="98"/>
  <c r="FR119" i="98"/>
  <c r="FO103" i="98"/>
  <c r="GK103" i="98"/>
  <c r="GH103" i="98"/>
  <c r="FR103" i="98"/>
  <c r="GE1678" i="98"/>
  <c r="GK1678" i="98"/>
  <c r="GK600" i="98"/>
  <c r="GB1355" i="98"/>
  <c r="GK1355" i="98"/>
  <c r="GD1103" i="98"/>
  <c r="GH1071" i="98"/>
  <c r="GD1071" i="98"/>
  <c r="GE1008" i="98"/>
  <c r="GB1008" i="98"/>
  <c r="GB859" i="98"/>
  <c r="GE859" i="98"/>
  <c r="GH827" i="98"/>
  <c r="GB779" i="98"/>
  <c r="GE779" i="98"/>
  <c r="GE523" i="98"/>
  <c r="GB523" i="98"/>
  <c r="GH523" i="98"/>
  <c r="GD523" i="98"/>
  <c r="GK523" i="98"/>
  <c r="GK754" i="98"/>
  <c r="GH679" i="98"/>
  <c r="GK631" i="98"/>
  <c r="GH631" i="98"/>
  <c r="GE631" i="98"/>
  <c r="GD631" i="98"/>
  <c r="GD562" i="98"/>
  <c r="GH562" i="98"/>
  <c r="GD490" i="98"/>
  <c r="GE490" i="98"/>
  <c r="GH460" i="98"/>
  <c r="GH240" i="98"/>
  <c r="GK240" i="98"/>
  <c r="GH600" i="98"/>
  <c r="GE1103" i="98"/>
  <c r="GE1033" i="98"/>
  <c r="GD1033" i="98"/>
  <c r="GK827" i="98"/>
  <c r="GE827" i="98"/>
  <c r="GK679" i="98"/>
  <c r="GB679" i="98"/>
  <c r="GD679" i="98"/>
  <c r="GK445" i="98"/>
  <c r="GH445" i="98"/>
  <c r="GE445" i="98"/>
  <c r="GB445" i="98"/>
  <c r="GD445" i="98"/>
  <c r="GE460" i="98"/>
  <c r="GB460" i="98"/>
  <c r="GD460" i="98"/>
  <c r="GK460" i="98"/>
  <c r="GK1545" i="98"/>
  <c r="GH1545" i="98"/>
  <c r="GB1545" i="98"/>
  <c r="GE1545" i="98"/>
  <c r="GD1545" i="98"/>
  <c r="GH1595" i="98"/>
  <c r="GE1595" i="98"/>
  <c r="GB1595" i="98"/>
  <c r="GD1595" i="98"/>
  <c r="GH1217" i="98"/>
  <c r="GB1217" i="98"/>
  <c r="GK1217" i="98"/>
  <c r="GE1217" i="98"/>
  <c r="GD1217" i="98"/>
  <c r="GB1111" i="98"/>
  <c r="GK1111" i="98"/>
  <c r="GE1111" i="98"/>
  <c r="GD1111" i="98"/>
  <c r="GH1111" i="98"/>
  <c r="GK298" i="98"/>
  <c r="GK285" i="98"/>
  <c r="GD251" i="98"/>
  <c r="GK221" i="98"/>
  <c r="GD1579" i="98"/>
  <c r="GH1579" i="98"/>
  <c r="GE1579" i="98"/>
  <c r="GB1579" i="98"/>
  <c r="GH1607" i="98"/>
  <c r="GE1607" i="98"/>
  <c r="GB1607" i="98"/>
  <c r="GK1607" i="98"/>
  <c r="GH1495" i="98"/>
  <c r="GH1399" i="98"/>
  <c r="GB1367" i="98"/>
  <c r="GD1367" i="98"/>
  <c r="GE1367" i="98"/>
  <c r="GK1367" i="98"/>
  <c r="GK1267" i="98"/>
  <c r="GD1185" i="98"/>
  <c r="GE1185" i="98"/>
  <c r="GH1185" i="98"/>
  <c r="GB1185" i="98"/>
  <c r="GK1155" i="98"/>
  <c r="GD1002" i="98"/>
  <c r="GD1467" i="98"/>
  <c r="GK1467" i="98"/>
  <c r="GB1467" i="98"/>
  <c r="GD1403" i="98"/>
  <c r="GE1403" i="98"/>
  <c r="GB1403" i="98"/>
  <c r="GH1193" i="98"/>
  <c r="GB1193" i="98"/>
  <c r="GB904" i="98"/>
  <c r="GE904" i="98"/>
  <c r="GK904" i="98"/>
  <c r="GB888" i="98"/>
  <c r="GE888" i="98"/>
  <c r="GD888" i="98"/>
  <c r="GK888" i="98"/>
  <c r="GH840" i="98"/>
  <c r="GH824" i="98"/>
  <c r="GB1065" i="98"/>
  <c r="GD1065" i="98"/>
  <c r="GK1065" i="98"/>
  <c r="GB947" i="98"/>
  <c r="GD947" i="98"/>
  <c r="GE947" i="98"/>
  <c r="GH947" i="98"/>
  <c r="GK947" i="98"/>
  <c r="FO922" i="98"/>
  <c r="GH922" i="98"/>
  <c r="FR922" i="98"/>
  <c r="FO858" i="98"/>
  <c r="GH858" i="98"/>
  <c r="FR858" i="98"/>
  <c r="FO794" i="98"/>
  <c r="GH794" i="98"/>
  <c r="FR794" i="98"/>
  <c r="GE719" i="98"/>
  <c r="GK719" i="98"/>
  <c r="GE655" i="98"/>
  <c r="GK655" i="98"/>
  <c r="GE591" i="98"/>
  <c r="GK591" i="98"/>
  <c r="GD468" i="98"/>
  <c r="GK452" i="98"/>
  <c r="GE452" i="98"/>
  <c r="GB452" i="98"/>
  <c r="GH452" i="98"/>
  <c r="GD452" i="98"/>
  <c r="FO346" i="98"/>
  <c r="GB346" i="98"/>
  <c r="GF346" i="98"/>
  <c r="GJ346" i="98"/>
  <c r="GD346" i="98"/>
  <c r="GI346" i="98"/>
  <c r="GE346" i="98"/>
  <c r="GK346" i="98"/>
  <c r="GA346" i="98"/>
  <c r="GL346" i="98"/>
  <c r="GC346" i="98"/>
  <c r="GG346" i="98"/>
  <c r="GH346" i="98"/>
  <c r="FR346" i="98"/>
  <c r="GB252" i="98"/>
  <c r="GE252" i="98"/>
  <c r="GK252" i="98"/>
  <c r="GD208" i="98"/>
  <c r="FO208" i="98"/>
  <c r="GK208" i="98"/>
  <c r="GB208" i="98"/>
  <c r="FR208" i="98"/>
  <c r="GB201" i="98"/>
  <c r="GD201" i="98"/>
  <c r="GK201" i="98"/>
  <c r="FO172" i="98"/>
  <c r="GH172" i="98" s="1"/>
  <c r="FR172" i="98"/>
  <c r="GE161" i="98"/>
  <c r="GH145" i="98"/>
  <c r="GE145" i="98"/>
  <c r="GD145" i="98"/>
  <c r="GD114" i="98"/>
  <c r="GK114" i="98"/>
  <c r="FO114" i="98"/>
  <c r="GE114" i="98" s="1"/>
  <c r="FR114" i="98"/>
  <c r="GB115" i="98"/>
  <c r="GE115" i="98"/>
  <c r="GB107" i="98"/>
  <c r="GE107" i="98"/>
  <c r="GH107" i="98"/>
  <c r="GK107" i="98"/>
  <c r="GH892" i="98"/>
  <c r="GH780" i="98"/>
  <c r="GK1063" i="98"/>
  <c r="GD1020" i="98"/>
  <c r="GD998" i="98"/>
  <c r="GB979" i="98"/>
  <c r="GH979" i="98"/>
  <c r="GK897" i="98"/>
  <c r="GH897" i="98"/>
  <c r="GD825" i="98"/>
  <c r="GH825" i="98"/>
  <c r="GE825" i="98"/>
  <c r="GK825" i="98"/>
  <c r="GB839" i="98"/>
  <c r="GE839" i="98"/>
  <c r="GD839" i="98"/>
  <c r="GB758" i="98"/>
  <c r="GE521" i="98"/>
  <c r="GK521" i="98"/>
  <c r="GD660" i="98"/>
  <c r="GH660" i="98"/>
  <c r="GE660" i="98"/>
  <c r="GB660" i="98"/>
  <c r="GK559" i="98"/>
  <c r="GE559" i="98"/>
  <c r="GB559" i="98"/>
  <c r="GD559" i="98"/>
  <c r="GD467" i="98"/>
  <c r="GH467" i="98"/>
  <c r="GE467" i="98"/>
  <c r="GB467" i="98"/>
  <c r="GK467" i="98"/>
  <c r="GD225" i="98"/>
  <c r="GB225" i="98"/>
  <c r="GH225" i="98"/>
  <c r="GE225" i="98"/>
  <c r="GD1330" i="98"/>
  <c r="GB1327" i="98"/>
  <c r="GD1327" i="98"/>
  <c r="GE1327" i="98"/>
  <c r="GH1327" i="98"/>
  <c r="GK1327" i="98"/>
  <c r="GB1048" i="98"/>
  <c r="GD1048" i="98"/>
  <c r="GB784" i="98"/>
  <c r="GE784" i="98"/>
  <c r="GD784" i="98"/>
  <c r="GE898" i="98"/>
  <c r="GB898" i="98"/>
  <c r="GD898" i="98"/>
  <c r="GK898" i="98"/>
  <c r="GH898" i="98"/>
  <c r="GD750" i="98"/>
  <c r="GD674" i="98"/>
  <c r="GD334" i="98"/>
  <c r="GE334" i="98"/>
  <c r="GB334" i="98"/>
  <c r="GK334" i="98"/>
  <c r="GH334" i="98"/>
  <c r="GD322" i="98"/>
  <c r="GH322" i="98"/>
  <c r="GE322" i="98"/>
  <c r="GB322" i="98"/>
  <c r="GK322" i="98"/>
  <c r="GE1394" i="98"/>
  <c r="GE1667" i="98"/>
  <c r="GE1370" i="98"/>
  <c r="GD970" i="98"/>
  <c r="GK1013" i="98"/>
  <c r="GB1013" i="98"/>
  <c r="GH1013" i="98"/>
  <c r="GD1013" i="98"/>
  <c r="GE1013" i="98"/>
  <c r="GB913" i="98"/>
  <c r="GD913" i="98"/>
  <c r="GH913" i="98"/>
  <c r="GE913" i="98"/>
  <c r="GK913" i="98"/>
  <c r="GB817" i="98"/>
  <c r="GD817" i="98"/>
  <c r="GH817" i="98"/>
  <c r="GE817" i="98"/>
  <c r="GK817" i="98"/>
  <c r="GD668" i="98"/>
  <c r="GH668" i="98"/>
  <c r="GE668" i="98"/>
  <c r="GB668" i="98"/>
  <c r="GB325" i="98"/>
  <c r="GK325" i="98"/>
  <c r="GD325" i="98"/>
  <c r="GD142" i="98"/>
  <c r="GB142" i="98"/>
  <c r="GB1662" i="98"/>
  <c r="GD1662" i="98"/>
  <c r="GK1662" i="98"/>
  <c r="GH1662" i="98"/>
  <c r="GE1662" i="98"/>
  <c r="GH950" i="98"/>
  <c r="GH493" i="98"/>
  <c r="GH1080" i="98"/>
  <c r="GB843" i="98"/>
  <c r="GE843" i="98"/>
  <c r="GH802" i="98"/>
  <c r="GK543" i="98"/>
  <c r="GD298" i="98"/>
  <c r="GE298" i="98"/>
  <c r="GH285" i="98"/>
  <c r="GE251" i="98"/>
  <c r="GK251" i="98"/>
  <c r="GH124" i="98"/>
  <c r="GK124" i="98"/>
  <c r="GE124" i="98"/>
  <c r="FO1338" i="98"/>
  <c r="GK1338" i="98"/>
  <c r="FR1338" i="98"/>
  <c r="GD1571" i="98"/>
  <c r="GH1571" i="98"/>
  <c r="GE1571" i="98"/>
  <c r="GB1571" i="98"/>
  <c r="GD1514" i="98"/>
  <c r="GK1514" i="98"/>
  <c r="GH1514" i="98"/>
  <c r="GE1514" i="98"/>
  <c r="GB1510" i="98"/>
  <c r="GH1510" i="98"/>
  <c r="GK1495" i="98"/>
  <c r="GB1447" i="98"/>
  <c r="GD1447" i="98"/>
  <c r="GE1447" i="98"/>
  <c r="GK1447" i="98"/>
  <c r="GH1447" i="98"/>
  <c r="GK1399" i="98"/>
  <c r="GB1383" i="98"/>
  <c r="GD1383" i="98"/>
  <c r="GE1383" i="98"/>
  <c r="GB1319" i="98"/>
  <c r="GD1319" i="98"/>
  <c r="GE1319" i="98"/>
  <c r="GK1319" i="98"/>
  <c r="GK1185" i="98"/>
  <c r="GE1002" i="98"/>
  <c r="GK1002" i="98"/>
  <c r="GH1309" i="98"/>
  <c r="GB1309" i="98"/>
  <c r="GE1309" i="98"/>
  <c r="GH1499" i="98"/>
  <c r="GH1435" i="98"/>
  <c r="GK1403" i="98"/>
  <c r="GH1371" i="98"/>
  <c r="GB1243" i="98"/>
  <c r="GE1243" i="98"/>
  <c r="GE1193" i="98"/>
  <c r="GD1193" i="98"/>
  <c r="GD1145" i="98"/>
  <c r="GK1145" i="98"/>
  <c r="GH1145" i="98"/>
  <c r="GB1145" i="98"/>
  <c r="GE1145" i="98"/>
  <c r="GK1135" i="98"/>
  <c r="GH1135" i="98"/>
  <c r="GB1135" i="98"/>
  <c r="FO1061" i="98"/>
  <c r="GB1061" i="98"/>
  <c r="GD1061" i="98"/>
  <c r="GE1061" i="98"/>
  <c r="GK1061" i="98"/>
  <c r="GH1061" i="98"/>
  <c r="FR1061" i="98"/>
  <c r="GD1055" i="98"/>
  <c r="GE1055" i="98"/>
  <c r="GB1055" i="98"/>
  <c r="GK1009" i="98"/>
  <c r="GB1009" i="98"/>
  <c r="GH1009" i="98"/>
  <c r="GD1009" i="98"/>
  <c r="GD982" i="98"/>
  <c r="GK999" i="98"/>
  <c r="GH999" i="98"/>
  <c r="GE999" i="98"/>
  <c r="GB999" i="98"/>
  <c r="GD999" i="98"/>
  <c r="GK742" i="98"/>
  <c r="GH742" i="98"/>
  <c r="GE742" i="98"/>
  <c r="GB742" i="98"/>
  <c r="FO874" i="98"/>
  <c r="GE874" i="98" s="1"/>
  <c r="FR874" i="98"/>
  <c r="FO810" i="98"/>
  <c r="GE810" i="98" s="1"/>
  <c r="FR810" i="98"/>
  <c r="GE553" i="98"/>
  <c r="GK553" i="98"/>
  <c r="GD735" i="98"/>
  <c r="GH735" i="98"/>
  <c r="GD671" i="98"/>
  <c r="GH671" i="98"/>
  <c r="GD607" i="98"/>
  <c r="GH607" i="98"/>
  <c r="GB453" i="98"/>
  <c r="GK563" i="98"/>
  <c r="GB398" i="98"/>
  <c r="GD139" i="98"/>
  <c r="FO139" i="98"/>
  <c r="GH139" i="98" s="1"/>
  <c r="GB139" i="98"/>
  <c r="GK139" i="98"/>
  <c r="FR139" i="98"/>
  <c r="GH161" i="98"/>
  <c r="GE153" i="98"/>
  <c r="GK153" i="98"/>
  <c r="GB153" i="98"/>
  <c r="GK105" i="98"/>
  <c r="GK115" i="98"/>
  <c r="GB940" i="98"/>
  <c r="GE940" i="98"/>
  <c r="GD940" i="98"/>
  <c r="GK940" i="98"/>
  <c r="GB1073" i="98"/>
  <c r="GD1073" i="98"/>
  <c r="GE1073" i="98"/>
  <c r="GK1073" i="98"/>
  <c r="GB1041" i="98"/>
  <c r="GD1041" i="98"/>
  <c r="GK1020" i="98"/>
  <c r="GD979" i="98"/>
  <c r="GB825" i="98"/>
  <c r="GB801" i="98"/>
  <c r="GD801" i="98"/>
  <c r="GK887" i="98"/>
  <c r="GB887" i="98"/>
  <c r="GE887" i="98"/>
  <c r="GK823" i="98"/>
  <c r="GB823" i="98"/>
  <c r="GE823" i="98"/>
  <c r="GH758" i="98"/>
  <c r="GK678" i="98"/>
  <c r="GH678" i="98"/>
  <c r="GE678" i="98"/>
  <c r="GB678" i="98"/>
  <c r="GB501" i="98"/>
  <c r="GH501" i="98"/>
  <c r="GB521" i="98"/>
  <c r="GK738" i="98"/>
  <c r="GH738" i="98"/>
  <c r="GB738" i="98"/>
  <c r="GE738" i="98"/>
  <c r="GK660" i="98"/>
  <c r="GD587" i="98"/>
  <c r="GK587" i="98"/>
  <c r="GH587" i="98"/>
  <c r="GE587" i="98"/>
  <c r="GB587" i="98"/>
  <c r="GH559" i="98"/>
  <c r="GK444" i="98"/>
  <c r="GE444" i="98"/>
  <c r="GB444" i="98"/>
  <c r="GH444" i="98"/>
  <c r="GD444" i="98"/>
  <c r="GD330" i="98"/>
  <c r="GH330" i="98"/>
  <c r="GE330" i="98"/>
  <c r="GB330" i="98"/>
  <c r="GK330" i="98"/>
  <c r="FO111" i="98"/>
  <c r="FR111" i="98"/>
  <c r="GH1330" i="98"/>
  <c r="GH1048" i="98"/>
  <c r="GD1387" i="98"/>
  <c r="GB1387" i="98"/>
  <c r="GE1387" i="98"/>
  <c r="GH1387" i="98"/>
  <c r="GK1387" i="98"/>
  <c r="GB541" i="98"/>
  <c r="GD541" i="98"/>
  <c r="GH784" i="98"/>
  <c r="GD1627" i="98"/>
  <c r="GH1627" i="98"/>
  <c r="GE1627" i="98"/>
  <c r="GB1627" i="98"/>
  <c r="GK1627" i="98"/>
  <c r="GD1683" i="98"/>
  <c r="GK1683" i="98"/>
  <c r="GH1683" i="98"/>
  <c r="GB1683" i="98"/>
  <c r="GE1683" i="98"/>
  <c r="GB1287" i="98"/>
  <c r="GK1287" i="98"/>
  <c r="GD1287" i="98"/>
  <c r="GH1239" i="98"/>
  <c r="GB1283" i="98"/>
  <c r="GE1283" i="98"/>
  <c r="GD1283" i="98"/>
  <c r="GH1279" i="98"/>
  <c r="GD1459" i="98"/>
  <c r="GK1459" i="98"/>
  <c r="GB1459" i="98"/>
  <c r="GE1459" i="98"/>
  <c r="GH1459" i="98"/>
  <c r="GH1259" i="98"/>
  <c r="GD1209" i="98"/>
  <c r="GE1209" i="98"/>
  <c r="GH1209" i="98"/>
  <c r="GB1209" i="98"/>
  <c r="GK1209" i="98"/>
  <c r="GD443" i="98"/>
  <c r="GH443" i="98"/>
  <c r="GE443" i="98"/>
  <c r="GB443" i="98"/>
  <c r="GH142" i="98"/>
  <c r="GD1490" i="98"/>
  <c r="GB1490" i="98"/>
  <c r="GH1255" i="98"/>
  <c r="GB1487" i="98"/>
  <c r="GD1487" i="98"/>
  <c r="GE1487" i="98"/>
  <c r="GK1487" i="98"/>
  <c r="GB880" i="98"/>
  <c r="GE880" i="98"/>
  <c r="GD880" i="98"/>
  <c r="GK907" i="98"/>
  <c r="GB907" i="98"/>
  <c r="GE907" i="98"/>
  <c r="GD907" i="98"/>
  <c r="GB135" i="98"/>
  <c r="GK135" i="98"/>
  <c r="GH135" i="98"/>
  <c r="GB1495" i="98"/>
  <c r="GD1495" i="98"/>
  <c r="GE1495" i="98"/>
  <c r="GB1399" i="98"/>
  <c r="GD1399" i="98"/>
  <c r="GE1399" i="98"/>
  <c r="GB1267" i="98"/>
  <c r="GE1267" i="98"/>
  <c r="GB1155" i="98"/>
  <c r="GE1155" i="98"/>
  <c r="GD1155" i="98"/>
  <c r="GB1002" i="98"/>
  <c r="GD1277" i="98"/>
  <c r="GK1277" i="98"/>
  <c r="GH1277" i="98"/>
  <c r="GB1277" i="98"/>
  <c r="GE1277" i="98"/>
  <c r="GD1499" i="98"/>
  <c r="GB1499" i="98"/>
  <c r="GD1435" i="98"/>
  <c r="GB1435" i="98"/>
  <c r="GE1435" i="98"/>
  <c r="GD1371" i="98"/>
  <c r="GE1371" i="98"/>
  <c r="GB1371" i="98"/>
  <c r="GK1371" i="98"/>
  <c r="GB840" i="98"/>
  <c r="GE840" i="98"/>
  <c r="GK840" i="98"/>
  <c r="GB824" i="98"/>
  <c r="GE824" i="98"/>
  <c r="GD824" i="98"/>
  <c r="GK824" i="98"/>
  <c r="GB955" i="98"/>
  <c r="GD955" i="98"/>
  <c r="GE955" i="98"/>
  <c r="GK955" i="98"/>
  <c r="GH955" i="98"/>
  <c r="GE890" i="98"/>
  <c r="FO890" i="98"/>
  <c r="GB890" i="98"/>
  <c r="GD890" i="98"/>
  <c r="GH890" i="98"/>
  <c r="GK890" i="98"/>
  <c r="FR890" i="98"/>
  <c r="GA826" i="98"/>
  <c r="GE826" i="98"/>
  <c r="GI826" i="98"/>
  <c r="FO826" i="98"/>
  <c r="GB826" i="98"/>
  <c r="GF826" i="98"/>
  <c r="GJ826" i="98"/>
  <c r="GD826" i="98"/>
  <c r="GL826" i="98"/>
  <c r="GG826" i="98"/>
  <c r="GH826" i="98"/>
  <c r="GC826" i="98"/>
  <c r="GK826" i="98"/>
  <c r="FR826" i="98"/>
  <c r="GB553" i="98"/>
  <c r="GB719" i="98"/>
  <c r="GH719" i="98"/>
  <c r="GB655" i="98"/>
  <c r="GH655" i="98"/>
  <c r="GB591" i="98"/>
  <c r="GH591" i="98"/>
  <c r="GE563" i="98"/>
  <c r="GB563" i="98"/>
  <c r="GH563" i="98"/>
  <c r="GD563" i="98"/>
  <c r="GK398" i="98"/>
  <c r="GH398" i="98"/>
  <c r="GE398" i="98"/>
  <c r="GK468" i="98"/>
  <c r="GB358" i="98"/>
  <c r="GD358" i="98"/>
  <c r="GH358" i="98"/>
  <c r="GH342" i="98"/>
  <c r="GB892" i="98"/>
  <c r="GE892" i="98"/>
  <c r="GK892" i="98"/>
  <c r="GB780" i="98"/>
  <c r="GE780" i="98"/>
  <c r="GK780" i="98"/>
  <c r="GD1063" i="98"/>
  <c r="GE1063" i="98"/>
  <c r="GB1063" i="98"/>
  <c r="GK1029" i="98"/>
  <c r="GE1020" i="98"/>
  <c r="GB1020" i="98"/>
  <c r="GK998" i="98"/>
  <c r="GH998" i="98"/>
  <c r="GB998" i="98"/>
  <c r="GE998" i="98"/>
  <c r="GD921" i="98"/>
  <c r="GH921" i="98"/>
  <c r="GE921" i="98"/>
  <c r="GK921" i="98"/>
  <c r="GD521" i="98"/>
  <c r="GH521" i="98"/>
  <c r="GD318" i="98"/>
  <c r="GE318" i="98"/>
  <c r="GB318" i="98"/>
  <c r="GK318" i="98"/>
  <c r="GH318" i="98"/>
  <c r="GE834" i="98"/>
  <c r="GB834" i="98"/>
  <c r="GD834" i="98"/>
  <c r="GK834" i="98"/>
  <c r="GH834" i="98"/>
  <c r="GD415" i="98"/>
  <c r="GK415" i="98"/>
  <c r="GH415" i="98"/>
  <c r="GE415" i="98"/>
  <c r="GB415" i="98"/>
  <c r="GB1394" i="98"/>
  <c r="GD1394" i="98"/>
  <c r="GD1370" i="98"/>
  <c r="GB1370" i="98"/>
  <c r="GD1101" i="98"/>
  <c r="GH1101" i="98"/>
  <c r="GE1101" i="98"/>
  <c r="GB1101" i="98"/>
  <c r="GK1101" i="98"/>
  <c r="GD1161" i="98"/>
  <c r="GK1161" i="98"/>
  <c r="GH1161" i="98"/>
  <c r="GB1161" i="98"/>
  <c r="GE1161" i="98"/>
  <c r="GD1129" i="98"/>
  <c r="GH1129" i="98"/>
  <c r="GE1129" i="98"/>
  <c r="GB1129" i="98"/>
  <c r="GK1129" i="98"/>
  <c r="GD992" i="98"/>
  <c r="GK992" i="98"/>
  <c r="GH992" i="98"/>
  <c r="GE992" i="98"/>
  <c r="GB992" i="98"/>
  <c r="GB908" i="98"/>
  <c r="GE908" i="98"/>
  <c r="GD908" i="98"/>
  <c r="GK668" i="98"/>
  <c r="GD628" i="98"/>
  <c r="GH628" i="98"/>
  <c r="GE628" i="98"/>
  <c r="GB628" i="98"/>
  <c r="GK628" i="98"/>
  <c r="GD603" i="98"/>
  <c r="GK603" i="98"/>
  <c r="GH603" i="98"/>
  <c r="GE603" i="98"/>
  <c r="GB603" i="98"/>
  <c r="GE325" i="98"/>
  <c r="GK189" i="98"/>
  <c r="GE189" i="98"/>
  <c r="GB189" i="98"/>
  <c r="GH189" i="98"/>
  <c r="GD189" i="98"/>
  <c r="GD88" i="98"/>
  <c r="GB88" i="98"/>
  <c r="GE88" i="98"/>
  <c r="GH88" i="98"/>
  <c r="GK88" i="98"/>
  <c r="GE1270" i="98"/>
  <c r="GH1270" i="98"/>
  <c r="GB1270" i="98"/>
  <c r="GD1270" i="98"/>
  <c r="GK1270" i="98"/>
  <c r="GH1490" i="98"/>
  <c r="GH880" i="98"/>
  <c r="GB493" i="98"/>
  <c r="GD493" i="98"/>
  <c r="GD711" i="98"/>
  <c r="GB711" i="98"/>
  <c r="GK711" i="98"/>
  <c r="GH711" i="98"/>
  <c r="GE711" i="98"/>
  <c r="GK982" i="98"/>
  <c r="GH982" i="98"/>
  <c r="GB982" i="98"/>
  <c r="GE982" i="98"/>
  <c r="GA906" i="98"/>
  <c r="GE906" i="98"/>
  <c r="GI906" i="98"/>
  <c r="FO906" i="98"/>
  <c r="GB906" i="98"/>
  <c r="GF906" i="98"/>
  <c r="GJ906" i="98"/>
  <c r="GD906" i="98"/>
  <c r="GL906" i="98"/>
  <c r="GG906" i="98"/>
  <c r="GH906" i="98"/>
  <c r="GC906" i="98"/>
  <c r="GK906" i="98"/>
  <c r="FR906" i="98"/>
  <c r="GE842" i="98"/>
  <c r="FO842" i="98"/>
  <c r="GB842" i="98"/>
  <c r="GD842" i="98"/>
  <c r="GH842" i="98"/>
  <c r="GK842" i="98"/>
  <c r="FR842" i="98"/>
  <c r="GD553" i="98"/>
  <c r="GH553" i="98"/>
  <c r="GE468" i="98"/>
  <c r="GB468" i="98"/>
  <c r="GH468" i="98"/>
  <c r="GE342" i="98"/>
  <c r="GK342" i="98"/>
  <c r="GB342" i="98"/>
  <c r="GD342" i="98"/>
  <c r="GK161" i="98"/>
  <c r="GD161" i="98"/>
  <c r="GB161" i="98"/>
  <c r="GD105" i="98"/>
  <c r="GE105" i="98"/>
  <c r="GH105" i="98"/>
  <c r="GB105" i="98"/>
  <c r="GB1029" i="98"/>
  <c r="GH1029" i="98"/>
  <c r="GD1029" i="98"/>
  <c r="GE1029" i="98"/>
  <c r="GB897" i="98"/>
  <c r="GD897" i="98"/>
  <c r="GB731" i="98"/>
  <c r="GD731" i="98"/>
  <c r="GK731" i="98"/>
  <c r="GH731" i="98"/>
  <c r="GE731" i="98"/>
  <c r="GK750" i="98"/>
  <c r="GH750" i="98"/>
  <c r="GB750" i="98"/>
  <c r="GE750" i="98"/>
  <c r="GK674" i="98"/>
  <c r="GH674" i="98"/>
  <c r="GB674" i="98"/>
  <c r="GE674" i="98"/>
  <c r="GD647" i="98"/>
  <c r="GB647" i="98"/>
  <c r="GK647" i="98"/>
  <c r="GH647" i="98"/>
  <c r="GE647" i="98"/>
  <c r="GD1547" i="98"/>
  <c r="GH1547" i="98"/>
  <c r="GE1547" i="98"/>
  <c r="GB1547" i="98"/>
  <c r="GK1547" i="98"/>
  <c r="GD1667" i="98"/>
  <c r="GK1667" i="98"/>
  <c r="GH1667" i="98"/>
  <c r="GB1667" i="98"/>
  <c r="GD1635" i="98"/>
  <c r="GH1635" i="98"/>
  <c r="GE1635" i="98"/>
  <c r="GB1635" i="98"/>
  <c r="GK1635" i="98"/>
  <c r="GB1239" i="98"/>
  <c r="GK1239" i="98"/>
  <c r="GD1239" i="98"/>
  <c r="GD1189" i="98"/>
  <c r="GH1189" i="98"/>
  <c r="FO1189" i="98"/>
  <c r="GB1189" i="98"/>
  <c r="GK1189" i="98"/>
  <c r="GE1189" i="98"/>
  <c r="FR1189" i="98"/>
  <c r="GK970" i="98"/>
  <c r="GH970" i="98"/>
  <c r="GE970" i="98"/>
  <c r="GB970" i="98"/>
  <c r="GB1279" i="98"/>
  <c r="GK1279" i="98"/>
  <c r="GD1279" i="98"/>
  <c r="GE1279" i="98"/>
  <c r="GD1427" i="98"/>
  <c r="GK1427" i="98"/>
  <c r="GB1427" i="98"/>
  <c r="GH1427" i="98"/>
  <c r="GE1427" i="98"/>
  <c r="GB1259" i="98"/>
  <c r="GE1259" i="98"/>
  <c r="GD1259" i="98"/>
  <c r="GB571" i="98"/>
  <c r="GD571" i="98"/>
  <c r="GK571" i="98"/>
  <c r="GH571" i="98"/>
  <c r="GE571" i="98"/>
  <c r="GD387" i="98"/>
  <c r="GK387" i="98"/>
  <c r="GB387" i="98"/>
  <c r="GH387" i="98"/>
  <c r="GB1255" i="98"/>
  <c r="GK1255" i="98"/>
  <c r="GD1255" i="98"/>
  <c r="GD1483" i="98"/>
  <c r="GE1483" i="98"/>
  <c r="GB1483" i="98"/>
  <c r="GK1483" i="98"/>
  <c r="GH1483" i="98"/>
  <c r="GB950" i="98"/>
  <c r="GD950" i="98"/>
  <c r="GK880" i="98"/>
  <c r="GE493" i="98"/>
  <c r="GD305" i="98"/>
  <c r="GE200" i="98"/>
  <c r="GH200" i="98"/>
  <c r="GH1450" i="98"/>
  <c r="GE1450" i="98"/>
  <c r="GH1442" i="98"/>
  <c r="GE1442" i="98"/>
  <c r="GE561" i="98"/>
  <c r="GH561" i="98"/>
  <c r="GK561" i="98"/>
  <c r="GH235" i="98"/>
  <c r="GB99" i="98"/>
  <c r="GE99" i="98"/>
  <c r="GH1362" i="98"/>
  <c r="GE1362" i="98"/>
  <c r="GH800" i="98"/>
  <c r="GK800" i="98"/>
  <c r="GH1402" i="98"/>
  <c r="GE1402" i="98"/>
  <c r="GH1410" i="98"/>
  <c r="GE1410" i="98"/>
  <c r="FO1269" i="98"/>
  <c r="GH1269" i="98" s="1"/>
  <c r="GD1253" i="98"/>
  <c r="GH1253" i="98"/>
  <c r="FO1253" i="98"/>
  <c r="GB1253" i="98"/>
  <c r="GK1253" i="98"/>
  <c r="GE1253" i="98"/>
  <c r="GH924" i="98"/>
  <c r="GK924" i="98"/>
  <c r="GH828" i="98"/>
  <c r="GK828" i="98"/>
  <c r="GK93" i="98"/>
  <c r="GH912" i="98"/>
  <c r="GK912" i="98"/>
  <c r="GH832" i="98"/>
  <c r="GK832" i="98"/>
  <c r="GD337" i="98"/>
  <c r="GK305" i="98"/>
  <c r="GB305" i="98"/>
  <c r="GH244" i="98"/>
  <c r="GK244" i="98"/>
  <c r="GK350" i="98"/>
  <c r="GH350" i="98"/>
  <c r="GK724" i="98"/>
  <c r="GK338" i="98"/>
  <c r="GH90" i="98"/>
  <c r="GD297" i="98"/>
  <c r="GH1458" i="98"/>
  <c r="GE1458" i="98"/>
  <c r="GK612" i="98"/>
  <c r="GH310" i="98"/>
  <c r="GK310" i="98"/>
  <c r="GE301" i="98"/>
  <c r="GH301" i="98"/>
  <c r="GK290" i="98"/>
  <c r="GD200" i="98"/>
  <c r="GE1301" i="98"/>
  <c r="GK740" i="98"/>
  <c r="GB1442" i="98"/>
  <c r="GH958" i="98"/>
  <c r="GE958" i="98"/>
  <c r="GH942" i="98"/>
  <c r="GE942" i="98"/>
  <c r="GH938" i="98"/>
  <c r="GH854" i="98"/>
  <c r="GH822" i="98"/>
  <c r="GH790" i="98"/>
  <c r="GK427" i="98"/>
  <c r="GE379" i="98"/>
  <c r="GH379" i="98"/>
  <c r="GA1346" i="98"/>
  <c r="GE1346" i="98"/>
  <c r="GI1346" i="98"/>
  <c r="GC1346" i="98"/>
  <c r="GH1346" i="98"/>
  <c r="GD1346" i="98"/>
  <c r="GJ1346" i="98"/>
  <c r="FO1346" i="98"/>
  <c r="GF1346" i="98"/>
  <c r="GK1346" i="98"/>
  <c r="GB1346" i="98"/>
  <c r="GG1346" i="98"/>
  <c r="GL1346" i="98"/>
  <c r="GK1679" i="98"/>
  <c r="GD1679" i="98"/>
  <c r="GK1511" i="98"/>
  <c r="GD1511" i="98"/>
  <c r="GA1426" i="98"/>
  <c r="GE1426" i="98"/>
  <c r="GI1426" i="98"/>
  <c r="GC1426" i="98"/>
  <c r="GH1426" i="98"/>
  <c r="GD1426" i="98"/>
  <c r="GJ1426" i="98"/>
  <c r="FO1426" i="98"/>
  <c r="GF1426" i="98"/>
  <c r="GK1426" i="98"/>
  <c r="GL1426" i="98"/>
  <c r="GG1426" i="98"/>
  <c r="GB1426" i="98"/>
  <c r="GH1463" i="98"/>
  <c r="GH1415" i="98"/>
  <c r="GE1153" i="98"/>
  <c r="GD1153" i="98"/>
  <c r="GD972" i="98"/>
  <c r="GD1339" i="98"/>
  <c r="FO1077" i="98"/>
  <c r="GB1077" i="98" s="1"/>
  <c r="GH872" i="98"/>
  <c r="GK872" i="98"/>
  <c r="GH808" i="98"/>
  <c r="GK808" i="98"/>
  <c r="GK1025" i="98"/>
  <c r="GB983" i="98"/>
  <c r="GE983" i="98"/>
  <c r="GH983" i="98"/>
  <c r="GK983" i="98"/>
  <c r="GD967" i="98"/>
  <c r="GK931" i="98"/>
  <c r="GK915" i="98"/>
  <c r="GK899" i="98"/>
  <c r="GK883" i="98"/>
  <c r="GK867" i="98"/>
  <c r="GK851" i="98"/>
  <c r="GK835" i="98"/>
  <c r="GK819" i="98"/>
  <c r="GK803" i="98"/>
  <c r="GK787" i="98"/>
  <c r="GH734" i="98"/>
  <c r="GK734" i="98"/>
  <c r="GB767" i="98"/>
  <c r="GE751" i="98"/>
  <c r="GH751" i="98"/>
  <c r="GK751" i="98"/>
  <c r="GB703" i="98"/>
  <c r="GE687" i="98"/>
  <c r="GH687" i="98"/>
  <c r="GK687" i="98"/>
  <c r="GB639" i="98"/>
  <c r="GE623" i="98"/>
  <c r="GH623" i="98"/>
  <c r="GK623" i="98"/>
  <c r="GB575" i="98"/>
  <c r="GB438" i="98"/>
  <c r="GD438" i="98"/>
  <c r="GE389" i="98"/>
  <c r="GK432" i="98"/>
  <c r="GK243" i="98"/>
  <c r="GD158" i="98"/>
  <c r="FO158" i="98"/>
  <c r="GE158" i="98" s="1"/>
  <c r="GK158" i="98"/>
  <c r="GB158" i="98"/>
  <c r="GH860" i="98"/>
  <c r="GK860" i="98"/>
  <c r="GH812" i="98"/>
  <c r="GK812" i="98"/>
  <c r="GB873" i="98"/>
  <c r="GK871" i="98"/>
  <c r="GK807" i="98"/>
  <c r="GD748" i="98"/>
  <c r="GB533" i="98"/>
  <c r="GE477" i="98"/>
  <c r="GH477" i="98"/>
  <c r="GK477" i="98"/>
  <c r="GB683" i="98"/>
  <c r="GD302" i="98"/>
  <c r="GD561" i="98"/>
  <c r="GB434" i="98"/>
  <c r="GB394" i="98"/>
  <c r="GE394" i="98"/>
  <c r="GH394" i="98"/>
  <c r="GK394" i="98"/>
  <c r="GE309" i="98"/>
  <c r="GK270" i="98"/>
  <c r="GD247" i="98"/>
  <c r="GB235" i="98"/>
  <c r="GD235" i="98"/>
  <c r="GB169" i="98"/>
  <c r="GD99" i="98"/>
  <c r="GD89" i="98"/>
  <c r="GB89" i="98"/>
  <c r="GH1439" i="98"/>
  <c r="GK1439" i="98"/>
  <c r="GK1423" i="98"/>
  <c r="GH1419" i="98"/>
  <c r="GK1177" i="98"/>
  <c r="GD800" i="98"/>
  <c r="GK1024" i="98"/>
  <c r="GH914" i="98"/>
  <c r="GH850" i="98"/>
  <c r="GD440" i="98"/>
  <c r="GK91" i="98"/>
  <c r="FO1285" i="98"/>
  <c r="GH1285" i="98" s="1"/>
  <c r="GH1482" i="98"/>
  <c r="GE1482" i="98"/>
  <c r="GE1578" i="98"/>
  <c r="GH1578" i="98"/>
  <c r="GK1578" i="98"/>
  <c r="GK1201" i="98"/>
  <c r="GH1040" i="98"/>
  <c r="GE1040" i="98"/>
  <c r="GE1311" i="98"/>
  <c r="GH1395" i="98"/>
  <c r="GD1195" i="98"/>
  <c r="GD1147" i="98"/>
  <c r="GD924" i="98"/>
  <c r="GH844" i="98"/>
  <c r="GK844" i="98"/>
  <c r="GD828" i="98"/>
  <c r="GK929" i="98"/>
  <c r="GE929" i="98"/>
  <c r="GH929" i="98"/>
  <c r="GK841" i="98"/>
  <c r="GE841" i="98"/>
  <c r="GH841" i="98"/>
  <c r="GD903" i="98"/>
  <c r="GE670" i="98"/>
  <c r="GE517" i="98"/>
  <c r="GH517" i="98"/>
  <c r="GK517" i="98"/>
  <c r="GD410" i="98"/>
  <c r="GB381" i="98"/>
  <c r="GD381" i="98"/>
  <c r="GD313" i="98"/>
  <c r="GE151" i="98"/>
  <c r="GH151" i="98"/>
  <c r="GD123" i="98"/>
  <c r="GH93" i="98"/>
  <c r="GD1631" i="98"/>
  <c r="GD1643" i="98"/>
  <c r="GH1633" i="98"/>
  <c r="GK1633" i="98"/>
  <c r="GD1563" i="98"/>
  <c r="GE1553" i="98"/>
  <c r="GH1553" i="98"/>
  <c r="GK1553" i="98"/>
  <c r="GD1587" i="98"/>
  <c r="GE1670" i="98"/>
  <c r="GH1670" i="98"/>
  <c r="GK1670" i="98"/>
  <c r="GK1455" i="98"/>
  <c r="GK1297" i="98"/>
  <c r="GE1199" i="98"/>
  <c r="GD1199" i="98"/>
  <c r="GE1451" i="98"/>
  <c r="GD1451" i="98"/>
  <c r="GD1291" i="98"/>
  <c r="GK1225" i="98"/>
  <c r="GD1225" i="98"/>
  <c r="GD1113" i="98"/>
  <c r="GH928" i="98"/>
  <c r="GK928" i="98"/>
  <c r="GD912" i="98"/>
  <c r="GH848" i="98"/>
  <c r="GK848" i="98"/>
  <c r="GD832" i="98"/>
  <c r="GK1081" i="98"/>
  <c r="GK1017" i="98"/>
  <c r="GD968" i="98"/>
  <c r="GD923" i="98"/>
  <c r="GK891" i="98"/>
  <c r="GK959" i="98"/>
  <c r="GH959" i="98"/>
  <c r="GK620" i="98"/>
  <c r="GD620" i="98"/>
  <c r="GK588" i="98"/>
  <c r="GD588" i="98"/>
  <c r="GB513" i="98"/>
  <c r="GK580" i="98"/>
  <c r="GB663" i="98"/>
  <c r="GD663" i="98"/>
  <c r="GE564" i="98"/>
  <c r="GH564" i="98"/>
  <c r="GK564" i="98"/>
  <c r="GB522" i="98"/>
  <c r="GE522" i="98"/>
  <c r="GH522" i="98"/>
  <c r="GD463" i="98"/>
  <c r="GH441" i="98"/>
  <c r="GK441" i="98"/>
  <c r="GB470" i="98"/>
  <c r="GE391" i="98"/>
  <c r="GH391" i="98"/>
  <c r="GE373" i="98"/>
  <c r="GE293" i="98"/>
  <c r="GK337" i="98"/>
  <c r="GB337" i="98"/>
  <c r="GD244" i="98"/>
  <c r="GE350" i="98"/>
  <c r="GB350" i="98"/>
  <c r="GH268" i="98"/>
  <c r="GK268" i="98"/>
  <c r="GB269" i="98"/>
  <c r="GE269" i="98"/>
  <c r="GH269" i="98"/>
  <c r="GK269" i="98"/>
  <c r="GH229" i="98"/>
  <c r="GK184" i="98"/>
  <c r="GB184" i="98"/>
  <c r="GD132" i="98"/>
  <c r="GK132" i="98"/>
  <c r="GK1555" i="98"/>
  <c r="GB1555" i="98"/>
  <c r="GE1555" i="98"/>
  <c r="GH1555" i="98"/>
  <c r="GK1000" i="98"/>
  <c r="GH951" i="98"/>
  <c r="GK455" i="98"/>
  <c r="GB455" i="98"/>
  <c r="GE455" i="98"/>
  <c r="GH455" i="98"/>
  <c r="GK632" i="98"/>
  <c r="GB632" i="98"/>
  <c r="GE632" i="98"/>
  <c r="GH632" i="98"/>
  <c r="GK684" i="98"/>
  <c r="GD684" i="98"/>
  <c r="GB724" i="98"/>
  <c r="GE724" i="98"/>
  <c r="GH724" i="98"/>
  <c r="GD692" i="98"/>
  <c r="GD498" i="98"/>
  <c r="GK371" i="98"/>
  <c r="GH371" i="98"/>
  <c r="GH362" i="98"/>
  <c r="GK362" i="98"/>
  <c r="GB338" i="98"/>
  <c r="GE338" i="98"/>
  <c r="GD289" i="98"/>
  <c r="GB90" i="98"/>
  <c r="GD90" i="98"/>
  <c r="GD321" i="98"/>
  <c r="GK297" i="98"/>
  <c r="GB297" i="98"/>
  <c r="GK431" i="98"/>
  <c r="GB431" i="98"/>
  <c r="GE431" i="98"/>
  <c r="GH431" i="98"/>
  <c r="GD510" i="98"/>
  <c r="GD365" i="98"/>
  <c r="GH1418" i="98"/>
  <c r="GH1322" i="98"/>
  <c r="GH1474" i="98"/>
  <c r="GD1137" i="98"/>
  <c r="GK1133" i="98"/>
  <c r="GB1133" i="98"/>
  <c r="GE1133" i="98"/>
  <c r="GH1133" i="98"/>
  <c r="GB1141" i="98"/>
  <c r="GE1141" i="98"/>
  <c r="GH1141" i="98"/>
  <c r="FR1253" i="98"/>
  <c r="GE1027" i="98"/>
  <c r="GH1027" i="98"/>
  <c r="GK1011" i="98"/>
  <c r="GB1011" i="98"/>
  <c r="GD1011" i="98"/>
  <c r="GK984" i="98"/>
  <c r="GK558" i="98"/>
  <c r="GB558" i="98"/>
  <c r="GE558" i="98"/>
  <c r="GH558" i="98"/>
  <c r="GB612" i="98"/>
  <c r="GE612" i="98"/>
  <c r="GH612" i="98"/>
  <c r="GK530" i="98"/>
  <c r="GB530" i="98"/>
  <c r="GE530" i="98"/>
  <c r="GH530" i="98"/>
  <c r="GK399" i="98"/>
  <c r="GB399" i="98"/>
  <c r="GE399" i="98"/>
  <c r="GH399" i="98"/>
  <c r="GD494" i="98"/>
  <c r="GK403" i="98"/>
  <c r="GD403" i="98"/>
  <c r="GB310" i="98"/>
  <c r="GE310" i="98"/>
  <c r="GD301" i="98"/>
  <c r="GB290" i="98"/>
  <c r="GE290" i="98"/>
  <c r="GK200" i="98"/>
  <c r="GB200" i="98"/>
  <c r="GB1450" i="98"/>
  <c r="GD1450" i="98"/>
  <c r="GB1507" i="98"/>
  <c r="GE1507" i="98"/>
  <c r="GH1507" i="98"/>
  <c r="GB1301" i="98"/>
  <c r="GH1301" i="98"/>
  <c r="GB1125" i="98"/>
  <c r="GE1125" i="98"/>
  <c r="GH1125" i="98"/>
  <c r="GD1109" i="98"/>
  <c r="GE1157" i="98"/>
  <c r="GK1157" i="98"/>
  <c r="GD1157" i="98"/>
  <c r="GK1023" i="98"/>
  <c r="GB1023" i="98"/>
  <c r="GD1023" i="98"/>
  <c r="GB1007" i="98"/>
  <c r="GD1007" i="98"/>
  <c r="GD760" i="98"/>
  <c r="GB740" i="98"/>
  <c r="GE740" i="98"/>
  <c r="GH740" i="98"/>
  <c r="GB534" i="98"/>
  <c r="GE534" i="98"/>
  <c r="GH534" i="98"/>
  <c r="GB514" i="98"/>
  <c r="GE514" i="98"/>
  <c r="GH514" i="98"/>
  <c r="GB482" i="98"/>
  <c r="GE482" i="98"/>
  <c r="GH482" i="98"/>
  <c r="GD423" i="98"/>
  <c r="GD451" i="98"/>
  <c r="GD411" i="98"/>
  <c r="GD367" i="98"/>
  <c r="GK274" i="98"/>
  <c r="GB274" i="98"/>
  <c r="GE274" i="98"/>
  <c r="GH274" i="98"/>
  <c r="GD329" i="98"/>
  <c r="GD188" i="98"/>
  <c r="GB1647" i="98"/>
  <c r="GE1647" i="98"/>
  <c r="GH1647" i="98"/>
  <c r="FR1285" i="98"/>
  <c r="GE1675" i="98"/>
  <c r="GB1659" i="98"/>
  <c r="GE1659" i="98"/>
  <c r="GH1659" i="98"/>
  <c r="GD1591" i="98"/>
  <c r="GH1354" i="98"/>
  <c r="GH1434" i="98"/>
  <c r="GK1527" i="98"/>
  <c r="GD1442" i="98"/>
  <c r="GK988" i="98"/>
  <c r="GB988" i="98"/>
  <c r="GE988" i="98"/>
  <c r="GH988" i="98"/>
  <c r="GB1035" i="98"/>
  <c r="GD1035" i="98"/>
  <c r="GK744" i="98"/>
  <c r="GB744" i="98"/>
  <c r="GE744" i="98"/>
  <c r="GH744" i="98"/>
  <c r="GK712" i="98"/>
  <c r="GB712" i="98"/>
  <c r="GE712" i="98"/>
  <c r="GH712" i="98"/>
  <c r="GK938" i="98"/>
  <c r="GD938" i="98"/>
  <c r="GB938" i="98"/>
  <c r="GE938" i="98"/>
  <c r="GK854" i="98"/>
  <c r="GD854" i="98"/>
  <c r="GB854" i="98"/>
  <c r="GE854" i="98"/>
  <c r="GK822" i="98"/>
  <c r="GD822" i="98"/>
  <c r="GB822" i="98"/>
  <c r="GE822" i="98"/>
  <c r="GK790" i="98"/>
  <c r="GD790" i="98"/>
  <c r="GB790" i="98"/>
  <c r="GE790" i="98"/>
  <c r="GK652" i="98"/>
  <c r="GD652" i="98"/>
  <c r="GB427" i="98"/>
  <c r="GE427" i="98"/>
  <c r="GH427" i="98"/>
  <c r="GB379" i="98"/>
  <c r="GB349" i="98"/>
  <c r="GH349" i="98"/>
  <c r="GE349" i="98"/>
  <c r="FO1237" i="98"/>
  <c r="GH1237" i="98" s="1"/>
  <c r="FO1088" i="98"/>
  <c r="GK1088" i="98"/>
  <c r="FO1093" i="98"/>
  <c r="GB1093" i="98"/>
  <c r="GD1093" i="98"/>
  <c r="GE1093" i="98"/>
  <c r="GK1093" i="98"/>
  <c r="GH1093" i="98"/>
  <c r="FO1045" i="98"/>
  <c r="GK1045" i="98"/>
  <c r="GH920" i="98"/>
  <c r="GK920" i="98"/>
  <c r="GH792" i="98"/>
  <c r="GK792" i="98"/>
  <c r="GD983" i="98"/>
  <c r="GE767" i="98"/>
  <c r="GH767" i="98"/>
  <c r="GK767" i="98"/>
  <c r="GE703" i="98"/>
  <c r="GH703" i="98"/>
  <c r="GK703" i="98"/>
  <c r="GE639" i="98"/>
  <c r="GH639" i="98"/>
  <c r="GK639" i="98"/>
  <c r="GE575" i="98"/>
  <c r="GH575" i="98"/>
  <c r="GK575" i="98"/>
  <c r="GA386" i="98"/>
  <c r="GE386" i="98"/>
  <c r="GI386" i="98"/>
  <c r="GC386" i="98"/>
  <c r="GH386" i="98"/>
  <c r="GD386" i="98"/>
  <c r="GJ386" i="98"/>
  <c r="FO386" i="98"/>
  <c r="GF386" i="98"/>
  <c r="GK386" i="98"/>
  <c r="GG386" i="98"/>
  <c r="GL386" i="98"/>
  <c r="GB386" i="98"/>
  <c r="GE953" i="98"/>
  <c r="GE533" i="98"/>
  <c r="GH533" i="98"/>
  <c r="GK533" i="98"/>
  <c r="GB502" i="98"/>
  <c r="GE502" i="98"/>
  <c r="GH378" i="98"/>
  <c r="GE434" i="98"/>
  <c r="GH434" i="98"/>
  <c r="GK434" i="98"/>
  <c r="GD394" i="98"/>
  <c r="GE317" i="98"/>
  <c r="GH341" i="98"/>
  <c r="GB270" i="98"/>
  <c r="GE270" i="98"/>
  <c r="GE247" i="98"/>
  <c r="GK235" i="98"/>
  <c r="GE235" i="98"/>
  <c r="GD193" i="98"/>
  <c r="GH193" i="98"/>
  <c r="GB193" i="98"/>
  <c r="GH181" i="98"/>
  <c r="GB181" i="98"/>
  <c r="GK1543" i="98"/>
  <c r="GB1543" i="98"/>
  <c r="GE1543" i="98"/>
  <c r="GD1362" i="98"/>
  <c r="GH1682" i="98"/>
  <c r="GE1658" i="98"/>
  <c r="GH1658" i="98"/>
  <c r="GK1658" i="98"/>
  <c r="GE1439" i="98"/>
  <c r="GD1439" i="98"/>
  <c r="GH1423" i="98"/>
  <c r="GE1423" i="98"/>
  <c r="GD1423" i="98"/>
  <c r="GK1233" i="98"/>
  <c r="GE1151" i="98"/>
  <c r="GD1151" i="98"/>
  <c r="GK1419" i="98"/>
  <c r="GB1177" i="98"/>
  <c r="GD1163" i="98"/>
  <c r="GE800" i="98"/>
  <c r="GB800" i="98"/>
  <c r="GD1024" i="98"/>
  <c r="GB1024" i="98"/>
  <c r="GE991" i="98"/>
  <c r="GH991" i="98"/>
  <c r="GK991" i="98"/>
  <c r="GH930" i="98"/>
  <c r="GK914" i="98"/>
  <c r="GD914" i="98"/>
  <c r="GB914" i="98"/>
  <c r="GK850" i="98"/>
  <c r="GD850" i="98"/>
  <c r="GB850" i="98"/>
  <c r="GD795" i="98"/>
  <c r="GK772" i="98"/>
  <c r="GE695" i="98"/>
  <c r="GH695" i="98"/>
  <c r="GK695" i="98"/>
  <c r="GB440" i="98"/>
  <c r="GH213" i="98"/>
  <c r="GK213" i="98"/>
  <c r="GH128" i="98"/>
  <c r="GB128" i="98"/>
  <c r="GB1402" i="98"/>
  <c r="GD1402" i="98"/>
  <c r="GK1559" i="98"/>
  <c r="GD1410" i="98"/>
  <c r="GB1583" i="98"/>
  <c r="GE1583" i="98"/>
  <c r="GE1594" i="98"/>
  <c r="GH1594" i="98"/>
  <c r="GK1594" i="98"/>
  <c r="GD1578" i="98"/>
  <c r="GK1281" i="98"/>
  <c r="GB1201" i="98"/>
  <c r="GE1395" i="98"/>
  <c r="GH1363" i="98"/>
  <c r="GE1195" i="98"/>
  <c r="GE1147" i="98"/>
  <c r="GE1119" i="98"/>
  <c r="GH1064" i="98"/>
  <c r="GE924" i="98"/>
  <c r="GB924" i="98"/>
  <c r="GD844" i="98"/>
  <c r="GE828" i="98"/>
  <c r="GB828" i="98"/>
  <c r="GE995" i="98"/>
  <c r="GH995" i="98"/>
  <c r="GK995" i="98"/>
  <c r="GK865" i="98"/>
  <c r="GE865" i="98"/>
  <c r="GE903" i="98"/>
  <c r="GB764" i="98"/>
  <c r="GE764" i="98"/>
  <c r="GD517" i="98"/>
  <c r="GE651" i="98"/>
  <c r="GH651" i="98"/>
  <c r="GK651" i="98"/>
  <c r="GB542" i="98"/>
  <c r="GE542" i="98"/>
  <c r="GK253" i="98"/>
  <c r="GE253" i="98"/>
  <c r="GD197" i="98"/>
  <c r="GH197" i="98"/>
  <c r="GB197" i="98"/>
  <c r="GD93" i="98"/>
  <c r="GE93" i="98"/>
  <c r="GB93" i="98"/>
  <c r="GB1671" i="98"/>
  <c r="GE1671" i="98"/>
  <c r="GK1539" i="98"/>
  <c r="GB1539" i="98"/>
  <c r="GE1539" i="98"/>
  <c r="GD1670" i="98"/>
  <c r="GH1455" i="98"/>
  <c r="GE1455" i="98"/>
  <c r="GD1455" i="98"/>
  <c r="GB1297" i="98"/>
  <c r="GK1199" i="98"/>
  <c r="GE1291" i="98"/>
  <c r="GE1031" i="98"/>
  <c r="GD928" i="98"/>
  <c r="GE912" i="98"/>
  <c r="GB912" i="98"/>
  <c r="GH864" i="98"/>
  <c r="GK864" i="98"/>
  <c r="GD848" i="98"/>
  <c r="GE832" i="98"/>
  <c r="GB832" i="98"/>
  <c r="GD1081" i="98"/>
  <c r="GE923" i="98"/>
  <c r="GE959" i="98"/>
  <c r="GE513" i="98"/>
  <c r="GH513" i="98"/>
  <c r="GK513" i="98"/>
  <c r="GB580" i="98"/>
  <c r="GE580" i="98"/>
  <c r="GD535" i="98"/>
  <c r="GH535" i="98"/>
  <c r="GB535" i="98"/>
  <c r="GE759" i="98"/>
  <c r="GH759" i="98"/>
  <c r="GK759" i="98"/>
  <c r="GD424" i="98"/>
  <c r="GB424" i="98"/>
  <c r="GE305" i="98"/>
  <c r="GE244" i="98"/>
  <c r="GB244" i="98"/>
  <c r="GD269" i="98"/>
  <c r="GH224" i="98"/>
  <c r="GE184" i="98"/>
  <c r="GH1498" i="98"/>
  <c r="GH1378" i="98"/>
  <c r="GB1205" i="98"/>
  <c r="GB1000" i="98"/>
  <c r="GE1000" i="98"/>
  <c r="GK951" i="98"/>
  <c r="GE362" i="98"/>
  <c r="GD362" i="98"/>
  <c r="GH338" i="98"/>
  <c r="GD338" i="98"/>
  <c r="GK289" i="98"/>
  <c r="GB289" i="98"/>
  <c r="GE90" i="98"/>
  <c r="GK321" i="98"/>
  <c r="GB321" i="98"/>
  <c r="GB640" i="98"/>
  <c r="GE640" i="98"/>
  <c r="GK447" i="98"/>
  <c r="GB447" i="98"/>
  <c r="GE447" i="98"/>
  <c r="GD1458" i="98"/>
  <c r="GH1314" i="98"/>
  <c r="GK1004" i="98"/>
  <c r="GB1004" i="98"/>
  <c r="GE1004" i="98"/>
  <c r="GK1141" i="98"/>
  <c r="GH1072" i="98"/>
  <c r="GK1027" i="98"/>
  <c r="GB1027" i="98"/>
  <c r="GB984" i="98"/>
  <c r="GE984" i="98"/>
  <c r="GK584" i="98"/>
  <c r="GB584" i="98"/>
  <c r="GE584" i="98"/>
  <c r="GB672" i="98"/>
  <c r="GE672" i="98"/>
  <c r="GH357" i="98"/>
  <c r="GD310" i="98"/>
  <c r="GK301" i="98"/>
  <c r="GB301" i="98"/>
  <c r="GH290" i="98"/>
  <c r="GD290" i="98"/>
  <c r="GB1567" i="98"/>
  <c r="GE1567" i="98"/>
  <c r="GK1507" i="98"/>
  <c r="GK1301" i="98"/>
  <c r="GB768" i="98"/>
  <c r="GE768" i="98"/>
  <c r="GK329" i="98"/>
  <c r="GB329" i="98"/>
  <c r="FR1269" i="98"/>
  <c r="GB1675" i="98"/>
  <c r="GB1527" i="98"/>
  <c r="GE1527" i="98"/>
  <c r="FR1088" i="98"/>
  <c r="GB958" i="98"/>
  <c r="GD958" i="98"/>
  <c r="GD942" i="98"/>
  <c r="GB688" i="98"/>
  <c r="GE688" i="98"/>
  <c r="GB624" i="98"/>
  <c r="GE624" i="98"/>
  <c r="GD379" i="98"/>
  <c r="GK349" i="98"/>
  <c r="GK1237" i="98" l="1"/>
  <c r="GD1237" i="98"/>
  <c r="GK1285" i="98"/>
  <c r="GD1285" i="98"/>
  <c r="GH1077" i="98"/>
  <c r="GK1269" i="98"/>
  <c r="GD1269" i="98"/>
  <c r="GK172" i="98"/>
  <c r="GB172" i="98"/>
  <c r="GD172" i="98"/>
  <c r="GH1088" i="98"/>
  <c r="GE1088" i="98"/>
  <c r="GH1338" i="98"/>
  <c r="GE1338" i="98"/>
  <c r="GK1012" i="98"/>
  <c r="GE1045" i="98"/>
  <c r="GD1045" i="98"/>
  <c r="GB1045" i="98"/>
  <c r="GE1237" i="98"/>
  <c r="GE1285" i="98"/>
  <c r="GK1077" i="98"/>
  <c r="GE1269" i="98"/>
  <c r="GE111" i="98"/>
  <c r="GH111" i="98"/>
  <c r="GD111" i="98"/>
  <c r="GB111" i="98"/>
  <c r="GH810" i="98"/>
  <c r="GH874" i="98"/>
  <c r="GB1338" i="98"/>
  <c r="GH208" i="98"/>
  <c r="GE208" i="98"/>
  <c r="GK794" i="98"/>
  <c r="GD794" i="98"/>
  <c r="GB794" i="98"/>
  <c r="GE794" i="98"/>
  <c r="GK858" i="98"/>
  <c r="GD858" i="98"/>
  <c r="GB858" i="98"/>
  <c r="GE858" i="98"/>
  <c r="GK922" i="98"/>
  <c r="GD922" i="98"/>
  <c r="GB922" i="98"/>
  <c r="GE922" i="98"/>
  <c r="GE103" i="98"/>
  <c r="GD103" i="98"/>
  <c r="GB103" i="98"/>
  <c r="GE119" i="98"/>
  <c r="GD119" i="98"/>
  <c r="GB119" i="98"/>
  <c r="GB1012" i="98"/>
  <c r="GE1012" i="98"/>
  <c r="GH934" i="98"/>
  <c r="GH1045" i="98"/>
  <c r="GB1088" i="98"/>
  <c r="GD1088" i="98"/>
  <c r="GB1237" i="98"/>
  <c r="GB1285" i="98"/>
  <c r="GH158" i="98"/>
  <c r="GE1077" i="98"/>
  <c r="GD1077" i="98"/>
  <c r="GB1269" i="98"/>
  <c r="GK111" i="98"/>
  <c r="GE139" i="98"/>
  <c r="GK810" i="98"/>
  <c r="GD810" i="98"/>
  <c r="GB810" i="98"/>
  <c r="GK874" i="98"/>
  <c r="GD874" i="98"/>
  <c r="GB874" i="98"/>
  <c r="GD1338" i="98"/>
  <c r="GB114" i="98"/>
  <c r="GH114" i="98"/>
  <c r="GE172" i="98"/>
  <c r="GK934" i="98"/>
  <c r="GD934" i="98"/>
  <c r="GB934" i="98"/>
  <c r="GK1028" i="98"/>
  <c r="FP7" i="98" l="1"/>
  <c r="FS7" i="98" s="1"/>
  <c r="FP8" i="98"/>
  <c r="FS8" i="98" s="1"/>
  <c r="FP9" i="98"/>
  <c r="FS9" i="98" s="1"/>
  <c r="FP10" i="98"/>
  <c r="FS10" i="98" s="1"/>
  <c r="FP11" i="98"/>
  <c r="FS11" i="98" s="1"/>
  <c r="FP12" i="98"/>
  <c r="FS12" i="98" s="1"/>
  <c r="FP13" i="98"/>
  <c r="FS13" i="98" s="1"/>
  <c r="FP14" i="98"/>
  <c r="FS14" i="98" s="1"/>
  <c r="FP15" i="98"/>
  <c r="FS15" i="98" s="1"/>
  <c r="FP16" i="98"/>
  <c r="FS16" i="98" s="1"/>
  <c r="FP17" i="98"/>
  <c r="FS17" i="98" s="1"/>
  <c r="FP18" i="98"/>
  <c r="FS18" i="98" s="1"/>
  <c r="FP19" i="98"/>
  <c r="FS19" i="98" s="1"/>
  <c r="FP20" i="98"/>
  <c r="FS20" i="98" s="1"/>
  <c r="FP21" i="98"/>
  <c r="FS21" i="98" s="1"/>
  <c r="FP22" i="98"/>
  <c r="FS22" i="98" s="1"/>
  <c r="FP23" i="98"/>
  <c r="FS23" i="98" s="1"/>
  <c r="FP24" i="98"/>
  <c r="FS24" i="98" s="1"/>
  <c r="FP25" i="98"/>
  <c r="FS25" i="98" s="1"/>
  <c r="FP26" i="98"/>
  <c r="FS26" i="98" s="1"/>
  <c r="FP27" i="98"/>
  <c r="FS27" i="98" s="1"/>
  <c r="FP28" i="98"/>
  <c r="FS28" i="98" s="1"/>
  <c r="FP29" i="98"/>
  <c r="FS29" i="98" s="1"/>
  <c r="FP30" i="98"/>
  <c r="FS30" i="98" s="1"/>
  <c r="FP31" i="98"/>
  <c r="FS31" i="98" s="1"/>
  <c r="FP32" i="98"/>
  <c r="FS32" i="98" s="1"/>
  <c r="FP33" i="98"/>
  <c r="FS33" i="98" s="1"/>
  <c r="FP34" i="98"/>
  <c r="FS34" i="98" s="1"/>
  <c r="FP35" i="98"/>
  <c r="FS35" i="98" s="1"/>
  <c r="FP36" i="98"/>
  <c r="FS36" i="98" s="1"/>
  <c r="FP37" i="98"/>
  <c r="FS37" i="98" s="1"/>
  <c r="FP38" i="98"/>
  <c r="FS38" i="98" s="1"/>
  <c r="FP39" i="98"/>
  <c r="FS39" i="98" s="1"/>
  <c r="FP40" i="98"/>
  <c r="FS40" i="98" s="1"/>
  <c r="FP41" i="98"/>
  <c r="FS41" i="98" s="1"/>
  <c r="FP42" i="98"/>
  <c r="FS42" i="98" s="1"/>
  <c r="FP43" i="98"/>
  <c r="FS43" i="98" s="1"/>
  <c r="FP44" i="98"/>
  <c r="FS44" i="98" s="1"/>
  <c r="FP45" i="98"/>
  <c r="FS45" i="98" s="1"/>
  <c r="FP46" i="98"/>
  <c r="FS46" i="98" s="1"/>
  <c r="FP47" i="98"/>
  <c r="FS47" i="98" s="1"/>
  <c r="FP48" i="98"/>
  <c r="FS48" i="98" s="1"/>
  <c r="FP49" i="98"/>
  <c r="FS49" i="98" s="1"/>
  <c r="FP50" i="98"/>
  <c r="FS50" i="98" s="1"/>
  <c r="FP51" i="98"/>
  <c r="FS51" i="98" s="1"/>
  <c r="FP52" i="98"/>
  <c r="FS52" i="98" s="1"/>
  <c r="FP53" i="98"/>
  <c r="FS53" i="98" s="1"/>
  <c r="FP54" i="98"/>
  <c r="FS54" i="98" s="1"/>
  <c r="FP55" i="98"/>
  <c r="FS55" i="98" s="1"/>
  <c r="FP56" i="98"/>
  <c r="FS56" i="98" s="1"/>
  <c r="FP57" i="98"/>
  <c r="FS57" i="98" s="1"/>
  <c r="FP58" i="98"/>
  <c r="FS58" i="98" s="1"/>
  <c r="FP59" i="98"/>
  <c r="FS59" i="98" s="1"/>
  <c r="FP60" i="98"/>
  <c r="FS60" i="98" s="1"/>
  <c r="FP61" i="98"/>
  <c r="FS61" i="98" s="1"/>
  <c r="FP62" i="98"/>
  <c r="FS62" i="98" s="1"/>
  <c r="FP63" i="98"/>
  <c r="FS63" i="98" s="1"/>
  <c r="FP64" i="98"/>
  <c r="FS64" i="98" s="1"/>
  <c r="FP65" i="98"/>
  <c r="FS65" i="98" s="1"/>
  <c r="FP66" i="98"/>
  <c r="FS66" i="98" s="1"/>
  <c r="FP67" i="98"/>
  <c r="FS67" i="98" s="1"/>
  <c r="FP68" i="98"/>
  <c r="FS68" i="98" s="1"/>
  <c r="FP69" i="98"/>
  <c r="FS69" i="98" s="1"/>
  <c r="FP70" i="98"/>
  <c r="FS70" i="98" s="1"/>
  <c r="FP71" i="98"/>
  <c r="FS71" i="98" s="1"/>
  <c r="FP72" i="98"/>
  <c r="FS72" i="98" s="1"/>
  <c r="FP73" i="98"/>
  <c r="FS73" i="98" s="1"/>
  <c r="FP74" i="98"/>
  <c r="FS74" i="98" s="1"/>
  <c r="FP75" i="98"/>
  <c r="FS75" i="98" s="1"/>
  <c r="FP76" i="98"/>
  <c r="FS76" i="98" s="1"/>
  <c r="FP77" i="98"/>
  <c r="FS77" i="98" s="1"/>
  <c r="FP78" i="98"/>
  <c r="FS78" i="98" s="1"/>
  <c r="FP79" i="98"/>
  <c r="FS79" i="98" s="1"/>
  <c r="FP80" i="98"/>
  <c r="FS80" i="98" s="1"/>
  <c r="FP81" i="98"/>
  <c r="FS81" i="98" s="1"/>
  <c r="FP82" i="98"/>
  <c r="FS82" i="98" s="1"/>
  <c r="FP83" i="98"/>
  <c r="FS83" i="98" s="1"/>
  <c r="FP84" i="98"/>
  <c r="FS84" i="98" s="1"/>
  <c r="FP85" i="98"/>
  <c r="FS85" i="98" s="1"/>
  <c r="FP6" i="98"/>
  <c r="FS6" i="98" s="1"/>
  <c r="S8" i="95" l="1"/>
  <c r="T8" i="95"/>
  <c r="U8" i="95"/>
  <c r="V8" i="95"/>
  <c r="W8" i="95" s="1"/>
  <c r="S9" i="95"/>
  <c r="T9" i="95"/>
  <c r="U9" i="95"/>
  <c r="V9" i="95"/>
  <c r="W9" i="95" s="1"/>
  <c r="S10" i="95"/>
  <c r="T10" i="95"/>
  <c r="U10" i="95"/>
  <c r="V10" i="95"/>
  <c r="W10" i="95" s="1"/>
  <c r="S11" i="95"/>
  <c r="T11" i="95"/>
  <c r="U11" i="95"/>
  <c r="V11" i="95"/>
  <c r="W11" i="95" s="1"/>
  <c r="S12" i="95"/>
  <c r="T12" i="95"/>
  <c r="U12" i="95"/>
  <c r="V12" i="95"/>
  <c r="W12" i="95" s="1"/>
  <c r="S13" i="95"/>
  <c r="T13" i="95"/>
  <c r="U13" i="95"/>
  <c r="V13" i="95"/>
  <c r="W13" i="95" s="1"/>
  <c r="S14" i="95"/>
  <c r="T14" i="95"/>
  <c r="CB14" i="95" s="1"/>
  <c r="CY3" i="95" s="1"/>
  <c r="U14" i="95"/>
  <c r="V14" i="95"/>
  <c r="W14" i="95" s="1"/>
  <c r="S15" i="95"/>
  <c r="T15" i="95"/>
  <c r="CB15" i="95" s="1"/>
  <c r="CZ3" i="95" s="1"/>
  <c r="U15" i="95"/>
  <c r="V15" i="95"/>
  <c r="W15" i="95" s="1"/>
  <c r="S16" i="95"/>
  <c r="T16" i="95"/>
  <c r="CB16" i="95" s="1"/>
  <c r="DA3" i="95" s="1"/>
  <c r="U16" i="95"/>
  <c r="V16" i="95"/>
  <c r="W16" i="95" s="1"/>
  <c r="T7" i="95"/>
  <c r="U7" i="95"/>
  <c r="V7" i="95"/>
  <c r="W7" i="95" s="1"/>
  <c r="S7" i="95"/>
  <c r="CB13" i="95" l="1"/>
  <c r="CX3" i="95" s="1"/>
  <c r="CB12" i="95"/>
  <c r="CW3" i="95" s="1"/>
  <c r="CB11" i="95"/>
  <c r="CV3" i="95" s="1"/>
  <c r="CB10" i="95"/>
  <c r="CU3" i="95" s="1"/>
  <c r="AY13" i="95"/>
  <c r="BL3" i="95" s="1"/>
  <c r="CB9" i="95"/>
  <c r="CT3" i="95" s="1"/>
  <c r="CB8" i="95"/>
  <c r="CS3" i="95" s="1"/>
  <c r="CB7" i="95"/>
  <c r="CR3" i="95" s="1"/>
  <c r="AY16" i="95"/>
  <c r="BO3" i="95" s="1"/>
  <c r="AY15" i="95"/>
  <c r="BN3" i="95" s="1"/>
  <c r="AY14" i="95"/>
  <c r="BM3" i="95" s="1"/>
  <c r="AY12" i="95"/>
  <c r="BK3" i="95" s="1"/>
  <c r="AY11" i="95"/>
  <c r="BJ3" i="95" s="1"/>
  <c r="AY10" i="95"/>
  <c r="BI3" i="95" s="1"/>
  <c r="AY9" i="95"/>
  <c r="BH3" i="95" s="1"/>
  <c r="AY8" i="95"/>
  <c r="BG3" i="95" s="1"/>
  <c r="X7" i="95"/>
  <c r="Y7" i="95" s="1"/>
  <c r="AY7" i="95"/>
  <c r="BF3" i="95" s="1"/>
  <c r="X15" i="95"/>
  <c r="Y15" i="95" s="1"/>
  <c r="X14" i="95"/>
  <c r="Y14" i="95" s="1"/>
  <c r="X12" i="95"/>
  <c r="Y12" i="95" s="1"/>
  <c r="X10" i="95"/>
  <c r="Y10" i="95" s="1"/>
  <c r="X9" i="95"/>
  <c r="Y9" i="95" s="1"/>
  <c r="X16" i="95"/>
  <c r="Y16" i="95" s="1"/>
  <c r="X13" i="95"/>
  <c r="Y13" i="95" s="1"/>
  <c r="X11" i="95"/>
  <c r="Y11" i="95" s="1"/>
  <c r="X8" i="95"/>
  <c r="Y8" i="95" s="1"/>
  <c r="AY6" i="101"/>
  <c r="AY7" i="101"/>
  <c r="AY8" i="101"/>
  <c r="AY9" i="101"/>
  <c r="AY10" i="101"/>
  <c r="AY11" i="101"/>
  <c r="AY12" i="101"/>
  <c r="AY13" i="101"/>
  <c r="AY14" i="101"/>
  <c r="AY15" i="101"/>
  <c r="AY16" i="101"/>
  <c r="AY17" i="101"/>
  <c r="AY18" i="101"/>
  <c r="AY19" i="101"/>
  <c r="AY20" i="101"/>
  <c r="AY21" i="101"/>
  <c r="AY22" i="101"/>
  <c r="AY23" i="101"/>
  <c r="AY24" i="101"/>
  <c r="AY25" i="101"/>
  <c r="AY26" i="101"/>
  <c r="AY27" i="101"/>
  <c r="AY28" i="101"/>
  <c r="AY29" i="101"/>
  <c r="AY30" i="101"/>
  <c r="AY31" i="101"/>
  <c r="AY32" i="101"/>
  <c r="AY33" i="101"/>
  <c r="AY34" i="101"/>
  <c r="AY35" i="101"/>
  <c r="AY36" i="101"/>
  <c r="AY37" i="101"/>
  <c r="AY38" i="101"/>
  <c r="AY39" i="101"/>
  <c r="AY40" i="101"/>
  <c r="AY41" i="101"/>
  <c r="AY42" i="101"/>
  <c r="AY43" i="101"/>
  <c r="AY44" i="101"/>
  <c r="AY45" i="101"/>
  <c r="AY46" i="101"/>
  <c r="AY47" i="101"/>
  <c r="AY48" i="101"/>
  <c r="AY49" i="101"/>
  <c r="AY50" i="101"/>
  <c r="AY51" i="101"/>
  <c r="AY52" i="101"/>
  <c r="AY53" i="101"/>
  <c r="AY54" i="101"/>
  <c r="AY55" i="101"/>
  <c r="AY56" i="101"/>
  <c r="AY57" i="101"/>
  <c r="AY58" i="101"/>
  <c r="AY59" i="101"/>
  <c r="AY60" i="101"/>
  <c r="AY61" i="101"/>
  <c r="AY62" i="101"/>
  <c r="AY63" i="101"/>
  <c r="AY64" i="101"/>
  <c r="AY65" i="101"/>
  <c r="AY66" i="101"/>
  <c r="AY67" i="101"/>
  <c r="AY68" i="101"/>
  <c r="AY69" i="101"/>
  <c r="AY70" i="101"/>
  <c r="AY71" i="101"/>
  <c r="AY72" i="101"/>
  <c r="AY73" i="101"/>
  <c r="AY74" i="101"/>
  <c r="AY75" i="101"/>
  <c r="AY76" i="101"/>
  <c r="AY77" i="101"/>
  <c r="AY78" i="101"/>
  <c r="AY79" i="101"/>
  <c r="AY80" i="101"/>
  <c r="AY81" i="101"/>
  <c r="AY82" i="101"/>
  <c r="AY83" i="101"/>
  <c r="AY84" i="101"/>
  <c r="AY85" i="101"/>
  <c r="AY86" i="101"/>
  <c r="AY87" i="101"/>
  <c r="AY88" i="101"/>
  <c r="AY89" i="101"/>
  <c r="AY90" i="101"/>
  <c r="AY91" i="101"/>
  <c r="AY92" i="101"/>
  <c r="AY93" i="101"/>
  <c r="AY94" i="101"/>
  <c r="AY95" i="101"/>
  <c r="AY96" i="101"/>
  <c r="AY97" i="101"/>
  <c r="AY98" i="101"/>
  <c r="AY99" i="101"/>
  <c r="AY100" i="101"/>
  <c r="AY101" i="101"/>
  <c r="AY102" i="101"/>
  <c r="AY103" i="101"/>
  <c r="AY104" i="101"/>
  <c r="AY105" i="101"/>
  <c r="AY106" i="101"/>
  <c r="AY107" i="101"/>
  <c r="AY108" i="101"/>
  <c r="AY109" i="101"/>
  <c r="AY110" i="101"/>
  <c r="AY5" i="101"/>
  <c r="AX6" i="101"/>
  <c r="AX7" i="101"/>
  <c r="AX8" i="101"/>
  <c r="AX9" i="101"/>
  <c r="AX10" i="101"/>
  <c r="AX11" i="101"/>
  <c r="AX12" i="101"/>
  <c r="AX13" i="101"/>
  <c r="AX14" i="101"/>
  <c r="AX15" i="101"/>
  <c r="AX16" i="101"/>
  <c r="AX17" i="101"/>
  <c r="AX18" i="101"/>
  <c r="AX19" i="101"/>
  <c r="AX20" i="101"/>
  <c r="AX21" i="101"/>
  <c r="AX22" i="101"/>
  <c r="AX23" i="101"/>
  <c r="AX24" i="101"/>
  <c r="AX25" i="101"/>
  <c r="AX26" i="101"/>
  <c r="AX27" i="101"/>
  <c r="AX28" i="101"/>
  <c r="AX29" i="101"/>
  <c r="AX30" i="101"/>
  <c r="AX31" i="101"/>
  <c r="AX32" i="101"/>
  <c r="AX33" i="101"/>
  <c r="AX34" i="101"/>
  <c r="AX35" i="101"/>
  <c r="AX36" i="101"/>
  <c r="AX37" i="101"/>
  <c r="AX38" i="101"/>
  <c r="AX39" i="101"/>
  <c r="AX40" i="101"/>
  <c r="AX41" i="101"/>
  <c r="AX42" i="101"/>
  <c r="AX43" i="101"/>
  <c r="AX44" i="101"/>
  <c r="AX45" i="101"/>
  <c r="AX46" i="101"/>
  <c r="AX47" i="101"/>
  <c r="AX48" i="101"/>
  <c r="AX49" i="101"/>
  <c r="AX50" i="101"/>
  <c r="AX51" i="101"/>
  <c r="AX52" i="101"/>
  <c r="AX53" i="101"/>
  <c r="AX54" i="101"/>
  <c r="AX55" i="101"/>
  <c r="AX56" i="101"/>
  <c r="AX57" i="101"/>
  <c r="AX58" i="101"/>
  <c r="AX59" i="101"/>
  <c r="AX60" i="101"/>
  <c r="AX61" i="101"/>
  <c r="AX62" i="101"/>
  <c r="AX63" i="101"/>
  <c r="AX64" i="101"/>
  <c r="AX65" i="101"/>
  <c r="AX66" i="101"/>
  <c r="AX67" i="101"/>
  <c r="AX68" i="101"/>
  <c r="AX69" i="101"/>
  <c r="AX70" i="101"/>
  <c r="AX71" i="101"/>
  <c r="AX72" i="101"/>
  <c r="AX73" i="101"/>
  <c r="AX74" i="101"/>
  <c r="AX75" i="101"/>
  <c r="AX76" i="101"/>
  <c r="AX77" i="101"/>
  <c r="AX78" i="101"/>
  <c r="AX79" i="101"/>
  <c r="AX80" i="101"/>
  <c r="AX81" i="101"/>
  <c r="AX82" i="101"/>
  <c r="AX83" i="101"/>
  <c r="AX84" i="101"/>
  <c r="AX85" i="101"/>
  <c r="AX86" i="101"/>
  <c r="AX87" i="101"/>
  <c r="AX88" i="101"/>
  <c r="AX89" i="101"/>
  <c r="AX90" i="101"/>
  <c r="AX91" i="101"/>
  <c r="AX92" i="101"/>
  <c r="AX93" i="101"/>
  <c r="AX94" i="101"/>
  <c r="AX95" i="101"/>
  <c r="AX96" i="101"/>
  <c r="AX97" i="101"/>
  <c r="AX98" i="101"/>
  <c r="AX99" i="101"/>
  <c r="AX100" i="101"/>
  <c r="AX101" i="101"/>
  <c r="AX102" i="101"/>
  <c r="AX103" i="101"/>
  <c r="AX104" i="101"/>
  <c r="AX105" i="101"/>
  <c r="AX106" i="101"/>
  <c r="AX107" i="101"/>
  <c r="AX108" i="101"/>
  <c r="AX109" i="101"/>
  <c r="AX110" i="101"/>
  <c r="AX5" i="101"/>
  <c r="BN6" i="101"/>
  <c r="BO6" i="101"/>
  <c r="BP6" i="101"/>
  <c r="BN7" i="101"/>
  <c r="BO7" i="101"/>
  <c r="BP7" i="101"/>
  <c r="BN8" i="101"/>
  <c r="BO8" i="101"/>
  <c r="BP8" i="101"/>
  <c r="BN9" i="101"/>
  <c r="BO9" i="101"/>
  <c r="BP9" i="101"/>
  <c r="BN10" i="101"/>
  <c r="BO10" i="101"/>
  <c r="BP10" i="101"/>
  <c r="BN11" i="101"/>
  <c r="BO11" i="101"/>
  <c r="BP11" i="101"/>
  <c r="BN12" i="101"/>
  <c r="BO12" i="101"/>
  <c r="BP12" i="101"/>
  <c r="BN13" i="101"/>
  <c r="BO13" i="101"/>
  <c r="BP13" i="101"/>
  <c r="BN14" i="101"/>
  <c r="BO14" i="101"/>
  <c r="BP14" i="101"/>
  <c r="BN15" i="101"/>
  <c r="BO15" i="101"/>
  <c r="BP15" i="101"/>
  <c r="BN16" i="101"/>
  <c r="BO16" i="101"/>
  <c r="BP16" i="101"/>
  <c r="BN17" i="101"/>
  <c r="BO17" i="101"/>
  <c r="BP17" i="101"/>
  <c r="BN18" i="101"/>
  <c r="BO18" i="101"/>
  <c r="BP18" i="101"/>
  <c r="BN19" i="101"/>
  <c r="BO19" i="101"/>
  <c r="BP19" i="101"/>
  <c r="BN20" i="101"/>
  <c r="BO20" i="101"/>
  <c r="BP20" i="101"/>
  <c r="BN21" i="101"/>
  <c r="BO21" i="101"/>
  <c r="BP21" i="101"/>
  <c r="BN22" i="101"/>
  <c r="BO22" i="101"/>
  <c r="BP22" i="101"/>
  <c r="BN23" i="101"/>
  <c r="BO23" i="101"/>
  <c r="BP23" i="101"/>
  <c r="BN24" i="101"/>
  <c r="BO24" i="101"/>
  <c r="BP24" i="101"/>
  <c r="BN25" i="101"/>
  <c r="BO25" i="101"/>
  <c r="BP25" i="101"/>
  <c r="BN26" i="101"/>
  <c r="BO26" i="101"/>
  <c r="BP26" i="101"/>
  <c r="BN27" i="101"/>
  <c r="BO27" i="101"/>
  <c r="BP27" i="101"/>
  <c r="BN28" i="101"/>
  <c r="BO28" i="101"/>
  <c r="BP28" i="101"/>
  <c r="BN29" i="101"/>
  <c r="BO29" i="101"/>
  <c r="BP29" i="101"/>
  <c r="BN30" i="101"/>
  <c r="BO30" i="101"/>
  <c r="BP30" i="101"/>
  <c r="BN31" i="101"/>
  <c r="BO31" i="101"/>
  <c r="BP31" i="101"/>
  <c r="BN32" i="101"/>
  <c r="BO32" i="101"/>
  <c r="BP32" i="101"/>
  <c r="BN33" i="101"/>
  <c r="BO33" i="101"/>
  <c r="BP33" i="101"/>
  <c r="BN34" i="101"/>
  <c r="BO34" i="101"/>
  <c r="BP34" i="101"/>
  <c r="BN35" i="101"/>
  <c r="BO35" i="101"/>
  <c r="BP35" i="101"/>
  <c r="BN36" i="101"/>
  <c r="BO36" i="101"/>
  <c r="BP36" i="101"/>
  <c r="BN37" i="101"/>
  <c r="BO37" i="101"/>
  <c r="BP37" i="101"/>
  <c r="BN38" i="101"/>
  <c r="BO38" i="101"/>
  <c r="BP38" i="101"/>
  <c r="BN39" i="101"/>
  <c r="BO39" i="101"/>
  <c r="BP39" i="101"/>
  <c r="BN40" i="101"/>
  <c r="BO40" i="101"/>
  <c r="BP40" i="101"/>
  <c r="BN41" i="101"/>
  <c r="BO41" i="101"/>
  <c r="BP41" i="101"/>
  <c r="BN42" i="101"/>
  <c r="BO42" i="101"/>
  <c r="BP42" i="101"/>
  <c r="BN43" i="101"/>
  <c r="BO43" i="101"/>
  <c r="BP43" i="101"/>
  <c r="BN44" i="101"/>
  <c r="BO44" i="101"/>
  <c r="BP44" i="101"/>
  <c r="BN45" i="101"/>
  <c r="BO45" i="101"/>
  <c r="BP45" i="101"/>
  <c r="BN46" i="101"/>
  <c r="BO46" i="101"/>
  <c r="BP46" i="101"/>
  <c r="BN47" i="101"/>
  <c r="BO47" i="101"/>
  <c r="BP47" i="101"/>
  <c r="BN48" i="101"/>
  <c r="BO48" i="101"/>
  <c r="BP48" i="101"/>
  <c r="BN49" i="101"/>
  <c r="BO49" i="101"/>
  <c r="BP49" i="101"/>
  <c r="BN50" i="101"/>
  <c r="BO50" i="101"/>
  <c r="BP50" i="101"/>
  <c r="BN51" i="101"/>
  <c r="BO51" i="101"/>
  <c r="BP51" i="101"/>
  <c r="BN52" i="101"/>
  <c r="BO52" i="101"/>
  <c r="BP52" i="101"/>
  <c r="BN53" i="101"/>
  <c r="BO53" i="101"/>
  <c r="BP53" i="101"/>
  <c r="BN54" i="101"/>
  <c r="BO54" i="101"/>
  <c r="BP54" i="101"/>
  <c r="BN55" i="101"/>
  <c r="BO55" i="101"/>
  <c r="BP55" i="101"/>
  <c r="BN56" i="101"/>
  <c r="BO56" i="101"/>
  <c r="BP56" i="101"/>
  <c r="BN57" i="101"/>
  <c r="BO57" i="101"/>
  <c r="BP57" i="101"/>
  <c r="BN58" i="101"/>
  <c r="BO58" i="101"/>
  <c r="BP58" i="101"/>
  <c r="BN59" i="101"/>
  <c r="BO59" i="101"/>
  <c r="BP59" i="101"/>
  <c r="BN60" i="101"/>
  <c r="BO60" i="101"/>
  <c r="BP60" i="101"/>
  <c r="BN61" i="101"/>
  <c r="BO61" i="101"/>
  <c r="BP61" i="101"/>
  <c r="BN62" i="101"/>
  <c r="BO62" i="101"/>
  <c r="BP62" i="101"/>
  <c r="BN63" i="101"/>
  <c r="BO63" i="101"/>
  <c r="BP63" i="101"/>
  <c r="BN64" i="101"/>
  <c r="BO64" i="101"/>
  <c r="BP64" i="101"/>
  <c r="BN65" i="101"/>
  <c r="BO65" i="101"/>
  <c r="BP65" i="101"/>
  <c r="BN66" i="101"/>
  <c r="BO66" i="101"/>
  <c r="BP66" i="101"/>
  <c r="BN67" i="101"/>
  <c r="BO67" i="101"/>
  <c r="BP67" i="101"/>
  <c r="BN68" i="101"/>
  <c r="BO68" i="101"/>
  <c r="BP68" i="101"/>
  <c r="BN69" i="101"/>
  <c r="BO69" i="101"/>
  <c r="BP69" i="101"/>
  <c r="BN70" i="101"/>
  <c r="BO70" i="101"/>
  <c r="BP70" i="101"/>
  <c r="BN71" i="101"/>
  <c r="BO71" i="101"/>
  <c r="BP71" i="101"/>
  <c r="BN72" i="101"/>
  <c r="BO72" i="101"/>
  <c r="BP72" i="101"/>
  <c r="BN73" i="101"/>
  <c r="BO73" i="101"/>
  <c r="BP73" i="101"/>
  <c r="BN74" i="101"/>
  <c r="BO74" i="101"/>
  <c r="BP74" i="101"/>
  <c r="BN75" i="101"/>
  <c r="BO75" i="101"/>
  <c r="BP75" i="101"/>
  <c r="BN76" i="101"/>
  <c r="BO76" i="101"/>
  <c r="BP76" i="101"/>
  <c r="BN77" i="101"/>
  <c r="BO77" i="101"/>
  <c r="BP77" i="101"/>
  <c r="BN78" i="101"/>
  <c r="BO78" i="101"/>
  <c r="BP78" i="101"/>
  <c r="BN79" i="101"/>
  <c r="BO79" i="101"/>
  <c r="BP79" i="101"/>
  <c r="BN80" i="101"/>
  <c r="BO80" i="101"/>
  <c r="BP80" i="101"/>
  <c r="BN81" i="101"/>
  <c r="BO81" i="101"/>
  <c r="BP81" i="101"/>
  <c r="BN82" i="101"/>
  <c r="BO82" i="101"/>
  <c r="BP82" i="101"/>
  <c r="BN83" i="101"/>
  <c r="BO83" i="101"/>
  <c r="BP83" i="101"/>
  <c r="BN84" i="101"/>
  <c r="BO84" i="101"/>
  <c r="BP84" i="101"/>
  <c r="BN85" i="101"/>
  <c r="BO85" i="101"/>
  <c r="BP85" i="101"/>
  <c r="BN86" i="101"/>
  <c r="BO86" i="101"/>
  <c r="BP86" i="101"/>
  <c r="BN87" i="101"/>
  <c r="BO87" i="101"/>
  <c r="BP87" i="101"/>
  <c r="BN88" i="101"/>
  <c r="BO88" i="101"/>
  <c r="BP88" i="101"/>
  <c r="BN89" i="101"/>
  <c r="BO89" i="101"/>
  <c r="BP89" i="101"/>
  <c r="BN90" i="101"/>
  <c r="BO90" i="101"/>
  <c r="BP90" i="101"/>
  <c r="BN91" i="101"/>
  <c r="BO91" i="101"/>
  <c r="BP91" i="101"/>
  <c r="BN92" i="101"/>
  <c r="BO92" i="101"/>
  <c r="BP92" i="101"/>
  <c r="BN93" i="101"/>
  <c r="BO93" i="101"/>
  <c r="BP93" i="101"/>
  <c r="BN94" i="101"/>
  <c r="BO94" i="101"/>
  <c r="BP94" i="101"/>
  <c r="BN95" i="101"/>
  <c r="BO95" i="101"/>
  <c r="BP95" i="101"/>
  <c r="BN96" i="101"/>
  <c r="BO96" i="101"/>
  <c r="BP96" i="101"/>
  <c r="BN97" i="101"/>
  <c r="BO97" i="101"/>
  <c r="BP97" i="101"/>
  <c r="BN98" i="101"/>
  <c r="BO98" i="101"/>
  <c r="BP98" i="101"/>
  <c r="BN99" i="101"/>
  <c r="BO99" i="101"/>
  <c r="BP99" i="101"/>
  <c r="BN100" i="101"/>
  <c r="BO100" i="101"/>
  <c r="BP100" i="101"/>
  <c r="BN101" i="101"/>
  <c r="BO101" i="101"/>
  <c r="BP101" i="101"/>
  <c r="BN102" i="101"/>
  <c r="BO102" i="101"/>
  <c r="BP102" i="101"/>
  <c r="BN103" i="101"/>
  <c r="BO103" i="101"/>
  <c r="BP103" i="101"/>
  <c r="BN104" i="101"/>
  <c r="BO104" i="101"/>
  <c r="BP104" i="101"/>
  <c r="BN105" i="101"/>
  <c r="BO105" i="101"/>
  <c r="BP105" i="101"/>
  <c r="BN106" i="101"/>
  <c r="BO106" i="101"/>
  <c r="BP106" i="101"/>
  <c r="BN107" i="101"/>
  <c r="BO107" i="101"/>
  <c r="BP107" i="101"/>
  <c r="BN108" i="101"/>
  <c r="BO108" i="101"/>
  <c r="BP108" i="101"/>
  <c r="BN109" i="101"/>
  <c r="BO109" i="101"/>
  <c r="BP109" i="101"/>
  <c r="BN110" i="101"/>
  <c r="BO110" i="101"/>
  <c r="BP110" i="101"/>
  <c r="BN111" i="101"/>
  <c r="BO111" i="101"/>
  <c r="BP111" i="101"/>
  <c r="BN112" i="101"/>
  <c r="BO112" i="101"/>
  <c r="BP112" i="101"/>
  <c r="BN113" i="101"/>
  <c r="BO113" i="101"/>
  <c r="BP113" i="101"/>
  <c r="BN114" i="101"/>
  <c r="BO114" i="101"/>
  <c r="BP114" i="101"/>
  <c r="BN115" i="101"/>
  <c r="BO115" i="101"/>
  <c r="BP115" i="101"/>
  <c r="BN116" i="101"/>
  <c r="BO116" i="101"/>
  <c r="BP116" i="101"/>
  <c r="BN117" i="101"/>
  <c r="BO117" i="101"/>
  <c r="BP117" i="101"/>
  <c r="BN118" i="101"/>
  <c r="BO118" i="101"/>
  <c r="BP118" i="101"/>
  <c r="BN119" i="101"/>
  <c r="BO119" i="101"/>
  <c r="BP119" i="101"/>
  <c r="BN120" i="101"/>
  <c r="BO120" i="101"/>
  <c r="BP120" i="101"/>
  <c r="BN121" i="101"/>
  <c r="BO121" i="101"/>
  <c r="BP121" i="101"/>
  <c r="BN122" i="101"/>
  <c r="BO122" i="101"/>
  <c r="BP122" i="101"/>
  <c r="BN123" i="101"/>
  <c r="BO123" i="101"/>
  <c r="BP123" i="101"/>
  <c r="BN124" i="101"/>
  <c r="BO124" i="101"/>
  <c r="BP124" i="101"/>
  <c r="BN125" i="101"/>
  <c r="BO125" i="101"/>
  <c r="BP125" i="101"/>
  <c r="BN126" i="101"/>
  <c r="BO126" i="101"/>
  <c r="BP126" i="101"/>
  <c r="BN127" i="101"/>
  <c r="BO127" i="101"/>
  <c r="BP127" i="101"/>
  <c r="BN128" i="101"/>
  <c r="BO128" i="101"/>
  <c r="BP128" i="101"/>
  <c r="BN129" i="101"/>
  <c r="BO129" i="101"/>
  <c r="BP129" i="101"/>
  <c r="BN130" i="101"/>
  <c r="BO130" i="101"/>
  <c r="BP130" i="101"/>
  <c r="BN131" i="101"/>
  <c r="BO131" i="101"/>
  <c r="BP131" i="101"/>
  <c r="BN132" i="101"/>
  <c r="BO132" i="101"/>
  <c r="BP132" i="101"/>
  <c r="BN133" i="101"/>
  <c r="BO133" i="101"/>
  <c r="BP133" i="101"/>
  <c r="BN134" i="101"/>
  <c r="BO134" i="101"/>
  <c r="BP134" i="101"/>
  <c r="BN135" i="101"/>
  <c r="BO135" i="101"/>
  <c r="BP135" i="101"/>
  <c r="BN136" i="101"/>
  <c r="BO136" i="101"/>
  <c r="BP136" i="101"/>
  <c r="BN137" i="101"/>
  <c r="BO137" i="101"/>
  <c r="BP137" i="101"/>
  <c r="BN138" i="101"/>
  <c r="BO138" i="101"/>
  <c r="BP138" i="101"/>
  <c r="BN139" i="101"/>
  <c r="BO139" i="101"/>
  <c r="BP139" i="101"/>
  <c r="BN140" i="101"/>
  <c r="BO140" i="101"/>
  <c r="BP140" i="101"/>
  <c r="BN141" i="101"/>
  <c r="BO141" i="101"/>
  <c r="BP141" i="101"/>
  <c r="BP5" i="101"/>
  <c r="BO5" i="101"/>
  <c r="BN5" i="101"/>
  <c r="BH111" i="101"/>
  <c r="BK111" i="101" s="1"/>
  <c r="BM111" i="101" s="1"/>
  <c r="BI111" i="101"/>
  <c r="BJ111" i="101"/>
  <c r="BH112" i="101"/>
  <c r="BK112" i="101" s="1"/>
  <c r="BM112" i="101" s="1"/>
  <c r="BI112" i="101"/>
  <c r="BJ112" i="101"/>
  <c r="BH113" i="101"/>
  <c r="BK113" i="101" s="1"/>
  <c r="BM113" i="101" s="1"/>
  <c r="BI113" i="101"/>
  <c r="BJ113" i="101"/>
  <c r="BH114" i="101"/>
  <c r="BK114" i="101" s="1"/>
  <c r="BM114" i="101" s="1"/>
  <c r="BI114" i="101"/>
  <c r="BJ114" i="101"/>
  <c r="BH115" i="101"/>
  <c r="BK115" i="101" s="1"/>
  <c r="BM115" i="101" s="1"/>
  <c r="BI115" i="101"/>
  <c r="BJ115" i="101"/>
  <c r="BH116" i="101"/>
  <c r="BK116" i="101" s="1"/>
  <c r="BM116" i="101" s="1"/>
  <c r="BI116" i="101"/>
  <c r="BJ116" i="101"/>
  <c r="BH117" i="101"/>
  <c r="BK117" i="101" s="1"/>
  <c r="BM117" i="101" s="1"/>
  <c r="BI117" i="101"/>
  <c r="BJ117" i="101"/>
  <c r="BH118" i="101"/>
  <c r="BK118" i="101" s="1"/>
  <c r="BM118" i="101" s="1"/>
  <c r="BI118" i="101"/>
  <c r="BJ118" i="101"/>
  <c r="BH119" i="101"/>
  <c r="BK119" i="101" s="1"/>
  <c r="BM119" i="101" s="1"/>
  <c r="BI119" i="101"/>
  <c r="BJ119" i="101"/>
  <c r="BH120" i="101"/>
  <c r="BK120" i="101" s="1"/>
  <c r="BM120" i="101" s="1"/>
  <c r="BI120" i="101"/>
  <c r="BJ120" i="101"/>
  <c r="BH121" i="101"/>
  <c r="BK121" i="101" s="1"/>
  <c r="BM121" i="101" s="1"/>
  <c r="BI121" i="101"/>
  <c r="BJ121" i="101"/>
  <c r="BH122" i="101"/>
  <c r="BK122" i="101" s="1"/>
  <c r="BM122" i="101" s="1"/>
  <c r="BI122" i="101"/>
  <c r="BJ122" i="101"/>
  <c r="BH123" i="101"/>
  <c r="BK123" i="101" s="1"/>
  <c r="BM123" i="101" s="1"/>
  <c r="BI123" i="101"/>
  <c r="BJ123" i="101"/>
  <c r="BH124" i="101"/>
  <c r="BK124" i="101" s="1"/>
  <c r="BM124" i="101" s="1"/>
  <c r="BI124" i="101"/>
  <c r="BJ124" i="101"/>
  <c r="BH125" i="101"/>
  <c r="BK125" i="101" s="1"/>
  <c r="BM125" i="101" s="1"/>
  <c r="BI125" i="101"/>
  <c r="BJ125" i="101"/>
  <c r="BH126" i="101"/>
  <c r="BK126" i="101" s="1"/>
  <c r="BM126" i="101" s="1"/>
  <c r="BI126" i="101"/>
  <c r="BJ126" i="101"/>
  <c r="BH127" i="101"/>
  <c r="BK127" i="101" s="1"/>
  <c r="BM127" i="101" s="1"/>
  <c r="BI127" i="101"/>
  <c r="BJ127" i="101"/>
  <c r="BH128" i="101"/>
  <c r="BK128" i="101" s="1"/>
  <c r="BM128" i="101" s="1"/>
  <c r="BI128" i="101"/>
  <c r="BJ128" i="101"/>
  <c r="BH129" i="101"/>
  <c r="BK129" i="101" s="1"/>
  <c r="BM129" i="101" s="1"/>
  <c r="BI129" i="101"/>
  <c r="BJ129" i="101"/>
  <c r="BH130" i="101"/>
  <c r="BK130" i="101" s="1"/>
  <c r="BM130" i="101" s="1"/>
  <c r="BI130" i="101"/>
  <c r="BJ130" i="101"/>
  <c r="BH131" i="101"/>
  <c r="BK131" i="101" s="1"/>
  <c r="BM131" i="101" s="1"/>
  <c r="BI131" i="101"/>
  <c r="BJ131" i="101"/>
  <c r="BH132" i="101"/>
  <c r="BK132" i="101" s="1"/>
  <c r="BM132" i="101" s="1"/>
  <c r="BI132" i="101"/>
  <c r="BJ132" i="101"/>
  <c r="BH133" i="101"/>
  <c r="BK133" i="101" s="1"/>
  <c r="BM133" i="101" s="1"/>
  <c r="BI133" i="101"/>
  <c r="BJ133" i="101"/>
  <c r="BH134" i="101"/>
  <c r="BK134" i="101" s="1"/>
  <c r="BM134" i="101" s="1"/>
  <c r="BI134" i="101"/>
  <c r="BJ134" i="101"/>
  <c r="BH135" i="101"/>
  <c r="BK135" i="101" s="1"/>
  <c r="BM135" i="101" s="1"/>
  <c r="BI135" i="101"/>
  <c r="BJ135" i="101"/>
  <c r="BH136" i="101"/>
  <c r="BK136" i="101" s="1"/>
  <c r="BM136" i="101" s="1"/>
  <c r="BI136" i="101"/>
  <c r="BJ136" i="101"/>
  <c r="BH137" i="101"/>
  <c r="BK137" i="101" s="1"/>
  <c r="BM137" i="101" s="1"/>
  <c r="BI137" i="101"/>
  <c r="BJ137" i="101"/>
  <c r="BH138" i="101"/>
  <c r="BK138" i="101" s="1"/>
  <c r="BM138" i="101" s="1"/>
  <c r="BI138" i="101"/>
  <c r="BJ138" i="101"/>
  <c r="BH139" i="101"/>
  <c r="BK139" i="101" s="1"/>
  <c r="BM139" i="101" s="1"/>
  <c r="BI139" i="101"/>
  <c r="BJ139" i="101"/>
  <c r="BH140" i="101"/>
  <c r="BK140" i="101" s="1"/>
  <c r="BM140" i="101" s="1"/>
  <c r="BI140" i="101"/>
  <c r="BJ140" i="101"/>
  <c r="BH141" i="101"/>
  <c r="BK141" i="101" s="1"/>
  <c r="BM141" i="101" s="1"/>
  <c r="BI141" i="101"/>
  <c r="BJ141" i="101"/>
  <c r="BK6" i="101"/>
  <c r="BK7" i="101"/>
  <c r="BK8" i="101"/>
  <c r="BK9" i="101"/>
  <c r="BK10" i="101"/>
  <c r="BK11" i="101"/>
  <c r="BK12" i="101"/>
  <c r="BK13" i="101"/>
  <c r="BK14" i="101"/>
  <c r="BK15" i="101"/>
  <c r="BK16" i="101"/>
  <c r="BK17" i="101"/>
  <c r="BK18" i="101"/>
  <c r="BK19" i="101"/>
  <c r="BK20" i="101"/>
  <c r="BK21" i="101"/>
  <c r="BK22" i="101"/>
  <c r="BK23" i="101"/>
  <c r="BK24" i="101"/>
  <c r="BK25" i="101"/>
  <c r="BK26" i="101"/>
  <c r="BK27" i="101"/>
  <c r="BK28" i="101"/>
  <c r="BK29" i="101"/>
  <c r="BK30" i="101"/>
  <c r="BK31" i="101"/>
  <c r="BK32" i="101"/>
  <c r="BK33" i="101"/>
  <c r="BK34" i="101"/>
  <c r="BK35" i="101"/>
  <c r="BK36" i="101"/>
  <c r="BK37" i="101"/>
  <c r="BK38" i="101"/>
  <c r="BK39" i="101"/>
  <c r="BK40" i="101"/>
  <c r="BK41" i="101"/>
  <c r="BK42" i="101"/>
  <c r="BK43" i="101"/>
  <c r="BK44" i="101"/>
  <c r="BK45" i="101"/>
  <c r="BK46" i="101"/>
  <c r="BK47" i="101"/>
  <c r="BK48" i="101"/>
  <c r="BK49" i="101"/>
  <c r="BK50" i="101"/>
  <c r="BK51" i="101"/>
  <c r="BK52" i="101"/>
  <c r="BK53" i="101"/>
  <c r="BK54" i="101"/>
  <c r="BK55" i="101"/>
  <c r="BK56" i="101"/>
  <c r="BK57" i="101"/>
  <c r="BK58" i="101"/>
  <c r="BK59" i="101"/>
  <c r="BK60" i="101"/>
  <c r="BK61" i="101"/>
  <c r="BK62" i="101"/>
  <c r="BK63" i="101"/>
  <c r="BK64" i="101"/>
  <c r="BK65" i="101"/>
  <c r="BK66" i="101"/>
  <c r="BK67" i="101"/>
  <c r="BK68" i="101"/>
  <c r="BK69" i="101"/>
  <c r="BK70" i="101"/>
  <c r="BK71" i="101"/>
  <c r="BK72" i="101"/>
  <c r="BK73" i="101"/>
  <c r="BK74" i="101"/>
  <c r="BK75" i="101"/>
  <c r="BK76" i="101"/>
  <c r="BK77" i="101"/>
  <c r="BK78" i="101"/>
  <c r="BK79" i="101"/>
  <c r="BK80" i="101"/>
  <c r="BK81" i="101"/>
  <c r="BK82" i="101"/>
  <c r="BK83" i="101"/>
  <c r="BK84" i="101"/>
  <c r="BK85" i="101"/>
  <c r="BK86" i="101"/>
  <c r="BK87" i="101"/>
  <c r="BK88" i="101"/>
  <c r="BK89" i="101"/>
  <c r="BK90" i="101"/>
  <c r="BK91" i="101"/>
  <c r="BM91" i="101" s="1"/>
  <c r="BK92" i="101"/>
  <c r="BM92" i="101" s="1"/>
  <c r="BK93" i="101"/>
  <c r="BM93" i="101" s="1"/>
  <c r="BK94" i="101"/>
  <c r="BM94" i="101" s="1"/>
  <c r="BK95" i="101"/>
  <c r="BM95" i="101" s="1"/>
  <c r="BK96" i="101"/>
  <c r="BM96" i="101" s="1"/>
  <c r="BK97" i="101"/>
  <c r="BM97" i="101" s="1"/>
  <c r="BK98" i="101"/>
  <c r="BM98" i="101" s="1"/>
  <c r="BK99" i="101"/>
  <c r="BM99" i="101" s="1"/>
  <c r="BK100" i="101"/>
  <c r="BM100" i="101" s="1"/>
  <c r="BK101" i="101"/>
  <c r="BM101" i="101" s="1"/>
  <c r="BK102" i="101"/>
  <c r="BM102" i="101" s="1"/>
  <c r="BK103" i="101"/>
  <c r="BM103" i="101" s="1"/>
  <c r="BK104" i="101"/>
  <c r="BM104" i="101" s="1"/>
  <c r="BK105" i="101"/>
  <c r="BM105" i="101" s="1"/>
  <c r="BK106" i="101"/>
  <c r="BM106" i="101" s="1"/>
  <c r="BK107" i="101"/>
  <c r="BM107" i="101" s="1"/>
  <c r="BK108" i="101"/>
  <c r="BM108" i="101" s="1"/>
  <c r="BK109" i="101"/>
  <c r="BM109" i="101" s="1"/>
  <c r="BK110" i="101"/>
  <c r="BM110" i="101" s="1"/>
  <c r="BK5" i="101"/>
  <c r="BM5" i="101" s="1"/>
  <c r="BI6" i="101"/>
  <c r="BI7" i="101"/>
  <c r="BI8" i="101"/>
  <c r="BI9" i="101"/>
  <c r="BI10" i="101"/>
  <c r="BI11" i="101"/>
  <c r="BI12" i="101"/>
  <c r="BI13" i="101"/>
  <c r="BI14" i="101"/>
  <c r="BI15" i="101"/>
  <c r="BI16" i="101"/>
  <c r="BI17" i="101"/>
  <c r="BI18" i="101"/>
  <c r="BI19" i="101"/>
  <c r="BI20" i="101"/>
  <c r="BI21" i="101"/>
  <c r="BI22" i="101"/>
  <c r="BI23" i="101"/>
  <c r="BI24" i="101"/>
  <c r="BI25" i="101"/>
  <c r="BI26" i="101"/>
  <c r="BI27" i="101"/>
  <c r="BI28" i="101"/>
  <c r="BI29" i="101"/>
  <c r="BI30" i="101"/>
  <c r="BI31" i="101"/>
  <c r="BI32" i="101"/>
  <c r="BI33" i="101"/>
  <c r="BI34" i="101"/>
  <c r="BI35" i="101"/>
  <c r="BI36" i="101"/>
  <c r="BI37" i="101"/>
  <c r="BI38" i="101"/>
  <c r="BI39" i="101"/>
  <c r="BI40" i="101"/>
  <c r="BI41" i="101"/>
  <c r="BI42" i="101"/>
  <c r="BI43" i="101"/>
  <c r="BI44" i="101"/>
  <c r="BI45" i="101"/>
  <c r="BI46" i="101"/>
  <c r="BI47" i="101"/>
  <c r="BI48" i="101"/>
  <c r="BI49" i="101"/>
  <c r="BI50" i="101"/>
  <c r="BI51" i="101"/>
  <c r="BI52" i="101"/>
  <c r="BI53" i="101"/>
  <c r="BI54" i="101"/>
  <c r="BI55" i="101"/>
  <c r="BI56" i="101"/>
  <c r="BI57" i="101"/>
  <c r="BI58" i="101"/>
  <c r="BI59" i="101"/>
  <c r="BI60" i="101"/>
  <c r="BI61" i="101"/>
  <c r="BI62" i="101"/>
  <c r="BI63" i="101"/>
  <c r="BI64" i="101"/>
  <c r="BI65" i="101"/>
  <c r="BI66" i="101"/>
  <c r="BI67" i="101"/>
  <c r="BI68" i="101"/>
  <c r="BI69" i="101"/>
  <c r="BI70" i="101"/>
  <c r="BI71" i="101"/>
  <c r="BI72" i="101"/>
  <c r="BI73" i="101"/>
  <c r="BI74" i="101"/>
  <c r="BI75" i="101"/>
  <c r="BI76" i="101"/>
  <c r="BI77" i="101"/>
  <c r="BI78" i="101"/>
  <c r="BI79" i="101"/>
  <c r="BI80" i="101"/>
  <c r="BI81" i="101"/>
  <c r="BI82" i="101"/>
  <c r="BI83" i="101"/>
  <c r="BI84" i="101"/>
  <c r="BI85" i="101"/>
  <c r="BI86" i="101"/>
  <c r="BI87" i="101"/>
  <c r="BI88" i="101"/>
  <c r="BI89" i="101"/>
  <c r="BI90" i="101"/>
  <c r="BI91" i="101"/>
  <c r="BI92" i="101"/>
  <c r="BI93" i="101"/>
  <c r="BI94" i="101"/>
  <c r="BI95" i="101"/>
  <c r="BI96" i="101"/>
  <c r="BI97" i="101"/>
  <c r="BI98" i="101"/>
  <c r="BI99" i="101"/>
  <c r="BI100" i="101"/>
  <c r="BI101" i="101"/>
  <c r="BI102" i="101"/>
  <c r="BI103" i="101"/>
  <c r="BI104" i="101"/>
  <c r="BI105" i="101"/>
  <c r="BI106" i="101"/>
  <c r="BI107" i="101"/>
  <c r="BI108" i="101"/>
  <c r="BI109" i="101"/>
  <c r="BI110" i="101"/>
  <c r="BI5" i="101"/>
  <c r="BJ6" i="101"/>
  <c r="BJ7" i="101"/>
  <c r="BJ8" i="101"/>
  <c r="BJ9" i="101"/>
  <c r="BJ10" i="101"/>
  <c r="BJ11" i="101"/>
  <c r="BJ12" i="101"/>
  <c r="BJ13" i="101"/>
  <c r="BJ14" i="101"/>
  <c r="BJ15" i="101"/>
  <c r="BJ16" i="101"/>
  <c r="BJ17" i="101"/>
  <c r="BJ18" i="101"/>
  <c r="BJ19" i="101"/>
  <c r="BJ20" i="101"/>
  <c r="BJ21" i="101"/>
  <c r="BJ22" i="101"/>
  <c r="BJ23" i="101"/>
  <c r="BJ24" i="101"/>
  <c r="BJ25" i="101"/>
  <c r="BJ26" i="101"/>
  <c r="BJ27" i="101"/>
  <c r="BJ28" i="101"/>
  <c r="BJ29" i="101"/>
  <c r="BJ30" i="101"/>
  <c r="BJ31" i="101"/>
  <c r="BJ32" i="101"/>
  <c r="BJ33" i="101"/>
  <c r="BJ34" i="101"/>
  <c r="BJ35" i="101"/>
  <c r="BJ36" i="101"/>
  <c r="BJ37" i="101"/>
  <c r="BJ38" i="101"/>
  <c r="BJ39" i="101"/>
  <c r="BJ40" i="101"/>
  <c r="BJ41" i="101"/>
  <c r="BJ42" i="101"/>
  <c r="BJ43" i="101"/>
  <c r="BJ44" i="101"/>
  <c r="BJ45" i="101"/>
  <c r="BJ46" i="101"/>
  <c r="BJ47" i="101"/>
  <c r="BJ48" i="101"/>
  <c r="BJ49" i="101"/>
  <c r="BJ50" i="101"/>
  <c r="BJ51" i="101"/>
  <c r="BJ52" i="101"/>
  <c r="BJ53" i="101"/>
  <c r="BJ54" i="101"/>
  <c r="BJ55" i="101"/>
  <c r="BJ56" i="101"/>
  <c r="BJ57" i="101"/>
  <c r="BJ58" i="101"/>
  <c r="BJ59" i="101"/>
  <c r="BJ60" i="101"/>
  <c r="BJ61" i="101"/>
  <c r="BJ62" i="101"/>
  <c r="BJ63" i="101"/>
  <c r="BJ64" i="101"/>
  <c r="BJ65" i="101"/>
  <c r="BJ66" i="101"/>
  <c r="BJ67" i="101"/>
  <c r="BJ68" i="101"/>
  <c r="BJ69" i="101"/>
  <c r="BJ70" i="101"/>
  <c r="BJ71" i="101"/>
  <c r="BJ72" i="101"/>
  <c r="BJ73" i="101"/>
  <c r="BJ74" i="101"/>
  <c r="BJ75" i="101"/>
  <c r="BJ76" i="101"/>
  <c r="BJ77" i="101"/>
  <c r="BJ78" i="101"/>
  <c r="BJ79" i="101"/>
  <c r="BJ80" i="101"/>
  <c r="BJ81" i="101"/>
  <c r="BJ82" i="101"/>
  <c r="BJ83" i="101"/>
  <c r="BJ84" i="101"/>
  <c r="BJ85" i="101"/>
  <c r="BJ86" i="101"/>
  <c r="BJ87" i="101"/>
  <c r="BJ88" i="101"/>
  <c r="BJ89" i="101"/>
  <c r="BJ90" i="101"/>
  <c r="BJ91" i="101"/>
  <c r="BJ92" i="101"/>
  <c r="BJ93" i="101"/>
  <c r="BJ94" i="101"/>
  <c r="BJ95" i="101"/>
  <c r="BJ96" i="101"/>
  <c r="BJ97" i="101"/>
  <c r="BJ98" i="101"/>
  <c r="BJ99" i="101"/>
  <c r="BJ100" i="101"/>
  <c r="BJ101" i="101"/>
  <c r="BJ102" i="101"/>
  <c r="BJ103" i="101"/>
  <c r="BJ104" i="101"/>
  <c r="BJ105" i="101"/>
  <c r="BJ106" i="101"/>
  <c r="BJ107" i="101"/>
  <c r="BJ108" i="101"/>
  <c r="BJ109" i="101"/>
  <c r="BJ110" i="101"/>
  <c r="BJ5" i="101"/>
  <c r="DB9" i="95" l="1"/>
  <c r="DB13" i="95"/>
  <c r="DB17" i="95"/>
  <c r="DB21" i="95"/>
  <c r="DB25" i="95"/>
  <c r="DB10" i="95"/>
  <c r="DB14" i="95"/>
  <c r="DB18" i="95"/>
  <c r="DB22" i="95"/>
  <c r="DB26" i="95"/>
  <c r="DB7" i="95"/>
  <c r="DB11" i="95"/>
  <c r="DB15" i="95"/>
  <c r="DB19" i="95"/>
  <c r="DB23" i="95"/>
  <c r="DB6" i="95"/>
  <c r="DB8" i="95"/>
  <c r="DB12" i="95"/>
  <c r="DB16" i="95"/>
  <c r="DB20" i="95"/>
  <c r="DB24" i="95"/>
  <c r="BP7" i="95"/>
  <c r="BQ7" i="95" s="1"/>
  <c r="BP11" i="95"/>
  <c r="BQ11" i="95" s="1"/>
  <c r="BP15" i="95"/>
  <c r="BQ15" i="95" s="1"/>
  <c r="BP19" i="95"/>
  <c r="BQ19" i="95" s="1"/>
  <c r="BP23" i="95"/>
  <c r="BQ23" i="95" s="1"/>
  <c r="BP27" i="95"/>
  <c r="BQ27" i="95" s="1"/>
  <c r="BP31" i="95"/>
  <c r="BQ31" i="95" s="1"/>
  <c r="BP35" i="95"/>
  <c r="BQ35" i="95" s="1"/>
  <c r="BP18" i="95"/>
  <c r="BQ18" i="95" s="1"/>
  <c r="BP30" i="95"/>
  <c r="BQ30" i="95" s="1"/>
  <c r="BP8" i="95"/>
  <c r="BQ8" i="95" s="1"/>
  <c r="BP12" i="95"/>
  <c r="BQ12" i="95" s="1"/>
  <c r="BP16" i="95"/>
  <c r="BQ16" i="95" s="1"/>
  <c r="BP20" i="95"/>
  <c r="BQ20" i="95" s="1"/>
  <c r="BP24" i="95"/>
  <c r="BQ24" i="95" s="1"/>
  <c r="BP28" i="95"/>
  <c r="BQ28" i="95" s="1"/>
  <c r="BP32" i="95"/>
  <c r="BQ32" i="95" s="1"/>
  <c r="BP6" i="95"/>
  <c r="BQ6" i="95" s="1"/>
  <c r="BP14" i="95"/>
  <c r="BQ14" i="95" s="1"/>
  <c r="BP26" i="95"/>
  <c r="BQ26" i="95" s="1"/>
  <c r="BP9" i="95"/>
  <c r="BQ9" i="95" s="1"/>
  <c r="BP13" i="95"/>
  <c r="BQ13" i="95" s="1"/>
  <c r="BP17" i="95"/>
  <c r="BQ17" i="95" s="1"/>
  <c r="BP21" i="95"/>
  <c r="BQ21" i="95" s="1"/>
  <c r="BP25" i="95"/>
  <c r="BQ25" i="95" s="1"/>
  <c r="BP29" i="95"/>
  <c r="BQ29" i="95" s="1"/>
  <c r="BP33" i="95"/>
  <c r="BQ33" i="95" s="1"/>
  <c r="BP10" i="95"/>
  <c r="BQ10" i="95" s="1"/>
  <c r="BP22" i="95"/>
  <c r="BQ22" i="95" s="1"/>
  <c r="BP34" i="95"/>
  <c r="BQ34" i="95" s="1"/>
  <c r="BM79" i="101"/>
  <c r="BM67" i="101"/>
  <c r="BM59" i="101"/>
  <c r="BM47" i="101"/>
  <c r="BM35" i="101"/>
  <c r="BM23" i="101"/>
  <c r="BM15" i="101"/>
  <c r="BM83" i="101"/>
  <c r="BM71" i="101"/>
  <c r="BM63" i="101"/>
  <c r="BM51" i="101"/>
  <c r="BM43" i="101"/>
  <c r="BM27" i="101"/>
  <c r="BM7" i="101"/>
  <c r="BM87" i="101"/>
  <c r="BM75" i="101"/>
  <c r="BM55" i="101"/>
  <c r="BM39" i="101"/>
  <c r="BM31" i="101"/>
  <c r="BM19" i="101"/>
  <c r="BM11" i="101"/>
  <c r="BM88" i="101"/>
  <c r="BM84" i="101"/>
  <c r="BM80" i="101"/>
  <c r="BM76" i="101"/>
  <c r="BM72" i="101"/>
  <c r="BM68" i="101"/>
  <c r="BM64" i="101"/>
  <c r="BM60" i="101"/>
  <c r="BM56" i="101"/>
  <c r="BM52" i="101"/>
  <c r="BM48" i="101"/>
  <c r="BM44" i="101"/>
  <c r="BM40" i="101"/>
  <c r="BM36" i="101"/>
  <c r="BM32" i="101"/>
  <c r="BM28" i="101"/>
  <c r="BM24" i="101"/>
  <c r="BM20" i="101"/>
  <c r="BM16" i="101"/>
  <c r="BM12" i="101"/>
  <c r="BM8" i="101"/>
  <c r="BM89" i="101"/>
  <c r="BM85" i="101"/>
  <c r="BM81" i="101"/>
  <c r="BM77" i="101"/>
  <c r="BM73" i="101"/>
  <c r="BM69" i="101"/>
  <c r="BM65" i="101"/>
  <c r="BM61" i="101"/>
  <c r="BM57" i="101"/>
  <c r="BM53" i="101"/>
  <c r="BM49" i="101"/>
  <c r="BM45" i="101"/>
  <c r="BM41" i="101"/>
  <c r="BM37" i="101"/>
  <c r="BM33" i="101"/>
  <c r="BM29" i="101"/>
  <c r="BM25" i="101"/>
  <c r="BM21" i="101"/>
  <c r="BM17" i="101"/>
  <c r="BM13" i="101"/>
  <c r="BM9" i="101"/>
  <c r="BM90" i="101"/>
  <c r="BM86" i="101"/>
  <c r="BM82" i="101"/>
  <c r="BM78" i="101"/>
  <c r="BM74" i="101"/>
  <c r="BM70" i="101"/>
  <c r="BM66" i="101"/>
  <c r="BM62" i="101"/>
  <c r="BM58" i="101"/>
  <c r="BM54" i="101"/>
  <c r="BM50" i="101"/>
  <c r="BM46" i="101"/>
  <c r="BM42" i="101"/>
  <c r="BM38" i="101"/>
  <c r="BM34" i="101"/>
  <c r="BM30" i="101"/>
  <c r="BM26" i="101"/>
  <c r="BM22" i="101"/>
  <c r="BM18" i="101"/>
  <c r="BM14" i="101"/>
  <c r="BM10" i="101"/>
  <c r="BM6" i="101"/>
  <c r="BH6" i="101"/>
  <c r="BH7" i="101"/>
  <c r="BH8" i="101"/>
  <c r="BH9" i="101"/>
  <c r="BH10" i="101"/>
  <c r="BH11" i="101"/>
  <c r="BH12" i="101"/>
  <c r="BH13" i="101"/>
  <c r="BH14" i="101"/>
  <c r="BH15" i="101"/>
  <c r="BH16" i="101"/>
  <c r="BH17" i="101"/>
  <c r="BH18" i="101"/>
  <c r="BH19" i="101"/>
  <c r="BH20" i="101"/>
  <c r="BH21" i="101"/>
  <c r="BH22" i="101"/>
  <c r="BH23" i="101"/>
  <c r="BH24" i="101"/>
  <c r="BH25" i="101"/>
  <c r="BH26" i="101"/>
  <c r="BH27" i="101"/>
  <c r="BH28" i="101"/>
  <c r="BH29" i="101"/>
  <c r="BH30" i="101"/>
  <c r="BH31" i="101"/>
  <c r="BH32" i="101"/>
  <c r="BH33" i="101"/>
  <c r="BH34" i="101"/>
  <c r="BH35" i="101"/>
  <c r="BH36" i="101"/>
  <c r="BH37" i="101"/>
  <c r="BH38" i="101"/>
  <c r="BH39" i="101"/>
  <c r="BH40" i="101"/>
  <c r="BH41" i="101"/>
  <c r="BH42" i="101"/>
  <c r="BH43" i="101"/>
  <c r="BH44" i="101"/>
  <c r="BH45" i="101"/>
  <c r="BH46" i="101"/>
  <c r="BH47" i="101"/>
  <c r="BH48" i="101"/>
  <c r="BH49" i="101"/>
  <c r="BH50" i="101"/>
  <c r="BH51" i="101"/>
  <c r="BH52" i="101"/>
  <c r="BH53" i="101"/>
  <c r="BH54" i="101"/>
  <c r="BH55" i="101"/>
  <c r="BH56" i="101"/>
  <c r="BH57" i="101"/>
  <c r="BH58" i="101"/>
  <c r="BH59" i="101"/>
  <c r="BH60" i="101"/>
  <c r="BH61" i="101"/>
  <c r="BH62" i="101"/>
  <c r="BH63" i="101"/>
  <c r="BH64" i="101"/>
  <c r="BH65" i="101"/>
  <c r="BH66" i="101"/>
  <c r="BH67" i="101"/>
  <c r="BH68" i="101"/>
  <c r="BH69" i="101"/>
  <c r="BH70" i="101"/>
  <c r="BH71" i="101"/>
  <c r="BH72" i="101"/>
  <c r="BH73" i="101"/>
  <c r="BH74" i="101"/>
  <c r="BH75" i="101"/>
  <c r="BH76" i="101"/>
  <c r="BH77" i="101"/>
  <c r="BH78" i="101"/>
  <c r="BH79" i="101"/>
  <c r="BH80" i="101"/>
  <c r="BH81" i="101"/>
  <c r="BH82" i="101"/>
  <c r="BH83" i="101"/>
  <c r="BH84" i="101"/>
  <c r="BH85" i="101"/>
  <c r="BH86" i="101"/>
  <c r="BH87" i="101"/>
  <c r="BH88" i="101"/>
  <c r="BH89" i="101"/>
  <c r="BH90" i="101"/>
  <c r="BH91" i="101"/>
  <c r="BH92" i="101"/>
  <c r="BH93" i="101"/>
  <c r="BH94" i="101"/>
  <c r="BH95" i="101"/>
  <c r="BH96" i="101"/>
  <c r="BH97" i="101"/>
  <c r="BH98" i="101"/>
  <c r="BH99" i="101"/>
  <c r="BH100" i="101"/>
  <c r="BH101" i="101"/>
  <c r="BH102" i="101"/>
  <c r="BH103" i="101"/>
  <c r="BH104" i="101"/>
  <c r="BH105" i="101"/>
  <c r="BH106" i="101"/>
  <c r="BH107" i="101"/>
  <c r="BH108" i="101"/>
  <c r="BH109" i="101"/>
  <c r="BH110" i="101"/>
  <c r="BH5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6" i="101"/>
  <c r="BR7" i="95" l="1"/>
  <c r="BR23" i="95"/>
  <c r="BR8" i="95"/>
  <c r="BR24" i="95"/>
  <c r="BR9" i="95"/>
  <c r="BR25" i="95"/>
  <c r="CE9" i="95" s="1"/>
  <c r="BR14" i="95"/>
  <c r="BR30" i="95"/>
  <c r="BR31" i="95"/>
  <c r="CE12" i="95" s="1"/>
  <c r="BR17" i="95"/>
  <c r="CE7" i="95" s="1"/>
  <c r="BR11" i="95"/>
  <c r="BR27" i="95"/>
  <c r="CE10" i="95" s="1"/>
  <c r="BR12" i="95"/>
  <c r="BR28" i="95"/>
  <c r="BR13" i="95"/>
  <c r="CE6" i="95" s="1"/>
  <c r="BR29" i="95"/>
  <c r="CE11" i="95" s="1"/>
  <c r="BR18" i="95"/>
  <c r="BR34" i="95"/>
  <c r="BR15" i="95"/>
  <c r="BR16" i="95"/>
  <c r="BR32" i="95"/>
  <c r="BR33" i="95"/>
  <c r="CE13" i="95" s="1"/>
  <c r="BR22" i="95"/>
  <c r="BR19" i="95"/>
  <c r="BR35" i="95"/>
  <c r="BR20" i="95"/>
  <c r="BR6" i="95"/>
  <c r="BR21" i="95"/>
  <c r="CE8" i="95" s="1"/>
  <c r="BR10" i="95"/>
  <c r="BR26" i="95"/>
  <c r="H7" i="101"/>
  <c r="H8" i="101"/>
  <c r="H9" i="101"/>
  <c r="H10" i="101"/>
  <c r="H11" i="101"/>
  <c r="H12" i="101"/>
  <c r="H13" i="101"/>
  <c r="AJ35" i="101" s="1"/>
  <c r="H14" i="101"/>
  <c r="H15" i="101"/>
  <c r="AJ67" i="101" s="1"/>
  <c r="H16" i="101"/>
  <c r="H17" i="101"/>
  <c r="H18" i="101"/>
  <c r="AJ99" i="101" s="1"/>
  <c r="H19" i="101"/>
  <c r="H20" i="101"/>
  <c r="H21" i="101"/>
  <c r="H22" i="101"/>
  <c r="H6" i="101"/>
  <c r="F7" i="101"/>
  <c r="F8" i="101"/>
  <c r="F9" i="101"/>
  <c r="F10" i="101"/>
  <c r="F11" i="101"/>
  <c r="F12" i="101"/>
  <c r="F13" i="101"/>
  <c r="F14" i="101"/>
  <c r="F15" i="101"/>
  <c r="F16" i="101"/>
  <c r="F17" i="101"/>
  <c r="F18" i="101"/>
  <c r="F19" i="101"/>
  <c r="F20" i="101"/>
  <c r="F21" i="101"/>
  <c r="F22" i="101"/>
  <c r="F6" i="101"/>
  <c r="E7" i="101"/>
  <c r="E8" i="101"/>
  <c r="E9" i="101"/>
  <c r="E10" i="101"/>
  <c r="E11" i="101"/>
  <c r="E12" i="101"/>
  <c r="E13" i="101"/>
  <c r="E14" i="101"/>
  <c r="E15" i="101"/>
  <c r="E16" i="101"/>
  <c r="E17" i="101"/>
  <c r="E18" i="101"/>
  <c r="E19" i="101"/>
  <c r="E20" i="101"/>
  <c r="E21" i="101"/>
  <c r="E22" i="101"/>
  <c r="E6" i="101"/>
  <c r="CE16" i="95" l="1"/>
  <c r="CE14" i="95"/>
  <c r="CE15" i="95"/>
  <c r="AW35" i="101"/>
  <c r="AV35" i="101"/>
  <c r="AW99" i="101"/>
  <c r="AV99" i="101"/>
  <c r="AJ15" i="101"/>
  <c r="AW67" i="101"/>
  <c r="AV67" i="101"/>
  <c r="AJ51" i="101"/>
  <c r="AL51" i="101" s="1"/>
  <c r="AJ79" i="101"/>
  <c r="AJ47" i="101"/>
  <c r="AN15" i="101"/>
  <c r="AL15" i="101"/>
  <c r="AK15" i="101" s="1"/>
  <c r="AN47" i="101"/>
  <c r="AP47" i="101" s="1"/>
  <c r="AQ47" i="101" s="1"/>
  <c r="AL47" i="101"/>
  <c r="AN67" i="101"/>
  <c r="AL67" i="101"/>
  <c r="AJ83" i="101"/>
  <c r="AJ19" i="101"/>
  <c r="AJ5" i="101"/>
  <c r="AJ95" i="101"/>
  <c r="AJ63" i="101"/>
  <c r="AJ31" i="101"/>
  <c r="AJ8" i="101"/>
  <c r="AJ12" i="101"/>
  <c r="AJ16" i="101"/>
  <c r="AJ20" i="101"/>
  <c r="AJ24" i="101"/>
  <c r="AJ28" i="101"/>
  <c r="AJ32" i="101"/>
  <c r="AJ36" i="101"/>
  <c r="AJ40" i="101"/>
  <c r="AJ44" i="101"/>
  <c r="AJ48" i="101"/>
  <c r="AJ52" i="101"/>
  <c r="AJ56" i="101"/>
  <c r="AJ60" i="101"/>
  <c r="AJ64" i="101"/>
  <c r="AJ68" i="101"/>
  <c r="AJ72" i="101"/>
  <c r="AJ76" i="101"/>
  <c r="AJ80" i="101"/>
  <c r="AJ84" i="101"/>
  <c r="AJ88" i="101"/>
  <c r="AJ92" i="101"/>
  <c r="AJ96" i="101"/>
  <c r="AJ100" i="101"/>
  <c r="AJ104" i="101"/>
  <c r="AJ108" i="101"/>
  <c r="AJ9" i="101"/>
  <c r="AJ13" i="101"/>
  <c r="AJ17" i="101"/>
  <c r="AJ21" i="101"/>
  <c r="AJ25" i="101"/>
  <c r="AJ29" i="101"/>
  <c r="AJ33" i="101"/>
  <c r="AJ37" i="101"/>
  <c r="AJ41" i="101"/>
  <c r="AJ45" i="101"/>
  <c r="AJ49" i="101"/>
  <c r="AJ53" i="101"/>
  <c r="AJ57" i="101"/>
  <c r="AJ61" i="101"/>
  <c r="AJ65" i="101"/>
  <c r="AJ69" i="101"/>
  <c r="AJ73" i="101"/>
  <c r="AJ77" i="101"/>
  <c r="AJ81" i="101"/>
  <c r="AJ85" i="101"/>
  <c r="AJ89" i="101"/>
  <c r="AJ93" i="101"/>
  <c r="AJ97" i="101"/>
  <c r="AJ101" i="101"/>
  <c r="AJ105" i="101"/>
  <c r="AJ109" i="101"/>
  <c r="AJ6" i="101"/>
  <c r="AJ10" i="101"/>
  <c r="AJ14" i="101"/>
  <c r="AJ18" i="101"/>
  <c r="AJ22" i="101"/>
  <c r="AJ26" i="101"/>
  <c r="AJ30" i="101"/>
  <c r="AJ34" i="101"/>
  <c r="AJ38" i="101"/>
  <c r="AJ42" i="101"/>
  <c r="AJ46" i="101"/>
  <c r="AJ50" i="101"/>
  <c r="AJ54" i="101"/>
  <c r="AJ58" i="101"/>
  <c r="AJ62" i="101"/>
  <c r="AJ66" i="101"/>
  <c r="AJ70" i="101"/>
  <c r="AJ74" i="101"/>
  <c r="AJ78" i="101"/>
  <c r="AJ82" i="101"/>
  <c r="AJ86" i="101"/>
  <c r="AJ90" i="101"/>
  <c r="AJ94" i="101"/>
  <c r="AJ98" i="101"/>
  <c r="AJ102" i="101"/>
  <c r="AJ106" i="101"/>
  <c r="AJ110" i="101"/>
  <c r="AJ107" i="101"/>
  <c r="AJ91" i="101"/>
  <c r="AJ75" i="101"/>
  <c r="AJ59" i="101"/>
  <c r="AJ43" i="101"/>
  <c r="AJ27" i="101"/>
  <c r="AJ11" i="101"/>
  <c r="AP99" i="101"/>
  <c r="AQ99" i="101" s="1"/>
  <c r="AN99" i="101"/>
  <c r="AL99" i="101"/>
  <c r="AK99" i="101" s="1"/>
  <c r="AO98" i="101" s="1"/>
  <c r="AN35" i="101"/>
  <c r="AZ35" i="101" s="1"/>
  <c r="AL35" i="101"/>
  <c r="AJ103" i="101"/>
  <c r="AJ87" i="101"/>
  <c r="AJ71" i="101"/>
  <c r="AJ55" i="101"/>
  <c r="AJ39" i="101"/>
  <c r="AJ23" i="101"/>
  <c r="AJ7" i="101"/>
  <c r="AK47" i="101"/>
  <c r="AP35" i="101" l="1"/>
  <c r="AQ35" i="101" s="1"/>
  <c r="AK67" i="101"/>
  <c r="AW75" i="101"/>
  <c r="AV75" i="101"/>
  <c r="AV90" i="101"/>
  <c r="AW90" i="101"/>
  <c r="AV58" i="101"/>
  <c r="AW58" i="101"/>
  <c r="AV26" i="101"/>
  <c r="AW26" i="101"/>
  <c r="AV101" i="101"/>
  <c r="AW101" i="101"/>
  <c r="AV69" i="101"/>
  <c r="AW69" i="101"/>
  <c r="AV37" i="101"/>
  <c r="AW37" i="101"/>
  <c r="AW108" i="101"/>
  <c r="AV108" i="101"/>
  <c r="AW76" i="101"/>
  <c r="AV76" i="101"/>
  <c r="AW44" i="101"/>
  <c r="AV44" i="101"/>
  <c r="AW12" i="101"/>
  <c r="AV12" i="101"/>
  <c r="AW79" i="101"/>
  <c r="AV79" i="101"/>
  <c r="AW103" i="101"/>
  <c r="AV103" i="101"/>
  <c r="AW27" i="101"/>
  <c r="AV27" i="101"/>
  <c r="AW91" i="101"/>
  <c r="AV91" i="101"/>
  <c r="AV102" i="101"/>
  <c r="AW102" i="101"/>
  <c r="AV86" i="101"/>
  <c r="AW86" i="101"/>
  <c r="AV70" i="101"/>
  <c r="AW70" i="101"/>
  <c r="AV54" i="101"/>
  <c r="AW54" i="101"/>
  <c r="AV38" i="101"/>
  <c r="AW38" i="101"/>
  <c r="AZ38" i="101"/>
  <c r="AV22" i="101"/>
  <c r="AW22" i="101"/>
  <c r="AV6" i="101"/>
  <c r="AW6" i="101"/>
  <c r="AV97" i="101"/>
  <c r="AW97" i="101"/>
  <c r="AV81" i="101"/>
  <c r="AW81" i="101"/>
  <c r="AV65" i="101"/>
  <c r="AW65" i="101"/>
  <c r="AV49" i="101"/>
  <c r="AW49" i="101"/>
  <c r="AV33" i="101"/>
  <c r="AW33" i="101"/>
  <c r="AV17" i="101"/>
  <c r="AW17" i="101"/>
  <c r="AW104" i="101"/>
  <c r="AV104" i="101"/>
  <c r="AW88" i="101"/>
  <c r="AV88" i="101"/>
  <c r="AW72" i="101"/>
  <c r="AV72" i="101"/>
  <c r="AW56" i="101"/>
  <c r="AV56" i="101"/>
  <c r="AW40" i="101"/>
  <c r="AV40" i="101"/>
  <c r="AW24" i="101"/>
  <c r="AV24" i="101"/>
  <c r="AW8" i="101"/>
  <c r="AV8" i="101"/>
  <c r="AW5" i="101"/>
  <c r="AV5" i="101"/>
  <c r="AR67" i="101"/>
  <c r="AS67" i="101"/>
  <c r="BC67" i="101"/>
  <c r="BB67" i="101"/>
  <c r="BA67" i="101"/>
  <c r="AR15" i="101"/>
  <c r="AS15" i="101"/>
  <c r="BC15" i="101"/>
  <c r="BA15" i="101"/>
  <c r="BB15" i="101"/>
  <c r="AW51" i="101"/>
  <c r="AV51" i="101"/>
  <c r="AW15" i="101"/>
  <c r="AV15" i="101"/>
  <c r="AZ15" i="101"/>
  <c r="AW55" i="101"/>
  <c r="AV55" i="101"/>
  <c r="AK35" i="101"/>
  <c r="AO34" i="101" s="1"/>
  <c r="AR99" i="101"/>
  <c r="AS99" i="101"/>
  <c r="BC99" i="101"/>
  <c r="BB99" i="101"/>
  <c r="BA99" i="101"/>
  <c r="AW43" i="101"/>
  <c r="AV43" i="101"/>
  <c r="AW107" i="101"/>
  <c r="AV107" i="101"/>
  <c r="AV98" i="101"/>
  <c r="AW98" i="101"/>
  <c r="AV82" i="101"/>
  <c r="AW82" i="101"/>
  <c r="AV66" i="101"/>
  <c r="AW66" i="101"/>
  <c r="AV50" i="101"/>
  <c r="AW50" i="101"/>
  <c r="AV34" i="101"/>
  <c r="AW34" i="101"/>
  <c r="AV18" i="101"/>
  <c r="AW18" i="101"/>
  <c r="AV109" i="101"/>
  <c r="AW109" i="101"/>
  <c r="AV93" i="101"/>
  <c r="AW93" i="101"/>
  <c r="AV77" i="101"/>
  <c r="AW77" i="101"/>
  <c r="AV61" i="101"/>
  <c r="AW61" i="101"/>
  <c r="AV45" i="101"/>
  <c r="AW45" i="101"/>
  <c r="AV29" i="101"/>
  <c r="AW29" i="101"/>
  <c r="AV13" i="101"/>
  <c r="AW13" i="101"/>
  <c r="AW100" i="101"/>
  <c r="AV100" i="101"/>
  <c r="AW84" i="101"/>
  <c r="AV84" i="101"/>
  <c r="AW68" i="101"/>
  <c r="AV68" i="101"/>
  <c r="AW52" i="101"/>
  <c r="AV52" i="101"/>
  <c r="AW36" i="101"/>
  <c r="AV36" i="101"/>
  <c r="AW20" i="101"/>
  <c r="AV20" i="101"/>
  <c r="AW31" i="101"/>
  <c r="AV31" i="101"/>
  <c r="AW19" i="101"/>
  <c r="AV19" i="101"/>
  <c r="AP67" i="101"/>
  <c r="AQ67" i="101" s="1"/>
  <c r="AL79" i="101"/>
  <c r="AK79" i="101" s="1"/>
  <c r="AO78" i="101" s="1"/>
  <c r="AN51" i="101"/>
  <c r="AP51" i="101" s="1"/>
  <c r="AQ51" i="101" s="1"/>
  <c r="AP15" i="101"/>
  <c r="AQ15" i="101" s="1"/>
  <c r="AZ67" i="101"/>
  <c r="AZ99" i="101"/>
  <c r="AW23" i="101"/>
  <c r="AV23" i="101"/>
  <c r="AW87" i="101"/>
  <c r="AV87" i="101"/>
  <c r="AW11" i="101"/>
  <c r="AV11" i="101"/>
  <c r="AZ11" i="101"/>
  <c r="AV106" i="101"/>
  <c r="AW106" i="101"/>
  <c r="AV74" i="101"/>
  <c r="AW74" i="101"/>
  <c r="AV42" i="101"/>
  <c r="AW42" i="101"/>
  <c r="AV10" i="101"/>
  <c r="AW10" i="101"/>
  <c r="AZ10" i="101"/>
  <c r="AV85" i="101"/>
  <c r="AW85" i="101"/>
  <c r="AV53" i="101"/>
  <c r="AW53" i="101"/>
  <c r="AV21" i="101"/>
  <c r="AZ21" i="101"/>
  <c r="AW21" i="101"/>
  <c r="AW92" i="101"/>
  <c r="AV92" i="101"/>
  <c r="AW60" i="101"/>
  <c r="AV60" i="101"/>
  <c r="AW28" i="101"/>
  <c r="AV28" i="101"/>
  <c r="AW95" i="101"/>
  <c r="AV95" i="101"/>
  <c r="AR47" i="101"/>
  <c r="AS47" i="101"/>
  <c r="BC47" i="101"/>
  <c r="BB47" i="101"/>
  <c r="BA47" i="101"/>
  <c r="AW39" i="101"/>
  <c r="AV39" i="101"/>
  <c r="AW7" i="101"/>
  <c r="AV7" i="101"/>
  <c r="AW71" i="101"/>
  <c r="AV71" i="101"/>
  <c r="AR35" i="101"/>
  <c r="AS35" i="101"/>
  <c r="BC35" i="101"/>
  <c r="BB35" i="101"/>
  <c r="BA35" i="101"/>
  <c r="AW59" i="101"/>
  <c r="AV59" i="101"/>
  <c r="AV110" i="101"/>
  <c r="AW110" i="101"/>
  <c r="AV94" i="101"/>
  <c r="AW94" i="101"/>
  <c r="AV78" i="101"/>
  <c r="AW78" i="101"/>
  <c r="AV62" i="101"/>
  <c r="AW62" i="101"/>
  <c r="AZ62" i="101"/>
  <c r="AO46" i="101"/>
  <c r="AV46" i="101"/>
  <c r="AW46" i="101"/>
  <c r="AV30" i="101"/>
  <c r="AW30" i="101"/>
  <c r="AO14" i="101"/>
  <c r="AV14" i="101"/>
  <c r="AW14" i="101"/>
  <c r="AV105" i="101"/>
  <c r="AW105" i="101"/>
  <c r="AV89" i="101"/>
  <c r="AW89" i="101"/>
  <c r="AV73" i="101"/>
  <c r="AW73" i="101"/>
  <c r="AV57" i="101"/>
  <c r="AW57" i="101"/>
  <c r="AV41" i="101"/>
  <c r="AW41" i="101"/>
  <c r="AV25" i="101"/>
  <c r="AW25" i="101"/>
  <c r="AV9" i="101"/>
  <c r="AW9" i="101"/>
  <c r="AZ9" i="101"/>
  <c r="AW96" i="101"/>
  <c r="AV96" i="101"/>
  <c r="AW80" i="101"/>
  <c r="AV80" i="101"/>
  <c r="AW64" i="101"/>
  <c r="AV64" i="101"/>
  <c r="AW48" i="101"/>
  <c r="AV48" i="101"/>
  <c r="AW32" i="101"/>
  <c r="AV32" i="101"/>
  <c r="AW16" i="101"/>
  <c r="AV16" i="101"/>
  <c r="AW63" i="101"/>
  <c r="AV63" i="101"/>
  <c r="AW83" i="101"/>
  <c r="AV83" i="101"/>
  <c r="AN79" i="101"/>
  <c r="AZ79" i="101" s="1"/>
  <c r="AW47" i="101"/>
  <c r="AV47" i="101"/>
  <c r="AZ47" i="101"/>
  <c r="AN11" i="101"/>
  <c r="AL11" i="101"/>
  <c r="AK11" i="101" s="1"/>
  <c r="AO10" i="101" s="1"/>
  <c r="AN106" i="101"/>
  <c r="AL106" i="101"/>
  <c r="AN74" i="101"/>
  <c r="AL74" i="101"/>
  <c r="AK74" i="101" s="1"/>
  <c r="AO73" i="101" s="1"/>
  <c r="AN42" i="101"/>
  <c r="AL42" i="101"/>
  <c r="AN10" i="101"/>
  <c r="AL10" i="101"/>
  <c r="AK10" i="101" s="1"/>
  <c r="AL85" i="101"/>
  <c r="AN85" i="101"/>
  <c r="AZ85" i="101" s="1"/>
  <c r="AL53" i="101"/>
  <c r="AN53" i="101"/>
  <c r="AL21" i="101"/>
  <c r="AN21" i="101"/>
  <c r="AN92" i="101"/>
  <c r="AP92" i="101" s="1"/>
  <c r="AQ92" i="101" s="1"/>
  <c r="AL92" i="101"/>
  <c r="AO59" i="101"/>
  <c r="AN60" i="101"/>
  <c r="AP60" i="101" s="1"/>
  <c r="AQ60" i="101" s="1"/>
  <c r="AL60" i="101"/>
  <c r="AN28" i="101"/>
  <c r="AL28" i="101"/>
  <c r="AN95" i="101"/>
  <c r="AP95" i="101" s="1"/>
  <c r="AQ95" i="101" s="1"/>
  <c r="AL95" i="101"/>
  <c r="AN71" i="101"/>
  <c r="AZ71" i="101" s="1"/>
  <c r="AL71" i="101"/>
  <c r="AN27" i="101"/>
  <c r="AL27" i="101"/>
  <c r="AN102" i="101"/>
  <c r="AZ102" i="101" s="1"/>
  <c r="AL102" i="101"/>
  <c r="AN86" i="101"/>
  <c r="AZ86" i="101" s="1"/>
  <c r="AL86" i="101"/>
  <c r="AN54" i="101"/>
  <c r="AP54" i="101" s="1"/>
  <c r="AQ54" i="101" s="1"/>
  <c r="AL54" i="101"/>
  <c r="AN38" i="101"/>
  <c r="AL38" i="101"/>
  <c r="AN22" i="101"/>
  <c r="AZ22" i="101" s="1"/>
  <c r="AL22" i="101"/>
  <c r="AN6" i="101"/>
  <c r="AZ6" i="101" s="1"/>
  <c r="AL6" i="101"/>
  <c r="AL97" i="101"/>
  <c r="AN97" i="101"/>
  <c r="AL81" i="101"/>
  <c r="AN81" i="101"/>
  <c r="AZ81" i="101" s="1"/>
  <c r="AO64" i="101"/>
  <c r="AL65" i="101"/>
  <c r="AN65" i="101"/>
  <c r="AZ65" i="101" s="1"/>
  <c r="AL49" i="101"/>
  <c r="AN49" i="101"/>
  <c r="AL33" i="101"/>
  <c r="AN33" i="101"/>
  <c r="AL17" i="101"/>
  <c r="AN17" i="101"/>
  <c r="AZ17" i="101" s="1"/>
  <c r="AN104" i="101"/>
  <c r="AZ104" i="101" s="1"/>
  <c r="AL104" i="101"/>
  <c r="AO87" i="101"/>
  <c r="AN88" i="101"/>
  <c r="AZ88" i="101" s="1"/>
  <c r="AL88" i="101"/>
  <c r="AN72" i="101"/>
  <c r="AP72" i="101" s="1"/>
  <c r="AQ72" i="101" s="1"/>
  <c r="AL72" i="101"/>
  <c r="AN56" i="101"/>
  <c r="AZ56" i="101" s="1"/>
  <c r="AL56" i="101"/>
  <c r="AN40" i="101"/>
  <c r="AL40" i="101"/>
  <c r="AN24" i="101"/>
  <c r="AL24" i="101"/>
  <c r="AN8" i="101"/>
  <c r="AL8" i="101"/>
  <c r="AN5" i="101"/>
  <c r="AS5" i="101" s="1"/>
  <c r="AL5" i="101"/>
  <c r="AN55" i="101"/>
  <c r="AL55" i="101"/>
  <c r="AK55" i="101" s="1"/>
  <c r="AO54" i="101" s="1"/>
  <c r="AP75" i="101"/>
  <c r="AQ75" i="101" s="1"/>
  <c r="AN75" i="101"/>
  <c r="AZ75" i="101" s="1"/>
  <c r="AL75" i="101"/>
  <c r="AK75" i="101" s="1"/>
  <c r="AO74" i="101" s="1"/>
  <c r="AN90" i="101"/>
  <c r="AP90" i="101" s="1"/>
  <c r="AQ90" i="101" s="1"/>
  <c r="AL90" i="101"/>
  <c r="AN58" i="101"/>
  <c r="AL58" i="101"/>
  <c r="AK58" i="101" s="1"/>
  <c r="AO57" i="101" s="1"/>
  <c r="AN26" i="101"/>
  <c r="AZ26" i="101" s="1"/>
  <c r="AL26" i="101"/>
  <c r="AK26" i="101" s="1"/>
  <c r="AO25" i="101" s="1"/>
  <c r="AL101" i="101"/>
  <c r="AN101" i="101"/>
  <c r="AZ101" i="101" s="1"/>
  <c r="AL69" i="101"/>
  <c r="AN69" i="101"/>
  <c r="AL37" i="101"/>
  <c r="AN37" i="101"/>
  <c r="AZ37" i="101" s="1"/>
  <c r="AN108" i="101"/>
  <c r="AZ108" i="101" s="1"/>
  <c r="AL108" i="101"/>
  <c r="AN76" i="101"/>
  <c r="AZ76" i="101" s="1"/>
  <c r="AL76" i="101"/>
  <c r="AO43" i="101"/>
  <c r="AN44" i="101"/>
  <c r="AZ44" i="101" s="1"/>
  <c r="AL44" i="101"/>
  <c r="AN12" i="101"/>
  <c r="AL12" i="101"/>
  <c r="AK12" i="101" s="1"/>
  <c r="AO11" i="101" s="1"/>
  <c r="AN7" i="101"/>
  <c r="AZ7" i="101" s="1"/>
  <c r="AL7" i="101"/>
  <c r="AK7" i="101" s="1"/>
  <c r="AO6" i="101" s="1"/>
  <c r="AN91" i="101"/>
  <c r="AP91" i="101" s="1"/>
  <c r="AQ91" i="101" s="1"/>
  <c r="AL91" i="101"/>
  <c r="AN70" i="101"/>
  <c r="AP70" i="101" s="1"/>
  <c r="AQ70" i="101" s="1"/>
  <c r="AL70" i="101"/>
  <c r="AK70" i="101" s="1"/>
  <c r="AO69" i="101" s="1"/>
  <c r="AO22" i="101"/>
  <c r="AN23" i="101"/>
  <c r="AP23" i="101" s="1"/>
  <c r="AQ23" i="101" s="1"/>
  <c r="AL23" i="101"/>
  <c r="AK23" i="101" s="1"/>
  <c r="AN87" i="101"/>
  <c r="AP87" i="101" s="1"/>
  <c r="AQ87" i="101" s="1"/>
  <c r="AL87" i="101"/>
  <c r="AK87" i="101" s="1"/>
  <c r="AO86" i="101" s="1"/>
  <c r="AP43" i="101"/>
  <c r="AQ43" i="101" s="1"/>
  <c r="AN43" i="101"/>
  <c r="AL43" i="101"/>
  <c r="AK43" i="101" s="1"/>
  <c r="AO42" i="101" s="1"/>
  <c r="AN107" i="101"/>
  <c r="AP107" i="101" s="1"/>
  <c r="AQ107" i="101" s="1"/>
  <c r="AL107" i="101"/>
  <c r="AO97" i="101"/>
  <c r="AN98" i="101"/>
  <c r="AP98" i="101" s="1"/>
  <c r="AQ98" i="101" s="1"/>
  <c r="AL98" i="101"/>
  <c r="AN82" i="101"/>
  <c r="AZ82" i="101" s="1"/>
  <c r="AL82" i="101"/>
  <c r="AK82" i="101" s="1"/>
  <c r="AO81" i="101" s="1"/>
  <c r="AN66" i="101"/>
  <c r="AZ66" i="101" s="1"/>
  <c r="AL66" i="101"/>
  <c r="AK66" i="101" s="1"/>
  <c r="AO65" i="101" s="1"/>
  <c r="AP50" i="101"/>
  <c r="AQ50" i="101" s="1"/>
  <c r="AN50" i="101"/>
  <c r="AL50" i="101"/>
  <c r="AK50" i="101" s="1"/>
  <c r="AO49" i="101" s="1"/>
  <c r="AN34" i="101"/>
  <c r="AP34" i="101" s="1"/>
  <c r="AQ34" i="101" s="1"/>
  <c r="AL34" i="101"/>
  <c r="AO17" i="101"/>
  <c r="AN18" i="101"/>
  <c r="AP18" i="101" s="1"/>
  <c r="AQ18" i="101" s="1"/>
  <c r="AL18" i="101"/>
  <c r="AL109" i="101"/>
  <c r="AN109" i="101"/>
  <c r="AZ109" i="101" s="1"/>
  <c r="AO92" i="101"/>
  <c r="AL93" i="101"/>
  <c r="AN93" i="101"/>
  <c r="AP93" i="101" s="1"/>
  <c r="AQ93" i="101" s="1"/>
  <c r="AL77" i="101"/>
  <c r="AN77" i="101"/>
  <c r="AP77" i="101" s="1"/>
  <c r="AQ77" i="101" s="1"/>
  <c r="AL61" i="101"/>
  <c r="AN61" i="101"/>
  <c r="AL45" i="101"/>
  <c r="AN45" i="101"/>
  <c r="AP29" i="101"/>
  <c r="AQ29" i="101" s="1"/>
  <c r="AL29" i="101"/>
  <c r="AN29" i="101"/>
  <c r="AP13" i="101"/>
  <c r="AQ13" i="101" s="1"/>
  <c r="AL13" i="101"/>
  <c r="AN13" i="101"/>
  <c r="AN100" i="101"/>
  <c r="AL100" i="101"/>
  <c r="AN84" i="101"/>
  <c r="AL84" i="101"/>
  <c r="AN68" i="101"/>
  <c r="AL68" i="101"/>
  <c r="AO51" i="101"/>
  <c r="AN52" i="101"/>
  <c r="AL52" i="101"/>
  <c r="AK52" i="101" s="1"/>
  <c r="AN36" i="101"/>
  <c r="AZ36" i="101" s="1"/>
  <c r="AL36" i="101"/>
  <c r="AN20" i="101"/>
  <c r="AZ20" i="101" s="1"/>
  <c r="AL20" i="101"/>
  <c r="AK20" i="101" s="1"/>
  <c r="AO19" i="101" s="1"/>
  <c r="AO30" i="101"/>
  <c r="AN31" i="101"/>
  <c r="AP31" i="101" s="1"/>
  <c r="AQ31" i="101" s="1"/>
  <c r="AL31" i="101"/>
  <c r="AK31" i="101" s="1"/>
  <c r="AN19" i="101"/>
  <c r="AP19" i="101" s="1"/>
  <c r="AQ19" i="101" s="1"/>
  <c r="AL19" i="101"/>
  <c r="AK19" i="101" s="1"/>
  <c r="AO18" i="101" s="1"/>
  <c r="AO66" i="101"/>
  <c r="AO38" i="101"/>
  <c r="AN39" i="101"/>
  <c r="AL39" i="101"/>
  <c r="AK39" i="101" s="1"/>
  <c r="AO102" i="101"/>
  <c r="AN103" i="101"/>
  <c r="AZ103" i="101" s="1"/>
  <c r="AL103" i="101"/>
  <c r="AK103" i="101" s="1"/>
  <c r="AN59" i="101"/>
  <c r="AL59" i="101"/>
  <c r="AO110" i="101"/>
  <c r="AN110" i="101"/>
  <c r="AL110" i="101"/>
  <c r="AN94" i="101"/>
  <c r="AL94" i="101"/>
  <c r="AO77" i="101"/>
  <c r="AN78" i="101"/>
  <c r="AL78" i="101"/>
  <c r="AN62" i="101"/>
  <c r="AL62" i="101"/>
  <c r="AN46" i="101"/>
  <c r="AL46" i="101"/>
  <c r="AN30" i="101"/>
  <c r="AZ30" i="101" s="1"/>
  <c r="AL30" i="101"/>
  <c r="AN14" i="101"/>
  <c r="AZ14" i="101" s="1"/>
  <c r="AL14" i="101"/>
  <c r="AL105" i="101"/>
  <c r="AN105" i="101"/>
  <c r="AZ105" i="101" s="1"/>
  <c r="AL89" i="101"/>
  <c r="AN89" i="101"/>
  <c r="AO72" i="101"/>
  <c r="AL73" i="101"/>
  <c r="AN73" i="101"/>
  <c r="AZ73" i="101" s="1"/>
  <c r="AP57" i="101"/>
  <c r="AQ57" i="101" s="1"/>
  <c r="AL57" i="101"/>
  <c r="AN57" i="101"/>
  <c r="AZ57" i="101" s="1"/>
  <c r="AP41" i="101"/>
  <c r="AQ41" i="101" s="1"/>
  <c r="AL41" i="101"/>
  <c r="AK41" i="101" s="1"/>
  <c r="AO40" i="101" s="1"/>
  <c r="AN41" i="101"/>
  <c r="AZ41" i="101" s="1"/>
  <c r="AL25" i="101"/>
  <c r="AN25" i="101"/>
  <c r="AL9" i="101"/>
  <c r="AN9" i="101"/>
  <c r="AN96" i="101"/>
  <c r="AZ96" i="101" s="1"/>
  <c r="AL96" i="101"/>
  <c r="AK96" i="101" s="1"/>
  <c r="AO95" i="101" s="1"/>
  <c r="AN80" i="101"/>
  <c r="AZ80" i="101" s="1"/>
  <c r="AL80" i="101"/>
  <c r="AN64" i="101"/>
  <c r="AL64" i="101"/>
  <c r="AK64" i="101" s="1"/>
  <c r="AO63" i="101" s="1"/>
  <c r="AN48" i="101"/>
  <c r="AZ48" i="101" s="1"/>
  <c r="AL48" i="101"/>
  <c r="AN32" i="101"/>
  <c r="AZ32" i="101" s="1"/>
  <c r="AL32" i="101"/>
  <c r="AK32" i="101" s="1"/>
  <c r="AO31" i="101" s="1"/>
  <c r="AN16" i="101"/>
  <c r="AZ16" i="101" s="1"/>
  <c r="AL16" i="101"/>
  <c r="AN63" i="101"/>
  <c r="AL63" i="101"/>
  <c r="AK63" i="101" s="1"/>
  <c r="AO62" i="101" s="1"/>
  <c r="AO82" i="101"/>
  <c r="AN83" i="101"/>
  <c r="AZ83" i="101" s="1"/>
  <c r="AL83" i="101"/>
  <c r="AK83" i="101" s="1"/>
  <c r="AP108" i="101" l="1"/>
  <c r="AQ108" i="101" s="1"/>
  <c r="AP6" i="101"/>
  <c r="AQ6" i="101" s="1"/>
  <c r="AZ18" i="101"/>
  <c r="AP109" i="101"/>
  <c r="AQ109" i="101" s="1"/>
  <c r="AP82" i="101"/>
  <c r="AQ82" i="101" s="1"/>
  <c r="AP88" i="101"/>
  <c r="AQ88" i="101" s="1"/>
  <c r="AP86" i="101"/>
  <c r="AQ86" i="101" s="1"/>
  <c r="AP104" i="101"/>
  <c r="AQ104" i="101" s="1"/>
  <c r="AK16" i="101"/>
  <c r="AO15" i="101" s="1"/>
  <c r="AK36" i="101"/>
  <c r="AO35" i="101" s="1"/>
  <c r="AK18" i="101"/>
  <c r="AK34" i="101"/>
  <c r="AO33" i="101" s="1"/>
  <c r="AP66" i="101"/>
  <c r="AQ66" i="101" s="1"/>
  <c r="AK98" i="101"/>
  <c r="AK107" i="101"/>
  <c r="AO106" i="101" s="1"/>
  <c r="AK91" i="101"/>
  <c r="AO90" i="101" s="1"/>
  <c r="AK24" i="101"/>
  <c r="AO23" i="101" s="1"/>
  <c r="AK88" i="101"/>
  <c r="AK6" i="101"/>
  <c r="AO5" i="101" s="1"/>
  <c r="AR25" i="101"/>
  <c r="BC25" i="101"/>
  <c r="BB25" i="101"/>
  <c r="AS25" i="101"/>
  <c r="BA25" i="101"/>
  <c r="AR46" i="101"/>
  <c r="BC46" i="101"/>
  <c r="AS46" i="101"/>
  <c r="BB46" i="101"/>
  <c r="BA46" i="101"/>
  <c r="AR59" i="101"/>
  <c r="AS59" i="101"/>
  <c r="BC59" i="101"/>
  <c r="BB59" i="101"/>
  <c r="BA59" i="101"/>
  <c r="AR100" i="101"/>
  <c r="AS100" i="101"/>
  <c r="BC100" i="101"/>
  <c r="BB100" i="101"/>
  <c r="BA100" i="101"/>
  <c r="AR61" i="101"/>
  <c r="AS61" i="101"/>
  <c r="BB61" i="101"/>
  <c r="BA61" i="101"/>
  <c r="BC61" i="101"/>
  <c r="AR106" i="101"/>
  <c r="BC106" i="101"/>
  <c r="BA106" i="101"/>
  <c r="BB106" i="101"/>
  <c r="AS106" i="101"/>
  <c r="AZ61" i="101"/>
  <c r="AZ51" i="101"/>
  <c r="AR63" i="101"/>
  <c r="AS63" i="101"/>
  <c r="BC63" i="101"/>
  <c r="BB63" i="101"/>
  <c r="BA63" i="101"/>
  <c r="AR64" i="101"/>
  <c r="AS64" i="101"/>
  <c r="BC64" i="101"/>
  <c r="BA64" i="101"/>
  <c r="BB64" i="101"/>
  <c r="AK25" i="101"/>
  <c r="AO24" i="101" s="1"/>
  <c r="AR73" i="101"/>
  <c r="BB73" i="101"/>
  <c r="AS73" i="101"/>
  <c r="BC73" i="101"/>
  <c r="BA73" i="101"/>
  <c r="AR89" i="101"/>
  <c r="BB89" i="101"/>
  <c r="AS89" i="101"/>
  <c r="BC89" i="101"/>
  <c r="BA89" i="101"/>
  <c r="AK105" i="101"/>
  <c r="AO104" i="101" s="1"/>
  <c r="AR39" i="101"/>
  <c r="AS39" i="101"/>
  <c r="BC39" i="101"/>
  <c r="BA39" i="101"/>
  <c r="BB39" i="101"/>
  <c r="AS84" i="101"/>
  <c r="BC84" i="101"/>
  <c r="BB84" i="101"/>
  <c r="BA84" i="101"/>
  <c r="AP100" i="101"/>
  <c r="AQ100" i="101" s="1"/>
  <c r="AR45" i="101"/>
  <c r="AS45" i="101"/>
  <c r="BB45" i="101"/>
  <c r="BC45" i="101"/>
  <c r="BA45" i="101"/>
  <c r="AR12" i="101"/>
  <c r="AS12" i="101"/>
  <c r="BC12" i="101"/>
  <c r="BB12" i="101"/>
  <c r="BA12" i="101"/>
  <c r="AP76" i="101"/>
  <c r="AQ76" i="101" s="1"/>
  <c r="AR37" i="101"/>
  <c r="AS37" i="101"/>
  <c r="BB37" i="101"/>
  <c r="BA37" i="101"/>
  <c r="BC37" i="101"/>
  <c r="AR58" i="101"/>
  <c r="BC58" i="101"/>
  <c r="BB58" i="101"/>
  <c r="BA58" i="101"/>
  <c r="AS58" i="101"/>
  <c r="AR24" i="101"/>
  <c r="AS24" i="101"/>
  <c r="BC24" i="101"/>
  <c r="BA24" i="101"/>
  <c r="BB24" i="101"/>
  <c r="AS40" i="101"/>
  <c r="BA40" i="101"/>
  <c r="BC40" i="101"/>
  <c r="BB40" i="101"/>
  <c r="AR17" i="101"/>
  <c r="BB17" i="101"/>
  <c r="AS17" i="101"/>
  <c r="BC17" i="101"/>
  <c r="BA17" i="101"/>
  <c r="AR49" i="101"/>
  <c r="BB49" i="101"/>
  <c r="AS49" i="101"/>
  <c r="BA49" i="101"/>
  <c r="BC49" i="101"/>
  <c r="AR38" i="101"/>
  <c r="BC38" i="101"/>
  <c r="AS38" i="101"/>
  <c r="BB38" i="101"/>
  <c r="BA38" i="101"/>
  <c r="AR27" i="101"/>
  <c r="AS27" i="101"/>
  <c r="BC27" i="101"/>
  <c r="BB27" i="101"/>
  <c r="BA27" i="101"/>
  <c r="AP71" i="101"/>
  <c r="AQ71" i="101" s="1"/>
  <c r="AS53" i="101"/>
  <c r="BB53" i="101"/>
  <c r="BC53" i="101"/>
  <c r="BA53" i="101"/>
  <c r="AZ59" i="101"/>
  <c r="AZ60" i="101"/>
  <c r="AZ106" i="101"/>
  <c r="AZ84" i="101"/>
  <c r="AZ45" i="101"/>
  <c r="AZ40" i="101"/>
  <c r="AR14" i="101"/>
  <c r="BC14" i="101"/>
  <c r="AS14" i="101"/>
  <c r="BB14" i="101"/>
  <c r="BA14" i="101"/>
  <c r="AR76" i="101"/>
  <c r="AS76" i="101"/>
  <c r="BC76" i="101"/>
  <c r="BB76" i="101"/>
  <c r="BA76" i="101"/>
  <c r="AR69" i="101"/>
  <c r="AS69" i="101"/>
  <c r="BB69" i="101"/>
  <c r="BA69" i="101"/>
  <c r="BC69" i="101"/>
  <c r="AR90" i="101"/>
  <c r="BC90" i="101"/>
  <c r="BA90" i="101"/>
  <c r="AS90" i="101"/>
  <c r="BB90" i="101"/>
  <c r="AR56" i="101"/>
  <c r="AS56" i="101"/>
  <c r="BA56" i="101"/>
  <c r="BB56" i="101"/>
  <c r="BC56" i="101"/>
  <c r="AS72" i="101"/>
  <c r="BA72" i="101"/>
  <c r="BB72" i="101"/>
  <c r="BC72" i="101"/>
  <c r="AR71" i="101"/>
  <c r="AS71" i="101"/>
  <c r="BC71" i="101"/>
  <c r="BA71" i="101"/>
  <c r="BB71" i="101"/>
  <c r="AS92" i="101"/>
  <c r="BC92" i="101"/>
  <c r="BB92" i="101"/>
  <c r="BA92" i="101"/>
  <c r="AZ46" i="101"/>
  <c r="AZ100" i="101"/>
  <c r="AR32" i="101"/>
  <c r="AS32" i="101"/>
  <c r="BC32" i="101"/>
  <c r="BA32" i="101"/>
  <c r="BB32" i="101"/>
  <c r="AR96" i="101"/>
  <c r="AS96" i="101"/>
  <c r="BC96" i="101"/>
  <c r="BA96" i="101"/>
  <c r="BB96" i="101"/>
  <c r="AR110" i="101"/>
  <c r="BC110" i="101"/>
  <c r="AS110" i="101"/>
  <c r="BA110" i="101"/>
  <c r="BB110" i="101"/>
  <c r="AR83" i="101"/>
  <c r="AS83" i="101"/>
  <c r="BC83" i="101"/>
  <c r="BA83" i="101"/>
  <c r="BB83" i="101"/>
  <c r="AR9" i="101"/>
  <c r="BB9" i="101"/>
  <c r="BC9" i="101"/>
  <c r="AS9" i="101"/>
  <c r="BA9" i="101"/>
  <c r="AP25" i="101"/>
  <c r="AQ25" i="101" s="1"/>
  <c r="AR57" i="101"/>
  <c r="BB57" i="101"/>
  <c r="BC57" i="101"/>
  <c r="AS57" i="101"/>
  <c r="BA57" i="101"/>
  <c r="AK73" i="101"/>
  <c r="AK89" i="101"/>
  <c r="AO88" i="101" s="1"/>
  <c r="AP105" i="101"/>
  <c r="AQ105" i="101" s="1"/>
  <c r="AR30" i="101"/>
  <c r="BC30" i="101"/>
  <c r="AS30" i="101"/>
  <c r="BB30" i="101"/>
  <c r="BA30" i="101"/>
  <c r="AR62" i="101"/>
  <c r="BC62" i="101"/>
  <c r="AS62" i="101"/>
  <c r="BB62" i="101"/>
  <c r="BA62" i="101"/>
  <c r="AR103" i="101"/>
  <c r="AS103" i="101"/>
  <c r="BC103" i="101"/>
  <c r="BB103" i="101"/>
  <c r="BA103" i="101"/>
  <c r="AR19" i="101"/>
  <c r="AS19" i="101"/>
  <c r="BC19" i="101"/>
  <c r="BB19" i="101"/>
  <c r="BA19" i="101"/>
  <c r="AR31" i="101"/>
  <c r="AS31" i="101"/>
  <c r="BC31" i="101"/>
  <c r="BB31" i="101"/>
  <c r="BA31" i="101"/>
  <c r="AR20" i="101"/>
  <c r="AS20" i="101"/>
  <c r="BC20" i="101"/>
  <c r="BB20" i="101"/>
  <c r="BA20" i="101"/>
  <c r="AR36" i="101"/>
  <c r="AS36" i="101"/>
  <c r="BC36" i="101"/>
  <c r="BB36" i="101"/>
  <c r="BA36" i="101"/>
  <c r="AR52" i="101"/>
  <c r="AS52" i="101"/>
  <c r="BC52" i="101"/>
  <c r="BB52" i="101"/>
  <c r="BA52" i="101"/>
  <c r="AS68" i="101"/>
  <c r="BC68" i="101"/>
  <c r="BB68" i="101"/>
  <c r="BA68" i="101"/>
  <c r="AP84" i="101"/>
  <c r="AQ84" i="101" s="1"/>
  <c r="AR29" i="101"/>
  <c r="AS29" i="101"/>
  <c r="BB29" i="101"/>
  <c r="BA29" i="101"/>
  <c r="BC29" i="101"/>
  <c r="AP61" i="101"/>
  <c r="AQ61" i="101" s="1"/>
  <c r="AR93" i="101"/>
  <c r="AS93" i="101"/>
  <c r="BC93" i="101"/>
  <c r="BB93" i="101"/>
  <c r="BA93" i="101"/>
  <c r="AR109" i="101"/>
  <c r="AS109" i="101"/>
  <c r="BC109" i="101"/>
  <c r="BB109" i="101"/>
  <c r="BA109" i="101"/>
  <c r="AR18" i="101"/>
  <c r="BC18" i="101"/>
  <c r="BB18" i="101"/>
  <c r="AS18" i="101"/>
  <c r="BA18" i="101"/>
  <c r="AR34" i="101"/>
  <c r="BC34" i="101"/>
  <c r="BB34" i="101"/>
  <c r="AS34" i="101"/>
  <c r="BA34" i="101"/>
  <c r="AR50" i="101"/>
  <c r="BC50" i="101"/>
  <c r="BB50" i="101"/>
  <c r="BA50" i="101"/>
  <c r="AS50" i="101"/>
  <c r="AR66" i="101"/>
  <c r="BC66" i="101"/>
  <c r="BB66" i="101"/>
  <c r="BA66" i="101"/>
  <c r="AS66" i="101"/>
  <c r="AR82" i="101"/>
  <c r="BC82" i="101"/>
  <c r="AS82" i="101"/>
  <c r="BA82" i="101"/>
  <c r="BB82" i="101"/>
  <c r="AR98" i="101"/>
  <c r="BC98" i="101"/>
  <c r="AS98" i="101"/>
  <c r="BA98" i="101"/>
  <c r="BB98" i="101"/>
  <c r="AR107" i="101"/>
  <c r="AS107" i="101"/>
  <c r="BC107" i="101"/>
  <c r="BB107" i="101"/>
  <c r="BA107" i="101"/>
  <c r="AR43" i="101"/>
  <c r="AS43" i="101"/>
  <c r="BC43" i="101"/>
  <c r="BB43" i="101"/>
  <c r="BA43" i="101"/>
  <c r="AR87" i="101"/>
  <c r="AS87" i="101"/>
  <c r="BC87" i="101"/>
  <c r="BB87" i="101"/>
  <c r="BA87" i="101"/>
  <c r="AR23" i="101"/>
  <c r="AS23" i="101"/>
  <c r="BC23" i="101"/>
  <c r="BA23" i="101"/>
  <c r="BB23" i="101"/>
  <c r="AR70" i="101"/>
  <c r="BC70" i="101"/>
  <c r="AS70" i="101"/>
  <c r="BB70" i="101"/>
  <c r="BA70" i="101"/>
  <c r="AR91" i="101"/>
  <c r="AS91" i="101"/>
  <c r="BC91" i="101"/>
  <c r="BB91" i="101"/>
  <c r="BA91" i="101"/>
  <c r="AR7" i="101"/>
  <c r="AS7" i="101"/>
  <c r="BC7" i="101"/>
  <c r="BB7" i="101"/>
  <c r="BA7" i="101"/>
  <c r="AP44" i="101"/>
  <c r="AQ44" i="101" s="1"/>
  <c r="AP69" i="101"/>
  <c r="AQ69" i="101" s="1"/>
  <c r="AR26" i="101"/>
  <c r="BC26" i="101"/>
  <c r="BB26" i="101"/>
  <c r="BA26" i="101"/>
  <c r="AS26" i="101"/>
  <c r="AP58" i="101"/>
  <c r="AQ58" i="101" s="1"/>
  <c r="AR55" i="101"/>
  <c r="AS55" i="101"/>
  <c r="BC55" i="101"/>
  <c r="BA55" i="101"/>
  <c r="BB55" i="101"/>
  <c r="AP24" i="101"/>
  <c r="AQ24" i="101" s="1"/>
  <c r="AP40" i="101"/>
  <c r="AQ40" i="101" s="1"/>
  <c r="AP56" i="101"/>
  <c r="AQ56" i="101" s="1"/>
  <c r="AR81" i="101"/>
  <c r="BB81" i="101"/>
  <c r="AS81" i="101"/>
  <c r="BC81" i="101"/>
  <c r="BA81" i="101"/>
  <c r="AR22" i="101"/>
  <c r="AS22" i="101"/>
  <c r="BB22" i="101"/>
  <c r="BA22" i="101"/>
  <c r="BC22" i="101"/>
  <c r="AP38" i="101"/>
  <c r="AQ38" i="101" s="1"/>
  <c r="AR102" i="101"/>
  <c r="BC102" i="101"/>
  <c r="AS102" i="101"/>
  <c r="BA102" i="101"/>
  <c r="BB102" i="101"/>
  <c r="AP27" i="101"/>
  <c r="AQ27" i="101" s="1"/>
  <c r="AR28" i="101"/>
  <c r="AS28" i="101"/>
  <c r="BC28" i="101"/>
  <c r="BB28" i="101"/>
  <c r="BA28" i="101"/>
  <c r="AR21" i="101"/>
  <c r="AS21" i="101"/>
  <c r="BB21" i="101"/>
  <c r="BC21" i="101"/>
  <c r="BA21" i="101"/>
  <c r="AR10" i="101"/>
  <c r="BC10" i="101"/>
  <c r="BB10" i="101"/>
  <c r="BA10" i="101"/>
  <c r="AS10" i="101"/>
  <c r="AR74" i="101"/>
  <c r="BC74" i="101"/>
  <c r="BB74" i="101"/>
  <c r="BA74" i="101"/>
  <c r="AS74" i="101"/>
  <c r="AR11" i="101"/>
  <c r="AS11" i="101"/>
  <c r="BC11" i="101"/>
  <c r="BB11" i="101"/>
  <c r="BA11" i="101"/>
  <c r="AZ110" i="101"/>
  <c r="AZ28" i="101"/>
  <c r="AZ74" i="101"/>
  <c r="AZ23" i="101"/>
  <c r="AZ31" i="101"/>
  <c r="AZ68" i="101"/>
  <c r="AZ29" i="101"/>
  <c r="AZ93" i="101"/>
  <c r="AZ50" i="101"/>
  <c r="AZ43" i="101"/>
  <c r="AZ55" i="101"/>
  <c r="AZ24" i="101"/>
  <c r="AZ49" i="101"/>
  <c r="AZ70" i="101"/>
  <c r="AZ27" i="101"/>
  <c r="AZ90" i="101"/>
  <c r="AR105" i="101"/>
  <c r="BC105" i="101"/>
  <c r="AS105" i="101"/>
  <c r="BB105" i="101"/>
  <c r="BA105" i="101"/>
  <c r="AR78" i="101"/>
  <c r="BC78" i="101"/>
  <c r="AS78" i="101"/>
  <c r="BA78" i="101"/>
  <c r="BB78" i="101"/>
  <c r="AS44" i="101"/>
  <c r="BC44" i="101"/>
  <c r="BB44" i="101"/>
  <c r="BA44" i="101"/>
  <c r="AR97" i="101"/>
  <c r="BB97" i="101"/>
  <c r="BC97" i="101"/>
  <c r="AS97" i="101"/>
  <c r="BA97" i="101"/>
  <c r="AR54" i="101"/>
  <c r="BC54" i="101"/>
  <c r="AS54" i="101"/>
  <c r="BB54" i="101"/>
  <c r="BA54" i="101"/>
  <c r="AR60" i="101"/>
  <c r="AS60" i="101"/>
  <c r="BC60" i="101"/>
  <c r="BB60" i="101"/>
  <c r="BA60" i="101"/>
  <c r="AR42" i="101"/>
  <c r="BC42" i="101"/>
  <c r="BB42" i="101"/>
  <c r="BA42" i="101"/>
  <c r="AS42" i="101"/>
  <c r="AZ92" i="101"/>
  <c r="AR51" i="101"/>
  <c r="AS51" i="101"/>
  <c r="BC51" i="101"/>
  <c r="BB51" i="101"/>
  <c r="BA51" i="101"/>
  <c r="AK51" i="101"/>
  <c r="AO50" i="101" s="1"/>
  <c r="AR16" i="101"/>
  <c r="AS16" i="101"/>
  <c r="BC16" i="101"/>
  <c r="BA16" i="101"/>
  <c r="BB16" i="101"/>
  <c r="AS48" i="101"/>
  <c r="BB48" i="101"/>
  <c r="BC48" i="101"/>
  <c r="BA48" i="101"/>
  <c r="AS80" i="101"/>
  <c r="BB80" i="101"/>
  <c r="BC80" i="101"/>
  <c r="BA80" i="101"/>
  <c r="AR41" i="101"/>
  <c r="BB41" i="101"/>
  <c r="BA41" i="101"/>
  <c r="AS41" i="101"/>
  <c r="BC41" i="101"/>
  <c r="AK57" i="101"/>
  <c r="AO56" i="101" s="1"/>
  <c r="AP73" i="101"/>
  <c r="AQ73" i="101" s="1"/>
  <c r="AP89" i="101"/>
  <c r="AQ89" i="101" s="1"/>
  <c r="AR94" i="101"/>
  <c r="BC94" i="101"/>
  <c r="AS94" i="101"/>
  <c r="BB94" i="101"/>
  <c r="BA94" i="101"/>
  <c r="AK59" i="101"/>
  <c r="AO58" i="101" s="1"/>
  <c r="AP20" i="101"/>
  <c r="AQ20" i="101" s="1"/>
  <c r="AP36" i="101"/>
  <c r="AQ36" i="101" s="1"/>
  <c r="AP52" i="101"/>
  <c r="AQ52" i="101" s="1"/>
  <c r="AP68" i="101"/>
  <c r="AQ68" i="101" s="1"/>
  <c r="AK100" i="101"/>
  <c r="AO99" i="101" s="1"/>
  <c r="AR13" i="101"/>
  <c r="AS13" i="101"/>
  <c r="BB13" i="101"/>
  <c r="BC13" i="101"/>
  <c r="BA13" i="101"/>
  <c r="AP45" i="101"/>
  <c r="AQ45" i="101" s="1"/>
  <c r="AR77" i="101"/>
  <c r="AS77" i="101"/>
  <c r="BB77" i="101"/>
  <c r="BC77" i="101"/>
  <c r="BA77" i="101"/>
  <c r="AP7" i="101"/>
  <c r="AQ7" i="101" s="1"/>
  <c r="AK76" i="101"/>
  <c r="AO75" i="101" s="1"/>
  <c r="AS108" i="101"/>
  <c r="BC108" i="101"/>
  <c r="BB108" i="101"/>
  <c r="BA108" i="101"/>
  <c r="AP37" i="101"/>
  <c r="AQ37" i="101" s="1"/>
  <c r="AR101" i="101"/>
  <c r="AS101" i="101"/>
  <c r="BC101" i="101"/>
  <c r="BB101" i="101"/>
  <c r="BA101" i="101"/>
  <c r="AK90" i="101"/>
  <c r="AO89" i="101" s="1"/>
  <c r="AR75" i="101"/>
  <c r="AS75" i="101"/>
  <c r="BC75" i="101"/>
  <c r="BB75" i="101"/>
  <c r="BA75" i="101"/>
  <c r="AP55" i="101"/>
  <c r="AQ55" i="101" s="1"/>
  <c r="AR8" i="101"/>
  <c r="AS8" i="101"/>
  <c r="BC8" i="101"/>
  <c r="BA8" i="101"/>
  <c r="BB8" i="101"/>
  <c r="AK56" i="101"/>
  <c r="AO55" i="101" s="1"/>
  <c r="AR88" i="101"/>
  <c r="AS88" i="101"/>
  <c r="BB88" i="101"/>
  <c r="BA88" i="101"/>
  <c r="BC88" i="101"/>
  <c r="AS104" i="101"/>
  <c r="BA104" i="101"/>
  <c r="BB104" i="101"/>
  <c r="BC104" i="101"/>
  <c r="AR33" i="101"/>
  <c r="BB33" i="101"/>
  <c r="AS33" i="101"/>
  <c r="BC33" i="101"/>
  <c r="BA33" i="101"/>
  <c r="AR65" i="101"/>
  <c r="BB65" i="101"/>
  <c r="BC65" i="101"/>
  <c r="AS65" i="101"/>
  <c r="BA65" i="101"/>
  <c r="AR6" i="101"/>
  <c r="BC6" i="101"/>
  <c r="AS6" i="101"/>
  <c r="BB6" i="101"/>
  <c r="BA6" i="101"/>
  <c r="AP22" i="101"/>
  <c r="AQ22" i="101" s="1"/>
  <c r="AR86" i="101"/>
  <c r="BC86" i="101"/>
  <c r="AS86" i="101"/>
  <c r="BB86" i="101"/>
  <c r="BA86" i="101"/>
  <c r="AP102" i="101"/>
  <c r="AQ102" i="101" s="1"/>
  <c r="AR95" i="101"/>
  <c r="AS95" i="101"/>
  <c r="BC95" i="101"/>
  <c r="BB95" i="101"/>
  <c r="BA95" i="101"/>
  <c r="AK21" i="101"/>
  <c r="AO20" i="101" s="1"/>
  <c r="AS85" i="101"/>
  <c r="BB85" i="101"/>
  <c r="BC85" i="101"/>
  <c r="BA85" i="101"/>
  <c r="AK42" i="101"/>
  <c r="AO41" i="101" s="1"/>
  <c r="AK106" i="101"/>
  <c r="AO105" i="101" s="1"/>
  <c r="AR79" i="101"/>
  <c r="AS79" i="101"/>
  <c r="BC79" i="101"/>
  <c r="BA79" i="101"/>
  <c r="BB79" i="101"/>
  <c r="AP79" i="101"/>
  <c r="AQ79" i="101" s="1"/>
  <c r="AZ63" i="101"/>
  <c r="AZ64" i="101"/>
  <c r="AZ25" i="101"/>
  <c r="AZ89" i="101"/>
  <c r="AZ78" i="101"/>
  <c r="AZ94" i="101"/>
  <c r="AZ39" i="101"/>
  <c r="AZ95" i="101"/>
  <c r="AZ53" i="101"/>
  <c r="AZ42" i="101"/>
  <c r="AZ87" i="101"/>
  <c r="AZ19" i="101"/>
  <c r="AZ52" i="101"/>
  <c r="AZ13" i="101"/>
  <c r="AZ77" i="101"/>
  <c r="AZ34" i="101"/>
  <c r="AZ98" i="101"/>
  <c r="AZ107" i="101"/>
  <c r="AZ8" i="101"/>
  <c r="AZ72" i="101"/>
  <c r="AZ33" i="101"/>
  <c r="AZ97" i="101"/>
  <c r="AZ54" i="101"/>
  <c r="AZ91" i="101"/>
  <c r="AZ12" i="101"/>
  <c r="AZ69" i="101"/>
  <c r="AZ58" i="101"/>
  <c r="AP5" i="101"/>
  <c r="AQ5" i="101" s="1"/>
  <c r="BB5" i="101"/>
  <c r="BC5" i="101"/>
  <c r="AZ5" i="101"/>
  <c r="BA5" i="101"/>
  <c r="AK5" i="101"/>
  <c r="AK48" i="101"/>
  <c r="AO47" i="101" s="1"/>
  <c r="AR48" i="101"/>
  <c r="AK80" i="101"/>
  <c r="AO79" i="101" s="1"/>
  <c r="AR80" i="101"/>
  <c r="AK9" i="101"/>
  <c r="AO8" i="101" s="1"/>
  <c r="AP14" i="101"/>
  <c r="AQ14" i="101" s="1"/>
  <c r="AP30" i="101"/>
  <c r="AQ30" i="101" s="1"/>
  <c r="AP8" i="101"/>
  <c r="AQ8" i="101" s="1"/>
  <c r="AP17" i="101"/>
  <c r="AQ17" i="101" s="1"/>
  <c r="AP33" i="101"/>
  <c r="AQ33" i="101" s="1"/>
  <c r="AP49" i="101"/>
  <c r="AQ49" i="101" s="1"/>
  <c r="AP65" i="101"/>
  <c r="AQ65" i="101" s="1"/>
  <c r="AP81" i="101"/>
  <c r="AQ81" i="101" s="1"/>
  <c r="AP97" i="101"/>
  <c r="AQ97" i="101" s="1"/>
  <c r="AK22" i="101"/>
  <c r="AO21" i="101" s="1"/>
  <c r="AK38" i="101"/>
  <c r="AO37" i="101" s="1"/>
  <c r="AK54" i="101"/>
  <c r="AO53" i="101" s="1"/>
  <c r="AK86" i="101"/>
  <c r="AO85" i="101" s="1"/>
  <c r="AK102" i="101"/>
  <c r="AO101" i="101" s="1"/>
  <c r="AK27" i="101"/>
  <c r="AO26" i="101" s="1"/>
  <c r="AK71" i="101"/>
  <c r="AO70" i="101" s="1"/>
  <c r="AK95" i="101"/>
  <c r="AO94" i="101" s="1"/>
  <c r="AK28" i="101"/>
  <c r="AO27" i="101" s="1"/>
  <c r="AK60" i="101"/>
  <c r="AK53" i="101"/>
  <c r="AO52" i="101" s="1"/>
  <c r="AR53" i="101"/>
  <c r="AK85" i="101"/>
  <c r="AO84" i="101" s="1"/>
  <c r="AR85" i="101"/>
  <c r="AP16" i="101"/>
  <c r="AQ16" i="101" s="1"/>
  <c r="AP32" i="101"/>
  <c r="AQ32" i="101" s="1"/>
  <c r="AP48" i="101"/>
  <c r="AQ48" i="101" s="1"/>
  <c r="AP64" i="101"/>
  <c r="AQ64" i="101" s="1"/>
  <c r="AP80" i="101"/>
  <c r="AQ80" i="101" s="1"/>
  <c r="AP96" i="101"/>
  <c r="AQ96" i="101" s="1"/>
  <c r="AP9" i="101"/>
  <c r="AQ9" i="101" s="1"/>
  <c r="AP46" i="101"/>
  <c r="AQ46" i="101" s="1"/>
  <c r="AP62" i="101"/>
  <c r="AQ62" i="101" s="1"/>
  <c r="AP78" i="101"/>
  <c r="AQ78" i="101" s="1"/>
  <c r="AP94" i="101"/>
  <c r="AQ94" i="101" s="1"/>
  <c r="AP110" i="101"/>
  <c r="AQ110" i="101" s="1"/>
  <c r="AK44" i="101"/>
  <c r="AR44" i="101"/>
  <c r="AK108" i="101"/>
  <c r="AO107" i="101" s="1"/>
  <c r="AR108" i="101"/>
  <c r="AK37" i="101"/>
  <c r="AO36" i="101" s="1"/>
  <c r="AK69" i="101"/>
  <c r="AO68" i="101" s="1"/>
  <c r="AK101" i="101"/>
  <c r="AO100" i="101" s="1"/>
  <c r="AR5" i="101"/>
  <c r="AK92" i="101"/>
  <c r="AO91" i="101" s="1"/>
  <c r="AR92" i="101"/>
  <c r="AP74" i="101"/>
  <c r="AQ74" i="101" s="1"/>
  <c r="AP106" i="101"/>
  <c r="AQ106" i="101" s="1"/>
  <c r="AP83" i="101"/>
  <c r="AQ83" i="101" s="1"/>
  <c r="AP63" i="101"/>
  <c r="AQ63" i="101" s="1"/>
  <c r="AK14" i="101"/>
  <c r="AO13" i="101" s="1"/>
  <c r="AK30" i="101"/>
  <c r="AO29" i="101" s="1"/>
  <c r="AK46" i="101"/>
  <c r="AO45" i="101" s="1"/>
  <c r="AK62" i="101"/>
  <c r="AO61" i="101" s="1"/>
  <c r="AK78" i="101"/>
  <c r="AK94" i="101"/>
  <c r="AO93" i="101" s="1"/>
  <c r="AK110" i="101"/>
  <c r="AO109" i="101" s="1"/>
  <c r="AP59" i="101"/>
  <c r="AQ59" i="101" s="1"/>
  <c r="AP103" i="101"/>
  <c r="AQ103" i="101" s="1"/>
  <c r="AP39" i="101"/>
  <c r="AQ39" i="101" s="1"/>
  <c r="AK68" i="101"/>
  <c r="AO67" i="101" s="1"/>
  <c r="AR68" i="101"/>
  <c r="AK84" i="101"/>
  <c r="AO83" i="101" s="1"/>
  <c r="AR84" i="101"/>
  <c r="AK13" i="101"/>
  <c r="AO12" i="101" s="1"/>
  <c r="AK29" i="101"/>
  <c r="AO28" i="101" s="1"/>
  <c r="AK45" i="101"/>
  <c r="AO44" i="101" s="1"/>
  <c r="AK61" i="101"/>
  <c r="AO60" i="101" s="1"/>
  <c r="AK77" i="101"/>
  <c r="AO76" i="101" s="1"/>
  <c r="AK93" i="101"/>
  <c r="AK109" i="101"/>
  <c r="AO108" i="101" s="1"/>
  <c r="AP12" i="101"/>
  <c r="AQ12" i="101" s="1"/>
  <c r="AP101" i="101"/>
  <c r="AQ101" i="101" s="1"/>
  <c r="AP26" i="101"/>
  <c r="AQ26" i="101" s="1"/>
  <c r="AK8" i="101"/>
  <c r="AO7" i="101" s="1"/>
  <c r="AK40" i="101"/>
  <c r="AO39" i="101" s="1"/>
  <c r="AR40" i="101"/>
  <c r="AK72" i="101"/>
  <c r="AO71" i="101" s="1"/>
  <c r="AR72" i="101"/>
  <c r="AK104" i="101"/>
  <c r="AO103" i="101" s="1"/>
  <c r="AR104" i="101"/>
  <c r="AK17" i="101"/>
  <c r="AO16" i="101" s="1"/>
  <c r="AK33" i="101"/>
  <c r="AO32" i="101" s="1"/>
  <c r="AK49" i="101"/>
  <c r="AO48" i="101" s="1"/>
  <c r="AK65" i="101"/>
  <c r="AK81" i="101"/>
  <c r="AO80" i="101" s="1"/>
  <c r="AK97" i="101"/>
  <c r="AO96" i="101" s="1"/>
  <c r="AP28" i="101"/>
  <c r="AQ28" i="101" s="1"/>
  <c r="AP21" i="101"/>
  <c r="AQ21" i="101" s="1"/>
  <c r="AP53" i="101"/>
  <c r="AQ53" i="101" s="1"/>
  <c r="AP85" i="101"/>
  <c r="AQ85" i="101" s="1"/>
  <c r="AP10" i="101"/>
  <c r="AQ10" i="101" s="1"/>
  <c r="AP42" i="101"/>
  <c r="AQ42" i="101" s="1"/>
  <c r="AP11" i="101"/>
  <c r="AQ11" i="101" s="1"/>
  <c r="DR7" i="98"/>
  <c r="DX7" i="98" s="1"/>
  <c r="DR8" i="98"/>
  <c r="DS8" i="98" s="1"/>
  <c r="DR9" i="98"/>
  <c r="DX9" i="98" s="1"/>
  <c r="DR10" i="98"/>
  <c r="DY10" i="98" s="1"/>
  <c r="DR11" i="98"/>
  <c r="DX11" i="98" s="1"/>
  <c r="DR12" i="98"/>
  <c r="DS12" i="98" s="1"/>
  <c r="DR13" i="98"/>
  <c r="DX13" i="98" s="1"/>
  <c r="DR14" i="98"/>
  <c r="DS14" i="98" s="1"/>
  <c r="DR15" i="98"/>
  <c r="DX15" i="98" s="1"/>
  <c r="DR16" i="98"/>
  <c r="DS16" i="98" s="1"/>
  <c r="DR17" i="98"/>
  <c r="DX17" i="98" s="1"/>
  <c r="DR18" i="98"/>
  <c r="DY18" i="98" s="1"/>
  <c r="DR19" i="98"/>
  <c r="DX19" i="98" s="1"/>
  <c r="DR20" i="98"/>
  <c r="DS20" i="98" s="1"/>
  <c r="DR21" i="98"/>
  <c r="DX21" i="98" s="1"/>
  <c r="DR22" i="98"/>
  <c r="DY22" i="98" s="1"/>
  <c r="DR23" i="98"/>
  <c r="DX23" i="98" s="1"/>
  <c r="DR24" i="98"/>
  <c r="DS24" i="98" s="1"/>
  <c r="DR25" i="98"/>
  <c r="DX25" i="98" s="1"/>
  <c r="DR26" i="98"/>
  <c r="DS26" i="98" s="1"/>
  <c r="DR27" i="98"/>
  <c r="DX27" i="98" s="1"/>
  <c r="DR28" i="98"/>
  <c r="DS28" i="98" s="1"/>
  <c r="DR29" i="98"/>
  <c r="DX29" i="98" s="1"/>
  <c r="DR30" i="98"/>
  <c r="DX30" i="98" s="1"/>
  <c r="DR31" i="98"/>
  <c r="DX31" i="98" s="1"/>
  <c r="DR32" i="98"/>
  <c r="DS32" i="98" s="1"/>
  <c r="DR33" i="98"/>
  <c r="DX33" i="98" s="1"/>
  <c r="DR34" i="98"/>
  <c r="DS34" i="98" s="1"/>
  <c r="DR35" i="98"/>
  <c r="DX35" i="98" s="1"/>
  <c r="DR36" i="98"/>
  <c r="DS36" i="98" s="1"/>
  <c r="DR37" i="98"/>
  <c r="DX37" i="98" s="1"/>
  <c r="DR38" i="98"/>
  <c r="DY38" i="98" s="1"/>
  <c r="DR39" i="98"/>
  <c r="DX39" i="98" s="1"/>
  <c r="DR40" i="98"/>
  <c r="DS40" i="98" s="1"/>
  <c r="DR41" i="98"/>
  <c r="DX41" i="98" s="1"/>
  <c r="DR42" i="98"/>
  <c r="DY42" i="98" s="1"/>
  <c r="DR43" i="98"/>
  <c r="DX43" i="98" s="1"/>
  <c r="DR44" i="98"/>
  <c r="DS44" i="98" s="1"/>
  <c r="DR45" i="98"/>
  <c r="DX45" i="98" s="1"/>
  <c r="DR46" i="98"/>
  <c r="DY46" i="98" s="1"/>
  <c r="DR47" i="98"/>
  <c r="DX47" i="98" s="1"/>
  <c r="DR48" i="98"/>
  <c r="DS48" i="98" s="1"/>
  <c r="DR49" i="98"/>
  <c r="DX49" i="98" s="1"/>
  <c r="DR50" i="98"/>
  <c r="DS50" i="98" s="1"/>
  <c r="DR51" i="98"/>
  <c r="DX51" i="98" s="1"/>
  <c r="DR52" i="98"/>
  <c r="DS52" i="98" s="1"/>
  <c r="DR53" i="98"/>
  <c r="DX53" i="98" s="1"/>
  <c r="DR54" i="98"/>
  <c r="DY54" i="98" s="1"/>
  <c r="DR55" i="98"/>
  <c r="DX55" i="98" s="1"/>
  <c r="DR56" i="98"/>
  <c r="DS56" i="98" s="1"/>
  <c r="DR57" i="98"/>
  <c r="DX57" i="98" s="1"/>
  <c r="DR58" i="98"/>
  <c r="DY58" i="98" s="1"/>
  <c r="DR59" i="98"/>
  <c r="DX59" i="98" s="1"/>
  <c r="DR60" i="98"/>
  <c r="DS60" i="98" s="1"/>
  <c r="DR61" i="98"/>
  <c r="DX61" i="98" s="1"/>
  <c r="DR62" i="98"/>
  <c r="DS62" i="98" s="1"/>
  <c r="DR63" i="98"/>
  <c r="DX63" i="98" s="1"/>
  <c r="DR64" i="98"/>
  <c r="DS64" i="98" s="1"/>
  <c r="DR65" i="98"/>
  <c r="DX65" i="98" s="1"/>
  <c r="DR66" i="98"/>
  <c r="DS66" i="98" s="1"/>
  <c r="DR67" i="98"/>
  <c r="DX67" i="98" s="1"/>
  <c r="DR68" i="98"/>
  <c r="DS68" i="98" s="1"/>
  <c r="DR69" i="98"/>
  <c r="DX69" i="98" s="1"/>
  <c r="DR70" i="98"/>
  <c r="DY70" i="98" s="1"/>
  <c r="DR71" i="98"/>
  <c r="DX71" i="98" s="1"/>
  <c r="DR72" i="98"/>
  <c r="DS72" i="98" s="1"/>
  <c r="DR73" i="98"/>
  <c r="DX73" i="98" s="1"/>
  <c r="DR74" i="98"/>
  <c r="DS74" i="98" s="1"/>
  <c r="DR75" i="98"/>
  <c r="DX75" i="98" s="1"/>
  <c r="DR76" i="98"/>
  <c r="DS76" i="98" s="1"/>
  <c r="DR77" i="98"/>
  <c r="DX77" i="98" s="1"/>
  <c r="DR6" i="98"/>
  <c r="DX6" i="98" s="1"/>
  <c r="DY68" i="98" l="1"/>
  <c r="DY20" i="98"/>
  <c r="DY64" i="98"/>
  <c r="DY48" i="98"/>
  <c r="DY32" i="98"/>
  <c r="DY16" i="98"/>
  <c r="DY76" i="98"/>
  <c r="DY60" i="98"/>
  <c r="DY44" i="98"/>
  <c r="DY28" i="98"/>
  <c r="DY12" i="98"/>
  <c r="DY52" i="98"/>
  <c r="DY36" i="98"/>
  <c r="DY72" i="98"/>
  <c r="DY56" i="98"/>
  <c r="DY40" i="98"/>
  <c r="DY24" i="98"/>
  <c r="DY8" i="98"/>
  <c r="DS70" i="98"/>
  <c r="DS54" i="98"/>
  <c r="DS42" i="98"/>
  <c r="DS30" i="98"/>
  <c r="DS18" i="98"/>
  <c r="DS10" i="98"/>
  <c r="DY66" i="98"/>
  <c r="DY62" i="98"/>
  <c r="DY50" i="98"/>
  <c r="DY30" i="98"/>
  <c r="DS77" i="98"/>
  <c r="DS73" i="98"/>
  <c r="DS69" i="98"/>
  <c r="DS65" i="98"/>
  <c r="DS61" i="98"/>
  <c r="DS57" i="98"/>
  <c r="DS53" i="98"/>
  <c r="DS49" i="98"/>
  <c r="DS45" i="98"/>
  <c r="DS41" i="98"/>
  <c r="DS37" i="98"/>
  <c r="DS33" i="98"/>
  <c r="DS29" i="98"/>
  <c r="DS25" i="98"/>
  <c r="DS21" i="98"/>
  <c r="DS17" i="98"/>
  <c r="DS13" i="98"/>
  <c r="DS9" i="98"/>
  <c r="DY6" i="98"/>
  <c r="DX76" i="98"/>
  <c r="DX74" i="98"/>
  <c r="DX72" i="98"/>
  <c r="DX70" i="98"/>
  <c r="DX68" i="98"/>
  <c r="DX66" i="98"/>
  <c r="DX64" i="98"/>
  <c r="DX62" i="98"/>
  <c r="DX60" i="98"/>
  <c r="DX58" i="98"/>
  <c r="DX56" i="98"/>
  <c r="DX54" i="98"/>
  <c r="DX52" i="98"/>
  <c r="DX50" i="98"/>
  <c r="DX48" i="98"/>
  <c r="DX46" i="98"/>
  <c r="DX44" i="98"/>
  <c r="DX42" i="98"/>
  <c r="DX40" i="98"/>
  <c r="DX38" i="98"/>
  <c r="DX36" i="98"/>
  <c r="DX34" i="98"/>
  <c r="DX32" i="98"/>
  <c r="DX28" i="98"/>
  <c r="DX26" i="98"/>
  <c r="DX24" i="98"/>
  <c r="DX22" i="98"/>
  <c r="DX20" i="98"/>
  <c r="DX18" i="98"/>
  <c r="DX16" i="98"/>
  <c r="DX14" i="98"/>
  <c r="DX12" i="98"/>
  <c r="DX10" i="98"/>
  <c r="DX8" i="98"/>
  <c r="DS6" i="98"/>
  <c r="DS58" i="98"/>
  <c r="DS46" i="98"/>
  <c r="DS38" i="98"/>
  <c r="DS22" i="98"/>
  <c r="DY74" i="98"/>
  <c r="DY34" i="98"/>
  <c r="DY26" i="98"/>
  <c r="DY14" i="98"/>
  <c r="DY77" i="98"/>
  <c r="DY75" i="98"/>
  <c r="DY73" i="98"/>
  <c r="DY71" i="98"/>
  <c r="DY69" i="98"/>
  <c r="DY67" i="98"/>
  <c r="DY65" i="98"/>
  <c r="DY63" i="98"/>
  <c r="DY61" i="98"/>
  <c r="DY59" i="98"/>
  <c r="DY57" i="98"/>
  <c r="DY55" i="98"/>
  <c r="DY53" i="98"/>
  <c r="DY51" i="98"/>
  <c r="DY49" i="98"/>
  <c r="DY47" i="98"/>
  <c r="DY45" i="98"/>
  <c r="DY43" i="98"/>
  <c r="DY41" i="98"/>
  <c r="DY39" i="98"/>
  <c r="DY37" i="98"/>
  <c r="DY35" i="98"/>
  <c r="DY33" i="98"/>
  <c r="DY31" i="98"/>
  <c r="DY29" i="98"/>
  <c r="DY27" i="98"/>
  <c r="DY25" i="98"/>
  <c r="DY23" i="98"/>
  <c r="DY21" i="98"/>
  <c r="DY19" i="98"/>
  <c r="DY17" i="98"/>
  <c r="DY15" i="98"/>
  <c r="DY13" i="98"/>
  <c r="DY11" i="98"/>
  <c r="DY9" i="98"/>
  <c r="DY7" i="98"/>
  <c r="DS75" i="98"/>
  <c r="DS71" i="98"/>
  <c r="DS67" i="98"/>
  <c r="DS63" i="98"/>
  <c r="DS59" i="98"/>
  <c r="DS55" i="98"/>
  <c r="DS51" i="98"/>
  <c r="DS47" i="98"/>
  <c r="DS43" i="98"/>
  <c r="DS39" i="98"/>
  <c r="DS35" i="98"/>
  <c r="DS31" i="98"/>
  <c r="DS27" i="98"/>
  <c r="DS23" i="98"/>
  <c r="DS19" i="98"/>
  <c r="DS15" i="98"/>
  <c r="DS11" i="98"/>
  <c r="DS7" i="98"/>
  <c r="R9" i="100" l="1"/>
  <c r="R10" i="100"/>
  <c r="R11" i="100"/>
  <c r="R12" i="100"/>
  <c r="R13" i="100"/>
  <c r="R14" i="100"/>
  <c r="R15" i="100"/>
  <c r="R16" i="100"/>
  <c r="R17" i="100"/>
  <c r="R18" i="100"/>
  <c r="R19" i="100"/>
  <c r="R20" i="100"/>
  <c r="R21" i="100"/>
  <c r="R22" i="100"/>
  <c r="R23" i="100"/>
  <c r="R24" i="100"/>
  <c r="R25" i="100"/>
  <c r="R26" i="100"/>
  <c r="R27" i="100"/>
  <c r="R28" i="100"/>
  <c r="GN766" i="100" s="1"/>
  <c r="GO766" i="100" s="1"/>
  <c r="R29" i="100"/>
  <c r="R30" i="100"/>
  <c r="R31" i="100"/>
  <c r="R32" i="100"/>
  <c r="R33" i="100"/>
  <c r="R34" i="100"/>
  <c r="R35" i="100"/>
  <c r="R36" i="100"/>
  <c r="R37" i="100"/>
  <c r="R38" i="100"/>
  <c r="R39" i="100"/>
  <c r="R40" i="100"/>
  <c r="R41" i="100"/>
  <c r="R42" i="100"/>
  <c r="R43" i="100"/>
  <c r="R44" i="100"/>
  <c r="R45" i="100"/>
  <c r="R46" i="100"/>
  <c r="R47" i="100"/>
  <c r="R48" i="100"/>
  <c r="R49" i="100"/>
  <c r="R8" i="100"/>
  <c r="GN767" i="100"/>
  <c r="GR767" i="100" s="1"/>
  <c r="GT767" i="100" s="1"/>
  <c r="GN768" i="100"/>
  <c r="GO768" i="100" s="1"/>
  <c r="GN769" i="100"/>
  <c r="GR769" i="100" s="1"/>
  <c r="GT769" i="100" s="1"/>
  <c r="GP769" i="100"/>
  <c r="GN770" i="100"/>
  <c r="GO770" i="100" s="1"/>
  <c r="GN771" i="100"/>
  <c r="GR771" i="100" s="1"/>
  <c r="GT771" i="100" s="1"/>
  <c r="GO771" i="100"/>
  <c r="GN772" i="100"/>
  <c r="GO772" i="100" s="1"/>
  <c r="GN773" i="100"/>
  <c r="GR773" i="100" s="1"/>
  <c r="GT773" i="100" s="1"/>
  <c r="GO773" i="100"/>
  <c r="GN775" i="100"/>
  <c r="GR775" i="100" s="1"/>
  <c r="GT775" i="100" s="1"/>
  <c r="GN776" i="100"/>
  <c r="GS776" i="100" s="1"/>
  <c r="GN777" i="100"/>
  <c r="GR777" i="100" s="1"/>
  <c r="GT777" i="100" s="1"/>
  <c r="GN778" i="100"/>
  <c r="GS778" i="100" s="1"/>
  <c r="GN780" i="100"/>
  <c r="GO780" i="100" s="1"/>
  <c r="GN782" i="100"/>
  <c r="GO782" i="100" s="1"/>
  <c r="GN783" i="100"/>
  <c r="GR783" i="100" s="1"/>
  <c r="GT783" i="100" s="1"/>
  <c r="GN784" i="100"/>
  <c r="GO784" i="100" s="1"/>
  <c r="GS784" i="100"/>
  <c r="GN785" i="100"/>
  <c r="GR785" i="100" s="1"/>
  <c r="GT785" i="100" s="1"/>
  <c r="GP777" i="100" l="1"/>
  <c r="GN786" i="100"/>
  <c r="GO786" i="100" s="1"/>
  <c r="GO783" i="100"/>
  <c r="GN781" i="100"/>
  <c r="GN779" i="100"/>
  <c r="GO777" i="100"/>
  <c r="GN774" i="100"/>
  <c r="GO774" i="100" s="1"/>
  <c r="GP771" i="100"/>
  <c r="GS769" i="100"/>
  <c r="GS768" i="100"/>
  <c r="GS777" i="100"/>
  <c r="GO769" i="100"/>
  <c r="GO767" i="100"/>
  <c r="GS785" i="100"/>
  <c r="GS775" i="100"/>
  <c r="GP785" i="100"/>
  <c r="GP775" i="100"/>
  <c r="GS773" i="100"/>
  <c r="GS767" i="100"/>
  <c r="GS766" i="100"/>
  <c r="GS786" i="100"/>
  <c r="GO785" i="100"/>
  <c r="GP783" i="100"/>
  <c r="GP781" i="100"/>
  <c r="GS779" i="100"/>
  <c r="GO775" i="100"/>
  <c r="GP773" i="100"/>
  <c r="GS771" i="100"/>
  <c r="GP767" i="100"/>
  <c r="GR766" i="100"/>
  <c r="GT766" i="100" s="1"/>
  <c r="GS782" i="100"/>
  <c r="GS774" i="100"/>
  <c r="GS770" i="100"/>
  <c r="GR786" i="100"/>
  <c r="GT786" i="100" s="1"/>
  <c r="GR780" i="100"/>
  <c r="GT780" i="100" s="1"/>
  <c r="GR778" i="100"/>
  <c r="GT778" i="100" s="1"/>
  <c r="GR776" i="100"/>
  <c r="GT776" i="100" s="1"/>
  <c r="GR772" i="100"/>
  <c r="GT772" i="100" s="1"/>
  <c r="GR768" i="100"/>
  <c r="GT768" i="100" s="1"/>
  <c r="GP786" i="100"/>
  <c r="GP784" i="100"/>
  <c r="GS783" i="100"/>
  <c r="GP780" i="100"/>
  <c r="GP778" i="100"/>
  <c r="GP776" i="100"/>
  <c r="GP774" i="100"/>
  <c r="GP772" i="100"/>
  <c r="GP770" i="100"/>
  <c r="GP768" i="100"/>
  <c r="GP766" i="100"/>
  <c r="GS780" i="100"/>
  <c r="GS772" i="100"/>
  <c r="GR784" i="100"/>
  <c r="GT784" i="100" s="1"/>
  <c r="GR782" i="100"/>
  <c r="GT782" i="100" s="1"/>
  <c r="GR770" i="100"/>
  <c r="GT770" i="100" s="1"/>
  <c r="GP782" i="100"/>
  <c r="GO778" i="100"/>
  <c r="GO776" i="100"/>
  <c r="GR781" i="100" l="1"/>
  <c r="GT781" i="100" s="1"/>
  <c r="GO781" i="100"/>
  <c r="GR774" i="100"/>
  <c r="GT774" i="100" s="1"/>
  <c r="GS781" i="100"/>
  <c r="GR779" i="100"/>
  <c r="GT779" i="100" s="1"/>
  <c r="GO779" i="100"/>
  <c r="GP779" i="100"/>
  <c r="GS224" i="100"/>
  <c r="GS234" i="100"/>
  <c r="GT266" i="100"/>
  <c r="GS287" i="100"/>
  <c r="GT348" i="100"/>
  <c r="GS349" i="100"/>
  <c r="GS392" i="100"/>
  <c r="GS434" i="100"/>
  <c r="GS444" i="100"/>
  <c r="GS562" i="100"/>
  <c r="GS572" i="100"/>
  <c r="GS660" i="100"/>
  <c r="GS668" i="100"/>
  <c r="GR187" i="100"/>
  <c r="GT187" i="100" s="1"/>
  <c r="GR222" i="100"/>
  <c r="GT222" i="100" s="1"/>
  <c r="GR228" i="100"/>
  <c r="GT228" i="100" s="1"/>
  <c r="GR230" i="100"/>
  <c r="GT230" i="100" s="1"/>
  <c r="GR238" i="100"/>
  <c r="GT238" i="100" s="1"/>
  <c r="GR244" i="100"/>
  <c r="GT244" i="100" s="1"/>
  <c r="GR246" i="100"/>
  <c r="GT246" i="100" s="1"/>
  <c r="GR254" i="100"/>
  <c r="GT254" i="100" s="1"/>
  <c r="GR260" i="100"/>
  <c r="GT260" i="100" s="1"/>
  <c r="GR262" i="100"/>
  <c r="GT262" i="100" s="1"/>
  <c r="GR270" i="100"/>
  <c r="GT270" i="100" s="1"/>
  <c r="GR276" i="100"/>
  <c r="GT276" i="100" s="1"/>
  <c r="GR278" i="100"/>
  <c r="GT278" i="100" s="1"/>
  <c r="GR286" i="100"/>
  <c r="GT286" i="100" s="1"/>
  <c r="GR292" i="100"/>
  <c r="GT292" i="100" s="1"/>
  <c r="GR294" i="100"/>
  <c r="GT294" i="100" s="1"/>
  <c r="GR307" i="100"/>
  <c r="GT307" i="100" s="1"/>
  <c r="GR315" i="100"/>
  <c r="GT315" i="100" s="1"/>
  <c r="GR316" i="100"/>
  <c r="GT316" i="100" s="1"/>
  <c r="GR328" i="100"/>
  <c r="GT328" i="100" s="1"/>
  <c r="GR336" i="100"/>
  <c r="GT336" i="100" s="1"/>
  <c r="GR339" i="100"/>
  <c r="GT339" i="100" s="1"/>
  <c r="GR348" i="100"/>
  <c r="GR356" i="100"/>
  <c r="GT356" i="100" s="1"/>
  <c r="GR360" i="100"/>
  <c r="GT360" i="100" s="1"/>
  <c r="GR371" i="100"/>
  <c r="GT371" i="100" s="1"/>
  <c r="GR379" i="100"/>
  <c r="GT379" i="100" s="1"/>
  <c r="GR380" i="100"/>
  <c r="GT380" i="100" s="1"/>
  <c r="GR392" i="100"/>
  <c r="GT392" i="100" s="1"/>
  <c r="GR416" i="100"/>
  <c r="GT416" i="100" s="1"/>
  <c r="GR428" i="100"/>
  <c r="GT428" i="100" s="1"/>
  <c r="GR444" i="100"/>
  <c r="GT444" i="100" s="1"/>
  <c r="GR476" i="100"/>
  <c r="GT476" i="100" s="1"/>
  <c r="GR524" i="100"/>
  <c r="GT524" i="100" s="1"/>
  <c r="GR572" i="100"/>
  <c r="GT572" i="100" s="1"/>
  <c r="GR608" i="100"/>
  <c r="GT608" i="100" s="1"/>
  <c r="GR615" i="100"/>
  <c r="GT615" i="100" s="1"/>
  <c r="GR651" i="100"/>
  <c r="GT651" i="100" s="1"/>
  <c r="GR683" i="100"/>
  <c r="GT683" i="100" s="1"/>
  <c r="GR684" i="100"/>
  <c r="GT684" i="100" s="1"/>
  <c r="GN216" i="100"/>
  <c r="GN217" i="100"/>
  <c r="GN218" i="100"/>
  <c r="GS218" i="100" s="1"/>
  <c r="GN219" i="100"/>
  <c r="GN220" i="100"/>
  <c r="GS220" i="100" s="1"/>
  <c r="GN221" i="100"/>
  <c r="GN222" i="100"/>
  <c r="GS222" i="100" s="1"/>
  <c r="GN223" i="100"/>
  <c r="GS223" i="100" s="1"/>
  <c r="GN224" i="100"/>
  <c r="GR224" i="100" s="1"/>
  <c r="GT224" i="100" s="1"/>
  <c r="GN225" i="100"/>
  <c r="GN226" i="100"/>
  <c r="GS226" i="100" s="1"/>
  <c r="GN227" i="100"/>
  <c r="GS227" i="100" s="1"/>
  <c r="GN228" i="100"/>
  <c r="GS228" i="100" s="1"/>
  <c r="GN229" i="100"/>
  <c r="GN230" i="100"/>
  <c r="GS230" i="100" s="1"/>
  <c r="GN231" i="100"/>
  <c r="GS231" i="100" s="1"/>
  <c r="GN232" i="100"/>
  <c r="GS232" i="100" s="1"/>
  <c r="GN233" i="100"/>
  <c r="GN234" i="100"/>
  <c r="GR234" i="100" s="1"/>
  <c r="GT234" i="100" s="1"/>
  <c r="GN235" i="100"/>
  <c r="GN236" i="100"/>
  <c r="GS236" i="100" s="1"/>
  <c r="GN237" i="100"/>
  <c r="GN238" i="100"/>
  <c r="GS238" i="100" s="1"/>
  <c r="GN239" i="100"/>
  <c r="GS239" i="100" s="1"/>
  <c r="GN240" i="100"/>
  <c r="GN241" i="100"/>
  <c r="GN242" i="100"/>
  <c r="GS242" i="100" s="1"/>
  <c r="GN243" i="100"/>
  <c r="GS243" i="100" s="1"/>
  <c r="GN244" i="100"/>
  <c r="GS244" i="100" s="1"/>
  <c r="GN245" i="100"/>
  <c r="GR245" i="100" s="1"/>
  <c r="GT245" i="100" s="1"/>
  <c r="GN246" i="100"/>
  <c r="GS246" i="100" s="1"/>
  <c r="GN247" i="100"/>
  <c r="GS247" i="100" s="1"/>
  <c r="GN248" i="100"/>
  <c r="GS248" i="100" s="1"/>
  <c r="GN249" i="100"/>
  <c r="GN250" i="100"/>
  <c r="GS250" i="100" s="1"/>
  <c r="GN251" i="100"/>
  <c r="GN252" i="100"/>
  <c r="GS252" i="100" s="1"/>
  <c r="GN253" i="100"/>
  <c r="GN254" i="100"/>
  <c r="GS254" i="100" s="1"/>
  <c r="GN255" i="100"/>
  <c r="GS255" i="100" s="1"/>
  <c r="GN256" i="100"/>
  <c r="GN257" i="100"/>
  <c r="GN258" i="100"/>
  <c r="GS258" i="100" s="1"/>
  <c r="GN259" i="100"/>
  <c r="GS259" i="100" s="1"/>
  <c r="GN260" i="100"/>
  <c r="GS260" i="100" s="1"/>
  <c r="GN261" i="100"/>
  <c r="GN262" i="100"/>
  <c r="GS262" i="100" s="1"/>
  <c r="GN263" i="100"/>
  <c r="GS263" i="100" s="1"/>
  <c r="GN264" i="100"/>
  <c r="GS264" i="100" s="1"/>
  <c r="GN265" i="100"/>
  <c r="GN266" i="100"/>
  <c r="GR266" i="100" s="1"/>
  <c r="GN267" i="100"/>
  <c r="GN268" i="100"/>
  <c r="GS268" i="100" s="1"/>
  <c r="GN269" i="100"/>
  <c r="GN270" i="100"/>
  <c r="GS270" i="100" s="1"/>
  <c r="GN271" i="100"/>
  <c r="GS271" i="100" s="1"/>
  <c r="GN272" i="100"/>
  <c r="GN273" i="100"/>
  <c r="GN274" i="100"/>
  <c r="GS274" i="100" s="1"/>
  <c r="GN275" i="100"/>
  <c r="GS275" i="100" s="1"/>
  <c r="GN276" i="100"/>
  <c r="GS276" i="100" s="1"/>
  <c r="GN277" i="100"/>
  <c r="GN278" i="100"/>
  <c r="GS278" i="100" s="1"/>
  <c r="GN279" i="100"/>
  <c r="GS279" i="100" s="1"/>
  <c r="GN280" i="100"/>
  <c r="GS280" i="100" s="1"/>
  <c r="GN281" i="100"/>
  <c r="GN282" i="100"/>
  <c r="GS282" i="100" s="1"/>
  <c r="GN283" i="100"/>
  <c r="GN284" i="100"/>
  <c r="GS284" i="100" s="1"/>
  <c r="GN285" i="100"/>
  <c r="GN286" i="100"/>
  <c r="GS286" i="100" s="1"/>
  <c r="GN287" i="100"/>
  <c r="GR287" i="100" s="1"/>
  <c r="GT287" i="100" s="1"/>
  <c r="GN288" i="100"/>
  <c r="GN289" i="100"/>
  <c r="GN290" i="100"/>
  <c r="GS290" i="100" s="1"/>
  <c r="GN291" i="100"/>
  <c r="GS291" i="100" s="1"/>
  <c r="GN292" i="100"/>
  <c r="GS292" i="100" s="1"/>
  <c r="GN293" i="100"/>
  <c r="GN294" i="100"/>
  <c r="GS294" i="100" s="1"/>
  <c r="GN295" i="100"/>
  <c r="GS295" i="100" s="1"/>
  <c r="GN296" i="100"/>
  <c r="GS296" i="100" s="1"/>
  <c r="GN297" i="100"/>
  <c r="GN298" i="100"/>
  <c r="GR298" i="100" s="1"/>
  <c r="GT298" i="100" s="1"/>
  <c r="GN299" i="100"/>
  <c r="GN300" i="100"/>
  <c r="GS300" i="100" s="1"/>
  <c r="GN301" i="100"/>
  <c r="GP301" i="100" s="1"/>
  <c r="GN302" i="100"/>
  <c r="GO302" i="100" s="1"/>
  <c r="GN303" i="100"/>
  <c r="GN304" i="100"/>
  <c r="GN305" i="100"/>
  <c r="GP305" i="100" s="1"/>
  <c r="GN306" i="100"/>
  <c r="GO306" i="100" s="1"/>
  <c r="GN307" i="100"/>
  <c r="GS307" i="100" s="1"/>
  <c r="GP307" i="100"/>
  <c r="GN308" i="100"/>
  <c r="GN309" i="100"/>
  <c r="GS309" i="100" s="1"/>
  <c r="GN310" i="100"/>
  <c r="GO310" i="100" s="1"/>
  <c r="GN311" i="100"/>
  <c r="GN312" i="100"/>
  <c r="GS312" i="100" s="1"/>
  <c r="GO312" i="100"/>
  <c r="GP312" i="100"/>
  <c r="GN313" i="100"/>
  <c r="GP313" i="100" s="1"/>
  <c r="GN314" i="100"/>
  <c r="GO314" i="100"/>
  <c r="GN315" i="100"/>
  <c r="GN316" i="100"/>
  <c r="GS316" i="100" s="1"/>
  <c r="GO316" i="100"/>
  <c r="GP316" i="100"/>
  <c r="GN317" i="100"/>
  <c r="GP317" i="100" s="1"/>
  <c r="GN318" i="100"/>
  <c r="GO318" i="100" s="1"/>
  <c r="GN319" i="100"/>
  <c r="GN320" i="100"/>
  <c r="GN321" i="100"/>
  <c r="GP321" i="100" s="1"/>
  <c r="GN322" i="100"/>
  <c r="GO322" i="100" s="1"/>
  <c r="GN323" i="100"/>
  <c r="GS323" i="100" s="1"/>
  <c r="GP323" i="100"/>
  <c r="GN324" i="100"/>
  <c r="GN325" i="100"/>
  <c r="GP325" i="100" s="1"/>
  <c r="GN326" i="100"/>
  <c r="GO326" i="100" s="1"/>
  <c r="GN327" i="100"/>
  <c r="GN328" i="100"/>
  <c r="GS328" i="100" s="1"/>
  <c r="GO328" i="100"/>
  <c r="GP328" i="100"/>
  <c r="GN329" i="100"/>
  <c r="GP329" i="100" s="1"/>
  <c r="GN330" i="100"/>
  <c r="GS330" i="100" s="1"/>
  <c r="GO330" i="100"/>
  <c r="GN331" i="100"/>
  <c r="GN332" i="100"/>
  <c r="GS332" i="100" s="1"/>
  <c r="GO332" i="100"/>
  <c r="GP332" i="100"/>
  <c r="GN333" i="100"/>
  <c r="GP333" i="100" s="1"/>
  <c r="GN334" i="100"/>
  <c r="GO334" i="100" s="1"/>
  <c r="GN335" i="100"/>
  <c r="GN336" i="100"/>
  <c r="GN337" i="100"/>
  <c r="GP337" i="100" s="1"/>
  <c r="GN338" i="100"/>
  <c r="GO338" i="100" s="1"/>
  <c r="GN339" i="100"/>
  <c r="GS339" i="100" s="1"/>
  <c r="GP339" i="100"/>
  <c r="GN340" i="100"/>
  <c r="GN341" i="100"/>
  <c r="GP341" i="100" s="1"/>
  <c r="GN342" i="100"/>
  <c r="GO342" i="100" s="1"/>
  <c r="GN343" i="100"/>
  <c r="GN344" i="100"/>
  <c r="GS344" i="100" s="1"/>
  <c r="GO344" i="100"/>
  <c r="GP344" i="100"/>
  <c r="GN345" i="100"/>
  <c r="GP345" i="100" s="1"/>
  <c r="GN346" i="100"/>
  <c r="GO346" i="100"/>
  <c r="GN347" i="100"/>
  <c r="GN348" i="100"/>
  <c r="GS348" i="100" s="1"/>
  <c r="GO348" i="100"/>
  <c r="GP348" i="100"/>
  <c r="GN349" i="100"/>
  <c r="GP349" i="100" s="1"/>
  <c r="GN350" i="100"/>
  <c r="GO350" i="100" s="1"/>
  <c r="GN351" i="100"/>
  <c r="GN352" i="100"/>
  <c r="GN353" i="100"/>
  <c r="GP353" i="100" s="1"/>
  <c r="GN354" i="100"/>
  <c r="GO354" i="100" s="1"/>
  <c r="GN355" i="100"/>
  <c r="GS355" i="100" s="1"/>
  <c r="GP355" i="100"/>
  <c r="GN356" i="100"/>
  <c r="GN357" i="100"/>
  <c r="GP357" i="100" s="1"/>
  <c r="GN358" i="100"/>
  <c r="GO358" i="100" s="1"/>
  <c r="GN359" i="100"/>
  <c r="GN360" i="100"/>
  <c r="GS360" i="100" s="1"/>
  <c r="GO360" i="100"/>
  <c r="GP360" i="100"/>
  <c r="GN361" i="100"/>
  <c r="GP361" i="100" s="1"/>
  <c r="GN362" i="100"/>
  <c r="GO362" i="100"/>
  <c r="GN363" i="100"/>
  <c r="GN364" i="100"/>
  <c r="GS364" i="100" s="1"/>
  <c r="GO364" i="100"/>
  <c r="GP364" i="100"/>
  <c r="GN365" i="100"/>
  <c r="GP365" i="100" s="1"/>
  <c r="GN366" i="100"/>
  <c r="GO366" i="100" s="1"/>
  <c r="GN367" i="100"/>
  <c r="GN368" i="100"/>
  <c r="GN369" i="100"/>
  <c r="GP369" i="100" s="1"/>
  <c r="GN370" i="100"/>
  <c r="GO370" i="100" s="1"/>
  <c r="GN371" i="100"/>
  <c r="GS371" i="100" s="1"/>
  <c r="GP371" i="100"/>
  <c r="GN372" i="100"/>
  <c r="GN373" i="100"/>
  <c r="GP373" i="100" s="1"/>
  <c r="GN374" i="100"/>
  <c r="GO374" i="100" s="1"/>
  <c r="GN375" i="100"/>
  <c r="GN376" i="100"/>
  <c r="GS376" i="100" s="1"/>
  <c r="GO376" i="100"/>
  <c r="GP376" i="100"/>
  <c r="GN377" i="100"/>
  <c r="GP377" i="100" s="1"/>
  <c r="GN378" i="100"/>
  <c r="GS378" i="100" s="1"/>
  <c r="GO378" i="100"/>
  <c r="GN379" i="100"/>
  <c r="GN380" i="100"/>
  <c r="GS380" i="100" s="1"/>
  <c r="GO380" i="100"/>
  <c r="GP380" i="100"/>
  <c r="GN381" i="100"/>
  <c r="GP381" i="100" s="1"/>
  <c r="GN382" i="100"/>
  <c r="GO382" i="100" s="1"/>
  <c r="GN383" i="100"/>
  <c r="GN384" i="100"/>
  <c r="GN385" i="100"/>
  <c r="GP385" i="100" s="1"/>
  <c r="GN386" i="100"/>
  <c r="GO386" i="100" s="1"/>
  <c r="GN387" i="100"/>
  <c r="GS387" i="100" s="1"/>
  <c r="GP387" i="100"/>
  <c r="GN388" i="100"/>
  <c r="GN389" i="100"/>
  <c r="GP389" i="100" s="1"/>
  <c r="GN390" i="100"/>
  <c r="GO390" i="100" s="1"/>
  <c r="GN391" i="100"/>
  <c r="GN392" i="100"/>
  <c r="GO392" i="100"/>
  <c r="GP392" i="100"/>
  <c r="GN393" i="100"/>
  <c r="GO393" i="100" s="1"/>
  <c r="GP393" i="100"/>
  <c r="GN394" i="100"/>
  <c r="GN395" i="100"/>
  <c r="GN396" i="100"/>
  <c r="GS396" i="100" s="1"/>
  <c r="GO396" i="100"/>
  <c r="GP396" i="100"/>
  <c r="GN397" i="100"/>
  <c r="GN398" i="100"/>
  <c r="GN399" i="100"/>
  <c r="GN400" i="100"/>
  <c r="GN401" i="100"/>
  <c r="GO401" i="100" s="1"/>
  <c r="GN402" i="100"/>
  <c r="GN403" i="100"/>
  <c r="GN404" i="100"/>
  <c r="GN405" i="100"/>
  <c r="GR405" i="100" s="1"/>
  <c r="GT405" i="100" s="1"/>
  <c r="GP405" i="100"/>
  <c r="GN406" i="100"/>
  <c r="GS406" i="100" s="1"/>
  <c r="GN407" i="100"/>
  <c r="GN408" i="100"/>
  <c r="GS408" i="100" s="1"/>
  <c r="GO408" i="100"/>
  <c r="GP408" i="100"/>
  <c r="GN409" i="100"/>
  <c r="GO409" i="100" s="1"/>
  <c r="GP409" i="100"/>
  <c r="GN410" i="100"/>
  <c r="GN411" i="100"/>
  <c r="GN412" i="100"/>
  <c r="GS412" i="100" s="1"/>
  <c r="GO412" i="100"/>
  <c r="GP412" i="100"/>
  <c r="GN413" i="100"/>
  <c r="GN414" i="100"/>
  <c r="GN415" i="100"/>
  <c r="GN416" i="100"/>
  <c r="GN417" i="100"/>
  <c r="GO417" i="100" s="1"/>
  <c r="GN418" i="100"/>
  <c r="GN419" i="100"/>
  <c r="GN420" i="100"/>
  <c r="GN421" i="100"/>
  <c r="GO421" i="100" s="1"/>
  <c r="GP421" i="100"/>
  <c r="GN422" i="100"/>
  <c r="GR422" i="100" s="1"/>
  <c r="GT422" i="100" s="1"/>
  <c r="GN423" i="100"/>
  <c r="GN424" i="100"/>
  <c r="GS424" i="100" s="1"/>
  <c r="GO424" i="100"/>
  <c r="GP424" i="100"/>
  <c r="GN425" i="100"/>
  <c r="GO425" i="100" s="1"/>
  <c r="GP425" i="100"/>
  <c r="GN426" i="100"/>
  <c r="GN427" i="100"/>
  <c r="GN428" i="100"/>
  <c r="GS428" i="100" s="1"/>
  <c r="GO428" i="100"/>
  <c r="GP428" i="100"/>
  <c r="GN429" i="100"/>
  <c r="GN430" i="100"/>
  <c r="GN431" i="100"/>
  <c r="GN432" i="100"/>
  <c r="GP432" i="100"/>
  <c r="GN433" i="100"/>
  <c r="GN434" i="100"/>
  <c r="GN435" i="100"/>
  <c r="GN436" i="100"/>
  <c r="GN437" i="100"/>
  <c r="GO437" i="100" s="1"/>
  <c r="GP437" i="100"/>
  <c r="GN438" i="100"/>
  <c r="GR438" i="100" s="1"/>
  <c r="GT438" i="100" s="1"/>
  <c r="GN439" i="100"/>
  <c r="GN440" i="100"/>
  <c r="GS440" i="100" s="1"/>
  <c r="GO440" i="100"/>
  <c r="GP440" i="100"/>
  <c r="GN441" i="100"/>
  <c r="GO441" i="100" s="1"/>
  <c r="GP441" i="100"/>
  <c r="GN442" i="100"/>
  <c r="GN443" i="100"/>
  <c r="GR443" i="100" s="1"/>
  <c r="GT443" i="100" s="1"/>
  <c r="GN444" i="100"/>
  <c r="GO444" i="100"/>
  <c r="GP444" i="100"/>
  <c r="GN445" i="100"/>
  <c r="GN446" i="100"/>
  <c r="GN447" i="100"/>
  <c r="GN448" i="100"/>
  <c r="GP448" i="100"/>
  <c r="GN449" i="100"/>
  <c r="GO449" i="100" s="1"/>
  <c r="GN450" i="100"/>
  <c r="GN451" i="100"/>
  <c r="GN452" i="100"/>
  <c r="GO452" i="100" s="1"/>
  <c r="GN453" i="100"/>
  <c r="GO453" i="100" s="1"/>
  <c r="GN454" i="100"/>
  <c r="GR454" i="100" s="1"/>
  <c r="GT454" i="100" s="1"/>
  <c r="GN455" i="100"/>
  <c r="GN456" i="100"/>
  <c r="GN457" i="100"/>
  <c r="GO457" i="100" s="1"/>
  <c r="GP457" i="100"/>
  <c r="GN458" i="100"/>
  <c r="GN459" i="100"/>
  <c r="GN460" i="100"/>
  <c r="GS460" i="100" s="1"/>
  <c r="GO460" i="100"/>
  <c r="GP460" i="100"/>
  <c r="GN461" i="100"/>
  <c r="GN462" i="100"/>
  <c r="GN463" i="100"/>
  <c r="GN464" i="100"/>
  <c r="GN465" i="100"/>
  <c r="GO465" i="100" s="1"/>
  <c r="GN466" i="100"/>
  <c r="GS466" i="100" s="1"/>
  <c r="GN467" i="100"/>
  <c r="GN468" i="100"/>
  <c r="GO468" i="100" s="1"/>
  <c r="GN469" i="100"/>
  <c r="GO469" i="100" s="1"/>
  <c r="GP469" i="100"/>
  <c r="GN470" i="100"/>
  <c r="GR470" i="100" s="1"/>
  <c r="GT470" i="100" s="1"/>
  <c r="GN471" i="100"/>
  <c r="GN472" i="100"/>
  <c r="GS472" i="100" s="1"/>
  <c r="GO472" i="100"/>
  <c r="GP472" i="100"/>
  <c r="GN473" i="100"/>
  <c r="GO473" i="100" s="1"/>
  <c r="GN474" i="100"/>
  <c r="GN475" i="100"/>
  <c r="GR475" i="100" s="1"/>
  <c r="GT475" i="100" s="1"/>
  <c r="GN476" i="100"/>
  <c r="GS476" i="100" s="1"/>
  <c r="GP476" i="100"/>
  <c r="GN477" i="100"/>
  <c r="GN478" i="100"/>
  <c r="GN479" i="100"/>
  <c r="GN480" i="100"/>
  <c r="GN481" i="100"/>
  <c r="GO481" i="100" s="1"/>
  <c r="GP481" i="100"/>
  <c r="GN482" i="100"/>
  <c r="GN483" i="100"/>
  <c r="GN484" i="100"/>
  <c r="GO484" i="100"/>
  <c r="GN485" i="100"/>
  <c r="GO485" i="100" s="1"/>
  <c r="GP485" i="100"/>
  <c r="GN486" i="100"/>
  <c r="GR486" i="100" s="1"/>
  <c r="GT486" i="100" s="1"/>
  <c r="GN487" i="100"/>
  <c r="GN488" i="100"/>
  <c r="GS488" i="100" s="1"/>
  <c r="GO488" i="100"/>
  <c r="GP488" i="100"/>
  <c r="GN489" i="100"/>
  <c r="GO489" i="100" s="1"/>
  <c r="GN490" i="100"/>
  <c r="GN491" i="100"/>
  <c r="GN492" i="100"/>
  <c r="GO492" i="100" s="1"/>
  <c r="GP492" i="100"/>
  <c r="GN493" i="100"/>
  <c r="GN494" i="100"/>
  <c r="GN495" i="100"/>
  <c r="GN496" i="100"/>
  <c r="GN497" i="100"/>
  <c r="GO497" i="100" s="1"/>
  <c r="GN498" i="100"/>
  <c r="GS498" i="100" s="1"/>
  <c r="GN499" i="100"/>
  <c r="GN500" i="100"/>
  <c r="GO500" i="100" s="1"/>
  <c r="GN501" i="100"/>
  <c r="GO501" i="100" s="1"/>
  <c r="GP501" i="100"/>
  <c r="GN502" i="100"/>
  <c r="GR502" i="100" s="1"/>
  <c r="GT502" i="100" s="1"/>
  <c r="GN503" i="100"/>
  <c r="GN504" i="100"/>
  <c r="GS504" i="100" s="1"/>
  <c r="GO504" i="100"/>
  <c r="GP504" i="100"/>
  <c r="GN505" i="100"/>
  <c r="GO505" i="100" s="1"/>
  <c r="GN506" i="100"/>
  <c r="GN507" i="100"/>
  <c r="GR507" i="100" s="1"/>
  <c r="GT507" i="100" s="1"/>
  <c r="GN508" i="100"/>
  <c r="GR508" i="100" s="1"/>
  <c r="GT508" i="100" s="1"/>
  <c r="GP508" i="100"/>
  <c r="GN509" i="100"/>
  <c r="GN510" i="100"/>
  <c r="GN511" i="100"/>
  <c r="GN512" i="100"/>
  <c r="GN513" i="100"/>
  <c r="GO513" i="100" s="1"/>
  <c r="GP513" i="100"/>
  <c r="GN514" i="100"/>
  <c r="GN515" i="100"/>
  <c r="GN516" i="100"/>
  <c r="GO516" i="100"/>
  <c r="GN517" i="100"/>
  <c r="GO517" i="100" s="1"/>
  <c r="GP517" i="100"/>
  <c r="GN518" i="100"/>
  <c r="GR518" i="100" s="1"/>
  <c r="GT518" i="100" s="1"/>
  <c r="GN519" i="100"/>
  <c r="GN520" i="100"/>
  <c r="GS520" i="100" s="1"/>
  <c r="GO520" i="100"/>
  <c r="GP520" i="100"/>
  <c r="GN521" i="100"/>
  <c r="GO521" i="100" s="1"/>
  <c r="GN522" i="100"/>
  <c r="GN523" i="100"/>
  <c r="GN524" i="100"/>
  <c r="GS524" i="100" s="1"/>
  <c r="GP524" i="100"/>
  <c r="GN525" i="100"/>
  <c r="GN526" i="100"/>
  <c r="GN527" i="100"/>
  <c r="GN528" i="100"/>
  <c r="GR528" i="100" s="1"/>
  <c r="GT528" i="100" s="1"/>
  <c r="GN529" i="100"/>
  <c r="GO529" i="100" s="1"/>
  <c r="GN530" i="100"/>
  <c r="GS530" i="100" s="1"/>
  <c r="GN531" i="100"/>
  <c r="GN532" i="100"/>
  <c r="GO532" i="100" s="1"/>
  <c r="GN533" i="100"/>
  <c r="GO533" i="100" s="1"/>
  <c r="GP533" i="100"/>
  <c r="GN534" i="100"/>
  <c r="GR534" i="100" s="1"/>
  <c r="GT534" i="100" s="1"/>
  <c r="GN535" i="100"/>
  <c r="GN536" i="100"/>
  <c r="GS536" i="100" s="1"/>
  <c r="GO536" i="100"/>
  <c r="GP536" i="100"/>
  <c r="GN537" i="100"/>
  <c r="GO537" i="100" s="1"/>
  <c r="GN538" i="100"/>
  <c r="GN539" i="100"/>
  <c r="GR539" i="100" s="1"/>
  <c r="GT539" i="100" s="1"/>
  <c r="GN540" i="100"/>
  <c r="GO540" i="100" s="1"/>
  <c r="GP540" i="100"/>
  <c r="GN541" i="100"/>
  <c r="GN542" i="100"/>
  <c r="GN543" i="100"/>
  <c r="GN544" i="100"/>
  <c r="GN545" i="100"/>
  <c r="GO545" i="100" s="1"/>
  <c r="GP545" i="100"/>
  <c r="GN546" i="100"/>
  <c r="GN547" i="100"/>
  <c r="GN548" i="100"/>
  <c r="GO548" i="100"/>
  <c r="GN549" i="100"/>
  <c r="GO549" i="100" s="1"/>
  <c r="GP549" i="100"/>
  <c r="GN550" i="100"/>
  <c r="GR550" i="100" s="1"/>
  <c r="GT550" i="100" s="1"/>
  <c r="GN551" i="100"/>
  <c r="GN552" i="100"/>
  <c r="GS552" i="100" s="1"/>
  <c r="GO552" i="100"/>
  <c r="GP552" i="100"/>
  <c r="GN553" i="100"/>
  <c r="GO553" i="100" s="1"/>
  <c r="GN554" i="100"/>
  <c r="GN555" i="100"/>
  <c r="GN556" i="100"/>
  <c r="GS556" i="100" s="1"/>
  <c r="GP556" i="100"/>
  <c r="GN557" i="100"/>
  <c r="GN558" i="100"/>
  <c r="GN559" i="100"/>
  <c r="GN560" i="100"/>
  <c r="GN561" i="100"/>
  <c r="GO561" i="100" s="1"/>
  <c r="GN562" i="100"/>
  <c r="GN563" i="100"/>
  <c r="GN564" i="100"/>
  <c r="GO564" i="100" s="1"/>
  <c r="GN565" i="100"/>
  <c r="GO565" i="100" s="1"/>
  <c r="GP565" i="100"/>
  <c r="GN566" i="100"/>
  <c r="GR566" i="100" s="1"/>
  <c r="GT566" i="100" s="1"/>
  <c r="GN567" i="100"/>
  <c r="GN568" i="100"/>
  <c r="GS568" i="100" s="1"/>
  <c r="GO568" i="100"/>
  <c r="GP568" i="100"/>
  <c r="GN569" i="100"/>
  <c r="GO569" i="100" s="1"/>
  <c r="GN570" i="100"/>
  <c r="GN571" i="100"/>
  <c r="GR571" i="100" s="1"/>
  <c r="GT571" i="100" s="1"/>
  <c r="GN572" i="100"/>
  <c r="GO572" i="100" s="1"/>
  <c r="GP572" i="100"/>
  <c r="GN573" i="100"/>
  <c r="GN574" i="100"/>
  <c r="GN575" i="100"/>
  <c r="GN576" i="100"/>
  <c r="GN577" i="100"/>
  <c r="GP577" i="100" s="1"/>
  <c r="GO577" i="100"/>
  <c r="GN578" i="100"/>
  <c r="GN579" i="100"/>
  <c r="GO579" i="100"/>
  <c r="GN580" i="100"/>
  <c r="GS580" i="100" s="1"/>
  <c r="GP580" i="100"/>
  <c r="GN581" i="100"/>
  <c r="GN582" i="100"/>
  <c r="GR582" i="100" s="1"/>
  <c r="GT582" i="100" s="1"/>
  <c r="GN583" i="100"/>
  <c r="GN584" i="100"/>
  <c r="GS584" i="100" s="1"/>
  <c r="GO584" i="100"/>
  <c r="GP584" i="100"/>
  <c r="GN585" i="100"/>
  <c r="GO585" i="100" s="1"/>
  <c r="GP585" i="100"/>
  <c r="GN586" i="100"/>
  <c r="GN587" i="100"/>
  <c r="GR587" i="100" s="1"/>
  <c r="GT587" i="100" s="1"/>
  <c r="GN588" i="100"/>
  <c r="GN589" i="100"/>
  <c r="GO589" i="100"/>
  <c r="GP589" i="100"/>
  <c r="GN590" i="100"/>
  <c r="GN591" i="100"/>
  <c r="GN592" i="100"/>
  <c r="GO592" i="100"/>
  <c r="GN593" i="100"/>
  <c r="GO593" i="100"/>
  <c r="GP593" i="100"/>
  <c r="GN594" i="100"/>
  <c r="GS594" i="100" s="1"/>
  <c r="GN595" i="100"/>
  <c r="GO595" i="100"/>
  <c r="GN596" i="100"/>
  <c r="GN597" i="100"/>
  <c r="GP597" i="100" s="1"/>
  <c r="GN598" i="100"/>
  <c r="GR598" i="100" s="1"/>
  <c r="GT598" i="100" s="1"/>
  <c r="GN599" i="100"/>
  <c r="GO599" i="100"/>
  <c r="GN600" i="100"/>
  <c r="GS600" i="100" s="1"/>
  <c r="GP600" i="100"/>
  <c r="GN601" i="100"/>
  <c r="GN602" i="100"/>
  <c r="GN603" i="100"/>
  <c r="GN604" i="100"/>
  <c r="GO604" i="100"/>
  <c r="GP604" i="100"/>
  <c r="GN605" i="100"/>
  <c r="GO605" i="100" s="1"/>
  <c r="GP605" i="100"/>
  <c r="GN606" i="100"/>
  <c r="GN607" i="100"/>
  <c r="GN608" i="100"/>
  <c r="GS608" i="100" s="1"/>
  <c r="GO608" i="100"/>
  <c r="GP608" i="100"/>
  <c r="GN609" i="100"/>
  <c r="GO609" i="100" s="1"/>
  <c r="GP609" i="100"/>
  <c r="GN610" i="100"/>
  <c r="GN611" i="100"/>
  <c r="GO611" i="100" s="1"/>
  <c r="GN612" i="100"/>
  <c r="GN613" i="100"/>
  <c r="GO613" i="100"/>
  <c r="GP613" i="100"/>
  <c r="GN614" i="100"/>
  <c r="GR614" i="100" s="1"/>
  <c r="GT614" i="100" s="1"/>
  <c r="GN615" i="100"/>
  <c r="GO615" i="100"/>
  <c r="GN616" i="100"/>
  <c r="GN617" i="100"/>
  <c r="GP617" i="100" s="1"/>
  <c r="GN618" i="100"/>
  <c r="GN619" i="100"/>
  <c r="GR619" i="100" s="1"/>
  <c r="GT619" i="100" s="1"/>
  <c r="GN620" i="100"/>
  <c r="GO620" i="100" s="1"/>
  <c r="GP620" i="100"/>
  <c r="GN621" i="100"/>
  <c r="GN622" i="100"/>
  <c r="GN623" i="100"/>
  <c r="GN624" i="100"/>
  <c r="GS624" i="100" s="1"/>
  <c r="GP624" i="100"/>
  <c r="GN625" i="100"/>
  <c r="GN626" i="100"/>
  <c r="GN627" i="100"/>
  <c r="GO627" i="100" s="1"/>
  <c r="GN628" i="100"/>
  <c r="GS628" i="100" s="1"/>
  <c r="GO628" i="100"/>
  <c r="GP628" i="100"/>
  <c r="GN629" i="100"/>
  <c r="GO629" i="100" s="1"/>
  <c r="GP629" i="100"/>
  <c r="GN630" i="100"/>
  <c r="GR630" i="100" s="1"/>
  <c r="GT630" i="100" s="1"/>
  <c r="GN631" i="100"/>
  <c r="GO631" i="100" s="1"/>
  <c r="GN632" i="100"/>
  <c r="GO632" i="100"/>
  <c r="GN633" i="100"/>
  <c r="GO633" i="100"/>
  <c r="GP633" i="100"/>
  <c r="GN634" i="100"/>
  <c r="GN635" i="100"/>
  <c r="GR635" i="100" s="1"/>
  <c r="GT635" i="100" s="1"/>
  <c r="GO635" i="100"/>
  <c r="GN636" i="100"/>
  <c r="GN637" i="100"/>
  <c r="GP637" i="100" s="1"/>
  <c r="GN638" i="100"/>
  <c r="GN639" i="100"/>
  <c r="GN640" i="100"/>
  <c r="GN641" i="100"/>
  <c r="GP641" i="100" s="1"/>
  <c r="GN642" i="100"/>
  <c r="GN643" i="100"/>
  <c r="GO643" i="100" s="1"/>
  <c r="GN644" i="100"/>
  <c r="GO644" i="100" s="1"/>
  <c r="GP644" i="100"/>
  <c r="GN645" i="100"/>
  <c r="GN646" i="100"/>
  <c r="GR646" i="100" s="1"/>
  <c r="GT646" i="100" s="1"/>
  <c r="GN647" i="100"/>
  <c r="GO647" i="100" s="1"/>
  <c r="GN648" i="100"/>
  <c r="GR648" i="100" s="1"/>
  <c r="GT648" i="100" s="1"/>
  <c r="GO648" i="100"/>
  <c r="GP648" i="100"/>
  <c r="GN649" i="100"/>
  <c r="GO649" i="100" s="1"/>
  <c r="GP649" i="100"/>
  <c r="GN650" i="100"/>
  <c r="GN651" i="100"/>
  <c r="GO651" i="100" s="1"/>
  <c r="GN652" i="100"/>
  <c r="GO652" i="100"/>
  <c r="GN653" i="100"/>
  <c r="GO653" i="100"/>
  <c r="GP653" i="100"/>
  <c r="GN654" i="100"/>
  <c r="GN655" i="100"/>
  <c r="GN656" i="100"/>
  <c r="GO656" i="100" s="1"/>
  <c r="GN657" i="100"/>
  <c r="GO657" i="100"/>
  <c r="GP657" i="100"/>
  <c r="GN658" i="100"/>
  <c r="GN659" i="100"/>
  <c r="GO659" i="100"/>
  <c r="GN660" i="100"/>
  <c r="GN661" i="100"/>
  <c r="GP661" i="100" s="1"/>
  <c r="GO661" i="100"/>
  <c r="GN662" i="100"/>
  <c r="GR662" i="100" s="1"/>
  <c r="GT662" i="100" s="1"/>
  <c r="GN663" i="100"/>
  <c r="GO663" i="100" s="1"/>
  <c r="GN664" i="100"/>
  <c r="GR664" i="100" s="1"/>
  <c r="GT664" i="100" s="1"/>
  <c r="GP664" i="100"/>
  <c r="GN665" i="100"/>
  <c r="GN666" i="100"/>
  <c r="GN667" i="100"/>
  <c r="GN668" i="100"/>
  <c r="GR668" i="100" s="1"/>
  <c r="GT668" i="100" s="1"/>
  <c r="GO668" i="100"/>
  <c r="GP668" i="100"/>
  <c r="GN669" i="100"/>
  <c r="GO669" i="100" s="1"/>
  <c r="GP669" i="100"/>
  <c r="GN670" i="100"/>
  <c r="GN671" i="100"/>
  <c r="GN672" i="100"/>
  <c r="GO672" i="100"/>
  <c r="GP672" i="100"/>
  <c r="GN673" i="100"/>
  <c r="GO673" i="100" s="1"/>
  <c r="GP673" i="100"/>
  <c r="GN674" i="100"/>
  <c r="GN675" i="100"/>
  <c r="GO675" i="100" s="1"/>
  <c r="GN676" i="100"/>
  <c r="GO676" i="100"/>
  <c r="GN677" i="100"/>
  <c r="GO677" i="100"/>
  <c r="GP677" i="100"/>
  <c r="GN678" i="100"/>
  <c r="GR678" i="100" s="1"/>
  <c r="GT678" i="100" s="1"/>
  <c r="GN679" i="100"/>
  <c r="GR679" i="100" s="1"/>
  <c r="GT679" i="100" s="1"/>
  <c r="GO679" i="100"/>
  <c r="GN680" i="100"/>
  <c r="GN681" i="100"/>
  <c r="GP681" i="100" s="1"/>
  <c r="GO681" i="100"/>
  <c r="GN682" i="100"/>
  <c r="GN683" i="100"/>
  <c r="GO683" i="100"/>
  <c r="GN684" i="100"/>
  <c r="GS684" i="100" s="1"/>
  <c r="GP684" i="100"/>
  <c r="GN685" i="100"/>
  <c r="GP685" i="100" s="1"/>
  <c r="GO685" i="100"/>
  <c r="GN686" i="100"/>
  <c r="GN687" i="100"/>
  <c r="GN688" i="100"/>
  <c r="GP688" i="100"/>
  <c r="GN689" i="100"/>
  <c r="GP689" i="100" s="1"/>
  <c r="GN690" i="100"/>
  <c r="GN691" i="100"/>
  <c r="GO691" i="100"/>
  <c r="GN692" i="100"/>
  <c r="GS692" i="100" s="1"/>
  <c r="GO692" i="100"/>
  <c r="GP692" i="100"/>
  <c r="GN693" i="100"/>
  <c r="GO693" i="100" s="1"/>
  <c r="GN694" i="100"/>
  <c r="GR694" i="100" s="1"/>
  <c r="GT694" i="100" s="1"/>
  <c r="GN695" i="100"/>
  <c r="GS695" i="100" s="1"/>
  <c r="GN696" i="100"/>
  <c r="GR696" i="100" s="1"/>
  <c r="GT696" i="100" s="1"/>
  <c r="GN697" i="100"/>
  <c r="GO697" i="100" s="1"/>
  <c r="GP697" i="100"/>
  <c r="GN698" i="100"/>
  <c r="GN699" i="100"/>
  <c r="GS699" i="100" s="1"/>
  <c r="GN700" i="100"/>
  <c r="GN701" i="100"/>
  <c r="GO701" i="100" s="1"/>
  <c r="GP701" i="100"/>
  <c r="GN702" i="100"/>
  <c r="GN703" i="100"/>
  <c r="GN704" i="100"/>
  <c r="GS704" i="100" s="1"/>
  <c r="GN705" i="100"/>
  <c r="GO705" i="100" s="1"/>
  <c r="GN706" i="100"/>
  <c r="GN707" i="100"/>
  <c r="GN708" i="100"/>
  <c r="GN709" i="100"/>
  <c r="GO709" i="100" s="1"/>
  <c r="GP709" i="100"/>
  <c r="GN710" i="100"/>
  <c r="GR710" i="100" s="1"/>
  <c r="GT710" i="100" s="1"/>
  <c r="GN711" i="100"/>
  <c r="GN712" i="100"/>
  <c r="GR712" i="100" s="1"/>
  <c r="GT712" i="100" s="1"/>
  <c r="GN713" i="100"/>
  <c r="GP713" i="100" s="1"/>
  <c r="GO713" i="100"/>
  <c r="GN714" i="100"/>
  <c r="GN715" i="100"/>
  <c r="GS715" i="100" s="1"/>
  <c r="GN716" i="100"/>
  <c r="GS716" i="100" s="1"/>
  <c r="GN717" i="100"/>
  <c r="GO717" i="100" s="1"/>
  <c r="GN718" i="100"/>
  <c r="GN719" i="100"/>
  <c r="GN720" i="100"/>
  <c r="GS720" i="100" s="1"/>
  <c r="GN721" i="100"/>
  <c r="GO721" i="100"/>
  <c r="GP721" i="100"/>
  <c r="GN722" i="100"/>
  <c r="GN723" i="100"/>
  <c r="GN724" i="100"/>
  <c r="GN725" i="100"/>
  <c r="GO725" i="100" s="1"/>
  <c r="GN726" i="100"/>
  <c r="GR726" i="100" s="1"/>
  <c r="GT726" i="100" s="1"/>
  <c r="GN727" i="100"/>
  <c r="GS727" i="100" s="1"/>
  <c r="GN728" i="100"/>
  <c r="GR728" i="100" s="1"/>
  <c r="GT728" i="100" s="1"/>
  <c r="GN729" i="100"/>
  <c r="GO729" i="100" s="1"/>
  <c r="GP729" i="100"/>
  <c r="GN730" i="100"/>
  <c r="GN731" i="100"/>
  <c r="GS731" i="100" s="1"/>
  <c r="GN732" i="100"/>
  <c r="GS732" i="100" s="1"/>
  <c r="GN733" i="100"/>
  <c r="GO733" i="100" s="1"/>
  <c r="GP733" i="100"/>
  <c r="GN734" i="100"/>
  <c r="GN735" i="100"/>
  <c r="GN736" i="100"/>
  <c r="GS736" i="100" s="1"/>
  <c r="GN737" i="100"/>
  <c r="GO737" i="100" s="1"/>
  <c r="GN738" i="100"/>
  <c r="GN739" i="100"/>
  <c r="GN740" i="100"/>
  <c r="GN741" i="100"/>
  <c r="GO741" i="100"/>
  <c r="GP741" i="100"/>
  <c r="GN742" i="100"/>
  <c r="GR742" i="100" s="1"/>
  <c r="GT742" i="100" s="1"/>
  <c r="GN743" i="100"/>
  <c r="GN744" i="100"/>
  <c r="GN745" i="100"/>
  <c r="GO745" i="100" s="1"/>
  <c r="GN746" i="100"/>
  <c r="GN747" i="100"/>
  <c r="GS747" i="100" s="1"/>
  <c r="GN748" i="100"/>
  <c r="GS748" i="100" s="1"/>
  <c r="GN749" i="100"/>
  <c r="GO749" i="100"/>
  <c r="GP749" i="100"/>
  <c r="GN750" i="100"/>
  <c r="GN751" i="100"/>
  <c r="GN752" i="100"/>
  <c r="GS752" i="100" s="1"/>
  <c r="GN753" i="100"/>
  <c r="GO753" i="100" s="1"/>
  <c r="GN754" i="100"/>
  <c r="GN755" i="100"/>
  <c r="GN756" i="100"/>
  <c r="GN757" i="100"/>
  <c r="GO757" i="100"/>
  <c r="GP757" i="100"/>
  <c r="GN758" i="100"/>
  <c r="GR758" i="100" s="1"/>
  <c r="GT758" i="100" s="1"/>
  <c r="GN759" i="100"/>
  <c r="GS759" i="100" s="1"/>
  <c r="GN760" i="100"/>
  <c r="GR760" i="100" s="1"/>
  <c r="GT760" i="100" s="1"/>
  <c r="GN761" i="100"/>
  <c r="GO761" i="100" s="1"/>
  <c r="GN762" i="100"/>
  <c r="GN763" i="100"/>
  <c r="GS763" i="100" s="1"/>
  <c r="GN764" i="100"/>
  <c r="GN765" i="100"/>
  <c r="GO765" i="100"/>
  <c r="GP765" i="100"/>
  <c r="GN8" i="100"/>
  <c r="GN9" i="100"/>
  <c r="GR9" i="100" s="1"/>
  <c r="GT9" i="100" s="1"/>
  <c r="GN10" i="100"/>
  <c r="GO10" i="100"/>
  <c r="GN11" i="100"/>
  <c r="GN12" i="100"/>
  <c r="GN13" i="100"/>
  <c r="GR13" i="100" s="1"/>
  <c r="GT13" i="100" s="1"/>
  <c r="GN14" i="100"/>
  <c r="GR14" i="100" s="1"/>
  <c r="GT14" i="100" s="1"/>
  <c r="GN15" i="100"/>
  <c r="GN16" i="100"/>
  <c r="GN17" i="100"/>
  <c r="GN18" i="100"/>
  <c r="GN19" i="100"/>
  <c r="GN20" i="100"/>
  <c r="GN21" i="100"/>
  <c r="GN22" i="100"/>
  <c r="GO22" i="100" s="1"/>
  <c r="GN23" i="100"/>
  <c r="GN24" i="100"/>
  <c r="GN25" i="100"/>
  <c r="GN26" i="100"/>
  <c r="GO26" i="100" s="1"/>
  <c r="GN27" i="100"/>
  <c r="GN28" i="100"/>
  <c r="GN29" i="100"/>
  <c r="GN30" i="100"/>
  <c r="GO30" i="100"/>
  <c r="GN31" i="100"/>
  <c r="GN32" i="100"/>
  <c r="GN33" i="100"/>
  <c r="GN34" i="100"/>
  <c r="GN35" i="100"/>
  <c r="GN36" i="100"/>
  <c r="GR36" i="100" s="1"/>
  <c r="GT36" i="100" s="1"/>
  <c r="GN37" i="100"/>
  <c r="GN38" i="100"/>
  <c r="GO38" i="100"/>
  <c r="GN39" i="100"/>
  <c r="GN40" i="100"/>
  <c r="GN41" i="100"/>
  <c r="GN42" i="100"/>
  <c r="GO42" i="100" s="1"/>
  <c r="GN43" i="100"/>
  <c r="GN44" i="100"/>
  <c r="GN45" i="100"/>
  <c r="GS45" i="100" s="1"/>
  <c r="GN46" i="100"/>
  <c r="GO46" i="100" s="1"/>
  <c r="GN47" i="100"/>
  <c r="GN48" i="100"/>
  <c r="GN49" i="100"/>
  <c r="GN50" i="100"/>
  <c r="GN51" i="100"/>
  <c r="GN52" i="100"/>
  <c r="GN53" i="100"/>
  <c r="GN54" i="100"/>
  <c r="GO54" i="100"/>
  <c r="GN55" i="100"/>
  <c r="GN56" i="100"/>
  <c r="GN57" i="100"/>
  <c r="GS57" i="100" s="1"/>
  <c r="GN58" i="100"/>
  <c r="GO58" i="100"/>
  <c r="GN59" i="100"/>
  <c r="GN60" i="100"/>
  <c r="GN61" i="100"/>
  <c r="GN62" i="100"/>
  <c r="GO62" i="100" s="1"/>
  <c r="GN63" i="100"/>
  <c r="GN64" i="100"/>
  <c r="GN65" i="100"/>
  <c r="GN66" i="100"/>
  <c r="GN67" i="100"/>
  <c r="GN68" i="100"/>
  <c r="GR68" i="100" s="1"/>
  <c r="GT68" i="100" s="1"/>
  <c r="GN69" i="100"/>
  <c r="GN70" i="100"/>
  <c r="GO70" i="100" s="1"/>
  <c r="GN71" i="100"/>
  <c r="GN72" i="100"/>
  <c r="GN73" i="100"/>
  <c r="GN74" i="100"/>
  <c r="GO74" i="100"/>
  <c r="GN75" i="100"/>
  <c r="GN76" i="100"/>
  <c r="GN77" i="100"/>
  <c r="GS77" i="100" s="1"/>
  <c r="GN78" i="100"/>
  <c r="GR78" i="100" s="1"/>
  <c r="GT78" i="100" s="1"/>
  <c r="GO78" i="100"/>
  <c r="GN79" i="100"/>
  <c r="GN80" i="100"/>
  <c r="GN81" i="100"/>
  <c r="GN82" i="100"/>
  <c r="GN83" i="100"/>
  <c r="GN84" i="100"/>
  <c r="GN85" i="100"/>
  <c r="GN86" i="100"/>
  <c r="GO86" i="100" s="1"/>
  <c r="GN87" i="100"/>
  <c r="GN88" i="100"/>
  <c r="GN89" i="100"/>
  <c r="GN90" i="100"/>
  <c r="GO90" i="100" s="1"/>
  <c r="GN91" i="100"/>
  <c r="GN92" i="100"/>
  <c r="GN93" i="100"/>
  <c r="GN94" i="100"/>
  <c r="GN95" i="100"/>
  <c r="GN96" i="100"/>
  <c r="GN97" i="100"/>
  <c r="GN98" i="100"/>
  <c r="GS98" i="100" s="1"/>
  <c r="GN99" i="100"/>
  <c r="GN100" i="100"/>
  <c r="GS100" i="100" s="1"/>
  <c r="GN101" i="100"/>
  <c r="GN102" i="100"/>
  <c r="GN103" i="100"/>
  <c r="GN104" i="100"/>
  <c r="GN105" i="100"/>
  <c r="GN106" i="100"/>
  <c r="GN107" i="100"/>
  <c r="GN108" i="100"/>
  <c r="GO108" i="100" s="1"/>
  <c r="GN109" i="100"/>
  <c r="GS109" i="100" s="1"/>
  <c r="GN110" i="100"/>
  <c r="GO110" i="100"/>
  <c r="GN111" i="100"/>
  <c r="GN112" i="100"/>
  <c r="GO112" i="100"/>
  <c r="GN113" i="100"/>
  <c r="GN114" i="100"/>
  <c r="GO114" i="100" s="1"/>
  <c r="GN115" i="100"/>
  <c r="GN116" i="100"/>
  <c r="GO116" i="100" s="1"/>
  <c r="GN117" i="100"/>
  <c r="GN118" i="100"/>
  <c r="GO118" i="100"/>
  <c r="GN119" i="100"/>
  <c r="GN120" i="100"/>
  <c r="GS120" i="100" s="1"/>
  <c r="GO120" i="100"/>
  <c r="GN121" i="100"/>
  <c r="GS121" i="100" s="1"/>
  <c r="GN122" i="100"/>
  <c r="GO122" i="100" s="1"/>
  <c r="GN123" i="100"/>
  <c r="GN124" i="100"/>
  <c r="GO124" i="100" s="1"/>
  <c r="GN125" i="100"/>
  <c r="GN126" i="100"/>
  <c r="GO126" i="100"/>
  <c r="GN127" i="100"/>
  <c r="GN128" i="100"/>
  <c r="GO128" i="100"/>
  <c r="GN129" i="100"/>
  <c r="GN130" i="100"/>
  <c r="GO130" i="100" s="1"/>
  <c r="GN131" i="100"/>
  <c r="GN132" i="100"/>
  <c r="GN133" i="100"/>
  <c r="GN134" i="100"/>
  <c r="GO134" i="100"/>
  <c r="GN135" i="100"/>
  <c r="GR135" i="100" s="1"/>
  <c r="GT135" i="100" s="1"/>
  <c r="GN136" i="100"/>
  <c r="GN137" i="100"/>
  <c r="GN138" i="100"/>
  <c r="GO138" i="100" s="1"/>
  <c r="GN139" i="100"/>
  <c r="GP139" i="100" s="1"/>
  <c r="GO139" i="100"/>
  <c r="GN140" i="100"/>
  <c r="GN141" i="100"/>
  <c r="GS141" i="100" s="1"/>
  <c r="GO141" i="100"/>
  <c r="GN142" i="100"/>
  <c r="GS142" i="100" s="1"/>
  <c r="GN143" i="100"/>
  <c r="GP143" i="100" s="1"/>
  <c r="GO143" i="100"/>
  <c r="GN144" i="100"/>
  <c r="GN145" i="100"/>
  <c r="GO145" i="100"/>
  <c r="GN146" i="100"/>
  <c r="GN147" i="100"/>
  <c r="GO147" i="100"/>
  <c r="GN148" i="100"/>
  <c r="GN149" i="100"/>
  <c r="GO149" i="100" s="1"/>
  <c r="GN150" i="100"/>
  <c r="GP150" i="100" s="1"/>
  <c r="GO150" i="100"/>
  <c r="GN151" i="100"/>
  <c r="GN152" i="100"/>
  <c r="GS152" i="100" s="1"/>
  <c r="GN153" i="100"/>
  <c r="GS153" i="100" s="1"/>
  <c r="GN154" i="100"/>
  <c r="GO154" i="100" s="1"/>
  <c r="GP154" i="100"/>
  <c r="GN155" i="100"/>
  <c r="GO155" i="100" s="1"/>
  <c r="GN156" i="100"/>
  <c r="GN157" i="100"/>
  <c r="GO157" i="100" s="1"/>
  <c r="GN158" i="100"/>
  <c r="GO158" i="100"/>
  <c r="GN159" i="100"/>
  <c r="GO159" i="100" s="1"/>
  <c r="GN160" i="100"/>
  <c r="GN161" i="100"/>
  <c r="GO161" i="100" s="1"/>
  <c r="GN162" i="100"/>
  <c r="GS162" i="100" s="1"/>
  <c r="GN163" i="100"/>
  <c r="GO163" i="100"/>
  <c r="GN164" i="100"/>
  <c r="GS164" i="100" s="1"/>
  <c r="GN165" i="100"/>
  <c r="GO165" i="100"/>
  <c r="GN166" i="100"/>
  <c r="GO166" i="100" s="1"/>
  <c r="GN167" i="100"/>
  <c r="GN168" i="100"/>
  <c r="GN169" i="100"/>
  <c r="GN170" i="100"/>
  <c r="GO170" i="100"/>
  <c r="GP170" i="100"/>
  <c r="GN171" i="100"/>
  <c r="GO171" i="100" s="1"/>
  <c r="GP171" i="100"/>
  <c r="GN172" i="100"/>
  <c r="GS172" i="100" s="1"/>
  <c r="GN173" i="100"/>
  <c r="GO173" i="100" s="1"/>
  <c r="GN174" i="100"/>
  <c r="GO174" i="100"/>
  <c r="GN175" i="100"/>
  <c r="GO175" i="100" s="1"/>
  <c r="GP175" i="100"/>
  <c r="GN176" i="100"/>
  <c r="GN177" i="100"/>
  <c r="GO177" i="100" s="1"/>
  <c r="GN178" i="100"/>
  <c r="GN179" i="100"/>
  <c r="GS179" i="100" s="1"/>
  <c r="GN180" i="100"/>
  <c r="GS180" i="100" s="1"/>
  <c r="GN181" i="100"/>
  <c r="GR181" i="100" s="1"/>
  <c r="GT181" i="100" s="1"/>
  <c r="GO181" i="100"/>
  <c r="GN182" i="100"/>
  <c r="GO182" i="100" s="1"/>
  <c r="GP182" i="100"/>
  <c r="GN183" i="100"/>
  <c r="GN184" i="100"/>
  <c r="GN185" i="100"/>
  <c r="GN186" i="100"/>
  <c r="GP186" i="100" s="1"/>
  <c r="GO186" i="100"/>
  <c r="GN187" i="100"/>
  <c r="GS187" i="100" s="1"/>
  <c r="GO187" i="100"/>
  <c r="GP187" i="100"/>
  <c r="GN188" i="100"/>
  <c r="GS188" i="100" s="1"/>
  <c r="GN189" i="100"/>
  <c r="GO189" i="100"/>
  <c r="GN190" i="100"/>
  <c r="GO190" i="100" s="1"/>
  <c r="GN191" i="100"/>
  <c r="GO191" i="100"/>
  <c r="GP191" i="100"/>
  <c r="GN192" i="100"/>
  <c r="GN193" i="100"/>
  <c r="GO193" i="100"/>
  <c r="GN194" i="100"/>
  <c r="GN195" i="100"/>
  <c r="GS195" i="100" s="1"/>
  <c r="GN196" i="100"/>
  <c r="GS196" i="100" s="1"/>
  <c r="GN197" i="100"/>
  <c r="GO197" i="100" s="1"/>
  <c r="GN198" i="100"/>
  <c r="GO198" i="100"/>
  <c r="GP198" i="100"/>
  <c r="GN199" i="100"/>
  <c r="GN200" i="100"/>
  <c r="GN201" i="100"/>
  <c r="GN202" i="100"/>
  <c r="GR202" i="100" s="1"/>
  <c r="GT202" i="100" s="1"/>
  <c r="GN203" i="100"/>
  <c r="GS203" i="100" s="1"/>
  <c r="GO203" i="100"/>
  <c r="GN204" i="100"/>
  <c r="GS204" i="100" s="1"/>
  <c r="GN205" i="100"/>
  <c r="GO205" i="100"/>
  <c r="GN206" i="100"/>
  <c r="GO206" i="100" s="1"/>
  <c r="GN207" i="100"/>
  <c r="GP207" i="100" s="1"/>
  <c r="GO207" i="100"/>
  <c r="GN208" i="100"/>
  <c r="GN209" i="100"/>
  <c r="GO209" i="100"/>
  <c r="GN210" i="100"/>
  <c r="GN211" i="100"/>
  <c r="GS211" i="100" s="1"/>
  <c r="GO211" i="100"/>
  <c r="GN212" i="100"/>
  <c r="GS212" i="100" s="1"/>
  <c r="GN213" i="100"/>
  <c r="GO213" i="100" s="1"/>
  <c r="GN214" i="100"/>
  <c r="GP214" i="100" s="1"/>
  <c r="GO214" i="100"/>
  <c r="GN215" i="100"/>
  <c r="GN7" i="100"/>
  <c r="GS616" i="100" l="1"/>
  <c r="GO616" i="100"/>
  <c r="GP616" i="100"/>
  <c r="GS496" i="100"/>
  <c r="GR496" i="100"/>
  <c r="GT496" i="100" s="1"/>
  <c r="GO496" i="100"/>
  <c r="GP496" i="100"/>
  <c r="GS464" i="100"/>
  <c r="GR464" i="100"/>
  <c r="GT464" i="100" s="1"/>
  <c r="GO464" i="100"/>
  <c r="GP464" i="100"/>
  <c r="GS456" i="100"/>
  <c r="GP456" i="100"/>
  <c r="GS436" i="100"/>
  <c r="GP436" i="100"/>
  <c r="GO436" i="100"/>
  <c r="GS404" i="100"/>
  <c r="GP404" i="100"/>
  <c r="GS308" i="100"/>
  <c r="GR308" i="100"/>
  <c r="GT308" i="100" s="1"/>
  <c r="GO308" i="100"/>
  <c r="GP308" i="100"/>
  <c r="GS202" i="100"/>
  <c r="GS110" i="100"/>
  <c r="GR110" i="100"/>
  <c r="GT110" i="100" s="1"/>
  <c r="GR744" i="100"/>
  <c r="GT744" i="100" s="1"/>
  <c r="GS744" i="100"/>
  <c r="GR667" i="100"/>
  <c r="GT667" i="100" s="1"/>
  <c r="GO667" i="100"/>
  <c r="GR636" i="100"/>
  <c r="GT636" i="100" s="1"/>
  <c r="GO636" i="100"/>
  <c r="GS636" i="100"/>
  <c r="GP636" i="100"/>
  <c r="GS632" i="100"/>
  <c r="GP632" i="100"/>
  <c r="GO601" i="100"/>
  <c r="GP601" i="100"/>
  <c r="GS596" i="100"/>
  <c r="GO596" i="100"/>
  <c r="GP596" i="100"/>
  <c r="GS592" i="100"/>
  <c r="GP592" i="100"/>
  <c r="GR592" i="100"/>
  <c r="GT592" i="100" s="1"/>
  <c r="GO573" i="100"/>
  <c r="GP573" i="100"/>
  <c r="GS548" i="100"/>
  <c r="GP548" i="100"/>
  <c r="GO541" i="100"/>
  <c r="GP541" i="100"/>
  <c r="GS516" i="100"/>
  <c r="GP516" i="100"/>
  <c r="GO509" i="100"/>
  <c r="GP509" i="100"/>
  <c r="GS484" i="100"/>
  <c r="GP484" i="100"/>
  <c r="GO477" i="100"/>
  <c r="GP477" i="100"/>
  <c r="GO445" i="100"/>
  <c r="GP445" i="100"/>
  <c r="GR46" i="100"/>
  <c r="GT46" i="100" s="1"/>
  <c r="GS132" i="100"/>
  <c r="GR132" i="100"/>
  <c r="GT132" i="100" s="1"/>
  <c r="GS89" i="100"/>
  <c r="GR89" i="100"/>
  <c r="GT89" i="100" s="1"/>
  <c r="GO645" i="100"/>
  <c r="GP645" i="100"/>
  <c r="GS640" i="100"/>
  <c r="GR640" i="100"/>
  <c r="GT640" i="100" s="1"/>
  <c r="GO640" i="100"/>
  <c r="GP640" i="100"/>
  <c r="GO621" i="100"/>
  <c r="GP621" i="100"/>
  <c r="GS588" i="100"/>
  <c r="GR588" i="100"/>
  <c r="GT588" i="100" s="1"/>
  <c r="GP588" i="100"/>
  <c r="GS560" i="100"/>
  <c r="GR560" i="100"/>
  <c r="GT560" i="100" s="1"/>
  <c r="GO560" i="100"/>
  <c r="GP560" i="100"/>
  <c r="GS528" i="100"/>
  <c r="GO528" i="100"/>
  <c r="GP528" i="100"/>
  <c r="GR413" i="100"/>
  <c r="GT413" i="100" s="1"/>
  <c r="GP413" i="100"/>
  <c r="GO397" i="100"/>
  <c r="GP397" i="100"/>
  <c r="GS372" i="100"/>
  <c r="GR372" i="100"/>
  <c r="GT372" i="100" s="1"/>
  <c r="GO372" i="100"/>
  <c r="GP372" i="100"/>
  <c r="GO363" i="100"/>
  <c r="GS363" i="100"/>
  <c r="GR363" i="100"/>
  <c r="GT363" i="100" s="1"/>
  <c r="GP363" i="100"/>
  <c r="GS331" i="100"/>
  <c r="GR331" i="100"/>
  <c r="GT331" i="100" s="1"/>
  <c r="GP331" i="100"/>
  <c r="GP202" i="100"/>
  <c r="GO195" i="100"/>
  <c r="GP166" i="100"/>
  <c r="GP159" i="100"/>
  <c r="GP155" i="100"/>
  <c r="GO142" i="100"/>
  <c r="GP138" i="100"/>
  <c r="GP761" i="100"/>
  <c r="GP753" i="100"/>
  <c r="GP745" i="100"/>
  <c r="GS743" i="100"/>
  <c r="GR743" i="100"/>
  <c r="GT743" i="100" s="1"/>
  <c r="GP737" i="100"/>
  <c r="GP717" i="100"/>
  <c r="GP705" i="100"/>
  <c r="GS700" i="100"/>
  <c r="GR700" i="100"/>
  <c r="GT700" i="100" s="1"/>
  <c r="GS688" i="100"/>
  <c r="GR688" i="100"/>
  <c r="GT688" i="100" s="1"/>
  <c r="GO688" i="100"/>
  <c r="GR680" i="100"/>
  <c r="GT680" i="100" s="1"/>
  <c r="GO680" i="100"/>
  <c r="GP680" i="100"/>
  <c r="GR676" i="100"/>
  <c r="GT676" i="100" s="1"/>
  <c r="GS676" i="100"/>
  <c r="GP676" i="100"/>
  <c r="GR652" i="100"/>
  <c r="GT652" i="100" s="1"/>
  <c r="GS652" i="100"/>
  <c r="GP652" i="100"/>
  <c r="GO641" i="100"/>
  <c r="GO617" i="100"/>
  <c r="GO581" i="100"/>
  <c r="GP581" i="100"/>
  <c r="GS576" i="100"/>
  <c r="GO576" i="100"/>
  <c r="GP576" i="100"/>
  <c r="GP561" i="100"/>
  <c r="GS544" i="100"/>
  <c r="GR544" i="100"/>
  <c r="GT544" i="100" s="1"/>
  <c r="GO544" i="100"/>
  <c r="GP544" i="100"/>
  <c r="GP529" i="100"/>
  <c r="GS512" i="100"/>
  <c r="GR512" i="100"/>
  <c r="GT512" i="100" s="1"/>
  <c r="GO512" i="100"/>
  <c r="GP512" i="100"/>
  <c r="GP497" i="100"/>
  <c r="GS480" i="100"/>
  <c r="GR480" i="100"/>
  <c r="GT480" i="100" s="1"/>
  <c r="GO480" i="100"/>
  <c r="GP480" i="100"/>
  <c r="GP465" i="100"/>
  <c r="GS448" i="100"/>
  <c r="GO448" i="100"/>
  <c r="GR448" i="100"/>
  <c r="GT448" i="100" s="1"/>
  <c r="GR736" i="100"/>
  <c r="GT736" i="100" s="1"/>
  <c r="GR576" i="100"/>
  <c r="GT576" i="100" s="1"/>
  <c r="GR45" i="100"/>
  <c r="GT45" i="100" s="1"/>
  <c r="GS25" i="100"/>
  <c r="GR25" i="100"/>
  <c r="GT25" i="100" s="1"/>
  <c r="GS612" i="100"/>
  <c r="GP612" i="100"/>
  <c r="GR583" i="100"/>
  <c r="GT583" i="100" s="1"/>
  <c r="GO583" i="100"/>
  <c r="GO429" i="100"/>
  <c r="GP429" i="100"/>
  <c r="GS420" i="100"/>
  <c r="GP420" i="100"/>
  <c r="GS340" i="100"/>
  <c r="GR340" i="100"/>
  <c r="GT340" i="100" s="1"/>
  <c r="GO340" i="100"/>
  <c r="GP340" i="100"/>
  <c r="GP203" i="100"/>
  <c r="GO202" i="100"/>
  <c r="GO179" i="100"/>
  <c r="GS171" i="100"/>
  <c r="GR171" i="100"/>
  <c r="GT171" i="100" s="1"/>
  <c r="GO132" i="100"/>
  <c r="GS130" i="100"/>
  <c r="GR130" i="100"/>
  <c r="GT130" i="100" s="1"/>
  <c r="GS764" i="100"/>
  <c r="GR764" i="100"/>
  <c r="GT764" i="100" s="1"/>
  <c r="GP725" i="100"/>
  <c r="GS711" i="100"/>
  <c r="GR711" i="100"/>
  <c r="GT711" i="100" s="1"/>
  <c r="GP693" i="100"/>
  <c r="GO689" i="100"/>
  <c r="GO665" i="100"/>
  <c r="GP665" i="100"/>
  <c r="GR660" i="100"/>
  <c r="GT660" i="100" s="1"/>
  <c r="GO660" i="100"/>
  <c r="GP660" i="100"/>
  <c r="GS656" i="100"/>
  <c r="GR656" i="100"/>
  <c r="GT656" i="100" s="1"/>
  <c r="GP656" i="100"/>
  <c r="GO637" i="100"/>
  <c r="GO625" i="100"/>
  <c r="GP625" i="100"/>
  <c r="GO619" i="100"/>
  <c r="GO612" i="100"/>
  <c r="GR603" i="100"/>
  <c r="GT603" i="100" s="1"/>
  <c r="GO603" i="100"/>
  <c r="GO597" i="100"/>
  <c r="GO588" i="100"/>
  <c r="GS564" i="100"/>
  <c r="GP564" i="100"/>
  <c r="GO557" i="100"/>
  <c r="GP557" i="100"/>
  <c r="GS532" i="100"/>
  <c r="GP532" i="100"/>
  <c r="GO525" i="100"/>
  <c r="GP525" i="100"/>
  <c r="GS500" i="100"/>
  <c r="GP500" i="100"/>
  <c r="GO493" i="100"/>
  <c r="GP493" i="100"/>
  <c r="GS468" i="100"/>
  <c r="GP468" i="100"/>
  <c r="GO456" i="100"/>
  <c r="GP453" i="100"/>
  <c r="GO433" i="100"/>
  <c r="GP433" i="100"/>
  <c r="GO420" i="100"/>
  <c r="GP417" i="100"/>
  <c r="GO404" i="100"/>
  <c r="GP401" i="100"/>
  <c r="GR384" i="100"/>
  <c r="GT384" i="100" s="1"/>
  <c r="GO384" i="100"/>
  <c r="GP384" i="100"/>
  <c r="GS384" i="100"/>
  <c r="GS352" i="100"/>
  <c r="GR352" i="100"/>
  <c r="GT352" i="100" s="1"/>
  <c r="GO352" i="100"/>
  <c r="GP352" i="100"/>
  <c r="GS320" i="100"/>
  <c r="GR320" i="100"/>
  <c r="GT320" i="100" s="1"/>
  <c r="GO320" i="100"/>
  <c r="GP320" i="100"/>
  <c r="GR732" i="100"/>
  <c r="GT732" i="100" s="1"/>
  <c r="GR647" i="100"/>
  <c r="GT647" i="100" s="1"/>
  <c r="GR203" i="100"/>
  <c r="GT203" i="100" s="1"/>
  <c r="GO684" i="100"/>
  <c r="GS672" i="100"/>
  <c r="GR672" i="100"/>
  <c r="GT672" i="100" s="1"/>
  <c r="GO664" i="100"/>
  <c r="GO624" i="100"/>
  <c r="GS604" i="100"/>
  <c r="GR604" i="100"/>
  <c r="GT604" i="100" s="1"/>
  <c r="GO600" i="100"/>
  <c r="GO587" i="100"/>
  <c r="GO580" i="100"/>
  <c r="GP569" i="100"/>
  <c r="GO556" i="100"/>
  <c r="GP553" i="100"/>
  <c r="GP537" i="100"/>
  <c r="GO524" i="100"/>
  <c r="GP521" i="100"/>
  <c r="GO508" i="100"/>
  <c r="GP505" i="100"/>
  <c r="GP489" i="100"/>
  <c r="GO476" i="100"/>
  <c r="GP473" i="100"/>
  <c r="GP449" i="100"/>
  <c r="GS432" i="100"/>
  <c r="GR432" i="100"/>
  <c r="GT432" i="100" s="1"/>
  <c r="GO432" i="100"/>
  <c r="GS416" i="100"/>
  <c r="GO416" i="100"/>
  <c r="GP416" i="100"/>
  <c r="GS400" i="100"/>
  <c r="GR400" i="100"/>
  <c r="GT400" i="100" s="1"/>
  <c r="GO400" i="100"/>
  <c r="GP400" i="100"/>
  <c r="GS368" i="100"/>
  <c r="GO368" i="100"/>
  <c r="GP368" i="100"/>
  <c r="GS336" i="100"/>
  <c r="GO336" i="100"/>
  <c r="GP336" i="100"/>
  <c r="GS304" i="100"/>
  <c r="GO304" i="100"/>
  <c r="GP304" i="100"/>
  <c r="GS288" i="100"/>
  <c r="GR288" i="100"/>
  <c r="GT288" i="100" s="1"/>
  <c r="GS272" i="100"/>
  <c r="GR272" i="100"/>
  <c r="GT272" i="100" s="1"/>
  <c r="GS256" i="100"/>
  <c r="GR256" i="100"/>
  <c r="GT256" i="100" s="1"/>
  <c r="GS240" i="100"/>
  <c r="GR240" i="100"/>
  <c r="GT240" i="100" s="1"/>
  <c r="GR704" i="100"/>
  <c r="GT704" i="100" s="1"/>
  <c r="GR556" i="100"/>
  <c r="GT556" i="100" s="1"/>
  <c r="GR271" i="100"/>
  <c r="GT271" i="100" s="1"/>
  <c r="GR255" i="100"/>
  <c r="GT255" i="100" s="1"/>
  <c r="GR239" i="100"/>
  <c r="GT239" i="100" s="1"/>
  <c r="GR223" i="100"/>
  <c r="GT223" i="100" s="1"/>
  <c r="GS508" i="100"/>
  <c r="GR644" i="100"/>
  <c r="GT644" i="100" s="1"/>
  <c r="GS644" i="100"/>
  <c r="GS620" i="100"/>
  <c r="GR620" i="100"/>
  <c r="GT620" i="100" s="1"/>
  <c r="GS540" i="100"/>
  <c r="GR540" i="100"/>
  <c r="GT540" i="100" s="1"/>
  <c r="GS492" i="100"/>
  <c r="GR492" i="100"/>
  <c r="GT492" i="100" s="1"/>
  <c r="GO461" i="100"/>
  <c r="GP461" i="100"/>
  <c r="GS452" i="100"/>
  <c r="GP452" i="100"/>
  <c r="GS388" i="100"/>
  <c r="GO388" i="100"/>
  <c r="GP388" i="100"/>
  <c r="GS379" i="100"/>
  <c r="GP379" i="100"/>
  <c r="GS356" i="100"/>
  <c r="GO356" i="100"/>
  <c r="GP356" i="100"/>
  <c r="GS347" i="100"/>
  <c r="GP347" i="100"/>
  <c r="GS324" i="100"/>
  <c r="GO324" i="100"/>
  <c r="GP324" i="100"/>
  <c r="GS315" i="100"/>
  <c r="GP315" i="100"/>
  <c r="GS299" i="100"/>
  <c r="GR299" i="100"/>
  <c r="GT299" i="100" s="1"/>
  <c r="GS283" i="100"/>
  <c r="GR283" i="100"/>
  <c r="GT283" i="100" s="1"/>
  <c r="GS267" i="100"/>
  <c r="GR267" i="100"/>
  <c r="GT267" i="100" s="1"/>
  <c r="GS251" i="100"/>
  <c r="GR251" i="100"/>
  <c r="GT251" i="100" s="1"/>
  <c r="GS235" i="100"/>
  <c r="GR235" i="100"/>
  <c r="GT235" i="100" s="1"/>
  <c r="GS219" i="100"/>
  <c r="GR219" i="100"/>
  <c r="GT219" i="100" s="1"/>
  <c r="GR624" i="100"/>
  <c r="GT624" i="100" s="1"/>
  <c r="GR388" i="100"/>
  <c r="GT388" i="100" s="1"/>
  <c r="GR368" i="100"/>
  <c r="GT368" i="100" s="1"/>
  <c r="GR347" i="100"/>
  <c r="GT347" i="100" s="1"/>
  <c r="GR324" i="100"/>
  <c r="GT324" i="100" s="1"/>
  <c r="GR304" i="100"/>
  <c r="GT304" i="100" s="1"/>
  <c r="GS712" i="100"/>
  <c r="GR408" i="100"/>
  <c r="GT408" i="100" s="1"/>
  <c r="GR387" i="100"/>
  <c r="GT387" i="100" s="1"/>
  <c r="GR376" i="100"/>
  <c r="GT376" i="100" s="1"/>
  <c r="GR364" i="100"/>
  <c r="GT364" i="100" s="1"/>
  <c r="GR355" i="100"/>
  <c r="GT355" i="100" s="1"/>
  <c r="GR344" i="100"/>
  <c r="GT344" i="100" s="1"/>
  <c r="GR332" i="100"/>
  <c r="GT332" i="100" s="1"/>
  <c r="GR323" i="100"/>
  <c r="GT323" i="100" s="1"/>
  <c r="GR312" i="100"/>
  <c r="GT312" i="100" s="1"/>
  <c r="GR290" i="100"/>
  <c r="GT290" i="100" s="1"/>
  <c r="GR274" i="100"/>
  <c r="GT274" i="100" s="1"/>
  <c r="GR258" i="100"/>
  <c r="GT258" i="100" s="1"/>
  <c r="GR242" i="100"/>
  <c r="GT242" i="100" s="1"/>
  <c r="GR226" i="100"/>
  <c r="GT226" i="100" s="1"/>
  <c r="GS298" i="100"/>
  <c r="GS266" i="100"/>
  <c r="GR460" i="100"/>
  <c r="GT460" i="100" s="1"/>
  <c r="GR282" i="100"/>
  <c r="GT282" i="100" s="1"/>
  <c r="GR250" i="100"/>
  <c r="GT250" i="100" s="1"/>
  <c r="GR218" i="100"/>
  <c r="GT218" i="100" s="1"/>
  <c r="GS405" i="100"/>
  <c r="GS7" i="100"/>
  <c r="GR7" i="100"/>
  <c r="GT7" i="100" s="1"/>
  <c r="GS215" i="100"/>
  <c r="GR215" i="100"/>
  <c r="GT215" i="100" s="1"/>
  <c r="GS210" i="100"/>
  <c r="GR210" i="100"/>
  <c r="GT210" i="100" s="1"/>
  <c r="GS201" i="100"/>
  <c r="GR201" i="100"/>
  <c r="GT201" i="100" s="1"/>
  <c r="GS199" i="100"/>
  <c r="GR199" i="100"/>
  <c r="GT199" i="100" s="1"/>
  <c r="GS194" i="100"/>
  <c r="GR194" i="100"/>
  <c r="GT194" i="100" s="1"/>
  <c r="GS185" i="100"/>
  <c r="GR185" i="100"/>
  <c r="GT185" i="100" s="1"/>
  <c r="GS183" i="100"/>
  <c r="GR183" i="100"/>
  <c r="GT183" i="100" s="1"/>
  <c r="GS178" i="100"/>
  <c r="GR178" i="100"/>
  <c r="GT178" i="100" s="1"/>
  <c r="GS169" i="100"/>
  <c r="GR169" i="100"/>
  <c r="GT169" i="100" s="1"/>
  <c r="GS167" i="100"/>
  <c r="GR167" i="100"/>
  <c r="GT167" i="100" s="1"/>
  <c r="GS156" i="100"/>
  <c r="GR156" i="100"/>
  <c r="GT156" i="100" s="1"/>
  <c r="GR151" i="100"/>
  <c r="GT151" i="100" s="1"/>
  <c r="GS151" i="100"/>
  <c r="GS146" i="100"/>
  <c r="GR146" i="100"/>
  <c r="GT146" i="100" s="1"/>
  <c r="GS140" i="100"/>
  <c r="GR140" i="100"/>
  <c r="GT140" i="100" s="1"/>
  <c r="GS137" i="100"/>
  <c r="GR137" i="100"/>
  <c r="GT137" i="100" s="1"/>
  <c r="GS133" i="100"/>
  <c r="GR133" i="100"/>
  <c r="GT133" i="100" s="1"/>
  <c r="GS131" i="100"/>
  <c r="GR131" i="100"/>
  <c r="GT131" i="100" s="1"/>
  <c r="GS129" i="100"/>
  <c r="GR129" i="100"/>
  <c r="GT129" i="100" s="1"/>
  <c r="GS127" i="100"/>
  <c r="GR127" i="100"/>
  <c r="GT127" i="100" s="1"/>
  <c r="GS125" i="100"/>
  <c r="GR125" i="100"/>
  <c r="GT125" i="100" s="1"/>
  <c r="GS123" i="100"/>
  <c r="GR123" i="100"/>
  <c r="GT123" i="100" s="1"/>
  <c r="GS386" i="100"/>
  <c r="GP386" i="100"/>
  <c r="GR386" i="100"/>
  <c r="GT386" i="100" s="1"/>
  <c r="GP378" i="100"/>
  <c r="GR378" i="100"/>
  <c r="GT378" i="100" s="1"/>
  <c r="GP370" i="100"/>
  <c r="GR370" i="100"/>
  <c r="GT370" i="100" s="1"/>
  <c r="GS370" i="100"/>
  <c r="GS362" i="100"/>
  <c r="GP362" i="100"/>
  <c r="GR362" i="100"/>
  <c r="GT362" i="100" s="1"/>
  <c r="GS354" i="100"/>
  <c r="GP354" i="100"/>
  <c r="GR354" i="100"/>
  <c r="GT354" i="100" s="1"/>
  <c r="GP346" i="100"/>
  <c r="GS346" i="100"/>
  <c r="GR346" i="100"/>
  <c r="GT346" i="100" s="1"/>
  <c r="GS338" i="100"/>
  <c r="GP338" i="100"/>
  <c r="GR338" i="100"/>
  <c r="GT338" i="100" s="1"/>
  <c r="GP330" i="100"/>
  <c r="GR330" i="100"/>
  <c r="GT330" i="100" s="1"/>
  <c r="GS322" i="100"/>
  <c r="GP322" i="100"/>
  <c r="GR322" i="100"/>
  <c r="GT322" i="100" s="1"/>
  <c r="GS314" i="100"/>
  <c r="GP314" i="100"/>
  <c r="GR314" i="100"/>
  <c r="GT314" i="100" s="1"/>
  <c r="GP309" i="100"/>
  <c r="GS306" i="100"/>
  <c r="GP306" i="100"/>
  <c r="GR306" i="100"/>
  <c r="GT306" i="100" s="1"/>
  <c r="GR763" i="100"/>
  <c r="GT763" i="100" s="1"/>
  <c r="GR752" i="100"/>
  <c r="GT752" i="100" s="1"/>
  <c r="GR731" i="100"/>
  <c r="GT731" i="100" s="1"/>
  <c r="GR720" i="100"/>
  <c r="GT720" i="100" s="1"/>
  <c r="GR699" i="100"/>
  <c r="GT699" i="100" s="1"/>
  <c r="GR212" i="100"/>
  <c r="GT212" i="100" s="1"/>
  <c r="GR196" i="100"/>
  <c r="GT196" i="100" s="1"/>
  <c r="GR180" i="100"/>
  <c r="GT180" i="100" s="1"/>
  <c r="GR164" i="100"/>
  <c r="GT164" i="100" s="1"/>
  <c r="GR142" i="100"/>
  <c r="GT142" i="100" s="1"/>
  <c r="GR121" i="100"/>
  <c r="GT121" i="100" s="1"/>
  <c r="GR100" i="100"/>
  <c r="GT100" i="100" s="1"/>
  <c r="GR57" i="100"/>
  <c r="GT57" i="100" s="1"/>
  <c r="GS760" i="100"/>
  <c r="GS728" i="100"/>
  <c r="GS696" i="100"/>
  <c r="GS245" i="100"/>
  <c r="GS181" i="100"/>
  <c r="GR119" i="100"/>
  <c r="GT119" i="100" s="1"/>
  <c r="GS119" i="100"/>
  <c r="GS117" i="100"/>
  <c r="GR117" i="100"/>
  <c r="GT117" i="100" s="1"/>
  <c r="GS115" i="100"/>
  <c r="GR115" i="100"/>
  <c r="GT115" i="100" s="1"/>
  <c r="GS113" i="100"/>
  <c r="GR113" i="100"/>
  <c r="GT113" i="100" s="1"/>
  <c r="GS111" i="100"/>
  <c r="GR111" i="100"/>
  <c r="GT111" i="100" s="1"/>
  <c r="GS107" i="100"/>
  <c r="GR107" i="100"/>
  <c r="GT107" i="100" s="1"/>
  <c r="GR103" i="100"/>
  <c r="GT103" i="100" s="1"/>
  <c r="GS103" i="100"/>
  <c r="GS99" i="100"/>
  <c r="GR99" i="100"/>
  <c r="GT99" i="100" s="1"/>
  <c r="GS95" i="100"/>
  <c r="GR95" i="100"/>
  <c r="GT95" i="100" s="1"/>
  <c r="GP91" i="100"/>
  <c r="GS91" i="100"/>
  <c r="GR91" i="100"/>
  <c r="GT91" i="100" s="1"/>
  <c r="GP88" i="100"/>
  <c r="GS88" i="100"/>
  <c r="GS85" i="100"/>
  <c r="GR85" i="100"/>
  <c r="GT85" i="100" s="1"/>
  <c r="GP82" i="100"/>
  <c r="GS82" i="100"/>
  <c r="GR82" i="100"/>
  <c r="GT82" i="100" s="1"/>
  <c r="GP75" i="100"/>
  <c r="GS75" i="100"/>
  <c r="GR75" i="100"/>
  <c r="GT75" i="100" s="1"/>
  <c r="GP72" i="100"/>
  <c r="GS72" i="100"/>
  <c r="GR72" i="100"/>
  <c r="GT72" i="100" s="1"/>
  <c r="GS69" i="100"/>
  <c r="GR69" i="100"/>
  <c r="GT69" i="100" s="1"/>
  <c r="GP66" i="100"/>
  <c r="GS66" i="100"/>
  <c r="GP59" i="100"/>
  <c r="GS59" i="100"/>
  <c r="GR59" i="100"/>
  <c r="GT59" i="100" s="1"/>
  <c r="GP56" i="100"/>
  <c r="GS56" i="100"/>
  <c r="GS53" i="100"/>
  <c r="GR53" i="100"/>
  <c r="GT53" i="100" s="1"/>
  <c r="GP50" i="100"/>
  <c r="GS50" i="100"/>
  <c r="GR50" i="100"/>
  <c r="GT50" i="100" s="1"/>
  <c r="GP43" i="100"/>
  <c r="GS43" i="100"/>
  <c r="GR43" i="100"/>
  <c r="GT43" i="100" s="1"/>
  <c r="GP40" i="100"/>
  <c r="GS40" i="100"/>
  <c r="GR40" i="100"/>
  <c r="GT40" i="100" s="1"/>
  <c r="GS37" i="100"/>
  <c r="GR37" i="100"/>
  <c r="GT37" i="100" s="1"/>
  <c r="GP34" i="100"/>
  <c r="GS34" i="100"/>
  <c r="GP27" i="100"/>
  <c r="GS27" i="100"/>
  <c r="GR27" i="100"/>
  <c r="GT27" i="100" s="1"/>
  <c r="GP24" i="100"/>
  <c r="GS24" i="100"/>
  <c r="GS21" i="100"/>
  <c r="GR21" i="100"/>
  <c r="GT21" i="100" s="1"/>
  <c r="GP17" i="100"/>
  <c r="GS17" i="100"/>
  <c r="GR17" i="100"/>
  <c r="GT17" i="100" s="1"/>
  <c r="GP14" i="100"/>
  <c r="GS14" i="100"/>
  <c r="GS755" i="100"/>
  <c r="GR755" i="100"/>
  <c r="GT755" i="100" s="1"/>
  <c r="GS739" i="100"/>
  <c r="GR739" i="100"/>
  <c r="GT739" i="100" s="1"/>
  <c r="GS723" i="100"/>
  <c r="GR723" i="100"/>
  <c r="GT723" i="100" s="1"/>
  <c r="GS707" i="100"/>
  <c r="GR707" i="100"/>
  <c r="GT707" i="100" s="1"/>
  <c r="GO690" i="100"/>
  <c r="GP690" i="100"/>
  <c r="GS687" i="100"/>
  <c r="GP687" i="100"/>
  <c r="GR687" i="100"/>
  <c r="GT687" i="100" s="1"/>
  <c r="GS674" i="100"/>
  <c r="GO674" i="100"/>
  <c r="GP674" i="100"/>
  <c r="GS671" i="100"/>
  <c r="GP671" i="100"/>
  <c r="GR671" i="100"/>
  <c r="GT671" i="100" s="1"/>
  <c r="GS658" i="100"/>
  <c r="GO658" i="100"/>
  <c r="GP658" i="100"/>
  <c r="GS655" i="100"/>
  <c r="GP655" i="100"/>
  <c r="GR655" i="100"/>
  <c r="GT655" i="100" s="1"/>
  <c r="GS642" i="100"/>
  <c r="GO642" i="100"/>
  <c r="GP642" i="100"/>
  <c r="GS639" i="100"/>
  <c r="GP639" i="100"/>
  <c r="GR639" i="100"/>
  <c r="GT639" i="100" s="1"/>
  <c r="GO626" i="100"/>
  <c r="GP626" i="100"/>
  <c r="GS623" i="100"/>
  <c r="GP623" i="100"/>
  <c r="GR623" i="100"/>
  <c r="GT623" i="100" s="1"/>
  <c r="GO610" i="100"/>
  <c r="GS610" i="100"/>
  <c r="GP610" i="100"/>
  <c r="GS607" i="100"/>
  <c r="GP607" i="100"/>
  <c r="GR607" i="100"/>
  <c r="GT607" i="100" s="1"/>
  <c r="GO594" i="100"/>
  <c r="GP594" i="100"/>
  <c r="GS591" i="100"/>
  <c r="GP591" i="100"/>
  <c r="GR591" i="100"/>
  <c r="GT591" i="100" s="1"/>
  <c r="GO578" i="100"/>
  <c r="GS578" i="100"/>
  <c r="GP578" i="100"/>
  <c r="GS575" i="100"/>
  <c r="GP575" i="100"/>
  <c r="GR575" i="100"/>
  <c r="GT575" i="100" s="1"/>
  <c r="GS571" i="100"/>
  <c r="GP571" i="100"/>
  <c r="GS567" i="100"/>
  <c r="GP567" i="100"/>
  <c r="GS563" i="100"/>
  <c r="GR563" i="100"/>
  <c r="GT563" i="100" s="1"/>
  <c r="GP563" i="100"/>
  <c r="GS559" i="100"/>
  <c r="GP559" i="100"/>
  <c r="GR559" i="100"/>
  <c r="GT559" i="100" s="1"/>
  <c r="GS555" i="100"/>
  <c r="GP555" i="100"/>
  <c r="GS551" i="100"/>
  <c r="GP551" i="100"/>
  <c r="GS547" i="100"/>
  <c r="GR547" i="100"/>
  <c r="GT547" i="100" s="1"/>
  <c r="GP547" i="100"/>
  <c r="GS543" i="100"/>
  <c r="GP543" i="100"/>
  <c r="GR543" i="100"/>
  <c r="GT543" i="100" s="1"/>
  <c r="GS539" i="100"/>
  <c r="GP539" i="100"/>
  <c r="GS535" i="100"/>
  <c r="GP535" i="100"/>
  <c r="GS531" i="100"/>
  <c r="GR531" i="100"/>
  <c r="GT531" i="100" s="1"/>
  <c r="GP531" i="100"/>
  <c r="GS527" i="100"/>
  <c r="GP527" i="100"/>
  <c r="GR527" i="100"/>
  <c r="GT527" i="100" s="1"/>
  <c r="GS523" i="100"/>
  <c r="GP523" i="100"/>
  <c r="GS519" i="100"/>
  <c r="GP519" i="100"/>
  <c r="GS515" i="100"/>
  <c r="GR515" i="100"/>
  <c r="GT515" i="100" s="1"/>
  <c r="GP515" i="100"/>
  <c r="GS511" i="100"/>
  <c r="GP511" i="100"/>
  <c r="GR511" i="100"/>
  <c r="GT511" i="100" s="1"/>
  <c r="GS507" i="100"/>
  <c r="GP507" i="100"/>
  <c r="GS503" i="100"/>
  <c r="GP503" i="100"/>
  <c r="GS499" i="100"/>
  <c r="GR499" i="100"/>
  <c r="GT499" i="100" s="1"/>
  <c r="GP499" i="100"/>
  <c r="GS495" i="100"/>
  <c r="GP495" i="100"/>
  <c r="GR495" i="100"/>
  <c r="GT495" i="100" s="1"/>
  <c r="GS491" i="100"/>
  <c r="GP491" i="100"/>
  <c r="GS487" i="100"/>
  <c r="GP487" i="100"/>
  <c r="GS483" i="100"/>
  <c r="GR483" i="100"/>
  <c r="GT483" i="100" s="1"/>
  <c r="GP483" i="100"/>
  <c r="GS479" i="100"/>
  <c r="GP479" i="100"/>
  <c r="GR479" i="100"/>
  <c r="GT479" i="100" s="1"/>
  <c r="GS475" i="100"/>
  <c r="GP475" i="100"/>
  <c r="GS471" i="100"/>
  <c r="GP471" i="100"/>
  <c r="GS467" i="100"/>
  <c r="GR467" i="100"/>
  <c r="GT467" i="100" s="1"/>
  <c r="GP467" i="100"/>
  <c r="GS463" i="100"/>
  <c r="GP463" i="100"/>
  <c r="GR463" i="100"/>
  <c r="GT463" i="100" s="1"/>
  <c r="GS459" i="100"/>
  <c r="GP459" i="100"/>
  <c r="GS455" i="100"/>
  <c r="GP455" i="100"/>
  <c r="GS451" i="100"/>
  <c r="GR451" i="100"/>
  <c r="GT451" i="100" s="1"/>
  <c r="GP451" i="100"/>
  <c r="GS447" i="100"/>
  <c r="GP447" i="100"/>
  <c r="GR447" i="100"/>
  <c r="GT447" i="100" s="1"/>
  <c r="GS443" i="100"/>
  <c r="GP443" i="100"/>
  <c r="GS439" i="100"/>
  <c r="GP439" i="100"/>
  <c r="GS435" i="100"/>
  <c r="GR435" i="100"/>
  <c r="GT435" i="100" s="1"/>
  <c r="GP435" i="100"/>
  <c r="GS431" i="100"/>
  <c r="GP431" i="100"/>
  <c r="GR431" i="100"/>
  <c r="GT431" i="100" s="1"/>
  <c r="GP427" i="100"/>
  <c r="GS427" i="100"/>
  <c r="GS423" i="100"/>
  <c r="GP423" i="100"/>
  <c r="GR419" i="100"/>
  <c r="GT419" i="100" s="1"/>
  <c r="GP419" i="100"/>
  <c r="GS415" i="100"/>
  <c r="GP415" i="100"/>
  <c r="GR415" i="100"/>
  <c r="GT415" i="100" s="1"/>
  <c r="GS411" i="100"/>
  <c r="GP411" i="100"/>
  <c r="GS407" i="100"/>
  <c r="GP407" i="100"/>
  <c r="GR407" i="100"/>
  <c r="GT407" i="100" s="1"/>
  <c r="GS403" i="100"/>
  <c r="GP403" i="100"/>
  <c r="GP399" i="100"/>
  <c r="GS399" i="100"/>
  <c r="GR399" i="100"/>
  <c r="GT399" i="100" s="1"/>
  <c r="GS395" i="100"/>
  <c r="GP395" i="100"/>
  <c r="GP391" i="100"/>
  <c r="GR391" i="100"/>
  <c r="GT391" i="100" s="1"/>
  <c r="GS383" i="100"/>
  <c r="GP383" i="100"/>
  <c r="GR383" i="100"/>
  <c r="GT383" i="100" s="1"/>
  <c r="GS375" i="100"/>
  <c r="GP375" i="100"/>
  <c r="GR375" i="100"/>
  <c r="GT375" i="100" s="1"/>
  <c r="GS367" i="100"/>
  <c r="GP367" i="100"/>
  <c r="GR367" i="100"/>
  <c r="GT367" i="100" s="1"/>
  <c r="GS359" i="100"/>
  <c r="GP359" i="100"/>
  <c r="GR359" i="100"/>
  <c r="GT359" i="100" s="1"/>
  <c r="GS351" i="100"/>
  <c r="GP351" i="100"/>
  <c r="GR351" i="100"/>
  <c r="GT351" i="100" s="1"/>
  <c r="GS343" i="100"/>
  <c r="GP343" i="100"/>
  <c r="GR343" i="100"/>
  <c r="GT343" i="100" s="1"/>
  <c r="GS335" i="100"/>
  <c r="GP335" i="100"/>
  <c r="GR335" i="100"/>
  <c r="GT335" i="100" s="1"/>
  <c r="GS327" i="100"/>
  <c r="GP327" i="100"/>
  <c r="GR327" i="100"/>
  <c r="GT327" i="100" s="1"/>
  <c r="GS319" i="100"/>
  <c r="GP319" i="100"/>
  <c r="GR319" i="100"/>
  <c r="GT319" i="100" s="1"/>
  <c r="GS311" i="100"/>
  <c r="GP311" i="100"/>
  <c r="GR311" i="100"/>
  <c r="GT311" i="100" s="1"/>
  <c r="GS303" i="100"/>
  <c r="GP303" i="100"/>
  <c r="GR303" i="100"/>
  <c r="GT303" i="100" s="1"/>
  <c r="GR747" i="100"/>
  <c r="GT747" i="100" s="1"/>
  <c r="GR715" i="100"/>
  <c r="GT715" i="100" s="1"/>
  <c r="GR555" i="100"/>
  <c r="GT555" i="100" s="1"/>
  <c r="GR523" i="100"/>
  <c r="GT523" i="100" s="1"/>
  <c r="GR491" i="100"/>
  <c r="GT491" i="100" s="1"/>
  <c r="GR459" i="100"/>
  <c r="GT459" i="100" s="1"/>
  <c r="GR427" i="100"/>
  <c r="GT427" i="100" s="1"/>
  <c r="GR204" i="100"/>
  <c r="GT204" i="100" s="1"/>
  <c r="GR188" i="100"/>
  <c r="GT188" i="100" s="1"/>
  <c r="GR172" i="100"/>
  <c r="GT172" i="100" s="1"/>
  <c r="GR153" i="100"/>
  <c r="GT153" i="100" s="1"/>
  <c r="GS626" i="100"/>
  <c r="GO7" i="100"/>
  <c r="GR213" i="100"/>
  <c r="GT213" i="100" s="1"/>
  <c r="GS213" i="100"/>
  <c r="GS206" i="100"/>
  <c r="GR206" i="100"/>
  <c r="GT206" i="100" s="1"/>
  <c r="GS200" i="100"/>
  <c r="GR200" i="100"/>
  <c r="GT200" i="100" s="1"/>
  <c r="GR197" i="100"/>
  <c r="GT197" i="100" s="1"/>
  <c r="GS197" i="100"/>
  <c r="GS190" i="100"/>
  <c r="GR190" i="100"/>
  <c r="GT190" i="100" s="1"/>
  <c r="GS184" i="100"/>
  <c r="GR184" i="100"/>
  <c r="GT184" i="100" s="1"/>
  <c r="GS174" i="100"/>
  <c r="GR174" i="100"/>
  <c r="GT174" i="100" s="1"/>
  <c r="GS168" i="100"/>
  <c r="GR168" i="100"/>
  <c r="GT168" i="100" s="1"/>
  <c r="GS165" i="100"/>
  <c r="GR165" i="100"/>
  <c r="GT165" i="100" s="1"/>
  <c r="GR163" i="100"/>
  <c r="GT163" i="100" s="1"/>
  <c r="GS163" i="100"/>
  <c r="GS158" i="100"/>
  <c r="GR158" i="100"/>
  <c r="GT158" i="100" s="1"/>
  <c r="GS149" i="100"/>
  <c r="GR149" i="100"/>
  <c r="GT149" i="100" s="1"/>
  <c r="GS147" i="100"/>
  <c r="GR147" i="100"/>
  <c r="GT147" i="100" s="1"/>
  <c r="GS136" i="100"/>
  <c r="GR136" i="100"/>
  <c r="GT136" i="100" s="1"/>
  <c r="GS106" i="100"/>
  <c r="GR106" i="100"/>
  <c r="GT106" i="100" s="1"/>
  <c r="GS102" i="100"/>
  <c r="GR102" i="100"/>
  <c r="GT102" i="100" s="1"/>
  <c r="GS94" i="100"/>
  <c r="GR94" i="100"/>
  <c r="GT94" i="100" s="1"/>
  <c r="GP87" i="100"/>
  <c r="GR87" i="100"/>
  <c r="GT87" i="100" s="1"/>
  <c r="GS87" i="100"/>
  <c r="GP84" i="100"/>
  <c r="GS84" i="100"/>
  <c r="GR84" i="100"/>
  <c r="GT84" i="100" s="1"/>
  <c r="GS81" i="100"/>
  <c r="GR81" i="100"/>
  <c r="GT81" i="100" s="1"/>
  <c r="GP78" i="100"/>
  <c r="GS78" i="100"/>
  <c r="GP71" i="100"/>
  <c r="GR71" i="100"/>
  <c r="GT71" i="100" s="1"/>
  <c r="GP68" i="100"/>
  <c r="GS68" i="100"/>
  <c r="GS65" i="100"/>
  <c r="GR65" i="100"/>
  <c r="GT65" i="100" s="1"/>
  <c r="GP62" i="100"/>
  <c r="GS62" i="100"/>
  <c r="GR62" i="100"/>
  <c r="GT62" i="100" s="1"/>
  <c r="GP55" i="100"/>
  <c r="GR55" i="100"/>
  <c r="GT55" i="100" s="1"/>
  <c r="GS55" i="100"/>
  <c r="GP52" i="100"/>
  <c r="GS52" i="100"/>
  <c r="GR52" i="100"/>
  <c r="GT52" i="100" s="1"/>
  <c r="GS49" i="100"/>
  <c r="GR49" i="100"/>
  <c r="GT49" i="100" s="1"/>
  <c r="GP46" i="100"/>
  <c r="GS46" i="100"/>
  <c r="GP39" i="100"/>
  <c r="GR39" i="100"/>
  <c r="GT39" i="100" s="1"/>
  <c r="GS39" i="100"/>
  <c r="GP36" i="100"/>
  <c r="GS36" i="100"/>
  <c r="GS33" i="100"/>
  <c r="GR33" i="100"/>
  <c r="GT33" i="100" s="1"/>
  <c r="GP30" i="100"/>
  <c r="GS30" i="100"/>
  <c r="GR30" i="100"/>
  <c r="GT30" i="100" s="1"/>
  <c r="GP23" i="100"/>
  <c r="GR23" i="100"/>
  <c r="GT23" i="100" s="1"/>
  <c r="GS23" i="100"/>
  <c r="GP20" i="100"/>
  <c r="GS20" i="100"/>
  <c r="GR20" i="100"/>
  <c r="GT20" i="100" s="1"/>
  <c r="GS762" i="100"/>
  <c r="GO762" i="100"/>
  <c r="GR762" i="100"/>
  <c r="GT762" i="100" s="1"/>
  <c r="GP762" i="100"/>
  <c r="GO754" i="100"/>
  <c r="GP754" i="100"/>
  <c r="GS746" i="100"/>
  <c r="GO746" i="100"/>
  <c r="GR746" i="100"/>
  <c r="GT746" i="100" s="1"/>
  <c r="GP746" i="100"/>
  <c r="GO738" i="100"/>
  <c r="GP738" i="100"/>
  <c r="GS730" i="100"/>
  <c r="GO730" i="100"/>
  <c r="GR730" i="100"/>
  <c r="GT730" i="100" s="1"/>
  <c r="GP730" i="100"/>
  <c r="GO722" i="100"/>
  <c r="GP722" i="100"/>
  <c r="GS714" i="100"/>
  <c r="GO714" i="100"/>
  <c r="GR714" i="100"/>
  <c r="GT714" i="100" s="1"/>
  <c r="GP714" i="100"/>
  <c r="GO706" i="100"/>
  <c r="GP706" i="100"/>
  <c r="GS698" i="100"/>
  <c r="GO698" i="100"/>
  <c r="GR698" i="100"/>
  <c r="GT698" i="100" s="1"/>
  <c r="GP698" i="100"/>
  <c r="GS686" i="100"/>
  <c r="GR686" i="100"/>
  <c r="GT686" i="100" s="1"/>
  <c r="GO686" i="100"/>
  <c r="GP686" i="100"/>
  <c r="GS683" i="100"/>
  <c r="GP683" i="100"/>
  <c r="GS670" i="100"/>
  <c r="GR670" i="100"/>
  <c r="GT670" i="100" s="1"/>
  <c r="GO670" i="100"/>
  <c r="GP670" i="100"/>
  <c r="GS667" i="100"/>
  <c r="GP667" i="100"/>
  <c r="GS654" i="100"/>
  <c r="GR654" i="100"/>
  <c r="GT654" i="100" s="1"/>
  <c r="GO654" i="100"/>
  <c r="GP654" i="100"/>
  <c r="GS651" i="100"/>
  <c r="GP651" i="100"/>
  <c r="GS638" i="100"/>
  <c r="GR638" i="100"/>
  <c r="GT638" i="100" s="1"/>
  <c r="GO638" i="100"/>
  <c r="GP638" i="100"/>
  <c r="GS635" i="100"/>
  <c r="GP635" i="100"/>
  <c r="GS622" i="100"/>
  <c r="GR622" i="100"/>
  <c r="GT622" i="100" s="1"/>
  <c r="GO622" i="100"/>
  <c r="GP622" i="100"/>
  <c r="GS619" i="100"/>
  <c r="GP619" i="100"/>
  <c r="GS606" i="100"/>
  <c r="GR606" i="100"/>
  <c r="GT606" i="100" s="1"/>
  <c r="GO606" i="100"/>
  <c r="GP606" i="100"/>
  <c r="GS603" i="100"/>
  <c r="GP603" i="100"/>
  <c r="GS590" i="100"/>
  <c r="GR590" i="100"/>
  <c r="GT590" i="100" s="1"/>
  <c r="GO590" i="100"/>
  <c r="GP590" i="100"/>
  <c r="GS587" i="100"/>
  <c r="GP587" i="100"/>
  <c r="GS574" i="100"/>
  <c r="GR574" i="100"/>
  <c r="GT574" i="100" s="1"/>
  <c r="GO574" i="100"/>
  <c r="GP574" i="100"/>
  <c r="GS570" i="100"/>
  <c r="GO570" i="100"/>
  <c r="GR570" i="100"/>
  <c r="GT570" i="100" s="1"/>
  <c r="GP570" i="100"/>
  <c r="GS566" i="100"/>
  <c r="GO566" i="100"/>
  <c r="GP566" i="100"/>
  <c r="GO562" i="100"/>
  <c r="GP562" i="100"/>
  <c r="GS558" i="100"/>
  <c r="GR558" i="100"/>
  <c r="GT558" i="100" s="1"/>
  <c r="GO558" i="100"/>
  <c r="GP558" i="100"/>
  <c r="GS554" i="100"/>
  <c r="GO554" i="100"/>
  <c r="GR554" i="100"/>
  <c r="GT554" i="100" s="1"/>
  <c r="GP554" i="100"/>
  <c r="GS550" i="100"/>
  <c r="GO550" i="100"/>
  <c r="GP550" i="100"/>
  <c r="GO546" i="100"/>
  <c r="GS546" i="100"/>
  <c r="GP546" i="100"/>
  <c r="GS542" i="100"/>
  <c r="GR542" i="100"/>
  <c r="GT542" i="100" s="1"/>
  <c r="GO542" i="100"/>
  <c r="GP542" i="100"/>
  <c r="GS538" i="100"/>
  <c r="GO538" i="100"/>
  <c r="GR538" i="100"/>
  <c r="GT538" i="100" s="1"/>
  <c r="GP538" i="100"/>
  <c r="GS534" i="100"/>
  <c r="GO534" i="100"/>
  <c r="GP534" i="100"/>
  <c r="GO530" i="100"/>
  <c r="GP530" i="100"/>
  <c r="GS526" i="100"/>
  <c r="GR526" i="100"/>
  <c r="GT526" i="100" s="1"/>
  <c r="GO526" i="100"/>
  <c r="GP526" i="100"/>
  <c r="GS522" i="100"/>
  <c r="GO522" i="100"/>
  <c r="GR522" i="100"/>
  <c r="GT522" i="100" s="1"/>
  <c r="GP522" i="100"/>
  <c r="GS518" i="100"/>
  <c r="GO518" i="100"/>
  <c r="GP518" i="100"/>
  <c r="GO514" i="100"/>
  <c r="GS514" i="100"/>
  <c r="GP514" i="100"/>
  <c r="GS510" i="100"/>
  <c r="GR510" i="100"/>
  <c r="GT510" i="100" s="1"/>
  <c r="GO510" i="100"/>
  <c r="GP510" i="100"/>
  <c r="GS506" i="100"/>
  <c r="GO506" i="100"/>
  <c r="GR506" i="100"/>
  <c r="GT506" i="100" s="1"/>
  <c r="GP506" i="100"/>
  <c r="GS502" i="100"/>
  <c r="GO502" i="100"/>
  <c r="GP502" i="100"/>
  <c r="GO498" i="100"/>
  <c r="GP498" i="100"/>
  <c r="GS494" i="100"/>
  <c r="GR494" i="100"/>
  <c r="GT494" i="100" s="1"/>
  <c r="GO494" i="100"/>
  <c r="GP494" i="100"/>
  <c r="GS490" i="100"/>
  <c r="GO490" i="100"/>
  <c r="GR490" i="100"/>
  <c r="GT490" i="100" s="1"/>
  <c r="GP490" i="100"/>
  <c r="GS486" i="100"/>
  <c r="GO486" i="100"/>
  <c r="GP486" i="100"/>
  <c r="GO482" i="100"/>
  <c r="GS482" i="100"/>
  <c r="GP482" i="100"/>
  <c r="GS478" i="100"/>
  <c r="GR478" i="100"/>
  <c r="GT478" i="100" s="1"/>
  <c r="GO478" i="100"/>
  <c r="GP478" i="100"/>
  <c r="GS474" i="100"/>
  <c r="GO474" i="100"/>
  <c r="GR474" i="100"/>
  <c r="GT474" i="100" s="1"/>
  <c r="GP474" i="100"/>
  <c r="GS470" i="100"/>
  <c r="GO470" i="100"/>
  <c r="GP470" i="100"/>
  <c r="GO466" i="100"/>
  <c r="GP466" i="100"/>
  <c r="GS462" i="100"/>
  <c r="GR462" i="100"/>
  <c r="GT462" i="100" s="1"/>
  <c r="GO462" i="100"/>
  <c r="GP462" i="100"/>
  <c r="GS458" i="100"/>
  <c r="GO458" i="100"/>
  <c r="GR458" i="100"/>
  <c r="GT458" i="100" s="1"/>
  <c r="GP458" i="100"/>
  <c r="GS454" i="100"/>
  <c r="GO454" i="100"/>
  <c r="GP454" i="100"/>
  <c r="GO450" i="100"/>
  <c r="GS450" i="100"/>
  <c r="GP450" i="100"/>
  <c r="GS446" i="100"/>
  <c r="GR446" i="100"/>
  <c r="GT446" i="100" s="1"/>
  <c r="GO446" i="100"/>
  <c r="GP446" i="100"/>
  <c r="GS442" i="100"/>
  <c r="GO442" i="100"/>
  <c r="GR442" i="100"/>
  <c r="GT442" i="100" s="1"/>
  <c r="GP442" i="100"/>
  <c r="GS438" i="100"/>
  <c r="GO438" i="100"/>
  <c r="GP438" i="100"/>
  <c r="GO434" i="100"/>
  <c r="GP434" i="100"/>
  <c r="GS430" i="100"/>
  <c r="GR430" i="100"/>
  <c r="GT430" i="100" s="1"/>
  <c r="GO430" i="100"/>
  <c r="GP430" i="100"/>
  <c r="GS426" i="100"/>
  <c r="GO426" i="100"/>
  <c r="GR426" i="100"/>
  <c r="GT426" i="100" s="1"/>
  <c r="GP426" i="100"/>
  <c r="GS422" i="100"/>
  <c r="GO422" i="100"/>
  <c r="GP422" i="100"/>
  <c r="GS418" i="100"/>
  <c r="GO418" i="100"/>
  <c r="GP418" i="100"/>
  <c r="GS414" i="100"/>
  <c r="GR414" i="100"/>
  <c r="GT414" i="100" s="1"/>
  <c r="GO414" i="100"/>
  <c r="GP414" i="100"/>
  <c r="GS410" i="100"/>
  <c r="GR410" i="100"/>
  <c r="GT410" i="100" s="1"/>
  <c r="GO410" i="100"/>
  <c r="GP410" i="100"/>
  <c r="GR406" i="100"/>
  <c r="GT406" i="100" s="1"/>
  <c r="GO406" i="100"/>
  <c r="GP406" i="100"/>
  <c r="GS402" i="100"/>
  <c r="GR402" i="100"/>
  <c r="GT402" i="100" s="1"/>
  <c r="GO402" i="100"/>
  <c r="GP402" i="100"/>
  <c r="GR398" i="100"/>
  <c r="GT398" i="100" s="1"/>
  <c r="GS398" i="100"/>
  <c r="GO398" i="100"/>
  <c r="GP398" i="100"/>
  <c r="GS394" i="100"/>
  <c r="GR394" i="100"/>
  <c r="GT394" i="100" s="1"/>
  <c r="GO394" i="100"/>
  <c r="GP394" i="100"/>
  <c r="GR754" i="100"/>
  <c r="GT754" i="100" s="1"/>
  <c r="GR722" i="100"/>
  <c r="GT722" i="100" s="1"/>
  <c r="GR690" i="100"/>
  <c r="GT690" i="100" s="1"/>
  <c r="GR658" i="100"/>
  <c r="GT658" i="100" s="1"/>
  <c r="GR626" i="100"/>
  <c r="GT626" i="100" s="1"/>
  <c r="GR594" i="100"/>
  <c r="GT594" i="100" s="1"/>
  <c r="GR562" i="100"/>
  <c r="GT562" i="100" s="1"/>
  <c r="GR551" i="100"/>
  <c r="GT551" i="100" s="1"/>
  <c r="GR530" i="100"/>
  <c r="GT530" i="100" s="1"/>
  <c r="GR519" i="100"/>
  <c r="GT519" i="100" s="1"/>
  <c r="GR498" i="100"/>
  <c r="GT498" i="100" s="1"/>
  <c r="GR487" i="100"/>
  <c r="GT487" i="100" s="1"/>
  <c r="GR466" i="100"/>
  <c r="GT466" i="100" s="1"/>
  <c r="GR455" i="100"/>
  <c r="GT455" i="100" s="1"/>
  <c r="GR434" i="100"/>
  <c r="GT434" i="100" s="1"/>
  <c r="GR423" i="100"/>
  <c r="GT423" i="100" s="1"/>
  <c r="GR411" i="100"/>
  <c r="GT411" i="100" s="1"/>
  <c r="GR395" i="100"/>
  <c r="GT395" i="100" s="1"/>
  <c r="GR152" i="100"/>
  <c r="GT152" i="100" s="1"/>
  <c r="GR109" i="100"/>
  <c r="GT109" i="100" s="1"/>
  <c r="GR88" i="100"/>
  <c r="GT88" i="100" s="1"/>
  <c r="GR66" i="100"/>
  <c r="GT66" i="100" s="1"/>
  <c r="GR24" i="100"/>
  <c r="GT24" i="100" s="1"/>
  <c r="GS754" i="100"/>
  <c r="GS722" i="100"/>
  <c r="GS690" i="100"/>
  <c r="GS135" i="100"/>
  <c r="GP215" i="100"/>
  <c r="GP210" i="100"/>
  <c r="GS209" i="100"/>
  <c r="GR209" i="100"/>
  <c r="GT209" i="100" s="1"/>
  <c r="GS207" i="100"/>
  <c r="GR207" i="100"/>
  <c r="GT207" i="100" s="1"/>
  <c r="GP199" i="100"/>
  <c r="GP194" i="100"/>
  <c r="GS193" i="100"/>
  <c r="GR193" i="100"/>
  <c r="GT193" i="100" s="1"/>
  <c r="GS191" i="100"/>
  <c r="GR191" i="100"/>
  <c r="GT191" i="100" s="1"/>
  <c r="GS186" i="100"/>
  <c r="GR186" i="100"/>
  <c r="GT186" i="100" s="1"/>
  <c r="GP183" i="100"/>
  <c r="GP178" i="100"/>
  <c r="GS177" i="100"/>
  <c r="GR177" i="100"/>
  <c r="GT177" i="100" s="1"/>
  <c r="GS175" i="100"/>
  <c r="GR175" i="100"/>
  <c r="GT175" i="100" s="1"/>
  <c r="GS170" i="100"/>
  <c r="GR170" i="100"/>
  <c r="GT170" i="100" s="1"/>
  <c r="GP167" i="100"/>
  <c r="GP162" i="100"/>
  <c r="GS161" i="100"/>
  <c r="GR161" i="100"/>
  <c r="GT161" i="100" s="1"/>
  <c r="GS159" i="100"/>
  <c r="GR159" i="100"/>
  <c r="GT159" i="100" s="1"/>
  <c r="GS154" i="100"/>
  <c r="GR154" i="100"/>
  <c r="GT154" i="100" s="1"/>
  <c r="GP151" i="100"/>
  <c r="GS148" i="100"/>
  <c r="GR148" i="100"/>
  <c r="GT148" i="100" s="1"/>
  <c r="GP146" i="100"/>
  <c r="GS145" i="100"/>
  <c r="GR145" i="100"/>
  <c r="GT145" i="100" s="1"/>
  <c r="GS143" i="100"/>
  <c r="GR143" i="100"/>
  <c r="GT143" i="100" s="1"/>
  <c r="GS138" i="100"/>
  <c r="GR138" i="100"/>
  <c r="GT138" i="100" s="1"/>
  <c r="GP135" i="100"/>
  <c r="GS134" i="100"/>
  <c r="GR134" i="100"/>
  <c r="GT134" i="100" s="1"/>
  <c r="GS128" i="100"/>
  <c r="GR128" i="100"/>
  <c r="GT128" i="100" s="1"/>
  <c r="GS126" i="100"/>
  <c r="GR126" i="100"/>
  <c r="GT126" i="100" s="1"/>
  <c r="GS124" i="100"/>
  <c r="GR124" i="100"/>
  <c r="GT124" i="100" s="1"/>
  <c r="GS122" i="100"/>
  <c r="GR122" i="100"/>
  <c r="GT122" i="100" s="1"/>
  <c r="GS118" i="100"/>
  <c r="GR118" i="100"/>
  <c r="GT118" i="100" s="1"/>
  <c r="GS116" i="100"/>
  <c r="GR116" i="100"/>
  <c r="GT116" i="100" s="1"/>
  <c r="GS114" i="100"/>
  <c r="GR114" i="100"/>
  <c r="GT114" i="100" s="1"/>
  <c r="GS112" i="100"/>
  <c r="GR112" i="100"/>
  <c r="GT112" i="100" s="1"/>
  <c r="GS108" i="100"/>
  <c r="GR108" i="100"/>
  <c r="GT108" i="100" s="1"/>
  <c r="GS105" i="100"/>
  <c r="GR105" i="100"/>
  <c r="GT105" i="100" s="1"/>
  <c r="GS101" i="100"/>
  <c r="GR101" i="100"/>
  <c r="GT101" i="100" s="1"/>
  <c r="GS97" i="100"/>
  <c r="GR97" i="100"/>
  <c r="GT97" i="100" s="1"/>
  <c r="GS93" i="100"/>
  <c r="GR93" i="100"/>
  <c r="GT93" i="100" s="1"/>
  <c r="GP90" i="100"/>
  <c r="GS90" i="100"/>
  <c r="GR90" i="100"/>
  <c r="GT90" i="100" s="1"/>
  <c r="GP83" i="100"/>
  <c r="GS83" i="100"/>
  <c r="GR83" i="100"/>
  <c r="GT83" i="100" s="1"/>
  <c r="GP80" i="100"/>
  <c r="GS80" i="100"/>
  <c r="GR80" i="100"/>
  <c r="GT80" i="100" s="1"/>
  <c r="GP74" i="100"/>
  <c r="GS74" i="100"/>
  <c r="GR74" i="100"/>
  <c r="GT74" i="100" s="1"/>
  <c r="GP67" i="100"/>
  <c r="GS67" i="100"/>
  <c r="GR67" i="100"/>
  <c r="GT67" i="100" s="1"/>
  <c r="GP64" i="100"/>
  <c r="GS64" i="100"/>
  <c r="GR64" i="100"/>
  <c r="GT64" i="100" s="1"/>
  <c r="GS61" i="100"/>
  <c r="GR61" i="100"/>
  <c r="GT61" i="100" s="1"/>
  <c r="GP58" i="100"/>
  <c r="GS58" i="100"/>
  <c r="GR58" i="100"/>
  <c r="GT58" i="100" s="1"/>
  <c r="GP51" i="100"/>
  <c r="GS51" i="100"/>
  <c r="GR51" i="100"/>
  <c r="GT51" i="100" s="1"/>
  <c r="GP48" i="100"/>
  <c r="GS48" i="100"/>
  <c r="GR48" i="100"/>
  <c r="GT48" i="100" s="1"/>
  <c r="GP42" i="100"/>
  <c r="GS42" i="100"/>
  <c r="GR42" i="100"/>
  <c r="GT42" i="100" s="1"/>
  <c r="GP35" i="100"/>
  <c r="GS35" i="100"/>
  <c r="GR35" i="100"/>
  <c r="GT35" i="100" s="1"/>
  <c r="GP32" i="100"/>
  <c r="GS32" i="100"/>
  <c r="GR32" i="100"/>
  <c r="GT32" i="100" s="1"/>
  <c r="GS29" i="100"/>
  <c r="GR29" i="100"/>
  <c r="GT29" i="100" s="1"/>
  <c r="GP26" i="100"/>
  <c r="GS26" i="100"/>
  <c r="GR26" i="100"/>
  <c r="GT26" i="100" s="1"/>
  <c r="GS751" i="100"/>
  <c r="GR751" i="100"/>
  <c r="GT751" i="100" s="1"/>
  <c r="GS735" i="100"/>
  <c r="GR735" i="100"/>
  <c r="GT735" i="100" s="1"/>
  <c r="GS719" i="100"/>
  <c r="GR719" i="100"/>
  <c r="GT719" i="100" s="1"/>
  <c r="GS703" i="100"/>
  <c r="GR703" i="100"/>
  <c r="GT703" i="100" s="1"/>
  <c r="GS682" i="100"/>
  <c r="GO682" i="100"/>
  <c r="GR682" i="100"/>
  <c r="GT682" i="100" s="1"/>
  <c r="GP682" i="100"/>
  <c r="GS679" i="100"/>
  <c r="GP679" i="100"/>
  <c r="GS666" i="100"/>
  <c r="GO666" i="100"/>
  <c r="GR666" i="100"/>
  <c r="GT666" i="100" s="1"/>
  <c r="GP666" i="100"/>
  <c r="GS663" i="100"/>
  <c r="GP663" i="100"/>
  <c r="GS650" i="100"/>
  <c r="GO650" i="100"/>
  <c r="GR650" i="100"/>
  <c r="GT650" i="100" s="1"/>
  <c r="GP650" i="100"/>
  <c r="GS647" i="100"/>
  <c r="GP647" i="100"/>
  <c r="GS634" i="100"/>
  <c r="GO634" i="100"/>
  <c r="GR634" i="100"/>
  <c r="GT634" i="100" s="1"/>
  <c r="GP634" i="100"/>
  <c r="GS631" i="100"/>
  <c r="GP631" i="100"/>
  <c r="GS618" i="100"/>
  <c r="GO618" i="100"/>
  <c r="GR618" i="100"/>
  <c r="GT618" i="100" s="1"/>
  <c r="GP618" i="100"/>
  <c r="GS615" i="100"/>
  <c r="GP615" i="100"/>
  <c r="GS602" i="100"/>
  <c r="GO602" i="100"/>
  <c r="GR602" i="100"/>
  <c r="GT602" i="100" s="1"/>
  <c r="GP602" i="100"/>
  <c r="GS599" i="100"/>
  <c r="GP599" i="100"/>
  <c r="GS586" i="100"/>
  <c r="GO586" i="100"/>
  <c r="GR586" i="100"/>
  <c r="GT586" i="100" s="1"/>
  <c r="GP586" i="100"/>
  <c r="GS583" i="100"/>
  <c r="GP583" i="100"/>
  <c r="GO215" i="100"/>
  <c r="GS214" i="100"/>
  <c r="GR214" i="100"/>
  <c r="GT214" i="100" s="1"/>
  <c r="GP211" i="100"/>
  <c r="GO210" i="100"/>
  <c r="GS208" i="100"/>
  <c r="GR208" i="100"/>
  <c r="GT208" i="100" s="1"/>
  <c r="GP206" i="100"/>
  <c r="GS205" i="100"/>
  <c r="GR205" i="100"/>
  <c r="GT205" i="100" s="1"/>
  <c r="GO201" i="100"/>
  <c r="GO199" i="100"/>
  <c r="GS198" i="100"/>
  <c r="GR198" i="100"/>
  <c r="GT198" i="100" s="1"/>
  <c r="GP195" i="100"/>
  <c r="GO194" i="100"/>
  <c r="GS192" i="100"/>
  <c r="GR192" i="100"/>
  <c r="GT192" i="100" s="1"/>
  <c r="GP190" i="100"/>
  <c r="GS189" i="100"/>
  <c r="GR189" i="100"/>
  <c r="GT189" i="100" s="1"/>
  <c r="GO185" i="100"/>
  <c r="GO183" i="100"/>
  <c r="GS182" i="100"/>
  <c r="GR182" i="100"/>
  <c r="GT182" i="100" s="1"/>
  <c r="GP179" i="100"/>
  <c r="GO178" i="100"/>
  <c r="GS176" i="100"/>
  <c r="GR176" i="100"/>
  <c r="GT176" i="100" s="1"/>
  <c r="GP174" i="100"/>
  <c r="GS173" i="100"/>
  <c r="GR173" i="100"/>
  <c r="GT173" i="100" s="1"/>
  <c r="GO169" i="100"/>
  <c r="GO167" i="100"/>
  <c r="GS166" i="100"/>
  <c r="GR166" i="100"/>
  <c r="GT166" i="100" s="1"/>
  <c r="GP163" i="100"/>
  <c r="GO162" i="100"/>
  <c r="GS160" i="100"/>
  <c r="GR160" i="100"/>
  <c r="GT160" i="100" s="1"/>
  <c r="GP158" i="100"/>
  <c r="GS157" i="100"/>
  <c r="GR157" i="100"/>
  <c r="GT157" i="100" s="1"/>
  <c r="GS155" i="100"/>
  <c r="GR155" i="100"/>
  <c r="GT155" i="100" s="1"/>
  <c r="GO153" i="100"/>
  <c r="GO151" i="100"/>
  <c r="GS150" i="100"/>
  <c r="GR150" i="100"/>
  <c r="GT150" i="100" s="1"/>
  <c r="GP147" i="100"/>
  <c r="GO146" i="100"/>
  <c r="GS144" i="100"/>
  <c r="GR144" i="100"/>
  <c r="GT144" i="100" s="1"/>
  <c r="GP142" i="100"/>
  <c r="GS139" i="100"/>
  <c r="GR139" i="100"/>
  <c r="GT139" i="100" s="1"/>
  <c r="GO137" i="100"/>
  <c r="GO135" i="100"/>
  <c r="GO133" i="100"/>
  <c r="GO131" i="100"/>
  <c r="GO129" i="100"/>
  <c r="GO127" i="100"/>
  <c r="GO125" i="100"/>
  <c r="GO123" i="100"/>
  <c r="GO121" i="100"/>
  <c r="GO119" i="100"/>
  <c r="GO117" i="100"/>
  <c r="GO115" i="100"/>
  <c r="GO113" i="100"/>
  <c r="GO111" i="100"/>
  <c r="GO109" i="100"/>
  <c r="GO107" i="100"/>
  <c r="GS104" i="100"/>
  <c r="GR104" i="100"/>
  <c r="GT104" i="100" s="1"/>
  <c r="GS96" i="100"/>
  <c r="GR96" i="100"/>
  <c r="GT96" i="100" s="1"/>
  <c r="GP92" i="100"/>
  <c r="GS92" i="100"/>
  <c r="GR92" i="100"/>
  <c r="GT92" i="100" s="1"/>
  <c r="GP86" i="100"/>
  <c r="GS86" i="100"/>
  <c r="GR86" i="100"/>
  <c r="GT86" i="100" s="1"/>
  <c r="GO82" i="100"/>
  <c r="GP79" i="100"/>
  <c r="GS79" i="100"/>
  <c r="GR79" i="100"/>
  <c r="GT79" i="100" s="1"/>
  <c r="GP76" i="100"/>
  <c r="GS76" i="100"/>
  <c r="GR76" i="100"/>
  <c r="GT76" i="100" s="1"/>
  <c r="GS73" i="100"/>
  <c r="GR73" i="100"/>
  <c r="GT73" i="100" s="1"/>
  <c r="GP70" i="100"/>
  <c r="GS70" i="100"/>
  <c r="GR70" i="100"/>
  <c r="GT70" i="100" s="1"/>
  <c r="GO66" i="100"/>
  <c r="GP63" i="100"/>
  <c r="GS63" i="100"/>
  <c r="GR63" i="100"/>
  <c r="GT63" i="100" s="1"/>
  <c r="GP60" i="100"/>
  <c r="GS60" i="100"/>
  <c r="GR60" i="100"/>
  <c r="GT60" i="100" s="1"/>
  <c r="GP54" i="100"/>
  <c r="GS54" i="100"/>
  <c r="GR54" i="100"/>
  <c r="GT54" i="100" s="1"/>
  <c r="GO50" i="100"/>
  <c r="GP47" i="100"/>
  <c r="GS47" i="100"/>
  <c r="GR47" i="100"/>
  <c r="GT47" i="100" s="1"/>
  <c r="GP44" i="100"/>
  <c r="GS44" i="100"/>
  <c r="GR44" i="100"/>
  <c r="GT44" i="100" s="1"/>
  <c r="GS41" i="100"/>
  <c r="GR41" i="100"/>
  <c r="GT41" i="100" s="1"/>
  <c r="GP38" i="100"/>
  <c r="GS38" i="100"/>
  <c r="GR38" i="100"/>
  <c r="GT38" i="100" s="1"/>
  <c r="GO34" i="100"/>
  <c r="GP31" i="100"/>
  <c r="GS31" i="100"/>
  <c r="GR31" i="100"/>
  <c r="GT31" i="100" s="1"/>
  <c r="GP18" i="100"/>
  <c r="GS18" i="100"/>
  <c r="GR18" i="100"/>
  <c r="GT18" i="100" s="1"/>
  <c r="GO18" i="100"/>
  <c r="GO14" i="100"/>
  <c r="GP11" i="100"/>
  <c r="GS11" i="100"/>
  <c r="GR11" i="100"/>
  <c r="GT11" i="100" s="1"/>
  <c r="GP8" i="100"/>
  <c r="GS8" i="100"/>
  <c r="GR8" i="100"/>
  <c r="GT8" i="100" s="1"/>
  <c r="GS758" i="100"/>
  <c r="GO758" i="100"/>
  <c r="GP758" i="100"/>
  <c r="GS756" i="100"/>
  <c r="GR756" i="100"/>
  <c r="GT756" i="100" s="1"/>
  <c r="GS750" i="100"/>
  <c r="GR750" i="100"/>
  <c r="GT750" i="100" s="1"/>
  <c r="GO750" i="100"/>
  <c r="GP750" i="100"/>
  <c r="GS742" i="100"/>
  <c r="GO742" i="100"/>
  <c r="GP742" i="100"/>
  <c r="GS740" i="100"/>
  <c r="GR740" i="100"/>
  <c r="GT740" i="100" s="1"/>
  <c r="GS734" i="100"/>
  <c r="GR734" i="100"/>
  <c r="GT734" i="100" s="1"/>
  <c r="GO734" i="100"/>
  <c r="GP734" i="100"/>
  <c r="GS726" i="100"/>
  <c r="GO726" i="100"/>
  <c r="GP726" i="100"/>
  <c r="GS724" i="100"/>
  <c r="GR724" i="100"/>
  <c r="GT724" i="100" s="1"/>
  <c r="GS718" i="100"/>
  <c r="GR718" i="100"/>
  <c r="GT718" i="100" s="1"/>
  <c r="GO718" i="100"/>
  <c r="GP718" i="100"/>
  <c r="GS710" i="100"/>
  <c r="GO710" i="100"/>
  <c r="GP710" i="100"/>
  <c r="GS708" i="100"/>
  <c r="GR708" i="100"/>
  <c r="GT708" i="100" s="1"/>
  <c r="GS702" i="100"/>
  <c r="GR702" i="100"/>
  <c r="GT702" i="100" s="1"/>
  <c r="GO702" i="100"/>
  <c r="GP702" i="100"/>
  <c r="GS694" i="100"/>
  <c r="GO694" i="100"/>
  <c r="GP694" i="100"/>
  <c r="GS691" i="100"/>
  <c r="GR691" i="100"/>
  <c r="GT691" i="100" s="1"/>
  <c r="GP691" i="100"/>
  <c r="GO687" i="100"/>
  <c r="GS678" i="100"/>
  <c r="GO678" i="100"/>
  <c r="GP678" i="100"/>
  <c r="GS675" i="100"/>
  <c r="GR675" i="100"/>
  <c r="GT675" i="100" s="1"/>
  <c r="GP675" i="100"/>
  <c r="GO671" i="100"/>
  <c r="GS662" i="100"/>
  <c r="GO662" i="100"/>
  <c r="GP662" i="100"/>
  <c r="GS659" i="100"/>
  <c r="GR659" i="100"/>
  <c r="GT659" i="100" s="1"/>
  <c r="GP659" i="100"/>
  <c r="GO655" i="100"/>
  <c r="GS646" i="100"/>
  <c r="GO646" i="100"/>
  <c r="GP646" i="100"/>
  <c r="GS643" i="100"/>
  <c r="GR643" i="100"/>
  <c r="GT643" i="100" s="1"/>
  <c r="GP643" i="100"/>
  <c r="GO639" i="100"/>
  <c r="GS630" i="100"/>
  <c r="GO630" i="100"/>
  <c r="GP630" i="100"/>
  <c r="GS627" i="100"/>
  <c r="GR627" i="100"/>
  <c r="GT627" i="100" s="1"/>
  <c r="GP627" i="100"/>
  <c r="GO623" i="100"/>
  <c r="GS614" i="100"/>
  <c r="GO614" i="100"/>
  <c r="GP614" i="100"/>
  <c r="GS611" i="100"/>
  <c r="GR611" i="100"/>
  <c r="GT611" i="100" s="1"/>
  <c r="GP611" i="100"/>
  <c r="GO607" i="100"/>
  <c r="GS598" i="100"/>
  <c r="GO598" i="100"/>
  <c r="GP598" i="100"/>
  <c r="GS595" i="100"/>
  <c r="GR595" i="100"/>
  <c r="GT595" i="100" s="1"/>
  <c r="GP595" i="100"/>
  <c r="GO591" i="100"/>
  <c r="GS582" i="100"/>
  <c r="GO582" i="100"/>
  <c r="GP582" i="100"/>
  <c r="GS579" i="100"/>
  <c r="GR579" i="100"/>
  <c r="GT579" i="100" s="1"/>
  <c r="GP579" i="100"/>
  <c r="GO575" i="100"/>
  <c r="GO571" i="100"/>
  <c r="GO567" i="100"/>
  <c r="GO563" i="100"/>
  <c r="GO559" i="100"/>
  <c r="GO555" i="100"/>
  <c r="GO551" i="100"/>
  <c r="GO547" i="100"/>
  <c r="GO543" i="100"/>
  <c r="GO539" i="100"/>
  <c r="GO535" i="100"/>
  <c r="GO531" i="100"/>
  <c r="GO527" i="100"/>
  <c r="GO523" i="100"/>
  <c r="GO519" i="100"/>
  <c r="GO515" i="100"/>
  <c r="GO511" i="100"/>
  <c r="GO507" i="100"/>
  <c r="GO503" i="100"/>
  <c r="GO499" i="100"/>
  <c r="GO495" i="100"/>
  <c r="GO491" i="100"/>
  <c r="GO487" i="100"/>
  <c r="GO483" i="100"/>
  <c r="GO479" i="100"/>
  <c r="GO475" i="100"/>
  <c r="GO471" i="100"/>
  <c r="GO467" i="100"/>
  <c r="GO463" i="100"/>
  <c r="GO459" i="100"/>
  <c r="GO455" i="100"/>
  <c r="GO451" i="100"/>
  <c r="GO447" i="100"/>
  <c r="GO443" i="100"/>
  <c r="GO439" i="100"/>
  <c r="GO435" i="100"/>
  <c r="GO431" i="100"/>
  <c r="GO427" i="100"/>
  <c r="GO423" i="100"/>
  <c r="GO419" i="100"/>
  <c r="GO415" i="100"/>
  <c r="GO411" i="100"/>
  <c r="GO407" i="100"/>
  <c r="GO403" i="100"/>
  <c r="GO399" i="100"/>
  <c r="GO395" i="100"/>
  <c r="GO391" i="100"/>
  <c r="GS389" i="100"/>
  <c r="GR389" i="100"/>
  <c r="GT389" i="100" s="1"/>
  <c r="GO389" i="100"/>
  <c r="GO383" i="100"/>
  <c r="GR381" i="100"/>
  <c r="GT381" i="100" s="1"/>
  <c r="GO381" i="100"/>
  <c r="GS381" i="100"/>
  <c r="GO375" i="100"/>
  <c r="GS373" i="100"/>
  <c r="GR373" i="100"/>
  <c r="GT373" i="100" s="1"/>
  <c r="GO373" i="100"/>
  <c r="GO367" i="100"/>
  <c r="GS365" i="100"/>
  <c r="GR365" i="100"/>
  <c r="GT365" i="100" s="1"/>
  <c r="GO365" i="100"/>
  <c r="GO359" i="100"/>
  <c r="GS357" i="100"/>
  <c r="GR357" i="100"/>
  <c r="GT357" i="100" s="1"/>
  <c r="GO357" i="100"/>
  <c r="GO351" i="100"/>
  <c r="GR349" i="100"/>
  <c r="GT349" i="100" s="1"/>
  <c r="GO349" i="100"/>
  <c r="GO343" i="100"/>
  <c r="GR341" i="100"/>
  <c r="GT341" i="100" s="1"/>
  <c r="GO341" i="100"/>
  <c r="GS341" i="100"/>
  <c r="GO335" i="100"/>
  <c r="GS333" i="100"/>
  <c r="GR333" i="100"/>
  <c r="GT333" i="100" s="1"/>
  <c r="GO333" i="100"/>
  <c r="GO327" i="100"/>
  <c r="GR325" i="100"/>
  <c r="GT325" i="100" s="1"/>
  <c r="GO325" i="100"/>
  <c r="GS325" i="100"/>
  <c r="GO319" i="100"/>
  <c r="GS317" i="100"/>
  <c r="GR317" i="100"/>
  <c r="GT317" i="100" s="1"/>
  <c r="GO317" i="100"/>
  <c r="GO311" i="100"/>
  <c r="GR309" i="100"/>
  <c r="GT309" i="100" s="1"/>
  <c r="GO309" i="100"/>
  <c r="GO303" i="100"/>
  <c r="GS301" i="100"/>
  <c r="GR301" i="100"/>
  <c r="GT301" i="100" s="1"/>
  <c r="GO301" i="100"/>
  <c r="GS297" i="100"/>
  <c r="GR297" i="100"/>
  <c r="GT297" i="100" s="1"/>
  <c r="GR293" i="100"/>
  <c r="GT293" i="100" s="1"/>
  <c r="GS293" i="100"/>
  <c r="GS289" i="100"/>
  <c r="GR289" i="100"/>
  <c r="GT289" i="100" s="1"/>
  <c r="GS285" i="100"/>
  <c r="GR285" i="100"/>
  <c r="GT285" i="100" s="1"/>
  <c r="GS281" i="100"/>
  <c r="GR281" i="100"/>
  <c r="GT281" i="100" s="1"/>
  <c r="GR277" i="100"/>
  <c r="GT277" i="100" s="1"/>
  <c r="GS277" i="100"/>
  <c r="GS273" i="100"/>
  <c r="GR273" i="100"/>
  <c r="GT273" i="100" s="1"/>
  <c r="GS269" i="100"/>
  <c r="GR269" i="100"/>
  <c r="GT269" i="100" s="1"/>
  <c r="GS265" i="100"/>
  <c r="GR265" i="100"/>
  <c r="GT265" i="100" s="1"/>
  <c r="GR261" i="100"/>
  <c r="GT261" i="100" s="1"/>
  <c r="GS261" i="100"/>
  <c r="GS257" i="100"/>
  <c r="GR257" i="100"/>
  <c r="GT257" i="100" s="1"/>
  <c r="GS253" i="100"/>
  <c r="GR253" i="100"/>
  <c r="GT253" i="100" s="1"/>
  <c r="GS249" i="100"/>
  <c r="GR249" i="100"/>
  <c r="GT249" i="100" s="1"/>
  <c r="GS241" i="100"/>
  <c r="GR241" i="100"/>
  <c r="GT241" i="100" s="1"/>
  <c r="GS237" i="100"/>
  <c r="GR237" i="100"/>
  <c r="GT237" i="100" s="1"/>
  <c r="GS233" i="100"/>
  <c r="GR233" i="100"/>
  <c r="GT233" i="100" s="1"/>
  <c r="GR229" i="100"/>
  <c r="GT229" i="100" s="1"/>
  <c r="GS229" i="100"/>
  <c r="GS225" i="100"/>
  <c r="GR225" i="100"/>
  <c r="GT225" i="100" s="1"/>
  <c r="GS221" i="100"/>
  <c r="GR221" i="100"/>
  <c r="GT221" i="100" s="1"/>
  <c r="GS217" i="100"/>
  <c r="GR217" i="100"/>
  <c r="GT217" i="100" s="1"/>
  <c r="GR759" i="100"/>
  <c r="GT759" i="100" s="1"/>
  <c r="GR748" i="100"/>
  <c r="GT748" i="100" s="1"/>
  <c r="GR738" i="100"/>
  <c r="GT738" i="100" s="1"/>
  <c r="GR727" i="100"/>
  <c r="GT727" i="100" s="1"/>
  <c r="GR716" i="100"/>
  <c r="GT716" i="100" s="1"/>
  <c r="GR706" i="100"/>
  <c r="GT706" i="100" s="1"/>
  <c r="GR695" i="100"/>
  <c r="GT695" i="100" s="1"/>
  <c r="GR674" i="100"/>
  <c r="GT674" i="100" s="1"/>
  <c r="GR663" i="100"/>
  <c r="GT663" i="100" s="1"/>
  <c r="GR642" i="100"/>
  <c r="GT642" i="100" s="1"/>
  <c r="GR631" i="100"/>
  <c r="GT631" i="100" s="1"/>
  <c r="GR610" i="100"/>
  <c r="GT610" i="100" s="1"/>
  <c r="GR599" i="100"/>
  <c r="GT599" i="100" s="1"/>
  <c r="GR578" i="100"/>
  <c r="GT578" i="100" s="1"/>
  <c r="GR567" i="100"/>
  <c r="GT567" i="100" s="1"/>
  <c r="GR546" i="100"/>
  <c r="GT546" i="100" s="1"/>
  <c r="GR535" i="100"/>
  <c r="GT535" i="100" s="1"/>
  <c r="GR514" i="100"/>
  <c r="GT514" i="100" s="1"/>
  <c r="GR503" i="100"/>
  <c r="GT503" i="100" s="1"/>
  <c r="GR482" i="100"/>
  <c r="GT482" i="100" s="1"/>
  <c r="GR471" i="100"/>
  <c r="GT471" i="100" s="1"/>
  <c r="GR450" i="100"/>
  <c r="GT450" i="100" s="1"/>
  <c r="GR439" i="100"/>
  <c r="GT439" i="100" s="1"/>
  <c r="GR418" i="100"/>
  <c r="GT418" i="100" s="1"/>
  <c r="GR403" i="100"/>
  <c r="GT403" i="100" s="1"/>
  <c r="GR211" i="100"/>
  <c r="GT211" i="100" s="1"/>
  <c r="GR195" i="100"/>
  <c r="GT195" i="100" s="1"/>
  <c r="GR179" i="100"/>
  <c r="GT179" i="100" s="1"/>
  <c r="GR162" i="100"/>
  <c r="GT162" i="100" s="1"/>
  <c r="GR141" i="100"/>
  <c r="GT141" i="100" s="1"/>
  <c r="GR120" i="100"/>
  <c r="GT120" i="100" s="1"/>
  <c r="GR98" i="100"/>
  <c r="GT98" i="100" s="1"/>
  <c r="GR77" i="100"/>
  <c r="GT77" i="100" s="1"/>
  <c r="GR56" i="100"/>
  <c r="GT56" i="100" s="1"/>
  <c r="GR34" i="100"/>
  <c r="GT34" i="100" s="1"/>
  <c r="GS738" i="100"/>
  <c r="GS706" i="100"/>
  <c r="GS419" i="100"/>
  <c r="GS391" i="100"/>
  <c r="GS71" i="100"/>
  <c r="GP19" i="100"/>
  <c r="GS19" i="100"/>
  <c r="GR19" i="100"/>
  <c r="GT19" i="100" s="1"/>
  <c r="GP16" i="100"/>
  <c r="GS16" i="100"/>
  <c r="GR16" i="100"/>
  <c r="GT16" i="100" s="1"/>
  <c r="GP13" i="100"/>
  <c r="GS13" i="100"/>
  <c r="GP10" i="100"/>
  <c r="GS10" i="100"/>
  <c r="GR10" i="100"/>
  <c r="GT10" i="100" s="1"/>
  <c r="GO413" i="100"/>
  <c r="GO405" i="100"/>
  <c r="GO387" i="100"/>
  <c r="GO379" i="100"/>
  <c r="GO371" i="100"/>
  <c r="GO355" i="100"/>
  <c r="GO347" i="100"/>
  <c r="GO339" i="100"/>
  <c r="GO331" i="100"/>
  <c r="GO323" i="100"/>
  <c r="GO315" i="100"/>
  <c r="GO307" i="100"/>
  <c r="GO216" i="100"/>
  <c r="GS216" i="100"/>
  <c r="GR692" i="100"/>
  <c r="GT692" i="100" s="1"/>
  <c r="GR628" i="100"/>
  <c r="GT628" i="100" s="1"/>
  <c r="GR612" i="100"/>
  <c r="GT612" i="100" s="1"/>
  <c r="GR596" i="100"/>
  <c r="GT596" i="100" s="1"/>
  <c r="GR580" i="100"/>
  <c r="GT580" i="100" s="1"/>
  <c r="GR564" i="100"/>
  <c r="GT564" i="100" s="1"/>
  <c r="GR548" i="100"/>
  <c r="GT548" i="100" s="1"/>
  <c r="GR532" i="100"/>
  <c r="GT532" i="100" s="1"/>
  <c r="GR516" i="100"/>
  <c r="GT516" i="100" s="1"/>
  <c r="GR500" i="100"/>
  <c r="GT500" i="100" s="1"/>
  <c r="GR484" i="100"/>
  <c r="GT484" i="100" s="1"/>
  <c r="GR468" i="100"/>
  <c r="GT468" i="100" s="1"/>
  <c r="GR452" i="100"/>
  <c r="GT452" i="100" s="1"/>
  <c r="GR436" i="100"/>
  <c r="GT436" i="100" s="1"/>
  <c r="GR420" i="100"/>
  <c r="GT420" i="100" s="1"/>
  <c r="GR296" i="100"/>
  <c r="GT296" i="100" s="1"/>
  <c r="GR291" i="100"/>
  <c r="GT291" i="100" s="1"/>
  <c r="GR280" i="100"/>
  <c r="GT280" i="100" s="1"/>
  <c r="GR275" i="100"/>
  <c r="GT275" i="100" s="1"/>
  <c r="GR264" i="100"/>
  <c r="GT264" i="100" s="1"/>
  <c r="GR259" i="100"/>
  <c r="GT259" i="100" s="1"/>
  <c r="GR248" i="100"/>
  <c r="GT248" i="100" s="1"/>
  <c r="GR243" i="100"/>
  <c r="GT243" i="100" s="1"/>
  <c r="GR232" i="100"/>
  <c r="GT232" i="100" s="1"/>
  <c r="GR227" i="100"/>
  <c r="GT227" i="100" s="1"/>
  <c r="GR216" i="100"/>
  <c r="GT216" i="100" s="1"/>
  <c r="GS680" i="100"/>
  <c r="GS664" i="100"/>
  <c r="GS648" i="100"/>
  <c r="GS413" i="100"/>
  <c r="GP28" i="100"/>
  <c r="GS28" i="100"/>
  <c r="GR28" i="100"/>
  <c r="GT28" i="100" s="1"/>
  <c r="GP22" i="100"/>
  <c r="GS22" i="100"/>
  <c r="GR22" i="100"/>
  <c r="GT22" i="100" s="1"/>
  <c r="GP15" i="100"/>
  <c r="GS15" i="100"/>
  <c r="GR15" i="100"/>
  <c r="GT15" i="100" s="1"/>
  <c r="GP12" i="100"/>
  <c r="GS12" i="100"/>
  <c r="GR12" i="100"/>
  <c r="GT12" i="100" s="1"/>
  <c r="GP9" i="100"/>
  <c r="GS9" i="100"/>
  <c r="GS765" i="100"/>
  <c r="GR765" i="100"/>
  <c r="GT765" i="100" s="1"/>
  <c r="GS761" i="100"/>
  <c r="GR761" i="100"/>
  <c r="GT761" i="100" s="1"/>
  <c r="GS757" i="100"/>
  <c r="GR757" i="100"/>
  <c r="GT757" i="100" s="1"/>
  <c r="GS753" i="100"/>
  <c r="GR753" i="100"/>
  <c r="GT753" i="100" s="1"/>
  <c r="GS749" i="100"/>
  <c r="GR749" i="100"/>
  <c r="GT749" i="100" s="1"/>
  <c r="GS745" i="100"/>
  <c r="GR745" i="100"/>
  <c r="GT745" i="100" s="1"/>
  <c r="GS741" i="100"/>
  <c r="GR741" i="100"/>
  <c r="GT741" i="100" s="1"/>
  <c r="GS737" i="100"/>
  <c r="GR737" i="100"/>
  <c r="GT737" i="100" s="1"/>
  <c r="GS733" i="100"/>
  <c r="GR733" i="100"/>
  <c r="GT733" i="100" s="1"/>
  <c r="GS729" i="100"/>
  <c r="GR729" i="100"/>
  <c r="GT729" i="100" s="1"/>
  <c r="GS725" i="100"/>
  <c r="GR725" i="100"/>
  <c r="GT725" i="100" s="1"/>
  <c r="GS721" i="100"/>
  <c r="GR721" i="100"/>
  <c r="GT721" i="100" s="1"/>
  <c r="GS717" i="100"/>
  <c r="GR717" i="100"/>
  <c r="GT717" i="100" s="1"/>
  <c r="GS713" i="100"/>
  <c r="GR713" i="100"/>
  <c r="GT713" i="100" s="1"/>
  <c r="GS709" i="100"/>
  <c r="GR709" i="100"/>
  <c r="GT709" i="100" s="1"/>
  <c r="GS705" i="100"/>
  <c r="GR705" i="100"/>
  <c r="GT705" i="100" s="1"/>
  <c r="GS701" i="100"/>
  <c r="GR701" i="100"/>
  <c r="GT701" i="100" s="1"/>
  <c r="GS697" i="100"/>
  <c r="GR697" i="100"/>
  <c r="GT697" i="100" s="1"/>
  <c r="GS693" i="100"/>
  <c r="GR693" i="100"/>
  <c r="GT693" i="100" s="1"/>
  <c r="GS689" i="100"/>
  <c r="GR689" i="100"/>
  <c r="GT689" i="100" s="1"/>
  <c r="GS685" i="100"/>
  <c r="GR685" i="100"/>
  <c r="GT685" i="100" s="1"/>
  <c r="GS681" i="100"/>
  <c r="GR681" i="100"/>
  <c r="GT681" i="100" s="1"/>
  <c r="GS677" i="100"/>
  <c r="GR677" i="100"/>
  <c r="GT677" i="100" s="1"/>
  <c r="GS673" i="100"/>
  <c r="GR673" i="100"/>
  <c r="GT673" i="100" s="1"/>
  <c r="GS669" i="100"/>
  <c r="GR669" i="100"/>
  <c r="GT669" i="100" s="1"/>
  <c r="GS665" i="100"/>
  <c r="GR665" i="100"/>
  <c r="GT665" i="100" s="1"/>
  <c r="GS661" i="100"/>
  <c r="GR661" i="100"/>
  <c r="GT661" i="100" s="1"/>
  <c r="GS657" i="100"/>
  <c r="GR657" i="100"/>
  <c r="GT657" i="100" s="1"/>
  <c r="GS653" i="100"/>
  <c r="GR653" i="100"/>
  <c r="GT653" i="100" s="1"/>
  <c r="GS649" i="100"/>
  <c r="GR649" i="100"/>
  <c r="GT649" i="100" s="1"/>
  <c r="GS645" i="100"/>
  <c r="GR645" i="100"/>
  <c r="GT645" i="100" s="1"/>
  <c r="GS641" i="100"/>
  <c r="GR641" i="100"/>
  <c r="GT641" i="100" s="1"/>
  <c r="GS637" i="100"/>
  <c r="GR637" i="100"/>
  <c r="GT637" i="100" s="1"/>
  <c r="GS633" i="100"/>
  <c r="GR633" i="100"/>
  <c r="GT633" i="100" s="1"/>
  <c r="GS629" i="100"/>
  <c r="GR629" i="100"/>
  <c r="GT629" i="100" s="1"/>
  <c r="GS625" i="100"/>
  <c r="GR625" i="100"/>
  <c r="GT625" i="100" s="1"/>
  <c r="GS621" i="100"/>
  <c r="GR621" i="100"/>
  <c r="GT621" i="100" s="1"/>
  <c r="GS617" i="100"/>
  <c r="GR617" i="100"/>
  <c r="GT617" i="100" s="1"/>
  <c r="GS613" i="100"/>
  <c r="GR613" i="100"/>
  <c r="GT613" i="100" s="1"/>
  <c r="GS609" i="100"/>
  <c r="GR609" i="100"/>
  <c r="GT609" i="100" s="1"/>
  <c r="GS605" i="100"/>
  <c r="GR605" i="100"/>
  <c r="GT605" i="100" s="1"/>
  <c r="GS601" i="100"/>
  <c r="GR601" i="100"/>
  <c r="GT601" i="100" s="1"/>
  <c r="GS597" i="100"/>
  <c r="GR597" i="100"/>
  <c r="GT597" i="100" s="1"/>
  <c r="GS593" i="100"/>
  <c r="GR593" i="100"/>
  <c r="GT593" i="100" s="1"/>
  <c r="GS589" i="100"/>
  <c r="GR589" i="100"/>
  <c r="GT589" i="100" s="1"/>
  <c r="GS585" i="100"/>
  <c r="GR585" i="100"/>
  <c r="GT585" i="100" s="1"/>
  <c r="GS581" i="100"/>
  <c r="GR581" i="100"/>
  <c r="GT581" i="100" s="1"/>
  <c r="GS577" i="100"/>
  <c r="GR577" i="100"/>
  <c r="GT577" i="100" s="1"/>
  <c r="GS573" i="100"/>
  <c r="GR573" i="100"/>
  <c r="GT573" i="100" s="1"/>
  <c r="GS569" i="100"/>
  <c r="GR569" i="100"/>
  <c r="GT569" i="100" s="1"/>
  <c r="GS565" i="100"/>
  <c r="GR565" i="100"/>
  <c r="GT565" i="100" s="1"/>
  <c r="GS561" i="100"/>
  <c r="GR561" i="100"/>
  <c r="GT561" i="100" s="1"/>
  <c r="GS557" i="100"/>
  <c r="GR557" i="100"/>
  <c r="GT557" i="100" s="1"/>
  <c r="GS553" i="100"/>
  <c r="GR553" i="100"/>
  <c r="GT553" i="100" s="1"/>
  <c r="GS549" i="100"/>
  <c r="GR549" i="100"/>
  <c r="GT549" i="100" s="1"/>
  <c r="GS545" i="100"/>
  <c r="GR545" i="100"/>
  <c r="GT545" i="100" s="1"/>
  <c r="GS541" i="100"/>
  <c r="GR541" i="100"/>
  <c r="GT541" i="100" s="1"/>
  <c r="GS537" i="100"/>
  <c r="GR537" i="100"/>
  <c r="GT537" i="100" s="1"/>
  <c r="GS533" i="100"/>
  <c r="GR533" i="100"/>
  <c r="GT533" i="100" s="1"/>
  <c r="GS529" i="100"/>
  <c r="GR529" i="100"/>
  <c r="GT529" i="100" s="1"/>
  <c r="GS525" i="100"/>
  <c r="GR525" i="100"/>
  <c r="GT525" i="100" s="1"/>
  <c r="GS521" i="100"/>
  <c r="GR521" i="100"/>
  <c r="GT521" i="100" s="1"/>
  <c r="GS517" i="100"/>
  <c r="GR517" i="100"/>
  <c r="GT517" i="100" s="1"/>
  <c r="GS513" i="100"/>
  <c r="GR513" i="100"/>
  <c r="GT513" i="100" s="1"/>
  <c r="GS509" i="100"/>
  <c r="GR509" i="100"/>
  <c r="GT509" i="100" s="1"/>
  <c r="GS505" i="100"/>
  <c r="GR505" i="100"/>
  <c r="GT505" i="100" s="1"/>
  <c r="GS501" i="100"/>
  <c r="GR501" i="100"/>
  <c r="GT501" i="100" s="1"/>
  <c r="GS497" i="100"/>
  <c r="GR497" i="100"/>
  <c r="GT497" i="100" s="1"/>
  <c r="GS493" i="100"/>
  <c r="GR493" i="100"/>
  <c r="GT493" i="100" s="1"/>
  <c r="GS489" i="100"/>
  <c r="GR489" i="100"/>
  <c r="GT489" i="100" s="1"/>
  <c r="GS485" i="100"/>
  <c r="GR485" i="100"/>
  <c r="GT485" i="100" s="1"/>
  <c r="GS481" i="100"/>
  <c r="GR481" i="100"/>
  <c r="GT481" i="100" s="1"/>
  <c r="GS477" i="100"/>
  <c r="GR477" i="100"/>
  <c r="GT477" i="100" s="1"/>
  <c r="GS473" i="100"/>
  <c r="GR473" i="100"/>
  <c r="GT473" i="100" s="1"/>
  <c r="GS469" i="100"/>
  <c r="GR469" i="100"/>
  <c r="GT469" i="100" s="1"/>
  <c r="GS465" i="100"/>
  <c r="GR465" i="100"/>
  <c r="GT465" i="100" s="1"/>
  <c r="GS461" i="100"/>
  <c r="GR461" i="100"/>
  <c r="GT461" i="100" s="1"/>
  <c r="GS457" i="100"/>
  <c r="GR457" i="100"/>
  <c r="GT457" i="100" s="1"/>
  <c r="GS453" i="100"/>
  <c r="GR453" i="100"/>
  <c r="GT453" i="100" s="1"/>
  <c r="GS449" i="100"/>
  <c r="GR449" i="100"/>
  <c r="GT449" i="100" s="1"/>
  <c r="GS445" i="100"/>
  <c r="GR445" i="100"/>
  <c r="GT445" i="100" s="1"/>
  <c r="GS441" i="100"/>
  <c r="GR441" i="100"/>
  <c r="GT441" i="100" s="1"/>
  <c r="GS437" i="100"/>
  <c r="GR437" i="100"/>
  <c r="GT437" i="100" s="1"/>
  <c r="GS433" i="100"/>
  <c r="GR433" i="100"/>
  <c r="GT433" i="100" s="1"/>
  <c r="GS429" i="100"/>
  <c r="GR429" i="100"/>
  <c r="GT429" i="100" s="1"/>
  <c r="GS425" i="100"/>
  <c r="GR425" i="100"/>
  <c r="GT425" i="100" s="1"/>
  <c r="GS421" i="100"/>
  <c r="GR421" i="100"/>
  <c r="GT421" i="100" s="1"/>
  <c r="GS417" i="100"/>
  <c r="GR417" i="100"/>
  <c r="GT417" i="100" s="1"/>
  <c r="GS409" i="100"/>
  <c r="GR409" i="100"/>
  <c r="GT409" i="100" s="1"/>
  <c r="GS401" i="100"/>
  <c r="GR401" i="100"/>
  <c r="GT401" i="100" s="1"/>
  <c r="GS397" i="100"/>
  <c r="GR397" i="100"/>
  <c r="GT397" i="100" s="1"/>
  <c r="GS393" i="100"/>
  <c r="GR393" i="100"/>
  <c r="GT393" i="100" s="1"/>
  <c r="GS390" i="100"/>
  <c r="GP390" i="100"/>
  <c r="GR390" i="100"/>
  <c r="GT390" i="100" s="1"/>
  <c r="GS385" i="100"/>
  <c r="GR385" i="100"/>
  <c r="GT385" i="100" s="1"/>
  <c r="GO385" i="100"/>
  <c r="GS382" i="100"/>
  <c r="GP382" i="100"/>
  <c r="GR382" i="100"/>
  <c r="GT382" i="100" s="1"/>
  <c r="GS377" i="100"/>
  <c r="GR377" i="100"/>
  <c r="GT377" i="100" s="1"/>
  <c r="GO377" i="100"/>
  <c r="GP374" i="100"/>
  <c r="GS374" i="100"/>
  <c r="GR374" i="100"/>
  <c r="GT374" i="100" s="1"/>
  <c r="GS369" i="100"/>
  <c r="GR369" i="100"/>
  <c r="GT369" i="100" s="1"/>
  <c r="GO369" i="100"/>
  <c r="GS366" i="100"/>
  <c r="GP366" i="100"/>
  <c r="GR366" i="100"/>
  <c r="GT366" i="100" s="1"/>
  <c r="GS361" i="100"/>
  <c r="GR361" i="100"/>
  <c r="GT361" i="100" s="1"/>
  <c r="GO361" i="100"/>
  <c r="GS358" i="100"/>
  <c r="GP358" i="100"/>
  <c r="GR358" i="100"/>
  <c r="GT358" i="100" s="1"/>
  <c r="GS353" i="100"/>
  <c r="GR353" i="100"/>
  <c r="GT353" i="100" s="1"/>
  <c r="GO353" i="100"/>
  <c r="GS350" i="100"/>
  <c r="GP350" i="100"/>
  <c r="GR350" i="100"/>
  <c r="GT350" i="100" s="1"/>
  <c r="GS345" i="100"/>
  <c r="GR345" i="100"/>
  <c r="GT345" i="100" s="1"/>
  <c r="GO345" i="100"/>
  <c r="GS342" i="100"/>
  <c r="GP342" i="100"/>
  <c r="GR342" i="100"/>
  <c r="GT342" i="100" s="1"/>
  <c r="GS337" i="100"/>
  <c r="GR337" i="100"/>
  <c r="GT337" i="100" s="1"/>
  <c r="GO337" i="100"/>
  <c r="GS334" i="100"/>
  <c r="GP334" i="100"/>
  <c r="GR334" i="100"/>
  <c r="GT334" i="100" s="1"/>
  <c r="GS329" i="100"/>
  <c r="GR329" i="100"/>
  <c r="GT329" i="100" s="1"/>
  <c r="GO329" i="100"/>
  <c r="GS326" i="100"/>
  <c r="GP326" i="100"/>
  <c r="GR326" i="100"/>
  <c r="GT326" i="100" s="1"/>
  <c r="GS321" i="100"/>
  <c r="GR321" i="100"/>
  <c r="GT321" i="100" s="1"/>
  <c r="GO321" i="100"/>
  <c r="GS318" i="100"/>
  <c r="GP318" i="100"/>
  <c r="GR318" i="100"/>
  <c r="GT318" i="100" s="1"/>
  <c r="GS313" i="100"/>
  <c r="GR313" i="100"/>
  <c r="GT313" i="100" s="1"/>
  <c r="GO313" i="100"/>
  <c r="GS310" i="100"/>
  <c r="GP310" i="100"/>
  <c r="GR310" i="100"/>
  <c r="GT310" i="100" s="1"/>
  <c r="GS305" i="100"/>
  <c r="GR305" i="100"/>
  <c r="GT305" i="100" s="1"/>
  <c r="GO305" i="100"/>
  <c r="GS302" i="100"/>
  <c r="GP302" i="100"/>
  <c r="GR302" i="100"/>
  <c r="GT302" i="100" s="1"/>
  <c r="GR632" i="100"/>
  <c r="GT632" i="100" s="1"/>
  <c r="GR616" i="100"/>
  <c r="GT616" i="100" s="1"/>
  <c r="GR600" i="100"/>
  <c r="GT600" i="100" s="1"/>
  <c r="GR584" i="100"/>
  <c r="GT584" i="100" s="1"/>
  <c r="GR568" i="100"/>
  <c r="GT568" i="100" s="1"/>
  <c r="GR552" i="100"/>
  <c r="GT552" i="100" s="1"/>
  <c r="GR536" i="100"/>
  <c r="GT536" i="100" s="1"/>
  <c r="GR520" i="100"/>
  <c r="GT520" i="100" s="1"/>
  <c r="GR504" i="100"/>
  <c r="GT504" i="100" s="1"/>
  <c r="GR488" i="100"/>
  <c r="GT488" i="100" s="1"/>
  <c r="GR472" i="100"/>
  <c r="GT472" i="100" s="1"/>
  <c r="GR456" i="100"/>
  <c r="GT456" i="100" s="1"/>
  <c r="GR440" i="100"/>
  <c r="GT440" i="100" s="1"/>
  <c r="GR424" i="100"/>
  <c r="GT424" i="100" s="1"/>
  <c r="GR412" i="100"/>
  <c r="GT412" i="100" s="1"/>
  <c r="GR404" i="100"/>
  <c r="GT404" i="100" s="1"/>
  <c r="GR396" i="100"/>
  <c r="GT396" i="100" s="1"/>
  <c r="GR300" i="100"/>
  <c r="GT300" i="100" s="1"/>
  <c r="GR295" i="100"/>
  <c r="GT295" i="100" s="1"/>
  <c r="GR284" i="100"/>
  <c r="GT284" i="100" s="1"/>
  <c r="GR279" i="100"/>
  <c r="GT279" i="100" s="1"/>
  <c r="GR268" i="100"/>
  <c r="GT268" i="100" s="1"/>
  <c r="GR263" i="100"/>
  <c r="GT263" i="100" s="1"/>
  <c r="GR252" i="100"/>
  <c r="GT252" i="100" s="1"/>
  <c r="GR247" i="100"/>
  <c r="GT247" i="100" s="1"/>
  <c r="GR236" i="100"/>
  <c r="GT236" i="100" s="1"/>
  <c r="GR231" i="100"/>
  <c r="GT231" i="100" s="1"/>
  <c r="GR220" i="100"/>
  <c r="GT220" i="100" s="1"/>
  <c r="GP747" i="100"/>
  <c r="GP727" i="100"/>
  <c r="GP723" i="100"/>
  <c r="GP707" i="100"/>
  <c r="GP763" i="100"/>
  <c r="GP759" i="100"/>
  <c r="GP755" i="100"/>
  <c r="GP751" i="100"/>
  <c r="GP743" i="100"/>
  <c r="GP739" i="100"/>
  <c r="GP735" i="100"/>
  <c r="GP731" i="100"/>
  <c r="GP719" i="100"/>
  <c r="GP715" i="100"/>
  <c r="GP711" i="100"/>
  <c r="GP703" i="100"/>
  <c r="GP699" i="100"/>
  <c r="GP695" i="100"/>
  <c r="GP764" i="100"/>
  <c r="GO763" i="100"/>
  <c r="GP760" i="100"/>
  <c r="GO759" i="100"/>
  <c r="GP756" i="100"/>
  <c r="GO755" i="100"/>
  <c r="GP752" i="100"/>
  <c r="GO751" i="100"/>
  <c r="GP748" i="100"/>
  <c r="GO747" i="100"/>
  <c r="GP744" i="100"/>
  <c r="GO743" i="100"/>
  <c r="GP740" i="100"/>
  <c r="GO739" i="100"/>
  <c r="GP736" i="100"/>
  <c r="GO735" i="100"/>
  <c r="GP732" i="100"/>
  <c r="GO731" i="100"/>
  <c r="GP728" i="100"/>
  <c r="GO727" i="100"/>
  <c r="GP724" i="100"/>
  <c r="GO723" i="100"/>
  <c r="GP720" i="100"/>
  <c r="GO719" i="100"/>
  <c r="GP716" i="100"/>
  <c r="GO715" i="100"/>
  <c r="GP712" i="100"/>
  <c r="GO711" i="100"/>
  <c r="GP708" i="100"/>
  <c r="GO707" i="100"/>
  <c r="GP704" i="100"/>
  <c r="GO703" i="100"/>
  <c r="GP700" i="100"/>
  <c r="GO699" i="100"/>
  <c r="GP696" i="100"/>
  <c r="GO695" i="100"/>
  <c r="GO764" i="100"/>
  <c r="GO760" i="100"/>
  <c r="GO756" i="100"/>
  <c r="GO752" i="100"/>
  <c r="GO748" i="100"/>
  <c r="GO744" i="100"/>
  <c r="GO740" i="100"/>
  <c r="GO736" i="100"/>
  <c r="GO732" i="100"/>
  <c r="GO728" i="100"/>
  <c r="GO724" i="100"/>
  <c r="GO720" i="100"/>
  <c r="GO716" i="100"/>
  <c r="GO712" i="100"/>
  <c r="GO708" i="100"/>
  <c r="GO704" i="100"/>
  <c r="GO700" i="100"/>
  <c r="GO696" i="100"/>
  <c r="GO299" i="100"/>
  <c r="GP299" i="100"/>
  <c r="GO297" i="100"/>
  <c r="GP297" i="100"/>
  <c r="GO295" i="100"/>
  <c r="GP295" i="100"/>
  <c r="GO293" i="100"/>
  <c r="GP293" i="100"/>
  <c r="GO291" i="100"/>
  <c r="GP291" i="100"/>
  <c r="GO289" i="100"/>
  <c r="GP289" i="100"/>
  <c r="GO287" i="100"/>
  <c r="GP287" i="100"/>
  <c r="GO285" i="100"/>
  <c r="GP285" i="100"/>
  <c r="GO283" i="100"/>
  <c r="GP283" i="100"/>
  <c r="GO281" i="100"/>
  <c r="GP281" i="100"/>
  <c r="GO279" i="100"/>
  <c r="GP279" i="100"/>
  <c r="GO277" i="100"/>
  <c r="GP277" i="100"/>
  <c r="GO275" i="100"/>
  <c r="GP275" i="100"/>
  <c r="GO273" i="100"/>
  <c r="GP273" i="100"/>
  <c r="GO271" i="100"/>
  <c r="GP271" i="100"/>
  <c r="GO269" i="100"/>
  <c r="GP269" i="100"/>
  <c r="GO267" i="100"/>
  <c r="GP267" i="100"/>
  <c r="GO265" i="100"/>
  <c r="GP265" i="100"/>
  <c r="GO263" i="100"/>
  <c r="GP263" i="100"/>
  <c r="GO261" i="100"/>
  <c r="GP261" i="100"/>
  <c r="GO259" i="100"/>
  <c r="GP259" i="100"/>
  <c r="GO257" i="100"/>
  <c r="GP257" i="100"/>
  <c r="GO255" i="100"/>
  <c r="GP255" i="100"/>
  <c r="GO253" i="100"/>
  <c r="GP253" i="100"/>
  <c r="GO251" i="100"/>
  <c r="GP251" i="100"/>
  <c r="GO249" i="100"/>
  <c r="GP249" i="100"/>
  <c r="GO247" i="100"/>
  <c r="GP247" i="100"/>
  <c r="GO245" i="100"/>
  <c r="GP245" i="100"/>
  <c r="GO243" i="100"/>
  <c r="GP243" i="100"/>
  <c r="GO241" i="100"/>
  <c r="GP241" i="100"/>
  <c r="GO239" i="100"/>
  <c r="GP239" i="100"/>
  <c r="GO237" i="100"/>
  <c r="GP237" i="100"/>
  <c r="GO235" i="100"/>
  <c r="GP235" i="100"/>
  <c r="GO233" i="100"/>
  <c r="GP233" i="100"/>
  <c r="GO231" i="100"/>
  <c r="GP231" i="100"/>
  <c r="GO229" i="100"/>
  <c r="GP229" i="100"/>
  <c r="GO227" i="100"/>
  <c r="GP227" i="100"/>
  <c r="GO225" i="100"/>
  <c r="GP225" i="100"/>
  <c r="GO223" i="100"/>
  <c r="GP223" i="100"/>
  <c r="GO221" i="100"/>
  <c r="GP221" i="100"/>
  <c r="GO219" i="100"/>
  <c r="GP219" i="100"/>
  <c r="GO217" i="100"/>
  <c r="GP217" i="100"/>
  <c r="GO300" i="100"/>
  <c r="GP300" i="100"/>
  <c r="GO298" i="100"/>
  <c r="GP298" i="100"/>
  <c r="GO296" i="100"/>
  <c r="GP296" i="100"/>
  <c r="GO294" i="100"/>
  <c r="GP294" i="100"/>
  <c r="GO292" i="100"/>
  <c r="GP292" i="100"/>
  <c r="GO290" i="100"/>
  <c r="GP290" i="100"/>
  <c r="GO288" i="100"/>
  <c r="GP288" i="100"/>
  <c r="GO286" i="100"/>
  <c r="GP286" i="100"/>
  <c r="GO284" i="100"/>
  <c r="GP284" i="100"/>
  <c r="GO282" i="100"/>
  <c r="GP282" i="100"/>
  <c r="GO280" i="100"/>
  <c r="GP280" i="100"/>
  <c r="GO278" i="100"/>
  <c r="GP278" i="100"/>
  <c r="GO276" i="100"/>
  <c r="GP276" i="100"/>
  <c r="GO274" i="100"/>
  <c r="GP274" i="100"/>
  <c r="GO272" i="100"/>
  <c r="GP272" i="100"/>
  <c r="GO270" i="100"/>
  <c r="GP270" i="100"/>
  <c r="GO268" i="100"/>
  <c r="GP268" i="100"/>
  <c r="GO266" i="100"/>
  <c r="GP266" i="100"/>
  <c r="GO264" i="100"/>
  <c r="GP264" i="100"/>
  <c r="GO262" i="100"/>
  <c r="GP262" i="100"/>
  <c r="GO260" i="100"/>
  <c r="GP260" i="100"/>
  <c r="GO258" i="100"/>
  <c r="GP258" i="100"/>
  <c r="GO256" i="100"/>
  <c r="GP256" i="100"/>
  <c r="GO254" i="100"/>
  <c r="GP254" i="100"/>
  <c r="GO252" i="100"/>
  <c r="GP252" i="100"/>
  <c r="GO250" i="100"/>
  <c r="GP250" i="100"/>
  <c r="GO248" i="100"/>
  <c r="GP248" i="100"/>
  <c r="GO246" i="100"/>
  <c r="GP246" i="100"/>
  <c r="GO244" i="100"/>
  <c r="GP244" i="100"/>
  <c r="GO242" i="100"/>
  <c r="GP242" i="100"/>
  <c r="GO240" i="100"/>
  <c r="GP240" i="100"/>
  <c r="GO238" i="100"/>
  <c r="GP238" i="100"/>
  <c r="GO236" i="100"/>
  <c r="GP236" i="100"/>
  <c r="GO234" i="100"/>
  <c r="GP234" i="100"/>
  <c r="GO232" i="100"/>
  <c r="GP232" i="100"/>
  <c r="GO230" i="100"/>
  <c r="GP230" i="100"/>
  <c r="GO228" i="100"/>
  <c r="GP228" i="100"/>
  <c r="GO226" i="100"/>
  <c r="GP226" i="100"/>
  <c r="GO224" i="100"/>
  <c r="GP224" i="100"/>
  <c r="GO222" i="100"/>
  <c r="GP222" i="100"/>
  <c r="GO220" i="100"/>
  <c r="GP220" i="100"/>
  <c r="GO218" i="100"/>
  <c r="GP218" i="100"/>
  <c r="GP216" i="100"/>
  <c r="GP212" i="100"/>
  <c r="GP208" i="100"/>
  <c r="GP204" i="100"/>
  <c r="GP200" i="100"/>
  <c r="GP196" i="100"/>
  <c r="GP192" i="100"/>
  <c r="GP188" i="100"/>
  <c r="GP184" i="100"/>
  <c r="GP180" i="100"/>
  <c r="GP176" i="100"/>
  <c r="GP172" i="100"/>
  <c r="GP168" i="100"/>
  <c r="GP164" i="100"/>
  <c r="GP160" i="100"/>
  <c r="GP156" i="100"/>
  <c r="GP152" i="100"/>
  <c r="GP148" i="100"/>
  <c r="GP144" i="100"/>
  <c r="GP140" i="100"/>
  <c r="GP136" i="100"/>
  <c r="GO104" i="100"/>
  <c r="GP104" i="100"/>
  <c r="GO100" i="100"/>
  <c r="GP100" i="100"/>
  <c r="GO96" i="100"/>
  <c r="GP96" i="100"/>
  <c r="GP81" i="100"/>
  <c r="GO81" i="100"/>
  <c r="GP65" i="100"/>
  <c r="GO65" i="100"/>
  <c r="GP49" i="100"/>
  <c r="GO49" i="100"/>
  <c r="GP33" i="100"/>
  <c r="GO33" i="100"/>
  <c r="GP213" i="100"/>
  <c r="GO212" i="100"/>
  <c r="GP209" i="100"/>
  <c r="GO208" i="100"/>
  <c r="GP205" i="100"/>
  <c r="GO204" i="100"/>
  <c r="GP201" i="100"/>
  <c r="GO200" i="100"/>
  <c r="GP197" i="100"/>
  <c r="GO196" i="100"/>
  <c r="GP193" i="100"/>
  <c r="GO192" i="100"/>
  <c r="GP189" i="100"/>
  <c r="GO188" i="100"/>
  <c r="GP185" i="100"/>
  <c r="GO184" i="100"/>
  <c r="GP181" i="100"/>
  <c r="GO180" i="100"/>
  <c r="GP177" i="100"/>
  <c r="GO176" i="100"/>
  <c r="GP173" i="100"/>
  <c r="GO172" i="100"/>
  <c r="GP169" i="100"/>
  <c r="GO168" i="100"/>
  <c r="GP165" i="100"/>
  <c r="GO164" i="100"/>
  <c r="GP161" i="100"/>
  <c r="GO160" i="100"/>
  <c r="GP157" i="100"/>
  <c r="GO156" i="100"/>
  <c r="GP153" i="100"/>
  <c r="GO152" i="100"/>
  <c r="GP149" i="100"/>
  <c r="GO148" i="100"/>
  <c r="GP145" i="100"/>
  <c r="GO144" i="100"/>
  <c r="GP141" i="100"/>
  <c r="GO140" i="100"/>
  <c r="GP137" i="100"/>
  <c r="GO136" i="100"/>
  <c r="GP133" i="100"/>
  <c r="GP131" i="100"/>
  <c r="GP129" i="100"/>
  <c r="GP127" i="100"/>
  <c r="GP125" i="100"/>
  <c r="GP123" i="100"/>
  <c r="GP121" i="100"/>
  <c r="GP119" i="100"/>
  <c r="GP117" i="100"/>
  <c r="GP115" i="100"/>
  <c r="GP113" i="100"/>
  <c r="GP111" i="100"/>
  <c r="GP109" i="100"/>
  <c r="GP107" i="100"/>
  <c r="GO103" i="100"/>
  <c r="GP103" i="100"/>
  <c r="GO99" i="100"/>
  <c r="GP99" i="100"/>
  <c r="GO95" i="100"/>
  <c r="GP95" i="100"/>
  <c r="GP85" i="100"/>
  <c r="GO85" i="100"/>
  <c r="GP69" i="100"/>
  <c r="GO69" i="100"/>
  <c r="GP53" i="100"/>
  <c r="GO53" i="100"/>
  <c r="GP37" i="100"/>
  <c r="GO37" i="100"/>
  <c r="GP21" i="100"/>
  <c r="GO21" i="100"/>
  <c r="GO106" i="100"/>
  <c r="GP106" i="100"/>
  <c r="GO102" i="100"/>
  <c r="GP102" i="100"/>
  <c r="GO98" i="100"/>
  <c r="GP98" i="100"/>
  <c r="GO94" i="100"/>
  <c r="GP94" i="100"/>
  <c r="GP89" i="100"/>
  <c r="GO89" i="100"/>
  <c r="GP73" i="100"/>
  <c r="GO73" i="100"/>
  <c r="GP57" i="100"/>
  <c r="GO57" i="100"/>
  <c r="GP41" i="100"/>
  <c r="GO41" i="100"/>
  <c r="GP25" i="100"/>
  <c r="GO25" i="100"/>
  <c r="GP134" i="100"/>
  <c r="GP132" i="100"/>
  <c r="GP130" i="100"/>
  <c r="GP128" i="100"/>
  <c r="GP126" i="100"/>
  <c r="GP124" i="100"/>
  <c r="GP122" i="100"/>
  <c r="GP120" i="100"/>
  <c r="GP118" i="100"/>
  <c r="GP116" i="100"/>
  <c r="GP114" i="100"/>
  <c r="GP112" i="100"/>
  <c r="GP110" i="100"/>
  <c r="GP108" i="100"/>
  <c r="GO105" i="100"/>
  <c r="GP105" i="100"/>
  <c r="GO101" i="100"/>
  <c r="GP101" i="100"/>
  <c r="GO97" i="100"/>
  <c r="GP97" i="100"/>
  <c r="GO93" i="100"/>
  <c r="GP93" i="100"/>
  <c r="GP77" i="100"/>
  <c r="GO77" i="100"/>
  <c r="GP61" i="100"/>
  <c r="GO61" i="100"/>
  <c r="GP45" i="100"/>
  <c r="GO45" i="100"/>
  <c r="GP29" i="100"/>
  <c r="GO29" i="100"/>
  <c r="GO91" i="100"/>
  <c r="GO87" i="100"/>
  <c r="GO83" i="100"/>
  <c r="GO79" i="100"/>
  <c r="GO75" i="100"/>
  <c r="GO71" i="100"/>
  <c r="GO67" i="100"/>
  <c r="GO63" i="100"/>
  <c r="GO59" i="100"/>
  <c r="GO55" i="100"/>
  <c r="GO51" i="100"/>
  <c r="GO47" i="100"/>
  <c r="GO43" i="100"/>
  <c r="GO39" i="100"/>
  <c r="GO35" i="100"/>
  <c r="GO31" i="100"/>
  <c r="GO27" i="100"/>
  <c r="GO23" i="100"/>
  <c r="GO19" i="100"/>
  <c r="GO15" i="100"/>
  <c r="GO11" i="100"/>
  <c r="GO92" i="100"/>
  <c r="GO88" i="100"/>
  <c r="GO84" i="100"/>
  <c r="GO80" i="100"/>
  <c r="GO76" i="100"/>
  <c r="GO72" i="100"/>
  <c r="GO68" i="100"/>
  <c r="GO64" i="100"/>
  <c r="GO60" i="100"/>
  <c r="GO56" i="100"/>
  <c r="GO52" i="100"/>
  <c r="GO48" i="100"/>
  <c r="GO44" i="100"/>
  <c r="GO40" i="100"/>
  <c r="GO36" i="100"/>
  <c r="GO32" i="100"/>
  <c r="GO28" i="100"/>
  <c r="GO24" i="100"/>
  <c r="GO20" i="100"/>
  <c r="GO16" i="100"/>
  <c r="GO12" i="100"/>
  <c r="GO8" i="100"/>
  <c r="GO17" i="100"/>
  <c r="GO13" i="100"/>
  <c r="GO9" i="100"/>
  <c r="GP7" i="100" l="1"/>
  <c r="T9" i="100" l="1"/>
  <c r="T10" i="100"/>
  <c r="T11" i="100"/>
  <c r="T12" i="100"/>
  <c r="T13" i="100"/>
  <c r="T14" i="100"/>
  <c r="T15" i="100"/>
  <c r="T16" i="100"/>
  <c r="T17" i="100"/>
  <c r="T18" i="100"/>
  <c r="T19" i="100"/>
  <c r="T20" i="100"/>
  <c r="T21" i="100"/>
  <c r="T22" i="100"/>
  <c r="T23" i="100"/>
  <c r="T24" i="100"/>
  <c r="T25" i="100"/>
  <c r="T26" i="100"/>
  <c r="T27" i="100"/>
  <c r="T28" i="100"/>
  <c r="T29" i="100"/>
  <c r="T30" i="100"/>
  <c r="T31" i="100"/>
  <c r="T32" i="100"/>
  <c r="T33" i="100"/>
  <c r="T34" i="100"/>
  <c r="T35" i="100"/>
  <c r="T36" i="100"/>
  <c r="T37" i="100"/>
  <c r="T38" i="100"/>
  <c r="T39" i="100"/>
  <c r="T40" i="100"/>
  <c r="T41" i="100"/>
  <c r="T42" i="100"/>
  <c r="T43" i="100"/>
  <c r="T44" i="100"/>
  <c r="T45" i="100"/>
  <c r="T46" i="100"/>
  <c r="T47" i="100"/>
  <c r="T48" i="100"/>
  <c r="T49" i="100"/>
  <c r="T7" i="100"/>
  <c r="T8" i="100" l="1"/>
  <c r="AY293" i="100" l="1"/>
  <c r="AX293" i="100"/>
  <c r="AW293" i="100"/>
  <c r="AY292" i="100"/>
  <c r="AX292" i="100"/>
  <c r="AW292" i="100"/>
  <c r="AY291" i="100"/>
  <c r="AX291" i="100"/>
  <c r="AW291" i="100"/>
  <c r="AY290" i="100"/>
  <c r="AX290" i="100"/>
  <c r="AW290" i="100"/>
  <c r="AY289" i="100"/>
  <c r="AX289" i="100"/>
  <c r="AW289" i="100"/>
  <c r="AY288" i="100"/>
  <c r="AX288" i="100"/>
  <c r="AW288" i="100"/>
  <c r="AY263" i="100"/>
  <c r="AX263" i="100"/>
  <c r="AW263" i="100"/>
  <c r="AY262" i="100"/>
  <c r="AX262" i="100"/>
  <c r="AW262" i="100"/>
  <c r="AY261" i="100"/>
  <c r="AX261" i="100"/>
  <c r="AW261" i="100"/>
  <c r="AY260" i="100"/>
  <c r="AX260" i="100"/>
  <c r="AW260" i="100"/>
  <c r="AY259" i="100"/>
  <c r="AX259" i="100"/>
  <c r="AW259" i="100"/>
  <c r="AY258" i="100"/>
  <c r="AX258" i="100"/>
  <c r="AW258" i="100"/>
  <c r="AX231" i="100"/>
  <c r="AY231" i="100"/>
  <c r="AX232" i="100"/>
  <c r="AY232" i="100"/>
  <c r="AX233" i="100"/>
  <c r="AY233" i="100"/>
  <c r="AX234" i="100"/>
  <c r="AY234" i="100"/>
  <c r="AX235" i="100"/>
  <c r="AY235" i="100"/>
  <c r="AX236" i="100"/>
  <c r="AY236" i="100"/>
  <c r="AW231" i="100"/>
  <c r="AW232" i="100"/>
  <c r="AW233" i="100"/>
  <c r="AW234" i="100"/>
  <c r="AW235" i="100"/>
  <c r="AW236" i="100"/>
  <c r="AX8" i="100"/>
  <c r="AX9" i="100"/>
  <c r="AX10" i="100"/>
  <c r="AX11" i="100"/>
  <c r="AX12" i="100"/>
  <c r="AX13" i="100"/>
  <c r="AX14" i="100"/>
  <c r="AX15" i="100"/>
  <c r="AX16" i="100"/>
  <c r="AX17" i="100"/>
  <c r="AX18" i="100"/>
  <c r="AX19" i="100"/>
  <c r="AX20" i="100"/>
  <c r="AX21" i="100"/>
  <c r="AX22" i="100"/>
  <c r="AX23" i="100"/>
  <c r="AX24" i="100"/>
  <c r="AX25" i="100"/>
  <c r="AX26" i="100"/>
  <c r="AX27" i="100"/>
  <c r="AX28" i="100"/>
  <c r="AX29" i="100"/>
  <c r="AX30" i="100"/>
  <c r="AX31" i="100"/>
  <c r="AX32" i="100"/>
  <c r="AX33" i="100"/>
  <c r="AX34" i="100"/>
  <c r="AX35" i="100"/>
  <c r="AX36" i="100"/>
  <c r="AX37" i="100"/>
  <c r="AX38" i="100"/>
  <c r="AX39" i="100"/>
  <c r="AX40" i="100"/>
  <c r="AX41" i="100"/>
  <c r="AX42" i="100"/>
  <c r="AX43" i="100"/>
  <c r="AX44" i="100"/>
  <c r="AX45" i="100"/>
  <c r="AX46" i="100"/>
  <c r="AX47" i="100"/>
  <c r="AX48" i="100"/>
  <c r="AX49" i="100"/>
  <c r="AX50" i="100"/>
  <c r="AX51" i="100"/>
  <c r="AX52" i="100"/>
  <c r="AX53" i="100"/>
  <c r="AX54" i="100"/>
  <c r="AX55" i="100"/>
  <c r="AX56" i="100"/>
  <c r="AX57" i="100"/>
  <c r="AX58" i="100"/>
  <c r="AX59" i="100"/>
  <c r="AX60" i="100"/>
  <c r="AX61" i="100"/>
  <c r="AX62" i="100"/>
  <c r="AX63" i="100"/>
  <c r="AX64" i="100"/>
  <c r="AX65" i="100"/>
  <c r="AX66" i="100"/>
  <c r="AX67" i="100"/>
  <c r="AX68" i="100"/>
  <c r="AX69" i="100"/>
  <c r="AX70" i="100"/>
  <c r="AX71" i="100"/>
  <c r="AX72" i="100"/>
  <c r="AX73" i="100"/>
  <c r="AX74" i="100"/>
  <c r="AX75" i="100"/>
  <c r="AX76" i="100"/>
  <c r="AX77" i="100"/>
  <c r="AX78" i="100"/>
  <c r="AX79" i="100"/>
  <c r="AX80" i="100"/>
  <c r="AX81" i="100"/>
  <c r="AX82" i="100"/>
  <c r="AX83" i="100"/>
  <c r="AX84" i="100"/>
  <c r="AX85" i="100"/>
  <c r="AX86" i="100"/>
  <c r="AX87" i="100"/>
  <c r="AX88" i="100"/>
  <c r="AX89" i="100"/>
  <c r="AX90" i="100"/>
  <c r="AX91" i="100"/>
  <c r="AX92" i="100"/>
  <c r="AX93" i="100"/>
  <c r="AX94" i="100"/>
  <c r="AX95" i="100"/>
  <c r="AX96" i="100"/>
  <c r="AX97" i="100"/>
  <c r="AX98" i="100"/>
  <c r="AX99" i="100"/>
  <c r="AX100" i="100"/>
  <c r="AX101" i="100"/>
  <c r="AX102" i="100"/>
  <c r="AX103" i="100"/>
  <c r="AX104" i="100"/>
  <c r="AX105" i="100"/>
  <c r="AX106" i="100"/>
  <c r="AX107" i="100"/>
  <c r="AX108" i="100"/>
  <c r="AX109" i="100"/>
  <c r="AX110" i="100"/>
  <c r="AX111" i="100"/>
  <c r="AX112" i="100"/>
  <c r="AX113" i="100"/>
  <c r="AX114" i="100"/>
  <c r="AX115" i="100"/>
  <c r="AX116" i="100"/>
  <c r="AX117" i="100"/>
  <c r="AX118" i="100"/>
  <c r="AX119" i="100"/>
  <c r="AX120" i="100"/>
  <c r="AX121" i="100"/>
  <c r="AX122" i="100"/>
  <c r="AX123" i="100"/>
  <c r="AX124" i="100"/>
  <c r="AX125" i="100"/>
  <c r="AX126" i="100"/>
  <c r="AX127" i="100"/>
  <c r="AX128" i="100"/>
  <c r="AX129" i="100"/>
  <c r="AX130" i="100"/>
  <c r="AX131" i="100"/>
  <c r="AX132" i="100"/>
  <c r="AX133" i="100"/>
  <c r="AX134" i="100"/>
  <c r="AX135" i="100"/>
  <c r="AX136" i="100"/>
  <c r="AX137" i="100"/>
  <c r="AX138" i="100"/>
  <c r="AX139" i="100"/>
  <c r="AX140" i="100"/>
  <c r="AX141" i="100"/>
  <c r="AX142" i="100"/>
  <c r="AX143" i="100"/>
  <c r="AX144" i="100"/>
  <c r="AX145" i="100"/>
  <c r="AX146" i="100"/>
  <c r="AX147" i="100"/>
  <c r="AX148" i="100"/>
  <c r="AX149" i="100"/>
  <c r="AX150" i="100"/>
  <c r="AX151" i="100"/>
  <c r="AX152" i="100"/>
  <c r="AX153" i="100"/>
  <c r="AX154" i="100"/>
  <c r="AX155" i="100"/>
  <c r="AX156" i="100"/>
  <c r="AX157" i="100"/>
  <c r="AX158" i="100"/>
  <c r="AX159" i="100"/>
  <c r="AX160" i="100"/>
  <c r="AX161" i="100"/>
  <c r="AX162" i="100"/>
  <c r="AX163" i="100"/>
  <c r="AX164" i="100"/>
  <c r="AX165" i="100"/>
  <c r="AX166" i="100"/>
  <c r="AX167" i="100"/>
  <c r="AX168" i="100"/>
  <c r="AX169" i="100"/>
  <c r="AX170" i="100"/>
  <c r="AX171" i="100"/>
  <c r="AX172" i="100"/>
  <c r="AX173" i="100"/>
  <c r="AX174" i="100"/>
  <c r="AX175" i="100"/>
  <c r="AX176" i="100"/>
  <c r="AX177" i="100"/>
  <c r="AX178" i="100"/>
  <c r="AX179" i="100"/>
  <c r="AX180" i="100"/>
  <c r="AX181" i="100"/>
  <c r="AX182" i="100"/>
  <c r="AX183" i="100"/>
  <c r="AX184" i="100"/>
  <c r="AX185" i="100"/>
  <c r="AX186" i="100"/>
  <c r="AX187" i="100"/>
  <c r="AX188" i="100"/>
  <c r="AX189" i="100"/>
  <c r="AX190" i="100"/>
  <c r="AX191" i="100"/>
  <c r="AX192" i="100"/>
  <c r="AX193" i="100"/>
  <c r="AX194" i="100"/>
  <c r="AX195" i="100"/>
  <c r="AX196" i="100"/>
  <c r="AX197" i="100"/>
  <c r="AX198" i="100"/>
  <c r="AX199" i="100"/>
  <c r="AX200" i="100"/>
  <c r="AX201" i="100"/>
  <c r="AX202" i="100"/>
  <c r="AX203" i="100"/>
  <c r="AX204" i="100"/>
  <c r="AX205" i="100"/>
  <c r="AX206" i="100"/>
  <c r="AX207" i="100"/>
  <c r="AX208" i="100"/>
  <c r="AX209" i="100"/>
  <c r="AX210" i="100"/>
  <c r="AX211" i="100"/>
  <c r="AX212" i="100"/>
  <c r="AX213" i="100"/>
  <c r="AX214" i="100"/>
  <c r="AX215" i="100"/>
  <c r="AX216" i="100"/>
  <c r="AX217" i="100"/>
  <c r="AX218" i="100"/>
  <c r="AX219" i="100"/>
  <c r="AX220" i="100"/>
  <c r="AX221" i="100"/>
  <c r="AX222" i="100"/>
  <c r="AX223" i="100"/>
  <c r="AX224" i="100"/>
  <c r="AX225" i="100"/>
  <c r="AX226" i="100"/>
  <c r="AX227" i="100"/>
  <c r="AX228" i="100"/>
  <c r="AX229" i="100"/>
  <c r="AX230" i="100"/>
  <c r="AX237" i="100"/>
  <c r="AX238" i="100"/>
  <c r="AX239" i="100"/>
  <c r="AX240" i="100"/>
  <c r="AX241" i="100"/>
  <c r="AX242" i="100"/>
  <c r="AX243" i="100"/>
  <c r="AX244" i="100"/>
  <c r="AX245" i="100"/>
  <c r="AX246" i="100"/>
  <c r="AX247" i="100"/>
  <c r="AX248" i="100"/>
  <c r="AX249" i="100"/>
  <c r="AX250" i="100"/>
  <c r="AX251" i="100"/>
  <c r="AX252" i="100"/>
  <c r="AX253" i="100"/>
  <c r="AX254" i="100"/>
  <c r="AX255" i="100"/>
  <c r="AX256" i="100"/>
  <c r="AX257" i="100"/>
  <c r="AX264" i="100"/>
  <c r="AX265" i="100"/>
  <c r="AX266" i="100"/>
  <c r="AX267" i="100"/>
  <c r="AX268" i="100"/>
  <c r="AX269" i="100"/>
  <c r="AX270" i="100"/>
  <c r="AX271" i="100"/>
  <c r="AX272" i="100"/>
  <c r="AX273" i="100"/>
  <c r="AX274" i="100"/>
  <c r="AX275" i="100"/>
  <c r="AX276" i="100"/>
  <c r="AX277" i="100"/>
  <c r="AX278" i="100"/>
  <c r="AX279" i="100"/>
  <c r="AX280" i="100"/>
  <c r="AX281" i="100"/>
  <c r="AX282" i="100"/>
  <c r="AX283" i="100"/>
  <c r="AX284" i="100"/>
  <c r="AX285" i="100"/>
  <c r="AX286" i="100"/>
  <c r="AX287" i="100"/>
  <c r="AX294" i="100"/>
  <c r="AX295" i="100"/>
  <c r="AX296" i="100"/>
  <c r="AX297" i="100"/>
  <c r="AX298" i="100"/>
  <c r="AX299" i="100"/>
  <c r="AX300" i="100"/>
  <c r="AX301" i="100"/>
  <c r="AX7" i="100"/>
  <c r="L28" i="100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AY8" i="100"/>
  <c r="AY9" i="100"/>
  <c r="AY11" i="100"/>
  <c r="AY12" i="100"/>
  <c r="AY13" i="100"/>
  <c r="AY14" i="100"/>
  <c r="AY15" i="100"/>
  <c r="AY16" i="100"/>
  <c r="AY18" i="100"/>
  <c r="AY19" i="100"/>
  <c r="AY20" i="100"/>
  <c r="AY21" i="100"/>
  <c r="AY22" i="100"/>
  <c r="AY23" i="100"/>
  <c r="AY24" i="100"/>
  <c r="AY26" i="100"/>
  <c r="AY27" i="100"/>
  <c r="AY28" i="100"/>
  <c r="AY29" i="100"/>
  <c r="AY30" i="100"/>
  <c r="AY31" i="100"/>
  <c r="AY32" i="100"/>
  <c r="AY33" i="100"/>
  <c r="AY34" i="100"/>
  <c r="AY35" i="100"/>
  <c r="AY36" i="100"/>
  <c r="AY38" i="100"/>
  <c r="AY39" i="100"/>
  <c r="AY40" i="100"/>
  <c r="AY41" i="100"/>
  <c r="AY42" i="100"/>
  <c r="AY43" i="100"/>
  <c r="AY44" i="100"/>
  <c r="AY45" i="100"/>
  <c r="AY46" i="100"/>
  <c r="AY47" i="100"/>
  <c r="AY48" i="100"/>
  <c r="AY49" i="100"/>
  <c r="AY51" i="100"/>
  <c r="AY52" i="100"/>
  <c r="AY53" i="100"/>
  <c r="AY54" i="100"/>
  <c r="AY55" i="100"/>
  <c r="AY56" i="100"/>
  <c r="AY57" i="100"/>
  <c r="AY58" i="100"/>
  <c r="AY59" i="100"/>
  <c r="AY60" i="100"/>
  <c r="AY61" i="100"/>
  <c r="AY62" i="100"/>
  <c r="AY63" i="100"/>
  <c r="AY65" i="100"/>
  <c r="AY66" i="100"/>
  <c r="AY67" i="100"/>
  <c r="AY68" i="100"/>
  <c r="AY69" i="100"/>
  <c r="AY70" i="100"/>
  <c r="AY71" i="100"/>
  <c r="AY72" i="100"/>
  <c r="AY73" i="100"/>
  <c r="AY74" i="100"/>
  <c r="AY75" i="100"/>
  <c r="AY77" i="100"/>
  <c r="AY78" i="100"/>
  <c r="AY79" i="100"/>
  <c r="AY80" i="100"/>
  <c r="AY81" i="100"/>
  <c r="AY82" i="100"/>
  <c r="AY83" i="100"/>
  <c r="AY84" i="100"/>
  <c r="AY85" i="100"/>
  <c r="AY86" i="100"/>
  <c r="AY87" i="100"/>
  <c r="AY88" i="100"/>
  <c r="AY90" i="100"/>
  <c r="AY91" i="100"/>
  <c r="AY92" i="100"/>
  <c r="AY93" i="100"/>
  <c r="AY94" i="100"/>
  <c r="AY95" i="100"/>
  <c r="AY96" i="100"/>
  <c r="AY97" i="100"/>
  <c r="AY98" i="100"/>
  <c r="AY99" i="100"/>
  <c r="AY100" i="100"/>
  <c r="AY101" i="100"/>
  <c r="AY102" i="100"/>
  <c r="AY104" i="100"/>
  <c r="AY105" i="100"/>
  <c r="AY106" i="100"/>
  <c r="AY107" i="100"/>
  <c r="AY108" i="100"/>
  <c r="AY109" i="100"/>
  <c r="AY110" i="100"/>
  <c r="AY111" i="100"/>
  <c r="AY112" i="100"/>
  <c r="AY113" i="100"/>
  <c r="AY114" i="100"/>
  <c r="AY116" i="100"/>
  <c r="AY117" i="100"/>
  <c r="AY118" i="100"/>
  <c r="AY119" i="100"/>
  <c r="AY120" i="100"/>
  <c r="AY121" i="100"/>
  <c r="AY122" i="100"/>
  <c r="AY123" i="100"/>
  <c r="AY124" i="100"/>
  <c r="AY125" i="100"/>
  <c r="AY126" i="100"/>
  <c r="AY127" i="100"/>
  <c r="AY129" i="100"/>
  <c r="AY130" i="100"/>
  <c r="AY131" i="100"/>
  <c r="AY132" i="100"/>
  <c r="AY133" i="100"/>
  <c r="AY134" i="100"/>
  <c r="AY135" i="100"/>
  <c r="AY136" i="100"/>
  <c r="AY137" i="100"/>
  <c r="AY138" i="100"/>
  <c r="AY139" i="100"/>
  <c r="AY140" i="100"/>
  <c r="AY141" i="100"/>
  <c r="AY142" i="100"/>
  <c r="AY143" i="100"/>
  <c r="AY144" i="100"/>
  <c r="AY145" i="100"/>
  <c r="AY146" i="100"/>
  <c r="AY147" i="100"/>
  <c r="AY148" i="100"/>
  <c r="AY149" i="100"/>
  <c r="AY150" i="100"/>
  <c r="AY151" i="100"/>
  <c r="AY152" i="100"/>
  <c r="AY153" i="100"/>
  <c r="AY154" i="100"/>
  <c r="AY155" i="100"/>
  <c r="AY156" i="100"/>
  <c r="AY157" i="100"/>
  <c r="AY158" i="100"/>
  <c r="AY159" i="100"/>
  <c r="AY160" i="100"/>
  <c r="AY161" i="100"/>
  <c r="AY162" i="100"/>
  <c r="AY163" i="100"/>
  <c r="AY164" i="100"/>
  <c r="AY165" i="100"/>
  <c r="AY166" i="100"/>
  <c r="AY167" i="100"/>
  <c r="AY168" i="100"/>
  <c r="AY169" i="100"/>
  <c r="AY170" i="100"/>
  <c r="AY171" i="100"/>
  <c r="AY172" i="100"/>
  <c r="AY173" i="100"/>
  <c r="AY174" i="100"/>
  <c r="AY175" i="100"/>
  <c r="AY176" i="100"/>
  <c r="AY177" i="100"/>
  <c r="AY178" i="100"/>
  <c r="AY179" i="100"/>
  <c r="AY180" i="100"/>
  <c r="AY181" i="100"/>
  <c r="AY182" i="100"/>
  <c r="AY183" i="100"/>
  <c r="AY184" i="100"/>
  <c r="AY185" i="100"/>
  <c r="AY186" i="100"/>
  <c r="AY187" i="100"/>
  <c r="AY188" i="100"/>
  <c r="AY189" i="100"/>
  <c r="AY190" i="100"/>
  <c r="AY191" i="100"/>
  <c r="AY192" i="100"/>
  <c r="AY193" i="100"/>
  <c r="AY194" i="100"/>
  <c r="AY195" i="100"/>
  <c r="AY196" i="100"/>
  <c r="AY197" i="100"/>
  <c r="AY198" i="100"/>
  <c r="AY199" i="100"/>
  <c r="AY200" i="100"/>
  <c r="AY201" i="100"/>
  <c r="AY202" i="100"/>
  <c r="AY203" i="100"/>
  <c r="AY204" i="100"/>
  <c r="AY205" i="100"/>
  <c r="AY206" i="100"/>
  <c r="AY207" i="100"/>
  <c r="AY208" i="100"/>
  <c r="AY209" i="100"/>
  <c r="AY210" i="100"/>
  <c r="AY211" i="100"/>
  <c r="AY212" i="100"/>
  <c r="AY213" i="100"/>
  <c r="AY214" i="100"/>
  <c r="AY215" i="100"/>
  <c r="AY216" i="100"/>
  <c r="AY217" i="100"/>
  <c r="AY218" i="100"/>
  <c r="AY219" i="100"/>
  <c r="AY220" i="100"/>
  <c r="AY221" i="100"/>
  <c r="AY222" i="100"/>
  <c r="AY223" i="100"/>
  <c r="AY224" i="100"/>
  <c r="AY225" i="100"/>
  <c r="AY226" i="100"/>
  <c r="AY227" i="100"/>
  <c r="AY228" i="100"/>
  <c r="AY229" i="100"/>
  <c r="AY230" i="100"/>
  <c r="AY237" i="100"/>
  <c r="AY238" i="100"/>
  <c r="AY239" i="100"/>
  <c r="AY240" i="100"/>
  <c r="AY241" i="100"/>
  <c r="AY242" i="100"/>
  <c r="AY243" i="100"/>
  <c r="AY244" i="100"/>
  <c r="AY245" i="100"/>
  <c r="AY246" i="100"/>
  <c r="AY247" i="100"/>
  <c r="AY248" i="100"/>
  <c r="AY249" i="100"/>
  <c r="AY250" i="100"/>
  <c r="AY251" i="100"/>
  <c r="AY252" i="100"/>
  <c r="AY253" i="100"/>
  <c r="AY254" i="100"/>
  <c r="AY255" i="100"/>
  <c r="AY256" i="100"/>
  <c r="AY257" i="100"/>
  <c r="AY264" i="100"/>
  <c r="AY265" i="100"/>
  <c r="AY266" i="100"/>
  <c r="AY267" i="100"/>
  <c r="AY268" i="100"/>
  <c r="AY269" i="100"/>
  <c r="AY270" i="100"/>
  <c r="AY271" i="100"/>
  <c r="AY272" i="100"/>
  <c r="AY273" i="100"/>
  <c r="AY274" i="100"/>
  <c r="AY275" i="100"/>
  <c r="AY276" i="100"/>
  <c r="AY277" i="100"/>
  <c r="AY278" i="100"/>
  <c r="AY279" i="100"/>
  <c r="AY280" i="100"/>
  <c r="AY281" i="100"/>
  <c r="AY282" i="100"/>
  <c r="AY283" i="100"/>
  <c r="AY284" i="100"/>
  <c r="AY285" i="100"/>
  <c r="AY286" i="100"/>
  <c r="AY287" i="100"/>
  <c r="AY294" i="100"/>
  <c r="AY295" i="100"/>
  <c r="AY296" i="100"/>
  <c r="AY297" i="100"/>
  <c r="AY298" i="100"/>
  <c r="AY299" i="100"/>
  <c r="AY300" i="100"/>
  <c r="AY301" i="100"/>
  <c r="AI8" i="100"/>
  <c r="AI9" i="100"/>
  <c r="AI10" i="100"/>
  <c r="AI11" i="100"/>
  <c r="AI12" i="100"/>
  <c r="AI13" i="100"/>
  <c r="AI14" i="100"/>
  <c r="AI15" i="100"/>
  <c r="AI16" i="100"/>
  <c r="AI17" i="100"/>
  <c r="AI18" i="100"/>
  <c r="AI19" i="100"/>
  <c r="AI20" i="100"/>
  <c r="AI21" i="100"/>
  <c r="AI22" i="100"/>
  <c r="AI23" i="100"/>
  <c r="AI24" i="100"/>
  <c r="AI25" i="100"/>
  <c r="AI26" i="100"/>
  <c r="AI27" i="100"/>
  <c r="AI28" i="100"/>
  <c r="AI29" i="100"/>
  <c r="AI30" i="100"/>
  <c r="AI31" i="100"/>
  <c r="AI32" i="100"/>
  <c r="AI33" i="100"/>
  <c r="AI34" i="100"/>
  <c r="AI35" i="100"/>
  <c r="AI36" i="100"/>
  <c r="AI37" i="100"/>
  <c r="AI38" i="100"/>
  <c r="AI39" i="100"/>
  <c r="AI40" i="100"/>
  <c r="AI41" i="100"/>
  <c r="AI42" i="100"/>
  <c r="AI43" i="100"/>
  <c r="AI44" i="100"/>
  <c r="AI45" i="100"/>
  <c r="AI46" i="100"/>
  <c r="AI47" i="100"/>
  <c r="AI48" i="100"/>
  <c r="AI7" i="100"/>
  <c r="AY103" i="100" s="1"/>
  <c r="AW8" i="100"/>
  <c r="AW9" i="100"/>
  <c r="AW10" i="100"/>
  <c r="AW11" i="100"/>
  <c r="AW12" i="100"/>
  <c r="AW13" i="100"/>
  <c r="AW14" i="100"/>
  <c r="AW15" i="100"/>
  <c r="AW16" i="100"/>
  <c r="AW17" i="100"/>
  <c r="AW18" i="100"/>
  <c r="AW19" i="100"/>
  <c r="AW20" i="100"/>
  <c r="AW21" i="100"/>
  <c r="AW22" i="100"/>
  <c r="AW23" i="100"/>
  <c r="AW24" i="100"/>
  <c r="AW25" i="100"/>
  <c r="AW26" i="100"/>
  <c r="AW27" i="100"/>
  <c r="AW28" i="100"/>
  <c r="AW29" i="100"/>
  <c r="AW30" i="100"/>
  <c r="AW31" i="100"/>
  <c r="AW32" i="100"/>
  <c r="AW33" i="100"/>
  <c r="AW34" i="100"/>
  <c r="AW35" i="100"/>
  <c r="AW36" i="100"/>
  <c r="AW37" i="100"/>
  <c r="AW38" i="100"/>
  <c r="AW39" i="100"/>
  <c r="AW40" i="100"/>
  <c r="AW41" i="100"/>
  <c r="AW42" i="100"/>
  <c r="AW43" i="100"/>
  <c r="AW44" i="100"/>
  <c r="AW45" i="100"/>
  <c r="AW46" i="100"/>
  <c r="AW47" i="100"/>
  <c r="AW48" i="100"/>
  <c r="AW49" i="100"/>
  <c r="AW50" i="100"/>
  <c r="AW51" i="100"/>
  <c r="AW52" i="100"/>
  <c r="AW53" i="100"/>
  <c r="AW54" i="100"/>
  <c r="AW55" i="100"/>
  <c r="AW56" i="100"/>
  <c r="AW57" i="100"/>
  <c r="AW58" i="100"/>
  <c r="AW59" i="100"/>
  <c r="AW60" i="100"/>
  <c r="AW61" i="100"/>
  <c r="AW62" i="100"/>
  <c r="AW63" i="100"/>
  <c r="AW64" i="100"/>
  <c r="AW65" i="100"/>
  <c r="AW66" i="100"/>
  <c r="AW67" i="100"/>
  <c r="AW68" i="100"/>
  <c r="AW69" i="100"/>
  <c r="AW70" i="100"/>
  <c r="AW71" i="100"/>
  <c r="AW72" i="100"/>
  <c r="AW73" i="100"/>
  <c r="AW74" i="100"/>
  <c r="AW75" i="100"/>
  <c r="AW76" i="100"/>
  <c r="AW77" i="100"/>
  <c r="AW78" i="100"/>
  <c r="AW79" i="100"/>
  <c r="AW80" i="100"/>
  <c r="AW81" i="100"/>
  <c r="AW82" i="100"/>
  <c r="AW83" i="100"/>
  <c r="AW84" i="100"/>
  <c r="AW85" i="100"/>
  <c r="AW86" i="100"/>
  <c r="AW87" i="100"/>
  <c r="AW88" i="100"/>
  <c r="AW89" i="100"/>
  <c r="AW90" i="100"/>
  <c r="AW91" i="100"/>
  <c r="AW92" i="100"/>
  <c r="AW93" i="100"/>
  <c r="AW94" i="100"/>
  <c r="AW95" i="100"/>
  <c r="AW96" i="100"/>
  <c r="AW97" i="100"/>
  <c r="AW98" i="100"/>
  <c r="AW99" i="100"/>
  <c r="AW100" i="100"/>
  <c r="AW101" i="100"/>
  <c r="AW102" i="100"/>
  <c r="AW103" i="100"/>
  <c r="AW104" i="100"/>
  <c r="AW105" i="100"/>
  <c r="AW106" i="100"/>
  <c r="AW107" i="100"/>
  <c r="AW108" i="100"/>
  <c r="AW109" i="100"/>
  <c r="AW110" i="100"/>
  <c r="AW111" i="100"/>
  <c r="AW112" i="100"/>
  <c r="AW113" i="100"/>
  <c r="AW114" i="100"/>
  <c r="AW115" i="100"/>
  <c r="AW116" i="100"/>
  <c r="AW117" i="100"/>
  <c r="AW118" i="100"/>
  <c r="AW119" i="100"/>
  <c r="AW120" i="100"/>
  <c r="AW121" i="100"/>
  <c r="AW122" i="100"/>
  <c r="AW123" i="100"/>
  <c r="AW124" i="100"/>
  <c r="AW125" i="100"/>
  <c r="AW126" i="100"/>
  <c r="AW127" i="100"/>
  <c r="AW128" i="100"/>
  <c r="AW129" i="100"/>
  <c r="AW130" i="100"/>
  <c r="AW131" i="100"/>
  <c r="AW132" i="100"/>
  <c r="AW133" i="100"/>
  <c r="AW134" i="100"/>
  <c r="AW135" i="100"/>
  <c r="AW136" i="100"/>
  <c r="AW137" i="100"/>
  <c r="AW138" i="100"/>
  <c r="AW139" i="100"/>
  <c r="AW140" i="100"/>
  <c r="AW141" i="100"/>
  <c r="AW142" i="100"/>
  <c r="AW143" i="100"/>
  <c r="AW144" i="100"/>
  <c r="AW145" i="100"/>
  <c r="AW146" i="100"/>
  <c r="AW147" i="100"/>
  <c r="AW148" i="100"/>
  <c r="AW149" i="100"/>
  <c r="AW150" i="100"/>
  <c r="AW151" i="100"/>
  <c r="AW152" i="100"/>
  <c r="AW153" i="100"/>
  <c r="AW154" i="100"/>
  <c r="AW155" i="100"/>
  <c r="AW156" i="100"/>
  <c r="AW157" i="100"/>
  <c r="AW158" i="100"/>
  <c r="AW159" i="100"/>
  <c r="AW160" i="100"/>
  <c r="AW161" i="100"/>
  <c r="AW162" i="100"/>
  <c r="AW163" i="100"/>
  <c r="AW164" i="100"/>
  <c r="AW165" i="100"/>
  <c r="AW166" i="100"/>
  <c r="AW167" i="100"/>
  <c r="AW168" i="100"/>
  <c r="AW169" i="100"/>
  <c r="AW170" i="100"/>
  <c r="AW171" i="100"/>
  <c r="AW172" i="100"/>
  <c r="AW173" i="100"/>
  <c r="AW174" i="100"/>
  <c r="AW175" i="100"/>
  <c r="AW176" i="100"/>
  <c r="AW177" i="100"/>
  <c r="AW178" i="100"/>
  <c r="AW179" i="100"/>
  <c r="AW180" i="100"/>
  <c r="AW181" i="100"/>
  <c r="AW182" i="100"/>
  <c r="AW183" i="100"/>
  <c r="AW184" i="100"/>
  <c r="AW185" i="100"/>
  <c r="AW186" i="100"/>
  <c r="AW187" i="100"/>
  <c r="AW188" i="100"/>
  <c r="AW189" i="100"/>
  <c r="AW190" i="100"/>
  <c r="AW191" i="100"/>
  <c r="AW192" i="100"/>
  <c r="AW193" i="100"/>
  <c r="AW194" i="100"/>
  <c r="AW195" i="100"/>
  <c r="AW196" i="100"/>
  <c r="AW197" i="100"/>
  <c r="AW198" i="100"/>
  <c r="AW199" i="100"/>
  <c r="AW200" i="100"/>
  <c r="AW201" i="100"/>
  <c r="AW202" i="100"/>
  <c r="AW203" i="100"/>
  <c r="AW204" i="100"/>
  <c r="AW205" i="100"/>
  <c r="AW206" i="100"/>
  <c r="AW207" i="100"/>
  <c r="AW208" i="100"/>
  <c r="AW209" i="100"/>
  <c r="AW210" i="100"/>
  <c r="AW211" i="100"/>
  <c r="AW212" i="100"/>
  <c r="AW213" i="100"/>
  <c r="AW214" i="100"/>
  <c r="AW215" i="100"/>
  <c r="AW216" i="100"/>
  <c r="AW217" i="100"/>
  <c r="AW218" i="100"/>
  <c r="AW219" i="100"/>
  <c r="AW220" i="100"/>
  <c r="AW221" i="100"/>
  <c r="AW222" i="100"/>
  <c r="AW223" i="100"/>
  <c r="AW224" i="100"/>
  <c r="AW225" i="100"/>
  <c r="AW226" i="100"/>
  <c r="AW227" i="100"/>
  <c r="AW228" i="100"/>
  <c r="AW229" i="100"/>
  <c r="AW230" i="100"/>
  <c r="AW237" i="100"/>
  <c r="AW238" i="100"/>
  <c r="AW239" i="100"/>
  <c r="AW240" i="100"/>
  <c r="AW241" i="100"/>
  <c r="AW242" i="100"/>
  <c r="AW243" i="100"/>
  <c r="AW244" i="100"/>
  <c r="AW245" i="100"/>
  <c r="AW246" i="100"/>
  <c r="AW247" i="100"/>
  <c r="AW248" i="100"/>
  <c r="AW249" i="100"/>
  <c r="AW250" i="100"/>
  <c r="AW251" i="100"/>
  <c r="AW252" i="100"/>
  <c r="AW253" i="100"/>
  <c r="AW254" i="100"/>
  <c r="AW255" i="100"/>
  <c r="AW256" i="100"/>
  <c r="AW257" i="100"/>
  <c r="AW264" i="100"/>
  <c r="AW265" i="100"/>
  <c r="AW266" i="100"/>
  <c r="AW267" i="100"/>
  <c r="AW268" i="100"/>
  <c r="AW269" i="100"/>
  <c r="AW270" i="100"/>
  <c r="AW271" i="100"/>
  <c r="AW272" i="100"/>
  <c r="AW273" i="100"/>
  <c r="AW274" i="100"/>
  <c r="AW275" i="100"/>
  <c r="AW276" i="100"/>
  <c r="AW277" i="100"/>
  <c r="AW278" i="100"/>
  <c r="AW279" i="100"/>
  <c r="AW280" i="100"/>
  <c r="AW281" i="100"/>
  <c r="AW282" i="100"/>
  <c r="AW283" i="100"/>
  <c r="AW284" i="100"/>
  <c r="AW285" i="100"/>
  <c r="AW286" i="100"/>
  <c r="AW287" i="100"/>
  <c r="AW294" i="100"/>
  <c r="AW295" i="100"/>
  <c r="AW296" i="100"/>
  <c r="AW297" i="100"/>
  <c r="AW298" i="100"/>
  <c r="AW299" i="100"/>
  <c r="AW300" i="100"/>
  <c r="AW301" i="100"/>
  <c r="AW7" i="100"/>
  <c r="BD23" i="100" l="1"/>
  <c r="BD16" i="100"/>
  <c r="BD22" i="100"/>
  <c r="BD21" i="100"/>
  <c r="BD20" i="100"/>
  <c r="BD24" i="100"/>
  <c r="BD19" i="100"/>
  <c r="AY89" i="100"/>
  <c r="BD15" i="100" s="1"/>
  <c r="AY37" i="100"/>
  <c r="BD11" i="100" s="1"/>
  <c r="AY25" i="100"/>
  <c r="BD10" i="100" s="1"/>
  <c r="AY17" i="100"/>
  <c r="BD9" i="100" s="1"/>
  <c r="AY50" i="100"/>
  <c r="BD12" i="100" s="1"/>
  <c r="AY10" i="100"/>
  <c r="BD8" i="100" s="1"/>
  <c r="AY7" i="100"/>
  <c r="BD7" i="100" s="1"/>
  <c r="AY128" i="100"/>
  <c r="BD18" i="100" s="1"/>
  <c r="AY76" i="100"/>
  <c r="BD14" i="100" s="1"/>
  <c r="AY64" i="100"/>
  <c r="BD13" i="100" s="1"/>
  <c r="AY115" i="100"/>
  <c r="BD17" i="100" s="1"/>
  <c r="AG48" i="100"/>
  <c r="AG47" i="100"/>
  <c r="AG46" i="100"/>
  <c r="AG45" i="100"/>
  <c r="AG44" i="100"/>
  <c r="AG43" i="100"/>
  <c r="AG42" i="100"/>
  <c r="AG41" i="100"/>
  <c r="AG40" i="100"/>
  <c r="AG39" i="100"/>
  <c r="AG38" i="100"/>
  <c r="AG37" i="100"/>
  <c r="AG36" i="100"/>
  <c r="AG35" i="100"/>
  <c r="AG34" i="100"/>
  <c r="AG33" i="100"/>
  <c r="AG32" i="100"/>
  <c r="AG31" i="100"/>
  <c r="AG30" i="100"/>
  <c r="AG29" i="100"/>
  <c r="AG28" i="100"/>
  <c r="AG27" i="100"/>
  <c r="AG26" i="100"/>
  <c r="AG25" i="100"/>
  <c r="AG24" i="100"/>
  <c r="AG23" i="100"/>
  <c r="AG22" i="100"/>
  <c r="AG21" i="100"/>
  <c r="AG20" i="100"/>
  <c r="AG19" i="100"/>
  <c r="AG18" i="100"/>
  <c r="AG17" i="100"/>
  <c r="AG16" i="100"/>
  <c r="AG15" i="100"/>
  <c r="AG14" i="100"/>
  <c r="AG13" i="100"/>
  <c r="AG12" i="100"/>
  <c r="AG11" i="100"/>
  <c r="AG10" i="100"/>
  <c r="AG9" i="100"/>
  <c r="AG8" i="100"/>
  <c r="AG7" i="100"/>
  <c r="AO6" i="83" l="1"/>
  <c r="AO7" i="83"/>
  <c r="AO8" i="83"/>
  <c r="AO9" i="83"/>
  <c r="AO10" i="83"/>
  <c r="AO11" i="83"/>
  <c r="AO12" i="83"/>
  <c r="AO13" i="83"/>
  <c r="AO14" i="83"/>
  <c r="AO15" i="83"/>
  <c r="AO16" i="83"/>
  <c r="AO17" i="83"/>
  <c r="AO18" i="83"/>
  <c r="AO19" i="83"/>
  <c r="AO20" i="83"/>
  <c r="AO21" i="83"/>
  <c r="AO22" i="83"/>
  <c r="AO23" i="83"/>
  <c r="AO24" i="83"/>
  <c r="AO25" i="83"/>
  <c r="AO26" i="83"/>
  <c r="AO27" i="83"/>
  <c r="AO28" i="83"/>
  <c r="AO29" i="83"/>
  <c r="AO30" i="83"/>
  <c r="AO31" i="83"/>
  <c r="AO32" i="83"/>
  <c r="AO33" i="83"/>
  <c r="AO34" i="83"/>
  <c r="AO35" i="83"/>
  <c r="AO36" i="83"/>
  <c r="AO37" i="83"/>
  <c r="AO38" i="83"/>
  <c r="AO39" i="83"/>
  <c r="AO40" i="83"/>
  <c r="AO41" i="83"/>
  <c r="AO42" i="83"/>
  <c r="AO43" i="83"/>
  <c r="AO44" i="83"/>
  <c r="AO45" i="83"/>
  <c r="AO46" i="83"/>
  <c r="AO47" i="83"/>
  <c r="AO48" i="83"/>
  <c r="AO49" i="83"/>
  <c r="AO50" i="83"/>
  <c r="AO51" i="83"/>
  <c r="AO52" i="83"/>
  <c r="AO53" i="83"/>
  <c r="AO54" i="83"/>
  <c r="AO55" i="83"/>
  <c r="AO56" i="83"/>
  <c r="AO57" i="83"/>
  <c r="AO58" i="83"/>
  <c r="AO59" i="83"/>
  <c r="AO60" i="83"/>
  <c r="AO61" i="83"/>
  <c r="AO62" i="83"/>
  <c r="AO63" i="83"/>
  <c r="AO64" i="83"/>
  <c r="AO65" i="83"/>
  <c r="AO66" i="83"/>
  <c r="AO67" i="83"/>
  <c r="AO68" i="83"/>
  <c r="AO69" i="83"/>
  <c r="AO70" i="83"/>
  <c r="AO71" i="83"/>
  <c r="AO72" i="83"/>
  <c r="AO73" i="83"/>
  <c r="AO74" i="83"/>
  <c r="AO75" i="83"/>
  <c r="AO76" i="83"/>
  <c r="AO77" i="83"/>
  <c r="AO78" i="83"/>
  <c r="AO79" i="83"/>
  <c r="AO80" i="83"/>
  <c r="AO81" i="83"/>
  <c r="AO82" i="83"/>
  <c r="AO83" i="83"/>
  <c r="AO84" i="83"/>
  <c r="AO85" i="83"/>
  <c r="AO86" i="83"/>
  <c r="AO87" i="83"/>
  <c r="AO88" i="83"/>
  <c r="AO89" i="83"/>
  <c r="AO90" i="83"/>
  <c r="AO91" i="83"/>
  <c r="AO92" i="83"/>
  <c r="AO93" i="83"/>
  <c r="AO94" i="83"/>
  <c r="AO95" i="83"/>
  <c r="AO96" i="83"/>
  <c r="AO97" i="83"/>
  <c r="AO98" i="83"/>
  <c r="AO99" i="83"/>
  <c r="AO100" i="83"/>
  <c r="AO101" i="83"/>
  <c r="AO102" i="83"/>
  <c r="AO103" i="83"/>
  <c r="AO104" i="83"/>
  <c r="AO5" i="83"/>
  <c r="AD6" i="83"/>
  <c r="AD7" i="83"/>
  <c r="AD8" i="83"/>
  <c r="AD9" i="83"/>
  <c r="AD10" i="83"/>
  <c r="AD11" i="83"/>
  <c r="AD12" i="83"/>
  <c r="AD13" i="83"/>
  <c r="AD14" i="83"/>
  <c r="AD15" i="83"/>
  <c r="AD16" i="83"/>
  <c r="AD17" i="83"/>
  <c r="AD18" i="83"/>
  <c r="AD19" i="83"/>
  <c r="AD20" i="83"/>
  <c r="AD21" i="83"/>
  <c r="AD22" i="83"/>
  <c r="AD23" i="83"/>
  <c r="AD24" i="83"/>
  <c r="AD25" i="83"/>
  <c r="AD26" i="83"/>
  <c r="AD27" i="83"/>
  <c r="AD28" i="83"/>
  <c r="AD29" i="83"/>
  <c r="AD30" i="83"/>
  <c r="AD31" i="83"/>
  <c r="AD32" i="83"/>
  <c r="AD33" i="83"/>
  <c r="AD34" i="83"/>
  <c r="AD35" i="83"/>
  <c r="AD36" i="83"/>
  <c r="AD37" i="83"/>
  <c r="AD38" i="83"/>
  <c r="AD39" i="83"/>
  <c r="AD40" i="83"/>
  <c r="AD41" i="83"/>
  <c r="AD42" i="83"/>
  <c r="AD43" i="83"/>
  <c r="AD44" i="83"/>
  <c r="AD45" i="83"/>
  <c r="AD46" i="83"/>
  <c r="AD47" i="83"/>
  <c r="AD48" i="83"/>
  <c r="AD49" i="83"/>
  <c r="AD50" i="83"/>
  <c r="AD51" i="83"/>
  <c r="AD52" i="83"/>
  <c r="AD53" i="83"/>
  <c r="AD54" i="83"/>
  <c r="AD55" i="83"/>
  <c r="AD56" i="83"/>
  <c r="AD57" i="83"/>
  <c r="AD58" i="83"/>
  <c r="AD59" i="83"/>
  <c r="AD60" i="83"/>
  <c r="AD61" i="83"/>
  <c r="AD62" i="83"/>
  <c r="AD63" i="83"/>
  <c r="AD64" i="83"/>
  <c r="AD65" i="83"/>
  <c r="AD66" i="83"/>
  <c r="AD67" i="83"/>
  <c r="AD68" i="83"/>
  <c r="AD69" i="83"/>
  <c r="AD70" i="83"/>
  <c r="AD71" i="83"/>
  <c r="AD72" i="83"/>
  <c r="AD73" i="83"/>
  <c r="AD74" i="83"/>
  <c r="AD75" i="83"/>
  <c r="AD76" i="83"/>
  <c r="AD77" i="83"/>
  <c r="AD78" i="83"/>
  <c r="AD79" i="83"/>
  <c r="AD80" i="83"/>
  <c r="AD81" i="83"/>
  <c r="AD82" i="83"/>
  <c r="AD83" i="83"/>
  <c r="AD84" i="83"/>
  <c r="AD85" i="83"/>
  <c r="AD86" i="83"/>
  <c r="AD87" i="83"/>
  <c r="AD88" i="83"/>
  <c r="AD89" i="83"/>
  <c r="AD90" i="83"/>
  <c r="AD91" i="83"/>
  <c r="AD92" i="83"/>
  <c r="AD93" i="83"/>
  <c r="AD94" i="83"/>
  <c r="AD95" i="83"/>
  <c r="AD96" i="83"/>
  <c r="AD97" i="83"/>
  <c r="AD98" i="83"/>
  <c r="AD99" i="83"/>
  <c r="AD100" i="83"/>
  <c r="AD101" i="83"/>
  <c r="AD102" i="83"/>
  <c r="AD103" i="83"/>
  <c r="AD104" i="83"/>
  <c r="AD5" i="83"/>
  <c r="AL6" i="83"/>
  <c r="AL7" i="83"/>
  <c r="AL8" i="83"/>
  <c r="AL9" i="83"/>
  <c r="AL10" i="83"/>
  <c r="AL11" i="83"/>
  <c r="AL12" i="83"/>
  <c r="AL13" i="83"/>
  <c r="AL14" i="83"/>
  <c r="AL15" i="83"/>
  <c r="AL16" i="83"/>
  <c r="AL17" i="83"/>
  <c r="AL18" i="83"/>
  <c r="AL19" i="83"/>
  <c r="AL20" i="83"/>
  <c r="AL21" i="83"/>
  <c r="AL22" i="83"/>
  <c r="AL23" i="83"/>
  <c r="AL24" i="83"/>
  <c r="AL25" i="83"/>
  <c r="AL26" i="83"/>
  <c r="AL27" i="83"/>
  <c r="AL28" i="83"/>
  <c r="AL29" i="83"/>
  <c r="AL30" i="83"/>
  <c r="AL31" i="83"/>
  <c r="AL32" i="83"/>
  <c r="AL33" i="83"/>
  <c r="AL34" i="83"/>
  <c r="AL35" i="83"/>
  <c r="AL36" i="83"/>
  <c r="AL37" i="83"/>
  <c r="AL38" i="83"/>
  <c r="AL39" i="83"/>
  <c r="AL40" i="83"/>
  <c r="AL41" i="83"/>
  <c r="AL42" i="83"/>
  <c r="AL43" i="83"/>
  <c r="AL44" i="83"/>
  <c r="AL45" i="83"/>
  <c r="AL46" i="83"/>
  <c r="AL47" i="83"/>
  <c r="AL48" i="83"/>
  <c r="AL49" i="83"/>
  <c r="AL50" i="83"/>
  <c r="AL51" i="83"/>
  <c r="AL52" i="83"/>
  <c r="AL53" i="83"/>
  <c r="AL54" i="83"/>
  <c r="AL55" i="83"/>
  <c r="AL56" i="83"/>
  <c r="AL57" i="83"/>
  <c r="AL58" i="83"/>
  <c r="AL59" i="83"/>
  <c r="AL60" i="83"/>
  <c r="AL61" i="83"/>
  <c r="AL62" i="83"/>
  <c r="AL63" i="83"/>
  <c r="AL64" i="83"/>
  <c r="AL65" i="83"/>
  <c r="AL66" i="83"/>
  <c r="AL67" i="83"/>
  <c r="AL68" i="83"/>
  <c r="AL69" i="83"/>
  <c r="AL70" i="83"/>
  <c r="AL71" i="83"/>
  <c r="AL72" i="83"/>
  <c r="AL73" i="83"/>
  <c r="AL74" i="83"/>
  <c r="AL75" i="83"/>
  <c r="AL76" i="83"/>
  <c r="AL77" i="83"/>
  <c r="AL78" i="83"/>
  <c r="AL79" i="83"/>
  <c r="AL80" i="83"/>
  <c r="AL81" i="83"/>
  <c r="AL82" i="83"/>
  <c r="AL83" i="83"/>
  <c r="AL84" i="83"/>
  <c r="AL85" i="83"/>
  <c r="AL86" i="83"/>
  <c r="AL87" i="83"/>
  <c r="AL88" i="83"/>
  <c r="AL89" i="83"/>
  <c r="AL90" i="83"/>
  <c r="AL91" i="83"/>
  <c r="AL92" i="83"/>
  <c r="AL93" i="83"/>
  <c r="AL94" i="83"/>
  <c r="AL95" i="83"/>
  <c r="AL96" i="83"/>
  <c r="AL97" i="83"/>
  <c r="AL98" i="83"/>
  <c r="AL99" i="83"/>
  <c r="AL100" i="83"/>
  <c r="AL101" i="83"/>
  <c r="AL102" i="83"/>
  <c r="AL103" i="83"/>
  <c r="AL104" i="83"/>
  <c r="AL5" i="83"/>
  <c r="AA6" i="83"/>
  <c r="AA7" i="83"/>
  <c r="AA8" i="83"/>
  <c r="AA9" i="83"/>
  <c r="AA10" i="83"/>
  <c r="AA11" i="83"/>
  <c r="AA12" i="83"/>
  <c r="AA13" i="83"/>
  <c r="AA14" i="83"/>
  <c r="AA15" i="83"/>
  <c r="AA16" i="83"/>
  <c r="AA17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4" i="83"/>
  <c r="AA35" i="83"/>
  <c r="AA36" i="83"/>
  <c r="AA37" i="83"/>
  <c r="AA38" i="83"/>
  <c r="AA39" i="83"/>
  <c r="AA40" i="83"/>
  <c r="AA41" i="83"/>
  <c r="AA42" i="83"/>
  <c r="AA43" i="83"/>
  <c r="AA44" i="83"/>
  <c r="AA45" i="83"/>
  <c r="AA46" i="83"/>
  <c r="AA47" i="83"/>
  <c r="AA48" i="83"/>
  <c r="AA49" i="83"/>
  <c r="AA50" i="83"/>
  <c r="AA51" i="83"/>
  <c r="AA52" i="83"/>
  <c r="AA53" i="83"/>
  <c r="AA54" i="83"/>
  <c r="AA55" i="83"/>
  <c r="AA56" i="83"/>
  <c r="AA57" i="83"/>
  <c r="AA58" i="83"/>
  <c r="AA59" i="83"/>
  <c r="AA60" i="83"/>
  <c r="AA61" i="83"/>
  <c r="AA62" i="83"/>
  <c r="AA63" i="83"/>
  <c r="AA64" i="83"/>
  <c r="AA65" i="83"/>
  <c r="AA66" i="83"/>
  <c r="AA67" i="83"/>
  <c r="AA68" i="83"/>
  <c r="AA69" i="83"/>
  <c r="AA70" i="83"/>
  <c r="AA71" i="83"/>
  <c r="AA72" i="83"/>
  <c r="AA73" i="83"/>
  <c r="AA74" i="83"/>
  <c r="AA75" i="83"/>
  <c r="AA76" i="83"/>
  <c r="AA77" i="83"/>
  <c r="AA78" i="83"/>
  <c r="AA79" i="83"/>
  <c r="AA80" i="83"/>
  <c r="AA81" i="83"/>
  <c r="AA82" i="83"/>
  <c r="AA83" i="83"/>
  <c r="AA84" i="83"/>
  <c r="AA85" i="83"/>
  <c r="AA86" i="83"/>
  <c r="AA87" i="83"/>
  <c r="AA88" i="83"/>
  <c r="AA89" i="83"/>
  <c r="AA90" i="83"/>
  <c r="AA91" i="83"/>
  <c r="AA92" i="83"/>
  <c r="AA93" i="83"/>
  <c r="AA94" i="83"/>
  <c r="AA95" i="83"/>
  <c r="AA96" i="83"/>
  <c r="AA97" i="83"/>
  <c r="AA98" i="83"/>
  <c r="AA99" i="83"/>
  <c r="AA100" i="83"/>
  <c r="AA101" i="83"/>
  <c r="AA102" i="83"/>
  <c r="AA103" i="83"/>
  <c r="AA104" i="83"/>
  <c r="AA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L26" i="88" l="1"/>
  <c r="M26" i="88"/>
  <c r="L25" i="88"/>
  <c r="M25" i="88"/>
  <c r="L24" i="88"/>
  <c r="M24" i="88"/>
  <c r="L22" i="88"/>
  <c r="M22" i="88"/>
  <c r="L21" i="88"/>
  <c r="M21" i="88"/>
  <c r="L20" i="88"/>
  <c r="M20" i="88"/>
  <c r="L23" i="88"/>
  <c r="L19" i="88"/>
  <c r="M23" i="88"/>
  <c r="M19" i="88"/>
  <c r="AD7" i="93" l="1"/>
  <c r="AD8" i="93"/>
  <c r="AD9" i="93"/>
  <c r="AD10" i="93"/>
  <c r="AD11" i="93"/>
  <c r="AD12" i="93"/>
  <c r="AD13" i="93"/>
  <c r="AD14" i="93"/>
  <c r="AD15" i="93"/>
  <c r="AD16" i="93"/>
  <c r="AD17" i="93"/>
  <c r="AD18" i="93"/>
  <c r="AD19" i="93"/>
  <c r="AD20" i="93"/>
  <c r="AD21" i="93"/>
  <c r="AD22" i="93"/>
  <c r="AD23" i="93"/>
  <c r="AD24" i="93"/>
  <c r="AD25" i="93"/>
  <c r="AD26" i="93"/>
  <c r="AD6" i="93"/>
  <c r="AV6" i="93" l="1"/>
  <c r="AV7" i="93"/>
  <c r="AV8" i="93"/>
  <c r="AV9" i="93"/>
  <c r="AV10" i="93"/>
  <c r="AV11" i="93"/>
  <c r="AV12" i="93"/>
  <c r="AV13" i="93"/>
  <c r="AV14" i="93"/>
  <c r="AV15" i="93"/>
  <c r="AV16" i="93"/>
  <c r="AV17" i="93"/>
  <c r="AV18" i="93"/>
  <c r="AV19" i="93"/>
  <c r="AV20" i="93"/>
  <c r="AV21" i="93"/>
  <c r="AV22" i="93"/>
  <c r="AV23" i="93"/>
  <c r="AV24" i="93"/>
  <c r="AV25" i="93"/>
  <c r="AV26" i="93"/>
  <c r="AV27" i="93"/>
  <c r="AV28" i="93"/>
  <c r="AV29" i="93"/>
  <c r="AV30" i="93"/>
  <c r="AV31" i="93"/>
  <c r="AV32" i="93"/>
  <c r="AV33" i="93"/>
  <c r="AV34" i="93"/>
  <c r="AV35" i="93"/>
  <c r="AV36" i="93"/>
  <c r="AV37" i="93"/>
  <c r="AV38" i="93"/>
  <c r="AV39" i="93"/>
  <c r="AV40" i="93"/>
  <c r="AV41" i="93"/>
  <c r="AV42" i="93"/>
  <c r="AV43" i="93"/>
  <c r="AV44" i="93"/>
  <c r="AV45" i="93"/>
  <c r="AV46" i="93"/>
  <c r="AV47" i="93"/>
  <c r="AV48" i="93"/>
  <c r="AV49" i="93"/>
  <c r="AV50" i="93"/>
  <c r="AV51" i="93"/>
  <c r="AV52" i="93"/>
  <c r="AV53" i="93"/>
  <c r="AV54" i="93"/>
  <c r="AV55" i="93"/>
  <c r="AV56" i="93"/>
  <c r="AV57" i="93"/>
  <c r="AV58" i="93"/>
  <c r="AV59" i="93"/>
  <c r="AV60" i="93"/>
  <c r="AV61" i="93"/>
  <c r="AV62" i="93"/>
  <c r="AV63" i="93"/>
  <c r="AV64" i="93"/>
  <c r="AV65" i="93"/>
  <c r="AV66" i="93"/>
  <c r="AV67" i="93"/>
  <c r="AV68" i="93"/>
  <c r="AV69" i="93"/>
  <c r="AV70" i="93"/>
  <c r="AV71" i="93"/>
  <c r="AV72" i="93"/>
  <c r="AV73" i="93"/>
  <c r="AV74" i="93"/>
  <c r="AV75" i="93"/>
  <c r="AV76" i="93"/>
  <c r="AV77" i="93"/>
  <c r="AV78" i="93"/>
  <c r="AV79" i="93"/>
  <c r="AV80" i="93"/>
  <c r="AV81" i="93"/>
  <c r="AV82" i="93"/>
  <c r="AV83" i="93"/>
  <c r="AV84" i="93"/>
  <c r="AV85" i="93"/>
  <c r="AV86" i="93"/>
  <c r="AV87" i="93"/>
  <c r="AV88" i="93"/>
  <c r="AV89" i="93"/>
  <c r="AV90" i="93"/>
  <c r="AV91" i="93"/>
  <c r="AV92" i="93"/>
  <c r="AV93" i="93"/>
  <c r="AV94" i="93"/>
  <c r="AV95" i="93"/>
  <c r="AV96" i="93"/>
  <c r="AV97" i="93"/>
  <c r="AV98" i="93"/>
  <c r="AV99" i="93"/>
  <c r="AV100" i="93"/>
  <c r="AV101" i="93"/>
  <c r="AV102" i="93"/>
  <c r="AV103" i="93"/>
  <c r="AV104" i="93"/>
  <c r="AV105" i="93"/>
  <c r="AV106" i="93"/>
  <c r="AV107" i="93"/>
  <c r="AV108" i="93"/>
  <c r="AV109" i="93"/>
  <c r="AV110" i="93"/>
  <c r="AV111" i="93"/>
  <c r="AV112" i="93"/>
  <c r="AV113" i="93"/>
  <c r="AV114" i="93"/>
  <c r="AV115" i="93"/>
  <c r="AV116" i="93"/>
  <c r="AV117" i="93"/>
  <c r="AV118" i="93"/>
  <c r="AV119" i="93"/>
  <c r="AV120" i="93"/>
  <c r="AV121" i="93"/>
  <c r="AV122" i="93"/>
  <c r="AV5" i="93"/>
  <c r="AU6" i="93"/>
  <c r="AU7" i="93"/>
  <c r="AU8" i="93"/>
  <c r="AU9" i="93"/>
  <c r="AU10" i="93"/>
  <c r="AU11" i="93"/>
  <c r="AU12" i="93"/>
  <c r="AU13" i="93"/>
  <c r="AU14" i="93"/>
  <c r="AU15" i="93"/>
  <c r="AU16" i="93"/>
  <c r="AU17" i="93"/>
  <c r="AU18" i="93"/>
  <c r="AU19" i="93"/>
  <c r="AU20" i="93"/>
  <c r="AU21" i="93"/>
  <c r="AU22" i="93"/>
  <c r="AU23" i="93"/>
  <c r="AU24" i="93"/>
  <c r="AU25" i="93"/>
  <c r="AU26" i="93"/>
  <c r="AU27" i="93"/>
  <c r="AU28" i="93"/>
  <c r="AU29" i="93"/>
  <c r="AU30" i="93"/>
  <c r="AU31" i="93"/>
  <c r="AU32" i="93"/>
  <c r="AU33" i="93"/>
  <c r="AU34" i="93"/>
  <c r="AU35" i="93"/>
  <c r="AU36" i="93"/>
  <c r="AU37" i="93"/>
  <c r="AU38" i="93"/>
  <c r="AU39" i="93"/>
  <c r="AU40" i="93"/>
  <c r="AU41" i="93"/>
  <c r="AU42" i="93"/>
  <c r="AU43" i="93"/>
  <c r="AU44" i="93"/>
  <c r="AU45" i="93"/>
  <c r="AU46" i="93"/>
  <c r="AU47" i="93"/>
  <c r="AU48" i="93"/>
  <c r="AU49" i="93"/>
  <c r="AU50" i="93"/>
  <c r="AU51" i="93"/>
  <c r="AU52" i="93"/>
  <c r="AU53" i="93"/>
  <c r="AU54" i="93"/>
  <c r="AU55" i="93"/>
  <c r="AU56" i="93"/>
  <c r="AU57" i="93"/>
  <c r="AU58" i="93"/>
  <c r="AU59" i="93"/>
  <c r="AU60" i="93"/>
  <c r="AU61" i="93"/>
  <c r="AU62" i="93"/>
  <c r="AU63" i="93"/>
  <c r="AU64" i="93"/>
  <c r="AU65" i="93"/>
  <c r="AU66" i="93"/>
  <c r="AU67" i="93"/>
  <c r="AU68" i="93"/>
  <c r="AU69" i="93"/>
  <c r="AU70" i="93"/>
  <c r="AU71" i="93"/>
  <c r="AU72" i="93"/>
  <c r="AU73" i="93"/>
  <c r="AU74" i="93"/>
  <c r="AU75" i="93"/>
  <c r="AU76" i="93"/>
  <c r="AU77" i="93"/>
  <c r="AU78" i="93"/>
  <c r="AU79" i="93"/>
  <c r="AU80" i="93"/>
  <c r="AU81" i="93"/>
  <c r="AU82" i="93"/>
  <c r="AU83" i="93"/>
  <c r="AU84" i="93"/>
  <c r="AU85" i="93"/>
  <c r="AU86" i="93"/>
  <c r="AU87" i="93"/>
  <c r="AU88" i="93"/>
  <c r="AU89" i="93"/>
  <c r="AU90" i="93"/>
  <c r="AU91" i="93"/>
  <c r="AU92" i="93"/>
  <c r="AU93" i="93"/>
  <c r="AU94" i="93"/>
  <c r="AU95" i="93"/>
  <c r="AU96" i="93"/>
  <c r="AU97" i="93"/>
  <c r="AU98" i="93"/>
  <c r="AU99" i="93"/>
  <c r="AU100" i="93"/>
  <c r="AU101" i="93"/>
  <c r="AU102" i="93"/>
  <c r="AU103" i="93"/>
  <c r="AU104" i="93"/>
  <c r="AU105" i="93"/>
  <c r="AU106" i="93"/>
  <c r="AU107" i="93"/>
  <c r="AU108" i="93"/>
  <c r="AU109" i="93"/>
  <c r="AU110" i="93"/>
  <c r="AU111" i="93"/>
  <c r="AU112" i="93"/>
  <c r="AU113" i="93"/>
  <c r="AU114" i="93"/>
  <c r="AU115" i="93"/>
  <c r="AU116" i="93"/>
  <c r="AU117" i="93"/>
  <c r="AU118" i="93"/>
  <c r="AU119" i="93"/>
  <c r="AU120" i="93"/>
  <c r="AU121" i="93"/>
  <c r="AU122" i="93"/>
  <c r="AU5" i="93"/>
  <c r="AT12" i="93"/>
  <c r="AW12" i="93" s="1"/>
  <c r="AT13" i="93"/>
  <c r="AT14" i="93"/>
  <c r="AT15" i="93"/>
  <c r="AW15" i="93" s="1"/>
  <c r="AT16" i="93"/>
  <c r="AW16" i="93" s="1"/>
  <c r="AT17" i="93"/>
  <c r="AT18" i="93"/>
  <c r="AT19" i="93"/>
  <c r="AW19" i="93" s="1"/>
  <c r="AT20" i="93"/>
  <c r="AW20" i="93" s="1"/>
  <c r="AT21" i="93"/>
  <c r="AT22" i="93"/>
  <c r="AT23" i="93"/>
  <c r="AW23" i="93" s="1"/>
  <c r="AT24" i="93"/>
  <c r="AW24" i="93" s="1"/>
  <c r="AT25" i="93"/>
  <c r="AT26" i="93"/>
  <c r="AT27" i="93"/>
  <c r="AW27" i="93" s="1"/>
  <c r="AT28" i="93"/>
  <c r="AW28" i="93" s="1"/>
  <c r="AT29" i="93"/>
  <c r="AT30" i="93"/>
  <c r="AT31" i="93"/>
  <c r="AW31" i="93" s="1"/>
  <c r="AT32" i="93"/>
  <c r="AW32" i="93" s="1"/>
  <c r="AT33" i="93"/>
  <c r="AT34" i="93"/>
  <c r="AT35" i="93"/>
  <c r="AW35" i="93" s="1"/>
  <c r="AT36" i="93"/>
  <c r="AW36" i="93" s="1"/>
  <c r="AT37" i="93"/>
  <c r="AT38" i="93"/>
  <c r="AT39" i="93"/>
  <c r="AW39" i="93" s="1"/>
  <c r="AT40" i="93"/>
  <c r="AW40" i="93" s="1"/>
  <c r="AT41" i="93"/>
  <c r="AT42" i="93"/>
  <c r="AT43" i="93"/>
  <c r="AW43" i="93" s="1"/>
  <c r="AT44" i="93"/>
  <c r="AW44" i="93" s="1"/>
  <c r="AT45" i="93"/>
  <c r="AT46" i="93"/>
  <c r="AT47" i="93"/>
  <c r="AW47" i="93" s="1"/>
  <c r="AT48" i="93"/>
  <c r="AW48" i="93" s="1"/>
  <c r="AT49" i="93"/>
  <c r="AT50" i="93"/>
  <c r="AT51" i="93"/>
  <c r="AW51" i="93" s="1"/>
  <c r="AT52" i="93"/>
  <c r="AW52" i="93" s="1"/>
  <c r="AT53" i="93"/>
  <c r="AT54" i="93"/>
  <c r="AT55" i="93"/>
  <c r="AW55" i="93" s="1"/>
  <c r="AT56" i="93"/>
  <c r="AW56" i="93" s="1"/>
  <c r="AT57" i="93"/>
  <c r="AT58" i="93"/>
  <c r="AT59" i="93"/>
  <c r="AW59" i="93" s="1"/>
  <c r="AT60" i="93"/>
  <c r="AW60" i="93" s="1"/>
  <c r="AT61" i="93"/>
  <c r="AT62" i="93"/>
  <c r="AT63" i="93"/>
  <c r="AW63" i="93" s="1"/>
  <c r="AT64" i="93"/>
  <c r="AW64" i="93" s="1"/>
  <c r="AT65" i="93"/>
  <c r="AT66" i="93"/>
  <c r="AT67" i="93"/>
  <c r="AW67" i="93" s="1"/>
  <c r="AT68" i="93"/>
  <c r="AW68" i="93" s="1"/>
  <c r="AT69" i="93"/>
  <c r="AT70" i="93"/>
  <c r="AT71" i="93"/>
  <c r="AW71" i="93" s="1"/>
  <c r="AT72" i="93"/>
  <c r="AW72" i="93" s="1"/>
  <c r="AT73" i="93"/>
  <c r="AT74" i="93"/>
  <c r="AT75" i="93"/>
  <c r="AW75" i="93" s="1"/>
  <c r="AT76" i="93"/>
  <c r="AW76" i="93" s="1"/>
  <c r="AT77" i="93"/>
  <c r="AT78" i="93"/>
  <c r="AT79" i="93"/>
  <c r="AW79" i="93" s="1"/>
  <c r="AT80" i="93"/>
  <c r="AW80" i="93" s="1"/>
  <c r="AT81" i="93"/>
  <c r="AT82" i="93"/>
  <c r="AT83" i="93"/>
  <c r="AW83" i="93" s="1"/>
  <c r="AT84" i="93"/>
  <c r="AW84" i="93" s="1"/>
  <c r="AT85" i="93"/>
  <c r="AT86" i="93"/>
  <c r="AT87" i="93"/>
  <c r="AW87" i="93" s="1"/>
  <c r="AT88" i="93"/>
  <c r="AW88" i="93" s="1"/>
  <c r="AT89" i="93"/>
  <c r="AT90" i="93"/>
  <c r="AT91" i="93"/>
  <c r="AW91" i="93" s="1"/>
  <c r="AT92" i="93"/>
  <c r="AW92" i="93" s="1"/>
  <c r="AT93" i="93"/>
  <c r="AT94" i="93"/>
  <c r="AT95" i="93"/>
  <c r="AW95" i="93" s="1"/>
  <c r="AT96" i="93"/>
  <c r="AW96" i="93" s="1"/>
  <c r="AT97" i="93"/>
  <c r="AT98" i="93"/>
  <c r="AT99" i="93"/>
  <c r="AW99" i="93" s="1"/>
  <c r="AT100" i="93"/>
  <c r="AW100" i="93" s="1"/>
  <c r="AT101" i="93"/>
  <c r="AT102" i="93"/>
  <c r="AT103" i="93"/>
  <c r="AW103" i="93" s="1"/>
  <c r="AT104" i="93"/>
  <c r="AW104" i="93" s="1"/>
  <c r="AT105" i="93"/>
  <c r="AT106" i="93"/>
  <c r="AT107" i="93"/>
  <c r="AW107" i="93" s="1"/>
  <c r="AT108" i="93"/>
  <c r="AW108" i="93" s="1"/>
  <c r="AT109" i="93"/>
  <c r="AT110" i="93"/>
  <c r="AT111" i="93"/>
  <c r="AW111" i="93" s="1"/>
  <c r="AT112" i="93"/>
  <c r="AW112" i="93" s="1"/>
  <c r="AT113" i="93"/>
  <c r="AT114" i="93"/>
  <c r="AT115" i="93"/>
  <c r="AW115" i="93" s="1"/>
  <c r="AT116" i="93"/>
  <c r="AW116" i="93" s="1"/>
  <c r="AT117" i="93"/>
  <c r="AT118" i="93"/>
  <c r="AT119" i="93"/>
  <c r="AW119" i="93" s="1"/>
  <c r="AT120" i="93"/>
  <c r="AW120" i="93" s="1"/>
  <c r="AT121" i="93"/>
  <c r="AT122" i="93"/>
  <c r="AT8" i="93"/>
  <c r="AT9" i="93"/>
  <c r="AW9" i="93" s="1"/>
  <c r="AT10" i="93"/>
  <c r="AT11" i="93"/>
  <c r="AT6" i="93"/>
  <c r="AT7" i="93"/>
  <c r="AW7" i="93" s="1"/>
  <c r="AT5" i="93"/>
  <c r="AW8" i="93" l="1"/>
  <c r="AW11" i="93"/>
  <c r="AW118" i="93"/>
  <c r="AW110" i="93"/>
  <c r="AW106" i="93"/>
  <c r="AW102" i="93"/>
  <c r="AW98" i="93"/>
  <c r="AW94" i="93"/>
  <c r="AW90" i="93"/>
  <c r="AW86" i="93"/>
  <c r="AW82" i="93"/>
  <c r="AW78" i="93"/>
  <c r="AW74" i="93"/>
  <c r="AW70" i="93"/>
  <c r="AW66" i="93"/>
  <c r="AW62" i="93"/>
  <c r="AW58" i="93"/>
  <c r="AW54" i="93"/>
  <c r="AW50" i="93"/>
  <c r="AW46" i="93"/>
  <c r="AW42" i="93"/>
  <c r="AW38" i="93"/>
  <c r="AW34" i="93"/>
  <c r="AW30" i="93"/>
  <c r="AW26" i="93"/>
  <c r="AW22" i="93"/>
  <c r="AW18" i="93"/>
  <c r="AW14" i="93"/>
  <c r="AW6" i="93"/>
  <c r="AW122" i="93"/>
  <c r="AW114" i="93"/>
  <c r="AW5" i="93"/>
  <c r="AW10" i="93"/>
  <c r="AW121" i="93"/>
  <c r="AW117" i="93"/>
  <c r="AW113" i="93"/>
  <c r="AW109" i="93"/>
  <c r="AW105" i="93"/>
  <c r="AW101" i="93"/>
  <c r="AW97" i="93"/>
  <c r="AW93" i="93"/>
  <c r="AW89" i="93"/>
  <c r="AW85" i="93"/>
  <c r="AW81" i="93"/>
  <c r="AW77" i="93"/>
  <c r="AW73" i="93"/>
  <c r="AW69" i="93"/>
  <c r="AW65" i="93"/>
  <c r="AW61" i="93"/>
  <c r="AW57" i="93"/>
  <c r="AW53" i="93"/>
  <c r="AW49" i="93"/>
  <c r="AW45" i="93"/>
  <c r="AW41" i="93"/>
  <c r="AW37" i="93"/>
  <c r="AW33" i="93"/>
  <c r="AW29" i="93"/>
  <c r="AW25" i="93"/>
  <c r="AW21" i="93"/>
  <c r="AW17" i="93"/>
  <c r="AW13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5" i="93"/>
  <c r="P6" i="93"/>
  <c r="AX6" i="93" s="1"/>
  <c r="P7" i="93"/>
  <c r="AX10" i="93" s="1"/>
  <c r="P8" i="93"/>
  <c r="AX30" i="93" s="1"/>
  <c r="P9" i="93"/>
  <c r="AX12" i="93" s="1"/>
  <c r="P10" i="93"/>
  <c r="AX32" i="93" s="1"/>
  <c r="P11" i="93"/>
  <c r="AX14" i="93" s="1"/>
  <c r="P12" i="93"/>
  <c r="AX23" i="93" s="1"/>
  <c r="P13" i="93"/>
  <c r="AX35" i="93" s="1"/>
  <c r="P14" i="93"/>
  <c r="AX25" i="93" s="1"/>
  <c r="P15" i="93"/>
  <c r="AX26" i="93" s="1"/>
  <c r="P16" i="93"/>
  <c r="AX38" i="93" s="1"/>
  <c r="P17" i="93"/>
  <c r="AX28" i="93" s="1"/>
  <c r="P18" i="93"/>
  <c r="AX52" i="93" s="1"/>
  <c r="P19" i="93"/>
  <c r="AX53" i="93" s="1"/>
  <c r="P20" i="93"/>
  <c r="AX66" i="93" s="1"/>
  <c r="P21" i="93"/>
  <c r="AX67" i="93" s="1"/>
  <c r="P22" i="93"/>
  <c r="AX68" i="93" s="1"/>
  <c r="P23" i="93"/>
  <c r="AX69" i="93" s="1"/>
  <c r="P24" i="93"/>
  <c r="AX46" i="93" s="1"/>
  <c r="P25" i="93"/>
  <c r="AX85" i="93" s="1"/>
  <c r="P26" i="93"/>
  <c r="AX86" i="93" s="1"/>
  <c r="P27" i="93"/>
  <c r="AX73" i="93" s="1"/>
  <c r="P28" i="93"/>
  <c r="AX62" i="93" s="1"/>
  <c r="P29" i="93"/>
  <c r="AX89" i="93" s="1"/>
  <c r="P30" i="93"/>
  <c r="AX76" i="93" s="1"/>
  <c r="P31" i="93"/>
  <c r="AX77" i="93" s="1"/>
  <c r="P32" i="93"/>
  <c r="AX78" i="93" s="1"/>
  <c r="P33" i="93"/>
  <c r="AX79" i="93" s="1"/>
  <c r="P34" i="93"/>
  <c r="AX110" i="93" s="1"/>
  <c r="P35" i="93"/>
  <c r="AX111" i="93" s="1"/>
  <c r="P36" i="93"/>
  <c r="AX82" i="93" s="1"/>
  <c r="P37" i="93"/>
  <c r="AX83" i="93" s="1"/>
  <c r="P38" i="93"/>
  <c r="AX84" i="93" s="1"/>
  <c r="P39" i="93"/>
  <c r="AX99" i="93" s="1"/>
  <c r="P40" i="93"/>
  <c r="AX100" i="93" s="1"/>
  <c r="P41" i="93"/>
  <c r="AX117" i="93" s="1"/>
  <c r="P42" i="93"/>
  <c r="AX102" i="93" s="1"/>
  <c r="P43" i="93"/>
  <c r="AX103" i="93" s="1"/>
  <c r="P44" i="93"/>
  <c r="AX120" i="93" s="1"/>
  <c r="P45" i="93"/>
  <c r="AX121" i="93" s="1"/>
  <c r="P46" i="93"/>
  <c r="AX106" i="93" s="1"/>
  <c r="P5" i="93"/>
  <c r="AX16" i="93" s="1"/>
  <c r="AX87" i="93" l="1"/>
  <c r="AX107" i="93"/>
  <c r="AX41" i="93"/>
  <c r="AX61" i="93"/>
  <c r="AX81" i="93"/>
  <c r="AX91" i="93"/>
  <c r="AX115" i="93"/>
  <c r="AX45" i="93"/>
  <c r="AX65" i="93"/>
  <c r="AX119" i="93"/>
  <c r="AX49" i="93"/>
  <c r="AX27" i="93"/>
  <c r="AX33" i="93"/>
  <c r="AX57" i="93"/>
  <c r="AX5" i="93"/>
  <c r="AX39" i="93"/>
  <c r="AX55" i="93"/>
  <c r="AX71" i="93"/>
  <c r="AX13" i="93"/>
  <c r="AX29" i="93"/>
  <c r="AX93" i="93"/>
  <c r="AX109" i="93"/>
  <c r="AX9" i="93"/>
  <c r="AX17" i="93"/>
  <c r="AX20" i="93"/>
  <c r="AX48" i="93"/>
  <c r="AX64" i="93"/>
  <c r="AX80" i="93"/>
  <c r="AX88" i="93"/>
  <c r="AX104" i="93"/>
  <c r="AX112" i="93"/>
  <c r="AX118" i="93"/>
  <c r="AX98" i="93"/>
  <c r="AX18" i="93"/>
  <c r="AX58" i="93"/>
  <c r="AX74" i="93"/>
  <c r="AX90" i="93"/>
  <c r="AX15" i="93"/>
  <c r="AX11" i="93"/>
  <c r="AX43" i="93"/>
  <c r="AX59" i="93"/>
  <c r="AX75" i="93"/>
  <c r="AX97" i="93"/>
  <c r="AX113" i="93"/>
  <c r="AX19" i="93"/>
  <c r="AX31" i="93"/>
  <c r="AX47" i="93"/>
  <c r="AX63" i="93"/>
  <c r="AX95" i="93"/>
  <c r="AX7" i="93"/>
  <c r="AH6" i="93" s="1"/>
  <c r="AX21" i="93"/>
  <c r="AX37" i="93"/>
  <c r="AX101" i="93"/>
  <c r="AX122" i="93"/>
  <c r="AX24" i="93"/>
  <c r="AX36" i="93"/>
  <c r="AX44" i="93"/>
  <c r="AX60" i="93"/>
  <c r="AX92" i="93"/>
  <c r="AX22" i="93"/>
  <c r="AX34" i="93"/>
  <c r="AX42" i="93"/>
  <c r="AX54" i="93"/>
  <c r="AX70" i="93"/>
  <c r="AX94" i="93"/>
  <c r="AX51" i="93"/>
  <c r="AX105" i="93"/>
  <c r="AX56" i="93"/>
  <c r="AX72" i="93"/>
  <c r="AX96" i="93"/>
  <c r="AX108" i="93"/>
  <c r="AX116" i="93"/>
  <c r="AX114" i="93"/>
  <c r="AX50" i="93"/>
  <c r="AX8" i="93"/>
  <c r="AX40" i="93"/>
  <c r="DF22" i="98"/>
  <c r="DF24" i="98"/>
  <c r="DF27" i="98"/>
  <c r="DF32" i="98"/>
  <c r="DF33" i="98"/>
  <c r="DF37" i="98"/>
  <c r="DF39" i="98"/>
  <c r="DF41" i="98"/>
  <c r="DF42" i="98"/>
  <c r="DF45" i="98"/>
  <c r="DF48" i="98"/>
  <c r="DF49" i="98"/>
  <c r="DF52" i="98"/>
  <c r="DF54" i="98"/>
  <c r="DF56" i="98"/>
  <c r="DF57" i="98"/>
  <c r="DF58" i="98"/>
  <c r="DF61" i="98"/>
  <c r="DF62" i="98"/>
  <c r="DF63" i="98"/>
  <c r="DF64" i="98"/>
  <c r="DF66" i="98"/>
  <c r="DF68" i="98"/>
  <c r="DF69" i="98"/>
  <c r="DF70" i="98"/>
  <c r="DF71" i="98"/>
  <c r="DF73" i="98"/>
  <c r="DF74" i="98"/>
  <c r="DF76" i="98"/>
  <c r="DE22" i="98"/>
  <c r="DE24" i="98"/>
  <c r="DE27" i="98"/>
  <c r="DE32" i="98"/>
  <c r="DE33" i="98"/>
  <c r="DE37" i="98"/>
  <c r="DE39" i="98"/>
  <c r="DE41" i="98"/>
  <c r="DE42" i="98"/>
  <c r="DE45" i="98"/>
  <c r="DE48" i="98"/>
  <c r="DE49" i="98"/>
  <c r="DE52" i="98"/>
  <c r="DE54" i="98"/>
  <c r="DE56" i="98"/>
  <c r="DE57" i="98"/>
  <c r="DE58" i="98"/>
  <c r="DE61" i="98"/>
  <c r="DE62" i="98"/>
  <c r="DE63" i="98"/>
  <c r="DE64" i="98"/>
  <c r="DE66" i="98"/>
  <c r="DE68" i="98"/>
  <c r="DE69" i="98"/>
  <c r="DE70" i="98"/>
  <c r="DE71" i="98"/>
  <c r="DE73" i="98"/>
  <c r="DE74" i="98"/>
  <c r="DE76" i="98"/>
  <c r="DD22" i="98"/>
  <c r="DD24" i="98"/>
  <c r="DD27" i="98"/>
  <c r="DD32" i="98"/>
  <c r="DD33" i="98"/>
  <c r="DD37" i="98"/>
  <c r="DD39" i="98"/>
  <c r="DD41" i="98"/>
  <c r="DD42" i="98"/>
  <c r="DD45" i="98"/>
  <c r="DD48" i="98"/>
  <c r="DD49" i="98"/>
  <c r="DD52" i="98"/>
  <c r="DD54" i="98"/>
  <c r="DD56" i="98"/>
  <c r="DD57" i="98"/>
  <c r="DD58" i="98"/>
  <c r="DD61" i="98"/>
  <c r="DD62" i="98"/>
  <c r="DD63" i="98"/>
  <c r="DD64" i="98"/>
  <c r="DD66" i="98"/>
  <c r="DD68" i="98"/>
  <c r="DD69" i="98"/>
  <c r="DD70" i="98"/>
  <c r="DD71" i="98"/>
  <c r="DD73" i="98"/>
  <c r="DD74" i="98"/>
  <c r="DD76" i="98"/>
  <c r="DC22" i="98"/>
  <c r="DC24" i="98"/>
  <c r="DC27" i="98"/>
  <c r="DC32" i="98"/>
  <c r="DC33" i="98"/>
  <c r="DC37" i="98"/>
  <c r="DC39" i="98"/>
  <c r="DC41" i="98"/>
  <c r="DC42" i="98"/>
  <c r="DC45" i="98"/>
  <c r="DC48" i="98"/>
  <c r="DC49" i="98"/>
  <c r="DC52" i="98"/>
  <c r="DC54" i="98"/>
  <c r="DC56" i="98"/>
  <c r="DC57" i="98"/>
  <c r="DC58" i="98"/>
  <c r="DC61" i="98"/>
  <c r="DC62" i="98"/>
  <c r="DC63" i="98"/>
  <c r="DC64" i="98"/>
  <c r="DC66" i="98"/>
  <c r="DC68" i="98"/>
  <c r="DC69" i="98"/>
  <c r="DC70" i="98"/>
  <c r="DC71" i="98"/>
  <c r="DC73" i="98"/>
  <c r="DC74" i="98"/>
  <c r="DC76" i="98"/>
  <c r="DF17" i="98"/>
  <c r="DE17" i="98"/>
  <c r="DD17" i="98"/>
  <c r="DC17" i="98"/>
  <c r="AH7" i="93" l="1"/>
  <c r="AH13" i="93"/>
  <c r="AH11" i="93"/>
  <c r="AH9" i="93"/>
  <c r="AH12" i="93"/>
  <c r="AH8" i="93"/>
  <c r="AH10" i="93"/>
  <c r="AR6" i="98" l="1"/>
  <c r="I20" i="98" l="1"/>
  <c r="H20" i="98"/>
  <c r="G20" i="98"/>
  <c r="F20" i="98"/>
  <c r="E20" i="98"/>
  <c r="D20" i="98"/>
  <c r="C20" i="98"/>
  <c r="B20" i="98"/>
  <c r="AC8" i="98"/>
  <c r="AE8" i="98" s="1"/>
  <c r="AC9" i="98"/>
  <c r="AG9" i="98" s="1"/>
  <c r="AC10" i="98"/>
  <c r="AE10" i="98" s="1"/>
  <c r="AC11" i="98"/>
  <c r="AE11" i="98" s="1"/>
  <c r="AC12" i="98"/>
  <c r="AG12" i="98" s="1"/>
  <c r="AC13" i="98"/>
  <c r="AG13" i="98" s="1"/>
  <c r="AC14" i="98"/>
  <c r="AF14" i="98" s="1"/>
  <c r="AC15" i="98"/>
  <c r="AG15" i="98" s="1"/>
  <c r="AC7" i="98"/>
  <c r="AH7" i="98" s="1"/>
  <c r="S8" i="98"/>
  <c r="U8" i="98" s="1"/>
  <c r="S9" i="98"/>
  <c r="W9" i="98" s="1"/>
  <c r="S10" i="98"/>
  <c r="U10" i="98" s="1"/>
  <c r="S11" i="98"/>
  <c r="V11" i="98" s="1"/>
  <c r="S12" i="98"/>
  <c r="W12" i="98" s="1"/>
  <c r="S13" i="98"/>
  <c r="U13" i="98" s="1"/>
  <c r="S14" i="98"/>
  <c r="U14" i="98" s="1"/>
  <c r="S15" i="98"/>
  <c r="W15" i="98" s="1"/>
  <c r="S7" i="98"/>
  <c r="V7" i="98" s="1"/>
  <c r="K8" i="98"/>
  <c r="L8" i="98"/>
  <c r="M8" i="98"/>
  <c r="N8" i="98"/>
  <c r="K9" i="98"/>
  <c r="L9" i="98"/>
  <c r="M9" i="98"/>
  <c r="N9" i="98"/>
  <c r="K10" i="98"/>
  <c r="L10" i="98"/>
  <c r="M10" i="98"/>
  <c r="N10" i="98"/>
  <c r="K11" i="98"/>
  <c r="L11" i="98"/>
  <c r="M11" i="98"/>
  <c r="N11" i="98"/>
  <c r="K12" i="98"/>
  <c r="L12" i="98"/>
  <c r="M12" i="98"/>
  <c r="N12" i="98"/>
  <c r="K13" i="98"/>
  <c r="L13" i="98"/>
  <c r="M13" i="98"/>
  <c r="N13" i="98"/>
  <c r="K14" i="98"/>
  <c r="L14" i="98"/>
  <c r="M14" i="98"/>
  <c r="N14" i="98"/>
  <c r="K15" i="98"/>
  <c r="L15" i="98"/>
  <c r="M15" i="98"/>
  <c r="N15" i="98"/>
  <c r="K16" i="98"/>
  <c r="L16" i="98"/>
  <c r="M16" i="98"/>
  <c r="N16" i="98"/>
  <c r="L7" i="98"/>
  <c r="M7" i="98"/>
  <c r="N7" i="98"/>
  <c r="K7" i="98"/>
  <c r="AU4" i="98"/>
  <c r="AV7" i="98" s="1"/>
  <c r="X15" i="98" l="1"/>
  <c r="AH11" i="98"/>
  <c r="W14" i="98"/>
  <c r="V9" i="98"/>
  <c r="AH10" i="98"/>
  <c r="AE9" i="98"/>
  <c r="U15" i="98"/>
  <c r="AG11" i="98"/>
  <c r="X14" i="98"/>
  <c r="AF11" i="98"/>
  <c r="V14" i="98"/>
  <c r="AF9" i="98"/>
  <c r="AH8" i="98"/>
  <c r="AG8" i="98"/>
  <c r="AF8" i="98"/>
  <c r="AF15" i="98"/>
  <c r="AF12" i="98"/>
  <c r="AE12" i="98"/>
  <c r="AV8" i="98"/>
  <c r="U9" i="98"/>
  <c r="AE15" i="98"/>
  <c r="W8" i="98"/>
  <c r="AG14" i="98"/>
  <c r="AE14" i="98"/>
  <c r="AH13" i="98"/>
  <c r="AG7" i="98"/>
  <c r="AF13" i="98"/>
  <c r="AF10" i="98"/>
  <c r="AE7" i="98"/>
  <c r="AG10" i="98"/>
  <c r="W11" i="98"/>
  <c r="AF7" i="98"/>
  <c r="AE13" i="98"/>
  <c r="U11" i="98"/>
  <c r="AH15" i="98"/>
  <c r="AH12" i="98"/>
  <c r="AH9" i="98"/>
  <c r="AH14" i="98"/>
  <c r="X9" i="98"/>
  <c r="X12" i="98"/>
  <c r="V15" i="98"/>
  <c r="V12" i="98"/>
  <c r="U12" i="98"/>
  <c r="X11" i="98"/>
  <c r="X8" i="98"/>
  <c r="V8" i="98"/>
  <c r="U7" i="98"/>
  <c r="X13" i="98"/>
  <c r="X10" i="98"/>
  <c r="X7" i="98"/>
  <c r="W13" i="98"/>
  <c r="W10" i="98"/>
  <c r="W7" i="98"/>
  <c r="V13" i="98"/>
  <c r="V10" i="98"/>
  <c r="AV6" i="98"/>
  <c r="AW7" i="98" s="1"/>
  <c r="AW8" i="98" l="1"/>
  <c r="F10" i="98" l="1"/>
  <c r="F13" i="98"/>
  <c r="F9" i="98"/>
  <c r="F12" i="98"/>
  <c r="F8" i="98"/>
  <c r="F15" i="98"/>
  <c r="F11" i="98"/>
  <c r="F14" i="98"/>
  <c r="F7" i="98"/>
  <c r="M6" i="83" l="1"/>
  <c r="S6" i="83" s="1"/>
  <c r="M7" i="83"/>
  <c r="P7" i="83" s="1"/>
  <c r="M8" i="83"/>
  <c r="P8" i="83" s="1"/>
  <c r="M9" i="83"/>
  <c r="S9" i="83" s="1"/>
  <c r="M10" i="83"/>
  <c r="S10" i="83" s="1"/>
  <c r="M11" i="83"/>
  <c r="S11" i="83" s="1"/>
  <c r="M12" i="83"/>
  <c r="S12" i="83" s="1"/>
  <c r="M13" i="83"/>
  <c r="S13" i="83" s="1"/>
  <c r="M14" i="83"/>
  <c r="P14" i="83" s="1"/>
  <c r="M15" i="83"/>
  <c r="S15" i="83" s="1"/>
  <c r="M16" i="83"/>
  <c r="S16" i="83" s="1"/>
  <c r="M17" i="83"/>
  <c r="P17" i="83" s="1"/>
  <c r="M18" i="83"/>
  <c r="S18" i="83" s="1"/>
  <c r="M19" i="83"/>
  <c r="P19" i="83" s="1"/>
  <c r="M20" i="83"/>
  <c r="P20" i="83" s="1"/>
  <c r="M21" i="83"/>
  <c r="S21" i="83" s="1"/>
  <c r="M22" i="83"/>
  <c r="S22" i="83" s="1"/>
  <c r="M23" i="83"/>
  <c r="S23" i="83" s="1"/>
  <c r="M24" i="83"/>
  <c r="S24" i="83" s="1"/>
  <c r="M25" i="83"/>
  <c r="S25" i="83" s="1"/>
  <c r="M26" i="83"/>
  <c r="P26" i="83" s="1"/>
  <c r="M27" i="83"/>
  <c r="S27" i="83" s="1"/>
  <c r="M28" i="83"/>
  <c r="S28" i="83" s="1"/>
  <c r="M29" i="83"/>
  <c r="P29" i="83" s="1"/>
  <c r="M30" i="83"/>
  <c r="S30" i="83" s="1"/>
  <c r="M31" i="83"/>
  <c r="P31" i="83" s="1"/>
  <c r="M32" i="83"/>
  <c r="S32" i="83" s="1"/>
  <c r="M33" i="83"/>
  <c r="S33" i="83" s="1"/>
  <c r="M34" i="83"/>
  <c r="S34" i="83" s="1"/>
  <c r="M35" i="83"/>
  <c r="S35" i="83" s="1"/>
  <c r="M36" i="83"/>
  <c r="S36" i="83" s="1"/>
  <c r="M37" i="83"/>
  <c r="P37" i="83" s="1"/>
  <c r="M38" i="83"/>
  <c r="P38" i="83" s="1"/>
  <c r="M39" i="83"/>
  <c r="S39" i="83" s="1"/>
  <c r="M40" i="83"/>
  <c r="S40" i="83" s="1"/>
  <c r="M41" i="83"/>
  <c r="P41" i="83" s="1"/>
  <c r="M42" i="83"/>
  <c r="S42" i="83" s="1"/>
  <c r="M43" i="83"/>
  <c r="P43" i="83" s="1"/>
  <c r="M44" i="83"/>
  <c r="S44" i="83" s="1"/>
  <c r="M45" i="83"/>
  <c r="S45" i="83" s="1"/>
  <c r="M46" i="83"/>
  <c r="S46" i="83" s="1"/>
  <c r="M47" i="83"/>
  <c r="S47" i="83" s="1"/>
  <c r="M48" i="83"/>
  <c r="S48" i="83" s="1"/>
  <c r="M49" i="83"/>
  <c r="S49" i="83" s="1"/>
  <c r="M50" i="83"/>
  <c r="P50" i="83" s="1"/>
  <c r="M51" i="83"/>
  <c r="S51" i="83" s="1"/>
  <c r="M52" i="83"/>
  <c r="S52" i="83" s="1"/>
  <c r="M53" i="83"/>
  <c r="P53" i="83" s="1"/>
  <c r="M54" i="83"/>
  <c r="S54" i="83" s="1"/>
  <c r="M55" i="83"/>
  <c r="P55" i="83" s="1"/>
  <c r="M56" i="83"/>
  <c r="P56" i="83" s="1"/>
  <c r="M57" i="83"/>
  <c r="S57" i="83" s="1"/>
  <c r="M58" i="83"/>
  <c r="S58" i="83" s="1"/>
  <c r="M59" i="83"/>
  <c r="S59" i="83" s="1"/>
  <c r="M60" i="83"/>
  <c r="S60" i="83" s="1"/>
  <c r="M61" i="83"/>
  <c r="S61" i="83" s="1"/>
  <c r="M62" i="83"/>
  <c r="P62" i="83" s="1"/>
  <c r="M63" i="83"/>
  <c r="S63" i="83" s="1"/>
  <c r="M64" i="83"/>
  <c r="S64" i="83" s="1"/>
  <c r="M65" i="83"/>
  <c r="P65" i="83" s="1"/>
  <c r="M66" i="83"/>
  <c r="S66" i="83" s="1"/>
  <c r="M67" i="83"/>
  <c r="P67" i="83" s="1"/>
  <c r="M68" i="83"/>
  <c r="P68" i="83" s="1"/>
  <c r="M69" i="83"/>
  <c r="S69" i="83" s="1"/>
  <c r="M70" i="83"/>
  <c r="S70" i="83" s="1"/>
  <c r="M71" i="83"/>
  <c r="S71" i="83" s="1"/>
  <c r="M72" i="83"/>
  <c r="S72" i="83" s="1"/>
  <c r="M73" i="83"/>
  <c r="S73" i="83" s="1"/>
  <c r="M74" i="83"/>
  <c r="P74" i="83" s="1"/>
  <c r="M75" i="83"/>
  <c r="S75" i="83" s="1"/>
  <c r="M76" i="83"/>
  <c r="S76" i="83" s="1"/>
  <c r="M77" i="83"/>
  <c r="P77" i="83" s="1"/>
  <c r="M78" i="83"/>
  <c r="S78" i="83" s="1"/>
  <c r="M79" i="83"/>
  <c r="P79" i="83" s="1"/>
  <c r="M80" i="83"/>
  <c r="S80" i="83" s="1"/>
  <c r="M81" i="83"/>
  <c r="S81" i="83" s="1"/>
  <c r="M82" i="83"/>
  <c r="S82" i="83" s="1"/>
  <c r="M83" i="83"/>
  <c r="S83" i="83" s="1"/>
  <c r="M84" i="83"/>
  <c r="S84" i="83" s="1"/>
  <c r="M85" i="83"/>
  <c r="P85" i="83" s="1"/>
  <c r="M86" i="83"/>
  <c r="P86" i="83" s="1"/>
  <c r="M87" i="83"/>
  <c r="S87" i="83" s="1"/>
  <c r="M88" i="83"/>
  <c r="S88" i="83" s="1"/>
  <c r="M89" i="83"/>
  <c r="P89" i="83" s="1"/>
  <c r="M90" i="83"/>
  <c r="S90" i="83" s="1"/>
  <c r="M91" i="83"/>
  <c r="P91" i="83" s="1"/>
  <c r="M92" i="83"/>
  <c r="S92" i="83" s="1"/>
  <c r="M93" i="83"/>
  <c r="S93" i="83" s="1"/>
  <c r="M94" i="83"/>
  <c r="S94" i="83" s="1"/>
  <c r="M95" i="83"/>
  <c r="S95" i="83" s="1"/>
  <c r="M96" i="83"/>
  <c r="S96" i="83" s="1"/>
  <c r="M97" i="83"/>
  <c r="S97" i="83" s="1"/>
  <c r="M98" i="83"/>
  <c r="P98" i="83" s="1"/>
  <c r="M99" i="83"/>
  <c r="S99" i="83" s="1"/>
  <c r="M100" i="83"/>
  <c r="S100" i="83" s="1"/>
  <c r="M101" i="83"/>
  <c r="P101" i="83" s="1"/>
  <c r="M102" i="83"/>
  <c r="S102" i="83" s="1"/>
  <c r="M103" i="83"/>
  <c r="P103" i="83" s="1"/>
  <c r="M104" i="83"/>
  <c r="P104" i="83" s="1"/>
  <c r="M5" i="83"/>
  <c r="S5" i="83" s="1"/>
  <c r="H6" i="83"/>
  <c r="H7" i="83"/>
  <c r="H8" i="83"/>
  <c r="H9" i="83"/>
  <c r="H10" i="83"/>
  <c r="H11" i="83"/>
  <c r="H12" i="83"/>
  <c r="H13" i="83"/>
  <c r="H14" i="83"/>
  <c r="H15" i="83"/>
  <c r="H16" i="83"/>
  <c r="H17" i="83"/>
  <c r="H18" i="83"/>
  <c r="H19" i="83"/>
  <c r="H20" i="83"/>
  <c r="H21" i="83"/>
  <c r="H22" i="83"/>
  <c r="H23" i="83"/>
  <c r="H24" i="83"/>
  <c r="H25" i="83"/>
  <c r="H26" i="83"/>
  <c r="H27" i="83"/>
  <c r="H28" i="83"/>
  <c r="H29" i="83"/>
  <c r="H30" i="83"/>
  <c r="H31" i="83"/>
  <c r="H32" i="83"/>
  <c r="H33" i="83"/>
  <c r="H34" i="83"/>
  <c r="H35" i="83"/>
  <c r="H36" i="83"/>
  <c r="H37" i="83"/>
  <c r="H38" i="83"/>
  <c r="H39" i="83"/>
  <c r="H40" i="83"/>
  <c r="H41" i="83"/>
  <c r="H42" i="83"/>
  <c r="H43" i="83"/>
  <c r="H44" i="83"/>
  <c r="H45" i="83"/>
  <c r="H46" i="83"/>
  <c r="H47" i="83"/>
  <c r="H48" i="83"/>
  <c r="H49" i="83"/>
  <c r="H50" i="83"/>
  <c r="H51" i="83"/>
  <c r="H52" i="83"/>
  <c r="H53" i="83"/>
  <c r="H54" i="83"/>
  <c r="H55" i="83"/>
  <c r="H56" i="83"/>
  <c r="H57" i="83"/>
  <c r="H58" i="83"/>
  <c r="H59" i="83"/>
  <c r="H60" i="83"/>
  <c r="H61" i="83"/>
  <c r="H62" i="83"/>
  <c r="H63" i="83"/>
  <c r="H64" i="83"/>
  <c r="H65" i="83"/>
  <c r="H66" i="83"/>
  <c r="H67" i="83"/>
  <c r="H68" i="83"/>
  <c r="H69" i="83"/>
  <c r="H70" i="83"/>
  <c r="H71" i="83"/>
  <c r="H72" i="83"/>
  <c r="H73" i="83"/>
  <c r="H74" i="83"/>
  <c r="H75" i="83"/>
  <c r="H76" i="83"/>
  <c r="H77" i="83"/>
  <c r="H78" i="83"/>
  <c r="H79" i="83"/>
  <c r="H80" i="83"/>
  <c r="H81" i="83"/>
  <c r="H82" i="83"/>
  <c r="H83" i="83"/>
  <c r="H84" i="83"/>
  <c r="H85" i="83"/>
  <c r="H86" i="83"/>
  <c r="H87" i="83"/>
  <c r="H88" i="83"/>
  <c r="H89" i="83"/>
  <c r="H90" i="83"/>
  <c r="H91" i="83"/>
  <c r="H92" i="83"/>
  <c r="H93" i="83"/>
  <c r="H94" i="83"/>
  <c r="H95" i="83"/>
  <c r="H96" i="83"/>
  <c r="H97" i="83"/>
  <c r="H98" i="83"/>
  <c r="H99" i="83"/>
  <c r="H100" i="83"/>
  <c r="H101" i="83"/>
  <c r="H102" i="83"/>
  <c r="H103" i="83"/>
  <c r="H104" i="83"/>
  <c r="H5" i="83"/>
  <c r="J25" i="88" l="1"/>
  <c r="J24" i="88"/>
  <c r="J23" i="88"/>
  <c r="J20" i="88"/>
  <c r="J19" i="88"/>
  <c r="J22" i="88"/>
  <c r="J21" i="88"/>
  <c r="K22" i="88"/>
  <c r="P100" i="83"/>
  <c r="P92" i="83"/>
  <c r="P81" i="83"/>
  <c r="P73" i="83"/>
  <c r="P63" i="83"/>
  <c r="P52" i="83"/>
  <c r="P44" i="83"/>
  <c r="P33" i="83"/>
  <c r="P25" i="83"/>
  <c r="P15" i="83"/>
  <c r="S104" i="83"/>
  <c r="S91" i="83"/>
  <c r="K24" i="88" s="1"/>
  <c r="S56" i="83"/>
  <c r="S43" i="83"/>
  <c r="S8" i="83"/>
  <c r="P99" i="83"/>
  <c r="P88" i="83"/>
  <c r="P80" i="83"/>
  <c r="P69" i="83"/>
  <c r="P61" i="83"/>
  <c r="P51" i="83"/>
  <c r="P40" i="83"/>
  <c r="P32" i="83"/>
  <c r="P21" i="83"/>
  <c r="P13" i="83"/>
  <c r="S103" i="83"/>
  <c r="S85" i="83"/>
  <c r="S68" i="83"/>
  <c r="S55" i="83"/>
  <c r="S37" i="83"/>
  <c r="S20" i="83"/>
  <c r="S7" i="83"/>
  <c r="P5" i="83"/>
  <c r="P97" i="83"/>
  <c r="P87" i="83"/>
  <c r="P76" i="83"/>
  <c r="P57" i="83"/>
  <c r="P49" i="83"/>
  <c r="P39" i="83"/>
  <c r="P28" i="83"/>
  <c r="P9" i="83"/>
  <c r="S67" i="83"/>
  <c r="S19" i="83"/>
  <c r="P93" i="83"/>
  <c r="P75" i="83"/>
  <c r="P64" i="83"/>
  <c r="P45" i="83"/>
  <c r="P27" i="83"/>
  <c r="P16" i="83"/>
  <c r="S79" i="83"/>
  <c r="S31" i="83"/>
  <c r="S89" i="83"/>
  <c r="S17" i="83"/>
  <c r="P96" i="83"/>
  <c r="P84" i="83"/>
  <c r="P72" i="83"/>
  <c r="P60" i="83"/>
  <c r="P48" i="83"/>
  <c r="P36" i="83"/>
  <c r="P24" i="83"/>
  <c r="P12" i="83"/>
  <c r="S101" i="83"/>
  <c r="K26" i="88" s="1"/>
  <c r="S65" i="83"/>
  <c r="S29" i="83"/>
  <c r="P95" i="83"/>
  <c r="P83" i="83"/>
  <c r="P71" i="83"/>
  <c r="P59" i="83"/>
  <c r="P47" i="83"/>
  <c r="P35" i="83"/>
  <c r="P23" i="83"/>
  <c r="P11" i="83"/>
  <c r="S77" i="83"/>
  <c r="K21" i="88" s="1"/>
  <c r="S53" i="83"/>
  <c r="S41" i="83"/>
  <c r="P94" i="83"/>
  <c r="P82" i="83"/>
  <c r="P70" i="83"/>
  <c r="P58" i="83"/>
  <c r="P46" i="83"/>
  <c r="P34" i="83"/>
  <c r="P22" i="83"/>
  <c r="P10" i="83"/>
  <c r="S98" i="83"/>
  <c r="K25" i="88" s="1"/>
  <c r="S86" i="83"/>
  <c r="S74" i="83"/>
  <c r="K20" i="88" s="1"/>
  <c r="S62" i="83"/>
  <c r="S50" i="83"/>
  <c r="S38" i="83"/>
  <c r="S26" i="83"/>
  <c r="S14" i="83"/>
  <c r="P102" i="83"/>
  <c r="P90" i="83"/>
  <c r="P78" i="83"/>
  <c r="P66" i="83"/>
  <c r="P54" i="83"/>
  <c r="P42" i="83"/>
  <c r="P30" i="83"/>
  <c r="P18" i="83"/>
  <c r="P6" i="83"/>
  <c r="AF26" i="82"/>
  <c r="AF27" i="82"/>
  <c r="AF28" i="82"/>
  <c r="AF29" i="82"/>
  <c r="AF30" i="82"/>
  <c r="AF31" i="82"/>
  <c r="AF32" i="82"/>
  <c r="AF33" i="82"/>
  <c r="AF34" i="82"/>
  <c r="K19" i="88" l="1"/>
  <c r="K23" i="88"/>
  <c r="Q26" i="82" l="1"/>
  <c r="Q27" i="82"/>
  <c r="Q28" i="82"/>
  <c r="Q29" i="82"/>
  <c r="Q30" i="82"/>
  <c r="Q31" i="82"/>
  <c r="Q32" i="82"/>
  <c r="Q33" i="82"/>
  <c r="Q34" i="82"/>
  <c r="K26" i="82"/>
  <c r="AF20" i="103" s="1"/>
  <c r="K27" i="82"/>
  <c r="K28" i="82"/>
  <c r="AF21" i="103" s="1"/>
  <c r="K29" i="82"/>
  <c r="K30" i="82"/>
  <c r="AF22" i="103" s="1"/>
  <c r="K31" i="82"/>
  <c r="K32" i="82"/>
  <c r="K33" i="82"/>
  <c r="K34" i="82"/>
  <c r="I26" i="82"/>
  <c r="I27" i="82"/>
  <c r="I28" i="82"/>
  <c r="I29" i="82"/>
  <c r="I30" i="82"/>
  <c r="I31" i="82"/>
  <c r="I32" i="82"/>
  <c r="I33" i="82"/>
  <c r="I34" i="82"/>
  <c r="N28" i="88" l="1"/>
  <c r="N27" i="88"/>
  <c r="N26" i="88"/>
  <c r="N25" i="88"/>
  <c r="N33" i="88"/>
  <c r="N31" i="88"/>
  <c r="N32" i="88"/>
  <c r="N30" i="88"/>
  <c r="N29" i="88"/>
  <c r="DU73" i="82"/>
  <c r="DN73" i="82" s="1"/>
  <c r="DU72" i="82"/>
  <c r="DN72" i="82" s="1"/>
  <c r="DU71" i="82"/>
  <c r="DN71" i="82" s="1"/>
  <c r="DU82" i="82"/>
  <c r="DN82" i="82" s="1"/>
  <c r="DU81" i="82"/>
  <c r="DN81" i="82" s="1"/>
  <c r="DU80" i="82"/>
  <c r="DN80" i="82" s="1"/>
  <c r="DU69" i="82"/>
  <c r="DN69" i="82" s="1"/>
  <c r="DU68" i="82"/>
  <c r="DN68" i="82" s="1"/>
  <c r="DU70" i="82"/>
  <c r="DN70" i="82" s="1"/>
  <c r="DU90" i="82"/>
  <c r="DN90" i="82" s="1"/>
  <c r="DU89" i="82"/>
  <c r="DN89" i="82" s="1"/>
  <c r="DU91" i="82"/>
  <c r="DN91" i="82" s="1"/>
  <c r="DU66" i="82"/>
  <c r="DN66" i="82" s="1"/>
  <c r="DU67" i="82"/>
  <c r="DN67" i="82" s="1"/>
  <c r="DU65" i="82"/>
  <c r="DN65" i="82" s="1"/>
  <c r="DU85" i="82"/>
  <c r="DN85" i="82" s="1"/>
  <c r="DU84" i="82"/>
  <c r="DN84" i="82" s="1"/>
  <c r="DU83" i="82"/>
  <c r="DN83" i="82" s="1"/>
  <c r="DU77" i="82"/>
  <c r="DN77" i="82" s="1"/>
  <c r="DU79" i="82"/>
  <c r="DN79" i="82" s="1"/>
  <c r="DU78" i="82"/>
  <c r="DN78" i="82" s="1"/>
  <c r="DU87" i="82"/>
  <c r="DN87" i="82" s="1"/>
  <c r="DU88" i="82"/>
  <c r="DN88" i="82" s="1"/>
  <c r="DU86" i="82"/>
  <c r="DN86" i="82" s="1"/>
  <c r="DU76" i="82"/>
  <c r="DN76" i="82" s="1"/>
  <c r="DU74" i="82"/>
  <c r="DN74" i="82" s="1"/>
  <c r="DU75" i="82"/>
  <c r="DN75" i="82" s="1"/>
  <c r="AT97" i="82"/>
  <c r="AT100" i="82"/>
  <c r="AT98" i="82"/>
  <c r="AT99" i="82"/>
  <c r="AA32" i="89"/>
  <c r="AM30" i="82"/>
  <c r="I29" i="88" s="1"/>
  <c r="Y30" i="82"/>
  <c r="G28" i="88" s="1"/>
  <c r="AK30" i="82"/>
  <c r="AM26" i="82"/>
  <c r="I25" i="88" s="1"/>
  <c r="Y26" i="82"/>
  <c r="G24" i="88" s="1"/>
  <c r="AK26" i="82"/>
  <c r="AT94" i="82"/>
  <c r="AT96" i="82"/>
  <c r="AT93" i="82"/>
  <c r="AT95" i="82"/>
  <c r="AM29" i="82"/>
  <c r="I28" i="88" s="1"/>
  <c r="Y29" i="82"/>
  <c r="G27" i="88" s="1"/>
  <c r="AK29" i="82"/>
  <c r="L31" i="82"/>
  <c r="AU107" i="82" s="1"/>
  <c r="AM34" i="82"/>
  <c r="I33" i="88" s="1"/>
  <c r="Y34" i="82"/>
  <c r="G32" i="88" s="1"/>
  <c r="AK34" i="82"/>
  <c r="L35" i="82"/>
  <c r="AU124" i="82" s="1"/>
  <c r="AT112" i="82"/>
  <c r="AT111" i="82"/>
  <c r="AT110" i="82"/>
  <c r="AT109" i="82"/>
  <c r="AM33" i="82"/>
  <c r="I32" i="88" s="1"/>
  <c r="Y33" i="82"/>
  <c r="G31" i="88" s="1"/>
  <c r="AK33" i="82"/>
  <c r="AT108" i="82"/>
  <c r="AT105" i="82"/>
  <c r="AT107" i="82"/>
  <c r="AT106" i="82"/>
  <c r="AT89" i="82"/>
  <c r="AT92" i="82"/>
  <c r="AT91" i="82"/>
  <c r="AT90" i="82"/>
  <c r="AA34" i="89"/>
  <c r="Y32" i="82"/>
  <c r="G30" i="88" s="1"/>
  <c r="AK32" i="82"/>
  <c r="AM32" i="82"/>
  <c r="I31" i="88" s="1"/>
  <c r="Y28" i="82"/>
  <c r="G26" i="88" s="1"/>
  <c r="AK28" i="82"/>
  <c r="AM28" i="82"/>
  <c r="I27" i="88" s="1"/>
  <c r="L30" i="82"/>
  <c r="AU104" i="82" s="1"/>
  <c r="AT116" i="82"/>
  <c r="AT113" i="82"/>
  <c r="AT115" i="82"/>
  <c r="AT114" i="82"/>
  <c r="AT117" i="82"/>
  <c r="AT120" i="82"/>
  <c r="AT118" i="82"/>
  <c r="AT119" i="82"/>
  <c r="AT101" i="82"/>
  <c r="AT104" i="82"/>
  <c r="AT103" i="82"/>
  <c r="AT102" i="82"/>
  <c r="AT85" i="82"/>
  <c r="AT87" i="82"/>
  <c r="AT88" i="82"/>
  <c r="AT86" i="82"/>
  <c r="AA33" i="89"/>
  <c r="AK31" i="82"/>
  <c r="AM31" i="82"/>
  <c r="I30" i="88" s="1"/>
  <c r="Y31" i="82"/>
  <c r="G29" i="88" s="1"/>
  <c r="AK27" i="82"/>
  <c r="AM27" i="82"/>
  <c r="I26" i="88" s="1"/>
  <c r="Y27" i="82"/>
  <c r="G25" i="88" s="1"/>
  <c r="W27" i="82"/>
  <c r="AA29" i="89"/>
  <c r="W31" i="82"/>
  <c r="L28" i="82"/>
  <c r="AU96" i="82" s="1"/>
  <c r="AA30" i="89"/>
  <c r="AA36" i="89"/>
  <c r="AA28" i="89"/>
  <c r="L29" i="82"/>
  <c r="AU97" i="82" s="1"/>
  <c r="AA35" i="89"/>
  <c r="AA31" i="89"/>
  <c r="L32" i="82"/>
  <c r="AU110" i="82" s="1"/>
  <c r="W33" i="82"/>
  <c r="W34" i="82"/>
  <c r="L27" i="82"/>
  <c r="AU89" i="82" s="1"/>
  <c r="W32" i="82"/>
  <c r="W30" i="82"/>
  <c r="W29" i="82"/>
  <c r="W28" i="82"/>
  <c r="L34" i="82"/>
  <c r="AU120" i="82" s="1"/>
  <c r="L33" i="82"/>
  <c r="AU116" i="82" s="1"/>
  <c r="W26" i="82"/>
  <c r="AA147" i="89" l="1"/>
  <c r="AA149" i="89"/>
  <c r="AA146" i="89"/>
  <c r="AA148" i="89"/>
  <c r="AA155" i="89"/>
  <c r="AA157" i="89"/>
  <c r="AA154" i="89"/>
  <c r="AA156" i="89"/>
  <c r="AA135" i="89"/>
  <c r="AA137" i="89"/>
  <c r="AA134" i="89"/>
  <c r="AA136" i="89"/>
  <c r="AA139" i="89"/>
  <c r="AA141" i="89"/>
  <c r="AA138" i="89"/>
  <c r="AA140" i="89"/>
  <c r="AA143" i="89"/>
  <c r="AA145" i="89"/>
  <c r="AA144" i="89"/>
  <c r="AA142" i="89"/>
  <c r="AA167" i="89"/>
  <c r="AA169" i="89"/>
  <c r="AA168" i="89"/>
  <c r="AA166" i="89"/>
  <c r="AA159" i="89"/>
  <c r="AA161" i="89"/>
  <c r="AA160" i="89"/>
  <c r="AA158" i="89"/>
  <c r="AA163" i="89"/>
  <c r="AA165" i="89"/>
  <c r="AA162" i="89"/>
  <c r="AA164" i="89"/>
  <c r="AA151" i="89"/>
  <c r="AA153" i="89"/>
  <c r="AA152" i="89"/>
  <c r="AA150" i="89"/>
  <c r="AU111" i="82"/>
  <c r="AU118" i="82"/>
  <c r="AU102" i="82"/>
  <c r="AU90" i="82"/>
  <c r="AU106" i="82"/>
  <c r="AU93" i="82"/>
  <c r="AU115" i="82"/>
  <c r="AU95" i="82"/>
  <c r="AU112" i="82"/>
  <c r="AU100" i="82"/>
  <c r="AU114" i="82"/>
  <c r="AU119" i="82"/>
  <c r="AU123" i="82"/>
  <c r="AU103" i="82"/>
  <c r="AU91" i="82"/>
  <c r="AU105" i="82"/>
  <c r="AU99" i="82"/>
  <c r="AU94" i="82"/>
  <c r="AU109" i="82"/>
  <c r="AU98" i="82"/>
  <c r="AU113" i="82"/>
  <c r="AU117" i="82"/>
  <c r="AU122" i="82"/>
  <c r="AU121" i="82"/>
  <c r="AU101" i="82"/>
  <c r="AU92" i="82"/>
  <c r="AU108" i="82"/>
  <c r="BF5" i="85" l="1"/>
  <c r="BA7" i="89" s="1"/>
  <c r="BF6" i="85"/>
  <c r="BF7" i="85"/>
  <c r="BA9" i="89" s="1"/>
  <c r="BF8" i="85"/>
  <c r="BF9" i="85"/>
  <c r="BA11" i="89" s="1"/>
  <c r="BF10" i="85"/>
  <c r="BF11" i="85"/>
  <c r="BA13" i="89" s="1"/>
  <c r="BF12" i="85"/>
  <c r="BF13" i="85"/>
  <c r="BA15" i="89" s="1"/>
  <c r="BF14" i="85"/>
  <c r="BF15" i="85"/>
  <c r="BA17" i="89" s="1"/>
  <c r="BF16" i="85"/>
  <c r="BF17" i="85"/>
  <c r="BA19" i="89" s="1"/>
  <c r="BF18" i="85"/>
  <c r="BF19" i="85"/>
  <c r="BA21" i="89" s="1"/>
  <c r="BF20" i="85"/>
  <c r="BA22" i="89" s="1"/>
  <c r="BF21" i="85"/>
  <c r="BF22" i="85"/>
  <c r="BA24" i="89" s="1"/>
  <c r="BF23" i="85"/>
  <c r="BA25" i="89" s="1"/>
  <c r="BF24" i="85"/>
  <c r="BF25" i="85"/>
  <c r="BA27" i="89" s="1"/>
  <c r="BF26" i="85"/>
  <c r="BA28" i="89" s="1"/>
  <c r="BF27" i="85"/>
  <c r="BF28" i="85"/>
  <c r="BA30" i="89" s="1"/>
  <c r="BF29" i="85"/>
  <c r="BA31" i="89" s="1"/>
  <c r="BF30" i="85"/>
  <c r="BF31" i="85"/>
  <c r="BA33" i="89" s="1"/>
  <c r="BF32" i="85"/>
  <c r="BA34" i="89" s="1"/>
  <c r="BF33" i="85"/>
  <c r="BF34" i="85"/>
  <c r="BA36" i="89" s="1"/>
  <c r="BF35" i="85"/>
  <c r="BA37" i="89" s="1"/>
  <c r="BF36" i="85"/>
  <c r="BF37" i="85"/>
  <c r="BA39" i="89" s="1"/>
  <c r="BF38" i="85"/>
  <c r="BA40" i="89" s="1"/>
  <c r="BF39" i="85"/>
  <c r="BF40" i="85"/>
  <c r="BA42" i="89" s="1"/>
  <c r="BF41" i="85"/>
  <c r="BA43" i="89" s="1"/>
  <c r="BF42" i="85"/>
  <c r="BF43" i="85"/>
  <c r="BA45" i="89" s="1"/>
  <c r="BF44" i="85"/>
  <c r="BA46" i="89" s="1"/>
  <c r="BF45" i="85"/>
  <c r="BF46" i="85"/>
  <c r="BA48" i="89" s="1"/>
  <c r="BF47" i="85"/>
  <c r="BA49" i="89" s="1"/>
  <c r="BF48" i="85"/>
  <c r="BF49" i="85"/>
  <c r="BA51" i="89" s="1"/>
  <c r="BF50" i="85"/>
  <c r="BA52" i="89" s="1"/>
  <c r="BF51" i="85"/>
  <c r="BF52" i="85"/>
  <c r="BA54" i="89" s="1"/>
  <c r="BF53" i="85"/>
  <c r="BA55" i="89" s="1"/>
  <c r="BF54" i="85"/>
  <c r="BA56" i="89" s="1"/>
  <c r="BF55" i="85"/>
  <c r="BF4" i="85"/>
  <c r="BB11" i="85"/>
  <c r="BB8" i="85"/>
  <c r="BB9" i="85"/>
  <c r="BB10" i="85"/>
  <c r="BB5" i="85"/>
  <c r="BB6" i="85"/>
  <c r="BB7" i="85"/>
  <c r="BB4" i="85"/>
  <c r="BA6" i="89" l="1"/>
  <c r="BO4" i="85"/>
  <c r="BA50" i="89"/>
  <c r="BT50" i="89" s="1"/>
  <c r="BO21" i="85"/>
  <c r="BA38" i="89"/>
  <c r="BO17" i="85"/>
  <c r="BA26" i="89"/>
  <c r="BT26" i="89" s="1"/>
  <c r="BO13" i="85"/>
  <c r="BA18" i="89"/>
  <c r="BO10" i="85"/>
  <c r="BA14" i="89"/>
  <c r="BT14" i="89" s="1"/>
  <c r="BO8" i="85"/>
  <c r="BA10" i="89"/>
  <c r="BT10" i="89" s="1"/>
  <c r="BO6" i="85"/>
  <c r="BA57" i="89"/>
  <c r="BT57" i="89" s="1"/>
  <c r="BO23" i="85"/>
  <c r="BA53" i="89"/>
  <c r="BT53" i="89" s="1"/>
  <c r="BO22" i="85"/>
  <c r="BA41" i="89"/>
  <c r="BT41" i="89" s="1"/>
  <c r="BO18" i="85"/>
  <c r="BA29" i="89"/>
  <c r="BT29" i="89" s="1"/>
  <c r="BO14" i="85"/>
  <c r="BA44" i="89"/>
  <c r="BT44" i="89" s="1"/>
  <c r="BO19" i="85"/>
  <c r="BA32" i="89"/>
  <c r="BT32" i="89" s="1"/>
  <c r="BO15" i="85"/>
  <c r="BA20" i="89"/>
  <c r="BT20" i="89" s="1"/>
  <c r="BO11" i="85"/>
  <c r="BA16" i="89"/>
  <c r="BT16" i="89" s="1"/>
  <c r="BO9" i="85"/>
  <c r="BA12" i="89"/>
  <c r="BT12" i="89" s="1"/>
  <c r="BO7" i="85"/>
  <c r="BA8" i="89"/>
  <c r="BT8" i="89" s="1"/>
  <c r="BO5" i="85"/>
  <c r="BA47" i="89"/>
  <c r="BT47" i="89" s="1"/>
  <c r="BO20" i="85"/>
  <c r="BA35" i="89"/>
  <c r="BT35" i="89" s="1"/>
  <c r="BO16" i="85"/>
  <c r="BA23" i="89"/>
  <c r="BT23" i="89" s="1"/>
  <c r="BO12" i="85"/>
  <c r="BT6" i="89"/>
  <c r="BT54" i="89"/>
  <c r="BT46" i="89"/>
  <c r="BT42" i="89"/>
  <c r="BT38" i="89"/>
  <c r="BT34" i="89"/>
  <c r="BT30" i="89"/>
  <c r="BT22" i="89"/>
  <c r="BT18" i="89"/>
  <c r="BT51" i="89"/>
  <c r="BT39" i="89"/>
  <c r="BT49" i="89"/>
  <c r="BT45" i="89"/>
  <c r="BT37" i="89"/>
  <c r="BT33" i="89"/>
  <c r="BT25" i="89"/>
  <c r="BT21" i="89"/>
  <c r="BT17" i="89"/>
  <c r="BT13" i="89"/>
  <c r="BT9" i="89"/>
  <c r="BT55" i="89"/>
  <c r="BT43" i="89"/>
  <c r="BT56" i="89"/>
  <c r="BT52" i="89"/>
  <c r="BT48" i="89"/>
  <c r="BT40" i="89"/>
  <c r="BT36" i="89"/>
  <c r="BT28" i="89"/>
  <c r="BT24" i="89"/>
  <c r="BT31" i="89"/>
  <c r="BT27" i="89"/>
  <c r="BT19" i="89"/>
  <c r="BT15" i="89"/>
  <c r="BT11" i="89"/>
  <c r="BT7" i="89"/>
  <c r="AY10" i="89"/>
  <c r="AY22" i="89"/>
  <c r="AY34" i="89"/>
  <c r="AY46" i="89"/>
  <c r="AY6" i="89"/>
  <c r="AY41" i="89"/>
  <c r="AY20" i="89"/>
  <c r="AY11" i="89"/>
  <c r="AY23" i="89"/>
  <c r="AY35" i="89"/>
  <c r="AY47" i="89"/>
  <c r="AY45" i="89"/>
  <c r="AY12" i="89"/>
  <c r="AY24" i="89"/>
  <c r="AY36" i="89"/>
  <c r="AY48" i="89"/>
  <c r="AY21" i="89"/>
  <c r="AY13" i="89"/>
  <c r="AY25" i="89"/>
  <c r="AY37" i="89"/>
  <c r="AY49" i="89"/>
  <c r="AY8" i="89"/>
  <c r="AY14" i="89"/>
  <c r="AY26" i="89"/>
  <c r="AY38" i="89"/>
  <c r="AY50" i="89"/>
  <c r="AY44" i="89"/>
  <c r="AY9" i="89"/>
  <c r="AY15" i="89"/>
  <c r="AY27" i="89"/>
  <c r="AY39" i="89"/>
  <c r="AY51" i="89"/>
  <c r="AY53" i="89"/>
  <c r="AY32" i="89"/>
  <c r="AY16" i="89"/>
  <c r="AY28" i="89"/>
  <c r="AY40" i="89"/>
  <c r="AY52" i="89"/>
  <c r="AY17" i="89"/>
  <c r="AY33" i="89"/>
  <c r="AY29" i="89"/>
  <c r="AY18" i="89"/>
  <c r="AY30" i="89"/>
  <c r="AY42" i="89"/>
  <c r="AY54" i="89"/>
  <c r="AY7" i="89"/>
  <c r="AY19" i="89"/>
  <c r="AY31" i="89"/>
  <c r="AY43" i="89"/>
  <c r="AY55" i="89"/>
  <c r="AY56" i="89"/>
  <c r="AY57" i="89"/>
  <c r="T27" i="85" l="1"/>
  <c r="V27" i="85"/>
  <c r="T28" i="85"/>
  <c r="V28" i="85"/>
  <c r="T29" i="85"/>
  <c r="V29" i="85"/>
  <c r="T30" i="85"/>
  <c r="V30" i="85"/>
  <c r="T31" i="85"/>
  <c r="V31" i="85"/>
  <c r="T32" i="85"/>
  <c r="U33" i="85" s="1"/>
  <c r="V32" i="85"/>
  <c r="W33" i="85" s="1"/>
  <c r="V23" i="85"/>
  <c r="V24" i="85"/>
  <c r="V25" i="85"/>
  <c r="V26" i="85"/>
  <c r="T23" i="85"/>
  <c r="T24" i="85"/>
  <c r="T25" i="85"/>
  <c r="T26" i="85"/>
  <c r="V6" i="85"/>
  <c r="V9" i="85"/>
  <c r="V10" i="85"/>
  <c r="V11" i="85"/>
  <c r="V12" i="85"/>
  <c r="V13" i="85"/>
  <c r="V14" i="85"/>
  <c r="V15" i="85"/>
  <c r="V16" i="85"/>
  <c r="V17" i="85"/>
  <c r="V18" i="85"/>
  <c r="V19" i="85"/>
  <c r="V20" i="85"/>
  <c r="V21" i="85"/>
  <c r="V22" i="85"/>
  <c r="V5" i="85"/>
  <c r="T6" i="85"/>
  <c r="T9" i="85"/>
  <c r="T10" i="85"/>
  <c r="T11" i="85"/>
  <c r="T12" i="85"/>
  <c r="T13" i="85"/>
  <c r="T14" i="85"/>
  <c r="T15" i="85"/>
  <c r="T16" i="85"/>
  <c r="T17" i="85"/>
  <c r="T18" i="85"/>
  <c r="T19" i="85"/>
  <c r="T20" i="85"/>
  <c r="T21" i="85"/>
  <c r="T22" i="85"/>
  <c r="T5" i="85"/>
  <c r="B11" i="85"/>
  <c r="B8" i="85"/>
  <c r="U6" i="85" l="1"/>
  <c r="AN11" i="85" s="1"/>
  <c r="U7" i="85"/>
  <c r="AN19" i="85" s="1"/>
  <c r="W6" i="85"/>
  <c r="AN12" i="85" s="1"/>
  <c r="W7" i="85"/>
  <c r="AN20" i="85" s="1"/>
  <c r="Y28" i="85"/>
  <c r="Y29" i="85"/>
  <c r="U28" i="85"/>
  <c r="AN129" i="85" s="1"/>
  <c r="W28" i="85"/>
  <c r="AN130" i="85" s="1"/>
  <c r="W27" i="85"/>
  <c r="U27" i="85"/>
  <c r="Y27" i="85"/>
  <c r="AD14" i="98" s="1"/>
  <c r="W32" i="85"/>
  <c r="AN150" i="85" s="1"/>
  <c r="U31" i="85"/>
  <c r="AN144" i="85" s="1"/>
  <c r="W29" i="85"/>
  <c r="Y30" i="85"/>
  <c r="U32" i="85"/>
  <c r="AN149" i="85" s="1"/>
  <c r="Y31" i="85"/>
  <c r="W30" i="85"/>
  <c r="AN140" i="85" s="1"/>
  <c r="U29" i="85"/>
  <c r="Y32" i="85"/>
  <c r="W31" i="85"/>
  <c r="AN145" i="85" s="1"/>
  <c r="U30" i="85"/>
  <c r="AN139" i="85" s="1"/>
  <c r="Y26" i="85"/>
  <c r="W25" i="85"/>
  <c r="AN115" i="85" s="1"/>
  <c r="U25" i="85"/>
  <c r="Y25" i="85"/>
  <c r="Y23" i="85"/>
  <c r="U24" i="85"/>
  <c r="AN109" i="85" s="1"/>
  <c r="U26" i="85"/>
  <c r="AN119" i="85" s="1"/>
  <c r="W23" i="85"/>
  <c r="AN105" i="85" s="1"/>
  <c r="U23" i="85"/>
  <c r="AN104" i="85" s="1"/>
  <c r="W24" i="85"/>
  <c r="AN110" i="85" s="1"/>
  <c r="W26" i="85"/>
  <c r="AN120" i="85" s="1"/>
  <c r="Y24" i="85"/>
  <c r="AD13" i="98" l="1"/>
  <c r="T15" i="98"/>
  <c r="AN135" i="85"/>
  <c r="D14" i="98"/>
  <c r="AN124" i="85"/>
  <c r="D15" i="98"/>
  <c r="AN134" i="85"/>
  <c r="D13" i="98"/>
  <c r="AN114" i="85"/>
  <c r="T14" i="98"/>
  <c r="AN125" i="85"/>
  <c r="T13" i="98"/>
  <c r="AD15" i="98"/>
  <c r="O28" i="88"/>
  <c r="P28" i="88"/>
  <c r="O26" i="88"/>
  <c r="P26" i="88"/>
  <c r="O25" i="88"/>
  <c r="P25" i="88"/>
  <c r="P32" i="88"/>
  <c r="O32" i="88"/>
  <c r="P33" i="88"/>
  <c r="O29" i="88"/>
  <c r="P29" i="88"/>
  <c r="O30" i="88"/>
  <c r="P30" i="88"/>
  <c r="O24" i="88"/>
  <c r="P24" i="88"/>
  <c r="O33" i="88" l="1"/>
  <c r="O27" i="88"/>
  <c r="P27" i="88"/>
  <c r="O31" i="88"/>
  <c r="P31" i="88"/>
  <c r="O10" i="81"/>
  <c r="N9" i="81"/>
  <c r="N8" i="81"/>
  <c r="N7" i="81"/>
  <c r="N6" i="81"/>
  <c r="O270" i="81"/>
  <c r="N269" i="81"/>
  <c r="N268" i="81"/>
  <c r="N267" i="81"/>
  <c r="N266" i="81"/>
  <c r="O256" i="81"/>
  <c r="N255" i="81"/>
  <c r="N254" i="81"/>
  <c r="N253" i="81"/>
  <c r="N252" i="81"/>
  <c r="O242" i="81"/>
  <c r="N240" i="81"/>
  <c r="N239" i="81"/>
  <c r="N238" i="81"/>
  <c r="O228" i="81"/>
  <c r="N225" i="81"/>
  <c r="N224" i="81"/>
  <c r="O214" i="81"/>
  <c r="N211" i="81"/>
  <c r="N210" i="81"/>
  <c r="AF6" i="82"/>
  <c r="AF7" i="82"/>
  <c r="AF8" i="82"/>
  <c r="AF9" i="82"/>
  <c r="AF10" i="82"/>
  <c r="AF11" i="82"/>
  <c r="AF12" i="82"/>
  <c r="AF13" i="82"/>
  <c r="AF14" i="82"/>
  <c r="AF15" i="82"/>
  <c r="AF16" i="82"/>
  <c r="AF17" i="82"/>
  <c r="AF18" i="82"/>
  <c r="AF19" i="82"/>
  <c r="AF20" i="82"/>
  <c r="AF21" i="82"/>
  <c r="AF22" i="82"/>
  <c r="AF23" i="82"/>
  <c r="AF24" i="82"/>
  <c r="AF25" i="82"/>
  <c r="AF5" i="82"/>
  <c r="Q6" i="82"/>
  <c r="Q7" i="82"/>
  <c r="Q8" i="82"/>
  <c r="Q9" i="82"/>
  <c r="Q10" i="82"/>
  <c r="Q11" i="82"/>
  <c r="Q12" i="82"/>
  <c r="Q13" i="82"/>
  <c r="Q14" i="82"/>
  <c r="Q15" i="82"/>
  <c r="Q16" i="82"/>
  <c r="Q17" i="82"/>
  <c r="Q18" i="82"/>
  <c r="Q19" i="82"/>
  <c r="Q20" i="82"/>
  <c r="Q21" i="82"/>
  <c r="Q22" i="82"/>
  <c r="Q23" i="82"/>
  <c r="Q24" i="82"/>
  <c r="Q25" i="82"/>
  <c r="Q5" i="82"/>
  <c r="AY6" i="82" l="1"/>
  <c r="AZ6" i="82" s="1"/>
  <c r="AY10" i="82"/>
  <c r="AZ10" i="82" s="1"/>
  <c r="AY14" i="82"/>
  <c r="AZ14" i="82" s="1"/>
  <c r="AY18" i="82"/>
  <c r="AZ18" i="82" s="1"/>
  <c r="AY22" i="82"/>
  <c r="AZ22" i="82" s="1"/>
  <c r="AY26" i="82"/>
  <c r="AZ26" i="82" s="1"/>
  <c r="AY30" i="82"/>
  <c r="AZ30" i="82" s="1"/>
  <c r="AY34" i="82"/>
  <c r="AZ34" i="82" s="1"/>
  <c r="AY38" i="82"/>
  <c r="AZ38" i="82" s="1"/>
  <c r="AY42" i="82"/>
  <c r="AZ42" i="82" s="1"/>
  <c r="AY46" i="82"/>
  <c r="AZ46" i="82" s="1"/>
  <c r="AY50" i="82"/>
  <c r="AZ50" i="82" s="1"/>
  <c r="AY54" i="82"/>
  <c r="AZ54" i="82" s="1"/>
  <c r="AY58" i="82"/>
  <c r="AZ58" i="82" s="1"/>
  <c r="AY62" i="82"/>
  <c r="AZ62" i="82" s="1"/>
  <c r="AY66" i="82"/>
  <c r="AZ66" i="82" s="1"/>
  <c r="AY70" i="82"/>
  <c r="AZ70" i="82" s="1"/>
  <c r="AY74" i="82"/>
  <c r="AZ74" i="82" s="1"/>
  <c r="AY78" i="82"/>
  <c r="AZ78" i="82" s="1"/>
  <c r="AY82" i="82"/>
  <c r="AZ82" i="82" s="1"/>
  <c r="AY86" i="82"/>
  <c r="AZ86" i="82" s="1"/>
  <c r="AY90" i="82"/>
  <c r="AZ90" i="82" s="1"/>
  <c r="AY94" i="82"/>
  <c r="AZ94" i="82" s="1"/>
  <c r="AY98" i="82"/>
  <c r="AZ98" i="82" s="1"/>
  <c r="AY102" i="82"/>
  <c r="AZ102" i="82" s="1"/>
  <c r="AY106" i="82"/>
  <c r="AZ106" i="82" s="1"/>
  <c r="AY110" i="82"/>
  <c r="AZ110" i="82" s="1"/>
  <c r="AY114" i="82"/>
  <c r="AZ114" i="82" s="1"/>
  <c r="AY118" i="82"/>
  <c r="AZ118" i="82" s="1"/>
  <c r="AY122" i="82"/>
  <c r="AZ122" i="82" s="1"/>
  <c r="AY126" i="82"/>
  <c r="AZ126" i="82" s="1"/>
  <c r="AY130" i="82"/>
  <c r="AZ130" i="82" s="1"/>
  <c r="AY134" i="82"/>
  <c r="AZ134" i="82" s="1"/>
  <c r="AY138" i="82"/>
  <c r="AZ138" i="82" s="1"/>
  <c r="AY142" i="82"/>
  <c r="AZ142" i="82" s="1"/>
  <c r="AY146" i="82"/>
  <c r="AZ146" i="82" s="1"/>
  <c r="AY150" i="82"/>
  <c r="AZ150" i="82" s="1"/>
  <c r="AY154" i="82"/>
  <c r="AZ154" i="82" s="1"/>
  <c r="AY158" i="82"/>
  <c r="AZ158" i="82" s="1"/>
  <c r="AY162" i="82"/>
  <c r="AZ162" i="82" s="1"/>
  <c r="AY166" i="82"/>
  <c r="AZ166" i="82" s="1"/>
  <c r="AY170" i="82"/>
  <c r="AZ170" i="82" s="1"/>
  <c r="AY174" i="82"/>
  <c r="AZ174" i="82" s="1"/>
  <c r="AY178" i="82"/>
  <c r="AZ178" i="82" s="1"/>
  <c r="AY182" i="82"/>
  <c r="AZ182" i="82" s="1"/>
  <c r="AY186" i="82"/>
  <c r="AZ186" i="82" s="1"/>
  <c r="AY190" i="82"/>
  <c r="AZ190" i="82" s="1"/>
  <c r="AY194" i="82"/>
  <c r="AZ194" i="82" s="1"/>
  <c r="AY198" i="82"/>
  <c r="AZ198" i="82" s="1"/>
  <c r="AY202" i="82"/>
  <c r="AZ202" i="82" s="1"/>
  <c r="AY206" i="82"/>
  <c r="AZ206" i="82" s="1"/>
  <c r="AY210" i="82"/>
  <c r="AZ210" i="82" s="1"/>
  <c r="AY214" i="82"/>
  <c r="AZ214" i="82" s="1"/>
  <c r="AY218" i="82"/>
  <c r="AZ218" i="82" s="1"/>
  <c r="AY222" i="82"/>
  <c r="AZ222" i="82" s="1"/>
  <c r="AY226" i="82"/>
  <c r="AZ226" i="82" s="1"/>
  <c r="AY7" i="82"/>
  <c r="AZ7" i="82" s="1"/>
  <c r="AY11" i="82"/>
  <c r="AZ11" i="82" s="1"/>
  <c r="AY15" i="82"/>
  <c r="AZ15" i="82" s="1"/>
  <c r="AY19" i="82"/>
  <c r="AZ19" i="82" s="1"/>
  <c r="AY23" i="82"/>
  <c r="AZ23" i="82" s="1"/>
  <c r="AY27" i="82"/>
  <c r="AZ27" i="82" s="1"/>
  <c r="AY31" i="82"/>
  <c r="AZ31" i="82" s="1"/>
  <c r="AY35" i="82"/>
  <c r="AZ35" i="82" s="1"/>
  <c r="AY39" i="82"/>
  <c r="AZ39" i="82" s="1"/>
  <c r="AY43" i="82"/>
  <c r="AZ43" i="82" s="1"/>
  <c r="AY47" i="82"/>
  <c r="AZ47" i="82" s="1"/>
  <c r="AY51" i="82"/>
  <c r="AZ51" i="82" s="1"/>
  <c r="AY55" i="82"/>
  <c r="AZ55" i="82" s="1"/>
  <c r="AY59" i="82"/>
  <c r="AZ59" i="82" s="1"/>
  <c r="AY63" i="82"/>
  <c r="AZ63" i="82" s="1"/>
  <c r="AY67" i="82"/>
  <c r="AZ67" i="82" s="1"/>
  <c r="AY71" i="82"/>
  <c r="AZ71" i="82" s="1"/>
  <c r="AY75" i="82"/>
  <c r="AZ75" i="82" s="1"/>
  <c r="AY79" i="82"/>
  <c r="AZ79" i="82" s="1"/>
  <c r="AY83" i="82"/>
  <c r="AZ83" i="82" s="1"/>
  <c r="AY87" i="82"/>
  <c r="AZ87" i="82" s="1"/>
  <c r="AY91" i="82"/>
  <c r="AZ91" i="82" s="1"/>
  <c r="AY95" i="82"/>
  <c r="AZ95" i="82" s="1"/>
  <c r="AY99" i="82"/>
  <c r="AZ99" i="82" s="1"/>
  <c r="AY103" i="82"/>
  <c r="AZ103" i="82" s="1"/>
  <c r="AY107" i="82"/>
  <c r="AZ107" i="82" s="1"/>
  <c r="AY111" i="82"/>
  <c r="AZ111" i="82" s="1"/>
  <c r="AY115" i="82"/>
  <c r="AZ115" i="82" s="1"/>
  <c r="AY119" i="82"/>
  <c r="AZ119" i="82" s="1"/>
  <c r="AY123" i="82"/>
  <c r="AZ123" i="82" s="1"/>
  <c r="AY127" i="82"/>
  <c r="AZ127" i="82" s="1"/>
  <c r="AY131" i="82"/>
  <c r="AZ131" i="82" s="1"/>
  <c r="AY135" i="82"/>
  <c r="AZ135" i="82" s="1"/>
  <c r="AY139" i="82"/>
  <c r="AZ139" i="82" s="1"/>
  <c r="AY143" i="82"/>
  <c r="AZ143" i="82" s="1"/>
  <c r="AY8" i="82"/>
  <c r="AZ8" i="82" s="1"/>
  <c r="AY12" i="82"/>
  <c r="AZ12" i="82" s="1"/>
  <c r="AY16" i="82"/>
  <c r="AZ16" i="82" s="1"/>
  <c r="AY20" i="82"/>
  <c r="AZ20" i="82" s="1"/>
  <c r="AY24" i="82"/>
  <c r="AZ24" i="82" s="1"/>
  <c r="AY28" i="82"/>
  <c r="AZ28" i="82" s="1"/>
  <c r="AY32" i="82"/>
  <c r="AZ32" i="82" s="1"/>
  <c r="AY36" i="82"/>
  <c r="AZ36" i="82" s="1"/>
  <c r="AY40" i="82"/>
  <c r="AZ40" i="82" s="1"/>
  <c r="AY44" i="82"/>
  <c r="AZ44" i="82" s="1"/>
  <c r="AY48" i="82"/>
  <c r="AZ48" i="82" s="1"/>
  <c r="AY52" i="82"/>
  <c r="AZ52" i="82" s="1"/>
  <c r="AY56" i="82"/>
  <c r="AZ56" i="82" s="1"/>
  <c r="AY60" i="82"/>
  <c r="AZ60" i="82" s="1"/>
  <c r="AY64" i="82"/>
  <c r="AZ64" i="82" s="1"/>
  <c r="AY68" i="82"/>
  <c r="AZ68" i="82" s="1"/>
  <c r="AY72" i="82"/>
  <c r="AZ72" i="82" s="1"/>
  <c r="AY76" i="82"/>
  <c r="AZ76" i="82" s="1"/>
  <c r="AY80" i="82"/>
  <c r="AZ80" i="82" s="1"/>
  <c r="AY84" i="82"/>
  <c r="AZ84" i="82" s="1"/>
  <c r="AY88" i="82"/>
  <c r="AZ88" i="82" s="1"/>
  <c r="AY92" i="82"/>
  <c r="AZ92" i="82" s="1"/>
  <c r="AY96" i="82"/>
  <c r="AZ96" i="82" s="1"/>
  <c r="AY100" i="82"/>
  <c r="AZ100" i="82" s="1"/>
  <c r="AY104" i="82"/>
  <c r="AZ104" i="82" s="1"/>
  <c r="AY108" i="82"/>
  <c r="AZ108" i="82" s="1"/>
  <c r="AY112" i="82"/>
  <c r="AZ112" i="82" s="1"/>
  <c r="AY116" i="82"/>
  <c r="AZ116" i="82" s="1"/>
  <c r="AY120" i="82"/>
  <c r="AZ120" i="82" s="1"/>
  <c r="AY124" i="82"/>
  <c r="AZ124" i="82" s="1"/>
  <c r="AY128" i="82"/>
  <c r="AZ128" i="82" s="1"/>
  <c r="AY132" i="82"/>
  <c r="AZ132" i="82" s="1"/>
  <c r="AY136" i="82"/>
  <c r="AZ136" i="82" s="1"/>
  <c r="AY140" i="82"/>
  <c r="AZ140" i="82" s="1"/>
  <c r="AY144" i="82"/>
  <c r="AZ144" i="82" s="1"/>
  <c r="AY148" i="82"/>
  <c r="AZ148" i="82" s="1"/>
  <c r="AY152" i="82"/>
  <c r="AZ152" i="82" s="1"/>
  <c r="AY156" i="82"/>
  <c r="AZ156" i="82" s="1"/>
  <c r="AY160" i="82"/>
  <c r="AZ160" i="82" s="1"/>
  <c r="AY164" i="82"/>
  <c r="AZ164" i="82" s="1"/>
  <c r="AY168" i="82"/>
  <c r="AZ168" i="82" s="1"/>
  <c r="AY172" i="82"/>
  <c r="AZ172" i="82" s="1"/>
  <c r="AY176" i="82"/>
  <c r="AZ176" i="82" s="1"/>
  <c r="AY180" i="82"/>
  <c r="AZ180" i="82" s="1"/>
  <c r="AY184" i="82"/>
  <c r="AZ184" i="82" s="1"/>
  <c r="AY188" i="82"/>
  <c r="AZ188" i="82" s="1"/>
  <c r="AY192" i="82"/>
  <c r="AZ192" i="82" s="1"/>
  <c r="AY196" i="82"/>
  <c r="AZ196" i="82" s="1"/>
  <c r="AY200" i="82"/>
  <c r="AZ200" i="82" s="1"/>
  <c r="AY204" i="82"/>
  <c r="AZ204" i="82" s="1"/>
  <c r="AY208" i="82"/>
  <c r="AZ208" i="82" s="1"/>
  <c r="AY212" i="82"/>
  <c r="AZ212" i="82" s="1"/>
  <c r="AY216" i="82"/>
  <c r="AZ216" i="82" s="1"/>
  <c r="AY220" i="82"/>
  <c r="AZ220" i="82" s="1"/>
  <c r="AY224" i="82"/>
  <c r="AZ224" i="82" s="1"/>
  <c r="AY228" i="82"/>
  <c r="AZ228" i="82" s="1"/>
  <c r="AY232" i="82"/>
  <c r="AZ232" i="82" s="1"/>
  <c r="AY236" i="82"/>
  <c r="AZ236" i="82" s="1"/>
  <c r="AY240" i="82"/>
  <c r="AZ240" i="82" s="1"/>
  <c r="AY244" i="82"/>
  <c r="AZ244" i="82" s="1"/>
  <c r="AY248" i="82"/>
  <c r="AZ248" i="82" s="1"/>
  <c r="AY252" i="82"/>
  <c r="AZ252" i="82" s="1"/>
  <c r="AY256" i="82"/>
  <c r="AZ256" i="82" s="1"/>
  <c r="AY260" i="82"/>
  <c r="AZ260" i="82" s="1"/>
  <c r="AY264" i="82"/>
  <c r="AZ264" i="82" s="1"/>
  <c r="AY268" i="82"/>
  <c r="AZ268" i="82" s="1"/>
  <c r="AY272" i="82"/>
  <c r="AZ272" i="82" s="1"/>
  <c r="AY276" i="82"/>
  <c r="AZ276" i="82" s="1"/>
  <c r="AY280" i="82"/>
  <c r="AZ280" i="82" s="1"/>
  <c r="AY284" i="82"/>
  <c r="AZ284" i="82" s="1"/>
  <c r="AY17" i="82"/>
  <c r="AZ17" i="82" s="1"/>
  <c r="AY33" i="82"/>
  <c r="AZ33" i="82" s="1"/>
  <c r="AY49" i="82"/>
  <c r="AZ49" i="82" s="1"/>
  <c r="AY65" i="82"/>
  <c r="AZ65" i="82" s="1"/>
  <c r="AY81" i="82"/>
  <c r="AZ81" i="82" s="1"/>
  <c r="AY97" i="82"/>
  <c r="AZ97" i="82" s="1"/>
  <c r="AY113" i="82"/>
  <c r="AZ113" i="82" s="1"/>
  <c r="AY129" i="82"/>
  <c r="AZ129" i="82" s="1"/>
  <c r="AY145" i="82"/>
  <c r="AZ145" i="82" s="1"/>
  <c r="AY153" i="82"/>
  <c r="AZ153" i="82" s="1"/>
  <c r="AY161" i="82"/>
  <c r="AZ161" i="82" s="1"/>
  <c r="AY169" i="82"/>
  <c r="AZ169" i="82" s="1"/>
  <c r="AY177" i="82"/>
  <c r="AZ177" i="82" s="1"/>
  <c r="AY185" i="82"/>
  <c r="AZ185" i="82" s="1"/>
  <c r="AY193" i="82"/>
  <c r="AZ193" i="82" s="1"/>
  <c r="AY201" i="82"/>
  <c r="AZ201" i="82" s="1"/>
  <c r="AY209" i="82"/>
  <c r="AZ209" i="82" s="1"/>
  <c r="AY217" i="82"/>
  <c r="AZ217" i="82" s="1"/>
  <c r="AY225" i="82"/>
  <c r="AZ225" i="82" s="1"/>
  <c r="AY231" i="82"/>
  <c r="AZ231" i="82" s="1"/>
  <c r="AY237" i="82"/>
  <c r="AZ237" i="82" s="1"/>
  <c r="AY242" i="82"/>
  <c r="AZ242" i="82" s="1"/>
  <c r="AY247" i="82"/>
  <c r="AZ247" i="82" s="1"/>
  <c r="AY253" i="82"/>
  <c r="AZ253" i="82" s="1"/>
  <c r="AY258" i="82"/>
  <c r="AZ258" i="82" s="1"/>
  <c r="AY263" i="82"/>
  <c r="AZ263" i="82" s="1"/>
  <c r="AY269" i="82"/>
  <c r="AZ269" i="82" s="1"/>
  <c r="AY274" i="82"/>
  <c r="AZ274" i="82" s="1"/>
  <c r="AY279" i="82"/>
  <c r="AZ279" i="82" s="1"/>
  <c r="AY285" i="82"/>
  <c r="AZ285" i="82" s="1"/>
  <c r="AY289" i="82"/>
  <c r="AZ289" i="82" s="1"/>
  <c r="AY293" i="82"/>
  <c r="AZ293" i="82" s="1"/>
  <c r="AY297" i="82"/>
  <c r="AZ297" i="82" s="1"/>
  <c r="AY301" i="82"/>
  <c r="AZ301" i="82" s="1"/>
  <c r="AY5" i="82"/>
  <c r="AY21" i="82"/>
  <c r="AZ21" i="82" s="1"/>
  <c r="AY37" i="82"/>
  <c r="AZ37" i="82" s="1"/>
  <c r="AY53" i="82"/>
  <c r="AZ53" i="82" s="1"/>
  <c r="AY69" i="82"/>
  <c r="AZ69" i="82" s="1"/>
  <c r="AY85" i="82"/>
  <c r="AZ85" i="82" s="1"/>
  <c r="AY101" i="82"/>
  <c r="AZ101" i="82" s="1"/>
  <c r="AY117" i="82"/>
  <c r="AZ117" i="82" s="1"/>
  <c r="AY133" i="82"/>
  <c r="AZ133" i="82" s="1"/>
  <c r="AY147" i="82"/>
  <c r="AZ147" i="82" s="1"/>
  <c r="AY155" i="82"/>
  <c r="AZ155" i="82" s="1"/>
  <c r="AY163" i="82"/>
  <c r="AZ163" i="82" s="1"/>
  <c r="AY171" i="82"/>
  <c r="AZ171" i="82" s="1"/>
  <c r="AY179" i="82"/>
  <c r="AZ179" i="82" s="1"/>
  <c r="AY187" i="82"/>
  <c r="AZ187" i="82" s="1"/>
  <c r="AY195" i="82"/>
  <c r="AZ195" i="82" s="1"/>
  <c r="AY203" i="82"/>
  <c r="AZ203" i="82" s="1"/>
  <c r="AY211" i="82"/>
  <c r="AZ211" i="82" s="1"/>
  <c r="AY219" i="82"/>
  <c r="AZ219" i="82" s="1"/>
  <c r="AY227" i="82"/>
  <c r="AZ227" i="82" s="1"/>
  <c r="AY233" i="82"/>
  <c r="AZ233" i="82" s="1"/>
  <c r="AY238" i="82"/>
  <c r="AZ238" i="82" s="1"/>
  <c r="AY243" i="82"/>
  <c r="AZ243" i="82" s="1"/>
  <c r="AY249" i="82"/>
  <c r="AZ249" i="82" s="1"/>
  <c r="AY254" i="82"/>
  <c r="AZ254" i="82" s="1"/>
  <c r="AY259" i="82"/>
  <c r="AZ259" i="82" s="1"/>
  <c r="AY265" i="82"/>
  <c r="AZ265" i="82" s="1"/>
  <c r="AY270" i="82"/>
  <c r="AZ270" i="82" s="1"/>
  <c r="AY275" i="82"/>
  <c r="AZ275" i="82" s="1"/>
  <c r="AY281" i="82"/>
  <c r="AZ281" i="82" s="1"/>
  <c r="AY286" i="82"/>
  <c r="AZ286" i="82" s="1"/>
  <c r="AY290" i="82"/>
  <c r="AZ290" i="82" s="1"/>
  <c r="AY294" i="82"/>
  <c r="AZ294" i="82" s="1"/>
  <c r="AY298" i="82"/>
  <c r="AZ298" i="82" s="1"/>
  <c r="AY302" i="82"/>
  <c r="AZ302" i="82" s="1"/>
  <c r="AY141" i="82"/>
  <c r="AZ141" i="82" s="1"/>
  <c r="AY304" i="82"/>
  <c r="AZ304" i="82" s="1"/>
  <c r="AY25" i="82"/>
  <c r="AZ25" i="82" s="1"/>
  <c r="AY57" i="82"/>
  <c r="AZ57" i="82" s="1"/>
  <c r="AY89" i="82"/>
  <c r="AZ89" i="82" s="1"/>
  <c r="AY121" i="82"/>
  <c r="AZ121" i="82" s="1"/>
  <c r="AY149" i="82"/>
  <c r="AZ149" i="82" s="1"/>
  <c r="AY165" i="82"/>
  <c r="AZ165" i="82" s="1"/>
  <c r="AY181" i="82"/>
  <c r="AZ181" i="82" s="1"/>
  <c r="AY197" i="82"/>
  <c r="AZ197" i="82" s="1"/>
  <c r="AY213" i="82"/>
  <c r="AZ213" i="82" s="1"/>
  <c r="AY229" i="82"/>
  <c r="AZ229" i="82" s="1"/>
  <c r="AY239" i="82"/>
  <c r="AZ239" i="82" s="1"/>
  <c r="AY250" i="82"/>
  <c r="AZ250" i="82" s="1"/>
  <c r="AY261" i="82"/>
  <c r="AZ261" i="82" s="1"/>
  <c r="AY271" i="82"/>
  <c r="AZ271" i="82" s="1"/>
  <c r="AY282" i="82"/>
  <c r="AZ282" i="82" s="1"/>
  <c r="AY291" i="82"/>
  <c r="AZ291" i="82" s="1"/>
  <c r="AY299" i="82"/>
  <c r="AZ299" i="82" s="1"/>
  <c r="AY13" i="82"/>
  <c r="AZ13" i="82" s="1"/>
  <c r="AY77" i="82"/>
  <c r="AZ77" i="82" s="1"/>
  <c r="AY175" i="82"/>
  <c r="AZ175" i="82" s="1"/>
  <c r="AY207" i="82"/>
  <c r="AZ207" i="82" s="1"/>
  <c r="AY235" i="82"/>
  <c r="AZ235" i="82" s="1"/>
  <c r="AY257" i="82"/>
  <c r="AZ257" i="82" s="1"/>
  <c r="AY278" i="82"/>
  <c r="AZ278" i="82" s="1"/>
  <c r="AY296" i="82"/>
  <c r="AZ296" i="82" s="1"/>
  <c r="AY29" i="82"/>
  <c r="AZ29" i="82" s="1"/>
  <c r="AY61" i="82"/>
  <c r="AZ61" i="82" s="1"/>
  <c r="AY93" i="82"/>
  <c r="AZ93" i="82" s="1"/>
  <c r="AY125" i="82"/>
  <c r="AZ125" i="82" s="1"/>
  <c r="AY151" i="82"/>
  <c r="AZ151" i="82" s="1"/>
  <c r="AY167" i="82"/>
  <c r="AZ167" i="82" s="1"/>
  <c r="AY183" i="82"/>
  <c r="AZ183" i="82" s="1"/>
  <c r="AY199" i="82"/>
  <c r="AZ199" i="82" s="1"/>
  <c r="AY215" i="82"/>
  <c r="AZ215" i="82" s="1"/>
  <c r="AY230" i="82"/>
  <c r="AZ230" i="82" s="1"/>
  <c r="AY241" i="82"/>
  <c r="AZ241" i="82" s="1"/>
  <c r="AY251" i="82"/>
  <c r="AZ251" i="82" s="1"/>
  <c r="AY262" i="82"/>
  <c r="AZ262" i="82" s="1"/>
  <c r="AY273" i="82"/>
  <c r="AZ273" i="82" s="1"/>
  <c r="AY283" i="82"/>
  <c r="AZ283" i="82" s="1"/>
  <c r="AY292" i="82"/>
  <c r="AZ292" i="82" s="1"/>
  <c r="AY300" i="82"/>
  <c r="AZ300" i="82" s="1"/>
  <c r="AY9" i="82"/>
  <c r="AZ9" i="82" s="1"/>
  <c r="AY41" i="82"/>
  <c r="AZ41" i="82" s="1"/>
  <c r="AY73" i="82"/>
  <c r="AZ73" i="82" s="1"/>
  <c r="AY105" i="82"/>
  <c r="AZ105" i="82" s="1"/>
  <c r="AY137" i="82"/>
  <c r="AZ137" i="82" s="1"/>
  <c r="AY157" i="82"/>
  <c r="AZ157" i="82" s="1"/>
  <c r="AY173" i="82"/>
  <c r="AZ173" i="82" s="1"/>
  <c r="AY189" i="82"/>
  <c r="AZ189" i="82" s="1"/>
  <c r="AY205" i="82"/>
  <c r="AZ205" i="82" s="1"/>
  <c r="AY221" i="82"/>
  <c r="AZ221" i="82" s="1"/>
  <c r="AY234" i="82"/>
  <c r="AZ234" i="82" s="1"/>
  <c r="AY245" i="82"/>
  <c r="AZ245" i="82" s="1"/>
  <c r="AY255" i="82"/>
  <c r="AZ255" i="82" s="1"/>
  <c r="AY266" i="82"/>
  <c r="AZ266" i="82" s="1"/>
  <c r="AY277" i="82"/>
  <c r="AZ277" i="82" s="1"/>
  <c r="AY287" i="82"/>
  <c r="AZ287" i="82" s="1"/>
  <c r="AY295" i="82"/>
  <c r="AZ295" i="82" s="1"/>
  <c r="AY303" i="82"/>
  <c r="AZ303" i="82" s="1"/>
  <c r="AY45" i="82"/>
  <c r="AZ45" i="82" s="1"/>
  <c r="AY109" i="82"/>
  <c r="AZ109" i="82" s="1"/>
  <c r="AY159" i="82"/>
  <c r="AZ159" i="82" s="1"/>
  <c r="AY191" i="82"/>
  <c r="AZ191" i="82" s="1"/>
  <c r="AY223" i="82"/>
  <c r="AZ223" i="82" s="1"/>
  <c r="AY246" i="82"/>
  <c r="AZ246" i="82" s="1"/>
  <c r="AY267" i="82"/>
  <c r="AZ267" i="82" s="1"/>
  <c r="AY288" i="82"/>
  <c r="AZ288" i="82" s="1"/>
  <c r="BG208" i="82"/>
  <c r="BG209" i="82"/>
  <c r="BG211" i="82"/>
  <c r="BG218" i="82"/>
  <c r="BG220" i="82"/>
  <c r="BG221" i="82"/>
  <c r="BG223" i="82"/>
  <c r="BG234" i="82"/>
  <c r="BG236" i="82"/>
  <c r="BG237" i="82"/>
  <c r="BG239" i="82"/>
  <c r="BG250" i="82"/>
  <c r="BG252" i="82"/>
  <c r="BG253" i="82"/>
  <c r="BG255" i="82"/>
  <c r="BG266" i="82"/>
  <c r="BG268" i="82"/>
  <c r="BG269" i="82"/>
  <c r="BG271" i="82"/>
  <c r="BG282" i="82"/>
  <c r="BG284" i="82"/>
  <c r="BG285" i="82"/>
  <c r="BG287" i="82"/>
  <c r="BG298" i="82"/>
  <c r="BG300" i="82"/>
  <c r="BG301" i="82"/>
  <c r="BG303" i="82"/>
  <c r="BG210" i="82"/>
  <c r="BG222" i="82"/>
  <c r="BG224" i="82"/>
  <c r="BG225" i="82"/>
  <c r="BG227" i="82"/>
  <c r="BG238" i="82"/>
  <c r="BG240" i="82"/>
  <c r="BG241" i="82"/>
  <c r="BG243" i="82"/>
  <c r="BG254" i="82"/>
  <c r="BG256" i="82"/>
  <c r="BG257" i="82"/>
  <c r="BG259" i="82"/>
  <c r="BG270" i="82"/>
  <c r="BG272" i="82"/>
  <c r="BG273" i="82"/>
  <c r="BG275" i="82"/>
  <c r="BG286" i="82"/>
  <c r="BG288" i="82"/>
  <c r="BG289" i="82"/>
  <c r="BG291" i="82"/>
  <c r="BG302" i="82"/>
  <c r="BG304" i="82"/>
  <c r="BG213" i="82"/>
  <c r="BG215" i="82"/>
  <c r="BG228" i="82"/>
  <c r="BG242" i="82"/>
  <c r="BG245" i="82"/>
  <c r="BG247" i="82"/>
  <c r="BG260" i="82"/>
  <c r="BG216" i="82"/>
  <c r="BG230" i="82"/>
  <c r="BG233" i="82"/>
  <c r="BG235" i="82"/>
  <c r="BG248" i="82"/>
  <c r="BG262" i="82"/>
  <c r="BG265" i="82"/>
  <c r="BG267" i="82"/>
  <c r="BG280" i="82"/>
  <c r="BG294" i="82"/>
  <c r="BG297" i="82"/>
  <c r="BG299" i="82"/>
  <c r="BG7" i="82"/>
  <c r="BG11" i="82"/>
  <c r="BG15" i="82"/>
  <c r="BG19" i="82"/>
  <c r="BG23" i="82"/>
  <c r="BG27" i="82"/>
  <c r="BG31" i="82"/>
  <c r="BG35" i="82"/>
  <c r="BG39" i="82"/>
  <c r="BG229" i="82"/>
  <c r="BG244" i="82"/>
  <c r="BG258" i="82"/>
  <c r="BG276" i="82"/>
  <c r="BG278" i="82"/>
  <c r="BG292" i="82"/>
  <c r="BG295" i="82"/>
  <c r="BG9" i="82"/>
  <c r="BG14" i="82"/>
  <c r="BG20" i="82"/>
  <c r="BG25" i="82"/>
  <c r="BG30" i="82"/>
  <c r="BG36" i="82"/>
  <c r="BG41" i="82"/>
  <c r="BG45" i="82"/>
  <c r="BG49" i="82"/>
  <c r="BG53" i="82"/>
  <c r="BG57" i="82"/>
  <c r="BG61" i="82"/>
  <c r="BG65" i="82"/>
  <c r="BG69" i="82"/>
  <c r="BG73" i="82"/>
  <c r="BG77" i="82"/>
  <c r="BG81" i="82"/>
  <c r="BG85" i="82"/>
  <c r="BG89" i="82"/>
  <c r="BG93" i="82"/>
  <c r="BG97" i="82"/>
  <c r="BG101" i="82"/>
  <c r="BG105" i="82"/>
  <c r="BG109" i="82"/>
  <c r="BG113" i="82"/>
  <c r="BG117" i="82"/>
  <c r="BG121" i="82"/>
  <c r="BG125" i="82"/>
  <c r="BG129" i="82"/>
  <c r="BG133" i="82"/>
  <c r="BG137" i="82"/>
  <c r="BG141" i="82"/>
  <c r="BG145" i="82"/>
  <c r="BG149" i="82"/>
  <c r="BG153" i="82"/>
  <c r="BG157" i="82"/>
  <c r="BG161" i="82"/>
  <c r="BG165" i="82"/>
  <c r="BG169" i="82"/>
  <c r="BG173" i="82"/>
  <c r="BG177" i="82"/>
  <c r="BG181" i="82"/>
  <c r="BG185" i="82"/>
  <c r="BG189" i="82"/>
  <c r="BG193" i="82"/>
  <c r="BG197" i="82"/>
  <c r="BG201" i="82"/>
  <c r="BG205" i="82"/>
  <c r="BG214" i="82"/>
  <c r="BG219" i="82"/>
  <c r="BG249" i="82"/>
  <c r="BG263" i="82"/>
  <c r="BG279" i="82"/>
  <c r="BG293" i="82"/>
  <c r="BG296" i="82"/>
  <c r="BG10" i="82"/>
  <c r="BG16" i="82"/>
  <c r="BG21" i="82"/>
  <c r="BG26" i="82"/>
  <c r="BG32" i="82"/>
  <c r="BG37" i="82"/>
  <c r="BG42" i="82"/>
  <c r="BG46" i="82"/>
  <c r="BG50" i="82"/>
  <c r="BG54" i="82"/>
  <c r="BG58" i="82"/>
  <c r="BG62" i="82"/>
  <c r="BG66" i="82"/>
  <c r="BG70" i="82"/>
  <c r="BG74" i="82"/>
  <c r="BG78" i="82"/>
  <c r="BG82" i="82"/>
  <c r="BG86" i="82"/>
  <c r="BG90" i="82"/>
  <c r="BG94" i="82"/>
  <c r="BG98" i="82"/>
  <c r="BG102" i="82"/>
  <c r="BG106" i="82"/>
  <c r="BG110" i="82"/>
  <c r="BG114" i="82"/>
  <c r="BG118" i="82"/>
  <c r="BG122" i="82"/>
  <c r="BG126" i="82"/>
  <c r="BG130" i="82"/>
  <c r="BG134" i="82"/>
  <c r="BG138" i="82"/>
  <c r="BG142" i="82"/>
  <c r="BG146" i="82"/>
  <c r="BG150" i="82"/>
  <c r="BG154" i="82"/>
  <c r="BG158" i="82"/>
  <c r="BG162" i="82"/>
  <c r="BG166" i="82"/>
  <c r="BG170" i="82"/>
  <c r="BG174" i="82"/>
  <c r="BG178" i="82"/>
  <c r="BG182" i="82"/>
  <c r="BG186" i="82"/>
  <c r="BG190" i="82"/>
  <c r="BG194" i="82"/>
  <c r="BG198" i="82"/>
  <c r="BG202" i="82"/>
  <c r="BG206" i="82"/>
  <c r="BG212" i="82"/>
  <c r="BG231" i="82"/>
  <c r="BG261" i="82"/>
  <c r="BG232" i="82"/>
  <c r="BG251" i="82"/>
  <c r="BG274" i="82"/>
  <c r="BG281" i="82"/>
  <c r="BG13" i="82"/>
  <c r="BG24" i="82"/>
  <c r="BG34" i="82"/>
  <c r="BG44" i="82"/>
  <c r="BG52" i="82"/>
  <c r="BG60" i="82"/>
  <c r="BG68" i="82"/>
  <c r="BG76" i="82"/>
  <c r="BG84" i="82"/>
  <c r="BG92" i="82"/>
  <c r="BG100" i="82"/>
  <c r="BG108" i="82"/>
  <c r="BG116" i="82"/>
  <c r="BG124" i="82"/>
  <c r="BG132" i="82"/>
  <c r="BG140" i="82"/>
  <c r="BG148" i="82"/>
  <c r="BG156" i="82"/>
  <c r="BG164" i="82"/>
  <c r="BG172" i="82"/>
  <c r="BG180" i="82"/>
  <c r="BG188" i="82"/>
  <c r="BG196" i="82"/>
  <c r="BG204" i="82"/>
  <c r="BG226" i="82"/>
  <c r="BG264" i="82"/>
  <c r="BG277" i="82"/>
  <c r="BG283" i="82"/>
  <c r="BG290" i="82"/>
  <c r="BG6" i="82"/>
  <c r="BG17" i="82"/>
  <c r="BG28" i="82"/>
  <c r="BG38" i="82"/>
  <c r="BG47" i="82"/>
  <c r="BG55" i="82"/>
  <c r="BG63" i="82"/>
  <c r="BG71" i="82"/>
  <c r="BG79" i="82"/>
  <c r="BG87" i="82"/>
  <c r="BG95" i="82"/>
  <c r="BG103" i="82"/>
  <c r="BG111" i="82"/>
  <c r="BG119" i="82"/>
  <c r="BG127" i="82"/>
  <c r="BG135" i="82"/>
  <c r="BG143" i="82"/>
  <c r="BG151" i="82"/>
  <c r="BG159" i="82"/>
  <c r="BG167" i="82"/>
  <c r="BG175" i="82"/>
  <c r="BG183" i="82"/>
  <c r="BG191" i="82"/>
  <c r="BG199" i="82"/>
  <c r="BG207" i="82"/>
  <c r="BG217" i="82"/>
  <c r="BG8" i="82"/>
  <c r="BG29" i="82"/>
  <c r="BG48" i="82"/>
  <c r="BG64" i="82"/>
  <c r="BG80" i="82"/>
  <c r="BG96" i="82"/>
  <c r="BG112" i="82"/>
  <c r="BG128" i="82"/>
  <c r="BG144" i="82"/>
  <c r="BG160" i="82"/>
  <c r="BG176" i="82"/>
  <c r="BG192" i="82"/>
  <c r="BG5" i="82"/>
  <c r="BG18" i="82"/>
  <c r="BG43" i="82"/>
  <c r="BG67" i="82"/>
  <c r="BG88" i="82"/>
  <c r="BG107" i="82"/>
  <c r="BG131" i="82"/>
  <c r="BG152" i="82"/>
  <c r="BG171" i="82"/>
  <c r="BG195" i="82"/>
  <c r="BG246" i="82"/>
  <c r="BG22" i="82"/>
  <c r="BG51" i="82"/>
  <c r="BG72" i="82"/>
  <c r="BG91" i="82"/>
  <c r="BG115" i="82"/>
  <c r="BG136" i="82"/>
  <c r="BG155" i="82"/>
  <c r="BG179" i="82"/>
  <c r="BG200" i="82"/>
  <c r="BG33" i="82"/>
  <c r="BG56" i="82"/>
  <c r="BG75" i="82"/>
  <c r="BG99" i="82"/>
  <c r="BG120" i="82"/>
  <c r="BG139" i="82"/>
  <c r="BG163" i="82"/>
  <c r="BG184" i="82"/>
  <c r="BG203" i="82"/>
  <c r="BG83" i="82"/>
  <c r="BG168" i="82"/>
  <c r="BG12" i="82"/>
  <c r="BG104" i="82"/>
  <c r="BG187" i="82"/>
  <c r="BG40" i="82"/>
  <c r="BG123" i="82"/>
  <c r="BG59" i="82"/>
  <c r="BG147" i="82"/>
  <c r="BV206" i="90"/>
  <c r="BV205" i="90"/>
  <c r="BU204" i="90"/>
  <c r="BV196" i="90"/>
  <c r="BV195" i="90"/>
  <c r="BU194" i="90"/>
  <c r="BV186" i="90"/>
  <c r="BV185" i="90"/>
  <c r="BU184" i="90"/>
  <c r="BV176" i="90"/>
  <c r="BV175" i="90"/>
  <c r="BU174" i="90"/>
  <c r="BV165" i="90"/>
  <c r="BU164" i="90"/>
  <c r="BV166" i="90"/>
  <c r="N5" i="81" l="1"/>
  <c r="P5" i="81"/>
  <c r="AZ5" i="82"/>
  <c r="BB12" i="82"/>
  <c r="BB165" i="82"/>
  <c r="BA165" i="82"/>
  <c r="BA113" i="82"/>
  <c r="BB113" i="82"/>
  <c r="BB27" i="82"/>
  <c r="BA27" i="82"/>
  <c r="BB107" i="82"/>
  <c r="BA107" i="82"/>
  <c r="BA24" i="82"/>
  <c r="BB24" i="82"/>
  <c r="BB82" i="82"/>
  <c r="BA82" i="82"/>
  <c r="BB69" i="82"/>
  <c r="BA69" i="82"/>
  <c r="BB127" i="82"/>
  <c r="BA127" i="82"/>
  <c r="BA138" i="82"/>
  <c r="BB138" i="82"/>
  <c r="BI40" i="82"/>
  <c r="BH40" i="82"/>
  <c r="BJ40" i="82"/>
  <c r="BH168" i="82"/>
  <c r="BJ168" i="82"/>
  <c r="BI168" i="82"/>
  <c r="BJ163" i="82"/>
  <c r="BH163" i="82"/>
  <c r="BI163" i="82"/>
  <c r="BI75" i="82"/>
  <c r="BH75" i="82"/>
  <c r="BJ75" i="82"/>
  <c r="BJ131" i="82"/>
  <c r="BH131" i="82"/>
  <c r="BI131" i="82"/>
  <c r="BI43" i="82"/>
  <c r="BJ43" i="82"/>
  <c r="BH43" i="82"/>
  <c r="BI176" i="82"/>
  <c r="BH176" i="82"/>
  <c r="BJ176" i="82"/>
  <c r="BH112" i="82"/>
  <c r="BI112" i="82"/>
  <c r="BJ112" i="82"/>
  <c r="BH48" i="82"/>
  <c r="BJ48" i="82"/>
  <c r="BI48" i="82"/>
  <c r="BH207" i="82"/>
  <c r="BJ207" i="82"/>
  <c r="BI207" i="82"/>
  <c r="BK207" i="82"/>
  <c r="BH175" i="82"/>
  <c r="BJ175" i="82"/>
  <c r="BI175" i="82"/>
  <c r="BH143" i="82"/>
  <c r="BI143" i="82"/>
  <c r="BJ143" i="82"/>
  <c r="BI111" i="82"/>
  <c r="BH111" i="82"/>
  <c r="BJ111" i="82"/>
  <c r="BH79" i="82"/>
  <c r="BJ79" i="82"/>
  <c r="BI79" i="82"/>
  <c r="BH47" i="82"/>
  <c r="BJ47" i="82"/>
  <c r="BI47" i="82"/>
  <c r="BJ6" i="82"/>
  <c r="BI6" i="82"/>
  <c r="BH6" i="82"/>
  <c r="BH264" i="82"/>
  <c r="BI264" i="82"/>
  <c r="BJ264" i="82"/>
  <c r="BK264" i="82"/>
  <c r="BI188" i="82"/>
  <c r="BJ188" i="82"/>
  <c r="BH188" i="82"/>
  <c r="BJ156" i="82"/>
  <c r="BH156" i="82"/>
  <c r="BI156" i="82"/>
  <c r="BI124" i="82"/>
  <c r="BH124" i="82"/>
  <c r="BJ124" i="82"/>
  <c r="BH92" i="82"/>
  <c r="BJ92" i="82"/>
  <c r="BI92" i="82"/>
  <c r="BH60" i="82"/>
  <c r="BJ60" i="82"/>
  <c r="BI60" i="82"/>
  <c r="BH24" i="82"/>
  <c r="BJ24" i="82"/>
  <c r="BI24" i="82"/>
  <c r="BH251" i="82"/>
  <c r="BK251" i="82"/>
  <c r="BJ251" i="82"/>
  <c r="BI251" i="82"/>
  <c r="BH212" i="82"/>
  <c r="BJ212" i="82"/>
  <c r="BK212" i="82"/>
  <c r="BI212" i="82"/>
  <c r="BJ194" i="82"/>
  <c r="BH194" i="82"/>
  <c r="BI194" i="82"/>
  <c r="BH178" i="82"/>
  <c r="BJ178" i="82"/>
  <c r="BI178" i="82"/>
  <c r="BJ162" i="82"/>
  <c r="BI162" i="82"/>
  <c r="BH162" i="82"/>
  <c r="BJ146" i="82"/>
  <c r="BI146" i="82"/>
  <c r="BH146" i="82"/>
  <c r="BH130" i="82"/>
  <c r="BJ130" i="82"/>
  <c r="BI130" i="82"/>
  <c r="BH114" i="82"/>
  <c r="BI114" i="82"/>
  <c r="BJ114" i="82"/>
  <c r="BI98" i="82"/>
  <c r="BH98" i="82"/>
  <c r="BJ98" i="82"/>
  <c r="BI82" i="82"/>
  <c r="BJ82" i="82"/>
  <c r="BH82" i="82"/>
  <c r="BJ66" i="82"/>
  <c r="BI66" i="82"/>
  <c r="BH66" i="82"/>
  <c r="BJ50" i="82"/>
  <c r="BH50" i="82"/>
  <c r="BI50" i="82"/>
  <c r="BH32" i="82"/>
  <c r="BI32" i="82"/>
  <c r="BJ32" i="82"/>
  <c r="BI10" i="82"/>
  <c r="BJ10" i="82"/>
  <c r="BH10" i="82"/>
  <c r="BH263" i="82"/>
  <c r="BK263" i="82"/>
  <c r="BJ263" i="82"/>
  <c r="BI263" i="82"/>
  <c r="BH205" i="82"/>
  <c r="BJ205" i="82"/>
  <c r="BK205" i="82"/>
  <c r="BI205" i="82"/>
  <c r="BH189" i="82"/>
  <c r="BJ189" i="82"/>
  <c r="BI189" i="82"/>
  <c r="BH173" i="82"/>
  <c r="BI173" i="82"/>
  <c r="BJ173" i="82"/>
  <c r="BH157" i="82"/>
  <c r="BJ157" i="82"/>
  <c r="BI157" i="82"/>
  <c r="BH141" i="82"/>
  <c r="BJ141" i="82"/>
  <c r="BI141" i="82"/>
  <c r="BJ125" i="82"/>
  <c r="BH125" i="82"/>
  <c r="BI125" i="82"/>
  <c r="BH109" i="82"/>
  <c r="BI109" i="82"/>
  <c r="BJ109" i="82"/>
  <c r="BH93" i="82"/>
  <c r="BJ93" i="82"/>
  <c r="BI93" i="82"/>
  <c r="BH77" i="82"/>
  <c r="BJ77" i="82"/>
  <c r="BI77" i="82"/>
  <c r="BH61" i="82"/>
  <c r="BJ61" i="82"/>
  <c r="BI61" i="82"/>
  <c r="BH45" i="82"/>
  <c r="BJ45" i="82"/>
  <c r="BI45" i="82"/>
  <c r="BJ25" i="82"/>
  <c r="BI25" i="82"/>
  <c r="BH25" i="82"/>
  <c r="BH295" i="82"/>
  <c r="BK295" i="82"/>
  <c r="BJ295" i="82"/>
  <c r="BI295" i="82"/>
  <c r="BI258" i="82"/>
  <c r="BK258" i="82"/>
  <c r="BH258" i="82"/>
  <c r="BJ258" i="82"/>
  <c r="BJ35" i="82"/>
  <c r="BH35" i="82"/>
  <c r="BI35" i="82"/>
  <c r="BH19" i="82"/>
  <c r="BJ19" i="82"/>
  <c r="BI19" i="82"/>
  <c r="BH299" i="82"/>
  <c r="BJ299" i="82"/>
  <c r="BK299" i="82"/>
  <c r="BI299" i="82"/>
  <c r="BH267" i="82"/>
  <c r="BJ267" i="82"/>
  <c r="BK267" i="82"/>
  <c r="BI267" i="82"/>
  <c r="BH235" i="82"/>
  <c r="BJ235" i="82"/>
  <c r="BK235" i="82"/>
  <c r="BI235" i="82"/>
  <c r="BH260" i="82"/>
  <c r="BJ260" i="82"/>
  <c r="BK260" i="82"/>
  <c r="BI260" i="82"/>
  <c r="BH228" i="82"/>
  <c r="BJ228" i="82"/>
  <c r="BK228" i="82"/>
  <c r="BI228" i="82"/>
  <c r="BI302" i="82"/>
  <c r="BH302" i="82"/>
  <c r="BK302" i="82"/>
  <c r="BJ302" i="82"/>
  <c r="BI286" i="82"/>
  <c r="BK286" i="82"/>
  <c r="BH286" i="82"/>
  <c r="BJ286" i="82"/>
  <c r="BI270" i="82"/>
  <c r="BH270" i="82"/>
  <c r="BK270" i="82"/>
  <c r="BJ270" i="82"/>
  <c r="BI254" i="82"/>
  <c r="BH254" i="82"/>
  <c r="BK254" i="82"/>
  <c r="BJ254" i="82"/>
  <c r="BI238" i="82"/>
  <c r="BH238" i="82"/>
  <c r="BK238" i="82"/>
  <c r="BJ238" i="82"/>
  <c r="BI222" i="82"/>
  <c r="BH222" i="82"/>
  <c r="BK222" i="82"/>
  <c r="BJ222" i="82"/>
  <c r="BH300" i="82"/>
  <c r="BI300" i="82"/>
  <c r="BJ300" i="82"/>
  <c r="BK300" i="82"/>
  <c r="BH284" i="82"/>
  <c r="BI284" i="82"/>
  <c r="BK284" i="82"/>
  <c r="BJ284" i="82"/>
  <c r="BH268" i="82"/>
  <c r="BI268" i="82"/>
  <c r="BK268" i="82"/>
  <c r="BJ268" i="82"/>
  <c r="BH252" i="82"/>
  <c r="BI252" i="82"/>
  <c r="BJ252" i="82"/>
  <c r="BK252" i="82"/>
  <c r="BH236" i="82"/>
  <c r="BI236" i="82"/>
  <c r="BJ236" i="82"/>
  <c r="BK236" i="82"/>
  <c r="BH220" i="82"/>
  <c r="BI220" i="82"/>
  <c r="BJ220" i="82"/>
  <c r="BK220" i="82"/>
  <c r="BH208" i="82"/>
  <c r="BI208" i="82"/>
  <c r="BJ208" i="82"/>
  <c r="BK208" i="82"/>
  <c r="BC282" i="82"/>
  <c r="BB282" i="82"/>
  <c r="BA282" i="82"/>
  <c r="BC265" i="82"/>
  <c r="BB265" i="82"/>
  <c r="BA265" i="82"/>
  <c r="BC206" i="82"/>
  <c r="BA206" i="82"/>
  <c r="BB206" i="82"/>
  <c r="BB287" i="82"/>
  <c r="BC287" i="82"/>
  <c r="BA287" i="82"/>
  <c r="BC264" i="82"/>
  <c r="BB264" i="82"/>
  <c r="BA264" i="82"/>
  <c r="BC296" i="82"/>
  <c r="BB296" i="82"/>
  <c r="BA296" i="82"/>
  <c r="BC270" i="82"/>
  <c r="BB270" i="82"/>
  <c r="BA270" i="82"/>
  <c r="BC257" i="82"/>
  <c r="BA257" i="82"/>
  <c r="BB257" i="82"/>
  <c r="BC222" i="82"/>
  <c r="BB222" i="82"/>
  <c r="BA222" i="82"/>
  <c r="BB292" i="82"/>
  <c r="BC292" i="82"/>
  <c r="BA292" i="82"/>
  <c r="BC272" i="82"/>
  <c r="BB272" i="82"/>
  <c r="BA272" i="82"/>
  <c r="BC231" i="82"/>
  <c r="BA231" i="82"/>
  <c r="BB231" i="82"/>
  <c r="BC291" i="82"/>
  <c r="BB291" i="82"/>
  <c r="BA291" i="82"/>
  <c r="BC276" i="82"/>
  <c r="BB276" i="82"/>
  <c r="BA276" i="82"/>
  <c r="BC259" i="82"/>
  <c r="BB259" i="82"/>
  <c r="BA259" i="82"/>
  <c r="BC246" i="82"/>
  <c r="BA246" i="82"/>
  <c r="BB246" i="82"/>
  <c r="BA230" i="82"/>
  <c r="BC230" i="82"/>
  <c r="BB230" i="82"/>
  <c r="BC219" i="82"/>
  <c r="BB219" i="82"/>
  <c r="BA219" i="82"/>
  <c r="BC208" i="82"/>
  <c r="BB208" i="82"/>
  <c r="BA208" i="82"/>
  <c r="BB197" i="82"/>
  <c r="BA197" i="82"/>
  <c r="BB248" i="82"/>
  <c r="BC248" i="82"/>
  <c r="BA248" i="82"/>
  <c r="BB232" i="82"/>
  <c r="BA232" i="82"/>
  <c r="BC232" i="82"/>
  <c r="BA210" i="82"/>
  <c r="BC210" i="82"/>
  <c r="BB210" i="82"/>
  <c r="BA241" i="82"/>
  <c r="BB241" i="82"/>
  <c r="BC241" i="82"/>
  <c r="BC225" i="82"/>
  <c r="BA225" i="82"/>
  <c r="BB225" i="82"/>
  <c r="BC215" i="82"/>
  <c r="BA215" i="82"/>
  <c r="BB215" i="82"/>
  <c r="BB204" i="82"/>
  <c r="BA204" i="82"/>
  <c r="BB87" i="82"/>
  <c r="BA87" i="82"/>
  <c r="BA151" i="82"/>
  <c r="BB151" i="82"/>
  <c r="BA161" i="82"/>
  <c r="BB161" i="82"/>
  <c r="BB97" i="82"/>
  <c r="BA97" i="82"/>
  <c r="BA189" i="82"/>
  <c r="BB189" i="82"/>
  <c r="BB123" i="82"/>
  <c r="BA123" i="82"/>
  <c r="BB62" i="82"/>
  <c r="BA62" i="82"/>
  <c r="BB14" i="82"/>
  <c r="BB49" i="82"/>
  <c r="BA49" i="82"/>
  <c r="BA178" i="82"/>
  <c r="BB178" i="82"/>
  <c r="BB60" i="82"/>
  <c r="BA60" i="82"/>
  <c r="BA95" i="82"/>
  <c r="BB95" i="82"/>
  <c r="BB74" i="82"/>
  <c r="BA74" i="82"/>
  <c r="BA15" i="82"/>
  <c r="BB15" i="82"/>
  <c r="BH91" i="82"/>
  <c r="BI91" i="82"/>
  <c r="BJ91" i="82"/>
  <c r="BB64" i="82"/>
  <c r="BA64" i="82"/>
  <c r="BB92" i="82"/>
  <c r="BA92" i="82"/>
  <c r="BB124" i="82"/>
  <c r="BA124" i="82"/>
  <c r="BB156" i="82"/>
  <c r="BA156" i="82"/>
  <c r="BB188" i="82"/>
  <c r="BA188" i="82"/>
  <c r="BA190" i="82"/>
  <c r="BB190" i="82"/>
  <c r="BA174" i="82"/>
  <c r="BB174" i="82"/>
  <c r="BA158" i="82"/>
  <c r="BB158" i="82"/>
  <c r="BA142" i="82"/>
  <c r="BB142" i="82"/>
  <c r="BA126" i="82"/>
  <c r="BB126" i="82"/>
  <c r="BA110" i="82"/>
  <c r="BB110" i="82"/>
  <c r="BB94" i="82"/>
  <c r="BA94" i="82"/>
  <c r="BB78" i="82"/>
  <c r="BA78" i="82"/>
  <c r="BB59" i="82"/>
  <c r="BA59" i="82"/>
  <c r="BB43" i="82"/>
  <c r="BA43" i="82"/>
  <c r="BB19" i="82"/>
  <c r="BA19" i="82"/>
  <c r="BB184" i="82"/>
  <c r="BA184" i="82"/>
  <c r="BB168" i="82"/>
  <c r="BA168" i="82"/>
  <c r="BB152" i="82"/>
  <c r="BA152" i="82"/>
  <c r="BB136" i="82"/>
  <c r="BA136" i="82"/>
  <c r="BB120" i="82"/>
  <c r="BA120" i="82"/>
  <c r="BB104" i="82"/>
  <c r="BA104" i="82"/>
  <c r="BA88" i="82"/>
  <c r="BB88" i="82"/>
  <c r="BA72" i="82"/>
  <c r="BB72" i="82"/>
  <c r="BB58" i="82"/>
  <c r="BA58" i="82"/>
  <c r="BB42" i="82"/>
  <c r="BA42" i="82"/>
  <c r="BB16" i="82"/>
  <c r="BA16" i="82"/>
  <c r="BB26" i="82"/>
  <c r="BA26" i="82"/>
  <c r="BB10" i="82"/>
  <c r="BB25" i="82"/>
  <c r="BA25" i="82"/>
  <c r="BB9" i="82"/>
  <c r="BB57" i="82"/>
  <c r="BA57" i="82"/>
  <c r="BA93" i="82"/>
  <c r="BB93" i="82"/>
  <c r="BA125" i="82"/>
  <c r="BB125" i="82"/>
  <c r="BA157" i="82"/>
  <c r="BB157" i="82"/>
  <c r="BB23" i="82"/>
  <c r="BA23" i="82"/>
  <c r="BB90" i="82"/>
  <c r="BA90" i="82"/>
  <c r="BA154" i="82"/>
  <c r="BB154" i="82"/>
  <c r="BB36" i="82"/>
  <c r="BA36" i="82"/>
  <c r="BB68" i="82"/>
  <c r="BA68" i="82"/>
  <c r="BB100" i="82"/>
  <c r="BA100" i="82"/>
  <c r="BB132" i="82"/>
  <c r="BA132" i="82"/>
  <c r="BB164" i="82"/>
  <c r="BA164" i="82"/>
  <c r="BB7" i="82"/>
  <c r="BB85" i="82"/>
  <c r="BA85" i="82"/>
  <c r="BB149" i="82"/>
  <c r="BA149" i="82"/>
  <c r="BH147" i="82"/>
  <c r="BJ147" i="82"/>
  <c r="BI147" i="82"/>
  <c r="BH187" i="82"/>
  <c r="BI187" i="82"/>
  <c r="BJ187" i="82"/>
  <c r="BI83" i="82"/>
  <c r="BJ83" i="82"/>
  <c r="BH83" i="82"/>
  <c r="BH139" i="82"/>
  <c r="BJ139" i="82"/>
  <c r="BI139" i="82"/>
  <c r="BI56" i="82"/>
  <c r="BH56" i="82"/>
  <c r="BJ56" i="82"/>
  <c r="BH155" i="82"/>
  <c r="BI155" i="82"/>
  <c r="BJ155" i="82"/>
  <c r="BI72" i="82"/>
  <c r="BH72" i="82"/>
  <c r="BJ72" i="82"/>
  <c r="BJ195" i="82"/>
  <c r="BH195" i="82"/>
  <c r="BI195" i="82"/>
  <c r="BJ107" i="82"/>
  <c r="BI107" i="82"/>
  <c r="BH107" i="82"/>
  <c r="BH18" i="82"/>
  <c r="BI18" i="82"/>
  <c r="BJ18" i="82"/>
  <c r="BH160" i="82"/>
  <c r="BJ160" i="82"/>
  <c r="BI160" i="82"/>
  <c r="BH96" i="82"/>
  <c r="BJ96" i="82"/>
  <c r="BI96" i="82"/>
  <c r="BI29" i="82"/>
  <c r="BH29" i="82"/>
  <c r="BJ29" i="82"/>
  <c r="BH199" i="82"/>
  <c r="BI199" i="82"/>
  <c r="BJ199" i="82"/>
  <c r="BH167" i="82"/>
  <c r="BI167" i="82"/>
  <c r="BJ167" i="82"/>
  <c r="BH135" i="82"/>
  <c r="BJ135" i="82"/>
  <c r="BI135" i="82"/>
  <c r="BJ103" i="82"/>
  <c r="BI103" i="82"/>
  <c r="BH103" i="82"/>
  <c r="BI71" i="82"/>
  <c r="BH71" i="82"/>
  <c r="BJ71" i="82"/>
  <c r="BI38" i="82"/>
  <c r="BH38" i="82"/>
  <c r="BJ38" i="82"/>
  <c r="BI290" i="82"/>
  <c r="BK290" i="82"/>
  <c r="BH290" i="82"/>
  <c r="BJ290" i="82"/>
  <c r="BI226" i="82"/>
  <c r="BK226" i="82"/>
  <c r="BH226" i="82"/>
  <c r="BJ226" i="82"/>
  <c r="BI180" i="82"/>
  <c r="BJ180" i="82"/>
  <c r="BH180" i="82"/>
  <c r="BI148" i="82"/>
  <c r="BH148" i="82"/>
  <c r="BJ148" i="82"/>
  <c r="BI116" i="82"/>
  <c r="BJ116" i="82"/>
  <c r="BH116" i="82"/>
  <c r="BJ84" i="82"/>
  <c r="BI84" i="82"/>
  <c r="BH84" i="82"/>
  <c r="BJ52" i="82"/>
  <c r="BH52" i="82"/>
  <c r="BI52" i="82"/>
  <c r="BH13" i="82"/>
  <c r="BJ13" i="82"/>
  <c r="BI13" i="82"/>
  <c r="BH232" i="82"/>
  <c r="BI232" i="82"/>
  <c r="BJ232" i="82"/>
  <c r="BK232" i="82"/>
  <c r="BK206" i="82"/>
  <c r="BJ206" i="82"/>
  <c r="BI206" i="82"/>
  <c r="BH206" i="82"/>
  <c r="BH190" i="82"/>
  <c r="BI190" i="82"/>
  <c r="BJ190" i="82"/>
  <c r="BJ174" i="82"/>
  <c r="BH174" i="82"/>
  <c r="BI174" i="82"/>
  <c r="BJ158" i="82"/>
  <c r="BI158" i="82"/>
  <c r="BH158" i="82"/>
  <c r="BH142" i="82"/>
  <c r="BJ142" i="82"/>
  <c r="BI142" i="82"/>
  <c r="BI126" i="82"/>
  <c r="BJ126" i="82"/>
  <c r="BH126" i="82"/>
  <c r="BH110" i="82"/>
  <c r="BJ110" i="82"/>
  <c r="BI110" i="82"/>
  <c r="BH94" i="82"/>
  <c r="BI94" i="82"/>
  <c r="BJ94" i="82"/>
  <c r="BJ78" i="82"/>
  <c r="BH78" i="82"/>
  <c r="BI78" i="82"/>
  <c r="BJ62" i="82"/>
  <c r="BI62" i="82"/>
  <c r="BH62" i="82"/>
  <c r="BH46" i="82"/>
  <c r="BJ46" i="82"/>
  <c r="BI46" i="82"/>
  <c r="BH26" i="82"/>
  <c r="BI26" i="82"/>
  <c r="BJ26" i="82"/>
  <c r="BH296" i="82"/>
  <c r="BI296" i="82"/>
  <c r="BJ296" i="82"/>
  <c r="BK296" i="82"/>
  <c r="BH249" i="82"/>
  <c r="BI249" i="82"/>
  <c r="BJ249" i="82"/>
  <c r="BK249" i="82"/>
  <c r="BH201" i="82"/>
  <c r="BJ201" i="82"/>
  <c r="BI201" i="82"/>
  <c r="BH185" i="82"/>
  <c r="BI185" i="82"/>
  <c r="BJ185" i="82"/>
  <c r="BH169" i="82"/>
  <c r="BJ169" i="82"/>
  <c r="BI169" i="82"/>
  <c r="BH153" i="82"/>
  <c r="BI153" i="82"/>
  <c r="BJ153" i="82"/>
  <c r="BH137" i="82"/>
  <c r="BJ137" i="82"/>
  <c r="BI137" i="82"/>
  <c r="BH121" i="82"/>
  <c r="BJ121" i="82"/>
  <c r="BI121" i="82"/>
  <c r="BH105" i="82"/>
  <c r="BJ105" i="82"/>
  <c r="BI105" i="82"/>
  <c r="BJ89" i="82"/>
  <c r="BH89" i="82"/>
  <c r="BI89" i="82"/>
  <c r="BH73" i="82"/>
  <c r="BI73" i="82"/>
  <c r="BJ73" i="82"/>
  <c r="BJ57" i="82"/>
  <c r="BH57" i="82"/>
  <c r="BI57" i="82"/>
  <c r="BH41" i="82"/>
  <c r="BI41" i="82"/>
  <c r="BJ41" i="82"/>
  <c r="BH20" i="82"/>
  <c r="BI20" i="82"/>
  <c r="BJ20" i="82"/>
  <c r="BH292" i="82"/>
  <c r="BJ292" i="82"/>
  <c r="BK292" i="82"/>
  <c r="BI292" i="82"/>
  <c r="BH244" i="82"/>
  <c r="BJ244" i="82"/>
  <c r="BK244" i="82"/>
  <c r="BI244" i="82"/>
  <c r="BJ31" i="82"/>
  <c r="BH31" i="82"/>
  <c r="BI31" i="82"/>
  <c r="BJ15" i="82"/>
  <c r="BH15" i="82"/>
  <c r="BI15" i="82"/>
  <c r="BH297" i="82"/>
  <c r="BI297" i="82"/>
  <c r="BK297" i="82"/>
  <c r="BJ297" i="82"/>
  <c r="BH265" i="82"/>
  <c r="BI265" i="82"/>
  <c r="BJ265" i="82"/>
  <c r="BK265" i="82"/>
  <c r="BH233" i="82"/>
  <c r="BI233" i="82"/>
  <c r="BJ233" i="82"/>
  <c r="BK233" i="82"/>
  <c r="BH247" i="82"/>
  <c r="BK247" i="82"/>
  <c r="BJ247" i="82"/>
  <c r="BI247" i="82"/>
  <c r="BH215" i="82"/>
  <c r="BJ215" i="82"/>
  <c r="BI215" i="82"/>
  <c r="BK215" i="82"/>
  <c r="BH291" i="82"/>
  <c r="BK291" i="82"/>
  <c r="BJ291" i="82"/>
  <c r="BI291" i="82"/>
  <c r="BH275" i="82"/>
  <c r="BK275" i="82"/>
  <c r="BI275" i="82"/>
  <c r="BJ275" i="82"/>
  <c r="BH259" i="82"/>
  <c r="BI259" i="82"/>
  <c r="BJ259" i="82"/>
  <c r="BK259" i="82"/>
  <c r="BH243" i="82"/>
  <c r="BI243" i="82"/>
  <c r="BK243" i="82"/>
  <c r="BJ243" i="82"/>
  <c r="BH227" i="82"/>
  <c r="BI227" i="82"/>
  <c r="BJ227" i="82"/>
  <c r="BK227" i="82"/>
  <c r="BI210" i="82"/>
  <c r="BH210" i="82"/>
  <c r="BK210" i="82"/>
  <c r="BJ210" i="82"/>
  <c r="BI298" i="82"/>
  <c r="BH298" i="82"/>
  <c r="BK298" i="82"/>
  <c r="BJ298" i="82"/>
  <c r="BI282" i="82"/>
  <c r="BH282" i="82"/>
  <c r="BK282" i="82"/>
  <c r="BJ282" i="82"/>
  <c r="BI266" i="82"/>
  <c r="BH266" i="82"/>
  <c r="BK266" i="82"/>
  <c r="BJ266" i="82"/>
  <c r="BI250" i="82"/>
  <c r="BH250" i="82"/>
  <c r="BK250" i="82"/>
  <c r="BJ250" i="82"/>
  <c r="BI234" i="82"/>
  <c r="BH234" i="82"/>
  <c r="BK234" i="82"/>
  <c r="BJ234" i="82"/>
  <c r="BI218" i="82"/>
  <c r="BH218" i="82"/>
  <c r="BK218" i="82"/>
  <c r="BJ218" i="82"/>
  <c r="BB304" i="82"/>
  <c r="BC304" i="82"/>
  <c r="BA304" i="82"/>
  <c r="BC278" i="82"/>
  <c r="BA278" i="82"/>
  <c r="BB278" i="82"/>
  <c r="BC262" i="82"/>
  <c r="BA262" i="82"/>
  <c r="BB262" i="82"/>
  <c r="BB300" i="82"/>
  <c r="BC300" i="82"/>
  <c r="BA300" i="82"/>
  <c r="BB284" i="82"/>
  <c r="BC284" i="82"/>
  <c r="BA284" i="82"/>
  <c r="BA258" i="82"/>
  <c r="BC258" i="82"/>
  <c r="BB258" i="82"/>
  <c r="BC290" i="82"/>
  <c r="BA290" i="82"/>
  <c r="BB290" i="82"/>
  <c r="BC267" i="82"/>
  <c r="BB267" i="82"/>
  <c r="BA267" i="82"/>
  <c r="BB252" i="82"/>
  <c r="BC252" i="82"/>
  <c r="BA252" i="82"/>
  <c r="BC302" i="82"/>
  <c r="BB302" i="82"/>
  <c r="BA302" i="82"/>
  <c r="BC289" i="82"/>
  <c r="BA289" i="82"/>
  <c r="BB289" i="82"/>
  <c r="BA269" i="82"/>
  <c r="BC269" i="82"/>
  <c r="BB269" i="82"/>
  <c r="BA198" i="82"/>
  <c r="BB198" i="82"/>
  <c r="BB288" i="82"/>
  <c r="BC288" i="82"/>
  <c r="BA288" i="82"/>
  <c r="BC274" i="82"/>
  <c r="BA274" i="82"/>
  <c r="BB274" i="82"/>
  <c r="BB256" i="82"/>
  <c r="BC256" i="82"/>
  <c r="BA256" i="82"/>
  <c r="BC243" i="82"/>
  <c r="BB243" i="82"/>
  <c r="BA243" i="82"/>
  <c r="BC227" i="82"/>
  <c r="BB227" i="82"/>
  <c r="BA227" i="82"/>
  <c r="BB216" i="82"/>
  <c r="BC216" i="82"/>
  <c r="BA216" i="82"/>
  <c r="BC205" i="82"/>
  <c r="BA205" i="82"/>
  <c r="BB205" i="82"/>
  <c r="BB195" i="82"/>
  <c r="BA195" i="82"/>
  <c r="BC245" i="82"/>
  <c r="BA245" i="82"/>
  <c r="BB245" i="82"/>
  <c r="BC229" i="82"/>
  <c r="BA229" i="82"/>
  <c r="BB229" i="82"/>
  <c r="BA202" i="82"/>
  <c r="BB202" i="82"/>
  <c r="BC238" i="82"/>
  <c r="BB238" i="82"/>
  <c r="BA238" i="82"/>
  <c r="BC223" i="82"/>
  <c r="BB223" i="82"/>
  <c r="BA223" i="82"/>
  <c r="BC212" i="82"/>
  <c r="BB212" i="82"/>
  <c r="BA212" i="82"/>
  <c r="BB201" i="82"/>
  <c r="BA201" i="82"/>
  <c r="BA119" i="82"/>
  <c r="BB119" i="82"/>
  <c r="BA177" i="82"/>
  <c r="BB177" i="82"/>
  <c r="BA129" i="82"/>
  <c r="BB129" i="82"/>
  <c r="BB63" i="82"/>
  <c r="BA63" i="82"/>
  <c r="BB171" i="82"/>
  <c r="BA171" i="82"/>
  <c r="BB139" i="82"/>
  <c r="BA139" i="82"/>
  <c r="BB75" i="82"/>
  <c r="BA75" i="82"/>
  <c r="BB30" i="82"/>
  <c r="BA30" i="82"/>
  <c r="BB13" i="82"/>
  <c r="BA146" i="82"/>
  <c r="BB146" i="82"/>
  <c r="BB133" i="82"/>
  <c r="BA133" i="82"/>
  <c r="BB159" i="82"/>
  <c r="BA159" i="82"/>
  <c r="BI246" i="82"/>
  <c r="BH246" i="82"/>
  <c r="BK246" i="82"/>
  <c r="BJ246" i="82"/>
  <c r="BB28" i="82"/>
  <c r="BA28" i="82"/>
  <c r="BB40" i="82"/>
  <c r="BA40" i="82"/>
  <c r="BB71" i="82"/>
  <c r="BA71" i="82"/>
  <c r="BB103" i="82"/>
  <c r="BA103" i="82"/>
  <c r="BA135" i="82"/>
  <c r="BB135" i="82"/>
  <c r="BA167" i="82"/>
  <c r="BB167" i="82"/>
  <c r="BA193" i="82"/>
  <c r="BB193" i="82"/>
  <c r="BB187" i="82"/>
  <c r="BA187" i="82"/>
  <c r="BB169" i="82"/>
  <c r="BA169" i="82"/>
  <c r="BB153" i="82"/>
  <c r="BA153" i="82"/>
  <c r="BB137" i="82"/>
  <c r="BA137" i="82"/>
  <c r="BB121" i="82"/>
  <c r="BA121" i="82"/>
  <c r="BB105" i="82"/>
  <c r="BA105" i="82"/>
  <c r="BB89" i="82"/>
  <c r="BA89" i="82"/>
  <c r="BA73" i="82"/>
  <c r="BB73" i="82"/>
  <c r="BB55" i="82"/>
  <c r="BA55" i="82"/>
  <c r="BB39" i="82"/>
  <c r="BA39" i="82"/>
  <c r="BB11" i="82"/>
  <c r="BB179" i="82"/>
  <c r="BA179" i="82"/>
  <c r="BB163" i="82"/>
  <c r="BA163" i="82"/>
  <c r="BB147" i="82"/>
  <c r="BA147" i="82"/>
  <c r="BB131" i="82"/>
  <c r="BA131" i="82"/>
  <c r="BB115" i="82"/>
  <c r="BA115" i="82"/>
  <c r="BB99" i="82"/>
  <c r="BA99" i="82"/>
  <c r="BB83" i="82"/>
  <c r="BA83" i="82"/>
  <c r="BB70" i="82"/>
  <c r="BA70" i="82"/>
  <c r="BB54" i="82"/>
  <c r="BA54" i="82"/>
  <c r="BB38" i="82"/>
  <c r="BA38" i="82"/>
  <c r="BB8" i="82"/>
  <c r="BB22" i="82"/>
  <c r="BA22" i="82"/>
  <c r="BB6" i="82"/>
  <c r="BB21" i="82"/>
  <c r="BA21" i="82"/>
  <c r="BA31" i="82"/>
  <c r="BB31" i="82"/>
  <c r="BB65" i="82"/>
  <c r="BA65" i="82"/>
  <c r="BB98" i="82"/>
  <c r="BA98" i="82"/>
  <c r="BA130" i="82"/>
  <c r="BB130" i="82"/>
  <c r="BA162" i="82"/>
  <c r="BB162" i="82"/>
  <c r="BA37" i="82"/>
  <c r="BB37" i="82"/>
  <c r="BB101" i="82"/>
  <c r="BA101" i="82"/>
  <c r="BA170" i="82"/>
  <c r="BB170" i="82"/>
  <c r="BB44" i="82"/>
  <c r="BA44" i="82"/>
  <c r="BB79" i="82"/>
  <c r="BA79" i="82"/>
  <c r="BB111" i="82"/>
  <c r="BA111" i="82"/>
  <c r="BB143" i="82"/>
  <c r="BA143" i="82"/>
  <c r="BB175" i="82"/>
  <c r="BA175" i="82"/>
  <c r="BA45" i="82"/>
  <c r="BB45" i="82"/>
  <c r="BB106" i="82"/>
  <c r="BA106" i="82"/>
  <c r="BB181" i="82"/>
  <c r="BA181" i="82"/>
  <c r="BH59" i="82"/>
  <c r="BI59" i="82"/>
  <c r="BJ59" i="82"/>
  <c r="BI104" i="82"/>
  <c r="BH104" i="82"/>
  <c r="BJ104" i="82"/>
  <c r="BH203" i="82"/>
  <c r="BI203" i="82"/>
  <c r="BJ203" i="82"/>
  <c r="BI120" i="82"/>
  <c r="BH120" i="82"/>
  <c r="BJ120" i="82"/>
  <c r="BI33" i="82"/>
  <c r="BH33" i="82"/>
  <c r="BJ33" i="82"/>
  <c r="BJ136" i="82"/>
  <c r="BI136" i="82"/>
  <c r="BH136" i="82"/>
  <c r="BJ51" i="82"/>
  <c r="BI51" i="82"/>
  <c r="BH51" i="82"/>
  <c r="BH171" i="82"/>
  <c r="BI171" i="82"/>
  <c r="BJ171" i="82"/>
  <c r="BI88" i="82"/>
  <c r="BJ88" i="82"/>
  <c r="BH88" i="82"/>
  <c r="BH5" i="82"/>
  <c r="BJ5" i="82"/>
  <c r="BI5" i="82"/>
  <c r="BH144" i="82"/>
  <c r="BJ144" i="82"/>
  <c r="BI144" i="82"/>
  <c r="BH80" i="82"/>
  <c r="BJ80" i="82"/>
  <c r="BI80" i="82"/>
  <c r="BH8" i="82"/>
  <c r="BI8" i="82"/>
  <c r="BJ8" i="82"/>
  <c r="BH191" i="82"/>
  <c r="BJ191" i="82"/>
  <c r="BI191" i="82"/>
  <c r="BH159" i="82"/>
  <c r="BJ159" i="82"/>
  <c r="BI159" i="82"/>
  <c r="BH127" i="82"/>
  <c r="BJ127" i="82"/>
  <c r="BI127" i="82"/>
  <c r="BH95" i="82"/>
  <c r="BJ95" i="82"/>
  <c r="BI95" i="82"/>
  <c r="BH63" i="82"/>
  <c r="BJ63" i="82"/>
  <c r="BI63" i="82"/>
  <c r="BH28" i="82"/>
  <c r="BJ28" i="82"/>
  <c r="BI28" i="82"/>
  <c r="BH283" i="82"/>
  <c r="BJ283" i="82"/>
  <c r="BK283" i="82"/>
  <c r="BI283" i="82"/>
  <c r="BJ204" i="82"/>
  <c r="BH204" i="82"/>
  <c r="BI204" i="82"/>
  <c r="BH172" i="82"/>
  <c r="BI172" i="82"/>
  <c r="BJ172" i="82"/>
  <c r="BI140" i="82"/>
  <c r="BH140" i="82"/>
  <c r="BJ140" i="82"/>
  <c r="BI108" i="82"/>
  <c r="BH108" i="82"/>
  <c r="BJ108" i="82"/>
  <c r="BH76" i="82"/>
  <c r="BJ76" i="82"/>
  <c r="BI76" i="82"/>
  <c r="BH44" i="82"/>
  <c r="BJ44" i="82"/>
  <c r="BI44" i="82"/>
  <c r="BH281" i="82"/>
  <c r="BI281" i="82"/>
  <c r="BK281" i="82"/>
  <c r="BJ281" i="82"/>
  <c r="BI261" i="82"/>
  <c r="BJ261" i="82"/>
  <c r="BK261" i="82"/>
  <c r="BH261" i="82"/>
  <c r="BI202" i="82"/>
  <c r="BJ202" i="82"/>
  <c r="BH202" i="82"/>
  <c r="BH186" i="82"/>
  <c r="BJ186" i="82"/>
  <c r="BI186" i="82"/>
  <c r="BJ170" i="82"/>
  <c r="BI170" i="82"/>
  <c r="BH170" i="82"/>
  <c r="BH154" i="82"/>
  <c r="BI154" i="82"/>
  <c r="BJ154" i="82"/>
  <c r="BI138" i="82"/>
  <c r="BJ138" i="82"/>
  <c r="BH138" i="82"/>
  <c r="BJ122" i="82"/>
  <c r="BH122" i="82"/>
  <c r="BI122" i="82"/>
  <c r="BJ106" i="82"/>
  <c r="BH106" i="82"/>
  <c r="BI106" i="82"/>
  <c r="BH90" i="82"/>
  <c r="BJ90" i="82"/>
  <c r="BI90" i="82"/>
  <c r="BH74" i="82"/>
  <c r="BJ74" i="82"/>
  <c r="BI74" i="82"/>
  <c r="BJ58" i="82"/>
  <c r="BI58" i="82"/>
  <c r="BH58" i="82"/>
  <c r="BI42" i="82"/>
  <c r="BJ42" i="82"/>
  <c r="BH42" i="82"/>
  <c r="BJ21" i="82"/>
  <c r="BI21" i="82"/>
  <c r="BH21" i="82"/>
  <c r="BI293" i="82"/>
  <c r="BJ293" i="82"/>
  <c r="BH293" i="82"/>
  <c r="BK293" i="82"/>
  <c r="BH219" i="82"/>
  <c r="BJ219" i="82"/>
  <c r="BK219" i="82"/>
  <c r="BI219" i="82"/>
  <c r="BI197" i="82"/>
  <c r="BH197" i="82"/>
  <c r="BJ197" i="82"/>
  <c r="BJ181" i="82"/>
  <c r="BI181" i="82"/>
  <c r="BH181" i="82"/>
  <c r="BI165" i="82"/>
  <c r="BH165" i="82"/>
  <c r="BJ165" i="82"/>
  <c r="H21" i="88" s="1"/>
  <c r="BJ149" i="82"/>
  <c r="BH149" i="82"/>
  <c r="BI149" i="82"/>
  <c r="BI133" i="82"/>
  <c r="BJ133" i="82"/>
  <c r="BH133" i="82"/>
  <c r="BJ117" i="82"/>
  <c r="BI117" i="82"/>
  <c r="BH117" i="82"/>
  <c r="BJ101" i="82"/>
  <c r="BH101" i="82"/>
  <c r="BI101" i="82"/>
  <c r="BI85" i="82"/>
  <c r="BH85" i="82"/>
  <c r="BJ85" i="82"/>
  <c r="BJ69" i="82"/>
  <c r="BI69" i="82"/>
  <c r="BH69" i="82"/>
  <c r="BJ53" i="82"/>
  <c r="BH53" i="82"/>
  <c r="BI53" i="82"/>
  <c r="BH36" i="82"/>
  <c r="BJ36" i="82"/>
  <c r="BI36" i="82"/>
  <c r="BJ14" i="82"/>
  <c r="BI14" i="82"/>
  <c r="BH14" i="82"/>
  <c r="BI278" i="82"/>
  <c r="BH278" i="82"/>
  <c r="BK278" i="82"/>
  <c r="BJ278" i="82"/>
  <c r="BI229" i="82"/>
  <c r="BJ229" i="82"/>
  <c r="BK229" i="82"/>
  <c r="BH229" i="82"/>
  <c r="BI27" i="82"/>
  <c r="BH27" i="82"/>
  <c r="BJ27" i="82"/>
  <c r="BJ11" i="82"/>
  <c r="BI11" i="82"/>
  <c r="BH11" i="82"/>
  <c r="BI294" i="82"/>
  <c r="BH294" i="82"/>
  <c r="BK294" i="82"/>
  <c r="BJ294" i="82"/>
  <c r="BI262" i="82"/>
  <c r="BH262" i="82"/>
  <c r="BK262" i="82"/>
  <c r="BJ262" i="82"/>
  <c r="BI230" i="82"/>
  <c r="BH230" i="82"/>
  <c r="BK230" i="82"/>
  <c r="BJ230" i="82"/>
  <c r="BI245" i="82"/>
  <c r="BJ245" i="82"/>
  <c r="BH245" i="82"/>
  <c r="BK245" i="82"/>
  <c r="BI213" i="82"/>
  <c r="BJ213" i="82"/>
  <c r="BH213" i="82"/>
  <c r="BK213" i="82"/>
  <c r="BJ289" i="82"/>
  <c r="BK289" i="82"/>
  <c r="BI289" i="82"/>
  <c r="BH289" i="82"/>
  <c r="BJ273" i="82"/>
  <c r="BK273" i="82"/>
  <c r="BH273" i="82"/>
  <c r="BI273" i="82"/>
  <c r="BJ257" i="82"/>
  <c r="BK257" i="82"/>
  <c r="BH257" i="82"/>
  <c r="BI257" i="82"/>
  <c r="BJ241" i="82"/>
  <c r="BK241" i="82"/>
  <c r="BH241" i="82"/>
  <c r="BI241" i="82"/>
  <c r="BJ225" i="82"/>
  <c r="BK225" i="82"/>
  <c r="BH225" i="82"/>
  <c r="BI225" i="82"/>
  <c r="BH303" i="82"/>
  <c r="BI303" i="82"/>
  <c r="BJ303" i="82"/>
  <c r="BK303" i="82"/>
  <c r="BH287" i="82"/>
  <c r="BI287" i="82"/>
  <c r="BJ287" i="82"/>
  <c r="BK287" i="82"/>
  <c r="BH271" i="82"/>
  <c r="BJ271" i="82"/>
  <c r="BK271" i="82"/>
  <c r="BI271" i="82"/>
  <c r="BH255" i="82"/>
  <c r="BK255" i="82"/>
  <c r="BI255" i="82"/>
  <c r="BJ255" i="82"/>
  <c r="BH239" i="82"/>
  <c r="BK239" i="82"/>
  <c r="BI239" i="82"/>
  <c r="BJ239" i="82"/>
  <c r="BH223" i="82"/>
  <c r="BJ223" i="82"/>
  <c r="BI223" i="82"/>
  <c r="BK223" i="82"/>
  <c r="BH211" i="82"/>
  <c r="BK211" i="82"/>
  <c r="BI211" i="82"/>
  <c r="BJ211" i="82"/>
  <c r="BC301" i="82"/>
  <c r="BA301" i="82"/>
  <c r="BB301" i="82"/>
  <c r="BC275" i="82"/>
  <c r="BB275" i="82"/>
  <c r="BA275" i="82"/>
  <c r="BC250" i="82"/>
  <c r="BB250" i="82"/>
  <c r="BA250" i="82"/>
  <c r="BC297" i="82"/>
  <c r="BB297" i="82"/>
  <c r="BA297" i="82"/>
  <c r="BB280" i="82"/>
  <c r="BA280" i="82"/>
  <c r="BC280" i="82"/>
  <c r="BA237" i="82"/>
  <c r="BC237" i="82"/>
  <c r="BB237" i="82"/>
  <c r="BC283" i="82"/>
  <c r="BB283" i="82"/>
  <c r="BA283" i="82"/>
  <c r="BC263" i="82"/>
  <c r="BA263" i="82"/>
  <c r="BB263" i="82"/>
  <c r="BC247" i="82"/>
  <c r="BA247" i="82"/>
  <c r="BB247" i="82"/>
  <c r="BC299" i="82"/>
  <c r="BB299" i="82"/>
  <c r="BA299" i="82"/>
  <c r="BC285" i="82"/>
  <c r="BA285" i="82"/>
  <c r="BB285" i="82"/>
  <c r="BC266" i="82"/>
  <c r="BB266" i="82"/>
  <c r="BA266" i="82"/>
  <c r="BB303" i="82"/>
  <c r="BA303" i="82"/>
  <c r="BC303" i="82"/>
  <c r="BC286" i="82"/>
  <c r="BB286" i="82"/>
  <c r="BA286" i="82"/>
  <c r="BC271" i="82"/>
  <c r="BB271" i="82"/>
  <c r="BA271" i="82"/>
  <c r="BC254" i="82"/>
  <c r="BB254" i="82"/>
  <c r="BA254" i="82"/>
  <c r="BC236" i="82"/>
  <c r="BB236" i="82"/>
  <c r="BA236" i="82"/>
  <c r="BB224" i="82"/>
  <c r="BC224" i="82"/>
  <c r="BA224" i="82"/>
  <c r="BA213" i="82"/>
  <c r="BB213" i="82"/>
  <c r="BC213" i="82"/>
  <c r="BB203" i="82"/>
  <c r="BA203" i="82"/>
  <c r="BC253" i="82"/>
  <c r="BA253" i="82"/>
  <c r="BB253" i="82"/>
  <c r="BC242" i="82"/>
  <c r="BA242" i="82"/>
  <c r="BB242" i="82"/>
  <c r="BC226" i="82"/>
  <c r="BA226" i="82"/>
  <c r="BB226" i="82"/>
  <c r="BA194" i="82"/>
  <c r="BB194" i="82"/>
  <c r="BC235" i="82"/>
  <c r="BB235" i="82"/>
  <c r="BA235" i="82"/>
  <c r="BB220" i="82"/>
  <c r="BC220" i="82"/>
  <c r="BA220" i="82"/>
  <c r="BA209" i="82"/>
  <c r="BC209" i="82"/>
  <c r="BB209" i="82"/>
  <c r="BA199" i="82"/>
  <c r="BB199" i="82"/>
  <c r="BB56" i="82"/>
  <c r="BA56" i="82"/>
  <c r="BA183" i="82"/>
  <c r="BB183" i="82"/>
  <c r="BA145" i="82"/>
  <c r="BB145" i="82"/>
  <c r="BB81" i="82"/>
  <c r="BA81" i="82"/>
  <c r="BB47" i="82"/>
  <c r="BA47" i="82"/>
  <c r="BB155" i="82"/>
  <c r="BA155" i="82"/>
  <c r="BB91" i="82"/>
  <c r="BA91" i="82"/>
  <c r="BB46" i="82"/>
  <c r="BA46" i="82"/>
  <c r="BA29" i="82"/>
  <c r="BB29" i="82"/>
  <c r="BA114" i="82"/>
  <c r="BB114" i="82"/>
  <c r="BB20" i="82"/>
  <c r="BA20" i="82"/>
  <c r="BB185" i="82"/>
  <c r="BA185" i="82"/>
  <c r="BH179" i="82"/>
  <c r="BJ179" i="82"/>
  <c r="BI179" i="82"/>
  <c r="BB48" i="82"/>
  <c r="BA48" i="82"/>
  <c r="BB76" i="82"/>
  <c r="BA76" i="82"/>
  <c r="BB108" i="82"/>
  <c r="BA108" i="82"/>
  <c r="BB140" i="82"/>
  <c r="BA140" i="82"/>
  <c r="BB172" i="82"/>
  <c r="BA172" i="82"/>
  <c r="BB5" i="82"/>
  <c r="BA182" i="82"/>
  <c r="BB182" i="82"/>
  <c r="BA166" i="82"/>
  <c r="BB166" i="82"/>
  <c r="BA150" i="82"/>
  <c r="BB150" i="82"/>
  <c r="BA134" i="82"/>
  <c r="BB134" i="82"/>
  <c r="BA118" i="82"/>
  <c r="BB118" i="82"/>
  <c r="BB102" i="82"/>
  <c r="BA102" i="82"/>
  <c r="BB86" i="82"/>
  <c r="BA86" i="82"/>
  <c r="BA67" i="82"/>
  <c r="BB67" i="82"/>
  <c r="BA51" i="82"/>
  <c r="BB51" i="82"/>
  <c r="BB35" i="82"/>
  <c r="BA35" i="82"/>
  <c r="BB192" i="82"/>
  <c r="BA192" i="82"/>
  <c r="BB176" i="82"/>
  <c r="BA176" i="82"/>
  <c r="BB160" i="82"/>
  <c r="BA160" i="82"/>
  <c r="BB144" i="82"/>
  <c r="BA144" i="82"/>
  <c r="BB128" i="82"/>
  <c r="BA128" i="82"/>
  <c r="BB112" i="82"/>
  <c r="BA112" i="82"/>
  <c r="BB96" i="82"/>
  <c r="BA96" i="82"/>
  <c r="BB80" i="82"/>
  <c r="BA80" i="82"/>
  <c r="BB66" i="82"/>
  <c r="BA66" i="82"/>
  <c r="BB50" i="82"/>
  <c r="BA50" i="82"/>
  <c r="BB32" i="82"/>
  <c r="BA32" i="82"/>
  <c r="BB34" i="82"/>
  <c r="BA34" i="82"/>
  <c r="BB18" i="82"/>
  <c r="BA18" i="82"/>
  <c r="BB33" i="82"/>
  <c r="BA33" i="82"/>
  <c r="BB17" i="82"/>
  <c r="BA17" i="82"/>
  <c r="BB41" i="82"/>
  <c r="BA41" i="82"/>
  <c r="BB77" i="82"/>
  <c r="BA77" i="82"/>
  <c r="BA109" i="82"/>
  <c r="BB109" i="82"/>
  <c r="BA141" i="82"/>
  <c r="BB141" i="82"/>
  <c r="BA173" i="82"/>
  <c r="BB173" i="82"/>
  <c r="BB53" i="82"/>
  <c r="BA53" i="82"/>
  <c r="BA122" i="82"/>
  <c r="BB122" i="82"/>
  <c r="BA186" i="82"/>
  <c r="BB186" i="82"/>
  <c r="BA52" i="82"/>
  <c r="BB52" i="82"/>
  <c r="BB84" i="82"/>
  <c r="BA84" i="82"/>
  <c r="BB116" i="82"/>
  <c r="BA116" i="82"/>
  <c r="BB148" i="82"/>
  <c r="BA148" i="82"/>
  <c r="BB180" i="82"/>
  <c r="BA180" i="82"/>
  <c r="BB61" i="82"/>
  <c r="BA61" i="82"/>
  <c r="BB117" i="82"/>
  <c r="BA117" i="82"/>
  <c r="BB191" i="82"/>
  <c r="BA191" i="82"/>
  <c r="BH123" i="82"/>
  <c r="BI123" i="82"/>
  <c r="BJ123" i="82"/>
  <c r="BH12" i="82"/>
  <c r="BJ12" i="82"/>
  <c r="BI12" i="82"/>
  <c r="BI184" i="82"/>
  <c r="BJ184" i="82"/>
  <c r="BH184" i="82"/>
  <c r="BJ99" i="82"/>
  <c r="BH99" i="82"/>
  <c r="BI99" i="82"/>
  <c r="BI200" i="82"/>
  <c r="BH200" i="82"/>
  <c r="BJ200" i="82"/>
  <c r="BH115" i="82"/>
  <c r="BJ115" i="82"/>
  <c r="BI115" i="82"/>
  <c r="BJ22" i="82"/>
  <c r="BI22" i="82"/>
  <c r="BH22" i="82"/>
  <c r="BI152" i="82"/>
  <c r="BH152" i="82"/>
  <c r="BJ152" i="82"/>
  <c r="BJ67" i="82"/>
  <c r="BI67" i="82"/>
  <c r="BH67" i="82"/>
  <c r="BI192" i="82"/>
  <c r="BH192" i="82"/>
  <c r="BJ192" i="82"/>
  <c r="BH128" i="82"/>
  <c r="BI128" i="82"/>
  <c r="BJ128" i="82"/>
  <c r="BH64" i="82"/>
  <c r="BJ64" i="82"/>
  <c r="BI64" i="82"/>
  <c r="BH217" i="82"/>
  <c r="BI217" i="82"/>
  <c r="BJ217" i="82"/>
  <c r="BK217" i="82"/>
  <c r="BH183" i="82"/>
  <c r="BI183" i="82"/>
  <c r="BJ183" i="82"/>
  <c r="BH151" i="82"/>
  <c r="BI151" i="82"/>
  <c r="BJ151" i="82"/>
  <c r="BH119" i="82"/>
  <c r="BI119" i="82"/>
  <c r="BJ119" i="82"/>
  <c r="BI87" i="82"/>
  <c r="BH87" i="82"/>
  <c r="BJ87" i="82"/>
  <c r="BJ55" i="82"/>
  <c r="BI55" i="82"/>
  <c r="BH55" i="82"/>
  <c r="BI17" i="82"/>
  <c r="BH17" i="82"/>
  <c r="BJ17" i="82"/>
  <c r="BI277" i="82"/>
  <c r="BJ277" i="82"/>
  <c r="BH277" i="82"/>
  <c r="BK277" i="82"/>
  <c r="BI196" i="82"/>
  <c r="BJ196" i="82"/>
  <c r="BH196" i="82"/>
  <c r="BI164" i="82"/>
  <c r="BJ164" i="82"/>
  <c r="BH164" i="82"/>
  <c r="BI132" i="82"/>
  <c r="BJ132" i="82"/>
  <c r="BH132" i="82"/>
  <c r="BH100" i="82"/>
  <c r="BJ100" i="82"/>
  <c r="BI100" i="82"/>
  <c r="BH68" i="82"/>
  <c r="BJ68" i="82"/>
  <c r="BI68" i="82"/>
  <c r="BI34" i="82"/>
  <c r="BH34" i="82"/>
  <c r="BJ34" i="82"/>
  <c r="BI274" i="82"/>
  <c r="BK274" i="82"/>
  <c r="BH274" i="82"/>
  <c r="BJ274" i="82"/>
  <c r="BH231" i="82"/>
  <c r="BJ231" i="82"/>
  <c r="BI231" i="82"/>
  <c r="BK231" i="82"/>
  <c r="BJ198" i="82"/>
  <c r="BH198" i="82"/>
  <c r="BI198" i="82"/>
  <c r="BH182" i="82"/>
  <c r="BI182" i="82"/>
  <c r="BJ182" i="82"/>
  <c r="BH166" i="82"/>
  <c r="BJ166" i="82"/>
  <c r="BI166" i="82"/>
  <c r="BI150" i="82"/>
  <c r="BH150" i="82"/>
  <c r="BJ150" i="82"/>
  <c r="BJ134" i="82"/>
  <c r="BH134" i="82"/>
  <c r="BI134" i="82"/>
  <c r="BH118" i="82"/>
  <c r="BI118" i="82"/>
  <c r="BJ118" i="82"/>
  <c r="H16" i="88" s="1"/>
  <c r="BJ102" i="82"/>
  <c r="BH102" i="82"/>
  <c r="BI102" i="82"/>
  <c r="BJ86" i="82"/>
  <c r="BI86" i="82"/>
  <c r="BH86" i="82"/>
  <c r="BI70" i="82"/>
  <c r="BJ70" i="82"/>
  <c r="BH70" i="82"/>
  <c r="BI54" i="82"/>
  <c r="BH54" i="82"/>
  <c r="BJ54" i="82"/>
  <c r="BH37" i="82"/>
  <c r="BJ37" i="82"/>
  <c r="BI37" i="82"/>
  <c r="BH16" i="82"/>
  <c r="BJ16" i="82"/>
  <c r="BI16" i="82"/>
  <c r="BH279" i="82"/>
  <c r="BJ279" i="82"/>
  <c r="BI279" i="82"/>
  <c r="BK279" i="82"/>
  <c r="BI214" i="82"/>
  <c r="BH214" i="82"/>
  <c r="BK214" i="82"/>
  <c r="BJ214" i="82"/>
  <c r="BJ193" i="82"/>
  <c r="BH193" i="82"/>
  <c r="BI193" i="82"/>
  <c r="BH177" i="82"/>
  <c r="BI177" i="82"/>
  <c r="BJ177" i="82"/>
  <c r="H22" i="88" s="1"/>
  <c r="BJ161" i="82"/>
  <c r="BH161" i="82"/>
  <c r="BI161" i="82"/>
  <c r="BJ145" i="82"/>
  <c r="H19" i="88" s="1"/>
  <c r="BH145" i="82"/>
  <c r="BI145" i="82"/>
  <c r="BH129" i="82"/>
  <c r="BJ129" i="82"/>
  <c r="BI129" i="82"/>
  <c r="BH113" i="82"/>
  <c r="BJ113" i="82"/>
  <c r="BI113" i="82"/>
  <c r="BI97" i="82"/>
  <c r="BH97" i="82"/>
  <c r="BJ97" i="82"/>
  <c r="BH81" i="82"/>
  <c r="BI81" i="82"/>
  <c r="BJ81" i="82"/>
  <c r="BH65" i="82"/>
  <c r="BI65" i="82"/>
  <c r="BJ65" i="82"/>
  <c r="BH49" i="82"/>
  <c r="BJ49" i="82"/>
  <c r="BI49" i="82"/>
  <c r="BH30" i="82"/>
  <c r="BI30" i="82"/>
  <c r="BJ30" i="82"/>
  <c r="BH9" i="82"/>
  <c r="BI9" i="82"/>
  <c r="BJ9" i="82"/>
  <c r="BH276" i="82"/>
  <c r="BJ276" i="82"/>
  <c r="BK276" i="82"/>
  <c r="BI276" i="82"/>
  <c r="BI39" i="82"/>
  <c r="BH39" i="82"/>
  <c r="BJ39" i="82"/>
  <c r="BJ23" i="82"/>
  <c r="BH23" i="82"/>
  <c r="BI23" i="82"/>
  <c r="BI7" i="82"/>
  <c r="BH7" i="82"/>
  <c r="BJ7" i="82"/>
  <c r="BH280" i="82"/>
  <c r="BI280" i="82"/>
  <c r="BJ280" i="82"/>
  <c r="BK280" i="82"/>
  <c r="BH248" i="82"/>
  <c r="BI248" i="82"/>
  <c r="BJ248" i="82"/>
  <c r="BK248" i="82"/>
  <c r="BH216" i="82"/>
  <c r="BI216" i="82"/>
  <c r="BJ216" i="82"/>
  <c r="BK216" i="82"/>
  <c r="BI242" i="82"/>
  <c r="BK242" i="82"/>
  <c r="BH242" i="82"/>
  <c r="BJ242" i="82"/>
  <c r="BH304" i="82"/>
  <c r="BK304" i="82"/>
  <c r="BJ304" i="82"/>
  <c r="BI304" i="82"/>
  <c r="BH288" i="82"/>
  <c r="BK288" i="82"/>
  <c r="BJ288" i="82"/>
  <c r="BI288" i="82"/>
  <c r="BH272" i="82"/>
  <c r="BK272" i="82"/>
  <c r="BJ272" i="82"/>
  <c r="BI272" i="82"/>
  <c r="BH256" i="82"/>
  <c r="BK256" i="82"/>
  <c r="BI256" i="82"/>
  <c r="BJ256" i="82"/>
  <c r="BH240" i="82"/>
  <c r="BK240" i="82"/>
  <c r="BI240" i="82"/>
  <c r="BJ240" i="82"/>
  <c r="BH224" i="82"/>
  <c r="BK224" i="82"/>
  <c r="BI224" i="82"/>
  <c r="BJ224" i="82"/>
  <c r="BK301" i="82"/>
  <c r="BH301" i="82"/>
  <c r="BJ301" i="82"/>
  <c r="BI301" i="82"/>
  <c r="BK285" i="82"/>
  <c r="BH285" i="82"/>
  <c r="BI285" i="82"/>
  <c r="BJ285" i="82"/>
  <c r="BK269" i="82"/>
  <c r="BH269" i="82"/>
  <c r="BJ269" i="82"/>
  <c r="BI269" i="82"/>
  <c r="BK253" i="82"/>
  <c r="BH253" i="82"/>
  <c r="BI253" i="82"/>
  <c r="BJ253" i="82"/>
  <c r="BK237" i="82"/>
  <c r="BH237" i="82"/>
  <c r="BI237" i="82"/>
  <c r="BJ237" i="82"/>
  <c r="BK221" i="82"/>
  <c r="BH221" i="82"/>
  <c r="BI221" i="82"/>
  <c r="BJ221" i="82"/>
  <c r="BK209" i="82"/>
  <c r="BH209" i="82"/>
  <c r="BI209" i="82"/>
  <c r="BJ209" i="82"/>
  <c r="BC298" i="82"/>
  <c r="BB298" i="82"/>
  <c r="BA298" i="82"/>
  <c r="BB268" i="82"/>
  <c r="BC268" i="82"/>
  <c r="BA268" i="82"/>
  <c r="BB240" i="82"/>
  <c r="BC240" i="82"/>
  <c r="BA240" i="82"/>
  <c r="BC294" i="82"/>
  <c r="BA294" i="82"/>
  <c r="BB294" i="82"/>
  <c r="BA277" i="82"/>
  <c r="BB277" i="82"/>
  <c r="BC277" i="82"/>
  <c r="BC214" i="82"/>
  <c r="BA214" i="82"/>
  <c r="BB214" i="82"/>
  <c r="BC273" i="82"/>
  <c r="BA273" i="82"/>
  <c r="BB273" i="82"/>
  <c r="BC260" i="82"/>
  <c r="BB260" i="82"/>
  <c r="BA260" i="82"/>
  <c r="BC234" i="82"/>
  <c r="BB234" i="82"/>
  <c r="BA234" i="82"/>
  <c r="BA295" i="82"/>
  <c r="BB295" i="82"/>
  <c r="BC295" i="82"/>
  <c r="BC279" i="82"/>
  <c r="BA279" i="82"/>
  <c r="BB279" i="82"/>
  <c r="BC255" i="82"/>
  <c r="BB255" i="82"/>
  <c r="BA255" i="82"/>
  <c r="BA293" i="82"/>
  <c r="BB293" i="82"/>
  <c r="BC293" i="82"/>
  <c r="BC281" i="82"/>
  <c r="BB281" i="82"/>
  <c r="BA281" i="82"/>
  <c r="BA261" i="82"/>
  <c r="BB261" i="82"/>
  <c r="BC261" i="82"/>
  <c r="BC249" i="82"/>
  <c r="BB249" i="82"/>
  <c r="BA249" i="82"/>
  <c r="BC233" i="82"/>
  <c r="BB233" i="82"/>
  <c r="BA233" i="82"/>
  <c r="BC221" i="82"/>
  <c r="BA221" i="82"/>
  <c r="BB221" i="82"/>
  <c r="BC211" i="82"/>
  <c r="BB211" i="82"/>
  <c r="BA211" i="82"/>
  <c r="BB200" i="82"/>
  <c r="BA200" i="82"/>
  <c r="BC251" i="82"/>
  <c r="BB251" i="82"/>
  <c r="BA251" i="82"/>
  <c r="BC239" i="82"/>
  <c r="BB239" i="82"/>
  <c r="BA239" i="82"/>
  <c r="BC218" i="82"/>
  <c r="BB218" i="82"/>
  <c r="BA218" i="82"/>
  <c r="BC244" i="82"/>
  <c r="BB244" i="82"/>
  <c r="BA244" i="82"/>
  <c r="BC228" i="82"/>
  <c r="BB228" i="82"/>
  <c r="BA228" i="82"/>
  <c r="BC217" i="82"/>
  <c r="BB217" i="82"/>
  <c r="BA217" i="82"/>
  <c r="BC207" i="82"/>
  <c r="BB207" i="82"/>
  <c r="BA207" i="82"/>
  <c r="BB196" i="82"/>
  <c r="BA196" i="82"/>
  <c r="CN50" i="82"/>
  <c r="CZ50" i="82" s="1"/>
  <c r="CU50" i="82" s="1"/>
  <c r="CN51" i="82"/>
  <c r="CZ51" i="82" s="1"/>
  <c r="CU51" i="82" s="1"/>
  <c r="CN52" i="82"/>
  <c r="CZ52" i="82" s="1"/>
  <c r="CU52" i="82" s="1"/>
  <c r="CN53" i="82"/>
  <c r="CZ53" i="82" s="1"/>
  <c r="CU53" i="82" s="1"/>
  <c r="CN54" i="82"/>
  <c r="CZ54" i="82" s="1"/>
  <c r="CU54" i="82" s="1"/>
  <c r="CN55" i="82"/>
  <c r="CZ55" i="82" s="1"/>
  <c r="CU55" i="82" s="1"/>
  <c r="CN56" i="82"/>
  <c r="CZ56" i="82" s="1"/>
  <c r="CU56" i="82" s="1"/>
  <c r="CN57" i="82"/>
  <c r="CZ57" i="82" s="1"/>
  <c r="CU57" i="82" s="1"/>
  <c r="CN58" i="82"/>
  <c r="CZ58" i="82" s="1"/>
  <c r="CU58" i="82" s="1"/>
  <c r="CN59" i="82"/>
  <c r="CZ59" i="82" s="1"/>
  <c r="CU59" i="82" s="1"/>
  <c r="H24" i="88" l="1"/>
  <c r="H23" i="88"/>
  <c r="H20" i="88"/>
  <c r="H7" i="88"/>
  <c r="H25" i="88"/>
  <c r="H33" i="88"/>
  <c r="H10" i="88"/>
  <c r="H29" i="88"/>
  <c r="H13" i="88"/>
  <c r="H31" i="88"/>
  <c r="H8" i="88"/>
  <c r="H32" i="88"/>
  <c r="H27" i="88"/>
  <c r="H14" i="88"/>
  <c r="H26" i="88"/>
  <c r="H6" i="88"/>
  <c r="H15" i="88"/>
  <c r="H28" i="88"/>
  <c r="H9" i="88"/>
  <c r="H17" i="88"/>
  <c r="H12" i="88"/>
  <c r="H11" i="88"/>
  <c r="F22" i="88"/>
  <c r="H30" i="88"/>
  <c r="F21" i="88"/>
  <c r="H18" i="88"/>
  <c r="H5" i="88"/>
  <c r="F29" i="88"/>
  <c r="Q29" i="88" s="1"/>
  <c r="F17" i="88"/>
  <c r="F11" i="88"/>
  <c r="F25" i="88"/>
  <c r="Q25" i="88" s="1"/>
  <c r="F30" i="88"/>
  <c r="F20" i="88"/>
  <c r="F19" i="88"/>
  <c r="F33" i="88"/>
  <c r="Q33" i="88" s="1"/>
  <c r="F4" i="88"/>
  <c r="F18" i="88"/>
  <c r="F8" i="88"/>
  <c r="F14" i="88"/>
  <c r="F28" i="88"/>
  <c r="F23" i="88"/>
  <c r="F27" i="88"/>
  <c r="Q27" i="88" s="1"/>
  <c r="N349" i="81"/>
  <c r="F7" i="88"/>
  <c r="N194" i="81"/>
  <c r="F10" i="88"/>
  <c r="F15" i="88"/>
  <c r="F24" i="88"/>
  <c r="F12" i="88"/>
  <c r="F16" i="88"/>
  <c r="F6" i="88"/>
  <c r="F32" i="88"/>
  <c r="Q32" i="88" s="1"/>
  <c r="F31" i="88"/>
  <c r="Q31" i="88" s="1"/>
  <c r="F9" i="88"/>
  <c r="F5" i="88"/>
  <c r="F13" i="88"/>
  <c r="F26" i="88"/>
  <c r="Q26" i="88" s="1"/>
  <c r="N378" i="81"/>
  <c r="N57" i="81"/>
  <c r="N71" i="81"/>
  <c r="N335" i="81"/>
  <c r="N251" i="81"/>
  <c r="N209" i="81"/>
  <c r="N237" i="81"/>
  <c r="N98" i="81"/>
  <c r="N279" i="81"/>
  <c r="N166" i="81"/>
  <c r="N363" i="81"/>
  <c r="N223" i="81"/>
  <c r="N321" i="81"/>
  <c r="N138" i="81"/>
  <c r="N265" i="81"/>
  <c r="N18" i="81"/>
  <c r="N124" i="81"/>
  <c r="N307" i="81"/>
  <c r="N44" i="81"/>
  <c r="N85" i="81"/>
  <c r="N152" i="81"/>
  <c r="N180" i="81"/>
  <c r="N111" i="81"/>
  <c r="N31" i="81"/>
  <c r="N293" i="81"/>
  <c r="P98" i="81"/>
  <c r="P85" i="81"/>
  <c r="P166" i="81"/>
  <c r="N174" i="81" s="1"/>
  <c r="O173" i="81" s="1"/>
  <c r="P363" i="81"/>
  <c r="N371" i="81" s="1"/>
  <c r="P31" i="81"/>
  <c r="P335" i="81"/>
  <c r="N343" i="81" s="1"/>
  <c r="O342" i="81" s="1"/>
  <c r="P180" i="81"/>
  <c r="P251" i="81"/>
  <c r="P111" i="81"/>
  <c r="P138" i="81"/>
  <c r="P307" i="81"/>
  <c r="N315" i="81" s="1"/>
  <c r="P152" i="81"/>
  <c r="P265" i="81"/>
  <c r="P223" i="81"/>
  <c r="P71" i="81"/>
  <c r="N79" i="81" s="1"/>
  <c r="O78" i="81" s="1"/>
  <c r="P209" i="81"/>
  <c r="P237" i="81"/>
  <c r="P18" i="81"/>
  <c r="N26" i="81" s="1"/>
  <c r="O25" i="81" s="1"/>
  <c r="P378" i="81"/>
  <c r="N386" i="81" s="1"/>
  <c r="P194" i="81"/>
  <c r="N202" i="81" s="1"/>
  <c r="O201" i="81" s="1"/>
  <c r="P279" i="81"/>
  <c r="N287" i="81" s="1"/>
  <c r="O286" i="81" s="1"/>
  <c r="P349" i="81"/>
  <c r="N357" i="81" s="1"/>
  <c r="O356" i="81" s="1"/>
  <c r="P321" i="81"/>
  <c r="N329" i="81" s="1"/>
  <c r="O328" i="81" s="1"/>
  <c r="P124" i="81"/>
  <c r="N132" i="81" s="1"/>
  <c r="O131" i="81" s="1"/>
  <c r="P57" i="81"/>
  <c r="N65" i="81" s="1"/>
  <c r="O64" i="81" s="1"/>
  <c r="P44" i="81"/>
  <c r="P293" i="81"/>
  <c r="N106" i="81"/>
  <c r="O105" i="81" s="1"/>
  <c r="BQ64" i="82"/>
  <c r="BQ63" i="82"/>
  <c r="BQ62" i="82"/>
  <c r="BQ61" i="82"/>
  <c r="BQ60" i="82"/>
  <c r="BQ59" i="82"/>
  <c r="BQ58" i="82"/>
  <c r="BQ57" i="82"/>
  <c r="BQ56" i="82"/>
  <c r="BQ55" i="82"/>
  <c r="BQ54" i="82"/>
  <c r="BQ53" i="82"/>
  <c r="BQ52" i="82"/>
  <c r="BQ51" i="82"/>
  <c r="BQ50" i="82"/>
  <c r="E19" i="88"/>
  <c r="E20" i="88"/>
  <c r="E21" i="88"/>
  <c r="E22" i="88"/>
  <c r="E23" i="88"/>
  <c r="Q28" i="88" l="1"/>
  <c r="Q30" i="88"/>
  <c r="N301" i="81"/>
  <c r="O300" i="81" s="1"/>
  <c r="N160" i="81"/>
  <c r="O159" i="81" s="1"/>
  <c r="N52" i="81"/>
  <c r="O51" i="81" s="1"/>
  <c r="N119" i="81"/>
  <c r="O118" i="81" s="1"/>
  <c r="N93" i="81"/>
  <c r="O92" i="81" s="1"/>
  <c r="N39" i="81"/>
  <c r="N188" i="81"/>
  <c r="O187" i="81" s="1"/>
  <c r="N146" i="81"/>
  <c r="O145" i="81" s="1"/>
  <c r="O385" i="81"/>
  <c r="O370" i="81"/>
  <c r="O314" i="81"/>
  <c r="BY57" i="82"/>
  <c r="CA57" i="82" s="1"/>
  <c r="BU57" i="82"/>
  <c r="BY54" i="82"/>
  <c r="CA54" i="82" s="1"/>
  <c r="BU54" i="82"/>
  <c r="BY62" i="82"/>
  <c r="CA62" i="82" s="1"/>
  <c r="BU62" i="82"/>
  <c r="BY53" i="82"/>
  <c r="CA53" i="82" s="1"/>
  <c r="BU53" i="82"/>
  <c r="BY63" i="82"/>
  <c r="CA63" i="82" s="1"/>
  <c r="BU63" i="82"/>
  <c r="BY61" i="82"/>
  <c r="CA61" i="82" s="1"/>
  <c r="BU61" i="82"/>
  <c r="BY50" i="82"/>
  <c r="CA50" i="82" s="1"/>
  <c r="BU50" i="82"/>
  <c r="BY58" i="82"/>
  <c r="CA58" i="82" s="1"/>
  <c r="BU58" i="82"/>
  <c r="BY51" i="82"/>
  <c r="CA51" i="82" s="1"/>
  <c r="BU51" i="82"/>
  <c r="BY55" i="82"/>
  <c r="CA55" i="82" s="1"/>
  <c r="BU55" i="82"/>
  <c r="BY59" i="82"/>
  <c r="CA59" i="82" s="1"/>
  <c r="BU59" i="82"/>
  <c r="BY52" i="82"/>
  <c r="CA52" i="82" s="1"/>
  <c r="BU52" i="82"/>
  <c r="BY56" i="82"/>
  <c r="CA56" i="82" s="1"/>
  <c r="BU56" i="82"/>
  <c r="BY60" i="82"/>
  <c r="CA60" i="82" s="1"/>
  <c r="BU60" i="82"/>
  <c r="BY64" i="82"/>
  <c r="CA64" i="82" s="1"/>
  <c r="BU64" i="82"/>
  <c r="AO7" i="89"/>
  <c r="AK7" i="89"/>
  <c r="AB23" i="89"/>
  <c r="AB24" i="89"/>
  <c r="AB25" i="89"/>
  <c r="AB26" i="89"/>
  <c r="AB27" i="89"/>
  <c r="I21" i="82"/>
  <c r="K21" i="82"/>
  <c r="I22" i="82"/>
  <c r="K22" i="82"/>
  <c r="AF16" i="103" s="1"/>
  <c r="N21" i="88" s="1"/>
  <c r="I23" i="82"/>
  <c r="K23" i="82"/>
  <c r="AF17" i="103" s="1"/>
  <c r="N22" i="88" s="1"/>
  <c r="I24" i="82"/>
  <c r="K24" i="82"/>
  <c r="AF18" i="103" s="1"/>
  <c r="N23" i="88" s="1"/>
  <c r="I25" i="82"/>
  <c r="K25" i="82"/>
  <c r="AF19" i="103" s="1"/>
  <c r="N24" i="88" s="1"/>
  <c r="U2" i="89"/>
  <c r="O38" i="81" l="1"/>
  <c r="T39" i="81"/>
  <c r="T37" i="81"/>
  <c r="T38" i="81"/>
  <c r="T40" i="81"/>
  <c r="T36" i="81"/>
  <c r="Z11" i="88"/>
  <c r="AI120" i="95" s="1"/>
  <c r="Z12" i="88"/>
  <c r="AI147" i="95" s="1"/>
  <c r="AN147" i="95" s="1"/>
  <c r="DU50" i="82"/>
  <c r="DN50" i="82" s="1"/>
  <c r="DU51" i="82"/>
  <c r="DN51" i="82" s="1"/>
  <c r="DU52" i="82"/>
  <c r="DN52" i="82" s="1"/>
  <c r="DU63" i="82"/>
  <c r="DN63" i="82" s="1"/>
  <c r="DU64" i="82"/>
  <c r="DN64" i="82" s="1"/>
  <c r="DU62" i="82"/>
  <c r="DN62" i="82" s="1"/>
  <c r="DU58" i="82"/>
  <c r="DN58" i="82" s="1"/>
  <c r="DU56" i="82"/>
  <c r="DN56" i="82" s="1"/>
  <c r="DU57" i="82"/>
  <c r="DN57" i="82" s="1"/>
  <c r="DU61" i="82"/>
  <c r="DN61" i="82" s="1"/>
  <c r="DU59" i="82"/>
  <c r="DN59" i="82" s="1"/>
  <c r="DU60" i="82"/>
  <c r="DN60" i="82" s="1"/>
  <c r="DU53" i="82"/>
  <c r="DN53" i="82" s="1"/>
  <c r="DU54" i="82"/>
  <c r="DN54" i="82" s="1"/>
  <c r="DU55" i="82"/>
  <c r="DN55" i="82" s="1"/>
  <c r="AB127" i="89"/>
  <c r="AB129" i="89"/>
  <c r="AB126" i="89"/>
  <c r="AB128" i="89"/>
  <c r="AB123" i="89"/>
  <c r="AB125" i="89"/>
  <c r="AB124" i="89"/>
  <c r="AB122" i="89"/>
  <c r="AB119" i="89"/>
  <c r="AB121" i="89"/>
  <c r="AB120" i="89"/>
  <c r="AB118" i="89"/>
  <c r="AB131" i="89"/>
  <c r="AB133" i="89"/>
  <c r="AB130" i="89"/>
  <c r="AB132" i="89"/>
  <c r="AB115" i="89"/>
  <c r="AB117" i="89"/>
  <c r="AB116" i="89"/>
  <c r="AB114" i="89"/>
  <c r="AM25" i="82"/>
  <c r="I24" i="88" s="1"/>
  <c r="Q24" i="88" s="1"/>
  <c r="Y25" i="82"/>
  <c r="G23" i="88" s="1"/>
  <c r="AK25" i="82"/>
  <c r="AK23" i="82"/>
  <c r="AM23" i="82"/>
  <c r="I22" i="88" s="1"/>
  <c r="Y23" i="82"/>
  <c r="G21" i="88" s="1"/>
  <c r="AM21" i="82"/>
  <c r="I20" i="88" s="1"/>
  <c r="Y21" i="82"/>
  <c r="G19" i="88" s="1"/>
  <c r="AK21" i="82"/>
  <c r="AT81" i="82"/>
  <c r="AT82" i="82"/>
  <c r="AT83" i="82"/>
  <c r="AT84" i="82"/>
  <c r="AT73" i="82"/>
  <c r="AT76" i="82"/>
  <c r="AT75" i="82"/>
  <c r="AT74" i="82"/>
  <c r="AT65" i="82"/>
  <c r="AT68" i="82"/>
  <c r="AT66" i="82"/>
  <c r="AT67" i="82"/>
  <c r="Y24" i="82"/>
  <c r="G22" i="88" s="1"/>
  <c r="AK24" i="82"/>
  <c r="AM24" i="82"/>
  <c r="I23" i="88" s="1"/>
  <c r="AM22" i="82"/>
  <c r="I21" i="88" s="1"/>
  <c r="Y22" i="82"/>
  <c r="G20" i="88" s="1"/>
  <c r="AK22" i="82"/>
  <c r="AT79" i="82"/>
  <c r="AT78" i="82"/>
  <c r="AT80" i="82"/>
  <c r="AT77" i="82"/>
  <c r="AT69" i="82"/>
  <c r="AT72" i="82"/>
  <c r="AT71" i="82"/>
  <c r="AT70" i="82"/>
  <c r="W22" i="82"/>
  <c r="AA23" i="89"/>
  <c r="W21" i="82"/>
  <c r="L26" i="82"/>
  <c r="AU87" i="82" s="1"/>
  <c r="W25" i="82"/>
  <c r="W24" i="82"/>
  <c r="W23" i="82"/>
  <c r="L25" i="82"/>
  <c r="AU81" i="82" s="1"/>
  <c r="L23" i="82"/>
  <c r="AU73" i="82" s="1"/>
  <c r="AA27" i="89"/>
  <c r="AA25" i="89"/>
  <c r="L24" i="82"/>
  <c r="AU77" i="82" s="1"/>
  <c r="L22" i="82"/>
  <c r="AU72" i="82" s="1"/>
  <c r="AA26" i="89"/>
  <c r="AA24" i="89"/>
  <c r="N13" i="81"/>
  <c r="AM11" i="88" l="1"/>
  <c r="AR11" i="88"/>
  <c r="AT11" i="88"/>
  <c r="EB11" i="98" s="1"/>
  <c r="EC11" i="98" s="1"/>
  <c r="AI130" i="95"/>
  <c r="AM130" i="95" s="1"/>
  <c r="AI139" i="95"/>
  <c r="AP11" i="88"/>
  <c r="O12" i="81"/>
  <c r="AS11" i="88"/>
  <c r="AI128" i="95"/>
  <c r="AM128" i="95" s="1"/>
  <c r="AO11" i="88"/>
  <c r="AT13" i="89" s="1"/>
  <c r="BN47" i="89" s="1"/>
  <c r="AI129" i="95"/>
  <c r="AI116" i="95"/>
  <c r="AL116" i="95" s="1"/>
  <c r="AI140" i="95"/>
  <c r="AL140" i="95" s="1"/>
  <c r="AI138" i="95"/>
  <c r="AN138" i="95" s="1"/>
  <c r="AI136" i="95"/>
  <c r="AI122" i="95"/>
  <c r="AN122" i="95" s="1"/>
  <c r="AQ11" i="88"/>
  <c r="AI127" i="95"/>
  <c r="AN127" i="95" s="1"/>
  <c r="AI126" i="95"/>
  <c r="AN11" i="88"/>
  <c r="CZ22" i="89" s="1"/>
  <c r="AI123" i="95"/>
  <c r="AM123" i="95" s="1"/>
  <c r="AI134" i="95"/>
  <c r="AL134" i="95" s="1"/>
  <c r="AI133" i="95"/>
  <c r="AI131" i="95"/>
  <c r="AM131" i="95" s="1"/>
  <c r="AU11" i="88"/>
  <c r="AR11" i="103" s="1"/>
  <c r="AT11" i="103" s="1"/>
  <c r="AI124" i="95"/>
  <c r="AL124" i="95" s="1"/>
  <c r="AV11" i="88"/>
  <c r="AI119" i="95"/>
  <c r="AK119" i="95" s="1"/>
  <c r="AI132" i="95"/>
  <c r="AL132" i="95" s="1"/>
  <c r="AI121" i="95"/>
  <c r="AL121" i="95" s="1"/>
  <c r="AI117" i="95"/>
  <c r="AI135" i="95"/>
  <c r="AN135" i="95" s="1"/>
  <c r="AI125" i="95"/>
  <c r="AM125" i="95" s="1"/>
  <c r="AI137" i="95"/>
  <c r="AL137" i="95" s="1"/>
  <c r="AI118" i="95"/>
  <c r="AL118" i="95" s="1"/>
  <c r="AM147" i="95"/>
  <c r="AL147" i="95"/>
  <c r="AK147" i="95"/>
  <c r="AI149" i="95"/>
  <c r="AR12" i="88"/>
  <c r="AI153" i="95"/>
  <c r="AL153" i="95" s="1"/>
  <c r="AI150" i="95"/>
  <c r="AL150" i="95" s="1"/>
  <c r="AI152" i="95"/>
  <c r="AN152" i="95" s="1"/>
  <c r="AV12" i="88"/>
  <c r="AI148" i="95"/>
  <c r="AK148" i="95" s="1"/>
  <c r="AS12" i="88"/>
  <c r="AM12" i="88"/>
  <c r="AI144" i="95"/>
  <c r="AI142" i="95"/>
  <c r="AM142" i="95" s="1"/>
  <c r="AP12" i="88"/>
  <c r="AT12" i="88"/>
  <c r="AO12" i="88"/>
  <c r="AT14" i="89" s="1"/>
  <c r="BN56" i="89" s="1"/>
  <c r="V55" i="90" s="1"/>
  <c r="AI154" i="95"/>
  <c r="AM154" i="95" s="1"/>
  <c r="AI151" i="95"/>
  <c r="AN151" i="95" s="1"/>
  <c r="AI141" i="95"/>
  <c r="AL141" i="95" s="1"/>
  <c r="AI145" i="95"/>
  <c r="AL145" i="95" s="1"/>
  <c r="AK153" i="95"/>
  <c r="AU12" i="88"/>
  <c r="AQ12" i="88"/>
  <c r="AI143" i="95"/>
  <c r="AK143" i="95" s="1"/>
  <c r="AN12" i="88"/>
  <c r="AI155" i="95"/>
  <c r="AM155" i="95" s="1"/>
  <c r="AI146" i="95"/>
  <c r="AM146" i="95" s="1"/>
  <c r="AN144" i="95"/>
  <c r="BN52" i="89"/>
  <c r="V51" i="90" s="1"/>
  <c r="AN128" i="95"/>
  <c r="AK128" i="95"/>
  <c r="AK118" i="95"/>
  <c r="AM118" i="95"/>
  <c r="AK120" i="95"/>
  <c r="AM120" i="95"/>
  <c r="AL120" i="95"/>
  <c r="AN120" i="95"/>
  <c r="AM129" i="95"/>
  <c r="AL129" i="95"/>
  <c r="AN129" i="95"/>
  <c r="AK129" i="95"/>
  <c r="AM139" i="95"/>
  <c r="AL139" i="95"/>
  <c r="AK139" i="95"/>
  <c r="AN139" i="95"/>
  <c r="AM116" i="95"/>
  <c r="AK140" i="95"/>
  <c r="AM140" i="95"/>
  <c r="AM136" i="95"/>
  <c r="AK136" i="95"/>
  <c r="AN136" i="95"/>
  <c r="AL136" i="95"/>
  <c r="AL122" i="95"/>
  <c r="AL126" i="95"/>
  <c r="AM126" i="95"/>
  <c r="AK126" i="95"/>
  <c r="AN126" i="95"/>
  <c r="AN123" i="95"/>
  <c r="AL123" i="95"/>
  <c r="AN133" i="95"/>
  <c r="AL133" i="95"/>
  <c r="AK133" i="95"/>
  <c r="AM133" i="95"/>
  <c r="AK131" i="95"/>
  <c r="AM119" i="95"/>
  <c r="AN132" i="95"/>
  <c r="AK117" i="95"/>
  <c r="AM117" i="95"/>
  <c r="AN117" i="95"/>
  <c r="AL117" i="95"/>
  <c r="AL135" i="95"/>
  <c r="AA119" i="89"/>
  <c r="AA121" i="89"/>
  <c r="AA118" i="89"/>
  <c r="AA120" i="89"/>
  <c r="AA127" i="89"/>
  <c r="AA129" i="89"/>
  <c r="AA126" i="89"/>
  <c r="AA128" i="89"/>
  <c r="AA115" i="89"/>
  <c r="AA117" i="89"/>
  <c r="AA116" i="89"/>
  <c r="AA114" i="89"/>
  <c r="AA123" i="89"/>
  <c r="AA125" i="89"/>
  <c r="AA122" i="89"/>
  <c r="AA124" i="89"/>
  <c r="AA131" i="89"/>
  <c r="AA133" i="89"/>
  <c r="AA132" i="89"/>
  <c r="AA130" i="89"/>
  <c r="BC178" i="82"/>
  <c r="BC177" i="82"/>
  <c r="BC175" i="82"/>
  <c r="BC181" i="82"/>
  <c r="BC184" i="82"/>
  <c r="BC179" i="82"/>
  <c r="BC176" i="82"/>
  <c r="BC180" i="82"/>
  <c r="BC183" i="82"/>
  <c r="BC182" i="82"/>
  <c r="BC164" i="82"/>
  <c r="BC162" i="82"/>
  <c r="BC161" i="82"/>
  <c r="BC157" i="82"/>
  <c r="BC163" i="82"/>
  <c r="BC156" i="82"/>
  <c r="BC158" i="82"/>
  <c r="BC159" i="82"/>
  <c r="BC160" i="82"/>
  <c r="BC155" i="82"/>
  <c r="AU75" i="82"/>
  <c r="AU83" i="82"/>
  <c r="AU70" i="82"/>
  <c r="AU79" i="82"/>
  <c r="BK175" i="82"/>
  <c r="BK178" i="82"/>
  <c r="BK180" i="82"/>
  <c r="BK176" i="82"/>
  <c r="BK179" i="82"/>
  <c r="BK184" i="82"/>
  <c r="BK183" i="82"/>
  <c r="BK181" i="82"/>
  <c r="BK177" i="82"/>
  <c r="BK182" i="82"/>
  <c r="AU85" i="82"/>
  <c r="BC189" i="82"/>
  <c r="BC188" i="82"/>
  <c r="BC190" i="82"/>
  <c r="BC193" i="82"/>
  <c r="BC187" i="82"/>
  <c r="BC192" i="82"/>
  <c r="BC186" i="82"/>
  <c r="BC191" i="82"/>
  <c r="BC185" i="82"/>
  <c r="BC194" i="82"/>
  <c r="AU74" i="82"/>
  <c r="BK167" i="82"/>
  <c r="BK174" i="82"/>
  <c r="BK169" i="82"/>
  <c r="BK171" i="82"/>
  <c r="BK173" i="82"/>
  <c r="BK170" i="82"/>
  <c r="BK168" i="82"/>
  <c r="BK172" i="82"/>
  <c r="BK166" i="82"/>
  <c r="BK165" i="82"/>
  <c r="AU82" i="82"/>
  <c r="BK194" i="82"/>
  <c r="BK189" i="82"/>
  <c r="BK187" i="82"/>
  <c r="BK190" i="82"/>
  <c r="BK191" i="82"/>
  <c r="BK188" i="82"/>
  <c r="BK185" i="82"/>
  <c r="BK186" i="82"/>
  <c r="BK192" i="82"/>
  <c r="BK193" i="82"/>
  <c r="AU71" i="82"/>
  <c r="AU78" i="82"/>
  <c r="AU88" i="82"/>
  <c r="BK199" i="82"/>
  <c r="BK201" i="82"/>
  <c r="BK197" i="82"/>
  <c r="BK203" i="82"/>
  <c r="BK195" i="82"/>
  <c r="BK204" i="82"/>
  <c r="BK202" i="82"/>
  <c r="BK200" i="82"/>
  <c r="BK196" i="82"/>
  <c r="BK198" i="82"/>
  <c r="BC198" i="82"/>
  <c r="BC202" i="82"/>
  <c r="BC204" i="82"/>
  <c r="BC197" i="82"/>
  <c r="BC195" i="82"/>
  <c r="BC201" i="82"/>
  <c r="BC203" i="82"/>
  <c r="BC199" i="82"/>
  <c r="BC200" i="82"/>
  <c r="BC196" i="82"/>
  <c r="BC165" i="82"/>
  <c r="BC168" i="82"/>
  <c r="BC171" i="82"/>
  <c r="BC170" i="82"/>
  <c r="BC174" i="82"/>
  <c r="BC167" i="82"/>
  <c r="BC169" i="82"/>
  <c r="BC166" i="82"/>
  <c r="BC173" i="82"/>
  <c r="BC172" i="82"/>
  <c r="AU76" i="82"/>
  <c r="AU84" i="82"/>
  <c r="AU69" i="82"/>
  <c r="AU80" i="82"/>
  <c r="AU86" i="82"/>
  <c r="BK160" i="82"/>
  <c r="BK155" i="82"/>
  <c r="BK159" i="82"/>
  <c r="BK157" i="82"/>
  <c r="BK158" i="82"/>
  <c r="BK163" i="82"/>
  <c r="BK156" i="82"/>
  <c r="BK162" i="82"/>
  <c r="BK161" i="82"/>
  <c r="BK164" i="82"/>
  <c r="AH7" i="89"/>
  <c r="AI7" i="89"/>
  <c r="AJ7" i="89"/>
  <c r="AL7" i="89"/>
  <c r="AM7" i="89"/>
  <c r="AN7" i="89"/>
  <c r="AG7" i="89"/>
  <c r="AN116" i="95" l="1"/>
  <c r="AK135" i="95"/>
  <c r="AN119" i="95"/>
  <c r="AN131" i="95"/>
  <c r="CZ24" i="89"/>
  <c r="AM122" i="95"/>
  <c r="AM135" i="95"/>
  <c r="AL119" i="95"/>
  <c r="AL131" i="95"/>
  <c r="CZ23" i="89"/>
  <c r="AK122" i="95"/>
  <c r="AK116" i="95"/>
  <c r="AN118" i="95"/>
  <c r="AN145" i="95"/>
  <c r="BN54" i="89"/>
  <c r="AU11" i="103"/>
  <c r="AV11" i="103"/>
  <c r="AK132" i="95"/>
  <c r="AW11" i="103"/>
  <c r="AL125" i="95"/>
  <c r="AM132" i="95"/>
  <c r="AS11" i="103"/>
  <c r="AK123" i="95"/>
  <c r="AN140" i="95"/>
  <c r="AN125" i="95"/>
  <c r="AL128" i="95"/>
  <c r="AM150" i="95"/>
  <c r="BN48" i="89"/>
  <c r="AK1035" i="90" s="1"/>
  <c r="AK125" i="95"/>
  <c r="AN134" i="95"/>
  <c r="AL127" i="95"/>
  <c r="BN51" i="89"/>
  <c r="U50" i="90" s="1"/>
  <c r="AK1091" i="90"/>
  <c r="AK121" i="95"/>
  <c r="AK138" i="95"/>
  <c r="AN130" i="95"/>
  <c r="AK151" i="95"/>
  <c r="AK1195" i="90"/>
  <c r="AM124" i="95"/>
  <c r="BN45" i="89"/>
  <c r="AK356" i="90" s="1"/>
  <c r="AK137" i="95"/>
  <c r="AN121" i="95"/>
  <c r="AN124" i="95"/>
  <c r="AK134" i="95"/>
  <c r="AM127" i="95"/>
  <c r="AL138" i="95"/>
  <c r="BN43" i="89"/>
  <c r="AK302" i="90" s="1"/>
  <c r="BN50" i="89"/>
  <c r="CH50" i="89" s="1"/>
  <c r="AK130" i="95"/>
  <c r="AM137" i="95"/>
  <c r="AM151" i="95"/>
  <c r="AK1459" i="90"/>
  <c r="AM121" i="95"/>
  <c r="AK124" i="95"/>
  <c r="AM134" i="95"/>
  <c r="AK127" i="95"/>
  <c r="AM138" i="95"/>
  <c r="BN44" i="89"/>
  <c r="AK615" i="90" s="1"/>
  <c r="BN46" i="89"/>
  <c r="CH46" i="89" s="1"/>
  <c r="AL130" i="95"/>
  <c r="AN137" i="95"/>
  <c r="AN148" i="95"/>
  <c r="AK1355" i="90"/>
  <c r="BN49" i="89"/>
  <c r="CH49" i="89" s="1"/>
  <c r="AL151" i="95"/>
  <c r="AL154" i="95"/>
  <c r="AN154" i="95"/>
  <c r="AL142" i="95"/>
  <c r="AK259" i="90"/>
  <c r="AK363" i="90"/>
  <c r="AK627" i="90"/>
  <c r="AK523" i="90"/>
  <c r="AM141" i="95"/>
  <c r="AK1247" i="90"/>
  <c r="AK1143" i="90"/>
  <c r="AK1303" i="90"/>
  <c r="AK1407" i="90"/>
  <c r="CH56" i="89"/>
  <c r="AK415" i="90"/>
  <c r="AK311" i="90"/>
  <c r="AK471" i="90"/>
  <c r="AK575" i="90"/>
  <c r="AK1299" i="90"/>
  <c r="AK467" i="90"/>
  <c r="AK1455" i="90"/>
  <c r="AK623" i="90"/>
  <c r="AK1403" i="90"/>
  <c r="AK571" i="90"/>
  <c r="AK1351" i="90"/>
  <c r="AK519" i="90"/>
  <c r="CH52" i="89"/>
  <c r="AK883" i="90"/>
  <c r="AK51" i="90"/>
  <c r="AK1039" i="90"/>
  <c r="AK207" i="90"/>
  <c r="AK987" i="90"/>
  <c r="AK155" i="90"/>
  <c r="AK935" i="90"/>
  <c r="AK103" i="90"/>
  <c r="AN146" i="95"/>
  <c r="AK675" i="90"/>
  <c r="U51" i="90"/>
  <c r="AK831" i="90"/>
  <c r="W51" i="90"/>
  <c r="AK779" i="90"/>
  <c r="X51" i="90"/>
  <c r="AK727" i="90"/>
  <c r="AL149" i="95"/>
  <c r="AN149" i="95"/>
  <c r="AK1093" i="90"/>
  <c r="AK1197" i="90"/>
  <c r="AK152" i="95"/>
  <c r="AM152" i="95"/>
  <c r="AM149" i="95"/>
  <c r="AK261" i="90"/>
  <c r="AK365" i="90"/>
  <c r="AK149" i="95"/>
  <c r="AK1249" i="90"/>
  <c r="AK1145" i="90"/>
  <c r="AL152" i="95"/>
  <c r="AK150" i="95"/>
  <c r="AN150" i="95"/>
  <c r="AN153" i="95"/>
  <c r="AM153" i="95"/>
  <c r="AM148" i="95"/>
  <c r="AL148" i="95"/>
  <c r="AK145" i="95"/>
  <c r="AM145" i="95"/>
  <c r="BN57" i="89"/>
  <c r="BN55" i="89"/>
  <c r="AL144" i="95"/>
  <c r="AK144" i="95"/>
  <c r="BN53" i="89"/>
  <c r="CH53" i="89" s="1"/>
  <c r="AK154" i="95"/>
  <c r="AK142" i="95"/>
  <c r="AN142" i="95"/>
  <c r="AM144" i="95"/>
  <c r="AN141" i="95"/>
  <c r="AK141" i="95"/>
  <c r="EB12" i="98"/>
  <c r="EC12" i="98" s="1"/>
  <c r="EB13" i="98"/>
  <c r="EC13" i="98" s="1"/>
  <c r="CZ25" i="89"/>
  <c r="CZ26" i="89"/>
  <c r="AK885" i="90"/>
  <c r="AK1041" i="90"/>
  <c r="AK157" i="90"/>
  <c r="AK105" i="90"/>
  <c r="AK263" i="90"/>
  <c r="AK419" i="90"/>
  <c r="AK367" i="90"/>
  <c r="AK315" i="90"/>
  <c r="AK677" i="90"/>
  <c r="U53" i="90"/>
  <c r="AK833" i="90"/>
  <c r="W53" i="90"/>
  <c r="AK781" i="90"/>
  <c r="X53" i="90"/>
  <c r="AK729" i="90"/>
  <c r="V53" i="90"/>
  <c r="AK887" i="90"/>
  <c r="AK55" i="90"/>
  <c r="AK1043" i="90"/>
  <c r="AK211" i="90"/>
  <c r="AK991" i="90"/>
  <c r="AK159" i="90"/>
  <c r="AK939" i="90"/>
  <c r="AK107" i="90"/>
  <c r="AN143" i="95"/>
  <c r="AM143" i="95"/>
  <c r="AL155" i="95"/>
  <c r="AN155" i="95"/>
  <c r="AK53" i="90"/>
  <c r="AK209" i="90"/>
  <c r="AK989" i="90"/>
  <c r="AK937" i="90"/>
  <c r="AK1095" i="90"/>
  <c r="AK1251" i="90"/>
  <c r="AK1199" i="90"/>
  <c r="AK1147" i="90"/>
  <c r="AK155" i="95"/>
  <c r="AK1301" i="90"/>
  <c r="AK469" i="90"/>
  <c r="AK1457" i="90"/>
  <c r="AK625" i="90"/>
  <c r="AK1405" i="90"/>
  <c r="AK573" i="90"/>
  <c r="AK1353" i="90"/>
  <c r="AK521" i="90"/>
  <c r="AK679" i="90"/>
  <c r="U55" i="90"/>
  <c r="AK835" i="90"/>
  <c r="W55" i="90"/>
  <c r="AK783" i="90"/>
  <c r="X55" i="90"/>
  <c r="AK731" i="90"/>
  <c r="AL143" i="95"/>
  <c r="AL146" i="95"/>
  <c r="AK146" i="95"/>
  <c r="BJ107" i="103"/>
  <c r="BJ89" i="103"/>
  <c r="BJ113" i="103"/>
  <c r="BJ17" i="103"/>
  <c r="BJ101" i="103"/>
  <c r="BA22" i="90"/>
  <c r="BA142" i="90"/>
  <c r="BA302" i="90"/>
  <c r="BA462" i="90"/>
  <c r="BA162" i="90"/>
  <c r="BA322" i="90"/>
  <c r="BA482" i="90"/>
  <c r="BA62" i="90"/>
  <c r="BA222" i="90"/>
  <c r="BA382" i="90"/>
  <c r="BA542" i="90"/>
  <c r="BA82" i="90"/>
  <c r="BA242" i="90"/>
  <c r="BA402" i="90"/>
  <c r="BA562" i="90"/>
  <c r="BA442" i="90"/>
  <c r="BA122" i="90"/>
  <c r="BA422" i="90"/>
  <c r="BA102" i="90"/>
  <c r="BA282" i="90"/>
  <c r="BA362" i="90"/>
  <c r="BA42" i="90"/>
  <c r="BA342" i="90"/>
  <c r="BA262" i="90"/>
  <c r="BA522" i="90"/>
  <c r="BA502" i="90"/>
  <c r="BA202" i="90"/>
  <c r="BA182" i="90"/>
  <c r="AK406" i="90"/>
  <c r="W42" i="90"/>
  <c r="AK1446" i="90"/>
  <c r="BJ77" i="103"/>
  <c r="BJ53" i="103"/>
  <c r="BJ95" i="103"/>
  <c r="BJ29" i="103"/>
  <c r="BJ125" i="103"/>
  <c r="BA41" i="90"/>
  <c r="BA341" i="90"/>
  <c r="BA181" i="90"/>
  <c r="BA481" i="90"/>
  <c r="BA161" i="90"/>
  <c r="BA381" i="90"/>
  <c r="BA61" i="90"/>
  <c r="BA361" i="90"/>
  <c r="BA101" i="90"/>
  <c r="BA21" i="90"/>
  <c r="BA401" i="90"/>
  <c r="BA81" i="90"/>
  <c r="BA301" i="90"/>
  <c r="BA281" i="90"/>
  <c r="BA421" i="90"/>
  <c r="BA321" i="90"/>
  <c r="BA221" i="90"/>
  <c r="BA201" i="90"/>
  <c r="BA441" i="90"/>
  <c r="BA501" i="90"/>
  <c r="BA561" i="90"/>
  <c r="BA241" i="90"/>
  <c r="BA141" i="90"/>
  <c r="BA121" i="90"/>
  <c r="BA261" i="90"/>
  <c r="BA521" i="90"/>
  <c r="BA541" i="90"/>
  <c r="BA461" i="90"/>
  <c r="CH44" i="89"/>
  <c r="V45" i="90"/>
  <c r="AK669" i="90"/>
  <c r="AK149" i="90"/>
  <c r="AK97" i="90"/>
  <c r="BJ59" i="103"/>
  <c r="BJ65" i="103"/>
  <c r="BJ47" i="103"/>
  <c r="BJ131" i="103"/>
  <c r="BA20" i="90"/>
  <c r="BA100" i="90"/>
  <c r="BA180" i="90"/>
  <c r="BA260" i="90"/>
  <c r="BA340" i="90"/>
  <c r="BA420" i="90"/>
  <c r="BA500" i="90"/>
  <c r="BA40" i="90"/>
  <c r="BA120" i="90"/>
  <c r="BA200" i="90"/>
  <c r="BA280" i="90"/>
  <c r="BA360" i="90"/>
  <c r="BA440" i="90"/>
  <c r="BA520" i="90"/>
  <c r="BA160" i="90"/>
  <c r="BA480" i="90"/>
  <c r="BA60" i="90"/>
  <c r="BA140" i="90"/>
  <c r="BA220" i="90"/>
  <c r="BA300" i="90"/>
  <c r="BA380" i="90"/>
  <c r="BA460" i="90"/>
  <c r="BA540" i="90"/>
  <c r="BA320" i="90"/>
  <c r="BA560" i="90"/>
  <c r="BA80" i="90"/>
  <c r="BA240" i="90"/>
  <c r="BA400" i="90"/>
  <c r="CH47" i="89"/>
  <c r="V46" i="90"/>
  <c r="AK878" i="90"/>
  <c r="AK774" i="90"/>
  <c r="AK826" i="90"/>
  <c r="AK1450" i="90"/>
  <c r="AK150" i="90"/>
  <c r="AK514" i="90"/>
  <c r="AK618" i="90"/>
  <c r="AK1346" i="90"/>
  <c r="AK930" i="90"/>
  <c r="AK306" i="90"/>
  <c r="AK98" i="90"/>
  <c r="AK202" i="90"/>
  <c r="AK462" i="90"/>
  <c r="U46" i="90"/>
  <c r="AK1398" i="90"/>
  <c r="X46" i="90"/>
  <c r="AK410" i="90"/>
  <c r="AK1294" i="90"/>
  <c r="AK1138" i="90"/>
  <c r="AK254" i="90"/>
  <c r="AK358" i="90"/>
  <c r="AK1190" i="90"/>
  <c r="AK1242" i="90"/>
  <c r="AK722" i="90"/>
  <c r="AK1034" i="90"/>
  <c r="AK1086" i="90"/>
  <c r="AK566" i="90"/>
  <c r="AK670" i="90"/>
  <c r="AK982" i="90"/>
  <c r="W46" i="90"/>
  <c r="AK46" i="90"/>
  <c r="BJ23" i="103"/>
  <c r="BJ41" i="103"/>
  <c r="BJ83" i="103"/>
  <c r="BJ119" i="103"/>
  <c r="BJ71" i="103"/>
  <c r="BJ35" i="103"/>
  <c r="BJ11" i="103"/>
  <c r="AK824" i="90"/>
  <c r="AK359" i="90"/>
  <c r="AK931" i="90"/>
  <c r="AK206" i="90"/>
  <c r="N273" i="81"/>
  <c r="N259" i="81"/>
  <c r="O258" i="81" s="1"/>
  <c r="U20" i="85"/>
  <c r="AN89" i="85" s="1"/>
  <c r="Y22" i="85"/>
  <c r="AD12" i="98" s="1"/>
  <c r="CH54" i="89" l="1"/>
  <c r="AK313" i="90"/>
  <c r="AK417" i="90"/>
  <c r="AK721" i="90"/>
  <c r="AK1033" i="90"/>
  <c r="AK929" i="90"/>
  <c r="AK1397" i="90"/>
  <c r="AK1134" i="90"/>
  <c r="AK146" i="90"/>
  <c r="AK926" i="90"/>
  <c r="AK981" i="90"/>
  <c r="AK1085" i="90"/>
  <c r="AK357" i="90"/>
  <c r="X45" i="90"/>
  <c r="AK1082" i="90"/>
  <c r="AK42" i="90"/>
  <c r="AK1030" i="90"/>
  <c r="AK253" i="90"/>
  <c r="U45" i="90"/>
  <c r="AK1449" i="90"/>
  <c r="AK877" i="90"/>
  <c r="AK510" i="90"/>
  <c r="AK1238" i="90"/>
  <c r="AK718" i="90"/>
  <c r="CH43" i="89"/>
  <c r="AK1139" i="90"/>
  <c r="U48" i="90"/>
  <c r="AK1194" i="90"/>
  <c r="AK99" i="90"/>
  <c r="CH48" i="89"/>
  <c r="AK1348" i="90"/>
  <c r="AK1293" i="90"/>
  <c r="AK1345" i="90"/>
  <c r="AK1137" i="90"/>
  <c r="AK621" i="90"/>
  <c r="AK1342" i="90"/>
  <c r="AK94" i="90"/>
  <c r="V42" i="90"/>
  <c r="AK354" i="90"/>
  <c r="AK822" i="90"/>
  <c r="X42" i="90"/>
  <c r="AK1451" i="90"/>
  <c r="U47" i="90"/>
  <c r="W45" i="90"/>
  <c r="AK305" i="90"/>
  <c r="AK409" i="90"/>
  <c r="AK1189" i="90"/>
  <c r="AK825" i="90"/>
  <c r="AK1191" i="90"/>
  <c r="AK203" i="90"/>
  <c r="V44" i="90"/>
  <c r="AK1241" i="90"/>
  <c r="AK201" i="90"/>
  <c r="AK773" i="90"/>
  <c r="AK513" i="90"/>
  <c r="AK461" i="90"/>
  <c r="AK617" i="90"/>
  <c r="AK565" i="90"/>
  <c r="AK45" i="90"/>
  <c r="AK933" i="90"/>
  <c r="AK614" i="90"/>
  <c r="AK1394" i="90"/>
  <c r="AK458" i="90"/>
  <c r="AK562" i="90"/>
  <c r="AK770" i="90"/>
  <c r="AK978" i="90"/>
  <c r="AK567" i="90"/>
  <c r="AK879" i="90"/>
  <c r="AK1452" i="90"/>
  <c r="AK153" i="90"/>
  <c r="AK881" i="90"/>
  <c r="AK1142" i="90"/>
  <c r="AK1347" i="90"/>
  <c r="AK515" i="90"/>
  <c r="AK564" i="90"/>
  <c r="AK516" i="90"/>
  <c r="AK1090" i="90"/>
  <c r="AK255" i="90"/>
  <c r="AK47" i="90"/>
  <c r="AK671" i="90"/>
  <c r="AK720" i="90"/>
  <c r="V48" i="90"/>
  <c r="AK620" i="90"/>
  <c r="X49" i="90"/>
  <c r="AK725" i="90"/>
  <c r="AK310" i="90"/>
  <c r="W47" i="90"/>
  <c r="V47" i="90"/>
  <c r="AK775" i="90"/>
  <c r="AK983" i="90"/>
  <c r="AK96" i="90"/>
  <c r="AK1298" i="90"/>
  <c r="AK723" i="90"/>
  <c r="AK411" i="90"/>
  <c r="AK463" i="90"/>
  <c r="X47" i="90"/>
  <c r="AK1399" i="90"/>
  <c r="AK876" i="90"/>
  <c r="AK518" i="90"/>
  <c r="AK1246" i="90"/>
  <c r="CH51" i="89"/>
  <c r="AK1087" i="90"/>
  <c r="AK1295" i="90"/>
  <c r="AK307" i="90"/>
  <c r="AK619" i="90"/>
  <c r="AK151" i="90"/>
  <c r="AK827" i="90"/>
  <c r="AK1243" i="90"/>
  <c r="X44" i="90"/>
  <c r="AK1032" i="90"/>
  <c r="AK1244" i="90"/>
  <c r="W48" i="90"/>
  <c r="AK1193" i="90"/>
  <c r="AK673" i="90"/>
  <c r="AK1290" i="90"/>
  <c r="AK1186" i="90"/>
  <c r="U42" i="90"/>
  <c r="AK198" i="90"/>
  <c r="AK250" i="90"/>
  <c r="AK666" i="90"/>
  <c r="AK874" i="90"/>
  <c r="AK771" i="90"/>
  <c r="AK43" i="90"/>
  <c r="AK563" i="90"/>
  <c r="AK147" i="90"/>
  <c r="AK1447" i="90"/>
  <c r="AK251" i="90"/>
  <c r="U43" i="90"/>
  <c r="AK355" i="90"/>
  <c r="AK1291" i="90"/>
  <c r="AK667" i="90"/>
  <c r="AK1031" i="90"/>
  <c r="V43" i="90"/>
  <c r="AK875" i="90"/>
  <c r="AK979" i="90"/>
  <c r="AK1083" i="90"/>
  <c r="AK1187" i="90"/>
  <c r="AK459" i="90"/>
  <c r="AK407" i="90"/>
  <c r="AK719" i="90"/>
  <c r="W43" i="90"/>
  <c r="AK95" i="90"/>
  <c r="AK823" i="90"/>
  <c r="AK303" i="90"/>
  <c r="AK199" i="90"/>
  <c r="AK511" i="90"/>
  <c r="AK1343" i="90"/>
  <c r="AK1395" i="90"/>
  <c r="X43" i="90"/>
  <c r="AK927" i="90"/>
  <c r="AK1239" i="90"/>
  <c r="AK1135" i="90"/>
  <c r="AK1038" i="90"/>
  <c r="AK986" i="90"/>
  <c r="AK934" i="90"/>
  <c r="AK882" i="90"/>
  <c r="AK830" i="90"/>
  <c r="AK778" i="90"/>
  <c r="AK726" i="90"/>
  <c r="AK674" i="90"/>
  <c r="AK616" i="90"/>
  <c r="AK1396" i="90"/>
  <c r="AK1136" i="90"/>
  <c r="AK408" i="90"/>
  <c r="AK1084" i="90"/>
  <c r="AK1240" i="90"/>
  <c r="AK304" i="90"/>
  <c r="AK200" i="90"/>
  <c r="X48" i="90"/>
  <c r="AK1400" i="90"/>
  <c r="AK152" i="90"/>
  <c r="AK672" i="90"/>
  <c r="AK412" i="90"/>
  <c r="AK48" i="90"/>
  <c r="AK984" i="90"/>
  <c r="AK1036" i="90"/>
  <c r="AK569" i="90"/>
  <c r="AK985" i="90"/>
  <c r="W49" i="90"/>
  <c r="AK413" i="90"/>
  <c r="AK517" i="90"/>
  <c r="AK465" i="90"/>
  <c r="AK309" i="90"/>
  <c r="AK257" i="90"/>
  <c r="AK466" i="90"/>
  <c r="AK570" i="90"/>
  <c r="AK258" i="90"/>
  <c r="AK362" i="90"/>
  <c r="AK50" i="90"/>
  <c r="AK154" i="90"/>
  <c r="AK1454" i="90"/>
  <c r="AK102" i="90"/>
  <c r="AK460" i="90"/>
  <c r="AK1292" i="90"/>
  <c r="AK928" i="90"/>
  <c r="U44" i="90"/>
  <c r="AK44" i="90"/>
  <c r="AK148" i="90"/>
  <c r="AK1448" i="90"/>
  <c r="AK1344" i="90"/>
  <c r="CH45" i="89"/>
  <c r="AK880" i="90"/>
  <c r="AK828" i="90"/>
  <c r="AK1192" i="90"/>
  <c r="AK204" i="90"/>
  <c r="AK932" i="90"/>
  <c r="AK1296" i="90"/>
  <c r="AK1140" i="90"/>
  <c r="AK256" i="90"/>
  <c r="AK1401" i="90"/>
  <c r="AK205" i="90"/>
  <c r="AK829" i="90"/>
  <c r="AK1245" i="90"/>
  <c r="AK101" i="90"/>
  <c r="AK49" i="90"/>
  <c r="V49" i="90"/>
  <c r="U49" i="90"/>
  <c r="AK1402" i="90"/>
  <c r="X50" i="90"/>
  <c r="AK1350" i="90"/>
  <c r="W50" i="90"/>
  <c r="AK622" i="90"/>
  <c r="V50" i="90"/>
  <c r="AK414" i="90"/>
  <c r="AK512" i="90"/>
  <c r="AK772" i="90"/>
  <c r="AK668" i="90"/>
  <c r="W44" i="90"/>
  <c r="AK980" i="90"/>
  <c r="AK1188" i="90"/>
  <c r="AK252" i="90"/>
  <c r="AK1088" i="90"/>
  <c r="AK724" i="90"/>
  <c r="AK100" i="90"/>
  <c r="AK464" i="90"/>
  <c r="AK308" i="90"/>
  <c r="AK776" i="90"/>
  <c r="AK568" i="90"/>
  <c r="AK360" i="90"/>
  <c r="AK1453" i="90"/>
  <c r="AK777" i="90"/>
  <c r="AK1037" i="90"/>
  <c r="AK361" i="90"/>
  <c r="AK1349" i="90"/>
  <c r="AK1297" i="90"/>
  <c r="AK1141" i="90"/>
  <c r="AK1089" i="90"/>
  <c r="AK1352" i="90"/>
  <c r="AK1196" i="90"/>
  <c r="AK832" i="90"/>
  <c r="AK1040" i="90"/>
  <c r="AK780" i="90"/>
  <c r="AK416" i="90"/>
  <c r="AK988" i="90"/>
  <c r="AK260" i="90"/>
  <c r="AK572" i="90"/>
  <c r="AK468" i="90"/>
  <c r="X52" i="90"/>
  <c r="U52" i="90"/>
  <c r="AK156" i="90"/>
  <c r="AK52" i="90"/>
  <c r="AK1404" i="90"/>
  <c r="AK936" i="90"/>
  <c r="AK316" i="90"/>
  <c r="AK1460" i="90"/>
  <c r="AK576" i="90"/>
  <c r="AK784" i="90"/>
  <c r="AK1044" i="90"/>
  <c r="AK56" i="90"/>
  <c r="AK1148" i="90"/>
  <c r="AK524" i="90"/>
  <c r="AK888" i="90"/>
  <c r="AK940" i="90"/>
  <c r="AK212" i="90"/>
  <c r="AK992" i="90"/>
  <c r="AK264" i="90"/>
  <c r="AK1356" i="90"/>
  <c r="CH57" i="89"/>
  <c r="AK836" i="90"/>
  <c r="AK160" i="90"/>
  <c r="AK1304" i="90"/>
  <c r="AK420" i="90"/>
  <c r="AK1096" i="90"/>
  <c r="AK472" i="90"/>
  <c r="AK1408" i="90"/>
  <c r="AK108" i="90"/>
  <c r="AK1252" i="90"/>
  <c r="AK368" i="90"/>
  <c r="AK680" i="90"/>
  <c r="AK628" i="90"/>
  <c r="AK1200" i="90"/>
  <c r="AK732" i="90"/>
  <c r="AK1144" i="90"/>
  <c r="AK728" i="90"/>
  <c r="AK884" i="90"/>
  <c r="AK676" i="90"/>
  <c r="AK1300" i="90"/>
  <c r="AK1092" i="90"/>
  <c r="AK1456" i="90"/>
  <c r="AK1248" i="90"/>
  <c r="AK520" i="90"/>
  <c r="AK624" i="90"/>
  <c r="V52" i="90"/>
  <c r="W52" i="90"/>
  <c r="AK104" i="90"/>
  <c r="AK208" i="90"/>
  <c r="AK312" i="90"/>
  <c r="AK364" i="90"/>
  <c r="CH55" i="89"/>
  <c r="AK1250" i="90"/>
  <c r="AK470" i="90"/>
  <c r="AK158" i="90"/>
  <c r="AK1458" i="90"/>
  <c r="AK366" i="90"/>
  <c r="AK262" i="90"/>
  <c r="AK1146" i="90"/>
  <c r="AK1302" i="90"/>
  <c r="V54" i="90"/>
  <c r="AK1354" i="90"/>
  <c r="W54" i="90"/>
  <c r="AK1406" i="90"/>
  <c r="X54" i="90"/>
  <c r="AK210" i="90"/>
  <c r="U54" i="90"/>
  <c r="AK574" i="90"/>
  <c r="AK106" i="90"/>
  <c r="AK626" i="90"/>
  <c r="AK314" i="90"/>
  <c r="AK678" i="90"/>
  <c r="AK522" i="90"/>
  <c r="AK782" i="90"/>
  <c r="AK54" i="90"/>
  <c r="AK418" i="90"/>
  <c r="AK834" i="90"/>
  <c r="AK990" i="90"/>
  <c r="AK938" i="90"/>
  <c r="AK1094" i="90"/>
  <c r="AK1042" i="90"/>
  <c r="AK1198" i="90"/>
  <c r="AK730" i="90"/>
  <c r="AK886" i="90"/>
  <c r="BA204" i="90"/>
  <c r="BA524" i="90"/>
  <c r="BA304" i="90"/>
  <c r="BA84" i="90"/>
  <c r="BA404" i="90"/>
  <c r="BA104" i="90"/>
  <c r="BA424" i="90"/>
  <c r="BA44" i="90"/>
  <c r="BA364" i="90"/>
  <c r="BA464" i="90"/>
  <c r="BA564" i="90"/>
  <c r="BA124" i="90"/>
  <c r="BA544" i="90"/>
  <c r="BA284" i="90"/>
  <c r="BA64" i="90"/>
  <c r="BA384" i="90"/>
  <c r="BA164" i="90"/>
  <c r="BA484" i="90"/>
  <c r="BA184" i="90"/>
  <c r="BA504" i="90"/>
  <c r="BA144" i="90"/>
  <c r="BA244" i="90"/>
  <c r="BA264" i="90"/>
  <c r="BA444" i="90"/>
  <c r="BA344" i="90"/>
  <c r="BA224" i="90"/>
  <c r="BA324" i="90"/>
  <c r="BA24" i="90"/>
  <c r="BA123" i="90"/>
  <c r="BA443" i="90"/>
  <c r="BA223" i="90"/>
  <c r="BA543" i="90"/>
  <c r="BA323" i="90"/>
  <c r="BA23" i="90"/>
  <c r="BA343" i="90"/>
  <c r="BA423" i="90"/>
  <c r="BA63" i="90"/>
  <c r="BA163" i="90"/>
  <c r="BA183" i="90"/>
  <c r="BA463" i="90"/>
  <c r="BA563" i="90"/>
  <c r="BA203" i="90"/>
  <c r="BA523" i="90"/>
  <c r="BA303" i="90"/>
  <c r="BA83" i="90"/>
  <c r="BA403" i="90"/>
  <c r="BA103" i="90"/>
  <c r="BA283" i="90"/>
  <c r="BA383" i="90"/>
  <c r="BA483" i="90"/>
  <c r="BA503" i="90"/>
  <c r="BA43" i="90"/>
  <c r="BA243" i="90"/>
  <c r="BA143" i="90"/>
  <c r="BA263" i="90"/>
  <c r="BA363" i="90"/>
  <c r="O272" i="81"/>
  <c r="Y21" i="85"/>
  <c r="U21" i="85"/>
  <c r="AN94" i="85" s="1"/>
  <c r="W21" i="85"/>
  <c r="AN95" i="85" s="1"/>
  <c r="W22" i="85"/>
  <c r="U22" i="85"/>
  <c r="Y20" i="85"/>
  <c r="W20" i="85"/>
  <c r="AN90" i="85" s="1"/>
  <c r="R2" i="89"/>
  <c r="S2" i="89"/>
  <c r="T2" i="89"/>
  <c r="V2" i="89"/>
  <c r="W2" i="89"/>
  <c r="X2" i="89"/>
  <c r="Q2" i="89"/>
  <c r="D12" i="98" l="1"/>
  <c r="AN99" i="85"/>
  <c r="T12" i="98"/>
  <c r="AN100" i="85"/>
  <c r="O21" i="88"/>
  <c r="O23" i="88"/>
  <c r="P23" i="88"/>
  <c r="P21" i="88"/>
  <c r="O20" i="88"/>
  <c r="P20" i="88"/>
  <c r="O22" i="88"/>
  <c r="P22" i="88"/>
  <c r="Q21" i="88" l="1"/>
  <c r="Q22" i="88"/>
  <c r="Q23" i="88"/>
  <c r="C2" i="84"/>
  <c r="Z10" i="88" l="1"/>
  <c r="G10" i="77"/>
  <c r="G11" i="77"/>
  <c r="G9" i="77"/>
  <c r="AI105" i="95" l="1"/>
  <c r="AI114" i="95"/>
  <c r="AI100" i="95"/>
  <c r="AI107" i="95"/>
  <c r="AI106" i="95"/>
  <c r="AI101" i="95"/>
  <c r="AI102" i="95"/>
  <c r="AI112" i="95"/>
  <c r="AI96" i="95"/>
  <c r="AI103" i="95"/>
  <c r="AI113" i="95"/>
  <c r="AI97" i="95"/>
  <c r="AI108" i="95"/>
  <c r="AI110" i="95"/>
  <c r="AI115" i="95"/>
  <c r="AI99" i="95"/>
  <c r="AI98" i="95"/>
  <c r="AI111" i="95"/>
  <c r="AI109" i="95"/>
  <c r="AI104" i="95"/>
  <c r="AO10" i="88"/>
  <c r="AT12" i="89" s="1"/>
  <c r="AP10" i="88"/>
  <c r="J17" i="90" s="1"/>
  <c r="AR10" i="88"/>
  <c r="AM10" i="88"/>
  <c r="AN10" i="88"/>
  <c r="AS10" i="88"/>
  <c r="AV10" i="88"/>
  <c r="AU10" i="88"/>
  <c r="AR10" i="103" s="1"/>
  <c r="AT10" i="88"/>
  <c r="EB10" i="98" s="1"/>
  <c r="EC10" i="98" s="1"/>
  <c r="AQ10" i="88"/>
  <c r="CA47" i="83"/>
  <c r="CA46" i="83"/>
  <c r="CA45" i="83"/>
  <c r="CA44" i="83"/>
  <c r="CA43" i="83"/>
  <c r="CA42" i="83"/>
  <c r="CA41" i="83"/>
  <c r="CA40" i="83"/>
  <c r="CA39" i="83"/>
  <c r="CA38" i="83"/>
  <c r="CA37" i="83"/>
  <c r="CA36" i="83"/>
  <c r="CA35" i="83"/>
  <c r="CA34" i="83"/>
  <c r="CA33" i="83"/>
  <c r="CA32" i="83"/>
  <c r="CA31" i="83"/>
  <c r="CA30" i="83"/>
  <c r="CA29" i="83"/>
  <c r="CA28" i="83"/>
  <c r="CA27" i="83"/>
  <c r="CA26" i="83"/>
  <c r="CA25" i="83"/>
  <c r="CA24" i="83"/>
  <c r="CA23" i="83"/>
  <c r="CA22" i="83"/>
  <c r="CA21" i="83"/>
  <c r="CA20" i="83"/>
  <c r="CA19" i="83"/>
  <c r="CA18" i="83"/>
  <c r="CA17" i="83"/>
  <c r="CA16" i="83"/>
  <c r="CA15" i="83"/>
  <c r="CA14" i="83"/>
  <c r="CA13" i="83"/>
  <c r="CA12" i="83"/>
  <c r="CA11" i="83"/>
  <c r="CA10" i="83"/>
  <c r="CA9" i="83"/>
  <c r="CA8" i="83"/>
  <c r="CA7" i="83"/>
  <c r="CA6" i="83"/>
  <c r="AS10" i="103" l="1"/>
  <c r="AW10" i="103"/>
  <c r="AT10" i="103"/>
  <c r="AU10" i="103"/>
  <c r="AV10" i="103"/>
  <c r="AK104" i="95"/>
  <c r="AL104" i="95"/>
  <c r="AM104" i="95"/>
  <c r="AN104" i="95"/>
  <c r="AK99" i="95"/>
  <c r="AL99" i="95"/>
  <c r="AM99" i="95"/>
  <c r="AN99" i="95"/>
  <c r="AK97" i="95"/>
  <c r="AL97" i="95"/>
  <c r="AM97" i="95"/>
  <c r="AN97" i="95"/>
  <c r="AK112" i="95"/>
  <c r="AL112" i="95"/>
  <c r="AM112" i="95"/>
  <c r="AN112" i="95"/>
  <c r="AK107" i="95"/>
  <c r="AL107" i="95"/>
  <c r="AM107" i="95"/>
  <c r="AN107" i="95"/>
  <c r="AK109" i="95"/>
  <c r="AL109" i="95"/>
  <c r="AM109" i="95"/>
  <c r="AN109" i="95"/>
  <c r="AK115" i="95"/>
  <c r="AL115" i="95"/>
  <c r="AM115" i="95"/>
  <c r="AN115" i="95"/>
  <c r="AL113" i="95"/>
  <c r="AM113" i="95"/>
  <c r="AK113" i="95"/>
  <c r="AN113" i="95"/>
  <c r="AN102" i="95"/>
  <c r="AK102" i="95"/>
  <c r="AL102" i="95"/>
  <c r="AM102" i="95"/>
  <c r="AK100" i="95"/>
  <c r="AL100" i="95"/>
  <c r="AM100" i="95"/>
  <c r="AN100" i="95"/>
  <c r="K17" i="90"/>
  <c r="L17" i="90"/>
  <c r="N17" i="90"/>
  <c r="M17" i="90"/>
  <c r="AK111" i="95"/>
  <c r="AL111" i="95"/>
  <c r="AM111" i="95"/>
  <c r="AN111" i="95"/>
  <c r="AN110" i="95"/>
  <c r="AK110" i="95"/>
  <c r="AL110" i="95"/>
  <c r="AM110" i="95"/>
  <c r="AK103" i="95"/>
  <c r="AL103" i="95"/>
  <c r="AM103" i="95"/>
  <c r="AN103" i="95"/>
  <c r="AL101" i="95"/>
  <c r="AM101" i="95"/>
  <c r="AN101" i="95"/>
  <c r="AK101" i="95"/>
  <c r="AN114" i="95"/>
  <c r="AK114" i="95"/>
  <c r="AL114" i="95"/>
  <c r="AM114" i="95"/>
  <c r="CZ20" i="89"/>
  <c r="CZ21" i="89"/>
  <c r="CZ19" i="89"/>
  <c r="BN36" i="89"/>
  <c r="BN40" i="89"/>
  <c r="BN37" i="89"/>
  <c r="BN42" i="89"/>
  <c r="BN38" i="89"/>
  <c r="BN41" i="89"/>
  <c r="BN34" i="89"/>
  <c r="BN39" i="89"/>
  <c r="BN35" i="89"/>
  <c r="AN98" i="95"/>
  <c r="AK98" i="95"/>
  <c r="AL98" i="95"/>
  <c r="AM98" i="95"/>
  <c r="AK108" i="95"/>
  <c r="AL108" i="95"/>
  <c r="AM108" i="95"/>
  <c r="AN108" i="95"/>
  <c r="AK96" i="95"/>
  <c r="AL96" i="95"/>
  <c r="AM96" i="95"/>
  <c r="AN96" i="95"/>
  <c r="AN106" i="95"/>
  <c r="AK106" i="95"/>
  <c r="AL106" i="95"/>
  <c r="AM106" i="95"/>
  <c r="AK105" i="95"/>
  <c r="AL105" i="95"/>
  <c r="AM105" i="95"/>
  <c r="AN105" i="95"/>
  <c r="BV156" i="90"/>
  <c r="BV155" i="90"/>
  <c r="BU154" i="90"/>
  <c r="BV146" i="90"/>
  <c r="BY146" i="90" s="1"/>
  <c r="BV145" i="90"/>
  <c r="BU144" i="90"/>
  <c r="BV136" i="90"/>
  <c r="BY137" i="90" s="1"/>
  <c r="BV135" i="90"/>
  <c r="BU134" i="90"/>
  <c r="BV126" i="90"/>
  <c r="BY126" i="90" s="1"/>
  <c r="BV125" i="90"/>
  <c r="BU124" i="90"/>
  <c r="BV116" i="90"/>
  <c r="BY117" i="90" s="1"/>
  <c r="BV115" i="90"/>
  <c r="BU114" i="90"/>
  <c r="BV106" i="90"/>
  <c r="BY106" i="90" s="1"/>
  <c r="BV105" i="90"/>
  <c r="BU104" i="90"/>
  <c r="BV96" i="90"/>
  <c r="BY94" i="90" s="1"/>
  <c r="BV95" i="90"/>
  <c r="BU94" i="90"/>
  <c r="BV86" i="90"/>
  <c r="BY86" i="90" s="1"/>
  <c r="BV85" i="90"/>
  <c r="BU84" i="90"/>
  <c r="BV76" i="90"/>
  <c r="BY74" i="90" s="1"/>
  <c r="BV75" i="90"/>
  <c r="BU74" i="90"/>
  <c r="BV66" i="90"/>
  <c r="BY66" i="90" s="1"/>
  <c r="BV65" i="90"/>
  <c r="BU64" i="90"/>
  <c r="BV56" i="90"/>
  <c r="BY54" i="90" s="1"/>
  <c r="BV55" i="90"/>
  <c r="BU54" i="90"/>
  <c r="BV46" i="90"/>
  <c r="BY46" i="90" s="1"/>
  <c r="BV45" i="90"/>
  <c r="BU44" i="90"/>
  <c r="BV28" i="90"/>
  <c r="BY26" i="90" s="1"/>
  <c r="BV27" i="90"/>
  <c r="BU26" i="90"/>
  <c r="BV18" i="90"/>
  <c r="BY18" i="90" s="1"/>
  <c r="BV8" i="90"/>
  <c r="BY8" i="90" s="1"/>
  <c r="BV17" i="90"/>
  <c r="BU16" i="90"/>
  <c r="BU6" i="90"/>
  <c r="BJ5" i="90"/>
  <c r="BJ94" i="103" l="1"/>
  <c r="BJ28" i="103"/>
  <c r="BJ124" i="103"/>
  <c r="BJ76" i="103"/>
  <c r="BJ52" i="103"/>
  <c r="BJ82" i="103"/>
  <c r="BJ40" i="103"/>
  <c r="BJ22" i="103"/>
  <c r="BJ70" i="103"/>
  <c r="BJ118" i="103"/>
  <c r="BJ34" i="103"/>
  <c r="BJ10" i="103"/>
  <c r="BJ64" i="103"/>
  <c r="BJ46" i="103"/>
  <c r="BJ58" i="103"/>
  <c r="BJ130" i="103"/>
  <c r="BJ106" i="103"/>
  <c r="BJ16" i="103"/>
  <c r="BJ88" i="103"/>
  <c r="BJ100" i="103"/>
  <c r="BJ112" i="103"/>
  <c r="U34" i="90"/>
  <c r="W34" i="90"/>
  <c r="V34" i="90"/>
  <c r="X34" i="90"/>
  <c r="AK86" i="90"/>
  <c r="AK138" i="90"/>
  <c r="AK346" i="90"/>
  <c r="AK554" i="90"/>
  <c r="AK762" i="90"/>
  <c r="AK866" i="90"/>
  <c r="AK970" i="90"/>
  <c r="AK1074" i="90"/>
  <c r="AK1178" i="90"/>
  <c r="AK1282" i="90"/>
  <c r="AK190" i="90"/>
  <c r="AK398" i="90"/>
  <c r="AK606" i="90"/>
  <c r="AK1386" i="90"/>
  <c r="AK1438" i="90"/>
  <c r="AK34" i="90"/>
  <c r="AK242" i="90"/>
  <c r="AK450" i="90"/>
  <c r="AK658" i="90"/>
  <c r="AK710" i="90"/>
  <c r="AK814" i="90"/>
  <c r="AK918" i="90"/>
  <c r="AK1022" i="90"/>
  <c r="AK1126" i="90"/>
  <c r="AK1230" i="90"/>
  <c r="AK294" i="90"/>
  <c r="AK502" i="90"/>
  <c r="AK1334" i="90"/>
  <c r="U37" i="90"/>
  <c r="V37" i="90"/>
  <c r="W37" i="90"/>
  <c r="X37" i="90"/>
  <c r="AK37" i="90"/>
  <c r="AK89" i="90"/>
  <c r="AK141" i="90"/>
  <c r="AK193" i="90"/>
  <c r="AK245" i="90"/>
  <c r="AK297" i="90"/>
  <c r="AK349" i="90"/>
  <c r="AK401" i="90"/>
  <c r="AK453" i="90"/>
  <c r="AK505" i="90"/>
  <c r="AK557" i="90"/>
  <c r="AK609" i="90"/>
  <c r="AK661" i="90"/>
  <c r="AK713" i="90"/>
  <c r="AK765" i="90"/>
  <c r="AK817" i="90"/>
  <c r="AK869" i="90"/>
  <c r="AK921" i="90"/>
  <c r="AK973" i="90"/>
  <c r="AK1025" i="90"/>
  <c r="AK1077" i="90"/>
  <c r="AK1129" i="90"/>
  <c r="AK1181" i="90"/>
  <c r="AK1233" i="90"/>
  <c r="AK1285" i="90"/>
  <c r="AK1337" i="90"/>
  <c r="AK1389" i="90"/>
  <c r="AK1441" i="90"/>
  <c r="U35" i="90"/>
  <c r="V35" i="90"/>
  <c r="W35" i="90"/>
  <c r="X35" i="90"/>
  <c r="AK35" i="90"/>
  <c r="AK87" i="90"/>
  <c r="AK139" i="90"/>
  <c r="AK191" i="90"/>
  <c r="AK243" i="90"/>
  <c r="AK295" i="90"/>
  <c r="AK347" i="90"/>
  <c r="AK399" i="90"/>
  <c r="AK451" i="90"/>
  <c r="AK503" i="90"/>
  <c r="AK555" i="90"/>
  <c r="AK607" i="90"/>
  <c r="AK659" i="90"/>
  <c r="AK711" i="90"/>
  <c r="AK763" i="90"/>
  <c r="AK815" i="90"/>
  <c r="AK867" i="90"/>
  <c r="AK919" i="90"/>
  <c r="AK971" i="90"/>
  <c r="AK1023" i="90"/>
  <c r="AK1075" i="90"/>
  <c r="AK1127" i="90"/>
  <c r="AK1179" i="90"/>
  <c r="AK1231" i="90"/>
  <c r="AK1335" i="90"/>
  <c r="AK1283" i="90"/>
  <c r="AK1387" i="90"/>
  <c r="AK1439" i="90"/>
  <c r="U38" i="90"/>
  <c r="W38" i="90"/>
  <c r="V38" i="90"/>
  <c r="X38" i="90"/>
  <c r="AK38" i="90"/>
  <c r="AK90" i="90"/>
  <c r="AK298" i="90"/>
  <c r="AK506" i="90"/>
  <c r="AK714" i="90"/>
  <c r="AK818" i="90"/>
  <c r="AK922" i="90"/>
  <c r="AK1026" i="90"/>
  <c r="AK1130" i="90"/>
  <c r="AK1234" i="90"/>
  <c r="AK142" i="90"/>
  <c r="AK350" i="90"/>
  <c r="AK558" i="90"/>
  <c r="AK1390" i="90"/>
  <c r="AK1442" i="90"/>
  <c r="AK194" i="90"/>
  <c r="AK402" i="90"/>
  <c r="AK610" i="90"/>
  <c r="AK766" i="90"/>
  <c r="AK870" i="90"/>
  <c r="AK974" i="90"/>
  <c r="AK1078" i="90"/>
  <c r="AK1182" i="90"/>
  <c r="AK1338" i="90"/>
  <c r="AK246" i="90"/>
  <c r="AK662" i="90"/>
  <c r="AK454" i="90"/>
  <c r="AK1286" i="90"/>
  <c r="U41" i="90"/>
  <c r="V41" i="90"/>
  <c r="W41" i="90"/>
  <c r="X41" i="90"/>
  <c r="AK41" i="90"/>
  <c r="AK93" i="90"/>
  <c r="AK145" i="90"/>
  <c r="AK197" i="90"/>
  <c r="AK249" i="90"/>
  <c r="AK301" i="90"/>
  <c r="AK353" i="90"/>
  <c r="AK405" i="90"/>
  <c r="AK457" i="90"/>
  <c r="AK509" i="90"/>
  <c r="AK561" i="90"/>
  <c r="AK613" i="90"/>
  <c r="AK665" i="90"/>
  <c r="AK717" i="90"/>
  <c r="AK769" i="90"/>
  <c r="AK821" i="90"/>
  <c r="AK873" i="90"/>
  <c r="AK925" i="90"/>
  <c r="AK977" i="90"/>
  <c r="AK1029" i="90"/>
  <c r="AK1081" i="90"/>
  <c r="AK1133" i="90"/>
  <c r="AK1185" i="90"/>
  <c r="AK1237" i="90"/>
  <c r="AK1289" i="90"/>
  <c r="AK1341" i="90"/>
  <c r="AK1393" i="90"/>
  <c r="AK1445" i="90"/>
  <c r="BA17" i="90"/>
  <c r="BA37" i="90"/>
  <c r="BA57" i="90"/>
  <c r="BA77" i="90"/>
  <c r="BA97" i="90"/>
  <c r="BA117" i="90"/>
  <c r="BA137" i="90"/>
  <c r="BA157" i="90"/>
  <c r="BA177" i="90"/>
  <c r="BA197" i="90"/>
  <c r="BA217" i="90"/>
  <c r="BA237" i="90"/>
  <c r="BA257" i="90"/>
  <c r="BA277" i="90"/>
  <c r="BA297" i="90"/>
  <c r="BA317" i="90"/>
  <c r="BA337" i="90"/>
  <c r="BA357" i="90"/>
  <c r="BA377" i="90"/>
  <c r="BA397" i="90"/>
  <c r="BA417" i="90"/>
  <c r="BA477" i="90"/>
  <c r="BA557" i="90"/>
  <c r="BA497" i="90"/>
  <c r="BA437" i="90"/>
  <c r="BA517" i="90"/>
  <c r="BA457" i="90"/>
  <c r="BA537" i="90"/>
  <c r="U33" i="90"/>
  <c r="V33" i="90"/>
  <c r="W33" i="90"/>
  <c r="X33" i="90"/>
  <c r="AK33" i="90"/>
  <c r="AK85" i="90"/>
  <c r="AK137" i="90"/>
  <c r="AK189" i="90"/>
  <c r="AK241" i="90"/>
  <c r="AK293" i="90"/>
  <c r="AK345" i="90"/>
  <c r="AK397" i="90"/>
  <c r="AK449" i="90"/>
  <c r="AK501" i="90"/>
  <c r="AK553" i="90"/>
  <c r="AK605" i="90"/>
  <c r="AK657" i="90"/>
  <c r="AK709" i="90"/>
  <c r="AK761" i="90"/>
  <c r="AK813" i="90"/>
  <c r="AK865" i="90"/>
  <c r="AK917" i="90"/>
  <c r="AK969" i="90"/>
  <c r="AK1021" i="90"/>
  <c r="AK1073" i="90"/>
  <c r="AK1125" i="90"/>
  <c r="AK1177" i="90"/>
  <c r="AK1229" i="90"/>
  <c r="AK1281" i="90"/>
  <c r="AK1333" i="90"/>
  <c r="AK1385" i="90"/>
  <c r="AK1437" i="90"/>
  <c r="U36" i="90"/>
  <c r="W36" i="90"/>
  <c r="V36" i="90"/>
  <c r="X36" i="90"/>
  <c r="AK36" i="90"/>
  <c r="AK88" i="90"/>
  <c r="AK140" i="90"/>
  <c r="AK192" i="90"/>
  <c r="AK244" i="90"/>
  <c r="AK296" i="90"/>
  <c r="AK348" i="90"/>
  <c r="AK400" i="90"/>
  <c r="AK452" i="90"/>
  <c r="AK504" i="90"/>
  <c r="AK556" i="90"/>
  <c r="AK608" i="90"/>
  <c r="AK660" i="90"/>
  <c r="AK764" i="90"/>
  <c r="AK868" i="90"/>
  <c r="AK972" i="90"/>
  <c r="AK1076" i="90"/>
  <c r="AK1180" i="90"/>
  <c r="AK1336" i="90"/>
  <c r="AK1284" i="90"/>
  <c r="AK1024" i="90"/>
  <c r="AK1388" i="90"/>
  <c r="AK712" i="90"/>
  <c r="AK1128" i="90"/>
  <c r="AK1440" i="90"/>
  <c r="AK920" i="90"/>
  <c r="AK816" i="90"/>
  <c r="AK1232" i="90"/>
  <c r="BA19" i="90"/>
  <c r="BA39" i="90"/>
  <c r="BA59" i="90"/>
  <c r="BA79" i="90"/>
  <c r="BA99" i="90"/>
  <c r="BA119" i="90"/>
  <c r="BA139" i="90"/>
  <c r="BA159" i="90"/>
  <c r="BA179" i="90"/>
  <c r="BA199" i="90"/>
  <c r="BA219" i="90"/>
  <c r="BA239" i="90"/>
  <c r="BA259" i="90"/>
  <c r="BA279" i="90"/>
  <c r="BA299" i="90"/>
  <c r="BA319" i="90"/>
  <c r="BA339" i="90"/>
  <c r="BA359" i="90"/>
  <c r="BA379" i="90"/>
  <c r="BA399" i="90"/>
  <c r="BA419" i="90"/>
  <c r="BA439" i="90"/>
  <c r="BA459" i="90"/>
  <c r="BA479" i="90"/>
  <c r="BA499" i="90"/>
  <c r="BA519" i="90"/>
  <c r="BA539" i="90"/>
  <c r="BA559" i="90"/>
  <c r="U40" i="90"/>
  <c r="W40" i="90"/>
  <c r="V40" i="90"/>
  <c r="X40" i="90"/>
  <c r="AK40" i="90"/>
  <c r="AK92" i="90"/>
  <c r="AK144" i="90"/>
  <c r="AK196" i="90"/>
  <c r="AK248" i="90"/>
  <c r="AK300" i="90"/>
  <c r="AK352" i="90"/>
  <c r="AK404" i="90"/>
  <c r="AK456" i="90"/>
  <c r="AK508" i="90"/>
  <c r="AK560" i="90"/>
  <c r="AK612" i="90"/>
  <c r="AK664" i="90"/>
  <c r="AK1340" i="90"/>
  <c r="AK716" i="90"/>
  <c r="AK820" i="90"/>
  <c r="AK924" i="90"/>
  <c r="AK1028" i="90"/>
  <c r="AK1132" i="90"/>
  <c r="AK1236" i="90"/>
  <c r="AK1288" i="90"/>
  <c r="AK768" i="90"/>
  <c r="AK1184" i="90"/>
  <c r="AK872" i="90"/>
  <c r="AK1392" i="90"/>
  <c r="AK976" i="90"/>
  <c r="AK1444" i="90"/>
  <c r="AK1080" i="90"/>
  <c r="U39" i="90"/>
  <c r="V39" i="90"/>
  <c r="W39" i="90"/>
  <c r="X39" i="90"/>
  <c r="AK39" i="90"/>
  <c r="AK91" i="90"/>
  <c r="AK143" i="90"/>
  <c r="AK195" i="90"/>
  <c r="AK247" i="90"/>
  <c r="AK299" i="90"/>
  <c r="AK351" i="90"/>
  <c r="AK403" i="90"/>
  <c r="AK455" i="90"/>
  <c r="AK507" i="90"/>
  <c r="AK559" i="90"/>
  <c r="AK611" i="90"/>
  <c r="AK663" i="90"/>
  <c r="AK715" i="90"/>
  <c r="AK767" i="90"/>
  <c r="AK819" i="90"/>
  <c r="AK871" i="90"/>
  <c r="AK923" i="90"/>
  <c r="AK975" i="90"/>
  <c r="AK1027" i="90"/>
  <c r="AK1079" i="90"/>
  <c r="AK1131" i="90"/>
  <c r="AK1183" i="90"/>
  <c r="AK1235" i="90"/>
  <c r="AK1287" i="90"/>
  <c r="AK1391" i="90"/>
  <c r="AK1443" i="90"/>
  <c r="AK1339" i="90"/>
  <c r="BA18" i="90"/>
  <c r="BA38" i="90"/>
  <c r="BA58" i="90"/>
  <c r="BA78" i="90"/>
  <c r="BA98" i="90"/>
  <c r="BA118" i="90"/>
  <c r="BA138" i="90"/>
  <c r="BA158" i="90"/>
  <c r="BA178" i="90"/>
  <c r="BA198" i="90"/>
  <c r="BA218" i="90"/>
  <c r="BA238" i="90"/>
  <c r="BA258" i="90"/>
  <c r="BA278" i="90"/>
  <c r="BA298" i="90"/>
  <c r="BA318" i="90"/>
  <c r="BA338" i="90"/>
  <c r="BA358" i="90"/>
  <c r="BA378" i="90"/>
  <c r="BA398" i="90"/>
  <c r="BA418" i="90"/>
  <c r="BA438" i="90"/>
  <c r="BA458" i="90"/>
  <c r="BA478" i="90"/>
  <c r="BA498" i="90"/>
  <c r="BA518" i="90"/>
  <c r="BA538" i="90"/>
  <c r="BA558" i="90"/>
  <c r="CH36" i="89"/>
  <c r="CH34" i="89"/>
  <c r="CH38" i="89"/>
  <c r="CH42" i="89"/>
  <c r="CH41" i="89"/>
  <c r="CH40" i="89"/>
  <c r="CH39" i="89"/>
  <c r="CH37" i="89"/>
  <c r="CH35" i="89"/>
  <c r="BY155" i="90"/>
  <c r="BY210" i="90"/>
  <c r="BY201" i="90"/>
  <c r="BY192" i="90"/>
  <c r="BY183" i="90"/>
  <c r="BY165" i="90"/>
  <c r="BY189" i="90"/>
  <c r="BY209" i="90"/>
  <c r="BY200" i="90"/>
  <c r="BY191" i="90"/>
  <c r="BY182" i="90"/>
  <c r="BY173" i="90"/>
  <c r="BY164" i="90"/>
  <c r="BY198" i="90"/>
  <c r="BY180" i="90"/>
  <c r="BY193" i="90"/>
  <c r="BY208" i="90"/>
  <c r="BY199" i="90"/>
  <c r="BY190" i="90"/>
  <c r="BY181" i="90"/>
  <c r="BY163" i="90"/>
  <c r="BY207" i="90"/>
  <c r="BY211" i="90"/>
  <c r="BY206" i="90"/>
  <c r="BY197" i="90"/>
  <c r="BY188" i="90"/>
  <c r="BY179" i="90"/>
  <c r="BY172" i="90"/>
  <c r="BY187" i="90"/>
  <c r="BY178" i="90"/>
  <c r="BY171" i="90"/>
  <c r="BY205" i="90"/>
  <c r="BY177" i="90"/>
  <c r="BY170" i="90"/>
  <c r="BY196" i="90"/>
  <c r="BY202" i="90"/>
  <c r="BY174" i="90"/>
  <c r="BY186" i="90"/>
  <c r="BY195" i="90"/>
  <c r="BY176" i="90"/>
  <c r="BY169" i="90"/>
  <c r="BY184" i="90"/>
  <c r="BY166" i="90"/>
  <c r="BY204" i="90"/>
  <c r="BY185" i="90"/>
  <c r="BY168" i="90"/>
  <c r="BY194" i="90"/>
  <c r="BY175" i="90"/>
  <c r="BY167" i="90"/>
  <c r="BY212" i="90"/>
  <c r="BY203" i="90"/>
  <c r="BY57" i="90"/>
  <c r="BY100" i="90"/>
  <c r="BY140" i="90"/>
  <c r="BY154" i="90"/>
  <c r="BY101" i="90"/>
  <c r="BY97" i="90"/>
  <c r="BY133" i="90"/>
  <c r="BY139" i="90"/>
  <c r="BY136" i="90"/>
  <c r="BY135" i="90"/>
  <c r="BY161" i="90"/>
  <c r="BY158" i="90"/>
  <c r="BY17" i="90"/>
  <c r="BY157" i="90"/>
  <c r="BY16" i="90"/>
  <c r="BY143" i="90"/>
  <c r="BY60" i="90"/>
  <c r="BY152" i="90"/>
  <c r="BY149" i="90"/>
  <c r="BY148" i="90"/>
  <c r="BY145" i="90"/>
  <c r="BY144" i="90"/>
  <c r="BY96" i="90"/>
  <c r="BY162" i="90"/>
  <c r="BY15" i="90"/>
  <c r="BY24" i="90"/>
  <c r="BY21" i="90"/>
  <c r="BY20" i="90"/>
  <c r="BY160" i="90"/>
  <c r="BY156" i="90"/>
  <c r="BY153" i="90"/>
  <c r="BY159" i="90"/>
  <c r="BY151" i="90"/>
  <c r="BY147" i="90"/>
  <c r="BY150" i="90"/>
  <c r="BY142" i="90"/>
  <c r="BY138" i="90"/>
  <c r="BY134" i="90"/>
  <c r="BY141" i="90"/>
  <c r="BY129" i="90"/>
  <c r="BY125" i="90"/>
  <c r="BY123" i="90"/>
  <c r="BY132" i="90"/>
  <c r="BY128" i="90"/>
  <c r="BY124" i="90"/>
  <c r="BY131" i="90"/>
  <c r="BY127" i="90"/>
  <c r="BY130" i="90"/>
  <c r="BY120" i="90"/>
  <c r="BY116" i="90"/>
  <c r="BY113" i="90"/>
  <c r="BY119" i="90"/>
  <c r="BY115" i="90"/>
  <c r="BY122" i="90"/>
  <c r="BY118" i="90"/>
  <c r="BY114" i="90"/>
  <c r="BY121" i="90"/>
  <c r="BY109" i="90"/>
  <c r="BY112" i="90"/>
  <c r="BY108" i="90"/>
  <c r="BY111" i="90"/>
  <c r="BY107" i="90"/>
  <c r="BY103" i="90"/>
  <c r="BY105" i="90"/>
  <c r="BY104" i="90"/>
  <c r="BY110" i="90"/>
  <c r="BY93" i="90"/>
  <c r="BY99" i="90"/>
  <c r="BY95" i="90"/>
  <c r="BY102" i="90"/>
  <c r="BY98" i="90"/>
  <c r="BY84" i="90"/>
  <c r="BY83" i="90"/>
  <c r="BY85" i="90"/>
  <c r="BY92" i="90"/>
  <c r="BY89" i="90"/>
  <c r="BY88" i="90"/>
  <c r="BY91" i="90"/>
  <c r="BY87" i="90"/>
  <c r="BY90" i="90"/>
  <c r="BY81" i="90"/>
  <c r="BY69" i="90"/>
  <c r="BY68" i="90"/>
  <c r="BY80" i="90"/>
  <c r="BY77" i="90"/>
  <c r="BY76" i="90"/>
  <c r="BY63" i="90"/>
  <c r="BY65" i="90"/>
  <c r="BY72" i="90"/>
  <c r="BY64" i="90"/>
  <c r="BY56" i="90"/>
  <c r="BY61" i="90"/>
  <c r="BY45" i="90"/>
  <c r="BY44" i="90"/>
  <c r="BY49" i="90"/>
  <c r="BY43" i="90"/>
  <c r="BY52" i="90"/>
  <c r="BY48" i="90"/>
  <c r="BY33" i="90"/>
  <c r="BY32" i="90"/>
  <c r="BY29" i="90"/>
  <c r="BY28" i="90"/>
  <c r="BY7" i="90"/>
  <c r="BY5" i="90"/>
  <c r="BY6" i="90"/>
  <c r="BY11" i="90"/>
  <c r="BY23" i="90"/>
  <c r="BY19" i="90"/>
  <c r="BY25" i="90"/>
  <c r="BY31" i="90"/>
  <c r="BY27" i="90"/>
  <c r="BY51" i="90"/>
  <c r="BY47" i="90"/>
  <c r="BY53" i="90"/>
  <c r="BY59" i="90"/>
  <c r="BY55" i="90"/>
  <c r="BY71" i="90"/>
  <c r="BY67" i="90"/>
  <c r="BY73" i="90"/>
  <c r="BY79" i="90"/>
  <c r="BY75" i="90"/>
  <c r="BY10" i="90"/>
  <c r="BY14" i="90"/>
  <c r="BY22" i="90"/>
  <c r="BY34" i="90"/>
  <c r="BY30" i="90"/>
  <c r="BY50" i="90"/>
  <c r="BY62" i="90"/>
  <c r="BY58" i="90"/>
  <c r="BY70" i="90"/>
  <c r="BY82" i="90"/>
  <c r="BY78" i="90"/>
  <c r="BY13" i="90"/>
  <c r="BY9" i="90"/>
  <c r="BY12" i="90"/>
  <c r="CN6" i="82" l="1"/>
  <c r="CZ6" i="82" s="1"/>
  <c r="CU6" i="82" s="1"/>
  <c r="CN10" i="82"/>
  <c r="CZ10" i="82" s="1"/>
  <c r="CU10" i="82" s="1"/>
  <c r="CN14" i="82"/>
  <c r="CZ14" i="82" s="1"/>
  <c r="CU14" i="82" s="1"/>
  <c r="CN18" i="82"/>
  <c r="CZ18" i="82" s="1"/>
  <c r="CU18" i="82" s="1"/>
  <c r="CN26" i="82"/>
  <c r="CZ26" i="82" s="1"/>
  <c r="CU26" i="82" s="1"/>
  <c r="CN30" i="82"/>
  <c r="CZ30" i="82" s="1"/>
  <c r="CU30" i="82" s="1"/>
  <c r="CN34" i="82"/>
  <c r="CZ34" i="82" s="1"/>
  <c r="CU34" i="82" s="1"/>
  <c r="CN38" i="82"/>
  <c r="CZ38" i="82" s="1"/>
  <c r="CU38" i="82" s="1"/>
  <c r="CN42" i="82"/>
  <c r="CZ42" i="82" s="1"/>
  <c r="CU42" i="82" s="1"/>
  <c r="CN46" i="82"/>
  <c r="CZ46" i="82" s="1"/>
  <c r="CU46" i="82" s="1"/>
  <c r="CN7" i="82"/>
  <c r="CZ7" i="82" s="1"/>
  <c r="CU7" i="82" s="1"/>
  <c r="CN8" i="82"/>
  <c r="CZ8" i="82" s="1"/>
  <c r="CU8" i="82" s="1"/>
  <c r="CN9" i="82"/>
  <c r="CZ9" i="82" s="1"/>
  <c r="CU9" i="82" s="1"/>
  <c r="CN11" i="82"/>
  <c r="CZ11" i="82" s="1"/>
  <c r="CU11" i="82" s="1"/>
  <c r="CN12" i="82"/>
  <c r="CZ12" i="82" s="1"/>
  <c r="CU12" i="82" s="1"/>
  <c r="CN13" i="82"/>
  <c r="CZ13" i="82" s="1"/>
  <c r="CU13" i="82" s="1"/>
  <c r="CN15" i="82"/>
  <c r="CZ15" i="82" s="1"/>
  <c r="CU15" i="82" s="1"/>
  <c r="CN16" i="82"/>
  <c r="CZ16" i="82" s="1"/>
  <c r="CU16" i="82" s="1"/>
  <c r="CN17" i="82"/>
  <c r="CZ17" i="82" s="1"/>
  <c r="CU17" i="82" s="1"/>
  <c r="CN19" i="82"/>
  <c r="CZ19" i="82" s="1"/>
  <c r="CU19" i="82" s="1"/>
  <c r="CN20" i="82"/>
  <c r="CZ20" i="82" s="1"/>
  <c r="CU20" i="82" s="1"/>
  <c r="CN21" i="82"/>
  <c r="CZ21" i="82" s="1"/>
  <c r="CU21" i="82" s="1"/>
  <c r="CN23" i="82"/>
  <c r="CZ23" i="82" s="1"/>
  <c r="CU23" i="82" s="1"/>
  <c r="CN24" i="82"/>
  <c r="CZ24" i="82" s="1"/>
  <c r="CU24" i="82" s="1"/>
  <c r="CN25" i="82"/>
  <c r="CZ25" i="82" s="1"/>
  <c r="CU25" i="82" s="1"/>
  <c r="CN27" i="82"/>
  <c r="CZ27" i="82" s="1"/>
  <c r="CU27" i="82" s="1"/>
  <c r="CN28" i="82"/>
  <c r="CZ28" i="82" s="1"/>
  <c r="CU28" i="82" s="1"/>
  <c r="CN29" i="82"/>
  <c r="CZ29" i="82" s="1"/>
  <c r="CU29" i="82" s="1"/>
  <c r="CN31" i="82"/>
  <c r="CZ31" i="82" s="1"/>
  <c r="CU31" i="82" s="1"/>
  <c r="CN32" i="82"/>
  <c r="CZ32" i="82" s="1"/>
  <c r="CU32" i="82" s="1"/>
  <c r="CN33" i="82"/>
  <c r="CZ33" i="82" s="1"/>
  <c r="CU33" i="82" s="1"/>
  <c r="CN35" i="82"/>
  <c r="CZ35" i="82" s="1"/>
  <c r="CU35" i="82" s="1"/>
  <c r="CN36" i="82"/>
  <c r="CZ36" i="82" s="1"/>
  <c r="CU36" i="82" s="1"/>
  <c r="CN37" i="82"/>
  <c r="CZ37" i="82" s="1"/>
  <c r="CU37" i="82" s="1"/>
  <c r="CN39" i="82"/>
  <c r="CZ39" i="82" s="1"/>
  <c r="CU39" i="82" s="1"/>
  <c r="CN40" i="82"/>
  <c r="CZ40" i="82" s="1"/>
  <c r="CU40" i="82" s="1"/>
  <c r="CN41" i="82"/>
  <c r="CZ41" i="82" s="1"/>
  <c r="CU41" i="82" s="1"/>
  <c r="CN43" i="82"/>
  <c r="CZ43" i="82" s="1"/>
  <c r="CU43" i="82" s="1"/>
  <c r="CN44" i="82"/>
  <c r="CZ44" i="82" s="1"/>
  <c r="CU44" i="82" s="1"/>
  <c r="CN45" i="82"/>
  <c r="CZ45" i="82" s="1"/>
  <c r="CU45" i="82" s="1"/>
  <c r="CN47" i="82"/>
  <c r="CZ47" i="82" s="1"/>
  <c r="CU47" i="82" s="1"/>
  <c r="CN48" i="82"/>
  <c r="CZ48" i="82" s="1"/>
  <c r="CU48" i="82" s="1"/>
  <c r="CN49" i="82"/>
  <c r="CZ49" i="82" s="1"/>
  <c r="CU49" i="82" s="1"/>
  <c r="CN5" i="82"/>
  <c r="CZ5" i="82" s="1"/>
  <c r="CU5" i="82" s="1"/>
  <c r="BQ6" i="82"/>
  <c r="BQ7" i="82"/>
  <c r="BQ8" i="82"/>
  <c r="BQ9" i="82"/>
  <c r="BQ10" i="82"/>
  <c r="BQ11" i="82"/>
  <c r="BQ12" i="82"/>
  <c r="BQ13" i="82"/>
  <c r="BQ14" i="82"/>
  <c r="BQ15" i="82"/>
  <c r="BQ16" i="82"/>
  <c r="BQ17" i="82"/>
  <c r="BQ18" i="82"/>
  <c r="BQ19" i="82"/>
  <c r="BQ20" i="82"/>
  <c r="BQ21" i="82"/>
  <c r="BQ22" i="82"/>
  <c r="BQ23" i="82"/>
  <c r="BQ24" i="82"/>
  <c r="BQ25" i="82"/>
  <c r="BQ26" i="82"/>
  <c r="BQ27" i="82"/>
  <c r="BQ28" i="82"/>
  <c r="BQ29" i="82"/>
  <c r="BQ30" i="82"/>
  <c r="BQ31" i="82"/>
  <c r="BQ32" i="82"/>
  <c r="BQ33" i="82"/>
  <c r="BQ34" i="82"/>
  <c r="BQ35" i="82"/>
  <c r="BQ36" i="82"/>
  <c r="BQ37" i="82"/>
  <c r="BQ38" i="82"/>
  <c r="BQ39" i="82"/>
  <c r="BQ40" i="82"/>
  <c r="BQ41" i="82"/>
  <c r="BQ42" i="82"/>
  <c r="BQ43" i="82"/>
  <c r="BQ44" i="82"/>
  <c r="BQ45" i="82"/>
  <c r="BQ46" i="82"/>
  <c r="BQ47" i="82"/>
  <c r="BQ48" i="82"/>
  <c r="BQ49" i="82"/>
  <c r="BQ5" i="82"/>
  <c r="BY49" i="82" l="1"/>
  <c r="CA49" i="82" s="1"/>
  <c r="BU49" i="82"/>
  <c r="BY41" i="82"/>
  <c r="CA41" i="82" s="1"/>
  <c r="BU41" i="82"/>
  <c r="BY37" i="82"/>
  <c r="CA37" i="82" s="1"/>
  <c r="BU37" i="82"/>
  <c r="BY33" i="82"/>
  <c r="CA33" i="82" s="1"/>
  <c r="BU33" i="82"/>
  <c r="BY29" i="82"/>
  <c r="CA29" i="82" s="1"/>
  <c r="BU29" i="82"/>
  <c r="BY25" i="82"/>
  <c r="CA25" i="82" s="1"/>
  <c r="BU25" i="82"/>
  <c r="BY21" i="82"/>
  <c r="CA21" i="82" s="1"/>
  <c r="BU21" i="82"/>
  <c r="BY17" i="82"/>
  <c r="CA17" i="82" s="1"/>
  <c r="BU17" i="82"/>
  <c r="BY13" i="82"/>
  <c r="CA13" i="82" s="1"/>
  <c r="BU13" i="82"/>
  <c r="BY9" i="82"/>
  <c r="CA9" i="82" s="1"/>
  <c r="BU9" i="82"/>
  <c r="BY45" i="82"/>
  <c r="CA45" i="82" s="1"/>
  <c r="BU45" i="82"/>
  <c r="BY48" i="82"/>
  <c r="CA48" i="82" s="1"/>
  <c r="BU48" i="82"/>
  <c r="BY44" i="82"/>
  <c r="CA44" i="82" s="1"/>
  <c r="BU44" i="82"/>
  <c r="BY40" i="82"/>
  <c r="CA40" i="82" s="1"/>
  <c r="BU40" i="82"/>
  <c r="BY36" i="82"/>
  <c r="CA36" i="82" s="1"/>
  <c r="BU36" i="82"/>
  <c r="BY32" i="82"/>
  <c r="CA32" i="82" s="1"/>
  <c r="BU32" i="82"/>
  <c r="BY28" i="82"/>
  <c r="CA28" i="82" s="1"/>
  <c r="BU28" i="82"/>
  <c r="BY24" i="82"/>
  <c r="CA24" i="82" s="1"/>
  <c r="BU24" i="82"/>
  <c r="BY20" i="82"/>
  <c r="CA20" i="82" s="1"/>
  <c r="BU20" i="82"/>
  <c r="BY16" i="82"/>
  <c r="CA16" i="82" s="1"/>
  <c r="BU16" i="82"/>
  <c r="BY12" i="82"/>
  <c r="CA12" i="82" s="1"/>
  <c r="BU12" i="82"/>
  <c r="BY8" i="82"/>
  <c r="CA8" i="82" s="1"/>
  <c r="BU8" i="82"/>
  <c r="BY47" i="82"/>
  <c r="CA47" i="82" s="1"/>
  <c r="BU47" i="82"/>
  <c r="BY43" i="82"/>
  <c r="CA43" i="82" s="1"/>
  <c r="BU43" i="82"/>
  <c r="BY39" i="82"/>
  <c r="CA39" i="82" s="1"/>
  <c r="BU39" i="82"/>
  <c r="BY35" i="82"/>
  <c r="CA35" i="82" s="1"/>
  <c r="BU35" i="82"/>
  <c r="BY31" i="82"/>
  <c r="CA31" i="82" s="1"/>
  <c r="BU31" i="82"/>
  <c r="BY27" i="82"/>
  <c r="CA27" i="82" s="1"/>
  <c r="BU27" i="82"/>
  <c r="BY23" i="82"/>
  <c r="CA23" i="82" s="1"/>
  <c r="BU23" i="82"/>
  <c r="BY19" i="82"/>
  <c r="CA19" i="82" s="1"/>
  <c r="BU19" i="82"/>
  <c r="BY15" i="82"/>
  <c r="CA15" i="82" s="1"/>
  <c r="BU15" i="82"/>
  <c r="BY11" i="82"/>
  <c r="CA11" i="82" s="1"/>
  <c r="BU11" i="82"/>
  <c r="BY7" i="82"/>
  <c r="CA7" i="82" s="1"/>
  <c r="BU7" i="82"/>
  <c r="BY5" i="82"/>
  <c r="CA5" i="82" s="1"/>
  <c r="BU5" i="82"/>
  <c r="BY46" i="82"/>
  <c r="CA46" i="82" s="1"/>
  <c r="BU46" i="82"/>
  <c r="BY42" i="82"/>
  <c r="CA42" i="82" s="1"/>
  <c r="BU42" i="82"/>
  <c r="BY38" i="82"/>
  <c r="CA38" i="82" s="1"/>
  <c r="BU38" i="82"/>
  <c r="BY34" i="82"/>
  <c r="CA34" i="82" s="1"/>
  <c r="BU34" i="82"/>
  <c r="BY30" i="82"/>
  <c r="CA30" i="82" s="1"/>
  <c r="BU30" i="82"/>
  <c r="BY26" i="82"/>
  <c r="CA26" i="82" s="1"/>
  <c r="BU26" i="82"/>
  <c r="BY22" i="82"/>
  <c r="CA22" i="82" s="1"/>
  <c r="BU22" i="82"/>
  <c r="BY18" i="82"/>
  <c r="CA18" i="82" s="1"/>
  <c r="BU18" i="82"/>
  <c r="BY14" i="82"/>
  <c r="CA14" i="82" s="1"/>
  <c r="BU14" i="82"/>
  <c r="BY10" i="82"/>
  <c r="CA10" i="82" s="1"/>
  <c r="BU10" i="82"/>
  <c r="BY6" i="82"/>
  <c r="CA6" i="82" s="1"/>
  <c r="BU6" i="82"/>
  <c r="CN22" i="82"/>
  <c r="CZ22" i="82" s="1"/>
  <c r="CU22" i="82" s="1"/>
  <c r="AB8" i="89" l="1"/>
  <c r="AB9" i="89"/>
  <c r="AB10" i="89"/>
  <c r="AB11" i="89"/>
  <c r="AB12" i="89"/>
  <c r="AB13" i="89"/>
  <c r="AB14" i="89"/>
  <c r="AB15" i="89"/>
  <c r="AB16" i="89"/>
  <c r="AB17" i="89"/>
  <c r="AB18" i="89"/>
  <c r="AB19" i="89"/>
  <c r="AB20" i="89"/>
  <c r="AB21" i="89"/>
  <c r="AB22" i="89"/>
  <c r="AB7" i="89"/>
  <c r="AA7" i="89"/>
  <c r="AB51" i="89" l="1"/>
  <c r="AB53" i="89"/>
  <c r="AB52" i="89"/>
  <c r="AB50" i="89"/>
  <c r="AB99" i="89"/>
  <c r="AB101" i="89"/>
  <c r="AB100" i="89"/>
  <c r="AB98" i="89"/>
  <c r="AB67" i="89"/>
  <c r="AB69" i="89"/>
  <c r="AB68" i="89"/>
  <c r="AB66" i="89"/>
  <c r="AB95" i="89"/>
  <c r="AB97" i="89"/>
  <c r="AB96" i="89"/>
  <c r="AB94" i="89"/>
  <c r="AB91" i="89"/>
  <c r="AB93" i="89"/>
  <c r="AB92" i="89"/>
  <c r="AB90" i="89"/>
  <c r="AB59" i="89"/>
  <c r="AB61" i="89"/>
  <c r="AB60" i="89"/>
  <c r="AB58" i="89"/>
  <c r="AB83" i="89"/>
  <c r="AB85" i="89"/>
  <c r="AB84" i="89"/>
  <c r="AB82" i="89"/>
  <c r="AB111" i="89"/>
  <c r="AB113" i="89"/>
  <c r="AB110" i="89"/>
  <c r="AB112" i="89"/>
  <c r="AB79" i="89"/>
  <c r="AB81" i="89"/>
  <c r="AB80" i="89"/>
  <c r="AB78" i="89"/>
  <c r="AB63" i="89"/>
  <c r="AB65" i="89"/>
  <c r="AB64" i="89"/>
  <c r="AB62" i="89"/>
  <c r="AB107" i="89"/>
  <c r="AB109" i="89"/>
  <c r="AB108" i="89"/>
  <c r="AB106" i="89"/>
  <c r="AB75" i="89"/>
  <c r="AB77" i="89"/>
  <c r="AB76" i="89"/>
  <c r="AB74" i="89"/>
  <c r="AB103" i="89"/>
  <c r="AB105" i="89"/>
  <c r="AB104" i="89"/>
  <c r="AB102" i="89"/>
  <c r="AB87" i="89"/>
  <c r="AB89" i="89"/>
  <c r="AB86" i="89"/>
  <c r="AB88" i="89"/>
  <c r="AB71" i="89"/>
  <c r="AB73" i="89"/>
  <c r="AB70" i="89"/>
  <c r="AB72" i="89"/>
  <c r="AB55" i="89"/>
  <c r="AB57" i="89"/>
  <c r="AB54" i="89"/>
  <c r="AB56" i="89"/>
  <c r="AB38" i="89" l="1"/>
  <c r="Y38" i="89"/>
  <c r="U38" i="89"/>
  <c r="W38" i="89"/>
  <c r="Z38" i="89"/>
  <c r="Z43" i="89" s="1"/>
  <c r="CG3" i="89" s="1"/>
  <c r="R38" i="89"/>
  <c r="T38" i="89"/>
  <c r="V38" i="89"/>
  <c r="X38" i="89"/>
  <c r="Q43" i="89"/>
  <c r="S38" i="89"/>
  <c r="X43" i="89" l="1"/>
  <c r="AN38" i="89"/>
  <c r="V43" i="89"/>
  <c r="AL38" i="89"/>
  <c r="W43" i="89"/>
  <c r="AM38" i="89"/>
  <c r="S43" i="89"/>
  <c r="AI38" i="89"/>
  <c r="T43" i="89"/>
  <c r="AJ38" i="89"/>
  <c r="U43" i="89"/>
  <c r="AK38" i="89"/>
  <c r="R43" i="89"/>
  <c r="AH38" i="89"/>
  <c r="Y43" i="89"/>
  <c r="AO38" i="89"/>
  <c r="CG8" i="89"/>
  <c r="CG12" i="89"/>
  <c r="CG16" i="89"/>
  <c r="CG20" i="89"/>
  <c r="CG24" i="89"/>
  <c r="CG28" i="89"/>
  <c r="CG32" i="89"/>
  <c r="CG36" i="89"/>
  <c r="CG40" i="89"/>
  <c r="CG44" i="89"/>
  <c r="CG48" i="89"/>
  <c r="CG52" i="89"/>
  <c r="CG56" i="89"/>
  <c r="CG19" i="89"/>
  <c r="CG27" i="89"/>
  <c r="CG35" i="89"/>
  <c r="CG9" i="89"/>
  <c r="CG13" i="89"/>
  <c r="CG17" i="89"/>
  <c r="CG21" i="89"/>
  <c r="CG25" i="89"/>
  <c r="CG29" i="89"/>
  <c r="CG33" i="89"/>
  <c r="CG37" i="89"/>
  <c r="CG41" i="89"/>
  <c r="CG45" i="89"/>
  <c r="CG49" i="89"/>
  <c r="CG53" i="89"/>
  <c r="CG57" i="89"/>
  <c r="CG6" i="89"/>
  <c r="CG7" i="89"/>
  <c r="CG11" i="89"/>
  <c r="CG31" i="89"/>
  <c r="CG39" i="89"/>
  <c r="CG47" i="89"/>
  <c r="CG10" i="89"/>
  <c r="CG14" i="89"/>
  <c r="CG18" i="89"/>
  <c r="CG22" i="89"/>
  <c r="CG26" i="89"/>
  <c r="CG30" i="89"/>
  <c r="CG34" i="89"/>
  <c r="CG38" i="89"/>
  <c r="CG42" i="89"/>
  <c r="CG46" i="89"/>
  <c r="CG50" i="89"/>
  <c r="CG54" i="89"/>
  <c r="CG15" i="89"/>
  <c r="CG23" i="89"/>
  <c r="CG43" i="89"/>
  <c r="CG51" i="89"/>
  <c r="CG55" i="89"/>
  <c r="AB43" i="89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4" i="88"/>
  <c r="E5" i="88"/>
  <c r="E6" i="88"/>
  <c r="E7" i="88"/>
  <c r="E8" i="88"/>
  <c r="E9" i="88"/>
  <c r="E10" i="88"/>
  <c r="E11" i="88"/>
  <c r="E12" i="88"/>
  <c r="E13" i="88"/>
  <c r="E14" i="88"/>
  <c r="E15" i="88"/>
  <c r="E16" i="88"/>
  <c r="E17" i="88"/>
  <c r="E18" i="88"/>
  <c r="D4" i="88"/>
  <c r="E4" i="88" s="1"/>
  <c r="AO206" i="90" l="1"/>
  <c r="AO778" i="90"/>
  <c r="AO1454" i="90"/>
  <c r="AO414" i="90"/>
  <c r="AO986" i="90"/>
  <c r="AO310" i="90"/>
  <c r="AO1038" i="90"/>
  <c r="AO622" i="90"/>
  <c r="AO1194" i="90"/>
  <c r="AO570" i="90"/>
  <c r="AO258" i="90"/>
  <c r="AO1246" i="90"/>
  <c r="AO830" i="90"/>
  <c r="AO1402" i="90"/>
  <c r="AO154" i="90"/>
  <c r="AO362" i="90"/>
  <c r="AO726" i="90"/>
  <c r="AO674" i="90"/>
  <c r="AO1350" i="90"/>
  <c r="AO518" i="90"/>
  <c r="AO102" i="90"/>
  <c r="AO1298" i="90"/>
  <c r="AO882" i="90"/>
  <c r="AO934" i="90"/>
  <c r="AO50" i="90"/>
  <c r="AO1090" i="90"/>
  <c r="AO466" i="90"/>
  <c r="AO1142" i="90"/>
  <c r="AO1353" i="90"/>
  <c r="AO729" i="90"/>
  <c r="AO1145" i="90"/>
  <c r="AO521" i="90"/>
  <c r="AO937" i="90"/>
  <c r="AO625" i="90"/>
  <c r="AO1301" i="90"/>
  <c r="AO469" i="90"/>
  <c r="AO53" i="90"/>
  <c r="AO781" i="90"/>
  <c r="AO1197" i="90"/>
  <c r="AO209" i="90"/>
  <c r="AO677" i="90"/>
  <c r="AO105" i="90"/>
  <c r="AO157" i="90"/>
  <c r="AO417" i="90"/>
  <c r="AO365" i="90"/>
  <c r="AO885" i="90"/>
  <c r="AO313" i="90"/>
  <c r="AO989" i="90"/>
  <c r="AO261" i="90"/>
  <c r="AO1457" i="90"/>
  <c r="AO1093" i="90"/>
  <c r="AO1041" i="90"/>
  <c r="AO833" i="90"/>
  <c r="AO1249" i="90"/>
  <c r="AO1405" i="90"/>
  <c r="AO573" i="90"/>
  <c r="AO1034" i="90"/>
  <c r="AO358" i="90"/>
  <c r="AO1086" i="90"/>
  <c r="AO670" i="90"/>
  <c r="AO1242" i="90"/>
  <c r="AO462" i="90"/>
  <c r="AO878" i="90"/>
  <c r="AO1450" i="90"/>
  <c r="AO202" i="90"/>
  <c r="AO618" i="90"/>
  <c r="AO410" i="90"/>
  <c r="AO774" i="90"/>
  <c r="AO1294" i="90"/>
  <c r="AO46" i="90"/>
  <c r="AO254" i="90"/>
  <c r="AO826" i="90"/>
  <c r="AO150" i="90"/>
  <c r="AO722" i="90"/>
  <c r="AO1346" i="90"/>
  <c r="AO930" i="90"/>
  <c r="AO306" i="90"/>
  <c r="AO1138" i="90"/>
  <c r="AO982" i="90"/>
  <c r="AO98" i="90"/>
  <c r="AO1190" i="90"/>
  <c r="AO514" i="90"/>
  <c r="AO1398" i="90"/>
  <c r="AO566" i="90"/>
  <c r="AO464" i="90"/>
  <c r="AO1088" i="90"/>
  <c r="AO1036" i="90"/>
  <c r="AO412" i="90"/>
  <c r="AO1244" i="90"/>
  <c r="AO100" i="90"/>
  <c r="AO256" i="90"/>
  <c r="AO620" i="90"/>
  <c r="AO724" i="90"/>
  <c r="AO672" i="90"/>
  <c r="AO1452" i="90"/>
  <c r="AO828" i="90"/>
  <c r="AO48" i="90"/>
  <c r="AO1400" i="90"/>
  <c r="AO1348" i="90"/>
  <c r="AO880" i="90"/>
  <c r="AO1296" i="90"/>
  <c r="AO204" i="90"/>
  <c r="AO568" i="90"/>
  <c r="AO932" i="90"/>
  <c r="AO984" i="90"/>
  <c r="AO308" i="90"/>
  <c r="AO516" i="90"/>
  <c r="AO152" i="90"/>
  <c r="AO1192" i="90"/>
  <c r="AO360" i="90"/>
  <c r="AO776" i="90"/>
  <c r="AO1140" i="90"/>
  <c r="AO1035" i="90"/>
  <c r="AO47" i="90"/>
  <c r="AO1243" i="90"/>
  <c r="AO827" i="90"/>
  <c r="AO411" i="90"/>
  <c r="AO1087" i="90"/>
  <c r="AO1295" i="90"/>
  <c r="AO775" i="90"/>
  <c r="AO359" i="90"/>
  <c r="AO151" i="90"/>
  <c r="AO1451" i="90"/>
  <c r="AO1347" i="90"/>
  <c r="AO203" i="90"/>
  <c r="AO671" i="90"/>
  <c r="AO255" i="90"/>
  <c r="AO1399" i="90"/>
  <c r="AO879" i="90"/>
  <c r="AO463" i="90"/>
  <c r="AO619" i="90"/>
  <c r="AO723" i="90"/>
  <c r="AO99" i="90"/>
  <c r="AO1139" i="90"/>
  <c r="AO983" i="90"/>
  <c r="AO1191" i="90"/>
  <c r="AO567" i="90"/>
  <c r="AO931" i="90"/>
  <c r="AO307" i="90"/>
  <c r="AO515" i="90"/>
  <c r="AO1198" i="90"/>
  <c r="AO938" i="90"/>
  <c r="AO782" i="90"/>
  <c r="AO1354" i="90"/>
  <c r="AO106" i="90"/>
  <c r="AO314" i="90"/>
  <c r="AO678" i="90"/>
  <c r="AO574" i="90"/>
  <c r="AO730" i="90"/>
  <c r="AO886" i="90"/>
  <c r="AO1406" i="90"/>
  <c r="AO158" i="90"/>
  <c r="AO366" i="90"/>
  <c r="AO262" i="90"/>
  <c r="AO990" i="90"/>
  <c r="AO1146" i="90"/>
  <c r="AO522" i="90"/>
  <c r="AO210" i="90"/>
  <c r="AO1042" i="90"/>
  <c r="AO1094" i="90"/>
  <c r="AO1250" i="90"/>
  <c r="AO626" i="90"/>
  <c r="AO1302" i="90"/>
  <c r="AO470" i="90"/>
  <c r="AO54" i="90"/>
  <c r="AO418" i="90"/>
  <c r="AO834" i="90"/>
  <c r="AO1458" i="90"/>
  <c r="AO831" i="90"/>
  <c r="AO571" i="90"/>
  <c r="AO155" i="90"/>
  <c r="AO987" i="90"/>
  <c r="AO1039" i="90"/>
  <c r="AO779" i="90"/>
  <c r="AO363" i="90"/>
  <c r="AO1195" i="90"/>
  <c r="AO1247" i="90"/>
  <c r="AO727" i="90"/>
  <c r="AO311" i="90"/>
  <c r="AO103" i="90"/>
  <c r="AO415" i="90"/>
  <c r="AO1403" i="90"/>
  <c r="AO1455" i="90"/>
  <c r="AO623" i="90"/>
  <c r="AO1351" i="90"/>
  <c r="AO519" i="90"/>
  <c r="AO207" i="90"/>
  <c r="AO883" i="90"/>
  <c r="AO1143" i="90"/>
  <c r="AO467" i="90"/>
  <c r="AO1299" i="90"/>
  <c r="AO259" i="90"/>
  <c r="AO675" i="90"/>
  <c r="AO51" i="90"/>
  <c r="AO935" i="90"/>
  <c r="AO1091" i="90"/>
  <c r="AO569" i="90"/>
  <c r="AO777" i="90"/>
  <c r="AO1193" i="90"/>
  <c r="AO985" i="90"/>
  <c r="AO1401" i="90"/>
  <c r="AO101" i="90"/>
  <c r="AO1453" i="90"/>
  <c r="AO153" i="90"/>
  <c r="AO309" i="90"/>
  <c r="AO465" i="90"/>
  <c r="AO257" i="90"/>
  <c r="AO881" i="90"/>
  <c r="AO413" i="90"/>
  <c r="AO1089" i="90"/>
  <c r="AO361" i="90"/>
  <c r="AO517" i="90"/>
  <c r="AO49" i="90"/>
  <c r="AO205" i="90"/>
  <c r="AO1037" i="90"/>
  <c r="AO1141" i="90"/>
  <c r="AO933" i="90"/>
  <c r="AO1349" i="90"/>
  <c r="AO621" i="90"/>
  <c r="AO1297" i="90"/>
  <c r="AO1245" i="90"/>
  <c r="AO725" i="90"/>
  <c r="AO673" i="90"/>
  <c r="AO829" i="90"/>
  <c r="AO1456" i="90"/>
  <c r="AO832" i="90"/>
  <c r="AO572" i="90"/>
  <c r="AO1248" i="90"/>
  <c r="AO520" i="90"/>
  <c r="AO52" i="90"/>
  <c r="AO884" i="90"/>
  <c r="AO1040" i="90"/>
  <c r="AO988" i="90"/>
  <c r="AO1196" i="90"/>
  <c r="AO364" i="90"/>
  <c r="AO156" i="90"/>
  <c r="AO208" i="90"/>
  <c r="AO260" i="90"/>
  <c r="AO624" i="90"/>
  <c r="AO416" i="90"/>
  <c r="AO1404" i="90"/>
  <c r="AO780" i="90"/>
  <c r="AO1352" i="90"/>
  <c r="AO728" i="90"/>
  <c r="AO468" i="90"/>
  <c r="AO936" i="90"/>
  <c r="AO676" i="90"/>
  <c r="AO104" i="90"/>
  <c r="AO1144" i="90"/>
  <c r="AO312" i="90"/>
  <c r="AO1300" i="90"/>
  <c r="AO1092" i="90"/>
  <c r="AO1449" i="90"/>
  <c r="AO617" i="90"/>
  <c r="AO1241" i="90"/>
  <c r="AO1033" i="90"/>
  <c r="AO825" i="90"/>
  <c r="AO253" i="90"/>
  <c r="AO1397" i="90"/>
  <c r="AO1345" i="90"/>
  <c r="AO773" i="90"/>
  <c r="AO97" i="90"/>
  <c r="AO669" i="90"/>
  <c r="AO721" i="90"/>
  <c r="AO409" i="90"/>
  <c r="AO1189" i="90"/>
  <c r="AO929" i="90"/>
  <c r="AO45" i="90"/>
  <c r="AO877" i="90"/>
  <c r="AO461" i="90"/>
  <c r="AO513" i="90"/>
  <c r="AO201" i="90"/>
  <c r="AO1137" i="90"/>
  <c r="AO149" i="90"/>
  <c r="AO1293" i="90"/>
  <c r="AO357" i="90"/>
  <c r="AO565" i="90"/>
  <c r="AO305" i="90"/>
  <c r="AO981" i="90"/>
  <c r="AO1085" i="90"/>
  <c r="AO368" i="90"/>
  <c r="AO160" i="90"/>
  <c r="AO1356" i="90"/>
  <c r="AO732" i="90"/>
  <c r="AO1304" i="90"/>
  <c r="AO1408" i="90"/>
  <c r="AO784" i="90"/>
  <c r="AO524" i="90"/>
  <c r="AO472" i="90"/>
  <c r="AO420" i="90"/>
  <c r="AO992" i="90"/>
  <c r="AO940" i="90"/>
  <c r="AO316" i="90"/>
  <c r="AO108" i="90"/>
  <c r="AO628" i="90"/>
  <c r="AO576" i="90"/>
  <c r="AO1200" i="90"/>
  <c r="AO1148" i="90"/>
  <c r="AO1044" i="90"/>
  <c r="AO836" i="90"/>
  <c r="AO1252" i="90"/>
  <c r="AO680" i="90"/>
  <c r="AO1460" i="90"/>
  <c r="AO888" i="90"/>
  <c r="AO56" i="90"/>
  <c r="AO212" i="90"/>
  <c r="AO1096" i="90"/>
  <c r="AO264" i="90"/>
  <c r="AO1199" i="90"/>
  <c r="AO1407" i="90"/>
  <c r="AO1303" i="90"/>
  <c r="AO887" i="90"/>
  <c r="AO471" i="90"/>
  <c r="AO835" i="90"/>
  <c r="AO783" i="90"/>
  <c r="AO367" i="90"/>
  <c r="AO575" i="90"/>
  <c r="AO107" i="90"/>
  <c r="AO627" i="90"/>
  <c r="AO419" i="90"/>
  <c r="AO939" i="90"/>
  <c r="AO523" i="90"/>
  <c r="AO991" i="90"/>
  <c r="AO731" i="90"/>
  <c r="AO315" i="90"/>
  <c r="AO1147" i="90"/>
  <c r="AO159" i="90"/>
  <c r="AO679" i="90"/>
  <c r="AO263" i="90"/>
  <c r="AO55" i="90"/>
  <c r="AO1355" i="90"/>
  <c r="AO1043" i="90"/>
  <c r="AO1095" i="90"/>
  <c r="AO1251" i="90"/>
  <c r="AO1459" i="90"/>
  <c r="AO211" i="90"/>
  <c r="CH3" i="89"/>
  <c r="S113" i="81"/>
  <c r="S101" i="81"/>
  <c r="S60" i="81"/>
  <c r="I16" i="82"/>
  <c r="K7" i="82"/>
  <c r="K8" i="82"/>
  <c r="K9" i="82"/>
  <c r="K10" i="82"/>
  <c r="K11" i="82"/>
  <c r="AF7" i="103" s="1"/>
  <c r="N10" i="88" s="1"/>
  <c r="K12" i="82"/>
  <c r="AF8" i="103" s="1"/>
  <c r="N11" i="88" s="1"/>
  <c r="K13" i="82"/>
  <c r="AF9" i="103" s="1"/>
  <c r="N12" i="88" s="1"/>
  <c r="K14" i="82"/>
  <c r="AF10" i="103" s="1"/>
  <c r="N13" i="88" s="1"/>
  <c r="K15" i="82"/>
  <c r="AF11" i="103" s="1"/>
  <c r="N14" i="88" s="1"/>
  <c r="K16" i="82"/>
  <c r="AF12" i="103" s="1"/>
  <c r="N15" i="88" s="1"/>
  <c r="K17" i="82"/>
  <c r="AF13" i="103" s="1"/>
  <c r="N16" i="88" s="1"/>
  <c r="K18" i="82"/>
  <c r="AF14" i="103" s="1"/>
  <c r="K19" i="82"/>
  <c r="K20" i="82"/>
  <c r="AF15" i="103" s="1"/>
  <c r="K6" i="82"/>
  <c r="N20" i="88" l="1"/>
  <c r="Q20" i="88" s="1"/>
  <c r="N19" i="88"/>
  <c r="N18" i="88"/>
  <c r="N17" i="88"/>
  <c r="DU26" i="82"/>
  <c r="DN26" i="82" s="1"/>
  <c r="DU27" i="82"/>
  <c r="DN27" i="82" s="1"/>
  <c r="DU28" i="82"/>
  <c r="DN28" i="82" s="1"/>
  <c r="DU5" i="82"/>
  <c r="DN5" i="82" s="1"/>
  <c r="DU7" i="82"/>
  <c r="DN7" i="82" s="1"/>
  <c r="DU6" i="82"/>
  <c r="DN6" i="82" s="1"/>
  <c r="DU24" i="82"/>
  <c r="DN24" i="82" s="1"/>
  <c r="DU23" i="82"/>
  <c r="DN23" i="82" s="1"/>
  <c r="DU25" i="82"/>
  <c r="DN25" i="82" s="1"/>
  <c r="DU35" i="82"/>
  <c r="DN35" i="82" s="1"/>
  <c r="DU37" i="82"/>
  <c r="DN37" i="82" s="1"/>
  <c r="DU36" i="82"/>
  <c r="DN36" i="82" s="1"/>
  <c r="DU46" i="82"/>
  <c r="DN46" i="82" s="1"/>
  <c r="DU45" i="82"/>
  <c r="DN45" i="82" s="1"/>
  <c r="DU44" i="82"/>
  <c r="DN44" i="82" s="1"/>
  <c r="DU34" i="82"/>
  <c r="DN34" i="82" s="1"/>
  <c r="DU33" i="82"/>
  <c r="DN33" i="82" s="1"/>
  <c r="DU32" i="82"/>
  <c r="DN32" i="82" s="1"/>
  <c r="DU21" i="82"/>
  <c r="DN21" i="82" s="1"/>
  <c r="DU20" i="82"/>
  <c r="DN20" i="82" s="1"/>
  <c r="DU22" i="82"/>
  <c r="DN22" i="82" s="1"/>
  <c r="DU8" i="82"/>
  <c r="DN8" i="82" s="1"/>
  <c r="DU10" i="82"/>
  <c r="DN10" i="82" s="1"/>
  <c r="DU9" i="82"/>
  <c r="DN9" i="82" s="1"/>
  <c r="DU40" i="82"/>
  <c r="DN40" i="82" s="1"/>
  <c r="DU38" i="82"/>
  <c r="DN38" i="82" s="1"/>
  <c r="DU39" i="82"/>
  <c r="DN39" i="82" s="1"/>
  <c r="DU15" i="82"/>
  <c r="DN15" i="82" s="1"/>
  <c r="DU14" i="82"/>
  <c r="DN14" i="82" s="1"/>
  <c r="DU16" i="82"/>
  <c r="DN16" i="82" s="1"/>
  <c r="DU48" i="82"/>
  <c r="DN48" i="82" s="1"/>
  <c r="DU47" i="82"/>
  <c r="DN47" i="82" s="1"/>
  <c r="DU49" i="82"/>
  <c r="DN49" i="82" s="1"/>
  <c r="DU11" i="82"/>
  <c r="DN11" i="82" s="1"/>
  <c r="DU13" i="82"/>
  <c r="DN13" i="82" s="1"/>
  <c r="DU12" i="82"/>
  <c r="DN12" i="82" s="1"/>
  <c r="DU42" i="82"/>
  <c r="DN42" i="82" s="1"/>
  <c r="DU43" i="82"/>
  <c r="DN43" i="82" s="1"/>
  <c r="DU41" i="82"/>
  <c r="DN41" i="82" s="1"/>
  <c r="DU29" i="82"/>
  <c r="DN29" i="82" s="1"/>
  <c r="DU31" i="82"/>
  <c r="DN31" i="82" s="1"/>
  <c r="DU30" i="82"/>
  <c r="DN30" i="82" s="1"/>
  <c r="DU19" i="82"/>
  <c r="DN19" i="82" s="1"/>
  <c r="DU18" i="82"/>
  <c r="DN18" i="82" s="1"/>
  <c r="DU17" i="82"/>
  <c r="DN17" i="82" s="1"/>
  <c r="S381" i="81"/>
  <c r="T381" i="81" s="1"/>
  <c r="S364" i="81"/>
  <c r="T364" i="81" s="1"/>
  <c r="S349" i="81"/>
  <c r="T349" i="81" s="1"/>
  <c r="S336" i="81"/>
  <c r="T336" i="81" s="1"/>
  <c r="S378" i="81"/>
  <c r="T378" i="81" s="1"/>
  <c r="S367" i="81"/>
  <c r="T367" i="81" s="1"/>
  <c r="S352" i="81"/>
  <c r="T352" i="81" s="1"/>
  <c r="S350" i="81"/>
  <c r="T350" i="81" s="1"/>
  <c r="S339" i="81"/>
  <c r="T339" i="81" s="1"/>
  <c r="S335" i="81"/>
  <c r="T335" i="81" s="1"/>
  <c r="S382" i="81"/>
  <c r="T382" i="81" s="1"/>
  <c r="S379" i="81"/>
  <c r="T379" i="81" s="1"/>
  <c r="S365" i="81"/>
  <c r="T365" i="81" s="1"/>
  <c r="S337" i="81"/>
  <c r="T337" i="81" s="1"/>
  <c r="S380" i="81"/>
  <c r="T380" i="81" s="1"/>
  <c r="S366" i="81"/>
  <c r="T366" i="81" s="1"/>
  <c r="S363" i="81"/>
  <c r="T363" i="81" s="1"/>
  <c r="S353" i="81"/>
  <c r="T353" i="81" s="1"/>
  <c r="S351" i="81"/>
  <c r="T351" i="81" s="1"/>
  <c r="S338" i="81"/>
  <c r="T338" i="81" s="1"/>
  <c r="S323" i="81"/>
  <c r="T323" i="81" s="1"/>
  <c r="S309" i="81"/>
  <c r="T309" i="81" s="1"/>
  <c r="S296" i="81"/>
  <c r="T296" i="81" s="1"/>
  <c r="S293" i="81"/>
  <c r="T293" i="81" s="1"/>
  <c r="S324" i="81"/>
  <c r="T324" i="81" s="1"/>
  <c r="S310" i="81"/>
  <c r="T310" i="81" s="1"/>
  <c r="S307" i="81"/>
  <c r="T307" i="81" s="1"/>
  <c r="S294" i="81"/>
  <c r="T294" i="81" s="1"/>
  <c r="S282" i="81"/>
  <c r="T282" i="81" s="1"/>
  <c r="S279" i="81"/>
  <c r="T279" i="81" s="1"/>
  <c r="S281" i="81"/>
  <c r="T281" i="81" s="1"/>
  <c r="S321" i="81"/>
  <c r="T321" i="81" s="1"/>
  <c r="S308" i="81"/>
  <c r="T308" i="81" s="1"/>
  <c r="S297" i="81"/>
  <c r="T297" i="81" s="1"/>
  <c r="S280" i="81"/>
  <c r="T280" i="81" s="1"/>
  <c r="S325" i="81"/>
  <c r="T325" i="81" s="1"/>
  <c r="S322" i="81"/>
  <c r="T322" i="81" s="1"/>
  <c r="S311" i="81"/>
  <c r="T311" i="81" s="1"/>
  <c r="S295" i="81"/>
  <c r="T295" i="81" s="1"/>
  <c r="S283" i="81"/>
  <c r="T283" i="81" s="1"/>
  <c r="AT45" i="82"/>
  <c r="AT47" i="82"/>
  <c r="AT48" i="82"/>
  <c r="AT46" i="82"/>
  <c r="AM18" i="82"/>
  <c r="Y18" i="82"/>
  <c r="G16" i="88" s="1"/>
  <c r="AK18" i="82"/>
  <c r="Y6" i="82"/>
  <c r="AK6" i="82"/>
  <c r="AM6" i="82"/>
  <c r="I5" i="88" s="1"/>
  <c r="AM17" i="82"/>
  <c r="Y17" i="82"/>
  <c r="G15" i="88" s="1"/>
  <c r="AK17" i="82"/>
  <c r="AM13" i="82"/>
  <c r="I12" i="88" s="1"/>
  <c r="Y13" i="82"/>
  <c r="AK13" i="82"/>
  <c r="AM9" i="82"/>
  <c r="Y9" i="82"/>
  <c r="G7" i="88" s="1"/>
  <c r="AK9" i="82"/>
  <c r="AM10" i="82"/>
  <c r="I9" i="88" s="1"/>
  <c r="Y10" i="82"/>
  <c r="AK10" i="82"/>
  <c r="Y20" i="82"/>
  <c r="AK20" i="82"/>
  <c r="AM20" i="82"/>
  <c r="I19" i="88" s="1"/>
  <c r="Y16" i="82"/>
  <c r="G14" i="88" s="1"/>
  <c r="AK16" i="82"/>
  <c r="AM16" i="82"/>
  <c r="I15" i="88" s="1"/>
  <c r="Y12" i="82"/>
  <c r="AK12" i="82"/>
  <c r="AM12" i="82"/>
  <c r="Y8" i="82"/>
  <c r="AK8" i="82"/>
  <c r="AM8" i="82"/>
  <c r="I7" i="88" s="1"/>
  <c r="AM14" i="82"/>
  <c r="Y14" i="82"/>
  <c r="G12" i="88" s="1"/>
  <c r="AK14" i="82"/>
  <c r="AK19" i="82"/>
  <c r="AM19" i="82"/>
  <c r="Y19" i="82"/>
  <c r="G17" i="88" s="1"/>
  <c r="AK15" i="82"/>
  <c r="AM15" i="82"/>
  <c r="Y15" i="82"/>
  <c r="AK11" i="82"/>
  <c r="AM11" i="82"/>
  <c r="Y11" i="82"/>
  <c r="G9" i="88" s="1"/>
  <c r="AK7" i="82"/>
  <c r="AM7" i="82"/>
  <c r="I6" i="88" s="1"/>
  <c r="Y7" i="82"/>
  <c r="W11" i="82"/>
  <c r="W10" i="82"/>
  <c r="W13" i="82"/>
  <c r="W6" i="82"/>
  <c r="W9" i="82"/>
  <c r="W12" i="82"/>
  <c r="W20" i="82"/>
  <c r="W8" i="82"/>
  <c r="W7" i="82"/>
  <c r="I16" i="88"/>
  <c r="W17" i="82"/>
  <c r="W16" i="82"/>
  <c r="I14" i="88"/>
  <c r="W15" i="82"/>
  <c r="W19" i="82"/>
  <c r="W18" i="82"/>
  <c r="W14" i="82"/>
  <c r="N213" i="81"/>
  <c r="N241" i="81"/>
  <c r="N245" i="81" s="1"/>
  <c r="G4" i="88"/>
  <c r="BJ17" i="90"/>
  <c r="BJ13" i="90"/>
  <c r="G11" i="88"/>
  <c r="BJ9" i="90"/>
  <c r="BJ15" i="90"/>
  <c r="G18" i="88"/>
  <c r="L21" i="82"/>
  <c r="AU68" i="82" s="1"/>
  <c r="BJ16" i="90"/>
  <c r="BJ12" i="90"/>
  <c r="G10" i="88"/>
  <c r="BJ8" i="90"/>
  <c r="G6" i="88"/>
  <c r="BJ19" i="90"/>
  <c r="I18" i="88"/>
  <c r="BJ11" i="90"/>
  <c r="I10" i="88"/>
  <c r="BJ7" i="90"/>
  <c r="BJ18" i="90"/>
  <c r="I17" i="88"/>
  <c r="BJ10" i="90"/>
  <c r="N226" i="81"/>
  <c r="N227" i="81"/>
  <c r="N212" i="81"/>
  <c r="S269" i="81"/>
  <c r="T269" i="81" s="1"/>
  <c r="S267" i="81"/>
  <c r="T267" i="81" s="1"/>
  <c r="S265" i="81"/>
  <c r="T265" i="81" s="1"/>
  <c r="S255" i="81"/>
  <c r="T255" i="81" s="1"/>
  <c r="S253" i="81"/>
  <c r="T253" i="81" s="1"/>
  <c r="S251" i="81"/>
  <c r="T251" i="81" s="1"/>
  <c r="S254" i="81"/>
  <c r="T254" i="81" s="1"/>
  <c r="S252" i="81"/>
  <c r="T252" i="81" s="1"/>
  <c r="S268" i="81"/>
  <c r="T268" i="81" s="1"/>
  <c r="S266" i="81"/>
  <c r="T266" i="81" s="1"/>
  <c r="S128" i="81"/>
  <c r="S226" i="81"/>
  <c r="S223" i="81"/>
  <c r="S213" i="81"/>
  <c r="S240" i="81"/>
  <c r="S237" i="81"/>
  <c r="S224" i="81"/>
  <c r="S211" i="81"/>
  <c r="S238" i="81"/>
  <c r="S227" i="81"/>
  <c r="S212" i="81"/>
  <c r="S209" i="81"/>
  <c r="S241" i="81"/>
  <c r="S239" i="81"/>
  <c r="S225" i="81"/>
  <c r="S210" i="81"/>
  <c r="S89" i="81"/>
  <c r="I13" i="88"/>
  <c r="BJ14" i="90"/>
  <c r="S88" i="81"/>
  <c r="BJ6" i="90"/>
  <c r="S74" i="81"/>
  <c r="S99" i="81"/>
  <c r="S73" i="81"/>
  <c r="S72" i="81"/>
  <c r="S125" i="81"/>
  <c r="S184" i="81"/>
  <c r="S182" i="81"/>
  <c r="S180" i="81"/>
  <c r="S167" i="81"/>
  <c r="S156" i="81"/>
  <c r="S154" i="81"/>
  <c r="S153" i="81"/>
  <c r="S142" i="81"/>
  <c r="S155" i="81"/>
  <c r="S152" i="81"/>
  <c r="S139" i="81"/>
  <c r="S138" i="81"/>
  <c r="S198" i="81"/>
  <c r="S196" i="81"/>
  <c r="S194" i="81"/>
  <c r="S181" i="81"/>
  <c r="S169" i="81"/>
  <c r="S166" i="81"/>
  <c r="S140" i="81"/>
  <c r="S195" i="81"/>
  <c r="S183" i="81"/>
  <c r="S141" i="81"/>
  <c r="S197" i="81"/>
  <c r="S170" i="81"/>
  <c r="S168" i="81"/>
  <c r="S75" i="81"/>
  <c r="S100" i="81"/>
  <c r="S111" i="81"/>
  <c r="S112" i="81"/>
  <c r="S124" i="81"/>
  <c r="S61" i="81"/>
  <c r="S87" i="81"/>
  <c r="S86" i="81"/>
  <c r="S59" i="81"/>
  <c r="S98" i="81"/>
  <c r="S71" i="81"/>
  <c r="S85" i="81"/>
  <c r="S115" i="81"/>
  <c r="S127" i="81"/>
  <c r="S102" i="81"/>
  <c r="S114" i="81"/>
  <c r="S126" i="81"/>
  <c r="S57" i="81"/>
  <c r="AA16" i="89"/>
  <c r="AA19" i="89"/>
  <c r="AA15" i="89"/>
  <c r="I8" i="88"/>
  <c r="AA11" i="89"/>
  <c r="AA20" i="89"/>
  <c r="AA22" i="89"/>
  <c r="AA18" i="89"/>
  <c r="I11" i="88"/>
  <c r="AA14" i="89"/>
  <c r="AA10" i="89"/>
  <c r="G8" i="88"/>
  <c r="AA12" i="89"/>
  <c r="AA8" i="89"/>
  <c r="AA21" i="89"/>
  <c r="G13" i="88"/>
  <c r="AA17" i="89"/>
  <c r="AA13" i="89"/>
  <c r="G5" i="88"/>
  <c r="AA9" i="89"/>
  <c r="S58" i="81"/>
  <c r="L20" i="82"/>
  <c r="AU61" i="82" s="1"/>
  <c r="I18" i="82"/>
  <c r="I10" i="82"/>
  <c r="I12" i="82"/>
  <c r="L18" i="82"/>
  <c r="AU55" i="82" s="1"/>
  <c r="L14" i="82"/>
  <c r="AU37" i="82" s="1"/>
  <c r="L10" i="82"/>
  <c r="AU23" i="82" s="1"/>
  <c r="I17" i="82"/>
  <c r="I9" i="82"/>
  <c r="L16" i="82"/>
  <c r="AU48" i="82" s="1"/>
  <c r="L8" i="82"/>
  <c r="AU15" i="82" s="1"/>
  <c r="I14" i="82"/>
  <c r="I20" i="82"/>
  <c r="L19" i="82"/>
  <c r="AU59" i="82" s="1"/>
  <c r="L11" i="82"/>
  <c r="AU25" i="82" s="1"/>
  <c r="L6" i="82"/>
  <c r="L17" i="82"/>
  <c r="AU49" i="82" s="1"/>
  <c r="L13" i="82"/>
  <c r="AU34" i="82" s="1"/>
  <c r="L9" i="82"/>
  <c r="AU19" i="82" s="1"/>
  <c r="I8" i="82"/>
  <c r="L15" i="82"/>
  <c r="AU44" i="82" s="1"/>
  <c r="L7" i="82"/>
  <c r="AU12" i="82" s="1"/>
  <c r="I19" i="82"/>
  <c r="I15" i="82"/>
  <c r="I11" i="82"/>
  <c r="I7" i="82"/>
  <c r="I6" i="82"/>
  <c r="I13" i="82"/>
  <c r="L12" i="82"/>
  <c r="AU31" i="82" s="1"/>
  <c r="AA99" i="89" l="1"/>
  <c r="AA101" i="89"/>
  <c r="AA98" i="89"/>
  <c r="AA100" i="89"/>
  <c r="AA75" i="89"/>
  <c r="AA77" i="89"/>
  <c r="AA76" i="89"/>
  <c r="AA74" i="89"/>
  <c r="AA63" i="89"/>
  <c r="AA65" i="89"/>
  <c r="AA64" i="89"/>
  <c r="AA62" i="89"/>
  <c r="AA55" i="89"/>
  <c r="AA57" i="89"/>
  <c r="AA56" i="89"/>
  <c r="AA54" i="89"/>
  <c r="AA51" i="89"/>
  <c r="AA53" i="89"/>
  <c r="AA50" i="89"/>
  <c r="AA52" i="89"/>
  <c r="AA67" i="89"/>
  <c r="AA69" i="89"/>
  <c r="AA68" i="89"/>
  <c r="AA66" i="89"/>
  <c r="AA87" i="89"/>
  <c r="AA89" i="89"/>
  <c r="AA86" i="89"/>
  <c r="AA88" i="89"/>
  <c r="AA59" i="89"/>
  <c r="AA61" i="89"/>
  <c r="AA60" i="89"/>
  <c r="AA58" i="89"/>
  <c r="AA91" i="89"/>
  <c r="AA93" i="89"/>
  <c r="AA90" i="89"/>
  <c r="AA92" i="89"/>
  <c r="AA71" i="89"/>
  <c r="AA73" i="89"/>
  <c r="AA72" i="89"/>
  <c r="AA70" i="89"/>
  <c r="AA79" i="89"/>
  <c r="AA81" i="89"/>
  <c r="AA78" i="89"/>
  <c r="AA80" i="89"/>
  <c r="AA111" i="89"/>
  <c r="AA113" i="89"/>
  <c r="AA112" i="89"/>
  <c r="AA110" i="89"/>
  <c r="AA107" i="89"/>
  <c r="AA109" i="89"/>
  <c r="AA108" i="89"/>
  <c r="AA106" i="89"/>
  <c r="AA95" i="89"/>
  <c r="AA97" i="89"/>
  <c r="AA94" i="89"/>
  <c r="AA96" i="89"/>
  <c r="AA103" i="89"/>
  <c r="AA105" i="89"/>
  <c r="AA104" i="89"/>
  <c r="AA102" i="89"/>
  <c r="AA83" i="89"/>
  <c r="AA85" i="89"/>
  <c r="AA82" i="89"/>
  <c r="AA84" i="89"/>
  <c r="N217" i="81"/>
  <c r="T213" i="81" s="1"/>
  <c r="AT25" i="82"/>
  <c r="AT28" i="82"/>
  <c r="AT26" i="82"/>
  <c r="AT27" i="82"/>
  <c r="BC138" i="82"/>
  <c r="BC136" i="82"/>
  <c r="BC139" i="82"/>
  <c r="BC143" i="82"/>
  <c r="BC142" i="82"/>
  <c r="BC135" i="82"/>
  <c r="BC137" i="82"/>
  <c r="BC144" i="82"/>
  <c r="BC141" i="82"/>
  <c r="BC140" i="82"/>
  <c r="BC123" i="82"/>
  <c r="BC120" i="82"/>
  <c r="BC119" i="82"/>
  <c r="BC115" i="82"/>
  <c r="BC124" i="82"/>
  <c r="BC121" i="82"/>
  <c r="BC122" i="82"/>
  <c r="BC116" i="82"/>
  <c r="BC117" i="82"/>
  <c r="BC118" i="82"/>
  <c r="BC151" i="82"/>
  <c r="BC152" i="82"/>
  <c r="BC149" i="82"/>
  <c r="BC154" i="82"/>
  <c r="BC146" i="82"/>
  <c r="BC147" i="82"/>
  <c r="BC153" i="82"/>
  <c r="BC148" i="82"/>
  <c r="BC145" i="82"/>
  <c r="BC150" i="82"/>
  <c r="BC75" i="82"/>
  <c r="BC79" i="82"/>
  <c r="BC82" i="82"/>
  <c r="BC83" i="82"/>
  <c r="BC78" i="82"/>
  <c r="BC80" i="82"/>
  <c r="BC77" i="82"/>
  <c r="BC84" i="82"/>
  <c r="BC81" i="82"/>
  <c r="BC76" i="82"/>
  <c r="AU16" i="82"/>
  <c r="AU30" i="82"/>
  <c r="BK60" i="82"/>
  <c r="BK58" i="82"/>
  <c r="BK61" i="82"/>
  <c r="BK56" i="82"/>
  <c r="BK62" i="82"/>
  <c r="BK57" i="82"/>
  <c r="BK59" i="82"/>
  <c r="BK63" i="82"/>
  <c r="BK64" i="82"/>
  <c r="BK55" i="82"/>
  <c r="AU45" i="82"/>
  <c r="AU63" i="82"/>
  <c r="AU41" i="82"/>
  <c r="AU18" i="82"/>
  <c r="AU33" i="82"/>
  <c r="AU51" i="82"/>
  <c r="AU67" i="82"/>
  <c r="BK146" i="82"/>
  <c r="BK148" i="82"/>
  <c r="BK154" i="82"/>
  <c r="BK147" i="82"/>
  <c r="BK153" i="82"/>
  <c r="BK152" i="82"/>
  <c r="BK151" i="82"/>
  <c r="BK149" i="82"/>
  <c r="BK145" i="82"/>
  <c r="BK150" i="82"/>
  <c r="AU27" i="82"/>
  <c r="AU21" i="82"/>
  <c r="AU40" i="82"/>
  <c r="BK84" i="82"/>
  <c r="BK78" i="82"/>
  <c r="BK76" i="82"/>
  <c r="BK80" i="82"/>
  <c r="BK77" i="82"/>
  <c r="BK75" i="82"/>
  <c r="BK79" i="82"/>
  <c r="BK82" i="82"/>
  <c r="BK83" i="82"/>
  <c r="BK81" i="82"/>
  <c r="AU56" i="82"/>
  <c r="AU10" i="82"/>
  <c r="AU58" i="82"/>
  <c r="BC101" i="82"/>
  <c r="BC104" i="82"/>
  <c r="BC100" i="82"/>
  <c r="BC97" i="82"/>
  <c r="BC99" i="82"/>
  <c r="BC98" i="82"/>
  <c r="BC95" i="82"/>
  <c r="BC103" i="82"/>
  <c r="BC96" i="82"/>
  <c r="BC102" i="82"/>
  <c r="BC69" i="82"/>
  <c r="BC74" i="82"/>
  <c r="BC72" i="82"/>
  <c r="BC68" i="82"/>
  <c r="BC65" i="82"/>
  <c r="BC71" i="82"/>
  <c r="BC73" i="82"/>
  <c r="BC70" i="82"/>
  <c r="BC67" i="82"/>
  <c r="BC66" i="82"/>
  <c r="BC54" i="82"/>
  <c r="BC45" i="82"/>
  <c r="BC49" i="82"/>
  <c r="BC51" i="82"/>
  <c r="BC53" i="82"/>
  <c r="BC52" i="82"/>
  <c r="BC47" i="82"/>
  <c r="BC46" i="82"/>
  <c r="BC48" i="82"/>
  <c r="BC50" i="82"/>
  <c r="AU14" i="82"/>
  <c r="BK24" i="82"/>
  <c r="BK21" i="82"/>
  <c r="BK20" i="82"/>
  <c r="BK19" i="82"/>
  <c r="BK18" i="82"/>
  <c r="BK15" i="82"/>
  <c r="BK22" i="82"/>
  <c r="BK17" i="82"/>
  <c r="BK16" i="82"/>
  <c r="BK23" i="82"/>
  <c r="AU29" i="82"/>
  <c r="AU47" i="82"/>
  <c r="AU62" i="82"/>
  <c r="AU43" i="82"/>
  <c r="AU17" i="82"/>
  <c r="AU35" i="82"/>
  <c r="AU50" i="82"/>
  <c r="BK114" i="82"/>
  <c r="BK112" i="82"/>
  <c r="BK111" i="82"/>
  <c r="BK110" i="82"/>
  <c r="BK105" i="82"/>
  <c r="BK109" i="82"/>
  <c r="BK108" i="82"/>
  <c r="BK107" i="82"/>
  <c r="BK106" i="82"/>
  <c r="BK113" i="82"/>
  <c r="AU66" i="82"/>
  <c r="AU26" i="82"/>
  <c r="AU22" i="82"/>
  <c r="BK44" i="82"/>
  <c r="BK40" i="82"/>
  <c r="BK41" i="82"/>
  <c r="BK43" i="82"/>
  <c r="BK35" i="82"/>
  <c r="BK38" i="82"/>
  <c r="BK36" i="82"/>
  <c r="BK42" i="82"/>
  <c r="BK37" i="82"/>
  <c r="BK39" i="82"/>
  <c r="AU38" i="82"/>
  <c r="AU54" i="82"/>
  <c r="AU9" i="82"/>
  <c r="AU60" i="82"/>
  <c r="BK125" i="82"/>
  <c r="BK126" i="82"/>
  <c r="BK127" i="82"/>
  <c r="BK130" i="82"/>
  <c r="BK131" i="82"/>
  <c r="BK133" i="82"/>
  <c r="BK132" i="82"/>
  <c r="BK128" i="82"/>
  <c r="BK134" i="82"/>
  <c r="BK129" i="82"/>
  <c r="AT33" i="82"/>
  <c r="AT35" i="82"/>
  <c r="AT36" i="82"/>
  <c r="AT34" i="82"/>
  <c r="AT44" i="82"/>
  <c r="AT42" i="82"/>
  <c r="AT43" i="82"/>
  <c r="AT41" i="82"/>
  <c r="AT13" i="82"/>
  <c r="AT15" i="82"/>
  <c r="AT14" i="82"/>
  <c r="AT16" i="82"/>
  <c r="AU6" i="82"/>
  <c r="AU8" i="82"/>
  <c r="AU5" i="82"/>
  <c r="AU7" i="82"/>
  <c r="AT38" i="82"/>
  <c r="AT40" i="82"/>
  <c r="AT39" i="82"/>
  <c r="AT37" i="82"/>
  <c r="AT52" i="82"/>
  <c r="AT49" i="82"/>
  <c r="AT50" i="82"/>
  <c r="AT51" i="82"/>
  <c r="AT30" i="82"/>
  <c r="AT31" i="82"/>
  <c r="AT29" i="82"/>
  <c r="AT32" i="82"/>
  <c r="BC87" i="82"/>
  <c r="BC85" i="82"/>
  <c r="BC88" i="82"/>
  <c r="BC93" i="82"/>
  <c r="BC90" i="82"/>
  <c r="BC92" i="82"/>
  <c r="BC94" i="82"/>
  <c r="BC89" i="82"/>
  <c r="BC91" i="82"/>
  <c r="BC86" i="82"/>
  <c r="BC21" i="82"/>
  <c r="BC24" i="82"/>
  <c r="BC23" i="82"/>
  <c r="BC22" i="82"/>
  <c r="BC15" i="82"/>
  <c r="BC19" i="82"/>
  <c r="BC16" i="82"/>
  <c r="BC18" i="82"/>
  <c r="BC17" i="82"/>
  <c r="BC20" i="82"/>
  <c r="BC42" i="82"/>
  <c r="BC40" i="82"/>
  <c r="BC37" i="82"/>
  <c r="BC36" i="82"/>
  <c r="BC38" i="82"/>
  <c r="BC44" i="82"/>
  <c r="BC43" i="82"/>
  <c r="BC39" i="82"/>
  <c r="BC35" i="82"/>
  <c r="BL8" i="90" s="1"/>
  <c r="BC41" i="82"/>
  <c r="BC62" i="82"/>
  <c r="BC58" i="82"/>
  <c r="BC63" i="82"/>
  <c r="BC57" i="82"/>
  <c r="BC60" i="82"/>
  <c r="BC64" i="82"/>
  <c r="BC59" i="82"/>
  <c r="BC55" i="82"/>
  <c r="BC61" i="82"/>
  <c r="BC56" i="82"/>
  <c r="AU13" i="82"/>
  <c r="AU32" i="82"/>
  <c r="AU46" i="82"/>
  <c r="AU64" i="82"/>
  <c r="BK143" i="82"/>
  <c r="BK137" i="82"/>
  <c r="BK141" i="82"/>
  <c r="BK144" i="82"/>
  <c r="BK140" i="82"/>
  <c r="BK139" i="82"/>
  <c r="BK135" i="82"/>
  <c r="BK142" i="82"/>
  <c r="BK136" i="82"/>
  <c r="BK138" i="82"/>
  <c r="AU42" i="82"/>
  <c r="AU20" i="82"/>
  <c r="AU36" i="82"/>
  <c r="BK72" i="82"/>
  <c r="BK73" i="82"/>
  <c r="BK66" i="82"/>
  <c r="BK71" i="82"/>
  <c r="BK69" i="82"/>
  <c r="BK68" i="82"/>
  <c r="BK65" i="82"/>
  <c r="BK70" i="82"/>
  <c r="BK74" i="82"/>
  <c r="BK67" i="82"/>
  <c r="AU52" i="82"/>
  <c r="AU65" i="82"/>
  <c r="AU28" i="82"/>
  <c r="BK48" i="82"/>
  <c r="BK50" i="82"/>
  <c r="BK45" i="82"/>
  <c r="BK52" i="82"/>
  <c r="BK46" i="82"/>
  <c r="BK53" i="82"/>
  <c r="BK47" i="82"/>
  <c r="BK51" i="82"/>
  <c r="BK49" i="82"/>
  <c r="BK54" i="82"/>
  <c r="AU24" i="82"/>
  <c r="AU39" i="82"/>
  <c r="AU53" i="82"/>
  <c r="AU11" i="82"/>
  <c r="AU57" i="82"/>
  <c r="AT64" i="82"/>
  <c r="AT63" i="82"/>
  <c r="AT61" i="82"/>
  <c r="AT62" i="82"/>
  <c r="AT17" i="82"/>
  <c r="AT19" i="82"/>
  <c r="AT18" i="82"/>
  <c r="AT20" i="82"/>
  <c r="AT7" i="82"/>
  <c r="AT5" i="82"/>
  <c r="AT8" i="82"/>
  <c r="AT6" i="82"/>
  <c r="AT60" i="82"/>
  <c r="AT59" i="82"/>
  <c r="AT58" i="82"/>
  <c r="AT57" i="82"/>
  <c r="AT21" i="82"/>
  <c r="AT22" i="82"/>
  <c r="AT24" i="82"/>
  <c r="AT23" i="82"/>
  <c r="AT9" i="82"/>
  <c r="AT10" i="82"/>
  <c r="AT12" i="82"/>
  <c r="AT11" i="82"/>
  <c r="AT56" i="82"/>
  <c r="AT53" i="82"/>
  <c r="AT55" i="82"/>
  <c r="AT54" i="82"/>
  <c r="BC127" i="82"/>
  <c r="BC125" i="82"/>
  <c r="BC132" i="82"/>
  <c r="BC129" i="82"/>
  <c r="BC131" i="82"/>
  <c r="BC130" i="82"/>
  <c r="BC126" i="82"/>
  <c r="BC133" i="82"/>
  <c r="BC134" i="82"/>
  <c r="BC128" i="82"/>
  <c r="BC113" i="82"/>
  <c r="BC107" i="82"/>
  <c r="BC111" i="82"/>
  <c r="BC106" i="82"/>
  <c r="BC110" i="82"/>
  <c r="BC105" i="82"/>
  <c r="BL15" i="90" s="1"/>
  <c r="BC112" i="82"/>
  <c r="BC109" i="82"/>
  <c r="BC114" i="82"/>
  <c r="BC108" i="82"/>
  <c r="BC27" i="82"/>
  <c r="BC30" i="82"/>
  <c r="BC31" i="82"/>
  <c r="BC25" i="82"/>
  <c r="BL7" i="90" s="1"/>
  <c r="BC26" i="82"/>
  <c r="BC28" i="82"/>
  <c r="BC32" i="82"/>
  <c r="BC34" i="82"/>
  <c r="BC33" i="82"/>
  <c r="BC29" i="82"/>
  <c r="BC14" i="82"/>
  <c r="BC13" i="82"/>
  <c r="BC12" i="82"/>
  <c r="BC7" i="82"/>
  <c r="BC6" i="82"/>
  <c r="BC9" i="82"/>
  <c r="BC10" i="82"/>
  <c r="BC11" i="82"/>
  <c r="BC8" i="82"/>
  <c r="BC5" i="82"/>
  <c r="BL5" i="90" s="1"/>
  <c r="BK96" i="82"/>
  <c r="BK98" i="82"/>
  <c r="BK104" i="82"/>
  <c r="BK103" i="82"/>
  <c r="BK95" i="82"/>
  <c r="BK101" i="82"/>
  <c r="BK100" i="82"/>
  <c r="BK97" i="82"/>
  <c r="BK102" i="82"/>
  <c r="BK99" i="82"/>
  <c r="BK92" i="82"/>
  <c r="BK89" i="82"/>
  <c r="BK88" i="82"/>
  <c r="BK90" i="82"/>
  <c r="BK93" i="82"/>
  <c r="BK94" i="82"/>
  <c r="BK91" i="82"/>
  <c r="BK85" i="82"/>
  <c r="BK86" i="82"/>
  <c r="BK87" i="82"/>
  <c r="BK29" i="82"/>
  <c r="BK26" i="82"/>
  <c r="BK32" i="82"/>
  <c r="BK25" i="82"/>
  <c r="BK33" i="82"/>
  <c r="BK28" i="82"/>
  <c r="BK31" i="82"/>
  <c r="BK27" i="82"/>
  <c r="BK34" i="82"/>
  <c r="BK30" i="82"/>
  <c r="BK121" i="82"/>
  <c r="BK116" i="82"/>
  <c r="BK120" i="82"/>
  <c r="BK124" i="82"/>
  <c r="BK122" i="82"/>
  <c r="BK118" i="82"/>
  <c r="BK117" i="82"/>
  <c r="BK123" i="82"/>
  <c r="BK115" i="82"/>
  <c r="BK119" i="82"/>
  <c r="BK5" i="82"/>
  <c r="BK10" i="82"/>
  <c r="BK8" i="82"/>
  <c r="BK6" i="82"/>
  <c r="BK13" i="82"/>
  <c r="BK11" i="82"/>
  <c r="BK12" i="82"/>
  <c r="BK14" i="82"/>
  <c r="BK9" i="82"/>
  <c r="BK7" i="82"/>
  <c r="T239" i="81"/>
  <c r="T238" i="81"/>
  <c r="T237" i="81"/>
  <c r="T241" i="81"/>
  <c r="T240" i="81"/>
  <c r="O244" i="81"/>
  <c r="N231" i="81"/>
  <c r="T227" i="81" s="1"/>
  <c r="T139" i="81"/>
  <c r="T195" i="81"/>
  <c r="AA38" i="89"/>
  <c r="T184" i="81"/>
  <c r="T156" i="81"/>
  <c r="T99" i="81"/>
  <c r="T125" i="81"/>
  <c r="BN8" i="90" l="1"/>
  <c r="BL9" i="90"/>
  <c r="BL12" i="90"/>
  <c r="BN17" i="90"/>
  <c r="BN12" i="90"/>
  <c r="BN16" i="90"/>
  <c r="BN7" i="90"/>
  <c r="BN13" i="90"/>
  <c r="BL16" i="90"/>
  <c r="BL18" i="90"/>
  <c r="BN10" i="90"/>
  <c r="BN9" i="90"/>
  <c r="BN14" i="90"/>
  <c r="BL17" i="90"/>
  <c r="BN19" i="90"/>
  <c r="BL6" i="90"/>
  <c r="BN18" i="90"/>
  <c r="BL19" i="90"/>
  <c r="BN6" i="90"/>
  <c r="BN15" i="90"/>
  <c r="BL10" i="90"/>
  <c r="BL13" i="90"/>
  <c r="BL11" i="90"/>
  <c r="BL14" i="90"/>
  <c r="BN11" i="90"/>
  <c r="T212" i="81"/>
  <c r="T211" i="81"/>
  <c r="T210" i="81"/>
  <c r="O216" i="81"/>
  <c r="T209" i="81"/>
  <c r="T226" i="81"/>
  <c r="O230" i="81"/>
  <c r="T141" i="81"/>
  <c r="T142" i="81"/>
  <c r="T224" i="81"/>
  <c r="T225" i="81"/>
  <c r="T223" i="81"/>
  <c r="T166" i="81"/>
  <c r="T170" i="81"/>
  <c r="T196" i="81"/>
  <c r="T168" i="81"/>
  <c r="T197" i="81"/>
  <c r="T169" i="81"/>
  <c r="T167" i="81"/>
  <c r="T140" i="81"/>
  <c r="T138" i="81"/>
  <c r="T194" i="81"/>
  <c r="T198" i="81"/>
  <c r="BV164" i="90"/>
  <c r="T181" i="81"/>
  <c r="T180" i="81"/>
  <c r="T183" i="81"/>
  <c r="T182" i="81"/>
  <c r="T111" i="81"/>
  <c r="T114" i="81"/>
  <c r="T153" i="81"/>
  <c r="T155" i="81"/>
  <c r="T152" i="81"/>
  <c r="T112" i="81"/>
  <c r="T154" i="81"/>
  <c r="T115" i="81"/>
  <c r="T113" i="81"/>
  <c r="T89" i="81"/>
  <c r="T128" i="81"/>
  <c r="T87" i="81"/>
  <c r="T88" i="81"/>
  <c r="T86" i="81"/>
  <c r="T85" i="81"/>
  <c r="T102" i="81"/>
  <c r="T101" i="81"/>
  <c r="T126" i="81"/>
  <c r="T100" i="81"/>
  <c r="T98" i="81"/>
  <c r="T127" i="81"/>
  <c r="T124" i="81"/>
  <c r="BO5" i="90"/>
  <c r="Y5" i="85"/>
  <c r="U5" i="85"/>
  <c r="BV194" i="90" l="1"/>
  <c r="BZ199" i="90" s="1"/>
  <c r="BV184" i="90"/>
  <c r="BZ190" i="90" s="1"/>
  <c r="BO9" i="90"/>
  <c r="BQ9" i="90" s="1"/>
  <c r="BV54" i="90" s="1"/>
  <c r="BV204" i="90"/>
  <c r="BZ209" i="90" s="1"/>
  <c r="BV174" i="90"/>
  <c r="BZ175" i="90" s="1"/>
  <c r="BO16" i="90"/>
  <c r="BQ16" i="90" s="1"/>
  <c r="BV124" i="90" s="1"/>
  <c r="BO18" i="90"/>
  <c r="BQ18" i="90" s="1"/>
  <c r="BV144" i="90" s="1"/>
  <c r="BZ172" i="90"/>
  <c r="BZ167" i="90"/>
  <c r="BZ170" i="90"/>
  <c r="BZ166" i="90"/>
  <c r="BZ168" i="90"/>
  <c r="BZ171" i="90"/>
  <c r="BZ163" i="90"/>
  <c r="BZ164" i="90"/>
  <c r="BZ165" i="90"/>
  <c r="BZ169" i="90"/>
  <c r="W10" i="85"/>
  <c r="U11" i="85"/>
  <c r="AN44" i="85" s="1"/>
  <c r="Y17" i="85"/>
  <c r="Y13" i="85"/>
  <c r="W16" i="85"/>
  <c r="AN70" i="85" s="1"/>
  <c r="Y11" i="85"/>
  <c r="W12" i="85"/>
  <c r="AN50" i="85" s="1"/>
  <c r="U13" i="85"/>
  <c r="AN54" i="85" s="1"/>
  <c r="U15" i="85"/>
  <c r="AN64" i="85" s="1"/>
  <c r="Y9" i="85"/>
  <c r="AD7" i="98" s="1"/>
  <c r="W11" i="85"/>
  <c r="AN45" i="85" s="1"/>
  <c r="U12" i="85"/>
  <c r="AN49" i="85" s="1"/>
  <c r="W17" i="85"/>
  <c r="AN75" i="85" s="1"/>
  <c r="U16" i="85"/>
  <c r="AN69" i="85" s="1"/>
  <c r="Y10" i="85"/>
  <c r="Y18" i="85"/>
  <c r="Y19" i="85"/>
  <c r="AD11" i="98" s="1"/>
  <c r="Y14" i="85"/>
  <c r="W5" i="85"/>
  <c r="U9" i="85"/>
  <c r="W18" i="85"/>
  <c r="AN80" i="85" s="1"/>
  <c r="W19" i="85"/>
  <c r="U17" i="85"/>
  <c r="AN74" i="85" s="1"/>
  <c r="Y15" i="85"/>
  <c r="W14" i="85"/>
  <c r="AN60" i="85" s="1"/>
  <c r="W9" i="85"/>
  <c r="AN35" i="85" s="1"/>
  <c r="U10" i="85"/>
  <c r="AN39" i="85" s="1"/>
  <c r="Y12" i="85"/>
  <c r="W13" i="85"/>
  <c r="U18" i="85"/>
  <c r="AN79" i="85" s="1"/>
  <c r="U19" i="85"/>
  <c r="Y16" i="85"/>
  <c r="W15" i="85"/>
  <c r="AN65" i="85" s="1"/>
  <c r="U14" i="85"/>
  <c r="AN59" i="85" s="1"/>
  <c r="BQ5" i="90"/>
  <c r="BV6" i="90" s="1"/>
  <c r="BO6" i="90"/>
  <c r="BO17" i="90"/>
  <c r="BO11" i="90"/>
  <c r="BO8" i="90"/>
  <c r="BO12" i="90"/>
  <c r="BO7" i="90"/>
  <c r="BO13" i="90"/>
  <c r="BO19" i="90"/>
  <c r="BO10" i="90"/>
  <c r="BO14" i="90"/>
  <c r="BO15" i="90"/>
  <c r="AD10" i="98" l="1"/>
  <c r="D11" i="98"/>
  <c r="AN84" i="85"/>
  <c r="T11" i="98"/>
  <c r="AN85" i="85"/>
  <c r="T9" i="98"/>
  <c r="AN55" i="85"/>
  <c r="T8" i="98"/>
  <c r="AN40" i="85"/>
  <c r="D7" i="98"/>
  <c r="AN34" i="85"/>
  <c r="T10" i="98"/>
  <c r="D9" i="98"/>
  <c r="AD9" i="98"/>
  <c r="D8" i="98"/>
  <c r="T7" i="98"/>
  <c r="AD8" i="98"/>
  <c r="D10" i="98"/>
  <c r="P16" i="88"/>
  <c r="P18" i="88"/>
  <c r="P13" i="88"/>
  <c r="P17" i="88"/>
  <c r="P8" i="88"/>
  <c r="AD8" i="85"/>
  <c r="O11" i="89" s="1"/>
  <c r="BZ198" i="90"/>
  <c r="BZ195" i="90"/>
  <c r="BZ194" i="90"/>
  <c r="BZ197" i="90"/>
  <c r="BZ196" i="90"/>
  <c r="BZ200" i="90"/>
  <c r="BZ202" i="90"/>
  <c r="BZ201" i="90"/>
  <c r="BZ193" i="90"/>
  <c r="BZ187" i="90"/>
  <c r="BZ178" i="90"/>
  <c r="BZ186" i="90"/>
  <c r="BZ182" i="90"/>
  <c r="BZ176" i="90"/>
  <c r="BZ184" i="90"/>
  <c r="BZ180" i="90"/>
  <c r="BZ177" i="90"/>
  <c r="BZ188" i="90"/>
  <c r="BZ189" i="90"/>
  <c r="BZ179" i="90"/>
  <c r="BZ173" i="90"/>
  <c r="BZ181" i="90"/>
  <c r="BZ192" i="90"/>
  <c r="BZ191" i="90"/>
  <c r="BZ185" i="90"/>
  <c r="BZ174" i="90"/>
  <c r="BZ204" i="90"/>
  <c r="BZ183" i="90"/>
  <c r="BZ212" i="90"/>
  <c r="BZ206" i="90"/>
  <c r="BZ210" i="90"/>
  <c r="BZ205" i="90"/>
  <c r="BZ203" i="90"/>
  <c r="BZ208" i="90"/>
  <c r="BZ207" i="90"/>
  <c r="BZ211" i="90"/>
  <c r="C4" i="88"/>
  <c r="BZ124" i="90"/>
  <c r="BZ129" i="90"/>
  <c r="BZ127" i="90"/>
  <c r="BZ125" i="90"/>
  <c r="BZ128" i="90"/>
  <c r="BZ123" i="90"/>
  <c r="BZ131" i="90"/>
  <c r="BZ132" i="90"/>
  <c r="BZ126" i="90"/>
  <c r="BZ130" i="90"/>
  <c r="BZ56" i="90"/>
  <c r="BZ59" i="90"/>
  <c r="BZ53" i="90"/>
  <c r="BZ61" i="90"/>
  <c r="BZ60" i="90"/>
  <c r="BZ54" i="90"/>
  <c r="BZ58" i="90"/>
  <c r="BZ57" i="90"/>
  <c r="BZ62" i="90"/>
  <c r="BZ55" i="90"/>
  <c r="BZ152" i="90"/>
  <c r="BZ146" i="90"/>
  <c r="BZ148" i="90"/>
  <c r="BZ151" i="90"/>
  <c r="BZ145" i="90"/>
  <c r="BZ150" i="90"/>
  <c r="BZ144" i="90"/>
  <c r="BZ149" i="90"/>
  <c r="BZ147" i="90"/>
  <c r="BZ143" i="90"/>
  <c r="BZ9" i="90"/>
  <c r="BZ14" i="90"/>
  <c r="BZ12" i="90"/>
  <c r="BZ10" i="90"/>
  <c r="BZ13" i="90"/>
  <c r="BZ7" i="90"/>
  <c r="BZ8" i="90"/>
  <c r="BZ11" i="90"/>
  <c r="BZ5" i="90"/>
  <c r="CA5" i="90" s="1"/>
  <c r="BZ6" i="90"/>
  <c r="BQ8" i="90"/>
  <c r="BV44" i="90" s="1"/>
  <c r="BQ11" i="90"/>
  <c r="BV74" i="90" s="1"/>
  <c r="BQ14" i="90"/>
  <c r="BV104" i="90" s="1"/>
  <c r="BQ7" i="90"/>
  <c r="BV26" i="90" s="1"/>
  <c r="BQ17" i="90"/>
  <c r="BV134" i="90" s="1"/>
  <c r="BQ19" i="90"/>
  <c r="BV154" i="90" s="1"/>
  <c r="BQ15" i="90"/>
  <c r="BV114" i="90" s="1"/>
  <c r="BQ13" i="90"/>
  <c r="BV94" i="90" s="1"/>
  <c r="BQ10" i="90"/>
  <c r="BV64" i="90" s="1"/>
  <c r="BQ12" i="90"/>
  <c r="BV84" i="90" s="1"/>
  <c r="BQ6" i="90"/>
  <c r="BV16" i="90" s="1"/>
  <c r="P7" i="88"/>
  <c r="P14" i="88"/>
  <c r="P9" i="88"/>
  <c r="P11" i="88" l="1"/>
  <c r="AD24" i="85"/>
  <c r="O27" i="89" s="1"/>
  <c r="AD9" i="85"/>
  <c r="O12" i="89" s="1"/>
  <c r="AD30" i="85"/>
  <c r="O33" i="89" s="1"/>
  <c r="AD13" i="85"/>
  <c r="O16" i="89" s="1"/>
  <c r="AD25" i="85"/>
  <c r="O28" i="89" s="1"/>
  <c r="AD17" i="85"/>
  <c r="O20" i="89" s="1"/>
  <c r="AD15" i="85"/>
  <c r="O18" i="89" s="1"/>
  <c r="AD19" i="85"/>
  <c r="O22" i="89" s="1"/>
  <c r="AD23" i="85"/>
  <c r="O26" i="89" s="1"/>
  <c r="AD18" i="85"/>
  <c r="O21" i="89" s="1"/>
  <c r="AD12" i="85"/>
  <c r="O15" i="89" s="1"/>
  <c r="AD11" i="85"/>
  <c r="O14" i="89" s="1"/>
  <c r="AD28" i="85"/>
  <c r="O31" i="89" s="1"/>
  <c r="AD27" i="85"/>
  <c r="O30" i="89" s="1"/>
  <c r="AD14" i="85"/>
  <c r="O17" i="89" s="1"/>
  <c r="AD10" i="85"/>
  <c r="O13" i="89" s="1"/>
  <c r="AD29" i="85"/>
  <c r="O32" i="89" s="1"/>
  <c r="AD22" i="85"/>
  <c r="O25" i="89" s="1"/>
  <c r="AD20" i="85"/>
  <c r="O23" i="89" s="1"/>
  <c r="AD16" i="85"/>
  <c r="O19" i="89" s="1"/>
  <c r="AD32" i="85"/>
  <c r="O35" i="89" s="1"/>
  <c r="AD26" i="85"/>
  <c r="O29" i="89" s="1"/>
  <c r="AD21" i="85"/>
  <c r="O24" i="89" s="1"/>
  <c r="AD31" i="85"/>
  <c r="O34" i="89" s="1"/>
  <c r="AD7" i="85"/>
  <c r="O10" i="89" s="1"/>
  <c r="P15" i="88"/>
  <c r="C7" i="97"/>
  <c r="P10" i="88"/>
  <c r="P12" i="88"/>
  <c r="C6" i="97"/>
  <c r="C5" i="97"/>
  <c r="P6" i="88"/>
  <c r="Q6" i="88" s="1"/>
  <c r="P5" i="88"/>
  <c r="Q5" i="88" s="1"/>
  <c r="AD6" i="85"/>
  <c r="O9" i="89" s="1"/>
  <c r="C8" i="97"/>
  <c r="O19" i="88"/>
  <c r="P19" i="88"/>
  <c r="P4" i="88"/>
  <c r="Q4" i="88" s="1"/>
  <c r="N8" i="89"/>
  <c r="AD5" i="85"/>
  <c r="O8" i="89" s="1"/>
  <c r="CA6" i="90"/>
  <c r="BZ16" i="90"/>
  <c r="BZ17" i="90"/>
  <c r="BZ18" i="90"/>
  <c r="BZ72" i="90"/>
  <c r="BZ71" i="90"/>
  <c r="BZ65" i="90"/>
  <c r="BZ66" i="90"/>
  <c r="BZ70" i="90"/>
  <c r="BZ64" i="90"/>
  <c r="BZ69" i="90"/>
  <c r="BZ67" i="90"/>
  <c r="BZ68" i="90"/>
  <c r="BZ63" i="90"/>
  <c r="CA12" i="90"/>
  <c r="BZ23" i="90"/>
  <c r="BZ24" i="90"/>
  <c r="CA9" i="90"/>
  <c r="CA14" i="90"/>
  <c r="BZ22" i="90"/>
  <c r="BZ15" i="90"/>
  <c r="CA15" i="90" s="1"/>
  <c r="BZ20" i="90"/>
  <c r="CA7" i="90"/>
  <c r="BZ19" i="90"/>
  <c r="BZ21" i="90"/>
  <c r="BZ95" i="90"/>
  <c r="BZ93" i="90"/>
  <c r="BZ97" i="90"/>
  <c r="BZ96" i="90"/>
  <c r="BZ100" i="90"/>
  <c r="BZ94" i="90"/>
  <c r="BZ99" i="90"/>
  <c r="BZ101" i="90"/>
  <c r="BZ98" i="90"/>
  <c r="BZ92" i="90"/>
  <c r="BZ121" i="90"/>
  <c r="BZ118" i="90"/>
  <c r="BZ120" i="90"/>
  <c r="BZ115" i="90"/>
  <c r="BZ122" i="90"/>
  <c r="BZ116" i="90"/>
  <c r="BZ114" i="90"/>
  <c r="BZ119" i="90"/>
  <c r="BZ117" i="90"/>
  <c r="BZ113" i="90"/>
  <c r="BZ107" i="90"/>
  <c r="BZ112" i="90"/>
  <c r="BZ106" i="90"/>
  <c r="BZ104" i="90"/>
  <c r="BZ105" i="90"/>
  <c r="BZ103" i="90"/>
  <c r="BZ108" i="90"/>
  <c r="BZ111" i="90"/>
  <c r="BZ110" i="90"/>
  <c r="BZ109" i="90"/>
  <c r="BZ102" i="90"/>
  <c r="BZ161" i="90"/>
  <c r="BZ153" i="90"/>
  <c r="BZ158" i="90"/>
  <c r="BZ157" i="90"/>
  <c r="BZ156" i="90"/>
  <c r="BZ154" i="90"/>
  <c r="BZ155" i="90"/>
  <c r="BZ160" i="90"/>
  <c r="BZ159" i="90"/>
  <c r="BZ162" i="90"/>
  <c r="BZ75" i="90"/>
  <c r="BZ91" i="90"/>
  <c r="BZ74" i="90"/>
  <c r="BZ89" i="90"/>
  <c r="BZ81" i="90"/>
  <c r="BZ86" i="90"/>
  <c r="BZ83" i="90"/>
  <c r="BZ80" i="90"/>
  <c r="BZ88" i="90"/>
  <c r="BZ84" i="90"/>
  <c r="BZ90" i="90"/>
  <c r="BZ85" i="90"/>
  <c r="BZ82" i="90"/>
  <c r="BZ79" i="90"/>
  <c r="BZ76" i="90"/>
  <c r="BZ73" i="90"/>
  <c r="BZ78" i="90"/>
  <c r="BZ87" i="90"/>
  <c r="BZ77" i="90"/>
  <c r="BZ32" i="90"/>
  <c r="BZ25" i="90"/>
  <c r="BZ34" i="90"/>
  <c r="BZ33" i="90"/>
  <c r="BZ28" i="90"/>
  <c r="BZ26" i="90"/>
  <c r="BZ29" i="90"/>
  <c r="BZ30" i="90"/>
  <c r="BZ31" i="90"/>
  <c r="BZ27" i="90"/>
  <c r="BZ141" i="90"/>
  <c r="BZ139" i="90"/>
  <c r="BZ140" i="90"/>
  <c r="BZ135" i="90"/>
  <c r="BZ142" i="90"/>
  <c r="BZ136" i="90"/>
  <c r="BZ134" i="90"/>
  <c r="BZ133" i="90"/>
  <c r="BZ138" i="90"/>
  <c r="BZ137" i="90"/>
  <c r="BZ48" i="90"/>
  <c r="BZ43" i="90"/>
  <c r="BZ46" i="90"/>
  <c r="BZ45" i="90"/>
  <c r="BZ44" i="90"/>
  <c r="BZ51" i="90"/>
  <c r="BZ52" i="90"/>
  <c r="BZ47" i="90"/>
  <c r="BZ50" i="90"/>
  <c r="BZ49" i="90"/>
  <c r="CA13" i="90"/>
  <c r="CA8" i="90"/>
  <c r="CA11" i="90"/>
  <c r="CA10" i="90"/>
  <c r="O8" i="88"/>
  <c r="Q8" i="88" s="1"/>
  <c r="O17" i="88"/>
  <c r="Q17" i="88" s="1"/>
  <c r="O9" i="88"/>
  <c r="Q9" i="88" s="1"/>
  <c r="O7" i="88"/>
  <c r="Q7" i="88" s="1"/>
  <c r="O13" i="88"/>
  <c r="Q13" i="88" s="1"/>
  <c r="O11" i="88"/>
  <c r="O18" i="88"/>
  <c r="Q18" i="88" s="1"/>
  <c r="O14" i="88"/>
  <c r="Q14" i="88" s="1"/>
  <c r="O16" i="88"/>
  <c r="Q16" i="88" s="1"/>
  <c r="Q11" i="88" l="1"/>
  <c r="S11" i="88" s="1"/>
  <c r="T11" i="88" s="1"/>
  <c r="Z6" i="88"/>
  <c r="O15" i="88"/>
  <c r="Q15" i="88" s="1"/>
  <c r="S15" i="88" s="1"/>
  <c r="T15" i="88" s="1"/>
  <c r="O12" i="88"/>
  <c r="Q12" i="88" s="1"/>
  <c r="S12" i="88" s="1"/>
  <c r="T12" i="88" s="1"/>
  <c r="O10" i="88"/>
  <c r="Q10" i="88" s="1"/>
  <c r="Z5" i="88"/>
  <c r="AO5" i="88" s="1"/>
  <c r="AT7" i="89" s="1"/>
  <c r="BN6" i="89" s="1"/>
  <c r="S6" i="88"/>
  <c r="T6" i="88" s="1"/>
  <c r="Q19" i="88"/>
  <c r="Z9" i="88" s="1"/>
  <c r="S4" i="88"/>
  <c r="T4" i="88" s="1"/>
  <c r="S5" i="88"/>
  <c r="T5" i="88" s="1"/>
  <c r="CB3" i="89"/>
  <c r="BY3" i="89"/>
  <c r="CA3" i="89"/>
  <c r="BX3" i="89"/>
  <c r="BZ3" i="89"/>
  <c r="T59" i="81"/>
  <c r="T60" i="81"/>
  <c r="CA28" i="90"/>
  <c r="CA101" i="90"/>
  <c r="CA209" i="90"/>
  <c r="CA199" i="90"/>
  <c r="CA156" i="90"/>
  <c r="CA88" i="90"/>
  <c r="CA30" i="90"/>
  <c r="CA17" i="90"/>
  <c r="CA171" i="90"/>
  <c r="CA182" i="90"/>
  <c r="CA141" i="90"/>
  <c r="CA102" i="90"/>
  <c r="CA16" i="90"/>
  <c r="CA136" i="90"/>
  <c r="CA60" i="90"/>
  <c r="CA18" i="90"/>
  <c r="CA114" i="90"/>
  <c r="CA132" i="90"/>
  <c r="CA135" i="90"/>
  <c r="CA151" i="90"/>
  <c r="CA155" i="90"/>
  <c r="CA154" i="90"/>
  <c r="CA82" i="90"/>
  <c r="CA81" i="90"/>
  <c r="CA95" i="90"/>
  <c r="CA49" i="90"/>
  <c r="CA27" i="90"/>
  <c r="CA26" i="90"/>
  <c r="CA20" i="90"/>
  <c r="CA175" i="90"/>
  <c r="CA201" i="90"/>
  <c r="CA204" i="90"/>
  <c r="CA143" i="90"/>
  <c r="CA142" i="90"/>
  <c r="CA159" i="90"/>
  <c r="CA70" i="90"/>
  <c r="CA54" i="90"/>
  <c r="CA25" i="90"/>
  <c r="CA29" i="90"/>
  <c r="CA23" i="90"/>
  <c r="CA24" i="90"/>
  <c r="CA187" i="90"/>
  <c r="CA185" i="90"/>
  <c r="CA194" i="90"/>
  <c r="CA115" i="90"/>
  <c r="CA120" i="90"/>
  <c r="CA153" i="90"/>
  <c r="CA144" i="90"/>
  <c r="CA79" i="90"/>
  <c r="CA74" i="90"/>
  <c r="CA80" i="90"/>
  <c r="CA99" i="90"/>
  <c r="CA31" i="90"/>
  <c r="CA34" i="90"/>
  <c r="CA21" i="90"/>
  <c r="CA19" i="90"/>
  <c r="CA22" i="90"/>
  <c r="CA177" i="90"/>
  <c r="CA169" i="90"/>
  <c r="CA205" i="90"/>
  <c r="CA167" i="90"/>
  <c r="CA128" i="90"/>
  <c r="CA103" i="90"/>
  <c r="CA129" i="90"/>
  <c r="CA147" i="90"/>
  <c r="CA160" i="90"/>
  <c r="CA130" i="90"/>
  <c r="CA139" i="90"/>
  <c r="CA112" i="90"/>
  <c r="CA108" i="90"/>
  <c r="CA126" i="90"/>
  <c r="CA158" i="90"/>
  <c r="CA121" i="90"/>
  <c r="CA106" i="90"/>
  <c r="CA162" i="90"/>
  <c r="CA93" i="90"/>
  <c r="CA92" i="90"/>
  <c r="CA76" i="90"/>
  <c r="CA100" i="90"/>
  <c r="CA94" i="90"/>
  <c r="CA71" i="90"/>
  <c r="CA98" i="90"/>
  <c r="CA97" i="90"/>
  <c r="CA73" i="90"/>
  <c r="CA66" i="90"/>
  <c r="CA51" i="90"/>
  <c r="CA59" i="90"/>
  <c r="CA61" i="90"/>
  <c r="CA52" i="90"/>
  <c r="CA50" i="90"/>
  <c r="CA45" i="90"/>
  <c r="CA44" i="90"/>
  <c r="CA168" i="90"/>
  <c r="CA210" i="90"/>
  <c r="CA191" i="90"/>
  <c r="CA174" i="90"/>
  <c r="CA165" i="90"/>
  <c r="CA198" i="90"/>
  <c r="CA186" i="90"/>
  <c r="CA197" i="90"/>
  <c r="CA180" i="90"/>
  <c r="CA164" i="90"/>
  <c r="CA193" i="90"/>
  <c r="CA211" i="90"/>
  <c r="CA208" i="90"/>
  <c r="CA188" i="90"/>
  <c r="CA137" i="90"/>
  <c r="CA149" i="90"/>
  <c r="CA122" i="90"/>
  <c r="CA125" i="90"/>
  <c r="CA146" i="90"/>
  <c r="CA111" i="90"/>
  <c r="CA104" i="90"/>
  <c r="CA145" i="90"/>
  <c r="CA119" i="90"/>
  <c r="CA150" i="90"/>
  <c r="CA127" i="90"/>
  <c r="CA134" i="90"/>
  <c r="CA131" i="90"/>
  <c r="CA140" i="90"/>
  <c r="CA78" i="90"/>
  <c r="CA89" i="90"/>
  <c r="CA90" i="90"/>
  <c r="CA72" i="90"/>
  <c r="CA87" i="90"/>
  <c r="CA96" i="90"/>
  <c r="CA85" i="90"/>
  <c r="CA86" i="90"/>
  <c r="CA64" i="90"/>
  <c r="CA48" i="90"/>
  <c r="CA58" i="90"/>
  <c r="CA65" i="90"/>
  <c r="CA53" i="90"/>
  <c r="CA57" i="90"/>
  <c r="CA33" i="90"/>
  <c r="CA43" i="90"/>
  <c r="CA206" i="90"/>
  <c r="CA184" i="90"/>
  <c r="CA172" i="90"/>
  <c r="CA203" i="90"/>
  <c r="CA202" i="90"/>
  <c r="CA189" i="90"/>
  <c r="CA166" i="90"/>
  <c r="CA192" i="90"/>
  <c r="CA163" i="90"/>
  <c r="CA195" i="90"/>
  <c r="CA179" i="90"/>
  <c r="CA207" i="90"/>
  <c r="CA117" i="90"/>
  <c r="CA138" i="90"/>
  <c r="CA124" i="90"/>
  <c r="CA107" i="90"/>
  <c r="CA118" i="90"/>
  <c r="CA105" i="90"/>
  <c r="CA152" i="90"/>
  <c r="CA110" i="90"/>
  <c r="CA157" i="90"/>
  <c r="CA109" i="90"/>
  <c r="CA161" i="90"/>
  <c r="CA113" i="90"/>
  <c r="CA133" i="90"/>
  <c r="CA148" i="90"/>
  <c r="CA116" i="90"/>
  <c r="CA77" i="90"/>
  <c r="CA91" i="90"/>
  <c r="CA83" i="90"/>
  <c r="CA123" i="90"/>
  <c r="CA67" i="90"/>
  <c r="CA75" i="90"/>
  <c r="CA69" i="90"/>
  <c r="CA84" i="90"/>
  <c r="CA68" i="90"/>
  <c r="CA62" i="90"/>
  <c r="CA55" i="90"/>
  <c r="CA46" i="90"/>
  <c r="CA56" i="90"/>
  <c r="CA32" i="90"/>
  <c r="CA47" i="90"/>
  <c r="CA63" i="90"/>
  <c r="CA190" i="90"/>
  <c r="CA173" i="90"/>
  <c r="CA176" i="90"/>
  <c r="CA200" i="90"/>
  <c r="CA183" i="90"/>
  <c r="CA170" i="90"/>
  <c r="CA181" i="90"/>
  <c r="CA212" i="90"/>
  <c r="CA196" i="90"/>
  <c r="CA178" i="90"/>
  <c r="T57" i="81"/>
  <c r="T58" i="81"/>
  <c r="T61" i="81"/>
  <c r="S16" i="88"/>
  <c r="T16" i="88" s="1"/>
  <c r="S18" i="88"/>
  <c r="T18" i="88" s="1"/>
  <c r="S13" i="88"/>
  <c r="T13" i="88" s="1"/>
  <c r="S9" i="88"/>
  <c r="T9" i="88" s="1"/>
  <c r="S17" i="88"/>
  <c r="T17" i="88" s="1"/>
  <c r="S8" i="88"/>
  <c r="T8" i="88" s="1"/>
  <c r="BZ10" i="89" l="1"/>
  <c r="BZ14" i="89"/>
  <c r="BZ18" i="89"/>
  <c r="BZ22" i="89"/>
  <c r="BZ26" i="89"/>
  <c r="BZ30" i="89"/>
  <c r="BZ34" i="89"/>
  <c r="BZ38" i="89"/>
  <c r="BZ42" i="89"/>
  <c r="BZ46" i="89"/>
  <c r="BZ50" i="89"/>
  <c r="BZ54" i="89"/>
  <c r="BZ7" i="89"/>
  <c r="BZ11" i="89"/>
  <c r="BZ15" i="89"/>
  <c r="BZ19" i="89"/>
  <c r="BZ23" i="89"/>
  <c r="BZ27" i="89"/>
  <c r="BZ31" i="89"/>
  <c r="BZ35" i="89"/>
  <c r="BZ39" i="89"/>
  <c r="BZ43" i="89"/>
  <c r="BZ47" i="89"/>
  <c r="BZ51" i="89"/>
  <c r="BZ55" i="89"/>
  <c r="BZ8" i="89"/>
  <c r="BZ12" i="89"/>
  <c r="BZ16" i="89"/>
  <c r="BZ20" i="89"/>
  <c r="BZ24" i="89"/>
  <c r="BZ28" i="89"/>
  <c r="BZ32" i="89"/>
  <c r="BZ36" i="89"/>
  <c r="BZ40" i="89"/>
  <c r="BZ44" i="89"/>
  <c r="BZ48" i="89"/>
  <c r="BZ52" i="89"/>
  <c r="BZ56" i="89"/>
  <c r="BZ21" i="89"/>
  <c r="BZ37" i="89"/>
  <c r="BZ53" i="89"/>
  <c r="BZ45" i="89"/>
  <c r="BZ6" i="89"/>
  <c r="BZ17" i="89"/>
  <c r="BZ33" i="89"/>
  <c r="BZ9" i="89"/>
  <c r="BZ25" i="89"/>
  <c r="BZ41" i="89"/>
  <c r="BZ57" i="89"/>
  <c r="BZ13" i="89"/>
  <c r="BZ29" i="89"/>
  <c r="BZ49" i="89"/>
  <c r="CA9" i="89"/>
  <c r="CA13" i="89"/>
  <c r="CA17" i="89"/>
  <c r="CA21" i="89"/>
  <c r="CA25" i="89"/>
  <c r="CA29" i="89"/>
  <c r="CA33" i="89"/>
  <c r="CA37" i="89"/>
  <c r="CA41" i="89"/>
  <c r="CA45" i="89"/>
  <c r="CA49" i="89"/>
  <c r="CA53" i="89"/>
  <c r="CA57" i="89"/>
  <c r="CA6" i="89"/>
  <c r="CA10" i="89"/>
  <c r="CA14" i="89"/>
  <c r="CA18" i="89"/>
  <c r="CA22" i="89"/>
  <c r="CA26" i="89"/>
  <c r="CA30" i="89"/>
  <c r="CA34" i="89"/>
  <c r="CA38" i="89"/>
  <c r="CA42" i="89"/>
  <c r="CA46" i="89"/>
  <c r="CA50" i="89"/>
  <c r="CA54" i="89"/>
  <c r="CA7" i="89"/>
  <c r="CA11" i="89"/>
  <c r="CA15" i="89"/>
  <c r="CA19" i="89"/>
  <c r="CA23" i="89"/>
  <c r="CA27" i="89"/>
  <c r="CA31" i="89"/>
  <c r="CA35" i="89"/>
  <c r="CA39" i="89"/>
  <c r="CA43" i="89"/>
  <c r="CA47" i="89"/>
  <c r="CA51" i="89"/>
  <c r="CA55" i="89"/>
  <c r="CA8" i="89"/>
  <c r="CA24" i="89"/>
  <c r="CA40" i="89"/>
  <c r="CA56" i="89"/>
  <c r="CA16" i="89"/>
  <c r="CA32" i="89"/>
  <c r="CA52" i="89"/>
  <c r="CA12" i="89"/>
  <c r="CA28" i="89"/>
  <c r="CA44" i="89"/>
  <c r="CA48" i="89"/>
  <c r="CA20" i="89"/>
  <c r="CA36" i="89"/>
  <c r="BY7" i="89"/>
  <c r="BY11" i="89"/>
  <c r="BY15" i="89"/>
  <c r="BY19" i="89"/>
  <c r="BY23" i="89"/>
  <c r="BY27" i="89"/>
  <c r="BY31" i="89"/>
  <c r="BY35" i="89"/>
  <c r="BY39" i="89"/>
  <c r="BY43" i="89"/>
  <c r="BY47" i="89"/>
  <c r="BY51" i="89"/>
  <c r="BY55" i="89"/>
  <c r="BY8" i="89"/>
  <c r="BY12" i="89"/>
  <c r="BY16" i="89"/>
  <c r="BY20" i="89"/>
  <c r="BY24" i="89"/>
  <c r="BY28" i="89"/>
  <c r="BY32" i="89"/>
  <c r="BY36" i="89"/>
  <c r="BY40" i="89"/>
  <c r="BY44" i="89"/>
  <c r="BY48" i="89"/>
  <c r="BY52" i="89"/>
  <c r="BY56" i="89"/>
  <c r="BY9" i="89"/>
  <c r="BY13" i="89"/>
  <c r="BY17" i="89"/>
  <c r="BY21" i="89"/>
  <c r="BY25" i="89"/>
  <c r="BY29" i="89"/>
  <c r="BY33" i="89"/>
  <c r="BY37" i="89"/>
  <c r="BY41" i="89"/>
  <c r="BY45" i="89"/>
  <c r="BY49" i="89"/>
  <c r="BY53" i="89"/>
  <c r="BY57" i="89"/>
  <c r="BY6" i="89"/>
  <c r="BY18" i="89"/>
  <c r="BY34" i="89"/>
  <c r="BY50" i="89"/>
  <c r="BY54" i="89"/>
  <c r="BY10" i="89"/>
  <c r="BY26" i="89"/>
  <c r="BY46" i="89"/>
  <c r="BY22" i="89"/>
  <c r="BY38" i="89"/>
  <c r="BY42" i="89"/>
  <c r="BY14" i="89"/>
  <c r="BY30" i="89"/>
  <c r="BX8" i="89"/>
  <c r="BX12" i="89"/>
  <c r="BX16" i="89"/>
  <c r="BX20" i="89"/>
  <c r="BX24" i="89"/>
  <c r="BX28" i="89"/>
  <c r="BX32" i="89"/>
  <c r="BX36" i="89"/>
  <c r="BX40" i="89"/>
  <c r="BX44" i="89"/>
  <c r="BX48" i="89"/>
  <c r="BX52" i="89"/>
  <c r="BX56" i="89"/>
  <c r="BX7" i="89"/>
  <c r="BX9" i="89"/>
  <c r="BX13" i="89"/>
  <c r="BX17" i="89"/>
  <c r="BX21" i="89"/>
  <c r="BX25" i="89"/>
  <c r="BX29" i="89"/>
  <c r="BX33" i="89"/>
  <c r="BX37" i="89"/>
  <c r="BX41" i="89"/>
  <c r="BX45" i="89"/>
  <c r="BX49" i="89"/>
  <c r="BX53" i="89"/>
  <c r="BX57" i="89"/>
  <c r="BX10" i="89"/>
  <c r="BX14" i="89"/>
  <c r="BX18" i="89"/>
  <c r="BX22" i="89"/>
  <c r="BX26" i="89"/>
  <c r="BX30" i="89"/>
  <c r="BX34" i="89"/>
  <c r="BX38" i="89"/>
  <c r="BX42" i="89"/>
  <c r="BX46" i="89"/>
  <c r="BX50" i="89"/>
  <c r="BX54" i="89"/>
  <c r="BX6" i="89"/>
  <c r="BX15" i="89"/>
  <c r="BX31" i="89"/>
  <c r="BX47" i="89"/>
  <c r="BX39" i="89"/>
  <c r="BX27" i="89"/>
  <c r="BX19" i="89"/>
  <c r="BX35" i="89"/>
  <c r="BX51" i="89"/>
  <c r="BX23" i="89"/>
  <c r="BX55" i="89"/>
  <c r="BX11" i="89"/>
  <c r="BX43" i="89"/>
  <c r="CB8" i="89"/>
  <c r="CB12" i="89"/>
  <c r="CB16" i="89"/>
  <c r="CB20" i="89"/>
  <c r="CB24" i="89"/>
  <c r="CB28" i="89"/>
  <c r="CB32" i="89"/>
  <c r="CB36" i="89"/>
  <c r="CB40" i="89"/>
  <c r="CB44" i="89"/>
  <c r="CB48" i="89"/>
  <c r="CB52" i="89"/>
  <c r="CB56" i="89"/>
  <c r="CB9" i="89"/>
  <c r="CB13" i="89"/>
  <c r="CB17" i="89"/>
  <c r="CB21" i="89"/>
  <c r="CB25" i="89"/>
  <c r="CB29" i="89"/>
  <c r="CB33" i="89"/>
  <c r="CB37" i="89"/>
  <c r="CB41" i="89"/>
  <c r="CB45" i="89"/>
  <c r="CB49" i="89"/>
  <c r="CB53" i="89"/>
  <c r="CB57" i="89"/>
  <c r="CB6" i="89"/>
  <c r="CB10" i="89"/>
  <c r="CB14" i="89"/>
  <c r="CB18" i="89"/>
  <c r="CB22" i="89"/>
  <c r="CB26" i="89"/>
  <c r="CB30" i="89"/>
  <c r="CB34" i="89"/>
  <c r="CB38" i="89"/>
  <c r="CB42" i="89"/>
  <c r="CB46" i="89"/>
  <c r="CB50" i="89"/>
  <c r="CB54" i="89"/>
  <c r="CB7" i="89"/>
  <c r="CB11" i="89"/>
  <c r="CB27" i="89"/>
  <c r="CB43" i="89"/>
  <c r="CB19" i="89"/>
  <c r="CB51" i="89"/>
  <c r="CB39" i="89"/>
  <c r="CB15" i="89"/>
  <c r="CB31" i="89"/>
  <c r="CB47" i="89"/>
  <c r="CB35" i="89"/>
  <c r="CB23" i="89"/>
  <c r="CB55" i="89"/>
  <c r="AI89" i="95"/>
  <c r="AI84" i="95"/>
  <c r="AI86" i="95"/>
  <c r="AI91" i="95"/>
  <c r="AI85" i="95"/>
  <c r="AI80" i="95"/>
  <c r="AI87" i="95"/>
  <c r="AI94" i="95"/>
  <c r="AI81" i="95"/>
  <c r="AI90" i="95"/>
  <c r="AI92" i="95"/>
  <c r="AI76" i="95"/>
  <c r="AI83" i="95"/>
  <c r="AI77" i="95"/>
  <c r="AI82" i="95"/>
  <c r="AI78" i="95"/>
  <c r="AI95" i="95"/>
  <c r="AI88" i="95"/>
  <c r="AI93" i="95"/>
  <c r="AI79" i="95"/>
  <c r="AO9" i="88"/>
  <c r="AT11" i="89" s="1"/>
  <c r="V5" i="90"/>
  <c r="W5" i="90"/>
  <c r="U5" i="90"/>
  <c r="X5" i="90"/>
  <c r="AK57" i="90"/>
  <c r="AK109" i="90"/>
  <c r="AK161" i="90"/>
  <c r="AK213" i="90"/>
  <c r="AK265" i="90"/>
  <c r="AK317" i="90"/>
  <c r="AK369" i="90"/>
  <c r="AK421" i="90"/>
  <c r="AK473" i="90"/>
  <c r="AK525" i="90"/>
  <c r="AK577" i="90"/>
  <c r="AK629" i="90"/>
  <c r="AK681" i="90"/>
  <c r="AK733" i="90"/>
  <c r="AK785" i="90"/>
  <c r="AK837" i="90"/>
  <c r="AK889" i="90"/>
  <c r="AK941" i="90"/>
  <c r="AK993" i="90"/>
  <c r="AK1045" i="90"/>
  <c r="AK1097" i="90"/>
  <c r="AK1149" i="90"/>
  <c r="AK1201" i="90"/>
  <c r="AK1253" i="90"/>
  <c r="AK1305" i="90"/>
  <c r="AK1357" i="90"/>
  <c r="AK1409" i="90"/>
  <c r="AK5" i="90"/>
  <c r="AI7" i="95"/>
  <c r="AI11" i="95"/>
  <c r="AI15" i="95"/>
  <c r="AI10" i="95"/>
  <c r="AI8" i="95"/>
  <c r="AI12" i="95"/>
  <c r="AI6" i="95"/>
  <c r="AI13" i="95"/>
  <c r="AI14" i="95"/>
  <c r="AI9" i="95"/>
  <c r="AI26" i="95"/>
  <c r="AI29" i="95"/>
  <c r="AI18" i="95"/>
  <c r="AI24" i="95"/>
  <c r="AI34" i="95"/>
  <c r="AI25" i="95"/>
  <c r="AI20" i="95"/>
  <c r="AI32" i="95"/>
  <c r="AI27" i="95"/>
  <c r="AI21" i="95"/>
  <c r="AI33" i="95"/>
  <c r="AI16" i="95"/>
  <c r="AI22" i="95"/>
  <c r="AI23" i="95"/>
  <c r="AI35" i="95"/>
  <c r="AI28" i="95"/>
  <c r="AI19" i="95"/>
  <c r="AI31" i="95"/>
  <c r="AI17" i="95"/>
  <c r="AI30" i="95"/>
  <c r="AO6" i="88"/>
  <c r="AT8" i="89" s="1"/>
  <c r="CH6" i="89"/>
  <c r="Z7" i="88"/>
  <c r="Z8" i="88"/>
  <c r="AN8" i="88" s="1"/>
  <c r="AJ14" i="98"/>
  <c r="Z13" i="98"/>
  <c r="S10" i="88"/>
  <c r="T10" i="88" s="1"/>
  <c r="AA11" i="98"/>
  <c r="P9" i="98"/>
  <c r="AP5" i="88"/>
  <c r="AT5" i="88"/>
  <c r="AV5" i="88"/>
  <c r="AS5" i="88"/>
  <c r="AQ5" i="88"/>
  <c r="AU5" i="88"/>
  <c r="AR5" i="88"/>
  <c r="AN5" i="88"/>
  <c r="CZ7" i="89" s="1"/>
  <c r="AM5" i="88"/>
  <c r="AP9" i="88"/>
  <c r="J16" i="90" s="1"/>
  <c r="AT9" i="88"/>
  <c r="EB9" i="98" s="1"/>
  <c r="EC9" i="98" s="1"/>
  <c r="AR9" i="88"/>
  <c r="AS9" i="88"/>
  <c r="AQ9" i="88"/>
  <c r="AU9" i="88"/>
  <c r="AR9" i="103" s="1"/>
  <c r="AM9" i="88"/>
  <c r="AV9" i="88"/>
  <c r="AN9" i="88"/>
  <c r="AN6" i="88"/>
  <c r="AS6" i="88"/>
  <c r="AU6" i="88"/>
  <c r="AM6" i="88"/>
  <c r="AV6" i="88"/>
  <c r="AP6" i="88"/>
  <c r="AT6" i="88"/>
  <c r="AQ6" i="88"/>
  <c r="AR6" i="88"/>
  <c r="AI7" i="98"/>
  <c r="Z15" i="98"/>
  <c r="P10" i="98"/>
  <c r="R7" i="98"/>
  <c r="AJ11" i="98"/>
  <c r="R14" i="98"/>
  <c r="R12" i="98"/>
  <c r="Z7" i="98"/>
  <c r="Y7" i="98"/>
  <c r="AB7" i="98"/>
  <c r="AA7" i="98"/>
  <c r="Y14" i="98"/>
  <c r="AA14" i="98"/>
  <c r="AB14" i="98"/>
  <c r="Z14" i="98"/>
  <c r="AI10" i="98"/>
  <c r="AJ10" i="98"/>
  <c r="AK10" i="98"/>
  <c r="AL10" i="98"/>
  <c r="CD7" i="98"/>
  <c r="CF7" i="98" s="1"/>
  <c r="CD11" i="98"/>
  <c r="CF11" i="98" s="1"/>
  <c r="CD15" i="98"/>
  <c r="CF15" i="98" s="1"/>
  <c r="CD19" i="98"/>
  <c r="CF19" i="98" s="1"/>
  <c r="CD23" i="98"/>
  <c r="CF23" i="98" s="1"/>
  <c r="CD27" i="98"/>
  <c r="CF27" i="98" s="1"/>
  <c r="CD31" i="98"/>
  <c r="CF31" i="98" s="1"/>
  <c r="CD35" i="98"/>
  <c r="CF35" i="98" s="1"/>
  <c r="CD39" i="98"/>
  <c r="CF39" i="98" s="1"/>
  <c r="CD43" i="98"/>
  <c r="CF43" i="98" s="1"/>
  <c r="CD47" i="98"/>
  <c r="CF47" i="98" s="1"/>
  <c r="CD51" i="98"/>
  <c r="CF51" i="98" s="1"/>
  <c r="CD55" i="98"/>
  <c r="CF55" i="98" s="1"/>
  <c r="CD59" i="98"/>
  <c r="CF59" i="98" s="1"/>
  <c r="CD63" i="98"/>
  <c r="CF63" i="98" s="1"/>
  <c r="CD54" i="98"/>
  <c r="CF54" i="98" s="1"/>
  <c r="CD6" i="98"/>
  <c r="CF6" i="98" s="1"/>
  <c r="CD8" i="98"/>
  <c r="CF8" i="98" s="1"/>
  <c r="CD12" i="98"/>
  <c r="CF12" i="98" s="1"/>
  <c r="CD16" i="98"/>
  <c r="CF16" i="98" s="1"/>
  <c r="CD20" i="98"/>
  <c r="CF20" i="98" s="1"/>
  <c r="CD24" i="98"/>
  <c r="CF24" i="98" s="1"/>
  <c r="CD28" i="98"/>
  <c r="CF28" i="98" s="1"/>
  <c r="CD32" i="98"/>
  <c r="CF32" i="98" s="1"/>
  <c r="CD36" i="98"/>
  <c r="CF36" i="98" s="1"/>
  <c r="CD40" i="98"/>
  <c r="CF40" i="98" s="1"/>
  <c r="CD44" i="98"/>
  <c r="CF44" i="98" s="1"/>
  <c r="CD48" i="98"/>
  <c r="CF48" i="98" s="1"/>
  <c r="CD52" i="98"/>
  <c r="CF52" i="98" s="1"/>
  <c r="CD56" i="98"/>
  <c r="CF56" i="98" s="1"/>
  <c r="CD60" i="98"/>
  <c r="CF60" i="98" s="1"/>
  <c r="CD64" i="98"/>
  <c r="CF64" i="98" s="1"/>
  <c r="CD50" i="98"/>
  <c r="CF50" i="98" s="1"/>
  <c r="CD62" i="98"/>
  <c r="CF62" i="98" s="1"/>
  <c r="CD9" i="98"/>
  <c r="CF9" i="98" s="1"/>
  <c r="CD13" i="98"/>
  <c r="CF13" i="98" s="1"/>
  <c r="CD17" i="98"/>
  <c r="CF17" i="98" s="1"/>
  <c r="CD21" i="98"/>
  <c r="CF21" i="98" s="1"/>
  <c r="CD25" i="98"/>
  <c r="CF25" i="98" s="1"/>
  <c r="CD29" i="98"/>
  <c r="CF29" i="98" s="1"/>
  <c r="CD33" i="98"/>
  <c r="CF33" i="98" s="1"/>
  <c r="CD37" i="98"/>
  <c r="CF37" i="98" s="1"/>
  <c r="CD41" i="98"/>
  <c r="CF41" i="98" s="1"/>
  <c r="CD45" i="98"/>
  <c r="CF45" i="98" s="1"/>
  <c r="CD49" i="98"/>
  <c r="CF49" i="98" s="1"/>
  <c r="CD53" i="98"/>
  <c r="CF53" i="98" s="1"/>
  <c r="CD57" i="98"/>
  <c r="CF57" i="98" s="1"/>
  <c r="CD61" i="98"/>
  <c r="CF61" i="98" s="1"/>
  <c r="CD65" i="98"/>
  <c r="CF65" i="98" s="1"/>
  <c r="CD46" i="98"/>
  <c r="CF46" i="98" s="1"/>
  <c r="CD10" i="98"/>
  <c r="CF10" i="98" s="1"/>
  <c r="CD14" i="98"/>
  <c r="CF14" i="98" s="1"/>
  <c r="CD18" i="98"/>
  <c r="CF18" i="98" s="1"/>
  <c r="CD22" i="98"/>
  <c r="CF22" i="98" s="1"/>
  <c r="CD26" i="98"/>
  <c r="CF26" i="98" s="1"/>
  <c r="CD30" i="98"/>
  <c r="CF30" i="98" s="1"/>
  <c r="CD34" i="98"/>
  <c r="CF34" i="98" s="1"/>
  <c r="CD38" i="98"/>
  <c r="CF38" i="98" s="1"/>
  <c r="CD42" i="98"/>
  <c r="CF42" i="98" s="1"/>
  <c r="CD58" i="98"/>
  <c r="CF58" i="98" s="1"/>
  <c r="CD3" i="89"/>
  <c r="CW6" i="89"/>
  <c r="CY6" i="89"/>
  <c r="CF3" i="89"/>
  <c r="CC3" i="89"/>
  <c r="CV6" i="89"/>
  <c r="CE3" i="89"/>
  <c r="CX6" i="89"/>
  <c r="S7" i="88"/>
  <c r="T7" i="88" s="1"/>
  <c r="DC5" i="89"/>
  <c r="S14" i="88"/>
  <c r="T14" i="88" s="1"/>
  <c r="N34" i="88"/>
  <c r="O34" i="88"/>
  <c r="K34" i="88"/>
  <c r="H34" i="88"/>
  <c r="I34" i="88"/>
  <c r="L34" i="88"/>
  <c r="G34" i="88"/>
  <c r="J34" i="88"/>
  <c r="M34" i="88"/>
  <c r="O10" i="98" l="1"/>
  <c r="AB13" i="98"/>
  <c r="Y13" i="98"/>
  <c r="P12" i="98"/>
  <c r="AI11" i="98"/>
  <c r="P7" i="98"/>
  <c r="Z11" i="98"/>
  <c r="AT9" i="103"/>
  <c r="AU9" i="103"/>
  <c r="AV9" i="103"/>
  <c r="AS9" i="103"/>
  <c r="AW9" i="103"/>
  <c r="AQ8" i="88"/>
  <c r="AM1406" i="90"/>
  <c r="AM574" i="90"/>
  <c r="AM1354" i="90"/>
  <c r="AM522" i="90"/>
  <c r="AM54" i="90"/>
  <c r="AM1458" i="90"/>
  <c r="AM782" i="90"/>
  <c r="AM1198" i="90"/>
  <c r="AM1302" i="90"/>
  <c r="AM1146" i="90"/>
  <c r="AM470" i="90"/>
  <c r="AM990" i="90"/>
  <c r="AM730" i="90"/>
  <c r="AM938" i="90"/>
  <c r="AM1094" i="90"/>
  <c r="AM366" i="90"/>
  <c r="AM158" i="90"/>
  <c r="AM314" i="90"/>
  <c r="AM106" i="90"/>
  <c r="AM1250" i="90"/>
  <c r="AM1042" i="90"/>
  <c r="AM262" i="90"/>
  <c r="AM210" i="90"/>
  <c r="AM886" i="90"/>
  <c r="AM834" i="90"/>
  <c r="AM626" i="90"/>
  <c r="AM678" i="90"/>
  <c r="AM418" i="90"/>
  <c r="AM464" i="90"/>
  <c r="AM48" i="90"/>
  <c r="AM204" i="90"/>
  <c r="AM776" i="90"/>
  <c r="AM828" i="90"/>
  <c r="AM1088" i="90"/>
  <c r="AM880" i="90"/>
  <c r="AM516" i="90"/>
  <c r="AM1296" i="90"/>
  <c r="AM620" i="90"/>
  <c r="AM1400" i="90"/>
  <c r="AM256" i="90"/>
  <c r="AM672" i="90"/>
  <c r="AM1452" i="90"/>
  <c r="AM1192" i="90"/>
  <c r="AM360" i="90"/>
  <c r="AM1140" i="90"/>
  <c r="AM412" i="90"/>
  <c r="AM1244" i="90"/>
  <c r="AM1036" i="90"/>
  <c r="AM984" i="90"/>
  <c r="AM568" i="90"/>
  <c r="AM724" i="90"/>
  <c r="AM1348" i="90"/>
  <c r="AM100" i="90"/>
  <c r="AM308" i="90"/>
  <c r="AM152" i="90"/>
  <c r="AM932" i="90"/>
  <c r="AM1455" i="90"/>
  <c r="AM571" i="90"/>
  <c r="AM155" i="90"/>
  <c r="AM831" i="90"/>
  <c r="AM415" i="90"/>
  <c r="AM467" i="90"/>
  <c r="AM207" i="90"/>
  <c r="AM1143" i="90"/>
  <c r="AM1403" i="90"/>
  <c r="AM1247" i="90"/>
  <c r="AM1039" i="90"/>
  <c r="AM935" i="90"/>
  <c r="AM1195" i="90"/>
  <c r="AM779" i="90"/>
  <c r="AM363" i="90"/>
  <c r="AM623" i="90"/>
  <c r="AM987" i="90"/>
  <c r="AM1091" i="90"/>
  <c r="AM883" i="90"/>
  <c r="AM1299" i="90"/>
  <c r="AM1351" i="90"/>
  <c r="AM519" i="90"/>
  <c r="AM259" i="90"/>
  <c r="AM51" i="90"/>
  <c r="AM727" i="90"/>
  <c r="AM311" i="90"/>
  <c r="AM103" i="90"/>
  <c r="AM675" i="90"/>
  <c r="AM1305" i="90"/>
  <c r="AM1097" i="90"/>
  <c r="AM889" i="90"/>
  <c r="AM473" i="90"/>
  <c r="AM681" i="90"/>
  <c r="AM265" i="90"/>
  <c r="AM1201" i="90"/>
  <c r="AM161" i="90"/>
  <c r="AM577" i="90"/>
  <c r="AM1253" i="90"/>
  <c r="AM1045" i="90"/>
  <c r="AM213" i="90"/>
  <c r="AM941" i="90"/>
  <c r="AM837" i="90"/>
  <c r="AM785" i="90"/>
  <c r="AM733" i="90"/>
  <c r="AM369" i="90"/>
  <c r="AM5" i="90"/>
  <c r="AM1409" i="90"/>
  <c r="AM421" i="90"/>
  <c r="AM317" i="90"/>
  <c r="AM109" i="90"/>
  <c r="AM57" i="90"/>
  <c r="AM1357" i="90"/>
  <c r="AM629" i="90"/>
  <c r="AM1149" i="90"/>
  <c r="AM525" i="90"/>
  <c r="AM993" i="90"/>
  <c r="AM1049" i="90"/>
  <c r="AM1257" i="90"/>
  <c r="AM633" i="90"/>
  <c r="AM945" i="90"/>
  <c r="AM165" i="90"/>
  <c r="AM1413" i="90"/>
  <c r="AM1361" i="90"/>
  <c r="AM1309" i="90"/>
  <c r="AM1101" i="90"/>
  <c r="AM61" i="90"/>
  <c r="AM581" i="90"/>
  <c r="AM685" i="90"/>
  <c r="AM1205" i="90"/>
  <c r="AM477" i="90"/>
  <c r="AM893" i="90"/>
  <c r="AM321" i="90"/>
  <c r="AM217" i="90"/>
  <c r="AM1153" i="90"/>
  <c r="AM113" i="90"/>
  <c r="AM529" i="90"/>
  <c r="AM269" i="90"/>
  <c r="AM9" i="90"/>
  <c r="AM997" i="90"/>
  <c r="AM425" i="90"/>
  <c r="AM789" i="90"/>
  <c r="AM373" i="90"/>
  <c r="AM841" i="90"/>
  <c r="AM737" i="90"/>
  <c r="AM844" i="90"/>
  <c r="AM1312" i="90"/>
  <c r="AM636" i="90"/>
  <c r="AM1416" i="90"/>
  <c r="AM688" i="90"/>
  <c r="AM1104" i="90"/>
  <c r="AM1208" i="90"/>
  <c r="AM376" i="90"/>
  <c r="AM428" i="90"/>
  <c r="AM1260" i="90"/>
  <c r="AM1052" i="90"/>
  <c r="AM272" i="90"/>
  <c r="AM1000" i="90"/>
  <c r="AM480" i="90"/>
  <c r="AM64" i="90"/>
  <c r="AM220" i="90"/>
  <c r="AM12" i="90"/>
  <c r="AM896" i="90"/>
  <c r="AM792" i="90"/>
  <c r="AM116" i="90"/>
  <c r="AM948" i="90"/>
  <c r="AM740" i="90"/>
  <c r="AM1364" i="90"/>
  <c r="AM168" i="90"/>
  <c r="AM324" i="90"/>
  <c r="AM584" i="90"/>
  <c r="AM1156" i="90"/>
  <c r="AM532" i="90"/>
  <c r="AM223" i="90"/>
  <c r="AM1159" i="90"/>
  <c r="AM1419" i="90"/>
  <c r="AM1055" i="90"/>
  <c r="AM951" i="90"/>
  <c r="AM431" i="90"/>
  <c r="AM1211" i="90"/>
  <c r="AM795" i="90"/>
  <c r="AM379" i="90"/>
  <c r="AM639" i="90"/>
  <c r="AM15" i="90"/>
  <c r="AM1003" i="90"/>
  <c r="AM1263" i="90"/>
  <c r="AM847" i="90"/>
  <c r="AM587" i="90"/>
  <c r="AM171" i="90"/>
  <c r="AM1107" i="90"/>
  <c r="AM67" i="90"/>
  <c r="AM483" i="90"/>
  <c r="AM691" i="90"/>
  <c r="AM1367" i="90"/>
  <c r="AM535" i="90"/>
  <c r="AM743" i="90"/>
  <c r="AM327" i="90"/>
  <c r="AM119" i="90"/>
  <c r="AM275" i="90"/>
  <c r="AM1315" i="90"/>
  <c r="AM899" i="90"/>
  <c r="AM763" i="90"/>
  <c r="AM347" i="90"/>
  <c r="AM1231" i="90"/>
  <c r="AM1439" i="90"/>
  <c r="AM607" i="90"/>
  <c r="AM971" i="90"/>
  <c r="AM555" i="90"/>
  <c r="AM139" i="90"/>
  <c r="AM191" i="90"/>
  <c r="AM1127" i="90"/>
  <c r="AM1387" i="90"/>
  <c r="AM1023" i="90"/>
  <c r="AM919" i="90"/>
  <c r="AM815" i="90"/>
  <c r="AM399" i="90"/>
  <c r="AM1179" i="90"/>
  <c r="AM243" i="90"/>
  <c r="AM711" i="90"/>
  <c r="AM295" i="90"/>
  <c r="AM87" i="90"/>
  <c r="AM659" i="90"/>
  <c r="AM1075" i="90"/>
  <c r="AM1283" i="90"/>
  <c r="AM451" i="90"/>
  <c r="AM867" i="90"/>
  <c r="AM1335" i="90"/>
  <c r="AM503" i="90"/>
  <c r="AM35" i="90"/>
  <c r="AM27" i="90"/>
  <c r="AM287" i="90"/>
  <c r="AM599" i="90"/>
  <c r="AM183" i="90"/>
  <c r="AM235" i="90"/>
  <c r="AM1119" i="90"/>
  <c r="AM1015" i="90"/>
  <c r="AM703" i="90"/>
  <c r="AM495" i="90"/>
  <c r="AM1171" i="90"/>
  <c r="AM1327" i="90"/>
  <c r="AM1275" i="90"/>
  <c r="AM859" i="90"/>
  <c r="AM911" i="90"/>
  <c r="AM79" i="90"/>
  <c r="AM1067" i="90"/>
  <c r="AM651" i="90"/>
  <c r="AM443" i="90"/>
  <c r="AM131" i="90"/>
  <c r="AM1431" i="90"/>
  <c r="AM963" i="90"/>
  <c r="AM1223" i="90"/>
  <c r="AM807" i="90"/>
  <c r="AM391" i="90"/>
  <c r="AM755" i="90"/>
  <c r="AM547" i="90"/>
  <c r="AM1379" i="90"/>
  <c r="AM339" i="90"/>
  <c r="AM601" i="90"/>
  <c r="AM809" i="90"/>
  <c r="AM1017" i="90"/>
  <c r="AM1225" i="90"/>
  <c r="AM341" i="90"/>
  <c r="AM965" i="90"/>
  <c r="AM445" i="90"/>
  <c r="AM133" i="90"/>
  <c r="AM913" i="90"/>
  <c r="AM705" i="90"/>
  <c r="AM81" i="90"/>
  <c r="AM1329" i="90"/>
  <c r="AM549" i="90"/>
  <c r="AM29" i="90"/>
  <c r="AM497" i="90"/>
  <c r="AM757" i="90"/>
  <c r="AM237" i="90"/>
  <c r="AM289" i="90"/>
  <c r="AM185" i="90"/>
  <c r="AM1381" i="90"/>
  <c r="AM1173" i="90"/>
  <c r="AM1069" i="90"/>
  <c r="AM861" i="90"/>
  <c r="AM1121" i="90"/>
  <c r="AM393" i="90"/>
  <c r="AM1433" i="90"/>
  <c r="AM1277" i="90"/>
  <c r="AM653" i="90"/>
  <c r="AM556" i="90"/>
  <c r="AM1024" i="90"/>
  <c r="AM1388" i="90"/>
  <c r="AM712" i="90"/>
  <c r="AM1076" i="90"/>
  <c r="AM452" i="90"/>
  <c r="AM400" i="90"/>
  <c r="AM1440" i="90"/>
  <c r="AM764" i="90"/>
  <c r="AM1232" i="90"/>
  <c r="AM1336" i="90"/>
  <c r="AM1180" i="90"/>
  <c r="AM1128" i="90"/>
  <c r="AM296" i="90"/>
  <c r="AM192" i="90"/>
  <c r="AM348" i="90"/>
  <c r="AM140" i="90"/>
  <c r="AM972" i="90"/>
  <c r="AM816" i="90"/>
  <c r="AM608" i="90"/>
  <c r="AM920" i="90"/>
  <c r="AM1284" i="90"/>
  <c r="AM504" i="90"/>
  <c r="AM36" i="90"/>
  <c r="AM660" i="90"/>
  <c r="AM868" i="90"/>
  <c r="AM244" i="90"/>
  <c r="AM88" i="90"/>
  <c r="AM798" i="90"/>
  <c r="AM1214" i="90"/>
  <c r="AM1318" i="90"/>
  <c r="AM1162" i="90"/>
  <c r="AM486" i="90"/>
  <c r="AM1006" i="90"/>
  <c r="AM746" i="90"/>
  <c r="AM954" i="90"/>
  <c r="AM1110" i="90"/>
  <c r="AM382" i="90"/>
  <c r="AM174" i="90"/>
  <c r="AM330" i="90"/>
  <c r="AM122" i="90"/>
  <c r="AM1422" i="90"/>
  <c r="AM590" i="90"/>
  <c r="AM1370" i="90"/>
  <c r="AM538" i="90"/>
  <c r="AM70" i="90"/>
  <c r="AM1266" i="90"/>
  <c r="AM434" i="90"/>
  <c r="AM18" i="90"/>
  <c r="AM902" i="90"/>
  <c r="AM850" i="90"/>
  <c r="AM694" i="90"/>
  <c r="AM226" i="90"/>
  <c r="AM278" i="90"/>
  <c r="AM1058" i="90"/>
  <c r="AM642" i="90"/>
  <c r="AM697" i="90"/>
  <c r="AM905" i="90"/>
  <c r="AM489" i="90"/>
  <c r="AM1113" i="90"/>
  <c r="AM1165" i="90"/>
  <c r="AM645" i="90"/>
  <c r="AM749" i="90"/>
  <c r="AM281" i="90"/>
  <c r="AM541" i="90"/>
  <c r="AM333" i="90"/>
  <c r="AM125" i="90"/>
  <c r="AM1217" i="90"/>
  <c r="AM73" i="90"/>
  <c r="AM1269" i="90"/>
  <c r="AM21" i="90"/>
  <c r="AM1061" i="90"/>
  <c r="AM437" i="90"/>
  <c r="AM385" i="90"/>
  <c r="AM229" i="90"/>
  <c r="AM593" i="90"/>
  <c r="AM177" i="90"/>
  <c r="AM1009" i="90"/>
  <c r="AM1425" i="90"/>
  <c r="AM1373" i="90"/>
  <c r="AM957" i="90"/>
  <c r="AM1321" i="90"/>
  <c r="AM853" i="90"/>
  <c r="AM801" i="90"/>
  <c r="CX9" i="89"/>
  <c r="CX13" i="89"/>
  <c r="CX17" i="89"/>
  <c r="CX21" i="89"/>
  <c r="CX25" i="89"/>
  <c r="CX10" i="89"/>
  <c r="CX14" i="89"/>
  <c r="CX18" i="89"/>
  <c r="CX22" i="89"/>
  <c r="CX26" i="89"/>
  <c r="CX11" i="89"/>
  <c r="CX15" i="89"/>
  <c r="CX19" i="89"/>
  <c r="CX23" i="89"/>
  <c r="CX7" i="89"/>
  <c r="CX8" i="89"/>
  <c r="CX24" i="89"/>
  <c r="CX16" i="89"/>
  <c r="CX20" i="89"/>
  <c r="CX12" i="89"/>
  <c r="CE10" i="89"/>
  <c r="CE14" i="89"/>
  <c r="CE18" i="89"/>
  <c r="CE22" i="89"/>
  <c r="CE26" i="89"/>
  <c r="CE30" i="89"/>
  <c r="CE34" i="89"/>
  <c r="CE38" i="89"/>
  <c r="CE42" i="89"/>
  <c r="CE46" i="89"/>
  <c r="CE50" i="89"/>
  <c r="CE54" i="89"/>
  <c r="CE17" i="89"/>
  <c r="CE25" i="89"/>
  <c r="CE53" i="89"/>
  <c r="CE7" i="89"/>
  <c r="CE11" i="89"/>
  <c r="CE15" i="89"/>
  <c r="CE19" i="89"/>
  <c r="CE23" i="89"/>
  <c r="CE27" i="89"/>
  <c r="CE31" i="89"/>
  <c r="CE35" i="89"/>
  <c r="CE39" i="89"/>
  <c r="CE43" i="89"/>
  <c r="CE47" i="89"/>
  <c r="CE51" i="89"/>
  <c r="CE55" i="89"/>
  <c r="CE21" i="89"/>
  <c r="CE29" i="89"/>
  <c r="CE37" i="89"/>
  <c r="CE6" i="89"/>
  <c r="CE8" i="89"/>
  <c r="CE12" i="89"/>
  <c r="CE16" i="89"/>
  <c r="CE20" i="89"/>
  <c r="CE24" i="89"/>
  <c r="CE28" i="89"/>
  <c r="CE32" i="89"/>
  <c r="CE36" i="89"/>
  <c r="CE40" i="89"/>
  <c r="CE44" i="89"/>
  <c r="CE48" i="89"/>
  <c r="CE52" i="89"/>
  <c r="CE56" i="89"/>
  <c r="CE9" i="89"/>
  <c r="CE13" i="89"/>
  <c r="CE33" i="89"/>
  <c r="CE41" i="89"/>
  <c r="CE49" i="89"/>
  <c r="CE57" i="89"/>
  <c r="CE45" i="89"/>
  <c r="CY9" i="89"/>
  <c r="CY13" i="89"/>
  <c r="CY17" i="89"/>
  <c r="CY21" i="89"/>
  <c r="CY25" i="89"/>
  <c r="CY10" i="89"/>
  <c r="CY14" i="89"/>
  <c r="CY18" i="89"/>
  <c r="CY22" i="89"/>
  <c r="CY26" i="89"/>
  <c r="CY11" i="89"/>
  <c r="CY15" i="89"/>
  <c r="CY19" i="89"/>
  <c r="CY23" i="89"/>
  <c r="CY7" i="89"/>
  <c r="CY12" i="89"/>
  <c r="CY16" i="89"/>
  <c r="CY8" i="89"/>
  <c r="CY20" i="89"/>
  <c r="CY24" i="89"/>
  <c r="AM926" i="90"/>
  <c r="AM1342" i="90"/>
  <c r="AM510" i="90"/>
  <c r="AM1446" i="90"/>
  <c r="AM1290" i="90"/>
  <c r="AM458" i="90"/>
  <c r="AM718" i="90"/>
  <c r="AM1134" i="90"/>
  <c r="AM874" i="90"/>
  <c r="AM1238" i="90"/>
  <c r="AM1082" i="90"/>
  <c r="AM666" i="90"/>
  <c r="AM1030" i="90"/>
  <c r="AM978" i="90"/>
  <c r="AM302" i="90"/>
  <c r="AM94" i="90"/>
  <c r="AM250" i="90"/>
  <c r="AM42" i="90"/>
  <c r="AM198" i="90"/>
  <c r="AM562" i="90"/>
  <c r="AM770" i="90"/>
  <c r="AM354" i="90"/>
  <c r="AM822" i="90"/>
  <c r="AM1186" i="90"/>
  <c r="AM614" i="90"/>
  <c r="AM1394" i="90"/>
  <c r="AM146" i="90"/>
  <c r="AM406" i="90"/>
  <c r="AM521" i="90"/>
  <c r="AM937" i="90"/>
  <c r="AM729" i="90"/>
  <c r="AM1145" i="90"/>
  <c r="AM261" i="90"/>
  <c r="AM1249" i="90"/>
  <c r="AM573" i="90"/>
  <c r="AM365" i="90"/>
  <c r="AM1197" i="90"/>
  <c r="AM625" i="90"/>
  <c r="AM157" i="90"/>
  <c r="AM417" i="90"/>
  <c r="AM1093" i="90"/>
  <c r="AM53" i="90"/>
  <c r="AM1041" i="90"/>
  <c r="AM833" i="90"/>
  <c r="AM1457" i="90"/>
  <c r="AM677" i="90"/>
  <c r="AM105" i="90"/>
  <c r="AM313" i="90"/>
  <c r="AM209" i="90"/>
  <c r="AM989" i="90"/>
  <c r="AM885" i="90"/>
  <c r="AM469" i="90"/>
  <c r="AM781" i="90"/>
  <c r="AM1301" i="90"/>
  <c r="AM1405" i="90"/>
  <c r="AM1353" i="90"/>
  <c r="AM1084" i="90"/>
  <c r="AM1032" i="90"/>
  <c r="AM512" i="90"/>
  <c r="AM96" i="90"/>
  <c r="AM252" i="90"/>
  <c r="AM44" i="90"/>
  <c r="AM824" i="90"/>
  <c r="AM928" i="90"/>
  <c r="AM304" i="90"/>
  <c r="AM876" i="90"/>
  <c r="AM720" i="90"/>
  <c r="AM460" i="90"/>
  <c r="AM616" i="90"/>
  <c r="AM1136" i="90"/>
  <c r="AM1344" i="90"/>
  <c r="AM668" i="90"/>
  <c r="AM1448" i="90"/>
  <c r="AM1292" i="90"/>
  <c r="AM408" i="90"/>
  <c r="AM200" i="90"/>
  <c r="AM1396" i="90"/>
  <c r="AM356" i="90"/>
  <c r="AM980" i="90"/>
  <c r="AM148" i="90"/>
  <c r="AM772" i="90"/>
  <c r="AM1188" i="90"/>
  <c r="AM564" i="90"/>
  <c r="AM1240" i="90"/>
  <c r="AM1243" i="90"/>
  <c r="AM827" i="90"/>
  <c r="AM411" i="90"/>
  <c r="AM47" i="90"/>
  <c r="AM1035" i="90"/>
  <c r="AM619" i="90"/>
  <c r="AM1191" i="90"/>
  <c r="AM567" i="90"/>
  <c r="AM255" i="90"/>
  <c r="AM203" i="90"/>
  <c r="AM931" i="90"/>
  <c r="AM1451" i="90"/>
  <c r="AM1295" i="90"/>
  <c r="AM879" i="90"/>
  <c r="AM671" i="90"/>
  <c r="AM1087" i="90"/>
  <c r="AM983" i="90"/>
  <c r="AM463" i="90"/>
  <c r="AM775" i="90"/>
  <c r="AM359" i="90"/>
  <c r="AM151" i="90"/>
  <c r="AM1347" i="90"/>
  <c r="AM1139" i="90"/>
  <c r="AM515" i="90"/>
  <c r="AM307" i="90"/>
  <c r="AM99" i="90"/>
  <c r="AM1399" i="90"/>
  <c r="AM723" i="90"/>
  <c r="AM528" i="90"/>
  <c r="AM112" i="90"/>
  <c r="AM1308" i="90"/>
  <c r="AM268" i="90"/>
  <c r="AM60" i="90"/>
  <c r="AM840" i="90"/>
  <c r="AM892" i="90"/>
  <c r="AM320" i="90"/>
  <c r="AM476" i="90"/>
  <c r="AM736" i="90"/>
  <c r="AM632" i="90"/>
  <c r="AM1360" i="90"/>
  <c r="AM684" i="90"/>
  <c r="AM1152" i="90"/>
  <c r="AM424" i="90"/>
  <c r="AM996" i="90"/>
  <c r="AM944" i="90"/>
  <c r="AM1100" i="90"/>
  <c r="AM1048" i="90"/>
  <c r="AM216" i="90"/>
  <c r="AM164" i="90"/>
  <c r="AM8" i="90"/>
  <c r="AM788" i="90"/>
  <c r="AM372" i="90"/>
  <c r="AM580" i="90"/>
  <c r="AM1256" i="90"/>
  <c r="AM1204" i="90"/>
  <c r="AM1412" i="90"/>
  <c r="AM1417" i="90"/>
  <c r="AM1209" i="90"/>
  <c r="AM793" i="90"/>
  <c r="AM1001" i="90"/>
  <c r="AM377" i="90"/>
  <c r="AM221" i="90"/>
  <c r="AM689" i="90"/>
  <c r="AM1261" i="90"/>
  <c r="AM1157" i="90"/>
  <c r="AM1105" i="90"/>
  <c r="AM949" i="90"/>
  <c r="AM741" i="90"/>
  <c r="AM429" i="90"/>
  <c r="AM325" i="90"/>
  <c r="AM117" i="90"/>
  <c r="AM1053" i="90"/>
  <c r="AM65" i="90"/>
  <c r="AM897" i="90"/>
  <c r="AM1313" i="90"/>
  <c r="AM481" i="90"/>
  <c r="AM273" i="90"/>
  <c r="AM13" i="90"/>
  <c r="AM169" i="90"/>
  <c r="AM1365" i="90"/>
  <c r="AM845" i="90"/>
  <c r="AM637" i="90"/>
  <c r="AM585" i="90"/>
  <c r="AM533" i="90"/>
  <c r="AM635" i="90"/>
  <c r="AM687" i="90"/>
  <c r="AM11" i="90"/>
  <c r="AM1311" i="90"/>
  <c r="AM1207" i="90"/>
  <c r="AM583" i="90"/>
  <c r="AM271" i="90"/>
  <c r="AM219" i="90"/>
  <c r="AM531" i="90"/>
  <c r="AM895" i="90"/>
  <c r="AM1103" i="90"/>
  <c r="AM999" i="90"/>
  <c r="AM479" i="90"/>
  <c r="AM1259" i="90"/>
  <c r="AM843" i="90"/>
  <c r="AM427" i="90"/>
  <c r="AM63" i="90"/>
  <c r="AM1051" i="90"/>
  <c r="AM1155" i="90"/>
  <c r="AM323" i="90"/>
  <c r="AM947" i="90"/>
  <c r="AM1363" i="90"/>
  <c r="AM739" i="90"/>
  <c r="AM1415" i="90"/>
  <c r="AM115" i="90"/>
  <c r="AM791" i="90"/>
  <c r="AM375" i="90"/>
  <c r="AM167" i="90"/>
  <c r="AM222" i="90"/>
  <c r="AM14" i="90"/>
  <c r="AM1418" i="90"/>
  <c r="AM586" i="90"/>
  <c r="AM118" i="90"/>
  <c r="AM846" i="90"/>
  <c r="AM1262" i="90"/>
  <c r="AM1366" i="90"/>
  <c r="AM1210" i="90"/>
  <c r="AM534" i="90"/>
  <c r="AM638" i="90"/>
  <c r="AM1054" i="90"/>
  <c r="AM794" i="90"/>
  <c r="AM1158" i="90"/>
  <c r="AM1002" i="90"/>
  <c r="AM430" i="90"/>
  <c r="AM378" i="90"/>
  <c r="AM170" i="90"/>
  <c r="AM950" i="90"/>
  <c r="AM274" i="90"/>
  <c r="AM326" i="90"/>
  <c r="AM1314" i="90"/>
  <c r="AM1106" i="90"/>
  <c r="AM482" i="90"/>
  <c r="AM66" i="90"/>
  <c r="AM742" i="90"/>
  <c r="AM898" i="90"/>
  <c r="AM690" i="90"/>
  <c r="AM350" i="90"/>
  <c r="AM142" i="90"/>
  <c r="AM298" i="90"/>
  <c r="AM90" i="90"/>
  <c r="AM1026" i="90"/>
  <c r="AM1390" i="90"/>
  <c r="AM558" i="90"/>
  <c r="AM1338" i="90"/>
  <c r="AM506" i="90"/>
  <c r="AM38" i="90"/>
  <c r="AM766" i="90"/>
  <c r="AM1182" i="90"/>
  <c r="AM922" i="90"/>
  <c r="AM1286" i="90"/>
  <c r="AM1130" i="90"/>
  <c r="AM454" i="90"/>
  <c r="AM1442" i="90"/>
  <c r="AM974" i="90"/>
  <c r="AM714" i="90"/>
  <c r="AM1078" i="90"/>
  <c r="AM246" i="90"/>
  <c r="AM610" i="90"/>
  <c r="AM194" i="90"/>
  <c r="AM818" i="90"/>
  <c r="AM870" i="90"/>
  <c r="AM662" i="90"/>
  <c r="AM1234" i="90"/>
  <c r="AM402" i="90"/>
  <c r="AM873" i="90"/>
  <c r="AM1289" i="90"/>
  <c r="AM1081" i="90"/>
  <c r="AM665" i="90"/>
  <c r="AM925" i="90"/>
  <c r="AM821" i="90"/>
  <c r="AM41" i="90"/>
  <c r="AM405" i="90"/>
  <c r="AM301" i="90"/>
  <c r="AM93" i="90"/>
  <c r="AM457" i="90"/>
  <c r="AM1445" i="90"/>
  <c r="AM1133" i="90"/>
  <c r="AM249" i="90"/>
  <c r="AM561" i="90"/>
  <c r="AM145" i="90"/>
  <c r="AM197" i="90"/>
  <c r="AM1029" i="90"/>
  <c r="AM353" i="90"/>
  <c r="AM977" i="90"/>
  <c r="AM769" i="90"/>
  <c r="AM1393" i="90"/>
  <c r="AM613" i="90"/>
  <c r="AM1237" i="90"/>
  <c r="AM509" i="90"/>
  <c r="AM717" i="90"/>
  <c r="AM1185" i="90"/>
  <c r="AM1341" i="90"/>
  <c r="AM1072" i="90"/>
  <c r="AM1436" i="90"/>
  <c r="AM396" i="90"/>
  <c r="AM1228" i="90"/>
  <c r="AM1020" i="90"/>
  <c r="AM188" i="90"/>
  <c r="AM968" i="90"/>
  <c r="AM448" i="90"/>
  <c r="AM32" i="90"/>
  <c r="AM760" i="90"/>
  <c r="AM812" i="90"/>
  <c r="AM864" i="90"/>
  <c r="AM240" i="90"/>
  <c r="AM1280" i="90"/>
  <c r="AM604" i="90"/>
  <c r="AM1384" i="90"/>
  <c r="AM656" i="90"/>
  <c r="AM1176" i="90"/>
  <c r="AM344" i="90"/>
  <c r="AM136" i="90"/>
  <c r="AM500" i="90"/>
  <c r="AM916" i="90"/>
  <c r="AM292" i="90"/>
  <c r="AM708" i="90"/>
  <c r="AM552" i="90"/>
  <c r="AM1124" i="90"/>
  <c r="AM1332" i="90"/>
  <c r="AM84" i="90"/>
  <c r="AM908" i="90"/>
  <c r="AM492" i="90"/>
  <c r="AM752" i="90"/>
  <c r="AM336" i="90"/>
  <c r="AM1168" i="90"/>
  <c r="AM648" i="90"/>
  <c r="AM1376" i="90"/>
  <c r="AM700" i="90"/>
  <c r="AM960" i="90"/>
  <c r="AM1116" i="90"/>
  <c r="AM1324" i="90"/>
  <c r="AM1064" i="90"/>
  <c r="AM232" i="90"/>
  <c r="AM544" i="90"/>
  <c r="AM128" i="90"/>
  <c r="AM284" i="90"/>
  <c r="AM76" i="90"/>
  <c r="AM856" i="90"/>
  <c r="AM596" i="90"/>
  <c r="AM180" i="90"/>
  <c r="AM1428" i="90"/>
  <c r="AM440" i="90"/>
  <c r="AM1012" i="90"/>
  <c r="AM804" i="90"/>
  <c r="AM1272" i="90"/>
  <c r="AM1220" i="90"/>
  <c r="AM24" i="90"/>
  <c r="AM388" i="90"/>
  <c r="AM592" i="90"/>
  <c r="AM176" i="90"/>
  <c r="AM332" i="90"/>
  <c r="AM124" i="90"/>
  <c r="AM956" i="90"/>
  <c r="AM800" i="90"/>
  <c r="AM904" i="90"/>
  <c r="AM540" i="90"/>
  <c r="AM696" i="90"/>
  <c r="AM1216" i="90"/>
  <c r="AM1424" i="90"/>
  <c r="AM1372" i="90"/>
  <c r="AM748" i="90"/>
  <c r="AM1008" i="90"/>
  <c r="AM20" i="90"/>
  <c r="AM1164" i="90"/>
  <c r="AM384" i="90"/>
  <c r="AM1112" i="90"/>
  <c r="AM280" i="90"/>
  <c r="AM72" i="90"/>
  <c r="AM488" i="90"/>
  <c r="AM1320" i="90"/>
  <c r="AM852" i="90"/>
  <c r="AM644" i="90"/>
  <c r="AM1268" i="90"/>
  <c r="AM1060" i="90"/>
  <c r="AM436" i="90"/>
  <c r="AM228" i="90"/>
  <c r="CF9" i="89"/>
  <c r="CF13" i="89"/>
  <c r="CF17" i="89"/>
  <c r="CF21" i="89"/>
  <c r="CF25" i="89"/>
  <c r="CF29" i="89"/>
  <c r="CF33" i="89"/>
  <c r="CF37" i="89"/>
  <c r="CF41" i="89"/>
  <c r="CF45" i="89"/>
  <c r="CF49" i="89"/>
  <c r="CF53" i="89"/>
  <c r="CF57" i="89"/>
  <c r="CF6" i="89"/>
  <c r="CF8" i="89"/>
  <c r="CF12" i="89"/>
  <c r="CF32" i="89"/>
  <c r="CF40" i="89"/>
  <c r="CF48" i="89"/>
  <c r="CF56" i="89"/>
  <c r="CF10" i="89"/>
  <c r="CF14" i="89"/>
  <c r="CF18" i="89"/>
  <c r="CF22" i="89"/>
  <c r="CF26" i="89"/>
  <c r="CF30" i="89"/>
  <c r="CF34" i="89"/>
  <c r="CF38" i="89"/>
  <c r="CF42" i="89"/>
  <c r="CF46" i="89"/>
  <c r="CF50" i="89"/>
  <c r="CF54" i="89"/>
  <c r="CF16" i="89"/>
  <c r="CF24" i="89"/>
  <c r="CF44" i="89"/>
  <c r="CF52" i="89"/>
  <c r="CF7" i="89"/>
  <c r="CF11" i="89"/>
  <c r="CF15" i="89"/>
  <c r="CF19" i="89"/>
  <c r="CF23" i="89"/>
  <c r="CF27" i="89"/>
  <c r="CF31" i="89"/>
  <c r="CF35" i="89"/>
  <c r="CF39" i="89"/>
  <c r="CF43" i="89"/>
  <c r="CF47" i="89"/>
  <c r="CF51" i="89"/>
  <c r="CF55" i="89"/>
  <c r="CF20" i="89"/>
  <c r="CF28" i="89"/>
  <c r="CF36" i="89"/>
  <c r="CV9" i="89"/>
  <c r="CV13" i="89"/>
  <c r="CV17" i="89"/>
  <c r="CV21" i="89"/>
  <c r="CV25" i="89"/>
  <c r="CV10" i="89"/>
  <c r="CV14" i="89"/>
  <c r="CV18" i="89"/>
  <c r="CV22" i="89"/>
  <c r="CV26" i="89"/>
  <c r="CV11" i="89"/>
  <c r="CV15" i="89"/>
  <c r="CV19" i="89"/>
  <c r="CV23" i="89"/>
  <c r="CV7" i="89"/>
  <c r="CV16" i="89"/>
  <c r="CV20" i="89"/>
  <c r="CV8" i="89"/>
  <c r="CV12" i="89"/>
  <c r="CV24" i="89"/>
  <c r="CW9" i="89"/>
  <c r="CW13" i="89"/>
  <c r="CW17" i="89"/>
  <c r="CW21" i="89"/>
  <c r="CW25" i="89"/>
  <c r="CW10" i="89"/>
  <c r="CW14" i="89"/>
  <c r="CW18" i="89"/>
  <c r="CW22" i="89"/>
  <c r="CW26" i="89"/>
  <c r="CW11" i="89"/>
  <c r="CW15" i="89"/>
  <c r="CW19" i="89"/>
  <c r="CW23" i="89"/>
  <c r="CW7" i="89"/>
  <c r="CW20" i="89"/>
  <c r="CW8" i="89"/>
  <c r="CW24" i="89"/>
  <c r="CW12" i="89"/>
  <c r="CW16" i="89"/>
  <c r="AM569" i="90"/>
  <c r="AM985" i="90"/>
  <c r="AM1193" i="90"/>
  <c r="AM1401" i="90"/>
  <c r="AM777" i="90"/>
  <c r="AM413" i="90"/>
  <c r="AM309" i="90"/>
  <c r="AM101" i="90"/>
  <c r="AM49" i="90"/>
  <c r="AM933" i="90"/>
  <c r="AM257" i="90"/>
  <c r="AM1349" i="90"/>
  <c r="AM1453" i="90"/>
  <c r="AM153" i="90"/>
  <c r="AM1297" i="90"/>
  <c r="AM1245" i="90"/>
  <c r="AM205" i="90"/>
  <c r="AM1037" i="90"/>
  <c r="AM517" i="90"/>
  <c r="AM621" i="90"/>
  <c r="AM1141" i="90"/>
  <c r="AM361" i="90"/>
  <c r="AM1089" i="90"/>
  <c r="AM881" i="90"/>
  <c r="AM465" i="90"/>
  <c r="AM829" i="90"/>
  <c r="AM725" i="90"/>
  <c r="AM673" i="90"/>
  <c r="AM1200" i="90"/>
  <c r="AM368" i="90"/>
  <c r="AM1148" i="90"/>
  <c r="AM1096" i="90"/>
  <c r="AM264" i="90"/>
  <c r="AM576" i="90"/>
  <c r="AM160" i="90"/>
  <c r="AM316" i="90"/>
  <c r="AM108" i="90"/>
  <c r="AM784" i="90"/>
  <c r="AM940" i="90"/>
  <c r="AM1356" i="90"/>
  <c r="AM888" i="90"/>
  <c r="AM524" i="90"/>
  <c r="AM992" i="90"/>
  <c r="AM680" i="90"/>
  <c r="AM212" i="90"/>
  <c r="AM1408" i="90"/>
  <c r="AM732" i="90"/>
  <c r="AM836" i="90"/>
  <c r="AM1044" i="90"/>
  <c r="AM56" i="90"/>
  <c r="AM1252" i="90"/>
  <c r="AM420" i="90"/>
  <c r="AM472" i="90"/>
  <c r="AM1460" i="90"/>
  <c r="AM1304" i="90"/>
  <c r="AM628" i="90"/>
  <c r="AM1135" i="90"/>
  <c r="AM1031" i="90"/>
  <c r="AM511" i="90"/>
  <c r="AM303" i="90"/>
  <c r="AM979" i="90"/>
  <c r="AM1291" i="90"/>
  <c r="AM875" i="90"/>
  <c r="AM719" i="90"/>
  <c r="AM927" i="90"/>
  <c r="AM95" i="90"/>
  <c r="AM1083" i="90"/>
  <c r="AM667" i="90"/>
  <c r="AM1343" i="90"/>
  <c r="AM459" i="90"/>
  <c r="AM43" i="90"/>
  <c r="AM199" i="90"/>
  <c r="AM251" i="90"/>
  <c r="AM1447" i="90"/>
  <c r="AM147" i="90"/>
  <c r="AM1239" i="90"/>
  <c r="AM823" i="90"/>
  <c r="AM407" i="90"/>
  <c r="AM771" i="90"/>
  <c r="AM615" i="90"/>
  <c r="AM1187" i="90"/>
  <c r="AM355" i="90"/>
  <c r="AM563" i="90"/>
  <c r="AM1395" i="90"/>
  <c r="AM734" i="90"/>
  <c r="AM1150" i="90"/>
  <c r="AM890" i="90"/>
  <c r="AM1254" i="90"/>
  <c r="AM1098" i="90"/>
  <c r="AM1410" i="90"/>
  <c r="AM162" i="90"/>
  <c r="AM942" i="90"/>
  <c r="AM682" i="90"/>
  <c r="AM1046" i="90"/>
  <c r="AM318" i="90"/>
  <c r="AM110" i="90"/>
  <c r="AM266" i="90"/>
  <c r="AM58" i="90"/>
  <c r="AM1358" i="90"/>
  <c r="AM526" i="90"/>
  <c r="AM1306" i="90"/>
  <c r="AM474" i="90"/>
  <c r="AM6" i="90"/>
  <c r="AM786" i="90"/>
  <c r="AM838" i="90"/>
  <c r="AM370" i="90"/>
  <c r="AM630" i="90"/>
  <c r="AM1202" i="90"/>
  <c r="AM994" i="90"/>
  <c r="AM578" i="90"/>
  <c r="AM422" i="90"/>
  <c r="AM214" i="90"/>
  <c r="AM634" i="90"/>
  <c r="AM426" i="90"/>
  <c r="AM998" i="90"/>
  <c r="AM270" i="90"/>
  <c r="AM62" i="90"/>
  <c r="AM218" i="90"/>
  <c r="AM10" i="90"/>
  <c r="AM166" i="90"/>
  <c r="AM894" i="90"/>
  <c r="AM1310" i="90"/>
  <c r="AM478" i="90"/>
  <c r="AM1414" i="90"/>
  <c r="AM1258" i="90"/>
  <c r="AM582" i="90"/>
  <c r="AM686" i="90"/>
  <c r="AM1102" i="90"/>
  <c r="AM842" i="90"/>
  <c r="AM1206" i="90"/>
  <c r="AM1050" i="90"/>
  <c r="AM1154" i="90"/>
  <c r="AM946" i="90"/>
  <c r="AM114" i="90"/>
  <c r="AM738" i="90"/>
  <c r="AM374" i="90"/>
  <c r="AM322" i="90"/>
  <c r="AM790" i="90"/>
  <c r="AM1362" i="90"/>
  <c r="AM530" i="90"/>
  <c r="AM767" i="90"/>
  <c r="AM91" i="90"/>
  <c r="AM247" i="90"/>
  <c r="AM1391" i="90"/>
  <c r="AM1183" i="90"/>
  <c r="AM1079" i="90"/>
  <c r="AM195" i="90"/>
  <c r="AM1339" i="90"/>
  <c r="AM975" i="90"/>
  <c r="AM559" i="90"/>
  <c r="AM351" i="90"/>
  <c r="AM143" i="90"/>
  <c r="AM1131" i="90"/>
  <c r="AM1027" i="90"/>
  <c r="AM715" i="90"/>
  <c r="AM299" i="90"/>
  <c r="AM923" i="90"/>
  <c r="AM507" i="90"/>
  <c r="AM819" i="90"/>
  <c r="AM1235" i="90"/>
  <c r="AM1443" i="90"/>
  <c r="AM611" i="90"/>
  <c r="AM403" i="90"/>
  <c r="AM1287" i="90"/>
  <c r="AM871" i="90"/>
  <c r="AM455" i="90"/>
  <c r="AM663" i="90"/>
  <c r="AM39" i="90"/>
  <c r="AM606" i="90"/>
  <c r="AM1022" i="90"/>
  <c r="AM762" i="90"/>
  <c r="AM970" i="90"/>
  <c r="AM1126" i="90"/>
  <c r="AM398" i="90"/>
  <c r="AM190" i="90"/>
  <c r="AM346" i="90"/>
  <c r="AM138" i="90"/>
  <c r="AM1282" i="90"/>
  <c r="AM450" i="90"/>
  <c r="AM1438" i="90"/>
  <c r="AM1386" i="90"/>
  <c r="AM554" i="90"/>
  <c r="AM86" i="90"/>
  <c r="AM1074" i="90"/>
  <c r="AM814" i="90"/>
  <c r="AM1230" i="90"/>
  <c r="AM1334" i="90"/>
  <c r="AM1178" i="90"/>
  <c r="AM502" i="90"/>
  <c r="AM710" i="90"/>
  <c r="AM866" i="90"/>
  <c r="AM34" i="90"/>
  <c r="AM658" i="90"/>
  <c r="AM294" i="90"/>
  <c r="AM242" i="90"/>
  <c r="AM918" i="90"/>
  <c r="AM505" i="90"/>
  <c r="AM713" i="90"/>
  <c r="AM921" i="90"/>
  <c r="AM1129" i="90"/>
  <c r="AM1337" i="90"/>
  <c r="AM37" i="90"/>
  <c r="AM1025" i="90"/>
  <c r="AM1181" i="90"/>
  <c r="AM245" i="90"/>
  <c r="AM297" i="90"/>
  <c r="AM193" i="90"/>
  <c r="AM453" i="90"/>
  <c r="AM817" i="90"/>
  <c r="AM1285" i="90"/>
  <c r="AM1389" i="90"/>
  <c r="AM1233" i="90"/>
  <c r="AM1441" i="90"/>
  <c r="AM349" i="90"/>
  <c r="AM401" i="90"/>
  <c r="AM973" i="90"/>
  <c r="AM141" i="90"/>
  <c r="AM557" i="90"/>
  <c r="AM1077" i="90"/>
  <c r="AM869" i="90"/>
  <c r="AM89" i="90"/>
  <c r="AM765" i="90"/>
  <c r="AM609" i="90"/>
  <c r="AM661" i="90"/>
  <c r="AM1328" i="90"/>
  <c r="AM652" i="90"/>
  <c r="AM1432" i="90"/>
  <c r="AM912" i="90"/>
  <c r="AM392" i="90"/>
  <c r="AM548" i="90"/>
  <c r="AM704" i="90"/>
  <c r="AM1276" i="90"/>
  <c r="AM1068" i="90"/>
  <c r="AM288" i="90"/>
  <c r="AM1016" i="90"/>
  <c r="AM340" i="90"/>
  <c r="AM1172" i="90"/>
  <c r="AM496" i="90"/>
  <c r="AM80" i="90"/>
  <c r="AM236" i="90"/>
  <c r="AM28" i="90"/>
  <c r="AM808" i="90"/>
  <c r="AM860" i="90"/>
  <c r="AM444" i="90"/>
  <c r="AM1120" i="90"/>
  <c r="AM1224" i="90"/>
  <c r="AM132" i="90"/>
  <c r="AM184" i="90"/>
  <c r="AM1380" i="90"/>
  <c r="AM600" i="90"/>
  <c r="AM964" i="90"/>
  <c r="AM756" i="90"/>
  <c r="AM699" i="90"/>
  <c r="AM283" i="90"/>
  <c r="AM1375" i="90"/>
  <c r="AM751" i="90"/>
  <c r="AM491" i="90"/>
  <c r="AM75" i="90"/>
  <c r="AM231" i="90"/>
  <c r="AM1167" i="90"/>
  <c r="AM1063" i="90"/>
  <c r="AM543" i="90"/>
  <c r="AM1323" i="90"/>
  <c r="AM907" i="90"/>
  <c r="AM959" i="90"/>
  <c r="AM335" i="90"/>
  <c r="AM127" i="90"/>
  <c r="AM1115" i="90"/>
  <c r="AM1219" i="90"/>
  <c r="AM647" i="90"/>
  <c r="AM23" i="90"/>
  <c r="AM387" i="90"/>
  <c r="AM1427" i="90"/>
  <c r="AM1271" i="90"/>
  <c r="AM855" i="90"/>
  <c r="AM439" i="90"/>
  <c r="AM179" i="90"/>
  <c r="AM1011" i="90"/>
  <c r="AM595" i="90"/>
  <c r="AM803" i="90"/>
  <c r="AM286" i="90"/>
  <c r="AM78" i="90"/>
  <c r="AM234" i="90"/>
  <c r="AM26" i="90"/>
  <c r="AM182" i="90"/>
  <c r="AM910" i="90"/>
  <c r="AM1326" i="90"/>
  <c r="AM494" i="90"/>
  <c r="AM1430" i="90"/>
  <c r="AM1274" i="90"/>
  <c r="AM442" i="90"/>
  <c r="AM598" i="90"/>
  <c r="AM702" i="90"/>
  <c r="AM1118" i="90"/>
  <c r="AM858" i="90"/>
  <c r="AM1222" i="90"/>
  <c r="AM1066" i="90"/>
  <c r="AM1378" i="90"/>
  <c r="AM650" i="90"/>
  <c r="AM1014" i="90"/>
  <c r="AM1170" i="90"/>
  <c r="AM546" i="90"/>
  <c r="AM390" i="90"/>
  <c r="AM754" i="90"/>
  <c r="AM130" i="90"/>
  <c r="AM338" i="90"/>
  <c r="AM806" i="90"/>
  <c r="AM962" i="90"/>
  <c r="CC8" i="89"/>
  <c r="CC12" i="89"/>
  <c r="CC16" i="89"/>
  <c r="CC20" i="89"/>
  <c r="CC24" i="89"/>
  <c r="CC28" i="89"/>
  <c r="CC32" i="89"/>
  <c r="CC36" i="89"/>
  <c r="CC40" i="89"/>
  <c r="CC44" i="89"/>
  <c r="CC48" i="89"/>
  <c r="CC52" i="89"/>
  <c r="CC56" i="89"/>
  <c r="CC15" i="89"/>
  <c r="CC23" i="89"/>
  <c r="CC43" i="89"/>
  <c r="CC51" i="89"/>
  <c r="CC9" i="89"/>
  <c r="CC13" i="89"/>
  <c r="CC17" i="89"/>
  <c r="CC21" i="89"/>
  <c r="CC25" i="89"/>
  <c r="CC29" i="89"/>
  <c r="CC33" i="89"/>
  <c r="CC37" i="89"/>
  <c r="CC41" i="89"/>
  <c r="CC45" i="89"/>
  <c r="CC49" i="89"/>
  <c r="CC53" i="89"/>
  <c r="CC57" i="89"/>
  <c r="CC7" i="89"/>
  <c r="CC11" i="89"/>
  <c r="CC19" i="89"/>
  <c r="CC27" i="89"/>
  <c r="CC35" i="89"/>
  <c r="CC55" i="89"/>
  <c r="CC10" i="89"/>
  <c r="CC14" i="89"/>
  <c r="CC18" i="89"/>
  <c r="CC22" i="89"/>
  <c r="CC26" i="89"/>
  <c r="CC30" i="89"/>
  <c r="CC34" i="89"/>
  <c r="CC38" i="89"/>
  <c r="CC42" i="89"/>
  <c r="CC46" i="89"/>
  <c r="CC50" i="89"/>
  <c r="CC54" i="89"/>
  <c r="CC6" i="89"/>
  <c r="CC31" i="89"/>
  <c r="CC39" i="89"/>
  <c r="CC47" i="89"/>
  <c r="CD7" i="89"/>
  <c r="CD11" i="89"/>
  <c r="CD15" i="89"/>
  <c r="CD19" i="89"/>
  <c r="CD23" i="89"/>
  <c r="CD27" i="89"/>
  <c r="CD31" i="89"/>
  <c r="CD35" i="89"/>
  <c r="CD39" i="89"/>
  <c r="CD43" i="89"/>
  <c r="CD47" i="89"/>
  <c r="CD51" i="89"/>
  <c r="CD55" i="89"/>
  <c r="CD30" i="89"/>
  <c r="CD38" i="89"/>
  <c r="CD46" i="89"/>
  <c r="CD8" i="89"/>
  <c r="CD12" i="89"/>
  <c r="CD16" i="89"/>
  <c r="CD20" i="89"/>
  <c r="CD24" i="89"/>
  <c r="CD28" i="89"/>
  <c r="CD32" i="89"/>
  <c r="CD36" i="89"/>
  <c r="CD40" i="89"/>
  <c r="CD44" i="89"/>
  <c r="CD48" i="89"/>
  <c r="CD52" i="89"/>
  <c r="CD56" i="89"/>
  <c r="CD14" i="89"/>
  <c r="CD42" i="89"/>
  <c r="CD50" i="89"/>
  <c r="CD9" i="89"/>
  <c r="CD13" i="89"/>
  <c r="CD17" i="89"/>
  <c r="CD21" i="89"/>
  <c r="CD25" i="89"/>
  <c r="CD29" i="89"/>
  <c r="CD33" i="89"/>
  <c r="CD37" i="89"/>
  <c r="CD41" i="89"/>
  <c r="CD45" i="89"/>
  <c r="CD49" i="89"/>
  <c r="CD53" i="89"/>
  <c r="CD57" i="89"/>
  <c r="CD6" i="89"/>
  <c r="CD18" i="89"/>
  <c r="CD26" i="89"/>
  <c r="CD54" i="89"/>
  <c r="CD10" i="89"/>
  <c r="CD22" i="89"/>
  <c r="CD34" i="89"/>
  <c r="AM670" i="90"/>
  <c r="AM1086" i="90"/>
  <c r="AM826" i="90"/>
  <c r="AM1190" i="90"/>
  <c r="AM1034" i="90"/>
  <c r="AM514" i="90"/>
  <c r="AM618" i="90"/>
  <c r="AM410" i="90"/>
  <c r="AM202" i="90"/>
  <c r="AM982" i="90"/>
  <c r="AM254" i="90"/>
  <c r="AM46" i="90"/>
  <c r="AM1450" i="90"/>
  <c r="AM150" i="90"/>
  <c r="AM98" i="90"/>
  <c r="AM878" i="90"/>
  <c r="AM1294" i="90"/>
  <c r="AM462" i="90"/>
  <c r="AM1398" i="90"/>
  <c r="AM1242" i="90"/>
  <c r="AM566" i="90"/>
  <c r="AM774" i="90"/>
  <c r="AM1346" i="90"/>
  <c r="AM722" i="90"/>
  <c r="AM930" i="90"/>
  <c r="AM358" i="90"/>
  <c r="AM306" i="90"/>
  <c r="AM1138" i="90"/>
  <c r="AM414" i="90"/>
  <c r="AM362" i="90"/>
  <c r="AM154" i="90"/>
  <c r="AM934" i="90"/>
  <c r="AM206" i="90"/>
  <c r="AM1454" i="90"/>
  <c r="AM1402" i="90"/>
  <c r="AM570" i="90"/>
  <c r="AM102" i="90"/>
  <c r="AM830" i="90"/>
  <c r="AM1246" i="90"/>
  <c r="AM1350" i="90"/>
  <c r="AM1194" i="90"/>
  <c r="AM518" i="90"/>
  <c r="AM622" i="90"/>
  <c r="AM1038" i="90"/>
  <c r="AM778" i="90"/>
  <c r="AM1142" i="90"/>
  <c r="AM986" i="90"/>
  <c r="AM50" i="90"/>
  <c r="AM882" i="90"/>
  <c r="AM674" i="90"/>
  <c r="AM310" i="90"/>
  <c r="AM1090" i="90"/>
  <c r="AM258" i="90"/>
  <c r="AM1298" i="90"/>
  <c r="AM466" i="90"/>
  <c r="AM726" i="90"/>
  <c r="AM1449" i="90"/>
  <c r="AM825" i="90"/>
  <c r="AM617" i="90"/>
  <c r="AM1033" i="90"/>
  <c r="AM1241" i="90"/>
  <c r="AM305" i="90"/>
  <c r="AM201" i="90"/>
  <c r="AM1189" i="90"/>
  <c r="AM1293" i="90"/>
  <c r="AM565" i="90"/>
  <c r="AM409" i="90"/>
  <c r="AM1137" i="90"/>
  <c r="AM253" i="90"/>
  <c r="AM513" i="90"/>
  <c r="AM357" i="90"/>
  <c r="AM149" i="90"/>
  <c r="AM773" i="90"/>
  <c r="AM721" i="90"/>
  <c r="AM877" i="90"/>
  <c r="AM669" i="90"/>
  <c r="AM45" i="90"/>
  <c r="AM97" i="90"/>
  <c r="AM1397" i="90"/>
  <c r="AM1345" i="90"/>
  <c r="AM929" i="90"/>
  <c r="AM1085" i="90"/>
  <c r="AM461" i="90"/>
  <c r="AM981" i="90"/>
  <c r="AM1456" i="90"/>
  <c r="AM780" i="90"/>
  <c r="AM1040" i="90"/>
  <c r="AM416" i="90"/>
  <c r="AM1248" i="90"/>
  <c r="AM1404" i="90"/>
  <c r="AM1352" i="90"/>
  <c r="AM1144" i="90"/>
  <c r="AM312" i="90"/>
  <c r="AM1196" i="90"/>
  <c r="AM364" i="90"/>
  <c r="AM156" i="90"/>
  <c r="AM988" i="90"/>
  <c r="AM624" i="90"/>
  <c r="AM936" i="90"/>
  <c r="AM832" i="90"/>
  <c r="AM572" i="90"/>
  <c r="AM208" i="90"/>
  <c r="AM728" i="90"/>
  <c r="AM52" i="90"/>
  <c r="AM1300" i="90"/>
  <c r="AM468" i="90"/>
  <c r="AM884" i="90"/>
  <c r="AM260" i="90"/>
  <c r="AM676" i="90"/>
  <c r="AM104" i="90"/>
  <c r="AM1092" i="90"/>
  <c r="AM520" i="90"/>
  <c r="AM1199" i="90"/>
  <c r="AM1095" i="90"/>
  <c r="AM1355" i="90"/>
  <c r="AM1407" i="90"/>
  <c r="AM783" i="90"/>
  <c r="AM991" i="90"/>
  <c r="AM575" i="90"/>
  <c r="AM367" i="90"/>
  <c r="AM159" i="90"/>
  <c r="AM1147" i="90"/>
  <c r="AM731" i="90"/>
  <c r="AM315" i="90"/>
  <c r="AM939" i="90"/>
  <c r="AM523" i="90"/>
  <c r="AM107" i="90"/>
  <c r="AM1459" i="90"/>
  <c r="AM1303" i="90"/>
  <c r="AM887" i="90"/>
  <c r="AM471" i="90"/>
  <c r="AM1043" i="90"/>
  <c r="AM679" i="90"/>
  <c r="AM263" i="90"/>
  <c r="AM55" i="90"/>
  <c r="AM835" i="90"/>
  <c r="AM419" i="90"/>
  <c r="AM211" i="90"/>
  <c r="AM1251" i="90"/>
  <c r="AM627" i="90"/>
  <c r="AM1307" i="90"/>
  <c r="AM891" i="90"/>
  <c r="AM943" i="90"/>
  <c r="AM111" i="90"/>
  <c r="AM1099" i="90"/>
  <c r="AM683" i="90"/>
  <c r="AM267" i="90"/>
  <c r="AM1359" i="90"/>
  <c r="AM475" i="90"/>
  <c r="AM59" i="90"/>
  <c r="AM735" i="90"/>
  <c r="AM215" i="90"/>
  <c r="AM319" i="90"/>
  <c r="AM1151" i="90"/>
  <c r="AM1047" i="90"/>
  <c r="AM527" i="90"/>
  <c r="AM579" i="90"/>
  <c r="AM1255" i="90"/>
  <c r="AM839" i="90"/>
  <c r="AM423" i="90"/>
  <c r="AM787" i="90"/>
  <c r="AM371" i="90"/>
  <c r="AM631" i="90"/>
  <c r="AM7" i="90"/>
  <c r="AM163" i="90"/>
  <c r="AM1203" i="90"/>
  <c r="AM995" i="90"/>
  <c r="AM1411" i="90"/>
  <c r="AM1161" i="90"/>
  <c r="AM953" i="90"/>
  <c r="AM745" i="90"/>
  <c r="AM537" i="90"/>
  <c r="AM1369" i="90"/>
  <c r="AM1005" i="90"/>
  <c r="AM69" i="90"/>
  <c r="AM901" i="90"/>
  <c r="AM433" i="90"/>
  <c r="AM849" i="90"/>
  <c r="AM797" i="90"/>
  <c r="AM381" i="90"/>
  <c r="AM329" i="90"/>
  <c r="AM225" i="90"/>
  <c r="AM641" i="90"/>
  <c r="AM121" i="90"/>
  <c r="AM1265" i="90"/>
  <c r="AM485" i="90"/>
  <c r="AM277" i="90"/>
  <c r="AM17" i="90"/>
  <c r="AM1421" i="90"/>
  <c r="AM693" i="90"/>
  <c r="AM173" i="90"/>
  <c r="AM1317" i="90"/>
  <c r="AM589" i="90"/>
  <c r="AM1109" i="90"/>
  <c r="AM1213" i="90"/>
  <c r="AM1057" i="90"/>
  <c r="AM1264" i="90"/>
  <c r="AM1368" i="90"/>
  <c r="AM1160" i="90"/>
  <c r="AM328" i="90"/>
  <c r="AM1212" i="90"/>
  <c r="AM380" i="90"/>
  <c r="AM172" i="90"/>
  <c r="AM1004" i="90"/>
  <c r="AM952" i="90"/>
  <c r="AM68" i="90"/>
  <c r="AM640" i="90"/>
  <c r="AM432" i="90"/>
  <c r="AM16" i="90"/>
  <c r="AM588" i="90"/>
  <c r="AM848" i="90"/>
  <c r="AM744" i="90"/>
  <c r="AM484" i="90"/>
  <c r="AM796" i="90"/>
  <c r="AM224" i="90"/>
  <c r="AM1056" i="90"/>
  <c r="AM1420" i="90"/>
  <c r="AM1108" i="90"/>
  <c r="AM900" i="90"/>
  <c r="AM276" i="90"/>
  <c r="AM120" i="90"/>
  <c r="AM692" i="90"/>
  <c r="AM536" i="90"/>
  <c r="AM1316" i="90"/>
  <c r="AM1435" i="90"/>
  <c r="AM1071" i="90"/>
  <c r="AM967" i="90"/>
  <c r="AM447" i="90"/>
  <c r="AM1227" i="90"/>
  <c r="AM811" i="90"/>
  <c r="AM395" i="90"/>
  <c r="AM31" i="90"/>
  <c r="AM1019" i="90"/>
  <c r="AM603" i="90"/>
  <c r="AM655" i="90"/>
  <c r="AM1279" i="90"/>
  <c r="AM499" i="90"/>
  <c r="AM863" i="90"/>
  <c r="AM239" i="90"/>
  <c r="AM1175" i="90"/>
  <c r="AM187" i="90"/>
  <c r="AM1383" i="90"/>
  <c r="AM551" i="90"/>
  <c r="AM707" i="90"/>
  <c r="AM1331" i="90"/>
  <c r="AM291" i="90"/>
  <c r="AM759" i="90"/>
  <c r="AM343" i="90"/>
  <c r="AM135" i="90"/>
  <c r="AM1123" i="90"/>
  <c r="AM83" i="90"/>
  <c r="AM915" i="90"/>
  <c r="AM862" i="90"/>
  <c r="AM1278" i="90"/>
  <c r="AM446" i="90"/>
  <c r="AM1382" i="90"/>
  <c r="AM1226" i="90"/>
  <c r="AM550" i="90"/>
  <c r="AM654" i="90"/>
  <c r="AM1070" i="90"/>
  <c r="AM810" i="90"/>
  <c r="AM1174" i="90"/>
  <c r="AM1018" i="90"/>
  <c r="AM1122" i="90"/>
  <c r="AM394" i="90"/>
  <c r="AM186" i="90"/>
  <c r="AM966" i="90"/>
  <c r="AM238" i="90"/>
  <c r="AM30" i="90"/>
  <c r="AM1434" i="90"/>
  <c r="AM602" i="90"/>
  <c r="AM134" i="90"/>
  <c r="AM1330" i="90"/>
  <c r="AM498" i="90"/>
  <c r="AM758" i="90"/>
  <c r="AM290" i="90"/>
  <c r="AM706" i="90"/>
  <c r="AM914" i="90"/>
  <c r="AM342" i="90"/>
  <c r="AM82" i="90"/>
  <c r="AM1385" i="90"/>
  <c r="AM761" i="90"/>
  <c r="AM1177" i="90"/>
  <c r="AM969" i="90"/>
  <c r="AM189" i="90"/>
  <c r="AM1333" i="90"/>
  <c r="AM1281" i="90"/>
  <c r="AM33" i="90"/>
  <c r="AM1125" i="90"/>
  <c r="AM1229" i="90"/>
  <c r="AM501" i="90"/>
  <c r="AM397" i="90"/>
  <c r="AM293" i="90"/>
  <c r="AM1073" i="90"/>
  <c r="AM85" i="90"/>
  <c r="AM449" i="90"/>
  <c r="AM1437" i="90"/>
  <c r="AM917" i="90"/>
  <c r="AM865" i="90"/>
  <c r="AM241" i="90"/>
  <c r="AM709" i="90"/>
  <c r="AM657" i="90"/>
  <c r="AM813" i="90"/>
  <c r="AM137" i="90"/>
  <c r="AM345" i="90"/>
  <c r="AM605" i="90"/>
  <c r="AM1021" i="90"/>
  <c r="AM553" i="90"/>
  <c r="AM768" i="90"/>
  <c r="AM1392" i="90"/>
  <c r="AM716" i="90"/>
  <c r="AM1236" i="90"/>
  <c r="AM976" i="90"/>
  <c r="AM1132" i="90"/>
  <c r="AM1184" i="90"/>
  <c r="AM352" i="90"/>
  <c r="AM1080" i="90"/>
  <c r="AM248" i="90"/>
  <c r="AM1028" i="90"/>
  <c r="AM560" i="90"/>
  <c r="AM144" i="90"/>
  <c r="AM300" i="90"/>
  <c r="AM92" i="90"/>
  <c r="AM872" i="90"/>
  <c r="AM1340" i="90"/>
  <c r="AM924" i="90"/>
  <c r="AM508" i="90"/>
  <c r="AM664" i="90"/>
  <c r="AM612" i="90"/>
  <c r="AM1288" i="90"/>
  <c r="AM196" i="90"/>
  <c r="AM40" i="90"/>
  <c r="AM1444" i="90"/>
  <c r="AM404" i="90"/>
  <c r="AM456" i="90"/>
  <c r="AM820" i="90"/>
  <c r="AM1371" i="90"/>
  <c r="AM799" i="90"/>
  <c r="AM1007" i="90"/>
  <c r="AM591" i="90"/>
  <c r="AM383" i="90"/>
  <c r="AM175" i="90"/>
  <c r="AM1163" i="90"/>
  <c r="AM747" i="90"/>
  <c r="AM331" i="90"/>
  <c r="AM955" i="90"/>
  <c r="AM539" i="90"/>
  <c r="AM1059" i="90"/>
  <c r="AM123" i="90"/>
  <c r="AM1423" i="90"/>
  <c r="AM1215" i="90"/>
  <c r="AM1111" i="90"/>
  <c r="AM1319" i="90"/>
  <c r="AM903" i="90"/>
  <c r="AM487" i="90"/>
  <c r="AM227" i="90"/>
  <c r="AM695" i="90"/>
  <c r="AM279" i="90"/>
  <c r="AM71" i="90"/>
  <c r="AM643" i="90"/>
  <c r="AM851" i="90"/>
  <c r="AM19" i="90"/>
  <c r="AM435" i="90"/>
  <c r="AM1267" i="90"/>
  <c r="AM958" i="90"/>
  <c r="AM698" i="90"/>
  <c r="AM1062" i="90"/>
  <c r="AM334" i="90"/>
  <c r="AM126" i="90"/>
  <c r="AM282" i="90"/>
  <c r="AM74" i="90"/>
  <c r="AM1218" i="90"/>
  <c r="AM1374" i="90"/>
  <c r="AM542" i="90"/>
  <c r="AM1322" i="90"/>
  <c r="AM490" i="90"/>
  <c r="AM22" i="90"/>
  <c r="AM750" i="90"/>
  <c r="AM1166" i="90"/>
  <c r="AM906" i="90"/>
  <c r="AM1270" i="90"/>
  <c r="AM1114" i="90"/>
  <c r="AM438" i="90"/>
  <c r="AM386" i="90"/>
  <c r="AM646" i="90"/>
  <c r="AM1426" i="90"/>
  <c r="AM1010" i="90"/>
  <c r="AM230" i="90"/>
  <c r="AM594" i="90"/>
  <c r="AM802" i="90"/>
  <c r="AM854" i="90"/>
  <c r="AM178" i="90"/>
  <c r="AM1273" i="90"/>
  <c r="AM857" i="90"/>
  <c r="AM1065" i="90"/>
  <c r="AM1221" i="90"/>
  <c r="AM389" i="90"/>
  <c r="AM337" i="90"/>
  <c r="AM233" i="90"/>
  <c r="AM909" i="90"/>
  <c r="AM1169" i="90"/>
  <c r="AM493" i="90"/>
  <c r="AM1013" i="90"/>
  <c r="AM129" i="90"/>
  <c r="AM805" i="90"/>
  <c r="AM1377" i="90"/>
  <c r="AM545" i="90"/>
  <c r="AM181" i="90"/>
  <c r="AM285" i="90"/>
  <c r="AM961" i="90"/>
  <c r="AM1117" i="90"/>
  <c r="AM25" i="90"/>
  <c r="AM753" i="90"/>
  <c r="AM77" i="90"/>
  <c r="AM1325" i="90"/>
  <c r="AM441" i="90"/>
  <c r="AM649" i="90"/>
  <c r="AM597" i="90"/>
  <c r="AM1429" i="90"/>
  <c r="AM701" i="90"/>
  <c r="CZ14" i="89"/>
  <c r="CZ13" i="89"/>
  <c r="CZ15" i="89"/>
  <c r="BN8" i="89"/>
  <c r="CH8" i="89" s="1"/>
  <c r="BN10" i="89"/>
  <c r="CH10" i="89" s="1"/>
  <c r="BN7" i="89"/>
  <c r="CH7" i="89" s="1"/>
  <c r="BN9" i="89"/>
  <c r="CH9" i="89" s="1"/>
  <c r="AM19" i="95"/>
  <c r="AN19" i="95"/>
  <c r="AK19" i="95"/>
  <c r="AL19" i="95"/>
  <c r="AL22" i="95"/>
  <c r="AM22" i="95"/>
  <c r="AN22" i="95"/>
  <c r="AK22" i="95"/>
  <c r="AM27" i="95"/>
  <c r="AN27" i="95"/>
  <c r="AK27" i="95"/>
  <c r="AL27" i="95"/>
  <c r="AL34" i="95"/>
  <c r="AM34" i="95"/>
  <c r="AN34" i="95"/>
  <c r="AK34" i="95"/>
  <c r="AN26" i="95"/>
  <c r="AL26" i="95"/>
  <c r="AM26" i="95"/>
  <c r="AK26" i="95"/>
  <c r="AK6" i="95"/>
  <c r="AL6" i="95"/>
  <c r="AN6" i="95"/>
  <c r="AM6" i="95"/>
  <c r="AM15" i="95"/>
  <c r="AL15" i="95"/>
  <c r="AN15" i="95"/>
  <c r="AK15" i="95"/>
  <c r="AN79" i="95"/>
  <c r="AK79" i="95"/>
  <c r="AL79" i="95"/>
  <c r="AM79" i="95"/>
  <c r="AL78" i="95"/>
  <c r="AM78" i="95"/>
  <c r="AN78" i="95"/>
  <c r="AK78" i="95"/>
  <c r="AM76" i="95"/>
  <c r="AN76" i="95"/>
  <c r="AK76" i="95"/>
  <c r="AL76" i="95"/>
  <c r="AN94" i="95"/>
  <c r="AK94" i="95"/>
  <c r="AL94" i="95"/>
  <c r="AM94" i="95"/>
  <c r="AN91" i="95"/>
  <c r="AK91" i="95"/>
  <c r="AM91" i="95"/>
  <c r="AL91" i="95"/>
  <c r="AT8" i="88"/>
  <c r="EB8" i="98" s="1"/>
  <c r="EC8" i="98" s="1"/>
  <c r="AI70" i="95"/>
  <c r="AI73" i="95"/>
  <c r="AI57" i="95"/>
  <c r="AI66" i="95"/>
  <c r="AI68" i="95"/>
  <c r="AI75" i="95"/>
  <c r="AI59" i="95"/>
  <c r="AI62" i="95"/>
  <c r="AI69" i="95"/>
  <c r="AI64" i="95"/>
  <c r="AI74" i="95"/>
  <c r="AI71" i="95"/>
  <c r="AI65" i="95"/>
  <c r="AI60" i="95"/>
  <c r="AI58" i="95"/>
  <c r="AI67" i="95"/>
  <c r="AI72" i="95"/>
  <c r="AI63" i="95"/>
  <c r="AI61" i="95"/>
  <c r="AI56" i="95"/>
  <c r="AO8" i="88"/>
  <c r="AT10" i="89" s="1"/>
  <c r="AN30" i="95"/>
  <c r="AK30" i="95"/>
  <c r="AL30" i="95"/>
  <c r="AM30" i="95"/>
  <c r="AM28" i="95"/>
  <c r="AN28" i="95"/>
  <c r="AK28" i="95"/>
  <c r="AL28" i="95"/>
  <c r="AM16" i="95"/>
  <c r="AN16" i="95"/>
  <c r="AK16" i="95"/>
  <c r="AL16" i="95"/>
  <c r="AK32" i="95"/>
  <c r="AM32" i="95"/>
  <c r="AN32" i="95"/>
  <c r="AL32" i="95"/>
  <c r="AM24" i="95"/>
  <c r="AN24" i="95"/>
  <c r="AK24" i="95"/>
  <c r="AL24" i="95"/>
  <c r="AM9" i="95"/>
  <c r="AL9" i="95"/>
  <c r="AN9" i="95"/>
  <c r="AK9" i="95"/>
  <c r="AM12" i="95"/>
  <c r="AN12" i="95"/>
  <c r="AK12" i="95"/>
  <c r="AL12" i="95"/>
  <c r="AM11" i="95"/>
  <c r="AK11" i="95"/>
  <c r="AL11" i="95"/>
  <c r="AN11" i="95"/>
  <c r="AK93" i="95"/>
  <c r="AL93" i="95"/>
  <c r="AM93" i="95"/>
  <c r="AN93" i="95"/>
  <c r="AL82" i="95"/>
  <c r="AM82" i="95"/>
  <c r="AN82" i="95"/>
  <c r="AK82" i="95"/>
  <c r="AK92" i="95"/>
  <c r="AL92" i="95"/>
  <c r="AM92" i="95"/>
  <c r="AN92" i="95"/>
  <c r="AN87" i="95"/>
  <c r="AK87" i="95"/>
  <c r="AL87" i="95"/>
  <c r="AM87" i="95"/>
  <c r="AL86" i="95"/>
  <c r="AM86" i="95"/>
  <c r="AN86" i="95"/>
  <c r="AK86" i="95"/>
  <c r="CZ18" i="89"/>
  <c r="CZ16" i="89"/>
  <c r="CZ17" i="89"/>
  <c r="K16" i="90"/>
  <c r="L16" i="90"/>
  <c r="N16" i="90"/>
  <c r="M16" i="90"/>
  <c r="AI41" i="95"/>
  <c r="AI52" i="95"/>
  <c r="AI36" i="95"/>
  <c r="AI43" i="95"/>
  <c r="AI53" i="95"/>
  <c r="AI37" i="95"/>
  <c r="AI54" i="95"/>
  <c r="AI48" i="95"/>
  <c r="AI55" i="95"/>
  <c r="AI39" i="95"/>
  <c r="AI50" i="95"/>
  <c r="AI49" i="95"/>
  <c r="AI42" i="95"/>
  <c r="AI44" i="95"/>
  <c r="AI51" i="95"/>
  <c r="AI46" i="95"/>
  <c r="AI47" i="95"/>
  <c r="AI38" i="95"/>
  <c r="AI45" i="95"/>
  <c r="AI40" i="95"/>
  <c r="AO7" i="88"/>
  <c r="AT9" i="89" s="1"/>
  <c r="AN17" i="95"/>
  <c r="AK17" i="95"/>
  <c r="AL17" i="95"/>
  <c r="AM17" i="95"/>
  <c r="AN35" i="95"/>
  <c r="AK35" i="95"/>
  <c r="AM35" i="95"/>
  <c r="AL35" i="95"/>
  <c r="AM33" i="95"/>
  <c r="AN33" i="95"/>
  <c r="AK33" i="95"/>
  <c r="AL33" i="95"/>
  <c r="AM20" i="95"/>
  <c r="AN20" i="95"/>
  <c r="AK20" i="95"/>
  <c r="AL20" i="95"/>
  <c r="AL18" i="95"/>
  <c r="AM18" i="95"/>
  <c r="AN18" i="95"/>
  <c r="AK18" i="95"/>
  <c r="AM14" i="95"/>
  <c r="AK14" i="95"/>
  <c r="AN14" i="95"/>
  <c r="AL14" i="95"/>
  <c r="AM8" i="95"/>
  <c r="AK8" i="95"/>
  <c r="AL8" i="95"/>
  <c r="AN8" i="95"/>
  <c r="AM7" i="95"/>
  <c r="AK7" i="95"/>
  <c r="AN7" i="95"/>
  <c r="AL7" i="95"/>
  <c r="AM88" i="95"/>
  <c r="AN88" i="95"/>
  <c r="AK88" i="95"/>
  <c r="AL88" i="95"/>
  <c r="AN77" i="95"/>
  <c r="AK77" i="95"/>
  <c r="AL77" i="95"/>
  <c r="AM77" i="95"/>
  <c r="AL90" i="95"/>
  <c r="AM90" i="95"/>
  <c r="AN90" i="95"/>
  <c r="AK90" i="95"/>
  <c r="AM80" i="95"/>
  <c r="AN80" i="95"/>
  <c r="AK80" i="95"/>
  <c r="AL80" i="95"/>
  <c r="AM84" i="95"/>
  <c r="AN84" i="95"/>
  <c r="AK84" i="95"/>
  <c r="AL84" i="95"/>
  <c r="AP8" i="88"/>
  <c r="J15" i="90" s="1"/>
  <c r="AN31" i="95"/>
  <c r="AL31" i="95"/>
  <c r="AK31" i="95"/>
  <c r="AM31" i="95"/>
  <c r="AM23" i="95"/>
  <c r="AN23" i="95"/>
  <c r="AL23" i="95"/>
  <c r="AK23" i="95"/>
  <c r="AK21" i="95"/>
  <c r="AN21" i="95"/>
  <c r="AL21" i="95"/>
  <c r="AM21" i="95"/>
  <c r="AM25" i="95"/>
  <c r="AN25" i="95"/>
  <c r="AK25" i="95"/>
  <c r="AL25" i="95"/>
  <c r="AN29" i="95"/>
  <c r="AK29" i="95"/>
  <c r="AM29" i="95"/>
  <c r="AL29" i="95"/>
  <c r="AM13" i="95"/>
  <c r="AN13" i="95"/>
  <c r="AK13" i="95"/>
  <c r="AL13" i="95"/>
  <c r="AM10" i="95"/>
  <c r="AK10" i="95"/>
  <c r="AL10" i="95"/>
  <c r="AN10" i="95"/>
  <c r="BN28" i="89"/>
  <c r="CH28" i="89" s="1"/>
  <c r="BN32" i="89"/>
  <c r="CH32" i="89" s="1"/>
  <c r="BN26" i="89"/>
  <c r="CH26" i="89" s="1"/>
  <c r="BN31" i="89"/>
  <c r="CH31" i="89" s="1"/>
  <c r="BN27" i="89"/>
  <c r="CH27" i="89" s="1"/>
  <c r="BN33" i="89"/>
  <c r="CH33" i="89" s="1"/>
  <c r="BN25" i="89"/>
  <c r="CH25" i="89" s="1"/>
  <c r="BN30" i="89"/>
  <c r="CH30" i="89" s="1"/>
  <c r="BN29" i="89"/>
  <c r="CH29" i="89" s="1"/>
  <c r="AL95" i="95"/>
  <c r="AM95" i="95"/>
  <c r="AN95" i="95"/>
  <c r="AK95" i="95"/>
  <c r="AN83" i="95"/>
  <c r="AK83" i="95"/>
  <c r="AM83" i="95"/>
  <c r="AL83" i="95"/>
  <c r="AM81" i="95"/>
  <c r="AN81" i="95"/>
  <c r="AK81" i="95"/>
  <c r="AL81" i="95"/>
  <c r="AM85" i="95"/>
  <c r="AN85" i="95"/>
  <c r="AK85" i="95"/>
  <c r="AL85" i="95"/>
  <c r="AN89" i="95"/>
  <c r="AK89" i="95"/>
  <c r="AM89" i="95"/>
  <c r="AL89" i="95"/>
  <c r="O9" i="98"/>
  <c r="AA13" i="98"/>
  <c r="AL14" i="98"/>
  <c r="R9" i="98"/>
  <c r="AI14" i="98"/>
  <c r="Q9" i="98"/>
  <c r="AK14" i="98"/>
  <c r="CZ8" i="89"/>
  <c r="CZ9" i="89"/>
  <c r="AR7" i="88"/>
  <c r="AQ7" i="88"/>
  <c r="AU7" i="88"/>
  <c r="AR7" i="103" s="1"/>
  <c r="AM7" i="88"/>
  <c r="AM8" i="88"/>
  <c r="AP7" i="88"/>
  <c r="J14" i="90" s="1"/>
  <c r="AT7" i="88"/>
  <c r="AN7" i="88"/>
  <c r="AS7" i="88"/>
  <c r="AV7" i="88"/>
  <c r="AU8" i="88"/>
  <c r="AR8" i="103" s="1"/>
  <c r="AV8" i="88"/>
  <c r="AS8" i="88"/>
  <c r="AR8" i="88"/>
  <c r="P14" i="98"/>
  <c r="Q14" i="98"/>
  <c r="Y11" i="98"/>
  <c r="O14" i="98"/>
  <c r="Y15" i="98"/>
  <c r="AB11" i="98"/>
  <c r="R10" i="98"/>
  <c r="Q10" i="98"/>
  <c r="AA15" i="98"/>
  <c r="AB15" i="98"/>
  <c r="AJ7" i="98"/>
  <c r="J13" i="90"/>
  <c r="AK7" i="98"/>
  <c r="AL11" i="98"/>
  <c r="AL7" i="98"/>
  <c r="AK11" i="98"/>
  <c r="O7" i="98"/>
  <c r="Q7" i="98"/>
  <c r="BH57" i="100"/>
  <c r="BI57" i="100" s="1"/>
  <c r="BB55" i="93"/>
  <c r="BC55" i="93" s="1"/>
  <c r="CV67" i="98"/>
  <c r="BH53" i="100"/>
  <c r="BI53" i="100" s="1"/>
  <c r="BB51" i="93"/>
  <c r="BC51" i="93" s="1"/>
  <c r="CV63" i="98"/>
  <c r="BH43" i="100"/>
  <c r="BI43" i="100" s="1"/>
  <c r="BB41" i="93"/>
  <c r="BC41" i="93" s="1"/>
  <c r="CV52" i="98"/>
  <c r="BH21" i="100"/>
  <c r="BI21" i="100" s="1"/>
  <c r="BB19" i="93"/>
  <c r="BC19" i="93" s="1"/>
  <c r="CV27" i="98"/>
  <c r="BH52" i="100"/>
  <c r="BI52" i="100" s="1"/>
  <c r="BB50" i="93"/>
  <c r="BC50" i="93" s="1"/>
  <c r="CV62" i="98"/>
  <c r="BH47" i="100"/>
  <c r="BI47" i="100" s="1"/>
  <c r="BB45" i="93"/>
  <c r="BC45" i="93" s="1"/>
  <c r="CV56" i="98"/>
  <c r="BH39" i="100"/>
  <c r="BI39" i="100" s="1"/>
  <c r="BB37" i="93"/>
  <c r="BC37" i="93" s="1"/>
  <c r="CV48" i="98"/>
  <c r="BH9" i="100"/>
  <c r="BI9" i="100" s="1"/>
  <c r="BB7" i="93"/>
  <c r="BC7" i="93" s="1"/>
  <c r="CV11" i="98"/>
  <c r="CV10" i="98"/>
  <c r="BH12" i="100"/>
  <c r="BI12" i="100" s="1"/>
  <c r="BB10" i="93"/>
  <c r="BC10" i="93" s="1"/>
  <c r="CV15" i="98"/>
  <c r="CV16" i="98"/>
  <c r="BH15" i="100"/>
  <c r="BI15" i="100" s="1"/>
  <c r="BB13" i="93"/>
  <c r="BC13" i="93" s="1"/>
  <c r="CV21" i="98"/>
  <c r="CV19" i="98"/>
  <c r="CV20" i="98"/>
  <c r="BH26" i="100"/>
  <c r="BI26" i="100" s="1"/>
  <c r="BB24" i="93"/>
  <c r="BC24" i="93" s="1"/>
  <c r="CV33" i="98"/>
  <c r="BH19" i="100"/>
  <c r="BI19" i="100" s="1"/>
  <c r="BB17" i="93"/>
  <c r="BC17" i="93" s="1"/>
  <c r="CV25" i="98"/>
  <c r="BH29" i="100"/>
  <c r="BI29" i="100" s="1"/>
  <c r="BB27" i="93"/>
  <c r="BC27" i="93" s="1"/>
  <c r="CV37" i="98"/>
  <c r="BH24" i="100"/>
  <c r="BI24" i="100" s="1"/>
  <c r="BB22" i="93"/>
  <c r="BC22" i="93" s="1"/>
  <c r="CV31" i="98"/>
  <c r="BH50" i="100"/>
  <c r="BI50" i="100" s="1"/>
  <c r="BB48" i="93"/>
  <c r="BC48" i="93" s="1"/>
  <c r="CV59" i="98"/>
  <c r="CV60" i="98"/>
  <c r="O12" i="98"/>
  <c r="CJ38" i="98"/>
  <c r="CI38" i="98"/>
  <c r="CH38" i="98"/>
  <c r="CG38" i="98"/>
  <c r="CJ22" i="98"/>
  <c r="CG22" i="98"/>
  <c r="CI22" i="98"/>
  <c r="CH22" i="98"/>
  <c r="CI46" i="98"/>
  <c r="CJ46" i="98"/>
  <c r="CG46" i="98"/>
  <c r="CH46" i="98"/>
  <c r="CI53" i="98"/>
  <c r="CJ53" i="98"/>
  <c r="CG53" i="98"/>
  <c r="CH53" i="98"/>
  <c r="CG37" i="98"/>
  <c r="CJ37" i="98"/>
  <c r="CH37" i="98"/>
  <c r="CI37" i="98"/>
  <c r="CG21" i="98"/>
  <c r="CH21" i="98"/>
  <c r="CI21" i="98"/>
  <c r="CJ21" i="98"/>
  <c r="CI62" i="98"/>
  <c r="CH62" i="98"/>
  <c r="CG62" i="98"/>
  <c r="CJ62" i="98"/>
  <c r="CI56" i="98"/>
  <c r="CH56" i="98"/>
  <c r="CG56" i="98"/>
  <c r="CJ56" i="98"/>
  <c r="CG40" i="98"/>
  <c r="CI40" i="98"/>
  <c r="CH40" i="98"/>
  <c r="CJ40" i="98"/>
  <c r="CJ24" i="98"/>
  <c r="CI24" i="98"/>
  <c r="CH24" i="98"/>
  <c r="CG24" i="98"/>
  <c r="CG8" i="98"/>
  <c r="CI8" i="98"/>
  <c r="CJ8" i="98"/>
  <c r="CH8" i="98"/>
  <c r="CI59" i="98"/>
  <c r="CH59" i="98"/>
  <c r="CJ59" i="98"/>
  <c r="CG59" i="98"/>
  <c r="CJ43" i="98"/>
  <c r="CI43" i="98"/>
  <c r="CH43" i="98"/>
  <c r="CG43" i="98"/>
  <c r="CJ27" i="98"/>
  <c r="CH27" i="98"/>
  <c r="CG27" i="98"/>
  <c r="CI27" i="98"/>
  <c r="CJ11" i="98"/>
  <c r="CH11" i="98"/>
  <c r="CI11" i="98"/>
  <c r="CG11" i="98"/>
  <c r="AA9" i="98"/>
  <c r="AB9" i="98"/>
  <c r="Y9" i="98"/>
  <c r="Z9" i="98"/>
  <c r="AI8" i="98"/>
  <c r="AJ8" i="98"/>
  <c r="AK8" i="98"/>
  <c r="AL8" i="98"/>
  <c r="BH36" i="100"/>
  <c r="BI36" i="100" s="1"/>
  <c r="BB34" i="93"/>
  <c r="BC34" i="93" s="1"/>
  <c r="CV45" i="98"/>
  <c r="BH31" i="100"/>
  <c r="BI31" i="100" s="1"/>
  <c r="BB29" i="93"/>
  <c r="BC29" i="93" s="1"/>
  <c r="CV39" i="98"/>
  <c r="BH58" i="100"/>
  <c r="BI58" i="100" s="1"/>
  <c r="BB56" i="93"/>
  <c r="BC56" i="93" s="1"/>
  <c r="CV68" i="98"/>
  <c r="BH38" i="100"/>
  <c r="BI38" i="100" s="1"/>
  <c r="BB36" i="93"/>
  <c r="BC36" i="93" s="1"/>
  <c r="CV47" i="98"/>
  <c r="BH54" i="100"/>
  <c r="BI54" i="100" s="1"/>
  <c r="BB52" i="93"/>
  <c r="BC52" i="93" s="1"/>
  <c r="CV64" i="98"/>
  <c r="BH42" i="100"/>
  <c r="BI42" i="100" s="1"/>
  <c r="BB40" i="93"/>
  <c r="BC40" i="93" s="1"/>
  <c r="CV51" i="98"/>
  <c r="BH34" i="100"/>
  <c r="BI34" i="100" s="1"/>
  <c r="BB32" i="93"/>
  <c r="BC32" i="93" s="1"/>
  <c r="CV43" i="98"/>
  <c r="CV42" i="98"/>
  <c r="BH49" i="100"/>
  <c r="BI49" i="100" s="1"/>
  <c r="BB47" i="93"/>
  <c r="BC47" i="93" s="1"/>
  <c r="CV58" i="98"/>
  <c r="BH35" i="100"/>
  <c r="BI35" i="100" s="1"/>
  <c r="BB33" i="93"/>
  <c r="BC33" i="93" s="1"/>
  <c r="CV44" i="98"/>
  <c r="BH25" i="100"/>
  <c r="BI25" i="100" s="1"/>
  <c r="BB23" i="93"/>
  <c r="BC23" i="93" s="1"/>
  <c r="CV32" i="98"/>
  <c r="BH14" i="100"/>
  <c r="BI14" i="100" s="1"/>
  <c r="BB12" i="93"/>
  <c r="BC12" i="93" s="1"/>
  <c r="CV18" i="98"/>
  <c r="BH33" i="100"/>
  <c r="BI33" i="100" s="1"/>
  <c r="BB31" i="93"/>
  <c r="BC31" i="93" s="1"/>
  <c r="CV41" i="98"/>
  <c r="BH51" i="100"/>
  <c r="BI51" i="100" s="1"/>
  <c r="BB49" i="93"/>
  <c r="BC49" i="93" s="1"/>
  <c r="CV61" i="98"/>
  <c r="BH45" i="100"/>
  <c r="BI45" i="100" s="1"/>
  <c r="BB43" i="93"/>
  <c r="BC43" i="93" s="1"/>
  <c r="CV54" i="98"/>
  <c r="BH13" i="100"/>
  <c r="BI13" i="100" s="1"/>
  <c r="BB11" i="93"/>
  <c r="BC11" i="93" s="1"/>
  <c r="CV17" i="98"/>
  <c r="BH10" i="100"/>
  <c r="BI10" i="100" s="1"/>
  <c r="BB8" i="93"/>
  <c r="BC8" i="93" s="1"/>
  <c r="CV13" i="98"/>
  <c r="CV12" i="98"/>
  <c r="Q12" i="98"/>
  <c r="CI34" i="98"/>
  <c r="CH34" i="98"/>
  <c r="CJ34" i="98"/>
  <c r="CG34" i="98"/>
  <c r="CG18" i="98"/>
  <c r="CH18" i="98"/>
  <c r="CJ18" i="98"/>
  <c r="CI18" i="98"/>
  <c r="CI65" i="98"/>
  <c r="CH65" i="98"/>
  <c r="CG65" i="98"/>
  <c r="CJ65" i="98"/>
  <c r="CH49" i="98"/>
  <c r="CJ49" i="98"/>
  <c r="CG49" i="98"/>
  <c r="CI49" i="98"/>
  <c r="CI33" i="98"/>
  <c r="CJ33" i="98"/>
  <c r="CH33" i="98"/>
  <c r="CG33" i="98"/>
  <c r="CG17" i="98"/>
  <c r="CJ17" i="98"/>
  <c r="CH17" i="98"/>
  <c r="CI17" i="98"/>
  <c r="CH50" i="98"/>
  <c r="CI50" i="98"/>
  <c r="CJ50" i="98"/>
  <c r="CG50" i="98"/>
  <c r="CG52" i="98"/>
  <c r="CH52" i="98"/>
  <c r="CI52" i="98"/>
  <c r="CJ52" i="98"/>
  <c r="CJ36" i="98"/>
  <c r="CI36" i="98"/>
  <c r="CH36" i="98"/>
  <c r="CG36" i="98"/>
  <c r="CG20" i="98"/>
  <c r="CH20" i="98"/>
  <c r="CJ20" i="98"/>
  <c r="CI20" i="98"/>
  <c r="CJ6" i="98"/>
  <c r="CG6" i="98"/>
  <c r="CH6" i="98"/>
  <c r="CI6" i="98"/>
  <c r="CI55" i="98"/>
  <c r="CJ55" i="98"/>
  <c r="CH55" i="98"/>
  <c r="CG55" i="98"/>
  <c r="CI39" i="98"/>
  <c r="CG39" i="98"/>
  <c r="CJ39" i="98"/>
  <c r="CH39" i="98"/>
  <c r="CJ23" i="98"/>
  <c r="CI23" i="98"/>
  <c r="CH23" i="98"/>
  <c r="CG23" i="98"/>
  <c r="CH7" i="98"/>
  <c r="CG7" i="98"/>
  <c r="CO7" i="98" s="1"/>
  <c r="CI7" i="98"/>
  <c r="CJ7" i="98"/>
  <c r="AK12" i="98"/>
  <c r="AJ12" i="98"/>
  <c r="AL12" i="98"/>
  <c r="AI12" i="98"/>
  <c r="AK15" i="98"/>
  <c r="AL15" i="98"/>
  <c r="AI15" i="98"/>
  <c r="AJ15" i="98"/>
  <c r="BH48" i="100"/>
  <c r="BI48" i="100" s="1"/>
  <c r="BB46" i="93"/>
  <c r="BC46" i="93" s="1"/>
  <c r="CV57" i="98"/>
  <c r="BH28" i="100"/>
  <c r="BI28" i="100" s="1"/>
  <c r="BB26" i="93"/>
  <c r="BC26" i="93" s="1"/>
  <c r="CV35" i="98"/>
  <c r="CV36" i="98"/>
  <c r="BH22" i="100"/>
  <c r="BI22" i="100" s="1"/>
  <c r="BB20" i="93"/>
  <c r="BC20" i="93" s="1"/>
  <c r="CV28" i="98"/>
  <c r="BH46" i="100"/>
  <c r="BI46" i="100" s="1"/>
  <c r="BB44" i="93"/>
  <c r="BC44" i="93" s="1"/>
  <c r="CV55" i="98"/>
  <c r="BH30" i="100"/>
  <c r="BI30" i="100" s="1"/>
  <c r="BB28" i="93"/>
  <c r="BC28" i="93" s="1"/>
  <c r="CV38" i="98"/>
  <c r="BH61" i="100"/>
  <c r="BI61" i="100" s="1"/>
  <c r="BB59" i="93"/>
  <c r="BC59" i="93" s="1"/>
  <c r="CV71" i="98"/>
  <c r="BH23" i="100"/>
  <c r="BI23" i="100" s="1"/>
  <c r="BB21" i="93"/>
  <c r="BC21" i="93" s="1"/>
  <c r="CV29" i="98"/>
  <c r="CV30" i="98"/>
  <c r="BH27" i="100"/>
  <c r="BI27" i="100" s="1"/>
  <c r="BB25" i="93"/>
  <c r="BC25" i="93" s="1"/>
  <c r="CV34" i="98"/>
  <c r="BH7" i="100"/>
  <c r="BI7" i="100" s="1"/>
  <c r="BB5" i="93"/>
  <c r="BC5" i="93" s="1"/>
  <c r="CV6" i="98"/>
  <c r="BH20" i="100"/>
  <c r="BI20" i="100" s="1"/>
  <c r="BB18" i="93"/>
  <c r="BC18" i="93" s="1"/>
  <c r="CV26" i="98"/>
  <c r="BH66" i="100"/>
  <c r="BI66" i="100" s="1"/>
  <c r="BB64" i="93"/>
  <c r="BC64" i="93" s="1"/>
  <c r="CV76" i="98"/>
  <c r="BH64" i="100"/>
  <c r="BI64" i="100" s="1"/>
  <c r="BB62" i="93"/>
  <c r="BC62" i="93" s="1"/>
  <c r="CV74" i="98"/>
  <c r="BH11" i="100"/>
  <c r="BI11" i="100" s="1"/>
  <c r="BB9" i="93"/>
  <c r="BC9" i="93" s="1"/>
  <c r="CV14" i="98"/>
  <c r="BH60" i="100"/>
  <c r="BI60" i="100" s="1"/>
  <c r="BB58" i="93"/>
  <c r="BC58" i="93" s="1"/>
  <c r="CV70" i="98"/>
  <c r="CI58" i="98"/>
  <c r="CG58" i="98"/>
  <c r="CH58" i="98"/>
  <c r="CJ58" i="98"/>
  <c r="CI30" i="98"/>
  <c r="CG30" i="98"/>
  <c r="CJ30" i="98"/>
  <c r="CH30" i="98"/>
  <c r="CG14" i="98"/>
  <c r="CH14" i="98"/>
  <c r="CJ14" i="98"/>
  <c r="CI14" i="98"/>
  <c r="CI61" i="98"/>
  <c r="CJ61" i="98"/>
  <c r="CG61" i="98"/>
  <c r="CH61" i="98"/>
  <c r="CH45" i="98"/>
  <c r="CI45" i="98"/>
  <c r="CG45" i="98"/>
  <c r="CJ45" i="98"/>
  <c r="CI29" i="98"/>
  <c r="CH29" i="98"/>
  <c r="CJ29" i="98"/>
  <c r="CG29" i="98"/>
  <c r="CI13" i="98"/>
  <c r="CG13" i="98"/>
  <c r="CJ13" i="98"/>
  <c r="CH13" i="98"/>
  <c r="CI64" i="98"/>
  <c r="CJ64" i="98"/>
  <c r="CH64" i="98"/>
  <c r="CG64" i="98"/>
  <c r="CH48" i="98"/>
  <c r="CJ48" i="98"/>
  <c r="CG48" i="98"/>
  <c r="CI48" i="98"/>
  <c r="CI32" i="98"/>
  <c r="CH32" i="98"/>
  <c r="CG32" i="98"/>
  <c r="CJ32" i="98"/>
  <c r="CG16" i="98"/>
  <c r="CJ16" i="98"/>
  <c r="CI16" i="98"/>
  <c r="CH16" i="98"/>
  <c r="CI54" i="98"/>
  <c r="CG54" i="98"/>
  <c r="CH54" i="98"/>
  <c r="CJ54" i="98"/>
  <c r="CJ51" i="98"/>
  <c r="CG51" i="98"/>
  <c r="CI51" i="98"/>
  <c r="CH51" i="98"/>
  <c r="CG35" i="98"/>
  <c r="CH35" i="98"/>
  <c r="CJ35" i="98"/>
  <c r="CI35" i="98"/>
  <c r="CG19" i="98"/>
  <c r="CH19" i="98"/>
  <c r="CJ19" i="98"/>
  <c r="CI19" i="98"/>
  <c r="Y10" i="98"/>
  <c r="AB10" i="98"/>
  <c r="AA10" i="98"/>
  <c r="Z10" i="98"/>
  <c r="Y8" i="98"/>
  <c r="AB8" i="98"/>
  <c r="Z8" i="98"/>
  <c r="AA8" i="98"/>
  <c r="AA12" i="98"/>
  <c r="Y12" i="98"/>
  <c r="AB12" i="98"/>
  <c r="Z12" i="98"/>
  <c r="BH44" i="100"/>
  <c r="BI44" i="100" s="1"/>
  <c r="BB42" i="93"/>
  <c r="BC42" i="93" s="1"/>
  <c r="CV53" i="98"/>
  <c r="BH55" i="100"/>
  <c r="BI55" i="100" s="1"/>
  <c r="BB53" i="93"/>
  <c r="BC53" i="93" s="1"/>
  <c r="CV65" i="98"/>
  <c r="BH16" i="100"/>
  <c r="BI16" i="100" s="1"/>
  <c r="BB14" i="93"/>
  <c r="BC14" i="93" s="1"/>
  <c r="CV22" i="98"/>
  <c r="BH65" i="100"/>
  <c r="BI65" i="100" s="1"/>
  <c r="BB63" i="93"/>
  <c r="BC63" i="93" s="1"/>
  <c r="CV75" i="98"/>
  <c r="BH17" i="100"/>
  <c r="BI17" i="100" s="1"/>
  <c r="BB15" i="93"/>
  <c r="BC15" i="93" s="1"/>
  <c r="CV23" i="98"/>
  <c r="BH63" i="100"/>
  <c r="BI63" i="100" s="1"/>
  <c r="BB61" i="93"/>
  <c r="BC61" i="93" s="1"/>
  <c r="CV73" i="98"/>
  <c r="BH59" i="100"/>
  <c r="BI59" i="100" s="1"/>
  <c r="BB57" i="93"/>
  <c r="BC57" i="93" s="1"/>
  <c r="CV69" i="98"/>
  <c r="BH56" i="100"/>
  <c r="BI56" i="100" s="1"/>
  <c r="BB54" i="93"/>
  <c r="BC54" i="93" s="1"/>
  <c r="CV66" i="98"/>
  <c r="BH32" i="100"/>
  <c r="BI32" i="100" s="1"/>
  <c r="BB30" i="93"/>
  <c r="BC30" i="93" s="1"/>
  <c r="CV40" i="98"/>
  <c r="BH18" i="100"/>
  <c r="BI18" i="100" s="1"/>
  <c r="BB16" i="93"/>
  <c r="BC16" i="93" s="1"/>
  <c r="CV24" i="98"/>
  <c r="BH41" i="100"/>
  <c r="BI41" i="100" s="1"/>
  <c r="BB39" i="93"/>
  <c r="BC39" i="93" s="1"/>
  <c r="CV50" i="98"/>
  <c r="BH8" i="100"/>
  <c r="BI8" i="100" s="1"/>
  <c r="BB6" i="93"/>
  <c r="BC6" i="93" s="1"/>
  <c r="CV9" i="98"/>
  <c r="CV7" i="98"/>
  <c r="CV8" i="98"/>
  <c r="BH40" i="100"/>
  <c r="BI40" i="100" s="1"/>
  <c r="BB38" i="93"/>
  <c r="BC38" i="93" s="1"/>
  <c r="CV49" i="98"/>
  <c r="BH62" i="100"/>
  <c r="BI62" i="100" s="1"/>
  <c r="BB60" i="93"/>
  <c r="BC60" i="93" s="1"/>
  <c r="CV72" i="98"/>
  <c r="BH37" i="100"/>
  <c r="BI37" i="100" s="1"/>
  <c r="BB35" i="93"/>
  <c r="BC35" i="93" s="1"/>
  <c r="CV46" i="98"/>
  <c r="CG42" i="98"/>
  <c r="CI42" i="98"/>
  <c r="CJ42" i="98"/>
  <c r="CH42" i="98"/>
  <c r="CI26" i="98"/>
  <c r="CJ26" i="98"/>
  <c r="CH26" i="98"/>
  <c r="CG26" i="98"/>
  <c r="CJ10" i="98"/>
  <c r="CH10" i="98"/>
  <c r="CI10" i="98"/>
  <c r="CG10" i="98"/>
  <c r="CI57" i="98"/>
  <c r="CG57" i="98"/>
  <c r="CH57" i="98"/>
  <c r="CJ57" i="98"/>
  <c r="CH41" i="98"/>
  <c r="CI41" i="98"/>
  <c r="CJ41" i="98"/>
  <c r="CG41" i="98"/>
  <c r="CH25" i="98"/>
  <c r="CJ25" i="98"/>
  <c r="CI25" i="98"/>
  <c r="CG25" i="98"/>
  <c r="CH9" i="98"/>
  <c r="CG9" i="98"/>
  <c r="CI9" i="98"/>
  <c r="CJ9" i="98"/>
  <c r="CI60" i="98"/>
  <c r="CH60" i="98"/>
  <c r="CG60" i="98"/>
  <c r="CJ60" i="98"/>
  <c r="CH44" i="98"/>
  <c r="CG44" i="98"/>
  <c r="CI44" i="98"/>
  <c r="CJ44" i="98"/>
  <c r="CJ28" i="98"/>
  <c r="CG28" i="98"/>
  <c r="CI28" i="98"/>
  <c r="CH28" i="98"/>
  <c r="CG12" i="98"/>
  <c r="CI12" i="98"/>
  <c r="CH12" i="98"/>
  <c r="CJ12" i="98"/>
  <c r="CI63" i="98"/>
  <c r="CH63" i="98"/>
  <c r="CG63" i="98"/>
  <c r="CJ63" i="98"/>
  <c r="CI47" i="98"/>
  <c r="CG47" i="98"/>
  <c r="CH47" i="98"/>
  <c r="CJ47" i="98"/>
  <c r="CI31" i="98"/>
  <c r="CH31" i="98"/>
  <c r="CG31" i="98"/>
  <c r="CJ31" i="98"/>
  <c r="CG15" i="98"/>
  <c r="CI15" i="98"/>
  <c r="CH15" i="98"/>
  <c r="CJ15" i="98"/>
  <c r="AK9" i="98"/>
  <c r="AJ9" i="98"/>
  <c r="AL9" i="98"/>
  <c r="AI9" i="98"/>
  <c r="AK13" i="98"/>
  <c r="AI13" i="98"/>
  <c r="AL13" i="98"/>
  <c r="AJ13" i="98"/>
  <c r="O8" i="98"/>
  <c r="P8" i="98"/>
  <c r="Q8" i="98"/>
  <c r="R8" i="98"/>
  <c r="O11" i="98"/>
  <c r="P11" i="98"/>
  <c r="Q11" i="98"/>
  <c r="R11" i="98"/>
  <c r="O13" i="98"/>
  <c r="P13" i="98"/>
  <c r="Q13" i="98"/>
  <c r="R13" i="98"/>
  <c r="O15" i="98"/>
  <c r="Q15" i="98"/>
  <c r="P15" i="98"/>
  <c r="R15" i="98"/>
  <c r="DC20" i="89"/>
  <c r="DE20" i="89" s="1"/>
  <c r="DG20" i="89" s="1"/>
  <c r="DC8" i="89"/>
  <c r="DE8" i="89" s="1"/>
  <c r="DG8" i="89" s="1"/>
  <c r="DC12" i="89"/>
  <c r="DE13" i="89" s="1"/>
  <c r="DG13" i="89" s="1"/>
  <c r="DC16" i="89"/>
  <c r="DE17" i="89" s="1"/>
  <c r="DG17" i="89" s="1"/>
  <c r="DE7" i="89"/>
  <c r="DG7" i="89" s="1"/>
  <c r="DE5" i="89"/>
  <c r="DG5" i="89" s="1"/>
  <c r="DE6" i="89"/>
  <c r="DG6" i="89" s="1"/>
  <c r="AM6" i="83"/>
  <c r="AM7" i="83"/>
  <c r="AM8" i="83"/>
  <c r="AM9" i="83"/>
  <c r="AM10" i="83"/>
  <c r="AM11" i="83"/>
  <c r="AM12" i="83"/>
  <c r="AM13" i="83"/>
  <c r="AM14" i="83"/>
  <c r="AM15" i="83"/>
  <c r="AM16" i="83"/>
  <c r="AM17" i="83"/>
  <c r="AM18" i="83"/>
  <c r="AM19" i="83"/>
  <c r="AM20" i="83"/>
  <c r="AM21" i="83"/>
  <c r="AM22" i="83"/>
  <c r="AM23" i="83"/>
  <c r="AM24" i="83"/>
  <c r="AM25" i="83"/>
  <c r="AM26" i="83"/>
  <c r="AM27" i="83"/>
  <c r="AM28" i="83"/>
  <c r="AM29" i="83"/>
  <c r="AM30" i="83"/>
  <c r="AM31" i="83"/>
  <c r="AM32" i="83"/>
  <c r="AM33" i="83"/>
  <c r="AM34" i="83"/>
  <c r="AM35" i="83"/>
  <c r="AM36" i="83"/>
  <c r="AM37" i="83"/>
  <c r="AM38" i="83"/>
  <c r="AM39" i="83"/>
  <c r="AM40" i="83"/>
  <c r="AM41" i="83"/>
  <c r="AM42" i="83"/>
  <c r="AM43" i="83"/>
  <c r="AM44" i="83"/>
  <c r="AM45" i="83"/>
  <c r="AM46" i="83"/>
  <c r="AM47" i="83"/>
  <c r="AM48" i="83"/>
  <c r="AM49" i="83"/>
  <c r="AM50" i="83"/>
  <c r="AM51" i="83"/>
  <c r="AM52" i="83"/>
  <c r="AM53" i="83"/>
  <c r="AM54" i="83"/>
  <c r="AM55" i="83"/>
  <c r="AM56" i="83"/>
  <c r="AM57" i="83"/>
  <c r="AM58" i="83"/>
  <c r="AM59" i="83"/>
  <c r="AM60" i="83"/>
  <c r="AM61" i="83"/>
  <c r="AM62" i="83"/>
  <c r="AM63" i="83"/>
  <c r="AM64" i="83"/>
  <c r="AM65" i="83"/>
  <c r="AM66" i="83"/>
  <c r="AM67" i="83"/>
  <c r="AM68" i="83"/>
  <c r="AM69" i="83"/>
  <c r="AM70" i="83"/>
  <c r="AM71" i="83"/>
  <c r="AM72" i="83"/>
  <c r="AM73" i="83"/>
  <c r="AM74" i="83"/>
  <c r="AM75" i="83"/>
  <c r="AM76" i="83"/>
  <c r="AM77" i="83"/>
  <c r="AM78" i="83"/>
  <c r="AM79" i="83"/>
  <c r="AM80" i="83"/>
  <c r="AM81" i="83"/>
  <c r="AM82" i="83"/>
  <c r="AM83" i="83"/>
  <c r="AM84" i="83"/>
  <c r="AM85" i="83"/>
  <c r="AM86" i="83"/>
  <c r="AM87" i="83"/>
  <c r="AM88" i="83"/>
  <c r="AM89" i="83"/>
  <c r="AM90" i="83"/>
  <c r="AM91" i="83"/>
  <c r="AM92" i="83"/>
  <c r="AM93" i="83"/>
  <c r="AM94" i="83"/>
  <c r="AM95" i="83"/>
  <c r="AM96" i="83"/>
  <c r="AM97" i="83"/>
  <c r="AM98" i="83"/>
  <c r="AM99" i="83"/>
  <c r="AM100" i="83"/>
  <c r="AM101" i="83"/>
  <c r="AM102" i="83"/>
  <c r="AM103" i="83"/>
  <c r="AM104" i="83"/>
  <c r="AM5" i="83"/>
  <c r="AB6" i="83"/>
  <c r="AB7" i="83"/>
  <c r="AB8" i="83"/>
  <c r="AB9" i="83"/>
  <c r="AB10" i="83"/>
  <c r="AB11" i="83"/>
  <c r="AB12" i="83"/>
  <c r="AB13" i="83"/>
  <c r="AB14" i="83"/>
  <c r="AB15" i="83"/>
  <c r="AB16" i="83"/>
  <c r="AB17" i="83"/>
  <c r="AB18" i="83"/>
  <c r="AB19" i="83"/>
  <c r="AB20" i="83"/>
  <c r="AB21" i="83"/>
  <c r="AB22" i="83"/>
  <c r="AB23" i="83"/>
  <c r="AB24" i="83"/>
  <c r="AB25" i="83"/>
  <c r="AB26" i="83"/>
  <c r="AB27" i="83"/>
  <c r="AB28" i="83"/>
  <c r="AB29" i="83"/>
  <c r="AB30" i="83"/>
  <c r="AB31" i="83"/>
  <c r="AB32" i="83"/>
  <c r="AB33" i="83"/>
  <c r="AB34" i="83"/>
  <c r="AB35" i="83"/>
  <c r="AB36" i="83"/>
  <c r="AB37" i="83"/>
  <c r="AB38" i="83"/>
  <c r="AB39" i="83"/>
  <c r="AB40" i="83"/>
  <c r="AB41" i="83"/>
  <c r="AB42" i="83"/>
  <c r="AB43" i="83"/>
  <c r="AB44" i="83"/>
  <c r="AB45" i="83"/>
  <c r="AB46" i="83"/>
  <c r="AB47" i="83"/>
  <c r="AB48" i="83"/>
  <c r="AB49" i="83"/>
  <c r="AB50" i="83"/>
  <c r="AB51" i="83"/>
  <c r="AB52" i="83"/>
  <c r="AB53" i="83"/>
  <c r="AB54" i="83"/>
  <c r="AB55" i="83"/>
  <c r="AB56" i="83"/>
  <c r="AB57" i="83"/>
  <c r="AB58" i="83"/>
  <c r="AB59" i="83"/>
  <c r="AB60" i="83"/>
  <c r="AB61" i="83"/>
  <c r="AB62" i="83"/>
  <c r="AB63" i="83"/>
  <c r="AB64" i="83"/>
  <c r="AB65" i="83"/>
  <c r="AB66" i="83"/>
  <c r="AB67" i="83"/>
  <c r="AB68" i="83"/>
  <c r="AB69" i="83"/>
  <c r="AB70" i="83"/>
  <c r="AB71" i="83"/>
  <c r="AB72" i="83"/>
  <c r="AB73" i="83"/>
  <c r="AB74" i="83"/>
  <c r="AB75" i="83"/>
  <c r="AB76" i="83"/>
  <c r="AB77" i="83"/>
  <c r="AB78" i="83"/>
  <c r="AB79" i="83"/>
  <c r="AB80" i="83"/>
  <c r="AB81" i="83"/>
  <c r="AB82" i="83"/>
  <c r="AB83" i="83"/>
  <c r="AB84" i="83"/>
  <c r="AB85" i="83"/>
  <c r="AB86" i="83"/>
  <c r="AB87" i="83"/>
  <c r="AB88" i="83"/>
  <c r="AB89" i="83"/>
  <c r="AB90" i="83"/>
  <c r="AB91" i="83"/>
  <c r="AB92" i="83"/>
  <c r="AB93" i="83"/>
  <c r="AB94" i="83"/>
  <c r="AB95" i="83"/>
  <c r="AB96" i="83"/>
  <c r="AB97" i="83"/>
  <c r="AB98" i="83"/>
  <c r="AB99" i="83"/>
  <c r="AB100" i="83"/>
  <c r="AB101" i="83"/>
  <c r="AB102" i="83"/>
  <c r="AB103" i="83"/>
  <c r="AB104" i="83"/>
  <c r="AB5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94" i="83"/>
  <c r="Q95" i="83"/>
  <c r="Q96" i="83"/>
  <c r="Q97" i="83"/>
  <c r="Q98" i="83"/>
  <c r="Q99" i="83"/>
  <c r="Q100" i="83"/>
  <c r="Q101" i="83"/>
  <c r="Q102" i="83"/>
  <c r="Q103" i="83"/>
  <c r="Q104" i="83"/>
  <c r="Q5" i="83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5" i="83"/>
  <c r="BJ15" i="103" l="1"/>
  <c r="BJ105" i="103"/>
  <c r="BJ87" i="103"/>
  <c r="BJ99" i="103"/>
  <c r="BJ111" i="103"/>
  <c r="BJ45" i="103"/>
  <c r="BJ57" i="103"/>
  <c r="BJ63" i="103"/>
  <c r="BJ129" i="103"/>
  <c r="BJ81" i="103"/>
  <c r="BJ21" i="103"/>
  <c r="BJ39" i="103"/>
  <c r="AS7" i="103"/>
  <c r="AW7" i="103"/>
  <c r="AT7" i="103"/>
  <c r="AU7" i="103"/>
  <c r="AV7" i="103"/>
  <c r="BJ33" i="103"/>
  <c r="BJ69" i="103"/>
  <c r="BJ9" i="103"/>
  <c r="BJ117" i="103"/>
  <c r="BJ27" i="103"/>
  <c r="BJ123" i="103"/>
  <c r="BJ93" i="103"/>
  <c r="BJ75" i="103"/>
  <c r="BJ51" i="103"/>
  <c r="AU8" i="103"/>
  <c r="AV8" i="103"/>
  <c r="AS8" i="103"/>
  <c r="AW8" i="103"/>
  <c r="AT8" i="103"/>
  <c r="BC474" i="90"/>
  <c r="BC294" i="90"/>
  <c r="BC174" i="90"/>
  <c r="BC94" i="90"/>
  <c r="BC14" i="90"/>
  <c r="BC74" i="90"/>
  <c r="BC494" i="90"/>
  <c r="BC314" i="90"/>
  <c r="BC454" i="90"/>
  <c r="BC354" i="90"/>
  <c r="BC414" i="90"/>
  <c r="BC214" i="90"/>
  <c r="BC134" i="90"/>
  <c r="BC54" i="90"/>
  <c r="BC534" i="90"/>
  <c r="BC274" i="90"/>
  <c r="BC194" i="90"/>
  <c r="BC114" i="90"/>
  <c r="BC34" i="90"/>
  <c r="BC374" i="90"/>
  <c r="BC154" i="90"/>
  <c r="BC434" i="90"/>
  <c r="BC554" i="90"/>
  <c r="BC334" i="90"/>
  <c r="BC514" i="90"/>
  <c r="BC234" i="90"/>
  <c r="BC394" i="90"/>
  <c r="BC254" i="90"/>
  <c r="BC233" i="90"/>
  <c r="BC13" i="90"/>
  <c r="BC193" i="90"/>
  <c r="BC273" i="90"/>
  <c r="BC533" i="90"/>
  <c r="BC453" i="90"/>
  <c r="BC373" i="90"/>
  <c r="BC293" i="90"/>
  <c r="BC213" i="90"/>
  <c r="BC53" i="90"/>
  <c r="BC73" i="90"/>
  <c r="BC33" i="90"/>
  <c r="BC253" i="90"/>
  <c r="BC113" i="90"/>
  <c r="BC493" i="90"/>
  <c r="BC413" i="90"/>
  <c r="BC333" i="90"/>
  <c r="BC133" i="90"/>
  <c r="BC93" i="90"/>
  <c r="BC513" i="90"/>
  <c r="BC433" i="90"/>
  <c r="BC353" i="90"/>
  <c r="BC553" i="90"/>
  <c r="BC473" i="90"/>
  <c r="BC393" i="90"/>
  <c r="BC313" i="90"/>
  <c r="BC173" i="90"/>
  <c r="BC153" i="90"/>
  <c r="BC496" i="90"/>
  <c r="BC336" i="90"/>
  <c r="BC56" i="90"/>
  <c r="BC416" i="90"/>
  <c r="BC16" i="90"/>
  <c r="BC436" i="90"/>
  <c r="BC196" i="90"/>
  <c r="BC76" i="90"/>
  <c r="BC96" i="90"/>
  <c r="BC536" i="90"/>
  <c r="BC376" i="90"/>
  <c r="BC276" i="90"/>
  <c r="BC236" i="90"/>
  <c r="BC176" i="90"/>
  <c r="BC556" i="90"/>
  <c r="BC396" i="90"/>
  <c r="BC516" i="90"/>
  <c r="BC356" i="90"/>
  <c r="BC116" i="90"/>
  <c r="BC136" i="90"/>
  <c r="BC456" i="90"/>
  <c r="BC296" i="90"/>
  <c r="BC256" i="90"/>
  <c r="BC216" i="90"/>
  <c r="BC156" i="90"/>
  <c r="BC476" i="90"/>
  <c r="BC316" i="90"/>
  <c r="BC36" i="90"/>
  <c r="BC422" i="90"/>
  <c r="BC342" i="90"/>
  <c r="BC262" i="90"/>
  <c r="BC202" i="90"/>
  <c r="BC42" i="90"/>
  <c r="BC382" i="90"/>
  <c r="BC322" i="90"/>
  <c r="BC562" i="90"/>
  <c r="BC502" i="90"/>
  <c r="BC142" i="90"/>
  <c r="BC62" i="90"/>
  <c r="BC242" i="90"/>
  <c r="BC462" i="90"/>
  <c r="BC182" i="90"/>
  <c r="BC102" i="90"/>
  <c r="BC22" i="90"/>
  <c r="BC402" i="90"/>
  <c r="BC522" i="90"/>
  <c r="BC162" i="90"/>
  <c r="BC82" i="90"/>
  <c r="BC282" i="90"/>
  <c r="BC122" i="90"/>
  <c r="BC362" i="90"/>
  <c r="BC222" i="90"/>
  <c r="BC442" i="90"/>
  <c r="BC482" i="90"/>
  <c r="BC542" i="90"/>
  <c r="BC302" i="90"/>
  <c r="BC559" i="90"/>
  <c r="BC179" i="90"/>
  <c r="BC239" i="90"/>
  <c r="BC219" i="90"/>
  <c r="BC99" i="90"/>
  <c r="BC259" i="90"/>
  <c r="BC59" i="90"/>
  <c r="BC159" i="90"/>
  <c r="BC479" i="90"/>
  <c r="BC399" i="90"/>
  <c r="BC319" i="90"/>
  <c r="BC119" i="90"/>
  <c r="BC139" i="90"/>
  <c r="BC499" i="90"/>
  <c r="BC419" i="90"/>
  <c r="BC339" i="90"/>
  <c r="BC199" i="90"/>
  <c r="BC19" i="90"/>
  <c r="BC539" i="90"/>
  <c r="BC459" i="90"/>
  <c r="BC379" i="90"/>
  <c r="BC299" i="90"/>
  <c r="BC79" i="90"/>
  <c r="BC519" i="90"/>
  <c r="BC439" i="90"/>
  <c r="BC359" i="90"/>
  <c r="BC279" i="90"/>
  <c r="BC39" i="90"/>
  <c r="BC195" i="90"/>
  <c r="BC495" i="90"/>
  <c r="BC415" i="90"/>
  <c r="BC135" i="90"/>
  <c r="BC335" i="90"/>
  <c r="BC55" i="90"/>
  <c r="BC75" i="90"/>
  <c r="BC515" i="90"/>
  <c r="BC435" i="90"/>
  <c r="BC355" i="90"/>
  <c r="BC155" i="90"/>
  <c r="BC255" i="90"/>
  <c r="BC555" i="90"/>
  <c r="BC475" i="90"/>
  <c r="BC395" i="90"/>
  <c r="BC315" i="90"/>
  <c r="BC15" i="90"/>
  <c r="BC535" i="90"/>
  <c r="BC455" i="90"/>
  <c r="BC375" i="90"/>
  <c r="BC295" i="90"/>
  <c r="BC235" i="90"/>
  <c r="BC115" i="90"/>
  <c r="BC95" i="90"/>
  <c r="BC175" i="90"/>
  <c r="BC35" i="90"/>
  <c r="BC215" i="90"/>
  <c r="BC275" i="90"/>
  <c r="BC330" i="90"/>
  <c r="BC170" i="90"/>
  <c r="BC90" i="90"/>
  <c r="BC10" i="90"/>
  <c r="BC490" i="90"/>
  <c r="BC310" i="90"/>
  <c r="BC230" i="90"/>
  <c r="BC430" i="90"/>
  <c r="BC390" i="90"/>
  <c r="BC290" i="90"/>
  <c r="BC550" i="90"/>
  <c r="BC510" i="90"/>
  <c r="BC450" i="90"/>
  <c r="BC350" i="90"/>
  <c r="BC190" i="90"/>
  <c r="BC110" i="90"/>
  <c r="BC30" i="90"/>
  <c r="BC470" i="90"/>
  <c r="BC150" i="90"/>
  <c r="BC70" i="90"/>
  <c r="BC410" i="90"/>
  <c r="BC530" i="90"/>
  <c r="BC270" i="90"/>
  <c r="BC250" i="90"/>
  <c r="BC210" i="90"/>
  <c r="BC130" i="90"/>
  <c r="BC50" i="90"/>
  <c r="BC370" i="90"/>
  <c r="BC249" i="90"/>
  <c r="BC29" i="90"/>
  <c r="BC529" i="90"/>
  <c r="BC449" i="90"/>
  <c r="BC369" i="90"/>
  <c r="BC289" i="90"/>
  <c r="BC149" i="90"/>
  <c r="BC489" i="90"/>
  <c r="BC409" i="90"/>
  <c r="BC329" i="90"/>
  <c r="BC109" i="90"/>
  <c r="BC89" i="90"/>
  <c r="BC229" i="90"/>
  <c r="BC69" i="90"/>
  <c r="BC169" i="90"/>
  <c r="BC269" i="90"/>
  <c r="BC129" i="90"/>
  <c r="BC209" i="90"/>
  <c r="BC549" i="90"/>
  <c r="BC469" i="90"/>
  <c r="BC389" i="90"/>
  <c r="BC309" i="90"/>
  <c r="BC9" i="90"/>
  <c r="BC189" i="90"/>
  <c r="BC49" i="90"/>
  <c r="BC509" i="90"/>
  <c r="BC429" i="90"/>
  <c r="BC349" i="90"/>
  <c r="BC432" i="90"/>
  <c r="BC512" i="90"/>
  <c r="BC172" i="90"/>
  <c r="BC232" i="90"/>
  <c r="BC532" i="90"/>
  <c r="BC372" i="90"/>
  <c r="BC272" i="90"/>
  <c r="BC472" i="90"/>
  <c r="BC312" i="90"/>
  <c r="BC92" i="90"/>
  <c r="BC492" i="90"/>
  <c r="BC332" i="90"/>
  <c r="BC192" i="90"/>
  <c r="BC132" i="90"/>
  <c r="BC152" i="90"/>
  <c r="BC352" i="90"/>
  <c r="BC452" i="90"/>
  <c r="BC292" i="90"/>
  <c r="BC252" i="90"/>
  <c r="BC212" i="90"/>
  <c r="BC52" i="90"/>
  <c r="BC72" i="90"/>
  <c r="BC12" i="90"/>
  <c r="BC32" i="90"/>
  <c r="BC552" i="90"/>
  <c r="BC392" i="90"/>
  <c r="BC112" i="90"/>
  <c r="BC412" i="90"/>
  <c r="BC338" i="90"/>
  <c r="BC218" i="90"/>
  <c r="BC138" i="90"/>
  <c r="BC58" i="90"/>
  <c r="BC478" i="90"/>
  <c r="BC458" i="90"/>
  <c r="BC318" i="90"/>
  <c r="BC258" i="90"/>
  <c r="BC538" i="90"/>
  <c r="BC358" i="90"/>
  <c r="BC238" i="90"/>
  <c r="BC498" i="90"/>
  <c r="BC398" i="90"/>
  <c r="BC158" i="90"/>
  <c r="BC78" i="90"/>
  <c r="BC298" i="90"/>
  <c r="BC438" i="90"/>
  <c r="BC278" i="90"/>
  <c r="BC198" i="90"/>
  <c r="BC118" i="90"/>
  <c r="BC38" i="90"/>
  <c r="BC178" i="90"/>
  <c r="BC98" i="90"/>
  <c r="BC18" i="90"/>
  <c r="BC558" i="90"/>
  <c r="BC378" i="90"/>
  <c r="BC518" i="90"/>
  <c r="BC418" i="90"/>
  <c r="BC528" i="90"/>
  <c r="BC368" i="90"/>
  <c r="BC268" i="90"/>
  <c r="BC188" i="90"/>
  <c r="BC288" i="90"/>
  <c r="BC468" i="90"/>
  <c r="BC308" i="90"/>
  <c r="BC228" i="90"/>
  <c r="BC148" i="90"/>
  <c r="BC168" i="90"/>
  <c r="BC248" i="90"/>
  <c r="BC408" i="90"/>
  <c r="BC48" i="90"/>
  <c r="BC428" i="90"/>
  <c r="BC68" i="90"/>
  <c r="BC448" i="90"/>
  <c r="BC88" i="90"/>
  <c r="BC108" i="90"/>
  <c r="BC128" i="90"/>
  <c r="BC208" i="90"/>
  <c r="BC548" i="90"/>
  <c r="BC388" i="90"/>
  <c r="BC8" i="90"/>
  <c r="BC488" i="90"/>
  <c r="BC328" i="90"/>
  <c r="BC28" i="90"/>
  <c r="BC508" i="90"/>
  <c r="BC348" i="90"/>
  <c r="BC131" i="90"/>
  <c r="BC71" i="90"/>
  <c r="BC51" i="90"/>
  <c r="BC251" i="90"/>
  <c r="BC211" i="90"/>
  <c r="BC431" i="90"/>
  <c r="BC171" i="90"/>
  <c r="BC111" i="90"/>
  <c r="BC271" i="90"/>
  <c r="BC351" i="90"/>
  <c r="BC11" i="90"/>
  <c r="BC531" i="90"/>
  <c r="BC451" i="90"/>
  <c r="BC371" i="90"/>
  <c r="BC291" i="90"/>
  <c r="BC231" i="90"/>
  <c r="BC31" i="90"/>
  <c r="BC511" i="90"/>
  <c r="BC91" i="90"/>
  <c r="BC151" i="90"/>
  <c r="BC491" i="90"/>
  <c r="BC411" i="90"/>
  <c r="BC331" i="90"/>
  <c r="BC551" i="90"/>
  <c r="BC471" i="90"/>
  <c r="BC391" i="90"/>
  <c r="BC311" i="90"/>
  <c r="BC191" i="90"/>
  <c r="BC121" i="90"/>
  <c r="BC41" i="90"/>
  <c r="BC141" i="90"/>
  <c r="BC81" i="90"/>
  <c r="BC501" i="90"/>
  <c r="BC421" i="90"/>
  <c r="BC341" i="90"/>
  <c r="BC201" i="90"/>
  <c r="BC161" i="90"/>
  <c r="BC61" i="90"/>
  <c r="BC241" i="90"/>
  <c r="BC541" i="90"/>
  <c r="BC461" i="90"/>
  <c r="BC381" i="90"/>
  <c r="BC301" i="90"/>
  <c r="BC561" i="90"/>
  <c r="BC481" i="90"/>
  <c r="BC401" i="90"/>
  <c r="BC321" i="90"/>
  <c r="BC221" i="90"/>
  <c r="BC181" i="90"/>
  <c r="BC21" i="90"/>
  <c r="BC521" i="90"/>
  <c r="BC441" i="90"/>
  <c r="BC361" i="90"/>
  <c r="BC281" i="90"/>
  <c r="BC261" i="90"/>
  <c r="BC101" i="90"/>
  <c r="BC464" i="90"/>
  <c r="BC304" i="90"/>
  <c r="BC224" i="90"/>
  <c r="BC384" i="90"/>
  <c r="BC244" i="90"/>
  <c r="BC184" i="90"/>
  <c r="BC44" i="90"/>
  <c r="BC64" i="90"/>
  <c r="BC544" i="90"/>
  <c r="BC144" i="90"/>
  <c r="BC564" i="90"/>
  <c r="BC404" i="90"/>
  <c r="BC84" i="90"/>
  <c r="BC104" i="90"/>
  <c r="BC504" i="90"/>
  <c r="BC344" i="90"/>
  <c r="BC524" i="90"/>
  <c r="BC364" i="90"/>
  <c r="BC124" i="90"/>
  <c r="BC24" i="90"/>
  <c r="BC484" i="90"/>
  <c r="BC324" i="90"/>
  <c r="BC424" i="90"/>
  <c r="BC444" i="90"/>
  <c r="BC284" i="90"/>
  <c r="BC204" i="90"/>
  <c r="BC164" i="90"/>
  <c r="BC264" i="90"/>
  <c r="BC543" i="90"/>
  <c r="BC463" i="90"/>
  <c r="BC383" i="90"/>
  <c r="BC303" i="90"/>
  <c r="BC183" i="90"/>
  <c r="BC563" i="90"/>
  <c r="BC483" i="90"/>
  <c r="BC403" i="90"/>
  <c r="BC323" i="90"/>
  <c r="BC63" i="90"/>
  <c r="BC143" i="90"/>
  <c r="BC83" i="90"/>
  <c r="BC23" i="90"/>
  <c r="BC523" i="90"/>
  <c r="BC443" i="90"/>
  <c r="BC363" i="90"/>
  <c r="BC283" i="90"/>
  <c r="BC503" i="90"/>
  <c r="BC423" i="90"/>
  <c r="BC343" i="90"/>
  <c r="BC103" i="90"/>
  <c r="BC243" i="90"/>
  <c r="BC223" i="90"/>
  <c r="BC43" i="90"/>
  <c r="BC263" i="90"/>
  <c r="BC203" i="90"/>
  <c r="BC163" i="90"/>
  <c r="BC123" i="90"/>
  <c r="BC57" i="90"/>
  <c r="BC157" i="90"/>
  <c r="BC497" i="90"/>
  <c r="BC417" i="90"/>
  <c r="BC337" i="90"/>
  <c r="BC537" i="90"/>
  <c r="BC457" i="90"/>
  <c r="BC377" i="90"/>
  <c r="BC297" i="90"/>
  <c r="BC237" i="90"/>
  <c r="BC217" i="90"/>
  <c r="BC77" i="90"/>
  <c r="BC257" i="90"/>
  <c r="BC17" i="90"/>
  <c r="BC517" i="90"/>
  <c r="BC437" i="90"/>
  <c r="BC357" i="90"/>
  <c r="BC277" i="90"/>
  <c r="BC117" i="90"/>
  <c r="BC137" i="90"/>
  <c r="BC97" i="90"/>
  <c r="BC177" i="90"/>
  <c r="BC557" i="90"/>
  <c r="BC477" i="90"/>
  <c r="BC397" i="90"/>
  <c r="BC317" i="90"/>
  <c r="BC197" i="90"/>
  <c r="BC37" i="90"/>
  <c r="BC560" i="90"/>
  <c r="BC400" i="90"/>
  <c r="BC60" i="90"/>
  <c r="BC120" i="90"/>
  <c r="BC500" i="90"/>
  <c r="BC340" i="90"/>
  <c r="BC20" i="90"/>
  <c r="BC40" i="90"/>
  <c r="BC280" i="90"/>
  <c r="BC440" i="90"/>
  <c r="BC200" i="90"/>
  <c r="BC460" i="90"/>
  <c r="BC300" i="90"/>
  <c r="BC260" i="90"/>
  <c r="BC220" i="90"/>
  <c r="BC320" i="90"/>
  <c r="BC480" i="90"/>
  <c r="BC80" i="90"/>
  <c r="BC420" i="90"/>
  <c r="BC180" i="90"/>
  <c r="BC140" i="90"/>
  <c r="BC160" i="90"/>
  <c r="BC520" i="90"/>
  <c r="BC360" i="90"/>
  <c r="BC540" i="90"/>
  <c r="BC380" i="90"/>
  <c r="BC240" i="90"/>
  <c r="BC100" i="90"/>
  <c r="K14" i="90"/>
  <c r="L14" i="90"/>
  <c r="N14" i="90"/>
  <c r="M14" i="90"/>
  <c r="BA7" i="90"/>
  <c r="BA27" i="90"/>
  <c r="BA47" i="90"/>
  <c r="BA67" i="90"/>
  <c r="BA87" i="90"/>
  <c r="BA107" i="90"/>
  <c r="BA127" i="90"/>
  <c r="BA147" i="90"/>
  <c r="BA167" i="90"/>
  <c r="BA187" i="90"/>
  <c r="BA207" i="90"/>
  <c r="BA227" i="90"/>
  <c r="BA247" i="90"/>
  <c r="BA267" i="90"/>
  <c r="BA287" i="90"/>
  <c r="BA307" i="90"/>
  <c r="BA327" i="90"/>
  <c r="BA347" i="90"/>
  <c r="BA367" i="90"/>
  <c r="BA387" i="90"/>
  <c r="BA407" i="90"/>
  <c r="BA427" i="90"/>
  <c r="BA447" i="90"/>
  <c r="BA467" i="90"/>
  <c r="BA487" i="90"/>
  <c r="BA507" i="90"/>
  <c r="BA527" i="90"/>
  <c r="BA547" i="90"/>
  <c r="U32" i="90"/>
  <c r="W32" i="90"/>
  <c r="V32" i="90"/>
  <c r="X32" i="90"/>
  <c r="AK32" i="90"/>
  <c r="AK84" i="90"/>
  <c r="AK136" i="90"/>
  <c r="AK188" i="90"/>
  <c r="AK240" i="90"/>
  <c r="AK292" i="90"/>
  <c r="AK344" i="90"/>
  <c r="AK396" i="90"/>
  <c r="AK448" i="90"/>
  <c r="AK500" i="90"/>
  <c r="AK552" i="90"/>
  <c r="AK604" i="90"/>
  <c r="AK656" i="90"/>
  <c r="AK708" i="90"/>
  <c r="AK812" i="90"/>
  <c r="AK916" i="90"/>
  <c r="AK1020" i="90"/>
  <c r="AK1124" i="90"/>
  <c r="AK1228" i="90"/>
  <c r="AK1332" i="90"/>
  <c r="AK864" i="90"/>
  <c r="AK1436" i="90"/>
  <c r="AK968" i="90"/>
  <c r="AK1280" i="90"/>
  <c r="AK760" i="90"/>
  <c r="AK1176" i="90"/>
  <c r="AK1072" i="90"/>
  <c r="AK1384" i="90"/>
  <c r="U31" i="90"/>
  <c r="V31" i="90"/>
  <c r="W31" i="90"/>
  <c r="X31" i="90"/>
  <c r="AK31" i="90"/>
  <c r="AK83" i="90"/>
  <c r="AK135" i="90"/>
  <c r="AK187" i="90"/>
  <c r="AK239" i="90"/>
  <c r="AK291" i="90"/>
  <c r="AK343" i="90"/>
  <c r="AK395" i="90"/>
  <c r="AK447" i="90"/>
  <c r="AK499" i="90"/>
  <c r="AK551" i="90"/>
  <c r="AK603" i="90"/>
  <c r="AK655" i="90"/>
  <c r="AK707" i="90"/>
  <c r="AK759" i="90"/>
  <c r="AK811" i="90"/>
  <c r="AK863" i="90"/>
  <c r="AK915" i="90"/>
  <c r="AK967" i="90"/>
  <c r="AK1019" i="90"/>
  <c r="AK1071" i="90"/>
  <c r="AK1123" i="90"/>
  <c r="AK1175" i="90"/>
  <c r="AK1227" i="90"/>
  <c r="AK1331" i="90"/>
  <c r="AK1279" i="90"/>
  <c r="AK1383" i="90"/>
  <c r="AK1435" i="90"/>
  <c r="AK40" i="95"/>
  <c r="AL40" i="95"/>
  <c r="AM40" i="95"/>
  <c r="AN40" i="95"/>
  <c r="AL46" i="95"/>
  <c r="AM46" i="95"/>
  <c r="AN46" i="95"/>
  <c r="AK46" i="95"/>
  <c r="AM49" i="95"/>
  <c r="AN49" i="95"/>
  <c r="AK49" i="95"/>
  <c r="AL49" i="95"/>
  <c r="AK48" i="95"/>
  <c r="AM48" i="95"/>
  <c r="AN48" i="95"/>
  <c r="AL48" i="95"/>
  <c r="AN43" i="95"/>
  <c r="AK43" i="95"/>
  <c r="AM43" i="95"/>
  <c r="AL43" i="95"/>
  <c r="BA15" i="90"/>
  <c r="BA35" i="90"/>
  <c r="BA55" i="90"/>
  <c r="BA75" i="90"/>
  <c r="BA95" i="90"/>
  <c r="BA115" i="90"/>
  <c r="BA135" i="90"/>
  <c r="BA155" i="90"/>
  <c r="BA175" i="90"/>
  <c r="BA195" i="90"/>
  <c r="BA215" i="90"/>
  <c r="BA235" i="90"/>
  <c r="BA255" i="90"/>
  <c r="BA275" i="90"/>
  <c r="BA295" i="90"/>
  <c r="BA315" i="90"/>
  <c r="BA335" i="90"/>
  <c r="BA355" i="90"/>
  <c r="BA375" i="90"/>
  <c r="BA395" i="90"/>
  <c r="BA415" i="90"/>
  <c r="BA435" i="90"/>
  <c r="BA455" i="90"/>
  <c r="BA475" i="90"/>
  <c r="BA495" i="90"/>
  <c r="BA515" i="90"/>
  <c r="BA535" i="90"/>
  <c r="BA555" i="90"/>
  <c r="AK56" i="95"/>
  <c r="AL56" i="95"/>
  <c r="AM56" i="95"/>
  <c r="AN56" i="95"/>
  <c r="AN67" i="95"/>
  <c r="AK67" i="95"/>
  <c r="AM67" i="95"/>
  <c r="AL67" i="95"/>
  <c r="AN71" i="95"/>
  <c r="AK71" i="95"/>
  <c r="AL71" i="95"/>
  <c r="AM71" i="95"/>
  <c r="AL62" i="95"/>
  <c r="AM62" i="95"/>
  <c r="AN62" i="95"/>
  <c r="AK62" i="95"/>
  <c r="AL66" i="95"/>
  <c r="AM66" i="95"/>
  <c r="AN66" i="95"/>
  <c r="AK66" i="95"/>
  <c r="U7" i="90"/>
  <c r="W7" i="90"/>
  <c r="V7" i="90"/>
  <c r="X7" i="90"/>
  <c r="AK7" i="90"/>
  <c r="AK59" i="90"/>
  <c r="AK111" i="90"/>
  <c r="AK163" i="90"/>
  <c r="AK215" i="90"/>
  <c r="AK267" i="90"/>
  <c r="AK319" i="90"/>
  <c r="AK371" i="90"/>
  <c r="AK423" i="90"/>
  <c r="AK475" i="90"/>
  <c r="AK527" i="90"/>
  <c r="AK579" i="90"/>
  <c r="AK631" i="90"/>
  <c r="AK683" i="90"/>
  <c r="AK735" i="90"/>
  <c r="AK787" i="90"/>
  <c r="AK839" i="90"/>
  <c r="AK891" i="90"/>
  <c r="AK943" i="90"/>
  <c r="AK995" i="90"/>
  <c r="AK1047" i="90"/>
  <c r="AK1099" i="90"/>
  <c r="AK1151" i="90"/>
  <c r="AK1203" i="90"/>
  <c r="AK1255" i="90"/>
  <c r="AK1359" i="90"/>
  <c r="AK1411" i="90"/>
  <c r="AK1307" i="90"/>
  <c r="L13" i="90"/>
  <c r="M13" i="90"/>
  <c r="K13" i="90"/>
  <c r="N13" i="90"/>
  <c r="BA6" i="90"/>
  <c r="BA26" i="90"/>
  <c r="BA46" i="90"/>
  <c r="BA66" i="90"/>
  <c r="BA86" i="90"/>
  <c r="BA106" i="90"/>
  <c r="BA126" i="90"/>
  <c r="BA146" i="90"/>
  <c r="BA166" i="90"/>
  <c r="BA186" i="90"/>
  <c r="BA206" i="90"/>
  <c r="BA226" i="90"/>
  <c r="BA246" i="90"/>
  <c r="BA266" i="90"/>
  <c r="BA286" i="90"/>
  <c r="BA306" i="90"/>
  <c r="BA326" i="90"/>
  <c r="BA346" i="90"/>
  <c r="BA366" i="90"/>
  <c r="BA386" i="90"/>
  <c r="BA406" i="90"/>
  <c r="BA426" i="90"/>
  <c r="BA446" i="90"/>
  <c r="BA466" i="90"/>
  <c r="BA486" i="90"/>
  <c r="BA506" i="90"/>
  <c r="BA526" i="90"/>
  <c r="BA546" i="90"/>
  <c r="U28" i="90"/>
  <c r="W28" i="90"/>
  <c r="V28" i="90"/>
  <c r="X28" i="90"/>
  <c r="AK28" i="90"/>
  <c r="AK80" i="90"/>
  <c r="AK132" i="90"/>
  <c r="AK184" i="90"/>
  <c r="AK236" i="90"/>
  <c r="AK288" i="90"/>
  <c r="AK340" i="90"/>
  <c r="AK392" i="90"/>
  <c r="AK444" i="90"/>
  <c r="AK496" i="90"/>
  <c r="AK548" i="90"/>
  <c r="AK600" i="90"/>
  <c r="AK652" i="90"/>
  <c r="AK1276" i="90"/>
  <c r="AK756" i="90"/>
  <c r="AK860" i="90"/>
  <c r="AK964" i="90"/>
  <c r="AK1068" i="90"/>
  <c r="AK1172" i="90"/>
  <c r="AK704" i="90"/>
  <c r="AK1120" i="90"/>
  <c r="AK808" i="90"/>
  <c r="AK1224" i="90"/>
  <c r="AK1016" i="90"/>
  <c r="AK1432" i="90"/>
  <c r="AK912" i="90"/>
  <c r="AK1328" i="90"/>
  <c r="AK1380" i="90"/>
  <c r="U26" i="90"/>
  <c r="W26" i="90"/>
  <c r="V26" i="90"/>
  <c r="X26" i="90"/>
  <c r="AK182" i="90"/>
  <c r="AK26" i="90"/>
  <c r="AK234" i="90"/>
  <c r="AK442" i="90"/>
  <c r="AK650" i="90"/>
  <c r="AK754" i="90"/>
  <c r="AK858" i="90"/>
  <c r="AK962" i="90"/>
  <c r="AK1066" i="90"/>
  <c r="AK1170" i="90"/>
  <c r="AK78" i="90"/>
  <c r="AK286" i="90"/>
  <c r="AK494" i="90"/>
  <c r="AK1326" i="90"/>
  <c r="AK1378" i="90"/>
  <c r="AK1430" i="90"/>
  <c r="AK130" i="90"/>
  <c r="AK338" i="90"/>
  <c r="AK546" i="90"/>
  <c r="AK702" i="90"/>
  <c r="AK806" i="90"/>
  <c r="AK910" i="90"/>
  <c r="AK1014" i="90"/>
  <c r="AK1118" i="90"/>
  <c r="AK1222" i="90"/>
  <c r="AK1274" i="90"/>
  <c r="AK598" i="90"/>
  <c r="AK390" i="90"/>
  <c r="U27" i="90"/>
  <c r="V27" i="90"/>
  <c r="W27" i="90"/>
  <c r="X27" i="90"/>
  <c r="AK27" i="90"/>
  <c r="AK79" i="90"/>
  <c r="AK131" i="90"/>
  <c r="AK183" i="90"/>
  <c r="AK235" i="90"/>
  <c r="AK287" i="90"/>
  <c r="AK339" i="90"/>
  <c r="AK391" i="90"/>
  <c r="AK443" i="90"/>
  <c r="AK495" i="90"/>
  <c r="AK547" i="90"/>
  <c r="AK599" i="90"/>
  <c r="AK651" i="90"/>
  <c r="AK703" i="90"/>
  <c r="AK755" i="90"/>
  <c r="AK807" i="90"/>
  <c r="AK859" i="90"/>
  <c r="AK911" i="90"/>
  <c r="AK963" i="90"/>
  <c r="AK1015" i="90"/>
  <c r="AK1067" i="90"/>
  <c r="AK1119" i="90"/>
  <c r="AK1171" i="90"/>
  <c r="AK1223" i="90"/>
  <c r="AK1327" i="90"/>
  <c r="AK1379" i="90"/>
  <c r="AK1431" i="90"/>
  <c r="AK1275" i="90"/>
  <c r="AM45" i="95"/>
  <c r="AN45" i="95"/>
  <c r="AK45" i="95"/>
  <c r="AL45" i="95"/>
  <c r="AN51" i="95"/>
  <c r="AK51" i="95"/>
  <c r="AM51" i="95"/>
  <c r="AL51" i="95"/>
  <c r="AL50" i="95"/>
  <c r="AM50" i="95"/>
  <c r="AN50" i="95"/>
  <c r="AK50" i="95"/>
  <c r="AL54" i="95"/>
  <c r="AM54" i="95"/>
  <c r="AN54" i="95"/>
  <c r="AK54" i="95"/>
  <c r="AK36" i="95"/>
  <c r="AM36" i="95"/>
  <c r="AN36" i="95"/>
  <c r="AL36" i="95"/>
  <c r="BA14" i="90"/>
  <c r="BA34" i="90"/>
  <c r="BA54" i="90"/>
  <c r="BA74" i="90"/>
  <c r="BA94" i="90"/>
  <c r="BA114" i="90"/>
  <c r="BA134" i="90"/>
  <c r="BA154" i="90"/>
  <c r="BA174" i="90"/>
  <c r="BA194" i="90"/>
  <c r="BA214" i="90"/>
  <c r="BA234" i="90"/>
  <c r="BA254" i="90"/>
  <c r="BA274" i="90"/>
  <c r="BA294" i="90"/>
  <c r="BA314" i="90"/>
  <c r="BA334" i="90"/>
  <c r="BA354" i="90"/>
  <c r="BA374" i="90"/>
  <c r="BA394" i="90"/>
  <c r="BA414" i="90"/>
  <c r="BA434" i="90"/>
  <c r="BA454" i="90"/>
  <c r="BA474" i="90"/>
  <c r="BA494" i="90"/>
  <c r="BA514" i="90"/>
  <c r="BA534" i="90"/>
  <c r="BA554" i="90"/>
  <c r="AM61" i="95"/>
  <c r="AN61" i="95"/>
  <c r="AK61" i="95"/>
  <c r="AL61" i="95"/>
  <c r="AL58" i="95"/>
  <c r="AM58" i="95"/>
  <c r="AN58" i="95"/>
  <c r="AK58" i="95"/>
  <c r="AL74" i="95"/>
  <c r="AM74" i="95"/>
  <c r="AN74" i="95"/>
  <c r="AK74" i="95"/>
  <c r="AN59" i="95"/>
  <c r="AK59" i="95"/>
  <c r="AM59" i="95"/>
  <c r="AL59" i="95"/>
  <c r="AM57" i="95"/>
  <c r="AN57" i="95"/>
  <c r="AK57" i="95"/>
  <c r="AL57" i="95"/>
  <c r="U8" i="90"/>
  <c r="V8" i="90"/>
  <c r="W8" i="90"/>
  <c r="X8" i="90"/>
  <c r="AK8" i="90"/>
  <c r="AK60" i="90"/>
  <c r="AK112" i="90"/>
  <c r="AK164" i="90"/>
  <c r="AK216" i="90"/>
  <c r="AK268" i="90"/>
  <c r="AK320" i="90"/>
  <c r="AK372" i="90"/>
  <c r="AK424" i="90"/>
  <c r="AK476" i="90"/>
  <c r="AK528" i="90"/>
  <c r="AK580" i="90"/>
  <c r="AK632" i="90"/>
  <c r="AK1308" i="90"/>
  <c r="AK684" i="90"/>
  <c r="AK788" i="90"/>
  <c r="AK892" i="90"/>
  <c r="AK996" i="90"/>
  <c r="AK1100" i="90"/>
  <c r="AK1204" i="90"/>
  <c r="AK736" i="90"/>
  <c r="AK1152" i="90"/>
  <c r="AK840" i="90"/>
  <c r="AK1256" i="90"/>
  <c r="AK1360" i="90"/>
  <c r="AK1048" i="90"/>
  <c r="AK944" i="90"/>
  <c r="AK1412" i="90"/>
  <c r="BA13" i="90"/>
  <c r="BA33" i="90"/>
  <c r="BA53" i="90"/>
  <c r="BA73" i="90"/>
  <c r="BA93" i="90"/>
  <c r="BA113" i="90"/>
  <c r="BA133" i="90"/>
  <c r="BA153" i="90"/>
  <c r="BA173" i="90"/>
  <c r="BA193" i="90"/>
  <c r="BA213" i="90"/>
  <c r="BA233" i="90"/>
  <c r="BA253" i="90"/>
  <c r="BA273" i="90"/>
  <c r="BA293" i="90"/>
  <c r="BA313" i="90"/>
  <c r="BA333" i="90"/>
  <c r="BA353" i="90"/>
  <c r="BA373" i="90"/>
  <c r="BA393" i="90"/>
  <c r="BA413" i="90"/>
  <c r="BA493" i="90"/>
  <c r="BA433" i="90"/>
  <c r="BA513" i="90"/>
  <c r="BA453" i="90"/>
  <c r="BA533" i="90"/>
  <c r="BA473" i="90"/>
  <c r="BA553" i="90"/>
  <c r="U29" i="90"/>
  <c r="V29" i="90"/>
  <c r="W29" i="90"/>
  <c r="X29" i="90"/>
  <c r="AK29" i="90"/>
  <c r="AK81" i="90"/>
  <c r="AK133" i="90"/>
  <c r="AK185" i="90"/>
  <c r="AK237" i="90"/>
  <c r="AK289" i="90"/>
  <c r="AK341" i="90"/>
  <c r="AK393" i="90"/>
  <c r="AK445" i="90"/>
  <c r="AK497" i="90"/>
  <c r="AK549" i="90"/>
  <c r="AK601" i="90"/>
  <c r="AK653" i="90"/>
  <c r="AK705" i="90"/>
  <c r="AK757" i="90"/>
  <c r="AK809" i="90"/>
  <c r="AK861" i="90"/>
  <c r="AK913" i="90"/>
  <c r="AK965" i="90"/>
  <c r="AK1017" i="90"/>
  <c r="AK1069" i="90"/>
  <c r="AK1121" i="90"/>
  <c r="AK1173" i="90"/>
  <c r="AK1225" i="90"/>
  <c r="AK1277" i="90"/>
  <c r="AK1329" i="90"/>
  <c r="AK1381" i="90"/>
  <c r="AK1433" i="90"/>
  <c r="U30" i="90"/>
  <c r="W30" i="90"/>
  <c r="V30" i="90"/>
  <c r="X30" i="90"/>
  <c r="AK134" i="90"/>
  <c r="AK186" i="90"/>
  <c r="AK394" i="90"/>
  <c r="AK602" i="90"/>
  <c r="AK706" i="90"/>
  <c r="AK810" i="90"/>
  <c r="AK914" i="90"/>
  <c r="AK1018" i="90"/>
  <c r="AK1122" i="90"/>
  <c r="AK1226" i="90"/>
  <c r="AK1330" i="90"/>
  <c r="AK30" i="90"/>
  <c r="AK238" i="90"/>
  <c r="AK446" i="90"/>
  <c r="AK654" i="90"/>
  <c r="AK1278" i="90"/>
  <c r="AK1382" i="90"/>
  <c r="AK1434" i="90"/>
  <c r="AK82" i="90"/>
  <c r="AK290" i="90"/>
  <c r="AK498" i="90"/>
  <c r="AK758" i="90"/>
  <c r="AK862" i="90"/>
  <c r="AK966" i="90"/>
  <c r="AK1070" i="90"/>
  <c r="AK1174" i="90"/>
  <c r="AK550" i="90"/>
  <c r="AK342" i="90"/>
  <c r="K15" i="90"/>
  <c r="L15" i="90"/>
  <c r="M15" i="90"/>
  <c r="N15" i="90"/>
  <c r="AL38" i="95"/>
  <c r="AM38" i="95"/>
  <c r="AN38" i="95"/>
  <c r="AK38" i="95"/>
  <c r="AK44" i="95"/>
  <c r="AN44" i="95"/>
  <c r="AL44" i="95"/>
  <c r="AM44" i="95"/>
  <c r="AN39" i="95"/>
  <c r="AL39" i="95"/>
  <c r="AK39" i="95"/>
  <c r="AM39" i="95"/>
  <c r="AM37" i="95"/>
  <c r="AN37" i="95"/>
  <c r="AK37" i="95"/>
  <c r="AL37" i="95"/>
  <c r="AK52" i="95"/>
  <c r="AM52" i="95"/>
  <c r="AN52" i="95"/>
  <c r="AL52" i="95"/>
  <c r="BA16" i="90"/>
  <c r="BA36" i="90"/>
  <c r="BA56" i="90"/>
  <c r="BA76" i="90"/>
  <c r="BA96" i="90"/>
  <c r="BA116" i="90"/>
  <c r="BA136" i="90"/>
  <c r="BA156" i="90"/>
  <c r="BA176" i="90"/>
  <c r="BA196" i="90"/>
  <c r="BA216" i="90"/>
  <c r="BA236" i="90"/>
  <c r="BA256" i="90"/>
  <c r="BA276" i="90"/>
  <c r="BA296" i="90"/>
  <c r="BA316" i="90"/>
  <c r="BA336" i="90"/>
  <c r="BA356" i="90"/>
  <c r="BA376" i="90"/>
  <c r="BA396" i="90"/>
  <c r="BA416" i="90"/>
  <c r="BA436" i="90"/>
  <c r="BA456" i="90"/>
  <c r="BA476" i="90"/>
  <c r="BA496" i="90"/>
  <c r="BA516" i="90"/>
  <c r="BA536" i="90"/>
  <c r="BA556" i="90"/>
  <c r="AN63" i="95"/>
  <c r="AL63" i="95"/>
  <c r="AK63" i="95"/>
  <c r="AM63" i="95"/>
  <c r="AK60" i="95"/>
  <c r="AN60" i="95"/>
  <c r="AL60" i="95"/>
  <c r="AM60" i="95"/>
  <c r="AK64" i="95"/>
  <c r="AM64" i="95"/>
  <c r="AN64" i="95"/>
  <c r="AL64" i="95"/>
  <c r="AN75" i="95"/>
  <c r="AK75" i="95"/>
  <c r="AM75" i="95"/>
  <c r="AL75" i="95"/>
  <c r="AM73" i="95"/>
  <c r="AN73" i="95"/>
  <c r="AK73" i="95"/>
  <c r="AL73" i="95"/>
  <c r="U6" i="90"/>
  <c r="V6" i="90"/>
  <c r="W6" i="90"/>
  <c r="X6" i="90"/>
  <c r="AK6" i="90"/>
  <c r="AK214" i="90"/>
  <c r="AK58" i="90"/>
  <c r="AK266" i="90"/>
  <c r="AK474" i="90"/>
  <c r="AK682" i="90"/>
  <c r="AK786" i="90"/>
  <c r="AK890" i="90"/>
  <c r="AK994" i="90"/>
  <c r="AK1098" i="90"/>
  <c r="AK1202" i="90"/>
  <c r="AK110" i="90"/>
  <c r="AK318" i="90"/>
  <c r="AK526" i="90"/>
  <c r="AK1358" i="90"/>
  <c r="AK1410" i="90"/>
  <c r="AK162" i="90"/>
  <c r="AK370" i="90"/>
  <c r="AK578" i="90"/>
  <c r="AK734" i="90"/>
  <c r="AK838" i="90"/>
  <c r="AK942" i="90"/>
  <c r="AK1046" i="90"/>
  <c r="AK1150" i="90"/>
  <c r="AK1254" i="90"/>
  <c r="AK1306" i="90"/>
  <c r="AK422" i="90"/>
  <c r="AK630" i="90"/>
  <c r="BA11" i="90"/>
  <c r="BA31" i="90"/>
  <c r="BA51" i="90"/>
  <c r="BA71" i="90"/>
  <c r="BA91" i="90"/>
  <c r="BA111" i="90"/>
  <c r="BA131" i="90"/>
  <c r="BA151" i="90"/>
  <c r="BA171" i="90"/>
  <c r="BA191" i="90"/>
  <c r="BA211" i="90"/>
  <c r="BA231" i="90"/>
  <c r="BA251" i="90"/>
  <c r="BA271" i="90"/>
  <c r="BA291" i="90"/>
  <c r="BA311" i="90"/>
  <c r="BA331" i="90"/>
  <c r="BA351" i="90"/>
  <c r="BA371" i="90"/>
  <c r="BA391" i="90"/>
  <c r="BA411" i="90"/>
  <c r="BA431" i="90"/>
  <c r="BA451" i="90"/>
  <c r="BA471" i="90"/>
  <c r="BA491" i="90"/>
  <c r="BA511" i="90"/>
  <c r="BA531" i="90"/>
  <c r="BA551" i="90"/>
  <c r="CZ10" i="89"/>
  <c r="CZ12" i="89"/>
  <c r="CZ11" i="89"/>
  <c r="EB7" i="98"/>
  <c r="EC7" i="98" s="1"/>
  <c r="EB6" i="98"/>
  <c r="EC6" i="98" s="1"/>
  <c r="U24" i="90"/>
  <c r="W24" i="90"/>
  <c r="V24" i="90"/>
  <c r="X24" i="90"/>
  <c r="AK24" i="90"/>
  <c r="AK76" i="90"/>
  <c r="AK128" i="90"/>
  <c r="AK180" i="90"/>
  <c r="AK232" i="90"/>
  <c r="AK284" i="90"/>
  <c r="AK336" i="90"/>
  <c r="AK388" i="90"/>
  <c r="AK440" i="90"/>
  <c r="AK492" i="90"/>
  <c r="AK544" i="90"/>
  <c r="AK596" i="90"/>
  <c r="AK648" i="90"/>
  <c r="AK1324" i="90"/>
  <c r="AK700" i="90"/>
  <c r="AK804" i="90"/>
  <c r="AK908" i="90"/>
  <c r="AK1012" i="90"/>
  <c r="AK1116" i="90"/>
  <c r="AK1220" i="90"/>
  <c r="AK1272" i="90"/>
  <c r="AK960" i="90"/>
  <c r="AK1064" i="90"/>
  <c r="AK1376" i="90"/>
  <c r="AK856" i="90"/>
  <c r="AK752" i="90"/>
  <c r="AK1168" i="90"/>
  <c r="AK1428" i="90"/>
  <c r="U25" i="90"/>
  <c r="V25" i="90"/>
  <c r="W25" i="90"/>
  <c r="X25" i="90"/>
  <c r="AK25" i="90"/>
  <c r="AK77" i="90"/>
  <c r="AK129" i="90"/>
  <c r="AK181" i="90"/>
  <c r="AK233" i="90"/>
  <c r="AK285" i="90"/>
  <c r="AK337" i="90"/>
  <c r="AK389" i="90"/>
  <c r="AK441" i="90"/>
  <c r="AK493" i="90"/>
  <c r="AK545" i="90"/>
  <c r="AK597" i="90"/>
  <c r="AK649" i="90"/>
  <c r="AK701" i="90"/>
  <c r="AK753" i="90"/>
  <c r="AK805" i="90"/>
  <c r="AK857" i="90"/>
  <c r="AK909" i="90"/>
  <c r="AK961" i="90"/>
  <c r="AK1013" i="90"/>
  <c r="AK1065" i="90"/>
  <c r="AK1117" i="90"/>
  <c r="AK1169" i="90"/>
  <c r="AK1221" i="90"/>
  <c r="AK1273" i="90"/>
  <c r="AK1325" i="90"/>
  <c r="AK1377" i="90"/>
  <c r="AK1429" i="90"/>
  <c r="BN12" i="89"/>
  <c r="CH12" i="89" s="1"/>
  <c r="BN16" i="89"/>
  <c r="CH16" i="89" s="1"/>
  <c r="BN15" i="89"/>
  <c r="CH15" i="89" s="1"/>
  <c r="BN11" i="89"/>
  <c r="CH11" i="89" s="1"/>
  <c r="BN14" i="89"/>
  <c r="CH14" i="89" s="1"/>
  <c r="BN13" i="89"/>
  <c r="CH13" i="89" s="1"/>
  <c r="AN47" i="95"/>
  <c r="AL47" i="95"/>
  <c r="AK47" i="95"/>
  <c r="AM47" i="95"/>
  <c r="AL42" i="95"/>
  <c r="AM42" i="95"/>
  <c r="AN42" i="95"/>
  <c r="AK42" i="95"/>
  <c r="AN55" i="95"/>
  <c r="AL55" i="95"/>
  <c r="AK55" i="95"/>
  <c r="AM55" i="95"/>
  <c r="AN53" i="95"/>
  <c r="AK53" i="95"/>
  <c r="AL53" i="95"/>
  <c r="AM53" i="95"/>
  <c r="AN41" i="95"/>
  <c r="AK41" i="95"/>
  <c r="AM41" i="95"/>
  <c r="AL41" i="95"/>
  <c r="BN20" i="89"/>
  <c r="BN24" i="89"/>
  <c r="BN21" i="89"/>
  <c r="BN17" i="89"/>
  <c r="BN22" i="89"/>
  <c r="BN18" i="89"/>
  <c r="BN23" i="89"/>
  <c r="BN19" i="89"/>
  <c r="AM72" i="95"/>
  <c r="AK72" i="95"/>
  <c r="AL72" i="95"/>
  <c r="AN72" i="95"/>
  <c r="AN65" i="95"/>
  <c r="AK65" i="95"/>
  <c r="AM65" i="95"/>
  <c r="AL65" i="95"/>
  <c r="AM69" i="95"/>
  <c r="AN69" i="95"/>
  <c r="AK69" i="95"/>
  <c r="AL69" i="95"/>
  <c r="AK68" i="95"/>
  <c r="AM68" i="95"/>
  <c r="AN68" i="95"/>
  <c r="AL68" i="95"/>
  <c r="AL70" i="95"/>
  <c r="AM70" i="95"/>
  <c r="AN70" i="95"/>
  <c r="AK70" i="95"/>
  <c r="U9" i="90"/>
  <c r="W9" i="90"/>
  <c r="V9" i="90"/>
  <c r="X9" i="90"/>
  <c r="AK9" i="90"/>
  <c r="AK61" i="90"/>
  <c r="AK113" i="90"/>
  <c r="AK165" i="90"/>
  <c r="AK217" i="90"/>
  <c r="AK269" i="90"/>
  <c r="AK321" i="90"/>
  <c r="AK373" i="90"/>
  <c r="AK425" i="90"/>
  <c r="AK477" i="90"/>
  <c r="AK529" i="90"/>
  <c r="AK581" i="90"/>
  <c r="AK633" i="90"/>
  <c r="AK685" i="90"/>
  <c r="AK737" i="90"/>
  <c r="AK789" i="90"/>
  <c r="AK841" i="90"/>
  <c r="AK893" i="90"/>
  <c r="AK945" i="90"/>
  <c r="AK997" i="90"/>
  <c r="AK1049" i="90"/>
  <c r="AK1101" i="90"/>
  <c r="AK1153" i="90"/>
  <c r="AK1205" i="90"/>
  <c r="AK1257" i="90"/>
  <c r="AK1309" i="90"/>
  <c r="AK1361" i="90"/>
  <c r="AK1413" i="90"/>
  <c r="BA12" i="90"/>
  <c r="BA32" i="90"/>
  <c r="BA52" i="90"/>
  <c r="BA72" i="90"/>
  <c r="BA92" i="90"/>
  <c r="BA112" i="90"/>
  <c r="BA132" i="90"/>
  <c r="BA152" i="90"/>
  <c r="BA172" i="90"/>
  <c r="BA192" i="90"/>
  <c r="BA212" i="90"/>
  <c r="BA232" i="90"/>
  <c r="BA252" i="90"/>
  <c r="BA272" i="90"/>
  <c r="BA292" i="90"/>
  <c r="BA312" i="90"/>
  <c r="BA332" i="90"/>
  <c r="BA352" i="90"/>
  <c r="BA372" i="90"/>
  <c r="BA392" i="90"/>
  <c r="BA412" i="90"/>
  <c r="BA432" i="90"/>
  <c r="BA452" i="90"/>
  <c r="BA472" i="90"/>
  <c r="BA492" i="90"/>
  <c r="BA512" i="90"/>
  <c r="BA532" i="90"/>
  <c r="BA552" i="90"/>
  <c r="Z16" i="98"/>
  <c r="BO8" i="98" s="1"/>
  <c r="Y16" i="98"/>
  <c r="BN10" i="98" s="1"/>
  <c r="AB16" i="98"/>
  <c r="BQ10" i="98" s="1"/>
  <c r="AA16" i="98"/>
  <c r="BP13" i="98" s="1"/>
  <c r="CP7" i="98"/>
  <c r="CX9" i="98" s="1"/>
  <c r="CQ7" i="98"/>
  <c r="CY7" i="98" s="1"/>
  <c r="AK16" i="98"/>
  <c r="BU11" i="98" s="1"/>
  <c r="AI16" i="98"/>
  <c r="BT8" i="98" s="1"/>
  <c r="BX8" i="98" s="1"/>
  <c r="CR7" i="98"/>
  <c r="CZ7" i="98" s="1"/>
  <c r="AL16" i="98"/>
  <c r="BV10" i="98" s="1"/>
  <c r="BZ10" i="98" s="1"/>
  <c r="AJ16" i="98"/>
  <c r="BS9" i="98"/>
  <c r="BW9" i="98" s="1"/>
  <c r="BM37" i="100"/>
  <c r="CX37" i="100"/>
  <c r="BQ37" i="100"/>
  <c r="BN37" i="100"/>
  <c r="CD37" i="100"/>
  <c r="BS37" i="100"/>
  <c r="CV37" i="100"/>
  <c r="BT37" i="100"/>
  <c r="CW37" i="100"/>
  <c r="CN37" i="100"/>
  <c r="CL37" i="100"/>
  <c r="CO37" i="100"/>
  <c r="CG37" i="100"/>
  <c r="BU37" i="100"/>
  <c r="BR37" i="100"/>
  <c r="CU37" i="100"/>
  <c r="BW37" i="100"/>
  <c r="CZ37" i="100"/>
  <c r="BX37" i="100"/>
  <c r="DA37" i="100"/>
  <c r="CQ37" i="100"/>
  <c r="CI37" i="100"/>
  <c r="CH37" i="100"/>
  <c r="BV37" i="100"/>
  <c r="CY37" i="100"/>
  <c r="CA37" i="100"/>
  <c r="BL37" i="100"/>
  <c r="CB37" i="100"/>
  <c r="CR37" i="100"/>
  <c r="CJ37" i="100"/>
  <c r="CS37" i="100"/>
  <c r="CK37" i="100"/>
  <c r="CT37" i="100"/>
  <c r="CC37" i="100"/>
  <c r="BZ37" i="100"/>
  <c r="BO37" i="100"/>
  <c r="CE37" i="100"/>
  <c r="BP37" i="100"/>
  <c r="CF37" i="100"/>
  <c r="BY37" i="100"/>
  <c r="CM37" i="100"/>
  <c r="CP37" i="100"/>
  <c r="BH16" i="93"/>
  <c r="BL16" i="93"/>
  <c r="BP16" i="93"/>
  <c r="BT16" i="93"/>
  <c r="BX16" i="93"/>
  <c r="CB16" i="93"/>
  <c r="CF16" i="93"/>
  <c r="CJ16" i="93"/>
  <c r="CN16" i="93"/>
  <c r="CR16" i="93"/>
  <c r="BG16" i="93"/>
  <c r="BS16" i="93"/>
  <c r="CE16" i="93"/>
  <c r="CQ16" i="93"/>
  <c r="BI16" i="93"/>
  <c r="BM16" i="93"/>
  <c r="BQ16" i="93"/>
  <c r="BU16" i="93"/>
  <c r="BY16" i="93"/>
  <c r="CC16" i="93"/>
  <c r="CG16" i="93"/>
  <c r="CK16" i="93"/>
  <c r="CO16" i="93"/>
  <c r="CS16" i="93"/>
  <c r="BO16" i="93"/>
  <c r="CA16" i="93"/>
  <c r="CM16" i="93"/>
  <c r="BF16" i="93"/>
  <c r="BJ16" i="93"/>
  <c r="BN16" i="93"/>
  <c r="BR16" i="93"/>
  <c r="BV16" i="93"/>
  <c r="BZ16" i="93"/>
  <c r="CD16" i="93"/>
  <c r="CH16" i="93"/>
  <c r="CL16" i="93"/>
  <c r="CP16" i="93"/>
  <c r="CT16" i="93"/>
  <c r="BK16" i="93"/>
  <c r="BW16" i="93"/>
  <c r="CI16" i="93"/>
  <c r="CU16" i="93"/>
  <c r="BO32" i="100"/>
  <c r="BZ32" i="100"/>
  <c r="BV32" i="100"/>
  <c r="CX32" i="100"/>
  <c r="BU32" i="100"/>
  <c r="CB32" i="100"/>
  <c r="BL32" i="100"/>
  <c r="CV32" i="100"/>
  <c r="BS32" i="100"/>
  <c r="CM32" i="100"/>
  <c r="CP32" i="100"/>
  <c r="CT32" i="100"/>
  <c r="BQ32" i="100"/>
  <c r="DA32" i="100"/>
  <c r="BX32" i="100"/>
  <c r="CE32" i="100"/>
  <c r="CR32" i="100"/>
  <c r="CJ32" i="100"/>
  <c r="CL32" i="100"/>
  <c r="CS32" i="100"/>
  <c r="CK32" i="100"/>
  <c r="CU32" i="100"/>
  <c r="CD32" i="100"/>
  <c r="CC32" i="100"/>
  <c r="BM32" i="100"/>
  <c r="CW32" i="100"/>
  <c r="BT32" i="100"/>
  <c r="CA32" i="100"/>
  <c r="CQ32" i="100"/>
  <c r="CI32" i="100"/>
  <c r="CH32" i="100"/>
  <c r="BR32" i="100"/>
  <c r="BN32" i="100"/>
  <c r="CY32" i="100"/>
  <c r="BY32" i="100"/>
  <c r="CF32" i="100"/>
  <c r="BP32" i="100"/>
  <c r="CZ32" i="100"/>
  <c r="BW32" i="100"/>
  <c r="CN32" i="100"/>
  <c r="CO32" i="100"/>
  <c r="CG32" i="100"/>
  <c r="BF61" i="93"/>
  <c r="BJ61" i="93"/>
  <c r="BN61" i="93"/>
  <c r="BR61" i="93"/>
  <c r="BV61" i="93"/>
  <c r="BZ61" i="93"/>
  <c r="CD61" i="93"/>
  <c r="CH61" i="93"/>
  <c r="CL61" i="93"/>
  <c r="CP61" i="93"/>
  <c r="CT61" i="93"/>
  <c r="BQ61" i="93"/>
  <c r="CC61" i="93"/>
  <c r="CO61" i="93"/>
  <c r="BG61" i="93"/>
  <c r="BK61" i="93"/>
  <c r="BO61" i="93"/>
  <c r="BS61" i="93"/>
  <c r="BW61" i="93"/>
  <c r="CA61" i="93"/>
  <c r="CE61" i="93"/>
  <c r="CI61" i="93"/>
  <c r="CM61" i="93"/>
  <c r="CQ61" i="93"/>
  <c r="CU61" i="93"/>
  <c r="BI61" i="93"/>
  <c r="BU61" i="93"/>
  <c r="CG61" i="93"/>
  <c r="CS61" i="93"/>
  <c r="BH61" i="93"/>
  <c r="BL61" i="93"/>
  <c r="BP61" i="93"/>
  <c r="BT61" i="93"/>
  <c r="BX61" i="93"/>
  <c r="CB61" i="93"/>
  <c r="CF61" i="93"/>
  <c r="CJ61" i="93"/>
  <c r="CN61" i="93"/>
  <c r="CR61" i="93"/>
  <c r="BM61" i="93"/>
  <c r="BY61" i="93"/>
  <c r="CK61" i="93"/>
  <c r="BM17" i="100"/>
  <c r="CM17" i="100"/>
  <c r="BN17" i="100"/>
  <c r="CH17" i="100"/>
  <c r="CX17" i="100"/>
  <c r="CI17" i="100"/>
  <c r="BP17" i="100"/>
  <c r="CO17" i="100"/>
  <c r="BQ17" i="100"/>
  <c r="CQ17" i="100"/>
  <c r="CR17" i="100"/>
  <c r="BU17" i="100"/>
  <c r="BR17" i="100"/>
  <c r="CL17" i="100"/>
  <c r="BO17" i="100"/>
  <c r="CN17" i="100"/>
  <c r="BY17" i="100"/>
  <c r="CU17" i="100"/>
  <c r="CA17" i="100"/>
  <c r="CV17" i="100"/>
  <c r="CB17" i="100"/>
  <c r="BT17" i="100"/>
  <c r="BZ17" i="100"/>
  <c r="CP17" i="100"/>
  <c r="BX17" i="100"/>
  <c r="CS17" i="100"/>
  <c r="CE17" i="100"/>
  <c r="CZ17" i="100"/>
  <c r="CF17" i="100"/>
  <c r="DA17" i="100"/>
  <c r="CW17" i="100"/>
  <c r="BW17" i="100"/>
  <c r="BV17" i="100"/>
  <c r="CD17" i="100"/>
  <c r="CT17" i="100"/>
  <c r="CC17" i="100"/>
  <c r="CY17" i="100"/>
  <c r="CJ17" i="100"/>
  <c r="BL17" i="100"/>
  <c r="CK17" i="100"/>
  <c r="BS17" i="100"/>
  <c r="CG17" i="100"/>
  <c r="BF53" i="93"/>
  <c r="BJ53" i="93"/>
  <c r="BN53" i="93"/>
  <c r="BR53" i="93"/>
  <c r="BV53" i="93"/>
  <c r="BZ53" i="93"/>
  <c r="CD53" i="93"/>
  <c r="CH53" i="93"/>
  <c r="CL53" i="93"/>
  <c r="CP53" i="93"/>
  <c r="CT53" i="93"/>
  <c r="BI53" i="93"/>
  <c r="BU53" i="93"/>
  <c r="CG53" i="93"/>
  <c r="CO53" i="93"/>
  <c r="BG53" i="93"/>
  <c r="BK53" i="93"/>
  <c r="BO53" i="93"/>
  <c r="BS53" i="93"/>
  <c r="BW53" i="93"/>
  <c r="CA53" i="93"/>
  <c r="CE53" i="93"/>
  <c r="CI53" i="93"/>
  <c r="CM53" i="93"/>
  <c r="CQ53" i="93"/>
  <c r="CU53" i="93"/>
  <c r="BQ53" i="93"/>
  <c r="CC53" i="93"/>
  <c r="CS53" i="93"/>
  <c r="BH53" i="93"/>
  <c r="BL53" i="93"/>
  <c r="BP53" i="93"/>
  <c r="BT53" i="93"/>
  <c r="BX53" i="93"/>
  <c r="CB53" i="93"/>
  <c r="CF53" i="93"/>
  <c r="CJ53" i="93"/>
  <c r="CN53" i="93"/>
  <c r="CR53" i="93"/>
  <c r="BM53" i="93"/>
  <c r="BY53" i="93"/>
  <c r="CK53" i="93"/>
  <c r="BM44" i="100"/>
  <c r="BP44" i="100"/>
  <c r="BS44" i="100"/>
  <c r="BR44" i="100"/>
  <c r="BQ44" i="100"/>
  <c r="CG44" i="100"/>
  <c r="CJ44" i="100"/>
  <c r="CB44" i="100"/>
  <c r="BT44" i="100"/>
  <c r="CT44" i="100"/>
  <c r="CH44" i="100"/>
  <c r="BV44" i="100"/>
  <c r="BO44" i="100"/>
  <c r="BN44" i="100"/>
  <c r="CK44" i="100"/>
  <c r="BU44" i="100"/>
  <c r="CA44" i="100"/>
  <c r="BW44" i="100"/>
  <c r="CD44" i="100"/>
  <c r="CP44" i="100"/>
  <c r="CS44" i="100"/>
  <c r="CR44" i="100"/>
  <c r="CQ44" i="100"/>
  <c r="CW44" i="100"/>
  <c r="BY44" i="100"/>
  <c r="CZ44" i="100"/>
  <c r="CF44" i="100"/>
  <c r="BX44" i="100"/>
  <c r="CE44" i="100"/>
  <c r="CU44" i="100"/>
  <c r="CI44" i="100"/>
  <c r="CX44" i="100"/>
  <c r="BZ44" i="100"/>
  <c r="BL44" i="100"/>
  <c r="CL44" i="100"/>
  <c r="CO44" i="100"/>
  <c r="CN44" i="100"/>
  <c r="CM44" i="100"/>
  <c r="DA44" i="100"/>
  <c r="CC44" i="100"/>
  <c r="CV44" i="100"/>
  <c r="CY44" i="100"/>
  <c r="BH58" i="93"/>
  <c r="BL58" i="93"/>
  <c r="BP58" i="93"/>
  <c r="BT58" i="93"/>
  <c r="BX58" i="93"/>
  <c r="CB58" i="93"/>
  <c r="CF58" i="93"/>
  <c r="CJ58" i="93"/>
  <c r="CN58" i="93"/>
  <c r="CR58" i="93"/>
  <c r="BO58" i="93"/>
  <c r="CA58" i="93"/>
  <c r="CM58" i="93"/>
  <c r="BI58" i="93"/>
  <c r="BM58" i="93"/>
  <c r="BQ58" i="93"/>
  <c r="BU58" i="93"/>
  <c r="BY58" i="93"/>
  <c r="CC58" i="93"/>
  <c r="CG58" i="93"/>
  <c r="CK58" i="93"/>
  <c r="CO58" i="93"/>
  <c r="CS58" i="93"/>
  <c r="BK58" i="93"/>
  <c r="BS58" i="93"/>
  <c r="CE58" i="93"/>
  <c r="CQ58" i="93"/>
  <c r="BF58" i="93"/>
  <c r="BJ58" i="93"/>
  <c r="BN58" i="93"/>
  <c r="BR58" i="93"/>
  <c r="BV58" i="93"/>
  <c r="BZ58" i="93"/>
  <c r="CD58" i="93"/>
  <c r="CH58" i="93"/>
  <c r="CL58" i="93"/>
  <c r="CP58" i="93"/>
  <c r="CT58" i="93"/>
  <c r="BG58" i="93"/>
  <c r="BW58" i="93"/>
  <c r="CI58" i="93"/>
  <c r="CU58" i="93"/>
  <c r="CA11" i="100"/>
  <c r="BR11" i="100"/>
  <c r="CH11" i="100"/>
  <c r="CX11" i="100"/>
  <c r="CB11" i="100"/>
  <c r="CW11" i="100"/>
  <c r="CC11" i="100"/>
  <c r="CY11" i="100"/>
  <c r="CE11" i="100"/>
  <c r="CZ11" i="100"/>
  <c r="BU11" i="100"/>
  <c r="CK11" i="100"/>
  <c r="BV11" i="100"/>
  <c r="CL11" i="100"/>
  <c r="BL11" i="100"/>
  <c r="CG11" i="100"/>
  <c r="BM11" i="100"/>
  <c r="CI11" i="100"/>
  <c r="BO11" i="100"/>
  <c r="CJ11" i="100"/>
  <c r="BP11" i="100"/>
  <c r="DA11" i="100"/>
  <c r="BZ11" i="100"/>
  <c r="CP11" i="100"/>
  <c r="BQ11" i="100"/>
  <c r="CM11" i="100"/>
  <c r="BS11" i="100"/>
  <c r="CN11" i="100"/>
  <c r="BT11" i="100"/>
  <c r="CO11" i="100"/>
  <c r="CF11" i="100"/>
  <c r="CV11" i="100"/>
  <c r="BN11" i="100"/>
  <c r="CD11" i="100"/>
  <c r="CT11" i="100"/>
  <c r="BW11" i="100"/>
  <c r="CR11" i="100"/>
  <c r="BX11" i="100"/>
  <c r="CS11" i="100"/>
  <c r="BY11" i="100"/>
  <c r="CU11" i="100"/>
  <c r="CQ11" i="100"/>
  <c r="BH18" i="93"/>
  <c r="BL18" i="93"/>
  <c r="BP18" i="93"/>
  <c r="BT18" i="93"/>
  <c r="BX18" i="93"/>
  <c r="CB18" i="93"/>
  <c r="CF18" i="93"/>
  <c r="CJ18" i="93"/>
  <c r="CN18" i="93"/>
  <c r="CR18" i="93"/>
  <c r="BK18" i="93"/>
  <c r="BW18" i="93"/>
  <c r="CI18" i="93"/>
  <c r="CU18" i="93"/>
  <c r="BI18" i="93"/>
  <c r="BM18" i="93"/>
  <c r="BQ18" i="93"/>
  <c r="BU18" i="93"/>
  <c r="BY18" i="93"/>
  <c r="CC18" i="93"/>
  <c r="CG18" i="93"/>
  <c r="CK18" i="93"/>
  <c r="CO18" i="93"/>
  <c r="CS18" i="93"/>
  <c r="BG18" i="93"/>
  <c r="BS18" i="93"/>
  <c r="CE18" i="93"/>
  <c r="CQ18" i="93"/>
  <c r="BF18" i="93"/>
  <c r="BJ18" i="93"/>
  <c r="BN18" i="93"/>
  <c r="BR18" i="93"/>
  <c r="BV18" i="93"/>
  <c r="BZ18" i="93"/>
  <c r="CD18" i="93"/>
  <c r="CH18" i="93"/>
  <c r="CL18" i="93"/>
  <c r="CP18" i="93"/>
  <c r="CT18" i="93"/>
  <c r="BO18" i="93"/>
  <c r="CA18" i="93"/>
  <c r="CM18" i="93"/>
  <c r="BN7" i="100"/>
  <c r="CO7" i="100"/>
  <c r="CW7" i="100"/>
  <c r="CS7" i="100"/>
  <c r="BU7" i="100"/>
  <c r="CZ7" i="100"/>
  <c r="CJ7" i="100"/>
  <c r="BT7" i="100"/>
  <c r="CY7" i="100"/>
  <c r="CI7" i="100"/>
  <c r="BS7" i="100"/>
  <c r="CT7" i="100"/>
  <c r="CD7" i="100"/>
  <c r="CG7" i="100"/>
  <c r="CC7" i="100"/>
  <c r="CV7" i="100"/>
  <c r="CF7" i="100"/>
  <c r="BP7" i="100"/>
  <c r="CU7" i="100"/>
  <c r="CE7" i="100"/>
  <c r="BO7" i="100"/>
  <c r="CP7" i="100"/>
  <c r="BZ7" i="100"/>
  <c r="BY7" i="100"/>
  <c r="BQ7" i="100"/>
  <c r="BM7" i="100"/>
  <c r="DA7" i="100"/>
  <c r="CR7" i="100"/>
  <c r="CB7" i="100"/>
  <c r="CQ7" i="100"/>
  <c r="CA7" i="100"/>
  <c r="BL7" i="100"/>
  <c r="CL7" i="100"/>
  <c r="BV7" i="100"/>
  <c r="CK7" i="100"/>
  <c r="CN7" i="100"/>
  <c r="BX7" i="100"/>
  <c r="CM7" i="100"/>
  <c r="BW7" i="100"/>
  <c r="CX7" i="100"/>
  <c r="CH7" i="100"/>
  <c r="BR7" i="100"/>
  <c r="BH28" i="93"/>
  <c r="BL28" i="93"/>
  <c r="BP28" i="93"/>
  <c r="BT28" i="93"/>
  <c r="BX28" i="93"/>
  <c r="CB28" i="93"/>
  <c r="CF28" i="93"/>
  <c r="CJ28" i="93"/>
  <c r="CN28" i="93"/>
  <c r="CR28" i="93"/>
  <c r="BG28" i="93"/>
  <c r="BS28" i="93"/>
  <c r="CE28" i="93"/>
  <c r="CQ28" i="93"/>
  <c r="BI28" i="93"/>
  <c r="BM28" i="93"/>
  <c r="BQ28" i="93"/>
  <c r="BU28" i="93"/>
  <c r="BY28" i="93"/>
  <c r="CC28" i="93"/>
  <c r="CG28" i="93"/>
  <c r="CK28" i="93"/>
  <c r="CO28" i="93"/>
  <c r="CS28" i="93"/>
  <c r="BK28" i="93"/>
  <c r="BW28" i="93"/>
  <c r="CI28" i="93"/>
  <c r="CU28" i="93"/>
  <c r="BF28" i="93"/>
  <c r="BJ28" i="93"/>
  <c r="BN28" i="93"/>
  <c r="BR28" i="93"/>
  <c r="BV28" i="93"/>
  <c r="BZ28" i="93"/>
  <c r="CD28" i="93"/>
  <c r="CH28" i="93"/>
  <c r="CL28" i="93"/>
  <c r="CP28" i="93"/>
  <c r="CT28" i="93"/>
  <c r="BO28" i="93"/>
  <c r="CA28" i="93"/>
  <c r="CM28" i="93"/>
  <c r="BP46" i="100"/>
  <c r="BM46" i="100"/>
  <c r="BN46" i="100"/>
  <c r="BO46" i="100"/>
  <c r="DA46" i="100"/>
  <c r="CC46" i="100"/>
  <c r="CV46" i="100"/>
  <c r="CY46" i="100"/>
  <c r="CX46" i="100"/>
  <c r="BZ46" i="100"/>
  <c r="BQ46" i="100"/>
  <c r="BR46" i="100"/>
  <c r="BS46" i="100"/>
  <c r="CG46" i="100"/>
  <c r="CJ46" i="100"/>
  <c r="CB46" i="100"/>
  <c r="BT46" i="100"/>
  <c r="CT46" i="100"/>
  <c r="BV46" i="100"/>
  <c r="CL46" i="100"/>
  <c r="CM46" i="100"/>
  <c r="CN46" i="100"/>
  <c r="CO46" i="100"/>
  <c r="BL46" i="100"/>
  <c r="CK46" i="100"/>
  <c r="BU46" i="100"/>
  <c r="CA46" i="100"/>
  <c r="BW46" i="100"/>
  <c r="CH46" i="100"/>
  <c r="CP46" i="100"/>
  <c r="CQ46" i="100"/>
  <c r="CR46" i="100"/>
  <c r="CS46" i="100"/>
  <c r="CW46" i="100"/>
  <c r="BY46" i="100"/>
  <c r="CZ46" i="100"/>
  <c r="CF46" i="100"/>
  <c r="BX46" i="100"/>
  <c r="CE46" i="100"/>
  <c r="CU46" i="100"/>
  <c r="CI46" i="100"/>
  <c r="CD46" i="100"/>
  <c r="CQ6" i="98"/>
  <c r="CY6" i="98" s="1"/>
  <c r="CQ8" i="98"/>
  <c r="CQ61" i="98"/>
  <c r="CY72" i="98" s="1"/>
  <c r="CQ28" i="98"/>
  <c r="CY37" i="98" s="1"/>
  <c r="CQ12" i="98"/>
  <c r="CY17" i="98" s="1"/>
  <c r="CQ15" i="98"/>
  <c r="CY22" i="98" s="1"/>
  <c r="CQ25" i="98"/>
  <c r="CY33" i="98" s="1"/>
  <c r="CQ56" i="98"/>
  <c r="CY67" i="98" s="1"/>
  <c r="CQ50" i="98"/>
  <c r="CY61" i="98" s="1"/>
  <c r="CQ38" i="98"/>
  <c r="CY48" i="98" s="1"/>
  <c r="CQ31" i="98"/>
  <c r="CY40" i="98" s="1"/>
  <c r="CQ62" i="98"/>
  <c r="CY73" i="98" s="1"/>
  <c r="CQ22" i="98"/>
  <c r="CQ26" i="98"/>
  <c r="CY34" i="98" s="1"/>
  <c r="CQ13" i="98"/>
  <c r="CY18" i="98" s="1"/>
  <c r="CQ14" i="98"/>
  <c r="CQ18" i="98"/>
  <c r="CY25" i="98" s="1"/>
  <c r="CQ11" i="98"/>
  <c r="CQ39" i="98"/>
  <c r="CY49" i="98" s="1"/>
  <c r="CQ24" i="98"/>
  <c r="CY32" i="98" s="1"/>
  <c r="CQ9" i="98"/>
  <c r="CQ42" i="98"/>
  <c r="CY52" i="98" s="1"/>
  <c r="CQ43" i="98"/>
  <c r="CY53" i="98" s="1"/>
  <c r="CQ59" i="98"/>
  <c r="CY70" i="98" s="1"/>
  <c r="CQ16" i="98"/>
  <c r="CQ20" i="98"/>
  <c r="CY27" i="98" s="1"/>
  <c r="CQ52" i="98"/>
  <c r="CY63" i="98" s="1"/>
  <c r="CQ57" i="98"/>
  <c r="CY68" i="98" s="1"/>
  <c r="CQ23" i="98"/>
  <c r="CY31" i="98" s="1"/>
  <c r="CQ40" i="98"/>
  <c r="CY50" i="98" s="1"/>
  <c r="CQ53" i="98"/>
  <c r="CY64" i="98" s="1"/>
  <c r="CQ21" i="98"/>
  <c r="CQ64" i="98"/>
  <c r="CY75" i="98" s="1"/>
  <c r="CQ32" i="98"/>
  <c r="CY41" i="98" s="1"/>
  <c r="CQ55" i="98"/>
  <c r="CY66" i="98" s="1"/>
  <c r="CQ46" i="98"/>
  <c r="CY56" i="98" s="1"/>
  <c r="CQ35" i="98"/>
  <c r="CY45" i="98" s="1"/>
  <c r="CQ10" i="98"/>
  <c r="CY14" i="98" s="1"/>
  <c r="CQ63" i="98"/>
  <c r="CY74" i="98" s="1"/>
  <c r="CQ17" i="98"/>
  <c r="CY24" i="98" s="1"/>
  <c r="CQ51" i="98"/>
  <c r="CY62" i="98" s="1"/>
  <c r="CQ19" i="98"/>
  <c r="CY26" i="98" s="1"/>
  <c r="CQ29" i="98"/>
  <c r="CY38" i="98" s="1"/>
  <c r="CQ27" i="98"/>
  <c r="CQ33" i="98"/>
  <c r="CQ58" i="98"/>
  <c r="CY69" i="98" s="1"/>
  <c r="CQ60" i="98"/>
  <c r="CY71" i="98" s="1"/>
  <c r="CQ44" i="98"/>
  <c r="CY54" i="98" s="1"/>
  <c r="CQ36" i="98"/>
  <c r="CY46" i="98" s="1"/>
  <c r="CQ37" i="98"/>
  <c r="CQ30" i="98"/>
  <c r="CY39" i="98" s="1"/>
  <c r="CQ41" i="98"/>
  <c r="CQ48" i="98"/>
  <c r="CY58" i="98" s="1"/>
  <c r="CQ47" i="98"/>
  <c r="CY57" i="98" s="1"/>
  <c r="CQ45" i="98"/>
  <c r="CQ65" i="98"/>
  <c r="CY76" i="98" s="1"/>
  <c r="CQ34" i="98"/>
  <c r="CY44" i="98" s="1"/>
  <c r="CQ54" i="98"/>
  <c r="CY65" i="98" s="1"/>
  <c r="CQ49" i="98"/>
  <c r="BH8" i="93"/>
  <c r="BL8" i="93"/>
  <c r="BP8" i="93"/>
  <c r="BT8" i="93"/>
  <c r="BX8" i="93"/>
  <c r="CB8" i="93"/>
  <c r="CF8" i="93"/>
  <c r="CJ8" i="93"/>
  <c r="CN8" i="93"/>
  <c r="CR8" i="93"/>
  <c r="BG8" i="93"/>
  <c r="BS8" i="93"/>
  <c r="CE8" i="93"/>
  <c r="CQ8" i="93"/>
  <c r="BI8" i="93"/>
  <c r="BM8" i="93"/>
  <c r="BQ8" i="93"/>
  <c r="BU8" i="93"/>
  <c r="BY8" i="93"/>
  <c r="CC8" i="93"/>
  <c r="CG8" i="93"/>
  <c r="CK8" i="93"/>
  <c r="CO8" i="93"/>
  <c r="CS8" i="93"/>
  <c r="BO8" i="93"/>
  <c r="CA8" i="93"/>
  <c r="CM8" i="93"/>
  <c r="BF8" i="93"/>
  <c r="BJ8" i="93"/>
  <c r="BN8" i="93"/>
  <c r="BR8" i="93"/>
  <c r="BV8" i="93"/>
  <c r="BZ8" i="93"/>
  <c r="CD8" i="93"/>
  <c r="CH8" i="93"/>
  <c r="CL8" i="93"/>
  <c r="CP8" i="93"/>
  <c r="CT8" i="93"/>
  <c r="BK8" i="93"/>
  <c r="BW8" i="93"/>
  <c r="CI8" i="93"/>
  <c r="CU8" i="93"/>
  <c r="BT13" i="100"/>
  <c r="BN13" i="100"/>
  <c r="CH13" i="100"/>
  <c r="CX13" i="100"/>
  <c r="CF13" i="100"/>
  <c r="DA13" i="100"/>
  <c r="CG13" i="100"/>
  <c r="BS13" i="100"/>
  <c r="CN13" i="100"/>
  <c r="CU13" i="100"/>
  <c r="BV13" i="100"/>
  <c r="CL13" i="100"/>
  <c r="BL13" i="100"/>
  <c r="CK13" i="100"/>
  <c r="BM13" i="100"/>
  <c r="CM13" i="100"/>
  <c r="BX13" i="100"/>
  <c r="CS13" i="100"/>
  <c r="CE13" i="100"/>
  <c r="BR13" i="100"/>
  <c r="BQ13" i="100"/>
  <c r="BZ13" i="100"/>
  <c r="CP13" i="100"/>
  <c r="BU13" i="100"/>
  <c r="CQ13" i="100"/>
  <c r="BW13" i="100"/>
  <c r="CR13" i="100"/>
  <c r="CC13" i="100"/>
  <c r="CY13" i="100"/>
  <c r="CZ13" i="100"/>
  <c r="CO13" i="100"/>
  <c r="CD13" i="100"/>
  <c r="CT13" i="100"/>
  <c r="CA13" i="100"/>
  <c r="CV13" i="100"/>
  <c r="CB13" i="100"/>
  <c r="CW13" i="100"/>
  <c r="CI13" i="100"/>
  <c r="BY13" i="100"/>
  <c r="CJ13" i="100"/>
  <c r="BP13" i="100"/>
  <c r="BO13" i="100"/>
  <c r="BF31" i="93"/>
  <c r="BJ31" i="93"/>
  <c r="BN31" i="93"/>
  <c r="BR31" i="93"/>
  <c r="BV31" i="93"/>
  <c r="BZ31" i="93"/>
  <c r="CD31" i="93"/>
  <c r="CH31" i="93"/>
  <c r="CL31" i="93"/>
  <c r="CP31" i="93"/>
  <c r="CT31" i="93"/>
  <c r="BQ31" i="93"/>
  <c r="CC31" i="93"/>
  <c r="CO31" i="93"/>
  <c r="BG31" i="93"/>
  <c r="BK31" i="93"/>
  <c r="BO31" i="93"/>
  <c r="BS31" i="93"/>
  <c r="BW31" i="93"/>
  <c r="CA31" i="93"/>
  <c r="CE31" i="93"/>
  <c r="CI31" i="93"/>
  <c r="CM31" i="93"/>
  <c r="CQ31" i="93"/>
  <c r="CU31" i="93"/>
  <c r="BI31" i="93"/>
  <c r="BU31" i="93"/>
  <c r="CG31" i="93"/>
  <c r="BH31" i="93"/>
  <c r="BL31" i="93"/>
  <c r="BP31" i="93"/>
  <c r="BT31" i="93"/>
  <c r="BX31" i="93"/>
  <c r="CB31" i="93"/>
  <c r="CF31" i="93"/>
  <c r="CJ31" i="93"/>
  <c r="CN31" i="93"/>
  <c r="CR31" i="93"/>
  <c r="BM31" i="93"/>
  <c r="BY31" i="93"/>
  <c r="CK31" i="93"/>
  <c r="CS31" i="93"/>
  <c r="BY14" i="100"/>
  <c r="BL14" i="100"/>
  <c r="CF14" i="100"/>
  <c r="CV14" i="100"/>
  <c r="CE14" i="100"/>
  <c r="DA14" i="100"/>
  <c r="CG14" i="100"/>
  <c r="BN14" i="100"/>
  <c r="CM14" i="100"/>
  <c r="CY14" i="100"/>
  <c r="BQ14" i="100"/>
  <c r="BT14" i="100"/>
  <c r="CJ14" i="100"/>
  <c r="CZ14" i="100"/>
  <c r="CK14" i="100"/>
  <c r="BM14" i="100"/>
  <c r="CL14" i="100"/>
  <c r="BW14" i="100"/>
  <c r="CS14" i="100"/>
  <c r="CI14" i="100"/>
  <c r="BO14" i="100"/>
  <c r="BX14" i="100"/>
  <c r="CN14" i="100"/>
  <c r="BU14" i="100"/>
  <c r="CP14" i="100"/>
  <c r="BV14" i="100"/>
  <c r="CQ14" i="100"/>
  <c r="CC14" i="100"/>
  <c r="CX14" i="100"/>
  <c r="BS14" i="100"/>
  <c r="BR14" i="100"/>
  <c r="BP14" i="100"/>
  <c r="CT14" i="100"/>
  <c r="CB14" i="100"/>
  <c r="CR14" i="100"/>
  <c r="BZ14" i="100"/>
  <c r="CU14" i="100"/>
  <c r="CA14" i="100"/>
  <c r="CW14" i="100"/>
  <c r="CH14" i="100"/>
  <c r="CD14" i="100"/>
  <c r="CO14" i="100"/>
  <c r="BF47" i="93"/>
  <c r="BJ47" i="93"/>
  <c r="BN47" i="93"/>
  <c r="BR47" i="93"/>
  <c r="BV47" i="93"/>
  <c r="BZ47" i="93"/>
  <c r="CD47" i="93"/>
  <c r="CH47" i="93"/>
  <c r="CL47" i="93"/>
  <c r="CP47" i="93"/>
  <c r="CT47" i="93"/>
  <c r="BQ47" i="93"/>
  <c r="CC47" i="93"/>
  <c r="CO47" i="93"/>
  <c r="BG47" i="93"/>
  <c r="BK47" i="93"/>
  <c r="BO47" i="93"/>
  <c r="BS47" i="93"/>
  <c r="BW47" i="93"/>
  <c r="CA47" i="93"/>
  <c r="CE47" i="93"/>
  <c r="CI47" i="93"/>
  <c r="CM47" i="93"/>
  <c r="CQ47" i="93"/>
  <c r="CU47" i="93"/>
  <c r="BM47" i="93"/>
  <c r="BY47" i="93"/>
  <c r="CK47" i="93"/>
  <c r="BH47" i="93"/>
  <c r="BL47" i="93"/>
  <c r="BP47" i="93"/>
  <c r="BT47" i="93"/>
  <c r="BX47" i="93"/>
  <c r="CB47" i="93"/>
  <c r="CF47" i="93"/>
  <c r="CJ47" i="93"/>
  <c r="CN47" i="93"/>
  <c r="CR47" i="93"/>
  <c r="BI47" i="93"/>
  <c r="BU47" i="93"/>
  <c r="CG47" i="93"/>
  <c r="CS47" i="93"/>
  <c r="BH32" i="93"/>
  <c r="BL32" i="93"/>
  <c r="BP32" i="93"/>
  <c r="BT32" i="93"/>
  <c r="BX32" i="93"/>
  <c r="CB32" i="93"/>
  <c r="CF32" i="93"/>
  <c r="CJ32" i="93"/>
  <c r="CN32" i="93"/>
  <c r="CR32" i="93"/>
  <c r="BK32" i="93"/>
  <c r="BW32" i="93"/>
  <c r="CI32" i="93"/>
  <c r="CU32" i="93"/>
  <c r="BI32" i="93"/>
  <c r="BM32" i="93"/>
  <c r="BQ32" i="93"/>
  <c r="BU32" i="93"/>
  <c r="BY32" i="93"/>
  <c r="CC32" i="93"/>
  <c r="CG32" i="93"/>
  <c r="CK32" i="93"/>
  <c r="CO32" i="93"/>
  <c r="CS32" i="93"/>
  <c r="BG32" i="93"/>
  <c r="BS32" i="93"/>
  <c r="CE32" i="93"/>
  <c r="CQ32" i="93"/>
  <c r="BF32" i="93"/>
  <c r="BJ32" i="93"/>
  <c r="BN32" i="93"/>
  <c r="BR32" i="93"/>
  <c r="BV32" i="93"/>
  <c r="BZ32" i="93"/>
  <c r="CD32" i="93"/>
  <c r="CH32" i="93"/>
  <c r="CL32" i="93"/>
  <c r="CP32" i="93"/>
  <c r="CT32" i="93"/>
  <c r="BO32" i="93"/>
  <c r="CA32" i="93"/>
  <c r="CM32" i="93"/>
  <c r="BP42" i="100"/>
  <c r="CL42" i="100"/>
  <c r="BQ42" i="100"/>
  <c r="BR42" i="100"/>
  <c r="BS42" i="100"/>
  <c r="BL42" i="100"/>
  <c r="CK42" i="100"/>
  <c r="BU42" i="100"/>
  <c r="CA42" i="100"/>
  <c r="BW42" i="100"/>
  <c r="CD42" i="100"/>
  <c r="CP42" i="100"/>
  <c r="CM42" i="100"/>
  <c r="CN42" i="100"/>
  <c r="CO42" i="100"/>
  <c r="CW42" i="100"/>
  <c r="BY42" i="100"/>
  <c r="CZ42" i="100"/>
  <c r="CF42" i="100"/>
  <c r="BX42" i="100"/>
  <c r="CE42" i="100"/>
  <c r="CU42" i="100"/>
  <c r="CI42" i="100"/>
  <c r="CQ42" i="100"/>
  <c r="CR42" i="100"/>
  <c r="CS42" i="100"/>
  <c r="DA42" i="100"/>
  <c r="CC42" i="100"/>
  <c r="CV42" i="100"/>
  <c r="CY42" i="100"/>
  <c r="CX42" i="100"/>
  <c r="BZ42" i="100"/>
  <c r="BM42" i="100"/>
  <c r="BN42" i="100"/>
  <c r="BO42" i="100"/>
  <c r="CG42" i="100"/>
  <c r="CJ42" i="100"/>
  <c r="CB42" i="100"/>
  <c r="BT42" i="100"/>
  <c r="CT42" i="100"/>
  <c r="CH42" i="100"/>
  <c r="BV42" i="100"/>
  <c r="BH56" i="93"/>
  <c r="BL56" i="93"/>
  <c r="BP56" i="93"/>
  <c r="BT56" i="93"/>
  <c r="BX56" i="93"/>
  <c r="CB56" i="93"/>
  <c r="CF56" i="93"/>
  <c r="CJ56" i="93"/>
  <c r="CN56" i="93"/>
  <c r="CR56" i="93"/>
  <c r="BG56" i="93"/>
  <c r="BS56" i="93"/>
  <c r="CA56" i="93"/>
  <c r="CM56" i="93"/>
  <c r="BI56" i="93"/>
  <c r="BM56" i="93"/>
  <c r="BQ56" i="93"/>
  <c r="BU56" i="93"/>
  <c r="BY56" i="93"/>
  <c r="CC56" i="93"/>
  <c r="CG56" i="93"/>
  <c r="CK56" i="93"/>
  <c r="CO56" i="93"/>
  <c r="CS56" i="93"/>
  <c r="BK56" i="93"/>
  <c r="BW56" i="93"/>
  <c r="CI56" i="93"/>
  <c r="CU56" i="93"/>
  <c r="BF56" i="93"/>
  <c r="BJ56" i="93"/>
  <c r="BN56" i="93"/>
  <c r="BR56" i="93"/>
  <c r="BV56" i="93"/>
  <c r="BZ56" i="93"/>
  <c r="CD56" i="93"/>
  <c r="CH56" i="93"/>
  <c r="CL56" i="93"/>
  <c r="CP56" i="93"/>
  <c r="CT56" i="93"/>
  <c r="BO56" i="93"/>
  <c r="CE56" i="93"/>
  <c r="CQ56" i="93"/>
  <c r="BM31" i="100"/>
  <c r="CR31" i="100"/>
  <c r="CN31" i="100"/>
  <c r="CU31" i="100"/>
  <c r="CA31" i="100"/>
  <c r="CL31" i="100"/>
  <c r="BN31" i="100"/>
  <c r="CO31" i="100"/>
  <c r="BU31" i="100"/>
  <c r="CG31" i="100"/>
  <c r="CF31" i="100"/>
  <c r="BL31" i="100"/>
  <c r="CZ31" i="100"/>
  <c r="BX31" i="100"/>
  <c r="BT31" i="100"/>
  <c r="CV31" i="100"/>
  <c r="CQ31" i="100"/>
  <c r="BW31" i="100"/>
  <c r="CX31" i="100"/>
  <c r="CD31" i="100"/>
  <c r="DA31" i="100"/>
  <c r="CK31" i="100"/>
  <c r="CI31" i="100"/>
  <c r="BP31" i="100"/>
  <c r="BO31" i="100"/>
  <c r="CB31" i="100"/>
  <c r="CM31" i="100"/>
  <c r="BS31" i="100"/>
  <c r="CT31" i="100"/>
  <c r="BZ31" i="100"/>
  <c r="CW31" i="100"/>
  <c r="CC31" i="100"/>
  <c r="BR31" i="100"/>
  <c r="CJ31" i="100"/>
  <c r="CY31" i="100"/>
  <c r="CE31" i="100"/>
  <c r="CP31" i="100"/>
  <c r="BV31" i="100"/>
  <c r="CS31" i="100"/>
  <c r="BY31" i="100"/>
  <c r="CH31" i="100"/>
  <c r="BQ31" i="100"/>
  <c r="BH48" i="93"/>
  <c r="BL48" i="93"/>
  <c r="BP48" i="93"/>
  <c r="BT48" i="93"/>
  <c r="BX48" i="93"/>
  <c r="CB48" i="93"/>
  <c r="CF48" i="93"/>
  <c r="CJ48" i="93"/>
  <c r="CN48" i="93"/>
  <c r="CR48" i="93"/>
  <c r="BK48" i="93"/>
  <c r="BW48" i="93"/>
  <c r="CM48" i="93"/>
  <c r="BI48" i="93"/>
  <c r="BM48" i="93"/>
  <c r="BQ48" i="93"/>
  <c r="BU48" i="93"/>
  <c r="BY48" i="93"/>
  <c r="CC48" i="93"/>
  <c r="CG48" i="93"/>
  <c r="CK48" i="93"/>
  <c r="CO48" i="93"/>
  <c r="CS48" i="93"/>
  <c r="BG48" i="93"/>
  <c r="BS48" i="93"/>
  <c r="CE48" i="93"/>
  <c r="CQ48" i="93"/>
  <c r="BF48" i="93"/>
  <c r="BJ48" i="93"/>
  <c r="BN48" i="93"/>
  <c r="BR48" i="93"/>
  <c r="BV48" i="93"/>
  <c r="BZ48" i="93"/>
  <c r="CD48" i="93"/>
  <c r="CH48" i="93"/>
  <c r="CL48" i="93"/>
  <c r="CP48" i="93"/>
  <c r="CT48" i="93"/>
  <c r="BO48" i="93"/>
  <c r="CA48" i="93"/>
  <c r="CI48" i="93"/>
  <c r="CU48" i="93"/>
  <c r="BO24" i="100"/>
  <c r="BN24" i="100"/>
  <c r="CL24" i="100"/>
  <c r="DA24" i="100"/>
  <c r="CK24" i="100"/>
  <c r="BQ24" i="100"/>
  <c r="CR24" i="100"/>
  <c r="BX24" i="100"/>
  <c r="CY24" i="100"/>
  <c r="CI24" i="100"/>
  <c r="BR24" i="100"/>
  <c r="CW24" i="100"/>
  <c r="CG24" i="100"/>
  <c r="BM24" i="100"/>
  <c r="CN24" i="100"/>
  <c r="BT24" i="100"/>
  <c r="CU24" i="100"/>
  <c r="CE24" i="100"/>
  <c r="CA24" i="100"/>
  <c r="BZ24" i="100"/>
  <c r="CX24" i="100"/>
  <c r="CT24" i="100"/>
  <c r="CP24" i="100"/>
  <c r="CS24" i="100"/>
  <c r="BY24" i="100"/>
  <c r="CZ24" i="100"/>
  <c r="CJ24" i="100"/>
  <c r="BP24" i="100"/>
  <c r="CQ24" i="100"/>
  <c r="BW24" i="100"/>
  <c r="CC24" i="100"/>
  <c r="CH24" i="100"/>
  <c r="CD24" i="100"/>
  <c r="BV24" i="100"/>
  <c r="CO24" i="100"/>
  <c r="BU24" i="100"/>
  <c r="CV24" i="100"/>
  <c r="CF24" i="100"/>
  <c r="BL24" i="100"/>
  <c r="CM24" i="100"/>
  <c r="BS24" i="100"/>
  <c r="CB24" i="100"/>
  <c r="BH24" i="93"/>
  <c r="BL24" i="93"/>
  <c r="BP24" i="93"/>
  <c r="BT24" i="93"/>
  <c r="BX24" i="93"/>
  <c r="CB24" i="93"/>
  <c r="CF24" i="93"/>
  <c r="CJ24" i="93"/>
  <c r="CN24" i="93"/>
  <c r="CR24" i="93"/>
  <c r="BK24" i="93"/>
  <c r="BW24" i="93"/>
  <c r="CI24" i="93"/>
  <c r="CU24" i="93"/>
  <c r="BI24" i="93"/>
  <c r="BM24" i="93"/>
  <c r="BQ24" i="93"/>
  <c r="BU24" i="93"/>
  <c r="BY24" i="93"/>
  <c r="CC24" i="93"/>
  <c r="CG24" i="93"/>
  <c r="CK24" i="93"/>
  <c r="CO24" i="93"/>
  <c r="CS24" i="93"/>
  <c r="BG24" i="93"/>
  <c r="BS24" i="93"/>
  <c r="CE24" i="93"/>
  <c r="CQ24" i="93"/>
  <c r="BF24" i="93"/>
  <c r="BJ24" i="93"/>
  <c r="BN24" i="93"/>
  <c r="BR24" i="93"/>
  <c r="BV24" i="93"/>
  <c r="BZ24" i="93"/>
  <c r="CD24" i="93"/>
  <c r="CH24" i="93"/>
  <c r="CL24" i="93"/>
  <c r="CP24" i="93"/>
  <c r="CT24" i="93"/>
  <c r="BO24" i="93"/>
  <c r="CA24" i="93"/>
  <c r="CM24" i="93"/>
  <c r="BF37" i="93"/>
  <c r="BJ37" i="93"/>
  <c r="BN37" i="93"/>
  <c r="BR37" i="93"/>
  <c r="BV37" i="93"/>
  <c r="BZ37" i="93"/>
  <c r="CD37" i="93"/>
  <c r="CH37" i="93"/>
  <c r="CL37" i="93"/>
  <c r="CP37" i="93"/>
  <c r="CT37" i="93"/>
  <c r="BM37" i="93"/>
  <c r="CC37" i="93"/>
  <c r="CS37" i="93"/>
  <c r="BG37" i="93"/>
  <c r="BK37" i="93"/>
  <c r="BO37" i="93"/>
  <c r="BS37" i="93"/>
  <c r="BW37" i="93"/>
  <c r="CA37" i="93"/>
  <c r="CE37" i="93"/>
  <c r="CI37" i="93"/>
  <c r="CM37" i="93"/>
  <c r="CQ37" i="93"/>
  <c r="CU37" i="93"/>
  <c r="BQ37" i="93"/>
  <c r="BY37" i="93"/>
  <c r="CK37" i="93"/>
  <c r="BH37" i="93"/>
  <c r="BL37" i="93"/>
  <c r="BP37" i="93"/>
  <c r="BT37" i="93"/>
  <c r="BX37" i="93"/>
  <c r="CB37" i="93"/>
  <c r="CF37" i="93"/>
  <c r="CJ37" i="93"/>
  <c r="CN37" i="93"/>
  <c r="CR37" i="93"/>
  <c r="BI37" i="93"/>
  <c r="BU37" i="93"/>
  <c r="CG37" i="93"/>
  <c r="CO37" i="93"/>
  <c r="BM47" i="100"/>
  <c r="BS47" i="100"/>
  <c r="BR47" i="100"/>
  <c r="CM47" i="100"/>
  <c r="CW47" i="100"/>
  <c r="BY47" i="100"/>
  <c r="BX47" i="100"/>
  <c r="CU47" i="100"/>
  <c r="CP47" i="100"/>
  <c r="BO47" i="100"/>
  <c r="BN47" i="100"/>
  <c r="BQ47" i="100"/>
  <c r="CC47" i="100"/>
  <c r="CJ47" i="100"/>
  <c r="BT47" i="100"/>
  <c r="CY47" i="100"/>
  <c r="CA47" i="100"/>
  <c r="BW47" i="100"/>
  <c r="CX47" i="100"/>
  <c r="CH47" i="100"/>
  <c r="BZ47" i="100"/>
  <c r="CL47" i="100"/>
  <c r="BL47" i="100"/>
  <c r="CS47" i="100"/>
  <c r="CR47" i="100"/>
  <c r="DA47" i="100"/>
  <c r="CG47" i="100"/>
  <c r="CV47" i="100"/>
  <c r="CF47" i="100"/>
  <c r="CE47" i="100"/>
  <c r="CI47" i="100"/>
  <c r="BP47" i="100"/>
  <c r="CO47" i="100"/>
  <c r="CN47" i="100"/>
  <c r="CQ47" i="100"/>
  <c r="CK47" i="100"/>
  <c r="BU47" i="100"/>
  <c r="CZ47" i="100"/>
  <c r="CB47" i="100"/>
  <c r="CT47" i="100"/>
  <c r="CD47" i="100"/>
  <c r="BV47" i="100"/>
  <c r="BF41" i="93"/>
  <c r="BJ41" i="93"/>
  <c r="BN41" i="93"/>
  <c r="BR41" i="93"/>
  <c r="BV41" i="93"/>
  <c r="BZ41" i="93"/>
  <c r="CD41" i="93"/>
  <c r="CH41" i="93"/>
  <c r="CL41" i="93"/>
  <c r="CP41" i="93"/>
  <c r="CT41" i="93"/>
  <c r="BM41" i="93"/>
  <c r="BY41" i="93"/>
  <c r="CK41" i="93"/>
  <c r="BG41" i="93"/>
  <c r="BK41" i="93"/>
  <c r="BO41" i="93"/>
  <c r="BS41" i="93"/>
  <c r="BW41" i="93"/>
  <c r="CA41" i="93"/>
  <c r="CE41" i="93"/>
  <c r="CI41" i="93"/>
  <c r="CM41" i="93"/>
  <c r="CQ41" i="93"/>
  <c r="CU41" i="93"/>
  <c r="BI41" i="93"/>
  <c r="BU41" i="93"/>
  <c r="CG41" i="93"/>
  <c r="CS41" i="93"/>
  <c r="BH41" i="93"/>
  <c r="BL41" i="93"/>
  <c r="BP41" i="93"/>
  <c r="BT41" i="93"/>
  <c r="BX41" i="93"/>
  <c r="CB41" i="93"/>
  <c r="CF41" i="93"/>
  <c r="CJ41" i="93"/>
  <c r="CN41" i="93"/>
  <c r="CR41" i="93"/>
  <c r="BQ41" i="93"/>
  <c r="CC41" i="93"/>
  <c r="CO41" i="93"/>
  <c r="CL53" i="100"/>
  <c r="CP53" i="100"/>
  <c r="BM53" i="100"/>
  <c r="BN53" i="100"/>
  <c r="BO53" i="100"/>
  <c r="CW53" i="100"/>
  <c r="BY53" i="100"/>
  <c r="CJ53" i="100"/>
  <c r="CB53" i="100"/>
  <c r="BT53" i="100"/>
  <c r="CY53" i="100"/>
  <c r="CT53" i="100"/>
  <c r="BV53" i="100"/>
  <c r="BQ53" i="100"/>
  <c r="BR53" i="100"/>
  <c r="BS53" i="100"/>
  <c r="DA53" i="100"/>
  <c r="CC53" i="100"/>
  <c r="BX53" i="100"/>
  <c r="CA53" i="100"/>
  <c r="BW53" i="100"/>
  <c r="CX53" i="100"/>
  <c r="CH53" i="100"/>
  <c r="BZ53" i="100"/>
  <c r="BP53" i="100"/>
  <c r="CM53" i="100"/>
  <c r="CN53" i="100"/>
  <c r="CO53" i="100"/>
  <c r="CG53" i="100"/>
  <c r="CZ53" i="100"/>
  <c r="CF53" i="100"/>
  <c r="CE53" i="100"/>
  <c r="CU53" i="100"/>
  <c r="CI53" i="100"/>
  <c r="CQ53" i="100"/>
  <c r="CR53" i="100"/>
  <c r="CS53" i="100"/>
  <c r="BL53" i="100"/>
  <c r="CK53" i="100"/>
  <c r="BU53" i="100"/>
  <c r="CV53" i="100"/>
  <c r="CD53" i="100"/>
  <c r="BH38" i="93"/>
  <c r="BL38" i="93"/>
  <c r="BP38" i="93"/>
  <c r="BT38" i="93"/>
  <c r="BX38" i="93"/>
  <c r="CB38" i="93"/>
  <c r="CF38" i="93"/>
  <c r="CJ38" i="93"/>
  <c r="CN38" i="93"/>
  <c r="CR38" i="93"/>
  <c r="BO38" i="93"/>
  <c r="CA38" i="93"/>
  <c r="CM38" i="93"/>
  <c r="BI38" i="93"/>
  <c r="BM38" i="93"/>
  <c r="BQ38" i="93"/>
  <c r="BU38" i="93"/>
  <c r="BY38" i="93"/>
  <c r="CC38" i="93"/>
  <c r="CG38" i="93"/>
  <c r="CK38" i="93"/>
  <c r="CO38" i="93"/>
  <c r="CS38" i="93"/>
  <c r="BG38" i="93"/>
  <c r="BS38" i="93"/>
  <c r="CE38" i="93"/>
  <c r="CQ38" i="93"/>
  <c r="BF38" i="93"/>
  <c r="BJ38" i="93"/>
  <c r="BN38" i="93"/>
  <c r="BR38" i="93"/>
  <c r="BV38" i="93"/>
  <c r="BZ38" i="93"/>
  <c r="CD38" i="93"/>
  <c r="CH38" i="93"/>
  <c r="CL38" i="93"/>
  <c r="CP38" i="93"/>
  <c r="CT38" i="93"/>
  <c r="BK38" i="93"/>
  <c r="BW38" i="93"/>
  <c r="CI38" i="93"/>
  <c r="CU38" i="93"/>
  <c r="BF39" i="93"/>
  <c r="BJ39" i="93"/>
  <c r="BN39" i="93"/>
  <c r="BR39" i="93"/>
  <c r="BV39" i="93"/>
  <c r="BZ39" i="93"/>
  <c r="CD39" i="93"/>
  <c r="CH39" i="93"/>
  <c r="CL39" i="93"/>
  <c r="CP39" i="93"/>
  <c r="CT39" i="93"/>
  <c r="BM39" i="93"/>
  <c r="BY39" i="93"/>
  <c r="CK39" i="93"/>
  <c r="BG39" i="93"/>
  <c r="BK39" i="93"/>
  <c r="BO39" i="93"/>
  <c r="BS39" i="93"/>
  <c r="BW39" i="93"/>
  <c r="CA39" i="93"/>
  <c r="CE39" i="93"/>
  <c r="CI39" i="93"/>
  <c r="CM39" i="93"/>
  <c r="CQ39" i="93"/>
  <c r="CU39" i="93"/>
  <c r="BI39" i="93"/>
  <c r="BU39" i="93"/>
  <c r="CG39" i="93"/>
  <c r="CS39" i="93"/>
  <c r="BH39" i="93"/>
  <c r="BL39" i="93"/>
  <c r="BP39" i="93"/>
  <c r="BT39" i="93"/>
  <c r="BX39" i="93"/>
  <c r="CB39" i="93"/>
  <c r="CF39" i="93"/>
  <c r="CJ39" i="93"/>
  <c r="CN39" i="93"/>
  <c r="CR39" i="93"/>
  <c r="BQ39" i="93"/>
  <c r="CC39" i="93"/>
  <c r="CO39" i="93"/>
  <c r="CO18" i="100"/>
  <c r="BX18" i="100"/>
  <c r="BS18" i="100"/>
  <c r="CP18" i="100"/>
  <c r="BY18" i="100"/>
  <c r="CQ18" i="100"/>
  <c r="BZ18" i="100"/>
  <c r="CR18" i="100"/>
  <c r="CS18" i="100"/>
  <c r="CK18" i="100"/>
  <c r="BT18" i="100"/>
  <c r="CB18" i="100"/>
  <c r="CC18" i="100"/>
  <c r="CT18" i="100"/>
  <c r="CD18" i="100"/>
  <c r="CU18" i="100"/>
  <c r="CE18" i="100"/>
  <c r="CV18" i="100"/>
  <c r="CG18" i="100"/>
  <c r="DA18" i="100"/>
  <c r="BR18" i="100"/>
  <c r="BL18" i="100"/>
  <c r="CF18" i="100"/>
  <c r="CH18" i="100"/>
  <c r="CX18" i="100"/>
  <c r="CI18" i="100"/>
  <c r="CY18" i="100"/>
  <c r="CJ18" i="100"/>
  <c r="CZ18" i="100"/>
  <c r="CW18" i="100"/>
  <c r="BW18" i="100"/>
  <c r="BU18" i="100"/>
  <c r="BP18" i="100"/>
  <c r="BN18" i="100"/>
  <c r="CL18" i="100"/>
  <c r="BO18" i="100"/>
  <c r="CM18" i="100"/>
  <c r="BQ18" i="100"/>
  <c r="CN18" i="100"/>
  <c r="CA18" i="100"/>
  <c r="BM18" i="100"/>
  <c r="BV18" i="100"/>
  <c r="BF57" i="93"/>
  <c r="BJ57" i="93"/>
  <c r="BN57" i="93"/>
  <c r="BR57" i="93"/>
  <c r="BV57" i="93"/>
  <c r="BZ57" i="93"/>
  <c r="CD57" i="93"/>
  <c r="CH57" i="93"/>
  <c r="CL57" i="93"/>
  <c r="CP57" i="93"/>
  <c r="CT57" i="93"/>
  <c r="BI57" i="93"/>
  <c r="BU57" i="93"/>
  <c r="CG57" i="93"/>
  <c r="CS57" i="93"/>
  <c r="BG57" i="93"/>
  <c r="BK57" i="93"/>
  <c r="BO57" i="93"/>
  <c r="BS57" i="93"/>
  <c r="BW57" i="93"/>
  <c r="CA57" i="93"/>
  <c r="CE57" i="93"/>
  <c r="CI57" i="93"/>
  <c r="CM57" i="93"/>
  <c r="CQ57" i="93"/>
  <c r="CU57" i="93"/>
  <c r="BQ57" i="93"/>
  <c r="CC57" i="93"/>
  <c r="CO57" i="93"/>
  <c r="BH57" i="93"/>
  <c r="BL57" i="93"/>
  <c r="BP57" i="93"/>
  <c r="BT57" i="93"/>
  <c r="BX57" i="93"/>
  <c r="CB57" i="93"/>
  <c r="CF57" i="93"/>
  <c r="CJ57" i="93"/>
  <c r="CN57" i="93"/>
  <c r="CR57" i="93"/>
  <c r="BM57" i="93"/>
  <c r="BY57" i="93"/>
  <c r="CK57" i="93"/>
  <c r="BM63" i="100"/>
  <c r="CP63" i="100"/>
  <c r="BS63" i="100"/>
  <c r="BR63" i="100"/>
  <c r="CM63" i="100"/>
  <c r="CG63" i="100"/>
  <c r="CZ63" i="100"/>
  <c r="CB63" i="100"/>
  <c r="CY63" i="100"/>
  <c r="CA63" i="100"/>
  <c r="CD63" i="100"/>
  <c r="BL63" i="100"/>
  <c r="BO63" i="100"/>
  <c r="BN63" i="100"/>
  <c r="BQ63" i="100"/>
  <c r="DA63" i="100"/>
  <c r="CC63" i="100"/>
  <c r="CV63" i="100"/>
  <c r="BX63" i="100"/>
  <c r="CU63" i="100"/>
  <c r="BW63" i="100"/>
  <c r="CX63" i="100"/>
  <c r="BZ63" i="100"/>
  <c r="CL63" i="100"/>
  <c r="BP63" i="100"/>
  <c r="CS63" i="100"/>
  <c r="CR63" i="100"/>
  <c r="CW63" i="100"/>
  <c r="BY63" i="100"/>
  <c r="CJ63" i="100"/>
  <c r="BT63" i="100"/>
  <c r="CI63" i="100"/>
  <c r="CT63" i="100"/>
  <c r="BV63" i="100"/>
  <c r="CO63" i="100"/>
  <c r="CN63" i="100"/>
  <c r="CQ63" i="100"/>
  <c r="CK63" i="100"/>
  <c r="BU63" i="100"/>
  <c r="CF63" i="100"/>
  <c r="CE63" i="100"/>
  <c r="CH63" i="100"/>
  <c r="BH14" i="93"/>
  <c r="BL14" i="93"/>
  <c r="BP14" i="93"/>
  <c r="BT14" i="93"/>
  <c r="BX14" i="93"/>
  <c r="CB14" i="93"/>
  <c r="CF14" i="93"/>
  <c r="CJ14" i="93"/>
  <c r="CN14" i="93"/>
  <c r="CR14" i="93"/>
  <c r="BO14" i="93"/>
  <c r="BW14" i="93"/>
  <c r="CI14" i="93"/>
  <c r="CU14" i="93"/>
  <c r="BI14" i="93"/>
  <c r="BM14" i="93"/>
  <c r="BQ14" i="93"/>
  <c r="BU14" i="93"/>
  <c r="BY14" i="93"/>
  <c r="CC14" i="93"/>
  <c r="CG14" i="93"/>
  <c r="CK14" i="93"/>
  <c r="CO14" i="93"/>
  <c r="CS14" i="93"/>
  <c r="BK14" i="93"/>
  <c r="CA14" i="93"/>
  <c r="CM14" i="93"/>
  <c r="BF14" i="93"/>
  <c r="BJ14" i="93"/>
  <c r="BN14" i="93"/>
  <c r="BR14" i="93"/>
  <c r="BV14" i="93"/>
  <c r="BZ14" i="93"/>
  <c r="CD14" i="93"/>
  <c r="CH14" i="93"/>
  <c r="CL14" i="93"/>
  <c r="CP14" i="93"/>
  <c r="CT14" i="93"/>
  <c r="BG14" i="93"/>
  <c r="BS14" i="93"/>
  <c r="CE14" i="93"/>
  <c r="CQ14" i="93"/>
  <c r="BM55" i="100"/>
  <c r="BS55" i="100"/>
  <c r="BR55" i="100"/>
  <c r="CM55" i="100"/>
  <c r="CK55" i="100"/>
  <c r="BU55" i="100"/>
  <c r="CD55" i="100"/>
  <c r="BP55" i="100"/>
  <c r="CP55" i="100"/>
  <c r="CL55" i="100"/>
  <c r="BO55" i="100"/>
  <c r="BN55" i="100"/>
  <c r="BQ55" i="100"/>
  <c r="CW55" i="100"/>
  <c r="BY55" i="100"/>
  <c r="CJ55" i="100"/>
  <c r="CB55" i="100"/>
  <c r="BT55" i="100"/>
  <c r="CV55" i="100"/>
  <c r="CY55" i="100"/>
  <c r="CT55" i="100"/>
  <c r="BV55" i="100"/>
  <c r="CZ55" i="100"/>
  <c r="CS55" i="100"/>
  <c r="CR55" i="100"/>
  <c r="DA55" i="100"/>
  <c r="CC55" i="100"/>
  <c r="BX55" i="100"/>
  <c r="CA55" i="100"/>
  <c r="BW55" i="100"/>
  <c r="CX55" i="100"/>
  <c r="CH55" i="100"/>
  <c r="BZ55" i="100"/>
  <c r="BL55" i="100"/>
  <c r="CO55" i="100"/>
  <c r="CN55" i="100"/>
  <c r="CQ55" i="100"/>
  <c r="CG55" i="100"/>
  <c r="CF55" i="100"/>
  <c r="CE55" i="100"/>
  <c r="CU55" i="100"/>
  <c r="CI55" i="100"/>
  <c r="BM60" i="100"/>
  <c r="BS60" i="100"/>
  <c r="BR60" i="100"/>
  <c r="BQ60" i="100"/>
  <c r="CE60" i="100"/>
  <c r="CX60" i="100"/>
  <c r="BZ60" i="100"/>
  <c r="CW60" i="100"/>
  <c r="BY60" i="100"/>
  <c r="CZ60" i="100"/>
  <c r="CB60" i="100"/>
  <c r="BO60" i="100"/>
  <c r="BN60" i="100"/>
  <c r="CY60" i="100"/>
  <c r="CA60" i="100"/>
  <c r="CT60" i="100"/>
  <c r="BV60" i="100"/>
  <c r="CK60" i="100"/>
  <c r="BU60" i="100"/>
  <c r="CV60" i="100"/>
  <c r="BX60" i="100"/>
  <c r="CL60" i="100"/>
  <c r="BP60" i="100"/>
  <c r="BL60" i="100"/>
  <c r="CS60" i="100"/>
  <c r="CR60" i="100"/>
  <c r="CQ60" i="100"/>
  <c r="CU60" i="100"/>
  <c r="BW60" i="100"/>
  <c r="CH60" i="100"/>
  <c r="CG60" i="100"/>
  <c r="CJ60" i="100"/>
  <c r="BT60" i="100"/>
  <c r="CP60" i="100"/>
  <c r="CO60" i="100"/>
  <c r="CN60" i="100"/>
  <c r="CM60" i="100"/>
  <c r="CI60" i="100"/>
  <c r="CD60" i="100"/>
  <c r="DA60" i="100"/>
  <c r="CC60" i="100"/>
  <c r="CF60" i="100"/>
  <c r="BH64" i="93"/>
  <c r="BL64" i="93"/>
  <c r="BP64" i="93"/>
  <c r="BT64" i="93"/>
  <c r="BX64" i="93"/>
  <c r="CB64" i="93"/>
  <c r="CF64" i="93"/>
  <c r="CJ64" i="93"/>
  <c r="CN64" i="93"/>
  <c r="CR64" i="93"/>
  <c r="BG64" i="93"/>
  <c r="BS64" i="93"/>
  <c r="CE64" i="93"/>
  <c r="CQ64" i="93"/>
  <c r="BI64" i="93"/>
  <c r="BM64" i="93"/>
  <c r="BQ64" i="93"/>
  <c r="BU64" i="93"/>
  <c r="BY64" i="93"/>
  <c r="CC64" i="93"/>
  <c r="CG64" i="93"/>
  <c r="CK64" i="93"/>
  <c r="CO64" i="93"/>
  <c r="CS64" i="93"/>
  <c r="BO64" i="93"/>
  <c r="CA64" i="93"/>
  <c r="CM64" i="93"/>
  <c r="BF64" i="93"/>
  <c r="BJ64" i="93"/>
  <c r="BN64" i="93"/>
  <c r="BR64" i="93"/>
  <c r="BV64" i="93"/>
  <c r="BZ64" i="93"/>
  <c r="CD64" i="93"/>
  <c r="CH64" i="93"/>
  <c r="CL64" i="93"/>
  <c r="CP64" i="93"/>
  <c r="CT64" i="93"/>
  <c r="BK64" i="93"/>
  <c r="BW64" i="93"/>
  <c r="CI64" i="93"/>
  <c r="CU64" i="93"/>
  <c r="BY20" i="100"/>
  <c r="BP20" i="100"/>
  <c r="CZ20" i="100"/>
  <c r="CU20" i="100"/>
  <c r="BN20" i="100"/>
  <c r="CH20" i="100"/>
  <c r="CX20" i="100"/>
  <c r="CN20" i="100"/>
  <c r="BO20" i="100"/>
  <c r="CW20" i="100"/>
  <c r="CB20" i="100"/>
  <c r="CK20" i="100"/>
  <c r="BL20" i="100"/>
  <c r="BW20" i="100"/>
  <c r="BU20" i="100"/>
  <c r="CE20" i="100"/>
  <c r="BR20" i="100"/>
  <c r="CL20" i="100"/>
  <c r="CI20" i="100"/>
  <c r="CR20" i="100"/>
  <c r="BS20" i="100"/>
  <c r="DA20" i="100"/>
  <c r="CF20" i="100"/>
  <c r="BV20" i="100"/>
  <c r="BZ20" i="100"/>
  <c r="CP20" i="100"/>
  <c r="CY20" i="100"/>
  <c r="CC20" i="100"/>
  <c r="CM20" i="100"/>
  <c r="BM20" i="100"/>
  <c r="CV20" i="100"/>
  <c r="CA20" i="100"/>
  <c r="CO20" i="100"/>
  <c r="CJ20" i="100"/>
  <c r="CD20" i="100"/>
  <c r="CT20" i="100"/>
  <c r="CS20" i="100"/>
  <c r="BX20" i="100"/>
  <c r="CG20" i="100"/>
  <c r="CQ20" i="100"/>
  <c r="BQ20" i="100"/>
  <c r="BT20" i="100"/>
  <c r="BF59" i="93"/>
  <c r="BJ59" i="93"/>
  <c r="BN59" i="93"/>
  <c r="BR59" i="93"/>
  <c r="BV59" i="93"/>
  <c r="BZ59" i="93"/>
  <c r="CD59" i="93"/>
  <c r="CH59" i="93"/>
  <c r="CL59" i="93"/>
  <c r="CP59" i="93"/>
  <c r="CT59" i="93"/>
  <c r="BI59" i="93"/>
  <c r="BQ59" i="93"/>
  <c r="CC59" i="93"/>
  <c r="CO59" i="93"/>
  <c r="BG59" i="93"/>
  <c r="BK59" i="93"/>
  <c r="BO59" i="93"/>
  <c r="BS59" i="93"/>
  <c r="BW59" i="93"/>
  <c r="CA59" i="93"/>
  <c r="CE59" i="93"/>
  <c r="CI59" i="93"/>
  <c r="CM59" i="93"/>
  <c r="CQ59" i="93"/>
  <c r="CU59" i="93"/>
  <c r="BM59" i="93"/>
  <c r="BY59" i="93"/>
  <c r="CG59" i="93"/>
  <c r="CS59" i="93"/>
  <c r="BH59" i="93"/>
  <c r="BL59" i="93"/>
  <c r="BP59" i="93"/>
  <c r="BT59" i="93"/>
  <c r="BX59" i="93"/>
  <c r="CB59" i="93"/>
  <c r="CF59" i="93"/>
  <c r="CJ59" i="93"/>
  <c r="CN59" i="93"/>
  <c r="CR59" i="93"/>
  <c r="BU59" i="93"/>
  <c r="CK59" i="93"/>
  <c r="CD30" i="100"/>
  <c r="CE30" i="100"/>
  <c r="CY30" i="100"/>
  <c r="CB30" i="100"/>
  <c r="CV30" i="100"/>
  <c r="BY30" i="100"/>
  <c r="CS30" i="100"/>
  <c r="CL30" i="100"/>
  <c r="CH30" i="100"/>
  <c r="BR30" i="100"/>
  <c r="BQ30" i="100"/>
  <c r="BO30" i="100"/>
  <c r="CX30" i="100"/>
  <c r="BS30" i="100"/>
  <c r="CM30" i="100"/>
  <c r="BL30" i="100"/>
  <c r="CJ30" i="100"/>
  <c r="CZ30" i="100"/>
  <c r="CC30" i="100"/>
  <c r="CW30" i="100"/>
  <c r="CT30" i="100"/>
  <c r="BN30" i="100"/>
  <c r="CF30" i="100"/>
  <c r="BW30" i="100"/>
  <c r="CQ30" i="100"/>
  <c r="BT30" i="100"/>
  <c r="CN30" i="100"/>
  <c r="BM30" i="100"/>
  <c r="CK30" i="100"/>
  <c r="DA30" i="100"/>
  <c r="BZ30" i="100"/>
  <c r="CP30" i="100"/>
  <c r="CG30" i="100"/>
  <c r="CA30" i="100"/>
  <c r="CU30" i="100"/>
  <c r="BX30" i="100"/>
  <c r="CR30" i="100"/>
  <c r="BU30" i="100"/>
  <c r="CO30" i="100"/>
  <c r="BV30" i="100"/>
  <c r="CI30" i="100"/>
  <c r="BP30" i="100"/>
  <c r="BH46" i="93"/>
  <c r="BL46" i="93"/>
  <c r="BP46" i="93"/>
  <c r="BT46" i="93"/>
  <c r="BX46" i="93"/>
  <c r="CB46" i="93"/>
  <c r="CF46" i="93"/>
  <c r="CJ46" i="93"/>
  <c r="CN46" i="93"/>
  <c r="CR46" i="93"/>
  <c r="BK46" i="93"/>
  <c r="BW46" i="93"/>
  <c r="CI46" i="93"/>
  <c r="CU46" i="93"/>
  <c r="BI46" i="93"/>
  <c r="BM46" i="93"/>
  <c r="BQ46" i="93"/>
  <c r="BU46" i="93"/>
  <c r="BY46" i="93"/>
  <c r="CC46" i="93"/>
  <c r="CG46" i="93"/>
  <c r="CK46" i="93"/>
  <c r="CO46" i="93"/>
  <c r="CS46" i="93"/>
  <c r="BG46" i="93"/>
  <c r="BS46" i="93"/>
  <c r="CE46" i="93"/>
  <c r="CQ46" i="93"/>
  <c r="BF46" i="93"/>
  <c r="BJ46" i="93"/>
  <c r="BN46" i="93"/>
  <c r="BR46" i="93"/>
  <c r="BV46" i="93"/>
  <c r="BZ46" i="93"/>
  <c r="CD46" i="93"/>
  <c r="CH46" i="93"/>
  <c r="CL46" i="93"/>
  <c r="CP46" i="93"/>
  <c r="CT46" i="93"/>
  <c r="BO46" i="93"/>
  <c r="CA46" i="93"/>
  <c r="CM46" i="93"/>
  <c r="CP6" i="98"/>
  <c r="CX6" i="98" s="1"/>
  <c r="CP12" i="98"/>
  <c r="CX17" i="98" s="1"/>
  <c r="CP59" i="98"/>
  <c r="CX70" i="98" s="1"/>
  <c r="CP35" i="98"/>
  <c r="CX45" i="98" s="1"/>
  <c r="CP43" i="98"/>
  <c r="CX53" i="98" s="1"/>
  <c r="CP46" i="98"/>
  <c r="CX56" i="98" s="1"/>
  <c r="CP47" i="98"/>
  <c r="CX57" i="98" s="1"/>
  <c r="CP22" i="98"/>
  <c r="CP27" i="98"/>
  <c r="CP15" i="98"/>
  <c r="CX22" i="98" s="1"/>
  <c r="CP19" i="98"/>
  <c r="CX26" i="98" s="1"/>
  <c r="CP14" i="98"/>
  <c r="CP40" i="98"/>
  <c r="CP39" i="98"/>
  <c r="CX49" i="98" s="1"/>
  <c r="CP48" i="98"/>
  <c r="CP49" i="98"/>
  <c r="CP16" i="98"/>
  <c r="CX23" i="98" s="1"/>
  <c r="CP57" i="98"/>
  <c r="CX68" i="98" s="1"/>
  <c r="CP44" i="98"/>
  <c r="CX54" i="98" s="1"/>
  <c r="CP52" i="98"/>
  <c r="CX63" i="98" s="1"/>
  <c r="CP45" i="98"/>
  <c r="CX55" i="98" s="1"/>
  <c r="CP33" i="98"/>
  <c r="CP38" i="98"/>
  <c r="CX48" i="98" s="1"/>
  <c r="CP31" i="98"/>
  <c r="CX40" i="98" s="1"/>
  <c r="CP18" i="98"/>
  <c r="CX25" i="98" s="1"/>
  <c r="CP23" i="98"/>
  <c r="CX31" i="98" s="1"/>
  <c r="CP63" i="98"/>
  <c r="CX74" i="98" s="1"/>
  <c r="CP62" i="98"/>
  <c r="CX73" i="98" s="1"/>
  <c r="CP20" i="98"/>
  <c r="CX27" i="98" s="1"/>
  <c r="CP65" i="98"/>
  <c r="CX76" i="98" s="1"/>
  <c r="CP61" i="98"/>
  <c r="CX72" i="98" s="1"/>
  <c r="CP26" i="98"/>
  <c r="CX34" i="98" s="1"/>
  <c r="CP51" i="98"/>
  <c r="CX62" i="98" s="1"/>
  <c r="CP56" i="98"/>
  <c r="CX67" i="98" s="1"/>
  <c r="CP42" i="98"/>
  <c r="CX52" i="98" s="1"/>
  <c r="CP32" i="98"/>
  <c r="CX41" i="98" s="1"/>
  <c r="CP24" i="98"/>
  <c r="CX32" i="98" s="1"/>
  <c r="CP37" i="98"/>
  <c r="CX47" i="98" s="1"/>
  <c r="CP17" i="98"/>
  <c r="CX24" i="98" s="1"/>
  <c r="CP25" i="98"/>
  <c r="CX33" i="98" s="1"/>
  <c r="CP29" i="98"/>
  <c r="CX38" i="98" s="1"/>
  <c r="CP64" i="98"/>
  <c r="CX75" i="98" s="1"/>
  <c r="CP53" i="98"/>
  <c r="CX64" i="98" s="1"/>
  <c r="CP11" i="98"/>
  <c r="CP8" i="98"/>
  <c r="CP9" i="98"/>
  <c r="CP21" i="98"/>
  <c r="CX28" i="98" s="1"/>
  <c r="CP55" i="98"/>
  <c r="CX66" i="98" s="1"/>
  <c r="CP50" i="98"/>
  <c r="CX61" i="98" s="1"/>
  <c r="CP54" i="98"/>
  <c r="CX65" i="98" s="1"/>
  <c r="CP41" i="98"/>
  <c r="CX51" i="98" s="1"/>
  <c r="CP36" i="98"/>
  <c r="CX46" i="98" s="1"/>
  <c r="CP28" i="98"/>
  <c r="CX37" i="98" s="1"/>
  <c r="CP34" i="98"/>
  <c r="CX44" i="98" s="1"/>
  <c r="CP13" i="98"/>
  <c r="CX18" i="98" s="1"/>
  <c r="CP60" i="98"/>
  <c r="CX71" i="98" s="1"/>
  <c r="CP30" i="98"/>
  <c r="CX39" i="98" s="1"/>
  <c r="CP58" i="98"/>
  <c r="CX69" i="98" s="1"/>
  <c r="CP10" i="98"/>
  <c r="CX14" i="98" s="1"/>
  <c r="BU10" i="100"/>
  <c r="CU10" i="100"/>
  <c r="BL10" i="100"/>
  <c r="CB10" i="100"/>
  <c r="CR10" i="100"/>
  <c r="BV10" i="100"/>
  <c r="CQ10" i="100"/>
  <c r="BW10" i="100"/>
  <c r="CS10" i="100"/>
  <c r="BY10" i="100"/>
  <c r="CT10" i="100"/>
  <c r="BZ10" i="100"/>
  <c r="CP10" i="100"/>
  <c r="BP10" i="100"/>
  <c r="CF10" i="100"/>
  <c r="CV10" i="100"/>
  <c r="CA10" i="100"/>
  <c r="CW10" i="100"/>
  <c r="CC10" i="100"/>
  <c r="CX10" i="100"/>
  <c r="CD10" i="100"/>
  <c r="CY10" i="100"/>
  <c r="BT10" i="100"/>
  <c r="CJ10" i="100"/>
  <c r="CZ10" i="100"/>
  <c r="CG10" i="100"/>
  <c r="BM10" i="100"/>
  <c r="CH10" i="100"/>
  <c r="BN10" i="100"/>
  <c r="CI10" i="100"/>
  <c r="CK10" i="100"/>
  <c r="DA10" i="100"/>
  <c r="CE10" i="100"/>
  <c r="BX10" i="100"/>
  <c r="CN10" i="100"/>
  <c r="BQ10" i="100"/>
  <c r="CL10" i="100"/>
  <c r="BR10" i="100"/>
  <c r="CM10" i="100"/>
  <c r="BS10" i="100"/>
  <c r="CO10" i="100"/>
  <c r="BO10" i="100"/>
  <c r="BF49" i="93"/>
  <c r="BJ49" i="93"/>
  <c r="BN49" i="93"/>
  <c r="BR49" i="93"/>
  <c r="BV49" i="93"/>
  <c r="BZ49" i="93"/>
  <c r="CD49" i="93"/>
  <c r="CH49" i="93"/>
  <c r="CL49" i="93"/>
  <c r="CP49" i="93"/>
  <c r="CT49" i="93"/>
  <c r="BI49" i="93"/>
  <c r="BY49" i="93"/>
  <c r="CO49" i="93"/>
  <c r="BG49" i="93"/>
  <c r="BK49" i="93"/>
  <c r="BO49" i="93"/>
  <c r="BS49" i="93"/>
  <c r="BW49" i="93"/>
  <c r="CA49" i="93"/>
  <c r="CE49" i="93"/>
  <c r="CI49" i="93"/>
  <c r="CM49" i="93"/>
  <c r="CQ49" i="93"/>
  <c r="CU49" i="93"/>
  <c r="BM49" i="93"/>
  <c r="BU49" i="93"/>
  <c r="CG49" i="93"/>
  <c r="CS49" i="93"/>
  <c r="BH49" i="93"/>
  <c r="BL49" i="93"/>
  <c r="BP49" i="93"/>
  <c r="BT49" i="93"/>
  <c r="BX49" i="93"/>
  <c r="CB49" i="93"/>
  <c r="CF49" i="93"/>
  <c r="CJ49" i="93"/>
  <c r="CN49" i="93"/>
  <c r="CR49" i="93"/>
  <c r="BQ49" i="93"/>
  <c r="CC49" i="93"/>
  <c r="CK49" i="93"/>
  <c r="BQ33" i="100"/>
  <c r="BY33" i="100"/>
  <c r="BU33" i="100"/>
  <c r="BV33" i="100"/>
  <c r="CY33" i="100"/>
  <c r="CA33" i="100"/>
  <c r="BL33" i="100"/>
  <c r="CB33" i="100"/>
  <c r="CR33" i="100"/>
  <c r="CJ33" i="100"/>
  <c r="CS33" i="100"/>
  <c r="CK33" i="100"/>
  <c r="CT33" i="100"/>
  <c r="BZ33" i="100"/>
  <c r="BO33" i="100"/>
  <c r="CE33" i="100"/>
  <c r="BP33" i="100"/>
  <c r="CF33" i="100"/>
  <c r="CM33" i="100"/>
  <c r="CP33" i="100"/>
  <c r="BN33" i="100"/>
  <c r="CD33" i="100"/>
  <c r="BS33" i="100"/>
  <c r="CV33" i="100"/>
  <c r="BT33" i="100"/>
  <c r="CW33" i="100"/>
  <c r="CC33" i="100"/>
  <c r="CN33" i="100"/>
  <c r="CL33" i="100"/>
  <c r="CO33" i="100"/>
  <c r="CG33" i="100"/>
  <c r="CX33" i="100"/>
  <c r="BR33" i="100"/>
  <c r="CU33" i="100"/>
  <c r="BW33" i="100"/>
  <c r="CZ33" i="100"/>
  <c r="BX33" i="100"/>
  <c r="DA33" i="100"/>
  <c r="BM33" i="100"/>
  <c r="CQ33" i="100"/>
  <c r="CI33" i="100"/>
  <c r="CH33" i="100"/>
  <c r="BF33" i="93"/>
  <c r="BJ33" i="93"/>
  <c r="BN33" i="93"/>
  <c r="BR33" i="93"/>
  <c r="BV33" i="93"/>
  <c r="BZ33" i="93"/>
  <c r="CD33" i="93"/>
  <c r="CH33" i="93"/>
  <c r="CL33" i="93"/>
  <c r="CP33" i="93"/>
  <c r="CT33" i="93"/>
  <c r="BM33" i="93"/>
  <c r="BY33" i="93"/>
  <c r="CK33" i="93"/>
  <c r="BG33" i="93"/>
  <c r="BK33" i="93"/>
  <c r="BO33" i="93"/>
  <c r="BS33" i="93"/>
  <c r="BW33" i="93"/>
  <c r="CA33" i="93"/>
  <c r="CE33" i="93"/>
  <c r="CI33" i="93"/>
  <c r="CM33" i="93"/>
  <c r="CQ33" i="93"/>
  <c r="CU33" i="93"/>
  <c r="BQ33" i="93"/>
  <c r="CC33" i="93"/>
  <c r="CO33" i="93"/>
  <c r="BH33" i="93"/>
  <c r="BL33" i="93"/>
  <c r="BP33" i="93"/>
  <c r="BT33" i="93"/>
  <c r="BX33" i="93"/>
  <c r="CB33" i="93"/>
  <c r="CF33" i="93"/>
  <c r="CJ33" i="93"/>
  <c r="CN33" i="93"/>
  <c r="CR33" i="93"/>
  <c r="BI33" i="93"/>
  <c r="BU33" i="93"/>
  <c r="CG33" i="93"/>
  <c r="CS33" i="93"/>
  <c r="BP49" i="100"/>
  <c r="BM49" i="100"/>
  <c r="BN49" i="100"/>
  <c r="BO49" i="100"/>
  <c r="CG49" i="100"/>
  <c r="CZ49" i="100"/>
  <c r="CF49" i="100"/>
  <c r="CE49" i="100"/>
  <c r="CU49" i="100"/>
  <c r="CI49" i="100"/>
  <c r="CL49" i="100"/>
  <c r="BQ49" i="100"/>
  <c r="BR49" i="100"/>
  <c r="BS49" i="100"/>
  <c r="BL49" i="100"/>
  <c r="CK49" i="100"/>
  <c r="BU49" i="100"/>
  <c r="CV49" i="100"/>
  <c r="CD49" i="100"/>
  <c r="CP49" i="100"/>
  <c r="CM49" i="100"/>
  <c r="CN49" i="100"/>
  <c r="CO49" i="100"/>
  <c r="CW49" i="100"/>
  <c r="BY49" i="100"/>
  <c r="CJ49" i="100"/>
  <c r="CB49" i="100"/>
  <c r="BT49" i="100"/>
  <c r="CY49" i="100"/>
  <c r="CT49" i="100"/>
  <c r="BV49" i="100"/>
  <c r="CQ49" i="100"/>
  <c r="CR49" i="100"/>
  <c r="CS49" i="100"/>
  <c r="DA49" i="100"/>
  <c r="CC49" i="100"/>
  <c r="BX49" i="100"/>
  <c r="CA49" i="100"/>
  <c r="BW49" i="100"/>
  <c r="CX49" i="100"/>
  <c r="CH49" i="100"/>
  <c r="BZ49" i="100"/>
  <c r="BT34" i="100"/>
  <c r="CW34" i="100"/>
  <c r="BQ34" i="100"/>
  <c r="CT34" i="100"/>
  <c r="BV34" i="100"/>
  <c r="CY34" i="100"/>
  <c r="CA34" i="100"/>
  <c r="CF34" i="100"/>
  <c r="CN34" i="100"/>
  <c r="CO34" i="100"/>
  <c r="CG34" i="100"/>
  <c r="DA34" i="100"/>
  <c r="BU34" i="100"/>
  <c r="CX34" i="100"/>
  <c r="BZ34" i="100"/>
  <c r="BO34" i="100"/>
  <c r="CE34" i="100"/>
  <c r="BP34" i="100"/>
  <c r="CM34" i="100"/>
  <c r="CP34" i="100"/>
  <c r="CB34" i="100"/>
  <c r="BX34" i="100"/>
  <c r="BY34" i="100"/>
  <c r="BN34" i="100"/>
  <c r="CD34" i="100"/>
  <c r="BS34" i="100"/>
  <c r="CV34" i="100"/>
  <c r="CR34" i="100"/>
  <c r="CJ34" i="100"/>
  <c r="CL34" i="100"/>
  <c r="CS34" i="100"/>
  <c r="CK34" i="100"/>
  <c r="BL34" i="100"/>
  <c r="BM34" i="100"/>
  <c r="CC34" i="100"/>
  <c r="BR34" i="100"/>
  <c r="CU34" i="100"/>
  <c r="BW34" i="100"/>
  <c r="CZ34" i="100"/>
  <c r="CQ34" i="100"/>
  <c r="CI34" i="100"/>
  <c r="CH34" i="100"/>
  <c r="BH36" i="93"/>
  <c r="BL36" i="93"/>
  <c r="BP36" i="93"/>
  <c r="BT36" i="93"/>
  <c r="BX36" i="93"/>
  <c r="CB36" i="93"/>
  <c r="CF36" i="93"/>
  <c r="CJ36" i="93"/>
  <c r="CN36" i="93"/>
  <c r="CR36" i="93"/>
  <c r="BG36" i="93"/>
  <c r="BS36" i="93"/>
  <c r="CE36" i="93"/>
  <c r="CQ36" i="93"/>
  <c r="BI36" i="93"/>
  <c r="BM36" i="93"/>
  <c r="BQ36" i="93"/>
  <c r="BU36" i="93"/>
  <c r="BY36" i="93"/>
  <c r="CC36" i="93"/>
  <c r="CG36" i="93"/>
  <c r="CK36" i="93"/>
  <c r="CO36" i="93"/>
  <c r="CS36" i="93"/>
  <c r="BK36" i="93"/>
  <c r="BW36" i="93"/>
  <c r="CI36" i="93"/>
  <c r="CU36" i="93"/>
  <c r="BF36" i="93"/>
  <c r="BJ36" i="93"/>
  <c r="BN36" i="93"/>
  <c r="BR36" i="93"/>
  <c r="BV36" i="93"/>
  <c r="BZ36" i="93"/>
  <c r="CD36" i="93"/>
  <c r="CH36" i="93"/>
  <c r="CL36" i="93"/>
  <c r="CP36" i="93"/>
  <c r="CT36" i="93"/>
  <c r="BO36" i="93"/>
  <c r="CA36" i="93"/>
  <c r="CM36" i="93"/>
  <c r="CL58" i="100"/>
  <c r="BQ58" i="100"/>
  <c r="BR58" i="100"/>
  <c r="BS58" i="100"/>
  <c r="BL58" i="100"/>
  <c r="CE58" i="100"/>
  <c r="CU58" i="100"/>
  <c r="BV58" i="100"/>
  <c r="CK58" i="100"/>
  <c r="BU58" i="100"/>
  <c r="CF58" i="100"/>
  <c r="CP58" i="100"/>
  <c r="CM58" i="100"/>
  <c r="CN58" i="100"/>
  <c r="CO58" i="100"/>
  <c r="CX58" i="100"/>
  <c r="CI58" i="100"/>
  <c r="CT58" i="100"/>
  <c r="CG58" i="100"/>
  <c r="CZ58" i="100"/>
  <c r="CB58" i="100"/>
  <c r="CQ58" i="100"/>
  <c r="CR58" i="100"/>
  <c r="CS58" i="100"/>
  <c r="CA58" i="100"/>
  <c r="CD58" i="100"/>
  <c r="DA58" i="100"/>
  <c r="CC58" i="100"/>
  <c r="CV58" i="100"/>
  <c r="BX58" i="100"/>
  <c r="BM58" i="100"/>
  <c r="BN58" i="100"/>
  <c r="BO58" i="100"/>
  <c r="BP58" i="100"/>
  <c r="CH58" i="100"/>
  <c r="CY58" i="100"/>
  <c r="BW58" i="100"/>
  <c r="BZ58" i="100"/>
  <c r="CW58" i="100"/>
  <c r="BY58" i="100"/>
  <c r="CJ58" i="100"/>
  <c r="BT58" i="100"/>
  <c r="BP50" i="100"/>
  <c r="CL50" i="100"/>
  <c r="BQ50" i="100"/>
  <c r="BR50" i="100"/>
  <c r="BS50" i="100"/>
  <c r="BL50" i="100"/>
  <c r="CG50" i="100"/>
  <c r="CV50" i="100"/>
  <c r="CJ50" i="100"/>
  <c r="BT50" i="100"/>
  <c r="CP50" i="100"/>
  <c r="CM50" i="100"/>
  <c r="CN50" i="100"/>
  <c r="CO50" i="100"/>
  <c r="CK50" i="100"/>
  <c r="BU50" i="100"/>
  <c r="CB50" i="100"/>
  <c r="CI50" i="100"/>
  <c r="CA50" i="100"/>
  <c r="BW50" i="100"/>
  <c r="CT50" i="100"/>
  <c r="CD50" i="100"/>
  <c r="BV50" i="100"/>
  <c r="CQ50" i="100"/>
  <c r="CR50" i="100"/>
  <c r="CS50" i="100"/>
  <c r="DA50" i="100"/>
  <c r="CW50" i="100"/>
  <c r="BY50" i="100"/>
  <c r="CZ50" i="100"/>
  <c r="CF50" i="100"/>
  <c r="BX50" i="100"/>
  <c r="CE50" i="100"/>
  <c r="CU50" i="100"/>
  <c r="CH50" i="100"/>
  <c r="BM50" i="100"/>
  <c r="BN50" i="100"/>
  <c r="BO50" i="100"/>
  <c r="CC50" i="100"/>
  <c r="CY50" i="100"/>
  <c r="CX50" i="100"/>
  <c r="BZ50" i="100"/>
  <c r="BF17" i="93"/>
  <c r="BJ17" i="93"/>
  <c r="BN17" i="93"/>
  <c r="BR17" i="93"/>
  <c r="BV17" i="93"/>
  <c r="BZ17" i="93"/>
  <c r="CD17" i="93"/>
  <c r="CH17" i="93"/>
  <c r="CL17" i="93"/>
  <c r="CP17" i="93"/>
  <c r="CT17" i="93"/>
  <c r="BM17" i="93"/>
  <c r="BY17" i="93"/>
  <c r="CO17" i="93"/>
  <c r="BG17" i="93"/>
  <c r="BK17" i="93"/>
  <c r="BO17" i="93"/>
  <c r="BS17" i="93"/>
  <c r="BW17" i="93"/>
  <c r="CA17" i="93"/>
  <c r="CE17" i="93"/>
  <c r="CI17" i="93"/>
  <c r="CM17" i="93"/>
  <c r="CQ17" i="93"/>
  <c r="CU17" i="93"/>
  <c r="BI17" i="93"/>
  <c r="BU17" i="93"/>
  <c r="CK17" i="93"/>
  <c r="BH17" i="93"/>
  <c r="BL17" i="93"/>
  <c r="BP17" i="93"/>
  <c r="BT17" i="93"/>
  <c r="BX17" i="93"/>
  <c r="CB17" i="93"/>
  <c r="CF17" i="93"/>
  <c r="CJ17" i="93"/>
  <c r="CN17" i="93"/>
  <c r="CR17" i="93"/>
  <c r="BQ17" i="93"/>
  <c r="CC17" i="93"/>
  <c r="CG17" i="93"/>
  <c r="CS17" i="93"/>
  <c r="CD26" i="100"/>
  <c r="BS26" i="100"/>
  <c r="CM26" i="100"/>
  <c r="BL26" i="100"/>
  <c r="CJ26" i="100"/>
  <c r="CZ26" i="100"/>
  <c r="CC26" i="100"/>
  <c r="CW26" i="100"/>
  <c r="CT26" i="100"/>
  <c r="BQ26" i="100"/>
  <c r="CI26" i="100"/>
  <c r="BP26" i="100"/>
  <c r="CP26" i="100"/>
  <c r="CL26" i="100"/>
  <c r="CX26" i="100"/>
  <c r="BW26" i="100"/>
  <c r="CQ26" i="100"/>
  <c r="BT26" i="100"/>
  <c r="CN26" i="100"/>
  <c r="BM26" i="100"/>
  <c r="CK26" i="100"/>
  <c r="DA26" i="100"/>
  <c r="BZ26" i="100"/>
  <c r="BR26" i="100"/>
  <c r="BV26" i="100"/>
  <c r="BN26" i="100"/>
  <c r="CA26" i="100"/>
  <c r="CU26" i="100"/>
  <c r="BX26" i="100"/>
  <c r="CR26" i="100"/>
  <c r="BU26" i="100"/>
  <c r="CO26" i="100"/>
  <c r="BO26" i="100"/>
  <c r="CH26" i="100"/>
  <c r="CE26" i="100"/>
  <c r="CY26" i="100"/>
  <c r="CB26" i="100"/>
  <c r="CV26" i="100"/>
  <c r="BY26" i="100"/>
  <c r="CS26" i="100"/>
  <c r="CG26" i="100"/>
  <c r="CF26" i="100"/>
  <c r="BF13" i="93"/>
  <c r="BJ13" i="93"/>
  <c r="BN13" i="93"/>
  <c r="BR13" i="93"/>
  <c r="BV13" i="93"/>
  <c r="BZ13" i="93"/>
  <c r="CD13" i="93"/>
  <c r="CH13" i="93"/>
  <c r="CL13" i="93"/>
  <c r="CP13" i="93"/>
  <c r="CT13" i="93"/>
  <c r="BI13" i="93"/>
  <c r="BU13" i="93"/>
  <c r="CG13" i="93"/>
  <c r="CS13" i="93"/>
  <c r="BG13" i="93"/>
  <c r="BK13" i="93"/>
  <c r="BO13" i="93"/>
  <c r="BS13" i="93"/>
  <c r="BW13" i="93"/>
  <c r="CA13" i="93"/>
  <c r="CE13" i="93"/>
  <c r="CI13" i="93"/>
  <c r="CM13" i="93"/>
  <c r="CQ13" i="93"/>
  <c r="CU13" i="93"/>
  <c r="BM13" i="93"/>
  <c r="BY13" i="93"/>
  <c r="CK13" i="93"/>
  <c r="BH13" i="93"/>
  <c r="BL13" i="93"/>
  <c r="BP13" i="93"/>
  <c r="BT13" i="93"/>
  <c r="BX13" i="93"/>
  <c r="CB13" i="93"/>
  <c r="CF13" i="93"/>
  <c r="CJ13" i="93"/>
  <c r="CN13" i="93"/>
  <c r="CR13" i="93"/>
  <c r="BQ13" i="93"/>
  <c r="CC13" i="93"/>
  <c r="CO13" i="93"/>
  <c r="BH10" i="93"/>
  <c r="BL10" i="93"/>
  <c r="BP10" i="93"/>
  <c r="BT10" i="93"/>
  <c r="BX10" i="93"/>
  <c r="CB10" i="93"/>
  <c r="CF10" i="93"/>
  <c r="CJ10" i="93"/>
  <c r="CN10" i="93"/>
  <c r="CR10" i="93"/>
  <c r="BG10" i="93"/>
  <c r="BS10" i="93"/>
  <c r="CE10" i="93"/>
  <c r="CQ10" i="93"/>
  <c r="BI10" i="93"/>
  <c r="BM10" i="93"/>
  <c r="BQ10" i="93"/>
  <c r="BU10" i="93"/>
  <c r="BY10" i="93"/>
  <c r="CC10" i="93"/>
  <c r="CG10" i="93"/>
  <c r="CK10" i="93"/>
  <c r="CO10" i="93"/>
  <c r="CS10" i="93"/>
  <c r="BO10" i="93"/>
  <c r="CA10" i="93"/>
  <c r="CM10" i="93"/>
  <c r="BF10" i="93"/>
  <c r="BJ10" i="93"/>
  <c r="BN10" i="93"/>
  <c r="BR10" i="93"/>
  <c r="BV10" i="93"/>
  <c r="BZ10" i="93"/>
  <c r="CD10" i="93"/>
  <c r="CH10" i="93"/>
  <c r="CL10" i="93"/>
  <c r="CP10" i="93"/>
  <c r="CT10" i="93"/>
  <c r="BK10" i="93"/>
  <c r="BW10" i="93"/>
  <c r="CI10" i="93"/>
  <c r="CU10" i="93"/>
  <c r="BF7" i="93"/>
  <c r="BJ7" i="93"/>
  <c r="BN7" i="93"/>
  <c r="BR7" i="93"/>
  <c r="BV7" i="93"/>
  <c r="BZ7" i="93"/>
  <c r="CD7" i="93"/>
  <c r="CH7" i="93"/>
  <c r="CL7" i="93"/>
  <c r="CP7" i="93"/>
  <c r="CT7" i="93"/>
  <c r="BM7" i="93"/>
  <c r="BY7" i="93"/>
  <c r="CK7" i="93"/>
  <c r="BG7" i="93"/>
  <c r="BK7" i="93"/>
  <c r="BO7" i="93"/>
  <c r="BS7" i="93"/>
  <c r="BW7" i="93"/>
  <c r="CA7" i="93"/>
  <c r="CE7" i="93"/>
  <c r="CI7" i="93"/>
  <c r="CM7" i="93"/>
  <c r="CQ7" i="93"/>
  <c r="CU7" i="93"/>
  <c r="BI7" i="93"/>
  <c r="BU7" i="93"/>
  <c r="CG7" i="93"/>
  <c r="CS7" i="93"/>
  <c r="BH7" i="93"/>
  <c r="BL7" i="93"/>
  <c r="BP7" i="93"/>
  <c r="BT7" i="93"/>
  <c r="BX7" i="93"/>
  <c r="CB7" i="93"/>
  <c r="CF7" i="93"/>
  <c r="CJ7" i="93"/>
  <c r="CN7" i="93"/>
  <c r="CR7" i="93"/>
  <c r="BQ7" i="93"/>
  <c r="CC7" i="93"/>
  <c r="CO7" i="93"/>
  <c r="BM39" i="100"/>
  <c r="BS39" i="100"/>
  <c r="BR39" i="100"/>
  <c r="CM39" i="100"/>
  <c r="CW39" i="100"/>
  <c r="BY39" i="100"/>
  <c r="CZ39" i="100"/>
  <c r="CV39" i="100"/>
  <c r="CJ39" i="100"/>
  <c r="BT39" i="100"/>
  <c r="CY39" i="100"/>
  <c r="CP39" i="100"/>
  <c r="BO39" i="100"/>
  <c r="BN39" i="100"/>
  <c r="BQ39" i="100"/>
  <c r="DA39" i="100"/>
  <c r="CC39" i="100"/>
  <c r="CF39" i="100"/>
  <c r="CA39" i="100"/>
  <c r="BW39" i="100"/>
  <c r="CX39" i="100"/>
  <c r="CH39" i="100"/>
  <c r="BZ39" i="100"/>
  <c r="CL39" i="100"/>
  <c r="BL39" i="100"/>
  <c r="CS39" i="100"/>
  <c r="CR39" i="100"/>
  <c r="CG39" i="100"/>
  <c r="CB39" i="100"/>
  <c r="CE39" i="100"/>
  <c r="CI39" i="100"/>
  <c r="BP39" i="100"/>
  <c r="CO39" i="100"/>
  <c r="CN39" i="100"/>
  <c r="CQ39" i="100"/>
  <c r="CK39" i="100"/>
  <c r="BU39" i="100"/>
  <c r="BX39" i="100"/>
  <c r="CU39" i="100"/>
  <c r="CT39" i="100"/>
  <c r="CD39" i="100"/>
  <c r="BV39" i="100"/>
  <c r="BF19" i="93"/>
  <c r="BJ19" i="93"/>
  <c r="BN19" i="93"/>
  <c r="BR19" i="93"/>
  <c r="BV19" i="93"/>
  <c r="BZ19" i="93"/>
  <c r="CD19" i="93"/>
  <c r="CH19" i="93"/>
  <c r="CL19" i="93"/>
  <c r="CP19" i="93"/>
  <c r="CT19" i="93"/>
  <c r="BQ19" i="93"/>
  <c r="CC19" i="93"/>
  <c r="CO19" i="93"/>
  <c r="BG19" i="93"/>
  <c r="BK19" i="93"/>
  <c r="BO19" i="93"/>
  <c r="BS19" i="93"/>
  <c r="BW19" i="93"/>
  <c r="CA19" i="93"/>
  <c r="CE19" i="93"/>
  <c r="CI19" i="93"/>
  <c r="CM19" i="93"/>
  <c r="CQ19" i="93"/>
  <c r="CU19" i="93"/>
  <c r="BM19" i="93"/>
  <c r="BY19" i="93"/>
  <c r="CK19" i="93"/>
  <c r="BH19" i="93"/>
  <c r="BL19" i="93"/>
  <c r="BP19" i="93"/>
  <c r="BT19" i="93"/>
  <c r="BX19" i="93"/>
  <c r="CB19" i="93"/>
  <c r="CF19" i="93"/>
  <c r="CJ19" i="93"/>
  <c r="CN19" i="93"/>
  <c r="CR19" i="93"/>
  <c r="BI19" i="93"/>
  <c r="BU19" i="93"/>
  <c r="CG19" i="93"/>
  <c r="CS19" i="93"/>
  <c r="BM43" i="100"/>
  <c r="CL43" i="100"/>
  <c r="BL43" i="100"/>
  <c r="BS43" i="100"/>
  <c r="BR43" i="100"/>
  <c r="CG43" i="100"/>
  <c r="CF43" i="100"/>
  <c r="CE43" i="100"/>
  <c r="CI43" i="100"/>
  <c r="BP43" i="100"/>
  <c r="BO43" i="100"/>
  <c r="BN43" i="100"/>
  <c r="CQ43" i="100"/>
  <c r="CK43" i="100"/>
  <c r="BU43" i="100"/>
  <c r="CB43" i="100"/>
  <c r="BX43" i="100"/>
  <c r="CU43" i="100"/>
  <c r="CT43" i="100"/>
  <c r="CD43" i="100"/>
  <c r="BV43" i="100"/>
  <c r="CS43" i="100"/>
  <c r="CR43" i="100"/>
  <c r="CM43" i="100"/>
  <c r="CW43" i="100"/>
  <c r="BY43" i="100"/>
  <c r="CZ43" i="100"/>
  <c r="CJ43" i="100"/>
  <c r="BT43" i="100"/>
  <c r="CY43" i="100"/>
  <c r="CP43" i="100"/>
  <c r="CO43" i="100"/>
  <c r="CN43" i="100"/>
  <c r="BQ43" i="100"/>
  <c r="DA43" i="100"/>
  <c r="CC43" i="100"/>
  <c r="CV43" i="100"/>
  <c r="CA43" i="100"/>
  <c r="BW43" i="100"/>
  <c r="CX43" i="100"/>
  <c r="CH43" i="100"/>
  <c r="BZ43" i="100"/>
  <c r="BH60" i="93"/>
  <c r="BL60" i="93"/>
  <c r="BP60" i="93"/>
  <c r="BT60" i="93"/>
  <c r="BX60" i="93"/>
  <c r="CB60" i="93"/>
  <c r="CF60" i="93"/>
  <c r="CJ60" i="93"/>
  <c r="CN60" i="93"/>
  <c r="CR60" i="93"/>
  <c r="BK60" i="93"/>
  <c r="BW60" i="93"/>
  <c r="CI60" i="93"/>
  <c r="CU60" i="93"/>
  <c r="BI60" i="93"/>
  <c r="BM60" i="93"/>
  <c r="BQ60" i="93"/>
  <c r="BU60" i="93"/>
  <c r="BY60" i="93"/>
  <c r="CC60" i="93"/>
  <c r="CG60" i="93"/>
  <c r="CK60" i="93"/>
  <c r="CO60" i="93"/>
  <c r="CS60" i="93"/>
  <c r="BO60" i="93"/>
  <c r="CA60" i="93"/>
  <c r="CM60" i="93"/>
  <c r="BF60" i="93"/>
  <c r="BJ60" i="93"/>
  <c r="BN60" i="93"/>
  <c r="BR60" i="93"/>
  <c r="BV60" i="93"/>
  <c r="BZ60" i="93"/>
  <c r="CD60" i="93"/>
  <c r="CH60" i="93"/>
  <c r="CL60" i="93"/>
  <c r="CP60" i="93"/>
  <c r="CT60" i="93"/>
  <c r="BG60" i="93"/>
  <c r="BS60" i="93"/>
  <c r="CE60" i="93"/>
  <c r="CQ60" i="93"/>
  <c r="BM40" i="100"/>
  <c r="CP40" i="100"/>
  <c r="BS40" i="100"/>
  <c r="BR40" i="100"/>
  <c r="CQ40" i="100"/>
  <c r="CW40" i="100"/>
  <c r="BY40" i="100"/>
  <c r="CZ40" i="100"/>
  <c r="CF40" i="100"/>
  <c r="BX40" i="100"/>
  <c r="CE40" i="100"/>
  <c r="CU40" i="100"/>
  <c r="CI40" i="100"/>
  <c r="CD40" i="100"/>
  <c r="BL40" i="100"/>
  <c r="CL40" i="100"/>
  <c r="BO40" i="100"/>
  <c r="BN40" i="100"/>
  <c r="CM40" i="100"/>
  <c r="DA40" i="100"/>
  <c r="CC40" i="100"/>
  <c r="CV40" i="100"/>
  <c r="CY40" i="100"/>
  <c r="CX40" i="100"/>
  <c r="BZ40" i="100"/>
  <c r="BP40" i="100"/>
  <c r="CS40" i="100"/>
  <c r="CR40" i="100"/>
  <c r="BQ40" i="100"/>
  <c r="CG40" i="100"/>
  <c r="CJ40" i="100"/>
  <c r="CB40" i="100"/>
  <c r="BT40" i="100"/>
  <c r="CT40" i="100"/>
  <c r="CH40" i="100"/>
  <c r="BV40" i="100"/>
  <c r="CO40" i="100"/>
  <c r="CN40" i="100"/>
  <c r="CK40" i="100"/>
  <c r="BU40" i="100"/>
  <c r="CA40" i="100"/>
  <c r="BW40" i="100"/>
  <c r="BH6" i="93"/>
  <c r="BL6" i="93"/>
  <c r="BP6" i="93"/>
  <c r="BT6" i="93"/>
  <c r="BX6" i="93"/>
  <c r="CB6" i="93"/>
  <c r="CF6" i="93"/>
  <c r="CJ6" i="93"/>
  <c r="CN6" i="93"/>
  <c r="CR6" i="93"/>
  <c r="BG6" i="93"/>
  <c r="CE6" i="93"/>
  <c r="CQ6" i="93"/>
  <c r="BI6" i="93"/>
  <c r="BM6" i="93"/>
  <c r="BQ6" i="93"/>
  <c r="BU6" i="93"/>
  <c r="BY6" i="93"/>
  <c r="CC6" i="93"/>
  <c r="CG6" i="93"/>
  <c r="CK6" i="93"/>
  <c r="CO6" i="93"/>
  <c r="CS6" i="93"/>
  <c r="BO6" i="93"/>
  <c r="CA6" i="93"/>
  <c r="CM6" i="93"/>
  <c r="BF6" i="93"/>
  <c r="BJ6" i="93"/>
  <c r="BN6" i="93"/>
  <c r="BR6" i="93"/>
  <c r="BV6" i="93"/>
  <c r="BZ6" i="93"/>
  <c r="CD6" i="93"/>
  <c r="CH6" i="93"/>
  <c r="CL6" i="93"/>
  <c r="CP6" i="93"/>
  <c r="CT6" i="93"/>
  <c r="BK6" i="93"/>
  <c r="BS6" i="93"/>
  <c r="BW6" i="93"/>
  <c r="CI6" i="93"/>
  <c r="CU6" i="93"/>
  <c r="BP41" i="100"/>
  <c r="BM41" i="100"/>
  <c r="BN41" i="100"/>
  <c r="BO41" i="100"/>
  <c r="CK41" i="100"/>
  <c r="BU41" i="100"/>
  <c r="CB41" i="100"/>
  <c r="BX41" i="100"/>
  <c r="CU41" i="100"/>
  <c r="CT41" i="100"/>
  <c r="CD41" i="100"/>
  <c r="BV41" i="100"/>
  <c r="CL41" i="100"/>
  <c r="BQ41" i="100"/>
  <c r="BR41" i="100"/>
  <c r="BS41" i="100"/>
  <c r="BL41" i="100"/>
  <c r="CW41" i="100"/>
  <c r="BY41" i="100"/>
  <c r="CZ41" i="100"/>
  <c r="CV41" i="100"/>
  <c r="CY41" i="100"/>
  <c r="CP41" i="100"/>
  <c r="CM41" i="100"/>
  <c r="CN41" i="100"/>
  <c r="CO41" i="100"/>
  <c r="DA41" i="100"/>
  <c r="CC41" i="100"/>
  <c r="CJ41" i="100"/>
  <c r="BT41" i="100"/>
  <c r="CA41" i="100"/>
  <c r="BW41" i="100"/>
  <c r="CX41" i="100"/>
  <c r="CH41" i="100"/>
  <c r="BZ41" i="100"/>
  <c r="CQ41" i="100"/>
  <c r="CR41" i="100"/>
  <c r="CS41" i="100"/>
  <c r="CG41" i="100"/>
  <c r="CF41" i="100"/>
  <c r="CE41" i="100"/>
  <c r="CI41" i="100"/>
  <c r="BH54" i="93"/>
  <c r="BL54" i="93"/>
  <c r="BP54" i="93"/>
  <c r="BT54" i="93"/>
  <c r="BX54" i="93"/>
  <c r="CB54" i="93"/>
  <c r="CF54" i="93"/>
  <c r="CJ54" i="93"/>
  <c r="CN54" i="93"/>
  <c r="CR54" i="93"/>
  <c r="BK54" i="93"/>
  <c r="BW54" i="93"/>
  <c r="CI54" i="93"/>
  <c r="CU54" i="93"/>
  <c r="BI54" i="93"/>
  <c r="BM54" i="93"/>
  <c r="BQ54" i="93"/>
  <c r="BU54" i="93"/>
  <c r="BY54" i="93"/>
  <c r="CC54" i="93"/>
  <c r="CG54" i="93"/>
  <c r="CK54" i="93"/>
  <c r="CO54" i="93"/>
  <c r="CS54" i="93"/>
  <c r="BO54" i="93"/>
  <c r="CA54" i="93"/>
  <c r="CM54" i="93"/>
  <c r="BF54" i="93"/>
  <c r="BJ54" i="93"/>
  <c r="BN54" i="93"/>
  <c r="BR54" i="93"/>
  <c r="BV54" i="93"/>
  <c r="BZ54" i="93"/>
  <c r="CD54" i="93"/>
  <c r="CH54" i="93"/>
  <c r="CL54" i="93"/>
  <c r="CP54" i="93"/>
  <c r="CT54" i="93"/>
  <c r="BG54" i="93"/>
  <c r="BS54" i="93"/>
  <c r="CE54" i="93"/>
  <c r="CQ54" i="93"/>
  <c r="BM59" i="100"/>
  <c r="CP59" i="100"/>
  <c r="BS59" i="100"/>
  <c r="BR59" i="100"/>
  <c r="BU59" i="100"/>
  <c r="CW59" i="100"/>
  <c r="CJ59" i="100"/>
  <c r="BT59" i="100"/>
  <c r="CI59" i="100"/>
  <c r="CT59" i="100"/>
  <c r="BV59" i="100"/>
  <c r="CA59" i="100"/>
  <c r="BO59" i="100"/>
  <c r="BN59" i="100"/>
  <c r="CQ59" i="100"/>
  <c r="CK59" i="100"/>
  <c r="CF59" i="100"/>
  <c r="CE59" i="100"/>
  <c r="CH59" i="100"/>
  <c r="BW59" i="100"/>
  <c r="CS59" i="100"/>
  <c r="CR59" i="100"/>
  <c r="CC59" i="100"/>
  <c r="CM59" i="100"/>
  <c r="CG59" i="100"/>
  <c r="CZ59" i="100"/>
  <c r="CB59" i="100"/>
  <c r="CY59" i="100"/>
  <c r="CD59" i="100"/>
  <c r="BL59" i="100"/>
  <c r="CL59" i="100"/>
  <c r="BP59" i="100"/>
  <c r="CO59" i="100"/>
  <c r="CN59" i="100"/>
  <c r="BY59" i="100"/>
  <c r="BQ59" i="100"/>
  <c r="DA59" i="100"/>
  <c r="CV59" i="100"/>
  <c r="BX59" i="100"/>
  <c r="CU59" i="100"/>
  <c r="CX59" i="100"/>
  <c r="BZ59" i="100"/>
  <c r="BF63" i="93"/>
  <c r="BJ63" i="93"/>
  <c r="BN63" i="93"/>
  <c r="BR63" i="93"/>
  <c r="BV63" i="93"/>
  <c r="BZ63" i="93"/>
  <c r="CD63" i="93"/>
  <c r="CH63" i="93"/>
  <c r="CL63" i="93"/>
  <c r="CP63" i="93"/>
  <c r="CT63" i="93"/>
  <c r="BM63" i="93"/>
  <c r="BY63" i="93"/>
  <c r="CK63" i="93"/>
  <c r="BG63" i="93"/>
  <c r="BK63" i="93"/>
  <c r="BO63" i="93"/>
  <c r="BS63" i="93"/>
  <c r="BW63" i="93"/>
  <c r="CA63" i="93"/>
  <c r="CE63" i="93"/>
  <c r="CI63" i="93"/>
  <c r="CM63" i="93"/>
  <c r="CQ63" i="93"/>
  <c r="CU63" i="93"/>
  <c r="BI63" i="93"/>
  <c r="BU63" i="93"/>
  <c r="CG63" i="93"/>
  <c r="CS63" i="93"/>
  <c r="BH63" i="93"/>
  <c r="BL63" i="93"/>
  <c r="BP63" i="93"/>
  <c r="BT63" i="93"/>
  <c r="BX63" i="93"/>
  <c r="CB63" i="93"/>
  <c r="CF63" i="93"/>
  <c r="CJ63" i="93"/>
  <c r="CN63" i="93"/>
  <c r="CR63" i="93"/>
  <c r="BQ63" i="93"/>
  <c r="CC63" i="93"/>
  <c r="CO63" i="93"/>
  <c r="CH16" i="100"/>
  <c r="CB16" i="100"/>
  <c r="CR16" i="100"/>
  <c r="BY16" i="100"/>
  <c r="CT16" i="100"/>
  <c r="CE16" i="100"/>
  <c r="DA16" i="100"/>
  <c r="CG16" i="100"/>
  <c r="BN16" i="100"/>
  <c r="BR16" i="100"/>
  <c r="BP16" i="100"/>
  <c r="BO16" i="100"/>
  <c r="BL16" i="100"/>
  <c r="CF16" i="100"/>
  <c r="CV16" i="100"/>
  <c r="CD16" i="100"/>
  <c r="CY16" i="100"/>
  <c r="CK16" i="100"/>
  <c r="BM16" i="100"/>
  <c r="CL16" i="100"/>
  <c r="CS16" i="100"/>
  <c r="BT16" i="100"/>
  <c r="CJ16" i="100"/>
  <c r="CZ16" i="100"/>
  <c r="CI16" i="100"/>
  <c r="BU16" i="100"/>
  <c r="CP16" i="100"/>
  <c r="BV16" i="100"/>
  <c r="CQ16" i="100"/>
  <c r="CX16" i="100"/>
  <c r="BW16" i="100"/>
  <c r="BQ16" i="100"/>
  <c r="BX16" i="100"/>
  <c r="CN16" i="100"/>
  <c r="BS16" i="100"/>
  <c r="CO16" i="100"/>
  <c r="BZ16" i="100"/>
  <c r="CU16" i="100"/>
  <c r="CA16" i="100"/>
  <c r="CW16" i="100"/>
  <c r="CC16" i="100"/>
  <c r="CM16" i="100"/>
  <c r="BH62" i="93"/>
  <c r="BL62" i="93"/>
  <c r="BP62" i="93"/>
  <c r="BT62" i="93"/>
  <c r="BX62" i="93"/>
  <c r="CB62" i="93"/>
  <c r="CF62" i="93"/>
  <c r="CJ62" i="93"/>
  <c r="CN62" i="93"/>
  <c r="CR62" i="93"/>
  <c r="BK62" i="93"/>
  <c r="BW62" i="93"/>
  <c r="CI62" i="93"/>
  <c r="CU62" i="93"/>
  <c r="BI62" i="93"/>
  <c r="BM62" i="93"/>
  <c r="BQ62" i="93"/>
  <c r="BU62" i="93"/>
  <c r="BY62" i="93"/>
  <c r="CC62" i="93"/>
  <c r="CG62" i="93"/>
  <c r="CK62" i="93"/>
  <c r="CO62" i="93"/>
  <c r="CS62" i="93"/>
  <c r="BO62" i="93"/>
  <c r="CA62" i="93"/>
  <c r="CM62" i="93"/>
  <c r="BF62" i="93"/>
  <c r="BJ62" i="93"/>
  <c r="BN62" i="93"/>
  <c r="BR62" i="93"/>
  <c r="BV62" i="93"/>
  <c r="BZ62" i="93"/>
  <c r="CD62" i="93"/>
  <c r="CH62" i="93"/>
  <c r="CL62" i="93"/>
  <c r="CP62" i="93"/>
  <c r="CT62" i="93"/>
  <c r="BG62" i="93"/>
  <c r="BS62" i="93"/>
  <c r="CE62" i="93"/>
  <c r="CQ62" i="93"/>
  <c r="CL66" i="100"/>
  <c r="CP66" i="100"/>
  <c r="BQ66" i="100"/>
  <c r="BR66" i="100"/>
  <c r="BS66" i="100"/>
  <c r="BL66" i="100"/>
  <c r="CI66" i="100"/>
  <c r="CD66" i="100"/>
  <c r="DA66" i="100"/>
  <c r="CC66" i="100"/>
  <c r="CF66" i="100"/>
  <c r="CM66" i="100"/>
  <c r="CN66" i="100"/>
  <c r="CO66" i="100"/>
  <c r="CE66" i="100"/>
  <c r="CX66" i="100"/>
  <c r="BZ66" i="100"/>
  <c r="CW66" i="100"/>
  <c r="BY66" i="100"/>
  <c r="CZ66" i="100"/>
  <c r="CB66" i="100"/>
  <c r="CQ66" i="100"/>
  <c r="CR66" i="100"/>
  <c r="CS66" i="100"/>
  <c r="BP66" i="100"/>
  <c r="CY66" i="100"/>
  <c r="CA66" i="100"/>
  <c r="CT66" i="100"/>
  <c r="BV66" i="100"/>
  <c r="CK66" i="100"/>
  <c r="BU66" i="100"/>
  <c r="CV66" i="100"/>
  <c r="BX66" i="100"/>
  <c r="BM66" i="100"/>
  <c r="BN66" i="100"/>
  <c r="BO66" i="100"/>
  <c r="CU66" i="100"/>
  <c r="BW66" i="100"/>
  <c r="CH66" i="100"/>
  <c r="CG66" i="100"/>
  <c r="CJ66" i="100"/>
  <c r="BT66" i="100"/>
  <c r="BF25" i="93"/>
  <c r="BJ25" i="93"/>
  <c r="BN25" i="93"/>
  <c r="BR25" i="93"/>
  <c r="BV25" i="93"/>
  <c r="BZ25" i="93"/>
  <c r="CD25" i="93"/>
  <c r="CH25" i="93"/>
  <c r="CL25" i="93"/>
  <c r="CP25" i="93"/>
  <c r="CT25" i="93"/>
  <c r="BQ25" i="93"/>
  <c r="CC25" i="93"/>
  <c r="CO25" i="93"/>
  <c r="BG25" i="93"/>
  <c r="BK25" i="93"/>
  <c r="BO25" i="93"/>
  <c r="BS25" i="93"/>
  <c r="BW25" i="93"/>
  <c r="CA25" i="93"/>
  <c r="CE25" i="93"/>
  <c r="CI25" i="93"/>
  <c r="CM25" i="93"/>
  <c r="CQ25" i="93"/>
  <c r="CU25" i="93"/>
  <c r="BM25" i="93"/>
  <c r="BY25" i="93"/>
  <c r="CK25" i="93"/>
  <c r="BH25" i="93"/>
  <c r="BL25" i="93"/>
  <c r="BP25" i="93"/>
  <c r="BT25" i="93"/>
  <c r="BX25" i="93"/>
  <c r="CB25" i="93"/>
  <c r="CF25" i="93"/>
  <c r="CJ25" i="93"/>
  <c r="CN25" i="93"/>
  <c r="CR25" i="93"/>
  <c r="BI25" i="93"/>
  <c r="BU25" i="93"/>
  <c r="CG25" i="93"/>
  <c r="CS25" i="93"/>
  <c r="BF21" i="93"/>
  <c r="BJ21" i="93"/>
  <c r="BN21" i="93"/>
  <c r="BR21" i="93"/>
  <c r="BV21" i="93"/>
  <c r="BZ21" i="93"/>
  <c r="CD21" i="93"/>
  <c r="CH21" i="93"/>
  <c r="CL21" i="93"/>
  <c r="CP21" i="93"/>
  <c r="CT21" i="93"/>
  <c r="BQ21" i="93"/>
  <c r="CC21" i="93"/>
  <c r="CO21" i="93"/>
  <c r="BG21" i="93"/>
  <c r="BK21" i="93"/>
  <c r="BO21" i="93"/>
  <c r="BS21" i="93"/>
  <c r="BW21" i="93"/>
  <c r="CA21" i="93"/>
  <c r="CE21" i="93"/>
  <c r="CI21" i="93"/>
  <c r="CM21" i="93"/>
  <c r="CQ21" i="93"/>
  <c r="CU21" i="93"/>
  <c r="BM21" i="93"/>
  <c r="BY21" i="93"/>
  <c r="CK21" i="93"/>
  <c r="BH21" i="93"/>
  <c r="BL21" i="93"/>
  <c r="BP21" i="93"/>
  <c r="BT21" i="93"/>
  <c r="BX21" i="93"/>
  <c r="CB21" i="93"/>
  <c r="CF21" i="93"/>
  <c r="CJ21" i="93"/>
  <c r="CN21" i="93"/>
  <c r="CR21" i="93"/>
  <c r="BI21" i="93"/>
  <c r="BU21" i="93"/>
  <c r="CG21" i="93"/>
  <c r="CS21" i="93"/>
  <c r="CP61" i="100"/>
  <c r="BM61" i="100"/>
  <c r="BN61" i="100"/>
  <c r="BO61" i="100"/>
  <c r="CK61" i="100"/>
  <c r="BU61" i="100"/>
  <c r="CF61" i="100"/>
  <c r="CE61" i="100"/>
  <c r="CH61" i="100"/>
  <c r="BP61" i="100"/>
  <c r="CL61" i="100"/>
  <c r="BQ61" i="100"/>
  <c r="BR61" i="100"/>
  <c r="BS61" i="100"/>
  <c r="CG61" i="100"/>
  <c r="CZ61" i="100"/>
  <c r="CB61" i="100"/>
  <c r="CY61" i="100"/>
  <c r="CA61" i="100"/>
  <c r="CD61" i="100"/>
  <c r="CM61" i="100"/>
  <c r="CN61" i="100"/>
  <c r="CO61" i="100"/>
  <c r="DA61" i="100"/>
  <c r="CC61" i="100"/>
  <c r="CV61" i="100"/>
  <c r="BX61" i="100"/>
  <c r="CU61" i="100"/>
  <c r="BW61" i="100"/>
  <c r="CX61" i="100"/>
  <c r="BZ61" i="100"/>
  <c r="CQ61" i="100"/>
  <c r="CR61" i="100"/>
  <c r="CS61" i="100"/>
  <c r="BL61" i="100"/>
  <c r="CW61" i="100"/>
  <c r="BY61" i="100"/>
  <c r="CJ61" i="100"/>
  <c r="BT61" i="100"/>
  <c r="CI61" i="100"/>
  <c r="CT61" i="100"/>
  <c r="BV61" i="100"/>
  <c r="BH20" i="93"/>
  <c r="BL20" i="93"/>
  <c r="BP20" i="93"/>
  <c r="BT20" i="93"/>
  <c r="BX20" i="93"/>
  <c r="CB20" i="93"/>
  <c r="CF20" i="93"/>
  <c r="CJ20" i="93"/>
  <c r="CN20" i="93"/>
  <c r="CR20" i="93"/>
  <c r="BK20" i="93"/>
  <c r="BW20" i="93"/>
  <c r="CI20" i="93"/>
  <c r="CU20" i="93"/>
  <c r="BI20" i="93"/>
  <c r="BM20" i="93"/>
  <c r="BQ20" i="93"/>
  <c r="BU20" i="93"/>
  <c r="BY20" i="93"/>
  <c r="CC20" i="93"/>
  <c r="CG20" i="93"/>
  <c r="CK20" i="93"/>
  <c r="CO20" i="93"/>
  <c r="CS20" i="93"/>
  <c r="BG20" i="93"/>
  <c r="BS20" i="93"/>
  <c r="CE20" i="93"/>
  <c r="CQ20" i="93"/>
  <c r="BF20" i="93"/>
  <c r="BJ20" i="93"/>
  <c r="BN20" i="93"/>
  <c r="BR20" i="93"/>
  <c r="BV20" i="93"/>
  <c r="BZ20" i="93"/>
  <c r="CD20" i="93"/>
  <c r="CH20" i="93"/>
  <c r="CL20" i="93"/>
  <c r="CP20" i="93"/>
  <c r="CT20" i="93"/>
  <c r="BO20" i="93"/>
  <c r="CA20" i="93"/>
  <c r="CM20" i="93"/>
  <c r="BH26" i="93"/>
  <c r="BL26" i="93"/>
  <c r="BP26" i="93"/>
  <c r="BT26" i="93"/>
  <c r="BX26" i="93"/>
  <c r="CB26" i="93"/>
  <c r="CF26" i="93"/>
  <c r="CJ26" i="93"/>
  <c r="CN26" i="93"/>
  <c r="CR26" i="93"/>
  <c r="BK26" i="93"/>
  <c r="BW26" i="93"/>
  <c r="CI26" i="93"/>
  <c r="CU26" i="93"/>
  <c r="BI26" i="93"/>
  <c r="BM26" i="93"/>
  <c r="BQ26" i="93"/>
  <c r="BU26" i="93"/>
  <c r="BY26" i="93"/>
  <c r="CC26" i="93"/>
  <c r="CG26" i="93"/>
  <c r="CK26" i="93"/>
  <c r="CO26" i="93"/>
  <c r="CS26" i="93"/>
  <c r="BG26" i="93"/>
  <c r="BS26" i="93"/>
  <c r="CE26" i="93"/>
  <c r="CQ26" i="93"/>
  <c r="BF26" i="93"/>
  <c r="BJ26" i="93"/>
  <c r="BN26" i="93"/>
  <c r="BR26" i="93"/>
  <c r="BV26" i="93"/>
  <c r="BZ26" i="93"/>
  <c r="CD26" i="93"/>
  <c r="CH26" i="93"/>
  <c r="CL26" i="93"/>
  <c r="CP26" i="93"/>
  <c r="CT26" i="93"/>
  <c r="BO26" i="93"/>
  <c r="CA26" i="93"/>
  <c r="CM26" i="93"/>
  <c r="BM48" i="100"/>
  <c r="CL48" i="100"/>
  <c r="CP48" i="100"/>
  <c r="BS48" i="100"/>
  <c r="BR48" i="100"/>
  <c r="CQ48" i="100"/>
  <c r="CK48" i="100"/>
  <c r="BU48" i="100"/>
  <c r="CB48" i="100"/>
  <c r="CI48" i="100"/>
  <c r="CA48" i="100"/>
  <c r="BW48" i="100"/>
  <c r="CT48" i="100"/>
  <c r="CD48" i="100"/>
  <c r="BV48" i="100"/>
  <c r="BL48" i="100"/>
  <c r="BO48" i="100"/>
  <c r="BN48" i="100"/>
  <c r="CM48" i="100"/>
  <c r="DA48" i="100"/>
  <c r="CW48" i="100"/>
  <c r="BY48" i="100"/>
  <c r="CZ48" i="100"/>
  <c r="CF48" i="100"/>
  <c r="BX48" i="100"/>
  <c r="CE48" i="100"/>
  <c r="CU48" i="100"/>
  <c r="CH48" i="100"/>
  <c r="BP48" i="100"/>
  <c r="CS48" i="100"/>
  <c r="CR48" i="100"/>
  <c r="BQ48" i="100"/>
  <c r="CC48" i="100"/>
  <c r="CY48" i="100"/>
  <c r="CX48" i="100"/>
  <c r="BZ48" i="100"/>
  <c r="CO48" i="100"/>
  <c r="CN48" i="100"/>
  <c r="CG48" i="100"/>
  <c r="CV48" i="100"/>
  <c r="CJ48" i="100"/>
  <c r="BT48" i="100"/>
  <c r="CW7" i="98"/>
  <c r="CW8" i="98"/>
  <c r="CW9" i="98"/>
  <c r="CO6" i="98"/>
  <c r="CW6" i="98" s="1"/>
  <c r="CO9" i="98"/>
  <c r="CO49" i="98"/>
  <c r="CO14" i="98"/>
  <c r="CO19" i="98"/>
  <c r="CW26" i="98" s="1"/>
  <c r="CO60" i="98"/>
  <c r="CW71" i="98" s="1"/>
  <c r="CO51" i="98"/>
  <c r="CW62" i="98" s="1"/>
  <c r="CO47" i="98"/>
  <c r="CW57" i="98" s="1"/>
  <c r="CO50" i="98"/>
  <c r="CW61" i="98" s="1"/>
  <c r="CO12" i="98"/>
  <c r="CW17" i="98" s="1"/>
  <c r="CO35" i="98"/>
  <c r="CW45" i="98" s="1"/>
  <c r="CO53" i="98"/>
  <c r="CW64" i="98" s="1"/>
  <c r="CO13" i="98"/>
  <c r="CW18" i="98" s="1"/>
  <c r="CO65" i="98"/>
  <c r="CW76" i="98" s="1"/>
  <c r="CO20" i="98"/>
  <c r="CW27" i="98" s="1"/>
  <c r="CO15" i="98"/>
  <c r="CW22" i="98" s="1"/>
  <c r="CO64" i="98"/>
  <c r="CW75" i="98" s="1"/>
  <c r="CO63" i="98"/>
  <c r="CW74" i="98" s="1"/>
  <c r="CO55" i="98"/>
  <c r="CW66" i="98" s="1"/>
  <c r="CO57" i="98"/>
  <c r="CW68" i="98" s="1"/>
  <c r="CO42" i="98"/>
  <c r="CW52" i="98" s="1"/>
  <c r="CO21" i="98"/>
  <c r="CW28" i="98" s="1"/>
  <c r="CO36" i="98"/>
  <c r="CW46" i="98" s="1"/>
  <c r="CO38" i="98"/>
  <c r="CW48" i="98" s="1"/>
  <c r="CO58" i="98"/>
  <c r="CW69" i="98" s="1"/>
  <c r="CO23" i="98"/>
  <c r="CW31" i="98" s="1"/>
  <c r="CO44" i="98"/>
  <c r="CW54" i="98" s="1"/>
  <c r="CO16" i="98"/>
  <c r="CW23" i="98" s="1"/>
  <c r="CO17" i="98"/>
  <c r="CO8" i="98"/>
  <c r="CO11" i="98"/>
  <c r="CO18" i="98"/>
  <c r="CW25" i="98" s="1"/>
  <c r="CO48" i="98"/>
  <c r="CW58" i="98" s="1"/>
  <c r="CO46" i="98"/>
  <c r="CW56" i="98" s="1"/>
  <c r="CO52" i="98"/>
  <c r="CW63" i="98" s="1"/>
  <c r="CO33" i="98"/>
  <c r="CO43" i="98"/>
  <c r="CW53" i="98" s="1"/>
  <c r="CO24" i="98"/>
  <c r="CW32" i="98" s="1"/>
  <c r="CO32" i="98"/>
  <c r="CW41" i="98" s="1"/>
  <c r="CO61" i="98"/>
  <c r="CW72" i="98" s="1"/>
  <c r="CO29" i="98"/>
  <c r="CW38" i="98" s="1"/>
  <c r="CO22" i="98"/>
  <c r="CO34" i="98"/>
  <c r="CW44" i="98" s="1"/>
  <c r="CO26" i="98"/>
  <c r="CW34" i="98" s="1"/>
  <c r="CO62" i="98"/>
  <c r="CW73" i="98" s="1"/>
  <c r="CO40" i="98"/>
  <c r="CW50" i="98" s="1"/>
  <c r="CO10" i="98"/>
  <c r="CW14" i="98" s="1"/>
  <c r="CO56" i="98"/>
  <c r="CW67" i="98" s="1"/>
  <c r="CO54" i="98"/>
  <c r="CW65" i="98" s="1"/>
  <c r="CO31" i="98"/>
  <c r="CW40" i="98" s="1"/>
  <c r="CO30" i="98"/>
  <c r="CW39" i="98" s="1"/>
  <c r="CO39" i="98"/>
  <c r="CW49" i="98" s="1"/>
  <c r="CO45" i="98"/>
  <c r="CW55" i="98" s="1"/>
  <c r="CO41" i="98"/>
  <c r="CW51" i="98" s="1"/>
  <c r="CO27" i="98"/>
  <c r="CO37" i="98"/>
  <c r="CW47" i="98" s="1"/>
  <c r="CO28" i="98"/>
  <c r="CW37" i="98" s="1"/>
  <c r="CO59" i="98"/>
  <c r="CW70" i="98" s="1"/>
  <c r="CO25" i="98"/>
  <c r="CW33" i="98" s="1"/>
  <c r="BF43" i="93"/>
  <c r="BJ43" i="93"/>
  <c r="BN43" i="93"/>
  <c r="BR43" i="93"/>
  <c r="BV43" i="93"/>
  <c r="BZ43" i="93"/>
  <c r="CD43" i="93"/>
  <c r="CH43" i="93"/>
  <c r="CL43" i="93"/>
  <c r="CP43" i="93"/>
  <c r="CT43" i="93"/>
  <c r="BI43" i="93"/>
  <c r="BU43" i="93"/>
  <c r="CG43" i="93"/>
  <c r="CS43" i="93"/>
  <c r="BG43" i="93"/>
  <c r="BK43" i="93"/>
  <c r="BO43" i="93"/>
  <c r="BS43" i="93"/>
  <c r="BW43" i="93"/>
  <c r="CA43" i="93"/>
  <c r="CE43" i="93"/>
  <c r="CI43" i="93"/>
  <c r="CM43" i="93"/>
  <c r="CQ43" i="93"/>
  <c r="CU43" i="93"/>
  <c r="BM43" i="93"/>
  <c r="BY43" i="93"/>
  <c r="CK43" i="93"/>
  <c r="BH43" i="93"/>
  <c r="BL43" i="93"/>
  <c r="BP43" i="93"/>
  <c r="BT43" i="93"/>
  <c r="BX43" i="93"/>
  <c r="CB43" i="93"/>
  <c r="CF43" i="93"/>
  <c r="CJ43" i="93"/>
  <c r="CN43" i="93"/>
  <c r="CR43" i="93"/>
  <c r="BQ43" i="93"/>
  <c r="CC43" i="93"/>
  <c r="CO43" i="93"/>
  <c r="BM51" i="100"/>
  <c r="BL51" i="100"/>
  <c r="BS51" i="100"/>
  <c r="BR51" i="100"/>
  <c r="DA51" i="100"/>
  <c r="CC51" i="100"/>
  <c r="BX51" i="100"/>
  <c r="CA51" i="100"/>
  <c r="BW51" i="100"/>
  <c r="CX51" i="100"/>
  <c r="CH51" i="100"/>
  <c r="BZ51" i="100"/>
  <c r="BP51" i="100"/>
  <c r="BO51" i="100"/>
  <c r="BN51" i="100"/>
  <c r="CQ51" i="100"/>
  <c r="CG51" i="100"/>
  <c r="CZ51" i="100"/>
  <c r="CF51" i="100"/>
  <c r="CE51" i="100"/>
  <c r="CU51" i="100"/>
  <c r="CI51" i="100"/>
  <c r="CS51" i="100"/>
  <c r="CR51" i="100"/>
  <c r="CM51" i="100"/>
  <c r="CK51" i="100"/>
  <c r="BU51" i="100"/>
  <c r="CV51" i="100"/>
  <c r="CD51" i="100"/>
  <c r="CL51" i="100"/>
  <c r="CP51" i="100"/>
  <c r="CO51" i="100"/>
  <c r="CN51" i="100"/>
  <c r="BQ51" i="100"/>
  <c r="CW51" i="100"/>
  <c r="BY51" i="100"/>
  <c r="CJ51" i="100"/>
  <c r="CB51" i="100"/>
  <c r="BT51" i="100"/>
  <c r="CY51" i="100"/>
  <c r="CT51" i="100"/>
  <c r="BV51" i="100"/>
  <c r="BF23" i="93"/>
  <c r="BJ23" i="93"/>
  <c r="BN23" i="93"/>
  <c r="BR23" i="93"/>
  <c r="BV23" i="93"/>
  <c r="BZ23" i="93"/>
  <c r="CD23" i="93"/>
  <c r="CH23" i="93"/>
  <c r="CL23" i="93"/>
  <c r="CP23" i="93"/>
  <c r="CT23" i="93"/>
  <c r="BQ23" i="93"/>
  <c r="CC23" i="93"/>
  <c r="CO23" i="93"/>
  <c r="BG23" i="93"/>
  <c r="BK23" i="93"/>
  <c r="BO23" i="93"/>
  <c r="BS23" i="93"/>
  <c r="BW23" i="93"/>
  <c r="CA23" i="93"/>
  <c r="CE23" i="93"/>
  <c r="CI23" i="93"/>
  <c r="CM23" i="93"/>
  <c r="CQ23" i="93"/>
  <c r="CU23" i="93"/>
  <c r="BM23" i="93"/>
  <c r="BY23" i="93"/>
  <c r="CK23" i="93"/>
  <c r="BH23" i="93"/>
  <c r="BL23" i="93"/>
  <c r="BP23" i="93"/>
  <c r="BT23" i="93"/>
  <c r="BX23" i="93"/>
  <c r="CB23" i="93"/>
  <c r="CF23" i="93"/>
  <c r="CJ23" i="93"/>
  <c r="CN23" i="93"/>
  <c r="CR23" i="93"/>
  <c r="BI23" i="93"/>
  <c r="BU23" i="93"/>
  <c r="CG23" i="93"/>
  <c r="CS23" i="93"/>
  <c r="BL35" i="100"/>
  <c r="CE35" i="100"/>
  <c r="CZ35" i="100"/>
  <c r="CV35" i="100"/>
  <c r="BZ35" i="100"/>
  <c r="CC35" i="100"/>
  <c r="BM35" i="100"/>
  <c r="DA35" i="100"/>
  <c r="BX35" i="100"/>
  <c r="CQ35" i="100"/>
  <c r="CI35" i="100"/>
  <c r="CH35" i="100"/>
  <c r="BW35" i="100"/>
  <c r="BS35" i="100"/>
  <c r="CY35" i="100"/>
  <c r="BV35" i="100"/>
  <c r="BY35" i="100"/>
  <c r="CW35" i="100"/>
  <c r="BT35" i="100"/>
  <c r="CR35" i="100"/>
  <c r="CJ35" i="100"/>
  <c r="CS35" i="100"/>
  <c r="CK35" i="100"/>
  <c r="CA35" i="100"/>
  <c r="CU35" i="100"/>
  <c r="BR35" i="100"/>
  <c r="CX35" i="100"/>
  <c r="BU35" i="100"/>
  <c r="CF35" i="100"/>
  <c r="BP35" i="100"/>
  <c r="CM35" i="100"/>
  <c r="CP35" i="100"/>
  <c r="BO35" i="100"/>
  <c r="CD35" i="100"/>
  <c r="BN35" i="100"/>
  <c r="CT35" i="100"/>
  <c r="BQ35" i="100"/>
  <c r="CB35" i="100"/>
  <c r="CN35" i="100"/>
  <c r="CL35" i="100"/>
  <c r="CO35" i="100"/>
  <c r="CG35" i="100"/>
  <c r="BH52" i="93"/>
  <c r="BL52" i="93"/>
  <c r="BP52" i="93"/>
  <c r="BT52" i="93"/>
  <c r="BX52" i="93"/>
  <c r="CB52" i="93"/>
  <c r="CF52" i="93"/>
  <c r="CJ52" i="93"/>
  <c r="CN52" i="93"/>
  <c r="CR52" i="93"/>
  <c r="BO52" i="93"/>
  <c r="CA52" i="93"/>
  <c r="CM52" i="93"/>
  <c r="BI52" i="93"/>
  <c r="BM52" i="93"/>
  <c r="BQ52" i="93"/>
  <c r="BU52" i="93"/>
  <c r="BY52" i="93"/>
  <c r="CC52" i="93"/>
  <c r="CG52" i="93"/>
  <c r="CK52" i="93"/>
  <c r="CO52" i="93"/>
  <c r="CS52" i="93"/>
  <c r="BK52" i="93"/>
  <c r="BW52" i="93"/>
  <c r="CI52" i="93"/>
  <c r="CU52" i="93"/>
  <c r="BF52" i="93"/>
  <c r="BJ52" i="93"/>
  <c r="BN52" i="93"/>
  <c r="BR52" i="93"/>
  <c r="BV52" i="93"/>
  <c r="BZ52" i="93"/>
  <c r="CD52" i="93"/>
  <c r="CH52" i="93"/>
  <c r="CL52" i="93"/>
  <c r="CP52" i="93"/>
  <c r="CT52" i="93"/>
  <c r="BG52" i="93"/>
  <c r="BS52" i="93"/>
  <c r="CE52" i="93"/>
  <c r="CQ52" i="93"/>
  <c r="BM38" i="100"/>
  <c r="BN38" i="100"/>
  <c r="BO38" i="100"/>
  <c r="DA38" i="100"/>
  <c r="CC38" i="100"/>
  <c r="CV38" i="100"/>
  <c r="CY38" i="100"/>
  <c r="CT38" i="100"/>
  <c r="BV38" i="100"/>
  <c r="BQ38" i="100"/>
  <c r="BR38" i="100"/>
  <c r="BS38" i="100"/>
  <c r="CG38" i="100"/>
  <c r="CJ38" i="100"/>
  <c r="CB38" i="100"/>
  <c r="BT38" i="100"/>
  <c r="CH38" i="100"/>
  <c r="CM38" i="100"/>
  <c r="CN38" i="100"/>
  <c r="CO38" i="100"/>
  <c r="CL38" i="100"/>
  <c r="BP38" i="100"/>
  <c r="BL38" i="100"/>
  <c r="CK38" i="100"/>
  <c r="BU38" i="100"/>
  <c r="CA38" i="100"/>
  <c r="BW38" i="100"/>
  <c r="CD38" i="100"/>
  <c r="CQ38" i="100"/>
  <c r="CR38" i="100"/>
  <c r="CS38" i="100"/>
  <c r="CP38" i="100"/>
  <c r="CW38" i="100"/>
  <c r="BY38" i="100"/>
  <c r="CZ38" i="100"/>
  <c r="CF38" i="100"/>
  <c r="BX38" i="100"/>
  <c r="CE38" i="100"/>
  <c r="CU38" i="100"/>
  <c r="CI38" i="100"/>
  <c r="CX38" i="100"/>
  <c r="BZ38" i="100"/>
  <c r="BH34" i="93"/>
  <c r="BL34" i="93"/>
  <c r="BP34" i="93"/>
  <c r="BT34" i="93"/>
  <c r="BX34" i="93"/>
  <c r="CB34" i="93"/>
  <c r="CF34" i="93"/>
  <c r="CJ34" i="93"/>
  <c r="CN34" i="93"/>
  <c r="CR34" i="93"/>
  <c r="BG34" i="93"/>
  <c r="BS34" i="93"/>
  <c r="CE34" i="93"/>
  <c r="CQ34" i="93"/>
  <c r="BI34" i="93"/>
  <c r="BM34" i="93"/>
  <c r="BQ34" i="93"/>
  <c r="BU34" i="93"/>
  <c r="BY34" i="93"/>
  <c r="CC34" i="93"/>
  <c r="CG34" i="93"/>
  <c r="CK34" i="93"/>
  <c r="CO34" i="93"/>
  <c r="CS34" i="93"/>
  <c r="BK34" i="93"/>
  <c r="BW34" i="93"/>
  <c r="CI34" i="93"/>
  <c r="CU34" i="93"/>
  <c r="BF34" i="93"/>
  <c r="BJ34" i="93"/>
  <c r="BN34" i="93"/>
  <c r="BR34" i="93"/>
  <c r="BV34" i="93"/>
  <c r="BZ34" i="93"/>
  <c r="CD34" i="93"/>
  <c r="CH34" i="93"/>
  <c r="CL34" i="93"/>
  <c r="CP34" i="93"/>
  <c r="CT34" i="93"/>
  <c r="BO34" i="93"/>
  <c r="CA34" i="93"/>
  <c r="CM34" i="93"/>
  <c r="BF27" i="93"/>
  <c r="BJ27" i="93"/>
  <c r="BN27" i="93"/>
  <c r="BR27" i="93"/>
  <c r="BV27" i="93"/>
  <c r="BZ27" i="93"/>
  <c r="CD27" i="93"/>
  <c r="CH27" i="93"/>
  <c r="CL27" i="93"/>
  <c r="CP27" i="93"/>
  <c r="CT27" i="93"/>
  <c r="BQ27" i="93"/>
  <c r="CC27" i="93"/>
  <c r="CO27" i="93"/>
  <c r="BG27" i="93"/>
  <c r="BK27" i="93"/>
  <c r="BO27" i="93"/>
  <c r="BS27" i="93"/>
  <c r="BW27" i="93"/>
  <c r="CA27" i="93"/>
  <c r="CE27" i="93"/>
  <c r="CI27" i="93"/>
  <c r="CM27" i="93"/>
  <c r="CQ27" i="93"/>
  <c r="CU27" i="93"/>
  <c r="BM27" i="93"/>
  <c r="BY27" i="93"/>
  <c r="CK27" i="93"/>
  <c r="BH27" i="93"/>
  <c r="BL27" i="93"/>
  <c r="BP27" i="93"/>
  <c r="BT27" i="93"/>
  <c r="BX27" i="93"/>
  <c r="CB27" i="93"/>
  <c r="CF27" i="93"/>
  <c r="CJ27" i="93"/>
  <c r="CN27" i="93"/>
  <c r="CR27" i="93"/>
  <c r="BI27" i="93"/>
  <c r="BU27" i="93"/>
  <c r="CG27" i="93"/>
  <c r="CS27" i="93"/>
  <c r="BY19" i="100"/>
  <c r="DA19" i="100"/>
  <c r="CI19" i="100"/>
  <c r="BP19" i="100"/>
  <c r="CJ19" i="100"/>
  <c r="CZ19" i="100"/>
  <c r="CS19" i="100"/>
  <c r="BS19" i="100"/>
  <c r="CG19" i="100"/>
  <c r="CU19" i="100"/>
  <c r="CK19" i="100"/>
  <c r="CE19" i="100"/>
  <c r="CP19" i="100"/>
  <c r="CY19" i="100"/>
  <c r="CD19" i="100"/>
  <c r="BX19" i="100"/>
  <c r="CN19" i="100"/>
  <c r="BM19" i="100"/>
  <c r="CM19" i="100"/>
  <c r="CW19" i="100"/>
  <c r="CA19" i="100"/>
  <c r="BU19" i="100"/>
  <c r="BT19" i="100"/>
  <c r="BO19" i="100"/>
  <c r="CT19" i="100"/>
  <c r="CB19" i="100"/>
  <c r="CR19" i="100"/>
  <c r="BQ19" i="100"/>
  <c r="CH19" i="100"/>
  <c r="CQ19" i="100"/>
  <c r="BR19" i="100"/>
  <c r="BV19" i="100"/>
  <c r="BZ19" i="100"/>
  <c r="CO19" i="100"/>
  <c r="BL19" i="100"/>
  <c r="CF19" i="100"/>
  <c r="CV19" i="100"/>
  <c r="BN19" i="100"/>
  <c r="CX19" i="100"/>
  <c r="CC19" i="100"/>
  <c r="CL19" i="100"/>
  <c r="BW19" i="100"/>
  <c r="BX15" i="100"/>
  <c r="CS15" i="100"/>
  <c r="BN15" i="100"/>
  <c r="CH15" i="100"/>
  <c r="CX15" i="100"/>
  <c r="CJ15" i="100"/>
  <c r="BL15" i="100"/>
  <c r="CK15" i="100"/>
  <c r="BM15" i="100"/>
  <c r="CM15" i="100"/>
  <c r="BS15" i="100"/>
  <c r="CC15" i="100"/>
  <c r="BV15" i="100"/>
  <c r="CL15" i="100"/>
  <c r="BT15" i="100"/>
  <c r="CO15" i="100"/>
  <c r="BU15" i="100"/>
  <c r="CQ15" i="100"/>
  <c r="BW15" i="100"/>
  <c r="CR15" i="100"/>
  <c r="CI15" i="100"/>
  <c r="CY15" i="100"/>
  <c r="BZ15" i="100"/>
  <c r="CP15" i="100"/>
  <c r="BY15" i="100"/>
  <c r="CU15" i="100"/>
  <c r="CA15" i="100"/>
  <c r="CV15" i="100"/>
  <c r="CB15" i="100"/>
  <c r="CW15" i="100"/>
  <c r="BO15" i="100"/>
  <c r="BP15" i="100"/>
  <c r="CD15" i="100"/>
  <c r="CT15" i="100"/>
  <c r="CE15" i="100"/>
  <c r="CZ15" i="100"/>
  <c r="CF15" i="100"/>
  <c r="DA15" i="100"/>
  <c r="CG15" i="100"/>
  <c r="CN15" i="100"/>
  <c r="BR15" i="100"/>
  <c r="BQ15" i="100"/>
  <c r="CK12" i="100"/>
  <c r="BL12" i="100"/>
  <c r="CF12" i="100"/>
  <c r="CV12" i="100"/>
  <c r="CA12" i="100"/>
  <c r="CW12" i="100"/>
  <c r="CH12" i="100"/>
  <c r="BS12" i="100"/>
  <c r="CO12" i="100"/>
  <c r="BT12" i="100"/>
  <c r="CJ12" i="100"/>
  <c r="CZ12" i="100"/>
  <c r="CG12" i="100"/>
  <c r="BN12" i="100"/>
  <c r="CM12" i="100"/>
  <c r="BY12" i="100"/>
  <c r="CT12" i="100"/>
  <c r="DA12" i="100"/>
  <c r="CU12" i="100"/>
  <c r="BR12" i="100"/>
  <c r="BP12" i="100"/>
  <c r="BX12" i="100"/>
  <c r="CN12" i="100"/>
  <c r="BM12" i="100"/>
  <c r="CL12" i="100"/>
  <c r="BW12" i="100"/>
  <c r="CS12" i="100"/>
  <c r="CD12" i="100"/>
  <c r="CY12" i="100"/>
  <c r="CE12" i="100"/>
  <c r="BZ12" i="100"/>
  <c r="CP12" i="100"/>
  <c r="BQ12" i="100"/>
  <c r="CB12" i="100"/>
  <c r="CR12" i="100"/>
  <c r="BV12" i="100"/>
  <c r="CQ12" i="100"/>
  <c r="CC12" i="100"/>
  <c r="CX12" i="100"/>
  <c r="CI12" i="100"/>
  <c r="BO12" i="100"/>
  <c r="BU12" i="100"/>
  <c r="CZ9" i="100"/>
  <c r="BN9" i="100"/>
  <c r="CD9" i="100"/>
  <c r="CT9" i="100"/>
  <c r="CA9" i="100"/>
  <c r="CV9" i="100"/>
  <c r="BW9" i="100"/>
  <c r="CR9" i="100"/>
  <c r="BX9" i="100"/>
  <c r="CS9" i="100"/>
  <c r="BT9" i="100"/>
  <c r="BR9" i="100"/>
  <c r="CH9" i="100"/>
  <c r="CX9" i="100"/>
  <c r="CF9" i="100"/>
  <c r="DA9" i="100"/>
  <c r="CB9" i="100"/>
  <c r="CW9" i="100"/>
  <c r="CC9" i="100"/>
  <c r="CY9" i="100"/>
  <c r="CO9" i="100"/>
  <c r="BV9" i="100"/>
  <c r="CL9" i="100"/>
  <c r="BP9" i="100"/>
  <c r="CK9" i="100"/>
  <c r="BL9" i="100"/>
  <c r="CG9" i="100"/>
  <c r="BM9" i="100"/>
  <c r="CI9" i="100"/>
  <c r="BO9" i="100"/>
  <c r="BY9" i="100"/>
  <c r="BZ9" i="100"/>
  <c r="CP9" i="100"/>
  <c r="BU9" i="100"/>
  <c r="CQ9" i="100"/>
  <c r="BQ9" i="100"/>
  <c r="CM9" i="100"/>
  <c r="BS9" i="100"/>
  <c r="CN9" i="100"/>
  <c r="CJ9" i="100"/>
  <c r="CU9" i="100"/>
  <c r="CE9" i="100"/>
  <c r="BH50" i="93"/>
  <c r="BL50" i="93"/>
  <c r="BP50" i="93"/>
  <c r="BT50" i="93"/>
  <c r="BX50" i="93"/>
  <c r="CB50" i="93"/>
  <c r="CF50" i="93"/>
  <c r="CJ50" i="93"/>
  <c r="CN50" i="93"/>
  <c r="CR50" i="93"/>
  <c r="BK50" i="93"/>
  <c r="CA50" i="93"/>
  <c r="CM50" i="93"/>
  <c r="BI50" i="93"/>
  <c r="BM50" i="93"/>
  <c r="BQ50" i="93"/>
  <c r="BU50" i="93"/>
  <c r="BY50" i="93"/>
  <c r="CC50" i="93"/>
  <c r="CG50" i="93"/>
  <c r="CK50" i="93"/>
  <c r="CO50" i="93"/>
  <c r="CS50" i="93"/>
  <c r="BO50" i="93"/>
  <c r="BW50" i="93"/>
  <c r="CI50" i="93"/>
  <c r="CU50" i="93"/>
  <c r="BF50" i="93"/>
  <c r="BJ50" i="93"/>
  <c r="BN50" i="93"/>
  <c r="BR50" i="93"/>
  <c r="BV50" i="93"/>
  <c r="BZ50" i="93"/>
  <c r="CD50" i="93"/>
  <c r="CH50" i="93"/>
  <c r="CL50" i="93"/>
  <c r="CP50" i="93"/>
  <c r="CT50" i="93"/>
  <c r="BG50" i="93"/>
  <c r="BS50" i="93"/>
  <c r="CE50" i="93"/>
  <c r="CQ50" i="93"/>
  <c r="BU21" i="100"/>
  <c r="BX21" i="100"/>
  <c r="CR21" i="100"/>
  <c r="BV21" i="100"/>
  <c r="CU21" i="100"/>
  <c r="BW21" i="100"/>
  <c r="CW21" i="100"/>
  <c r="CH21" i="100"/>
  <c r="BO21" i="100"/>
  <c r="CC21" i="100"/>
  <c r="CA21" i="100"/>
  <c r="BZ21" i="100"/>
  <c r="CY21" i="100"/>
  <c r="BL21" i="100"/>
  <c r="CF21" i="100"/>
  <c r="CV21" i="100"/>
  <c r="CE21" i="100"/>
  <c r="DA21" i="100"/>
  <c r="CG21" i="100"/>
  <c r="BN21" i="100"/>
  <c r="CM21" i="100"/>
  <c r="CD21" i="100"/>
  <c r="CT21" i="100"/>
  <c r="BP21" i="100"/>
  <c r="CJ21" i="100"/>
  <c r="CZ21" i="100"/>
  <c r="CK21" i="100"/>
  <c r="BM21" i="100"/>
  <c r="CL21" i="100"/>
  <c r="BS21" i="100"/>
  <c r="CS21" i="100"/>
  <c r="CI21" i="100"/>
  <c r="BT21" i="100"/>
  <c r="CN21" i="100"/>
  <c r="BQ21" i="100"/>
  <c r="CP21" i="100"/>
  <c r="BR21" i="100"/>
  <c r="CQ21" i="100"/>
  <c r="BY21" i="100"/>
  <c r="CX21" i="100"/>
  <c r="CO21" i="100"/>
  <c r="CB21" i="100"/>
  <c r="BF55" i="93"/>
  <c r="BJ55" i="93"/>
  <c r="BN55" i="93"/>
  <c r="BR55" i="93"/>
  <c r="BV55" i="93"/>
  <c r="BZ55" i="93"/>
  <c r="CD55" i="93"/>
  <c r="CH55" i="93"/>
  <c r="CL55" i="93"/>
  <c r="CP55" i="93"/>
  <c r="CT55" i="93"/>
  <c r="BQ55" i="93"/>
  <c r="BY55" i="93"/>
  <c r="CK55" i="93"/>
  <c r="BG55" i="93"/>
  <c r="BK55" i="93"/>
  <c r="BO55" i="93"/>
  <c r="BS55" i="93"/>
  <c r="BW55" i="93"/>
  <c r="CA55" i="93"/>
  <c r="CE55" i="93"/>
  <c r="CI55" i="93"/>
  <c r="CM55" i="93"/>
  <c r="CQ55" i="93"/>
  <c r="CU55" i="93"/>
  <c r="BI55" i="93"/>
  <c r="BU55" i="93"/>
  <c r="CG55" i="93"/>
  <c r="CO55" i="93"/>
  <c r="BH55" i="93"/>
  <c r="BL55" i="93"/>
  <c r="BP55" i="93"/>
  <c r="BT55" i="93"/>
  <c r="BX55" i="93"/>
  <c r="CB55" i="93"/>
  <c r="CF55" i="93"/>
  <c r="CJ55" i="93"/>
  <c r="CN55" i="93"/>
  <c r="CR55" i="93"/>
  <c r="BM55" i="93"/>
  <c r="CC55" i="93"/>
  <c r="CS55" i="93"/>
  <c r="BF35" i="93"/>
  <c r="BJ35" i="93"/>
  <c r="BN35" i="93"/>
  <c r="BR35" i="93"/>
  <c r="BV35" i="93"/>
  <c r="BZ35" i="93"/>
  <c r="CD35" i="93"/>
  <c r="CH35" i="93"/>
  <c r="CL35" i="93"/>
  <c r="CP35" i="93"/>
  <c r="CT35" i="93"/>
  <c r="BM35" i="93"/>
  <c r="BY35" i="93"/>
  <c r="CK35" i="93"/>
  <c r="BG35" i="93"/>
  <c r="BK35" i="93"/>
  <c r="BO35" i="93"/>
  <c r="BS35" i="93"/>
  <c r="BW35" i="93"/>
  <c r="CA35" i="93"/>
  <c r="CE35" i="93"/>
  <c r="CI35" i="93"/>
  <c r="CM35" i="93"/>
  <c r="CQ35" i="93"/>
  <c r="CU35" i="93"/>
  <c r="BQ35" i="93"/>
  <c r="CC35" i="93"/>
  <c r="CO35" i="93"/>
  <c r="BH35" i="93"/>
  <c r="BL35" i="93"/>
  <c r="BP35" i="93"/>
  <c r="BT35" i="93"/>
  <c r="BX35" i="93"/>
  <c r="CB35" i="93"/>
  <c r="CF35" i="93"/>
  <c r="CJ35" i="93"/>
  <c r="CN35" i="93"/>
  <c r="CR35" i="93"/>
  <c r="BI35" i="93"/>
  <c r="BU35" i="93"/>
  <c r="CG35" i="93"/>
  <c r="CS35" i="93"/>
  <c r="CP62" i="100"/>
  <c r="CQ62" i="100"/>
  <c r="CR62" i="100"/>
  <c r="CS62" i="100"/>
  <c r="BP62" i="100"/>
  <c r="CY62" i="100"/>
  <c r="CA62" i="100"/>
  <c r="CT62" i="100"/>
  <c r="BV62" i="100"/>
  <c r="CK62" i="100"/>
  <c r="BU62" i="100"/>
  <c r="CV62" i="100"/>
  <c r="BX62" i="100"/>
  <c r="BM62" i="100"/>
  <c r="BN62" i="100"/>
  <c r="BO62" i="100"/>
  <c r="CU62" i="100"/>
  <c r="BW62" i="100"/>
  <c r="CH62" i="100"/>
  <c r="CG62" i="100"/>
  <c r="CJ62" i="100"/>
  <c r="BT62" i="100"/>
  <c r="BQ62" i="100"/>
  <c r="BR62" i="100"/>
  <c r="BS62" i="100"/>
  <c r="BL62" i="100"/>
  <c r="CI62" i="100"/>
  <c r="CD62" i="100"/>
  <c r="DA62" i="100"/>
  <c r="CC62" i="100"/>
  <c r="CF62" i="100"/>
  <c r="CM62" i="100"/>
  <c r="CN62" i="100"/>
  <c r="CO62" i="100"/>
  <c r="CL62" i="100"/>
  <c r="CE62" i="100"/>
  <c r="CX62" i="100"/>
  <c r="BZ62" i="100"/>
  <c r="CW62" i="100"/>
  <c r="BY62" i="100"/>
  <c r="CZ62" i="100"/>
  <c r="CB62" i="100"/>
  <c r="CD8" i="100"/>
  <c r="BP8" i="100"/>
  <c r="CF8" i="100"/>
  <c r="CV8" i="100"/>
  <c r="BZ8" i="100"/>
  <c r="CU8" i="100"/>
  <c r="CA8" i="100"/>
  <c r="CW8" i="100"/>
  <c r="EN8" i="100" s="1"/>
  <c r="GF8" i="100" s="1"/>
  <c r="CC8" i="100"/>
  <c r="DT8" i="100" s="1"/>
  <c r="FL8" i="100" s="1"/>
  <c r="CX8" i="100"/>
  <c r="CI8" i="100"/>
  <c r="BT8" i="100"/>
  <c r="CJ8" i="100"/>
  <c r="CZ8" i="100"/>
  <c r="CE8" i="100"/>
  <c r="DA8" i="100"/>
  <c r="CG8" i="100"/>
  <c r="BM8" i="100"/>
  <c r="CH8" i="100"/>
  <c r="BN8" i="100"/>
  <c r="BX8" i="100"/>
  <c r="CN8" i="100"/>
  <c r="BO8" i="100"/>
  <c r="CK8" i="100"/>
  <c r="BQ8" i="100"/>
  <c r="CL8" i="100"/>
  <c r="BR8" i="100"/>
  <c r="CM8" i="100"/>
  <c r="CT8" i="100"/>
  <c r="CO8" i="100"/>
  <c r="CY8" i="100"/>
  <c r="BL8" i="100"/>
  <c r="CB8" i="100"/>
  <c r="CR8" i="100"/>
  <c r="BU8" i="100"/>
  <c r="CP8" i="100"/>
  <c r="BV8" i="100"/>
  <c r="CQ8" i="100"/>
  <c r="BW8" i="100"/>
  <c r="CS8" i="100"/>
  <c r="BY8" i="100"/>
  <c r="BS8" i="100"/>
  <c r="DJ9" i="100" s="1"/>
  <c r="FB9" i="100" s="1"/>
  <c r="BH30" i="93"/>
  <c r="BL30" i="93"/>
  <c r="BP30" i="93"/>
  <c r="BT30" i="93"/>
  <c r="BX30" i="93"/>
  <c r="CB30" i="93"/>
  <c r="CF30" i="93"/>
  <c r="CJ30" i="93"/>
  <c r="CN30" i="93"/>
  <c r="CR30" i="93"/>
  <c r="BG30" i="93"/>
  <c r="BO30" i="93"/>
  <c r="CA30" i="93"/>
  <c r="CM30" i="93"/>
  <c r="CU30" i="93"/>
  <c r="BI30" i="93"/>
  <c r="BM30" i="93"/>
  <c r="BQ30" i="93"/>
  <c r="BU30" i="93"/>
  <c r="BY30" i="93"/>
  <c r="CC30" i="93"/>
  <c r="CG30" i="93"/>
  <c r="CK30" i="93"/>
  <c r="CO30" i="93"/>
  <c r="CS30" i="93"/>
  <c r="BK30" i="93"/>
  <c r="BW30" i="93"/>
  <c r="CI30" i="93"/>
  <c r="BF30" i="93"/>
  <c r="BJ30" i="93"/>
  <c r="BN30" i="93"/>
  <c r="BR30" i="93"/>
  <c r="BV30" i="93"/>
  <c r="BZ30" i="93"/>
  <c r="CD30" i="93"/>
  <c r="CH30" i="93"/>
  <c r="CL30" i="93"/>
  <c r="CP30" i="93"/>
  <c r="CT30" i="93"/>
  <c r="BS30" i="93"/>
  <c r="CE30" i="93"/>
  <c r="CQ30" i="93"/>
  <c r="BM56" i="100"/>
  <c r="CP56" i="100"/>
  <c r="BP56" i="100"/>
  <c r="CL56" i="100"/>
  <c r="BS56" i="100"/>
  <c r="CD56" i="100"/>
  <c r="BR56" i="100"/>
  <c r="CQ56" i="100"/>
  <c r="CK56" i="100"/>
  <c r="BU56" i="100"/>
  <c r="BX56" i="100"/>
  <c r="CI56" i="100"/>
  <c r="CA56" i="100"/>
  <c r="BW56" i="100"/>
  <c r="BT56" i="100"/>
  <c r="BO56" i="100"/>
  <c r="BN56" i="100"/>
  <c r="CM56" i="100"/>
  <c r="CX56" i="100"/>
  <c r="DA56" i="100"/>
  <c r="CW56" i="100"/>
  <c r="BY56" i="100"/>
  <c r="CE56" i="100"/>
  <c r="CU56" i="100"/>
  <c r="CZ56" i="100"/>
  <c r="BL56" i="100"/>
  <c r="CS56" i="100"/>
  <c r="CT56" i="100"/>
  <c r="BV56" i="100"/>
  <c r="CR56" i="100"/>
  <c r="BQ56" i="100"/>
  <c r="CH56" i="100"/>
  <c r="CC56" i="100"/>
  <c r="CV56" i="100"/>
  <c r="CY56" i="100"/>
  <c r="CJ56" i="100"/>
  <c r="CO56" i="100"/>
  <c r="CN56" i="100"/>
  <c r="BZ56" i="100"/>
  <c r="CG56" i="100"/>
  <c r="CF56" i="100"/>
  <c r="CB56" i="100"/>
  <c r="BF15" i="93"/>
  <c r="BJ15" i="93"/>
  <c r="BN15" i="93"/>
  <c r="BR15" i="93"/>
  <c r="BV15" i="93"/>
  <c r="BZ15" i="93"/>
  <c r="CD15" i="93"/>
  <c r="CH15" i="93"/>
  <c r="CL15" i="93"/>
  <c r="CP15" i="93"/>
  <c r="CT15" i="93"/>
  <c r="BQ15" i="93"/>
  <c r="CC15" i="93"/>
  <c r="CO15" i="93"/>
  <c r="BG15" i="93"/>
  <c r="BK15" i="93"/>
  <c r="BO15" i="93"/>
  <c r="BS15" i="93"/>
  <c r="BW15" i="93"/>
  <c r="CA15" i="93"/>
  <c r="CE15" i="93"/>
  <c r="CI15" i="93"/>
  <c r="CM15" i="93"/>
  <c r="CQ15" i="93"/>
  <c r="CU15" i="93"/>
  <c r="BI15" i="93"/>
  <c r="BU15" i="93"/>
  <c r="CG15" i="93"/>
  <c r="CS15" i="93"/>
  <c r="BH15" i="93"/>
  <c r="BL15" i="93"/>
  <c r="BP15" i="93"/>
  <c r="BT15" i="93"/>
  <c r="BX15" i="93"/>
  <c r="CB15" i="93"/>
  <c r="CF15" i="93"/>
  <c r="CJ15" i="93"/>
  <c r="CN15" i="93"/>
  <c r="CR15" i="93"/>
  <c r="BM15" i="93"/>
  <c r="BY15" i="93"/>
  <c r="CK15" i="93"/>
  <c r="CL65" i="100"/>
  <c r="CP65" i="100"/>
  <c r="BM65" i="100"/>
  <c r="BN65" i="100"/>
  <c r="BO65" i="100"/>
  <c r="DA65" i="100"/>
  <c r="CC65" i="100"/>
  <c r="CV65" i="100"/>
  <c r="BX65" i="100"/>
  <c r="CU65" i="100"/>
  <c r="BW65" i="100"/>
  <c r="CX65" i="100"/>
  <c r="BZ65" i="100"/>
  <c r="BQ65" i="100"/>
  <c r="BR65" i="100"/>
  <c r="BS65" i="100"/>
  <c r="BL65" i="100"/>
  <c r="CW65" i="100"/>
  <c r="BY65" i="100"/>
  <c r="CJ65" i="100"/>
  <c r="BT65" i="100"/>
  <c r="CI65" i="100"/>
  <c r="CT65" i="100"/>
  <c r="BV65" i="100"/>
  <c r="CM65" i="100"/>
  <c r="CN65" i="100"/>
  <c r="CO65" i="100"/>
  <c r="CK65" i="100"/>
  <c r="BU65" i="100"/>
  <c r="CF65" i="100"/>
  <c r="CE65" i="100"/>
  <c r="CH65" i="100"/>
  <c r="BP65" i="100"/>
  <c r="CQ65" i="100"/>
  <c r="CR65" i="100"/>
  <c r="CS65" i="100"/>
  <c r="CG65" i="100"/>
  <c r="CZ65" i="100"/>
  <c r="CB65" i="100"/>
  <c r="CY65" i="100"/>
  <c r="CA65" i="100"/>
  <c r="CD65" i="100"/>
  <c r="BH42" i="93"/>
  <c r="BL42" i="93"/>
  <c r="BP42" i="93"/>
  <c r="BT42" i="93"/>
  <c r="BX42" i="93"/>
  <c r="CB42" i="93"/>
  <c r="CF42" i="93"/>
  <c r="CJ42" i="93"/>
  <c r="CN42" i="93"/>
  <c r="CR42" i="93"/>
  <c r="BG42" i="93"/>
  <c r="BS42" i="93"/>
  <c r="CA42" i="93"/>
  <c r="CM42" i="93"/>
  <c r="BI42" i="93"/>
  <c r="BM42" i="93"/>
  <c r="BQ42" i="93"/>
  <c r="BU42" i="93"/>
  <c r="BY42" i="93"/>
  <c r="CC42" i="93"/>
  <c r="CG42" i="93"/>
  <c r="CK42" i="93"/>
  <c r="CO42" i="93"/>
  <c r="CS42" i="93"/>
  <c r="BO42" i="93"/>
  <c r="CE42" i="93"/>
  <c r="CQ42" i="93"/>
  <c r="BF42" i="93"/>
  <c r="BJ42" i="93"/>
  <c r="BN42" i="93"/>
  <c r="BR42" i="93"/>
  <c r="BV42" i="93"/>
  <c r="BZ42" i="93"/>
  <c r="CD42" i="93"/>
  <c r="CH42" i="93"/>
  <c r="CL42" i="93"/>
  <c r="CP42" i="93"/>
  <c r="CT42" i="93"/>
  <c r="BK42" i="93"/>
  <c r="BW42" i="93"/>
  <c r="CI42" i="93"/>
  <c r="CU42" i="93"/>
  <c r="BF9" i="93"/>
  <c r="BJ9" i="93"/>
  <c r="BN9" i="93"/>
  <c r="BR9" i="93"/>
  <c r="BV9" i="93"/>
  <c r="BZ9" i="93"/>
  <c r="CD9" i="93"/>
  <c r="CH9" i="93"/>
  <c r="CL9" i="93"/>
  <c r="CP9" i="93"/>
  <c r="CT9" i="93"/>
  <c r="BM9" i="93"/>
  <c r="BY9" i="93"/>
  <c r="CK9" i="93"/>
  <c r="BG9" i="93"/>
  <c r="BK9" i="93"/>
  <c r="BO9" i="93"/>
  <c r="BS9" i="93"/>
  <c r="BW9" i="93"/>
  <c r="CA9" i="93"/>
  <c r="CE9" i="93"/>
  <c r="CI9" i="93"/>
  <c r="CM9" i="93"/>
  <c r="CQ9" i="93"/>
  <c r="CU9" i="93"/>
  <c r="BI9" i="93"/>
  <c r="BU9" i="93"/>
  <c r="CG9" i="93"/>
  <c r="CS9" i="93"/>
  <c r="BH9" i="93"/>
  <c r="BL9" i="93"/>
  <c r="BP9" i="93"/>
  <c r="BT9" i="93"/>
  <c r="BX9" i="93"/>
  <c r="CB9" i="93"/>
  <c r="CF9" i="93"/>
  <c r="CJ9" i="93"/>
  <c r="CN9" i="93"/>
  <c r="CR9" i="93"/>
  <c r="BQ9" i="93"/>
  <c r="CC9" i="93"/>
  <c r="CO9" i="93"/>
  <c r="BM64" i="100"/>
  <c r="BL64" i="100"/>
  <c r="CL64" i="100"/>
  <c r="BS64" i="100"/>
  <c r="BR64" i="100"/>
  <c r="CQ64" i="100"/>
  <c r="CU64" i="100"/>
  <c r="BW64" i="100"/>
  <c r="CH64" i="100"/>
  <c r="CG64" i="100"/>
  <c r="CJ64" i="100"/>
  <c r="BT64" i="100"/>
  <c r="BP64" i="100"/>
  <c r="BO64" i="100"/>
  <c r="BN64" i="100"/>
  <c r="CM64" i="100"/>
  <c r="CI64" i="100"/>
  <c r="CD64" i="100"/>
  <c r="DA64" i="100"/>
  <c r="CC64" i="100"/>
  <c r="CF64" i="100"/>
  <c r="CS64" i="100"/>
  <c r="CR64" i="100"/>
  <c r="BQ64" i="100"/>
  <c r="CE64" i="100"/>
  <c r="CX64" i="100"/>
  <c r="BZ64" i="100"/>
  <c r="CW64" i="100"/>
  <c r="BY64" i="100"/>
  <c r="CZ64" i="100"/>
  <c r="CB64" i="100"/>
  <c r="CP64" i="100"/>
  <c r="CO64" i="100"/>
  <c r="CN64" i="100"/>
  <c r="CY64" i="100"/>
  <c r="CA64" i="100"/>
  <c r="CT64" i="100"/>
  <c r="BV64" i="100"/>
  <c r="CK64" i="100"/>
  <c r="BU64" i="100"/>
  <c r="CV64" i="100"/>
  <c r="BX64" i="100"/>
  <c r="BG5" i="93"/>
  <c r="BK5" i="93"/>
  <c r="BO5" i="93"/>
  <c r="BS5" i="93"/>
  <c r="BW5" i="93"/>
  <c r="CA5" i="93"/>
  <c r="CE5" i="93"/>
  <c r="CI5" i="93"/>
  <c r="CM5" i="93"/>
  <c r="CQ5" i="93"/>
  <c r="CU5" i="93"/>
  <c r="BN5" i="93"/>
  <c r="BZ5" i="93"/>
  <c r="CL5" i="93"/>
  <c r="BH5" i="93"/>
  <c r="BL5" i="93"/>
  <c r="BP5" i="93"/>
  <c r="BT5" i="93"/>
  <c r="BX5" i="93"/>
  <c r="CB5" i="93"/>
  <c r="CF5" i="93"/>
  <c r="CJ5" i="93"/>
  <c r="CN5" i="93"/>
  <c r="CR5" i="93"/>
  <c r="BF5" i="93"/>
  <c r="BJ5" i="93"/>
  <c r="BV5" i="93"/>
  <c r="CH5" i="93"/>
  <c r="CT5" i="93"/>
  <c r="BI5" i="93"/>
  <c r="BM5" i="93"/>
  <c r="BQ5" i="93"/>
  <c r="BU5" i="93"/>
  <c r="BY5" i="93"/>
  <c r="CC5" i="93"/>
  <c r="CG5" i="93"/>
  <c r="CK5" i="93"/>
  <c r="CO5" i="93"/>
  <c r="CS5" i="93"/>
  <c r="BR5" i="93"/>
  <c r="CD5" i="93"/>
  <c r="CP5" i="93"/>
  <c r="BM27" i="100"/>
  <c r="CN27" i="100"/>
  <c r="BR27" i="100"/>
  <c r="CV27" i="100"/>
  <c r="CR27" i="100"/>
  <c r="CY27" i="100"/>
  <c r="CE27" i="100"/>
  <c r="CP27" i="100"/>
  <c r="BV27" i="100"/>
  <c r="DA27" i="100"/>
  <c r="CK27" i="100"/>
  <c r="CB27" i="100"/>
  <c r="BX27" i="100"/>
  <c r="CZ27" i="100"/>
  <c r="CU27" i="100"/>
  <c r="CA27" i="100"/>
  <c r="CL27" i="100"/>
  <c r="BN27" i="100"/>
  <c r="CW27" i="100"/>
  <c r="CC27" i="100"/>
  <c r="CG27" i="100"/>
  <c r="BT27" i="100"/>
  <c r="CJ27" i="100"/>
  <c r="CQ27" i="100"/>
  <c r="BW27" i="100"/>
  <c r="CX27" i="100"/>
  <c r="CD27" i="100"/>
  <c r="CS27" i="100"/>
  <c r="BY27" i="100"/>
  <c r="CI27" i="100"/>
  <c r="BP27" i="100"/>
  <c r="BL27" i="100"/>
  <c r="CM27" i="100"/>
  <c r="BS27" i="100"/>
  <c r="CF27" i="100"/>
  <c r="CT27" i="100"/>
  <c r="BZ27" i="100"/>
  <c r="CO27" i="100"/>
  <c r="BU27" i="100"/>
  <c r="CH27" i="100"/>
  <c r="BQ27" i="100"/>
  <c r="BO27" i="100"/>
  <c r="BM23" i="100"/>
  <c r="CV23" i="100"/>
  <c r="CZ23" i="100"/>
  <c r="CQ23" i="100"/>
  <c r="BW23" i="100"/>
  <c r="BL23" i="100"/>
  <c r="CX23" i="100"/>
  <c r="CH23" i="100"/>
  <c r="DA23" i="100"/>
  <c r="CK23" i="100"/>
  <c r="BO23" i="100"/>
  <c r="CB23" i="100"/>
  <c r="CA23" i="100"/>
  <c r="CN23" i="100"/>
  <c r="CJ23" i="100"/>
  <c r="CM23" i="100"/>
  <c r="BR23" i="100"/>
  <c r="BP23" i="100"/>
  <c r="CC23" i="100"/>
  <c r="CT23" i="100"/>
  <c r="CD23" i="100"/>
  <c r="CW23" i="100"/>
  <c r="CG23" i="100"/>
  <c r="CF23" i="100"/>
  <c r="BS23" i="100"/>
  <c r="BN23" i="100"/>
  <c r="CR23" i="100"/>
  <c r="CY23" i="100"/>
  <c r="CI23" i="100"/>
  <c r="BT23" i="100"/>
  <c r="CP23" i="100"/>
  <c r="BV23" i="100"/>
  <c r="CS23" i="100"/>
  <c r="BY23" i="100"/>
  <c r="BX23" i="100"/>
  <c r="CU23" i="100"/>
  <c r="CE23" i="100"/>
  <c r="CL23" i="100"/>
  <c r="BQ23" i="100"/>
  <c r="CO23" i="100"/>
  <c r="BU23" i="100"/>
  <c r="BZ23" i="100"/>
  <c r="BH44" i="93"/>
  <c r="BL44" i="93"/>
  <c r="BP44" i="93"/>
  <c r="BT44" i="93"/>
  <c r="BX44" i="93"/>
  <c r="CB44" i="93"/>
  <c r="CF44" i="93"/>
  <c r="CJ44" i="93"/>
  <c r="CN44" i="93"/>
  <c r="CR44" i="93"/>
  <c r="BO44" i="93"/>
  <c r="CE44" i="93"/>
  <c r="CU44" i="93"/>
  <c r="BI44" i="93"/>
  <c r="BM44" i="93"/>
  <c r="BQ44" i="93"/>
  <c r="BU44" i="93"/>
  <c r="BY44" i="93"/>
  <c r="CC44" i="93"/>
  <c r="CG44" i="93"/>
  <c r="CK44" i="93"/>
  <c r="CO44" i="93"/>
  <c r="CS44" i="93"/>
  <c r="BG44" i="93"/>
  <c r="BS44" i="93"/>
  <c r="CA44" i="93"/>
  <c r="CM44" i="93"/>
  <c r="BF44" i="93"/>
  <c r="BJ44" i="93"/>
  <c r="BN44" i="93"/>
  <c r="BR44" i="93"/>
  <c r="BV44" i="93"/>
  <c r="BZ44" i="93"/>
  <c r="CD44" i="93"/>
  <c r="CH44" i="93"/>
  <c r="CL44" i="93"/>
  <c r="CP44" i="93"/>
  <c r="CT44" i="93"/>
  <c r="BK44" i="93"/>
  <c r="BW44" i="93"/>
  <c r="CI44" i="93"/>
  <c r="CQ44" i="93"/>
  <c r="CI22" i="100"/>
  <c r="BN22" i="100"/>
  <c r="CH22" i="100"/>
  <c r="CX22" i="100"/>
  <c r="CJ22" i="100"/>
  <c r="BL22" i="100"/>
  <c r="CK22" i="100"/>
  <c r="BM22" i="100"/>
  <c r="CM22" i="100"/>
  <c r="CY22" i="100"/>
  <c r="CN22" i="100"/>
  <c r="BR22" i="100"/>
  <c r="CL22" i="100"/>
  <c r="BP22" i="100"/>
  <c r="CO22" i="100"/>
  <c r="BQ22" i="100"/>
  <c r="CQ22" i="100"/>
  <c r="BS22" i="100"/>
  <c r="CR22" i="100"/>
  <c r="BY22" i="100"/>
  <c r="CS22" i="100"/>
  <c r="BZ22" i="100"/>
  <c r="CC22" i="100"/>
  <c r="CB22" i="100"/>
  <c r="BO22" i="100"/>
  <c r="BV22" i="100"/>
  <c r="CP22" i="100"/>
  <c r="BU22" i="100"/>
  <c r="CU22" i="100"/>
  <c r="BW22" i="100"/>
  <c r="CV22" i="100"/>
  <c r="BX22" i="100"/>
  <c r="CW22" i="100"/>
  <c r="BT22" i="100"/>
  <c r="CA22" i="100"/>
  <c r="CD22" i="100"/>
  <c r="CT22" i="100"/>
  <c r="CE22" i="100"/>
  <c r="CZ22" i="100"/>
  <c r="CF22" i="100"/>
  <c r="DA22" i="100"/>
  <c r="CG22" i="100"/>
  <c r="BS28" i="100"/>
  <c r="CD28" i="100"/>
  <c r="CW28" i="100"/>
  <c r="CC28" i="100"/>
  <c r="CN28" i="100"/>
  <c r="BT28" i="100"/>
  <c r="CM28" i="100"/>
  <c r="BP28" i="100"/>
  <c r="CL28" i="100"/>
  <c r="BN28" i="100"/>
  <c r="CS28" i="100"/>
  <c r="BY28" i="100"/>
  <c r="CZ28" i="100"/>
  <c r="CJ28" i="100"/>
  <c r="BL28" i="100"/>
  <c r="CI28" i="100"/>
  <c r="CY28" i="100"/>
  <c r="CE28" i="100"/>
  <c r="BO28" i="100"/>
  <c r="CT28" i="100"/>
  <c r="CP28" i="100"/>
  <c r="CO28" i="100"/>
  <c r="BU28" i="100"/>
  <c r="CV28" i="100"/>
  <c r="CB28" i="100"/>
  <c r="CU28" i="100"/>
  <c r="CA28" i="100"/>
  <c r="CH28" i="100"/>
  <c r="CF28" i="100"/>
  <c r="BR28" i="100"/>
  <c r="BQ28" i="100"/>
  <c r="BZ28" i="100"/>
  <c r="BV28" i="100"/>
  <c r="CX28" i="100"/>
  <c r="CG28" i="100"/>
  <c r="DA28" i="100"/>
  <c r="CK28" i="100"/>
  <c r="BM28" i="100"/>
  <c r="CR28" i="100"/>
  <c r="BX28" i="100"/>
  <c r="CQ28" i="100"/>
  <c r="BW28" i="100"/>
  <c r="CX7" i="98"/>
  <c r="CX8" i="98"/>
  <c r="CR6" i="98"/>
  <c r="CZ6" i="98" s="1"/>
  <c r="CR11" i="98"/>
  <c r="CR9" i="98"/>
  <c r="CR60" i="98"/>
  <c r="CZ71" i="98" s="1"/>
  <c r="CR28" i="98"/>
  <c r="CZ37" i="98" s="1"/>
  <c r="CR65" i="98"/>
  <c r="CZ76" i="98" s="1"/>
  <c r="CR61" i="98"/>
  <c r="CZ72" i="98" s="1"/>
  <c r="CR18" i="98"/>
  <c r="CZ25" i="98" s="1"/>
  <c r="CR36" i="98"/>
  <c r="CZ46" i="98" s="1"/>
  <c r="CR37" i="98"/>
  <c r="CZ47" i="98" s="1"/>
  <c r="CR48" i="98"/>
  <c r="CZ58" i="98" s="1"/>
  <c r="CR34" i="98"/>
  <c r="CZ44" i="98" s="1"/>
  <c r="CR20" i="98"/>
  <c r="CZ27" i="98" s="1"/>
  <c r="CR31" i="98"/>
  <c r="CZ40" i="98" s="1"/>
  <c r="CR62" i="98"/>
  <c r="CZ73" i="98" s="1"/>
  <c r="CR44" i="98"/>
  <c r="CZ54" i="98" s="1"/>
  <c r="CR51" i="98"/>
  <c r="CZ62" i="98" s="1"/>
  <c r="CR25" i="98"/>
  <c r="CZ33" i="98" s="1"/>
  <c r="CR30" i="98"/>
  <c r="CZ39" i="98" s="1"/>
  <c r="CR54" i="98"/>
  <c r="CZ65" i="98" s="1"/>
  <c r="CR19" i="98"/>
  <c r="CZ26" i="98" s="1"/>
  <c r="CR29" i="98"/>
  <c r="CZ38" i="98" s="1"/>
  <c r="CR38" i="98"/>
  <c r="CZ48" i="98" s="1"/>
  <c r="CR16" i="98"/>
  <c r="CZ23" i="98" s="1"/>
  <c r="CR52" i="98"/>
  <c r="CZ63" i="98" s="1"/>
  <c r="CR35" i="98"/>
  <c r="CZ45" i="98" s="1"/>
  <c r="CR33" i="98"/>
  <c r="CR49" i="98"/>
  <c r="CR53" i="98"/>
  <c r="CZ64" i="98" s="1"/>
  <c r="CR8" i="98"/>
  <c r="CR46" i="98"/>
  <c r="CZ56" i="98" s="1"/>
  <c r="CR50" i="98"/>
  <c r="CZ61" i="98" s="1"/>
  <c r="CR24" i="98"/>
  <c r="CZ32" i="98" s="1"/>
  <c r="CR12" i="98"/>
  <c r="CZ17" i="98" s="1"/>
  <c r="CR26" i="98"/>
  <c r="CZ34" i="98" s="1"/>
  <c r="CR41" i="98"/>
  <c r="CZ51" i="98" s="1"/>
  <c r="CR13" i="98"/>
  <c r="CZ18" i="98" s="1"/>
  <c r="CR27" i="98"/>
  <c r="CR42" i="98"/>
  <c r="CZ52" i="98" s="1"/>
  <c r="CR15" i="98"/>
  <c r="CZ22" i="98" s="1"/>
  <c r="CR63" i="98"/>
  <c r="CZ74" i="98" s="1"/>
  <c r="CR58" i="98"/>
  <c r="CZ69" i="98" s="1"/>
  <c r="CR59" i="98"/>
  <c r="CZ70" i="98" s="1"/>
  <c r="CR55" i="98"/>
  <c r="CZ66" i="98" s="1"/>
  <c r="CR23" i="98"/>
  <c r="CZ31" i="98" s="1"/>
  <c r="CR57" i="98"/>
  <c r="CZ68" i="98" s="1"/>
  <c r="CR40" i="98"/>
  <c r="CZ50" i="98" s="1"/>
  <c r="CR21" i="98"/>
  <c r="CZ28" i="98" s="1"/>
  <c r="CR22" i="98"/>
  <c r="CR47" i="98"/>
  <c r="CZ57" i="98" s="1"/>
  <c r="CR10" i="98"/>
  <c r="CZ14" i="98" s="1"/>
  <c r="CR39" i="98"/>
  <c r="CZ49" i="98" s="1"/>
  <c r="CR32" i="98"/>
  <c r="CZ41" i="98" s="1"/>
  <c r="CR56" i="98"/>
  <c r="CZ67" i="98" s="1"/>
  <c r="CR14" i="98"/>
  <c r="CR45" i="98"/>
  <c r="CZ55" i="98" s="1"/>
  <c r="CR43" i="98"/>
  <c r="CZ53" i="98" s="1"/>
  <c r="CR64" i="98"/>
  <c r="CZ75" i="98" s="1"/>
  <c r="CR17" i="98"/>
  <c r="BF11" i="93"/>
  <c r="BJ11" i="93"/>
  <c r="BN11" i="93"/>
  <c r="BR11" i="93"/>
  <c r="BV11" i="93"/>
  <c r="BZ11" i="93"/>
  <c r="CD11" i="93"/>
  <c r="CH11" i="93"/>
  <c r="CL11" i="93"/>
  <c r="CP11" i="93"/>
  <c r="CT11" i="93"/>
  <c r="BM11" i="93"/>
  <c r="BY11" i="93"/>
  <c r="CK11" i="93"/>
  <c r="BG11" i="93"/>
  <c r="BK11" i="93"/>
  <c r="BO11" i="93"/>
  <c r="BS11" i="93"/>
  <c r="BW11" i="93"/>
  <c r="CA11" i="93"/>
  <c r="CE11" i="93"/>
  <c r="CI11" i="93"/>
  <c r="CM11" i="93"/>
  <c r="CQ11" i="93"/>
  <c r="CU11" i="93"/>
  <c r="BI11" i="93"/>
  <c r="BU11" i="93"/>
  <c r="CG11" i="93"/>
  <c r="CS11" i="93"/>
  <c r="BH11" i="93"/>
  <c r="BL11" i="93"/>
  <c r="BP11" i="93"/>
  <c r="BT11" i="93"/>
  <c r="BX11" i="93"/>
  <c r="CB11" i="93"/>
  <c r="CF11" i="93"/>
  <c r="CJ11" i="93"/>
  <c r="CN11" i="93"/>
  <c r="CR11" i="93"/>
  <c r="BQ11" i="93"/>
  <c r="CC11" i="93"/>
  <c r="CO11" i="93"/>
  <c r="BP45" i="100"/>
  <c r="CP45" i="100"/>
  <c r="BM45" i="100"/>
  <c r="BN45" i="100"/>
  <c r="BO45" i="100"/>
  <c r="DA45" i="100"/>
  <c r="CC45" i="100"/>
  <c r="CV45" i="100"/>
  <c r="CF45" i="100"/>
  <c r="CA45" i="100"/>
  <c r="BW45" i="100"/>
  <c r="CX45" i="100"/>
  <c r="CH45" i="100"/>
  <c r="BZ45" i="100"/>
  <c r="BQ45" i="100"/>
  <c r="BR45" i="100"/>
  <c r="BS45" i="100"/>
  <c r="CG45" i="100"/>
  <c r="CE45" i="100"/>
  <c r="CI45" i="100"/>
  <c r="CM45" i="100"/>
  <c r="CN45" i="100"/>
  <c r="CO45" i="100"/>
  <c r="CK45" i="100"/>
  <c r="BU45" i="100"/>
  <c r="CB45" i="100"/>
  <c r="BX45" i="100"/>
  <c r="CU45" i="100"/>
  <c r="CT45" i="100"/>
  <c r="CD45" i="100"/>
  <c r="BV45" i="100"/>
  <c r="CL45" i="100"/>
  <c r="CQ45" i="100"/>
  <c r="CR45" i="100"/>
  <c r="CS45" i="100"/>
  <c r="BL45" i="100"/>
  <c r="CW45" i="100"/>
  <c r="BY45" i="100"/>
  <c r="CZ45" i="100"/>
  <c r="CJ45" i="100"/>
  <c r="BT45" i="100"/>
  <c r="CY45" i="100"/>
  <c r="BH12" i="93"/>
  <c r="BL12" i="93"/>
  <c r="BP12" i="93"/>
  <c r="BT12" i="93"/>
  <c r="BX12" i="93"/>
  <c r="CB12" i="93"/>
  <c r="CF12" i="93"/>
  <c r="CJ12" i="93"/>
  <c r="CN12" i="93"/>
  <c r="CR12" i="93"/>
  <c r="BG12" i="93"/>
  <c r="BS12" i="93"/>
  <c r="CE12" i="93"/>
  <c r="CM12" i="93"/>
  <c r="BI12" i="93"/>
  <c r="BM12" i="93"/>
  <c r="BQ12" i="93"/>
  <c r="BU12" i="93"/>
  <c r="BY12" i="93"/>
  <c r="CC12" i="93"/>
  <c r="CG12" i="93"/>
  <c r="CK12" i="93"/>
  <c r="CO12" i="93"/>
  <c r="CS12" i="93"/>
  <c r="BO12" i="93"/>
  <c r="CA12" i="93"/>
  <c r="CQ12" i="93"/>
  <c r="BF12" i="93"/>
  <c r="BJ12" i="93"/>
  <c r="BN12" i="93"/>
  <c r="BR12" i="93"/>
  <c r="BV12" i="93"/>
  <c r="BZ12" i="93"/>
  <c r="CD12" i="93"/>
  <c r="CH12" i="93"/>
  <c r="CL12" i="93"/>
  <c r="CP12" i="93"/>
  <c r="CT12" i="93"/>
  <c r="BK12" i="93"/>
  <c r="BW12" i="93"/>
  <c r="CI12" i="93"/>
  <c r="CU12" i="93"/>
  <c r="BP25" i="100"/>
  <c r="BX25" i="100"/>
  <c r="BT25" i="100"/>
  <c r="BY25" i="100"/>
  <c r="CS25" i="100"/>
  <c r="BR25" i="100"/>
  <c r="CL25" i="100"/>
  <c r="BO25" i="100"/>
  <c r="CI25" i="100"/>
  <c r="CY25" i="100"/>
  <c r="BL25" i="100"/>
  <c r="BM25" i="100"/>
  <c r="CG25" i="100"/>
  <c r="CW25" i="100"/>
  <c r="BV25" i="100"/>
  <c r="CP25" i="100"/>
  <c r="BS25" i="100"/>
  <c r="CM25" i="100"/>
  <c r="CZ25" i="100"/>
  <c r="BQ25" i="100"/>
  <c r="CK25" i="100"/>
  <c r="DA25" i="100"/>
  <c r="CD25" i="100"/>
  <c r="CT25" i="100"/>
  <c r="BW25" i="100"/>
  <c r="CQ25" i="100"/>
  <c r="CV25" i="100"/>
  <c r="CB25" i="100"/>
  <c r="BZ25" i="100"/>
  <c r="CR25" i="100"/>
  <c r="CN25" i="100"/>
  <c r="CJ25" i="100"/>
  <c r="BU25" i="100"/>
  <c r="CO25" i="100"/>
  <c r="BN25" i="100"/>
  <c r="CH25" i="100"/>
  <c r="CX25" i="100"/>
  <c r="CE25" i="100"/>
  <c r="CU25" i="100"/>
  <c r="CF25" i="100"/>
  <c r="CC25" i="100"/>
  <c r="CA25" i="100"/>
  <c r="BH40" i="93"/>
  <c r="BL40" i="93"/>
  <c r="BP40" i="93"/>
  <c r="BT40" i="93"/>
  <c r="BX40" i="93"/>
  <c r="CB40" i="93"/>
  <c r="CF40" i="93"/>
  <c r="CJ40" i="93"/>
  <c r="CN40" i="93"/>
  <c r="CR40" i="93"/>
  <c r="BG40" i="93"/>
  <c r="BS40" i="93"/>
  <c r="CE40" i="93"/>
  <c r="CQ40" i="93"/>
  <c r="BI40" i="93"/>
  <c r="BM40" i="93"/>
  <c r="BQ40" i="93"/>
  <c r="BU40" i="93"/>
  <c r="BY40" i="93"/>
  <c r="CC40" i="93"/>
  <c r="CG40" i="93"/>
  <c r="CK40" i="93"/>
  <c r="CO40" i="93"/>
  <c r="CS40" i="93"/>
  <c r="BO40" i="93"/>
  <c r="CA40" i="93"/>
  <c r="CM40" i="93"/>
  <c r="BF40" i="93"/>
  <c r="BJ40" i="93"/>
  <c r="BN40" i="93"/>
  <c r="BR40" i="93"/>
  <c r="BV40" i="93"/>
  <c r="BZ40" i="93"/>
  <c r="CD40" i="93"/>
  <c r="CH40" i="93"/>
  <c r="CL40" i="93"/>
  <c r="CP40" i="93"/>
  <c r="CT40" i="93"/>
  <c r="BK40" i="93"/>
  <c r="BW40" i="93"/>
  <c r="CI40" i="93"/>
  <c r="CU40" i="93"/>
  <c r="CL54" i="100"/>
  <c r="BM54" i="100"/>
  <c r="BN54" i="100"/>
  <c r="BO54" i="100"/>
  <c r="DA54" i="100"/>
  <c r="CW54" i="100"/>
  <c r="BY54" i="100"/>
  <c r="CZ54" i="100"/>
  <c r="CF54" i="100"/>
  <c r="BX54" i="100"/>
  <c r="CE54" i="100"/>
  <c r="CU54" i="100"/>
  <c r="CH54" i="100"/>
  <c r="BQ54" i="100"/>
  <c r="BR54" i="100"/>
  <c r="BS54" i="100"/>
  <c r="BP54" i="100"/>
  <c r="CC54" i="100"/>
  <c r="CY54" i="100"/>
  <c r="CX54" i="100"/>
  <c r="BZ54" i="100"/>
  <c r="CM54" i="100"/>
  <c r="CN54" i="100"/>
  <c r="CO54" i="100"/>
  <c r="BL54" i="100"/>
  <c r="CG54" i="100"/>
  <c r="CV54" i="100"/>
  <c r="CJ54" i="100"/>
  <c r="BT54" i="100"/>
  <c r="CP54" i="100"/>
  <c r="CQ54" i="100"/>
  <c r="CR54" i="100"/>
  <c r="CS54" i="100"/>
  <c r="CK54" i="100"/>
  <c r="BU54" i="100"/>
  <c r="CB54" i="100"/>
  <c r="CI54" i="100"/>
  <c r="CA54" i="100"/>
  <c r="BW54" i="100"/>
  <c r="CT54" i="100"/>
  <c r="CD54" i="100"/>
  <c r="BV54" i="100"/>
  <c r="BF29" i="93"/>
  <c r="BJ29" i="93"/>
  <c r="BN29" i="93"/>
  <c r="BR29" i="93"/>
  <c r="BV29" i="93"/>
  <c r="BZ29" i="93"/>
  <c r="CD29" i="93"/>
  <c r="CH29" i="93"/>
  <c r="CL29" i="93"/>
  <c r="CP29" i="93"/>
  <c r="CT29" i="93"/>
  <c r="BM29" i="93"/>
  <c r="BY29" i="93"/>
  <c r="CK29" i="93"/>
  <c r="BG29" i="93"/>
  <c r="BK29" i="93"/>
  <c r="BO29" i="93"/>
  <c r="BS29" i="93"/>
  <c r="BW29" i="93"/>
  <c r="CA29" i="93"/>
  <c r="CE29" i="93"/>
  <c r="CI29" i="93"/>
  <c r="CM29" i="93"/>
  <c r="CQ29" i="93"/>
  <c r="CU29" i="93"/>
  <c r="BQ29" i="93"/>
  <c r="CC29" i="93"/>
  <c r="CO29" i="93"/>
  <c r="BH29" i="93"/>
  <c r="BL29" i="93"/>
  <c r="BP29" i="93"/>
  <c r="BT29" i="93"/>
  <c r="BX29" i="93"/>
  <c r="CB29" i="93"/>
  <c r="CF29" i="93"/>
  <c r="CJ29" i="93"/>
  <c r="CN29" i="93"/>
  <c r="CR29" i="93"/>
  <c r="BI29" i="93"/>
  <c r="BU29" i="93"/>
  <c r="CG29" i="93"/>
  <c r="CS29" i="93"/>
  <c r="BO36" i="100"/>
  <c r="CD36" i="100"/>
  <c r="CC36" i="100"/>
  <c r="BM36" i="100"/>
  <c r="CF36" i="100"/>
  <c r="BP36" i="100"/>
  <c r="CE36" i="100"/>
  <c r="CQ36" i="100"/>
  <c r="CI36" i="100"/>
  <c r="CH36" i="100"/>
  <c r="BN36" i="100"/>
  <c r="BY36" i="100"/>
  <c r="CB36" i="100"/>
  <c r="BL36" i="100"/>
  <c r="CA36" i="100"/>
  <c r="CN36" i="100"/>
  <c r="CO36" i="100"/>
  <c r="CG36" i="100"/>
  <c r="CU36" i="100"/>
  <c r="CY36" i="100"/>
  <c r="CX36" i="100"/>
  <c r="BU36" i="100"/>
  <c r="DA36" i="100"/>
  <c r="BX36" i="100"/>
  <c r="CZ36" i="100"/>
  <c r="BW36" i="100"/>
  <c r="CM36" i="100"/>
  <c r="CP36" i="100"/>
  <c r="BZ36" i="100"/>
  <c r="BR36" i="100"/>
  <c r="BV36" i="100"/>
  <c r="CT36" i="100"/>
  <c r="BQ36" i="100"/>
  <c r="CW36" i="100"/>
  <c r="BT36" i="100"/>
  <c r="CV36" i="100"/>
  <c r="BS36" i="100"/>
  <c r="CR36" i="100"/>
  <c r="CJ36" i="100"/>
  <c r="CL36" i="100"/>
  <c r="CS36" i="100"/>
  <c r="CK36" i="100"/>
  <c r="BH22" i="93"/>
  <c r="BL22" i="93"/>
  <c r="BP22" i="93"/>
  <c r="BT22" i="93"/>
  <c r="BX22" i="93"/>
  <c r="CB22" i="93"/>
  <c r="CF22" i="93"/>
  <c r="CJ22" i="93"/>
  <c r="CN22" i="93"/>
  <c r="CR22" i="93"/>
  <c r="BK22" i="93"/>
  <c r="BW22" i="93"/>
  <c r="CI22" i="93"/>
  <c r="CU22" i="93"/>
  <c r="BI22" i="93"/>
  <c r="BM22" i="93"/>
  <c r="BQ22" i="93"/>
  <c r="BU22" i="93"/>
  <c r="BY22" i="93"/>
  <c r="CC22" i="93"/>
  <c r="CG22" i="93"/>
  <c r="CK22" i="93"/>
  <c r="CO22" i="93"/>
  <c r="CS22" i="93"/>
  <c r="BG22" i="93"/>
  <c r="BS22" i="93"/>
  <c r="CE22" i="93"/>
  <c r="CQ22" i="93"/>
  <c r="BF22" i="93"/>
  <c r="BJ22" i="93"/>
  <c r="BN22" i="93"/>
  <c r="BR22" i="93"/>
  <c r="BV22" i="93"/>
  <c r="BZ22" i="93"/>
  <c r="CD22" i="93"/>
  <c r="CH22" i="93"/>
  <c r="CL22" i="93"/>
  <c r="CP22" i="93"/>
  <c r="CT22" i="93"/>
  <c r="BO22" i="93"/>
  <c r="CA22" i="93"/>
  <c r="CM22" i="93"/>
  <c r="BX29" i="100"/>
  <c r="BL29" i="100"/>
  <c r="CB29" i="100"/>
  <c r="CR29" i="100"/>
  <c r="BM29" i="100"/>
  <c r="CK29" i="100"/>
  <c r="DA29" i="100"/>
  <c r="CD29" i="100"/>
  <c r="CX29" i="100"/>
  <c r="CE29" i="100"/>
  <c r="CY29" i="100"/>
  <c r="BP29" i="100"/>
  <c r="CG29" i="100"/>
  <c r="BU29" i="100"/>
  <c r="CO29" i="100"/>
  <c r="BN29" i="100"/>
  <c r="CL29" i="100"/>
  <c r="BS29" i="100"/>
  <c r="CM29" i="100"/>
  <c r="CH29" i="100"/>
  <c r="CF29" i="100"/>
  <c r="BQ29" i="100"/>
  <c r="CZ29" i="100"/>
  <c r="BY29" i="100"/>
  <c r="CS29" i="100"/>
  <c r="BV29" i="100"/>
  <c r="CP29" i="100"/>
  <c r="BW29" i="100"/>
  <c r="CQ29" i="100"/>
  <c r="CN29" i="100"/>
  <c r="CI29" i="100"/>
  <c r="BO29" i="100"/>
  <c r="CJ29" i="100"/>
  <c r="CV29" i="100"/>
  <c r="CC29" i="100"/>
  <c r="CW29" i="100"/>
  <c r="BZ29" i="100"/>
  <c r="CT29" i="100"/>
  <c r="CA29" i="100"/>
  <c r="CU29" i="100"/>
  <c r="BT29" i="100"/>
  <c r="BR29" i="100"/>
  <c r="BF45" i="93"/>
  <c r="BJ45" i="93"/>
  <c r="BN45" i="93"/>
  <c r="BR45" i="93"/>
  <c r="BV45" i="93"/>
  <c r="BZ45" i="93"/>
  <c r="CD45" i="93"/>
  <c r="CH45" i="93"/>
  <c r="CL45" i="93"/>
  <c r="CP45" i="93"/>
  <c r="CT45" i="93"/>
  <c r="BQ45" i="93"/>
  <c r="CC45" i="93"/>
  <c r="CO45" i="93"/>
  <c r="BG45" i="93"/>
  <c r="BK45" i="93"/>
  <c r="BO45" i="93"/>
  <c r="BS45" i="93"/>
  <c r="BW45" i="93"/>
  <c r="CA45" i="93"/>
  <c r="CE45" i="93"/>
  <c r="CI45" i="93"/>
  <c r="CM45" i="93"/>
  <c r="CQ45" i="93"/>
  <c r="CU45" i="93"/>
  <c r="BM45" i="93"/>
  <c r="BY45" i="93"/>
  <c r="CK45" i="93"/>
  <c r="BH45" i="93"/>
  <c r="BL45" i="93"/>
  <c r="BP45" i="93"/>
  <c r="BT45" i="93"/>
  <c r="BX45" i="93"/>
  <c r="CB45" i="93"/>
  <c r="CF45" i="93"/>
  <c r="CJ45" i="93"/>
  <c r="CN45" i="93"/>
  <c r="CR45" i="93"/>
  <c r="BI45" i="93"/>
  <c r="BU45" i="93"/>
  <c r="CG45" i="93"/>
  <c r="CS45" i="93"/>
  <c r="BM52" i="100"/>
  <c r="BP52" i="100"/>
  <c r="BS52" i="100"/>
  <c r="BR52" i="100"/>
  <c r="BQ52" i="100"/>
  <c r="CC52" i="100"/>
  <c r="CY52" i="100"/>
  <c r="CX52" i="100"/>
  <c r="BZ52" i="100"/>
  <c r="CL52" i="100"/>
  <c r="BO52" i="100"/>
  <c r="BN52" i="100"/>
  <c r="CG52" i="100"/>
  <c r="CV52" i="100"/>
  <c r="CJ52" i="100"/>
  <c r="BT52" i="100"/>
  <c r="CP52" i="100"/>
  <c r="CS52" i="100"/>
  <c r="CR52" i="100"/>
  <c r="CQ52" i="100"/>
  <c r="CK52" i="100"/>
  <c r="BU52" i="100"/>
  <c r="CB52" i="100"/>
  <c r="CI52" i="100"/>
  <c r="CA52" i="100"/>
  <c r="BW52" i="100"/>
  <c r="CT52" i="100"/>
  <c r="CD52" i="100"/>
  <c r="BV52" i="100"/>
  <c r="BL52" i="100"/>
  <c r="CO52" i="100"/>
  <c r="CN52" i="100"/>
  <c r="CM52" i="100"/>
  <c r="DA52" i="100"/>
  <c r="CW52" i="100"/>
  <c r="BY52" i="100"/>
  <c r="CZ52" i="100"/>
  <c r="CF52" i="100"/>
  <c r="BX52" i="100"/>
  <c r="CE52" i="100"/>
  <c r="CU52" i="100"/>
  <c r="CH52" i="100"/>
  <c r="BF51" i="93"/>
  <c r="BJ51" i="93"/>
  <c r="BN51" i="93"/>
  <c r="BR51" i="93"/>
  <c r="BV51" i="93"/>
  <c r="BZ51" i="93"/>
  <c r="CD51" i="93"/>
  <c r="CH51" i="93"/>
  <c r="CL51" i="93"/>
  <c r="CP51" i="93"/>
  <c r="CT51" i="93"/>
  <c r="BM51" i="93"/>
  <c r="BU51" i="93"/>
  <c r="CG51" i="93"/>
  <c r="CS51" i="93"/>
  <c r="BG51" i="93"/>
  <c r="BK51" i="93"/>
  <c r="BO51" i="93"/>
  <c r="BS51" i="93"/>
  <c r="BW51" i="93"/>
  <c r="CA51" i="93"/>
  <c r="CE51" i="93"/>
  <c r="CI51" i="93"/>
  <c r="CM51" i="93"/>
  <c r="CQ51" i="93"/>
  <c r="CU51" i="93"/>
  <c r="BQ51" i="93"/>
  <c r="CC51" i="93"/>
  <c r="CO51" i="93"/>
  <c r="BH51" i="93"/>
  <c r="BL51" i="93"/>
  <c r="BP51" i="93"/>
  <c r="BT51" i="93"/>
  <c r="BX51" i="93"/>
  <c r="CB51" i="93"/>
  <c r="CF51" i="93"/>
  <c r="CJ51" i="93"/>
  <c r="CN51" i="93"/>
  <c r="CR51" i="93"/>
  <c r="BI51" i="93"/>
  <c r="BY51" i="93"/>
  <c r="CK51" i="93"/>
  <c r="CL57" i="100"/>
  <c r="BM57" i="100"/>
  <c r="BN57" i="100"/>
  <c r="BO57" i="100"/>
  <c r="CK57" i="100"/>
  <c r="BV57" i="100"/>
  <c r="CF57" i="100"/>
  <c r="CE57" i="100"/>
  <c r="CX57" i="100"/>
  <c r="BX57" i="100"/>
  <c r="BP57" i="100"/>
  <c r="BQ57" i="100"/>
  <c r="BR57" i="100"/>
  <c r="BS57" i="100"/>
  <c r="BL57" i="100"/>
  <c r="CY57" i="100"/>
  <c r="BZ57" i="100"/>
  <c r="CG57" i="100"/>
  <c r="CZ57" i="100"/>
  <c r="BU57" i="100"/>
  <c r="CD57" i="100"/>
  <c r="CT57" i="100"/>
  <c r="CP57" i="100"/>
  <c r="CM57" i="100"/>
  <c r="CN57" i="100"/>
  <c r="CO57" i="100"/>
  <c r="CU57" i="100"/>
  <c r="DA57" i="100"/>
  <c r="CV57" i="100"/>
  <c r="BY57" i="100"/>
  <c r="CH57" i="100"/>
  <c r="CB57" i="100"/>
  <c r="CQ57" i="100"/>
  <c r="CR57" i="100"/>
  <c r="CS57" i="100"/>
  <c r="CI57" i="100"/>
  <c r="CW57" i="100"/>
  <c r="CJ57" i="100"/>
  <c r="BT57" i="100"/>
  <c r="CA57" i="100"/>
  <c r="BW57" i="100"/>
  <c r="CC57" i="100"/>
  <c r="BO12" i="98"/>
  <c r="BO9" i="98"/>
  <c r="BO13" i="98"/>
  <c r="BP8" i="98"/>
  <c r="BP10" i="98"/>
  <c r="O16" i="98"/>
  <c r="Q16" i="98"/>
  <c r="P16" i="98"/>
  <c r="R16" i="98"/>
  <c r="B6" i="97"/>
  <c r="E6" i="97" s="1"/>
  <c r="B5" i="97"/>
  <c r="D5" i="97" s="1"/>
  <c r="B7" i="97"/>
  <c r="B8" i="97"/>
  <c r="DE21" i="89"/>
  <c r="DG21" i="89" s="1"/>
  <c r="DE22" i="89"/>
  <c r="DG22" i="89" s="1"/>
  <c r="DE38" i="89"/>
  <c r="DG38" i="89" s="1"/>
  <c r="DE39" i="89"/>
  <c r="DG39" i="89" s="1"/>
  <c r="DE15" i="89"/>
  <c r="DG15" i="89" s="1"/>
  <c r="DE12" i="89"/>
  <c r="DG12" i="89" s="1"/>
  <c r="DE16" i="89"/>
  <c r="DG16" i="89" s="1"/>
  <c r="DE14" i="89"/>
  <c r="DG14" i="89" s="1"/>
  <c r="DE19" i="89"/>
  <c r="DG19" i="89" s="1"/>
  <c r="DE18" i="89"/>
  <c r="DG18" i="89" s="1"/>
  <c r="DE9" i="89"/>
  <c r="DG9" i="89" s="1"/>
  <c r="DE11" i="89"/>
  <c r="DG11" i="89" s="1"/>
  <c r="DE10" i="89"/>
  <c r="DG10" i="89" s="1"/>
  <c r="AN6" i="83"/>
  <c r="AN7" i="83"/>
  <c r="AN8" i="83"/>
  <c r="AN9" i="83"/>
  <c r="AN10" i="83"/>
  <c r="AN11" i="83"/>
  <c r="AN12" i="83"/>
  <c r="AN13" i="83"/>
  <c r="AN14" i="83"/>
  <c r="AN15" i="83"/>
  <c r="AN16" i="83"/>
  <c r="AN17" i="83"/>
  <c r="AN18" i="83"/>
  <c r="AN19" i="83"/>
  <c r="AN20" i="83"/>
  <c r="AN21" i="83"/>
  <c r="AN22" i="83"/>
  <c r="AN23" i="83"/>
  <c r="AN24" i="83"/>
  <c r="AN25" i="83"/>
  <c r="AN26" i="83"/>
  <c r="AN27" i="83"/>
  <c r="AN28" i="83"/>
  <c r="AN29" i="83"/>
  <c r="AN30" i="83"/>
  <c r="AN31" i="83"/>
  <c r="AN32" i="83"/>
  <c r="AN33" i="83"/>
  <c r="AN34" i="83"/>
  <c r="AN35" i="83"/>
  <c r="AN36" i="83"/>
  <c r="AN37" i="83"/>
  <c r="AN38" i="83"/>
  <c r="AN39" i="83"/>
  <c r="AN40" i="83"/>
  <c r="AN41" i="83"/>
  <c r="AN42" i="83"/>
  <c r="AN43" i="83"/>
  <c r="AN44" i="83"/>
  <c r="AN45" i="83"/>
  <c r="AN46" i="83"/>
  <c r="AN47" i="83"/>
  <c r="AN48" i="83"/>
  <c r="AN49" i="83"/>
  <c r="AN50" i="83"/>
  <c r="AN51" i="83"/>
  <c r="AN52" i="83"/>
  <c r="AN53" i="83"/>
  <c r="AN54" i="83"/>
  <c r="AN55" i="83"/>
  <c r="AN56" i="83"/>
  <c r="AN57" i="83"/>
  <c r="AN58" i="83"/>
  <c r="AN59" i="83"/>
  <c r="AN60" i="83"/>
  <c r="AN61" i="83"/>
  <c r="AN62" i="83"/>
  <c r="AN63" i="83"/>
  <c r="AN64" i="83"/>
  <c r="AN65" i="83"/>
  <c r="AN66" i="83"/>
  <c r="AN67" i="83"/>
  <c r="AN68" i="83"/>
  <c r="AN69" i="83"/>
  <c r="AN70" i="83"/>
  <c r="AN71" i="83"/>
  <c r="AN72" i="83"/>
  <c r="AN73" i="83"/>
  <c r="AN74" i="83"/>
  <c r="AN75" i="83"/>
  <c r="AN76" i="83"/>
  <c r="AN77" i="83"/>
  <c r="AN78" i="83"/>
  <c r="AN79" i="83"/>
  <c r="AN80" i="83"/>
  <c r="AN81" i="83"/>
  <c r="AN82" i="83"/>
  <c r="AN83" i="83"/>
  <c r="AN84" i="83"/>
  <c r="AN85" i="83"/>
  <c r="AN86" i="83"/>
  <c r="AN87" i="83"/>
  <c r="AN88" i="83"/>
  <c r="AN89" i="83"/>
  <c r="AN90" i="83"/>
  <c r="AN91" i="83"/>
  <c r="AN92" i="83"/>
  <c r="AN93" i="83"/>
  <c r="AN94" i="83"/>
  <c r="AN95" i="83"/>
  <c r="AN96" i="83"/>
  <c r="AN97" i="83"/>
  <c r="AN98" i="83"/>
  <c r="AN99" i="83"/>
  <c r="AN100" i="83"/>
  <c r="AN101" i="83"/>
  <c r="AN102" i="83"/>
  <c r="AN103" i="83"/>
  <c r="AN104" i="83"/>
  <c r="AN5" i="83"/>
  <c r="AC6" i="83"/>
  <c r="AC7" i="83"/>
  <c r="AC8" i="83"/>
  <c r="AC9" i="83"/>
  <c r="AC10" i="83"/>
  <c r="AC11" i="83"/>
  <c r="AC12" i="83"/>
  <c r="AC13" i="83"/>
  <c r="AC14" i="83"/>
  <c r="AC15" i="83"/>
  <c r="AC16" i="83"/>
  <c r="AC17" i="83"/>
  <c r="AC18" i="83"/>
  <c r="AC19" i="83"/>
  <c r="AC20" i="83"/>
  <c r="AC21" i="83"/>
  <c r="AC22" i="83"/>
  <c r="AC23" i="83"/>
  <c r="AC24" i="83"/>
  <c r="AC25" i="83"/>
  <c r="AC26" i="83"/>
  <c r="AC27" i="83"/>
  <c r="AC28" i="83"/>
  <c r="AC29" i="83"/>
  <c r="AC30" i="83"/>
  <c r="AC31" i="83"/>
  <c r="AC32" i="83"/>
  <c r="AC33" i="83"/>
  <c r="AC34" i="83"/>
  <c r="AC35" i="83"/>
  <c r="AC36" i="83"/>
  <c r="AC37" i="83"/>
  <c r="AC38" i="83"/>
  <c r="AC39" i="83"/>
  <c r="AC40" i="83"/>
  <c r="AC41" i="83"/>
  <c r="AC42" i="83"/>
  <c r="AC43" i="83"/>
  <c r="AC44" i="83"/>
  <c r="AC45" i="83"/>
  <c r="AC46" i="83"/>
  <c r="AC47" i="83"/>
  <c r="AC48" i="83"/>
  <c r="AC49" i="83"/>
  <c r="AC50" i="83"/>
  <c r="AC51" i="83"/>
  <c r="AC52" i="83"/>
  <c r="AC53" i="83"/>
  <c r="AC54" i="83"/>
  <c r="AC55" i="83"/>
  <c r="AC56" i="83"/>
  <c r="AC57" i="83"/>
  <c r="AC58" i="83"/>
  <c r="AC59" i="83"/>
  <c r="AC60" i="83"/>
  <c r="AC61" i="83"/>
  <c r="AC62" i="83"/>
  <c r="AC63" i="83"/>
  <c r="AC64" i="83"/>
  <c r="AC65" i="83"/>
  <c r="AC66" i="83"/>
  <c r="AC67" i="83"/>
  <c r="AC68" i="83"/>
  <c r="AC69" i="83"/>
  <c r="AC70" i="83"/>
  <c r="AC71" i="83"/>
  <c r="AC72" i="83"/>
  <c r="AC73" i="83"/>
  <c r="AC74" i="83"/>
  <c r="AC75" i="83"/>
  <c r="AC76" i="83"/>
  <c r="AC77" i="83"/>
  <c r="AC78" i="83"/>
  <c r="AC79" i="83"/>
  <c r="AC80" i="83"/>
  <c r="AC81" i="83"/>
  <c r="AC82" i="83"/>
  <c r="AC83" i="83"/>
  <c r="AC84" i="83"/>
  <c r="AC85" i="83"/>
  <c r="AC86" i="83"/>
  <c r="AC87" i="83"/>
  <c r="AC88" i="83"/>
  <c r="AC89" i="83"/>
  <c r="AC90" i="83"/>
  <c r="AC91" i="83"/>
  <c r="AC92" i="83"/>
  <c r="AC93" i="83"/>
  <c r="AC94" i="83"/>
  <c r="AC95" i="83"/>
  <c r="AC96" i="83"/>
  <c r="AC97" i="83"/>
  <c r="AC98" i="83"/>
  <c r="AC99" i="83"/>
  <c r="AC100" i="83"/>
  <c r="AC101" i="83"/>
  <c r="AC102" i="83"/>
  <c r="AC103" i="83"/>
  <c r="AC104" i="83"/>
  <c r="AC5" i="83"/>
  <c r="R6" i="83"/>
  <c r="R7" i="83"/>
  <c r="R8" i="83"/>
  <c r="R9" i="83"/>
  <c r="R10" i="83"/>
  <c r="R11" i="83"/>
  <c r="R12" i="83"/>
  <c r="R13" i="83"/>
  <c r="R14" i="83"/>
  <c r="R15" i="83"/>
  <c r="R16" i="83"/>
  <c r="R17" i="83"/>
  <c r="R18" i="83"/>
  <c r="R19" i="83"/>
  <c r="R20" i="83"/>
  <c r="R21" i="83"/>
  <c r="R22" i="83"/>
  <c r="R23" i="83"/>
  <c r="R24" i="83"/>
  <c r="R25" i="83"/>
  <c r="R26" i="83"/>
  <c r="R27" i="83"/>
  <c r="R28" i="83"/>
  <c r="R29" i="83"/>
  <c r="R30" i="83"/>
  <c r="R31" i="83"/>
  <c r="R32" i="83"/>
  <c r="R33" i="83"/>
  <c r="R34" i="83"/>
  <c r="R35" i="83"/>
  <c r="R36" i="83"/>
  <c r="R37" i="83"/>
  <c r="R38" i="83"/>
  <c r="R39" i="83"/>
  <c r="R40" i="83"/>
  <c r="R41" i="83"/>
  <c r="R42" i="83"/>
  <c r="R43" i="83"/>
  <c r="R44" i="83"/>
  <c r="R45" i="83"/>
  <c r="R46" i="83"/>
  <c r="R47" i="83"/>
  <c r="R48" i="83"/>
  <c r="R49" i="83"/>
  <c r="R50" i="83"/>
  <c r="R51" i="83"/>
  <c r="R52" i="83"/>
  <c r="R53" i="83"/>
  <c r="R54" i="83"/>
  <c r="R55" i="83"/>
  <c r="R56" i="83"/>
  <c r="R57" i="83"/>
  <c r="R58" i="83"/>
  <c r="R59" i="83"/>
  <c r="R60" i="83"/>
  <c r="R61" i="83"/>
  <c r="R62" i="83"/>
  <c r="R63" i="83"/>
  <c r="R64" i="83"/>
  <c r="R65" i="83"/>
  <c r="R66" i="83"/>
  <c r="R67" i="83"/>
  <c r="R68" i="83"/>
  <c r="R69" i="83"/>
  <c r="R70" i="83"/>
  <c r="R71" i="83"/>
  <c r="R72" i="83"/>
  <c r="R73" i="83"/>
  <c r="R74" i="83"/>
  <c r="R75" i="83"/>
  <c r="R76" i="83"/>
  <c r="R77" i="83"/>
  <c r="R78" i="83"/>
  <c r="R79" i="83"/>
  <c r="R80" i="83"/>
  <c r="R81" i="83"/>
  <c r="R82" i="83"/>
  <c r="R83" i="83"/>
  <c r="R84" i="83"/>
  <c r="R85" i="83"/>
  <c r="R86" i="83"/>
  <c r="R87" i="83"/>
  <c r="R88" i="83"/>
  <c r="R89" i="83"/>
  <c r="R90" i="83"/>
  <c r="R91" i="83"/>
  <c r="R92" i="83"/>
  <c r="R93" i="83"/>
  <c r="R94" i="83"/>
  <c r="R95" i="83"/>
  <c r="R96" i="83"/>
  <c r="R97" i="83"/>
  <c r="R98" i="83"/>
  <c r="R99" i="83"/>
  <c r="R100" i="83"/>
  <c r="R101" i="83"/>
  <c r="R102" i="83"/>
  <c r="R103" i="83"/>
  <c r="R104" i="83"/>
  <c r="R5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G5" i="83"/>
  <c r="BP9" i="98" l="1"/>
  <c r="BP12" i="98"/>
  <c r="BP6" i="98"/>
  <c r="BP11" i="98"/>
  <c r="BP7" i="98"/>
  <c r="BQ13" i="98"/>
  <c r="BQ9" i="98"/>
  <c r="BO11" i="98"/>
  <c r="BO6" i="98"/>
  <c r="BO7" i="98"/>
  <c r="BN9" i="98"/>
  <c r="BO10" i="98"/>
  <c r="CZ9" i="98"/>
  <c r="Q7" i="103"/>
  <c r="Q11" i="103"/>
  <c r="Q8" i="103"/>
  <c r="Q10" i="103"/>
  <c r="Q9" i="103"/>
  <c r="Q6" i="103"/>
  <c r="BJ56" i="103"/>
  <c r="BJ62" i="103"/>
  <c r="BJ128" i="103"/>
  <c r="BJ44" i="103"/>
  <c r="BJ37" i="103"/>
  <c r="BJ19" i="103"/>
  <c r="BJ79" i="103"/>
  <c r="BJ74" i="103"/>
  <c r="BJ50" i="103"/>
  <c r="BJ122" i="103"/>
  <c r="BJ92" i="103"/>
  <c r="BJ26" i="103"/>
  <c r="BJ20" i="103"/>
  <c r="BJ38" i="103"/>
  <c r="BJ80" i="103"/>
  <c r="BJ49" i="103"/>
  <c r="BJ91" i="103"/>
  <c r="BJ25" i="103"/>
  <c r="BJ121" i="103"/>
  <c r="BJ73" i="103"/>
  <c r="BJ32" i="103"/>
  <c r="BJ8" i="103"/>
  <c r="BJ116" i="103"/>
  <c r="BJ68" i="103"/>
  <c r="BJ7" i="103"/>
  <c r="BJ115" i="103"/>
  <c r="BJ67" i="103"/>
  <c r="BJ31" i="103"/>
  <c r="BJ86" i="103"/>
  <c r="BJ98" i="103"/>
  <c r="BJ110" i="103"/>
  <c r="BJ104" i="103"/>
  <c r="BJ14" i="103"/>
  <c r="BJ61" i="103"/>
  <c r="BJ127" i="103"/>
  <c r="BJ43" i="103"/>
  <c r="BJ55" i="103"/>
  <c r="BJ85" i="103"/>
  <c r="BJ103" i="103"/>
  <c r="BJ97" i="103"/>
  <c r="BJ109" i="103"/>
  <c r="BJ13" i="103"/>
  <c r="U21" i="90"/>
  <c r="V21" i="90"/>
  <c r="W21" i="90"/>
  <c r="X21" i="90"/>
  <c r="AK21" i="90"/>
  <c r="AK73" i="90"/>
  <c r="AK125" i="90"/>
  <c r="AK177" i="90"/>
  <c r="AK229" i="90"/>
  <c r="AK281" i="90"/>
  <c r="AK333" i="90"/>
  <c r="AK385" i="90"/>
  <c r="AK437" i="90"/>
  <c r="AK489" i="90"/>
  <c r="AK541" i="90"/>
  <c r="AK593" i="90"/>
  <c r="AK645" i="90"/>
  <c r="AK697" i="90"/>
  <c r="AK749" i="90"/>
  <c r="AK801" i="90"/>
  <c r="AK853" i="90"/>
  <c r="AK905" i="90"/>
  <c r="AK957" i="90"/>
  <c r="AK1009" i="90"/>
  <c r="AK1061" i="90"/>
  <c r="AK1113" i="90"/>
  <c r="AK1165" i="90"/>
  <c r="AK1217" i="90"/>
  <c r="AK1269" i="90"/>
  <c r="AK1321" i="90"/>
  <c r="AK1373" i="90"/>
  <c r="AK1425" i="90"/>
  <c r="U19" i="90"/>
  <c r="W19" i="90"/>
  <c r="V19" i="90"/>
  <c r="X19" i="90"/>
  <c r="AK19" i="90"/>
  <c r="AK71" i="90"/>
  <c r="AK123" i="90"/>
  <c r="AK175" i="90"/>
  <c r="AK227" i="90"/>
  <c r="AK279" i="90"/>
  <c r="AK331" i="90"/>
  <c r="AK383" i="90"/>
  <c r="AK435" i="90"/>
  <c r="AK487" i="90"/>
  <c r="AK539" i="90"/>
  <c r="AK591" i="90"/>
  <c r="AK643" i="90"/>
  <c r="AK695" i="90"/>
  <c r="AK747" i="90"/>
  <c r="AK799" i="90"/>
  <c r="AK851" i="90"/>
  <c r="AK903" i="90"/>
  <c r="AK955" i="90"/>
  <c r="AK1007" i="90"/>
  <c r="AK1059" i="90"/>
  <c r="AK1111" i="90"/>
  <c r="AK1163" i="90"/>
  <c r="AK1215" i="90"/>
  <c r="AK1319" i="90"/>
  <c r="AK1267" i="90"/>
  <c r="AK1371" i="90"/>
  <c r="AK1423" i="90"/>
  <c r="U14" i="90"/>
  <c r="V14" i="90"/>
  <c r="W14" i="90"/>
  <c r="X14" i="90"/>
  <c r="AK118" i="90"/>
  <c r="AK170" i="90"/>
  <c r="AK378" i="90"/>
  <c r="AK586" i="90"/>
  <c r="AK690" i="90"/>
  <c r="AK794" i="90"/>
  <c r="AK898" i="90"/>
  <c r="AK1002" i="90"/>
  <c r="AK1106" i="90"/>
  <c r="AK1210" i="90"/>
  <c r="AK1314" i="90"/>
  <c r="AK14" i="90"/>
  <c r="AK222" i="90"/>
  <c r="AK430" i="90"/>
  <c r="AK638" i="90"/>
  <c r="AK1366" i="90"/>
  <c r="AK1418" i="90"/>
  <c r="AK66" i="90"/>
  <c r="AK274" i="90"/>
  <c r="AK482" i="90"/>
  <c r="AK742" i="90"/>
  <c r="AK846" i="90"/>
  <c r="AK950" i="90"/>
  <c r="AK1054" i="90"/>
  <c r="AK1158" i="90"/>
  <c r="AK1262" i="90"/>
  <c r="AK534" i="90"/>
  <c r="AK326" i="90"/>
  <c r="U18" i="90"/>
  <c r="V18" i="90"/>
  <c r="W18" i="90"/>
  <c r="X18" i="90"/>
  <c r="AK70" i="90"/>
  <c r="AK122" i="90"/>
  <c r="AK330" i="90"/>
  <c r="AK538" i="90"/>
  <c r="AK746" i="90"/>
  <c r="AK850" i="90"/>
  <c r="AK954" i="90"/>
  <c r="AK1058" i="90"/>
  <c r="AK1162" i="90"/>
  <c r="AK1266" i="90"/>
  <c r="AK174" i="90"/>
  <c r="AK382" i="90"/>
  <c r="AK590" i="90"/>
  <c r="AK1370" i="90"/>
  <c r="AK1422" i="90"/>
  <c r="AK18" i="90"/>
  <c r="AK226" i="90"/>
  <c r="AK434" i="90"/>
  <c r="AK642" i="90"/>
  <c r="AK694" i="90"/>
  <c r="AK798" i="90"/>
  <c r="AK902" i="90"/>
  <c r="AK1006" i="90"/>
  <c r="AK1110" i="90"/>
  <c r="AK1214" i="90"/>
  <c r="AK486" i="90"/>
  <c r="AK1318" i="90"/>
  <c r="AK278" i="90"/>
  <c r="U16" i="90"/>
  <c r="V16" i="90"/>
  <c r="W16" i="90"/>
  <c r="X16" i="90"/>
  <c r="AK16" i="90"/>
  <c r="AK68" i="90"/>
  <c r="AK120" i="90"/>
  <c r="AK172" i="90"/>
  <c r="AK224" i="90"/>
  <c r="AK276" i="90"/>
  <c r="AK328" i="90"/>
  <c r="AK380" i="90"/>
  <c r="AK432" i="90"/>
  <c r="AK484" i="90"/>
  <c r="AK536" i="90"/>
  <c r="AK588" i="90"/>
  <c r="AK640" i="90"/>
  <c r="AK692" i="90"/>
  <c r="AK796" i="90"/>
  <c r="AK900" i="90"/>
  <c r="AK1004" i="90"/>
  <c r="AK1108" i="90"/>
  <c r="AK1212" i="90"/>
  <c r="AK1316" i="90"/>
  <c r="AK1056" i="90"/>
  <c r="AK1420" i="90"/>
  <c r="AK744" i="90"/>
  <c r="AK1160" i="90"/>
  <c r="AK952" i="90"/>
  <c r="AK1368" i="90"/>
  <c r="AK848" i="90"/>
  <c r="AK1264" i="90"/>
  <c r="U12" i="90"/>
  <c r="V12" i="90"/>
  <c r="W12" i="90"/>
  <c r="X12" i="90"/>
  <c r="AK12" i="90"/>
  <c r="AK64" i="90"/>
  <c r="AK116" i="90"/>
  <c r="AK168" i="90"/>
  <c r="AK220" i="90"/>
  <c r="AK272" i="90"/>
  <c r="AK324" i="90"/>
  <c r="AK376" i="90"/>
  <c r="AK428" i="90"/>
  <c r="AK480" i="90"/>
  <c r="AK532" i="90"/>
  <c r="AK584" i="90"/>
  <c r="AK636" i="90"/>
  <c r="AK740" i="90"/>
  <c r="AK844" i="90"/>
  <c r="AK948" i="90"/>
  <c r="AK1052" i="90"/>
  <c r="AK1156" i="90"/>
  <c r="AK1260" i="90"/>
  <c r="AK896" i="90"/>
  <c r="AK1000" i="90"/>
  <c r="AK792" i="90"/>
  <c r="AK1312" i="90"/>
  <c r="AK688" i="90"/>
  <c r="AK1104" i="90"/>
  <c r="AK1364" i="90"/>
  <c r="AK1208" i="90"/>
  <c r="AK1416" i="90"/>
  <c r="U15" i="90"/>
  <c r="W15" i="90"/>
  <c r="V15" i="90"/>
  <c r="X15" i="90"/>
  <c r="AK15" i="90"/>
  <c r="AK67" i="90"/>
  <c r="AK119" i="90"/>
  <c r="AK171" i="90"/>
  <c r="AK223" i="90"/>
  <c r="AK275" i="90"/>
  <c r="AK327" i="90"/>
  <c r="AK379" i="90"/>
  <c r="AK431" i="90"/>
  <c r="AK483" i="90"/>
  <c r="AK535" i="90"/>
  <c r="AK587" i="90"/>
  <c r="AK639" i="90"/>
  <c r="AK691" i="90"/>
  <c r="AK743" i="90"/>
  <c r="AK795" i="90"/>
  <c r="AK847" i="90"/>
  <c r="AK899" i="90"/>
  <c r="AK951" i="90"/>
  <c r="AK1003" i="90"/>
  <c r="AK1055" i="90"/>
  <c r="AK1107" i="90"/>
  <c r="AK1159" i="90"/>
  <c r="AK1211" i="90"/>
  <c r="AK1263" i="90"/>
  <c r="AK1315" i="90"/>
  <c r="AK1367" i="90"/>
  <c r="AK1419" i="90"/>
  <c r="BA9" i="90"/>
  <c r="BA29" i="90"/>
  <c r="BA49" i="90"/>
  <c r="BA69" i="90"/>
  <c r="BA89" i="90"/>
  <c r="BA109" i="90"/>
  <c r="BA129" i="90"/>
  <c r="BA149" i="90"/>
  <c r="BA169" i="90"/>
  <c r="BA189" i="90"/>
  <c r="BA209" i="90"/>
  <c r="BA229" i="90"/>
  <c r="BA249" i="90"/>
  <c r="BA269" i="90"/>
  <c r="BA289" i="90"/>
  <c r="BA309" i="90"/>
  <c r="BA329" i="90"/>
  <c r="BA349" i="90"/>
  <c r="BA369" i="90"/>
  <c r="BA389" i="90"/>
  <c r="BA409" i="90"/>
  <c r="BA429" i="90"/>
  <c r="BA509" i="90"/>
  <c r="BA449" i="90"/>
  <c r="BA529" i="90"/>
  <c r="BA469" i="90"/>
  <c r="BA549" i="90"/>
  <c r="BA489" i="90"/>
  <c r="U22" i="90"/>
  <c r="W22" i="90"/>
  <c r="V22" i="90"/>
  <c r="X22" i="90"/>
  <c r="AK22" i="90"/>
  <c r="AK74" i="90"/>
  <c r="AK282" i="90"/>
  <c r="AK490" i="90"/>
  <c r="AK698" i="90"/>
  <c r="AK802" i="90"/>
  <c r="AK906" i="90"/>
  <c r="AK1010" i="90"/>
  <c r="AK1114" i="90"/>
  <c r="AK1218" i="90"/>
  <c r="AK126" i="90"/>
  <c r="AK334" i="90"/>
  <c r="AK542" i="90"/>
  <c r="AK1374" i="90"/>
  <c r="AK1426" i="90"/>
  <c r="AK178" i="90"/>
  <c r="AK386" i="90"/>
  <c r="AK594" i="90"/>
  <c r="AK750" i="90"/>
  <c r="AK854" i="90"/>
  <c r="AK958" i="90"/>
  <c r="AK1062" i="90"/>
  <c r="AK1166" i="90"/>
  <c r="AK1322" i="90"/>
  <c r="AK230" i="90"/>
  <c r="AK438" i="90"/>
  <c r="AK1270" i="90"/>
  <c r="AK646" i="90"/>
  <c r="U20" i="90"/>
  <c r="W20" i="90"/>
  <c r="V20" i="90"/>
  <c r="X20" i="90"/>
  <c r="AK20" i="90"/>
  <c r="AK72" i="90"/>
  <c r="AK124" i="90"/>
  <c r="AK176" i="90"/>
  <c r="AK228" i="90"/>
  <c r="AK280" i="90"/>
  <c r="AK332" i="90"/>
  <c r="AK384" i="90"/>
  <c r="AK436" i="90"/>
  <c r="AK488" i="90"/>
  <c r="AK540" i="90"/>
  <c r="AK592" i="90"/>
  <c r="AK644" i="90"/>
  <c r="AK748" i="90"/>
  <c r="AK852" i="90"/>
  <c r="AK956" i="90"/>
  <c r="AK1060" i="90"/>
  <c r="AK1164" i="90"/>
  <c r="AK1320" i="90"/>
  <c r="AK1268" i="90"/>
  <c r="AK800" i="90"/>
  <c r="AK1216" i="90"/>
  <c r="AK1372" i="90"/>
  <c r="AK904" i="90"/>
  <c r="AK1424" i="90"/>
  <c r="AK1112" i="90"/>
  <c r="AK1008" i="90"/>
  <c r="AK696" i="90"/>
  <c r="U13" i="90"/>
  <c r="W13" i="90"/>
  <c r="V13" i="90"/>
  <c r="X13" i="90"/>
  <c r="AK13" i="90"/>
  <c r="AK65" i="90"/>
  <c r="AK117" i="90"/>
  <c r="AK169" i="90"/>
  <c r="AK221" i="90"/>
  <c r="AK273" i="90"/>
  <c r="AK325" i="90"/>
  <c r="AK377" i="90"/>
  <c r="AK429" i="90"/>
  <c r="AK481" i="90"/>
  <c r="AK533" i="90"/>
  <c r="AK585" i="90"/>
  <c r="AK637" i="90"/>
  <c r="AK689" i="90"/>
  <c r="AK741" i="90"/>
  <c r="AK793" i="90"/>
  <c r="AK845" i="90"/>
  <c r="AK897" i="90"/>
  <c r="AK949" i="90"/>
  <c r="AK1001" i="90"/>
  <c r="AK1053" i="90"/>
  <c r="AK1105" i="90"/>
  <c r="AK1157" i="90"/>
  <c r="AK1209" i="90"/>
  <c r="AK1261" i="90"/>
  <c r="AK1313" i="90"/>
  <c r="AK1365" i="90"/>
  <c r="AK1417" i="90"/>
  <c r="U11" i="90"/>
  <c r="W11" i="90"/>
  <c r="V11" i="90"/>
  <c r="X11" i="90"/>
  <c r="AK11" i="90"/>
  <c r="AK63" i="90"/>
  <c r="AK115" i="90"/>
  <c r="AK167" i="90"/>
  <c r="AK219" i="90"/>
  <c r="AK271" i="90"/>
  <c r="AK323" i="90"/>
  <c r="AK375" i="90"/>
  <c r="AK427" i="90"/>
  <c r="AK479" i="90"/>
  <c r="AK531" i="90"/>
  <c r="AK583" i="90"/>
  <c r="AK635" i="90"/>
  <c r="AK687" i="90"/>
  <c r="AK739" i="90"/>
  <c r="AK791" i="90"/>
  <c r="AK843" i="90"/>
  <c r="AK895" i="90"/>
  <c r="AK947" i="90"/>
  <c r="AK999" i="90"/>
  <c r="AK1051" i="90"/>
  <c r="AK1103" i="90"/>
  <c r="AK1155" i="90"/>
  <c r="AK1207" i="90"/>
  <c r="AK1259" i="90"/>
  <c r="AK1311" i="90"/>
  <c r="AK1363" i="90"/>
  <c r="AK1415" i="90"/>
  <c r="BA10" i="90"/>
  <c r="BA30" i="90"/>
  <c r="BA50" i="90"/>
  <c r="BA70" i="90"/>
  <c r="BA90" i="90"/>
  <c r="BA110" i="90"/>
  <c r="BA130" i="90"/>
  <c r="BA150" i="90"/>
  <c r="BA170" i="90"/>
  <c r="BA190" i="90"/>
  <c r="BA210" i="90"/>
  <c r="BA230" i="90"/>
  <c r="BA250" i="90"/>
  <c r="BA270" i="90"/>
  <c r="BA290" i="90"/>
  <c r="BA310" i="90"/>
  <c r="BA330" i="90"/>
  <c r="BA350" i="90"/>
  <c r="BA370" i="90"/>
  <c r="BA390" i="90"/>
  <c r="BA410" i="90"/>
  <c r="BA430" i="90"/>
  <c r="BA450" i="90"/>
  <c r="BA470" i="90"/>
  <c r="BA490" i="90"/>
  <c r="BA510" i="90"/>
  <c r="BA530" i="90"/>
  <c r="BA550" i="90"/>
  <c r="U17" i="90"/>
  <c r="W17" i="90"/>
  <c r="V17" i="90"/>
  <c r="X17" i="90"/>
  <c r="AK17" i="90"/>
  <c r="AK69" i="90"/>
  <c r="AK121" i="90"/>
  <c r="AK173" i="90"/>
  <c r="AK225" i="90"/>
  <c r="AK277" i="90"/>
  <c r="AK329" i="90"/>
  <c r="AK381" i="90"/>
  <c r="AK433" i="90"/>
  <c r="AK485" i="90"/>
  <c r="AK537" i="90"/>
  <c r="AK589" i="90"/>
  <c r="AK641" i="90"/>
  <c r="AK693" i="90"/>
  <c r="AK745" i="90"/>
  <c r="AK797" i="90"/>
  <c r="AK849" i="90"/>
  <c r="AK901" i="90"/>
  <c r="AK953" i="90"/>
  <c r="AK1005" i="90"/>
  <c r="AK1057" i="90"/>
  <c r="AK1109" i="90"/>
  <c r="AK1161" i="90"/>
  <c r="AK1213" i="90"/>
  <c r="AK1265" i="90"/>
  <c r="AK1317" i="90"/>
  <c r="AK1369" i="90"/>
  <c r="AK1421" i="90"/>
  <c r="U23" i="90"/>
  <c r="V23" i="90"/>
  <c r="W23" i="90"/>
  <c r="X23" i="90"/>
  <c r="AK23" i="90"/>
  <c r="AK75" i="90"/>
  <c r="AK127" i="90"/>
  <c r="AK179" i="90"/>
  <c r="AK231" i="90"/>
  <c r="AK283" i="90"/>
  <c r="AK335" i="90"/>
  <c r="AK387" i="90"/>
  <c r="AK439" i="90"/>
  <c r="AK491" i="90"/>
  <c r="AK543" i="90"/>
  <c r="AK595" i="90"/>
  <c r="AK647" i="90"/>
  <c r="AK699" i="90"/>
  <c r="AK751" i="90"/>
  <c r="AK803" i="90"/>
  <c r="AK855" i="90"/>
  <c r="AK907" i="90"/>
  <c r="AK959" i="90"/>
  <c r="AK1011" i="90"/>
  <c r="AK1063" i="90"/>
  <c r="AK1115" i="90"/>
  <c r="AK1167" i="90"/>
  <c r="AK1219" i="90"/>
  <c r="AK1271" i="90"/>
  <c r="AK1375" i="90"/>
  <c r="AK1427" i="90"/>
  <c r="AK1323" i="90"/>
  <c r="U10" i="90"/>
  <c r="V10" i="90"/>
  <c r="W10" i="90"/>
  <c r="X10" i="90"/>
  <c r="AK166" i="90"/>
  <c r="AK10" i="90"/>
  <c r="AK218" i="90"/>
  <c r="AK426" i="90"/>
  <c r="AK634" i="90"/>
  <c r="AK738" i="90"/>
  <c r="AK842" i="90"/>
  <c r="AK946" i="90"/>
  <c r="AK1050" i="90"/>
  <c r="AK1154" i="90"/>
  <c r="AK1258" i="90"/>
  <c r="AK62" i="90"/>
  <c r="AK270" i="90"/>
  <c r="AK478" i="90"/>
  <c r="AK1310" i="90"/>
  <c r="AK1362" i="90"/>
  <c r="AK1414" i="90"/>
  <c r="AK114" i="90"/>
  <c r="AK322" i="90"/>
  <c r="AK530" i="90"/>
  <c r="AK686" i="90"/>
  <c r="AK790" i="90"/>
  <c r="AK894" i="90"/>
  <c r="AK998" i="90"/>
  <c r="AK1102" i="90"/>
  <c r="AK1206" i="90"/>
  <c r="AK374" i="90"/>
  <c r="AK582" i="90"/>
  <c r="BA8" i="90"/>
  <c r="BA28" i="90"/>
  <c r="BA48" i="90"/>
  <c r="BA68" i="90"/>
  <c r="BA88" i="90"/>
  <c r="BA108" i="90"/>
  <c r="BA128" i="90"/>
  <c r="BA148" i="90"/>
  <c r="BA168" i="90"/>
  <c r="BA188" i="90"/>
  <c r="BA208" i="90"/>
  <c r="BA228" i="90"/>
  <c r="BA248" i="90"/>
  <c r="BA268" i="90"/>
  <c r="BA288" i="90"/>
  <c r="BA308" i="90"/>
  <c r="BA328" i="90"/>
  <c r="BA348" i="90"/>
  <c r="BA368" i="90"/>
  <c r="BA388" i="90"/>
  <c r="BA408" i="90"/>
  <c r="BA428" i="90"/>
  <c r="BA448" i="90"/>
  <c r="BA468" i="90"/>
  <c r="BA488" i="90"/>
  <c r="BA508" i="90"/>
  <c r="BA528" i="90"/>
  <c r="BA548" i="90"/>
  <c r="BN8" i="98"/>
  <c r="CZ8" i="98"/>
  <c r="BN13" i="98"/>
  <c r="BN12" i="98"/>
  <c r="CY8" i="98"/>
  <c r="BQ12" i="98"/>
  <c r="BQ8" i="98"/>
  <c r="BN11" i="98"/>
  <c r="BN7" i="98"/>
  <c r="BQ11" i="98"/>
  <c r="BQ7" i="98"/>
  <c r="CY9" i="98"/>
  <c r="BN6" i="98"/>
  <c r="BQ6" i="98"/>
  <c r="CH21" i="89"/>
  <c r="CH17" i="89"/>
  <c r="CH23" i="89"/>
  <c r="CH20" i="89"/>
  <c r="CH18" i="89"/>
  <c r="CH19" i="89"/>
  <c r="CH24" i="89"/>
  <c r="CH22" i="89"/>
  <c r="BU9" i="98"/>
  <c r="BU13" i="98"/>
  <c r="BT13" i="98"/>
  <c r="BX13" i="98" s="1"/>
  <c r="AN22" i="98" s="1"/>
  <c r="BT9" i="98"/>
  <c r="BX9" i="98" s="1"/>
  <c r="X27" i="98" s="1"/>
  <c r="DU38" i="98" s="1"/>
  <c r="BS6" i="98"/>
  <c r="BW6" i="98" s="1"/>
  <c r="K26" i="98" s="1"/>
  <c r="BU10" i="98"/>
  <c r="BS8" i="98"/>
  <c r="BW8" i="98" s="1"/>
  <c r="S30" i="98" s="1"/>
  <c r="DT32" i="98" s="1"/>
  <c r="BU12" i="98"/>
  <c r="BU8" i="98"/>
  <c r="BU7" i="98"/>
  <c r="BS11" i="98"/>
  <c r="BW11" i="98" s="1"/>
  <c r="AE28" i="98" s="1"/>
  <c r="DT57" i="98" s="1"/>
  <c r="BT7" i="98"/>
  <c r="BX7" i="98" s="1"/>
  <c r="P24" i="98" s="1"/>
  <c r="BS10" i="98"/>
  <c r="BW10" i="98" s="1"/>
  <c r="AA28" i="98" s="1"/>
  <c r="DT48" i="98" s="1"/>
  <c r="BS7" i="98"/>
  <c r="BW7" i="98" s="1"/>
  <c r="O28" i="98" s="1"/>
  <c r="BU6" i="98"/>
  <c r="BS13" i="98"/>
  <c r="BW13" i="98" s="1"/>
  <c r="AM24" i="98" s="1"/>
  <c r="BT11" i="98"/>
  <c r="BX11" i="98" s="1"/>
  <c r="AF26" i="98" s="1"/>
  <c r="DU55" i="98" s="1"/>
  <c r="BS12" i="98"/>
  <c r="BW12" i="98" s="1"/>
  <c r="AI23" i="98" s="1"/>
  <c r="BV9" i="98"/>
  <c r="BZ9" i="98" s="1"/>
  <c r="Z22" i="98" s="1"/>
  <c r="BV7" i="98"/>
  <c r="BZ7" i="98" s="1"/>
  <c r="R23" i="98" s="1"/>
  <c r="BV13" i="98"/>
  <c r="BZ13" i="98" s="1"/>
  <c r="AP26" i="98" s="1"/>
  <c r="DW73" i="98" s="1"/>
  <c r="ET73" i="98" s="1"/>
  <c r="EK73" i="98" s="1"/>
  <c r="BV11" i="98"/>
  <c r="BZ11" i="98" s="1"/>
  <c r="AH26" i="98" s="1"/>
  <c r="DW55" i="98" s="1"/>
  <c r="ET55" i="98" s="1"/>
  <c r="EK55" i="98" s="1"/>
  <c r="BV12" i="98"/>
  <c r="BZ12" i="98" s="1"/>
  <c r="AL24" i="98" s="1"/>
  <c r="BV8" i="98"/>
  <c r="BZ8" i="98" s="1"/>
  <c r="V28" i="98" s="1"/>
  <c r="DW30" i="98" s="1"/>
  <c r="BT12" i="98"/>
  <c r="BX12" i="98" s="1"/>
  <c r="AJ26" i="98" s="1"/>
  <c r="DU64" i="98" s="1"/>
  <c r="BT6" i="98"/>
  <c r="BX6" i="98" s="1"/>
  <c r="L25" i="98" s="1"/>
  <c r="BT10" i="98"/>
  <c r="BX10" i="98" s="1"/>
  <c r="AB25" i="98" s="1"/>
  <c r="BV6" i="98"/>
  <c r="BZ6" i="98" s="1"/>
  <c r="N23" i="98" s="1"/>
  <c r="CZ19" i="98"/>
  <c r="CZ24" i="98"/>
  <c r="CZ21" i="98"/>
  <c r="CZ20" i="98"/>
  <c r="CZ42" i="98"/>
  <c r="CZ43" i="98"/>
  <c r="CZ13" i="98"/>
  <c r="CZ12" i="98"/>
  <c r="EG6" i="93"/>
  <c r="FY6" i="93" s="1"/>
  <c r="EG5" i="93"/>
  <c r="FY5" i="93" s="1"/>
  <c r="EG24" i="93"/>
  <c r="FY24" i="93" s="1"/>
  <c r="EG16" i="93"/>
  <c r="FY16" i="93" s="1"/>
  <c r="EG9" i="93"/>
  <c r="FY9" i="93" s="1"/>
  <c r="EG15" i="93"/>
  <c r="FY15" i="93" s="1"/>
  <c r="EG14" i="93"/>
  <c r="FY14" i="93" s="1"/>
  <c r="EG26" i="93"/>
  <c r="FY26" i="93" s="1"/>
  <c r="EG20" i="93"/>
  <c r="FY20" i="93" s="1"/>
  <c r="EG25" i="93"/>
  <c r="FY25" i="93" s="1"/>
  <c r="EG33" i="93"/>
  <c r="FY33" i="93" s="1"/>
  <c r="EG11" i="93"/>
  <c r="FY11" i="93" s="1"/>
  <c r="EG21" i="93"/>
  <c r="FY21" i="93" s="1"/>
  <c r="EG23" i="93"/>
  <c r="FY23" i="93" s="1"/>
  <c r="EG7" i="93"/>
  <c r="FY7" i="93" s="1"/>
  <c r="EG27" i="93"/>
  <c r="FY27" i="93" s="1"/>
  <c r="EG13" i="93"/>
  <c r="FY13" i="93" s="1"/>
  <c r="EG32" i="93"/>
  <c r="FY32" i="93" s="1"/>
  <c r="EG8" i="93"/>
  <c r="FY8" i="93" s="1"/>
  <c r="EG34" i="93"/>
  <c r="FY34" i="93" s="1"/>
  <c r="EG10" i="93"/>
  <c r="FY10" i="93" s="1"/>
  <c r="EG22" i="93"/>
  <c r="FY22" i="93" s="1"/>
  <c r="EG35" i="93"/>
  <c r="FY35" i="93" s="1"/>
  <c r="EG31" i="93"/>
  <c r="FY31" i="93" s="1"/>
  <c r="EG30" i="93"/>
  <c r="FY30" i="93" s="1"/>
  <c r="EG12" i="93"/>
  <c r="FY12" i="93" s="1"/>
  <c r="EG17" i="93"/>
  <c r="FY17" i="93" s="1"/>
  <c r="EG28" i="93"/>
  <c r="FY28" i="93" s="1"/>
  <c r="EG18" i="93"/>
  <c r="FY18" i="93" s="1"/>
  <c r="EG19" i="93"/>
  <c r="FY19" i="93" s="1"/>
  <c r="EG29" i="93"/>
  <c r="FY29" i="93" s="1"/>
  <c r="EG42" i="93"/>
  <c r="FY42" i="93" s="1"/>
  <c r="EG63" i="93"/>
  <c r="FY63" i="93" s="1"/>
  <c r="EG37" i="93"/>
  <c r="FY37" i="93" s="1"/>
  <c r="EG54" i="93"/>
  <c r="FY54" i="93" s="1"/>
  <c r="EG38" i="93"/>
  <c r="FY38" i="93" s="1"/>
  <c r="EG51" i="93"/>
  <c r="FY51" i="93" s="1"/>
  <c r="EG49" i="93"/>
  <c r="FY49" i="93" s="1"/>
  <c r="EG56" i="93"/>
  <c r="FY56" i="93" s="1"/>
  <c r="EG62" i="93"/>
  <c r="FY62" i="93" s="1"/>
  <c r="EG57" i="93"/>
  <c r="FY57" i="93" s="1"/>
  <c r="EG39" i="93"/>
  <c r="FY39" i="93" s="1"/>
  <c r="EG44" i="93"/>
  <c r="FY44" i="93" s="1"/>
  <c r="EG47" i="93"/>
  <c r="FY47" i="93" s="1"/>
  <c r="EG60" i="93"/>
  <c r="FY60" i="93" s="1"/>
  <c r="EG41" i="93"/>
  <c r="FY41" i="93" s="1"/>
  <c r="EG64" i="93"/>
  <c r="FY64" i="93" s="1"/>
  <c r="EG40" i="93"/>
  <c r="FY40" i="93" s="1"/>
  <c r="EG50" i="93"/>
  <c r="FY50" i="93" s="1"/>
  <c r="EG59" i="93"/>
  <c r="FY59" i="93" s="1"/>
  <c r="EG53" i="93"/>
  <c r="FY53" i="93" s="1"/>
  <c r="EG36" i="93"/>
  <c r="FY36" i="93" s="1"/>
  <c r="EG58" i="93"/>
  <c r="FY58" i="93" s="1"/>
  <c r="EG43" i="93"/>
  <c r="FY43" i="93" s="1"/>
  <c r="EG55" i="93"/>
  <c r="FY55" i="93" s="1"/>
  <c r="EG52" i="93"/>
  <c r="FY52" i="93" s="1"/>
  <c r="EG61" i="93"/>
  <c r="FY61" i="93" s="1"/>
  <c r="EG46" i="93"/>
  <c r="FY46" i="93" s="1"/>
  <c r="EG48" i="93"/>
  <c r="FY48" i="93" s="1"/>
  <c r="EG45" i="93"/>
  <c r="FY45" i="93" s="1"/>
  <c r="EF8" i="93"/>
  <c r="FX8" i="93" s="1"/>
  <c r="EF5" i="93"/>
  <c r="FX5" i="93" s="1"/>
  <c r="EF6" i="93"/>
  <c r="FX6" i="93" s="1"/>
  <c r="EF30" i="93"/>
  <c r="FX30" i="93" s="1"/>
  <c r="EF21" i="93"/>
  <c r="FX21" i="93" s="1"/>
  <c r="EF19" i="93"/>
  <c r="FX19" i="93" s="1"/>
  <c r="EF9" i="93"/>
  <c r="FX9" i="93" s="1"/>
  <c r="EF31" i="93"/>
  <c r="FX31" i="93" s="1"/>
  <c r="EF24" i="93"/>
  <c r="FX24" i="93" s="1"/>
  <c r="EF34" i="93"/>
  <c r="FX34" i="93" s="1"/>
  <c r="EF15" i="93"/>
  <c r="FX15" i="93" s="1"/>
  <c r="EF14" i="93"/>
  <c r="FX14" i="93" s="1"/>
  <c r="EF35" i="93"/>
  <c r="FX35" i="93" s="1"/>
  <c r="EF25" i="93"/>
  <c r="FX25" i="93" s="1"/>
  <c r="EF27" i="93"/>
  <c r="FX27" i="93" s="1"/>
  <c r="EF10" i="93"/>
  <c r="FX10" i="93" s="1"/>
  <c r="EF28" i="93"/>
  <c r="FX28" i="93" s="1"/>
  <c r="EF23" i="93"/>
  <c r="FX23" i="93" s="1"/>
  <c r="EF12" i="93"/>
  <c r="FX12" i="93" s="1"/>
  <c r="EF22" i="93"/>
  <c r="FX22" i="93" s="1"/>
  <c r="EF17" i="93"/>
  <c r="FX17" i="93" s="1"/>
  <c r="EF29" i="93"/>
  <c r="FX29" i="93" s="1"/>
  <c r="EF13" i="93"/>
  <c r="FX13" i="93" s="1"/>
  <c r="EF33" i="93"/>
  <c r="FX33" i="93" s="1"/>
  <c r="EF26" i="93"/>
  <c r="FX26" i="93" s="1"/>
  <c r="EF7" i="93"/>
  <c r="FX7" i="93" s="1"/>
  <c r="EF32" i="93"/>
  <c r="FX32" i="93" s="1"/>
  <c r="EF18" i="93"/>
  <c r="FX18" i="93" s="1"/>
  <c r="EF11" i="93"/>
  <c r="FX11" i="93" s="1"/>
  <c r="EF20" i="93"/>
  <c r="FX20" i="93" s="1"/>
  <c r="EF16" i="93"/>
  <c r="FX16" i="93" s="1"/>
  <c r="EF37" i="93"/>
  <c r="FX37" i="93" s="1"/>
  <c r="EF52" i="93"/>
  <c r="FX52" i="93" s="1"/>
  <c r="EF63" i="93"/>
  <c r="FX63" i="93" s="1"/>
  <c r="EF36" i="93"/>
  <c r="FX36" i="93" s="1"/>
  <c r="EF57" i="93"/>
  <c r="FX57" i="93" s="1"/>
  <c r="EF49" i="93"/>
  <c r="FX49" i="93" s="1"/>
  <c r="EF50" i="93"/>
  <c r="FX50" i="93" s="1"/>
  <c r="EF53" i="93"/>
  <c r="FX53" i="93" s="1"/>
  <c r="EF41" i="93"/>
  <c r="FX41" i="93" s="1"/>
  <c r="EF44" i="93"/>
  <c r="FX44" i="93" s="1"/>
  <c r="EF39" i="93"/>
  <c r="FX39" i="93" s="1"/>
  <c r="EF48" i="93"/>
  <c r="FX48" i="93" s="1"/>
  <c r="EF51" i="93"/>
  <c r="FX51" i="93" s="1"/>
  <c r="EF64" i="93"/>
  <c r="FX64" i="93" s="1"/>
  <c r="EF62" i="93"/>
  <c r="FX62" i="93" s="1"/>
  <c r="EF61" i="93"/>
  <c r="FX61" i="93" s="1"/>
  <c r="EF42" i="93"/>
  <c r="FX42" i="93" s="1"/>
  <c r="EF54" i="93"/>
  <c r="FX54" i="93" s="1"/>
  <c r="EF45" i="93"/>
  <c r="FX45" i="93" s="1"/>
  <c r="EF56" i="93"/>
  <c r="FX56" i="93" s="1"/>
  <c r="EF59" i="93"/>
  <c r="FX59" i="93" s="1"/>
  <c r="EF58" i="93"/>
  <c r="FX58" i="93" s="1"/>
  <c r="EF40" i="93"/>
  <c r="FX40" i="93" s="1"/>
  <c r="EF47" i="93"/>
  <c r="FX47" i="93" s="1"/>
  <c r="EF55" i="93"/>
  <c r="FX55" i="93" s="1"/>
  <c r="EF60" i="93"/>
  <c r="FX60" i="93" s="1"/>
  <c r="EF46" i="93"/>
  <c r="FX46" i="93" s="1"/>
  <c r="EF38" i="93"/>
  <c r="FX38" i="93" s="1"/>
  <c r="EF43" i="93"/>
  <c r="FX43" i="93" s="1"/>
  <c r="DP6" i="93"/>
  <c r="FH6" i="93" s="1"/>
  <c r="DP5" i="93"/>
  <c r="FH5" i="93" s="1"/>
  <c r="DP7" i="93"/>
  <c r="FH7" i="93" s="1"/>
  <c r="DP9" i="93"/>
  <c r="FH9" i="93" s="1"/>
  <c r="DP16" i="93"/>
  <c r="FH16" i="93" s="1"/>
  <c r="DP13" i="93"/>
  <c r="FH13" i="93" s="1"/>
  <c r="DP10" i="93"/>
  <c r="FH10" i="93" s="1"/>
  <c r="DP11" i="93"/>
  <c r="FH11" i="93" s="1"/>
  <c r="DP12" i="93"/>
  <c r="FH12" i="93" s="1"/>
  <c r="DP17" i="93"/>
  <c r="FH17" i="93" s="1"/>
  <c r="DP15" i="93"/>
  <c r="FH15" i="93" s="1"/>
  <c r="DP8" i="93"/>
  <c r="FH8" i="93" s="1"/>
  <c r="DP18" i="93"/>
  <c r="FH18" i="93" s="1"/>
  <c r="DP14" i="93"/>
  <c r="FH14" i="93" s="1"/>
  <c r="DP25" i="93"/>
  <c r="FH25" i="93" s="1"/>
  <c r="DP39" i="93"/>
  <c r="FH39" i="93" s="1"/>
  <c r="DP43" i="93"/>
  <c r="FH43" i="93" s="1"/>
  <c r="DP27" i="93"/>
  <c r="FH27" i="93" s="1"/>
  <c r="DP49" i="93"/>
  <c r="FH49" i="93" s="1"/>
  <c r="DP48" i="93"/>
  <c r="FH48" i="93" s="1"/>
  <c r="DP19" i="93"/>
  <c r="FH19" i="93" s="1"/>
  <c r="DP53" i="93"/>
  <c r="FH53" i="93" s="1"/>
  <c r="DP58" i="93"/>
  <c r="FH58" i="93" s="1"/>
  <c r="DP36" i="93"/>
  <c r="FH36" i="93" s="1"/>
  <c r="DP55" i="93"/>
  <c r="FH55" i="93" s="1"/>
  <c r="DP60" i="93"/>
  <c r="FH60" i="93" s="1"/>
  <c r="DP64" i="93"/>
  <c r="FH64" i="93" s="1"/>
  <c r="DP26" i="93"/>
  <c r="FH26" i="93" s="1"/>
  <c r="DP30" i="93"/>
  <c r="FH30" i="93" s="1"/>
  <c r="DP45" i="93"/>
  <c r="FH45" i="93" s="1"/>
  <c r="DP44" i="93"/>
  <c r="FH44" i="93" s="1"/>
  <c r="DP32" i="93"/>
  <c r="FH32" i="93" s="1"/>
  <c r="DP51" i="93"/>
  <c r="FH51" i="93" s="1"/>
  <c r="DP56" i="93"/>
  <c r="FH56" i="93" s="1"/>
  <c r="DP34" i="93"/>
  <c r="FH34" i="93" s="1"/>
  <c r="DP61" i="93"/>
  <c r="FH61" i="93" s="1"/>
  <c r="DP22" i="93"/>
  <c r="FH22" i="93" s="1"/>
  <c r="DP35" i="93"/>
  <c r="FH35" i="93" s="1"/>
  <c r="DP63" i="93"/>
  <c r="FH63" i="93" s="1"/>
  <c r="DP62" i="93"/>
  <c r="FH62" i="93" s="1"/>
  <c r="DP33" i="93"/>
  <c r="FH33" i="93" s="1"/>
  <c r="DP37" i="93"/>
  <c r="FH37" i="93" s="1"/>
  <c r="DP52" i="93"/>
  <c r="FH52" i="93" s="1"/>
  <c r="DP31" i="93"/>
  <c r="FH31" i="93" s="1"/>
  <c r="DP46" i="93"/>
  <c r="FH46" i="93" s="1"/>
  <c r="DP54" i="93"/>
  <c r="FH54" i="93" s="1"/>
  <c r="DP40" i="93"/>
  <c r="FH40" i="93" s="1"/>
  <c r="DP59" i="93"/>
  <c r="FH59" i="93" s="1"/>
  <c r="DP21" i="93"/>
  <c r="FH21" i="93" s="1"/>
  <c r="DP42" i="93"/>
  <c r="FH42" i="93" s="1"/>
  <c r="DP23" i="93"/>
  <c r="FH23" i="93" s="1"/>
  <c r="DP28" i="93"/>
  <c r="FH28" i="93" s="1"/>
  <c r="DP41" i="93"/>
  <c r="FH41" i="93" s="1"/>
  <c r="DP29" i="93"/>
  <c r="FH29" i="93" s="1"/>
  <c r="DP38" i="93"/>
  <c r="FH38" i="93" s="1"/>
  <c r="DP47" i="93"/>
  <c r="FH47" i="93" s="1"/>
  <c r="DP50" i="93"/>
  <c r="FH50" i="93" s="1"/>
  <c r="DP24" i="93"/>
  <c r="FH24" i="93" s="1"/>
  <c r="DP57" i="93"/>
  <c r="FH57" i="93" s="1"/>
  <c r="DP20" i="93"/>
  <c r="FH20" i="93" s="1"/>
  <c r="CZ6" i="93"/>
  <c r="ER6" i="93" s="1"/>
  <c r="CZ5" i="93"/>
  <c r="ER5" i="93" s="1"/>
  <c r="CZ8" i="93"/>
  <c r="ER8" i="93" s="1"/>
  <c r="CZ9" i="93"/>
  <c r="ER9" i="93" s="1"/>
  <c r="CZ7" i="93"/>
  <c r="ER7" i="93" s="1"/>
  <c r="CZ22" i="93"/>
  <c r="ER22" i="93" s="1"/>
  <c r="CZ42" i="93"/>
  <c r="ER42" i="93" s="1"/>
  <c r="CZ55" i="93"/>
  <c r="ER55" i="93" s="1"/>
  <c r="CZ12" i="93"/>
  <c r="ER12" i="93" s="1"/>
  <c r="CZ51" i="93"/>
  <c r="ER51" i="93" s="1"/>
  <c r="CZ20" i="93"/>
  <c r="ER20" i="93" s="1"/>
  <c r="CZ56" i="93"/>
  <c r="ER56" i="93" s="1"/>
  <c r="CZ26" i="93"/>
  <c r="ER26" i="93" s="1"/>
  <c r="CZ33" i="93"/>
  <c r="ER33" i="93" s="1"/>
  <c r="CZ43" i="93"/>
  <c r="ER43" i="93" s="1"/>
  <c r="CZ19" i="93"/>
  <c r="ER19" i="93" s="1"/>
  <c r="CZ59" i="93"/>
  <c r="ER59" i="93" s="1"/>
  <c r="CZ40" i="93"/>
  <c r="ER40" i="93" s="1"/>
  <c r="CZ62" i="93"/>
  <c r="ER62" i="93" s="1"/>
  <c r="CZ11" i="93"/>
  <c r="ER11" i="93" s="1"/>
  <c r="CZ38" i="93"/>
  <c r="ER38" i="93" s="1"/>
  <c r="CZ35" i="93"/>
  <c r="ER35" i="93" s="1"/>
  <c r="CZ50" i="93"/>
  <c r="ER50" i="93" s="1"/>
  <c r="CZ24" i="93"/>
  <c r="ER24" i="93" s="1"/>
  <c r="CZ53" i="93"/>
  <c r="ER53" i="93" s="1"/>
  <c r="CZ46" i="93"/>
  <c r="ER46" i="93" s="1"/>
  <c r="CZ10" i="93"/>
  <c r="ER10" i="93" s="1"/>
  <c r="CZ23" i="93"/>
  <c r="ER23" i="93" s="1"/>
  <c r="CZ49" i="93"/>
  <c r="ER49" i="93" s="1"/>
  <c r="CZ21" i="93"/>
  <c r="ER21" i="93" s="1"/>
  <c r="CZ39" i="93"/>
  <c r="ER39" i="93" s="1"/>
  <c r="CZ63" i="93"/>
  <c r="ER63" i="93" s="1"/>
  <c r="CZ28" i="93"/>
  <c r="ER28" i="93" s="1"/>
  <c r="CZ47" i="93"/>
  <c r="ER47" i="93" s="1"/>
  <c r="CZ31" i="93"/>
  <c r="ER31" i="93" s="1"/>
  <c r="CZ13" i="93"/>
  <c r="ER13" i="93" s="1"/>
  <c r="CZ14" i="93"/>
  <c r="ER14" i="93" s="1"/>
  <c r="CZ45" i="93"/>
  <c r="ER45" i="93" s="1"/>
  <c r="CZ52" i="93"/>
  <c r="ER52" i="93" s="1"/>
  <c r="CZ27" i="93"/>
  <c r="ER27" i="93" s="1"/>
  <c r="CZ54" i="93"/>
  <c r="ER54" i="93" s="1"/>
  <c r="CZ41" i="93"/>
  <c r="ER41" i="93" s="1"/>
  <c r="CZ32" i="93"/>
  <c r="ER32" i="93" s="1"/>
  <c r="CZ29" i="93"/>
  <c r="ER29" i="93" s="1"/>
  <c r="CZ60" i="93"/>
  <c r="ER60" i="93" s="1"/>
  <c r="CZ36" i="93"/>
  <c r="ER36" i="93" s="1"/>
  <c r="CZ64" i="93"/>
  <c r="ER64" i="93" s="1"/>
  <c r="CZ17" i="93"/>
  <c r="ER17" i="93" s="1"/>
  <c r="CZ37" i="93"/>
  <c r="ER37" i="93" s="1"/>
  <c r="CZ57" i="93"/>
  <c r="ER57" i="93" s="1"/>
  <c r="CZ44" i="93"/>
  <c r="ER44" i="93" s="1"/>
  <c r="CZ48" i="93"/>
  <c r="ER48" i="93" s="1"/>
  <c r="CZ18" i="93"/>
  <c r="ER18" i="93" s="1"/>
  <c r="CZ16" i="93"/>
  <c r="ER16" i="93" s="1"/>
  <c r="CZ58" i="93"/>
  <c r="ER58" i="93" s="1"/>
  <c r="CZ25" i="93"/>
  <c r="ER25" i="93" s="1"/>
  <c r="CZ30" i="93"/>
  <c r="ER30" i="93" s="1"/>
  <c r="CZ34" i="93"/>
  <c r="ER34" i="93" s="1"/>
  <c r="CZ61" i="93"/>
  <c r="ER61" i="93" s="1"/>
  <c r="CZ15" i="93"/>
  <c r="ER15" i="93" s="1"/>
  <c r="DA9" i="93"/>
  <c r="ES9" i="93" s="1"/>
  <c r="DA7" i="93"/>
  <c r="ES7" i="93" s="1"/>
  <c r="DA6" i="93"/>
  <c r="ES6" i="93" s="1"/>
  <c r="DA8" i="93"/>
  <c r="ES8" i="93" s="1"/>
  <c r="DA5" i="93"/>
  <c r="ES5" i="93" s="1"/>
  <c r="DA23" i="93"/>
  <c r="ES23" i="93" s="1"/>
  <c r="DA49" i="93"/>
  <c r="ES49" i="93" s="1"/>
  <c r="DA26" i="93"/>
  <c r="ES26" i="93" s="1"/>
  <c r="DA35" i="93"/>
  <c r="ES35" i="93" s="1"/>
  <c r="DA13" i="93"/>
  <c r="ES13" i="93" s="1"/>
  <c r="DA56" i="93"/>
  <c r="ES56" i="93" s="1"/>
  <c r="DA24" i="93"/>
  <c r="ES24" i="93" s="1"/>
  <c r="DA41" i="93"/>
  <c r="ES41" i="93" s="1"/>
  <c r="DA52" i="93"/>
  <c r="ES52" i="93" s="1"/>
  <c r="DA61" i="93"/>
  <c r="ES61" i="93" s="1"/>
  <c r="DA46" i="93"/>
  <c r="ES46" i="93" s="1"/>
  <c r="DA20" i="93"/>
  <c r="ES20" i="93" s="1"/>
  <c r="DA47" i="93"/>
  <c r="ES47" i="93" s="1"/>
  <c r="DA12" i="93"/>
  <c r="ES12" i="93" s="1"/>
  <c r="DA10" i="93"/>
  <c r="ES10" i="93" s="1"/>
  <c r="DA33" i="93"/>
  <c r="ES33" i="93" s="1"/>
  <c r="DA28" i="93"/>
  <c r="ES28" i="93" s="1"/>
  <c r="DA14" i="93"/>
  <c r="ES14" i="93" s="1"/>
  <c r="DA21" i="93"/>
  <c r="ES21" i="93" s="1"/>
  <c r="DA50" i="93"/>
  <c r="ES50" i="93" s="1"/>
  <c r="DA51" i="93"/>
  <c r="ES51" i="93" s="1"/>
  <c r="DA45" i="93"/>
  <c r="ES45" i="93" s="1"/>
  <c r="DA15" i="93"/>
  <c r="ES15" i="93" s="1"/>
  <c r="DA38" i="93"/>
  <c r="ES38" i="93" s="1"/>
  <c r="DA19" i="93"/>
  <c r="ES19" i="93" s="1"/>
  <c r="DA43" i="93"/>
  <c r="ES43" i="93" s="1"/>
  <c r="DA60" i="93"/>
  <c r="ES60" i="93" s="1"/>
  <c r="DA18" i="93"/>
  <c r="ES18" i="93" s="1"/>
  <c r="DA31" i="93"/>
  <c r="ES31" i="93" s="1"/>
  <c r="DA11" i="93"/>
  <c r="ES11" i="93" s="1"/>
  <c r="DA34" i="93"/>
  <c r="ES34" i="93" s="1"/>
  <c r="DA22" i="93"/>
  <c r="ES22" i="93" s="1"/>
  <c r="DA32" i="93"/>
  <c r="ES32" i="93" s="1"/>
  <c r="DA25" i="93"/>
  <c r="ES25" i="93" s="1"/>
  <c r="DA36" i="93"/>
  <c r="ES36" i="93" s="1"/>
  <c r="DA27" i="93"/>
  <c r="ES27" i="93" s="1"/>
  <c r="DA17" i="93"/>
  <c r="ES17" i="93" s="1"/>
  <c r="DA64" i="93"/>
  <c r="ES64" i="93" s="1"/>
  <c r="DA58" i="93"/>
  <c r="ES58" i="93" s="1"/>
  <c r="DA16" i="93"/>
  <c r="ES16" i="93" s="1"/>
  <c r="DA53" i="93"/>
  <c r="ES53" i="93" s="1"/>
  <c r="DA57" i="93"/>
  <c r="ES57" i="93" s="1"/>
  <c r="DA39" i="93"/>
  <c r="ES39" i="93" s="1"/>
  <c r="DA42" i="93"/>
  <c r="ES42" i="93" s="1"/>
  <c r="DA59" i="93"/>
  <c r="ES59" i="93" s="1"/>
  <c r="DA54" i="93"/>
  <c r="ES54" i="93" s="1"/>
  <c r="DA40" i="93"/>
  <c r="ES40" i="93" s="1"/>
  <c r="DA44" i="93"/>
  <c r="ES44" i="93" s="1"/>
  <c r="DA62" i="93"/>
  <c r="ES62" i="93" s="1"/>
  <c r="DA29" i="93"/>
  <c r="ES29" i="93" s="1"/>
  <c r="DA63" i="93"/>
  <c r="ES63" i="93" s="1"/>
  <c r="DA30" i="93"/>
  <c r="ES30" i="93" s="1"/>
  <c r="DA37" i="93"/>
  <c r="ES37" i="93" s="1"/>
  <c r="DA48" i="93"/>
  <c r="ES48" i="93" s="1"/>
  <c r="DA55" i="93"/>
  <c r="ES55" i="93" s="1"/>
  <c r="EA6" i="93"/>
  <c r="FS6" i="93" s="1"/>
  <c r="EA5" i="93"/>
  <c r="FS5" i="93" s="1"/>
  <c r="EA10" i="93"/>
  <c r="FS10" i="93" s="1"/>
  <c r="EA12" i="93"/>
  <c r="FS12" i="93" s="1"/>
  <c r="EA20" i="93"/>
  <c r="FS20" i="93" s="1"/>
  <c r="EA9" i="93"/>
  <c r="FS9" i="93" s="1"/>
  <c r="EA11" i="93"/>
  <c r="FS11" i="93" s="1"/>
  <c r="EA21" i="93"/>
  <c r="FS21" i="93" s="1"/>
  <c r="EA29" i="93"/>
  <c r="FS29" i="93" s="1"/>
  <c r="EA19" i="93"/>
  <c r="FS19" i="93" s="1"/>
  <c r="EA25" i="93"/>
  <c r="FS25" i="93" s="1"/>
  <c r="EA18" i="93"/>
  <c r="FS18" i="93" s="1"/>
  <c r="EA7" i="93"/>
  <c r="FS7" i="93" s="1"/>
  <c r="EA24" i="93"/>
  <c r="FS24" i="93" s="1"/>
  <c r="EA8" i="93"/>
  <c r="FS8" i="93" s="1"/>
  <c r="EA23" i="93"/>
  <c r="FS23" i="93" s="1"/>
  <c r="EA26" i="93"/>
  <c r="FS26" i="93" s="1"/>
  <c r="EA16" i="93"/>
  <c r="FS16" i="93" s="1"/>
  <c r="EA28" i="93"/>
  <c r="FS28" i="93" s="1"/>
  <c r="EA14" i="93"/>
  <c r="FS14" i="93" s="1"/>
  <c r="EA22" i="93"/>
  <c r="FS22" i="93" s="1"/>
  <c r="EA15" i="93"/>
  <c r="FS15" i="93" s="1"/>
  <c r="EA13" i="93"/>
  <c r="FS13" i="93" s="1"/>
  <c r="EA17" i="93"/>
  <c r="FS17" i="93" s="1"/>
  <c r="EA27" i="93"/>
  <c r="FS27" i="93" s="1"/>
  <c r="EA36" i="93"/>
  <c r="FS36" i="93" s="1"/>
  <c r="EA51" i="93"/>
  <c r="FS51" i="93" s="1"/>
  <c r="EA60" i="93"/>
  <c r="FS60" i="93" s="1"/>
  <c r="EA43" i="93"/>
  <c r="FS43" i="93" s="1"/>
  <c r="EA54" i="93"/>
  <c r="FS54" i="93" s="1"/>
  <c r="EA46" i="93"/>
  <c r="FS46" i="93" s="1"/>
  <c r="EA63" i="93"/>
  <c r="FS63" i="93" s="1"/>
  <c r="EA48" i="93"/>
  <c r="FS48" i="93" s="1"/>
  <c r="EA37" i="93"/>
  <c r="FS37" i="93" s="1"/>
  <c r="EA49" i="93"/>
  <c r="FS49" i="93" s="1"/>
  <c r="EA40" i="93"/>
  <c r="FS40" i="93" s="1"/>
  <c r="EA57" i="93"/>
  <c r="FS57" i="93" s="1"/>
  <c r="EA31" i="93"/>
  <c r="FS31" i="93" s="1"/>
  <c r="EA59" i="93"/>
  <c r="FS59" i="93" s="1"/>
  <c r="EA42" i="93"/>
  <c r="FS42" i="93" s="1"/>
  <c r="EA53" i="93"/>
  <c r="FS53" i="93" s="1"/>
  <c r="EA62" i="93"/>
  <c r="FS62" i="93" s="1"/>
  <c r="EA45" i="93"/>
  <c r="FS45" i="93" s="1"/>
  <c r="EA56" i="93"/>
  <c r="FS56" i="93" s="1"/>
  <c r="EA47" i="93"/>
  <c r="FS47" i="93" s="1"/>
  <c r="EA58" i="93"/>
  <c r="FS58" i="93" s="1"/>
  <c r="EA52" i="93"/>
  <c r="FS52" i="93" s="1"/>
  <c r="EA55" i="93"/>
  <c r="FS55" i="93" s="1"/>
  <c r="EA50" i="93"/>
  <c r="FS50" i="93" s="1"/>
  <c r="EA30" i="93"/>
  <c r="FS30" i="93" s="1"/>
  <c r="EA38" i="93"/>
  <c r="FS38" i="93" s="1"/>
  <c r="EA61" i="93"/>
  <c r="FS61" i="93" s="1"/>
  <c r="EA32" i="93"/>
  <c r="FS32" i="93" s="1"/>
  <c r="EA33" i="93"/>
  <c r="FS33" i="93" s="1"/>
  <c r="EA64" i="93"/>
  <c r="FS64" i="93" s="1"/>
  <c r="EA41" i="93"/>
  <c r="FS41" i="93" s="1"/>
  <c r="EA39" i="93"/>
  <c r="FS39" i="93" s="1"/>
  <c r="EA44" i="93"/>
  <c r="FS44" i="93" s="1"/>
  <c r="EA34" i="93"/>
  <c r="FS34" i="93" s="1"/>
  <c r="EA35" i="93"/>
  <c r="FS35" i="93" s="1"/>
  <c r="DK5" i="93"/>
  <c r="FC5" i="93" s="1"/>
  <c r="DK8" i="93"/>
  <c r="FC8" i="93" s="1"/>
  <c r="DK6" i="93"/>
  <c r="FC6" i="93" s="1"/>
  <c r="DK11" i="93"/>
  <c r="FC11" i="93" s="1"/>
  <c r="DK10" i="93"/>
  <c r="FC10" i="93" s="1"/>
  <c r="DK17" i="93"/>
  <c r="FC17" i="93" s="1"/>
  <c r="DK9" i="93"/>
  <c r="FC9" i="93" s="1"/>
  <c r="DK15" i="93"/>
  <c r="FC15" i="93" s="1"/>
  <c r="DK13" i="93"/>
  <c r="FC13" i="93" s="1"/>
  <c r="DK12" i="93"/>
  <c r="FC12" i="93" s="1"/>
  <c r="DK16" i="93"/>
  <c r="FC16" i="93" s="1"/>
  <c r="DK18" i="93"/>
  <c r="FC18" i="93" s="1"/>
  <c r="DK14" i="93"/>
  <c r="FC14" i="93" s="1"/>
  <c r="DK7" i="93"/>
  <c r="FC7" i="93" s="1"/>
  <c r="DK22" i="93"/>
  <c r="FC22" i="93" s="1"/>
  <c r="DK47" i="93"/>
  <c r="FC47" i="93" s="1"/>
  <c r="DK54" i="93"/>
  <c r="FC54" i="93" s="1"/>
  <c r="DK27" i="93"/>
  <c r="FC27" i="93" s="1"/>
  <c r="DK57" i="93"/>
  <c r="FC57" i="93" s="1"/>
  <c r="DK39" i="93"/>
  <c r="FC39" i="93" s="1"/>
  <c r="DK50" i="93"/>
  <c r="FC50" i="93" s="1"/>
  <c r="DK23" i="93"/>
  <c r="FC23" i="93" s="1"/>
  <c r="DK37" i="93"/>
  <c r="FC37" i="93" s="1"/>
  <c r="DK49" i="93"/>
  <c r="FC49" i="93" s="1"/>
  <c r="DK36" i="93"/>
  <c r="FC36" i="93" s="1"/>
  <c r="DK58" i="93"/>
  <c r="FC58" i="93" s="1"/>
  <c r="DK40" i="93"/>
  <c r="FC40" i="93" s="1"/>
  <c r="DK51" i="93"/>
  <c r="FC51" i="93" s="1"/>
  <c r="DK62" i="93"/>
  <c r="FC62" i="93" s="1"/>
  <c r="DK46" i="93"/>
  <c r="FC46" i="93" s="1"/>
  <c r="DK35" i="93"/>
  <c r="FC35" i="93" s="1"/>
  <c r="DK21" i="93"/>
  <c r="FC21" i="93" s="1"/>
  <c r="DK53" i="93"/>
  <c r="FC53" i="93" s="1"/>
  <c r="DK24" i="93"/>
  <c r="FC24" i="93" s="1"/>
  <c r="DK25" i="93"/>
  <c r="FC25" i="93" s="1"/>
  <c r="DK61" i="93"/>
  <c r="FC61" i="93" s="1"/>
  <c r="DK44" i="93"/>
  <c r="FC44" i="93" s="1"/>
  <c r="DK31" i="93"/>
  <c r="FC31" i="93" s="1"/>
  <c r="DK59" i="93"/>
  <c r="FC59" i="93" s="1"/>
  <c r="DK28" i="93"/>
  <c r="FC28" i="93" s="1"/>
  <c r="DK45" i="93"/>
  <c r="FC45" i="93" s="1"/>
  <c r="DK52" i="93"/>
  <c r="FC52" i="93" s="1"/>
  <c r="DK26" i="93"/>
  <c r="FC26" i="93" s="1"/>
  <c r="DK30" i="93"/>
  <c r="FC30" i="93" s="1"/>
  <c r="DK43" i="93"/>
  <c r="FC43" i="93" s="1"/>
  <c r="DK34" i="93"/>
  <c r="FC34" i="93" s="1"/>
  <c r="DK56" i="93"/>
  <c r="FC56" i="93" s="1"/>
  <c r="DK33" i="93"/>
  <c r="FC33" i="93" s="1"/>
  <c r="DK19" i="93"/>
  <c r="FC19" i="93" s="1"/>
  <c r="DK48" i="93"/>
  <c r="FC48" i="93" s="1"/>
  <c r="DK29" i="93"/>
  <c r="FC29" i="93" s="1"/>
  <c r="DK38" i="93"/>
  <c r="FC38" i="93" s="1"/>
  <c r="DK41" i="93"/>
  <c r="FC41" i="93" s="1"/>
  <c r="DK60" i="93"/>
  <c r="FC60" i="93" s="1"/>
  <c r="DK42" i="93"/>
  <c r="FC42" i="93" s="1"/>
  <c r="DK64" i="93"/>
  <c r="FC64" i="93" s="1"/>
  <c r="DK55" i="93"/>
  <c r="FC55" i="93" s="1"/>
  <c r="DK32" i="93"/>
  <c r="FC32" i="93" s="1"/>
  <c r="DK20" i="93"/>
  <c r="FC20" i="93" s="1"/>
  <c r="DK63" i="93"/>
  <c r="FC63" i="93" s="1"/>
  <c r="EC5" i="93"/>
  <c r="FU5" i="93" s="1"/>
  <c r="EC6" i="93"/>
  <c r="FU6" i="93" s="1"/>
  <c r="EC13" i="93"/>
  <c r="FU13" i="93" s="1"/>
  <c r="EC27" i="93"/>
  <c r="FU27" i="93" s="1"/>
  <c r="EC16" i="93"/>
  <c r="FU16" i="93" s="1"/>
  <c r="EC8" i="93"/>
  <c r="FU8" i="93" s="1"/>
  <c r="EC17" i="93"/>
  <c r="FU17" i="93" s="1"/>
  <c r="EC10" i="93"/>
  <c r="FU10" i="93" s="1"/>
  <c r="EC9" i="93"/>
  <c r="FU9" i="93" s="1"/>
  <c r="EC26" i="93"/>
  <c r="FU26" i="93" s="1"/>
  <c r="EC24" i="93"/>
  <c r="FU24" i="93" s="1"/>
  <c r="EC20" i="93"/>
  <c r="FU20" i="93" s="1"/>
  <c r="EC21" i="93"/>
  <c r="FU21" i="93" s="1"/>
  <c r="EC14" i="93"/>
  <c r="FU14" i="93" s="1"/>
  <c r="EC28" i="93"/>
  <c r="FU28" i="93" s="1"/>
  <c r="EC23" i="93"/>
  <c r="FU23" i="93" s="1"/>
  <c r="EC15" i="93"/>
  <c r="FU15" i="93" s="1"/>
  <c r="EC19" i="93"/>
  <c r="FU19" i="93" s="1"/>
  <c r="EC7" i="93"/>
  <c r="FU7" i="93" s="1"/>
  <c r="EC29" i="93"/>
  <c r="FU29" i="93" s="1"/>
  <c r="EC12" i="93"/>
  <c r="FU12" i="93" s="1"/>
  <c r="EC18" i="93"/>
  <c r="FU18" i="93" s="1"/>
  <c r="EC22" i="93"/>
  <c r="FU22" i="93" s="1"/>
  <c r="EC25" i="93"/>
  <c r="FU25" i="93" s="1"/>
  <c r="EC11" i="93"/>
  <c r="FU11" i="93" s="1"/>
  <c r="EC41" i="93"/>
  <c r="FU41" i="93" s="1"/>
  <c r="EC56" i="93"/>
  <c r="FU56" i="93" s="1"/>
  <c r="EC63" i="93"/>
  <c r="FU63" i="93" s="1"/>
  <c r="EC36" i="93"/>
  <c r="FU36" i="93" s="1"/>
  <c r="EC57" i="93"/>
  <c r="FU57" i="93" s="1"/>
  <c r="EC44" i="93"/>
  <c r="FU44" i="93" s="1"/>
  <c r="EC51" i="93"/>
  <c r="FU51" i="93" s="1"/>
  <c r="EC30" i="93"/>
  <c r="FU30" i="93" s="1"/>
  <c r="EC53" i="93"/>
  <c r="FU53" i="93" s="1"/>
  <c r="EC45" i="93"/>
  <c r="FU45" i="93" s="1"/>
  <c r="EC64" i="93"/>
  <c r="FU64" i="93" s="1"/>
  <c r="EC35" i="93"/>
  <c r="FU35" i="93" s="1"/>
  <c r="EC58" i="93"/>
  <c r="FU58" i="93" s="1"/>
  <c r="EC34" i="93"/>
  <c r="FU34" i="93" s="1"/>
  <c r="EC52" i="93"/>
  <c r="FU52" i="93" s="1"/>
  <c r="EC59" i="93"/>
  <c r="FU59" i="93" s="1"/>
  <c r="EC46" i="93"/>
  <c r="FU46" i="93" s="1"/>
  <c r="EC61" i="93"/>
  <c r="FU61" i="93" s="1"/>
  <c r="EC31" i="93"/>
  <c r="FU31" i="93" s="1"/>
  <c r="EC32" i="93"/>
  <c r="FU32" i="93" s="1"/>
  <c r="EC47" i="93"/>
  <c r="FU47" i="93" s="1"/>
  <c r="EC38" i="93"/>
  <c r="FU38" i="93" s="1"/>
  <c r="EC37" i="93"/>
  <c r="FU37" i="93" s="1"/>
  <c r="EC60" i="93"/>
  <c r="FU60" i="93" s="1"/>
  <c r="EC39" i="93"/>
  <c r="FU39" i="93" s="1"/>
  <c r="EC54" i="93"/>
  <c r="FU54" i="93" s="1"/>
  <c r="EC33" i="93"/>
  <c r="FU33" i="93" s="1"/>
  <c r="EC48" i="93"/>
  <c r="FU48" i="93" s="1"/>
  <c r="EC55" i="93"/>
  <c r="FU55" i="93" s="1"/>
  <c r="EC42" i="93"/>
  <c r="FU42" i="93" s="1"/>
  <c r="EC40" i="93"/>
  <c r="FU40" i="93" s="1"/>
  <c r="EC49" i="93"/>
  <c r="FU49" i="93" s="1"/>
  <c r="EC50" i="93"/>
  <c r="FU50" i="93" s="1"/>
  <c r="EC43" i="93"/>
  <c r="FU43" i="93" s="1"/>
  <c r="EC62" i="93"/>
  <c r="FU62" i="93" s="1"/>
  <c r="EH6" i="93"/>
  <c r="FZ6" i="93" s="1"/>
  <c r="EH7" i="93"/>
  <c r="FZ7" i="93" s="1"/>
  <c r="EH18" i="93"/>
  <c r="FZ18" i="93" s="1"/>
  <c r="EH21" i="93"/>
  <c r="FZ21" i="93" s="1"/>
  <c r="EH22" i="93"/>
  <c r="FZ22" i="93" s="1"/>
  <c r="EH29" i="93"/>
  <c r="FZ29" i="93" s="1"/>
  <c r="EH16" i="93"/>
  <c r="FZ16" i="93" s="1"/>
  <c r="EH11" i="93"/>
  <c r="FZ11" i="93" s="1"/>
  <c r="EH9" i="93"/>
  <c r="FZ9" i="93" s="1"/>
  <c r="EH30" i="93"/>
  <c r="FZ30" i="93" s="1"/>
  <c r="EH31" i="93"/>
  <c r="FZ31" i="93" s="1"/>
  <c r="EH32" i="93"/>
  <c r="FZ32" i="93" s="1"/>
  <c r="EH27" i="93"/>
  <c r="FZ27" i="93" s="1"/>
  <c r="EH25" i="93"/>
  <c r="FZ25" i="93" s="1"/>
  <c r="EH8" i="93"/>
  <c r="FZ8" i="93" s="1"/>
  <c r="EH14" i="93"/>
  <c r="FZ14" i="93" s="1"/>
  <c r="EH10" i="93"/>
  <c r="FZ10" i="93" s="1"/>
  <c r="EH13" i="93"/>
  <c r="FZ13" i="93" s="1"/>
  <c r="EH17" i="93"/>
  <c r="FZ17" i="93" s="1"/>
  <c r="EH15" i="93"/>
  <c r="FZ15" i="93" s="1"/>
  <c r="EH26" i="93"/>
  <c r="FZ26" i="93" s="1"/>
  <c r="EH19" i="93"/>
  <c r="FZ19" i="93" s="1"/>
  <c r="EH20" i="93"/>
  <c r="FZ20" i="93" s="1"/>
  <c r="EH23" i="93"/>
  <c r="FZ23" i="93" s="1"/>
  <c r="EH28" i="93"/>
  <c r="FZ28" i="93" s="1"/>
  <c r="EH34" i="93"/>
  <c r="FZ34" i="93" s="1"/>
  <c r="EH24" i="93"/>
  <c r="FZ24" i="93" s="1"/>
  <c r="EH35" i="93"/>
  <c r="FZ35" i="93" s="1"/>
  <c r="EH33" i="93"/>
  <c r="FZ33" i="93" s="1"/>
  <c r="EH5" i="93"/>
  <c r="FZ5" i="93" s="1"/>
  <c r="EH12" i="93"/>
  <c r="FZ12" i="93" s="1"/>
  <c r="EH50" i="93"/>
  <c r="FZ50" i="93" s="1"/>
  <c r="EH55" i="93"/>
  <c r="FZ55" i="93" s="1"/>
  <c r="EH49" i="93"/>
  <c r="FZ49" i="93" s="1"/>
  <c r="EH36" i="93"/>
  <c r="FZ36" i="93" s="1"/>
  <c r="EH48" i="93"/>
  <c r="FZ48" i="93" s="1"/>
  <c r="EH62" i="93"/>
  <c r="FZ62" i="93" s="1"/>
  <c r="EH46" i="93"/>
  <c r="FZ46" i="93" s="1"/>
  <c r="EH58" i="93"/>
  <c r="FZ58" i="93" s="1"/>
  <c r="EH41" i="93"/>
  <c r="FZ41" i="93" s="1"/>
  <c r="EH56" i="93"/>
  <c r="FZ56" i="93" s="1"/>
  <c r="EH54" i="93"/>
  <c r="FZ54" i="93" s="1"/>
  <c r="EH60" i="93"/>
  <c r="FZ60" i="93" s="1"/>
  <c r="EH47" i="93"/>
  <c r="FZ47" i="93" s="1"/>
  <c r="EH51" i="93"/>
  <c r="FZ51" i="93" s="1"/>
  <c r="EH42" i="93"/>
  <c r="FZ42" i="93" s="1"/>
  <c r="EH38" i="93"/>
  <c r="FZ38" i="93" s="1"/>
  <c r="EH64" i="93"/>
  <c r="FZ64" i="93" s="1"/>
  <c r="EH57" i="93"/>
  <c r="FZ57" i="93" s="1"/>
  <c r="EH39" i="93"/>
  <c r="FZ39" i="93" s="1"/>
  <c r="EH59" i="93"/>
  <c r="FZ59" i="93" s="1"/>
  <c r="EH63" i="93"/>
  <c r="FZ63" i="93" s="1"/>
  <c r="EH44" i="93"/>
  <c r="FZ44" i="93" s="1"/>
  <c r="EH43" i="93"/>
  <c r="FZ43" i="93" s="1"/>
  <c r="EH40" i="93"/>
  <c r="FZ40" i="93" s="1"/>
  <c r="EH53" i="93"/>
  <c r="FZ53" i="93" s="1"/>
  <c r="EH37" i="93"/>
  <c r="FZ37" i="93" s="1"/>
  <c r="EH45" i="93"/>
  <c r="FZ45" i="93" s="1"/>
  <c r="EH52" i="93"/>
  <c r="FZ52" i="93" s="1"/>
  <c r="EH61" i="93"/>
  <c r="FZ61" i="93" s="1"/>
  <c r="DR6" i="93"/>
  <c r="FJ6" i="93" s="1"/>
  <c r="DR5" i="93"/>
  <c r="FJ5" i="93" s="1"/>
  <c r="DR10" i="93"/>
  <c r="FJ10" i="93" s="1"/>
  <c r="DR21" i="93"/>
  <c r="FJ21" i="93" s="1"/>
  <c r="DR17" i="93"/>
  <c r="FJ17" i="93" s="1"/>
  <c r="DR14" i="93"/>
  <c r="FJ14" i="93" s="1"/>
  <c r="DR9" i="93"/>
  <c r="FJ9" i="93" s="1"/>
  <c r="DR16" i="93"/>
  <c r="FJ16" i="93" s="1"/>
  <c r="DR18" i="93"/>
  <c r="FJ18" i="93" s="1"/>
  <c r="DR22" i="93"/>
  <c r="FJ22" i="93" s="1"/>
  <c r="DR13" i="93"/>
  <c r="FJ13" i="93" s="1"/>
  <c r="DR12" i="93"/>
  <c r="FJ12" i="93" s="1"/>
  <c r="DR7" i="93"/>
  <c r="FJ7" i="93" s="1"/>
  <c r="DR20" i="93"/>
  <c r="FJ20" i="93" s="1"/>
  <c r="DR8" i="93"/>
  <c r="FJ8" i="93" s="1"/>
  <c r="DR23" i="93"/>
  <c r="FJ23" i="93" s="1"/>
  <c r="DR19" i="93"/>
  <c r="FJ19" i="93" s="1"/>
  <c r="DR15" i="93"/>
  <c r="FJ15" i="93" s="1"/>
  <c r="DR11" i="93"/>
  <c r="FJ11" i="93" s="1"/>
  <c r="DR37" i="93"/>
  <c r="FJ37" i="93" s="1"/>
  <c r="DR51" i="93"/>
  <c r="FJ51" i="93" s="1"/>
  <c r="DR42" i="93"/>
  <c r="FJ42" i="93" s="1"/>
  <c r="DR50" i="93"/>
  <c r="FJ50" i="93" s="1"/>
  <c r="DR25" i="93"/>
  <c r="FJ25" i="93" s="1"/>
  <c r="DR56" i="93"/>
  <c r="FJ56" i="93" s="1"/>
  <c r="DR26" i="93"/>
  <c r="FJ26" i="93" s="1"/>
  <c r="DR63" i="93"/>
  <c r="FJ63" i="93" s="1"/>
  <c r="DR41" i="93"/>
  <c r="FJ41" i="93" s="1"/>
  <c r="DR58" i="93"/>
  <c r="FJ58" i="93" s="1"/>
  <c r="DR29" i="93"/>
  <c r="FJ29" i="93" s="1"/>
  <c r="DR30" i="93"/>
  <c r="FJ30" i="93" s="1"/>
  <c r="DR59" i="93"/>
  <c r="FJ59" i="93" s="1"/>
  <c r="DR60" i="93"/>
  <c r="FJ60" i="93" s="1"/>
  <c r="DR27" i="93"/>
  <c r="FJ27" i="93" s="1"/>
  <c r="DR36" i="93"/>
  <c r="FJ36" i="93" s="1"/>
  <c r="DR32" i="93"/>
  <c r="FJ32" i="93" s="1"/>
  <c r="DR28" i="93"/>
  <c r="FJ28" i="93" s="1"/>
  <c r="DR57" i="93"/>
  <c r="FJ57" i="93" s="1"/>
  <c r="DR62" i="93"/>
  <c r="FJ62" i="93" s="1"/>
  <c r="DR38" i="93"/>
  <c r="FJ38" i="93" s="1"/>
  <c r="DR49" i="93"/>
  <c r="FJ49" i="93" s="1"/>
  <c r="DR40" i="93"/>
  <c r="FJ40" i="93" s="1"/>
  <c r="DR48" i="93"/>
  <c r="FJ48" i="93" s="1"/>
  <c r="DR45" i="93"/>
  <c r="FJ45" i="93" s="1"/>
  <c r="DR53" i="93"/>
  <c r="FJ53" i="93" s="1"/>
  <c r="DR33" i="93"/>
  <c r="FJ33" i="93" s="1"/>
  <c r="DR47" i="93"/>
  <c r="FJ47" i="93" s="1"/>
  <c r="DR34" i="93"/>
  <c r="FJ34" i="93" s="1"/>
  <c r="DR39" i="93"/>
  <c r="FJ39" i="93" s="1"/>
  <c r="DR61" i="93"/>
  <c r="FJ61" i="93" s="1"/>
  <c r="DR64" i="93"/>
  <c r="FJ64" i="93" s="1"/>
  <c r="DR43" i="93"/>
  <c r="FJ43" i="93" s="1"/>
  <c r="DR31" i="93"/>
  <c r="FJ31" i="93" s="1"/>
  <c r="DR55" i="93"/>
  <c r="FJ55" i="93" s="1"/>
  <c r="DR35" i="93"/>
  <c r="FJ35" i="93" s="1"/>
  <c r="DR54" i="93"/>
  <c r="FJ54" i="93" s="1"/>
  <c r="DR44" i="93"/>
  <c r="FJ44" i="93" s="1"/>
  <c r="DR24" i="93"/>
  <c r="FJ24" i="93" s="1"/>
  <c r="DR52" i="93"/>
  <c r="FJ52" i="93" s="1"/>
  <c r="DR46" i="93"/>
  <c r="FJ46" i="93" s="1"/>
  <c r="DB6" i="93"/>
  <c r="ET6" i="93" s="1"/>
  <c r="DB7" i="93"/>
  <c r="ET7" i="93" s="1"/>
  <c r="DB8" i="93"/>
  <c r="ET8" i="93" s="1"/>
  <c r="DB9" i="93"/>
  <c r="ET9" i="93" s="1"/>
  <c r="DB5" i="93"/>
  <c r="ET5" i="93" s="1"/>
  <c r="DB12" i="93"/>
  <c r="ET12" i="93" s="1"/>
  <c r="DB27" i="93"/>
  <c r="ET27" i="93" s="1"/>
  <c r="DB44" i="93"/>
  <c r="ET44" i="93" s="1"/>
  <c r="DB47" i="93"/>
  <c r="ET47" i="93" s="1"/>
  <c r="DB40" i="93"/>
  <c r="ET40" i="93" s="1"/>
  <c r="DB10" i="93"/>
  <c r="ET10" i="93" s="1"/>
  <c r="DB32" i="93"/>
  <c r="ET32" i="93" s="1"/>
  <c r="DB11" i="93"/>
  <c r="ET11" i="93" s="1"/>
  <c r="DB29" i="93"/>
  <c r="ET29" i="93" s="1"/>
  <c r="DB48" i="93"/>
  <c r="ET48" i="93" s="1"/>
  <c r="DB59" i="93"/>
  <c r="ET59" i="93" s="1"/>
  <c r="DB34" i="93"/>
  <c r="ET34" i="93" s="1"/>
  <c r="DB14" i="93"/>
  <c r="ET14" i="93" s="1"/>
  <c r="DB49" i="93"/>
  <c r="ET49" i="93" s="1"/>
  <c r="DB17" i="93"/>
  <c r="ET17" i="93" s="1"/>
  <c r="DB23" i="93"/>
  <c r="ET23" i="93" s="1"/>
  <c r="DB61" i="93"/>
  <c r="ET61" i="93" s="1"/>
  <c r="DB16" i="93"/>
  <c r="ET16" i="93" s="1"/>
  <c r="DB31" i="93"/>
  <c r="ET31" i="93" s="1"/>
  <c r="DB38" i="93"/>
  <c r="ET38" i="93" s="1"/>
  <c r="DB20" i="93"/>
  <c r="ET20" i="93" s="1"/>
  <c r="DB33" i="93"/>
  <c r="ET33" i="93" s="1"/>
  <c r="DB52" i="93"/>
  <c r="ET52" i="93" s="1"/>
  <c r="DB57" i="93"/>
  <c r="ET57" i="93" s="1"/>
  <c r="DB56" i="93"/>
  <c r="ET56" i="93" s="1"/>
  <c r="DB18" i="93"/>
  <c r="ET18" i="93" s="1"/>
  <c r="DB58" i="93"/>
  <c r="ET58" i="93" s="1"/>
  <c r="DB21" i="93"/>
  <c r="ET21" i="93" s="1"/>
  <c r="DB35" i="93"/>
  <c r="ET35" i="93" s="1"/>
  <c r="DB54" i="93"/>
  <c r="ET54" i="93" s="1"/>
  <c r="DB13" i="93"/>
  <c r="ET13" i="93" s="1"/>
  <c r="DB45" i="93"/>
  <c r="ET45" i="93" s="1"/>
  <c r="DB22" i="93"/>
  <c r="ET22" i="93" s="1"/>
  <c r="DB46" i="93"/>
  <c r="ET46" i="93" s="1"/>
  <c r="DB41" i="93"/>
  <c r="ET41" i="93" s="1"/>
  <c r="DB60" i="93"/>
  <c r="ET60" i="93" s="1"/>
  <c r="DB25" i="93"/>
  <c r="ET25" i="93" s="1"/>
  <c r="DB24" i="93"/>
  <c r="ET24" i="93" s="1"/>
  <c r="DB62" i="93"/>
  <c r="ET62" i="93" s="1"/>
  <c r="DB26" i="93"/>
  <c r="ET26" i="93" s="1"/>
  <c r="DB15" i="93"/>
  <c r="ET15" i="93" s="1"/>
  <c r="DB50" i="93"/>
  <c r="ET50" i="93" s="1"/>
  <c r="DB63" i="93"/>
  <c r="ET63" i="93" s="1"/>
  <c r="DB53" i="93"/>
  <c r="ET53" i="93" s="1"/>
  <c r="DB19" i="93"/>
  <c r="ET19" i="93" s="1"/>
  <c r="DB28" i="93"/>
  <c r="ET28" i="93" s="1"/>
  <c r="DB43" i="93"/>
  <c r="ET43" i="93" s="1"/>
  <c r="DB30" i="93"/>
  <c r="ET30" i="93" s="1"/>
  <c r="DB64" i="93"/>
  <c r="ET64" i="93" s="1"/>
  <c r="DB55" i="93"/>
  <c r="ET55" i="93" s="1"/>
  <c r="DB42" i="93"/>
  <c r="ET42" i="93" s="1"/>
  <c r="DB39" i="93"/>
  <c r="ET39" i="93" s="1"/>
  <c r="DB51" i="93"/>
  <c r="ET51" i="93" s="1"/>
  <c r="DB37" i="93"/>
  <c r="ET37" i="93" s="1"/>
  <c r="DB36" i="93"/>
  <c r="ET36" i="93" s="1"/>
  <c r="EG25" i="100"/>
  <c r="FY25" i="100" s="1"/>
  <c r="CW36" i="98"/>
  <c r="CW35" i="98"/>
  <c r="CW15" i="98"/>
  <c r="CW16" i="98"/>
  <c r="CW60" i="98"/>
  <c r="CW59" i="98"/>
  <c r="DH10" i="100"/>
  <c r="EZ10" i="100" s="1"/>
  <c r="CX50" i="98"/>
  <c r="CX58" i="98"/>
  <c r="DF13" i="100"/>
  <c r="EX13" i="100" s="1"/>
  <c r="CY51" i="98"/>
  <c r="CY60" i="98"/>
  <c r="CY59" i="98"/>
  <c r="CY47" i="98"/>
  <c r="CY55" i="98"/>
  <c r="EO8" i="100"/>
  <c r="GG8" i="100" s="1"/>
  <c r="EO22" i="100"/>
  <c r="GG22" i="100" s="1"/>
  <c r="EO20" i="100"/>
  <c r="GG20" i="100" s="1"/>
  <c r="EO18" i="100"/>
  <c r="GG18" i="100" s="1"/>
  <c r="EO24" i="100"/>
  <c r="GG24" i="100" s="1"/>
  <c r="EO19" i="100"/>
  <c r="GG19" i="100" s="1"/>
  <c r="EO14" i="100"/>
  <c r="GG14" i="100" s="1"/>
  <c r="EO34" i="100"/>
  <c r="GG34" i="100" s="1"/>
  <c r="EO38" i="100"/>
  <c r="GG38" i="100" s="1"/>
  <c r="EO27" i="100"/>
  <c r="GG27" i="100" s="1"/>
  <c r="EO23" i="100"/>
  <c r="GG23" i="100" s="1"/>
  <c r="EO13" i="100"/>
  <c r="GG13" i="100" s="1"/>
  <c r="EO16" i="100"/>
  <c r="GG16" i="100" s="1"/>
  <c r="EO11" i="100"/>
  <c r="GG11" i="100" s="1"/>
  <c r="EO37" i="100"/>
  <c r="GG37" i="100" s="1"/>
  <c r="EO12" i="100"/>
  <c r="GG12" i="100" s="1"/>
  <c r="EO17" i="100"/>
  <c r="GG17" i="100" s="1"/>
  <c r="EO33" i="100"/>
  <c r="GG33" i="100" s="1"/>
  <c r="EO61" i="100"/>
  <c r="GG61" i="100" s="1"/>
  <c r="EO40" i="100"/>
  <c r="GG40" i="100" s="1"/>
  <c r="EO66" i="100"/>
  <c r="GG66" i="100" s="1"/>
  <c r="EO46" i="100"/>
  <c r="GG46" i="100" s="1"/>
  <c r="EO64" i="100"/>
  <c r="GG64" i="100" s="1"/>
  <c r="EO44" i="100"/>
  <c r="GG44" i="100" s="1"/>
  <c r="EO58" i="100"/>
  <c r="GG58" i="100" s="1"/>
  <c r="EO52" i="100"/>
  <c r="GG52" i="100" s="1"/>
  <c r="EO59" i="100"/>
  <c r="GG59" i="100" s="1"/>
  <c r="EO28" i="100"/>
  <c r="GG28" i="100" s="1"/>
  <c r="EO7" i="100"/>
  <c r="GG7" i="100" s="1"/>
  <c r="EO9" i="100"/>
  <c r="GG9" i="100" s="1"/>
  <c r="EO31" i="100"/>
  <c r="GG31" i="100" s="1"/>
  <c r="EO36" i="100"/>
  <c r="GG36" i="100" s="1"/>
  <c r="EO35" i="100"/>
  <c r="GG35" i="100" s="1"/>
  <c r="EO32" i="100"/>
  <c r="GG32" i="100" s="1"/>
  <c r="EO26" i="100"/>
  <c r="GG26" i="100" s="1"/>
  <c r="EO56" i="100"/>
  <c r="GG56" i="100" s="1"/>
  <c r="EO49" i="100"/>
  <c r="GG49" i="100" s="1"/>
  <c r="EO57" i="100"/>
  <c r="GG57" i="100" s="1"/>
  <c r="EO47" i="100"/>
  <c r="GG47" i="100" s="1"/>
  <c r="EO60" i="100"/>
  <c r="GG60" i="100" s="1"/>
  <c r="EO45" i="100"/>
  <c r="GG45" i="100" s="1"/>
  <c r="EO65" i="100"/>
  <c r="GG65" i="100" s="1"/>
  <c r="EO50" i="100"/>
  <c r="GG50" i="100" s="1"/>
  <c r="EO42" i="100"/>
  <c r="GG42" i="100" s="1"/>
  <c r="EO10" i="100"/>
  <c r="GG10" i="100" s="1"/>
  <c r="EO21" i="100"/>
  <c r="GG21" i="100" s="1"/>
  <c r="EO30" i="100"/>
  <c r="GG30" i="100" s="1"/>
  <c r="EO29" i="100"/>
  <c r="GG29" i="100" s="1"/>
  <c r="EO15" i="100"/>
  <c r="GG15" i="100" s="1"/>
  <c r="EO25" i="100"/>
  <c r="GG25" i="100" s="1"/>
  <c r="EO39" i="100"/>
  <c r="GG39" i="100" s="1"/>
  <c r="EO41" i="100"/>
  <c r="GG41" i="100" s="1"/>
  <c r="EO54" i="100"/>
  <c r="GG54" i="100" s="1"/>
  <c r="EO48" i="100"/>
  <c r="GG48" i="100" s="1"/>
  <c r="EO53" i="100"/>
  <c r="GG53" i="100" s="1"/>
  <c r="EO43" i="100"/>
  <c r="GG43" i="100" s="1"/>
  <c r="EO63" i="100"/>
  <c r="GG63" i="100" s="1"/>
  <c r="EO51" i="100"/>
  <c r="GG51" i="100" s="1"/>
  <c r="EO62" i="100"/>
  <c r="GG62" i="100" s="1"/>
  <c r="EO55" i="100"/>
  <c r="GG55" i="100" s="1"/>
  <c r="EE7" i="100"/>
  <c r="FW7" i="100" s="1"/>
  <c r="EE8" i="100"/>
  <c r="FW8" i="100" s="1"/>
  <c r="EE9" i="100"/>
  <c r="FW9" i="100" s="1"/>
  <c r="EE11" i="100"/>
  <c r="FW11" i="100" s="1"/>
  <c r="EE15" i="100"/>
  <c r="FW15" i="100" s="1"/>
  <c r="EE23" i="100"/>
  <c r="FW23" i="100" s="1"/>
  <c r="EE30" i="100"/>
  <c r="FW30" i="100" s="1"/>
  <c r="EE12" i="100"/>
  <c r="FW12" i="100" s="1"/>
  <c r="EE10" i="100"/>
  <c r="FW10" i="100" s="1"/>
  <c r="EE24" i="100"/>
  <c r="FW24" i="100" s="1"/>
  <c r="EE26" i="100"/>
  <c r="FW26" i="100" s="1"/>
  <c r="EE20" i="100"/>
  <c r="FW20" i="100" s="1"/>
  <c r="EE27" i="100"/>
  <c r="FW27" i="100" s="1"/>
  <c r="EE45" i="100"/>
  <c r="FW45" i="100" s="1"/>
  <c r="EE63" i="100"/>
  <c r="FW63" i="100" s="1"/>
  <c r="EE38" i="100"/>
  <c r="FW38" i="100" s="1"/>
  <c r="EE58" i="100"/>
  <c r="FW58" i="100" s="1"/>
  <c r="EE41" i="100"/>
  <c r="FW41" i="100" s="1"/>
  <c r="EE56" i="100"/>
  <c r="FW56" i="100" s="1"/>
  <c r="EE43" i="100"/>
  <c r="FW43" i="100" s="1"/>
  <c r="EE32" i="100"/>
  <c r="FW32" i="100" s="1"/>
  <c r="EE42" i="100"/>
  <c r="FW42" i="100" s="1"/>
  <c r="EE39" i="100"/>
  <c r="FW39" i="100" s="1"/>
  <c r="EE33" i="100"/>
  <c r="FW33" i="100" s="1"/>
  <c r="EE40" i="100"/>
  <c r="FW40" i="100" s="1"/>
  <c r="EE14" i="100"/>
  <c r="FW14" i="100" s="1"/>
  <c r="EE17" i="100"/>
  <c r="FW17" i="100" s="1"/>
  <c r="EE25" i="100"/>
  <c r="FW25" i="100" s="1"/>
  <c r="EE22" i="100"/>
  <c r="FW22" i="100" s="1"/>
  <c r="EE31" i="100"/>
  <c r="FW31" i="100" s="1"/>
  <c r="EE28" i="100"/>
  <c r="FW28" i="100" s="1"/>
  <c r="EE37" i="100"/>
  <c r="FW37" i="100" s="1"/>
  <c r="EE50" i="100"/>
  <c r="FW50" i="100" s="1"/>
  <c r="EE62" i="100"/>
  <c r="FW62" i="100" s="1"/>
  <c r="EE47" i="100"/>
  <c r="FW47" i="100" s="1"/>
  <c r="EE65" i="100"/>
  <c r="FW65" i="100" s="1"/>
  <c r="EE49" i="100"/>
  <c r="FW49" i="100" s="1"/>
  <c r="EE35" i="100"/>
  <c r="FW35" i="100" s="1"/>
  <c r="EE36" i="100"/>
  <c r="FW36" i="100" s="1"/>
  <c r="EE60" i="100"/>
  <c r="FW60" i="100" s="1"/>
  <c r="EE55" i="100"/>
  <c r="FW55" i="100" s="1"/>
  <c r="EE52" i="100"/>
  <c r="FW52" i="100" s="1"/>
  <c r="EE51" i="100"/>
  <c r="FW51" i="100" s="1"/>
  <c r="EE53" i="100"/>
  <c r="FW53" i="100" s="1"/>
  <c r="EE13" i="100"/>
  <c r="FW13" i="100" s="1"/>
  <c r="EE19" i="100"/>
  <c r="FW19" i="100" s="1"/>
  <c r="EE18" i="100"/>
  <c r="FW18" i="100" s="1"/>
  <c r="EE21" i="100"/>
  <c r="FW21" i="100" s="1"/>
  <c r="EE29" i="100"/>
  <c r="FW29" i="100" s="1"/>
  <c r="EE64" i="100"/>
  <c r="FW64" i="100" s="1"/>
  <c r="EE66" i="100"/>
  <c r="FW66" i="100" s="1"/>
  <c r="EE44" i="100"/>
  <c r="FW44" i="100" s="1"/>
  <c r="EE48" i="100"/>
  <c r="FW48" i="100" s="1"/>
  <c r="EE57" i="100"/>
  <c r="FW57" i="100" s="1"/>
  <c r="EE59" i="100"/>
  <c r="FW59" i="100" s="1"/>
  <c r="EE61" i="100"/>
  <c r="FW61" i="100" s="1"/>
  <c r="EE34" i="100"/>
  <c r="FW34" i="100" s="1"/>
  <c r="EE46" i="100"/>
  <c r="FW46" i="100" s="1"/>
  <c r="EE54" i="100"/>
  <c r="FW54" i="100" s="1"/>
  <c r="DC8" i="100"/>
  <c r="EU8" i="100" s="1"/>
  <c r="DC14" i="100"/>
  <c r="EU14" i="100" s="1"/>
  <c r="DC9" i="100"/>
  <c r="EU9" i="100" s="1"/>
  <c r="DC50" i="100"/>
  <c r="EU50" i="100" s="1"/>
  <c r="DC18" i="100"/>
  <c r="EU18" i="100" s="1"/>
  <c r="DC31" i="100"/>
  <c r="EU31" i="100" s="1"/>
  <c r="DC45" i="100"/>
  <c r="EU45" i="100" s="1"/>
  <c r="DC66" i="100"/>
  <c r="EU66" i="100" s="1"/>
  <c r="DC7" i="100"/>
  <c r="EU7" i="100" s="1"/>
  <c r="DC42" i="100"/>
  <c r="EU42" i="100" s="1"/>
  <c r="DC11" i="100"/>
  <c r="EU11" i="100" s="1"/>
  <c r="DC62" i="100"/>
  <c r="EU62" i="100" s="1"/>
  <c r="DC41" i="100"/>
  <c r="EU41" i="100" s="1"/>
  <c r="DC16" i="100"/>
  <c r="EU16" i="100" s="1"/>
  <c r="DC49" i="100"/>
  <c r="EU49" i="100" s="1"/>
  <c r="DC27" i="100"/>
  <c r="EU27" i="100" s="1"/>
  <c r="DC13" i="100"/>
  <c r="EU13" i="100" s="1"/>
  <c r="DC59" i="100"/>
  <c r="EU59" i="100" s="1"/>
  <c r="DC38" i="100"/>
  <c r="EU38" i="100" s="1"/>
  <c r="DC28" i="100"/>
  <c r="EU28" i="100" s="1"/>
  <c r="DC10" i="100"/>
  <c r="EU10" i="100" s="1"/>
  <c r="DC60" i="100"/>
  <c r="EU60" i="100" s="1"/>
  <c r="DC44" i="100"/>
  <c r="EU44" i="100" s="1"/>
  <c r="DC37" i="100"/>
  <c r="EU37" i="100" s="1"/>
  <c r="DC34" i="100"/>
  <c r="EU34" i="100" s="1"/>
  <c r="DC64" i="100"/>
  <c r="EU64" i="100" s="1"/>
  <c r="DC47" i="100"/>
  <c r="EU47" i="100" s="1"/>
  <c r="DC24" i="100"/>
  <c r="EU24" i="100" s="1"/>
  <c r="DC21" i="100"/>
  <c r="EU21" i="100" s="1"/>
  <c r="DC19" i="100"/>
  <c r="EU19" i="100" s="1"/>
  <c r="DC15" i="100"/>
  <c r="EU15" i="100" s="1"/>
  <c r="DC53" i="100"/>
  <c r="EU53" i="100" s="1"/>
  <c r="DC54" i="100"/>
  <c r="EU54" i="100" s="1"/>
  <c r="DC61" i="100"/>
  <c r="EU61" i="100" s="1"/>
  <c r="DC22" i="100"/>
  <c r="EU22" i="100" s="1"/>
  <c r="DC58" i="100"/>
  <c r="EU58" i="100" s="1"/>
  <c r="DC51" i="100"/>
  <c r="EU51" i="100" s="1"/>
  <c r="DC25" i="100"/>
  <c r="EU25" i="100" s="1"/>
  <c r="DC55" i="100"/>
  <c r="EU55" i="100" s="1"/>
  <c r="DC33" i="100"/>
  <c r="EU33" i="100" s="1"/>
  <c r="DC23" i="100"/>
  <c r="EU23" i="100" s="1"/>
  <c r="DC46" i="100"/>
  <c r="EU46" i="100" s="1"/>
  <c r="DC57" i="100"/>
  <c r="EU57" i="100" s="1"/>
  <c r="DC63" i="100"/>
  <c r="EU63" i="100" s="1"/>
  <c r="DC26" i="100"/>
  <c r="EU26" i="100" s="1"/>
  <c r="DC12" i="100"/>
  <c r="EU12" i="100" s="1"/>
  <c r="DC48" i="100"/>
  <c r="EU48" i="100" s="1"/>
  <c r="DC35" i="100"/>
  <c r="EU35" i="100" s="1"/>
  <c r="DC36" i="100"/>
  <c r="EU36" i="100" s="1"/>
  <c r="DC39" i="100"/>
  <c r="EU39" i="100" s="1"/>
  <c r="DC43" i="100"/>
  <c r="EU43" i="100" s="1"/>
  <c r="DC17" i="100"/>
  <c r="EU17" i="100" s="1"/>
  <c r="DC20" i="100"/>
  <c r="EU20" i="100" s="1"/>
  <c r="DC52" i="100"/>
  <c r="EU52" i="100" s="1"/>
  <c r="DC32" i="100"/>
  <c r="EU32" i="100" s="1"/>
  <c r="DC30" i="100"/>
  <c r="EU30" i="100" s="1"/>
  <c r="DC40" i="100"/>
  <c r="EU40" i="100" s="1"/>
  <c r="DC56" i="100"/>
  <c r="EU56" i="100" s="1"/>
  <c r="DC29" i="100"/>
  <c r="EU29" i="100" s="1"/>
  <c r="DC65" i="100"/>
  <c r="EU65" i="100" s="1"/>
  <c r="EI27" i="100"/>
  <c r="GA27" i="100" s="1"/>
  <c r="EI7" i="100"/>
  <c r="GA7" i="100" s="1"/>
  <c r="EI8" i="100"/>
  <c r="GA8" i="100" s="1"/>
  <c r="EI9" i="100"/>
  <c r="GA9" i="100" s="1"/>
  <c r="EI11" i="100"/>
  <c r="GA11" i="100" s="1"/>
  <c r="EI26" i="100"/>
  <c r="GA26" i="100" s="1"/>
  <c r="EI28" i="100"/>
  <c r="GA28" i="100" s="1"/>
  <c r="EI18" i="100"/>
  <c r="GA18" i="100" s="1"/>
  <c r="EI31" i="100"/>
  <c r="GA31" i="100" s="1"/>
  <c r="EI21" i="100"/>
  <c r="GA21" i="100" s="1"/>
  <c r="EI19" i="100"/>
  <c r="GA19" i="100" s="1"/>
  <c r="EI13" i="100"/>
  <c r="GA13" i="100" s="1"/>
  <c r="EI24" i="100"/>
  <c r="GA24" i="100" s="1"/>
  <c r="EI23" i="100"/>
  <c r="GA23" i="100" s="1"/>
  <c r="EI32" i="100"/>
  <c r="GA32" i="100" s="1"/>
  <c r="EI54" i="100"/>
  <c r="GA54" i="100" s="1"/>
  <c r="EI45" i="100"/>
  <c r="GA45" i="100" s="1"/>
  <c r="EI38" i="100"/>
  <c r="GA38" i="100" s="1"/>
  <c r="EI47" i="100"/>
  <c r="GA47" i="100" s="1"/>
  <c r="EI63" i="100"/>
  <c r="GA63" i="100" s="1"/>
  <c r="EI48" i="100"/>
  <c r="GA48" i="100" s="1"/>
  <c r="EI57" i="100"/>
  <c r="GA57" i="100" s="1"/>
  <c r="EI66" i="100"/>
  <c r="GA66" i="100" s="1"/>
  <c r="EI16" i="100"/>
  <c r="GA16" i="100" s="1"/>
  <c r="EI12" i="100"/>
  <c r="GA12" i="100" s="1"/>
  <c r="EI14" i="100"/>
  <c r="GA14" i="100" s="1"/>
  <c r="EI17" i="100"/>
  <c r="GA17" i="100" s="1"/>
  <c r="EI30" i="100"/>
  <c r="GA30" i="100" s="1"/>
  <c r="EI43" i="100"/>
  <c r="GA43" i="100" s="1"/>
  <c r="EI37" i="100"/>
  <c r="GA37" i="100" s="1"/>
  <c r="EI50" i="100"/>
  <c r="GA50" i="100" s="1"/>
  <c r="EI58" i="100"/>
  <c r="GA58" i="100" s="1"/>
  <c r="EI52" i="100"/>
  <c r="GA52" i="100" s="1"/>
  <c r="EI62" i="100"/>
  <c r="GA62" i="100" s="1"/>
  <c r="EI41" i="100"/>
  <c r="GA41" i="100" s="1"/>
  <c r="EI60" i="100"/>
  <c r="GA60" i="100" s="1"/>
  <c r="EI10" i="100"/>
  <c r="GA10" i="100" s="1"/>
  <c r="EI15" i="100"/>
  <c r="GA15" i="100" s="1"/>
  <c r="EI20" i="100"/>
  <c r="GA20" i="100" s="1"/>
  <c r="EI25" i="100"/>
  <c r="GA25" i="100" s="1"/>
  <c r="EI29" i="100"/>
  <c r="GA29" i="100" s="1"/>
  <c r="EI22" i="100"/>
  <c r="GA22" i="100" s="1"/>
  <c r="EI35" i="100"/>
  <c r="GA35" i="100" s="1"/>
  <c r="EI51" i="100"/>
  <c r="GA51" i="100" s="1"/>
  <c r="EI44" i="100"/>
  <c r="GA44" i="100" s="1"/>
  <c r="EI53" i="100"/>
  <c r="GA53" i="100" s="1"/>
  <c r="EI39" i="100"/>
  <c r="GA39" i="100" s="1"/>
  <c r="EI55" i="100"/>
  <c r="GA55" i="100" s="1"/>
  <c r="EI33" i="100"/>
  <c r="GA33" i="100" s="1"/>
  <c r="EI49" i="100"/>
  <c r="GA49" i="100" s="1"/>
  <c r="EI65" i="100"/>
  <c r="GA65" i="100" s="1"/>
  <c r="EI64" i="100"/>
  <c r="GA64" i="100" s="1"/>
  <c r="EI42" i="100"/>
  <c r="GA42" i="100" s="1"/>
  <c r="EI46" i="100"/>
  <c r="GA46" i="100" s="1"/>
  <c r="EI61" i="100"/>
  <c r="GA61" i="100" s="1"/>
  <c r="EI59" i="100"/>
  <c r="GA59" i="100" s="1"/>
  <c r="EI56" i="100"/>
  <c r="GA56" i="100" s="1"/>
  <c r="EI36" i="100"/>
  <c r="GA36" i="100" s="1"/>
  <c r="EI40" i="100"/>
  <c r="GA40" i="100" s="1"/>
  <c r="EI34" i="100"/>
  <c r="GA34" i="100" s="1"/>
  <c r="DP9" i="100"/>
  <c r="FH9" i="100" s="1"/>
  <c r="DP7" i="100"/>
  <c r="FH7" i="100" s="1"/>
  <c r="DP8" i="100"/>
  <c r="FH8" i="100" s="1"/>
  <c r="DP25" i="100"/>
  <c r="FH25" i="100" s="1"/>
  <c r="DP11" i="100"/>
  <c r="FH11" i="100" s="1"/>
  <c r="DP17" i="100"/>
  <c r="FH17" i="100" s="1"/>
  <c r="DP29" i="100"/>
  <c r="FH29" i="100" s="1"/>
  <c r="DP36" i="100"/>
  <c r="FH36" i="100" s="1"/>
  <c r="DP34" i="100"/>
  <c r="FH34" i="100" s="1"/>
  <c r="DP18" i="100"/>
  <c r="FH18" i="100" s="1"/>
  <c r="DP14" i="100"/>
  <c r="FH14" i="100" s="1"/>
  <c r="DP20" i="100"/>
  <c r="FH20" i="100" s="1"/>
  <c r="DP24" i="100"/>
  <c r="FH24" i="100" s="1"/>
  <c r="DP13" i="100"/>
  <c r="FH13" i="100" s="1"/>
  <c r="DP28" i="100"/>
  <c r="FH28" i="100" s="1"/>
  <c r="DP33" i="100"/>
  <c r="FH33" i="100" s="1"/>
  <c r="DP52" i="100"/>
  <c r="FH52" i="100" s="1"/>
  <c r="DP63" i="100"/>
  <c r="FH63" i="100" s="1"/>
  <c r="DP50" i="100"/>
  <c r="FH50" i="100" s="1"/>
  <c r="DP51" i="100"/>
  <c r="FH51" i="100" s="1"/>
  <c r="DP45" i="100"/>
  <c r="FH45" i="100" s="1"/>
  <c r="DP43" i="100"/>
  <c r="FH43" i="100" s="1"/>
  <c r="DP41" i="100"/>
  <c r="FH41" i="100" s="1"/>
  <c r="DP40" i="100"/>
  <c r="FH40" i="100" s="1"/>
  <c r="DP38" i="100"/>
  <c r="FH38" i="100" s="1"/>
  <c r="DP65" i="100"/>
  <c r="FH65" i="100" s="1"/>
  <c r="DP47" i="100"/>
  <c r="FH47" i="100" s="1"/>
  <c r="DP15" i="100"/>
  <c r="FH15" i="100" s="1"/>
  <c r="DP22" i="100"/>
  <c r="FH22" i="100" s="1"/>
  <c r="DP26" i="100"/>
  <c r="FH26" i="100" s="1"/>
  <c r="DP32" i="100"/>
  <c r="FH32" i="100" s="1"/>
  <c r="DP23" i="100"/>
  <c r="FH23" i="100" s="1"/>
  <c r="DP31" i="100"/>
  <c r="FH31" i="100" s="1"/>
  <c r="DP30" i="100"/>
  <c r="FH30" i="100" s="1"/>
  <c r="DP60" i="100"/>
  <c r="FH60" i="100" s="1"/>
  <c r="DP61" i="100"/>
  <c r="FH61" i="100" s="1"/>
  <c r="DP39" i="100"/>
  <c r="FH39" i="100" s="1"/>
  <c r="DP55" i="100"/>
  <c r="FH55" i="100" s="1"/>
  <c r="DP56" i="100"/>
  <c r="FH56" i="100" s="1"/>
  <c r="DP46" i="100"/>
  <c r="FH46" i="100" s="1"/>
  <c r="DP66" i="100"/>
  <c r="FH66" i="100" s="1"/>
  <c r="DP49" i="100"/>
  <c r="FH49" i="100" s="1"/>
  <c r="DP54" i="100"/>
  <c r="FH54" i="100" s="1"/>
  <c r="DP64" i="100"/>
  <c r="FH64" i="100" s="1"/>
  <c r="DP57" i="100"/>
  <c r="FH57" i="100" s="1"/>
  <c r="DP19" i="100"/>
  <c r="FH19" i="100" s="1"/>
  <c r="DP21" i="100"/>
  <c r="FH21" i="100" s="1"/>
  <c r="DP10" i="100"/>
  <c r="FH10" i="100" s="1"/>
  <c r="DP12" i="100"/>
  <c r="FH12" i="100" s="1"/>
  <c r="DP16" i="100"/>
  <c r="FH16" i="100" s="1"/>
  <c r="DP27" i="100"/>
  <c r="FH27" i="100" s="1"/>
  <c r="DP37" i="100"/>
  <c r="FH37" i="100" s="1"/>
  <c r="DP35" i="100"/>
  <c r="FH35" i="100" s="1"/>
  <c r="DP42" i="100"/>
  <c r="FH42" i="100" s="1"/>
  <c r="DP58" i="100"/>
  <c r="FH58" i="100" s="1"/>
  <c r="DP62" i="100"/>
  <c r="FH62" i="100" s="1"/>
  <c r="DP59" i="100"/>
  <c r="FH59" i="100" s="1"/>
  <c r="DP53" i="100"/>
  <c r="FH53" i="100" s="1"/>
  <c r="DP48" i="100"/>
  <c r="FH48" i="100" s="1"/>
  <c r="DP44" i="100"/>
  <c r="FH44" i="100" s="1"/>
  <c r="DV7" i="100"/>
  <c r="FN7" i="100" s="1"/>
  <c r="DV13" i="100"/>
  <c r="FN13" i="100" s="1"/>
  <c r="DV8" i="100"/>
  <c r="FN8" i="100" s="1"/>
  <c r="DV10" i="100"/>
  <c r="FN10" i="100" s="1"/>
  <c r="DV9" i="100"/>
  <c r="FN9" i="100" s="1"/>
  <c r="DV29" i="100"/>
  <c r="FN29" i="100" s="1"/>
  <c r="DV16" i="100"/>
  <c r="FN16" i="100" s="1"/>
  <c r="DV27" i="100"/>
  <c r="FN27" i="100" s="1"/>
  <c r="DV20" i="100"/>
  <c r="FN20" i="100" s="1"/>
  <c r="DV30" i="100"/>
  <c r="FN30" i="100" s="1"/>
  <c r="DV25" i="100"/>
  <c r="FN25" i="100" s="1"/>
  <c r="DV28" i="100"/>
  <c r="FN28" i="100" s="1"/>
  <c r="DV21" i="100"/>
  <c r="FN21" i="100" s="1"/>
  <c r="DV15" i="100"/>
  <c r="FN15" i="100" s="1"/>
  <c r="DV17" i="100"/>
  <c r="FN17" i="100" s="1"/>
  <c r="DV33" i="100"/>
  <c r="FN33" i="100" s="1"/>
  <c r="DV36" i="100"/>
  <c r="FN36" i="100" s="1"/>
  <c r="DV37" i="100"/>
  <c r="FN37" i="100" s="1"/>
  <c r="DV35" i="100"/>
  <c r="FN35" i="100" s="1"/>
  <c r="DV44" i="100"/>
  <c r="FN44" i="100" s="1"/>
  <c r="DV46" i="100"/>
  <c r="FN46" i="100" s="1"/>
  <c r="DV63" i="100"/>
  <c r="FN63" i="100" s="1"/>
  <c r="DV52" i="100"/>
  <c r="FN52" i="100" s="1"/>
  <c r="DV62" i="100"/>
  <c r="FN62" i="100" s="1"/>
  <c r="DV55" i="100"/>
  <c r="FN55" i="100" s="1"/>
  <c r="DV48" i="100"/>
  <c r="FN48" i="100" s="1"/>
  <c r="DV54" i="100"/>
  <c r="FN54" i="100" s="1"/>
  <c r="DV43" i="100"/>
  <c r="FN43" i="100" s="1"/>
  <c r="DV26" i="100"/>
  <c r="FN26" i="100" s="1"/>
  <c r="DV22" i="100"/>
  <c r="FN22" i="100" s="1"/>
  <c r="DV12" i="100"/>
  <c r="FN12" i="100" s="1"/>
  <c r="DV23" i="100"/>
  <c r="FN23" i="100" s="1"/>
  <c r="DV14" i="100"/>
  <c r="FN14" i="100" s="1"/>
  <c r="DV31" i="100"/>
  <c r="FN31" i="100" s="1"/>
  <c r="DV34" i="100"/>
  <c r="FN34" i="100" s="1"/>
  <c r="DV65" i="100"/>
  <c r="FN65" i="100" s="1"/>
  <c r="DV49" i="100"/>
  <c r="FN49" i="100" s="1"/>
  <c r="DV59" i="100"/>
  <c r="FN59" i="100" s="1"/>
  <c r="DV57" i="100"/>
  <c r="FN57" i="100" s="1"/>
  <c r="DV64" i="100"/>
  <c r="FN64" i="100" s="1"/>
  <c r="DV40" i="100"/>
  <c r="FN40" i="100" s="1"/>
  <c r="DV66" i="100"/>
  <c r="FN66" i="100" s="1"/>
  <c r="DV11" i="100"/>
  <c r="FN11" i="100" s="1"/>
  <c r="DV19" i="100"/>
  <c r="FN19" i="100" s="1"/>
  <c r="DV18" i="100"/>
  <c r="FN18" i="100" s="1"/>
  <c r="DV24" i="100"/>
  <c r="FN24" i="100" s="1"/>
  <c r="DV32" i="100"/>
  <c r="FN32" i="100" s="1"/>
  <c r="DV39" i="100"/>
  <c r="FN39" i="100" s="1"/>
  <c r="DV61" i="100"/>
  <c r="FN61" i="100" s="1"/>
  <c r="DV41" i="100"/>
  <c r="FN41" i="100" s="1"/>
  <c r="DV50" i="100"/>
  <c r="FN50" i="100" s="1"/>
  <c r="DV51" i="100"/>
  <c r="FN51" i="100" s="1"/>
  <c r="DV60" i="100"/>
  <c r="FN60" i="100" s="1"/>
  <c r="DV45" i="100"/>
  <c r="FN45" i="100" s="1"/>
  <c r="DV42" i="100"/>
  <c r="FN42" i="100" s="1"/>
  <c r="DV58" i="100"/>
  <c r="FN58" i="100" s="1"/>
  <c r="DV47" i="100"/>
  <c r="FN47" i="100" s="1"/>
  <c r="DV38" i="100"/>
  <c r="FN38" i="100" s="1"/>
  <c r="DV56" i="100"/>
  <c r="FN56" i="100" s="1"/>
  <c r="DV53" i="100"/>
  <c r="FN53" i="100" s="1"/>
  <c r="EM7" i="100"/>
  <c r="GE7" i="100" s="1"/>
  <c r="EM13" i="100"/>
  <c r="GE13" i="100" s="1"/>
  <c r="EM14" i="100"/>
  <c r="GE14" i="100" s="1"/>
  <c r="EM8" i="100"/>
  <c r="GE8" i="100" s="1"/>
  <c r="EM11" i="100"/>
  <c r="GE11" i="100" s="1"/>
  <c r="EM33" i="100"/>
  <c r="GE33" i="100" s="1"/>
  <c r="EM26" i="100"/>
  <c r="GE26" i="100" s="1"/>
  <c r="EM32" i="100"/>
  <c r="GE32" i="100" s="1"/>
  <c r="EM9" i="100"/>
  <c r="GE9" i="100" s="1"/>
  <c r="EM18" i="100"/>
  <c r="GE18" i="100" s="1"/>
  <c r="EM19" i="100"/>
  <c r="GE19" i="100" s="1"/>
  <c r="EM17" i="100"/>
  <c r="GE17" i="100" s="1"/>
  <c r="EM20" i="100"/>
  <c r="GE20" i="100" s="1"/>
  <c r="EM24" i="100"/>
  <c r="GE24" i="100" s="1"/>
  <c r="EM31" i="100"/>
  <c r="GE31" i="100" s="1"/>
  <c r="EM37" i="100"/>
  <c r="GE37" i="100" s="1"/>
  <c r="EM44" i="100"/>
  <c r="GE44" i="100" s="1"/>
  <c r="EM61" i="100"/>
  <c r="GE61" i="100" s="1"/>
  <c r="EM39" i="100"/>
  <c r="GE39" i="100" s="1"/>
  <c r="EM52" i="100"/>
  <c r="GE52" i="100" s="1"/>
  <c r="EM40" i="100"/>
  <c r="GE40" i="100" s="1"/>
  <c r="EM57" i="100"/>
  <c r="GE57" i="100" s="1"/>
  <c r="EM43" i="100"/>
  <c r="GE43" i="100" s="1"/>
  <c r="EM64" i="100"/>
  <c r="GE64" i="100" s="1"/>
  <c r="EM50" i="100"/>
  <c r="GE50" i="100" s="1"/>
  <c r="EM62" i="100"/>
  <c r="GE62" i="100" s="1"/>
  <c r="EM38" i="100"/>
  <c r="GE38" i="100" s="1"/>
  <c r="EM54" i="100"/>
  <c r="GE54" i="100" s="1"/>
  <c r="EM41" i="100"/>
  <c r="GE41" i="100" s="1"/>
  <c r="EM56" i="100"/>
  <c r="GE56" i="100" s="1"/>
  <c r="EM59" i="100"/>
  <c r="GE59" i="100" s="1"/>
  <c r="EM36" i="100"/>
  <c r="GE36" i="100" s="1"/>
  <c r="EM15" i="100"/>
  <c r="GE15" i="100" s="1"/>
  <c r="EM12" i="100"/>
  <c r="GE12" i="100" s="1"/>
  <c r="EM30" i="100"/>
  <c r="GE30" i="100" s="1"/>
  <c r="EM16" i="100"/>
  <c r="GE16" i="100" s="1"/>
  <c r="EM27" i="100"/>
  <c r="GE27" i="100" s="1"/>
  <c r="EM21" i="100"/>
  <c r="GE21" i="100" s="1"/>
  <c r="EM23" i="100"/>
  <c r="GE23" i="100" s="1"/>
  <c r="EM29" i="100"/>
  <c r="GE29" i="100" s="1"/>
  <c r="EM45" i="100"/>
  <c r="GE45" i="100" s="1"/>
  <c r="EM63" i="100"/>
  <c r="GE63" i="100" s="1"/>
  <c r="EM46" i="100"/>
  <c r="GE46" i="100" s="1"/>
  <c r="EM55" i="100"/>
  <c r="GE55" i="100" s="1"/>
  <c r="EM48" i="100"/>
  <c r="GE48" i="100" s="1"/>
  <c r="EM58" i="100"/>
  <c r="GE58" i="100" s="1"/>
  <c r="EM51" i="100"/>
  <c r="GE51" i="100" s="1"/>
  <c r="EM35" i="100"/>
  <c r="GE35" i="100" s="1"/>
  <c r="EM10" i="100"/>
  <c r="GE10" i="100" s="1"/>
  <c r="EM34" i="100"/>
  <c r="GE34" i="100" s="1"/>
  <c r="EM22" i="100"/>
  <c r="GE22" i="100" s="1"/>
  <c r="EM25" i="100"/>
  <c r="GE25" i="100" s="1"/>
  <c r="EM28" i="100"/>
  <c r="GE28" i="100" s="1"/>
  <c r="EM53" i="100"/>
  <c r="GE53" i="100" s="1"/>
  <c r="EM49" i="100"/>
  <c r="GE49" i="100" s="1"/>
  <c r="EM66" i="100"/>
  <c r="GE66" i="100" s="1"/>
  <c r="EM42" i="100"/>
  <c r="GE42" i="100" s="1"/>
  <c r="EM47" i="100"/>
  <c r="GE47" i="100" s="1"/>
  <c r="EM60" i="100"/>
  <c r="GE60" i="100" s="1"/>
  <c r="EM65" i="100"/>
  <c r="GE65" i="100" s="1"/>
  <c r="EK7" i="100"/>
  <c r="GC7" i="100" s="1"/>
  <c r="EK10" i="100"/>
  <c r="GC10" i="100" s="1"/>
  <c r="EK13" i="100"/>
  <c r="GC13" i="100" s="1"/>
  <c r="EK21" i="100"/>
  <c r="GC21" i="100" s="1"/>
  <c r="EK9" i="100"/>
  <c r="GC9" i="100" s="1"/>
  <c r="EK33" i="100"/>
  <c r="GC33" i="100" s="1"/>
  <c r="EK14" i="100"/>
  <c r="GC14" i="100" s="1"/>
  <c r="EK20" i="100"/>
  <c r="GC20" i="100" s="1"/>
  <c r="EK29" i="100"/>
  <c r="GC29" i="100" s="1"/>
  <c r="EK30" i="100"/>
  <c r="GC30" i="100" s="1"/>
  <c r="EK27" i="100"/>
  <c r="GC27" i="100" s="1"/>
  <c r="EK18" i="100"/>
  <c r="GC18" i="100" s="1"/>
  <c r="EK22" i="100"/>
  <c r="GC22" i="100" s="1"/>
  <c r="EK19" i="100"/>
  <c r="GC19" i="100" s="1"/>
  <c r="EK28" i="100"/>
  <c r="GC28" i="100" s="1"/>
  <c r="EK15" i="100"/>
  <c r="GC15" i="100" s="1"/>
  <c r="EK35" i="100"/>
  <c r="GC35" i="100" s="1"/>
  <c r="EK12" i="100"/>
  <c r="GC12" i="100" s="1"/>
  <c r="EK34" i="100"/>
  <c r="GC34" i="100" s="1"/>
  <c r="EK65" i="100"/>
  <c r="GC65" i="100" s="1"/>
  <c r="EK61" i="100"/>
  <c r="GC61" i="100" s="1"/>
  <c r="EK51" i="100"/>
  <c r="GC51" i="100" s="1"/>
  <c r="EK57" i="100"/>
  <c r="GC57" i="100" s="1"/>
  <c r="EK40" i="100"/>
  <c r="GC40" i="100" s="1"/>
  <c r="EK54" i="100"/>
  <c r="GC54" i="100" s="1"/>
  <c r="EK64" i="100"/>
  <c r="GC64" i="100" s="1"/>
  <c r="EK44" i="100"/>
  <c r="GC44" i="100" s="1"/>
  <c r="EK66" i="100"/>
  <c r="GC66" i="100" s="1"/>
  <c r="EK36" i="100"/>
  <c r="GC36" i="100" s="1"/>
  <c r="EK31" i="100"/>
  <c r="GC31" i="100" s="1"/>
  <c r="EK37" i="100"/>
  <c r="GC37" i="100" s="1"/>
  <c r="EK16" i="100"/>
  <c r="GC16" i="100" s="1"/>
  <c r="EK26" i="100"/>
  <c r="GC26" i="100" s="1"/>
  <c r="EK23" i="100"/>
  <c r="GC23" i="100" s="1"/>
  <c r="EK62" i="100"/>
  <c r="GC62" i="100" s="1"/>
  <c r="EK42" i="100"/>
  <c r="GC42" i="100" s="1"/>
  <c r="EK59" i="100"/>
  <c r="GC59" i="100" s="1"/>
  <c r="EK49" i="100"/>
  <c r="GC49" i="100" s="1"/>
  <c r="EK63" i="100"/>
  <c r="GC63" i="100" s="1"/>
  <c r="EK46" i="100"/>
  <c r="GC46" i="100" s="1"/>
  <c r="EK60" i="100"/>
  <c r="GC60" i="100" s="1"/>
  <c r="EK39" i="100"/>
  <c r="GC39" i="100" s="1"/>
  <c r="EK47" i="100"/>
  <c r="GC47" i="100" s="1"/>
  <c r="EK52" i="100"/>
  <c r="GC52" i="100" s="1"/>
  <c r="EK11" i="100"/>
  <c r="GC11" i="100" s="1"/>
  <c r="EK32" i="100"/>
  <c r="GC32" i="100" s="1"/>
  <c r="EK8" i="100"/>
  <c r="GC8" i="100" s="1"/>
  <c r="EK17" i="100"/>
  <c r="GC17" i="100" s="1"/>
  <c r="EK24" i="100"/>
  <c r="GC24" i="100" s="1"/>
  <c r="EK25" i="100"/>
  <c r="GC25" i="100" s="1"/>
  <c r="EK58" i="100"/>
  <c r="GC58" i="100" s="1"/>
  <c r="EK43" i="100"/>
  <c r="GC43" i="100" s="1"/>
  <c r="EK56" i="100"/>
  <c r="GC56" i="100" s="1"/>
  <c r="EK41" i="100"/>
  <c r="GC41" i="100" s="1"/>
  <c r="EK55" i="100"/>
  <c r="GC55" i="100" s="1"/>
  <c r="EK38" i="100"/>
  <c r="GC38" i="100" s="1"/>
  <c r="EK53" i="100"/>
  <c r="GC53" i="100" s="1"/>
  <c r="EK45" i="100"/>
  <c r="GC45" i="100" s="1"/>
  <c r="EK48" i="100"/>
  <c r="GC48" i="100" s="1"/>
  <c r="EK50" i="100"/>
  <c r="GC50" i="100" s="1"/>
  <c r="DK8" i="100"/>
  <c r="FC8" i="100" s="1"/>
  <c r="DK9" i="100"/>
  <c r="FC9" i="100" s="1"/>
  <c r="DK17" i="100"/>
  <c r="FC17" i="100" s="1"/>
  <c r="DK10" i="100"/>
  <c r="FC10" i="100" s="1"/>
  <c r="DK14" i="100"/>
  <c r="FC14" i="100" s="1"/>
  <c r="DK11" i="100"/>
  <c r="FC11" i="100" s="1"/>
  <c r="DK21" i="100"/>
  <c r="FC21" i="100" s="1"/>
  <c r="DK35" i="100"/>
  <c r="FC35" i="100" s="1"/>
  <c r="DK25" i="100"/>
  <c r="FC25" i="100" s="1"/>
  <c r="DK33" i="100"/>
  <c r="FC33" i="100" s="1"/>
  <c r="DK28" i="100"/>
  <c r="FC28" i="100" s="1"/>
  <c r="DK18" i="100"/>
  <c r="FC18" i="100" s="1"/>
  <c r="DK22" i="100"/>
  <c r="FC22" i="100" s="1"/>
  <c r="DK45" i="100"/>
  <c r="FC45" i="100" s="1"/>
  <c r="DK62" i="100"/>
  <c r="FC62" i="100" s="1"/>
  <c r="DK54" i="100"/>
  <c r="FC54" i="100" s="1"/>
  <c r="DK42" i="100"/>
  <c r="FC42" i="100" s="1"/>
  <c r="DK55" i="100"/>
  <c r="FC55" i="100" s="1"/>
  <c r="DK44" i="100"/>
  <c r="FC44" i="100" s="1"/>
  <c r="DK7" i="100"/>
  <c r="FC7" i="100" s="1"/>
  <c r="DK16" i="100"/>
  <c r="FC16" i="100" s="1"/>
  <c r="DK13" i="100"/>
  <c r="FC13" i="100" s="1"/>
  <c r="DK23" i="100"/>
  <c r="FC23" i="100" s="1"/>
  <c r="DK30" i="100"/>
  <c r="FC30" i="100" s="1"/>
  <c r="DK26" i="100"/>
  <c r="FC26" i="100" s="1"/>
  <c r="DK37" i="100"/>
  <c r="FC37" i="100" s="1"/>
  <c r="DK52" i="100"/>
  <c r="FC52" i="100" s="1"/>
  <c r="DK48" i="100"/>
  <c r="FC48" i="100" s="1"/>
  <c r="DK53" i="100"/>
  <c r="FC53" i="100" s="1"/>
  <c r="DK50" i="100"/>
  <c r="FC50" i="100" s="1"/>
  <c r="DK56" i="100"/>
  <c r="FC56" i="100" s="1"/>
  <c r="DK58" i="100"/>
  <c r="FC58" i="100" s="1"/>
  <c r="DK60" i="100"/>
  <c r="FC60" i="100" s="1"/>
  <c r="DK15" i="100"/>
  <c r="FC15" i="100" s="1"/>
  <c r="DK12" i="100"/>
  <c r="FC12" i="100" s="1"/>
  <c r="DK24" i="100"/>
  <c r="FC24" i="100" s="1"/>
  <c r="DK36" i="100"/>
  <c r="FC36" i="100" s="1"/>
  <c r="DK20" i="100"/>
  <c r="FC20" i="100" s="1"/>
  <c r="DK31" i="100"/>
  <c r="FC31" i="100" s="1"/>
  <c r="DK29" i="100"/>
  <c r="FC29" i="100" s="1"/>
  <c r="DK43" i="100"/>
  <c r="FC43" i="100" s="1"/>
  <c r="DK57" i="100"/>
  <c r="FC57" i="100" s="1"/>
  <c r="DK39" i="100"/>
  <c r="FC39" i="100" s="1"/>
  <c r="DK51" i="100"/>
  <c r="FC51" i="100" s="1"/>
  <c r="DK40" i="100"/>
  <c r="FC40" i="100" s="1"/>
  <c r="DK61" i="100"/>
  <c r="FC61" i="100" s="1"/>
  <c r="DK41" i="100"/>
  <c r="FC41" i="100" s="1"/>
  <c r="DK65" i="100"/>
  <c r="FC65" i="100" s="1"/>
  <c r="DK59" i="100"/>
  <c r="FC59" i="100" s="1"/>
  <c r="DK64" i="100"/>
  <c r="FC64" i="100" s="1"/>
  <c r="DK66" i="100"/>
  <c r="FC66" i="100" s="1"/>
  <c r="DK49" i="100"/>
  <c r="FC49" i="100" s="1"/>
  <c r="DK47" i="100"/>
  <c r="FC47" i="100" s="1"/>
  <c r="DK32" i="100"/>
  <c r="FC32" i="100" s="1"/>
  <c r="DK27" i="100"/>
  <c r="FC27" i="100" s="1"/>
  <c r="DK63" i="100"/>
  <c r="FC63" i="100" s="1"/>
  <c r="DK34" i="100"/>
  <c r="FC34" i="100" s="1"/>
  <c r="DK19" i="100"/>
  <c r="FC19" i="100" s="1"/>
  <c r="DK46" i="100"/>
  <c r="FC46" i="100" s="1"/>
  <c r="DK38" i="100"/>
  <c r="FC38" i="100" s="1"/>
  <c r="EJ8" i="100"/>
  <c r="GB8" i="100" s="1"/>
  <c r="EJ9" i="100"/>
  <c r="GB9" i="100" s="1"/>
  <c r="EJ7" i="100"/>
  <c r="GB7" i="100" s="1"/>
  <c r="EJ10" i="100"/>
  <c r="GB10" i="100" s="1"/>
  <c r="EJ19" i="100"/>
  <c r="GB19" i="100" s="1"/>
  <c r="EJ14" i="100"/>
  <c r="GB14" i="100" s="1"/>
  <c r="EJ28" i="100"/>
  <c r="GB28" i="100" s="1"/>
  <c r="EJ26" i="100"/>
  <c r="GB26" i="100" s="1"/>
  <c r="EJ12" i="100"/>
  <c r="GB12" i="100" s="1"/>
  <c r="EJ21" i="100"/>
  <c r="GB21" i="100" s="1"/>
  <c r="EJ17" i="100"/>
  <c r="GB17" i="100" s="1"/>
  <c r="EJ22" i="100"/>
  <c r="GB22" i="100" s="1"/>
  <c r="EJ25" i="100"/>
  <c r="GB25" i="100" s="1"/>
  <c r="EJ24" i="100"/>
  <c r="GB24" i="100" s="1"/>
  <c r="EJ27" i="100"/>
  <c r="GB27" i="100" s="1"/>
  <c r="EJ48" i="100"/>
  <c r="GB48" i="100" s="1"/>
  <c r="EJ66" i="100"/>
  <c r="GB66" i="100" s="1"/>
  <c r="EJ33" i="100"/>
  <c r="GB33" i="100" s="1"/>
  <c r="EJ51" i="100"/>
  <c r="GB51" i="100" s="1"/>
  <c r="EJ35" i="100"/>
  <c r="GB35" i="100" s="1"/>
  <c r="EJ60" i="100"/>
  <c r="GB60" i="100" s="1"/>
  <c r="EJ59" i="100"/>
  <c r="GB59" i="100" s="1"/>
  <c r="EJ43" i="100"/>
  <c r="GB43" i="100" s="1"/>
  <c r="EJ65" i="100"/>
  <c r="GB65" i="100" s="1"/>
  <c r="EJ15" i="100"/>
  <c r="GB15" i="100" s="1"/>
  <c r="EJ18" i="100"/>
  <c r="GB18" i="100" s="1"/>
  <c r="EJ20" i="100"/>
  <c r="GB20" i="100" s="1"/>
  <c r="EJ30" i="100"/>
  <c r="GB30" i="100" s="1"/>
  <c r="EJ31" i="100"/>
  <c r="GB31" i="100" s="1"/>
  <c r="EJ45" i="100"/>
  <c r="GB45" i="100" s="1"/>
  <c r="EJ41" i="100"/>
  <c r="GB41" i="100" s="1"/>
  <c r="EJ50" i="100"/>
  <c r="GB50" i="100" s="1"/>
  <c r="EJ53" i="100"/>
  <c r="GB53" i="100" s="1"/>
  <c r="EJ44" i="100"/>
  <c r="GB44" i="100" s="1"/>
  <c r="EJ62" i="100"/>
  <c r="GB62" i="100" s="1"/>
  <c r="EJ32" i="100"/>
  <c r="GB32" i="100" s="1"/>
  <c r="EJ54" i="100"/>
  <c r="GB54" i="100" s="1"/>
  <c r="EJ11" i="100"/>
  <c r="GB11" i="100" s="1"/>
  <c r="EJ29" i="100"/>
  <c r="GB29" i="100" s="1"/>
  <c r="EJ16" i="100"/>
  <c r="GB16" i="100" s="1"/>
  <c r="EJ13" i="100"/>
  <c r="GB13" i="100" s="1"/>
  <c r="EJ23" i="100"/>
  <c r="GB23" i="100" s="1"/>
  <c r="EJ34" i="100"/>
  <c r="GB34" i="100" s="1"/>
  <c r="EJ56" i="100"/>
  <c r="GB56" i="100" s="1"/>
  <c r="EJ36" i="100"/>
  <c r="GB36" i="100" s="1"/>
  <c r="EJ58" i="100"/>
  <c r="GB58" i="100" s="1"/>
  <c r="EJ55" i="100"/>
  <c r="GB55" i="100" s="1"/>
  <c r="EJ37" i="100"/>
  <c r="GB37" i="100" s="1"/>
  <c r="EJ57" i="100"/>
  <c r="GB57" i="100" s="1"/>
  <c r="EJ39" i="100"/>
  <c r="GB39" i="100" s="1"/>
  <c r="EJ64" i="100"/>
  <c r="GB64" i="100" s="1"/>
  <c r="EJ42" i="100"/>
  <c r="GB42" i="100" s="1"/>
  <c r="EJ63" i="100"/>
  <c r="GB63" i="100" s="1"/>
  <c r="EJ49" i="100"/>
  <c r="GB49" i="100" s="1"/>
  <c r="EJ46" i="100"/>
  <c r="GB46" i="100" s="1"/>
  <c r="EJ52" i="100"/>
  <c r="GB52" i="100" s="1"/>
  <c r="EJ40" i="100"/>
  <c r="GB40" i="100" s="1"/>
  <c r="EJ38" i="100"/>
  <c r="GB38" i="100" s="1"/>
  <c r="EJ61" i="100"/>
  <c r="GB61" i="100" s="1"/>
  <c r="EJ47" i="100"/>
  <c r="GB47" i="100" s="1"/>
  <c r="R26" i="98"/>
  <c r="AD23" i="98"/>
  <c r="AD27" i="98"/>
  <c r="DW47" i="98" s="1"/>
  <c r="AD22" i="98"/>
  <c r="AD24" i="98"/>
  <c r="AD28" i="98"/>
  <c r="DW48" i="98" s="1"/>
  <c r="AD25" i="98"/>
  <c r="AD29" i="98"/>
  <c r="DW49" i="98" s="1"/>
  <c r="AD26" i="98"/>
  <c r="DW46" i="98" s="1"/>
  <c r="AD30" i="98"/>
  <c r="DW50" i="98" s="1"/>
  <c r="AJ29" i="98"/>
  <c r="DU67" i="98" s="1"/>
  <c r="AJ24" i="98"/>
  <c r="T25" i="98"/>
  <c r="T22" i="98"/>
  <c r="T26" i="98"/>
  <c r="T29" i="98"/>
  <c r="DU31" i="98" s="1"/>
  <c r="ET31" i="98" s="1"/>
  <c r="EK31" i="98" s="1"/>
  <c r="T23" i="98"/>
  <c r="T27" i="98"/>
  <c r="DU29" i="98" s="1"/>
  <c r="ET29" i="98" s="1"/>
  <c r="EK29" i="98" s="1"/>
  <c r="T30" i="98"/>
  <c r="DU32" i="98" s="1"/>
  <c r="ET32" i="98" s="1"/>
  <c r="EK32" i="98" s="1"/>
  <c r="T24" i="98"/>
  <c r="T28" i="98"/>
  <c r="DU30" i="98" s="1"/>
  <c r="ET30" i="98" s="1"/>
  <c r="EK30" i="98" s="1"/>
  <c r="CZ35" i="98"/>
  <c r="CZ36" i="98"/>
  <c r="CZ10" i="98"/>
  <c r="CZ11" i="98"/>
  <c r="CZ16" i="98"/>
  <c r="CZ15" i="98"/>
  <c r="DU5" i="93"/>
  <c r="FM5" i="93" s="1"/>
  <c r="DU6" i="93"/>
  <c r="FM6" i="93" s="1"/>
  <c r="DU7" i="93"/>
  <c r="FM7" i="93" s="1"/>
  <c r="DU14" i="93"/>
  <c r="FM14" i="93" s="1"/>
  <c r="DU21" i="93"/>
  <c r="FM21" i="93" s="1"/>
  <c r="DU9" i="93"/>
  <c r="FM9" i="93" s="1"/>
  <c r="DU10" i="93"/>
  <c r="FM10" i="93" s="1"/>
  <c r="DU13" i="93"/>
  <c r="FM13" i="93" s="1"/>
  <c r="DU19" i="93"/>
  <c r="FM19" i="93" s="1"/>
  <c r="DU18" i="93"/>
  <c r="FM18" i="93" s="1"/>
  <c r="DU15" i="93"/>
  <c r="FM15" i="93" s="1"/>
  <c r="DU8" i="93"/>
  <c r="FM8" i="93" s="1"/>
  <c r="DU20" i="93"/>
  <c r="FM20" i="93" s="1"/>
  <c r="DU17" i="93"/>
  <c r="FM17" i="93" s="1"/>
  <c r="DU22" i="93"/>
  <c r="FM22" i="93" s="1"/>
  <c r="DU12" i="93"/>
  <c r="FM12" i="93" s="1"/>
  <c r="DU11" i="93"/>
  <c r="FM11" i="93" s="1"/>
  <c r="DU23" i="93"/>
  <c r="FM23" i="93" s="1"/>
  <c r="DU16" i="93"/>
  <c r="FM16" i="93" s="1"/>
  <c r="DU31" i="93"/>
  <c r="FM31" i="93" s="1"/>
  <c r="DU56" i="93"/>
  <c r="FM56" i="93" s="1"/>
  <c r="DU38" i="93"/>
  <c r="FM38" i="93" s="1"/>
  <c r="DU46" i="93"/>
  <c r="FM46" i="93" s="1"/>
  <c r="DU51" i="93"/>
  <c r="FM51" i="93" s="1"/>
  <c r="DU35" i="93"/>
  <c r="FM35" i="93" s="1"/>
  <c r="DU52" i="93"/>
  <c r="FM52" i="93" s="1"/>
  <c r="DU61" i="93"/>
  <c r="FM61" i="93" s="1"/>
  <c r="DU47" i="93"/>
  <c r="FM47" i="93" s="1"/>
  <c r="DU62" i="93"/>
  <c r="FM62" i="93" s="1"/>
  <c r="DU49" i="93"/>
  <c r="FM49" i="93" s="1"/>
  <c r="DU64" i="93"/>
  <c r="FM64" i="93" s="1"/>
  <c r="DU33" i="93"/>
  <c r="FM33" i="93" s="1"/>
  <c r="DU40" i="93"/>
  <c r="FM40" i="93" s="1"/>
  <c r="DU59" i="93"/>
  <c r="FM59" i="93" s="1"/>
  <c r="DU26" i="93"/>
  <c r="FM26" i="93" s="1"/>
  <c r="DU60" i="93"/>
  <c r="FM60" i="93" s="1"/>
  <c r="DU25" i="93"/>
  <c r="FM25" i="93" s="1"/>
  <c r="DU28" i="93"/>
  <c r="FM28" i="93" s="1"/>
  <c r="DU55" i="93"/>
  <c r="FM55" i="93" s="1"/>
  <c r="DU27" i="93"/>
  <c r="FM27" i="93" s="1"/>
  <c r="DU44" i="93"/>
  <c r="FM44" i="93" s="1"/>
  <c r="DU36" i="93"/>
  <c r="FM36" i="93" s="1"/>
  <c r="DU41" i="93"/>
  <c r="FM41" i="93" s="1"/>
  <c r="DU58" i="93"/>
  <c r="FM58" i="93" s="1"/>
  <c r="DU50" i="93"/>
  <c r="FM50" i="93" s="1"/>
  <c r="DU45" i="93"/>
  <c r="FM45" i="93" s="1"/>
  <c r="DU42" i="93"/>
  <c r="FM42" i="93" s="1"/>
  <c r="DU37" i="93"/>
  <c r="FM37" i="93" s="1"/>
  <c r="DU29" i="93"/>
  <c r="FM29" i="93" s="1"/>
  <c r="DU63" i="93"/>
  <c r="FM63" i="93" s="1"/>
  <c r="DU39" i="93"/>
  <c r="FM39" i="93" s="1"/>
  <c r="DU32" i="93"/>
  <c r="FM32" i="93" s="1"/>
  <c r="DU57" i="93"/>
  <c r="FM57" i="93" s="1"/>
  <c r="DU43" i="93"/>
  <c r="FM43" i="93" s="1"/>
  <c r="DU34" i="93"/>
  <c r="FM34" i="93" s="1"/>
  <c r="DU24" i="93"/>
  <c r="FM24" i="93" s="1"/>
  <c r="DU48" i="93"/>
  <c r="FM48" i="93" s="1"/>
  <c r="DU53" i="93"/>
  <c r="FM53" i="93" s="1"/>
  <c r="DU30" i="93"/>
  <c r="FM30" i="93" s="1"/>
  <c r="DU54" i="93"/>
  <c r="FM54" i="93" s="1"/>
  <c r="EB20" i="93"/>
  <c r="FT20" i="93" s="1"/>
  <c r="EB16" i="93"/>
  <c r="FT16" i="93" s="1"/>
  <c r="EB26" i="93"/>
  <c r="FT26" i="93" s="1"/>
  <c r="EB15" i="93"/>
  <c r="FT15" i="93" s="1"/>
  <c r="EB25" i="93"/>
  <c r="FT25" i="93" s="1"/>
  <c r="EB18" i="93"/>
  <c r="FT18" i="93" s="1"/>
  <c r="EB22" i="93"/>
  <c r="FT22" i="93" s="1"/>
  <c r="EB21" i="93"/>
  <c r="FT21" i="93" s="1"/>
  <c r="EB27" i="93"/>
  <c r="FT27" i="93" s="1"/>
  <c r="EB7" i="93"/>
  <c r="FT7" i="93" s="1"/>
  <c r="EB8" i="93"/>
  <c r="FT8" i="93" s="1"/>
  <c r="EB13" i="93"/>
  <c r="FT13" i="93" s="1"/>
  <c r="EB17" i="93"/>
  <c r="FT17" i="93" s="1"/>
  <c r="EB10" i="93"/>
  <c r="FT10" i="93" s="1"/>
  <c r="EB24" i="93"/>
  <c r="FT24" i="93" s="1"/>
  <c r="EB23" i="93"/>
  <c r="FT23" i="93" s="1"/>
  <c r="EB6" i="93"/>
  <c r="FT6" i="93" s="1"/>
  <c r="EB28" i="93"/>
  <c r="FT28" i="93" s="1"/>
  <c r="EB9" i="93"/>
  <c r="FT9" i="93" s="1"/>
  <c r="EB19" i="93"/>
  <c r="FT19" i="93" s="1"/>
  <c r="EB5" i="93"/>
  <c r="FT5" i="93" s="1"/>
  <c r="EB11" i="93"/>
  <c r="FT11" i="93" s="1"/>
  <c r="EB12" i="93"/>
  <c r="FT12" i="93" s="1"/>
  <c r="EB14" i="93"/>
  <c r="FT14" i="93" s="1"/>
  <c r="EB29" i="93"/>
  <c r="FT29" i="93" s="1"/>
  <c r="EB35" i="93"/>
  <c r="FT35" i="93" s="1"/>
  <c r="EB63" i="93"/>
  <c r="FT63" i="93" s="1"/>
  <c r="EB30" i="93"/>
  <c r="FT30" i="93" s="1"/>
  <c r="EB48" i="93"/>
  <c r="FT48" i="93" s="1"/>
  <c r="EB32" i="93"/>
  <c r="FT32" i="93" s="1"/>
  <c r="EB51" i="93"/>
  <c r="FT51" i="93" s="1"/>
  <c r="EB34" i="93"/>
  <c r="FT34" i="93" s="1"/>
  <c r="EB53" i="93"/>
  <c r="FT53" i="93" s="1"/>
  <c r="EB60" i="93"/>
  <c r="FT60" i="93" s="1"/>
  <c r="EB50" i="93"/>
  <c r="FT50" i="93" s="1"/>
  <c r="EB52" i="93"/>
  <c r="FT52" i="93" s="1"/>
  <c r="EB38" i="93"/>
  <c r="FT38" i="93" s="1"/>
  <c r="EB57" i="93"/>
  <c r="FT57" i="93" s="1"/>
  <c r="EB40" i="93"/>
  <c r="FT40" i="93" s="1"/>
  <c r="EB59" i="93"/>
  <c r="FT59" i="93" s="1"/>
  <c r="EB42" i="93"/>
  <c r="FT42" i="93" s="1"/>
  <c r="EB61" i="93"/>
  <c r="FT61" i="93" s="1"/>
  <c r="EB36" i="93"/>
  <c r="FT36" i="93" s="1"/>
  <c r="EB44" i="93"/>
  <c r="FT44" i="93" s="1"/>
  <c r="EB64" i="93"/>
  <c r="FT64" i="93" s="1"/>
  <c r="EB37" i="93"/>
  <c r="FT37" i="93" s="1"/>
  <c r="EB45" i="93"/>
  <c r="FT45" i="93" s="1"/>
  <c r="EB41" i="93"/>
  <c r="FT41" i="93" s="1"/>
  <c r="EB49" i="93"/>
  <c r="FT49" i="93" s="1"/>
  <c r="EB47" i="93"/>
  <c r="FT47" i="93" s="1"/>
  <c r="EB46" i="93"/>
  <c r="FT46" i="93" s="1"/>
  <c r="EB33" i="93"/>
  <c r="FT33" i="93" s="1"/>
  <c r="EB55" i="93"/>
  <c r="FT55" i="93" s="1"/>
  <c r="EB62" i="93"/>
  <c r="FT62" i="93" s="1"/>
  <c r="EB39" i="93"/>
  <c r="FT39" i="93" s="1"/>
  <c r="EB54" i="93"/>
  <c r="FT54" i="93" s="1"/>
  <c r="EB43" i="93"/>
  <c r="FT43" i="93" s="1"/>
  <c r="EB56" i="93"/>
  <c r="FT56" i="93" s="1"/>
  <c r="EB31" i="93"/>
  <c r="FT31" i="93" s="1"/>
  <c r="EB58" i="93"/>
  <c r="FT58" i="93" s="1"/>
  <c r="DL6" i="93"/>
  <c r="FD6" i="93" s="1"/>
  <c r="DL13" i="93"/>
  <c r="FD13" i="93" s="1"/>
  <c r="DL16" i="93"/>
  <c r="FD16" i="93" s="1"/>
  <c r="DL10" i="93"/>
  <c r="FD10" i="93" s="1"/>
  <c r="DL17" i="93"/>
  <c r="FD17" i="93" s="1"/>
  <c r="DL14" i="93"/>
  <c r="FD14" i="93" s="1"/>
  <c r="DL18" i="93"/>
  <c r="FD18" i="93" s="1"/>
  <c r="DL15" i="93"/>
  <c r="FD15" i="93" s="1"/>
  <c r="DL5" i="93"/>
  <c r="FD5" i="93" s="1"/>
  <c r="DL9" i="93"/>
  <c r="FD9" i="93" s="1"/>
  <c r="DL11" i="93"/>
  <c r="FD11" i="93" s="1"/>
  <c r="DL8" i="93"/>
  <c r="FD8" i="93" s="1"/>
  <c r="DL12" i="93"/>
  <c r="FD12" i="93" s="1"/>
  <c r="DL7" i="93"/>
  <c r="FD7" i="93" s="1"/>
  <c r="DL36" i="93"/>
  <c r="FD36" i="93" s="1"/>
  <c r="DL51" i="93"/>
  <c r="FD51" i="93" s="1"/>
  <c r="DL25" i="93"/>
  <c r="FD25" i="93" s="1"/>
  <c r="DL39" i="93"/>
  <c r="FD39" i="93" s="1"/>
  <c r="DL54" i="93"/>
  <c r="FD54" i="93" s="1"/>
  <c r="DL26" i="93"/>
  <c r="FD26" i="93" s="1"/>
  <c r="DL44" i="93"/>
  <c r="FD44" i="93" s="1"/>
  <c r="DL56" i="93"/>
  <c r="FD56" i="93" s="1"/>
  <c r="DL28" i="93"/>
  <c r="FD28" i="93" s="1"/>
  <c r="DL47" i="93"/>
  <c r="FD47" i="93" s="1"/>
  <c r="DL46" i="93"/>
  <c r="FD46" i="93" s="1"/>
  <c r="DL20" i="93"/>
  <c r="FD20" i="93" s="1"/>
  <c r="DL29" i="93"/>
  <c r="FD29" i="93" s="1"/>
  <c r="DL59" i="93"/>
  <c r="FD59" i="93" s="1"/>
  <c r="DL32" i="93"/>
  <c r="FD32" i="93" s="1"/>
  <c r="DL53" i="93"/>
  <c r="FD53" i="93" s="1"/>
  <c r="DL64" i="93"/>
  <c r="FD64" i="93" s="1"/>
  <c r="DL40" i="93"/>
  <c r="FD40" i="93" s="1"/>
  <c r="DL55" i="93"/>
  <c r="FD55" i="93" s="1"/>
  <c r="DL19" i="93"/>
  <c r="FD19" i="93" s="1"/>
  <c r="DL34" i="93"/>
  <c r="FD34" i="93" s="1"/>
  <c r="DL48" i="93"/>
  <c r="FD48" i="93" s="1"/>
  <c r="DL58" i="93"/>
  <c r="FD58" i="93" s="1"/>
  <c r="DL24" i="93"/>
  <c r="FD24" i="93" s="1"/>
  <c r="DL35" i="93"/>
  <c r="FD35" i="93" s="1"/>
  <c r="DL45" i="93"/>
  <c r="FD45" i="93" s="1"/>
  <c r="DL38" i="93"/>
  <c r="FD38" i="93" s="1"/>
  <c r="DL61" i="93"/>
  <c r="FD61" i="93" s="1"/>
  <c r="DL62" i="93"/>
  <c r="FD62" i="93" s="1"/>
  <c r="DL37" i="93"/>
  <c r="FD37" i="93" s="1"/>
  <c r="DL63" i="93"/>
  <c r="FD63" i="93" s="1"/>
  <c r="DL23" i="93"/>
  <c r="FD23" i="93" s="1"/>
  <c r="DL42" i="93"/>
  <c r="FD42" i="93" s="1"/>
  <c r="DL57" i="93"/>
  <c r="FD57" i="93" s="1"/>
  <c r="DL60" i="93"/>
  <c r="FD60" i="93" s="1"/>
  <c r="DL30" i="93"/>
  <c r="FD30" i="93" s="1"/>
  <c r="DL50" i="93"/>
  <c r="FD50" i="93" s="1"/>
  <c r="DL52" i="93"/>
  <c r="FD52" i="93" s="1"/>
  <c r="DL33" i="93"/>
  <c r="FD33" i="93" s="1"/>
  <c r="DL49" i="93"/>
  <c r="FD49" i="93" s="1"/>
  <c r="DL21" i="93"/>
  <c r="FD21" i="93" s="1"/>
  <c r="DL43" i="93"/>
  <c r="FD43" i="93" s="1"/>
  <c r="DL27" i="93"/>
  <c r="FD27" i="93" s="1"/>
  <c r="DL22" i="93"/>
  <c r="FD22" i="93" s="1"/>
  <c r="DL41" i="93"/>
  <c r="FD41" i="93" s="1"/>
  <c r="DL31" i="93"/>
  <c r="FD31" i="93" s="1"/>
  <c r="EK6" i="93"/>
  <c r="GC6" i="93" s="1"/>
  <c r="EK7" i="93"/>
  <c r="GC7" i="93" s="1"/>
  <c r="EK5" i="93"/>
  <c r="GC5" i="93" s="1"/>
  <c r="EK21" i="93"/>
  <c r="GC21" i="93" s="1"/>
  <c r="EK11" i="93"/>
  <c r="GC11" i="93" s="1"/>
  <c r="EK22" i="93"/>
  <c r="GC22" i="93" s="1"/>
  <c r="EK28" i="93"/>
  <c r="GC28" i="93" s="1"/>
  <c r="EK29" i="93"/>
  <c r="GC29" i="93" s="1"/>
  <c r="EK16" i="93"/>
  <c r="GC16" i="93" s="1"/>
  <c r="EK24" i="93"/>
  <c r="GC24" i="93" s="1"/>
  <c r="EK17" i="93"/>
  <c r="GC17" i="93" s="1"/>
  <c r="EK26" i="93"/>
  <c r="GC26" i="93" s="1"/>
  <c r="EK27" i="93"/>
  <c r="GC27" i="93" s="1"/>
  <c r="EK20" i="93"/>
  <c r="GC20" i="93" s="1"/>
  <c r="EK34" i="93"/>
  <c r="GC34" i="93" s="1"/>
  <c r="EK15" i="93"/>
  <c r="GC15" i="93" s="1"/>
  <c r="EK32" i="93"/>
  <c r="GC32" i="93" s="1"/>
  <c r="EK23" i="93"/>
  <c r="GC23" i="93" s="1"/>
  <c r="EK12" i="93"/>
  <c r="GC12" i="93" s="1"/>
  <c r="EK10" i="93"/>
  <c r="GC10" i="93" s="1"/>
  <c r="EK13" i="93"/>
  <c r="GC13" i="93" s="1"/>
  <c r="EK14" i="93"/>
  <c r="GC14" i="93" s="1"/>
  <c r="EK25" i="93"/>
  <c r="GC25" i="93" s="1"/>
  <c r="EK18" i="93"/>
  <c r="GC18" i="93" s="1"/>
  <c r="EK33" i="93"/>
  <c r="GC33" i="93" s="1"/>
  <c r="EK31" i="93"/>
  <c r="GC31" i="93" s="1"/>
  <c r="EK19" i="93"/>
  <c r="GC19" i="93" s="1"/>
  <c r="EK8" i="93"/>
  <c r="GC8" i="93" s="1"/>
  <c r="EK9" i="93"/>
  <c r="GC9" i="93" s="1"/>
  <c r="EK30" i="93"/>
  <c r="GC30" i="93" s="1"/>
  <c r="EK35" i="93"/>
  <c r="GC35" i="93" s="1"/>
  <c r="EK46" i="93"/>
  <c r="GC46" i="93" s="1"/>
  <c r="EK36" i="93"/>
  <c r="GC36" i="93" s="1"/>
  <c r="EK50" i="93"/>
  <c r="GC50" i="93" s="1"/>
  <c r="EK38" i="93"/>
  <c r="GC38" i="93" s="1"/>
  <c r="EK52" i="93"/>
  <c r="GC52" i="93" s="1"/>
  <c r="EK39" i="93"/>
  <c r="GC39" i="93" s="1"/>
  <c r="EK62" i="93"/>
  <c r="GC62" i="93" s="1"/>
  <c r="EK59" i="93"/>
  <c r="GC59" i="93" s="1"/>
  <c r="EK54" i="93"/>
  <c r="GC54" i="93" s="1"/>
  <c r="EK40" i="93"/>
  <c r="GC40" i="93" s="1"/>
  <c r="EK57" i="93"/>
  <c r="GC57" i="93" s="1"/>
  <c r="EK58" i="93"/>
  <c r="GC58" i="93" s="1"/>
  <c r="EK37" i="93"/>
  <c r="GC37" i="93" s="1"/>
  <c r="EK60" i="93"/>
  <c r="GC60" i="93" s="1"/>
  <c r="EK49" i="93"/>
  <c r="GC49" i="93" s="1"/>
  <c r="EK55" i="93"/>
  <c r="GC55" i="93" s="1"/>
  <c r="EK43" i="93"/>
  <c r="GC43" i="93" s="1"/>
  <c r="EK42" i="93"/>
  <c r="GC42" i="93" s="1"/>
  <c r="EK41" i="93"/>
  <c r="GC41" i="93" s="1"/>
  <c r="EK56" i="93"/>
  <c r="GC56" i="93" s="1"/>
  <c r="EK45" i="93"/>
  <c r="GC45" i="93" s="1"/>
  <c r="EK51" i="93"/>
  <c r="GC51" i="93" s="1"/>
  <c r="EK47" i="93"/>
  <c r="GC47" i="93" s="1"/>
  <c r="EK53" i="93"/>
  <c r="GC53" i="93" s="1"/>
  <c r="EK44" i="93"/>
  <c r="GC44" i="93" s="1"/>
  <c r="EK63" i="93"/>
  <c r="GC63" i="93" s="1"/>
  <c r="EK48" i="93"/>
  <c r="GC48" i="93" s="1"/>
  <c r="EK61" i="93"/>
  <c r="GC61" i="93" s="1"/>
  <c r="EK64" i="93"/>
  <c r="GC64" i="93" s="1"/>
  <c r="CW7" i="93"/>
  <c r="EO7" i="93" s="1"/>
  <c r="CW22" i="93"/>
  <c r="EO22" i="93" s="1"/>
  <c r="CW19" i="93"/>
  <c r="EO19" i="93" s="1"/>
  <c r="CW25" i="93"/>
  <c r="EO25" i="93" s="1"/>
  <c r="CW14" i="93"/>
  <c r="EO14" i="93" s="1"/>
  <c r="CW37" i="93"/>
  <c r="EO37" i="93" s="1"/>
  <c r="CW28" i="93"/>
  <c r="EO28" i="93" s="1"/>
  <c r="CW49" i="93"/>
  <c r="EO49" i="93" s="1"/>
  <c r="CW46" i="93"/>
  <c r="EO46" i="93" s="1"/>
  <c r="CW52" i="93"/>
  <c r="EO52" i="93" s="1"/>
  <c r="CW60" i="93"/>
  <c r="EO60" i="93" s="1"/>
  <c r="CW38" i="93"/>
  <c r="EO38" i="93" s="1"/>
  <c r="CW55" i="93"/>
  <c r="EO55" i="93" s="1"/>
  <c r="CW63" i="93"/>
  <c r="EO63" i="93" s="1"/>
  <c r="CW5" i="93"/>
  <c r="EO5" i="93" s="1"/>
  <c r="CW6" i="93"/>
  <c r="EO6" i="93" s="1"/>
  <c r="CW23" i="93"/>
  <c r="EO23" i="93" s="1"/>
  <c r="CW47" i="93"/>
  <c r="EO47" i="93" s="1"/>
  <c r="CW58" i="93"/>
  <c r="EO58" i="93" s="1"/>
  <c r="CW11" i="93"/>
  <c r="EO11" i="93" s="1"/>
  <c r="CW16" i="93"/>
  <c r="EO16" i="93" s="1"/>
  <c r="CW24" i="93"/>
  <c r="EO24" i="93" s="1"/>
  <c r="CW17" i="93"/>
  <c r="EO17" i="93" s="1"/>
  <c r="CW27" i="93"/>
  <c r="EO27" i="93" s="1"/>
  <c r="CW10" i="93"/>
  <c r="EO10" i="93" s="1"/>
  <c r="CW39" i="93"/>
  <c r="EO39" i="93" s="1"/>
  <c r="CW43" i="93"/>
  <c r="EO43" i="93" s="1"/>
  <c r="CW30" i="93"/>
  <c r="EO30" i="93" s="1"/>
  <c r="CW48" i="93"/>
  <c r="EO48" i="93" s="1"/>
  <c r="CW54" i="93"/>
  <c r="EO54" i="93" s="1"/>
  <c r="CW62" i="93"/>
  <c r="EO62" i="93" s="1"/>
  <c r="CW40" i="93"/>
  <c r="EO40" i="93" s="1"/>
  <c r="CW57" i="93"/>
  <c r="EO57" i="93" s="1"/>
  <c r="CW32" i="93"/>
  <c r="EO32" i="93" s="1"/>
  <c r="CW21" i="93"/>
  <c r="EO21" i="93" s="1"/>
  <c r="CW26" i="93"/>
  <c r="EO26" i="93" s="1"/>
  <c r="CW36" i="93"/>
  <c r="EO36" i="93" s="1"/>
  <c r="CW9" i="93"/>
  <c r="EO9" i="93" s="1"/>
  <c r="CW42" i="93"/>
  <c r="EO42" i="93" s="1"/>
  <c r="CW12" i="93"/>
  <c r="EO12" i="93" s="1"/>
  <c r="CW18" i="93"/>
  <c r="EO18" i="93" s="1"/>
  <c r="CW8" i="93"/>
  <c r="EO8" i="93" s="1"/>
  <c r="CW15" i="93"/>
  <c r="EO15" i="93" s="1"/>
  <c r="CW29" i="93"/>
  <c r="EO29" i="93" s="1"/>
  <c r="CW33" i="93"/>
  <c r="EO33" i="93" s="1"/>
  <c r="CW41" i="93"/>
  <c r="EO41" i="93" s="1"/>
  <c r="CW45" i="93"/>
  <c r="EO45" i="93" s="1"/>
  <c r="CW31" i="93"/>
  <c r="EO31" i="93" s="1"/>
  <c r="CW50" i="93"/>
  <c r="EO50" i="93" s="1"/>
  <c r="CW56" i="93"/>
  <c r="EO56" i="93" s="1"/>
  <c r="CW64" i="93"/>
  <c r="EO64" i="93" s="1"/>
  <c r="CW51" i="93"/>
  <c r="EO51" i="93" s="1"/>
  <c r="CW59" i="93"/>
  <c r="EO59" i="93" s="1"/>
  <c r="CW34" i="93"/>
  <c r="EO34" i="93" s="1"/>
  <c r="CW20" i="93"/>
  <c r="EO20" i="93" s="1"/>
  <c r="CW35" i="93"/>
  <c r="EO35" i="93" s="1"/>
  <c r="CW44" i="93"/>
  <c r="EO44" i="93" s="1"/>
  <c r="CW53" i="93"/>
  <c r="EO53" i="93" s="1"/>
  <c r="CW13" i="93"/>
  <c r="EO13" i="93" s="1"/>
  <c r="CW61" i="93"/>
  <c r="EO61" i="93" s="1"/>
  <c r="DW6" i="93"/>
  <c r="FO6" i="93" s="1"/>
  <c r="DW17" i="93"/>
  <c r="FO17" i="93" s="1"/>
  <c r="DW20" i="93"/>
  <c r="FO20" i="93" s="1"/>
  <c r="DW13" i="93"/>
  <c r="FO13" i="93" s="1"/>
  <c r="DW28" i="93"/>
  <c r="FO28" i="93" s="1"/>
  <c r="DW11" i="93"/>
  <c r="FO11" i="93" s="1"/>
  <c r="DW18" i="93"/>
  <c r="FO18" i="93" s="1"/>
  <c r="DW23" i="93"/>
  <c r="FO23" i="93" s="1"/>
  <c r="DW25" i="93"/>
  <c r="FO25" i="93" s="1"/>
  <c r="DW7" i="93"/>
  <c r="FO7" i="93" s="1"/>
  <c r="DW14" i="93"/>
  <c r="FO14" i="93" s="1"/>
  <c r="DW8" i="93"/>
  <c r="FO8" i="93" s="1"/>
  <c r="DW22" i="93"/>
  <c r="FO22" i="93" s="1"/>
  <c r="DW24" i="93"/>
  <c r="FO24" i="93" s="1"/>
  <c r="DW12" i="93"/>
  <c r="FO12" i="93" s="1"/>
  <c r="DW19" i="93"/>
  <c r="FO19" i="93" s="1"/>
  <c r="DW21" i="93"/>
  <c r="FO21" i="93" s="1"/>
  <c r="DW9" i="93"/>
  <c r="FO9" i="93" s="1"/>
  <c r="DW5" i="93"/>
  <c r="FO5" i="93" s="1"/>
  <c r="DW15" i="93"/>
  <c r="FO15" i="93" s="1"/>
  <c r="DW29" i="93"/>
  <c r="FO29" i="93" s="1"/>
  <c r="DW16" i="93"/>
  <c r="FO16" i="93" s="1"/>
  <c r="DW26" i="93"/>
  <c r="FO26" i="93" s="1"/>
  <c r="DW10" i="93"/>
  <c r="FO10" i="93" s="1"/>
  <c r="DW27" i="93"/>
  <c r="FO27" i="93" s="1"/>
  <c r="DW30" i="93"/>
  <c r="FO30" i="93" s="1"/>
  <c r="DW57" i="93"/>
  <c r="FO57" i="93" s="1"/>
  <c r="DW53" i="93"/>
  <c r="FO53" i="93" s="1"/>
  <c r="DW48" i="93"/>
  <c r="FO48" i="93" s="1"/>
  <c r="DW39" i="93"/>
  <c r="FO39" i="93" s="1"/>
  <c r="DW47" i="93"/>
  <c r="FO47" i="93" s="1"/>
  <c r="DW41" i="93"/>
  <c r="FO41" i="93" s="1"/>
  <c r="DW35" i="93"/>
  <c r="FO35" i="93" s="1"/>
  <c r="DW52" i="93"/>
  <c r="FO52" i="93" s="1"/>
  <c r="DW49" i="93"/>
  <c r="FO49" i="93" s="1"/>
  <c r="DW38" i="93"/>
  <c r="FO38" i="93" s="1"/>
  <c r="DW33" i="93"/>
  <c r="FO33" i="93" s="1"/>
  <c r="DW37" i="93"/>
  <c r="FO37" i="93" s="1"/>
  <c r="DW60" i="93"/>
  <c r="FO60" i="93" s="1"/>
  <c r="DW56" i="93"/>
  <c r="FO56" i="93" s="1"/>
  <c r="DW51" i="93"/>
  <c r="FO51" i="93" s="1"/>
  <c r="DW64" i="93"/>
  <c r="FO64" i="93" s="1"/>
  <c r="DW50" i="93"/>
  <c r="FO50" i="93" s="1"/>
  <c r="DW59" i="93"/>
  <c r="FO59" i="93" s="1"/>
  <c r="DW31" i="93"/>
  <c r="FO31" i="93" s="1"/>
  <c r="DW42" i="93"/>
  <c r="FO42" i="93" s="1"/>
  <c r="DW55" i="93"/>
  <c r="FO55" i="93" s="1"/>
  <c r="DW36" i="93"/>
  <c r="FO36" i="93" s="1"/>
  <c r="DW46" i="93"/>
  <c r="FO46" i="93" s="1"/>
  <c r="DW61" i="93"/>
  <c r="FO61" i="93" s="1"/>
  <c r="DW45" i="93"/>
  <c r="FO45" i="93" s="1"/>
  <c r="DW34" i="93"/>
  <c r="FO34" i="93" s="1"/>
  <c r="DW58" i="93"/>
  <c r="FO58" i="93" s="1"/>
  <c r="DW62" i="93"/>
  <c r="FO62" i="93" s="1"/>
  <c r="DW44" i="93"/>
  <c r="FO44" i="93" s="1"/>
  <c r="DW43" i="93"/>
  <c r="FO43" i="93" s="1"/>
  <c r="DW32" i="93"/>
  <c r="FO32" i="93" s="1"/>
  <c r="DW63" i="93"/>
  <c r="FO63" i="93" s="1"/>
  <c r="DW40" i="93"/>
  <c r="FO40" i="93" s="1"/>
  <c r="DW54" i="93"/>
  <c r="FO54" i="93" s="1"/>
  <c r="DG6" i="93"/>
  <c r="EY6" i="93" s="1"/>
  <c r="DG11" i="93"/>
  <c r="EY11" i="93" s="1"/>
  <c r="DG14" i="93"/>
  <c r="EY14" i="93" s="1"/>
  <c r="DG13" i="93"/>
  <c r="EY13" i="93" s="1"/>
  <c r="DG10" i="93"/>
  <c r="EY10" i="93" s="1"/>
  <c r="DG9" i="93"/>
  <c r="EY9" i="93" s="1"/>
  <c r="DG5" i="93"/>
  <c r="EY5" i="93" s="1"/>
  <c r="DG7" i="93"/>
  <c r="EY7" i="93" s="1"/>
  <c r="DG12" i="93"/>
  <c r="EY12" i="93" s="1"/>
  <c r="DG8" i="93"/>
  <c r="EY8" i="93" s="1"/>
  <c r="DG21" i="93"/>
  <c r="EY21" i="93" s="1"/>
  <c r="DG51" i="93"/>
  <c r="EY51" i="93" s="1"/>
  <c r="DG48" i="93"/>
  <c r="EY48" i="93" s="1"/>
  <c r="DG61" i="93"/>
  <c r="EY61" i="93" s="1"/>
  <c r="DG43" i="93"/>
  <c r="EY43" i="93" s="1"/>
  <c r="DG49" i="93"/>
  <c r="EY49" i="93" s="1"/>
  <c r="DG27" i="93"/>
  <c r="EY27" i="93" s="1"/>
  <c r="DG36" i="93"/>
  <c r="EY36" i="93" s="1"/>
  <c r="DG55" i="93"/>
  <c r="EY55" i="93" s="1"/>
  <c r="DG26" i="93"/>
  <c r="EY26" i="93" s="1"/>
  <c r="DG57" i="93"/>
  <c r="EY57" i="93" s="1"/>
  <c r="DG56" i="93"/>
  <c r="EY56" i="93" s="1"/>
  <c r="DG53" i="93"/>
  <c r="EY53" i="93" s="1"/>
  <c r="DG15" i="93"/>
  <c r="EY15" i="93" s="1"/>
  <c r="DG24" i="93"/>
  <c r="EY24" i="93" s="1"/>
  <c r="DG32" i="93"/>
  <c r="EY32" i="93" s="1"/>
  <c r="DG31" i="93"/>
  <c r="EY31" i="93" s="1"/>
  <c r="DG45" i="93"/>
  <c r="EY45" i="93" s="1"/>
  <c r="DG52" i="93"/>
  <c r="EY52" i="93" s="1"/>
  <c r="DG58" i="93"/>
  <c r="EY58" i="93" s="1"/>
  <c r="DG64" i="93"/>
  <c r="EY64" i="93" s="1"/>
  <c r="DG35" i="93"/>
  <c r="EY35" i="93" s="1"/>
  <c r="DG33" i="93"/>
  <c r="EY33" i="93" s="1"/>
  <c r="DG37" i="93"/>
  <c r="EY37" i="93" s="1"/>
  <c r="DG41" i="93"/>
  <c r="EY41" i="93" s="1"/>
  <c r="DG28" i="93"/>
  <c r="EY28" i="93" s="1"/>
  <c r="DG23" i="93"/>
  <c r="EY23" i="93" s="1"/>
  <c r="DG19" i="93"/>
  <c r="EY19" i="93" s="1"/>
  <c r="DG38" i="93"/>
  <c r="EY38" i="93" s="1"/>
  <c r="DG62" i="93"/>
  <c r="EY62" i="93" s="1"/>
  <c r="DG30" i="93"/>
  <c r="EY30" i="93" s="1"/>
  <c r="DG29" i="93"/>
  <c r="EY29" i="93" s="1"/>
  <c r="DG17" i="93"/>
  <c r="EY17" i="93" s="1"/>
  <c r="DG47" i="93"/>
  <c r="EY47" i="93" s="1"/>
  <c r="DG40" i="93"/>
  <c r="EY40" i="93" s="1"/>
  <c r="DG60" i="93"/>
  <c r="EY60" i="93" s="1"/>
  <c r="DG44" i="93"/>
  <c r="EY44" i="93" s="1"/>
  <c r="DG20" i="93"/>
  <c r="EY20" i="93" s="1"/>
  <c r="DG46" i="93"/>
  <c r="EY46" i="93" s="1"/>
  <c r="DG59" i="93"/>
  <c r="EY59" i="93" s="1"/>
  <c r="DG39" i="93"/>
  <c r="EY39" i="93" s="1"/>
  <c r="DG63" i="93"/>
  <c r="EY63" i="93" s="1"/>
  <c r="DG50" i="93"/>
  <c r="EY50" i="93" s="1"/>
  <c r="DG16" i="93"/>
  <c r="EY16" i="93" s="1"/>
  <c r="DG22" i="93"/>
  <c r="EY22" i="93" s="1"/>
  <c r="DG34" i="93"/>
  <c r="EY34" i="93" s="1"/>
  <c r="DG42" i="93"/>
  <c r="EY42" i="93" s="1"/>
  <c r="DG54" i="93"/>
  <c r="EY54" i="93" s="1"/>
  <c r="DG25" i="93"/>
  <c r="EY25" i="93" s="1"/>
  <c r="DG18" i="93"/>
  <c r="EY18" i="93" s="1"/>
  <c r="DQ6" i="93"/>
  <c r="FI6" i="93" s="1"/>
  <c r="DQ16" i="93"/>
  <c r="FI16" i="93" s="1"/>
  <c r="DQ18" i="93"/>
  <c r="FI18" i="93" s="1"/>
  <c r="DQ12" i="93"/>
  <c r="FI12" i="93" s="1"/>
  <c r="DQ10" i="93"/>
  <c r="FI10" i="93" s="1"/>
  <c r="DQ13" i="93"/>
  <c r="FI13" i="93" s="1"/>
  <c r="DQ7" i="93"/>
  <c r="FI7" i="93" s="1"/>
  <c r="DQ14" i="93"/>
  <c r="FI14" i="93" s="1"/>
  <c r="DQ19" i="93"/>
  <c r="FI19" i="93" s="1"/>
  <c r="DQ15" i="93"/>
  <c r="FI15" i="93" s="1"/>
  <c r="DQ17" i="93"/>
  <c r="FI17" i="93" s="1"/>
  <c r="DQ9" i="93"/>
  <c r="FI9" i="93" s="1"/>
  <c r="DQ8" i="93"/>
  <c r="FI8" i="93" s="1"/>
  <c r="DQ11" i="93"/>
  <c r="FI11" i="93" s="1"/>
  <c r="DQ23" i="93"/>
  <c r="FI23" i="93" s="1"/>
  <c r="DQ22" i="93"/>
  <c r="FI22" i="93" s="1"/>
  <c r="DQ20" i="93"/>
  <c r="FI20" i="93" s="1"/>
  <c r="DQ5" i="93"/>
  <c r="FI5" i="93" s="1"/>
  <c r="DQ21" i="93"/>
  <c r="FI21" i="93" s="1"/>
  <c r="DQ27" i="93"/>
  <c r="FI27" i="93" s="1"/>
  <c r="DQ46" i="93"/>
  <c r="FI46" i="93" s="1"/>
  <c r="DQ53" i="93"/>
  <c r="FI53" i="93" s="1"/>
  <c r="DQ26" i="93"/>
  <c r="FI26" i="93" s="1"/>
  <c r="DQ60" i="93"/>
  <c r="FI60" i="93" s="1"/>
  <c r="DQ39" i="93"/>
  <c r="FI39" i="93" s="1"/>
  <c r="DQ54" i="93"/>
  <c r="FI54" i="93" s="1"/>
  <c r="DQ30" i="93"/>
  <c r="FI30" i="93" s="1"/>
  <c r="DQ41" i="93"/>
  <c r="FI41" i="93" s="1"/>
  <c r="DQ56" i="93"/>
  <c r="FI56" i="93" s="1"/>
  <c r="DQ31" i="93"/>
  <c r="FI31" i="93" s="1"/>
  <c r="DQ35" i="93"/>
  <c r="FI35" i="93" s="1"/>
  <c r="DQ50" i="93"/>
  <c r="FI50" i="93" s="1"/>
  <c r="DQ61" i="93"/>
  <c r="FI61" i="93" s="1"/>
  <c r="DQ49" i="93"/>
  <c r="FI49" i="93" s="1"/>
  <c r="DQ55" i="93"/>
  <c r="FI55" i="93" s="1"/>
  <c r="DQ43" i="93"/>
  <c r="FI43" i="93" s="1"/>
  <c r="DQ62" i="93"/>
  <c r="FI62" i="93" s="1"/>
  <c r="DQ24" i="93"/>
  <c r="FI24" i="93" s="1"/>
  <c r="DQ45" i="93"/>
  <c r="FI45" i="93" s="1"/>
  <c r="DQ64" i="93"/>
  <c r="FI64" i="93" s="1"/>
  <c r="DQ28" i="93"/>
  <c r="FI28" i="93" s="1"/>
  <c r="DQ58" i="93"/>
  <c r="FI58" i="93" s="1"/>
  <c r="DQ32" i="93"/>
  <c r="FI32" i="93" s="1"/>
  <c r="DQ48" i="93"/>
  <c r="FI48" i="93" s="1"/>
  <c r="DQ63" i="93"/>
  <c r="FI63" i="93" s="1"/>
  <c r="DQ29" i="93"/>
  <c r="FI29" i="93" s="1"/>
  <c r="DQ38" i="93"/>
  <c r="FI38" i="93" s="1"/>
  <c r="DQ25" i="93"/>
  <c r="FI25" i="93" s="1"/>
  <c r="DQ44" i="93"/>
  <c r="FI44" i="93" s="1"/>
  <c r="DQ51" i="93"/>
  <c r="FI51" i="93" s="1"/>
  <c r="DQ47" i="93"/>
  <c r="FI47" i="93" s="1"/>
  <c r="DQ36" i="93"/>
  <c r="FI36" i="93" s="1"/>
  <c r="DQ37" i="93"/>
  <c r="FI37" i="93" s="1"/>
  <c r="DQ52" i="93"/>
  <c r="FI52" i="93" s="1"/>
  <c r="DQ40" i="93"/>
  <c r="FI40" i="93" s="1"/>
  <c r="DQ34" i="93"/>
  <c r="FI34" i="93" s="1"/>
  <c r="DQ57" i="93"/>
  <c r="FI57" i="93" s="1"/>
  <c r="DQ33" i="93"/>
  <c r="FI33" i="93" s="1"/>
  <c r="DQ42" i="93"/>
  <c r="FI42" i="93" s="1"/>
  <c r="DQ59" i="93"/>
  <c r="FI59" i="93" s="1"/>
  <c r="ED25" i="93"/>
  <c r="FV25" i="93" s="1"/>
  <c r="ED9" i="93"/>
  <c r="FV9" i="93" s="1"/>
  <c r="ED10" i="93"/>
  <c r="FV10" i="93" s="1"/>
  <c r="ED26" i="93"/>
  <c r="FV26" i="93" s="1"/>
  <c r="ED21" i="93"/>
  <c r="FV21" i="93" s="1"/>
  <c r="ED24" i="93"/>
  <c r="FV24" i="93" s="1"/>
  <c r="ED17" i="93"/>
  <c r="FV17" i="93" s="1"/>
  <c r="ED11" i="93"/>
  <c r="FV11" i="93" s="1"/>
  <c r="ED22" i="93"/>
  <c r="FV22" i="93" s="1"/>
  <c r="ED13" i="93"/>
  <c r="FV13" i="93" s="1"/>
  <c r="ED20" i="93"/>
  <c r="FV20" i="93" s="1"/>
  <c r="ED23" i="93"/>
  <c r="FV23" i="93" s="1"/>
  <c r="ED18" i="93"/>
  <c r="FV18" i="93" s="1"/>
  <c r="ED5" i="93"/>
  <c r="FV5" i="93" s="1"/>
  <c r="ED15" i="93"/>
  <c r="FV15" i="93" s="1"/>
  <c r="ED16" i="93"/>
  <c r="FV16" i="93" s="1"/>
  <c r="ED28" i="93"/>
  <c r="FV28" i="93" s="1"/>
  <c r="ED27" i="93"/>
  <c r="FV27" i="93" s="1"/>
  <c r="ED8" i="93"/>
  <c r="FV8" i="93" s="1"/>
  <c r="ED6" i="93"/>
  <c r="FV6" i="93" s="1"/>
  <c r="ED14" i="93"/>
  <c r="FV14" i="93" s="1"/>
  <c r="ED7" i="93"/>
  <c r="FV7" i="93" s="1"/>
  <c r="ED19" i="93"/>
  <c r="FV19" i="93" s="1"/>
  <c r="ED29" i="93"/>
  <c r="FV29" i="93" s="1"/>
  <c r="ED12" i="93"/>
  <c r="FV12" i="93" s="1"/>
  <c r="ED32" i="93"/>
  <c r="FV32" i="93" s="1"/>
  <c r="ED64" i="93"/>
  <c r="FV64" i="93" s="1"/>
  <c r="ED41" i="93"/>
  <c r="FV41" i="93" s="1"/>
  <c r="ED62" i="93"/>
  <c r="FV62" i="93" s="1"/>
  <c r="ED52" i="93"/>
  <c r="FV52" i="93" s="1"/>
  <c r="ED58" i="93"/>
  <c r="FV58" i="93" s="1"/>
  <c r="ED42" i="93"/>
  <c r="FV42" i="93" s="1"/>
  <c r="ED30" i="93"/>
  <c r="FV30" i="93" s="1"/>
  <c r="ED49" i="93"/>
  <c r="FV49" i="93" s="1"/>
  <c r="ED56" i="93"/>
  <c r="FV56" i="93" s="1"/>
  <c r="ED37" i="93"/>
  <c r="FV37" i="93" s="1"/>
  <c r="ED44" i="93"/>
  <c r="FV44" i="93" s="1"/>
  <c r="ED38" i="93"/>
  <c r="FV38" i="93" s="1"/>
  <c r="ED53" i="93"/>
  <c r="FV53" i="93" s="1"/>
  <c r="ED34" i="93"/>
  <c r="FV34" i="93" s="1"/>
  <c r="ED50" i="93"/>
  <c r="FV50" i="93" s="1"/>
  <c r="ED48" i="93"/>
  <c r="FV48" i="93" s="1"/>
  <c r="ED57" i="93"/>
  <c r="FV57" i="93" s="1"/>
  <c r="ED60" i="93"/>
  <c r="FV60" i="93" s="1"/>
  <c r="ED36" i="93"/>
  <c r="FV36" i="93" s="1"/>
  <c r="ED59" i="93"/>
  <c r="FV59" i="93" s="1"/>
  <c r="ED33" i="93"/>
  <c r="FV33" i="93" s="1"/>
  <c r="ED39" i="93"/>
  <c r="FV39" i="93" s="1"/>
  <c r="ED43" i="93"/>
  <c r="FV43" i="93" s="1"/>
  <c r="ED31" i="93"/>
  <c r="FV31" i="93" s="1"/>
  <c r="ED46" i="93"/>
  <c r="FV46" i="93" s="1"/>
  <c r="ED51" i="93"/>
  <c r="FV51" i="93" s="1"/>
  <c r="ED55" i="93"/>
  <c r="FV55" i="93" s="1"/>
  <c r="ED63" i="93"/>
  <c r="FV63" i="93" s="1"/>
  <c r="ED45" i="93"/>
  <c r="FV45" i="93" s="1"/>
  <c r="ED47" i="93"/>
  <c r="FV47" i="93" s="1"/>
  <c r="ED35" i="93"/>
  <c r="FV35" i="93" s="1"/>
  <c r="ED54" i="93"/>
  <c r="FV54" i="93" s="1"/>
  <c r="ED61" i="93"/>
  <c r="FV61" i="93" s="1"/>
  <c r="ED40" i="93"/>
  <c r="FV40" i="93" s="1"/>
  <c r="DN9" i="93"/>
  <c r="FF9" i="93" s="1"/>
  <c r="DN5" i="93"/>
  <c r="FF5" i="93" s="1"/>
  <c r="DN10" i="93"/>
  <c r="FF10" i="93" s="1"/>
  <c r="DN15" i="93"/>
  <c r="FF15" i="93" s="1"/>
  <c r="DN18" i="93"/>
  <c r="FF18" i="93" s="1"/>
  <c r="DN6" i="93"/>
  <c r="FF6" i="93" s="1"/>
  <c r="DN7" i="93"/>
  <c r="FF7" i="93" s="1"/>
  <c r="DN8" i="93"/>
  <c r="FF8" i="93" s="1"/>
  <c r="DN17" i="93"/>
  <c r="FF17" i="93" s="1"/>
  <c r="DN12" i="93"/>
  <c r="FF12" i="93" s="1"/>
  <c r="DN13" i="93"/>
  <c r="FF13" i="93" s="1"/>
  <c r="DN16" i="93"/>
  <c r="FF16" i="93" s="1"/>
  <c r="DN11" i="93"/>
  <c r="FF11" i="93" s="1"/>
  <c r="DN14" i="93"/>
  <c r="FF14" i="93" s="1"/>
  <c r="DN43" i="93"/>
  <c r="FF43" i="93" s="1"/>
  <c r="DN61" i="93"/>
  <c r="FF61" i="93" s="1"/>
  <c r="DN51" i="93"/>
  <c r="FF51" i="93" s="1"/>
  <c r="DN21" i="93"/>
  <c r="FF21" i="93" s="1"/>
  <c r="DN59" i="93"/>
  <c r="FF59" i="93" s="1"/>
  <c r="DN45" i="93"/>
  <c r="FF45" i="93" s="1"/>
  <c r="DN34" i="93"/>
  <c r="FF34" i="93" s="1"/>
  <c r="DN26" i="93"/>
  <c r="FF26" i="93" s="1"/>
  <c r="DN25" i="93"/>
  <c r="FF25" i="93" s="1"/>
  <c r="DN38" i="93"/>
  <c r="FF38" i="93" s="1"/>
  <c r="DN55" i="93"/>
  <c r="FF55" i="93" s="1"/>
  <c r="DN28" i="93"/>
  <c r="FF28" i="93" s="1"/>
  <c r="DN60" i="93"/>
  <c r="FF60" i="93" s="1"/>
  <c r="DN20" i="93"/>
  <c r="FF20" i="93" s="1"/>
  <c r="DN57" i="93"/>
  <c r="FF57" i="93" s="1"/>
  <c r="DN41" i="93"/>
  <c r="FF41" i="93" s="1"/>
  <c r="DN22" i="93"/>
  <c r="FF22" i="93" s="1"/>
  <c r="DN36" i="93"/>
  <c r="FF36" i="93" s="1"/>
  <c r="DN29" i="93"/>
  <c r="FF29" i="93" s="1"/>
  <c r="DN44" i="93"/>
  <c r="FF44" i="93" s="1"/>
  <c r="DN50" i="93"/>
  <c r="FF50" i="93" s="1"/>
  <c r="DN63" i="93"/>
  <c r="FF63" i="93" s="1"/>
  <c r="DN42" i="93"/>
  <c r="FF42" i="93" s="1"/>
  <c r="DN37" i="93"/>
  <c r="FF37" i="93" s="1"/>
  <c r="DN48" i="93"/>
  <c r="FF48" i="93" s="1"/>
  <c r="DN30" i="93"/>
  <c r="FF30" i="93" s="1"/>
  <c r="DN46" i="93"/>
  <c r="FF46" i="93" s="1"/>
  <c r="DN52" i="93"/>
  <c r="FF52" i="93" s="1"/>
  <c r="DN35" i="93"/>
  <c r="FF35" i="93" s="1"/>
  <c r="DN64" i="93"/>
  <c r="FF64" i="93" s="1"/>
  <c r="DN19" i="93"/>
  <c r="FF19" i="93" s="1"/>
  <c r="DN33" i="93"/>
  <c r="FF33" i="93" s="1"/>
  <c r="DN39" i="93"/>
  <c r="FF39" i="93" s="1"/>
  <c r="DN56" i="93"/>
  <c r="FF56" i="93" s="1"/>
  <c r="DN62" i="93"/>
  <c r="FF62" i="93" s="1"/>
  <c r="DN40" i="93"/>
  <c r="FF40" i="93" s="1"/>
  <c r="DN49" i="93"/>
  <c r="FF49" i="93" s="1"/>
  <c r="DN47" i="93"/>
  <c r="FF47" i="93" s="1"/>
  <c r="DN24" i="93"/>
  <c r="FF24" i="93" s="1"/>
  <c r="DN23" i="93"/>
  <c r="FF23" i="93" s="1"/>
  <c r="DN58" i="93"/>
  <c r="FF58" i="93" s="1"/>
  <c r="DN53" i="93"/>
  <c r="FF53" i="93" s="1"/>
  <c r="DN32" i="93"/>
  <c r="FF32" i="93" s="1"/>
  <c r="DN54" i="93"/>
  <c r="FF54" i="93" s="1"/>
  <c r="DN27" i="93"/>
  <c r="FF27" i="93" s="1"/>
  <c r="DN31" i="93"/>
  <c r="FF31" i="93" s="1"/>
  <c r="CX10" i="93"/>
  <c r="EP10" i="93" s="1"/>
  <c r="CX9" i="93"/>
  <c r="EP9" i="93" s="1"/>
  <c r="CX19" i="93"/>
  <c r="EP19" i="93" s="1"/>
  <c r="CX21" i="93"/>
  <c r="EP21" i="93" s="1"/>
  <c r="CX25" i="93"/>
  <c r="EP25" i="93" s="1"/>
  <c r="CX28" i="93"/>
  <c r="EP28" i="93" s="1"/>
  <c r="CX37" i="93"/>
  <c r="EP37" i="93" s="1"/>
  <c r="CX40" i="93"/>
  <c r="EP40" i="93" s="1"/>
  <c r="CX42" i="93"/>
  <c r="EP42" i="93" s="1"/>
  <c r="CX47" i="93"/>
  <c r="EP47" i="93" s="1"/>
  <c r="CX58" i="93"/>
  <c r="EP58" i="93" s="1"/>
  <c r="CX11" i="93"/>
  <c r="EP11" i="93" s="1"/>
  <c r="CX45" i="93"/>
  <c r="EP45" i="93" s="1"/>
  <c r="CX55" i="93"/>
  <c r="EP55" i="93" s="1"/>
  <c r="CX59" i="93"/>
  <c r="EP59" i="93" s="1"/>
  <c r="CX8" i="93"/>
  <c r="EP8" i="93" s="1"/>
  <c r="CX17" i="93"/>
  <c r="EP17" i="93" s="1"/>
  <c r="CX36" i="93"/>
  <c r="EP36" i="93" s="1"/>
  <c r="CX56" i="93"/>
  <c r="EP56" i="93" s="1"/>
  <c r="CX53" i="93"/>
  <c r="EP53" i="93" s="1"/>
  <c r="CX7" i="93"/>
  <c r="EP7" i="93" s="1"/>
  <c r="CX12" i="93"/>
  <c r="EP12" i="93" s="1"/>
  <c r="CX15" i="93"/>
  <c r="EP15" i="93" s="1"/>
  <c r="CX26" i="93"/>
  <c r="EP26" i="93" s="1"/>
  <c r="CX24" i="93"/>
  <c r="EP24" i="93" s="1"/>
  <c r="CX27" i="93"/>
  <c r="EP27" i="93" s="1"/>
  <c r="CX30" i="93"/>
  <c r="EP30" i="93" s="1"/>
  <c r="CX39" i="93"/>
  <c r="EP39" i="93" s="1"/>
  <c r="CX32" i="93"/>
  <c r="EP32" i="93" s="1"/>
  <c r="CX46" i="93"/>
  <c r="EP46" i="93" s="1"/>
  <c r="CX52" i="93"/>
  <c r="EP52" i="93" s="1"/>
  <c r="CX60" i="93"/>
  <c r="EP60" i="93" s="1"/>
  <c r="CX44" i="93"/>
  <c r="EP44" i="93" s="1"/>
  <c r="CX49" i="93"/>
  <c r="EP49" i="93" s="1"/>
  <c r="CX57" i="93"/>
  <c r="EP57" i="93" s="1"/>
  <c r="CX29" i="93"/>
  <c r="EP29" i="93" s="1"/>
  <c r="CX18" i="93"/>
  <c r="EP18" i="93" s="1"/>
  <c r="CX35" i="93"/>
  <c r="EP35" i="93" s="1"/>
  <c r="CX43" i="93"/>
  <c r="EP43" i="93" s="1"/>
  <c r="CX63" i="93"/>
  <c r="EP63" i="93" s="1"/>
  <c r="CX6" i="93"/>
  <c r="EP6" i="93" s="1"/>
  <c r="CX14" i="93"/>
  <c r="EP14" i="93" s="1"/>
  <c r="CX20" i="93"/>
  <c r="EP20" i="93" s="1"/>
  <c r="CX16" i="93"/>
  <c r="EP16" i="93" s="1"/>
  <c r="CX22" i="93"/>
  <c r="EP22" i="93" s="1"/>
  <c r="CX33" i="93"/>
  <c r="EP33" i="93" s="1"/>
  <c r="CX41" i="93"/>
  <c r="EP41" i="93" s="1"/>
  <c r="CX34" i="93"/>
  <c r="EP34" i="93" s="1"/>
  <c r="CX50" i="93"/>
  <c r="EP50" i="93" s="1"/>
  <c r="CX54" i="93"/>
  <c r="EP54" i="93" s="1"/>
  <c r="CX62" i="93"/>
  <c r="EP62" i="93" s="1"/>
  <c r="CX48" i="93"/>
  <c r="EP48" i="93" s="1"/>
  <c r="CX51" i="93"/>
  <c r="EP51" i="93" s="1"/>
  <c r="CX61" i="93"/>
  <c r="EP61" i="93" s="1"/>
  <c r="CX13" i="93"/>
  <c r="EP13" i="93" s="1"/>
  <c r="CX31" i="93"/>
  <c r="EP31" i="93" s="1"/>
  <c r="CX38" i="93"/>
  <c r="EP38" i="93" s="1"/>
  <c r="CX5" i="93"/>
  <c r="EP5" i="93" s="1"/>
  <c r="CX23" i="93"/>
  <c r="EP23" i="93" s="1"/>
  <c r="CX64" i="93"/>
  <c r="EP64" i="93" s="1"/>
  <c r="CW24" i="98"/>
  <c r="CW29" i="98"/>
  <c r="CW30" i="98"/>
  <c r="CW10" i="98"/>
  <c r="CW11" i="98"/>
  <c r="CW12" i="98"/>
  <c r="CW13" i="98"/>
  <c r="ED10" i="100"/>
  <c r="FV10" i="100" s="1"/>
  <c r="EE16" i="100"/>
  <c r="FW16" i="100" s="1"/>
  <c r="EB10" i="100"/>
  <c r="FT10" i="100" s="1"/>
  <c r="CX13" i="98"/>
  <c r="CX12" i="98"/>
  <c r="CX42" i="98"/>
  <c r="CX43" i="98"/>
  <c r="CY15" i="98"/>
  <c r="CY16" i="98"/>
  <c r="CY11" i="98"/>
  <c r="CY10" i="98"/>
  <c r="DN7" i="100"/>
  <c r="FF7" i="100" s="1"/>
  <c r="DN8" i="100"/>
  <c r="FF8" i="100" s="1"/>
  <c r="DN18" i="100"/>
  <c r="FF18" i="100" s="1"/>
  <c r="DN30" i="100"/>
  <c r="FF30" i="100" s="1"/>
  <c r="DN23" i="100"/>
  <c r="FF23" i="100" s="1"/>
  <c r="DN13" i="100"/>
  <c r="FF13" i="100" s="1"/>
  <c r="DN11" i="100"/>
  <c r="FF11" i="100" s="1"/>
  <c r="DN15" i="100"/>
  <c r="FF15" i="100" s="1"/>
  <c r="DN25" i="100"/>
  <c r="FF25" i="100" s="1"/>
  <c r="DN28" i="100"/>
  <c r="FF28" i="100" s="1"/>
  <c r="DN35" i="100"/>
  <c r="FF35" i="100" s="1"/>
  <c r="DN17" i="100"/>
  <c r="FF17" i="100" s="1"/>
  <c r="DN19" i="100"/>
  <c r="FF19" i="100" s="1"/>
  <c r="DN22" i="100"/>
  <c r="FF22" i="100" s="1"/>
  <c r="DN29" i="100"/>
  <c r="FF29" i="100" s="1"/>
  <c r="DN36" i="100"/>
  <c r="FF36" i="100" s="1"/>
  <c r="DN41" i="100"/>
  <c r="FF41" i="100" s="1"/>
  <c r="DN64" i="100"/>
  <c r="FF64" i="100" s="1"/>
  <c r="DN42" i="100"/>
  <c r="FF42" i="100" s="1"/>
  <c r="DN52" i="100"/>
  <c r="FF52" i="100" s="1"/>
  <c r="DN45" i="100"/>
  <c r="FF45" i="100" s="1"/>
  <c r="DN59" i="100"/>
  <c r="FF59" i="100" s="1"/>
  <c r="DN66" i="100"/>
  <c r="FF66" i="100" s="1"/>
  <c r="DN44" i="100"/>
  <c r="FF44" i="100" s="1"/>
  <c r="DN43" i="100"/>
  <c r="FF43" i="100" s="1"/>
  <c r="DN50" i="100"/>
  <c r="FF50" i="100" s="1"/>
  <c r="DN9" i="100"/>
  <c r="FF9" i="100" s="1"/>
  <c r="DN12" i="100"/>
  <c r="FF12" i="100" s="1"/>
  <c r="DN16" i="100"/>
  <c r="FF16" i="100" s="1"/>
  <c r="DN24" i="100"/>
  <c r="FF24" i="100" s="1"/>
  <c r="DN31" i="100"/>
  <c r="FF31" i="100" s="1"/>
  <c r="DN26" i="100"/>
  <c r="FF26" i="100" s="1"/>
  <c r="DN27" i="100"/>
  <c r="FF27" i="100" s="1"/>
  <c r="DN65" i="100"/>
  <c r="FF65" i="100" s="1"/>
  <c r="DN47" i="100"/>
  <c r="FF47" i="100" s="1"/>
  <c r="DN63" i="100"/>
  <c r="FF63" i="100" s="1"/>
  <c r="DN39" i="100"/>
  <c r="FF39" i="100" s="1"/>
  <c r="DN40" i="100"/>
  <c r="FF40" i="100" s="1"/>
  <c r="DN51" i="100"/>
  <c r="FF51" i="100" s="1"/>
  <c r="DN56" i="100"/>
  <c r="FF56" i="100" s="1"/>
  <c r="DN49" i="100"/>
  <c r="FF49" i="100" s="1"/>
  <c r="DN60" i="100"/>
  <c r="FF60" i="100" s="1"/>
  <c r="DN14" i="100"/>
  <c r="FF14" i="100" s="1"/>
  <c r="DN10" i="100"/>
  <c r="FF10" i="100" s="1"/>
  <c r="DN32" i="100"/>
  <c r="FF32" i="100" s="1"/>
  <c r="DN34" i="100"/>
  <c r="FF34" i="100" s="1"/>
  <c r="DN33" i="100"/>
  <c r="FF33" i="100" s="1"/>
  <c r="DN46" i="100"/>
  <c r="FF46" i="100" s="1"/>
  <c r="DN38" i="100"/>
  <c r="FF38" i="100" s="1"/>
  <c r="DN61" i="100"/>
  <c r="FF61" i="100" s="1"/>
  <c r="DN20" i="100"/>
  <c r="FF20" i="100" s="1"/>
  <c r="DN37" i="100"/>
  <c r="FF37" i="100" s="1"/>
  <c r="DN21" i="100"/>
  <c r="FF21" i="100" s="1"/>
  <c r="DN53" i="100"/>
  <c r="FF53" i="100" s="1"/>
  <c r="DN57" i="100"/>
  <c r="FF57" i="100" s="1"/>
  <c r="DN54" i="100"/>
  <c r="FF54" i="100" s="1"/>
  <c r="DN48" i="100"/>
  <c r="FF48" i="100" s="1"/>
  <c r="DN58" i="100"/>
  <c r="FF58" i="100" s="1"/>
  <c r="DN62" i="100"/>
  <c r="FF62" i="100" s="1"/>
  <c r="DN55" i="100"/>
  <c r="FF55" i="100" s="1"/>
  <c r="EB8" i="100"/>
  <c r="FT8" i="100" s="1"/>
  <c r="EB9" i="100"/>
  <c r="FT9" i="100" s="1"/>
  <c r="EB7" i="100"/>
  <c r="FT7" i="100" s="1"/>
  <c r="EB30" i="100"/>
  <c r="FT30" i="100" s="1"/>
  <c r="EB13" i="100"/>
  <c r="FT13" i="100" s="1"/>
  <c r="EB27" i="100"/>
  <c r="FT27" i="100" s="1"/>
  <c r="EB21" i="100"/>
  <c r="FT21" i="100" s="1"/>
  <c r="EB16" i="100"/>
  <c r="FT16" i="100" s="1"/>
  <c r="EB25" i="100"/>
  <c r="FT25" i="100" s="1"/>
  <c r="EB24" i="100"/>
  <c r="FT24" i="100" s="1"/>
  <c r="EB19" i="100"/>
  <c r="FT19" i="100" s="1"/>
  <c r="EB31" i="100"/>
  <c r="FT31" i="100" s="1"/>
  <c r="EB35" i="100"/>
  <c r="FT35" i="100" s="1"/>
  <c r="EB52" i="100"/>
  <c r="FT52" i="100" s="1"/>
  <c r="EB51" i="100"/>
  <c r="FT51" i="100" s="1"/>
  <c r="EB41" i="100"/>
  <c r="FT41" i="100" s="1"/>
  <c r="EB55" i="100"/>
  <c r="FT55" i="100" s="1"/>
  <c r="EB49" i="100"/>
  <c r="FT49" i="100" s="1"/>
  <c r="EB63" i="100"/>
  <c r="FT63" i="100" s="1"/>
  <c r="EB37" i="100"/>
  <c r="FT37" i="100" s="1"/>
  <c r="EB57" i="100"/>
  <c r="FT57" i="100" s="1"/>
  <c r="EB14" i="100"/>
  <c r="FT14" i="100" s="1"/>
  <c r="EB20" i="100"/>
  <c r="FT20" i="100" s="1"/>
  <c r="EB12" i="100"/>
  <c r="FT12" i="100" s="1"/>
  <c r="EB11" i="100"/>
  <c r="FT11" i="100" s="1"/>
  <c r="EB18" i="100"/>
  <c r="FT18" i="100" s="1"/>
  <c r="EB23" i="100"/>
  <c r="FT23" i="100" s="1"/>
  <c r="EB40" i="100"/>
  <c r="FT40" i="100" s="1"/>
  <c r="EB60" i="100"/>
  <c r="FT60" i="100" s="1"/>
  <c r="EB38" i="100"/>
  <c r="FT38" i="100" s="1"/>
  <c r="EB54" i="100"/>
  <c r="FT54" i="100" s="1"/>
  <c r="EB32" i="100"/>
  <c r="FT32" i="100" s="1"/>
  <c r="EB56" i="100"/>
  <c r="FT56" i="100" s="1"/>
  <c r="EB59" i="100"/>
  <c r="FT59" i="100" s="1"/>
  <c r="EB50" i="100"/>
  <c r="FT50" i="100" s="1"/>
  <c r="EB65" i="100"/>
  <c r="FT65" i="100" s="1"/>
  <c r="EB22" i="100"/>
  <c r="FT22" i="100" s="1"/>
  <c r="EB29" i="100"/>
  <c r="FT29" i="100" s="1"/>
  <c r="EB17" i="100"/>
  <c r="FT17" i="100" s="1"/>
  <c r="EB28" i="100"/>
  <c r="FT28" i="100" s="1"/>
  <c r="EB15" i="100"/>
  <c r="FT15" i="100" s="1"/>
  <c r="EB26" i="100"/>
  <c r="FT26" i="100" s="1"/>
  <c r="EB48" i="100"/>
  <c r="FT48" i="100" s="1"/>
  <c r="EB64" i="100"/>
  <c r="FT64" i="100" s="1"/>
  <c r="EB39" i="100"/>
  <c r="FT39" i="100" s="1"/>
  <c r="EB43" i="100"/>
  <c r="FT43" i="100" s="1"/>
  <c r="EB44" i="100"/>
  <c r="FT44" i="100" s="1"/>
  <c r="EB53" i="100"/>
  <c r="FT53" i="100" s="1"/>
  <c r="EB34" i="100"/>
  <c r="FT34" i="100" s="1"/>
  <c r="EB58" i="100"/>
  <c r="FT58" i="100" s="1"/>
  <c r="EB42" i="100"/>
  <c r="FT42" i="100" s="1"/>
  <c r="EB46" i="100"/>
  <c r="FT46" i="100" s="1"/>
  <c r="EB45" i="100"/>
  <c r="FT45" i="100" s="1"/>
  <c r="EB36" i="100"/>
  <c r="FT36" i="100" s="1"/>
  <c r="EB66" i="100"/>
  <c r="FT66" i="100" s="1"/>
  <c r="EB62" i="100"/>
  <c r="FT62" i="100" s="1"/>
  <c r="EB47" i="100"/>
  <c r="FT47" i="100" s="1"/>
  <c r="EB33" i="100"/>
  <c r="FT33" i="100" s="1"/>
  <c r="EB61" i="100"/>
  <c r="FT61" i="100" s="1"/>
  <c r="DR18" i="100"/>
  <c r="FJ18" i="100" s="1"/>
  <c r="DR7" i="100"/>
  <c r="FJ7" i="100" s="1"/>
  <c r="DR8" i="100"/>
  <c r="FJ8" i="100" s="1"/>
  <c r="DR15" i="100"/>
  <c r="FJ15" i="100" s="1"/>
  <c r="DR17" i="100"/>
  <c r="FJ17" i="100" s="1"/>
  <c r="DR13" i="100"/>
  <c r="FJ13" i="100" s="1"/>
  <c r="DR14" i="100"/>
  <c r="FJ14" i="100" s="1"/>
  <c r="DR34" i="100"/>
  <c r="FJ34" i="100" s="1"/>
  <c r="DR31" i="100"/>
  <c r="FJ31" i="100" s="1"/>
  <c r="DR39" i="100"/>
  <c r="FJ39" i="100" s="1"/>
  <c r="DR57" i="100"/>
  <c r="FJ57" i="100" s="1"/>
  <c r="DR41" i="100"/>
  <c r="FJ41" i="100" s="1"/>
  <c r="DR59" i="100"/>
  <c r="FJ59" i="100" s="1"/>
  <c r="DR43" i="100"/>
  <c r="FJ43" i="100" s="1"/>
  <c r="DR65" i="100"/>
  <c r="FJ65" i="100" s="1"/>
  <c r="DR50" i="100"/>
  <c r="FJ50" i="100" s="1"/>
  <c r="DR46" i="100"/>
  <c r="FJ46" i="100" s="1"/>
  <c r="DR21" i="100"/>
  <c r="FJ21" i="100" s="1"/>
  <c r="DR10" i="100"/>
  <c r="FJ10" i="100" s="1"/>
  <c r="DR11" i="100"/>
  <c r="FJ11" i="100" s="1"/>
  <c r="DR20" i="100"/>
  <c r="FJ20" i="100" s="1"/>
  <c r="DR22" i="100"/>
  <c r="FJ22" i="100" s="1"/>
  <c r="DR36" i="100"/>
  <c r="FJ36" i="100" s="1"/>
  <c r="DR32" i="100"/>
  <c r="FJ32" i="100" s="1"/>
  <c r="DR35" i="100"/>
  <c r="FJ35" i="100" s="1"/>
  <c r="DR29" i="100"/>
  <c r="FJ29" i="100" s="1"/>
  <c r="DR30" i="100"/>
  <c r="FJ30" i="100" s="1"/>
  <c r="DR47" i="100"/>
  <c r="FJ47" i="100" s="1"/>
  <c r="DR54" i="100"/>
  <c r="FJ54" i="100" s="1"/>
  <c r="DR49" i="100"/>
  <c r="FJ49" i="100" s="1"/>
  <c r="DR63" i="100"/>
  <c r="FJ63" i="100" s="1"/>
  <c r="DR48" i="100"/>
  <c r="FJ48" i="100" s="1"/>
  <c r="DR66" i="100"/>
  <c r="FJ66" i="100" s="1"/>
  <c r="DR55" i="100"/>
  <c r="FJ55" i="100" s="1"/>
  <c r="DR9" i="100"/>
  <c r="FJ9" i="100" s="1"/>
  <c r="DR16" i="100"/>
  <c r="FJ16" i="100" s="1"/>
  <c r="DR12" i="100"/>
  <c r="FJ12" i="100" s="1"/>
  <c r="DR19" i="100"/>
  <c r="FJ19" i="100" s="1"/>
  <c r="DR23" i="100"/>
  <c r="FJ23" i="100" s="1"/>
  <c r="DR33" i="100"/>
  <c r="FJ33" i="100" s="1"/>
  <c r="DR26" i="100"/>
  <c r="FJ26" i="100" s="1"/>
  <c r="DR27" i="100"/>
  <c r="FJ27" i="100" s="1"/>
  <c r="DR37" i="100"/>
  <c r="FJ37" i="100" s="1"/>
  <c r="DR38" i="100"/>
  <c r="FJ38" i="100" s="1"/>
  <c r="DR62" i="100"/>
  <c r="FJ62" i="100" s="1"/>
  <c r="DR40" i="100"/>
  <c r="FJ40" i="100" s="1"/>
  <c r="DR64" i="100"/>
  <c r="FJ64" i="100" s="1"/>
  <c r="DR53" i="100"/>
  <c r="FJ53" i="100" s="1"/>
  <c r="DR60" i="100"/>
  <c r="FJ60" i="100" s="1"/>
  <c r="DR44" i="100"/>
  <c r="FJ44" i="100" s="1"/>
  <c r="DR28" i="100"/>
  <c r="FJ28" i="100" s="1"/>
  <c r="DR24" i="100"/>
  <c r="FJ24" i="100" s="1"/>
  <c r="DR51" i="100"/>
  <c r="FJ51" i="100" s="1"/>
  <c r="DR58" i="100"/>
  <c r="FJ58" i="100" s="1"/>
  <c r="DR56" i="100"/>
  <c r="FJ56" i="100" s="1"/>
  <c r="DR45" i="100"/>
  <c r="FJ45" i="100" s="1"/>
  <c r="DR25" i="100"/>
  <c r="FJ25" i="100" s="1"/>
  <c r="DR42" i="100"/>
  <c r="FJ42" i="100" s="1"/>
  <c r="DR61" i="100"/>
  <c r="FJ61" i="100" s="1"/>
  <c r="DR52" i="100"/>
  <c r="FJ52" i="100" s="1"/>
  <c r="ER10" i="100"/>
  <c r="GJ10" i="100" s="1"/>
  <c r="ER11" i="100"/>
  <c r="GJ11" i="100" s="1"/>
  <c r="ER7" i="100"/>
  <c r="GJ7" i="100" s="1"/>
  <c r="ER12" i="100"/>
  <c r="GJ12" i="100" s="1"/>
  <c r="ER19" i="100"/>
  <c r="GJ19" i="100" s="1"/>
  <c r="ER14" i="100"/>
  <c r="GJ14" i="100" s="1"/>
  <c r="ER13" i="100"/>
  <c r="GJ13" i="100" s="1"/>
  <c r="ER8" i="100"/>
  <c r="GJ8" i="100" s="1"/>
  <c r="ER9" i="100"/>
  <c r="GJ9" i="100" s="1"/>
  <c r="ER15" i="100"/>
  <c r="GJ15" i="100" s="1"/>
  <c r="ER16" i="100"/>
  <c r="GJ16" i="100" s="1"/>
  <c r="ER26" i="100"/>
  <c r="GJ26" i="100" s="1"/>
  <c r="ER25" i="100"/>
  <c r="GJ25" i="100" s="1"/>
  <c r="ER21" i="100"/>
  <c r="GJ21" i="100" s="1"/>
  <c r="ER20" i="100"/>
  <c r="GJ20" i="100" s="1"/>
  <c r="ER34" i="100"/>
  <c r="GJ34" i="100" s="1"/>
  <c r="ER32" i="100"/>
  <c r="GJ32" i="100" s="1"/>
  <c r="ER33" i="100"/>
  <c r="GJ33" i="100" s="1"/>
  <c r="ER22" i="100"/>
  <c r="GJ22" i="100" s="1"/>
  <c r="ER47" i="100"/>
  <c r="GJ47" i="100" s="1"/>
  <c r="ER51" i="100"/>
  <c r="GJ51" i="100" s="1"/>
  <c r="ER43" i="100"/>
  <c r="GJ43" i="100" s="1"/>
  <c r="ER38" i="100"/>
  <c r="GJ38" i="100" s="1"/>
  <c r="ER56" i="100"/>
  <c r="GJ56" i="100" s="1"/>
  <c r="ER59" i="100"/>
  <c r="GJ59" i="100" s="1"/>
  <c r="ER62" i="100"/>
  <c r="GJ62" i="100" s="1"/>
  <c r="ER40" i="100"/>
  <c r="GJ40" i="100" s="1"/>
  <c r="ER60" i="100"/>
  <c r="GJ60" i="100" s="1"/>
  <c r="ER41" i="100"/>
  <c r="GJ41" i="100" s="1"/>
  <c r="ER44" i="100"/>
  <c r="GJ44" i="100" s="1"/>
  <c r="ER50" i="100"/>
  <c r="GJ50" i="100" s="1"/>
  <c r="ER23" i="100"/>
  <c r="GJ23" i="100" s="1"/>
  <c r="ER18" i="100"/>
  <c r="GJ18" i="100" s="1"/>
  <c r="ER35" i="100"/>
  <c r="GJ35" i="100" s="1"/>
  <c r="ER37" i="100"/>
  <c r="GJ37" i="100" s="1"/>
  <c r="ER28" i="100"/>
  <c r="GJ28" i="100" s="1"/>
  <c r="ER29" i="100"/>
  <c r="GJ29" i="100" s="1"/>
  <c r="ER30" i="100"/>
  <c r="GJ30" i="100" s="1"/>
  <c r="ER52" i="100"/>
  <c r="GJ52" i="100" s="1"/>
  <c r="ER42" i="100"/>
  <c r="GJ42" i="100" s="1"/>
  <c r="ER66" i="100"/>
  <c r="GJ66" i="100" s="1"/>
  <c r="ER39" i="100"/>
  <c r="GJ39" i="100" s="1"/>
  <c r="ER53" i="100"/>
  <c r="GJ53" i="100" s="1"/>
  <c r="ER46" i="100"/>
  <c r="GJ46" i="100" s="1"/>
  <c r="ER61" i="100"/>
  <c r="GJ61" i="100" s="1"/>
  <c r="ER45" i="100"/>
  <c r="GJ45" i="100" s="1"/>
  <c r="ER57" i="100"/>
  <c r="GJ57" i="100" s="1"/>
  <c r="ER65" i="100"/>
  <c r="GJ65" i="100" s="1"/>
  <c r="ER17" i="100"/>
  <c r="GJ17" i="100" s="1"/>
  <c r="ER24" i="100"/>
  <c r="GJ24" i="100" s="1"/>
  <c r="ER27" i="100"/>
  <c r="GJ27" i="100" s="1"/>
  <c r="ER36" i="100"/>
  <c r="GJ36" i="100" s="1"/>
  <c r="ER31" i="100"/>
  <c r="GJ31" i="100" s="1"/>
  <c r="ER54" i="100"/>
  <c r="GJ54" i="100" s="1"/>
  <c r="ER58" i="100"/>
  <c r="GJ58" i="100" s="1"/>
  <c r="ER63" i="100"/>
  <c r="GJ63" i="100" s="1"/>
  <c r="ER55" i="100"/>
  <c r="GJ55" i="100" s="1"/>
  <c r="ER48" i="100"/>
  <c r="GJ48" i="100" s="1"/>
  <c r="ER49" i="100"/>
  <c r="GJ49" i="100" s="1"/>
  <c r="ER64" i="100"/>
  <c r="GJ64" i="100" s="1"/>
  <c r="DQ11" i="100"/>
  <c r="FI11" i="100" s="1"/>
  <c r="DQ14" i="100"/>
  <c r="FI14" i="100" s="1"/>
  <c r="DQ16" i="100"/>
  <c r="FI16" i="100" s="1"/>
  <c r="DQ7" i="100"/>
  <c r="FI7" i="100" s="1"/>
  <c r="DQ18" i="100"/>
  <c r="FI18" i="100" s="1"/>
  <c r="DQ10" i="100"/>
  <c r="FI10" i="100" s="1"/>
  <c r="DQ13" i="100"/>
  <c r="FI13" i="100" s="1"/>
  <c r="DQ21" i="100"/>
  <c r="FI21" i="100" s="1"/>
  <c r="DQ15" i="100"/>
  <c r="FI15" i="100" s="1"/>
  <c r="DQ19" i="100"/>
  <c r="FI19" i="100" s="1"/>
  <c r="DQ34" i="100"/>
  <c r="FI34" i="100" s="1"/>
  <c r="DQ24" i="100"/>
  <c r="FI24" i="100" s="1"/>
  <c r="DQ53" i="100"/>
  <c r="FI53" i="100" s="1"/>
  <c r="DQ64" i="100"/>
  <c r="FI64" i="100" s="1"/>
  <c r="DQ42" i="100"/>
  <c r="FI42" i="100" s="1"/>
  <c r="DQ39" i="100"/>
  <c r="FI39" i="100" s="1"/>
  <c r="DQ65" i="100"/>
  <c r="FI65" i="100" s="1"/>
  <c r="DQ56" i="100"/>
  <c r="FI56" i="100" s="1"/>
  <c r="DQ40" i="100"/>
  <c r="FI40" i="100" s="1"/>
  <c r="DQ49" i="100"/>
  <c r="FI49" i="100" s="1"/>
  <c r="DQ31" i="100"/>
  <c r="FI31" i="100" s="1"/>
  <c r="DQ8" i="100"/>
  <c r="FI8" i="100" s="1"/>
  <c r="DQ9" i="100"/>
  <c r="FI9" i="100" s="1"/>
  <c r="DQ20" i="100"/>
  <c r="FI20" i="100" s="1"/>
  <c r="DQ23" i="100"/>
  <c r="FI23" i="100" s="1"/>
  <c r="DQ28" i="100"/>
  <c r="FI28" i="100" s="1"/>
  <c r="DQ33" i="100"/>
  <c r="FI33" i="100" s="1"/>
  <c r="DQ35" i="100"/>
  <c r="FI35" i="100" s="1"/>
  <c r="DQ43" i="100"/>
  <c r="FI43" i="100" s="1"/>
  <c r="DQ66" i="100"/>
  <c r="FI66" i="100" s="1"/>
  <c r="DQ44" i="100"/>
  <c r="FI44" i="100" s="1"/>
  <c r="DQ60" i="100"/>
  <c r="FI60" i="100" s="1"/>
  <c r="DQ45" i="100"/>
  <c r="FI45" i="100" s="1"/>
  <c r="DQ55" i="100"/>
  <c r="FI55" i="100" s="1"/>
  <c r="DQ48" i="100"/>
  <c r="FI48" i="100" s="1"/>
  <c r="DQ63" i="100"/>
  <c r="FI63" i="100" s="1"/>
  <c r="DQ46" i="100"/>
  <c r="FI46" i="100" s="1"/>
  <c r="DQ61" i="100"/>
  <c r="FI61" i="100" s="1"/>
  <c r="DQ50" i="100"/>
  <c r="FI50" i="100" s="1"/>
  <c r="DQ17" i="100"/>
  <c r="FI17" i="100" s="1"/>
  <c r="DQ12" i="100"/>
  <c r="FI12" i="100" s="1"/>
  <c r="DQ22" i="100"/>
  <c r="FI22" i="100" s="1"/>
  <c r="DQ26" i="100"/>
  <c r="FI26" i="100" s="1"/>
  <c r="DQ25" i="100"/>
  <c r="FI25" i="100" s="1"/>
  <c r="DQ32" i="100"/>
  <c r="FI32" i="100" s="1"/>
  <c r="DQ30" i="100"/>
  <c r="FI30" i="100" s="1"/>
  <c r="DQ27" i="100"/>
  <c r="FI27" i="100" s="1"/>
  <c r="DQ62" i="100"/>
  <c r="FI62" i="100" s="1"/>
  <c r="DQ47" i="100"/>
  <c r="FI47" i="100" s="1"/>
  <c r="DQ52" i="100"/>
  <c r="FI52" i="100" s="1"/>
  <c r="DQ37" i="100"/>
  <c r="FI37" i="100" s="1"/>
  <c r="DQ29" i="100"/>
  <c r="FI29" i="100" s="1"/>
  <c r="DQ54" i="100"/>
  <c r="FI54" i="100" s="1"/>
  <c r="DQ41" i="100"/>
  <c r="FI41" i="100" s="1"/>
  <c r="DQ36" i="100"/>
  <c r="FI36" i="100" s="1"/>
  <c r="DQ38" i="100"/>
  <c r="FI38" i="100" s="1"/>
  <c r="DQ51" i="100"/>
  <c r="FI51" i="100" s="1"/>
  <c r="DQ58" i="100"/>
  <c r="FI58" i="100" s="1"/>
  <c r="DQ57" i="100"/>
  <c r="FI57" i="100" s="1"/>
  <c r="DQ59" i="100"/>
  <c r="FI59" i="100" s="1"/>
  <c r="EL7" i="100"/>
  <c r="GD7" i="100" s="1"/>
  <c r="EL9" i="100"/>
  <c r="GD9" i="100" s="1"/>
  <c r="EL8" i="100"/>
  <c r="GD8" i="100" s="1"/>
  <c r="EL10" i="100"/>
  <c r="GD10" i="100" s="1"/>
  <c r="EL11" i="100"/>
  <c r="GD11" i="100" s="1"/>
  <c r="EL17" i="100"/>
  <c r="GD17" i="100" s="1"/>
  <c r="EL32" i="100"/>
  <c r="GD32" i="100" s="1"/>
  <c r="EL22" i="100"/>
  <c r="GD22" i="100" s="1"/>
  <c r="EL13" i="100"/>
  <c r="GD13" i="100" s="1"/>
  <c r="EL21" i="100"/>
  <c r="GD21" i="100" s="1"/>
  <c r="EL37" i="100"/>
  <c r="GD37" i="100" s="1"/>
  <c r="EL26" i="100"/>
  <c r="GD26" i="100" s="1"/>
  <c r="EL19" i="100"/>
  <c r="GD19" i="100" s="1"/>
  <c r="EL31" i="100"/>
  <c r="GD31" i="100" s="1"/>
  <c r="EL23" i="100"/>
  <c r="GD23" i="100" s="1"/>
  <c r="EL16" i="100"/>
  <c r="GD16" i="100" s="1"/>
  <c r="EL24" i="100"/>
  <c r="GD24" i="100" s="1"/>
  <c r="EL35" i="100"/>
  <c r="GD35" i="100" s="1"/>
  <c r="EL62" i="100"/>
  <c r="GD62" i="100" s="1"/>
  <c r="EL49" i="100"/>
  <c r="GD49" i="100" s="1"/>
  <c r="EL44" i="100"/>
  <c r="GD44" i="100" s="1"/>
  <c r="EL48" i="100"/>
  <c r="GD48" i="100" s="1"/>
  <c r="EL58" i="100"/>
  <c r="GD58" i="100" s="1"/>
  <c r="EL55" i="100"/>
  <c r="GD55" i="100" s="1"/>
  <c r="EL54" i="100"/>
  <c r="GD54" i="100" s="1"/>
  <c r="EL53" i="100"/>
  <c r="GD53" i="100" s="1"/>
  <c r="EL45" i="100"/>
  <c r="GD45" i="100" s="1"/>
  <c r="EL30" i="100"/>
  <c r="GD30" i="100" s="1"/>
  <c r="EL20" i="100"/>
  <c r="GD20" i="100" s="1"/>
  <c r="EL18" i="100"/>
  <c r="GD18" i="100" s="1"/>
  <c r="EL14" i="100"/>
  <c r="GD14" i="100" s="1"/>
  <c r="EL36" i="100"/>
  <c r="GD36" i="100" s="1"/>
  <c r="EL27" i="100"/>
  <c r="GD27" i="100" s="1"/>
  <c r="EL63" i="100"/>
  <c r="GD63" i="100" s="1"/>
  <c r="EL41" i="100"/>
  <c r="GD41" i="100" s="1"/>
  <c r="EL60" i="100"/>
  <c r="GD60" i="100" s="1"/>
  <c r="EL47" i="100"/>
  <c r="GD47" i="100" s="1"/>
  <c r="EL66" i="100"/>
  <c r="GD66" i="100" s="1"/>
  <c r="EL40" i="100"/>
  <c r="GD40" i="100" s="1"/>
  <c r="EL64" i="100"/>
  <c r="GD64" i="100" s="1"/>
  <c r="EL46" i="100"/>
  <c r="GD46" i="100" s="1"/>
  <c r="EL56" i="100"/>
  <c r="GD56" i="100" s="1"/>
  <c r="EL65" i="100"/>
  <c r="GD65" i="100" s="1"/>
  <c r="EL12" i="100"/>
  <c r="GD12" i="100" s="1"/>
  <c r="EL15" i="100"/>
  <c r="GD15" i="100" s="1"/>
  <c r="EL33" i="100"/>
  <c r="GD33" i="100" s="1"/>
  <c r="EL29" i="100"/>
  <c r="GD29" i="100" s="1"/>
  <c r="EL34" i="100"/>
  <c r="GD34" i="100" s="1"/>
  <c r="EL28" i="100"/>
  <c r="GD28" i="100" s="1"/>
  <c r="EL59" i="100"/>
  <c r="GD59" i="100" s="1"/>
  <c r="EL39" i="100"/>
  <c r="GD39" i="100" s="1"/>
  <c r="EL52" i="100"/>
  <c r="GD52" i="100" s="1"/>
  <c r="EL25" i="100"/>
  <c r="GD25" i="100" s="1"/>
  <c r="EL51" i="100"/>
  <c r="GD51" i="100" s="1"/>
  <c r="EL42" i="100"/>
  <c r="GD42" i="100" s="1"/>
  <c r="EL43" i="100"/>
  <c r="GD43" i="100" s="1"/>
  <c r="EL57" i="100"/>
  <c r="GD57" i="100" s="1"/>
  <c r="EL38" i="100"/>
  <c r="GD38" i="100" s="1"/>
  <c r="EL61" i="100"/>
  <c r="GD61" i="100" s="1"/>
  <c r="EL50" i="100"/>
  <c r="GD50" i="100" s="1"/>
  <c r="DT7" i="100"/>
  <c r="FL7" i="100" s="1"/>
  <c r="DT9" i="100"/>
  <c r="FL9" i="100" s="1"/>
  <c r="DT13" i="100"/>
  <c r="FL13" i="100" s="1"/>
  <c r="DT19" i="100"/>
  <c r="FL19" i="100" s="1"/>
  <c r="DT18" i="100"/>
  <c r="FL18" i="100" s="1"/>
  <c r="DT32" i="100"/>
  <c r="FL32" i="100" s="1"/>
  <c r="DT21" i="100"/>
  <c r="FL21" i="100" s="1"/>
  <c r="DT30" i="100"/>
  <c r="FL30" i="100" s="1"/>
  <c r="DT11" i="100"/>
  <c r="FL11" i="100" s="1"/>
  <c r="DT33" i="100"/>
  <c r="FL33" i="100" s="1"/>
  <c r="DT34" i="100"/>
  <c r="FL34" i="100" s="1"/>
  <c r="DT25" i="100"/>
  <c r="FL25" i="100" s="1"/>
  <c r="DT23" i="100"/>
  <c r="FL23" i="100" s="1"/>
  <c r="DT27" i="100"/>
  <c r="FL27" i="100" s="1"/>
  <c r="DT54" i="100"/>
  <c r="FL54" i="100" s="1"/>
  <c r="DT49" i="100"/>
  <c r="FL49" i="100" s="1"/>
  <c r="DT47" i="100"/>
  <c r="FL47" i="100" s="1"/>
  <c r="DT38" i="100"/>
  <c r="FL38" i="100" s="1"/>
  <c r="DT64" i="100"/>
  <c r="FL64" i="100" s="1"/>
  <c r="DT39" i="100"/>
  <c r="FL39" i="100" s="1"/>
  <c r="DT66" i="100"/>
  <c r="FL66" i="100" s="1"/>
  <c r="DT48" i="100"/>
  <c r="FL48" i="100" s="1"/>
  <c r="DT51" i="100"/>
  <c r="FL51" i="100" s="1"/>
  <c r="DT50" i="100"/>
  <c r="FL50" i="100" s="1"/>
  <c r="DT53" i="100"/>
  <c r="FL53" i="100" s="1"/>
  <c r="DT45" i="100"/>
  <c r="FL45" i="100" s="1"/>
  <c r="DT63" i="100"/>
  <c r="FL63" i="100" s="1"/>
  <c r="DT35" i="100"/>
  <c r="FL35" i="100" s="1"/>
  <c r="DT17" i="100"/>
  <c r="FL17" i="100" s="1"/>
  <c r="DT14" i="100"/>
  <c r="FL14" i="100" s="1"/>
  <c r="DT12" i="100"/>
  <c r="FL12" i="100" s="1"/>
  <c r="DT10" i="100"/>
  <c r="FL10" i="100" s="1"/>
  <c r="DT29" i="100"/>
  <c r="FL29" i="100" s="1"/>
  <c r="DT37" i="100"/>
  <c r="FL37" i="100" s="1"/>
  <c r="DT31" i="100"/>
  <c r="FL31" i="100" s="1"/>
  <c r="DT26" i="100"/>
  <c r="FL26" i="100" s="1"/>
  <c r="DT40" i="100"/>
  <c r="FL40" i="100" s="1"/>
  <c r="DT62" i="100"/>
  <c r="FL62" i="100" s="1"/>
  <c r="DT42" i="100"/>
  <c r="FL42" i="100" s="1"/>
  <c r="DT57" i="100"/>
  <c r="FL57" i="100" s="1"/>
  <c r="DT44" i="100"/>
  <c r="FL44" i="100" s="1"/>
  <c r="DT61" i="100"/>
  <c r="FL61" i="100" s="1"/>
  <c r="DT46" i="100"/>
  <c r="FL46" i="100" s="1"/>
  <c r="DT65" i="100"/>
  <c r="FL65" i="100" s="1"/>
  <c r="DT52" i="100"/>
  <c r="FL52" i="100" s="1"/>
  <c r="DT22" i="100"/>
  <c r="FL22" i="100" s="1"/>
  <c r="DT20" i="100"/>
  <c r="FL20" i="100" s="1"/>
  <c r="DT16" i="100"/>
  <c r="FL16" i="100" s="1"/>
  <c r="DT15" i="100"/>
  <c r="FL15" i="100" s="1"/>
  <c r="DT28" i="100"/>
  <c r="FL28" i="100" s="1"/>
  <c r="DT24" i="100"/>
  <c r="FL24" i="100" s="1"/>
  <c r="DT36" i="100"/>
  <c r="FL36" i="100" s="1"/>
  <c r="DT41" i="100"/>
  <c r="FL41" i="100" s="1"/>
  <c r="DT59" i="100"/>
  <c r="FL59" i="100" s="1"/>
  <c r="DT58" i="100"/>
  <c r="FL58" i="100" s="1"/>
  <c r="DT56" i="100"/>
  <c r="FL56" i="100" s="1"/>
  <c r="DT60" i="100"/>
  <c r="FL60" i="100" s="1"/>
  <c r="DT43" i="100"/>
  <c r="FL43" i="100" s="1"/>
  <c r="DT55" i="100"/>
  <c r="FL55" i="100" s="1"/>
  <c r="DJ36" i="100"/>
  <c r="FB36" i="100" s="1"/>
  <c r="DJ8" i="100"/>
  <c r="FB8" i="100" s="1"/>
  <c r="DJ30" i="100"/>
  <c r="FB30" i="100" s="1"/>
  <c r="DJ41" i="100"/>
  <c r="FB41" i="100" s="1"/>
  <c r="DJ19" i="100"/>
  <c r="FB19" i="100" s="1"/>
  <c r="DJ58" i="100"/>
  <c r="FB58" i="100" s="1"/>
  <c r="DJ39" i="100"/>
  <c r="FB39" i="100" s="1"/>
  <c r="DJ42" i="100"/>
  <c r="FB42" i="100" s="1"/>
  <c r="DJ21" i="100"/>
  <c r="FB21" i="100" s="1"/>
  <c r="DJ50" i="100"/>
  <c r="FB50" i="100" s="1"/>
  <c r="DJ29" i="100"/>
  <c r="FB29" i="100" s="1"/>
  <c r="DJ65" i="100"/>
  <c r="FB65" i="100" s="1"/>
  <c r="DJ47" i="100"/>
  <c r="FB47" i="100" s="1"/>
  <c r="DJ24" i="100"/>
  <c r="FB24" i="100" s="1"/>
  <c r="DJ20" i="100"/>
  <c r="FB20" i="100" s="1"/>
  <c r="DJ60" i="100"/>
  <c r="FB60" i="100" s="1"/>
  <c r="DJ38" i="100"/>
  <c r="FB38" i="100" s="1"/>
  <c r="DJ10" i="100"/>
  <c r="FB10" i="100" s="1"/>
  <c r="DJ7" i="100"/>
  <c r="FB7" i="100" s="1"/>
  <c r="DJ35" i="100"/>
  <c r="FB35" i="100" s="1"/>
  <c r="DJ15" i="100"/>
  <c r="FB15" i="100" s="1"/>
  <c r="DJ34" i="100"/>
  <c r="FB34" i="100" s="1"/>
  <c r="DJ51" i="100"/>
  <c r="FB51" i="100" s="1"/>
  <c r="DJ33" i="100"/>
  <c r="FB33" i="100" s="1"/>
  <c r="DJ57" i="100"/>
  <c r="FB57" i="100" s="1"/>
  <c r="DJ37" i="100"/>
  <c r="FB37" i="100" s="1"/>
  <c r="DJ61" i="100"/>
  <c r="FB61" i="100" s="1"/>
  <c r="DJ40" i="100"/>
  <c r="FB40" i="100" s="1"/>
  <c r="DJ11" i="100"/>
  <c r="FB11" i="100" s="1"/>
  <c r="DJ46" i="100"/>
  <c r="FB46" i="100" s="1"/>
  <c r="DJ17" i="100"/>
  <c r="FB17" i="100" s="1"/>
  <c r="DJ13" i="100"/>
  <c r="FB13" i="100" s="1"/>
  <c r="DJ43" i="100"/>
  <c r="FB43" i="100" s="1"/>
  <c r="DJ18" i="100"/>
  <c r="FB18" i="100" s="1"/>
  <c r="DJ59" i="100"/>
  <c r="FB59" i="100" s="1"/>
  <c r="DJ23" i="100"/>
  <c r="FB23" i="100" s="1"/>
  <c r="DJ49" i="100"/>
  <c r="FB49" i="100" s="1"/>
  <c r="DJ32" i="100"/>
  <c r="FB32" i="100" s="1"/>
  <c r="DJ63" i="100"/>
  <c r="FB63" i="100" s="1"/>
  <c r="DJ56" i="100"/>
  <c r="FB56" i="100" s="1"/>
  <c r="DJ53" i="100"/>
  <c r="FB53" i="100" s="1"/>
  <c r="DJ25" i="100"/>
  <c r="FB25" i="100" s="1"/>
  <c r="DJ48" i="100"/>
  <c r="FB48" i="100" s="1"/>
  <c r="DJ27" i="100"/>
  <c r="FB27" i="100" s="1"/>
  <c r="DJ14" i="100"/>
  <c r="FB14" i="100" s="1"/>
  <c r="DJ52" i="100"/>
  <c r="FB52" i="100" s="1"/>
  <c r="DJ16" i="100"/>
  <c r="FB16" i="100" s="1"/>
  <c r="DJ55" i="100"/>
  <c r="FB55" i="100" s="1"/>
  <c r="DJ12" i="100"/>
  <c r="FB12" i="100" s="1"/>
  <c r="DJ62" i="100"/>
  <c r="FB62" i="100" s="1"/>
  <c r="DJ66" i="100"/>
  <c r="FB66" i="100" s="1"/>
  <c r="DJ28" i="100"/>
  <c r="FB28" i="100" s="1"/>
  <c r="DJ22" i="100"/>
  <c r="FB22" i="100" s="1"/>
  <c r="DJ45" i="100"/>
  <c r="FB45" i="100" s="1"/>
  <c r="DJ64" i="100"/>
  <c r="FB64" i="100" s="1"/>
  <c r="DJ26" i="100"/>
  <c r="FB26" i="100" s="1"/>
  <c r="DJ54" i="100"/>
  <c r="FB54" i="100" s="1"/>
  <c r="DJ44" i="100"/>
  <c r="FB44" i="100" s="1"/>
  <c r="DJ31" i="100"/>
  <c r="FB31" i="100" s="1"/>
  <c r="EA14" i="100"/>
  <c r="FS14" i="100" s="1"/>
  <c r="EA17" i="100"/>
  <c r="FS17" i="100" s="1"/>
  <c r="EA26" i="100"/>
  <c r="FS26" i="100" s="1"/>
  <c r="EA25" i="100"/>
  <c r="FS25" i="100" s="1"/>
  <c r="EA18" i="100"/>
  <c r="FS18" i="100" s="1"/>
  <c r="EA20" i="100"/>
  <c r="FS20" i="100" s="1"/>
  <c r="EA21" i="100"/>
  <c r="FS21" i="100" s="1"/>
  <c r="EA31" i="100"/>
  <c r="FS31" i="100" s="1"/>
  <c r="EA28" i="100"/>
  <c r="FS28" i="100" s="1"/>
  <c r="EA19" i="100"/>
  <c r="FS19" i="100" s="1"/>
  <c r="EA10" i="100"/>
  <c r="FS10" i="100" s="1"/>
  <c r="EA24" i="100"/>
  <c r="FS24" i="100" s="1"/>
  <c r="EA29" i="100"/>
  <c r="FS29" i="100" s="1"/>
  <c r="EA23" i="100"/>
  <c r="FS23" i="100" s="1"/>
  <c r="EA27" i="100"/>
  <c r="FS27" i="100" s="1"/>
  <c r="EA35" i="100"/>
  <c r="FS35" i="100" s="1"/>
  <c r="EA34" i="100"/>
  <c r="FS34" i="100" s="1"/>
  <c r="EA37" i="100"/>
  <c r="FS37" i="100" s="1"/>
  <c r="EA50" i="100"/>
  <c r="FS50" i="100" s="1"/>
  <c r="EA58" i="100"/>
  <c r="FS58" i="100" s="1"/>
  <c r="EA45" i="100"/>
  <c r="FS45" i="100" s="1"/>
  <c r="EA62" i="100"/>
  <c r="FS62" i="100" s="1"/>
  <c r="EA47" i="100"/>
  <c r="FS47" i="100" s="1"/>
  <c r="EA63" i="100"/>
  <c r="FS63" i="100" s="1"/>
  <c r="EA8" i="100"/>
  <c r="FS8" i="100" s="1"/>
  <c r="EA12" i="100"/>
  <c r="FS12" i="100" s="1"/>
  <c r="EA30" i="100"/>
  <c r="FS30" i="100" s="1"/>
  <c r="EA16" i="100"/>
  <c r="FS16" i="100" s="1"/>
  <c r="EA42" i="100"/>
  <c r="FS42" i="100" s="1"/>
  <c r="EA55" i="100"/>
  <c r="FS55" i="100" s="1"/>
  <c r="EA44" i="100"/>
  <c r="FS44" i="100" s="1"/>
  <c r="EA38" i="100"/>
  <c r="FS38" i="100" s="1"/>
  <c r="EA39" i="100"/>
  <c r="FS39" i="100" s="1"/>
  <c r="EA52" i="100"/>
  <c r="FS52" i="100" s="1"/>
  <c r="EA33" i="100"/>
  <c r="FS33" i="100" s="1"/>
  <c r="EA54" i="100"/>
  <c r="FS54" i="100" s="1"/>
  <c r="EA64" i="100"/>
  <c r="FS64" i="100" s="1"/>
  <c r="EA7" i="100"/>
  <c r="FS7" i="100" s="1"/>
  <c r="EA9" i="100"/>
  <c r="FS9" i="100" s="1"/>
  <c r="EA15" i="100"/>
  <c r="FS15" i="100" s="1"/>
  <c r="EA13" i="100"/>
  <c r="FS13" i="100" s="1"/>
  <c r="EA22" i="100"/>
  <c r="FS22" i="100" s="1"/>
  <c r="EA11" i="100"/>
  <c r="FS11" i="100" s="1"/>
  <c r="EA41" i="100"/>
  <c r="FS41" i="100" s="1"/>
  <c r="EA56" i="100"/>
  <c r="FS56" i="100" s="1"/>
  <c r="EA32" i="100"/>
  <c r="FS32" i="100" s="1"/>
  <c r="EA57" i="100"/>
  <c r="FS57" i="100" s="1"/>
  <c r="EA46" i="100"/>
  <c r="FS46" i="100" s="1"/>
  <c r="EA51" i="100"/>
  <c r="FS51" i="100" s="1"/>
  <c r="EA40" i="100"/>
  <c r="FS40" i="100" s="1"/>
  <c r="EA53" i="100"/>
  <c r="FS53" i="100" s="1"/>
  <c r="EA49" i="100"/>
  <c r="FS49" i="100" s="1"/>
  <c r="EA36" i="100"/>
  <c r="FS36" i="100" s="1"/>
  <c r="EA60" i="100"/>
  <c r="FS60" i="100" s="1"/>
  <c r="EA65" i="100"/>
  <c r="FS65" i="100" s="1"/>
  <c r="EA59" i="100"/>
  <c r="FS59" i="100" s="1"/>
  <c r="EA66" i="100"/>
  <c r="FS66" i="100" s="1"/>
  <c r="EA61" i="100"/>
  <c r="FS61" i="100" s="1"/>
  <c r="EA43" i="100"/>
  <c r="FS43" i="100" s="1"/>
  <c r="EA48" i="100"/>
  <c r="FS48" i="100" s="1"/>
  <c r="EN18" i="100"/>
  <c r="GF18" i="100" s="1"/>
  <c r="EN7" i="100"/>
  <c r="GF7" i="100" s="1"/>
  <c r="EN10" i="100"/>
  <c r="GF10" i="100" s="1"/>
  <c r="EN13" i="100"/>
  <c r="GF13" i="100" s="1"/>
  <c r="EN24" i="100"/>
  <c r="GF24" i="100" s="1"/>
  <c r="EN36" i="100"/>
  <c r="GF36" i="100" s="1"/>
  <c r="EN20" i="100"/>
  <c r="GF20" i="100" s="1"/>
  <c r="EN27" i="100"/>
  <c r="GF27" i="100" s="1"/>
  <c r="EN37" i="100"/>
  <c r="GF37" i="100" s="1"/>
  <c r="EN21" i="100"/>
  <c r="GF21" i="100" s="1"/>
  <c r="EN26" i="100"/>
  <c r="GF26" i="100" s="1"/>
  <c r="EN9" i="100"/>
  <c r="GF9" i="100" s="1"/>
  <c r="EN31" i="100"/>
  <c r="GF31" i="100" s="1"/>
  <c r="EN22" i="100"/>
  <c r="GF22" i="100" s="1"/>
  <c r="EN33" i="100"/>
  <c r="GF33" i="100" s="1"/>
  <c r="EN30" i="100"/>
  <c r="GF30" i="100" s="1"/>
  <c r="EN43" i="100"/>
  <c r="GF43" i="100" s="1"/>
  <c r="EN65" i="100"/>
  <c r="GF65" i="100" s="1"/>
  <c r="EN50" i="100"/>
  <c r="GF50" i="100" s="1"/>
  <c r="EN38" i="100"/>
  <c r="GF38" i="100" s="1"/>
  <c r="EN60" i="100"/>
  <c r="GF60" i="100" s="1"/>
  <c r="EN40" i="100"/>
  <c r="GF40" i="100" s="1"/>
  <c r="EN45" i="100"/>
  <c r="GF45" i="100" s="1"/>
  <c r="EN62" i="100"/>
  <c r="GF62" i="100" s="1"/>
  <c r="EN41" i="100"/>
  <c r="GF41" i="100" s="1"/>
  <c r="EN63" i="100"/>
  <c r="GF63" i="100" s="1"/>
  <c r="EN14" i="100"/>
  <c r="GF14" i="100" s="1"/>
  <c r="EN11" i="100"/>
  <c r="GF11" i="100" s="1"/>
  <c r="EN32" i="100"/>
  <c r="GF32" i="100" s="1"/>
  <c r="EN28" i="100"/>
  <c r="GF28" i="100" s="1"/>
  <c r="EN29" i="100"/>
  <c r="GF29" i="100" s="1"/>
  <c r="EN56" i="100"/>
  <c r="GF56" i="100" s="1"/>
  <c r="EN61" i="100"/>
  <c r="GF61" i="100" s="1"/>
  <c r="EN58" i="100"/>
  <c r="GF58" i="100" s="1"/>
  <c r="EN46" i="100"/>
  <c r="GF46" i="100" s="1"/>
  <c r="EN66" i="100"/>
  <c r="GF66" i="100" s="1"/>
  <c r="EN48" i="100"/>
  <c r="GF48" i="100" s="1"/>
  <c r="EN55" i="100"/>
  <c r="GF55" i="100" s="1"/>
  <c r="EN44" i="100"/>
  <c r="GF44" i="100" s="1"/>
  <c r="EN51" i="100"/>
  <c r="GF51" i="100" s="1"/>
  <c r="EN49" i="100"/>
  <c r="GF49" i="100" s="1"/>
  <c r="EN25" i="100"/>
  <c r="GF25" i="100" s="1"/>
  <c r="EN17" i="100"/>
  <c r="GF17" i="100" s="1"/>
  <c r="EN34" i="100"/>
  <c r="GF34" i="100" s="1"/>
  <c r="EN12" i="100"/>
  <c r="GF12" i="100" s="1"/>
  <c r="EN15" i="100"/>
  <c r="GF15" i="100" s="1"/>
  <c r="EN16" i="100"/>
  <c r="GF16" i="100" s="1"/>
  <c r="EN19" i="100"/>
  <c r="GF19" i="100" s="1"/>
  <c r="EN23" i="100"/>
  <c r="GF23" i="100" s="1"/>
  <c r="EN35" i="100"/>
  <c r="GF35" i="100" s="1"/>
  <c r="EN64" i="100"/>
  <c r="GF64" i="100" s="1"/>
  <c r="EN47" i="100"/>
  <c r="GF47" i="100" s="1"/>
  <c r="EN57" i="100"/>
  <c r="GF57" i="100" s="1"/>
  <c r="EN42" i="100"/>
  <c r="GF42" i="100" s="1"/>
  <c r="EN52" i="100"/>
  <c r="GF52" i="100" s="1"/>
  <c r="EN54" i="100"/>
  <c r="GF54" i="100" s="1"/>
  <c r="EN59" i="100"/>
  <c r="GF59" i="100" s="1"/>
  <c r="EN53" i="100"/>
  <c r="GF53" i="100" s="1"/>
  <c r="EN39" i="100"/>
  <c r="GF39" i="100" s="1"/>
  <c r="AP30" i="98"/>
  <c r="DW77" i="98" s="1"/>
  <c r="ET77" i="98" s="1"/>
  <c r="EK77" i="98" s="1"/>
  <c r="AP24" i="98"/>
  <c r="W24" i="98"/>
  <c r="W28" i="98"/>
  <c r="DT39" i="98" s="1"/>
  <c r="W25" i="98"/>
  <c r="W22" i="98"/>
  <c r="W26" i="98"/>
  <c r="W29" i="98"/>
  <c r="DT40" i="98" s="1"/>
  <c r="W23" i="98"/>
  <c r="W27" i="98"/>
  <c r="DT38" i="98" s="1"/>
  <c r="W30" i="98"/>
  <c r="DT41" i="98" s="1"/>
  <c r="AM28" i="98"/>
  <c r="DT75" i="98" s="1"/>
  <c r="DJ5" i="93"/>
  <c r="FB5" i="93" s="1"/>
  <c r="DJ6" i="93"/>
  <c r="FB6" i="93" s="1"/>
  <c r="DJ11" i="93"/>
  <c r="FB11" i="93" s="1"/>
  <c r="DJ14" i="93"/>
  <c r="FB14" i="93" s="1"/>
  <c r="DJ9" i="93"/>
  <c r="FB9" i="93" s="1"/>
  <c r="DJ13" i="93"/>
  <c r="FB13" i="93" s="1"/>
  <c r="DJ8" i="93"/>
  <c r="FB8" i="93" s="1"/>
  <c r="DJ12" i="93"/>
  <c r="FB12" i="93" s="1"/>
  <c r="DJ10" i="93"/>
  <c r="FB10" i="93" s="1"/>
  <c r="DJ7" i="93"/>
  <c r="FB7" i="93" s="1"/>
  <c r="DJ30" i="93"/>
  <c r="FB30" i="93" s="1"/>
  <c r="DJ52" i="93"/>
  <c r="FB52" i="93" s="1"/>
  <c r="DJ38" i="93"/>
  <c r="FB38" i="93" s="1"/>
  <c r="DJ20" i="93"/>
  <c r="FB20" i="93" s="1"/>
  <c r="DJ58" i="93"/>
  <c r="FB58" i="93" s="1"/>
  <c r="DJ45" i="93"/>
  <c r="FB45" i="93" s="1"/>
  <c r="DJ62" i="93"/>
  <c r="FB62" i="93" s="1"/>
  <c r="DJ57" i="93"/>
  <c r="FB57" i="93" s="1"/>
  <c r="DJ47" i="93"/>
  <c r="FB47" i="93" s="1"/>
  <c r="DJ33" i="93"/>
  <c r="FB33" i="93" s="1"/>
  <c r="DJ29" i="93"/>
  <c r="FB29" i="93" s="1"/>
  <c r="DJ53" i="93"/>
  <c r="FB53" i="93" s="1"/>
  <c r="DJ26" i="93"/>
  <c r="FB26" i="93" s="1"/>
  <c r="DJ39" i="93"/>
  <c r="FB39" i="93" s="1"/>
  <c r="DJ60" i="93"/>
  <c r="FB60" i="93" s="1"/>
  <c r="DJ19" i="93"/>
  <c r="FB19" i="93" s="1"/>
  <c r="DJ43" i="93"/>
  <c r="FB43" i="93" s="1"/>
  <c r="DJ37" i="93"/>
  <c r="FB37" i="93" s="1"/>
  <c r="DJ22" i="93"/>
  <c r="FB22" i="93" s="1"/>
  <c r="DJ41" i="93"/>
  <c r="FB41" i="93" s="1"/>
  <c r="DJ49" i="93"/>
  <c r="FB49" i="93" s="1"/>
  <c r="DJ40" i="93"/>
  <c r="FB40" i="93" s="1"/>
  <c r="DJ15" i="93"/>
  <c r="FB15" i="93" s="1"/>
  <c r="DJ64" i="93"/>
  <c r="FB64" i="93" s="1"/>
  <c r="DJ48" i="93"/>
  <c r="FB48" i="93" s="1"/>
  <c r="DJ24" i="93"/>
  <c r="FB24" i="93" s="1"/>
  <c r="DJ42" i="93"/>
  <c r="FB42" i="93" s="1"/>
  <c r="DJ51" i="93"/>
  <c r="FB51" i="93" s="1"/>
  <c r="DJ56" i="93"/>
  <c r="FB56" i="93" s="1"/>
  <c r="DJ36" i="93"/>
  <c r="FB36" i="93" s="1"/>
  <c r="DJ21" i="93"/>
  <c r="FB21" i="93" s="1"/>
  <c r="DJ16" i="93"/>
  <c r="FB16" i="93" s="1"/>
  <c r="DJ61" i="93"/>
  <c r="FB61" i="93" s="1"/>
  <c r="DJ23" i="93"/>
  <c r="FB23" i="93" s="1"/>
  <c r="DJ27" i="93"/>
  <c r="FB27" i="93" s="1"/>
  <c r="DJ50" i="93"/>
  <c r="FB50" i="93" s="1"/>
  <c r="DJ34" i="93"/>
  <c r="FB34" i="93" s="1"/>
  <c r="DJ32" i="93"/>
  <c r="FB32" i="93" s="1"/>
  <c r="DJ31" i="93"/>
  <c r="FB31" i="93" s="1"/>
  <c r="DJ44" i="93"/>
  <c r="FB44" i="93" s="1"/>
  <c r="DJ46" i="93"/>
  <c r="FB46" i="93" s="1"/>
  <c r="DJ35" i="93"/>
  <c r="FB35" i="93" s="1"/>
  <c r="DJ25" i="93"/>
  <c r="FB25" i="93" s="1"/>
  <c r="DJ55" i="93"/>
  <c r="FB55" i="93" s="1"/>
  <c r="DJ59" i="93"/>
  <c r="FB59" i="93" s="1"/>
  <c r="DJ63" i="93"/>
  <c r="FB63" i="93" s="1"/>
  <c r="DJ17" i="93"/>
  <c r="FB17" i="93" s="1"/>
  <c r="DJ54" i="93"/>
  <c r="FB54" i="93" s="1"/>
  <c r="DJ28" i="93"/>
  <c r="FB28" i="93" s="1"/>
  <c r="DJ18" i="93"/>
  <c r="FB18" i="93" s="1"/>
  <c r="DO12" i="100"/>
  <c r="FG12" i="100" s="1"/>
  <c r="CX10" i="98"/>
  <c r="CX11" i="98"/>
  <c r="CX36" i="98"/>
  <c r="CX35" i="98"/>
  <c r="CY43" i="98"/>
  <c r="CY42" i="98"/>
  <c r="CY12" i="98"/>
  <c r="CY13" i="98"/>
  <c r="CY30" i="98"/>
  <c r="CY29" i="98"/>
  <c r="DI8" i="100"/>
  <c r="FA8" i="100" s="1"/>
  <c r="DI9" i="100"/>
  <c r="FA9" i="100" s="1"/>
  <c r="DI14" i="100"/>
  <c r="FA14" i="100" s="1"/>
  <c r="DI37" i="100"/>
  <c r="FA37" i="100" s="1"/>
  <c r="DI47" i="100"/>
  <c r="FA47" i="100" s="1"/>
  <c r="DI39" i="100"/>
  <c r="FA39" i="100" s="1"/>
  <c r="DI66" i="100"/>
  <c r="FA66" i="100" s="1"/>
  <c r="DI46" i="100"/>
  <c r="FA46" i="100" s="1"/>
  <c r="DI32" i="100"/>
  <c r="FA32" i="100" s="1"/>
  <c r="DI12" i="100"/>
  <c r="FA12" i="100" s="1"/>
  <c r="DI54" i="100"/>
  <c r="FA54" i="100" s="1"/>
  <c r="DI43" i="100"/>
  <c r="FA43" i="100" s="1"/>
  <c r="DI21" i="100"/>
  <c r="FA21" i="100" s="1"/>
  <c r="DI60" i="100"/>
  <c r="FA60" i="100" s="1"/>
  <c r="DI49" i="100"/>
  <c r="FA49" i="100" s="1"/>
  <c r="DI28" i="100"/>
  <c r="FA28" i="100" s="1"/>
  <c r="DI7" i="100"/>
  <c r="FA7" i="100" s="1"/>
  <c r="DI10" i="100"/>
  <c r="FA10" i="100" s="1"/>
  <c r="DI11" i="100"/>
  <c r="FA11" i="100" s="1"/>
  <c r="DI31" i="100"/>
  <c r="FA31" i="100" s="1"/>
  <c r="DI26" i="100"/>
  <c r="FA26" i="100" s="1"/>
  <c r="DI23" i="100"/>
  <c r="FA23" i="100" s="1"/>
  <c r="DI57" i="100"/>
  <c r="FA57" i="100" s="1"/>
  <c r="DI33" i="100"/>
  <c r="FA33" i="100" s="1"/>
  <c r="DI29" i="100"/>
  <c r="FA29" i="100" s="1"/>
  <c r="DI13" i="100"/>
  <c r="FA13" i="100" s="1"/>
  <c r="DI51" i="100"/>
  <c r="FA51" i="100" s="1"/>
  <c r="DI38" i="100"/>
  <c r="FA38" i="100" s="1"/>
  <c r="DI18" i="100"/>
  <c r="FA18" i="100" s="1"/>
  <c r="DI65" i="100"/>
  <c r="FA65" i="100" s="1"/>
  <c r="DI52" i="100"/>
  <c r="FA52" i="100" s="1"/>
  <c r="DI41" i="100"/>
  <c r="FA41" i="100" s="1"/>
  <c r="DI19" i="100"/>
  <c r="FA19" i="100" s="1"/>
  <c r="DI55" i="100"/>
  <c r="FA55" i="100" s="1"/>
  <c r="DI17" i="100"/>
  <c r="FA17" i="100" s="1"/>
  <c r="DI16" i="100"/>
  <c r="FA16" i="100" s="1"/>
  <c r="DI56" i="100"/>
  <c r="FA56" i="100" s="1"/>
  <c r="DI45" i="100"/>
  <c r="FA45" i="100" s="1"/>
  <c r="DI24" i="100"/>
  <c r="FA24" i="100" s="1"/>
  <c r="DI64" i="100"/>
  <c r="FA64" i="100" s="1"/>
  <c r="DI44" i="100"/>
  <c r="FA44" i="100" s="1"/>
  <c r="DI30" i="100"/>
  <c r="FA30" i="100" s="1"/>
  <c r="DI59" i="100"/>
  <c r="FA59" i="100" s="1"/>
  <c r="DI35" i="100"/>
  <c r="FA35" i="100" s="1"/>
  <c r="DI36" i="100"/>
  <c r="FA36" i="100" s="1"/>
  <c r="DI40" i="100"/>
  <c r="FA40" i="100" s="1"/>
  <c r="DI62" i="100"/>
  <c r="FA62" i="100" s="1"/>
  <c r="DI34" i="100"/>
  <c r="FA34" i="100" s="1"/>
  <c r="DI48" i="100"/>
  <c r="FA48" i="100" s="1"/>
  <c r="DI15" i="100"/>
  <c r="FA15" i="100" s="1"/>
  <c r="DI20" i="100"/>
  <c r="FA20" i="100" s="1"/>
  <c r="DI27" i="100"/>
  <c r="FA27" i="100" s="1"/>
  <c r="DI50" i="100"/>
  <c r="FA50" i="100" s="1"/>
  <c r="DI61" i="100"/>
  <c r="FA61" i="100" s="1"/>
  <c r="DI63" i="100"/>
  <c r="FA63" i="100" s="1"/>
  <c r="DI22" i="100"/>
  <c r="FA22" i="100" s="1"/>
  <c r="DI42" i="100"/>
  <c r="FA42" i="100" s="1"/>
  <c r="DI58" i="100"/>
  <c r="FA58" i="100" s="1"/>
  <c r="DI53" i="100"/>
  <c r="FA53" i="100" s="1"/>
  <c r="DI25" i="100"/>
  <c r="FA25" i="100" s="1"/>
  <c r="ED7" i="100"/>
  <c r="FV7" i="100" s="1"/>
  <c r="ED9" i="100"/>
  <c r="FV9" i="100" s="1"/>
  <c r="ED31" i="100"/>
  <c r="FV31" i="100" s="1"/>
  <c r="ED19" i="100"/>
  <c r="FV19" i="100" s="1"/>
  <c r="ED21" i="100"/>
  <c r="FV21" i="100" s="1"/>
  <c r="ED17" i="100"/>
  <c r="FV17" i="100" s="1"/>
  <c r="ED28" i="100"/>
  <c r="FV28" i="100" s="1"/>
  <c r="ED25" i="100"/>
  <c r="FV25" i="100" s="1"/>
  <c r="ED16" i="100"/>
  <c r="FV16" i="100" s="1"/>
  <c r="ED41" i="100"/>
  <c r="FV41" i="100" s="1"/>
  <c r="ED48" i="100"/>
  <c r="FV48" i="100" s="1"/>
  <c r="ED43" i="100"/>
  <c r="FV43" i="100" s="1"/>
  <c r="ED65" i="100"/>
  <c r="FV65" i="100" s="1"/>
  <c r="ED39" i="100"/>
  <c r="FV39" i="100" s="1"/>
  <c r="ED62" i="100"/>
  <c r="FV62" i="100" s="1"/>
  <c r="ED51" i="100"/>
  <c r="FV51" i="100" s="1"/>
  <c r="ED50" i="100"/>
  <c r="FV50" i="100" s="1"/>
  <c r="ED47" i="100"/>
  <c r="FV47" i="100" s="1"/>
  <c r="ED38" i="100"/>
  <c r="FV38" i="100" s="1"/>
  <c r="ED57" i="100"/>
  <c r="FV57" i="100" s="1"/>
  <c r="ED8" i="100"/>
  <c r="FV8" i="100" s="1"/>
  <c r="ED26" i="100"/>
  <c r="FV26" i="100" s="1"/>
  <c r="ED15" i="100"/>
  <c r="FV15" i="100" s="1"/>
  <c r="ED18" i="100"/>
  <c r="FV18" i="100" s="1"/>
  <c r="ED24" i="100"/>
  <c r="FV24" i="100" s="1"/>
  <c r="ED23" i="100"/>
  <c r="FV23" i="100" s="1"/>
  <c r="ED46" i="100"/>
  <c r="FV46" i="100" s="1"/>
  <c r="ED33" i="100"/>
  <c r="FV33" i="100" s="1"/>
  <c r="ED61" i="100"/>
  <c r="FV61" i="100" s="1"/>
  <c r="ED34" i="100"/>
  <c r="FV34" i="100" s="1"/>
  <c r="ED56" i="100"/>
  <c r="FV56" i="100" s="1"/>
  <c r="ED49" i="100"/>
  <c r="FV49" i="100" s="1"/>
  <c r="ED40" i="100"/>
  <c r="FV40" i="100" s="1"/>
  <c r="ED35" i="100"/>
  <c r="FV35" i="100" s="1"/>
  <c r="ED45" i="100"/>
  <c r="FV45" i="100" s="1"/>
  <c r="ED63" i="100"/>
  <c r="FV63" i="100" s="1"/>
  <c r="ED54" i="100"/>
  <c r="FV54" i="100" s="1"/>
  <c r="ED13" i="100"/>
  <c r="FV13" i="100" s="1"/>
  <c r="ED11" i="100"/>
  <c r="FV11" i="100" s="1"/>
  <c r="ED14" i="100"/>
  <c r="FV14" i="100" s="1"/>
  <c r="ED12" i="100"/>
  <c r="FV12" i="100" s="1"/>
  <c r="ED29" i="100"/>
  <c r="FV29" i="100" s="1"/>
  <c r="ED22" i="100"/>
  <c r="FV22" i="100" s="1"/>
  <c r="ED27" i="100"/>
  <c r="FV27" i="100" s="1"/>
  <c r="ED20" i="100"/>
  <c r="FV20" i="100" s="1"/>
  <c r="ED30" i="100"/>
  <c r="FV30" i="100" s="1"/>
  <c r="ED55" i="100"/>
  <c r="FV55" i="100" s="1"/>
  <c r="ED64" i="100"/>
  <c r="FV64" i="100" s="1"/>
  <c r="ED53" i="100"/>
  <c r="FV53" i="100" s="1"/>
  <c r="ED42" i="100"/>
  <c r="FV42" i="100" s="1"/>
  <c r="ED58" i="100"/>
  <c r="FV58" i="100" s="1"/>
  <c r="ED59" i="100"/>
  <c r="FV59" i="100" s="1"/>
  <c r="ED52" i="100"/>
  <c r="FV52" i="100" s="1"/>
  <c r="ED36" i="100"/>
  <c r="FV36" i="100" s="1"/>
  <c r="ED60" i="100"/>
  <c r="FV60" i="100" s="1"/>
  <c r="ED66" i="100"/>
  <c r="FV66" i="100" s="1"/>
  <c r="ED32" i="100"/>
  <c r="FV32" i="100" s="1"/>
  <c r="ED37" i="100"/>
  <c r="FV37" i="100" s="1"/>
  <c r="ED44" i="100"/>
  <c r="FV44" i="100" s="1"/>
  <c r="DM9" i="100"/>
  <c r="FE9" i="100" s="1"/>
  <c r="DM8" i="100"/>
  <c r="FE8" i="100" s="1"/>
  <c r="DM7" i="100"/>
  <c r="FE7" i="100" s="1"/>
  <c r="DM16" i="100"/>
  <c r="FE16" i="100" s="1"/>
  <c r="DM11" i="100"/>
  <c r="FE11" i="100" s="1"/>
  <c r="DM19" i="100"/>
  <c r="FE19" i="100" s="1"/>
  <c r="DM12" i="100"/>
  <c r="FE12" i="100" s="1"/>
  <c r="DM18" i="100"/>
  <c r="FE18" i="100" s="1"/>
  <c r="DM10" i="100"/>
  <c r="FE10" i="100" s="1"/>
  <c r="DM15" i="100"/>
  <c r="FE15" i="100" s="1"/>
  <c r="DM24" i="100"/>
  <c r="FE24" i="100" s="1"/>
  <c r="DM25" i="100"/>
  <c r="FE25" i="100" s="1"/>
  <c r="DM32" i="100"/>
  <c r="FE32" i="100" s="1"/>
  <c r="DM35" i="100"/>
  <c r="FE35" i="100" s="1"/>
  <c r="DM20" i="100"/>
  <c r="FE20" i="100" s="1"/>
  <c r="DM28" i="100"/>
  <c r="FE28" i="100" s="1"/>
  <c r="DM56" i="100"/>
  <c r="FE56" i="100" s="1"/>
  <c r="DM38" i="100"/>
  <c r="FE38" i="100" s="1"/>
  <c r="DM66" i="100"/>
  <c r="FE66" i="100" s="1"/>
  <c r="DM46" i="100"/>
  <c r="FE46" i="100" s="1"/>
  <c r="DM64" i="100"/>
  <c r="FE64" i="100" s="1"/>
  <c r="DM44" i="100"/>
  <c r="FE44" i="100" s="1"/>
  <c r="DM58" i="100"/>
  <c r="FE58" i="100" s="1"/>
  <c r="DM41" i="100"/>
  <c r="FE41" i="100" s="1"/>
  <c r="DM52" i="100"/>
  <c r="FE52" i="100" s="1"/>
  <c r="DM42" i="100"/>
  <c r="FE42" i="100" s="1"/>
  <c r="DM31" i="100"/>
  <c r="FE31" i="100" s="1"/>
  <c r="DM13" i="100"/>
  <c r="FE13" i="100" s="1"/>
  <c r="DM30" i="100"/>
  <c r="FE30" i="100" s="1"/>
  <c r="DM21" i="100"/>
  <c r="FE21" i="100" s="1"/>
  <c r="DM33" i="100"/>
  <c r="FE33" i="100" s="1"/>
  <c r="DM63" i="100"/>
  <c r="FE63" i="100" s="1"/>
  <c r="DM48" i="100"/>
  <c r="FE48" i="100" s="1"/>
  <c r="DM62" i="100"/>
  <c r="FE62" i="100" s="1"/>
  <c r="DM39" i="100"/>
  <c r="FE39" i="100" s="1"/>
  <c r="DM60" i="100"/>
  <c r="FE60" i="100" s="1"/>
  <c r="DM65" i="100"/>
  <c r="FE65" i="100" s="1"/>
  <c r="DM51" i="100"/>
  <c r="FE51" i="100" s="1"/>
  <c r="DM61" i="100"/>
  <c r="FE61" i="100" s="1"/>
  <c r="DM14" i="100"/>
  <c r="FE14" i="100" s="1"/>
  <c r="DM17" i="100"/>
  <c r="FE17" i="100" s="1"/>
  <c r="DM26" i="100"/>
  <c r="FE26" i="100" s="1"/>
  <c r="DM29" i="100"/>
  <c r="FE29" i="100" s="1"/>
  <c r="DM36" i="100"/>
  <c r="FE36" i="100" s="1"/>
  <c r="DM34" i="100"/>
  <c r="FE34" i="100" s="1"/>
  <c r="DM43" i="100"/>
  <c r="FE43" i="100" s="1"/>
  <c r="DM57" i="100"/>
  <c r="FE57" i="100" s="1"/>
  <c r="DM40" i="100"/>
  <c r="FE40" i="100" s="1"/>
  <c r="DM54" i="100"/>
  <c r="FE54" i="100" s="1"/>
  <c r="DM45" i="100"/>
  <c r="FE45" i="100" s="1"/>
  <c r="DM37" i="100"/>
  <c r="FE37" i="100" s="1"/>
  <c r="DM23" i="100"/>
  <c r="FE23" i="100" s="1"/>
  <c r="DM22" i="100"/>
  <c r="FE22" i="100" s="1"/>
  <c r="DM50" i="100"/>
  <c r="FE50" i="100" s="1"/>
  <c r="DM59" i="100"/>
  <c r="FE59" i="100" s="1"/>
  <c r="DM27" i="100"/>
  <c r="FE27" i="100" s="1"/>
  <c r="DM55" i="100"/>
  <c r="FE55" i="100" s="1"/>
  <c r="DM53" i="100"/>
  <c r="FE53" i="100" s="1"/>
  <c r="DM49" i="100"/>
  <c r="FE49" i="100" s="1"/>
  <c r="DM47" i="100"/>
  <c r="FE47" i="100" s="1"/>
  <c r="EH8" i="100"/>
  <c r="FZ8" i="100" s="1"/>
  <c r="EH7" i="100"/>
  <c r="FZ7" i="100" s="1"/>
  <c r="EH9" i="100"/>
  <c r="FZ9" i="100" s="1"/>
  <c r="EH13" i="100"/>
  <c r="FZ13" i="100" s="1"/>
  <c r="EH12" i="100"/>
  <c r="FZ12" i="100" s="1"/>
  <c r="EH15" i="100"/>
  <c r="FZ15" i="100" s="1"/>
  <c r="EH14" i="100"/>
  <c r="FZ14" i="100" s="1"/>
  <c r="EH29" i="100"/>
  <c r="FZ29" i="100" s="1"/>
  <c r="EH27" i="100"/>
  <c r="FZ27" i="100" s="1"/>
  <c r="EH17" i="100"/>
  <c r="FZ17" i="100" s="1"/>
  <c r="EH11" i="100"/>
  <c r="FZ11" i="100" s="1"/>
  <c r="EH18" i="100"/>
  <c r="FZ18" i="100" s="1"/>
  <c r="EH28" i="100"/>
  <c r="FZ28" i="100" s="1"/>
  <c r="EH21" i="100"/>
  <c r="FZ21" i="100" s="1"/>
  <c r="EH37" i="100"/>
  <c r="FZ37" i="100" s="1"/>
  <c r="EH42" i="100"/>
  <c r="FZ42" i="100" s="1"/>
  <c r="EH66" i="100"/>
  <c r="FZ66" i="100" s="1"/>
  <c r="EH38" i="100"/>
  <c r="FZ38" i="100" s="1"/>
  <c r="EH50" i="100"/>
  <c r="FZ50" i="100" s="1"/>
  <c r="EH40" i="100"/>
  <c r="FZ40" i="100" s="1"/>
  <c r="EH62" i="100"/>
  <c r="FZ62" i="100" s="1"/>
  <c r="EH49" i="100"/>
  <c r="FZ49" i="100" s="1"/>
  <c r="EH54" i="100"/>
  <c r="FZ54" i="100" s="1"/>
  <c r="EH23" i="100"/>
  <c r="FZ23" i="100" s="1"/>
  <c r="EH16" i="100"/>
  <c r="FZ16" i="100" s="1"/>
  <c r="EH22" i="100"/>
  <c r="FZ22" i="100" s="1"/>
  <c r="EH25" i="100"/>
  <c r="FZ25" i="100" s="1"/>
  <c r="EH19" i="100"/>
  <c r="FZ19" i="100" s="1"/>
  <c r="EH20" i="100"/>
  <c r="FZ20" i="100" s="1"/>
  <c r="EH32" i="100"/>
  <c r="FZ32" i="100" s="1"/>
  <c r="EH57" i="100"/>
  <c r="FZ57" i="100" s="1"/>
  <c r="EH39" i="100"/>
  <c r="FZ39" i="100" s="1"/>
  <c r="EH51" i="100"/>
  <c r="FZ51" i="100" s="1"/>
  <c r="EH52" i="100"/>
  <c r="FZ52" i="100" s="1"/>
  <c r="EH53" i="100"/>
  <c r="FZ53" i="100" s="1"/>
  <c r="EH56" i="100"/>
  <c r="FZ56" i="100" s="1"/>
  <c r="EH48" i="100"/>
  <c r="FZ48" i="100" s="1"/>
  <c r="EH64" i="100"/>
  <c r="FZ64" i="100" s="1"/>
  <c r="EH10" i="100"/>
  <c r="FZ10" i="100" s="1"/>
  <c r="EH26" i="100"/>
  <c r="FZ26" i="100" s="1"/>
  <c r="EH24" i="100"/>
  <c r="FZ24" i="100" s="1"/>
  <c r="EH30" i="100"/>
  <c r="FZ30" i="100" s="1"/>
  <c r="EH31" i="100"/>
  <c r="FZ31" i="100" s="1"/>
  <c r="EH43" i="100"/>
  <c r="FZ43" i="100" s="1"/>
  <c r="EH46" i="100"/>
  <c r="FZ46" i="100" s="1"/>
  <c r="EH36" i="100"/>
  <c r="FZ36" i="100" s="1"/>
  <c r="EH59" i="100"/>
  <c r="FZ59" i="100" s="1"/>
  <c r="EH33" i="100"/>
  <c r="FZ33" i="100" s="1"/>
  <c r="EH61" i="100"/>
  <c r="FZ61" i="100" s="1"/>
  <c r="EH35" i="100"/>
  <c r="FZ35" i="100" s="1"/>
  <c r="EH55" i="100"/>
  <c r="FZ55" i="100" s="1"/>
  <c r="EH60" i="100"/>
  <c r="FZ60" i="100" s="1"/>
  <c r="EH45" i="100"/>
  <c r="FZ45" i="100" s="1"/>
  <c r="EH41" i="100"/>
  <c r="FZ41" i="100" s="1"/>
  <c r="EH63" i="100"/>
  <c r="FZ63" i="100" s="1"/>
  <c r="EH44" i="100"/>
  <c r="FZ44" i="100" s="1"/>
  <c r="EH34" i="100"/>
  <c r="FZ34" i="100" s="1"/>
  <c r="EH47" i="100"/>
  <c r="FZ47" i="100" s="1"/>
  <c r="EH58" i="100"/>
  <c r="FZ58" i="100" s="1"/>
  <c r="EH65" i="100"/>
  <c r="FZ65" i="100" s="1"/>
  <c r="DD14" i="100"/>
  <c r="EV14" i="100" s="1"/>
  <c r="DD46" i="100"/>
  <c r="EV46" i="100" s="1"/>
  <c r="DD16" i="100"/>
  <c r="EV16" i="100" s="1"/>
  <c r="DD7" i="100"/>
  <c r="EV7" i="100" s="1"/>
  <c r="DD9" i="100"/>
  <c r="EV9" i="100" s="1"/>
  <c r="DD8" i="100"/>
  <c r="EV8" i="100" s="1"/>
  <c r="DD11" i="100"/>
  <c r="EV11" i="100" s="1"/>
  <c r="DD24" i="100"/>
  <c r="EV24" i="100" s="1"/>
  <c r="DD55" i="100"/>
  <c r="EV55" i="100" s="1"/>
  <c r="DD18" i="100"/>
  <c r="EV18" i="100" s="1"/>
  <c r="DD61" i="100"/>
  <c r="EV61" i="100" s="1"/>
  <c r="DD15" i="100"/>
  <c r="EV15" i="100" s="1"/>
  <c r="DD33" i="100"/>
  <c r="EV33" i="100" s="1"/>
  <c r="DD19" i="100"/>
  <c r="EV19" i="100" s="1"/>
  <c r="DD37" i="100"/>
  <c r="EV37" i="100" s="1"/>
  <c r="DD10" i="100"/>
  <c r="EV10" i="100" s="1"/>
  <c r="DD22" i="100"/>
  <c r="EV22" i="100" s="1"/>
  <c r="DD48" i="100"/>
  <c r="EV48" i="100" s="1"/>
  <c r="DD41" i="100"/>
  <c r="EV41" i="100" s="1"/>
  <c r="DD49" i="100"/>
  <c r="EV49" i="100" s="1"/>
  <c r="DD50" i="100"/>
  <c r="EV50" i="100" s="1"/>
  <c r="DD20" i="100"/>
  <c r="EV20" i="100" s="1"/>
  <c r="DD64" i="100"/>
  <c r="EV64" i="100" s="1"/>
  <c r="DD47" i="100"/>
  <c r="EV47" i="100" s="1"/>
  <c r="DD43" i="100"/>
  <c r="EV43" i="100" s="1"/>
  <c r="DD25" i="100"/>
  <c r="EV25" i="100" s="1"/>
  <c r="DD56" i="100"/>
  <c r="EV56" i="100" s="1"/>
  <c r="DD27" i="100"/>
  <c r="EV27" i="100" s="1"/>
  <c r="DD58" i="100"/>
  <c r="EV58" i="100" s="1"/>
  <c r="DD13" i="100"/>
  <c r="EV13" i="100" s="1"/>
  <c r="DD36" i="100"/>
  <c r="EV36" i="100" s="1"/>
  <c r="DD29" i="100"/>
  <c r="EV29" i="100" s="1"/>
  <c r="DD65" i="100"/>
  <c r="EV65" i="100" s="1"/>
  <c r="DD51" i="100"/>
  <c r="EV51" i="100" s="1"/>
  <c r="DD35" i="100"/>
  <c r="EV35" i="100" s="1"/>
  <c r="DD17" i="100"/>
  <c r="EV17" i="100" s="1"/>
  <c r="DD44" i="100"/>
  <c r="EV44" i="100" s="1"/>
  <c r="DD34" i="100"/>
  <c r="EV34" i="100" s="1"/>
  <c r="DD66" i="100"/>
  <c r="EV66" i="100" s="1"/>
  <c r="DD38" i="100"/>
  <c r="EV38" i="100" s="1"/>
  <c r="DD57" i="100"/>
  <c r="EV57" i="100" s="1"/>
  <c r="DD21" i="100"/>
  <c r="EV21" i="100" s="1"/>
  <c r="DD28" i="100"/>
  <c r="EV28" i="100" s="1"/>
  <c r="DD54" i="100"/>
  <c r="EV54" i="100" s="1"/>
  <c r="DD60" i="100"/>
  <c r="EV60" i="100" s="1"/>
  <c r="DD40" i="100"/>
  <c r="EV40" i="100" s="1"/>
  <c r="DD12" i="100"/>
  <c r="EV12" i="100" s="1"/>
  <c r="DD32" i="100"/>
  <c r="EV32" i="100" s="1"/>
  <c r="DD26" i="100"/>
  <c r="EV26" i="100" s="1"/>
  <c r="DD52" i="100"/>
  <c r="EV52" i="100" s="1"/>
  <c r="DD31" i="100"/>
  <c r="EV31" i="100" s="1"/>
  <c r="DD53" i="100"/>
  <c r="EV53" i="100" s="1"/>
  <c r="DD42" i="100"/>
  <c r="EV42" i="100" s="1"/>
  <c r="DD63" i="100"/>
  <c r="EV63" i="100" s="1"/>
  <c r="DD23" i="100"/>
  <c r="EV23" i="100" s="1"/>
  <c r="DD39" i="100"/>
  <c r="EV39" i="100" s="1"/>
  <c r="DD62" i="100"/>
  <c r="EV62" i="100" s="1"/>
  <c r="DD59" i="100"/>
  <c r="EV59" i="100" s="1"/>
  <c r="DD45" i="100"/>
  <c r="EV45" i="100" s="1"/>
  <c r="DD30" i="100"/>
  <c r="EV30" i="100" s="1"/>
  <c r="EG9" i="100"/>
  <c r="FY9" i="100" s="1"/>
  <c r="EG16" i="100"/>
  <c r="FY16" i="100" s="1"/>
  <c r="EG11" i="100"/>
  <c r="FY11" i="100" s="1"/>
  <c r="EG17" i="100"/>
  <c r="FY17" i="100" s="1"/>
  <c r="EG13" i="100"/>
  <c r="FY13" i="100" s="1"/>
  <c r="EG21" i="100"/>
  <c r="FY21" i="100" s="1"/>
  <c r="EG8" i="100"/>
  <c r="FY8" i="100" s="1"/>
  <c r="EG12" i="100"/>
  <c r="FY12" i="100" s="1"/>
  <c r="EG29" i="100"/>
  <c r="FY29" i="100" s="1"/>
  <c r="EG23" i="100"/>
  <c r="FY23" i="100" s="1"/>
  <c r="EG15" i="100"/>
  <c r="FY15" i="100" s="1"/>
  <c r="EG19" i="100"/>
  <c r="FY19" i="100" s="1"/>
  <c r="EG20" i="100"/>
  <c r="FY20" i="100" s="1"/>
  <c r="EG27" i="100"/>
  <c r="FY27" i="100" s="1"/>
  <c r="EG30" i="100"/>
  <c r="FY30" i="100" s="1"/>
  <c r="EG65" i="100"/>
  <c r="FY65" i="100" s="1"/>
  <c r="EG64" i="100"/>
  <c r="FY64" i="100" s="1"/>
  <c r="EG46" i="100"/>
  <c r="FY46" i="100" s="1"/>
  <c r="EG62" i="100"/>
  <c r="FY62" i="100" s="1"/>
  <c r="EG44" i="100"/>
  <c r="FY44" i="100" s="1"/>
  <c r="EG50" i="100"/>
  <c r="FY50" i="100" s="1"/>
  <c r="EG34" i="100"/>
  <c r="FY34" i="100" s="1"/>
  <c r="EG66" i="100"/>
  <c r="FY66" i="100" s="1"/>
  <c r="EG48" i="100"/>
  <c r="FY48" i="100" s="1"/>
  <c r="EG35" i="100"/>
  <c r="FY35" i="100" s="1"/>
  <c r="EG47" i="100"/>
  <c r="FY47" i="100" s="1"/>
  <c r="EG31" i="100"/>
  <c r="FY31" i="100" s="1"/>
  <c r="EG10" i="100"/>
  <c r="FY10" i="100" s="1"/>
  <c r="EG24" i="100"/>
  <c r="FY24" i="100" s="1"/>
  <c r="EG28" i="100"/>
  <c r="FY28" i="100" s="1"/>
  <c r="EG18" i="100"/>
  <c r="FY18" i="100" s="1"/>
  <c r="EG57" i="100"/>
  <c r="FY57" i="100" s="1"/>
  <c r="EG37" i="100"/>
  <c r="FY37" i="100" s="1"/>
  <c r="EG60" i="100"/>
  <c r="FY60" i="100" s="1"/>
  <c r="EG33" i="100"/>
  <c r="FY33" i="100" s="1"/>
  <c r="EG55" i="100"/>
  <c r="FY55" i="100" s="1"/>
  <c r="EG42" i="100"/>
  <c r="FY42" i="100" s="1"/>
  <c r="EG61" i="100"/>
  <c r="FY61" i="100" s="1"/>
  <c r="EG40" i="100"/>
  <c r="FY40" i="100" s="1"/>
  <c r="EG49" i="100"/>
  <c r="FY49" i="100" s="1"/>
  <c r="EG7" i="100"/>
  <c r="FY7" i="100" s="1"/>
  <c r="EG14" i="100"/>
  <c r="FY14" i="100" s="1"/>
  <c r="EG26" i="100"/>
  <c r="FY26" i="100" s="1"/>
  <c r="EG22" i="100"/>
  <c r="FY22" i="100" s="1"/>
  <c r="EG54" i="100"/>
  <c r="FY54" i="100" s="1"/>
  <c r="EG45" i="100"/>
  <c r="FY45" i="100" s="1"/>
  <c r="EG52" i="100"/>
  <c r="FY52" i="100" s="1"/>
  <c r="EG43" i="100"/>
  <c r="FY43" i="100" s="1"/>
  <c r="EG56" i="100"/>
  <c r="FY56" i="100" s="1"/>
  <c r="EG51" i="100"/>
  <c r="FY51" i="100" s="1"/>
  <c r="EG36" i="100"/>
  <c r="FY36" i="100" s="1"/>
  <c r="EG32" i="100"/>
  <c r="FY32" i="100" s="1"/>
  <c r="EG38" i="100"/>
  <c r="FY38" i="100" s="1"/>
  <c r="EG59" i="100"/>
  <c r="FY59" i="100" s="1"/>
  <c r="EG58" i="100"/>
  <c r="FY58" i="100" s="1"/>
  <c r="EG63" i="100"/>
  <c r="FY63" i="100" s="1"/>
  <c r="EG39" i="100"/>
  <c r="FY39" i="100" s="1"/>
  <c r="EG41" i="100"/>
  <c r="FY41" i="100" s="1"/>
  <c r="EG53" i="100"/>
  <c r="FY53" i="100" s="1"/>
  <c r="DG8" i="100"/>
  <c r="EY8" i="100" s="1"/>
  <c r="DG9" i="100"/>
  <c r="EY9" i="100" s="1"/>
  <c r="DG7" i="100"/>
  <c r="EY7" i="100" s="1"/>
  <c r="DG42" i="100"/>
  <c r="EY42" i="100" s="1"/>
  <c r="DG40" i="100"/>
  <c r="EY40" i="100" s="1"/>
  <c r="DG57" i="100"/>
  <c r="EY57" i="100" s="1"/>
  <c r="DG36" i="100"/>
  <c r="EY36" i="100" s="1"/>
  <c r="DG39" i="100"/>
  <c r="EY39" i="100" s="1"/>
  <c r="DG16" i="100"/>
  <c r="EY16" i="100" s="1"/>
  <c r="DG63" i="100"/>
  <c r="EY63" i="100" s="1"/>
  <c r="DG45" i="100"/>
  <c r="EY45" i="100" s="1"/>
  <c r="DG29" i="100"/>
  <c r="EY29" i="100" s="1"/>
  <c r="DG13" i="100"/>
  <c r="EY13" i="100" s="1"/>
  <c r="DG59" i="100"/>
  <c r="EY59" i="100" s="1"/>
  <c r="DG24" i="100"/>
  <c r="EY24" i="100" s="1"/>
  <c r="DG28" i="100"/>
  <c r="EY28" i="100" s="1"/>
  <c r="DG56" i="100"/>
  <c r="EY56" i="100" s="1"/>
  <c r="DG49" i="100"/>
  <c r="EY49" i="100" s="1"/>
  <c r="DG62" i="100"/>
  <c r="EY62" i="100" s="1"/>
  <c r="DG50" i="100"/>
  <c r="EY50" i="100" s="1"/>
  <c r="DG65" i="100"/>
  <c r="EY65" i="100" s="1"/>
  <c r="DG47" i="100"/>
  <c r="EY47" i="100" s="1"/>
  <c r="DG31" i="100"/>
  <c r="EY31" i="100" s="1"/>
  <c r="DG15" i="100"/>
  <c r="EY15" i="100" s="1"/>
  <c r="DG61" i="100"/>
  <c r="EY61" i="100" s="1"/>
  <c r="DG34" i="100"/>
  <c r="EY34" i="100" s="1"/>
  <c r="DG30" i="100"/>
  <c r="EY30" i="100" s="1"/>
  <c r="DG12" i="100"/>
  <c r="EY12" i="100" s="1"/>
  <c r="DG51" i="100"/>
  <c r="EY51" i="100" s="1"/>
  <c r="DG44" i="100"/>
  <c r="EY44" i="100" s="1"/>
  <c r="DG20" i="100"/>
  <c r="EY20" i="100" s="1"/>
  <c r="DG11" i="100"/>
  <c r="EY11" i="100" s="1"/>
  <c r="DG10" i="100"/>
  <c r="EY10" i="100" s="1"/>
  <c r="DG18" i="100"/>
  <c r="EY18" i="100" s="1"/>
  <c r="DG33" i="100"/>
  <c r="EY33" i="100" s="1"/>
  <c r="DG41" i="100"/>
  <c r="EY41" i="100" s="1"/>
  <c r="DG27" i="100"/>
  <c r="EY27" i="100" s="1"/>
  <c r="DG58" i="100"/>
  <c r="EY58" i="100" s="1"/>
  <c r="DG38" i="100"/>
  <c r="EY38" i="100" s="1"/>
  <c r="DG32" i="100"/>
  <c r="EY32" i="100" s="1"/>
  <c r="DG14" i="100"/>
  <c r="EY14" i="100" s="1"/>
  <c r="DG53" i="100"/>
  <c r="EY53" i="100" s="1"/>
  <c r="DG46" i="100"/>
  <c r="EY46" i="100" s="1"/>
  <c r="DG23" i="100"/>
  <c r="EY23" i="100" s="1"/>
  <c r="DG52" i="100"/>
  <c r="EY52" i="100" s="1"/>
  <c r="DG35" i="100"/>
  <c r="EY35" i="100" s="1"/>
  <c r="DG19" i="100"/>
  <c r="EY19" i="100" s="1"/>
  <c r="DG55" i="100"/>
  <c r="EY55" i="100" s="1"/>
  <c r="DG54" i="100"/>
  <c r="EY54" i="100" s="1"/>
  <c r="DG43" i="100"/>
  <c r="EY43" i="100" s="1"/>
  <c r="DG26" i="100"/>
  <c r="EY26" i="100" s="1"/>
  <c r="DG48" i="100"/>
  <c r="EY48" i="100" s="1"/>
  <c r="DG37" i="100"/>
  <c r="EY37" i="100" s="1"/>
  <c r="DG22" i="100"/>
  <c r="EY22" i="100" s="1"/>
  <c r="DG66" i="100"/>
  <c r="EY66" i="100" s="1"/>
  <c r="DG17" i="100"/>
  <c r="EY17" i="100" s="1"/>
  <c r="DG25" i="100"/>
  <c r="EY25" i="100" s="1"/>
  <c r="DG21" i="100"/>
  <c r="EY21" i="100" s="1"/>
  <c r="DG64" i="100"/>
  <c r="EY64" i="100" s="1"/>
  <c r="DG60" i="100"/>
  <c r="EY60" i="100" s="1"/>
  <c r="DX10" i="100"/>
  <c r="FP10" i="100" s="1"/>
  <c r="DX9" i="100"/>
  <c r="FP9" i="100" s="1"/>
  <c r="DX14" i="100"/>
  <c r="FP14" i="100" s="1"/>
  <c r="DX7" i="100"/>
  <c r="FP7" i="100" s="1"/>
  <c r="DX11" i="100"/>
  <c r="FP11" i="100" s="1"/>
  <c r="DX8" i="100"/>
  <c r="FP8" i="100" s="1"/>
  <c r="DX16" i="100"/>
  <c r="FP16" i="100" s="1"/>
  <c r="DX15" i="100"/>
  <c r="FP15" i="100" s="1"/>
  <c r="DX18" i="100"/>
  <c r="FP18" i="100" s="1"/>
  <c r="DX19" i="100"/>
  <c r="FP19" i="100" s="1"/>
  <c r="DX24" i="100"/>
  <c r="FP24" i="100" s="1"/>
  <c r="DX30" i="100"/>
  <c r="FP30" i="100" s="1"/>
  <c r="DX27" i="100"/>
  <c r="FP27" i="100" s="1"/>
  <c r="DX31" i="100"/>
  <c r="FP31" i="100" s="1"/>
  <c r="DX26" i="100"/>
  <c r="FP26" i="100" s="1"/>
  <c r="DX42" i="100"/>
  <c r="FP42" i="100" s="1"/>
  <c r="DX45" i="100"/>
  <c r="FP45" i="100" s="1"/>
  <c r="DX32" i="100"/>
  <c r="FP32" i="100" s="1"/>
  <c r="DX50" i="100"/>
  <c r="FP50" i="100" s="1"/>
  <c r="DX34" i="100"/>
  <c r="FP34" i="100" s="1"/>
  <c r="DX60" i="100"/>
  <c r="FP60" i="100" s="1"/>
  <c r="DX36" i="100"/>
  <c r="FP36" i="100" s="1"/>
  <c r="DX54" i="100"/>
  <c r="FP54" i="100" s="1"/>
  <c r="DX57" i="100"/>
  <c r="FP57" i="100" s="1"/>
  <c r="DX43" i="100"/>
  <c r="FP43" i="100" s="1"/>
  <c r="DX44" i="100"/>
  <c r="FP44" i="100" s="1"/>
  <c r="DX41" i="100"/>
  <c r="FP41" i="100" s="1"/>
  <c r="DX48" i="100"/>
  <c r="FP48" i="100" s="1"/>
  <c r="DX20" i="100"/>
  <c r="FP20" i="100" s="1"/>
  <c r="DX22" i="100"/>
  <c r="FP22" i="100" s="1"/>
  <c r="DX12" i="100"/>
  <c r="FP12" i="100" s="1"/>
  <c r="DX13" i="100"/>
  <c r="FP13" i="100" s="1"/>
  <c r="DX21" i="100"/>
  <c r="FP21" i="100" s="1"/>
  <c r="DX28" i="100"/>
  <c r="FP28" i="100" s="1"/>
  <c r="DX35" i="100"/>
  <c r="FP35" i="100" s="1"/>
  <c r="DX59" i="100"/>
  <c r="FP59" i="100" s="1"/>
  <c r="DX37" i="100"/>
  <c r="FP37" i="100" s="1"/>
  <c r="DX58" i="100"/>
  <c r="FP58" i="100" s="1"/>
  <c r="DX46" i="100"/>
  <c r="FP46" i="100" s="1"/>
  <c r="DX66" i="100"/>
  <c r="FP66" i="100" s="1"/>
  <c r="DX40" i="100"/>
  <c r="FP40" i="100" s="1"/>
  <c r="DX62" i="100"/>
  <c r="FP62" i="100" s="1"/>
  <c r="DX38" i="100"/>
  <c r="FP38" i="100" s="1"/>
  <c r="DX63" i="100"/>
  <c r="FP63" i="100" s="1"/>
  <c r="DX64" i="100"/>
  <c r="FP64" i="100" s="1"/>
  <c r="DX47" i="100"/>
  <c r="FP47" i="100" s="1"/>
  <c r="DX55" i="100"/>
  <c r="FP55" i="100" s="1"/>
  <c r="DX17" i="100"/>
  <c r="FP17" i="100" s="1"/>
  <c r="DX29" i="100"/>
  <c r="FP29" i="100" s="1"/>
  <c r="DX23" i="100"/>
  <c r="FP23" i="100" s="1"/>
  <c r="DX25" i="100"/>
  <c r="FP25" i="100" s="1"/>
  <c r="DX56" i="100"/>
  <c r="FP56" i="100" s="1"/>
  <c r="DX52" i="100"/>
  <c r="FP52" i="100" s="1"/>
  <c r="DX53" i="100"/>
  <c r="FP53" i="100" s="1"/>
  <c r="DX51" i="100"/>
  <c r="FP51" i="100" s="1"/>
  <c r="DX61" i="100"/>
  <c r="FP61" i="100" s="1"/>
  <c r="DX33" i="100"/>
  <c r="FP33" i="100" s="1"/>
  <c r="DX39" i="100"/>
  <c r="FP39" i="100" s="1"/>
  <c r="DX49" i="100"/>
  <c r="FP49" i="100" s="1"/>
  <c r="DX65" i="100"/>
  <c r="FP65" i="100" s="1"/>
  <c r="DZ7" i="100"/>
  <c r="FR7" i="100" s="1"/>
  <c r="DZ16" i="100"/>
  <c r="FR16" i="100" s="1"/>
  <c r="DZ13" i="100"/>
  <c r="FR13" i="100" s="1"/>
  <c r="DZ21" i="100"/>
  <c r="FR21" i="100" s="1"/>
  <c r="DZ27" i="100"/>
  <c r="FR27" i="100" s="1"/>
  <c r="DZ15" i="100"/>
  <c r="FR15" i="100" s="1"/>
  <c r="DZ31" i="100"/>
  <c r="FR31" i="100" s="1"/>
  <c r="DZ22" i="100"/>
  <c r="FR22" i="100" s="1"/>
  <c r="DZ11" i="100"/>
  <c r="FR11" i="100" s="1"/>
  <c r="DZ12" i="100"/>
  <c r="FR12" i="100" s="1"/>
  <c r="DZ34" i="100"/>
  <c r="FR34" i="100" s="1"/>
  <c r="DZ42" i="100"/>
  <c r="FR42" i="100" s="1"/>
  <c r="DZ36" i="100"/>
  <c r="FR36" i="100" s="1"/>
  <c r="DZ59" i="100"/>
  <c r="FR59" i="100" s="1"/>
  <c r="DZ33" i="100"/>
  <c r="FR33" i="100" s="1"/>
  <c r="DZ61" i="100"/>
  <c r="FR61" i="100" s="1"/>
  <c r="DZ35" i="100"/>
  <c r="FR35" i="100" s="1"/>
  <c r="DZ40" i="100"/>
  <c r="FR40" i="100" s="1"/>
  <c r="DZ29" i="100"/>
  <c r="FR29" i="100" s="1"/>
  <c r="DZ14" i="100"/>
  <c r="FR14" i="100" s="1"/>
  <c r="DZ28" i="100"/>
  <c r="FR28" i="100" s="1"/>
  <c r="DZ18" i="100"/>
  <c r="FR18" i="100" s="1"/>
  <c r="DZ19" i="100"/>
  <c r="FR19" i="100" s="1"/>
  <c r="DZ26" i="100"/>
  <c r="FR26" i="100" s="1"/>
  <c r="DZ8" i="100"/>
  <c r="FR8" i="100" s="1"/>
  <c r="DZ25" i="100"/>
  <c r="FR25" i="100" s="1"/>
  <c r="DZ37" i="100"/>
  <c r="FR37" i="100" s="1"/>
  <c r="DZ46" i="100"/>
  <c r="FR46" i="100" s="1"/>
  <c r="DZ62" i="100"/>
  <c r="FR62" i="100" s="1"/>
  <c r="DZ47" i="100"/>
  <c r="FR47" i="100" s="1"/>
  <c r="DZ50" i="100"/>
  <c r="FR50" i="100" s="1"/>
  <c r="DZ41" i="100"/>
  <c r="FR41" i="100" s="1"/>
  <c r="DZ63" i="100"/>
  <c r="FR63" i="100" s="1"/>
  <c r="DZ43" i="100"/>
  <c r="FR43" i="100" s="1"/>
  <c r="DZ65" i="100"/>
  <c r="FR65" i="100" s="1"/>
  <c r="DZ9" i="100"/>
  <c r="FR9" i="100" s="1"/>
  <c r="DZ17" i="100"/>
  <c r="FR17" i="100" s="1"/>
  <c r="DZ23" i="100"/>
  <c r="FR23" i="100" s="1"/>
  <c r="DZ20" i="100"/>
  <c r="FR20" i="100" s="1"/>
  <c r="DZ30" i="100"/>
  <c r="FR30" i="100" s="1"/>
  <c r="DZ10" i="100"/>
  <c r="FR10" i="100" s="1"/>
  <c r="DZ32" i="100"/>
  <c r="FR32" i="100" s="1"/>
  <c r="DZ57" i="100"/>
  <c r="FR57" i="100" s="1"/>
  <c r="DZ60" i="100"/>
  <c r="FR60" i="100" s="1"/>
  <c r="DZ38" i="100"/>
  <c r="FR38" i="100" s="1"/>
  <c r="DZ52" i="100"/>
  <c r="FR52" i="100" s="1"/>
  <c r="DZ49" i="100"/>
  <c r="FR49" i="100" s="1"/>
  <c r="DZ58" i="100"/>
  <c r="FR58" i="100" s="1"/>
  <c r="DZ44" i="100"/>
  <c r="FR44" i="100" s="1"/>
  <c r="DZ54" i="100"/>
  <c r="FR54" i="100" s="1"/>
  <c r="DZ24" i="100"/>
  <c r="FR24" i="100" s="1"/>
  <c r="DZ51" i="100"/>
  <c r="FR51" i="100" s="1"/>
  <c r="DZ55" i="100"/>
  <c r="FR55" i="100" s="1"/>
  <c r="DZ45" i="100"/>
  <c r="FR45" i="100" s="1"/>
  <c r="DZ64" i="100"/>
  <c r="FR64" i="100" s="1"/>
  <c r="DZ56" i="100"/>
  <c r="FR56" i="100" s="1"/>
  <c r="DZ48" i="100"/>
  <c r="FR48" i="100" s="1"/>
  <c r="DZ53" i="100"/>
  <c r="FR53" i="100" s="1"/>
  <c r="DZ39" i="100"/>
  <c r="FR39" i="100" s="1"/>
  <c r="DZ66" i="100"/>
  <c r="FR66" i="100" s="1"/>
  <c r="EQ7" i="100"/>
  <c r="GI7" i="100" s="1"/>
  <c r="EQ8" i="100"/>
  <c r="GI8" i="100" s="1"/>
  <c r="EQ18" i="100"/>
  <c r="GI18" i="100" s="1"/>
  <c r="EQ16" i="100"/>
  <c r="GI16" i="100" s="1"/>
  <c r="EQ23" i="100"/>
  <c r="GI23" i="100" s="1"/>
  <c r="EQ27" i="100"/>
  <c r="GI27" i="100" s="1"/>
  <c r="EQ19" i="100"/>
  <c r="GI19" i="100" s="1"/>
  <c r="EQ26" i="100"/>
  <c r="GI26" i="100" s="1"/>
  <c r="EQ29" i="100"/>
  <c r="GI29" i="100" s="1"/>
  <c r="EQ9" i="100"/>
  <c r="GI9" i="100" s="1"/>
  <c r="EQ24" i="100"/>
  <c r="GI24" i="100" s="1"/>
  <c r="EQ33" i="100"/>
  <c r="GI33" i="100" s="1"/>
  <c r="EQ36" i="100"/>
  <c r="GI36" i="100" s="1"/>
  <c r="EQ37" i="100"/>
  <c r="GI37" i="100" s="1"/>
  <c r="EQ35" i="100"/>
  <c r="GI35" i="100" s="1"/>
  <c r="EQ20" i="100"/>
  <c r="GI20" i="100" s="1"/>
  <c r="EQ34" i="100"/>
  <c r="GI34" i="100" s="1"/>
  <c r="EQ25" i="100"/>
  <c r="GI25" i="100" s="1"/>
  <c r="EQ43" i="100"/>
  <c r="GI43" i="100" s="1"/>
  <c r="EQ60" i="100"/>
  <c r="GI60" i="100" s="1"/>
  <c r="EQ50" i="100"/>
  <c r="GI50" i="100" s="1"/>
  <c r="EQ44" i="100"/>
  <c r="GI44" i="100" s="1"/>
  <c r="EQ63" i="100"/>
  <c r="GI63" i="100" s="1"/>
  <c r="EQ49" i="100"/>
  <c r="GI49" i="100" s="1"/>
  <c r="EQ65" i="100"/>
  <c r="GI65" i="100" s="1"/>
  <c r="EQ40" i="100"/>
  <c r="GI40" i="100" s="1"/>
  <c r="EQ42" i="100"/>
  <c r="GI42" i="100" s="1"/>
  <c r="EQ52" i="100"/>
  <c r="GI52" i="100" s="1"/>
  <c r="EQ59" i="100"/>
  <c r="GI59" i="100" s="1"/>
  <c r="EQ13" i="100"/>
  <c r="GI13" i="100" s="1"/>
  <c r="EQ12" i="100"/>
  <c r="GI12" i="100" s="1"/>
  <c r="EQ14" i="100"/>
  <c r="GI14" i="100" s="1"/>
  <c r="EQ10" i="100"/>
  <c r="GI10" i="100" s="1"/>
  <c r="EQ28" i="100"/>
  <c r="GI28" i="100" s="1"/>
  <c r="EQ21" i="100"/>
  <c r="GI21" i="100" s="1"/>
  <c r="EQ64" i="100"/>
  <c r="GI64" i="100" s="1"/>
  <c r="EQ38" i="100"/>
  <c r="GI38" i="100" s="1"/>
  <c r="EQ54" i="100"/>
  <c r="GI54" i="100" s="1"/>
  <c r="EQ55" i="100"/>
  <c r="GI55" i="100" s="1"/>
  <c r="EQ47" i="100"/>
  <c r="GI47" i="100" s="1"/>
  <c r="EQ62" i="100"/>
  <c r="GI62" i="100" s="1"/>
  <c r="EQ51" i="100"/>
  <c r="GI51" i="100" s="1"/>
  <c r="EQ66" i="100"/>
  <c r="GI66" i="100" s="1"/>
  <c r="EQ53" i="100"/>
  <c r="GI53" i="100" s="1"/>
  <c r="EQ58" i="100"/>
  <c r="GI58" i="100" s="1"/>
  <c r="EQ46" i="100"/>
  <c r="GI46" i="100" s="1"/>
  <c r="EQ22" i="100"/>
  <c r="GI22" i="100" s="1"/>
  <c r="EQ30" i="100"/>
  <c r="GI30" i="100" s="1"/>
  <c r="EQ15" i="100"/>
  <c r="GI15" i="100" s="1"/>
  <c r="EQ17" i="100"/>
  <c r="GI17" i="100" s="1"/>
  <c r="EQ11" i="100"/>
  <c r="GI11" i="100" s="1"/>
  <c r="EQ31" i="100"/>
  <c r="GI31" i="100" s="1"/>
  <c r="EQ32" i="100"/>
  <c r="GI32" i="100" s="1"/>
  <c r="EQ61" i="100"/>
  <c r="GI61" i="100" s="1"/>
  <c r="EQ41" i="100"/>
  <c r="GI41" i="100" s="1"/>
  <c r="EQ56" i="100"/>
  <c r="GI56" i="100" s="1"/>
  <c r="EQ48" i="100"/>
  <c r="GI48" i="100" s="1"/>
  <c r="EQ45" i="100"/>
  <c r="GI45" i="100" s="1"/>
  <c r="EQ57" i="100"/>
  <c r="GI57" i="100" s="1"/>
  <c r="EQ39" i="100"/>
  <c r="GI39" i="100" s="1"/>
  <c r="EF8" i="100"/>
  <c r="FX8" i="100" s="1"/>
  <c r="EF9" i="100"/>
  <c r="FX9" i="100" s="1"/>
  <c r="EF7" i="100"/>
  <c r="FX7" i="100" s="1"/>
  <c r="EF20" i="100"/>
  <c r="FX20" i="100" s="1"/>
  <c r="EF23" i="100"/>
  <c r="FX23" i="100" s="1"/>
  <c r="EF12" i="100"/>
  <c r="FX12" i="100" s="1"/>
  <c r="EF28" i="100"/>
  <c r="FX28" i="100" s="1"/>
  <c r="EF21" i="100"/>
  <c r="FX21" i="100" s="1"/>
  <c r="EF25" i="100"/>
  <c r="FX25" i="100" s="1"/>
  <c r="EF19" i="100"/>
  <c r="FX19" i="100" s="1"/>
  <c r="EF31" i="100"/>
  <c r="FX31" i="100" s="1"/>
  <c r="EF27" i="100"/>
  <c r="FX27" i="100" s="1"/>
  <c r="EF16" i="100"/>
  <c r="FX16" i="100" s="1"/>
  <c r="EF13" i="100"/>
  <c r="FX13" i="100" s="1"/>
  <c r="EF11" i="100"/>
  <c r="FX11" i="100" s="1"/>
  <c r="EF39" i="100"/>
  <c r="FX39" i="100" s="1"/>
  <c r="EF66" i="100"/>
  <c r="FX66" i="100" s="1"/>
  <c r="EF48" i="100"/>
  <c r="FX48" i="100" s="1"/>
  <c r="EF51" i="100"/>
  <c r="FX51" i="100" s="1"/>
  <c r="EF42" i="100"/>
  <c r="FX42" i="100" s="1"/>
  <c r="EF62" i="100"/>
  <c r="FX62" i="100" s="1"/>
  <c r="EF33" i="100"/>
  <c r="FX33" i="100" s="1"/>
  <c r="EF58" i="100"/>
  <c r="FX58" i="100" s="1"/>
  <c r="EF37" i="100"/>
  <c r="FX37" i="100" s="1"/>
  <c r="EF32" i="100"/>
  <c r="FX32" i="100" s="1"/>
  <c r="EF63" i="100"/>
  <c r="FX63" i="100" s="1"/>
  <c r="EF65" i="100"/>
  <c r="FX65" i="100" s="1"/>
  <c r="EF59" i="100"/>
  <c r="FX59" i="100" s="1"/>
  <c r="EF10" i="100"/>
  <c r="FX10" i="100" s="1"/>
  <c r="EF17" i="100"/>
  <c r="FX17" i="100" s="1"/>
  <c r="EF26" i="100"/>
  <c r="FX26" i="100" s="1"/>
  <c r="EF18" i="100"/>
  <c r="FX18" i="100" s="1"/>
  <c r="EF15" i="100"/>
  <c r="FX15" i="100" s="1"/>
  <c r="EF38" i="100"/>
  <c r="FX38" i="100" s="1"/>
  <c r="EF52" i="100"/>
  <c r="FX52" i="100" s="1"/>
  <c r="EF61" i="100"/>
  <c r="FX61" i="100" s="1"/>
  <c r="EF45" i="100"/>
  <c r="FX45" i="100" s="1"/>
  <c r="EF53" i="100"/>
  <c r="FX53" i="100" s="1"/>
  <c r="EF47" i="100"/>
  <c r="FX47" i="100" s="1"/>
  <c r="EF55" i="100"/>
  <c r="FX55" i="100" s="1"/>
  <c r="EF44" i="100"/>
  <c r="FX44" i="100" s="1"/>
  <c r="EF64" i="100"/>
  <c r="FX64" i="100" s="1"/>
  <c r="EF60" i="100"/>
  <c r="FX60" i="100" s="1"/>
  <c r="EF54" i="100"/>
  <c r="FX54" i="100" s="1"/>
  <c r="EF56" i="100"/>
  <c r="FX56" i="100" s="1"/>
  <c r="EF35" i="100"/>
  <c r="FX35" i="100" s="1"/>
  <c r="EF29" i="100"/>
  <c r="FX29" i="100" s="1"/>
  <c r="EF24" i="100"/>
  <c r="FX24" i="100" s="1"/>
  <c r="EF14" i="100"/>
  <c r="FX14" i="100" s="1"/>
  <c r="EF30" i="100"/>
  <c r="FX30" i="100" s="1"/>
  <c r="EF22" i="100"/>
  <c r="FX22" i="100" s="1"/>
  <c r="EF46" i="100"/>
  <c r="FX46" i="100" s="1"/>
  <c r="EF34" i="100"/>
  <c r="FX34" i="100" s="1"/>
  <c r="EF57" i="100"/>
  <c r="FX57" i="100" s="1"/>
  <c r="EF49" i="100"/>
  <c r="FX49" i="100" s="1"/>
  <c r="EF43" i="100"/>
  <c r="FX43" i="100" s="1"/>
  <c r="EF41" i="100"/>
  <c r="FX41" i="100" s="1"/>
  <c r="EF50" i="100"/>
  <c r="FX50" i="100" s="1"/>
  <c r="EF40" i="100"/>
  <c r="FX40" i="100" s="1"/>
  <c r="EF36" i="100"/>
  <c r="FX36" i="100" s="1"/>
  <c r="AA25" i="98"/>
  <c r="AA29" i="98"/>
  <c r="DT49" i="98" s="1"/>
  <c r="AA22" i="98"/>
  <c r="AF28" i="98"/>
  <c r="DU57" i="98" s="1"/>
  <c r="AF24" i="98"/>
  <c r="CZ29" i="98"/>
  <c r="CZ30" i="98"/>
  <c r="DI5" i="93"/>
  <c r="FA5" i="93" s="1"/>
  <c r="DI6" i="93"/>
  <c r="FA6" i="93" s="1"/>
  <c r="DI9" i="93"/>
  <c r="FA9" i="93" s="1"/>
  <c r="DI14" i="93"/>
  <c r="FA14" i="93" s="1"/>
  <c r="DI12" i="93"/>
  <c r="FA12" i="93" s="1"/>
  <c r="DI13" i="93"/>
  <c r="FA13" i="93" s="1"/>
  <c r="DI7" i="93"/>
  <c r="FA7" i="93" s="1"/>
  <c r="DI10" i="93"/>
  <c r="FA10" i="93" s="1"/>
  <c r="DI11" i="93"/>
  <c r="FA11" i="93" s="1"/>
  <c r="DI8" i="93"/>
  <c r="FA8" i="93" s="1"/>
  <c r="DI27" i="93"/>
  <c r="FA27" i="93" s="1"/>
  <c r="DI47" i="93"/>
  <c r="FA47" i="93" s="1"/>
  <c r="DI34" i="93"/>
  <c r="FA34" i="93" s="1"/>
  <c r="DI44" i="93"/>
  <c r="FA44" i="93" s="1"/>
  <c r="DI17" i="93"/>
  <c r="FA17" i="93" s="1"/>
  <c r="DI45" i="93"/>
  <c r="FA45" i="93" s="1"/>
  <c r="DI19" i="93"/>
  <c r="FA19" i="93" s="1"/>
  <c r="DI15" i="93"/>
  <c r="FA15" i="93" s="1"/>
  <c r="DI57" i="93"/>
  <c r="FA57" i="93" s="1"/>
  <c r="DI55" i="93"/>
  <c r="FA55" i="93" s="1"/>
  <c r="DI52" i="93"/>
  <c r="FA52" i="93" s="1"/>
  <c r="DI26" i="93"/>
  <c r="FA26" i="93" s="1"/>
  <c r="DI31" i="93"/>
  <c r="FA31" i="93" s="1"/>
  <c r="DI46" i="93"/>
  <c r="FA46" i="93" s="1"/>
  <c r="DI53" i="93"/>
  <c r="FA53" i="93" s="1"/>
  <c r="DI30" i="93"/>
  <c r="FA30" i="93" s="1"/>
  <c r="DI64" i="93"/>
  <c r="FA64" i="93" s="1"/>
  <c r="DI25" i="93"/>
  <c r="FA25" i="93" s="1"/>
  <c r="DI63" i="93"/>
  <c r="FA63" i="93" s="1"/>
  <c r="DI60" i="93"/>
  <c r="FA60" i="93" s="1"/>
  <c r="DI38" i="93"/>
  <c r="FA38" i="93" s="1"/>
  <c r="DI48" i="93"/>
  <c r="FA48" i="93" s="1"/>
  <c r="DI37" i="93"/>
  <c r="FA37" i="93" s="1"/>
  <c r="DI42" i="93"/>
  <c r="FA42" i="93" s="1"/>
  <c r="DI16" i="93"/>
  <c r="FA16" i="93" s="1"/>
  <c r="DI39" i="93"/>
  <c r="FA39" i="93" s="1"/>
  <c r="DI54" i="93"/>
  <c r="FA54" i="93" s="1"/>
  <c r="DI61" i="93"/>
  <c r="FA61" i="93" s="1"/>
  <c r="DI40" i="93"/>
  <c r="FA40" i="93" s="1"/>
  <c r="DI29" i="93"/>
  <c r="FA29" i="93" s="1"/>
  <c r="DI36" i="93"/>
  <c r="FA36" i="93" s="1"/>
  <c r="DI56" i="93"/>
  <c r="FA56" i="93" s="1"/>
  <c r="DI21" i="93"/>
  <c r="FA21" i="93" s="1"/>
  <c r="DI35" i="93"/>
  <c r="FA35" i="93" s="1"/>
  <c r="DI33" i="93"/>
  <c r="FA33" i="93" s="1"/>
  <c r="DI50" i="93"/>
  <c r="FA50" i="93" s="1"/>
  <c r="DI49" i="93"/>
  <c r="FA49" i="93" s="1"/>
  <c r="DI28" i="93"/>
  <c r="FA28" i="93" s="1"/>
  <c r="DI24" i="93"/>
  <c r="FA24" i="93" s="1"/>
  <c r="DI62" i="93"/>
  <c r="FA62" i="93" s="1"/>
  <c r="DI59" i="93"/>
  <c r="FA59" i="93" s="1"/>
  <c r="DI43" i="93"/>
  <c r="FA43" i="93" s="1"/>
  <c r="DI51" i="93"/>
  <c r="FA51" i="93" s="1"/>
  <c r="DI58" i="93"/>
  <c r="FA58" i="93" s="1"/>
  <c r="DI41" i="93"/>
  <c r="FA41" i="93" s="1"/>
  <c r="DI22" i="93"/>
  <c r="FA22" i="93" s="1"/>
  <c r="DI20" i="93"/>
  <c r="FA20" i="93" s="1"/>
  <c r="DI18" i="93"/>
  <c r="FA18" i="93" s="1"/>
  <c r="DI32" i="93"/>
  <c r="FA32" i="93" s="1"/>
  <c r="DI23" i="93"/>
  <c r="FA23" i="93" s="1"/>
  <c r="DX6" i="93"/>
  <c r="FP6" i="93" s="1"/>
  <c r="DX10" i="93"/>
  <c r="FP10" i="93" s="1"/>
  <c r="DX27" i="93"/>
  <c r="FP27" i="93" s="1"/>
  <c r="DX8" i="93"/>
  <c r="FP8" i="93" s="1"/>
  <c r="DX16" i="93"/>
  <c r="FP16" i="93" s="1"/>
  <c r="DX25" i="93"/>
  <c r="FP25" i="93" s="1"/>
  <c r="DX17" i="93"/>
  <c r="FP17" i="93" s="1"/>
  <c r="DX24" i="93"/>
  <c r="FP24" i="93" s="1"/>
  <c r="DX26" i="93"/>
  <c r="FP26" i="93" s="1"/>
  <c r="DX21" i="93"/>
  <c r="FP21" i="93" s="1"/>
  <c r="DX15" i="93"/>
  <c r="FP15" i="93" s="1"/>
  <c r="DX14" i="93"/>
  <c r="FP14" i="93" s="1"/>
  <c r="DX20" i="93"/>
  <c r="FP20" i="93" s="1"/>
  <c r="DX19" i="93"/>
  <c r="FP19" i="93" s="1"/>
  <c r="DX22" i="93"/>
  <c r="FP22" i="93" s="1"/>
  <c r="DX23" i="93"/>
  <c r="FP23" i="93" s="1"/>
  <c r="DX28" i="93"/>
  <c r="FP28" i="93" s="1"/>
  <c r="DX9" i="93"/>
  <c r="FP9" i="93" s="1"/>
  <c r="DX5" i="93"/>
  <c r="FP5" i="93" s="1"/>
  <c r="DX12" i="93"/>
  <c r="FP12" i="93" s="1"/>
  <c r="DX29" i="93"/>
  <c r="FP29" i="93" s="1"/>
  <c r="DX13" i="93"/>
  <c r="FP13" i="93" s="1"/>
  <c r="DX11" i="93"/>
  <c r="FP11" i="93" s="1"/>
  <c r="DX18" i="93"/>
  <c r="FP18" i="93" s="1"/>
  <c r="DX7" i="93"/>
  <c r="FP7" i="93" s="1"/>
  <c r="DX42" i="93"/>
  <c r="FP42" i="93" s="1"/>
  <c r="DX57" i="93"/>
  <c r="FP57" i="93" s="1"/>
  <c r="DX64" i="93"/>
  <c r="FP64" i="93" s="1"/>
  <c r="DX51" i="93"/>
  <c r="FP51" i="93" s="1"/>
  <c r="DX38" i="93"/>
  <c r="FP38" i="93" s="1"/>
  <c r="DX61" i="93"/>
  <c r="FP61" i="93" s="1"/>
  <c r="DX40" i="93"/>
  <c r="FP40" i="93" s="1"/>
  <c r="DX55" i="93"/>
  <c r="FP55" i="93" s="1"/>
  <c r="DX62" i="93"/>
  <c r="FP62" i="93" s="1"/>
  <c r="DX33" i="93"/>
  <c r="FP33" i="93" s="1"/>
  <c r="DX48" i="93"/>
  <c r="FP48" i="93" s="1"/>
  <c r="DX36" i="93"/>
  <c r="FP36" i="93" s="1"/>
  <c r="DX59" i="93"/>
  <c r="FP59" i="93" s="1"/>
  <c r="DX35" i="93"/>
  <c r="FP35" i="93" s="1"/>
  <c r="DX47" i="93"/>
  <c r="FP47" i="93" s="1"/>
  <c r="DX39" i="93"/>
  <c r="FP39" i="93" s="1"/>
  <c r="DX63" i="93"/>
  <c r="FP63" i="93" s="1"/>
  <c r="DX30" i="93"/>
  <c r="FP30" i="93" s="1"/>
  <c r="DX49" i="93"/>
  <c r="FP49" i="93" s="1"/>
  <c r="DX58" i="93"/>
  <c r="FP58" i="93" s="1"/>
  <c r="DX31" i="93"/>
  <c r="FP31" i="93" s="1"/>
  <c r="DX43" i="93"/>
  <c r="FP43" i="93" s="1"/>
  <c r="DX41" i="93"/>
  <c r="FP41" i="93" s="1"/>
  <c r="DX54" i="93"/>
  <c r="FP54" i="93" s="1"/>
  <c r="DX45" i="93"/>
  <c r="FP45" i="93" s="1"/>
  <c r="DX44" i="93"/>
  <c r="FP44" i="93" s="1"/>
  <c r="DX34" i="93"/>
  <c r="FP34" i="93" s="1"/>
  <c r="DX50" i="93"/>
  <c r="FP50" i="93" s="1"/>
  <c r="DX60" i="93"/>
  <c r="FP60" i="93" s="1"/>
  <c r="DX37" i="93"/>
  <c r="FP37" i="93" s="1"/>
  <c r="DX52" i="93"/>
  <c r="FP52" i="93" s="1"/>
  <c r="DX53" i="93"/>
  <c r="FP53" i="93" s="1"/>
  <c r="DX32" i="93"/>
  <c r="FP32" i="93" s="1"/>
  <c r="DX46" i="93"/>
  <c r="FP46" i="93" s="1"/>
  <c r="DX56" i="93"/>
  <c r="FP56" i="93" s="1"/>
  <c r="DH5" i="93"/>
  <c r="EZ5" i="93" s="1"/>
  <c r="DH10" i="93"/>
  <c r="EZ10" i="93" s="1"/>
  <c r="DH9" i="93"/>
  <c r="EZ9" i="93" s="1"/>
  <c r="DH12" i="93"/>
  <c r="EZ12" i="93" s="1"/>
  <c r="DH13" i="93"/>
  <c r="EZ13" i="93" s="1"/>
  <c r="DH7" i="93"/>
  <c r="EZ7" i="93" s="1"/>
  <c r="DH11" i="93"/>
  <c r="EZ11" i="93" s="1"/>
  <c r="DH8" i="93"/>
  <c r="EZ8" i="93" s="1"/>
  <c r="DH6" i="93"/>
  <c r="EZ6" i="93" s="1"/>
  <c r="DH14" i="93"/>
  <c r="EZ14" i="93" s="1"/>
  <c r="DH21" i="93"/>
  <c r="EZ21" i="93" s="1"/>
  <c r="DH27" i="93"/>
  <c r="EZ27" i="93" s="1"/>
  <c r="DH46" i="93"/>
  <c r="EZ46" i="93" s="1"/>
  <c r="DH58" i="93"/>
  <c r="EZ58" i="93" s="1"/>
  <c r="DH28" i="93"/>
  <c r="EZ28" i="93" s="1"/>
  <c r="DH45" i="93"/>
  <c r="EZ45" i="93" s="1"/>
  <c r="DH52" i="93"/>
  <c r="EZ52" i="93" s="1"/>
  <c r="DH24" i="93"/>
  <c r="EZ24" i="93" s="1"/>
  <c r="DH33" i="93"/>
  <c r="EZ33" i="93" s="1"/>
  <c r="DH47" i="93"/>
  <c r="EZ47" i="93" s="1"/>
  <c r="DH22" i="93"/>
  <c r="EZ22" i="93" s="1"/>
  <c r="DH37" i="93"/>
  <c r="EZ37" i="93" s="1"/>
  <c r="DH56" i="93"/>
  <c r="EZ56" i="93" s="1"/>
  <c r="DH18" i="93"/>
  <c r="EZ18" i="93" s="1"/>
  <c r="DH38" i="93"/>
  <c r="EZ38" i="93" s="1"/>
  <c r="DH55" i="93"/>
  <c r="EZ55" i="93" s="1"/>
  <c r="DH19" i="93"/>
  <c r="EZ19" i="93" s="1"/>
  <c r="DH29" i="93"/>
  <c r="EZ29" i="93" s="1"/>
  <c r="DH50" i="93"/>
  <c r="EZ50" i="93" s="1"/>
  <c r="DH60" i="93"/>
  <c r="EZ60" i="93" s="1"/>
  <c r="DH30" i="93"/>
  <c r="EZ30" i="93" s="1"/>
  <c r="DH49" i="93"/>
  <c r="EZ49" i="93" s="1"/>
  <c r="DH54" i="93"/>
  <c r="EZ54" i="93" s="1"/>
  <c r="DH32" i="93"/>
  <c r="EZ32" i="93" s="1"/>
  <c r="DH53" i="93"/>
  <c r="EZ53" i="93" s="1"/>
  <c r="DH62" i="93"/>
  <c r="EZ62" i="93" s="1"/>
  <c r="DH16" i="93"/>
  <c r="EZ16" i="93" s="1"/>
  <c r="DH39" i="93"/>
  <c r="EZ39" i="93" s="1"/>
  <c r="DH63" i="93"/>
  <c r="EZ63" i="93" s="1"/>
  <c r="DH25" i="93"/>
  <c r="EZ25" i="93" s="1"/>
  <c r="DH40" i="93"/>
  <c r="EZ40" i="93" s="1"/>
  <c r="DH57" i="93"/>
  <c r="EZ57" i="93" s="1"/>
  <c r="DH64" i="93"/>
  <c r="EZ64" i="93" s="1"/>
  <c r="DH34" i="93"/>
  <c r="EZ34" i="93" s="1"/>
  <c r="DH51" i="93"/>
  <c r="EZ51" i="93" s="1"/>
  <c r="DH17" i="93"/>
  <c r="EZ17" i="93" s="1"/>
  <c r="DH36" i="93"/>
  <c r="EZ36" i="93" s="1"/>
  <c r="DH61" i="93"/>
  <c r="EZ61" i="93" s="1"/>
  <c r="DH26" i="93"/>
  <c r="EZ26" i="93" s="1"/>
  <c r="DH41" i="93"/>
  <c r="EZ41" i="93" s="1"/>
  <c r="DH48" i="93"/>
  <c r="EZ48" i="93" s="1"/>
  <c r="DH23" i="93"/>
  <c r="EZ23" i="93" s="1"/>
  <c r="DH31" i="93"/>
  <c r="EZ31" i="93" s="1"/>
  <c r="DH43" i="93"/>
  <c r="EZ43" i="93" s="1"/>
  <c r="DH20" i="93"/>
  <c r="EZ20" i="93" s="1"/>
  <c r="DH42" i="93"/>
  <c r="EZ42" i="93" s="1"/>
  <c r="DH59" i="93"/>
  <c r="EZ59" i="93" s="1"/>
  <c r="DH15" i="93"/>
  <c r="EZ15" i="93" s="1"/>
  <c r="DH35" i="93"/>
  <c r="EZ35" i="93" s="1"/>
  <c r="DH44" i="93"/>
  <c r="EZ44" i="93" s="1"/>
  <c r="DY6" i="93"/>
  <c r="FQ6" i="93" s="1"/>
  <c r="DY19" i="93"/>
  <c r="FQ19" i="93" s="1"/>
  <c r="DY9" i="93"/>
  <c r="FQ9" i="93" s="1"/>
  <c r="DY14" i="93"/>
  <c r="FQ14" i="93" s="1"/>
  <c r="DY12" i="93"/>
  <c r="FQ12" i="93" s="1"/>
  <c r="DY15" i="93"/>
  <c r="FQ15" i="93" s="1"/>
  <c r="DY29" i="93"/>
  <c r="FQ29" i="93" s="1"/>
  <c r="DY24" i="93"/>
  <c r="FQ24" i="93" s="1"/>
  <c r="DY21" i="93"/>
  <c r="FQ21" i="93" s="1"/>
  <c r="DY26" i="93"/>
  <c r="FQ26" i="93" s="1"/>
  <c r="DY5" i="93"/>
  <c r="FQ5" i="93" s="1"/>
  <c r="DY10" i="93"/>
  <c r="FQ10" i="93" s="1"/>
  <c r="DY11" i="93"/>
  <c r="FQ11" i="93" s="1"/>
  <c r="DY7" i="93"/>
  <c r="FQ7" i="93" s="1"/>
  <c r="DY25" i="93"/>
  <c r="FQ25" i="93" s="1"/>
  <c r="DY16" i="93"/>
  <c r="FQ16" i="93" s="1"/>
  <c r="DY22" i="93"/>
  <c r="FQ22" i="93" s="1"/>
  <c r="DY27" i="93"/>
  <c r="FQ27" i="93" s="1"/>
  <c r="DY20" i="93"/>
  <c r="FQ20" i="93" s="1"/>
  <c r="DY23" i="93"/>
  <c r="FQ23" i="93" s="1"/>
  <c r="DY28" i="93"/>
  <c r="FQ28" i="93" s="1"/>
  <c r="DY13" i="93"/>
  <c r="FQ13" i="93" s="1"/>
  <c r="DY8" i="93"/>
  <c r="FQ8" i="93" s="1"/>
  <c r="DY18" i="93"/>
  <c r="FQ18" i="93" s="1"/>
  <c r="DY17" i="93"/>
  <c r="FQ17" i="93" s="1"/>
  <c r="DY41" i="93"/>
  <c r="FQ41" i="93" s="1"/>
  <c r="DY60" i="93"/>
  <c r="FQ60" i="93" s="1"/>
  <c r="DY35" i="93"/>
  <c r="FQ35" i="93" s="1"/>
  <c r="DY62" i="93"/>
  <c r="FQ62" i="93" s="1"/>
  <c r="DY30" i="93"/>
  <c r="FQ30" i="93" s="1"/>
  <c r="DY56" i="93"/>
  <c r="FQ56" i="93" s="1"/>
  <c r="DY61" i="93"/>
  <c r="FQ61" i="93" s="1"/>
  <c r="DY38" i="93"/>
  <c r="FQ38" i="93" s="1"/>
  <c r="DY55" i="93"/>
  <c r="FQ55" i="93" s="1"/>
  <c r="DY45" i="93"/>
  <c r="FQ45" i="93" s="1"/>
  <c r="DY40" i="93"/>
  <c r="FQ40" i="93" s="1"/>
  <c r="DY47" i="93"/>
  <c r="FQ47" i="93" s="1"/>
  <c r="DY51" i="93"/>
  <c r="FQ51" i="93" s="1"/>
  <c r="DY37" i="93"/>
  <c r="FQ37" i="93" s="1"/>
  <c r="DY64" i="93"/>
  <c r="FQ64" i="93" s="1"/>
  <c r="DY31" i="93"/>
  <c r="FQ31" i="93" s="1"/>
  <c r="DY58" i="93"/>
  <c r="FQ58" i="93" s="1"/>
  <c r="DY63" i="93"/>
  <c r="FQ63" i="93" s="1"/>
  <c r="DY44" i="93"/>
  <c r="FQ44" i="93" s="1"/>
  <c r="DY50" i="93"/>
  <c r="FQ50" i="93" s="1"/>
  <c r="DY46" i="93"/>
  <c r="FQ46" i="93" s="1"/>
  <c r="DY59" i="93"/>
  <c r="FQ59" i="93" s="1"/>
  <c r="DY49" i="93"/>
  <c r="FQ49" i="93" s="1"/>
  <c r="DY34" i="93"/>
  <c r="FQ34" i="93" s="1"/>
  <c r="DY39" i="93"/>
  <c r="FQ39" i="93" s="1"/>
  <c r="DY32" i="93"/>
  <c r="FQ32" i="93" s="1"/>
  <c r="DY33" i="93"/>
  <c r="FQ33" i="93" s="1"/>
  <c r="DY52" i="93"/>
  <c r="FQ52" i="93" s="1"/>
  <c r="DY57" i="93"/>
  <c r="FQ57" i="93" s="1"/>
  <c r="DY54" i="93"/>
  <c r="FQ54" i="93" s="1"/>
  <c r="DY36" i="93"/>
  <c r="FQ36" i="93" s="1"/>
  <c r="DY48" i="93"/>
  <c r="FQ48" i="93" s="1"/>
  <c r="DY53" i="93"/>
  <c r="FQ53" i="93" s="1"/>
  <c r="DY43" i="93"/>
  <c r="FQ43" i="93" s="1"/>
  <c r="DY42" i="93"/>
  <c r="FQ42" i="93" s="1"/>
  <c r="EI6" i="93"/>
  <c r="GA6" i="93" s="1"/>
  <c r="EI5" i="93"/>
  <c r="GA5" i="93" s="1"/>
  <c r="EI34" i="93"/>
  <c r="GA34" i="93" s="1"/>
  <c r="EI10" i="93"/>
  <c r="GA10" i="93" s="1"/>
  <c r="EI12" i="93"/>
  <c r="GA12" i="93" s="1"/>
  <c r="EI33" i="93"/>
  <c r="GA33" i="93" s="1"/>
  <c r="EI26" i="93"/>
  <c r="GA26" i="93" s="1"/>
  <c r="EI29" i="93"/>
  <c r="GA29" i="93" s="1"/>
  <c r="EI23" i="93"/>
  <c r="GA23" i="93" s="1"/>
  <c r="EI15" i="93"/>
  <c r="GA15" i="93" s="1"/>
  <c r="EI21" i="93"/>
  <c r="GA21" i="93" s="1"/>
  <c r="EI35" i="93"/>
  <c r="GA35" i="93" s="1"/>
  <c r="EI30" i="93"/>
  <c r="GA30" i="93" s="1"/>
  <c r="EI8" i="93"/>
  <c r="GA8" i="93" s="1"/>
  <c r="EI22" i="93"/>
  <c r="GA22" i="93" s="1"/>
  <c r="EI28" i="93"/>
  <c r="GA28" i="93" s="1"/>
  <c r="EI27" i="93"/>
  <c r="GA27" i="93" s="1"/>
  <c r="EI9" i="93"/>
  <c r="GA9" i="93" s="1"/>
  <c r="EI11" i="93"/>
  <c r="GA11" i="93" s="1"/>
  <c r="EI14" i="93"/>
  <c r="GA14" i="93" s="1"/>
  <c r="EI16" i="93"/>
  <c r="GA16" i="93" s="1"/>
  <c r="EI24" i="93"/>
  <c r="GA24" i="93" s="1"/>
  <c r="EI13" i="93"/>
  <c r="GA13" i="93" s="1"/>
  <c r="EI18" i="93"/>
  <c r="GA18" i="93" s="1"/>
  <c r="EI19" i="93"/>
  <c r="GA19" i="93" s="1"/>
  <c r="EI32" i="93"/>
  <c r="GA32" i="93" s="1"/>
  <c r="EI7" i="93"/>
  <c r="GA7" i="93" s="1"/>
  <c r="EI25" i="93"/>
  <c r="GA25" i="93" s="1"/>
  <c r="EI20" i="93"/>
  <c r="GA20" i="93" s="1"/>
  <c r="EI17" i="93"/>
  <c r="GA17" i="93" s="1"/>
  <c r="EI31" i="93"/>
  <c r="GA31" i="93" s="1"/>
  <c r="EI47" i="93"/>
  <c r="GA47" i="93" s="1"/>
  <c r="EI56" i="93"/>
  <c r="GA56" i="93" s="1"/>
  <c r="EI51" i="93"/>
  <c r="GA51" i="93" s="1"/>
  <c r="EI48" i="93"/>
  <c r="GA48" i="93" s="1"/>
  <c r="EI57" i="93"/>
  <c r="GA57" i="93" s="1"/>
  <c r="EI63" i="93"/>
  <c r="GA63" i="93" s="1"/>
  <c r="EI37" i="93"/>
  <c r="GA37" i="93" s="1"/>
  <c r="EI53" i="93"/>
  <c r="GA53" i="93" s="1"/>
  <c r="EI64" i="93"/>
  <c r="GA64" i="93" s="1"/>
  <c r="EI59" i="93"/>
  <c r="GA59" i="93" s="1"/>
  <c r="EI55" i="93"/>
  <c r="GA55" i="93" s="1"/>
  <c r="EI50" i="93"/>
  <c r="GA50" i="93" s="1"/>
  <c r="EI52" i="93"/>
  <c r="GA52" i="93" s="1"/>
  <c r="EI39" i="93"/>
  <c r="GA39" i="93" s="1"/>
  <c r="EI36" i="93"/>
  <c r="GA36" i="93" s="1"/>
  <c r="EI61" i="93"/>
  <c r="GA61" i="93" s="1"/>
  <c r="EI44" i="93"/>
  <c r="GA44" i="93" s="1"/>
  <c r="EI54" i="93"/>
  <c r="GA54" i="93" s="1"/>
  <c r="EI60" i="93"/>
  <c r="GA60" i="93" s="1"/>
  <c r="EI38" i="93"/>
  <c r="GA38" i="93" s="1"/>
  <c r="EI40" i="93"/>
  <c r="GA40" i="93" s="1"/>
  <c r="EI58" i="93"/>
  <c r="GA58" i="93" s="1"/>
  <c r="EI46" i="93"/>
  <c r="GA46" i="93" s="1"/>
  <c r="EI41" i="93"/>
  <c r="GA41" i="93" s="1"/>
  <c r="EI45" i="93"/>
  <c r="GA45" i="93" s="1"/>
  <c r="EI62" i="93"/>
  <c r="GA62" i="93" s="1"/>
  <c r="EI43" i="93"/>
  <c r="GA43" i="93" s="1"/>
  <c r="EI49" i="93"/>
  <c r="GA49" i="93" s="1"/>
  <c r="EI42" i="93"/>
  <c r="GA42" i="93" s="1"/>
  <c r="DS8" i="93"/>
  <c r="FK8" i="93" s="1"/>
  <c r="DS5" i="93"/>
  <c r="FK5" i="93" s="1"/>
  <c r="DS21" i="93"/>
  <c r="FK21" i="93" s="1"/>
  <c r="DS12" i="93"/>
  <c r="FK12" i="93" s="1"/>
  <c r="DS11" i="93"/>
  <c r="FK11" i="93" s="1"/>
  <c r="DS20" i="93"/>
  <c r="FK20" i="93" s="1"/>
  <c r="DS17" i="93"/>
  <c r="FK17" i="93" s="1"/>
  <c r="DS18" i="93"/>
  <c r="FK18" i="93" s="1"/>
  <c r="DS14" i="93"/>
  <c r="FK14" i="93" s="1"/>
  <c r="DS7" i="93"/>
  <c r="FK7" i="93" s="1"/>
  <c r="DS15" i="93"/>
  <c r="FK15" i="93" s="1"/>
  <c r="DS19" i="93"/>
  <c r="FK19" i="93" s="1"/>
  <c r="DS16" i="93"/>
  <c r="FK16" i="93" s="1"/>
  <c r="DS9" i="93"/>
  <c r="FK9" i="93" s="1"/>
  <c r="DS22" i="93"/>
  <c r="FK22" i="93" s="1"/>
  <c r="DS23" i="93"/>
  <c r="FK23" i="93" s="1"/>
  <c r="DS13" i="93"/>
  <c r="FK13" i="93" s="1"/>
  <c r="DS10" i="93"/>
  <c r="FK10" i="93" s="1"/>
  <c r="DS6" i="93"/>
  <c r="FK6" i="93" s="1"/>
  <c r="DS40" i="93"/>
  <c r="FK40" i="93" s="1"/>
  <c r="DS61" i="93"/>
  <c r="FK61" i="93" s="1"/>
  <c r="DS28" i="93"/>
  <c r="FK28" i="93" s="1"/>
  <c r="DS48" i="93"/>
  <c r="FK48" i="93" s="1"/>
  <c r="DS33" i="93"/>
  <c r="FK33" i="93" s="1"/>
  <c r="DS42" i="93"/>
  <c r="FK42" i="93" s="1"/>
  <c r="DS62" i="93"/>
  <c r="FK62" i="93" s="1"/>
  <c r="DS55" i="93"/>
  <c r="FK55" i="93" s="1"/>
  <c r="DS43" i="93"/>
  <c r="FK43" i="93" s="1"/>
  <c r="DS44" i="93"/>
  <c r="FK44" i="93" s="1"/>
  <c r="DS27" i="93"/>
  <c r="FK27" i="93" s="1"/>
  <c r="DS31" i="93"/>
  <c r="FK31" i="93" s="1"/>
  <c r="DS50" i="93"/>
  <c r="FK50" i="93" s="1"/>
  <c r="DS41" i="93"/>
  <c r="FK41" i="93" s="1"/>
  <c r="DS30" i="93"/>
  <c r="FK30" i="93" s="1"/>
  <c r="DS45" i="93"/>
  <c r="FK45" i="93" s="1"/>
  <c r="DS56" i="93"/>
  <c r="FK56" i="93" s="1"/>
  <c r="DS46" i="93"/>
  <c r="FK46" i="93" s="1"/>
  <c r="DS24" i="93"/>
  <c r="FK24" i="93" s="1"/>
  <c r="DS52" i="93"/>
  <c r="FK52" i="93" s="1"/>
  <c r="DS57" i="93"/>
  <c r="FK57" i="93" s="1"/>
  <c r="DS49" i="93"/>
  <c r="FK49" i="93" s="1"/>
  <c r="DS32" i="93"/>
  <c r="FK32" i="93" s="1"/>
  <c r="DS59" i="93"/>
  <c r="FK59" i="93" s="1"/>
  <c r="DS34" i="93"/>
  <c r="FK34" i="93" s="1"/>
  <c r="DS47" i="93"/>
  <c r="FK47" i="93" s="1"/>
  <c r="DS58" i="93"/>
  <c r="FK58" i="93" s="1"/>
  <c r="DS38" i="93"/>
  <c r="FK38" i="93" s="1"/>
  <c r="DS51" i="93"/>
  <c r="FK51" i="93" s="1"/>
  <c r="DS64" i="93"/>
  <c r="FK64" i="93" s="1"/>
  <c r="DS37" i="93"/>
  <c r="FK37" i="93" s="1"/>
  <c r="DS29" i="93"/>
  <c r="FK29" i="93" s="1"/>
  <c r="DS26" i="93"/>
  <c r="FK26" i="93" s="1"/>
  <c r="DS54" i="93"/>
  <c r="FK54" i="93" s="1"/>
  <c r="DS63" i="93"/>
  <c r="FK63" i="93" s="1"/>
  <c r="DS35" i="93"/>
  <c r="FK35" i="93" s="1"/>
  <c r="DS25" i="93"/>
  <c r="FK25" i="93" s="1"/>
  <c r="DS36" i="93"/>
  <c r="FK36" i="93" s="1"/>
  <c r="DS53" i="93"/>
  <c r="FK53" i="93" s="1"/>
  <c r="DS39" i="93"/>
  <c r="FK39" i="93" s="1"/>
  <c r="DS60" i="93"/>
  <c r="FK60" i="93" s="1"/>
  <c r="DC5" i="93"/>
  <c r="EU5" i="93" s="1"/>
  <c r="DC6" i="93"/>
  <c r="EU6" i="93" s="1"/>
  <c r="DC8" i="93"/>
  <c r="EU8" i="93" s="1"/>
  <c r="DC7" i="93"/>
  <c r="EU7" i="93" s="1"/>
  <c r="DC9" i="93"/>
  <c r="EU9" i="93" s="1"/>
  <c r="DC49" i="93"/>
  <c r="EU49" i="93" s="1"/>
  <c r="DC48" i="93"/>
  <c r="EU48" i="93" s="1"/>
  <c r="DC27" i="93"/>
  <c r="EU27" i="93" s="1"/>
  <c r="DC34" i="93"/>
  <c r="EU34" i="93" s="1"/>
  <c r="DC38" i="93"/>
  <c r="EU38" i="93" s="1"/>
  <c r="DC55" i="93"/>
  <c r="EU55" i="93" s="1"/>
  <c r="DC28" i="93"/>
  <c r="EU28" i="93" s="1"/>
  <c r="DC50" i="93"/>
  <c r="EU50" i="93" s="1"/>
  <c r="DC31" i="93"/>
  <c r="EU31" i="93" s="1"/>
  <c r="DC36" i="93"/>
  <c r="EU36" i="93" s="1"/>
  <c r="DC16" i="93"/>
  <c r="EU16" i="93" s="1"/>
  <c r="DC23" i="93"/>
  <c r="EU23" i="93" s="1"/>
  <c r="DC40" i="93"/>
  <c r="EU40" i="93" s="1"/>
  <c r="DC12" i="93"/>
  <c r="EU12" i="93" s="1"/>
  <c r="DC14" i="93"/>
  <c r="EU14" i="93" s="1"/>
  <c r="DC59" i="93"/>
  <c r="EU59" i="93" s="1"/>
  <c r="DC44" i="93"/>
  <c r="EU44" i="93" s="1"/>
  <c r="DC61" i="93"/>
  <c r="EU61" i="93" s="1"/>
  <c r="DC26" i="93"/>
  <c r="EU26" i="93" s="1"/>
  <c r="DC30" i="93"/>
  <c r="EU30" i="93" s="1"/>
  <c r="DC18" i="93"/>
  <c r="EU18" i="93" s="1"/>
  <c r="DC11" i="93"/>
  <c r="EU11" i="93" s="1"/>
  <c r="DC19" i="93"/>
  <c r="EU19" i="93" s="1"/>
  <c r="DC56" i="93"/>
  <c r="EU56" i="93" s="1"/>
  <c r="DC58" i="93"/>
  <c r="EU58" i="93" s="1"/>
  <c r="DC57" i="93"/>
  <c r="EU57" i="93" s="1"/>
  <c r="DC22" i="93"/>
  <c r="EU22" i="93" s="1"/>
  <c r="DC20" i="93"/>
  <c r="EU20" i="93" s="1"/>
  <c r="DC21" i="93"/>
  <c r="EU21" i="93" s="1"/>
  <c r="DC63" i="93"/>
  <c r="EU63" i="93" s="1"/>
  <c r="DC45" i="93"/>
  <c r="EU45" i="93" s="1"/>
  <c r="DC47" i="93"/>
  <c r="EU47" i="93" s="1"/>
  <c r="DC42" i="93"/>
  <c r="EU42" i="93" s="1"/>
  <c r="DC17" i="93"/>
  <c r="EU17" i="93" s="1"/>
  <c r="DC62" i="93"/>
  <c r="EU62" i="93" s="1"/>
  <c r="DC25" i="93"/>
  <c r="EU25" i="93" s="1"/>
  <c r="DC10" i="93"/>
  <c r="EU10" i="93" s="1"/>
  <c r="DC64" i="93"/>
  <c r="EU64" i="93" s="1"/>
  <c r="DC24" i="93"/>
  <c r="EU24" i="93" s="1"/>
  <c r="DC39" i="93"/>
  <c r="EU39" i="93" s="1"/>
  <c r="DC37" i="93"/>
  <c r="EU37" i="93" s="1"/>
  <c r="DC52" i="93"/>
  <c r="EU52" i="93" s="1"/>
  <c r="DC43" i="93"/>
  <c r="EU43" i="93" s="1"/>
  <c r="DC13" i="93"/>
  <c r="EU13" i="93" s="1"/>
  <c r="DC32" i="93"/>
  <c r="EU32" i="93" s="1"/>
  <c r="DC29" i="93"/>
  <c r="EU29" i="93" s="1"/>
  <c r="DC54" i="93"/>
  <c r="EU54" i="93" s="1"/>
  <c r="DC15" i="93"/>
  <c r="EU15" i="93" s="1"/>
  <c r="DC60" i="93"/>
  <c r="EU60" i="93" s="1"/>
  <c r="DC35" i="93"/>
  <c r="EU35" i="93" s="1"/>
  <c r="DC51" i="93"/>
  <c r="EU51" i="93" s="1"/>
  <c r="DC46" i="93"/>
  <c r="EU46" i="93" s="1"/>
  <c r="DC41" i="93"/>
  <c r="EU41" i="93" s="1"/>
  <c r="DC33" i="93"/>
  <c r="EU33" i="93" s="1"/>
  <c r="DC53" i="93"/>
  <c r="EU53" i="93" s="1"/>
  <c r="DE6" i="93"/>
  <c r="EW6" i="93" s="1"/>
  <c r="DE5" i="93"/>
  <c r="EW5" i="93" s="1"/>
  <c r="DE13" i="93"/>
  <c r="EW13" i="93" s="1"/>
  <c r="DE7" i="93"/>
  <c r="EW7" i="93" s="1"/>
  <c r="DE10" i="93"/>
  <c r="EW10" i="93" s="1"/>
  <c r="DE9" i="93"/>
  <c r="EW9" i="93" s="1"/>
  <c r="DE14" i="93"/>
  <c r="EW14" i="93" s="1"/>
  <c r="DE12" i="93"/>
  <c r="EW12" i="93" s="1"/>
  <c r="DE8" i="93"/>
  <c r="EW8" i="93" s="1"/>
  <c r="DE11" i="93"/>
  <c r="EW11" i="93" s="1"/>
  <c r="DE20" i="93"/>
  <c r="EW20" i="93" s="1"/>
  <c r="DE28" i="93"/>
  <c r="EW28" i="93" s="1"/>
  <c r="DE55" i="93"/>
  <c r="EW55" i="93" s="1"/>
  <c r="DE19" i="93"/>
  <c r="EW19" i="93" s="1"/>
  <c r="DE44" i="93"/>
  <c r="EW44" i="93" s="1"/>
  <c r="DE36" i="93"/>
  <c r="EW36" i="93" s="1"/>
  <c r="DE24" i="93"/>
  <c r="EW24" i="93" s="1"/>
  <c r="DE37" i="93"/>
  <c r="EW37" i="93" s="1"/>
  <c r="DE52" i="93"/>
  <c r="EW52" i="93" s="1"/>
  <c r="DE59" i="93"/>
  <c r="EW59" i="93" s="1"/>
  <c r="DE32" i="93"/>
  <c r="EW32" i="93" s="1"/>
  <c r="DE48" i="93"/>
  <c r="EW48" i="93" s="1"/>
  <c r="DE53" i="93"/>
  <c r="EW53" i="93" s="1"/>
  <c r="DE27" i="93"/>
  <c r="EW27" i="93" s="1"/>
  <c r="DE33" i="93"/>
  <c r="EW33" i="93" s="1"/>
  <c r="DE50" i="93"/>
  <c r="EW50" i="93" s="1"/>
  <c r="DE63" i="93"/>
  <c r="EW63" i="93" s="1"/>
  <c r="DE35" i="93"/>
  <c r="EW35" i="93" s="1"/>
  <c r="DE40" i="93"/>
  <c r="EW40" i="93" s="1"/>
  <c r="DE57" i="93"/>
  <c r="EW57" i="93" s="1"/>
  <c r="DE15" i="93"/>
  <c r="EW15" i="93" s="1"/>
  <c r="DE31" i="93"/>
  <c r="EW31" i="93" s="1"/>
  <c r="DE60" i="93"/>
  <c r="EW60" i="93" s="1"/>
  <c r="DE18" i="93"/>
  <c r="EW18" i="93" s="1"/>
  <c r="DE39" i="93"/>
  <c r="EW39" i="93" s="1"/>
  <c r="DE54" i="93"/>
  <c r="EW54" i="93" s="1"/>
  <c r="DE61" i="93"/>
  <c r="EW61" i="93" s="1"/>
  <c r="DE26" i="93"/>
  <c r="EW26" i="93" s="1"/>
  <c r="DE41" i="93"/>
  <c r="EW41" i="93" s="1"/>
  <c r="DE56" i="93"/>
  <c r="EW56" i="93" s="1"/>
  <c r="DE22" i="93"/>
  <c r="EW22" i="93" s="1"/>
  <c r="DE30" i="93"/>
  <c r="EW30" i="93" s="1"/>
  <c r="DE58" i="93"/>
  <c r="EW58" i="93" s="1"/>
  <c r="DE38" i="93"/>
  <c r="EW38" i="93" s="1"/>
  <c r="DE25" i="93"/>
  <c r="EW25" i="93" s="1"/>
  <c r="DE49" i="93"/>
  <c r="EW49" i="93" s="1"/>
  <c r="DE34" i="93"/>
  <c r="EW34" i="93" s="1"/>
  <c r="DE17" i="93"/>
  <c r="EW17" i="93" s="1"/>
  <c r="DE43" i="93"/>
  <c r="EW43" i="93" s="1"/>
  <c r="DE62" i="93"/>
  <c r="EW62" i="93" s="1"/>
  <c r="DE45" i="93"/>
  <c r="EW45" i="93" s="1"/>
  <c r="DE64" i="93"/>
  <c r="EW64" i="93" s="1"/>
  <c r="DE21" i="93"/>
  <c r="EW21" i="93" s="1"/>
  <c r="DE47" i="93"/>
  <c r="EW47" i="93" s="1"/>
  <c r="DE29" i="93"/>
  <c r="EW29" i="93" s="1"/>
  <c r="DE16" i="93"/>
  <c r="EW16" i="93" s="1"/>
  <c r="DE23" i="93"/>
  <c r="EW23" i="93" s="1"/>
  <c r="DE46" i="93"/>
  <c r="EW46" i="93" s="1"/>
  <c r="DE51" i="93"/>
  <c r="EW51" i="93" s="1"/>
  <c r="DE42" i="93"/>
  <c r="EW42" i="93" s="1"/>
  <c r="DZ6" i="93"/>
  <c r="FR6" i="93" s="1"/>
  <c r="DZ5" i="93"/>
  <c r="FR5" i="93" s="1"/>
  <c r="DZ29" i="93"/>
  <c r="FR29" i="93" s="1"/>
  <c r="DZ12" i="93"/>
  <c r="FR12" i="93" s="1"/>
  <c r="DZ23" i="93"/>
  <c r="FR23" i="93" s="1"/>
  <c r="DZ25" i="93"/>
  <c r="FR25" i="93" s="1"/>
  <c r="DZ24" i="93"/>
  <c r="FR24" i="93" s="1"/>
  <c r="DZ10" i="93"/>
  <c r="FR10" i="93" s="1"/>
  <c r="DZ7" i="93"/>
  <c r="FR7" i="93" s="1"/>
  <c r="DZ11" i="93"/>
  <c r="FR11" i="93" s="1"/>
  <c r="DZ26" i="93"/>
  <c r="FR26" i="93" s="1"/>
  <c r="DZ13" i="93"/>
  <c r="FR13" i="93" s="1"/>
  <c r="DZ17" i="93"/>
  <c r="FR17" i="93" s="1"/>
  <c r="DZ16" i="93"/>
  <c r="FR16" i="93" s="1"/>
  <c r="DZ20" i="93"/>
  <c r="FR20" i="93" s="1"/>
  <c r="DZ9" i="93"/>
  <c r="FR9" i="93" s="1"/>
  <c r="DZ8" i="93"/>
  <c r="FR8" i="93" s="1"/>
  <c r="DZ14" i="93"/>
  <c r="FR14" i="93" s="1"/>
  <c r="DZ19" i="93"/>
  <c r="FR19" i="93" s="1"/>
  <c r="DZ21" i="93"/>
  <c r="FR21" i="93" s="1"/>
  <c r="DZ22" i="93"/>
  <c r="FR22" i="93" s="1"/>
  <c r="DZ18" i="93"/>
  <c r="FR18" i="93" s="1"/>
  <c r="DZ15" i="93"/>
  <c r="FR15" i="93" s="1"/>
  <c r="DZ27" i="93"/>
  <c r="FR27" i="93" s="1"/>
  <c r="DZ28" i="93"/>
  <c r="FR28" i="93" s="1"/>
  <c r="DZ56" i="93"/>
  <c r="FR56" i="93" s="1"/>
  <c r="DZ54" i="93"/>
  <c r="FR54" i="93" s="1"/>
  <c r="DZ33" i="93"/>
  <c r="FR33" i="93" s="1"/>
  <c r="DZ61" i="93"/>
  <c r="FR61" i="93" s="1"/>
  <c r="DZ52" i="93"/>
  <c r="FR52" i="93" s="1"/>
  <c r="DZ40" i="93"/>
  <c r="FR40" i="93" s="1"/>
  <c r="DZ49" i="93"/>
  <c r="FR49" i="93" s="1"/>
  <c r="DZ46" i="93"/>
  <c r="FR46" i="93" s="1"/>
  <c r="DZ58" i="93"/>
  <c r="FR58" i="93" s="1"/>
  <c r="DZ55" i="93"/>
  <c r="FR55" i="93" s="1"/>
  <c r="DZ48" i="93"/>
  <c r="FR48" i="93" s="1"/>
  <c r="DZ63" i="93"/>
  <c r="FR63" i="93" s="1"/>
  <c r="DZ38" i="93"/>
  <c r="FR38" i="93" s="1"/>
  <c r="DZ57" i="93"/>
  <c r="FR57" i="93" s="1"/>
  <c r="DZ51" i="93"/>
  <c r="FR51" i="93" s="1"/>
  <c r="DZ42" i="93"/>
  <c r="FR42" i="93" s="1"/>
  <c r="DZ32" i="93"/>
  <c r="FR32" i="93" s="1"/>
  <c r="DZ31" i="93"/>
  <c r="FR31" i="93" s="1"/>
  <c r="DZ59" i="93"/>
  <c r="FR59" i="93" s="1"/>
  <c r="DZ50" i="93"/>
  <c r="FR50" i="93" s="1"/>
  <c r="DZ64" i="93"/>
  <c r="FR64" i="93" s="1"/>
  <c r="DZ62" i="93"/>
  <c r="FR62" i="93" s="1"/>
  <c r="DZ45" i="93"/>
  <c r="FR45" i="93" s="1"/>
  <c r="DZ34" i="93"/>
  <c r="FR34" i="93" s="1"/>
  <c r="DZ43" i="93"/>
  <c r="FR43" i="93" s="1"/>
  <c r="DZ47" i="93"/>
  <c r="FR47" i="93" s="1"/>
  <c r="DZ39" i="93"/>
  <c r="FR39" i="93" s="1"/>
  <c r="DZ37" i="93"/>
  <c r="FR37" i="93" s="1"/>
  <c r="DZ53" i="93"/>
  <c r="FR53" i="93" s="1"/>
  <c r="DZ44" i="93"/>
  <c r="FR44" i="93" s="1"/>
  <c r="DZ35" i="93"/>
  <c r="FR35" i="93" s="1"/>
  <c r="DZ41" i="93"/>
  <c r="FR41" i="93" s="1"/>
  <c r="DZ60" i="93"/>
  <c r="FR60" i="93" s="1"/>
  <c r="DZ36" i="93"/>
  <c r="FR36" i="93" s="1"/>
  <c r="DZ30" i="93"/>
  <c r="FR30" i="93" s="1"/>
  <c r="CZ59" i="98"/>
  <c r="CZ60" i="98"/>
  <c r="EJ6" i="93"/>
  <c r="GB6" i="93" s="1"/>
  <c r="EJ5" i="93"/>
  <c r="GB5" i="93" s="1"/>
  <c r="EJ7" i="93"/>
  <c r="GB7" i="93" s="1"/>
  <c r="EJ19" i="93"/>
  <c r="GB19" i="93" s="1"/>
  <c r="EJ13" i="93"/>
  <c r="GB13" i="93" s="1"/>
  <c r="EJ28" i="93"/>
  <c r="GB28" i="93" s="1"/>
  <c r="EJ27" i="93"/>
  <c r="GB27" i="93" s="1"/>
  <c r="EJ26" i="93"/>
  <c r="GB26" i="93" s="1"/>
  <c r="EJ20" i="93"/>
  <c r="GB20" i="93" s="1"/>
  <c r="EJ15" i="93"/>
  <c r="GB15" i="93" s="1"/>
  <c r="EJ30" i="93"/>
  <c r="GB30" i="93" s="1"/>
  <c r="EJ11" i="93"/>
  <c r="GB11" i="93" s="1"/>
  <c r="EJ17" i="93"/>
  <c r="GB17" i="93" s="1"/>
  <c r="EJ34" i="93"/>
  <c r="GB34" i="93" s="1"/>
  <c r="EJ35" i="93"/>
  <c r="GB35" i="93" s="1"/>
  <c r="EJ8" i="93"/>
  <c r="GB8" i="93" s="1"/>
  <c r="EJ31" i="93"/>
  <c r="GB31" i="93" s="1"/>
  <c r="EJ9" i="93"/>
  <c r="GB9" i="93" s="1"/>
  <c r="EJ21" i="93"/>
  <c r="GB21" i="93" s="1"/>
  <c r="EJ23" i="93"/>
  <c r="GB23" i="93" s="1"/>
  <c r="EJ32" i="93"/>
  <c r="GB32" i="93" s="1"/>
  <c r="EJ29" i="93"/>
  <c r="GB29" i="93" s="1"/>
  <c r="EJ12" i="93"/>
  <c r="GB12" i="93" s="1"/>
  <c r="EJ33" i="93"/>
  <c r="GB33" i="93" s="1"/>
  <c r="EJ16" i="93"/>
  <c r="GB16" i="93" s="1"/>
  <c r="EJ22" i="93"/>
  <c r="GB22" i="93" s="1"/>
  <c r="EJ24" i="93"/>
  <c r="GB24" i="93" s="1"/>
  <c r="EJ18" i="93"/>
  <c r="GB18" i="93" s="1"/>
  <c r="EJ14" i="93"/>
  <c r="GB14" i="93" s="1"/>
  <c r="EJ25" i="93"/>
  <c r="GB25" i="93" s="1"/>
  <c r="EJ10" i="93"/>
  <c r="GB10" i="93" s="1"/>
  <c r="EJ40" i="93"/>
  <c r="GB40" i="93" s="1"/>
  <c r="EJ61" i="93"/>
  <c r="GB61" i="93" s="1"/>
  <c r="EJ59" i="93"/>
  <c r="GB59" i="93" s="1"/>
  <c r="EJ63" i="93"/>
  <c r="GB63" i="93" s="1"/>
  <c r="EJ38" i="93"/>
  <c r="GB38" i="93" s="1"/>
  <c r="EJ57" i="93"/>
  <c r="GB57" i="93" s="1"/>
  <c r="EJ54" i="93"/>
  <c r="GB54" i="93" s="1"/>
  <c r="EJ37" i="93"/>
  <c r="GB37" i="93" s="1"/>
  <c r="EJ45" i="93"/>
  <c r="GB45" i="93" s="1"/>
  <c r="EJ42" i="93"/>
  <c r="GB42" i="93" s="1"/>
  <c r="EJ41" i="93"/>
  <c r="GB41" i="93" s="1"/>
  <c r="EJ55" i="93"/>
  <c r="GB55" i="93" s="1"/>
  <c r="EJ52" i="93"/>
  <c r="GB52" i="93" s="1"/>
  <c r="EJ48" i="93"/>
  <c r="GB48" i="93" s="1"/>
  <c r="EJ39" i="93"/>
  <c r="GB39" i="93" s="1"/>
  <c r="EJ50" i="93"/>
  <c r="GB50" i="93" s="1"/>
  <c r="EJ43" i="93"/>
  <c r="GB43" i="93" s="1"/>
  <c r="EJ56" i="93"/>
  <c r="GB56" i="93" s="1"/>
  <c r="EJ46" i="93"/>
  <c r="GB46" i="93" s="1"/>
  <c r="EJ44" i="93"/>
  <c r="GB44" i="93" s="1"/>
  <c r="EJ36" i="93"/>
  <c r="GB36" i="93" s="1"/>
  <c r="EJ60" i="93"/>
  <c r="GB60" i="93" s="1"/>
  <c r="EJ53" i="93"/>
  <c r="GB53" i="93" s="1"/>
  <c r="EJ62" i="93"/>
  <c r="GB62" i="93" s="1"/>
  <c r="EJ58" i="93"/>
  <c r="GB58" i="93" s="1"/>
  <c r="EJ51" i="93"/>
  <c r="GB51" i="93" s="1"/>
  <c r="EJ47" i="93"/>
  <c r="GB47" i="93" s="1"/>
  <c r="EJ64" i="93"/>
  <c r="GB64" i="93" s="1"/>
  <c r="EJ49" i="93"/>
  <c r="GB49" i="93" s="1"/>
  <c r="DT6" i="93"/>
  <c r="FL6" i="93" s="1"/>
  <c r="DT5" i="93"/>
  <c r="FL5" i="93" s="1"/>
  <c r="DT10" i="93"/>
  <c r="FL10" i="93" s="1"/>
  <c r="DT17" i="93"/>
  <c r="FL17" i="93" s="1"/>
  <c r="DT16" i="93"/>
  <c r="FL16" i="93" s="1"/>
  <c r="DT9" i="93"/>
  <c r="FL9" i="93" s="1"/>
  <c r="DT12" i="93"/>
  <c r="FL12" i="93" s="1"/>
  <c r="DT18" i="93"/>
  <c r="FL18" i="93" s="1"/>
  <c r="DT7" i="93"/>
  <c r="FL7" i="93" s="1"/>
  <c r="DT14" i="93"/>
  <c r="FL14" i="93" s="1"/>
  <c r="DT11" i="93"/>
  <c r="FL11" i="93" s="1"/>
  <c r="DT23" i="93"/>
  <c r="FL23" i="93" s="1"/>
  <c r="DT21" i="93"/>
  <c r="FL21" i="93" s="1"/>
  <c r="DT15" i="93"/>
  <c r="FL15" i="93" s="1"/>
  <c r="DT19" i="93"/>
  <c r="FL19" i="93" s="1"/>
  <c r="DT22" i="93"/>
  <c r="FL22" i="93" s="1"/>
  <c r="DT13" i="93"/>
  <c r="FL13" i="93" s="1"/>
  <c r="DT20" i="93"/>
  <c r="FL20" i="93" s="1"/>
  <c r="DT8" i="93"/>
  <c r="FL8" i="93" s="1"/>
  <c r="DT29" i="93"/>
  <c r="FL29" i="93" s="1"/>
  <c r="DT47" i="93"/>
  <c r="FL47" i="93" s="1"/>
  <c r="DT54" i="93"/>
  <c r="FL54" i="93" s="1"/>
  <c r="DT55" i="93"/>
  <c r="FL55" i="93" s="1"/>
  <c r="DT53" i="93"/>
  <c r="FL53" i="93" s="1"/>
  <c r="DT58" i="93"/>
  <c r="FL58" i="93" s="1"/>
  <c r="DT39" i="93"/>
  <c r="FL39" i="93" s="1"/>
  <c r="DT46" i="93"/>
  <c r="FL46" i="93" s="1"/>
  <c r="DT41" i="93"/>
  <c r="FL41" i="93" s="1"/>
  <c r="DT24" i="93"/>
  <c r="FL24" i="93" s="1"/>
  <c r="DT28" i="93"/>
  <c r="FL28" i="93" s="1"/>
  <c r="DT62" i="93"/>
  <c r="FL62" i="93" s="1"/>
  <c r="DT50" i="93"/>
  <c r="FL50" i="93" s="1"/>
  <c r="DT38" i="93"/>
  <c r="FL38" i="93" s="1"/>
  <c r="DT51" i="93"/>
  <c r="FL51" i="93" s="1"/>
  <c r="DT60" i="93"/>
  <c r="FL60" i="93" s="1"/>
  <c r="DT42" i="93"/>
  <c r="FL42" i="93" s="1"/>
  <c r="DT32" i="93"/>
  <c r="FL32" i="93" s="1"/>
  <c r="DT44" i="93"/>
  <c r="FL44" i="93" s="1"/>
  <c r="DT30" i="93"/>
  <c r="FL30" i="93" s="1"/>
  <c r="DT27" i="93"/>
  <c r="FL27" i="93" s="1"/>
  <c r="DT52" i="93"/>
  <c r="FL52" i="93" s="1"/>
  <c r="DT61" i="93"/>
  <c r="FL61" i="93" s="1"/>
  <c r="DT35" i="93"/>
  <c r="FL35" i="93" s="1"/>
  <c r="DT33" i="93"/>
  <c r="FL33" i="93" s="1"/>
  <c r="DT63" i="93"/>
  <c r="FL63" i="93" s="1"/>
  <c r="DT37" i="93"/>
  <c r="FL37" i="93" s="1"/>
  <c r="DT59" i="93"/>
  <c r="FL59" i="93" s="1"/>
  <c r="DT45" i="93"/>
  <c r="FL45" i="93" s="1"/>
  <c r="DT25" i="93"/>
  <c r="FL25" i="93" s="1"/>
  <c r="DT57" i="93"/>
  <c r="FL57" i="93" s="1"/>
  <c r="DT34" i="93"/>
  <c r="FL34" i="93" s="1"/>
  <c r="DT48" i="93"/>
  <c r="FL48" i="93" s="1"/>
  <c r="DT31" i="93"/>
  <c r="FL31" i="93" s="1"/>
  <c r="DT43" i="93"/>
  <c r="FL43" i="93" s="1"/>
  <c r="DT40" i="93"/>
  <c r="FL40" i="93" s="1"/>
  <c r="DT26" i="93"/>
  <c r="FL26" i="93" s="1"/>
  <c r="DT56" i="93"/>
  <c r="FL56" i="93" s="1"/>
  <c r="DT64" i="93"/>
  <c r="FL64" i="93" s="1"/>
  <c r="DT49" i="93"/>
  <c r="FL49" i="93" s="1"/>
  <c r="DT36" i="93"/>
  <c r="FL36" i="93" s="1"/>
  <c r="DD5" i="93"/>
  <c r="EV5" i="93" s="1"/>
  <c r="DD9" i="93"/>
  <c r="EV9" i="93" s="1"/>
  <c r="DD6" i="93"/>
  <c r="EV6" i="93" s="1"/>
  <c r="DD7" i="93"/>
  <c r="EV7" i="93" s="1"/>
  <c r="DD8" i="93"/>
  <c r="EV8" i="93" s="1"/>
  <c r="DD28" i="93"/>
  <c r="EV28" i="93" s="1"/>
  <c r="DD35" i="93"/>
  <c r="EV35" i="93" s="1"/>
  <c r="DD54" i="93"/>
  <c r="EV54" i="93" s="1"/>
  <c r="DD13" i="93"/>
  <c r="EV13" i="93" s="1"/>
  <c r="DD64" i="93"/>
  <c r="EV64" i="93" s="1"/>
  <c r="DD15" i="93"/>
  <c r="EV15" i="93" s="1"/>
  <c r="DD57" i="93"/>
  <c r="EV57" i="93" s="1"/>
  <c r="DD39" i="93"/>
  <c r="EV39" i="93" s="1"/>
  <c r="DD40" i="93"/>
  <c r="EV40" i="93" s="1"/>
  <c r="DD31" i="93"/>
  <c r="EV31" i="93" s="1"/>
  <c r="DD23" i="93"/>
  <c r="EV23" i="93" s="1"/>
  <c r="DD62" i="93"/>
  <c r="EV62" i="93" s="1"/>
  <c r="DD11" i="93"/>
  <c r="EV11" i="93" s="1"/>
  <c r="DD10" i="93"/>
  <c r="EV10" i="93" s="1"/>
  <c r="DD18" i="93"/>
  <c r="EV18" i="93" s="1"/>
  <c r="DD53" i="93"/>
  <c r="EV53" i="93" s="1"/>
  <c r="DD52" i="93"/>
  <c r="EV52" i="93" s="1"/>
  <c r="DD27" i="93"/>
  <c r="EV27" i="93" s="1"/>
  <c r="DD56" i="93"/>
  <c r="EV56" i="93" s="1"/>
  <c r="DD45" i="93"/>
  <c r="EV45" i="93" s="1"/>
  <c r="DD38" i="93"/>
  <c r="EV38" i="93" s="1"/>
  <c r="DD30" i="93"/>
  <c r="EV30" i="93" s="1"/>
  <c r="DD19" i="93"/>
  <c r="EV19" i="93" s="1"/>
  <c r="DD16" i="93"/>
  <c r="EV16" i="93" s="1"/>
  <c r="DD51" i="93"/>
  <c r="EV51" i="93" s="1"/>
  <c r="DD50" i="93"/>
  <c r="EV50" i="93" s="1"/>
  <c r="DD55" i="93"/>
  <c r="EV55" i="93" s="1"/>
  <c r="DD14" i="93"/>
  <c r="EV14" i="93" s="1"/>
  <c r="DD34" i="93"/>
  <c r="EV34" i="93" s="1"/>
  <c r="DD61" i="93"/>
  <c r="EV61" i="93" s="1"/>
  <c r="DD47" i="93"/>
  <c r="EV47" i="93" s="1"/>
  <c r="DD37" i="93"/>
  <c r="EV37" i="93" s="1"/>
  <c r="DD44" i="93"/>
  <c r="EV44" i="93" s="1"/>
  <c r="DD41" i="93"/>
  <c r="EV41" i="93" s="1"/>
  <c r="DD25" i="93"/>
  <c r="EV25" i="93" s="1"/>
  <c r="DD60" i="93"/>
  <c r="EV60" i="93" s="1"/>
  <c r="DD58" i="93"/>
  <c r="EV58" i="93" s="1"/>
  <c r="DD63" i="93"/>
  <c r="EV63" i="93" s="1"/>
  <c r="DD29" i="93"/>
  <c r="EV29" i="93" s="1"/>
  <c r="DD43" i="93"/>
  <c r="EV43" i="93" s="1"/>
  <c r="DD36" i="93"/>
  <c r="EV36" i="93" s="1"/>
  <c r="DD20" i="93"/>
  <c r="EV20" i="93" s="1"/>
  <c r="DD42" i="93"/>
  <c r="EV42" i="93" s="1"/>
  <c r="DD49" i="93"/>
  <c r="EV49" i="93" s="1"/>
  <c r="DD17" i="93"/>
  <c r="EV17" i="93" s="1"/>
  <c r="DD24" i="93"/>
  <c r="EV24" i="93" s="1"/>
  <c r="DD22" i="93"/>
  <c r="EV22" i="93" s="1"/>
  <c r="DD26" i="93"/>
  <c r="EV26" i="93" s="1"/>
  <c r="DD46" i="93"/>
  <c r="EV46" i="93" s="1"/>
  <c r="DD59" i="93"/>
  <c r="EV59" i="93" s="1"/>
  <c r="DD48" i="93"/>
  <c r="EV48" i="93" s="1"/>
  <c r="DD33" i="93"/>
  <c r="EV33" i="93" s="1"/>
  <c r="DD12" i="93"/>
  <c r="EV12" i="93" s="1"/>
  <c r="DD32" i="93"/>
  <c r="EV32" i="93" s="1"/>
  <c r="DD21" i="93"/>
  <c r="EV21" i="93" s="1"/>
  <c r="DM6" i="93"/>
  <c r="FE6" i="93" s="1"/>
  <c r="DM5" i="93"/>
  <c r="FE5" i="93" s="1"/>
  <c r="DM9" i="93"/>
  <c r="FE9" i="93" s="1"/>
  <c r="DM8" i="93"/>
  <c r="FE8" i="93" s="1"/>
  <c r="DM18" i="93"/>
  <c r="FE18" i="93" s="1"/>
  <c r="DM16" i="93"/>
  <c r="FE16" i="93" s="1"/>
  <c r="DM11" i="93"/>
  <c r="FE11" i="93" s="1"/>
  <c r="DM15" i="93"/>
  <c r="FE15" i="93" s="1"/>
  <c r="DM14" i="93"/>
  <c r="FE14" i="93" s="1"/>
  <c r="DM7" i="93"/>
  <c r="FE7" i="93" s="1"/>
  <c r="DM12" i="93"/>
  <c r="FE12" i="93" s="1"/>
  <c r="DM17" i="93"/>
  <c r="FE17" i="93" s="1"/>
  <c r="DM13" i="93"/>
  <c r="FE13" i="93" s="1"/>
  <c r="DM10" i="93"/>
  <c r="FE10" i="93" s="1"/>
  <c r="DM20" i="93"/>
  <c r="FE20" i="93" s="1"/>
  <c r="DM49" i="93"/>
  <c r="FE49" i="93" s="1"/>
  <c r="DM40" i="93"/>
  <c r="FE40" i="93" s="1"/>
  <c r="DM23" i="93"/>
  <c r="FE23" i="93" s="1"/>
  <c r="DM43" i="93"/>
  <c r="FE43" i="93" s="1"/>
  <c r="DM50" i="93"/>
  <c r="FE50" i="93" s="1"/>
  <c r="DM24" i="93"/>
  <c r="FE24" i="93" s="1"/>
  <c r="DM28" i="93"/>
  <c r="FE28" i="93" s="1"/>
  <c r="DM62" i="93"/>
  <c r="FE62" i="93" s="1"/>
  <c r="DM33" i="93"/>
  <c r="FE33" i="93" s="1"/>
  <c r="DM48" i="93"/>
  <c r="FE48" i="93" s="1"/>
  <c r="DM55" i="93"/>
  <c r="FE55" i="93" s="1"/>
  <c r="DM19" i="93"/>
  <c r="FE19" i="93" s="1"/>
  <c r="DM36" i="93"/>
  <c r="FE36" i="93" s="1"/>
  <c r="DM57" i="93"/>
  <c r="FE57" i="93" s="1"/>
  <c r="DM21" i="93"/>
  <c r="FE21" i="93" s="1"/>
  <c r="DM44" i="93"/>
  <c r="FE44" i="93" s="1"/>
  <c r="DM51" i="93"/>
  <c r="FE51" i="93" s="1"/>
  <c r="DM25" i="93"/>
  <c r="FE25" i="93" s="1"/>
  <c r="DM45" i="93"/>
  <c r="FE45" i="93" s="1"/>
  <c r="DM53" i="93"/>
  <c r="FE53" i="93" s="1"/>
  <c r="DM41" i="93"/>
  <c r="FE41" i="93" s="1"/>
  <c r="DM56" i="93"/>
  <c r="FE56" i="93" s="1"/>
  <c r="DM63" i="93"/>
  <c r="FE63" i="93" s="1"/>
  <c r="DM35" i="93"/>
  <c r="FE35" i="93" s="1"/>
  <c r="DM58" i="93"/>
  <c r="FE58" i="93" s="1"/>
  <c r="DM34" i="93"/>
  <c r="FE34" i="93" s="1"/>
  <c r="DM37" i="93"/>
  <c r="FE37" i="93" s="1"/>
  <c r="DM52" i="93"/>
  <c r="FE52" i="93" s="1"/>
  <c r="DM59" i="93"/>
  <c r="FE59" i="93" s="1"/>
  <c r="DM29" i="93"/>
  <c r="FE29" i="93" s="1"/>
  <c r="DM46" i="93"/>
  <c r="FE46" i="93" s="1"/>
  <c r="DM61" i="93"/>
  <c r="FE61" i="93" s="1"/>
  <c r="DM30" i="93"/>
  <c r="FE30" i="93" s="1"/>
  <c r="DM64" i="93"/>
  <c r="FE64" i="93" s="1"/>
  <c r="DM31" i="93"/>
  <c r="FE31" i="93" s="1"/>
  <c r="DM38" i="93"/>
  <c r="FE38" i="93" s="1"/>
  <c r="DM22" i="93"/>
  <c r="FE22" i="93" s="1"/>
  <c r="DM26" i="93"/>
  <c r="FE26" i="93" s="1"/>
  <c r="DM60" i="93"/>
  <c r="FE60" i="93" s="1"/>
  <c r="DM42" i="93"/>
  <c r="FE42" i="93" s="1"/>
  <c r="DM39" i="93"/>
  <c r="FE39" i="93" s="1"/>
  <c r="DM54" i="93"/>
  <c r="FE54" i="93" s="1"/>
  <c r="DM27" i="93"/>
  <c r="FE27" i="93" s="1"/>
  <c r="DM47" i="93"/>
  <c r="FE47" i="93" s="1"/>
  <c r="DM32" i="93"/>
  <c r="FE32" i="93" s="1"/>
  <c r="EE5" i="93"/>
  <c r="FW5" i="93" s="1"/>
  <c r="EE6" i="93"/>
  <c r="FW6" i="93" s="1"/>
  <c r="EE28" i="93"/>
  <c r="FW28" i="93" s="1"/>
  <c r="EE10" i="93"/>
  <c r="FW10" i="93" s="1"/>
  <c r="EE34" i="93"/>
  <c r="FW34" i="93" s="1"/>
  <c r="EE26" i="93"/>
  <c r="FW26" i="93" s="1"/>
  <c r="EE14" i="93"/>
  <c r="FW14" i="93" s="1"/>
  <c r="EE16" i="93"/>
  <c r="FW16" i="93" s="1"/>
  <c r="EE8" i="93"/>
  <c r="FW8" i="93" s="1"/>
  <c r="EE17" i="93"/>
  <c r="FW17" i="93" s="1"/>
  <c r="EE33" i="93"/>
  <c r="FW33" i="93" s="1"/>
  <c r="EE18" i="93"/>
  <c r="FW18" i="93" s="1"/>
  <c r="EE32" i="93"/>
  <c r="FW32" i="93" s="1"/>
  <c r="EE25" i="93"/>
  <c r="FW25" i="93" s="1"/>
  <c r="EE21" i="93"/>
  <c r="FW21" i="93" s="1"/>
  <c r="EE29" i="93"/>
  <c r="FW29" i="93" s="1"/>
  <c r="EE19" i="93"/>
  <c r="FW19" i="93" s="1"/>
  <c r="EE7" i="93"/>
  <c r="FW7" i="93" s="1"/>
  <c r="EE27" i="93"/>
  <c r="FW27" i="93" s="1"/>
  <c r="EE35" i="93"/>
  <c r="FW35" i="93" s="1"/>
  <c r="EE9" i="93"/>
  <c r="FW9" i="93" s="1"/>
  <c r="EE15" i="93"/>
  <c r="FW15" i="93" s="1"/>
  <c r="EE22" i="93"/>
  <c r="FW22" i="93" s="1"/>
  <c r="EE23" i="93"/>
  <c r="FW23" i="93" s="1"/>
  <c r="EE20" i="93"/>
  <c r="FW20" i="93" s="1"/>
  <c r="EE30" i="93"/>
  <c r="FW30" i="93" s="1"/>
  <c r="EE31" i="93"/>
  <c r="FW31" i="93" s="1"/>
  <c r="EE24" i="93"/>
  <c r="FW24" i="93" s="1"/>
  <c r="EE11" i="93"/>
  <c r="FW11" i="93" s="1"/>
  <c r="EE13" i="93"/>
  <c r="FW13" i="93" s="1"/>
  <c r="EE12" i="93"/>
  <c r="FW12" i="93" s="1"/>
  <c r="EE39" i="93"/>
  <c r="FW39" i="93" s="1"/>
  <c r="EE40" i="93"/>
  <c r="FW40" i="93" s="1"/>
  <c r="EE59" i="93"/>
  <c r="FW59" i="93" s="1"/>
  <c r="EE42" i="93"/>
  <c r="FW42" i="93" s="1"/>
  <c r="EE61" i="93"/>
  <c r="FW61" i="93" s="1"/>
  <c r="EE44" i="93"/>
  <c r="FW44" i="93" s="1"/>
  <c r="EE52" i="93"/>
  <c r="FW52" i="93" s="1"/>
  <c r="EE38" i="93"/>
  <c r="FW38" i="93" s="1"/>
  <c r="EE57" i="93"/>
  <c r="FW57" i="93" s="1"/>
  <c r="EE48" i="93"/>
  <c r="FW48" i="93" s="1"/>
  <c r="EE41" i="93"/>
  <c r="FW41" i="93" s="1"/>
  <c r="EE50" i="93"/>
  <c r="FW50" i="93" s="1"/>
  <c r="EE58" i="93"/>
  <c r="FW58" i="93" s="1"/>
  <c r="EE49" i="93"/>
  <c r="FW49" i="93" s="1"/>
  <c r="EE60" i="93"/>
  <c r="FW60" i="93" s="1"/>
  <c r="EE46" i="93"/>
  <c r="FW46" i="93" s="1"/>
  <c r="EE54" i="93"/>
  <c r="FW54" i="93" s="1"/>
  <c r="EE45" i="93"/>
  <c r="FW45" i="93" s="1"/>
  <c r="EE56" i="93"/>
  <c r="FW56" i="93" s="1"/>
  <c r="EE47" i="93"/>
  <c r="FW47" i="93" s="1"/>
  <c r="EE37" i="93"/>
  <c r="FW37" i="93" s="1"/>
  <c r="EE55" i="93"/>
  <c r="FW55" i="93" s="1"/>
  <c r="EE43" i="93"/>
  <c r="FW43" i="93" s="1"/>
  <c r="EE62" i="93"/>
  <c r="FW62" i="93" s="1"/>
  <c r="EE51" i="93"/>
  <c r="FW51" i="93" s="1"/>
  <c r="EE64" i="93"/>
  <c r="FW64" i="93" s="1"/>
  <c r="EE53" i="93"/>
  <c r="FW53" i="93" s="1"/>
  <c r="EE36" i="93"/>
  <c r="FW36" i="93" s="1"/>
  <c r="EE63" i="93"/>
  <c r="FW63" i="93" s="1"/>
  <c r="DO10" i="93"/>
  <c r="FG10" i="93" s="1"/>
  <c r="DO8" i="93"/>
  <c r="FG8" i="93" s="1"/>
  <c r="DO5" i="93"/>
  <c r="FG5" i="93" s="1"/>
  <c r="DO6" i="93"/>
  <c r="FG6" i="93" s="1"/>
  <c r="DO17" i="93"/>
  <c r="FG17" i="93" s="1"/>
  <c r="DO13" i="93"/>
  <c r="FG13" i="93" s="1"/>
  <c r="DO15" i="93"/>
  <c r="FG15" i="93" s="1"/>
  <c r="DO7" i="93"/>
  <c r="FG7" i="93" s="1"/>
  <c r="DO14" i="93"/>
  <c r="FG14" i="93" s="1"/>
  <c r="DO11" i="93"/>
  <c r="FG11" i="93" s="1"/>
  <c r="DO9" i="93"/>
  <c r="FG9" i="93" s="1"/>
  <c r="DO16" i="93"/>
  <c r="FG16" i="93" s="1"/>
  <c r="DO18" i="93"/>
  <c r="FG18" i="93" s="1"/>
  <c r="DO12" i="93"/>
  <c r="FG12" i="93" s="1"/>
  <c r="DO44" i="93"/>
  <c r="FG44" i="93" s="1"/>
  <c r="DO61" i="93"/>
  <c r="FG61" i="93" s="1"/>
  <c r="DO23" i="93"/>
  <c r="FG23" i="93" s="1"/>
  <c r="DO50" i="93"/>
  <c r="FG50" i="93" s="1"/>
  <c r="DO33" i="93"/>
  <c r="FG33" i="93" s="1"/>
  <c r="DO31" i="93"/>
  <c r="FG31" i="93" s="1"/>
  <c r="DO52" i="93"/>
  <c r="FG52" i="93" s="1"/>
  <c r="DO46" i="93"/>
  <c r="FG46" i="93" s="1"/>
  <c r="DO21" i="93"/>
  <c r="FG21" i="93" s="1"/>
  <c r="DO22" i="93"/>
  <c r="FG22" i="93" s="1"/>
  <c r="DO55" i="93"/>
  <c r="FG55" i="93" s="1"/>
  <c r="DO20" i="93"/>
  <c r="FG20" i="93" s="1"/>
  <c r="DO25" i="93"/>
  <c r="FG25" i="93" s="1"/>
  <c r="DO41" i="93"/>
  <c r="FG41" i="93" s="1"/>
  <c r="DO32" i="93"/>
  <c r="FG32" i="93" s="1"/>
  <c r="DO45" i="93"/>
  <c r="FG45" i="93" s="1"/>
  <c r="DO54" i="93"/>
  <c r="FG54" i="93" s="1"/>
  <c r="DO29" i="93"/>
  <c r="FG29" i="93" s="1"/>
  <c r="DO19" i="93"/>
  <c r="FG19" i="93" s="1"/>
  <c r="DO49" i="93"/>
  <c r="FG49" i="93" s="1"/>
  <c r="DO38" i="93"/>
  <c r="FG38" i="93" s="1"/>
  <c r="DO60" i="93"/>
  <c r="FG60" i="93" s="1"/>
  <c r="DO35" i="93"/>
  <c r="FG35" i="93" s="1"/>
  <c r="DO34" i="93"/>
  <c r="FG34" i="93" s="1"/>
  <c r="DO47" i="93"/>
  <c r="FG47" i="93" s="1"/>
  <c r="DO56" i="93"/>
  <c r="FG56" i="93" s="1"/>
  <c r="DO40" i="93"/>
  <c r="FG40" i="93" s="1"/>
  <c r="DO51" i="93"/>
  <c r="FG51" i="93" s="1"/>
  <c r="DO62" i="93"/>
  <c r="FG62" i="93" s="1"/>
  <c r="DO43" i="93"/>
  <c r="FG43" i="93" s="1"/>
  <c r="DO28" i="93"/>
  <c r="FG28" i="93" s="1"/>
  <c r="DO63" i="93"/>
  <c r="FG63" i="93" s="1"/>
  <c r="DO48" i="93"/>
  <c r="FG48" i="93" s="1"/>
  <c r="DO24" i="93"/>
  <c r="FG24" i="93" s="1"/>
  <c r="DO37" i="93"/>
  <c r="FG37" i="93" s="1"/>
  <c r="DO42" i="93"/>
  <c r="FG42" i="93" s="1"/>
  <c r="DO53" i="93"/>
  <c r="FG53" i="93" s="1"/>
  <c r="DO64" i="93"/>
  <c r="FG64" i="93" s="1"/>
  <c r="DO30" i="93"/>
  <c r="FG30" i="93" s="1"/>
  <c r="DO59" i="93"/>
  <c r="FG59" i="93" s="1"/>
  <c r="DO26" i="93"/>
  <c r="FG26" i="93" s="1"/>
  <c r="DO57" i="93"/>
  <c r="FG57" i="93" s="1"/>
  <c r="DO36" i="93"/>
  <c r="FG36" i="93" s="1"/>
  <c r="DO58" i="93"/>
  <c r="FG58" i="93" s="1"/>
  <c r="DO39" i="93"/>
  <c r="FG39" i="93" s="1"/>
  <c r="DO27" i="93"/>
  <c r="FG27" i="93" s="1"/>
  <c r="CY10" i="93"/>
  <c r="EQ10" i="93" s="1"/>
  <c r="CY19" i="93"/>
  <c r="EQ19" i="93" s="1"/>
  <c r="CY16" i="93"/>
  <c r="EQ16" i="93" s="1"/>
  <c r="CY28" i="93"/>
  <c r="EQ28" i="93" s="1"/>
  <c r="CY31" i="93"/>
  <c r="EQ31" i="93" s="1"/>
  <c r="CY38" i="93"/>
  <c r="EQ38" i="93" s="1"/>
  <c r="CY30" i="93"/>
  <c r="EQ30" i="93" s="1"/>
  <c r="CY46" i="93"/>
  <c r="EQ46" i="93" s="1"/>
  <c r="CY43" i="93"/>
  <c r="EQ43" i="93" s="1"/>
  <c r="CY39" i="93"/>
  <c r="EQ39" i="93" s="1"/>
  <c r="CY57" i="93"/>
  <c r="EQ57" i="93" s="1"/>
  <c r="CY33" i="93"/>
  <c r="EQ33" i="93" s="1"/>
  <c r="CY54" i="93"/>
  <c r="EQ54" i="93" s="1"/>
  <c r="CY62" i="93"/>
  <c r="EQ62" i="93" s="1"/>
  <c r="CY5" i="93"/>
  <c r="EQ5" i="93" s="1"/>
  <c r="CY15" i="93"/>
  <c r="EQ15" i="93" s="1"/>
  <c r="CY7" i="93"/>
  <c r="EQ7" i="93" s="1"/>
  <c r="CY42" i="93"/>
  <c r="EQ42" i="93" s="1"/>
  <c r="CY47" i="93"/>
  <c r="EQ47" i="93" s="1"/>
  <c r="CY61" i="93"/>
  <c r="EQ61" i="93" s="1"/>
  <c r="CY13" i="93"/>
  <c r="EQ13" i="93" s="1"/>
  <c r="CY6" i="93"/>
  <c r="EQ6" i="93" s="1"/>
  <c r="CY12" i="93"/>
  <c r="EQ12" i="93" s="1"/>
  <c r="CY44" i="93"/>
  <c r="EQ44" i="93" s="1"/>
  <c r="CY55" i="93"/>
  <c r="EQ55" i="93" s="1"/>
  <c r="CY8" i="93"/>
  <c r="EQ8" i="93" s="1"/>
  <c r="CY11" i="93"/>
  <c r="EQ11" i="93" s="1"/>
  <c r="CY21" i="93"/>
  <c r="EQ21" i="93" s="1"/>
  <c r="CY20" i="93"/>
  <c r="EQ20" i="93" s="1"/>
  <c r="CY24" i="93"/>
  <c r="EQ24" i="93" s="1"/>
  <c r="CY32" i="93"/>
  <c r="EQ32" i="93" s="1"/>
  <c r="CY40" i="93"/>
  <c r="EQ40" i="93" s="1"/>
  <c r="CY22" i="93"/>
  <c r="EQ22" i="93" s="1"/>
  <c r="CY48" i="93"/>
  <c r="EQ48" i="93" s="1"/>
  <c r="CY45" i="93"/>
  <c r="EQ45" i="93" s="1"/>
  <c r="CY51" i="93"/>
  <c r="EQ51" i="93" s="1"/>
  <c r="CY59" i="93"/>
  <c r="EQ59" i="93" s="1"/>
  <c r="CY41" i="93"/>
  <c r="EQ41" i="93" s="1"/>
  <c r="CY56" i="93"/>
  <c r="EQ56" i="93" s="1"/>
  <c r="CY64" i="93"/>
  <c r="EQ64" i="93" s="1"/>
  <c r="CY14" i="93"/>
  <c r="EQ14" i="93" s="1"/>
  <c r="CY23" i="93"/>
  <c r="EQ23" i="93" s="1"/>
  <c r="CY34" i="93"/>
  <c r="EQ34" i="93" s="1"/>
  <c r="CY25" i="93"/>
  <c r="EQ25" i="93" s="1"/>
  <c r="CY53" i="93"/>
  <c r="EQ53" i="93" s="1"/>
  <c r="CY35" i="93"/>
  <c r="EQ35" i="93" s="1"/>
  <c r="CY26" i="93"/>
  <c r="EQ26" i="93" s="1"/>
  <c r="CY29" i="93"/>
  <c r="EQ29" i="93" s="1"/>
  <c r="CY63" i="93"/>
  <c r="EQ63" i="93" s="1"/>
  <c r="CY18" i="93"/>
  <c r="EQ18" i="93" s="1"/>
  <c r="CY50" i="93"/>
  <c r="EQ50" i="93" s="1"/>
  <c r="CY58" i="93"/>
  <c r="EQ58" i="93" s="1"/>
  <c r="CY17" i="93"/>
  <c r="EQ17" i="93" s="1"/>
  <c r="CY36" i="93"/>
  <c r="EQ36" i="93" s="1"/>
  <c r="CY49" i="93"/>
  <c r="EQ49" i="93" s="1"/>
  <c r="CY52" i="93"/>
  <c r="EQ52" i="93" s="1"/>
  <c r="CY37" i="93"/>
  <c r="EQ37" i="93" s="1"/>
  <c r="CY9" i="93"/>
  <c r="EQ9" i="93" s="1"/>
  <c r="CY27" i="93"/>
  <c r="EQ27" i="93" s="1"/>
  <c r="CY60" i="93"/>
  <c r="EQ60" i="93" s="1"/>
  <c r="EL5" i="93"/>
  <c r="GD5" i="93" s="1"/>
  <c r="EL22" i="93"/>
  <c r="GD22" i="93" s="1"/>
  <c r="EL30" i="93"/>
  <c r="GD30" i="93" s="1"/>
  <c r="EL24" i="93"/>
  <c r="GD24" i="93" s="1"/>
  <c r="EL16" i="93"/>
  <c r="GD16" i="93" s="1"/>
  <c r="EL6" i="93"/>
  <c r="GD6" i="93" s="1"/>
  <c r="EL29" i="93"/>
  <c r="GD29" i="93" s="1"/>
  <c r="EL33" i="93"/>
  <c r="GD33" i="93" s="1"/>
  <c r="EL10" i="93"/>
  <c r="GD10" i="93" s="1"/>
  <c r="EL28" i="93"/>
  <c r="GD28" i="93" s="1"/>
  <c r="EL25" i="93"/>
  <c r="GD25" i="93" s="1"/>
  <c r="EL26" i="93"/>
  <c r="GD26" i="93" s="1"/>
  <c r="EL8" i="93"/>
  <c r="GD8" i="93" s="1"/>
  <c r="EL11" i="93"/>
  <c r="GD11" i="93" s="1"/>
  <c r="EL14" i="93"/>
  <c r="GD14" i="93" s="1"/>
  <c r="EL35" i="93"/>
  <c r="GD35" i="93" s="1"/>
  <c r="EL12" i="93"/>
  <c r="GD12" i="93" s="1"/>
  <c r="EL17" i="93"/>
  <c r="GD17" i="93" s="1"/>
  <c r="EL20" i="93"/>
  <c r="GD20" i="93" s="1"/>
  <c r="EL15" i="93"/>
  <c r="GD15" i="93" s="1"/>
  <c r="EL19" i="93"/>
  <c r="GD19" i="93" s="1"/>
  <c r="EL21" i="93"/>
  <c r="GD21" i="93" s="1"/>
  <c r="EL13" i="93"/>
  <c r="GD13" i="93" s="1"/>
  <c r="EL31" i="93"/>
  <c r="GD31" i="93" s="1"/>
  <c r="EL34" i="93"/>
  <c r="GD34" i="93" s="1"/>
  <c r="EL9" i="93"/>
  <c r="GD9" i="93" s="1"/>
  <c r="EL27" i="93"/>
  <c r="GD27" i="93" s="1"/>
  <c r="EL18" i="93"/>
  <c r="GD18" i="93" s="1"/>
  <c r="EL32" i="93"/>
  <c r="GD32" i="93" s="1"/>
  <c r="EL7" i="93"/>
  <c r="GD7" i="93" s="1"/>
  <c r="EL23" i="93"/>
  <c r="GD23" i="93" s="1"/>
  <c r="EL60" i="93"/>
  <c r="GD60" i="93" s="1"/>
  <c r="EL39" i="93"/>
  <c r="GD39" i="93" s="1"/>
  <c r="EL58" i="93"/>
  <c r="GD58" i="93" s="1"/>
  <c r="EL37" i="93"/>
  <c r="GD37" i="93" s="1"/>
  <c r="EL53" i="93"/>
  <c r="GD53" i="93" s="1"/>
  <c r="EL36" i="93"/>
  <c r="GD36" i="93" s="1"/>
  <c r="EL51" i="93"/>
  <c r="GD51" i="93" s="1"/>
  <c r="EL48" i="93"/>
  <c r="GD48" i="93" s="1"/>
  <c r="EL40" i="93"/>
  <c r="GD40" i="93" s="1"/>
  <c r="EL44" i="93"/>
  <c r="GD44" i="93" s="1"/>
  <c r="EL38" i="93"/>
  <c r="GD38" i="93" s="1"/>
  <c r="EL42" i="93"/>
  <c r="GD42" i="93" s="1"/>
  <c r="EL56" i="93"/>
  <c r="GD56" i="93" s="1"/>
  <c r="EL61" i="93"/>
  <c r="GD61" i="93" s="1"/>
  <c r="EL41" i="93"/>
  <c r="GD41" i="93" s="1"/>
  <c r="EL49" i="93"/>
  <c r="GD49" i="93" s="1"/>
  <c r="EL46" i="93"/>
  <c r="GD46" i="93" s="1"/>
  <c r="EL45" i="93"/>
  <c r="GD45" i="93" s="1"/>
  <c r="EL47" i="93"/>
  <c r="GD47" i="93" s="1"/>
  <c r="EL54" i="93"/>
  <c r="GD54" i="93" s="1"/>
  <c r="EL43" i="93"/>
  <c r="GD43" i="93" s="1"/>
  <c r="EL63" i="93"/>
  <c r="GD63" i="93" s="1"/>
  <c r="EL52" i="93"/>
  <c r="GD52" i="93" s="1"/>
  <c r="EL57" i="93"/>
  <c r="GD57" i="93" s="1"/>
  <c r="EL50" i="93"/>
  <c r="GD50" i="93" s="1"/>
  <c r="EL55" i="93"/>
  <c r="GD55" i="93" s="1"/>
  <c r="EL64" i="93"/>
  <c r="GD64" i="93" s="1"/>
  <c r="EL59" i="93"/>
  <c r="GD59" i="93" s="1"/>
  <c r="EL62" i="93"/>
  <c r="GD62" i="93" s="1"/>
  <c r="DV5" i="93"/>
  <c r="FN5" i="93" s="1"/>
  <c r="DV9" i="93"/>
  <c r="FN9" i="93" s="1"/>
  <c r="DV20" i="93"/>
  <c r="FN20" i="93" s="1"/>
  <c r="DV18" i="93"/>
  <c r="FN18" i="93" s="1"/>
  <c r="DV11" i="93"/>
  <c r="FN11" i="93" s="1"/>
  <c r="DV19" i="93"/>
  <c r="FN19" i="93" s="1"/>
  <c r="DV23" i="93"/>
  <c r="FN23" i="93" s="1"/>
  <c r="DV8" i="93"/>
  <c r="FN8" i="93" s="1"/>
  <c r="DV16" i="93"/>
  <c r="FN16" i="93" s="1"/>
  <c r="DV22" i="93"/>
  <c r="FN22" i="93" s="1"/>
  <c r="DV17" i="93"/>
  <c r="FN17" i="93" s="1"/>
  <c r="DV12" i="93"/>
  <c r="FN12" i="93" s="1"/>
  <c r="DV13" i="93"/>
  <c r="FN13" i="93" s="1"/>
  <c r="DV15" i="93"/>
  <c r="FN15" i="93" s="1"/>
  <c r="DV6" i="93"/>
  <c r="FN6" i="93" s="1"/>
  <c r="DV7" i="93"/>
  <c r="FN7" i="93" s="1"/>
  <c r="DV14" i="93"/>
  <c r="FN14" i="93" s="1"/>
  <c r="DV21" i="93"/>
  <c r="FN21" i="93" s="1"/>
  <c r="DV10" i="93"/>
  <c r="FN10" i="93" s="1"/>
  <c r="DV54" i="93"/>
  <c r="FN54" i="93" s="1"/>
  <c r="DV42" i="93"/>
  <c r="FN42" i="93" s="1"/>
  <c r="DV36" i="93"/>
  <c r="FN36" i="93" s="1"/>
  <c r="DV59" i="93"/>
  <c r="FN59" i="93" s="1"/>
  <c r="DV64" i="93"/>
  <c r="FN64" i="93" s="1"/>
  <c r="DV57" i="93"/>
  <c r="FN57" i="93" s="1"/>
  <c r="DV32" i="93"/>
  <c r="FN32" i="93" s="1"/>
  <c r="DV45" i="93"/>
  <c r="FN45" i="93" s="1"/>
  <c r="DV47" i="93"/>
  <c r="FN47" i="93" s="1"/>
  <c r="DV49" i="93"/>
  <c r="FN49" i="93" s="1"/>
  <c r="DV38" i="93"/>
  <c r="FN38" i="93" s="1"/>
  <c r="DV43" i="93"/>
  <c r="FN43" i="93" s="1"/>
  <c r="DV33" i="93"/>
  <c r="FN33" i="93" s="1"/>
  <c r="DV61" i="93"/>
  <c r="FN61" i="93" s="1"/>
  <c r="DV56" i="93"/>
  <c r="FN56" i="93" s="1"/>
  <c r="DV50" i="93"/>
  <c r="FN50" i="93" s="1"/>
  <c r="DV28" i="93"/>
  <c r="FN28" i="93" s="1"/>
  <c r="DV53" i="93"/>
  <c r="FN53" i="93" s="1"/>
  <c r="DV24" i="93"/>
  <c r="FN24" i="93" s="1"/>
  <c r="DV60" i="93"/>
  <c r="FN60" i="93" s="1"/>
  <c r="DV34" i="93"/>
  <c r="FN34" i="93" s="1"/>
  <c r="DV55" i="93"/>
  <c r="FN55" i="93" s="1"/>
  <c r="DV41" i="93"/>
  <c r="FN41" i="93" s="1"/>
  <c r="DV31" i="93"/>
  <c r="FN31" i="93" s="1"/>
  <c r="DV52" i="93"/>
  <c r="FN52" i="93" s="1"/>
  <c r="DV46" i="93"/>
  <c r="FN46" i="93" s="1"/>
  <c r="DV37" i="93"/>
  <c r="FN37" i="93" s="1"/>
  <c r="DV25" i="93"/>
  <c r="FN25" i="93" s="1"/>
  <c r="DV26" i="93"/>
  <c r="FN26" i="93" s="1"/>
  <c r="DV62" i="93"/>
  <c r="FN62" i="93" s="1"/>
  <c r="DV40" i="93"/>
  <c r="FN40" i="93" s="1"/>
  <c r="DV35" i="93"/>
  <c r="FN35" i="93" s="1"/>
  <c r="DV44" i="93"/>
  <c r="FN44" i="93" s="1"/>
  <c r="DV27" i="93"/>
  <c r="FN27" i="93" s="1"/>
  <c r="DV48" i="93"/>
  <c r="FN48" i="93" s="1"/>
  <c r="DV29" i="93"/>
  <c r="FN29" i="93" s="1"/>
  <c r="DV58" i="93"/>
  <c r="FN58" i="93" s="1"/>
  <c r="DV51" i="93"/>
  <c r="FN51" i="93" s="1"/>
  <c r="DV63" i="93"/>
  <c r="FN63" i="93" s="1"/>
  <c r="DV39" i="93"/>
  <c r="FN39" i="93" s="1"/>
  <c r="DV30" i="93"/>
  <c r="FN30" i="93" s="1"/>
  <c r="DF5" i="93"/>
  <c r="EX5" i="93" s="1"/>
  <c r="DF11" i="93"/>
  <c r="EX11" i="93" s="1"/>
  <c r="DF7" i="93"/>
  <c r="EX7" i="93" s="1"/>
  <c r="DF8" i="93"/>
  <c r="EX8" i="93" s="1"/>
  <c r="DF14" i="93"/>
  <c r="EX14" i="93" s="1"/>
  <c r="DF9" i="93"/>
  <c r="EX9" i="93" s="1"/>
  <c r="DF6" i="93"/>
  <c r="EX6" i="93" s="1"/>
  <c r="DF13" i="93"/>
  <c r="EX13" i="93" s="1"/>
  <c r="DF10" i="93"/>
  <c r="EX10" i="93" s="1"/>
  <c r="DF12" i="93"/>
  <c r="EX12" i="93" s="1"/>
  <c r="DF15" i="93"/>
  <c r="EX15" i="93" s="1"/>
  <c r="DF39" i="93"/>
  <c r="EX39" i="93" s="1"/>
  <c r="DF60" i="93"/>
  <c r="EX60" i="93" s="1"/>
  <c r="DF22" i="93"/>
  <c r="EX22" i="93" s="1"/>
  <c r="DF41" i="93"/>
  <c r="EX41" i="93" s="1"/>
  <c r="DF62" i="93"/>
  <c r="EX62" i="93" s="1"/>
  <c r="DF23" i="93"/>
  <c r="EX23" i="93" s="1"/>
  <c r="DF36" i="93"/>
  <c r="EX36" i="93" s="1"/>
  <c r="DF64" i="93"/>
  <c r="EX64" i="93" s="1"/>
  <c r="DF26" i="93"/>
  <c r="EX26" i="93" s="1"/>
  <c r="DF40" i="93"/>
  <c r="EX40" i="93" s="1"/>
  <c r="DF44" i="93"/>
  <c r="EX44" i="93" s="1"/>
  <c r="DF63" i="93"/>
  <c r="EX63" i="93" s="1"/>
  <c r="DF21" i="93"/>
  <c r="EX21" i="93" s="1"/>
  <c r="DF34" i="93"/>
  <c r="EX34" i="93" s="1"/>
  <c r="DF48" i="93"/>
  <c r="EX48" i="93" s="1"/>
  <c r="DF25" i="93"/>
  <c r="EX25" i="93" s="1"/>
  <c r="DF38" i="93"/>
  <c r="EX38" i="93" s="1"/>
  <c r="DF53" i="93"/>
  <c r="EX53" i="93" s="1"/>
  <c r="DF27" i="93"/>
  <c r="EX27" i="93" s="1"/>
  <c r="DF42" i="93"/>
  <c r="EX42" i="93" s="1"/>
  <c r="DF45" i="93"/>
  <c r="EX45" i="93" s="1"/>
  <c r="DF29" i="93"/>
  <c r="EX29" i="93" s="1"/>
  <c r="DF46" i="93"/>
  <c r="EX46" i="93" s="1"/>
  <c r="DF49" i="93"/>
  <c r="EX49" i="93" s="1"/>
  <c r="DF31" i="93"/>
  <c r="EX31" i="93" s="1"/>
  <c r="DF50" i="93"/>
  <c r="EX50" i="93" s="1"/>
  <c r="DF51" i="93"/>
  <c r="EX51" i="93" s="1"/>
  <c r="DF20" i="93"/>
  <c r="EX20" i="93" s="1"/>
  <c r="DF30" i="93"/>
  <c r="EX30" i="93" s="1"/>
  <c r="DF61" i="93"/>
  <c r="EX61" i="93" s="1"/>
  <c r="DF24" i="93"/>
  <c r="EX24" i="93" s="1"/>
  <c r="DF43" i="93"/>
  <c r="EX43" i="93" s="1"/>
  <c r="DF55" i="93"/>
  <c r="EX55" i="93" s="1"/>
  <c r="DF28" i="93"/>
  <c r="EX28" i="93" s="1"/>
  <c r="DF47" i="93"/>
  <c r="EX47" i="93" s="1"/>
  <c r="DF57" i="93"/>
  <c r="EX57" i="93" s="1"/>
  <c r="DF16" i="93"/>
  <c r="EX16" i="93" s="1"/>
  <c r="DF32" i="93"/>
  <c r="EX32" i="93" s="1"/>
  <c r="DF52" i="93"/>
  <c r="EX52" i="93" s="1"/>
  <c r="DF17" i="93"/>
  <c r="EX17" i="93" s="1"/>
  <c r="DF33" i="93"/>
  <c r="EX33" i="93" s="1"/>
  <c r="DF54" i="93"/>
  <c r="EX54" i="93" s="1"/>
  <c r="DF18" i="93"/>
  <c r="EX18" i="93" s="1"/>
  <c r="DF35" i="93"/>
  <c r="EX35" i="93" s="1"/>
  <c r="DF56" i="93"/>
  <c r="EX56" i="93" s="1"/>
  <c r="DF19" i="93"/>
  <c r="EX19" i="93" s="1"/>
  <c r="DF37" i="93"/>
  <c r="EX37" i="93" s="1"/>
  <c r="DF58" i="93"/>
  <c r="EX58" i="93" s="1"/>
  <c r="DF59" i="93"/>
  <c r="EX59" i="93" s="1"/>
  <c r="CW42" i="98"/>
  <c r="CW43" i="98"/>
  <c r="CW19" i="98"/>
  <c r="CW20" i="98"/>
  <c r="CW21" i="98"/>
  <c r="EC14" i="100"/>
  <c r="FU14" i="100" s="1"/>
  <c r="CX16" i="98"/>
  <c r="CX15" i="98"/>
  <c r="CX60" i="98"/>
  <c r="CX59" i="98"/>
  <c r="CX20" i="98"/>
  <c r="CX21" i="98"/>
  <c r="CX19" i="98"/>
  <c r="CX29" i="98"/>
  <c r="CX30" i="98"/>
  <c r="CY36" i="98"/>
  <c r="CY35" i="98"/>
  <c r="CY23" i="98"/>
  <c r="CY28" i="98"/>
  <c r="CY19" i="98"/>
  <c r="CY20" i="98"/>
  <c r="CY21" i="98"/>
  <c r="DY8" i="100"/>
  <c r="FQ8" i="100" s="1"/>
  <c r="DY25" i="100"/>
  <c r="FQ25" i="100" s="1"/>
  <c r="DY19" i="100"/>
  <c r="FQ19" i="100" s="1"/>
  <c r="DY12" i="100"/>
  <c r="FQ12" i="100" s="1"/>
  <c r="DY21" i="100"/>
  <c r="FQ21" i="100" s="1"/>
  <c r="DY16" i="100"/>
  <c r="FQ16" i="100" s="1"/>
  <c r="DY23" i="100"/>
  <c r="FQ23" i="100" s="1"/>
  <c r="DY11" i="100"/>
  <c r="FQ11" i="100" s="1"/>
  <c r="DY9" i="100"/>
  <c r="FQ9" i="100" s="1"/>
  <c r="DY7" i="100"/>
  <c r="FQ7" i="100" s="1"/>
  <c r="DY13" i="100"/>
  <c r="FQ13" i="100" s="1"/>
  <c r="DY20" i="100"/>
  <c r="FQ20" i="100" s="1"/>
  <c r="DY27" i="100"/>
  <c r="FQ27" i="100" s="1"/>
  <c r="DY26" i="100"/>
  <c r="FQ26" i="100" s="1"/>
  <c r="DY62" i="100"/>
  <c r="FQ62" i="100" s="1"/>
  <c r="DY42" i="100"/>
  <c r="FQ42" i="100" s="1"/>
  <c r="DY56" i="100"/>
  <c r="FQ56" i="100" s="1"/>
  <c r="DY49" i="100"/>
  <c r="FQ49" i="100" s="1"/>
  <c r="DY57" i="100"/>
  <c r="FQ57" i="100" s="1"/>
  <c r="DY38" i="100"/>
  <c r="FQ38" i="100" s="1"/>
  <c r="DY52" i="100"/>
  <c r="FQ52" i="100" s="1"/>
  <c r="DY45" i="100"/>
  <c r="FQ45" i="100" s="1"/>
  <c r="DY64" i="100"/>
  <c r="FQ64" i="100" s="1"/>
  <c r="DY10" i="100"/>
  <c r="FQ10" i="100" s="1"/>
  <c r="DY24" i="100"/>
  <c r="FQ24" i="100" s="1"/>
  <c r="DY28" i="100"/>
  <c r="FQ28" i="100" s="1"/>
  <c r="DY29" i="100"/>
  <c r="FQ29" i="100" s="1"/>
  <c r="DY17" i="100"/>
  <c r="FQ17" i="100" s="1"/>
  <c r="DY58" i="100"/>
  <c r="FQ58" i="100" s="1"/>
  <c r="DY33" i="100"/>
  <c r="FQ33" i="100" s="1"/>
  <c r="DY63" i="100"/>
  <c r="FQ63" i="100" s="1"/>
  <c r="DY35" i="100"/>
  <c r="FQ35" i="100" s="1"/>
  <c r="DY41" i="100"/>
  <c r="FQ41" i="100" s="1"/>
  <c r="DY54" i="100"/>
  <c r="FQ54" i="100" s="1"/>
  <c r="DY59" i="100"/>
  <c r="FQ59" i="100" s="1"/>
  <c r="DY53" i="100"/>
  <c r="FQ53" i="100" s="1"/>
  <c r="DY36" i="100"/>
  <c r="FQ36" i="100" s="1"/>
  <c r="DY46" i="100"/>
  <c r="FQ46" i="100" s="1"/>
  <c r="DY44" i="100"/>
  <c r="FQ44" i="100" s="1"/>
  <c r="DY18" i="100"/>
  <c r="FQ18" i="100" s="1"/>
  <c r="DY22" i="100"/>
  <c r="FQ22" i="100" s="1"/>
  <c r="DY31" i="100"/>
  <c r="FQ31" i="100" s="1"/>
  <c r="DY15" i="100"/>
  <c r="FQ15" i="100" s="1"/>
  <c r="DY14" i="100"/>
  <c r="FQ14" i="100" s="1"/>
  <c r="DY30" i="100"/>
  <c r="FQ30" i="100" s="1"/>
  <c r="DY50" i="100"/>
  <c r="FQ50" i="100" s="1"/>
  <c r="DY43" i="100"/>
  <c r="FQ43" i="100" s="1"/>
  <c r="DY39" i="100"/>
  <c r="FQ39" i="100" s="1"/>
  <c r="DY48" i="100"/>
  <c r="FQ48" i="100" s="1"/>
  <c r="DY32" i="100"/>
  <c r="FQ32" i="100" s="1"/>
  <c r="DY51" i="100"/>
  <c r="FQ51" i="100" s="1"/>
  <c r="DY40" i="100"/>
  <c r="FQ40" i="100" s="1"/>
  <c r="DY47" i="100"/>
  <c r="FQ47" i="100" s="1"/>
  <c r="DY37" i="100"/>
  <c r="FQ37" i="100" s="1"/>
  <c r="DY65" i="100"/>
  <c r="FQ65" i="100" s="1"/>
  <c r="DY34" i="100"/>
  <c r="FQ34" i="100" s="1"/>
  <c r="DY61" i="100"/>
  <c r="FQ61" i="100" s="1"/>
  <c r="DY66" i="100"/>
  <c r="FQ66" i="100" s="1"/>
  <c r="DY60" i="100"/>
  <c r="FQ60" i="100" s="1"/>
  <c r="DY55" i="100"/>
  <c r="FQ55" i="100" s="1"/>
  <c r="DO8" i="100"/>
  <c r="FG8" i="100" s="1"/>
  <c r="DO9" i="100"/>
  <c r="FG9" i="100" s="1"/>
  <c r="DO11" i="100"/>
  <c r="FG11" i="100" s="1"/>
  <c r="DO7" i="100"/>
  <c r="FG7" i="100" s="1"/>
  <c r="DO19" i="100"/>
  <c r="FG19" i="100" s="1"/>
  <c r="DO22" i="100"/>
  <c r="FG22" i="100" s="1"/>
  <c r="DO14" i="100"/>
  <c r="FG14" i="100" s="1"/>
  <c r="DO23" i="100"/>
  <c r="FG23" i="100" s="1"/>
  <c r="DO24" i="100"/>
  <c r="FG24" i="100" s="1"/>
  <c r="DO32" i="100"/>
  <c r="FG32" i="100" s="1"/>
  <c r="DO36" i="100"/>
  <c r="FG36" i="100" s="1"/>
  <c r="DO20" i="100"/>
  <c r="FG20" i="100" s="1"/>
  <c r="DO18" i="100"/>
  <c r="FG18" i="100" s="1"/>
  <c r="DO25" i="100"/>
  <c r="FG25" i="100" s="1"/>
  <c r="DO21" i="100"/>
  <c r="FG21" i="100" s="1"/>
  <c r="DO26" i="100"/>
  <c r="FG26" i="100" s="1"/>
  <c r="DO27" i="100"/>
  <c r="FG27" i="100" s="1"/>
  <c r="DO30" i="100"/>
  <c r="FG30" i="100" s="1"/>
  <c r="DO66" i="100"/>
  <c r="FG66" i="100" s="1"/>
  <c r="DO38" i="100"/>
  <c r="FG38" i="100" s="1"/>
  <c r="DO61" i="100"/>
  <c r="FG61" i="100" s="1"/>
  <c r="DO55" i="100"/>
  <c r="FG55" i="100" s="1"/>
  <c r="DO50" i="100"/>
  <c r="FG50" i="100" s="1"/>
  <c r="DO62" i="100"/>
  <c r="FG62" i="100" s="1"/>
  <c r="DO52" i="100"/>
  <c r="FG52" i="100" s="1"/>
  <c r="DO48" i="100"/>
  <c r="FG48" i="100" s="1"/>
  <c r="DO49" i="100"/>
  <c r="FG49" i="100" s="1"/>
  <c r="DO59" i="100"/>
  <c r="FG59" i="100" s="1"/>
  <c r="DO33" i="100"/>
  <c r="FG33" i="100" s="1"/>
  <c r="DO10" i="100"/>
  <c r="FG10" i="100" s="1"/>
  <c r="DO17" i="100"/>
  <c r="FG17" i="100" s="1"/>
  <c r="DO16" i="100"/>
  <c r="FG16" i="100" s="1"/>
  <c r="DO13" i="100"/>
  <c r="FG13" i="100" s="1"/>
  <c r="DO31" i="100"/>
  <c r="FG31" i="100" s="1"/>
  <c r="DO28" i="100"/>
  <c r="FG28" i="100" s="1"/>
  <c r="DO29" i="100"/>
  <c r="FG29" i="100" s="1"/>
  <c r="DO63" i="100"/>
  <c r="FG63" i="100" s="1"/>
  <c r="DO45" i="100"/>
  <c r="FG45" i="100" s="1"/>
  <c r="DO40" i="100"/>
  <c r="FG40" i="100" s="1"/>
  <c r="DO58" i="100"/>
  <c r="FG58" i="100" s="1"/>
  <c r="DO41" i="100"/>
  <c r="FG41" i="100" s="1"/>
  <c r="DO56" i="100"/>
  <c r="FG56" i="100" s="1"/>
  <c r="DO51" i="100"/>
  <c r="FG51" i="100" s="1"/>
  <c r="DO39" i="100"/>
  <c r="FG39" i="100" s="1"/>
  <c r="DO65" i="100"/>
  <c r="FG65" i="100" s="1"/>
  <c r="DO44" i="100"/>
  <c r="FG44" i="100" s="1"/>
  <c r="DO15" i="100"/>
  <c r="FG15" i="100" s="1"/>
  <c r="DO34" i="100"/>
  <c r="FG34" i="100" s="1"/>
  <c r="DO35" i="100"/>
  <c r="FG35" i="100" s="1"/>
  <c r="DO37" i="100"/>
  <c r="FG37" i="100" s="1"/>
  <c r="DO64" i="100"/>
  <c r="FG64" i="100" s="1"/>
  <c r="DO54" i="100"/>
  <c r="FG54" i="100" s="1"/>
  <c r="DO42" i="100"/>
  <c r="FG42" i="100" s="1"/>
  <c r="DO46" i="100"/>
  <c r="FG46" i="100" s="1"/>
  <c r="DO47" i="100"/>
  <c r="FG47" i="100" s="1"/>
  <c r="DO57" i="100"/>
  <c r="FG57" i="100" s="1"/>
  <c r="DO53" i="100"/>
  <c r="FG53" i="100" s="1"/>
  <c r="DO43" i="100"/>
  <c r="FG43" i="100" s="1"/>
  <c r="DO60" i="100"/>
  <c r="FG60" i="100" s="1"/>
  <c r="EC9" i="100"/>
  <c r="FU9" i="100" s="1"/>
  <c r="EC12" i="100"/>
  <c r="FU12" i="100" s="1"/>
  <c r="EC30" i="100"/>
  <c r="FU30" i="100" s="1"/>
  <c r="EC10" i="100"/>
  <c r="FU10" i="100" s="1"/>
  <c r="EC22" i="100"/>
  <c r="FU22" i="100" s="1"/>
  <c r="EC18" i="100"/>
  <c r="FU18" i="100" s="1"/>
  <c r="EC7" i="100"/>
  <c r="FU7" i="100" s="1"/>
  <c r="EC16" i="100"/>
  <c r="FU16" i="100" s="1"/>
  <c r="EC13" i="100"/>
  <c r="FU13" i="100" s="1"/>
  <c r="EC11" i="100"/>
  <c r="FU11" i="100" s="1"/>
  <c r="EC31" i="100"/>
  <c r="FU31" i="100" s="1"/>
  <c r="EC27" i="100"/>
  <c r="FU27" i="100" s="1"/>
  <c r="EC8" i="100"/>
  <c r="FU8" i="100" s="1"/>
  <c r="EC63" i="100"/>
  <c r="FU63" i="100" s="1"/>
  <c r="EC53" i="100"/>
  <c r="FU53" i="100" s="1"/>
  <c r="EC60" i="100"/>
  <c r="FU60" i="100" s="1"/>
  <c r="EC35" i="100"/>
  <c r="FU35" i="100" s="1"/>
  <c r="EC50" i="100"/>
  <c r="FU50" i="100" s="1"/>
  <c r="EC34" i="100"/>
  <c r="FU34" i="100" s="1"/>
  <c r="EC56" i="100"/>
  <c r="FU56" i="100" s="1"/>
  <c r="EC49" i="100"/>
  <c r="FU49" i="100" s="1"/>
  <c r="EC62" i="100"/>
  <c r="FU62" i="100" s="1"/>
  <c r="EC57" i="100"/>
  <c r="FU57" i="100" s="1"/>
  <c r="EC32" i="100"/>
  <c r="FU32" i="100" s="1"/>
  <c r="EC28" i="100"/>
  <c r="FU28" i="100" s="1"/>
  <c r="EC29" i="100"/>
  <c r="FU29" i="100" s="1"/>
  <c r="EC25" i="100"/>
  <c r="FU25" i="100" s="1"/>
  <c r="EC21" i="100"/>
  <c r="FU21" i="100" s="1"/>
  <c r="EC38" i="100"/>
  <c r="FU38" i="100" s="1"/>
  <c r="EC66" i="100"/>
  <c r="FU66" i="100" s="1"/>
  <c r="EC46" i="100"/>
  <c r="FU46" i="100" s="1"/>
  <c r="EC65" i="100"/>
  <c r="FU65" i="100" s="1"/>
  <c r="EC52" i="100"/>
  <c r="FU52" i="100" s="1"/>
  <c r="EC45" i="100"/>
  <c r="FU45" i="100" s="1"/>
  <c r="EC61" i="100"/>
  <c r="FU61" i="100" s="1"/>
  <c r="EC33" i="100"/>
  <c r="FU33" i="100" s="1"/>
  <c r="EC37" i="100"/>
  <c r="FU37" i="100" s="1"/>
  <c r="EC41" i="100"/>
  <c r="FU41" i="100" s="1"/>
  <c r="EC42" i="100"/>
  <c r="FU42" i="100" s="1"/>
  <c r="EC48" i="100"/>
  <c r="FU48" i="100" s="1"/>
  <c r="EC24" i="100"/>
  <c r="FU24" i="100" s="1"/>
  <c r="EC15" i="100"/>
  <c r="FU15" i="100" s="1"/>
  <c r="EC17" i="100"/>
  <c r="FU17" i="100" s="1"/>
  <c r="EC20" i="100"/>
  <c r="FU20" i="100" s="1"/>
  <c r="EC26" i="100"/>
  <c r="FU26" i="100" s="1"/>
  <c r="EC23" i="100"/>
  <c r="FU23" i="100" s="1"/>
  <c r="EC19" i="100"/>
  <c r="FU19" i="100" s="1"/>
  <c r="EC55" i="100"/>
  <c r="FU55" i="100" s="1"/>
  <c r="EC39" i="100"/>
  <c r="FU39" i="100" s="1"/>
  <c r="EC51" i="100"/>
  <c r="FU51" i="100" s="1"/>
  <c r="EC36" i="100"/>
  <c r="FU36" i="100" s="1"/>
  <c r="EC64" i="100"/>
  <c r="FU64" i="100" s="1"/>
  <c r="EC58" i="100"/>
  <c r="FU58" i="100" s="1"/>
  <c r="EC59" i="100"/>
  <c r="FU59" i="100" s="1"/>
  <c r="EC44" i="100"/>
  <c r="FU44" i="100" s="1"/>
  <c r="EC43" i="100"/>
  <c r="FU43" i="100" s="1"/>
  <c r="EC40" i="100"/>
  <c r="FU40" i="100" s="1"/>
  <c r="EC54" i="100"/>
  <c r="FU54" i="100" s="1"/>
  <c r="EC47" i="100"/>
  <c r="FU47" i="100" s="1"/>
  <c r="DS10" i="100"/>
  <c r="FK10" i="100" s="1"/>
  <c r="DS9" i="100"/>
  <c r="FK9" i="100" s="1"/>
  <c r="DS13" i="100"/>
  <c r="FK13" i="100" s="1"/>
  <c r="DS8" i="100"/>
  <c r="FK8" i="100" s="1"/>
  <c r="DS7" i="100"/>
  <c r="FK7" i="100" s="1"/>
  <c r="DS12" i="100"/>
  <c r="FK12" i="100" s="1"/>
  <c r="DS11" i="100"/>
  <c r="FK11" i="100" s="1"/>
  <c r="DS17" i="100"/>
  <c r="FK17" i="100" s="1"/>
  <c r="DS14" i="100"/>
  <c r="FK14" i="100" s="1"/>
  <c r="DS18" i="100"/>
  <c r="FK18" i="100" s="1"/>
  <c r="DS34" i="100"/>
  <c r="FK34" i="100" s="1"/>
  <c r="DS26" i="100"/>
  <c r="FK26" i="100" s="1"/>
  <c r="DS22" i="100"/>
  <c r="FK22" i="100" s="1"/>
  <c r="DS36" i="100"/>
  <c r="FK36" i="100" s="1"/>
  <c r="DS30" i="100"/>
  <c r="FK30" i="100" s="1"/>
  <c r="DS39" i="100"/>
  <c r="FK39" i="100" s="1"/>
  <c r="DS51" i="100"/>
  <c r="FK51" i="100" s="1"/>
  <c r="DS47" i="100"/>
  <c r="FK47" i="100" s="1"/>
  <c r="DS63" i="100"/>
  <c r="FK63" i="100" s="1"/>
  <c r="DS41" i="100"/>
  <c r="FK41" i="100" s="1"/>
  <c r="DS56" i="100"/>
  <c r="FK56" i="100" s="1"/>
  <c r="DS50" i="100"/>
  <c r="FK50" i="100" s="1"/>
  <c r="DS66" i="100"/>
  <c r="FK66" i="100" s="1"/>
  <c r="DS33" i="100"/>
  <c r="FK33" i="100" s="1"/>
  <c r="DS21" i="100"/>
  <c r="FK21" i="100" s="1"/>
  <c r="DS19" i="100"/>
  <c r="FK19" i="100" s="1"/>
  <c r="DS15" i="100"/>
  <c r="FK15" i="100" s="1"/>
  <c r="DS35" i="100"/>
  <c r="FK35" i="100" s="1"/>
  <c r="DS23" i="100"/>
  <c r="FK23" i="100" s="1"/>
  <c r="DS31" i="100"/>
  <c r="FK31" i="100" s="1"/>
  <c r="DS28" i="100"/>
  <c r="FK28" i="100" s="1"/>
  <c r="DS27" i="100"/>
  <c r="FK27" i="100" s="1"/>
  <c r="DS44" i="100"/>
  <c r="FK44" i="100" s="1"/>
  <c r="DS59" i="100"/>
  <c r="FK59" i="100" s="1"/>
  <c r="DS54" i="100"/>
  <c r="FK54" i="100" s="1"/>
  <c r="DS64" i="100"/>
  <c r="FK64" i="100" s="1"/>
  <c r="DS49" i="100"/>
  <c r="FK49" i="100" s="1"/>
  <c r="DS65" i="100"/>
  <c r="FK65" i="100" s="1"/>
  <c r="DS57" i="100"/>
  <c r="FK57" i="100" s="1"/>
  <c r="DS37" i="100"/>
  <c r="FK37" i="100" s="1"/>
  <c r="DS20" i="100"/>
  <c r="FK20" i="100" s="1"/>
  <c r="DS16" i="100"/>
  <c r="FK16" i="100" s="1"/>
  <c r="DS24" i="100"/>
  <c r="FK24" i="100" s="1"/>
  <c r="DS25" i="100"/>
  <c r="FK25" i="100" s="1"/>
  <c r="DS29" i="100"/>
  <c r="FK29" i="100" s="1"/>
  <c r="DS32" i="100"/>
  <c r="FK32" i="100" s="1"/>
  <c r="DS45" i="100"/>
  <c r="FK45" i="100" s="1"/>
  <c r="DS62" i="100"/>
  <c r="FK62" i="100" s="1"/>
  <c r="DS53" i="100"/>
  <c r="FK53" i="100" s="1"/>
  <c r="DS40" i="100"/>
  <c r="FK40" i="100" s="1"/>
  <c r="DS38" i="100"/>
  <c r="FK38" i="100" s="1"/>
  <c r="DS42" i="100"/>
  <c r="FK42" i="100" s="1"/>
  <c r="DS60" i="100"/>
  <c r="FK60" i="100" s="1"/>
  <c r="DS48" i="100"/>
  <c r="FK48" i="100" s="1"/>
  <c r="DS52" i="100"/>
  <c r="FK52" i="100" s="1"/>
  <c r="DS55" i="100"/>
  <c r="FK55" i="100" s="1"/>
  <c r="DS61" i="100"/>
  <c r="FK61" i="100" s="1"/>
  <c r="DS46" i="100"/>
  <c r="FK46" i="100" s="1"/>
  <c r="DS43" i="100"/>
  <c r="FK43" i="100" s="1"/>
  <c r="DS58" i="100"/>
  <c r="FK58" i="100" s="1"/>
  <c r="DH8" i="100"/>
  <c r="EZ8" i="100" s="1"/>
  <c r="DH9" i="100"/>
  <c r="EZ9" i="100" s="1"/>
  <c r="DH7" i="100"/>
  <c r="EZ7" i="100" s="1"/>
  <c r="DH12" i="100"/>
  <c r="EZ12" i="100" s="1"/>
  <c r="DH36" i="100"/>
  <c r="EZ36" i="100" s="1"/>
  <c r="DH17" i="100"/>
  <c r="EZ17" i="100" s="1"/>
  <c r="DH53" i="100"/>
  <c r="EZ53" i="100" s="1"/>
  <c r="DH41" i="100"/>
  <c r="EZ41" i="100" s="1"/>
  <c r="DH34" i="100"/>
  <c r="EZ34" i="100" s="1"/>
  <c r="DH13" i="100"/>
  <c r="EZ13" i="100" s="1"/>
  <c r="DH65" i="100"/>
  <c r="EZ65" i="100" s="1"/>
  <c r="DH43" i="100"/>
  <c r="EZ43" i="100" s="1"/>
  <c r="DH40" i="100"/>
  <c r="EZ40" i="100" s="1"/>
  <c r="DH63" i="100"/>
  <c r="EZ63" i="100" s="1"/>
  <c r="DH20" i="100"/>
  <c r="EZ20" i="100" s="1"/>
  <c r="DH38" i="100"/>
  <c r="EZ38" i="100" s="1"/>
  <c r="DH19" i="100"/>
  <c r="EZ19" i="100" s="1"/>
  <c r="DH29" i="100"/>
  <c r="EZ29" i="100" s="1"/>
  <c r="DH23" i="100"/>
  <c r="EZ23" i="100" s="1"/>
  <c r="DH16" i="100"/>
  <c r="EZ16" i="100" s="1"/>
  <c r="DH47" i="100"/>
  <c r="EZ47" i="100" s="1"/>
  <c r="DH57" i="100"/>
  <c r="EZ57" i="100" s="1"/>
  <c r="DH14" i="100"/>
  <c r="EZ14" i="100" s="1"/>
  <c r="DH66" i="100"/>
  <c r="EZ66" i="100" s="1"/>
  <c r="DH48" i="100"/>
  <c r="EZ48" i="100" s="1"/>
  <c r="DH24" i="100"/>
  <c r="EZ24" i="100" s="1"/>
  <c r="DH59" i="100"/>
  <c r="EZ59" i="100" s="1"/>
  <c r="DH39" i="100"/>
  <c r="EZ39" i="100" s="1"/>
  <c r="DH32" i="100"/>
  <c r="EZ32" i="100" s="1"/>
  <c r="DH55" i="100"/>
  <c r="EZ55" i="100" s="1"/>
  <c r="DH35" i="100"/>
  <c r="EZ35" i="100" s="1"/>
  <c r="DH30" i="100"/>
  <c r="EZ30" i="100" s="1"/>
  <c r="DH11" i="100"/>
  <c r="EZ11" i="100" s="1"/>
  <c r="DH51" i="100"/>
  <c r="EZ51" i="100" s="1"/>
  <c r="DH50" i="100"/>
  <c r="EZ50" i="100" s="1"/>
  <c r="DH62" i="100"/>
  <c r="EZ62" i="100" s="1"/>
  <c r="DH60" i="100"/>
  <c r="EZ60" i="100" s="1"/>
  <c r="DH31" i="100"/>
  <c r="EZ31" i="100" s="1"/>
  <c r="DH18" i="100"/>
  <c r="EZ18" i="100" s="1"/>
  <c r="DH64" i="100"/>
  <c r="EZ64" i="100" s="1"/>
  <c r="DH46" i="100"/>
  <c r="EZ46" i="100" s="1"/>
  <c r="DH27" i="100"/>
  <c r="EZ27" i="100" s="1"/>
  <c r="DH45" i="100"/>
  <c r="EZ45" i="100" s="1"/>
  <c r="DH44" i="100"/>
  <c r="EZ44" i="100" s="1"/>
  <c r="DH25" i="100"/>
  <c r="EZ25" i="100" s="1"/>
  <c r="DH54" i="100"/>
  <c r="EZ54" i="100" s="1"/>
  <c r="DH28" i="100"/>
  <c r="EZ28" i="100" s="1"/>
  <c r="DH26" i="100"/>
  <c r="EZ26" i="100" s="1"/>
  <c r="DH21" i="100"/>
  <c r="EZ21" i="100" s="1"/>
  <c r="DH61" i="100"/>
  <c r="EZ61" i="100" s="1"/>
  <c r="DH42" i="100"/>
  <c r="EZ42" i="100" s="1"/>
  <c r="DH15" i="100"/>
  <c r="EZ15" i="100" s="1"/>
  <c r="DH56" i="100"/>
  <c r="EZ56" i="100" s="1"/>
  <c r="DH58" i="100"/>
  <c r="EZ58" i="100" s="1"/>
  <c r="DH33" i="100"/>
  <c r="EZ33" i="100" s="1"/>
  <c r="DH49" i="100"/>
  <c r="EZ49" i="100" s="1"/>
  <c r="DH52" i="100"/>
  <c r="EZ52" i="100" s="1"/>
  <c r="DH37" i="100"/>
  <c r="EZ37" i="100" s="1"/>
  <c r="DH22" i="100"/>
  <c r="EZ22" i="100" s="1"/>
  <c r="DF9" i="100"/>
  <c r="EX9" i="100" s="1"/>
  <c r="DF8" i="100"/>
  <c r="EX8" i="100" s="1"/>
  <c r="DF7" i="100"/>
  <c r="EX7" i="100" s="1"/>
  <c r="DF24" i="100"/>
  <c r="EX24" i="100" s="1"/>
  <c r="DF34" i="100"/>
  <c r="EX34" i="100" s="1"/>
  <c r="DF39" i="100"/>
  <c r="EX39" i="100" s="1"/>
  <c r="DF16" i="100"/>
  <c r="EX16" i="100" s="1"/>
  <c r="DF64" i="100"/>
  <c r="EX64" i="100" s="1"/>
  <c r="DF48" i="100"/>
  <c r="EX48" i="100" s="1"/>
  <c r="DF27" i="100"/>
  <c r="EX27" i="100" s="1"/>
  <c r="DF18" i="100"/>
  <c r="EX18" i="100" s="1"/>
  <c r="DF42" i="100"/>
  <c r="EX42" i="100" s="1"/>
  <c r="DF47" i="100"/>
  <c r="EX47" i="100" s="1"/>
  <c r="DF25" i="100"/>
  <c r="EX25" i="100" s="1"/>
  <c r="DF58" i="100"/>
  <c r="EX58" i="100" s="1"/>
  <c r="DF53" i="100"/>
  <c r="EX53" i="100" s="1"/>
  <c r="DF38" i="100"/>
  <c r="EX38" i="100" s="1"/>
  <c r="DF12" i="100"/>
  <c r="EX12" i="100" s="1"/>
  <c r="DF11" i="100"/>
  <c r="EX11" i="100" s="1"/>
  <c r="DF44" i="100"/>
  <c r="EX44" i="100" s="1"/>
  <c r="DF40" i="100"/>
  <c r="EX40" i="100" s="1"/>
  <c r="DF37" i="100"/>
  <c r="EX37" i="100" s="1"/>
  <c r="DF62" i="100"/>
  <c r="EX62" i="100" s="1"/>
  <c r="DF55" i="100"/>
  <c r="EX55" i="100" s="1"/>
  <c r="DF14" i="100"/>
  <c r="EX14" i="100" s="1"/>
  <c r="DF56" i="100"/>
  <c r="EX56" i="100" s="1"/>
  <c r="DF32" i="100"/>
  <c r="EX32" i="100" s="1"/>
  <c r="DF19" i="100"/>
  <c r="EX19" i="100" s="1"/>
  <c r="DF10" i="100"/>
  <c r="EX10" i="100" s="1"/>
  <c r="DF15" i="100"/>
  <c r="EX15" i="100" s="1"/>
  <c r="DF52" i="100"/>
  <c r="EX52" i="100" s="1"/>
  <c r="DF28" i="100"/>
  <c r="EX28" i="100" s="1"/>
  <c r="DF31" i="100"/>
  <c r="EX31" i="100" s="1"/>
  <c r="DF59" i="100"/>
  <c r="EX59" i="100" s="1"/>
  <c r="DF66" i="100"/>
  <c r="EX66" i="100" s="1"/>
  <c r="DF54" i="100"/>
  <c r="EX54" i="100" s="1"/>
  <c r="DF22" i="100"/>
  <c r="EX22" i="100" s="1"/>
  <c r="DF50" i="100"/>
  <c r="EX50" i="100" s="1"/>
  <c r="DF49" i="100"/>
  <c r="EX49" i="100" s="1"/>
  <c r="DF29" i="100"/>
  <c r="EX29" i="100" s="1"/>
  <c r="DF60" i="100"/>
  <c r="EX60" i="100" s="1"/>
  <c r="DF46" i="100"/>
  <c r="EX46" i="100" s="1"/>
  <c r="DF23" i="100"/>
  <c r="EX23" i="100" s="1"/>
  <c r="DF63" i="100"/>
  <c r="EX63" i="100" s="1"/>
  <c r="DF30" i="100"/>
  <c r="EX30" i="100" s="1"/>
  <c r="DF33" i="100"/>
  <c r="EX33" i="100" s="1"/>
  <c r="DF17" i="100"/>
  <c r="EX17" i="100" s="1"/>
  <c r="DF41" i="100"/>
  <c r="EX41" i="100" s="1"/>
  <c r="DF35" i="100"/>
  <c r="EX35" i="100" s="1"/>
  <c r="DF20" i="100"/>
  <c r="EX20" i="100" s="1"/>
  <c r="DF21" i="100"/>
  <c r="EX21" i="100" s="1"/>
  <c r="DF61" i="100"/>
  <c r="EX61" i="100" s="1"/>
  <c r="DF43" i="100"/>
  <c r="EX43" i="100" s="1"/>
  <c r="DF65" i="100"/>
  <c r="EX65" i="100" s="1"/>
  <c r="DF45" i="100"/>
  <c r="EX45" i="100" s="1"/>
  <c r="DF51" i="100"/>
  <c r="EX51" i="100" s="1"/>
  <c r="DF57" i="100"/>
  <c r="EX57" i="100" s="1"/>
  <c r="DF36" i="100"/>
  <c r="EX36" i="100" s="1"/>
  <c r="DF26" i="100"/>
  <c r="EX26" i="100" s="1"/>
  <c r="DW13" i="100"/>
  <c r="FO13" i="100" s="1"/>
  <c r="DW18" i="100"/>
  <c r="FO18" i="100" s="1"/>
  <c r="DW7" i="100"/>
  <c r="FO7" i="100" s="1"/>
  <c r="DW12" i="100"/>
  <c r="FO12" i="100" s="1"/>
  <c r="DW10" i="100"/>
  <c r="FO10" i="100" s="1"/>
  <c r="DW36" i="100"/>
  <c r="FO36" i="100" s="1"/>
  <c r="DW21" i="100"/>
  <c r="FO21" i="100" s="1"/>
  <c r="DW30" i="100"/>
  <c r="FO30" i="100" s="1"/>
  <c r="DW16" i="100"/>
  <c r="FO16" i="100" s="1"/>
  <c r="DW17" i="100"/>
  <c r="FO17" i="100" s="1"/>
  <c r="DW11" i="100"/>
  <c r="FO11" i="100" s="1"/>
  <c r="DW20" i="100"/>
  <c r="FO20" i="100" s="1"/>
  <c r="DW37" i="100"/>
  <c r="FO37" i="100" s="1"/>
  <c r="DW22" i="100"/>
  <c r="FO22" i="100" s="1"/>
  <c r="DW42" i="100"/>
  <c r="FO42" i="100" s="1"/>
  <c r="DW59" i="100"/>
  <c r="FO59" i="100" s="1"/>
  <c r="DW47" i="100"/>
  <c r="FO47" i="100" s="1"/>
  <c r="DW63" i="100"/>
  <c r="FO63" i="100" s="1"/>
  <c r="DW46" i="100"/>
  <c r="FO46" i="100" s="1"/>
  <c r="DW58" i="100"/>
  <c r="FO58" i="100" s="1"/>
  <c r="DW48" i="100"/>
  <c r="FO48" i="100" s="1"/>
  <c r="DW62" i="100"/>
  <c r="FO62" i="100" s="1"/>
  <c r="DW44" i="100"/>
  <c r="FO44" i="100" s="1"/>
  <c r="DW66" i="100"/>
  <c r="FO66" i="100" s="1"/>
  <c r="DW64" i="100"/>
  <c r="FO64" i="100" s="1"/>
  <c r="DW8" i="100"/>
  <c r="FO8" i="100" s="1"/>
  <c r="DW14" i="100"/>
  <c r="FO14" i="100" s="1"/>
  <c r="DW19" i="100"/>
  <c r="FO19" i="100" s="1"/>
  <c r="DW34" i="100"/>
  <c r="FO34" i="100" s="1"/>
  <c r="DW28" i="100"/>
  <c r="FO28" i="100" s="1"/>
  <c r="DW26" i="100"/>
  <c r="FO26" i="100" s="1"/>
  <c r="DW33" i="100"/>
  <c r="FO33" i="100" s="1"/>
  <c r="DW45" i="100"/>
  <c r="FO45" i="100" s="1"/>
  <c r="DW56" i="100"/>
  <c r="FO56" i="100" s="1"/>
  <c r="DW54" i="100"/>
  <c r="FO54" i="100" s="1"/>
  <c r="DW60" i="100"/>
  <c r="FO60" i="100" s="1"/>
  <c r="DW41" i="100"/>
  <c r="FO41" i="100" s="1"/>
  <c r="DW65" i="100"/>
  <c r="FO65" i="100" s="1"/>
  <c r="DW43" i="100"/>
  <c r="FO43" i="100" s="1"/>
  <c r="DW52" i="100"/>
  <c r="FO52" i="100" s="1"/>
  <c r="DW53" i="100"/>
  <c r="FO53" i="100" s="1"/>
  <c r="DW49" i="100"/>
  <c r="FO49" i="100" s="1"/>
  <c r="DW50" i="100"/>
  <c r="FO50" i="100" s="1"/>
  <c r="DW27" i="100"/>
  <c r="FO27" i="100" s="1"/>
  <c r="DW9" i="100"/>
  <c r="FO9" i="100" s="1"/>
  <c r="DW15" i="100"/>
  <c r="FO15" i="100" s="1"/>
  <c r="DW31" i="100"/>
  <c r="FO31" i="100" s="1"/>
  <c r="DW32" i="100"/>
  <c r="FO32" i="100" s="1"/>
  <c r="DW29" i="100"/>
  <c r="FO29" i="100" s="1"/>
  <c r="DW23" i="100"/>
  <c r="FO23" i="100" s="1"/>
  <c r="DW35" i="100"/>
  <c r="FO35" i="100" s="1"/>
  <c r="DW24" i="100"/>
  <c r="FO24" i="100" s="1"/>
  <c r="DW25" i="100"/>
  <c r="FO25" i="100" s="1"/>
  <c r="DW51" i="100"/>
  <c r="FO51" i="100" s="1"/>
  <c r="DW55" i="100"/>
  <c r="FO55" i="100" s="1"/>
  <c r="DW38" i="100"/>
  <c r="FO38" i="100" s="1"/>
  <c r="DW40" i="100"/>
  <c r="FO40" i="100" s="1"/>
  <c r="DW39" i="100"/>
  <c r="FO39" i="100" s="1"/>
  <c r="DW61" i="100"/>
  <c r="FO61" i="100" s="1"/>
  <c r="DW57" i="100"/>
  <c r="FO57" i="100" s="1"/>
  <c r="DU20" i="100"/>
  <c r="FM20" i="100" s="1"/>
  <c r="DU9" i="100"/>
  <c r="FM9" i="100" s="1"/>
  <c r="DU23" i="100"/>
  <c r="FM23" i="100" s="1"/>
  <c r="DU34" i="100"/>
  <c r="FM34" i="100" s="1"/>
  <c r="DU13" i="100"/>
  <c r="FM13" i="100" s="1"/>
  <c r="DU19" i="100"/>
  <c r="FM19" i="100" s="1"/>
  <c r="DU15" i="100"/>
  <c r="FM15" i="100" s="1"/>
  <c r="DU26" i="100"/>
  <c r="FM26" i="100" s="1"/>
  <c r="DU10" i="100"/>
  <c r="FM10" i="100" s="1"/>
  <c r="DU24" i="100"/>
  <c r="FM24" i="100" s="1"/>
  <c r="DU29" i="100"/>
  <c r="FM29" i="100" s="1"/>
  <c r="DU37" i="100"/>
  <c r="FM37" i="100" s="1"/>
  <c r="DU12" i="100"/>
  <c r="FM12" i="100" s="1"/>
  <c r="DU35" i="100"/>
  <c r="FM35" i="100" s="1"/>
  <c r="DU17" i="100"/>
  <c r="FM17" i="100" s="1"/>
  <c r="DU61" i="100"/>
  <c r="FM61" i="100" s="1"/>
  <c r="DU42" i="100"/>
  <c r="FM42" i="100" s="1"/>
  <c r="DU58" i="100"/>
  <c r="FM58" i="100" s="1"/>
  <c r="DU47" i="100"/>
  <c r="FM47" i="100" s="1"/>
  <c r="DU55" i="100"/>
  <c r="FM55" i="100" s="1"/>
  <c r="DU39" i="100"/>
  <c r="FM39" i="100" s="1"/>
  <c r="DU65" i="100"/>
  <c r="FM65" i="100" s="1"/>
  <c r="DU66" i="100"/>
  <c r="FM66" i="100" s="1"/>
  <c r="DU44" i="100"/>
  <c r="FM44" i="100" s="1"/>
  <c r="DU38" i="100"/>
  <c r="FM38" i="100" s="1"/>
  <c r="DU28" i="100"/>
  <c r="FM28" i="100" s="1"/>
  <c r="DU7" i="100"/>
  <c r="FM7" i="100" s="1"/>
  <c r="DU18" i="100"/>
  <c r="FM18" i="100" s="1"/>
  <c r="DU22" i="100"/>
  <c r="FM22" i="100" s="1"/>
  <c r="DU30" i="100"/>
  <c r="FM30" i="100" s="1"/>
  <c r="DU32" i="100"/>
  <c r="FM32" i="100" s="1"/>
  <c r="DU14" i="100"/>
  <c r="FM14" i="100" s="1"/>
  <c r="DU64" i="100"/>
  <c r="FM64" i="100" s="1"/>
  <c r="DU49" i="100"/>
  <c r="FM49" i="100" s="1"/>
  <c r="DU50" i="100"/>
  <c r="FM50" i="100" s="1"/>
  <c r="DU56" i="100"/>
  <c r="FM56" i="100" s="1"/>
  <c r="DU45" i="100"/>
  <c r="FM45" i="100" s="1"/>
  <c r="DU62" i="100"/>
  <c r="FM62" i="100" s="1"/>
  <c r="DU53" i="100"/>
  <c r="FM53" i="100" s="1"/>
  <c r="DU54" i="100"/>
  <c r="FM54" i="100" s="1"/>
  <c r="DU25" i="100"/>
  <c r="FM25" i="100" s="1"/>
  <c r="DU27" i="100"/>
  <c r="FM27" i="100" s="1"/>
  <c r="DU11" i="100"/>
  <c r="FM11" i="100" s="1"/>
  <c r="DU36" i="100"/>
  <c r="FM36" i="100" s="1"/>
  <c r="DU8" i="100"/>
  <c r="FM8" i="100" s="1"/>
  <c r="DU33" i="100"/>
  <c r="FM33" i="100" s="1"/>
  <c r="DU16" i="100"/>
  <c r="FM16" i="100" s="1"/>
  <c r="DU21" i="100"/>
  <c r="FM21" i="100" s="1"/>
  <c r="DU31" i="100"/>
  <c r="FM31" i="100" s="1"/>
  <c r="DU60" i="100"/>
  <c r="FM60" i="100" s="1"/>
  <c r="DU41" i="100"/>
  <c r="FM41" i="100" s="1"/>
  <c r="DU57" i="100"/>
  <c r="FM57" i="100" s="1"/>
  <c r="DU48" i="100"/>
  <c r="FM48" i="100" s="1"/>
  <c r="DU43" i="100"/>
  <c r="FM43" i="100" s="1"/>
  <c r="DU59" i="100"/>
  <c r="FM59" i="100" s="1"/>
  <c r="DU63" i="100"/>
  <c r="FM63" i="100" s="1"/>
  <c r="DU46" i="100"/>
  <c r="FM46" i="100" s="1"/>
  <c r="DU51" i="100"/>
  <c r="FM51" i="100" s="1"/>
  <c r="DU40" i="100"/>
  <c r="FM40" i="100" s="1"/>
  <c r="DU52" i="100"/>
  <c r="FM52" i="100" s="1"/>
  <c r="EP18" i="100"/>
  <c r="GH18" i="100" s="1"/>
  <c r="EP30" i="100"/>
  <c r="GH30" i="100" s="1"/>
  <c r="EP27" i="100"/>
  <c r="GH27" i="100" s="1"/>
  <c r="EP7" i="100"/>
  <c r="GH7" i="100" s="1"/>
  <c r="EP25" i="100"/>
  <c r="GH25" i="100" s="1"/>
  <c r="EP19" i="100"/>
  <c r="GH19" i="100" s="1"/>
  <c r="EP33" i="100"/>
  <c r="GH33" i="100" s="1"/>
  <c r="EP26" i="100"/>
  <c r="GH26" i="100" s="1"/>
  <c r="EP34" i="100"/>
  <c r="GH34" i="100" s="1"/>
  <c r="EP36" i="100"/>
  <c r="GH36" i="100" s="1"/>
  <c r="EP23" i="100"/>
  <c r="GH23" i="100" s="1"/>
  <c r="EP14" i="100"/>
  <c r="GH14" i="100" s="1"/>
  <c r="EP24" i="100"/>
  <c r="GH24" i="100" s="1"/>
  <c r="EP17" i="100"/>
  <c r="GH17" i="100" s="1"/>
  <c r="EP32" i="100"/>
  <c r="GH32" i="100" s="1"/>
  <c r="EP29" i="100"/>
  <c r="GH29" i="100" s="1"/>
  <c r="EP55" i="100"/>
  <c r="GH55" i="100" s="1"/>
  <c r="EP56" i="100"/>
  <c r="GH56" i="100" s="1"/>
  <c r="EP48" i="100"/>
  <c r="GH48" i="100" s="1"/>
  <c r="EP39" i="100"/>
  <c r="GH39" i="100" s="1"/>
  <c r="EP59" i="100"/>
  <c r="GH59" i="100" s="1"/>
  <c r="EP41" i="100"/>
  <c r="GH41" i="100" s="1"/>
  <c r="EP61" i="100"/>
  <c r="GH61" i="100" s="1"/>
  <c r="EP8" i="100"/>
  <c r="GH8" i="100" s="1"/>
  <c r="EP9" i="100"/>
  <c r="GH9" i="100" s="1"/>
  <c r="EP11" i="100"/>
  <c r="GH11" i="100" s="1"/>
  <c r="EP21" i="100"/>
  <c r="GH21" i="100" s="1"/>
  <c r="EP20" i="100"/>
  <c r="GH20" i="100" s="1"/>
  <c r="EP13" i="100"/>
  <c r="GH13" i="100" s="1"/>
  <c r="EP12" i="100"/>
  <c r="GH12" i="100" s="1"/>
  <c r="EP35" i="100"/>
  <c r="GH35" i="100" s="1"/>
  <c r="EP31" i="100"/>
  <c r="GH31" i="100" s="1"/>
  <c r="EP40" i="100"/>
  <c r="GH40" i="100" s="1"/>
  <c r="EP45" i="100"/>
  <c r="GH45" i="100" s="1"/>
  <c r="EP52" i="100"/>
  <c r="GH52" i="100" s="1"/>
  <c r="EP47" i="100"/>
  <c r="GH47" i="100" s="1"/>
  <c r="EP50" i="100"/>
  <c r="GH50" i="100" s="1"/>
  <c r="EP49" i="100"/>
  <c r="GH49" i="100" s="1"/>
  <c r="EP63" i="100"/>
  <c r="GH63" i="100" s="1"/>
  <c r="EP22" i="100"/>
  <c r="GH22" i="100" s="1"/>
  <c r="EP10" i="100"/>
  <c r="GH10" i="100" s="1"/>
  <c r="EP37" i="100"/>
  <c r="GH37" i="100" s="1"/>
  <c r="EP15" i="100"/>
  <c r="GH15" i="100" s="1"/>
  <c r="EP16" i="100"/>
  <c r="GH16" i="100" s="1"/>
  <c r="EP28" i="100"/>
  <c r="GH28" i="100" s="1"/>
  <c r="EP65" i="100"/>
  <c r="GH65" i="100" s="1"/>
  <c r="EP46" i="100"/>
  <c r="GH46" i="100" s="1"/>
  <c r="EP62" i="100"/>
  <c r="GH62" i="100" s="1"/>
  <c r="EP38" i="100"/>
  <c r="GH38" i="100" s="1"/>
  <c r="EP54" i="100"/>
  <c r="GH54" i="100" s="1"/>
  <c r="EP44" i="100"/>
  <c r="GH44" i="100" s="1"/>
  <c r="EP58" i="100"/>
  <c r="GH58" i="100" s="1"/>
  <c r="EP42" i="100"/>
  <c r="GH42" i="100" s="1"/>
  <c r="EP64" i="100"/>
  <c r="GH64" i="100" s="1"/>
  <c r="EP53" i="100"/>
  <c r="GH53" i="100" s="1"/>
  <c r="EP57" i="100"/>
  <c r="GH57" i="100" s="1"/>
  <c r="EP51" i="100"/>
  <c r="GH51" i="100" s="1"/>
  <c r="EP60" i="100"/>
  <c r="GH60" i="100" s="1"/>
  <c r="EP66" i="100"/>
  <c r="GH66" i="100" s="1"/>
  <c r="EP43" i="100"/>
  <c r="GH43" i="100" s="1"/>
  <c r="DL8" i="100"/>
  <c r="FD8" i="100" s="1"/>
  <c r="DL10" i="100"/>
  <c r="FD10" i="100" s="1"/>
  <c r="DL9" i="100"/>
  <c r="FD9" i="100" s="1"/>
  <c r="DL7" i="100"/>
  <c r="FD7" i="100" s="1"/>
  <c r="DL15" i="100"/>
  <c r="FD15" i="100" s="1"/>
  <c r="DL12" i="100"/>
  <c r="FD12" i="100" s="1"/>
  <c r="DL32" i="100"/>
  <c r="FD32" i="100" s="1"/>
  <c r="DL26" i="100"/>
  <c r="FD26" i="100" s="1"/>
  <c r="DL33" i="100"/>
  <c r="FD33" i="100" s="1"/>
  <c r="DL23" i="100"/>
  <c r="FD23" i="100" s="1"/>
  <c r="DL34" i="100"/>
  <c r="FD34" i="100" s="1"/>
  <c r="DL41" i="100"/>
  <c r="FD41" i="100" s="1"/>
  <c r="DL63" i="100"/>
  <c r="FD63" i="100" s="1"/>
  <c r="DL46" i="100"/>
  <c r="FD46" i="100" s="1"/>
  <c r="DL57" i="100"/>
  <c r="FD57" i="100" s="1"/>
  <c r="DL52" i="100"/>
  <c r="FD52" i="100" s="1"/>
  <c r="DL51" i="100"/>
  <c r="FD51" i="100" s="1"/>
  <c r="DL54" i="100"/>
  <c r="FD54" i="100" s="1"/>
  <c r="DL11" i="100"/>
  <c r="FD11" i="100" s="1"/>
  <c r="DL13" i="100"/>
  <c r="FD13" i="100" s="1"/>
  <c r="DL16" i="100"/>
  <c r="FD16" i="100" s="1"/>
  <c r="DL17" i="100"/>
  <c r="FD17" i="100" s="1"/>
  <c r="DL19" i="100"/>
  <c r="FD19" i="100" s="1"/>
  <c r="DL35" i="100"/>
  <c r="FD35" i="100" s="1"/>
  <c r="DL27" i="100"/>
  <c r="FD27" i="100" s="1"/>
  <c r="DL24" i="100"/>
  <c r="FD24" i="100" s="1"/>
  <c r="DL21" i="100"/>
  <c r="FD21" i="100" s="1"/>
  <c r="DL31" i="100"/>
  <c r="FD31" i="100" s="1"/>
  <c r="DL28" i="100"/>
  <c r="FD28" i="100" s="1"/>
  <c r="DL56" i="100"/>
  <c r="FD56" i="100" s="1"/>
  <c r="DL59" i="100"/>
  <c r="FD59" i="100" s="1"/>
  <c r="DL49" i="100"/>
  <c r="FD49" i="100" s="1"/>
  <c r="DL65" i="100"/>
  <c r="FD65" i="100" s="1"/>
  <c r="DL60" i="100"/>
  <c r="FD60" i="100" s="1"/>
  <c r="DL42" i="100"/>
  <c r="FD42" i="100" s="1"/>
  <c r="DL62" i="100"/>
  <c r="FD62" i="100" s="1"/>
  <c r="DL14" i="100"/>
  <c r="FD14" i="100" s="1"/>
  <c r="DL18" i="100"/>
  <c r="FD18" i="100" s="1"/>
  <c r="DL25" i="100"/>
  <c r="FD25" i="100" s="1"/>
  <c r="DL30" i="100"/>
  <c r="FD30" i="100" s="1"/>
  <c r="DL36" i="100"/>
  <c r="FD36" i="100" s="1"/>
  <c r="DL43" i="100"/>
  <c r="FD43" i="100" s="1"/>
  <c r="DL38" i="100"/>
  <c r="FD38" i="100" s="1"/>
  <c r="DL58" i="100"/>
  <c r="FD58" i="100" s="1"/>
  <c r="DL40" i="100"/>
  <c r="FD40" i="100" s="1"/>
  <c r="DL53" i="100"/>
  <c r="FD53" i="100" s="1"/>
  <c r="DL50" i="100"/>
  <c r="FD50" i="100" s="1"/>
  <c r="DL64" i="100"/>
  <c r="FD64" i="100" s="1"/>
  <c r="DL22" i="100"/>
  <c r="FD22" i="100" s="1"/>
  <c r="DL29" i="100"/>
  <c r="FD29" i="100" s="1"/>
  <c r="DL39" i="100"/>
  <c r="FD39" i="100" s="1"/>
  <c r="DL47" i="100"/>
  <c r="FD47" i="100" s="1"/>
  <c r="DL45" i="100"/>
  <c r="FD45" i="100" s="1"/>
  <c r="DL55" i="100"/>
  <c r="FD55" i="100" s="1"/>
  <c r="DL44" i="100"/>
  <c r="FD44" i="100" s="1"/>
  <c r="DL48" i="100"/>
  <c r="FD48" i="100" s="1"/>
  <c r="DL37" i="100"/>
  <c r="FD37" i="100" s="1"/>
  <c r="DL20" i="100"/>
  <c r="FD20" i="100" s="1"/>
  <c r="DL66" i="100"/>
  <c r="FD66" i="100" s="1"/>
  <c r="DL61" i="100"/>
  <c r="FD61" i="100" s="1"/>
  <c r="DE7" i="100"/>
  <c r="EW7" i="100" s="1"/>
  <c r="DE33" i="100"/>
  <c r="EW33" i="100" s="1"/>
  <c r="DE62" i="100"/>
  <c r="EW62" i="100" s="1"/>
  <c r="DE18" i="100"/>
  <c r="EW18" i="100" s="1"/>
  <c r="DE31" i="100"/>
  <c r="EW31" i="100" s="1"/>
  <c r="DE57" i="100"/>
  <c r="EW57" i="100" s="1"/>
  <c r="DE32" i="100"/>
  <c r="EW32" i="100" s="1"/>
  <c r="DE52" i="100"/>
  <c r="EW52" i="100" s="1"/>
  <c r="DE43" i="100"/>
  <c r="EW43" i="100" s="1"/>
  <c r="DE19" i="100"/>
  <c r="EW19" i="100" s="1"/>
  <c r="DE37" i="100"/>
  <c r="EW37" i="100" s="1"/>
  <c r="DE41" i="100"/>
  <c r="EW41" i="100" s="1"/>
  <c r="DE22" i="100"/>
  <c r="EW22" i="100" s="1"/>
  <c r="DE63" i="100"/>
  <c r="EW63" i="100" s="1"/>
  <c r="DE40" i="100"/>
  <c r="EW40" i="100" s="1"/>
  <c r="DE25" i="100"/>
  <c r="EW25" i="100" s="1"/>
  <c r="DE55" i="100"/>
  <c r="EW55" i="100" s="1"/>
  <c r="DE56" i="100"/>
  <c r="EW56" i="100" s="1"/>
  <c r="DE24" i="100"/>
  <c r="EW24" i="100" s="1"/>
  <c r="DE65" i="100"/>
  <c r="EW65" i="100" s="1"/>
  <c r="DE51" i="100"/>
  <c r="EW51" i="100" s="1"/>
  <c r="DE36" i="100"/>
  <c r="EW36" i="100" s="1"/>
  <c r="DE14" i="100"/>
  <c r="EW14" i="100" s="1"/>
  <c r="DE61" i="100"/>
  <c r="EW61" i="100" s="1"/>
  <c r="DE50" i="100"/>
  <c r="EW50" i="100" s="1"/>
  <c r="DE34" i="100"/>
  <c r="EW34" i="100" s="1"/>
  <c r="DE12" i="100"/>
  <c r="EW12" i="100" s="1"/>
  <c r="DE17" i="100"/>
  <c r="EW17" i="100" s="1"/>
  <c r="DE16" i="100"/>
  <c r="EW16" i="100" s="1"/>
  <c r="DE38" i="100"/>
  <c r="EW38" i="100" s="1"/>
  <c r="DE46" i="100"/>
  <c r="EW46" i="100" s="1"/>
  <c r="DE39" i="100"/>
  <c r="EW39" i="100" s="1"/>
  <c r="DE21" i="100"/>
  <c r="EW21" i="100" s="1"/>
  <c r="DE30" i="100"/>
  <c r="EW30" i="100" s="1"/>
  <c r="DE53" i="100"/>
  <c r="EW53" i="100" s="1"/>
  <c r="DE48" i="100"/>
  <c r="EW48" i="100" s="1"/>
  <c r="DE10" i="100"/>
  <c r="EW10" i="100" s="1"/>
  <c r="DE64" i="100"/>
  <c r="EW64" i="100" s="1"/>
  <c r="DE44" i="100"/>
  <c r="EW44" i="100" s="1"/>
  <c r="DE27" i="100"/>
  <c r="EW27" i="100" s="1"/>
  <c r="DE13" i="100"/>
  <c r="EW13" i="100" s="1"/>
  <c r="DE59" i="100"/>
  <c r="EW59" i="100" s="1"/>
  <c r="DE42" i="100"/>
  <c r="EW42" i="100" s="1"/>
  <c r="DE23" i="100"/>
  <c r="EW23" i="100" s="1"/>
  <c r="DE9" i="100"/>
  <c r="EW9" i="100" s="1"/>
  <c r="DE29" i="100"/>
  <c r="EW29" i="100" s="1"/>
  <c r="DE54" i="100"/>
  <c r="EW54" i="100" s="1"/>
  <c r="DE11" i="100"/>
  <c r="EW11" i="100" s="1"/>
  <c r="DE20" i="100"/>
  <c r="EW20" i="100" s="1"/>
  <c r="DE66" i="100"/>
  <c r="EW66" i="100" s="1"/>
  <c r="DE15" i="100"/>
  <c r="EW15" i="100" s="1"/>
  <c r="DE45" i="100"/>
  <c r="EW45" i="100" s="1"/>
  <c r="DE47" i="100"/>
  <c r="EW47" i="100" s="1"/>
  <c r="DE60" i="100"/>
  <c r="EW60" i="100" s="1"/>
  <c r="DE35" i="100"/>
  <c r="EW35" i="100" s="1"/>
  <c r="DE28" i="100"/>
  <c r="EW28" i="100" s="1"/>
  <c r="DE58" i="100"/>
  <c r="EW58" i="100" s="1"/>
  <c r="DE49" i="100"/>
  <c r="EW49" i="100" s="1"/>
  <c r="DE26" i="100"/>
  <c r="EW26" i="100" s="1"/>
  <c r="DE8" i="100"/>
  <c r="EW8" i="100" s="1"/>
  <c r="K22" i="98"/>
  <c r="K30" i="98"/>
  <c r="DT14" i="98" s="1"/>
  <c r="ET14" i="98" s="1"/>
  <c r="EK14" i="98" s="1"/>
  <c r="D6" i="97"/>
  <c r="BM8" i="98"/>
  <c r="BM9" i="98"/>
  <c r="BM10" i="98"/>
  <c r="BM11" i="98"/>
  <c r="BM12" i="98"/>
  <c r="BM13" i="98"/>
  <c r="BM6" i="98"/>
  <c r="BM7" i="98"/>
  <c r="BK7" i="98"/>
  <c r="BK8" i="98"/>
  <c r="BK9" i="98"/>
  <c r="BK10" i="98"/>
  <c r="BK11" i="98"/>
  <c r="BK12" i="98"/>
  <c r="BK6" i="98"/>
  <c r="BK13" i="98"/>
  <c r="BL12" i="98"/>
  <c r="BL13" i="98"/>
  <c r="BL6" i="98"/>
  <c r="BL7" i="98"/>
  <c r="BL11" i="98"/>
  <c r="BY11" i="98" s="1"/>
  <c r="BL8" i="98"/>
  <c r="BL9" i="98"/>
  <c r="BL10" i="98"/>
  <c r="BJ8" i="98"/>
  <c r="BJ9" i="98"/>
  <c r="BJ10" i="98"/>
  <c r="BJ7" i="98"/>
  <c r="BJ11" i="98"/>
  <c r="BJ12" i="98"/>
  <c r="BJ13" i="98"/>
  <c r="BJ6" i="98"/>
  <c r="E5" i="97"/>
  <c r="D8" i="97"/>
  <c r="E8" i="97"/>
  <c r="D7" i="97"/>
  <c r="E7" i="97"/>
  <c r="BY12" i="98" l="1"/>
  <c r="N24" i="98"/>
  <c r="DW8" i="98" s="1"/>
  <c r="N30" i="98"/>
  <c r="DW14" i="98" s="1"/>
  <c r="X29" i="98"/>
  <c r="DU40" i="98" s="1"/>
  <c r="AN23" i="98"/>
  <c r="BY9" i="98"/>
  <c r="Y24" i="98" s="1"/>
  <c r="K29" i="98"/>
  <c r="DT13" i="98" s="1"/>
  <c r="ET13" i="98" s="1"/>
  <c r="EK13" i="98" s="1"/>
  <c r="FV494" i="98" s="1"/>
  <c r="BY8" i="98"/>
  <c r="U29" i="98" s="1"/>
  <c r="DV31" i="98" s="1"/>
  <c r="K27" i="98"/>
  <c r="DC16" i="98" s="1"/>
  <c r="K25" i="98"/>
  <c r="DC10" i="98" s="1"/>
  <c r="K23" i="98"/>
  <c r="AF30" i="98"/>
  <c r="DU59" i="98" s="1"/>
  <c r="AF23" i="98"/>
  <c r="DU52" i="98" s="1"/>
  <c r="AA24" i="98"/>
  <c r="DC44" i="98" s="1"/>
  <c r="AA30" i="98"/>
  <c r="DT50" i="98" s="1"/>
  <c r="AP25" i="98"/>
  <c r="DW72" i="98" s="1"/>
  <c r="ET72" i="98" s="1"/>
  <c r="EK72" i="98" s="1"/>
  <c r="FV480" i="98" s="1"/>
  <c r="AP27" i="98"/>
  <c r="DW74" i="98" s="1"/>
  <c r="ET74" i="98" s="1"/>
  <c r="EK74" i="98" s="1"/>
  <c r="FV722" i="98" s="1"/>
  <c r="AJ27" i="98"/>
  <c r="DU65" i="98" s="1"/>
  <c r="AJ28" i="98"/>
  <c r="DU66" i="98" s="1"/>
  <c r="K28" i="98"/>
  <c r="DC26" i="98" s="1"/>
  <c r="K24" i="98"/>
  <c r="DC9" i="98" s="1"/>
  <c r="AF22" i="98"/>
  <c r="DU51" i="98" s="1"/>
  <c r="AF29" i="98"/>
  <c r="DU58" i="98" s="1"/>
  <c r="AF25" i="98"/>
  <c r="DD72" i="98" s="1"/>
  <c r="AA23" i="98"/>
  <c r="DT43" i="98" s="1"/>
  <c r="AA27" i="98"/>
  <c r="DT47" i="98" s="1"/>
  <c r="AP28" i="98"/>
  <c r="DW75" i="98" s="1"/>
  <c r="ET75" i="98" s="1"/>
  <c r="EK75" i="98" s="1"/>
  <c r="FV403" i="98" s="1"/>
  <c r="AP23" i="98"/>
  <c r="DW70" i="98" s="1"/>
  <c r="ET70" i="98" s="1"/>
  <c r="EK70" i="98" s="1"/>
  <c r="AJ22" i="98"/>
  <c r="DD50" i="98" s="1"/>
  <c r="AJ23" i="98"/>
  <c r="DD53" i="98" s="1"/>
  <c r="AJ25" i="98"/>
  <c r="AF27" i="98"/>
  <c r="DU56" i="98" s="1"/>
  <c r="AA26" i="98"/>
  <c r="DT46" i="98" s="1"/>
  <c r="AP29" i="98"/>
  <c r="DW76" i="98" s="1"/>
  <c r="ET76" i="98" s="1"/>
  <c r="EK76" i="98" s="1"/>
  <c r="FV644" i="98" s="1"/>
  <c r="AP22" i="98"/>
  <c r="DF59" i="98" s="1"/>
  <c r="AJ30" i="98"/>
  <c r="DU68" i="98" s="1"/>
  <c r="AH30" i="98"/>
  <c r="DW59" i="98" s="1"/>
  <c r="ET59" i="98" s="1"/>
  <c r="EK59" i="98" s="1"/>
  <c r="FV1665" i="98" s="1"/>
  <c r="S25" i="98"/>
  <c r="DT27" i="98" s="1"/>
  <c r="Z27" i="98"/>
  <c r="DW38" i="98" s="1"/>
  <c r="AN24" i="98"/>
  <c r="DU71" i="98" s="1"/>
  <c r="AL28" i="98"/>
  <c r="DW66" i="98" s="1"/>
  <c r="ET66" i="98" s="1"/>
  <c r="EK66" i="98" s="1"/>
  <c r="FV1513" i="98" s="1"/>
  <c r="S27" i="98"/>
  <c r="DT29" i="98" s="1"/>
  <c r="Z25" i="98"/>
  <c r="DF34" i="98" s="1"/>
  <c r="AI27" i="98"/>
  <c r="DT65" i="98" s="1"/>
  <c r="AH24" i="98"/>
  <c r="DF51" i="98" s="1"/>
  <c r="L22" i="98"/>
  <c r="DU6" i="98" s="1"/>
  <c r="O26" i="98"/>
  <c r="DT19" i="98" s="1"/>
  <c r="AI25" i="98"/>
  <c r="DT63" i="98" s="1"/>
  <c r="O22" i="98"/>
  <c r="DC12" i="98" s="1"/>
  <c r="L27" i="98"/>
  <c r="DD16" i="98" s="1"/>
  <c r="N29" i="98"/>
  <c r="DW13" i="98" s="1"/>
  <c r="P22" i="98"/>
  <c r="DU15" i="98" s="1"/>
  <c r="ET15" i="98" s="1"/>
  <c r="EK15" i="98" s="1"/>
  <c r="AM30" i="98"/>
  <c r="DT77" i="98" s="1"/>
  <c r="N26" i="98"/>
  <c r="DW10" i="98" s="1"/>
  <c r="X24" i="98"/>
  <c r="DU35" i="98" s="1"/>
  <c r="V26" i="98"/>
  <c r="DF25" i="98" s="1"/>
  <c r="P23" i="98"/>
  <c r="DD13" i="98" s="1"/>
  <c r="N22" i="98"/>
  <c r="DF7" i="98" s="1"/>
  <c r="N25" i="98"/>
  <c r="DF10" i="98" s="1"/>
  <c r="N27" i="98"/>
  <c r="DW11" i="98" s="1"/>
  <c r="N28" i="98"/>
  <c r="DW12" i="98" s="1"/>
  <c r="X30" i="98"/>
  <c r="DU41" i="98" s="1"/>
  <c r="V24" i="98"/>
  <c r="DF21" i="98" s="1"/>
  <c r="P28" i="98"/>
  <c r="DU21" i="98" s="1"/>
  <c r="ET21" i="98" s="1"/>
  <c r="EK21" i="98" s="1"/>
  <c r="R27" i="98"/>
  <c r="DW20" i="98" s="1"/>
  <c r="AE25" i="98"/>
  <c r="DT54" i="98" s="1"/>
  <c r="X28" i="98"/>
  <c r="DU39" i="98" s="1"/>
  <c r="X25" i="98"/>
  <c r="DD34" i="98" s="1"/>
  <c r="V29" i="98"/>
  <c r="DW31" i="98" s="1"/>
  <c r="V27" i="98"/>
  <c r="DW29" i="98" s="1"/>
  <c r="P26" i="98"/>
  <c r="DD18" i="98" s="1"/>
  <c r="P27" i="98"/>
  <c r="DD28" i="98" s="1"/>
  <c r="AM25" i="98"/>
  <c r="DT72" i="98" s="1"/>
  <c r="AM27" i="98"/>
  <c r="DT74" i="98" s="1"/>
  <c r="R25" i="98"/>
  <c r="DW18" i="98" s="1"/>
  <c r="X22" i="98"/>
  <c r="DU33" i="98" s="1"/>
  <c r="X23" i="98"/>
  <c r="DU34" i="98" s="1"/>
  <c r="V22" i="98"/>
  <c r="DF19" i="98" s="1"/>
  <c r="V25" i="98"/>
  <c r="DW27" i="98" s="1"/>
  <c r="V23" i="98"/>
  <c r="DF20" i="98" s="1"/>
  <c r="P29" i="98"/>
  <c r="DU22" i="98" s="1"/>
  <c r="ET22" i="98" s="1"/>
  <c r="EK22" i="98" s="1"/>
  <c r="FV1064" i="98" s="1"/>
  <c r="P25" i="98"/>
  <c r="DU18" i="98" s="1"/>
  <c r="ET18" i="98" s="1"/>
  <c r="EK18" i="98" s="1"/>
  <c r="AM29" i="98"/>
  <c r="DT76" i="98" s="1"/>
  <c r="AM22" i="98"/>
  <c r="DT69" i="98" s="1"/>
  <c r="AM23" i="98"/>
  <c r="DT70" i="98" s="1"/>
  <c r="R30" i="98"/>
  <c r="DW23" i="98" s="1"/>
  <c r="X26" i="98"/>
  <c r="DD40" i="98" s="1"/>
  <c r="V30" i="98"/>
  <c r="DW32" i="98" s="1"/>
  <c r="P30" i="98"/>
  <c r="DU23" i="98" s="1"/>
  <c r="ET23" i="98" s="1"/>
  <c r="EK23" i="98" s="1"/>
  <c r="FV1465" i="98" s="1"/>
  <c r="AM26" i="98"/>
  <c r="DT73" i="98" s="1"/>
  <c r="R29" i="98"/>
  <c r="DW22" i="98" s="1"/>
  <c r="R28" i="98"/>
  <c r="DW21" i="98" s="1"/>
  <c r="R24" i="98"/>
  <c r="DF14" i="98" s="1"/>
  <c r="R22" i="98"/>
  <c r="DF12" i="98" s="1"/>
  <c r="H14" i="103"/>
  <c r="H26" i="103"/>
  <c r="H12" i="103"/>
  <c r="H15" i="103"/>
  <c r="H9" i="103"/>
  <c r="H13" i="103"/>
  <c r="H20" i="103"/>
  <c r="H25" i="103"/>
  <c r="H17" i="103"/>
  <c r="H16" i="103"/>
  <c r="H10" i="103"/>
  <c r="H6" i="103"/>
  <c r="H24" i="103"/>
  <c r="H18" i="103"/>
  <c r="H8" i="103"/>
  <c r="H11" i="103"/>
  <c r="H7" i="103"/>
  <c r="H19" i="103"/>
  <c r="H23" i="103"/>
  <c r="H21" i="103"/>
  <c r="H22" i="103"/>
  <c r="FV1363" i="98"/>
  <c r="FV512" i="98"/>
  <c r="FV432" i="98"/>
  <c r="FV32" i="98"/>
  <c r="FV912" i="98"/>
  <c r="FV592" i="98"/>
  <c r="FV752" i="98"/>
  <c r="FV272" i="98"/>
  <c r="FV192" i="98"/>
  <c r="FV1152" i="98"/>
  <c r="FV112" i="98"/>
  <c r="FV1312" i="98"/>
  <c r="FV352" i="98"/>
  <c r="FV1552" i="98"/>
  <c r="FV1072" i="98"/>
  <c r="FV1232" i="98"/>
  <c r="FV1392" i="98"/>
  <c r="FV672" i="98"/>
  <c r="FV1632" i="98"/>
  <c r="FV832" i="98"/>
  <c r="FV1472" i="98"/>
  <c r="FV992" i="98"/>
  <c r="FV1501" i="98"/>
  <c r="FV1421" i="98"/>
  <c r="FV1341" i="98"/>
  <c r="FV1661" i="98"/>
  <c r="FV61" i="98"/>
  <c r="FV221" i="98"/>
  <c r="FV621" i="98"/>
  <c r="FV141" i="98"/>
  <c r="FV1581" i="98"/>
  <c r="FV301" i="98"/>
  <c r="FV1181" i="98"/>
  <c r="FV381" i="98"/>
  <c r="FV781" i="98"/>
  <c r="FV1101" i="98"/>
  <c r="FV1021" i="98"/>
  <c r="FV861" i="98"/>
  <c r="FV1261" i="98"/>
  <c r="FV461" i="98"/>
  <c r="FV941" i="98"/>
  <c r="FV541" i="98"/>
  <c r="FV701" i="98"/>
  <c r="FV1685" i="98"/>
  <c r="FV1525" i="98"/>
  <c r="FV1365" i="98"/>
  <c r="FV1445" i="98"/>
  <c r="FV85" i="98"/>
  <c r="FV1285" i="98"/>
  <c r="FV1205" i="98"/>
  <c r="FV165" i="98"/>
  <c r="FV1605" i="98"/>
  <c r="FV1045" i="98"/>
  <c r="FV245" i="98"/>
  <c r="FV565" i="98"/>
  <c r="FV805" i="98"/>
  <c r="FV485" i="98"/>
  <c r="FV885" i="98"/>
  <c r="FV725" i="98"/>
  <c r="FV965" i="98"/>
  <c r="FV1125" i="98"/>
  <c r="FV645" i="98"/>
  <c r="FV405" i="98"/>
  <c r="FV325" i="98"/>
  <c r="FV1393" i="98"/>
  <c r="FV1313" i="98"/>
  <c r="FV1633" i="98"/>
  <c r="FV1473" i="98"/>
  <c r="FV193" i="98"/>
  <c r="FV33" i="98"/>
  <c r="FV433" i="98"/>
  <c r="FV273" i="98"/>
  <c r="FV1153" i="98"/>
  <c r="FV673" i="98"/>
  <c r="FV113" i="98"/>
  <c r="FV353" i="98"/>
  <c r="FV753" i="98"/>
  <c r="FV1553" i="98"/>
  <c r="FV913" i="98"/>
  <c r="FV593" i="98"/>
  <c r="FV833" i="98"/>
  <c r="FV993" i="98"/>
  <c r="FV1233" i="98"/>
  <c r="FV513" i="98"/>
  <c r="FV1073" i="98"/>
  <c r="FV15" i="98"/>
  <c r="FV1535" i="98"/>
  <c r="FV1135" i="98"/>
  <c r="FV95" i="98"/>
  <c r="FV815" i="98"/>
  <c r="FV895" i="98"/>
  <c r="FV335" i="98"/>
  <c r="FV415" i="98"/>
  <c r="FV1295" i="98"/>
  <c r="FV1455" i="98"/>
  <c r="FV1215" i="98"/>
  <c r="FV1055" i="98"/>
  <c r="FV1375" i="98"/>
  <c r="FV975" i="98"/>
  <c r="FV655" i="98"/>
  <c r="FV1615" i="98"/>
  <c r="FV255" i="98"/>
  <c r="FV495" i="98"/>
  <c r="FV575" i="98"/>
  <c r="FV175" i="98"/>
  <c r="FV735" i="98"/>
  <c r="FV1684" i="98"/>
  <c r="FV1044" i="98"/>
  <c r="FV324" i="98"/>
  <c r="FV804" i="98"/>
  <c r="FV724" i="98"/>
  <c r="FV164" i="98"/>
  <c r="FV1441" i="98"/>
  <c r="FV1681" i="98"/>
  <c r="FV1521" i="98"/>
  <c r="FV1361" i="98"/>
  <c r="FV321" i="98"/>
  <c r="FV481" i="98"/>
  <c r="FV401" i="98"/>
  <c r="FV1041" i="98"/>
  <c r="FV161" i="98"/>
  <c r="FV801" i="98"/>
  <c r="FV81" i="98"/>
  <c r="FV1601" i="98"/>
  <c r="FV1201" i="98"/>
  <c r="FV1281" i="98"/>
  <c r="FV881" i="98"/>
  <c r="FV961" i="98"/>
  <c r="FV721" i="98"/>
  <c r="FV1121" i="98"/>
  <c r="FV641" i="98"/>
  <c r="FV241" i="98"/>
  <c r="FV561" i="98"/>
  <c r="FV754" i="98"/>
  <c r="FV594" i="98"/>
  <c r="FV194" i="98"/>
  <c r="FV994" i="98"/>
  <c r="FV34" i="98"/>
  <c r="FV514" i="98"/>
  <c r="FV1154" i="98"/>
  <c r="FV914" i="98"/>
  <c r="FV1074" i="98"/>
  <c r="FV434" i="98"/>
  <c r="FV114" i="98"/>
  <c r="FV1394" i="98"/>
  <c r="FV354" i="98"/>
  <c r="FV674" i="98"/>
  <c r="FV1314" i="98"/>
  <c r="FV1634" i="98"/>
  <c r="FV834" i="98"/>
  <c r="FV274" i="98"/>
  <c r="FV1234" i="98"/>
  <c r="FV1554" i="98"/>
  <c r="FV1474" i="98"/>
  <c r="FV334" i="98"/>
  <c r="FV974" i="98"/>
  <c r="FV1134" i="98"/>
  <c r="FV1214" i="98"/>
  <c r="FV1294" i="98"/>
  <c r="FV1374" i="98"/>
  <c r="FV1534" i="98"/>
  <c r="FV1614" i="98"/>
  <c r="FV574" i="98"/>
  <c r="FV654" i="98"/>
  <c r="FV1054" i="98"/>
  <c r="FV814" i="98"/>
  <c r="FV14" i="98"/>
  <c r="FV734" i="98"/>
  <c r="FV254" i="98"/>
  <c r="FV755" i="98"/>
  <c r="FV915" i="98"/>
  <c r="FV1315" i="98"/>
  <c r="FV195" i="98"/>
  <c r="FV1555" i="98"/>
  <c r="FV1235" i="98"/>
  <c r="FV115" i="98"/>
  <c r="FV515" i="98"/>
  <c r="FV435" i="98"/>
  <c r="FV1075" i="98"/>
  <c r="FV1635" i="98"/>
  <c r="FV355" i="98"/>
  <c r="FV595" i="98"/>
  <c r="FV675" i="98"/>
  <c r="FV1155" i="98"/>
  <c r="FV1475" i="98"/>
  <c r="FV1395" i="98"/>
  <c r="FV275" i="98"/>
  <c r="FV995" i="98"/>
  <c r="FV35" i="98"/>
  <c r="FV835" i="98"/>
  <c r="AN25" i="98"/>
  <c r="DU72" i="98" s="1"/>
  <c r="AN27" i="98"/>
  <c r="DU74" i="98" s="1"/>
  <c r="S28" i="98"/>
  <c r="DT30" i="98" s="1"/>
  <c r="EM30" i="98" s="1"/>
  <c r="FX113" i="98" s="1"/>
  <c r="S23" i="98"/>
  <c r="DC20" i="98" s="1"/>
  <c r="Z28" i="98"/>
  <c r="DW39" i="98" s="1"/>
  <c r="Z29" i="98"/>
  <c r="DW40" i="98" s="1"/>
  <c r="Z23" i="98"/>
  <c r="DF30" i="98" s="1"/>
  <c r="AL27" i="98"/>
  <c r="DW65" i="98" s="1"/>
  <c r="ET65" i="98" s="1"/>
  <c r="EK65" i="98" s="1"/>
  <c r="AN29" i="98"/>
  <c r="DU76" i="98" s="1"/>
  <c r="AN28" i="98"/>
  <c r="DU75" i="98" s="1"/>
  <c r="S29" i="98"/>
  <c r="DT31" i="98" s="1"/>
  <c r="EM31" i="98" s="1"/>
  <c r="FX274" i="98" s="1"/>
  <c r="S24" i="98"/>
  <c r="DT26" i="98" s="1"/>
  <c r="S26" i="98"/>
  <c r="DC25" i="98" s="1"/>
  <c r="Z26" i="98"/>
  <c r="DF40" i="98" s="1"/>
  <c r="Z24" i="98"/>
  <c r="DW35" i="98" s="1"/>
  <c r="AL30" i="98"/>
  <c r="DW68" i="98" s="1"/>
  <c r="ET68" i="98" s="1"/>
  <c r="EK68" i="98" s="1"/>
  <c r="BY6" i="98"/>
  <c r="M25" i="98" s="1"/>
  <c r="AN26" i="98"/>
  <c r="DU73" i="98" s="1"/>
  <c r="AN30" i="98"/>
  <c r="DU77" i="98" s="1"/>
  <c r="S22" i="98"/>
  <c r="DT24" i="98" s="1"/>
  <c r="Z30" i="98"/>
  <c r="DW41" i="98" s="1"/>
  <c r="AL29" i="98"/>
  <c r="DW67" i="98" s="1"/>
  <c r="ET67" i="98" s="1"/>
  <c r="EK67" i="98" s="1"/>
  <c r="BY10" i="98"/>
  <c r="AC25" i="98" s="1"/>
  <c r="AI22" i="98"/>
  <c r="DT60" i="98" s="1"/>
  <c r="AI24" i="98"/>
  <c r="DT62" i="98" s="1"/>
  <c r="AI29" i="98"/>
  <c r="DT67" i="98" s="1"/>
  <c r="O27" i="98"/>
  <c r="DT20" i="98" s="1"/>
  <c r="O30" i="98"/>
  <c r="DT23" i="98" s="1"/>
  <c r="O23" i="98"/>
  <c r="DT16" i="98" s="1"/>
  <c r="AH25" i="98"/>
  <c r="DF72" i="98" s="1"/>
  <c r="AH27" i="98"/>
  <c r="DW56" i="98" s="1"/>
  <c r="ET56" i="98" s="1"/>
  <c r="EK56" i="98" s="1"/>
  <c r="L29" i="98"/>
  <c r="DU13" i="98" s="1"/>
  <c r="L28" i="98"/>
  <c r="DD26" i="98" s="1"/>
  <c r="EM32" i="98"/>
  <c r="FX195" i="98" s="1"/>
  <c r="BY13" i="98"/>
  <c r="AO24" i="98" s="1"/>
  <c r="AI28" i="98"/>
  <c r="DT66" i="98" s="1"/>
  <c r="AI30" i="98"/>
  <c r="DT68" i="98" s="1"/>
  <c r="AI26" i="98"/>
  <c r="DT64" i="98" s="1"/>
  <c r="O25" i="98"/>
  <c r="DC15" i="98" s="1"/>
  <c r="O24" i="98"/>
  <c r="DT17" i="98" s="1"/>
  <c r="AH28" i="98"/>
  <c r="DW57" i="98" s="1"/>
  <c r="ET57" i="98" s="1"/>
  <c r="EK57" i="98" s="1"/>
  <c r="AH23" i="98"/>
  <c r="DF47" i="98" s="1"/>
  <c r="L30" i="98"/>
  <c r="DU14" i="98" s="1"/>
  <c r="L26" i="98"/>
  <c r="DD11" i="98" s="1"/>
  <c r="L24" i="98"/>
  <c r="DU8" i="98" s="1"/>
  <c r="BY7" i="98"/>
  <c r="Q26" i="98" s="1"/>
  <c r="O29" i="98"/>
  <c r="DT22" i="98" s="1"/>
  <c r="AH29" i="98"/>
  <c r="DW58" i="98" s="1"/>
  <c r="ET58" i="98" s="1"/>
  <c r="EP58" i="98" s="1"/>
  <c r="AH22" i="98"/>
  <c r="DF43" i="98" s="1"/>
  <c r="L23" i="98"/>
  <c r="DD8" i="98" s="1"/>
  <c r="AB30" i="98"/>
  <c r="DU50" i="98" s="1"/>
  <c r="AL23" i="98"/>
  <c r="DW61" i="98" s="1"/>
  <c r="ET61" i="98" s="1"/>
  <c r="EK61" i="98" s="1"/>
  <c r="AL25" i="98"/>
  <c r="DW63" i="98" s="1"/>
  <c r="ET63" i="98" s="1"/>
  <c r="EK63" i="98" s="1"/>
  <c r="EM29" i="98"/>
  <c r="FX272" i="98" s="1"/>
  <c r="AL22" i="98"/>
  <c r="DW60" i="98" s="1"/>
  <c r="ET60" i="98" s="1"/>
  <c r="EK60" i="98" s="1"/>
  <c r="AL26" i="98"/>
  <c r="DW64" i="98" s="1"/>
  <c r="ET64" i="98" s="1"/>
  <c r="AE22" i="98"/>
  <c r="DT51" i="98" s="1"/>
  <c r="AB23" i="98"/>
  <c r="DU43" i="98" s="1"/>
  <c r="AE29" i="98"/>
  <c r="DT58" i="98" s="1"/>
  <c r="AE27" i="98"/>
  <c r="DT56" i="98" s="1"/>
  <c r="AE26" i="98"/>
  <c r="DT55" i="98" s="1"/>
  <c r="AB22" i="98"/>
  <c r="DD36" i="98" s="1"/>
  <c r="AB28" i="98"/>
  <c r="DU48" i="98" s="1"/>
  <c r="AE24" i="98"/>
  <c r="DC51" i="98" s="1"/>
  <c r="AE30" i="98"/>
  <c r="DT59" i="98" s="1"/>
  <c r="AB24" i="98"/>
  <c r="DU44" i="98" s="1"/>
  <c r="AB29" i="98"/>
  <c r="DU49" i="98" s="1"/>
  <c r="AE23" i="98"/>
  <c r="DT52" i="98" s="1"/>
  <c r="AB26" i="98"/>
  <c r="DU46" i="98" s="1"/>
  <c r="AB27" i="98"/>
  <c r="DU47" i="98" s="1"/>
  <c r="DF8" i="98"/>
  <c r="DW7" i="98"/>
  <c r="DT21" i="98"/>
  <c r="DC35" i="98"/>
  <c r="FD66" i="98"/>
  <c r="DC29" i="98"/>
  <c r="DT33" i="98"/>
  <c r="FD76" i="98"/>
  <c r="DW69" i="98"/>
  <c r="ET69" i="98" s="1"/>
  <c r="EK69" i="98" s="1"/>
  <c r="EX73" i="98"/>
  <c r="FD73" i="98"/>
  <c r="EP73" i="98"/>
  <c r="FB73" i="98"/>
  <c r="FA73" i="98"/>
  <c r="EY73" i="98"/>
  <c r="FD59" i="98"/>
  <c r="DD21" i="98"/>
  <c r="DU26" i="98"/>
  <c r="ET26" i="98" s="1"/>
  <c r="EK26" i="98" s="1"/>
  <c r="EP31" i="98"/>
  <c r="EY31" i="98"/>
  <c r="EX31" i="98"/>
  <c r="FD31" i="98"/>
  <c r="FA31" i="98"/>
  <c r="FB31" i="98"/>
  <c r="DD55" i="98"/>
  <c r="DU45" i="98"/>
  <c r="DF44" i="98"/>
  <c r="DW44" i="98"/>
  <c r="DF18" i="98"/>
  <c r="DW19" i="98"/>
  <c r="DF29" i="98"/>
  <c r="DW33" i="98"/>
  <c r="DD47" i="98"/>
  <c r="DT44" i="98"/>
  <c r="DF60" i="98"/>
  <c r="DW62" i="98"/>
  <c r="ET62" i="98" s="1"/>
  <c r="EK62" i="98" s="1"/>
  <c r="DC30" i="98"/>
  <c r="DT34" i="98"/>
  <c r="DC34" i="98"/>
  <c r="DT36" i="98"/>
  <c r="EP74" i="98"/>
  <c r="FA55" i="98"/>
  <c r="EX55" i="98"/>
  <c r="EP55" i="98"/>
  <c r="FB55" i="98"/>
  <c r="FD55" i="98"/>
  <c r="EY55" i="98"/>
  <c r="EP32" i="98"/>
  <c r="FB32" i="98"/>
  <c r="EX32" i="98"/>
  <c r="FA32" i="98"/>
  <c r="FD32" i="98"/>
  <c r="EY32" i="98"/>
  <c r="DD25" i="98"/>
  <c r="DU28" i="98"/>
  <c r="ET28" i="98" s="1"/>
  <c r="EK28" i="98" s="1"/>
  <c r="DW42" i="98"/>
  <c r="DF36" i="98"/>
  <c r="DW15" i="98"/>
  <c r="DF13" i="98"/>
  <c r="DW16" i="98"/>
  <c r="DC53" i="98"/>
  <c r="DT61" i="98"/>
  <c r="DC8" i="98"/>
  <c r="DT7" i="98"/>
  <c r="ET7" i="98" s="1"/>
  <c r="EK7" i="98" s="1"/>
  <c r="DD59" i="98"/>
  <c r="DU69" i="98"/>
  <c r="DT8" i="98"/>
  <c r="ET8" i="98" s="1"/>
  <c r="EK8" i="98" s="1"/>
  <c r="DC11" i="98"/>
  <c r="DT10" i="98"/>
  <c r="ET10" i="98" s="1"/>
  <c r="EK10" i="98" s="1"/>
  <c r="DW6" i="98"/>
  <c r="DD43" i="98"/>
  <c r="DC38" i="98"/>
  <c r="DD30" i="98"/>
  <c r="DW24" i="98"/>
  <c r="DC65" i="98"/>
  <c r="FA75" i="98"/>
  <c r="EX75" i="98"/>
  <c r="FB75" i="98"/>
  <c r="FD75" i="98"/>
  <c r="EY75" i="98"/>
  <c r="EP29" i="98"/>
  <c r="EX29" i="98"/>
  <c r="FD29" i="98"/>
  <c r="FB29" i="98"/>
  <c r="EY29" i="98"/>
  <c r="FA29" i="98"/>
  <c r="DD19" i="98"/>
  <c r="DU24" i="98"/>
  <c r="ET24" i="98" s="1"/>
  <c r="EK24" i="98" s="1"/>
  <c r="DD7" i="98"/>
  <c r="DD67" i="98"/>
  <c r="DU63" i="98"/>
  <c r="DF55" i="98"/>
  <c r="DW45" i="98"/>
  <c r="EP13" i="98"/>
  <c r="EX13" i="98"/>
  <c r="FA13" i="98"/>
  <c r="FD13" i="98"/>
  <c r="FB13" i="98"/>
  <c r="EY13" i="98"/>
  <c r="DU70" i="98"/>
  <c r="DD65" i="98"/>
  <c r="EP14" i="98"/>
  <c r="EY14" i="98"/>
  <c r="EX14" i="98"/>
  <c r="FD14" i="98"/>
  <c r="FA14" i="98"/>
  <c r="FB14" i="98"/>
  <c r="DT6" i="98"/>
  <c r="ET6" i="98" s="1"/>
  <c r="EK6" i="98" s="1"/>
  <c r="DC7" i="98"/>
  <c r="DU53" i="98"/>
  <c r="DD51" i="98"/>
  <c r="DC36" i="98"/>
  <c r="DT42" i="98"/>
  <c r="DC55" i="98"/>
  <c r="DT45" i="98"/>
  <c r="DD46" i="98"/>
  <c r="FD23" i="98"/>
  <c r="DD14" i="98"/>
  <c r="DU17" i="98"/>
  <c r="ET17" i="98" s="1"/>
  <c r="EK17" i="98" s="1"/>
  <c r="DC75" i="98"/>
  <c r="DT71" i="98"/>
  <c r="DT37" i="98"/>
  <c r="DC46" i="98"/>
  <c r="DC40" i="98"/>
  <c r="DC31" i="98"/>
  <c r="DT35" i="98"/>
  <c r="DW71" i="98"/>
  <c r="ET71" i="98" s="1"/>
  <c r="EK71" i="98" s="1"/>
  <c r="DF75" i="98"/>
  <c r="EP77" i="98"/>
  <c r="FB77" i="98"/>
  <c r="FA77" i="98"/>
  <c r="FD77" i="98"/>
  <c r="EX77" i="98"/>
  <c r="EY77" i="98"/>
  <c r="EP30" i="98"/>
  <c r="FB30" i="98"/>
  <c r="EY30" i="98"/>
  <c r="EX30" i="98"/>
  <c r="FA30" i="98"/>
  <c r="FD30" i="98"/>
  <c r="DD20" i="98"/>
  <c r="DU25" i="98"/>
  <c r="ET25" i="98" s="1"/>
  <c r="EK25" i="98" s="1"/>
  <c r="DD23" i="98"/>
  <c r="DU27" i="98"/>
  <c r="ET27" i="98" s="1"/>
  <c r="EK27" i="98" s="1"/>
  <c r="DD10" i="98"/>
  <c r="DU9" i="98"/>
  <c r="DD60" i="98"/>
  <c r="DU62" i="98"/>
  <c r="DF38" i="98"/>
  <c r="DW43" i="98"/>
  <c r="Y25" i="98"/>
  <c r="Y30" i="98"/>
  <c r="DV41" i="98" s="1"/>
  <c r="U25" i="98"/>
  <c r="AG23" i="98"/>
  <c r="AG24" i="98"/>
  <c r="AG25" i="98"/>
  <c r="AG26" i="98"/>
  <c r="DV55" i="98" s="1"/>
  <c r="EM55" i="98" s="1"/>
  <c r="AG27" i="98"/>
  <c r="DV56" i="98" s="1"/>
  <c r="AG22" i="98"/>
  <c r="AG29" i="98"/>
  <c r="DV58" i="98" s="1"/>
  <c r="AG28" i="98"/>
  <c r="DV57" i="98" s="1"/>
  <c r="AG30" i="98"/>
  <c r="DV59" i="98" s="1"/>
  <c r="EM59" i="98" s="1"/>
  <c r="AK24" i="98"/>
  <c r="AK23" i="98"/>
  <c r="AK28" i="98"/>
  <c r="DV66" i="98" s="1"/>
  <c r="EM66" i="98" s="1"/>
  <c r="AK29" i="98"/>
  <c r="DV67" i="98" s="1"/>
  <c r="AK30" i="98"/>
  <c r="DV68" i="98" s="1"/>
  <c r="AK25" i="98"/>
  <c r="AK26" i="98"/>
  <c r="DV64" i="98" s="1"/>
  <c r="AK27" i="98"/>
  <c r="DV65" i="98" s="1"/>
  <c r="AK22" i="98"/>
  <c r="Y29" i="98" l="1"/>
  <c r="DV40" i="98" s="1"/>
  <c r="Y27" i="98"/>
  <c r="DV38" i="98" s="1"/>
  <c r="Y23" i="98"/>
  <c r="DT9" i="98"/>
  <c r="ET9" i="98" s="1"/>
  <c r="DU61" i="98"/>
  <c r="DU11" i="98"/>
  <c r="DD15" i="98"/>
  <c r="DF11" i="98"/>
  <c r="DC23" i="98"/>
  <c r="DF9" i="98"/>
  <c r="FB76" i="98"/>
  <c r="EP76" i="98"/>
  <c r="GA324" i="98" s="1"/>
  <c r="DC72" i="98"/>
  <c r="FV84" i="98"/>
  <c r="FV1124" i="98"/>
  <c r="FV884" i="98"/>
  <c r="FV484" i="98"/>
  <c r="FV1204" i="98"/>
  <c r="Y22" i="98"/>
  <c r="Y26" i="98"/>
  <c r="DV37" i="98" s="1"/>
  <c r="EY76" i="98"/>
  <c r="FV404" i="98"/>
  <c r="FV964" i="98"/>
  <c r="FV244" i="98"/>
  <c r="FV564" i="98"/>
  <c r="FV1444" i="98"/>
  <c r="Y28" i="98"/>
  <c r="DV39" i="98" s="1"/>
  <c r="FA76" i="98"/>
  <c r="GI84" i="98" s="1"/>
  <c r="EX76" i="98"/>
  <c r="FV1364" i="98"/>
  <c r="FV1604" i="98"/>
  <c r="FV1524" i="98"/>
  <c r="FV1284" i="98"/>
  <c r="FV800" i="98"/>
  <c r="EP75" i="98"/>
  <c r="FA72" i="98"/>
  <c r="GI80" i="98" s="1"/>
  <c r="FV174" i="98"/>
  <c r="FV894" i="98"/>
  <c r="FV414" i="98"/>
  <c r="FV1454" i="98"/>
  <c r="FV94" i="98"/>
  <c r="FV803" i="98"/>
  <c r="FV1345" i="98"/>
  <c r="U22" i="98"/>
  <c r="DE19" i="98" s="1"/>
  <c r="U24" i="98"/>
  <c r="DF65" i="98"/>
  <c r="DC59" i="98"/>
  <c r="DD35" i="98"/>
  <c r="DF16" i="98"/>
  <c r="DC67" i="98"/>
  <c r="DW28" i="98"/>
  <c r="FV1600" i="98"/>
  <c r="U28" i="98"/>
  <c r="DV30" i="98" s="1"/>
  <c r="DD75" i="98"/>
  <c r="EY72" i="98"/>
  <c r="DU36" i="98"/>
  <c r="DT12" i="98"/>
  <c r="ET12" i="98" s="1"/>
  <c r="FV1360" i="98"/>
  <c r="FV80" i="98"/>
  <c r="FV483" i="98"/>
  <c r="DU54" i="98"/>
  <c r="FB72" i="98"/>
  <c r="U30" i="98"/>
  <c r="DV32" i="98" s="1"/>
  <c r="DF35" i="98"/>
  <c r="DW25" i="98"/>
  <c r="DD29" i="98"/>
  <c r="DU20" i="98"/>
  <c r="ET20" i="98" s="1"/>
  <c r="EK20" i="98" s="1"/>
  <c r="FV102" i="98" s="1"/>
  <c r="FV1120" i="98"/>
  <c r="FV963" i="98"/>
  <c r="U27" i="98"/>
  <c r="DV29" i="98" s="1"/>
  <c r="U23" i="98"/>
  <c r="FD72" i="98"/>
  <c r="GL320" i="98" s="1"/>
  <c r="FV720" i="98"/>
  <c r="FV1040" i="98"/>
  <c r="FV560" i="98"/>
  <c r="FV400" i="98"/>
  <c r="FV160" i="98"/>
  <c r="FV1280" i="98"/>
  <c r="FV1440" i="98"/>
  <c r="FV1520" i="98"/>
  <c r="FV640" i="98"/>
  <c r="FV240" i="98"/>
  <c r="FV1680" i="98"/>
  <c r="DD12" i="98"/>
  <c r="U26" i="98"/>
  <c r="EX72" i="98"/>
  <c r="EP72" i="98"/>
  <c r="FV960" i="98"/>
  <c r="FV320" i="98"/>
  <c r="FV1200" i="98"/>
  <c r="FV880" i="98"/>
  <c r="FV1443" i="98"/>
  <c r="M24" i="98"/>
  <c r="EX23" i="98"/>
  <c r="FB22" i="98"/>
  <c r="FD74" i="98"/>
  <c r="GL482" i="98" s="1"/>
  <c r="DF28" i="98"/>
  <c r="DW53" i="98"/>
  <c r="ET53" i="98" s="1"/>
  <c r="EK53" i="98" s="1"/>
  <c r="EP66" i="98"/>
  <c r="DW17" i="98"/>
  <c r="EX22" i="98"/>
  <c r="EY74" i="98"/>
  <c r="FA66" i="98"/>
  <c r="EM22" i="98"/>
  <c r="FA23" i="98"/>
  <c r="FB74" i="98"/>
  <c r="FB59" i="98"/>
  <c r="FB66" i="98"/>
  <c r="GJ1673" i="98" s="1"/>
  <c r="FV882" i="98"/>
  <c r="FV562" i="98"/>
  <c r="FV1282" i="98"/>
  <c r="FV802" i="98"/>
  <c r="FV793" i="98"/>
  <c r="FV1682" i="98"/>
  <c r="FV482" i="98"/>
  <c r="FV1265" i="98"/>
  <c r="FV1043" i="98"/>
  <c r="FV563" i="98"/>
  <c r="FV83" i="98"/>
  <c r="FV1603" i="98"/>
  <c r="FV1523" i="98"/>
  <c r="FV1683" i="98"/>
  <c r="FV323" i="98"/>
  <c r="FV1203" i="98"/>
  <c r="FV243" i="98"/>
  <c r="FV723" i="98"/>
  <c r="FV163" i="98"/>
  <c r="FV1123" i="98"/>
  <c r="FV883" i="98"/>
  <c r="FV643" i="98"/>
  <c r="FV1283" i="98"/>
  <c r="FV313" i="98"/>
  <c r="FV1353" i="98"/>
  <c r="FV1185" i="98"/>
  <c r="FV233" i="98"/>
  <c r="FV545" i="98"/>
  <c r="FV1033" i="98"/>
  <c r="FV865" i="98"/>
  <c r="FV945" i="98"/>
  <c r="EY22" i="98"/>
  <c r="GG824" i="98" s="1"/>
  <c r="DF26" i="98"/>
  <c r="EX74" i="98"/>
  <c r="DT11" i="98"/>
  <c r="ET11" i="98" s="1"/>
  <c r="EK11" i="98" s="1"/>
  <c r="FV812" i="98" s="1"/>
  <c r="EX59" i="98"/>
  <c r="GF625" i="98" s="1"/>
  <c r="EY59" i="98"/>
  <c r="DU16" i="98"/>
  <c r="ET16" i="98" s="1"/>
  <c r="EK16" i="98" s="1"/>
  <c r="EX66" i="98"/>
  <c r="FV1362" i="98"/>
  <c r="FV962" i="98"/>
  <c r="FV1522" i="98"/>
  <c r="FV402" i="98"/>
  <c r="FV242" i="98"/>
  <c r="FV713" i="98"/>
  <c r="FV393" i="98"/>
  <c r="FV953" i="98"/>
  <c r="FV1193" i="98"/>
  <c r="FV1673" i="98"/>
  <c r="FV705" i="98"/>
  <c r="FV305" i="98"/>
  <c r="FV1585" i="98"/>
  <c r="FV145" i="98"/>
  <c r="FV1505" i="98"/>
  <c r="EY23" i="98"/>
  <c r="EP23" i="98"/>
  <c r="DT15" i="98"/>
  <c r="EM15" i="98" s="1"/>
  <c r="DU60" i="98"/>
  <c r="FA22" i="98"/>
  <c r="FB23" i="98"/>
  <c r="GJ1385" i="98" s="1"/>
  <c r="FD22" i="98"/>
  <c r="EP22" i="98"/>
  <c r="FA74" i="98"/>
  <c r="FA59" i="98"/>
  <c r="EP59" i="98"/>
  <c r="EY66" i="98"/>
  <c r="FV322" i="98"/>
  <c r="FV1122" i="98"/>
  <c r="FV1202" i="98"/>
  <c r="FV82" i="98"/>
  <c r="FV162" i="98"/>
  <c r="FV473" i="98"/>
  <c r="FV1593" i="98"/>
  <c r="FV633" i="98"/>
  <c r="FV1273" i="98"/>
  <c r="FV1113" i="98"/>
  <c r="FV1433" i="98"/>
  <c r="FV65" i="98"/>
  <c r="FV465" i="98"/>
  <c r="FV785" i="98"/>
  <c r="FV625" i="98"/>
  <c r="FV1425" i="98"/>
  <c r="FV1442" i="98"/>
  <c r="FV1602" i="98"/>
  <c r="FV1042" i="98"/>
  <c r="FV642" i="98"/>
  <c r="FV153" i="98"/>
  <c r="FV553" i="98"/>
  <c r="FV73" i="98"/>
  <c r="FV873" i="98"/>
  <c r="FV1025" i="98"/>
  <c r="FV225" i="98"/>
  <c r="FV385" i="98"/>
  <c r="FV1105" i="98"/>
  <c r="M28" i="98"/>
  <c r="DW36" i="98"/>
  <c r="EM57" i="98"/>
  <c r="FA57" i="98"/>
  <c r="FV585" i="98"/>
  <c r="FV264" i="98"/>
  <c r="DC13" i="98"/>
  <c r="DC60" i="98"/>
  <c r="FV505" i="98"/>
  <c r="FV744" i="98"/>
  <c r="DF53" i="98"/>
  <c r="FV1385" i="98"/>
  <c r="FV25" i="98"/>
  <c r="FV904" i="98"/>
  <c r="FB67" i="98"/>
  <c r="DC18" i="98"/>
  <c r="DW9" i="98"/>
  <c r="DD31" i="98"/>
  <c r="EM67" i="98"/>
  <c r="FX1555" i="98"/>
  <c r="Q22" i="98"/>
  <c r="FX1075" i="98"/>
  <c r="Q27" i="98"/>
  <c r="FX275" i="98"/>
  <c r="DW26" i="98"/>
  <c r="DF23" i="98"/>
  <c r="FA67" i="98"/>
  <c r="DF15" i="98"/>
  <c r="FV265" i="98"/>
  <c r="FV664" i="98"/>
  <c r="FV1304" i="98"/>
  <c r="FV425" i="98"/>
  <c r="FV1225" i="98"/>
  <c r="FV1065" i="98"/>
  <c r="FV665" i="98"/>
  <c r="FV1625" i="98"/>
  <c r="FV184" i="98"/>
  <c r="FV824" i="98"/>
  <c r="FV424" i="98"/>
  <c r="FV504" i="98"/>
  <c r="FV984" i="98"/>
  <c r="DD44" i="98"/>
  <c r="FV985" i="98"/>
  <c r="FV1145" i="98"/>
  <c r="FV1545" i="98"/>
  <c r="FV825" i="98"/>
  <c r="FV905" i="98"/>
  <c r="FV1305" i="98"/>
  <c r="FV104" i="98"/>
  <c r="FV584" i="98"/>
  <c r="FV1224" i="98"/>
  <c r="FV1384" i="98"/>
  <c r="EM23" i="98"/>
  <c r="FX185" i="98" s="1"/>
  <c r="FV345" i="98"/>
  <c r="FV185" i="98"/>
  <c r="FV745" i="98"/>
  <c r="FV105" i="98"/>
  <c r="FV24" i="98"/>
  <c r="FV344" i="98"/>
  <c r="FV1464" i="98"/>
  <c r="FV1144" i="98"/>
  <c r="FV1624" i="98"/>
  <c r="M27" i="98"/>
  <c r="M30" i="98"/>
  <c r="DV14" i="98" s="1"/>
  <c r="M23" i="98"/>
  <c r="FB57" i="98"/>
  <c r="GJ1103" i="98" s="1"/>
  <c r="DT28" i="98"/>
  <c r="EM28" i="98" s="1"/>
  <c r="FX111" i="98" s="1"/>
  <c r="DD9" i="98"/>
  <c r="DW51" i="98"/>
  <c r="ET51" i="98" s="1"/>
  <c r="EK51" i="98" s="1"/>
  <c r="DU19" i="98"/>
  <c r="ET19" i="98" s="1"/>
  <c r="FB19" i="98" s="1"/>
  <c r="M26" i="98"/>
  <c r="M29" i="98"/>
  <c r="DV13" i="98" s="1"/>
  <c r="EX57" i="98"/>
  <c r="EP57" i="98"/>
  <c r="GA1583" i="98" s="1"/>
  <c r="DU37" i="98"/>
  <c r="M22" i="98"/>
  <c r="EY57" i="98"/>
  <c r="FD57" i="98"/>
  <c r="DU12" i="98"/>
  <c r="EX65" i="98"/>
  <c r="DC19" i="98"/>
  <c r="EM65" i="98"/>
  <c r="FX552" i="98" s="1"/>
  <c r="FV1544" i="98"/>
  <c r="EY65" i="98"/>
  <c r="DC14" i="98"/>
  <c r="EM58" i="98"/>
  <c r="FD65" i="98"/>
  <c r="DF50" i="98"/>
  <c r="EM68" i="98"/>
  <c r="FX155" i="98" s="1"/>
  <c r="DT25" i="98"/>
  <c r="EM25" i="98" s="1"/>
  <c r="FB65" i="98"/>
  <c r="FB58" i="98"/>
  <c r="DC21" i="98"/>
  <c r="FX1152" i="98"/>
  <c r="FX352" i="98"/>
  <c r="FX1633" i="98"/>
  <c r="FX192" i="98"/>
  <c r="DD38" i="98"/>
  <c r="FX912" i="98"/>
  <c r="Q25" i="98"/>
  <c r="DU7" i="98"/>
  <c r="FX915" i="98"/>
  <c r="FD67" i="98"/>
  <c r="FX1632" i="98"/>
  <c r="FX752" i="98"/>
  <c r="AO26" i="98"/>
  <c r="DV73" i="98" s="1"/>
  <c r="Q30" i="98"/>
  <c r="DV23" i="98" s="1"/>
  <c r="Q23" i="98"/>
  <c r="DW52" i="98"/>
  <c r="ET52" i="98" s="1"/>
  <c r="EK52" i="98" s="1"/>
  <c r="FV538" i="98" s="1"/>
  <c r="FX435" i="98"/>
  <c r="EX67" i="98"/>
  <c r="GF1274" i="98" s="1"/>
  <c r="FX1472" i="98"/>
  <c r="FX672" i="98"/>
  <c r="AC27" i="98"/>
  <c r="DV47" i="98" s="1"/>
  <c r="ET47" i="98" s="1"/>
  <c r="EK47" i="98" s="1"/>
  <c r="FX993" i="98"/>
  <c r="DT18" i="98"/>
  <c r="EP56" i="98"/>
  <c r="AC24" i="98"/>
  <c r="DE44" i="98" s="1"/>
  <c r="FX353" i="98"/>
  <c r="FX1395" i="98"/>
  <c r="FX755" i="98"/>
  <c r="FX115" i="98"/>
  <c r="EY67" i="98"/>
  <c r="DW37" i="98"/>
  <c r="AO29" i="98"/>
  <c r="DV76" i="98" s="1"/>
  <c r="FX1235" i="98"/>
  <c r="FX595" i="98"/>
  <c r="EP67" i="98"/>
  <c r="GA954" i="98" s="1"/>
  <c r="DC28" i="98"/>
  <c r="FX834" i="98"/>
  <c r="AO30" i="98"/>
  <c r="DV77" i="98" s="1"/>
  <c r="AO25" i="98"/>
  <c r="DV72" i="98" s="1"/>
  <c r="AC30" i="98"/>
  <c r="DV50" i="98" s="1"/>
  <c r="AC23" i="98"/>
  <c r="DE38" i="98" s="1"/>
  <c r="FX1553" i="98"/>
  <c r="FX913" i="98"/>
  <c r="FX273" i="98"/>
  <c r="FX514" i="98"/>
  <c r="AO28" i="98"/>
  <c r="DV75" i="98" s="1"/>
  <c r="AO23" i="98"/>
  <c r="DE65" i="98" s="1"/>
  <c r="AC29" i="98"/>
  <c r="DV49" i="98" s="1"/>
  <c r="DW34" i="98"/>
  <c r="FX1313" i="98"/>
  <c r="FX673" i="98"/>
  <c r="FX33" i="98"/>
  <c r="FD56" i="98"/>
  <c r="GL1422" i="98" s="1"/>
  <c r="FX1474" i="98"/>
  <c r="FX194" i="98"/>
  <c r="AO27" i="98"/>
  <c r="DV74" i="98" s="1"/>
  <c r="AC22" i="98"/>
  <c r="DE36" i="98" s="1"/>
  <c r="AC28" i="98"/>
  <c r="DV48" i="98" s="1"/>
  <c r="ET48" i="98" s="1"/>
  <c r="EK48" i="98" s="1"/>
  <c r="FX1233" i="98"/>
  <c r="FX593" i="98"/>
  <c r="DF31" i="98"/>
  <c r="EY56" i="98"/>
  <c r="FX1154" i="98"/>
  <c r="DC43" i="98"/>
  <c r="EM56" i="98"/>
  <c r="FX462" i="98" s="1"/>
  <c r="AO22" i="98"/>
  <c r="AC26" i="98"/>
  <c r="DV46" i="98" s="1"/>
  <c r="EM46" i="98" s="1"/>
  <c r="FX1473" i="98"/>
  <c r="FX1153" i="98"/>
  <c r="FX833" i="98"/>
  <c r="FX513" i="98"/>
  <c r="FX193" i="98"/>
  <c r="FA56" i="98"/>
  <c r="EX56" i="98"/>
  <c r="EP65" i="98"/>
  <c r="GA1432" i="98" s="1"/>
  <c r="FX1392" i="98"/>
  <c r="FX1072" i="98"/>
  <c r="FX512" i="98"/>
  <c r="FX112" i="98"/>
  <c r="EY58" i="98"/>
  <c r="EX68" i="98"/>
  <c r="GF635" i="98" s="1"/>
  <c r="FX1394" i="98"/>
  <c r="FX1074" i="98"/>
  <c r="FX754" i="98"/>
  <c r="FX434" i="98"/>
  <c r="FX114" i="98"/>
  <c r="FX1393" i="98"/>
  <c r="FX1073" i="98"/>
  <c r="FX753" i="98"/>
  <c r="FX433" i="98"/>
  <c r="FB56" i="98"/>
  <c r="GJ1102" i="98" s="1"/>
  <c r="FX1312" i="98"/>
  <c r="FX832" i="98"/>
  <c r="FX432" i="98"/>
  <c r="FX32" i="98"/>
  <c r="DU10" i="98"/>
  <c r="EY68" i="98"/>
  <c r="FX1634" i="98"/>
  <c r="FX1314" i="98"/>
  <c r="FX994" i="98"/>
  <c r="FX674" i="98"/>
  <c r="FX354" i="98"/>
  <c r="FX34" i="98"/>
  <c r="FX1554" i="98"/>
  <c r="FX1234" i="98"/>
  <c r="FX914" i="98"/>
  <c r="FX594" i="98"/>
  <c r="FA65" i="98"/>
  <c r="GI1352" i="98" s="1"/>
  <c r="FX1552" i="98"/>
  <c r="FX1232" i="98"/>
  <c r="FX992" i="98"/>
  <c r="FX592" i="98"/>
  <c r="DC50" i="98"/>
  <c r="EP68" i="98"/>
  <c r="GA315" i="98" s="1"/>
  <c r="FD68" i="98"/>
  <c r="DF46" i="98"/>
  <c r="FV1220" i="98"/>
  <c r="FV420" i="98"/>
  <c r="FV1060" i="98"/>
  <c r="FV1460" i="98"/>
  <c r="FV1140" i="98"/>
  <c r="FV500" i="98"/>
  <c r="FV900" i="98"/>
  <c r="FV1300" i="98"/>
  <c r="FV1380" i="98"/>
  <c r="FV820" i="98"/>
  <c r="FV1620" i="98"/>
  <c r="FV100" i="98"/>
  <c r="FV580" i="98"/>
  <c r="FV740" i="98"/>
  <c r="FV660" i="98"/>
  <c r="FV20" i="98"/>
  <c r="FV180" i="98"/>
  <c r="FV1540" i="98"/>
  <c r="FV980" i="98"/>
  <c r="FV340" i="98"/>
  <c r="FV260" i="98"/>
  <c r="FV1369" i="98"/>
  <c r="FV1289" i="98"/>
  <c r="FV1049" i="98"/>
  <c r="FV1609" i="98"/>
  <c r="FV729" i="98"/>
  <c r="FV1449" i="98"/>
  <c r="FV1529" i="98"/>
  <c r="FV1209" i="98"/>
  <c r="FV89" i="98"/>
  <c r="FV1129" i="98"/>
  <c r="FV969" i="98"/>
  <c r="FV649" i="98"/>
  <c r="FV249" i="98"/>
  <c r="FV169" i="98"/>
  <c r="FV9" i="98"/>
  <c r="FV409" i="98"/>
  <c r="FV489" i="98"/>
  <c r="FV569" i="98"/>
  <c r="FV809" i="98"/>
  <c r="FV889" i="98"/>
  <c r="FV329" i="98"/>
  <c r="FV88" i="98"/>
  <c r="FV408" i="98"/>
  <c r="FV648" i="98"/>
  <c r="FV1048" i="98"/>
  <c r="FV1368" i="98"/>
  <c r="FV1608" i="98"/>
  <c r="FV8" i="98"/>
  <c r="FV888" i="98"/>
  <c r="FV728" i="98"/>
  <c r="FV248" i="98"/>
  <c r="FV968" i="98"/>
  <c r="FV808" i="98"/>
  <c r="FV1448" i="98"/>
  <c r="FV328" i="98"/>
  <c r="FV488" i="98"/>
  <c r="FV1128" i="98"/>
  <c r="FV1528" i="98"/>
  <c r="FV1288" i="98"/>
  <c r="FV568" i="98"/>
  <c r="FV168" i="98"/>
  <c r="FV1208" i="98"/>
  <c r="FV262" i="98"/>
  <c r="FV1349" i="98"/>
  <c r="FV1509" i="98"/>
  <c r="FV1669" i="98"/>
  <c r="FV1429" i="98"/>
  <c r="FV789" i="98"/>
  <c r="FV1029" i="98"/>
  <c r="FV229" i="98"/>
  <c r="FV1589" i="98"/>
  <c r="FV549" i="98"/>
  <c r="FV389" i="98"/>
  <c r="FV69" i="98"/>
  <c r="FV629" i="98"/>
  <c r="FV309" i="98"/>
  <c r="FV1269" i="98"/>
  <c r="FV1109" i="98"/>
  <c r="FV469" i="98"/>
  <c r="FV709" i="98"/>
  <c r="FV149" i="98"/>
  <c r="FV869" i="98"/>
  <c r="FV949" i="98"/>
  <c r="FV1189" i="98"/>
  <c r="FV172" i="98"/>
  <c r="FV1543" i="98"/>
  <c r="FV103" i="98"/>
  <c r="FV1303" i="98"/>
  <c r="FV1383" i="98"/>
  <c r="FV743" i="98"/>
  <c r="FV23" i="98"/>
  <c r="FV503" i="98"/>
  <c r="FV1623" i="98"/>
  <c r="FV423" i="98"/>
  <c r="FV983" i="98"/>
  <c r="FV1463" i="98"/>
  <c r="FV823" i="98"/>
  <c r="FV903" i="98"/>
  <c r="FV663" i="98"/>
  <c r="FV1063" i="98"/>
  <c r="FV343" i="98"/>
  <c r="FV1223" i="98"/>
  <c r="FV263" i="98"/>
  <c r="FV1143" i="98"/>
  <c r="FV583" i="98"/>
  <c r="FV183" i="98"/>
  <c r="FV1457" i="98"/>
  <c r="FV1377" i="98"/>
  <c r="FV1297" i="98"/>
  <c r="FV1617" i="98"/>
  <c r="FV1137" i="98"/>
  <c r="FV257" i="98"/>
  <c r="FV337" i="98"/>
  <c r="FV497" i="98"/>
  <c r="FV1537" i="98"/>
  <c r="FV1057" i="98"/>
  <c r="FV177" i="98"/>
  <c r="FV817" i="98"/>
  <c r="FV97" i="98"/>
  <c r="FV417" i="98"/>
  <c r="FV17" i="98"/>
  <c r="FV737" i="98"/>
  <c r="FV897" i="98"/>
  <c r="FV657" i="98"/>
  <c r="FV577" i="98"/>
  <c r="FV1217" i="98"/>
  <c r="FV977" i="98"/>
  <c r="FV302" i="98"/>
  <c r="FV942" i="98"/>
  <c r="FV782" i="98"/>
  <c r="FV382" i="98"/>
  <c r="FV622" i="98"/>
  <c r="FV222" i="98"/>
  <c r="FV862" i="98"/>
  <c r="FV1022" i="98"/>
  <c r="FV462" i="98"/>
  <c r="FV542" i="98"/>
  <c r="FV62" i="98"/>
  <c r="FV1342" i="98"/>
  <c r="FV1662" i="98"/>
  <c r="FV142" i="98"/>
  <c r="FV1422" i="98"/>
  <c r="FV1262" i="98"/>
  <c r="FV1582" i="98"/>
  <c r="FV1102" i="98"/>
  <c r="FV702" i="98"/>
  <c r="FV1182" i="98"/>
  <c r="FV1502" i="98"/>
  <c r="FV1150" i="98"/>
  <c r="FV110" i="98"/>
  <c r="FV830" i="98"/>
  <c r="FV990" i="98"/>
  <c r="FV1070" i="98"/>
  <c r="FV910" i="98"/>
  <c r="FV750" i="98"/>
  <c r="FV430" i="98"/>
  <c r="FV510" i="98"/>
  <c r="FV1230" i="98"/>
  <c r="FV1550" i="98"/>
  <c r="FV670" i="98"/>
  <c r="FV270" i="98"/>
  <c r="FV1470" i="98"/>
  <c r="FV1310" i="98"/>
  <c r="FV1630" i="98"/>
  <c r="FV30" i="98"/>
  <c r="FV190" i="98"/>
  <c r="FV1390" i="98"/>
  <c r="FV590" i="98"/>
  <c r="FV350" i="98"/>
  <c r="FV659" i="98"/>
  <c r="FV419" i="98"/>
  <c r="FV899" i="98"/>
  <c r="FV1219" i="98"/>
  <c r="FV339" i="98"/>
  <c r="FV179" i="98"/>
  <c r="FV499" i="98"/>
  <c r="FV1619" i="98"/>
  <c r="FV979" i="98"/>
  <c r="FV1379" i="98"/>
  <c r="FV819" i="98"/>
  <c r="FV1059" i="98"/>
  <c r="FV1299" i="98"/>
  <c r="FV1539" i="98"/>
  <c r="FV579" i="98"/>
  <c r="FV1459" i="98"/>
  <c r="FV19" i="98"/>
  <c r="FV1139" i="98"/>
  <c r="FV99" i="98"/>
  <c r="FV739" i="98"/>
  <c r="FV259" i="98"/>
  <c r="FV1668" i="98"/>
  <c r="FV1108" i="98"/>
  <c r="FV228" i="98"/>
  <c r="FV1428" i="98"/>
  <c r="FV788" i="98"/>
  <c r="FV708" i="98"/>
  <c r="FV1268" i="98"/>
  <c r="FV1508" i="98"/>
  <c r="FV468" i="98"/>
  <c r="FV1188" i="98"/>
  <c r="FV948" i="98"/>
  <c r="FV628" i="98"/>
  <c r="FV1028" i="98"/>
  <c r="FV68" i="98"/>
  <c r="FV388" i="98"/>
  <c r="FV548" i="98"/>
  <c r="FV1348" i="98"/>
  <c r="FV308" i="98"/>
  <c r="FV1588" i="98"/>
  <c r="FV868" i="98"/>
  <c r="FV148" i="98"/>
  <c r="FV507" i="98"/>
  <c r="FV267" i="98"/>
  <c r="FV1147" i="98"/>
  <c r="FV1307" i="98"/>
  <c r="FV1227" i="98"/>
  <c r="FV107" i="98"/>
  <c r="FV427" i="98"/>
  <c r="FV1067" i="98"/>
  <c r="FV667" i="98"/>
  <c r="FV27" i="98"/>
  <c r="FV1467" i="98"/>
  <c r="FV1387" i="98"/>
  <c r="FV1627" i="98"/>
  <c r="FV827" i="98"/>
  <c r="FV1547" i="98"/>
  <c r="FV907" i="98"/>
  <c r="FV347" i="98"/>
  <c r="FV987" i="98"/>
  <c r="FV187" i="98"/>
  <c r="FV747" i="98"/>
  <c r="FV587" i="98"/>
  <c r="FV1371" i="98"/>
  <c r="FV251" i="98"/>
  <c r="FV171" i="98"/>
  <c r="FV1131" i="98"/>
  <c r="FV1211" i="98"/>
  <c r="FV1291" i="98"/>
  <c r="FV491" i="98"/>
  <c r="FV891" i="98"/>
  <c r="FV331" i="98"/>
  <c r="FV1451" i="98"/>
  <c r="FV1051" i="98"/>
  <c r="FV91" i="98"/>
  <c r="FV411" i="98"/>
  <c r="FV651" i="98"/>
  <c r="FV731" i="98"/>
  <c r="FV571" i="98"/>
  <c r="FV11" i="98"/>
  <c r="FV971" i="98"/>
  <c r="FV811" i="98"/>
  <c r="FV1611" i="98"/>
  <c r="FV1531" i="98"/>
  <c r="FV1551" i="98"/>
  <c r="FV351" i="98"/>
  <c r="FV1391" i="98"/>
  <c r="FV271" i="98"/>
  <c r="FV831" i="98"/>
  <c r="FV1471" i="98"/>
  <c r="FV671" i="98"/>
  <c r="FV911" i="98"/>
  <c r="FV111" i="98"/>
  <c r="FV1071" i="98"/>
  <c r="FV1631" i="98"/>
  <c r="FV1151" i="98"/>
  <c r="FV1231" i="98"/>
  <c r="FV31" i="98"/>
  <c r="FV191" i="98"/>
  <c r="FV511" i="98"/>
  <c r="FV1311" i="98"/>
  <c r="FV751" i="98"/>
  <c r="FV431" i="98"/>
  <c r="FV991" i="98"/>
  <c r="FV591" i="98"/>
  <c r="FV98" i="98"/>
  <c r="FV578" i="98"/>
  <c r="FV258" i="98"/>
  <c r="FV898" i="98"/>
  <c r="FV658" i="98"/>
  <c r="FV498" i="98"/>
  <c r="FV418" i="98"/>
  <c r="FV1298" i="98"/>
  <c r="FV1618" i="98"/>
  <c r="FV178" i="98"/>
  <c r="FV1218" i="98"/>
  <c r="FV1538" i="98"/>
  <c r="FV1058" i="98"/>
  <c r="FV818" i="98"/>
  <c r="FV1378" i="98"/>
  <c r="FV1138" i="98"/>
  <c r="FV18" i="98"/>
  <c r="FV338" i="98"/>
  <c r="FV978" i="98"/>
  <c r="FV1458" i="98"/>
  <c r="FV738" i="98"/>
  <c r="FV1270" i="98"/>
  <c r="FV1510" i="98"/>
  <c r="FV1190" i="98"/>
  <c r="FV1430" i="98"/>
  <c r="FV710" i="98"/>
  <c r="FV310" i="98"/>
  <c r="FV790" i="98"/>
  <c r="FV230" i="98"/>
  <c r="FV550" i="98"/>
  <c r="FV870" i="98"/>
  <c r="FV70" i="98"/>
  <c r="FV630" i="98"/>
  <c r="FV1590" i="98"/>
  <c r="FV950" i="98"/>
  <c r="FV1110" i="98"/>
  <c r="FV470" i="98"/>
  <c r="FV150" i="98"/>
  <c r="FV1350" i="98"/>
  <c r="FV1030" i="98"/>
  <c r="FV1670" i="98"/>
  <c r="FV390" i="98"/>
  <c r="FV794" i="98"/>
  <c r="FV314" i="98"/>
  <c r="FV74" i="98"/>
  <c r="FV954" i="98"/>
  <c r="FV1114" i="98"/>
  <c r="FV1274" i="98"/>
  <c r="FV1434" i="98"/>
  <c r="FV1594" i="98"/>
  <c r="FV394" i="98"/>
  <c r="FV554" i="98"/>
  <c r="FV474" i="98"/>
  <c r="FV634" i="98"/>
  <c r="FV1034" i="98"/>
  <c r="FV234" i="98"/>
  <c r="FV1194" i="98"/>
  <c r="FV1354" i="98"/>
  <c r="FV1514" i="98"/>
  <c r="FV1674" i="98"/>
  <c r="FV874" i="98"/>
  <c r="FV714" i="98"/>
  <c r="FV154" i="98"/>
  <c r="FV319" i="98"/>
  <c r="FV1519" i="98"/>
  <c r="FV879" i="98"/>
  <c r="FV479" i="98"/>
  <c r="FV799" i="98"/>
  <c r="FV1599" i="98"/>
  <c r="FV239" i="98"/>
  <c r="FV559" i="98"/>
  <c r="FV399" i="98"/>
  <c r="FV1439" i="98"/>
  <c r="FV1359" i="98"/>
  <c r="FV639" i="98"/>
  <c r="FV1119" i="98"/>
  <c r="FV1039" i="98"/>
  <c r="FV1279" i="98"/>
  <c r="FV159" i="98"/>
  <c r="FV1199" i="98"/>
  <c r="FV959" i="98"/>
  <c r="FV1679" i="98"/>
  <c r="FV79" i="98"/>
  <c r="FV719" i="98"/>
  <c r="FV1309" i="98"/>
  <c r="FV1629" i="98"/>
  <c r="FV1389" i="98"/>
  <c r="FV1469" i="98"/>
  <c r="FV989" i="98"/>
  <c r="FV1149" i="98"/>
  <c r="FV109" i="98"/>
  <c r="FV509" i="98"/>
  <c r="FV909" i="98"/>
  <c r="FV429" i="98"/>
  <c r="FV669" i="98"/>
  <c r="FV269" i="98"/>
  <c r="FV29" i="98"/>
  <c r="FV349" i="98"/>
  <c r="FV829" i="98"/>
  <c r="FV189" i="98"/>
  <c r="FV1069" i="98"/>
  <c r="FV589" i="98"/>
  <c r="FV749" i="98"/>
  <c r="FV1229" i="98"/>
  <c r="FV1549" i="98"/>
  <c r="FV1659" i="98"/>
  <c r="FV1179" i="98"/>
  <c r="FV859" i="98"/>
  <c r="FV219" i="98"/>
  <c r="FV59" i="98"/>
  <c r="FV1259" i="98"/>
  <c r="FV539" i="98"/>
  <c r="FV939" i="98"/>
  <c r="FV699" i="98"/>
  <c r="FV1019" i="98"/>
  <c r="FV1099" i="98"/>
  <c r="FV619" i="98"/>
  <c r="FV1579" i="98"/>
  <c r="FV139" i="98"/>
  <c r="FV459" i="98"/>
  <c r="FV779" i="98"/>
  <c r="FV1339" i="98"/>
  <c r="FV379" i="98"/>
  <c r="FV1499" i="98"/>
  <c r="FV299" i="98"/>
  <c r="FV1419" i="98"/>
  <c r="FV1437" i="98"/>
  <c r="FV1677" i="98"/>
  <c r="FV1357" i="98"/>
  <c r="FV1517" i="98"/>
  <c r="FV957" i="98"/>
  <c r="FV797" i="98"/>
  <c r="FV1597" i="98"/>
  <c r="FV1037" i="98"/>
  <c r="FV157" i="98"/>
  <c r="FV317" i="98"/>
  <c r="FV77" i="98"/>
  <c r="FV637" i="98"/>
  <c r="FV557" i="98"/>
  <c r="FV1117" i="98"/>
  <c r="FV1197" i="98"/>
  <c r="FV1277" i="98"/>
  <c r="FV717" i="98"/>
  <c r="FV877" i="98"/>
  <c r="FV477" i="98"/>
  <c r="FV237" i="98"/>
  <c r="FV397" i="98"/>
  <c r="FV863" i="98"/>
  <c r="FV1183" i="98"/>
  <c r="FV623" i="98"/>
  <c r="FV143" i="98"/>
  <c r="FV1583" i="98"/>
  <c r="FV223" i="98"/>
  <c r="FV1423" i="98"/>
  <c r="FV63" i="98"/>
  <c r="FV303" i="98"/>
  <c r="FV1503" i="98"/>
  <c r="FV703" i="98"/>
  <c r="FV383" i="98"/>
  <c r="FV543" i="98"/>
  <c r="FV783" i="98"/>
  <c r="FV1663" i="98"/>
  <c r="FV1023" i="98"/>
  <c r="FV463" i="98"/>
  <c r="FV943" i="98"/>
  <c r="FV1103" i="98"/>
  <c r="FV1263" i="98"/>
  <c r="FV1343" i="98"/>
  <c r="FV188" i="98"/>
  <c r="FV348" i="98"/>
  <c r="FV508" i="98"/>
  <c r="FV828" i="98"/>
  <c r="FV1068" i="98"/>
  <c r="FV268" i="98"/>
  <c r="FV1468" i="98"/>
  <c r="FV1548" i="98"/>
  <c r="FV1628" i="98"/>
  <c r="FV428" i="98"/>
  <c r="FV1228" i="98"/>
  <c r="FV1388" i="98"/>
  <c r="FV908" i="98"/>
  <c r="FV668" i="98"/>
  <c r="FV28" i="98"/>
  <c r="FV748" i="98"/>
  <c r="FV988" i="98"/>
  <c r="FV108" i="98"/>
  <c r="FV1148" i="98"/>
  <c r="FV1308" i="98"/>
  <c r="FV588" i="98"/>
  <c r="FV1127" i="98"/>
  <c r="FV1447" i="98"/>
  <c r="FV1607" i="98"/>
  <c r="FV1367" i="98"/>
  <c r="FV1527" i="98"/>
  <c r="FV1287" i="98"/>
  <c r="FV1207" i="98"/>
  <c r="FV1047" i="98"/>
  <c r="FV7" i="98"/>
  <c r="FV247" i="98"/>
  <c r="FV967" i="98"/>
  <c r="FV87" i="98"/>
  <c r="FV727" i="98"/>
  <c r="FV567" i="98"/>
  <c r="FV887" i="98"/>
  <c r="FV167" i="98"/>
  <c r="FV327" i="98"/>
  <c r="FV807" i="98"/>
  <c r="FV647" i="98"/>
  <c r="FV407" i="98"/>
  <c r="FV487" i="98"/>
  <c r="FV878" i="98"/>
  <c r="FV558" i="98"/>
  <c r="FV158" i="98"/>
  <c r="FV238" i="98"/>
  <c r="FV478" i="98"/>
  <c r="FV78" i="98"/>
  <c r="FV1038" i="98"/>
  <c r="FV398" i="98"/>
  <c r="FV798" i="98"/>
  <c r="FV1438" i="98"/>
  <c r="FV318" i="98"/>
  <c r="FV638" i="98"/>
  <c r="FV1358" i="98"/>
  <c r="FV1678" i="98"/>
  <c r="FV718" i="98"/>
  <c r="FV958" i="98"/>
  <c r="FV1118" i="98"/>
  <c r="FV1278" i="98"/>
  <c r="FV1598" i="98"/>
  <c r="FV1198" i="98"/>
  <c r="FV1518" i="98"/>
  <c r="FV1497" i="98"/>
  <c r="FV1417" i="98"/>
  <c r="FV1337" i="98"/>
  <c r="FV1657" i="98"/>
  <c r="FV777" i="98"/>
  <c r="FV1257" i="98"/>
  <c r="FV297" i="98"/>
  <c r="FV937" i="98"/>
  <c r="FV57" i="98"/>
  <c r="FV1097" i="98"/>
  <c r="FV457" i="98"/>
  <c r="FV537" i="98"/>
  <c r="FV1017" i="98"/>
  <c r="FV377" i="98"/>
  <c r="FV617" i="98"/>
  <c r="FV857" i="98"/>
  <c r="FV1577" i="98"/>
  <c r="FV697" i="98"/>
  <c r="FV1177" i="98"/>
  <c r="FV137" i="98"/>
  <c r="FV217" i="98"/>
  <c r="FV1347" i="98"/>
  <c r="FV387" i="98"/>
  <c r="FV627" i="98"/>
  <c r="FV227" i="98"/>
  <c r="FV467" i="98"/>
  <c r="FV1027" i="98"/>
  <c r="FV67" i="98"/>
  <c r="FV547" i="98"/>
  <c r="FV1267" i="98"/>
  <c r="FV1427" i="98"/>
  <c r="FV307" i="98"/>
  <c r="FV867" i="98"/>
  <c r="FV1107" i="98"/>
  <c r="FV1667" i="98"/>
  <c r="FV147" i="98"/>
  <c r="FV787" i="98"/>
  <c r="FV1187" i="98"/>
  <c r="FV707" i="98"/>
  <c r="FV947" i="98"/>
  <c r="FV1587" i="98"/>
  <c r="FV1507" i="98"/>
  <c r="FV1115" i="98"/>
  <c r="FV1515" i="98"/>
  <c r="FV1435" i="98"/>
  <c r="FV315" i="98"/>
  <c r="FV235" i="98"/>
  <c r="FV1675" i="98"/>
  <c r="FV1275" i="98"/>
  <c r="FV1195" i="98"/>
  <c r="FV75" i="98"/>
  <c r="FV555" i="98"/>
  <c r="FV475" i="98"/>
  <c r="FV955" i="98"/>
  <c r="FV395" i="98"/>
  <c r="FV1355" i="98"/>
  <c r="FV155" i="98"/>
  <c r="FV795" i="98"/>
  <c r="FV635" i="98"/>
  <c r="FV875" i="98"/>
  <c r="FV1595" i="98"/>
  <c r="FV715" i="98"/>
  <c r="FV1035" i="98"/>
  <c r="FV1672" i="98"/>
  <c r="FV712" i="98"/>
  <c r="FV392" i="98"/>
  <c r="FV1352" i="98"/>
  <c r="FV72" i="98"/>
  <c r="FV792" i="98"/>
  <c r="FV472" i="98"/>
  <c r="FV312" i="98"/>
  <c r="FV232" i="98"/>
  <c r="FV1192" i="98"/>
  <c r="FV1592" i="98"/>
  <c r="FV872" i="98"/>
  <c r="FV152" i="98"/>
  <c r="FV1512" i="98"/>
  <c r="FV1272" i="98"/>
  <c r="FV632" i="98"/>
  <c r="FV1432" i="98"/>
  <c r="FV952" i="98"/>
  <c r="FV1112" i="98"/>
  <c r="FV1032" i="98"/>
  <c r="FV552" i="98"/>
  <c r="FD64" i="98"/>
  <c r="GL1591" i="98" s="1"/>
  <c r="EK64" i="98"/>
  <c r="FB68" i="98"/>
  <c r="GJ1675" i="98" s="1"/>
  <c r="FA68" i="98"/>
  <c r="FD58" i="98"/>
  <c r="GL1504" i="98" s="1"/>
  <c r="EK58" i="98"/>
  <c r="DU42" i="98"/>
  <c r="DK10" i="98"/>
  <c r="Q28" i="98"/>
  <c r="DV21" i="98" s="1"/>
  <c r="Q24" i="98"/>
  <c r="DE14" i="98" s="1"/>
  <c r="FX1635" i="98"/>
  <c r="FX1315" i="98"/>
  <c r="FX995" i="98"/>
  <c r="FX675" i="98"/>
  <c r="FX355" i="98"/>
  <c r="FX35" i="98"/>
  <c r="FA58" i="98"/>
  <c r="GI1344" i="98" s="1"/>
  <c r="FX1625" i="98"/>
  <c r="FX1305" i="98"/>
  <c r="FX985" i="98"/>
  <c r="FX665" i="98"/>
  <c r="FX345" i="98"/>
  <c r="FX25" i="98"/>
  <c r="DW54" i="98"/>
  <c r="ET54" i="98" s="1"/>
  <c r="Q29" i="98"/>
  <c r="DV22" i="98" s="1"/>
  <c r="FX1475" i="98"/>
  <c r="FX1155" i="98"/>
  <c r="FX835" i="98"/>
  <c r="FX515" i="98"/>
  <c r="EX58" i="98"/>
  <c r="GF64" i="98" s="1"/>
  <c r="EM16" i="98"/>
  <c r="FX98" i="98" s="1"/>
  <c r="FX1465" i="98"/>
  <c r="FX1145" i="98"/>
  <c r="FX825" i="98"/>
  <c r="FX505" i="98"/>
  <c r="DC47" i="98"/>
  <c r="DT53" i="98"/>
  <c r="EX64" i="98"/>
  <c r="GF1191" i="98" s="1"/>
  <c r="DN10" i="98"/>
  <c r="EP64" i="98"/>
  <c r="DF67" i="98"/>
  <c r="EY64" i="98"/>
  <c r="GG71" i="98" s="1"/>
  <c r="FB64" i="98"/>
  <c r="GJ1591" i="98" s="1"/>
  <c r="EM64" i="98"/>
  <c r="FX151" i="98" s="1"/>
  <c r="FA64" i="98"/>
  <c r="GI551" i="98" s="1"/>
  <c r="FX1624" i="98"/>
  <c r="DK12" i="98"/>
  <c r="EM26" i="98"/>
  <c r="FX269" i="98" s="1"/>
  <c r="FX714" i="98"/>
  <c r="FX73" i="98"/>
  <c r="FX153" i="98"/>
  <c r="FX233" i="98"/>
  <c r="FX313" i="98"/>
  <c r="FX393" i="98"/>
  <c r="FX473" i="98"/>
  <c r="FX553" i="98"/>
  <c r="FX633" i="98"/>
  <c r="FX713" i="98"/>
  <c r="FX793" i="98"/>
  <c r="FX873" i="98"/>
  <c r="FX953" i="98"/>
  <c r="FX1033" i="98"/>
  <c r="FX1113" i="98"/>
  <c r="FX1193" i="98"/>
  <c r="FX1273" i="98"/>
  <c r="FX1353" i="98"/>
  <c r="FX1433" i="98"/>
  <c r="FX1513" i="98"/>
  <c r="FX1593" i="98"/>
  <c r="FX1673" i="98"/>
  <c r="FX1183" i="98"/>
  <c r="FX61" i="98"/>
  <c r="FX141" i="98"/>
  <c r="FX221" i="98"/>
  <c r="FX301" i="98"/>
  <c r="FX381" i="98"/>
  <c r="FX541" i="98"/>
  <c r="FX621" i="98"/>
  <c r="FX701" i="98"/>
  <c r="FX781" i="98"/>
  <c r="FX861" i="98"/>
  <c r="FX461" i="98"/>
  <c r="FX941" i="98"/>
  <c r="FX1021" i="98"/>
  <c r="FX1101" i="98"/>
  <c r="FX1181" i="98"/>
  <c r="FX1261" i="98"/>
  <c r="FX1341" i="98"/>
  <c r="FX1421" i="98"/>
  <c r="FX1501" i="98"/>
  <c r="FX1581" i="98"/>
  <c r="FX1661" i="98"/>
  <c r="EP25" i="98"/>
  <c r="EX25" i="98"/>
  <c r="FD25" i="98"/>
  <c r="FA25" i="98"/>
  <c r="FB25" i="98"/>
  <c r="EY25" i="98"/>
  <c r="GF33" i="98"/>
  <c r="GF673" i="98"/>
  <c r="GF753" i="98"/>
  <c r="GF353" i="98"/>
  <c r="GF993" i="98"/>
  <c r="GF513" i="98"/>
  <c r="GF1553" i="98"/>
  <c r="GF113" i="98"/>
  <c r="GF1633" i="98"/>
  <c r="GF593" i="98"/>
  <c r="GF433" i="98"/>
  <c r="GF1393" i="98"/>
  <c r="GF1153" i="98"/>
  <c r="GF273" i="98"/>
  <c r="GF1473" i="98"/>
  <c r="GF1313" i="98"/>
  <c r="GF833" i="98"/>
  <c r="GF1073" i="98"/>
  <c r="GF193" i="98"/>
  <c r="GF913" i="98"/>
  <c r="GF1233" i="98"/>
  <c r="GG63" i="98"/>
  <c r="GG303" i="98"/>
  <c r="GG223" i="98"/>
  <c r="GG1343" i="98"/>
  <c r="GG1023" i="98"/>
  <c r="GG143" i="98"/>
  <c r="GG463" i="98"/>
  <c r="GG623" i="98"/>
  <c r="GG1663" i="98"/>
  <c r="GG703" i="98"/>
  <c r="GG1183" i="98"/>
  <c r="GG543" i="98"/>
  <c r="GG943" i="98"/>
  <c r="GG1503" i="98"/>
  <c r="GG783" i="98"/>
  <c r="GG863" i="98"/>
  <c r="GG1103" i="98"/>
  <c r="GG383" i="98"/>
  <c r="GG1423" i="98"/>
  <c r="GG1263" i="98"/>
  <c r="GG1583" i="98"/>
  <c r="GI85" i="98"/>
  <c r="GI1685" i="98"/>
  <c r="GI1365" i="98"/>
  <c r="GI1445" i="98"/>
  <c r="GI965" i="98"/>
  <c r="GI725" i="98"/>
  <c r="GI1605" i="98"/>
  <c r="GI1525" i="98"/>
  <c r="GI645" i="98"/>
  <c r="GI165" i="98"/>
  <c r="GI565" i="98"/>
  <c r="GI405" i="98"/>
  <c r="GI805" i="98"/>
  <c r="GI1045" i="98"/>
  <c r="GI485" i="98"/>
  <c r="GI325" i="98"/>
  <c r="GI245" i="98"/>
  <c r="GI885" i="98"/>
  <c r="GI1125" i="98"/>
  <c r="GI1205" i="98"/>
  <c r="GI1285" i="98"/>
  <c r="EP71" i="98"/>
  <c r="FB71" i="98"/>
  <c r="FD71" i="98"/>
  <c r="EY71" i="98"/>
  <c r="FA71" i="98"/>
  <c r="EX71" i="98"/>
  <c r="GI425" i="98"/>
  <c r="GI185" i="98"/>
  <c r="GF25" i="98"/>
  <c r="GF745" i="98"/>
  <c r="GF665" i="98"/>
  <c r="GF585" i="98"/>
  <c r="GF1225" i="98"/>
  <c r="GF425" i="98"/>
  <c r="GF1145" i="98"/>
  <c r="GF1625" i="98"/>
  <c r="GF985" i="98"/>
  <c r="GF185" i="98"/>
  <c r="GF265" i="98"/>
  <c r="GF345" i="98"/>
  <c r="GF1305" i="98"/>
  <c r="GF1465" i="98"/>
  <c r="GF1385" i="98"/>
  <c r="GF1065" i="98"/>
  <c r="GF505" i="98"/>
  <c r="GF905" i="98"/>
  <c r="GF1545" i="98"/>
  <c r="GF825" i="98"/>
  <c r="GF105" i="98"/>
  <c r="EX61" i="98"/>
  <c r="EY61" i="98"/>
  <c r="EP61" i="98"/>
  <c r="FB61" i="98"/>
  <c r="FA61" i="98"/>
  <c r="FD61" i="98"/>
  <c r="GJ15" i="98"/>
  <c r="GJ335" i="98"/>
  <c r="GJ95" i="98"/>
  <c r="GJ175" i="98"/>
  <c r="GJ1455" i="98"/>
  <c r="GJ1375" i="98"/>
  <c r="GJ1535" i="98"/>
  <c r="GJ575" i="98"/>
  <c r="GJ1055" i="98"/>
  <c r="GJ1135" i="98"/>
  <c r="GJ975" i="98"/>
  <c r="GJ1215" i="98"/>
  <c r="GJ1615" i="98"/>
  <c r="GJ815" i="98"/>
  <c r="GJ895" i="98"/>
  <c r="GJ495" i="98"/>
  <c r="GJ1295" i="98"/>
  <c r="GJ735" i="98"/>
  <c r="GJ255" i="98"/>
  <c r="GJ655" i="98"/>
  <c r="GJ415" i="98"/>
  <c r="GG15" i="98"/>
  <c r="GG335" i="98"/>
  <c r="GG175" i="98"/>
  <c r="GG95" i="98"/>
  <c r="GG1375" i="98"/>
  <c r="GG1055" i="98"/>
  <c r="GG575" i="98"/>
  <c r="GG1135" i="98"/>
  <c r="GG1535" i="98"/>
  <c r="GG975" i="98"/>
  <c r="GG895" i="98"/>
  <c r="GG1215" i="98"/>
  <c r="GG255" i="98"/>
  <c r="GG495" i="98"/>
  <c r="GG815" i="98"/>
  <c r="GG655" i="98"/>
  <c r="GG1615" i="98"/>
  <c r="GG735" i="98"/>
  <c r="GG415" i="98"/>
  <c r="GG1295" i="98"/>
  <c r="GG1455" i="98"/>
  <c r="GL1374" i="98"/>
  <c r="GL1454" i="98"/>
  <c r="GL1054" i="98"/>
  <c r="GL574" i="98"/>
  <c r="GL494" i="98"/>
  <c r="GL1614" i="98"/>
  <c r="GL1134" i="98"/>
  <c r="GL734" i="98"/>
  <c r="GL174" i="98"/>
  <c r="GL814" i="98"/>
  <c r="GL974" i="98"/>
  <c r="GL254" i="98"/>
  <c r="GL894" i="98"/>
  <c r="GL1294" i="98"/>
  <c r="GL1534" i="98"/>
  <c r="GL1214" i="98"/>
  <c r="GL654" i="98"/>
  <c r="GL414" i="98"/>
  <c r="GL94" i="98"/>
  <c r="GL334" i="98"/>
  <c r="ER13" i="98"/>
  <c r="GL14" i="98"/>
  <c r="GL1392" i="98"/>
  <c r="GL832" i="98"/>
  <c r="GL1072" i="98"/>
  <c r="GL912" i="98"/>
  <c r="GL1152" i="98"/>
  <c r="GL1472" i="98"/>
  <c r="GL112" i="98"/>
  <c r="GL1552" i="98"/>
  <c r="GL1632" i="98"/>
  <c r="GL1312" i="98"/>
  <c r="GL272" i="98"/>
  <c r="GL432" i="98"/>
  <c r="GL352" i="98"/>
  <c r="GL512" i="98"/>
  <c r="GL192" i="98"/>
  <c r="GL752" i="98"/>
  <c r="GL1232" i="98"/>
  <c r="GL592" i="98"/>
  <c r="GL992" i="98"/>
  <c r="GL672" i="98"/>
  <c r="ER29" i="98"/>
  <c r="GL32" i="98"/>
  <c r="GG62" i="98"/>
  <c r="GL403" i="98"/>
  <c r="GL483" i="98"/>
  <c r="GL1203" i="98"/>
  <c r="GL1043" i="98"/>
  <c r="GL1363" i="98"/>
  <c r="GL1603" i="98"/>
  <c r="GL803" i="98"/>
  <c r="GL883" i="98"/>
  <c r="GL243" i="98"/>
  <c r="GL563" i="98"/>
  <c r="GL1523" i="98"/>
  <c r="GL963" i="98"/>
  <c r="GL323" i="98"/>
  <c r="GL1443" i="98"/>
  <c r="GL1123" i="98"/>
  <c r="GL163" i="98"/>
  <c r="GL1683" i="98"/>
  <c r="GL643" i="98"/>
  <c r="GL723" i="98"/>
  <c r="GL1283" i="98"/>
  <c r="ER75" i="98"/>
  <c r="GL83" i="98"/>
  <c r="GI83" i="98"/>
  <c r="GI1123" i="98"/>
  <c r="GI483" i="98"/>
  <c r="GI403" i="98"/>
  <c r="GI1203" i="98"/>
  <c r="GI1363" i="98"/>
  <c r="GI1603" i="98"/>
  <c r="GI323" i="98"/>
  <c r="GI1523" i="98"/>
  <c r="GI803" i="98"/>
  <c r="GI883" i="98"/>
  <c r="GI1443" i="98"/>
  <c r="GI963" i="98"/>
  <c r="GI1043" i="98"/>
  <c r="GI1283" i="98"/>
  <c r="GI643" i="98"/>
  <c r="GI723" i="98"/>
  <c r="GI243" i="98"/>
  <c r="GI163" i="98"/>
  <c r="GI1683" i="98"/>
  <c r="GI563" i="98"/>
  <c r="EP18" i="98"/>
  <c r="FB18" i="98"/>
  <c r="EY18" i="98"/>
  <c r="EX18" i="98"/>
  <c r="FA18" i="98"/>
  <c r="FD18" i="98"/>
  <c r="GF1384" i="98"/>
  <c r="GF1064" i="98"/>
  <c r="GF1624" i="98"/>
  <c r="GF824" i="98"/>
  <c r="GG74" i="98"/>
  <c r="GG1434" i="98"/>
  <c r="GG474" i="98"/>
  <c r="GJ952" i="98"/>
  <c r="GJ1112" i="98"/>
  <c r="GJ1592" i="98"/>
  <c r="EM17" i="98"/>
  <c r="EP10" i="98"/>
  <c r="FA10" i="98"/>
  <c r="FD10" i="98"/>
  <c r="FB10" i="98"/>
  <c r="EX10" i="98"/>
  <c r="EY10" i="98"/>
  <c r="GF35" i="98"/>
  <c r="GF1075" i="98"/>
  <c r="GF275" i="98"/>
  <c r="GF515" i="98"/>
  <c r="GF195" i="98"/>
  <c r="GF995" i="98"/>
  <c r="GF115" i="98"/>
  <c r="GF1235" i="98"/>
  <c r="GF355" i="98"/>
  <c r="GF835" i="98"/>
  <c r="GF915" i="98"/>
  <c r="GF435" i="98"/>
  <c r="GF755" i="98"/>
  <c r="GF675" i="98"/>
  <c r="GF595" i="98"/>
  <c r="GF1155" i="98"/>
  <c r="GF1555" i="98"/>
  <c r="GF1475" i="98"/>
  <c r="GF1315" i="98"/>
  <c r="GF1635" i="98"/>
  <c r="GF1395" i="98"/>
  <c r="GJ61" i="98"/>
  <c r="GJ1661" i="98"/>
  <c r="GJ1501" i="98"/>
  <c r="GJ1341" i="98"/>
  <c r="GJ1581" i="98"/>
  <c r="GJ941" i="98"/>
  <c r="GJ701" i="98"/>
  <c r="GJ461" i="98"/>
  <c r="GJ621" i="98"/>
  <c r="GJ1261" i="98"/>
  <c r="GJ1421" i="98"/>
  <c r="GJ141" i="98"/>
  <c r="GJ781" i="98"/>
  <c r="GJ1021" i="98"/>
  <c r="GJ1181" i="98"/>
  <c r="GJ861" i="98"/>
  <c r="GJ301" i="98"/>
  <c r="GJ381" i="98"/>
  <c r="GJ1101" i="98"/>
  <c r="GJ221" i="98"/>
  <c r="GJ541" i="98"/>
  <c r="EP51" i="98"/>
  <c r="EX51" i="98"/>
  <c r="FA51" i="98"/>
  <c r="FD51" i="98"/>
  <c r="FB51" i="98"/>
  <c r="EY51" i="98"/>
  <c r="GJ82" i="98"/>
  <c r="GJ1282" i="98"/>
  <c r="GJ1202" i="98"/>
  <c r="GJ642" i="98"/>
  <c r="GJ722" i="98"/>
  <c r="GJ482" i="98"/>
  <c r="GJ242" i="98"/>
  <c r="GJ1682" i="98"/>
  <c r="GJ1522" i="98"/>
  <c r="GJ162" i="98"/>
  <c r="GJ882" i="98"/>
  <c r="GJ322" i="98"/>
  <c r="GJ1042" i="98"/>
  <c r="GJ802" i="98"/>
  <c r="GJ402" i="98"/>
  <c r="GJ962" i="98"/>
  <c r="GJ1602" i="98"/>
  <c r="GJ1122" i="98"/>
  <c r="GJ1362" i="98"/>
  <c r="GJ562" i="98"/>
  <c r="GJ1442" i="98"/>
  <c r="GJ80" i="98"/>
  <c r="GJ1360" i="98"/>
  <c r="GJ1440" i="98"/>
  <c r="GJ1120" i="98"/>
  <c r="GJ480" i="98"/>
  <c r="GJ320" i="98"/>
  <c r="GJ400" i="98"/>
  <c r="GJ640" i="98"/>
  <c r="GJ560" i="98"/>
  <c r="GJ720" i="98"/>
  <c r="GJ160" i="98"/>
  <c r="GJ1680" i="98"/>
  <c r="GJ1200" i="98"/>
  <c r="GJ1520" i="98"/>
  <c r="GJ1600" i="98"/>
  <c r="GJ960" i="98"/>
  <c r="GJ1280" i="98"/>
  <c r="GJ800" i="98"/>
  <c r="GJ240" i="98"/>
  <c r="GJ880" i="98"/>
  <c r="GJ1040" i="98"/>
  <c r="EP20" i="98"/>
  <c r="FA20" i="98"/>
  <c r="EY20" i="98"/>
  <c r="FB20" i="98"/>
  <c r="FD20" i="98"/>
  <c r="EX20" i="98"/>
  <c r="DL11" i="98"/>
  <c r="EP11" i="98"/>
  <c r="FD11" i="98"/>
  <c r="EY11" i="98"/>
  <c r="FA11" i="98"/>
  <c r="EX11" i="98"/>
  <c r="FB11" i="98"/>
  <c r="FD12" i="98"/>
  <c r="EX12" i="98"/>
  <c r="GJ34" i="98"/>
  <c r="GJ1634" i="98"/>
  <c r="GJ1234" i="98"/>
  <c r="GJ1154" i="98"/>
  <c r="GJ594" i="98"/>
  <c r="GJ194" i="98"/>
  <c r="GJ274" i="98"/>
  <c r="GJ514" i="98"/>
  <c r="GJ1474" i="98"/>
  <c r="GJ1314" i="98"/>
  <c r="GJ434" i="98"/>
  <c r="GJ914" i="98"/>
  <c r="GJ1074" i="98"/>
  <c r="GJ354" i="98"/>
  <c r="GJ994" i="98"/>
  <c r="GJ1554" i="98"/>
  <c r="GJ114" i="98"/>
  <c r="GJ1394" i="98"/>
  <c r="GJ834" i="98"/>
  <c r="GJ674" i="98"/>
  <c r="GJ754" i="98"/>
  <c r="GG34" i="98"/>
  <c r="GG1554" i="98"/>
  <c r="GG1074" i="98"/>
  <c r="GG1234" i="98"/>
  <c r="GG1154" i="98"/>
  <c r="GG594" i="98"/>
  <c r="GG194" i="98"/>
  <c r="GG1474" i="98"/>
  <c r="GG1634" i="98"/>
  <c r="GG1314" i="98"/>
  <c r="GG434" i="98"/>
  <c r="GG914" i="98"/>
  <c r="GG354" i="98"/>
  <c r="GG994" i="98"/>
  <c r="GG754" i="98"/>
  <c r="GG114" i="98"/>
  <c r="GG514" i="98"/>
  <c r="GG674" i="98"/>
  <c r="GG834" i="98"/>
  <c r="GG1394" i="98"/>
  <c r="GG274" i="98"/>
  <c r="GA545" i="98"/>
  <c r="GA1265" i="98"/>
  <c r="GA1665" i="98"/>
  <c r="GA225" i="98"/>
  <c r="GI81" i="98"/>
  <c r="GI1521" i="98"/>
  <c r="GI641" i="98"/>
  <c r="GI721" i="98"/>
  <c r="GI1441" i="98"/>
  <c r="GI321" i="98"/>
  <c r="GI1121" i="98"/>
  <c r="GI401" i="98"/>
  <c r="GI1201" i="98"/>
  <c r="GI561" i="98"/>
  <c r="GI801" i="98"/>
  <c r="GI1281" i="98"/>
  <c r="GI961" i="98"/>
  <c r="GI1601" i="98"/>
  <c r="GI1361" i="98"/>
  <c r="GI1681" i="98"/>
  <c r="GI1041" i="98"/>
  <c r="GI161" i="98"/>
  <c r="GI481" i="98"/>
  <c r="GI241" i="98"/>
  <c r="GI881" i="98"/>
  <c r="GF81" i="98"/>
  <c r="GF1361" i="98"/>
  <c r="GF1681" i="98"/>
  <c r="GF641" i="98"/>
  <c r="GF721" i="98"/>
  <c r="GF1121" i="98"/>
  <c r="GF1521" i="98"/>
  <c r="GF401" i="98"/>
  <c r="GF961" i="98"/>
  <c r="GF881" i="98"/>
  <c r="GF1601" i="98"/>
  <c r="GF241" i="98"/>
  <c r="GF1441" i="98"/>
  <c r="GF481" i="98"/>
  <c r="GF801" i="98"/>
  <c r="GF561" i="98"/>
  <c r="GF1041" i="98"/>
  <c r="GF1201" i="98"/>
  <c r="GF321" i="98"/>
  <c r="GF1281" i="98"/>
  <c r="GF161" i="98"/>
  <c r="GJ84" i="98"/>
  <c r="GJ1124" i="98"/>
  <c r="GJ324" i="98"/>
  <c r="GJ484" i="98"/>
  <c r="GJ404" i="98"/>
  <c r="GJ164" i="98"/>
  <c r="GJ564" i="98"/>
  <c r="GJ724" i="98"/>
  <c r="GJ964" i="98"/>
  <c r="GJ1204" i="98"/>
  <c r="GJ1684" i="98"/>
  <c r="GJ1044" i="98"/>
  <c r="GJ1524" i="98"/>
  <c r="GJ1604" i="98"/>
  <c r="GJ1364" i="98"/>
  <c r="GJ1444" i="98"/>
  <c r="GJ1284" i="98"/>
  <c r="GJ644" i="98"/>
  <c r="GJ884" i="98"/>
  <c r="GJ804" i="98"/>
  <c r="GJ244" i="98"/>
  <c r="GA804" i="98"/>
  <c r="EP21" i="98"/>
  <c r="EY21" i="98"/>
  <c r="FB21" i="98"/>
  <c r="FA21" i="98"/>
  <c r="EX21" i="98"/>
  <c r="FD21" i="98"/>
  <c r="EP15" i="98"/>
  <c r="EX15" i="98"/>
  <c r="FD15" i="98"/>
  <c r="EY15" i="98"/>
  <c r="FA15" i="98"/>
  <c r="FB15" i="98"/>
  <c r="GF73" i="98"/>
  <c r="GF1673" i="98"/>
  <c r="GF713" i="98"/>
  <c r="GF393" i="98"/>
  <c r="GF1593" i="98"/>
  <c r="GF313" i="98"/>
  <c r="GF1113" i="98"/>
  <c r="GF153" i="98"/>
  <c r="GF793" i="98"/>
  <c r="GF473" i="98"/>
  <c r="GF1433" i="98"/>
  <c r="GF1513" i="98"/>
  <c r="GF873" i="98"/>
  <c r="GF633" i="98"/>
  <c r="GF233" i="98"/>
  <c r="GF1353" i="98"/>
  <c r="GF1033" i="98"/>
  <c r="GF1273" i="98"/>
  <c r="GF1193" i="98"/>
  <c r="GF553" i="98"/>
  <c r="GF953" i="98"/>
  <c r="GF1435" i="98"/>
  <c r="FX65" i="98"/>
  <c r="FX145" i="98"/>
  <c r="FX225" i="98"/>
  <c r="FX305" i="98"/>
  <c r="FX385" i="98"/>
  <c r="FX465" i="98"/>
  <c r="FX545" i="98"/>
  <c r="FX625" i="98"/>
  <c r="FX705" i="98"/>
  <c r="FX785" i="98"/>
  <c r="FX865" i="98"/>
  <c r="FX945" i="98"/>
  <c r="FX1025" i="98"/>
  <c r="FX1105" i="98"/>
  <c r="FX1185" i="98"/>
  <c r="FX1265" i="98"/>
  <c r="FX1345" i="98"/>
  <c r="FX1425" i="98"/>
  <c r="FX1505" i="98"/>
  <c r="FX1585" i="98"/>
  <c r="FX1665" i="98"/>
  <c r="GG33" i="98"/>
  <c r="GG673" i="98"/>
  <c r="GG993" i="98"/>
  <c r="GG753" i="98"/>
  <c r="GG433" i="98"/>
  <c r="GG353" i="98"/>
  <c r="GG593" i="98"/>
  <c r="GG113" i="98"/>
  <c r="GG513" i="98"/>
  <c r="GG1553" i="98"/>
  <c r="GG1633" i="98"/>
  <c r="GG913" i="98"/>
  <c r="GG1233" i="98"/>
  <c r="GG1393" i="98"/>
  <c r="GG833" i="98"/>
  <c r="GG273" i="98"/>
  <c r="GG1313" i="98"/>
  <c r="GG1473" i="98"/>
  <c r="GG193" i="98"/>
  <c r="GG1073" i="98"/>
  <c r="GG1153" i="98"/>
  <c r="FD52" i="98"/>
  <c r="GI63" i="98"/>
  <c r="GI1023" i="98"/>
  <c r="GI143" i="98"/>
  <c r="GI223" i="98"/>
  <c r="GI1343" i="98"/>
  <c r="GI463" i="98"/>
  <c r="GI623" i="98"/>
  <c r="GI1663" i="98"/>
  <c r="GI943" i="98"/>
  <c r="GI543" i="98"/>
  <c r="GI1103" i="98"/>
  <c r="GI383" i="98"/>
  <c r="GI783" i="98"/>
  <c r="GI863" i="98"/>
  <c r="GI1183" i="98"/>
  <c r="GI303" i="98"/>
  <c r="GI1503" i="98"/>
  <c r="GI1263" i="98"/>
  <c r="GI703" i="98"/>
  <c r="GI1423" i="98"/>
  <c r="GI1583" i="98"/>
  <c r="GG85" i="98"/>
  <c r="GG1445" i="98"/>
  <c r="GG1685" i="98"/>
  <c r="GG1525" i="98"/>
  <c r="GG1365" i="98"/>
  <c r="GG1605" i="98"/>
  <c r="GG965" i="98"/>
  <c r="GG725" i="98"/>
  <c r="GG645" i="98"/>
  <c r="GG405" i="98"/>
  <c r="GG165" i="98"/>
  <c r="GG1205" i="98"/>
  <c r="GG245" i="98"/>
  <c r="GG885" i="98"/>
  <c r="GG485" i="98"/>
  <c r="GG805" i="98"/>
  <c r="GG565" i="98"/>
  <c r="GG1125" i="98"/>
  <c r="GG1285" i="98"/>
  <c r="GG325" i="98"/>
  <c r="GG1045" i="98"/>
  <c r="GJ85" i="98"/>
  <c r="GJ1445" i="98"/>
  <c r="GJ1605" i="98"/>
  <c r="GJ1685" i="98"/>
  <c r="GJ1365" i="98"/>
  <c r="GJ965" i="98"/>
  <c r="GJ725" i="98"/>
  <c r="GJ405" i="98"/>
  <c r="GJ165" i="98"/>
  <c r="GJ1125" i="98"/>
  <c r="GJ1205" i="98"/>
  <c r="GJ1525" i="98"/>
  <c r="GJ805" i="98"/>
  <c r="GJ645" i="98"/>
  <c r="GJ565" i="98"/>
  <c r="GJ325" i="98"/>
  <c r="GJ485" i="98"/>
  <c r="GJ245" i="98"/>
  <c r="GJ885" i="98"/>
  <c r="GJ1285" i="98"/>
  <c r="GJ1045" i="98"/>
  <c r="GG25" i="98"/>
  <c r="GG985" i="98"/>
  <c r="GG585" i="98"/>
  <c r="GG745" i="98"/>
  <c r="GG425" i="98"/>
  <c r="GG665" i="98"/>
  <c r="GG1225" i="98"/>
  <c r="GG345" i="98"/>
  <c r="GG1625" i="98"/>
  <c r="GG825" i="98"/>
  <c r="GG265" i="98"/>
  <c r="GG905" i="98"/>
  <c r="GG505" i="98"/>
  <c r="GG1465" i="98"/>
  <c r="GG1385" i="98"/>
  <c r="GG1305" i="98"/>
  <c r="GG185" i="98"/>
  <c r="GG1145" i="98"/>
  <c r="GG105" i="98"/>
  <c r="GG1545" i="98"/>
  <c r="GG1065" i="98"/>
  <c r="GA745" i="98"/>
  <c r="GI15" i="98"/>
  <c r="GI495" i="98"/>
  <c r="GI335" i="98"/>
  <c r="GI175" i="98"/>
  <c r="GI95" i="98"/>
  <c r="GI1375" i="98"/>
  <c r="GI1055" i="98"/>
  <c r="GI1135" i="98"/>
  <c r="GI735" i="98"/>
  <c r="GI1215" i="98"/>
  <c r="GI1615" i="98"/>
  <c r="GI975" i="98"/>
  <c r="GI1295" i="98"/>
  <c r="GI415" i="98"/>
  <c r="GI1535" i="98"/>
  <c r="GI895" i="98"/>
  <c r="GI1455" i="98"/>
  <c r="GI255" i="98"/>
  <c r="GI815" i="98"/>
  <c r="GI655" i="98"/>
  <c r="GI575" i="98"/>
  <c r="GA15" i="98"/>
  <c r="GA335" i="98"/>
  <c r="GA495" i="98"/>
  <c r="GA95" i="98"/>
  <c r="GA175" i="98"/>
  <c r="GA1455" i="98"/>
  <c r="GA1535" i="98"/>
  <c r="GA1375" i="98"/>
  <c r="GA575" i="98"/>
  <c r="GA975" i="98"/>
  <c r="GA1215" i="98"/>
  <c r="GA1295" i="98"/>
  <c r="GA815" i="98"/>
  <c r="GA735" i="98"/>
  <c r="GA255" i="98"/>
  <c r="GA415" i="98"/>
  <c r="GA1135" i="98"/>
  <c r="GA1055" i="98"/>
  <c r="GA655" i="98"/>
  <c r="GA895" i="98"/>
  <c r="GA1615" i="98"/>
  <c r="GI14" i="98"/>
  <c r="GI1054" i="98"/>
  <c r="GI1614" i="98"/>
  <c r="GI494" i="98"/>
  <c r="GI1214" i="98"/>
  <c r="GI654" i="98"/>
  <c r="GI174" i="98"/>
  <c r="GI1374" i="98"/>
  <c r="GI1454" i="98"/>
  <c r="GI734" i="98"/>
  <c r="GI1134" i="98"/>
  <c r="GI574" i="98"/>
  <c r="GI1534" i="98"/>
  <c r="GI254" i="98"/>
  <c r="GI814" i="98"/>
  <c r="GI974" i="98"/>
  <c r="GI894" i="98"/>
  <c r="GI1294" i="98"/>
  <c r="GI414" i="98"/>
  <c r="GI94" i="98"/>
  <c r="GI334" i="98"/>
  <c r="DL7" i="98"/>
  <c r="DL56" i="98"/>
  <c r="DL9" i="98"/>
  <c r="DL33" i="98"/>
  <c r="DL8" i="98"/>
  <c r="GI32" i="98"/>
  <c r="GI1392" i="98"/>
  <c r="GI1232" i="98"/>
  <c r="GI352" i="98"/>
  <c r="GI112" i="98"/>
  <c r="GI272" i="98"/>
  <c r="GI1472" i="98"/>
  <c r="GI1312" i="98"/>
  <c r="GI432" i="98"/>
  <c r="GI1152" i="98"/>
  <c r="GI1552" i="98"/>
  <c r="GI1632" i="98"/>
  <c r="GI752" i="98"/>
  <c r="GI512" i="98"/>
  <c r="GI192" i="98"/>
  <c r="GI992" i="98"/>
  <c r="GI1072" i="98"/>
  <c r="GI672" i="98"/>
  <c r="GI832" i="98"/>
  <c r="GI592" i="98"/>
  <c r="GI912" i="98"/>
  <c r="GF32" i="98"/>
  <c r="GF1392" i="98"/>
  <c r="GF912" i="98"/>
  <c r="GF1072" i="98"/>
  <c r="GF832" i="98"/>
  <c r="GF1552" i="98"/>
  <c r="GF1632" i="98"/>
  <c r="GF1152" i="98"/>
  <c r="GF432" i="98"/>
  <c r="GF272" i="98"/>
  <c r="GF1472" i="98"/>
  <c r="GF1312" i="98"/>
  <c r="GF352" i="98"/>
  <c r="GF192" i="98"/>
  <c r="GF112" i="98"/>
  <c r="GF512" i="98"/>
  <c r="GF752" i="98"/>
  <c r="GF1232" i="98"/>
  <c r="GF672" i="98"/>
  <c r="GF592" i="98"/>
  <c r="GF992" i="98"/>
  <c r="GL942" i="98"/>
  <c r="GA62" i="98"/>
  <c r="GA1422" i="98"/>
  <c r="GA1342" i="98"/>
  <c r="GA1502" i="98"/>
  <c r="GA1102" i="98"/>
  <c r="GA1022" i="98"/>
  <c r="GA462" i="98"/>
  <c r="GA222" i="98"/>
  <c r="GA1182" i="98"/>
  <c r="GA542" i="98"/>
  <c r="GA622" i="98"/>
  <c r="GA1582" i="98"/>
  <c r="GA702" i="98"/>
  <c r="GA382" i="98"/>
  <c r="GA1262" i="98"/>
  <c r="GA1662" i="98"/>
  <c r="GA302" i="98"/>
  <c r="GA142" i="98"/>
  <c r="GA862" i="98"/>
  <c r="GA782" i="98"/>
  <c r="GA942" i="98"/>
  <c r="EP70" i="98"/>
  <c r="EY70" i="98"/>
  <c r="EX70" i="98"/>
  <c r="FB70" i="98"/>
  <c r="FD70" i="98"/>
  <c r="FA70" i="98"/>
  <c r="GJ83" i="98"/>
  <c r="GJ1123" i="98"/>
  <c r="GJ323" i="98"/>
  <c r="GJ403" i="98"/>
  <c r="GJ483" i="98"/>
  <c r="GJ1363" i="98"/>
  <c r="GJ1283" i="98"/>
  <c r="GJ1683" i="98"/>
  <c r="GJ1203" i="98"/>
  <c r="GJ1603" i="98"/>
  <c r="GJ563" i="98"/>
  <c r="GJ803" i="98"/>
  <c r="GJ883" i="98"/>
  <c r="GJ1523" i="98"/>
  <c r="GJ243" i="98"/>
  <c r="GJ1043" i="98"/>
  <c r="GJ163" i="98"/>
  <c r="GJ643" i="98"/>
  <c r="GJ1443" i="98"/>
  <c r="GJ723" i="98"/>
  <c r="GJ963" i="98"/>
  <c r="GI24" i="98"/>
  <c r="GI1384" i="98"/>
  <c r="GI1464" i="98"/>
  <c r="GI1624" i="98"/>
  <c r="GI1544" i="98"/>
  <c r="GI1304" i="98"/>
  <c r="GI104" i="98"/>
  <c r="GI1144" i="98"/>
  <c r="GI1064" i="98"/>
  <c r="GI504" i="98"/>
  <c r="GI1224" i="98"/>
  <c r="GI664" i="98"/>
  <c r="GI264" i="98"/>
  <c r="GI344" i="98"/>
  <c r="GI984" i="98"/>
  <c r="GI824" i="98"/>
  <c r="GI184" i="98"/>
  <c r="GI904" i="98"/>
  <c r="GI744" i="98"/>
  <c r="GI424" i="98"/>
  <c r="GI584" i="98"/>
  <c r="GA1194" i="98"/>
  <c r="GA714" i="98"/>
  <c r="GA1434" i="98"/>
  <c r="GA1034" i="98"/>
  <c r="GA1514" i="98"/>
  <c r="GF72" i="98"/>
  <c r="GF1432" i="98"/>
  <c r="GF1352" i="98"/>
  <c r="GF312" i="98"/>
  <c r="GF952" i="98"/>
  <c r="GF392" i="98"/>
  <c r="GF152" i="98"/>
  <c r="GF1032" i="98"/>
  <c r="GF232" i="98"/>
  <c r="GF1272" i="98"/>
  <c r="GF1192" i="98"/>
  <c r="GF472" i="98"/>
  <c r="GF792" i="98"/>
  <c r="GF552" i="98"/>
  <c r="GF872" i="98"/>
  <c r="GF1112" i="98"/>
  <c r="GF1512" i="98"/>
  <c r="GF1592" i="98"/>
  <c r="GF1672" i="98"/>
  <c r="GF632" i="98"/>
  <c r="GF712" i="98"/>
  <c r="GL1352" i="98"/>
  <c r="GL232" i="98"/>
  <c r="GL1192" i="98"/>
  <c r="GL632" i="98"/>
  <c r="EM27" i="98"/>
  <c r="EM24" i="98"/>
  <c r="GG35" i="98"/>
  <c r="GG1075" i="98"/>
  <c r="GG275" i="98"/>
  <c r="GG195" i="98"/>
  <c r="GG355" i="98"/>
  <c r="GG1235" i="98"/>
  <c r="GG995" i="98"/>
  <c r="GG835" i="98"/>
  <c r="GG915" i="98"/>
  <c r="GG515" i="98"/>
  <c r="GG1155" i="98"/>
  <c r="GG115" i="98"/>
  <c r="GG1635" i="98"/>
  <c r="GG755" i="98"/>
  <c r="GG675" i="98"/>
  <c r="GG595" i="98"/>
  <c r="GG1475" i="98"/>
  <c r="GG1395" i="98"/>
  <c r="GG1315" i="98"/>
  <c r="GG435" i="98"/>
  <c r="GG1555" i="98"/>
  <c r="GJ35" i="98"/>
  <c r="GJ1075" i="98"/>
  <c r="GJ355" i="98"/>
  <c r="GJ275" i="98"/>
  <c r="GJ1555" i="98"/>
  <c r="GJ515" i="98"/>
  <c r="GJ1235" i="98"/>
  <c r="GJ195" i="98"/>
  <c r="GJ995" i="98"/>
  <c r="GJ1395" i="98"/>
  <c r="GJ835" i="98"/>
  <c r="GJ915" i="98"/>
  <c r="GJ115" i="98"/>
  <c r="GJ435" i="98"/>
  <c r="GJ1315" i="98"/>
  <c r="GJ755" i="98"/>
  <c r="GJ1475" i="98"/>
  <c r="GJ1635" i="98"/>
  <c r="GJ675" i="98"/>
  <c r="GJ595" i="98"/>
  <c r="GJ1155" i="98"/>
  <c r="GA61" i="98"/>
  <c r="GA1341" i="98"/>
  <c r="GA1501" i="98"/>
  <c r="GA941" i="98"/>
  <c r="GA461" i="98"/>
  <c r="GA1581" i="98"/>
  <c r="GA381" i="98"/>
  <c r="GA1421" i="98"/>
  <c r="GA1261" i="98"/>
  <c r="GA221" i="98"/>
  <c r="GA621" i="98"/>
  <c r="GA141" i="98"/>
  <c r="GA781" i="98"/>
  <c r="GA701" i="98"/>
  <c r="GA1181" i="98"/>
  <c r="GA1661" i="98"/>
  <c r="GA1021" i="98"/>
  <c r="GA1101" i="98"/>
  <c r="GA301" i="98"/>
  <c r="GA861" i="98"/>
  <c r="GA541" i="98"/>
  <c r="GA64" i="98"/>
  <c r="GA1504" i="98"/>
  <c r="GA1344" i="98"/>
  <c r="GA1264" i="98"/>
  <c r="GA944" i="98"/>
  <c r="GA1104" i="98"/>
  <c r="GA1664" i="98"/>
  <c r="GA1584" i="98"/>
  <c r="GA384" i="98"/>
  <c r="GA304" i="98"/>
  <c r="GA704" i="98"/>
  <c r="GA224" i="98"/>
  <c r="GA624" i="98"/>
  <c r="GA144" i="98"/>
  <c r="GA1024" i="98"/>
  <c r="GA1184" i="98"/>
  <c r="GA544" i="98"/>
  <c r="GA1424" i="98"/>
  <c r="GA784" i="98"/>
  <c r="GA864" i="98"/>
  <c r="GA464" i="98"/>
  <c r="GG82" i="98"/>
  <c r="GG1282" i="98"/>
  <c r="GG1042" i="98"/>
  <c r="GG1202" i="98"/>
  <c r="GG722" i="98"/>
  <c r="GG642" i="98"/>
  <c r="GG162" i="98"/>
  <c r="GG1122" i="98"/>
  <c r="GG1442" i="98"/>
  <c r="GG242" i="98"/>
  <c r="GG882" i="98"/>
  <c r="GG1682" i="98"/>
  <c r="GG1522" i="98"/>
  <c r="GG562" i="98"/>
  <c r="GG802" i="98"/>
  <c r="GG402" i="98"/>
  <c r="GG962" i="98"/>
  <c r="GG1602" i="98"/>
  <c r="GG1362" i="98"/>
  <c r="GG482" i="98"/>
  <c r="GG322" i="98"/>
  <c r="GA82" i="98"/>
  <c r="GA1282" i="98"/>
  <c r="GA1202" i="98"/>
  <c r="GA162" i="98"/>
  <c r="GA242" i="98"/>
  <c r="GA642" i="98"/>
  <c r="GA882" i="98"/>
  <c r="GA1682" i="98"/>
  <c r="GA722" i="98"/>
  <c r="GA1042" i="98"/>
  <c r="GA802" i="98"/>
  <c r="GA1122" i="98"/>
  <c r="GA1522" i="98"/>
  <c r="GA402" i="98"/>
  <c r="GA962" i="98"/>
  <c r="GA1602" i="98"/>
  <c r="GA1362" i="98"/>
  <c r="GA322" i="98"/>
  <c r="GA1442" i="98"/>
  <c r="GA562" i="98"/>
  <c r="GA482" i="98"/>
  <c r="GL1520" i="98"/>
  <c r="GL1191" i="98"/>
  <c r="GL71" i="98"/>
  <c r="GI34" i="98"/>
  <c r="GI1234" i="98"/>
  <c r="GI1154" i="98"/>
  <c r="GI1074" i="98"/>
  <c r="GI1474" i="98"/>
  <c r="GI1634" i="98"/>
  <c r="GI594" i="98"/>
  <c r="GI994" i="98"/>
  <c r="GI194" i="98"/>
  <c r="GI354" i="98"/>
  <c r="GI1554" i="98"/>
  <c r="GI834" i="98"/>
  <c r="GI914" i="98"/>
  <c r="GI754" i="98"/>
  <c r="GI674" i="98"/>
  <c r="GI514" i="98"/>
  <c r="GI114" i="98"/>
  <c r="GI434" i="98"/>
  <c r="GI1394" i="98"/>
  <c r="GI274" i="98"/>
  <c r="GI1314" i="98"/>
  <c r="GA34" i="98"/>
  <c r="GA1554" i="98"/>
  <c r="GA1234" i="98"/>
  <c r="GA1154" i="98"/>
  <c r="GA1314" i="98"/>
  <c r="GA1474" i="98"/>
  <c r="GA194" i="98"/>
  <c r="GA914" i="98"/>
  <c r="GA434" i="98"/>
  <c r="GA1074" i="98"/>
  <c r="GA594" i="98"/>
  <c r="GA354" i="98"/>
  <c r="GA1634" i="98"/>
  <c r="GA994" i="98"/>
  <c r="GA114" i="98"/>
  <c r="GA834" i="98"/>
  <c r="GA754" i="98"/>
  <c r="GA1394" i="98"/>
  <c r="GA674" i="98"/>
  <c r="GA514" i="98"/>
  <c r="GA274" i="98"/>
  <c r="GJ65" i="98"/>
  <c r="GJ1505" i="98"/>
  <c r="GJ1665" i="98"/>
  <c r="GJ625" i="98"/>
  <c r="GJ705" i="98"/>
  <c r="GJ945" i="98"/>
  <c r="GJ225" i="98"/>
  <c r="GJ145" i="98"/>
  <c r="GJ865" i="98"/>
  <c r="GJ465" i="98"/>
  <c r="GJ385" i="98"/>
  <c r="GJ545" i="98"/>
  <c r="GJ1185" i="98"/>
  <c r="GJ1265" i="98"/>
  <c r="GJ1025" i="98"/>
  <c r="GJ1425" i="98"/>
  <c r="GJ1345" i="98"/>
  <c r="GJ1585" i="98"/>
  <c r="GJ785" i="98"/>
  <c r="GJ1105" i="98"/>
  <c r="GJ305" i="98"/>
  <c r="FA53" i="98"/>
  <c r="FD53" i="98"/>
  <c r="EX53" i="98"/>
  <c r="FB53" i="98"/>
  <c r="EP53" i="98"/>
  <c r="EY53" i="98"/>
  <c r="GJ81" i="98"/>
  <c r="GJ1601" i="98"/>
  <c r="GJ1361" i="98"/>
  <c r="GJ1681" i="98"/>
  <c r="GJ641" i="98"/>
  <c r="GJ721" i="98"/>
  <c r="GJ1121" i="98"/>
  <c r="GJ1041" i="98"/>
  <c r="GJ1521" i="98"/>
  <c r="GJ961" i="98"/>
  <c r="GJ1201" i="98"/>
  <c r="GJ1281" i="98"/>
  <c r="GJ881" i="98"/>
  <c r="GJ401" i="98"/>
  <c r="GJ241" i="98"/>
  <c r="GJ1441" i="98"/>
  <c r="GJ321" i="98"/>
  <c r="GJ481" i="98"/>
  <c r="GJ801" i="98"/>
  <c r="GJ161" i="98"/>
  <c r="GJ561" i="98"/>
  <c r="EX69" i="98"/>
  <c r="EY69" i="98"/>
  <c r="EP69" i="98"/>
  <c r="FB69" i="98"/>
  <c r="FA69" i="98"/>
  <c r="FD69" i="98"/>
  <c r="GG84" i="98"/>
  <c r="GG1524" i="98"/>
  <c r="GG1604" i="98"/>
  <c r="GG1124" i="98"/>
  <c r="GG1444" i="98"/>
  <c r="GG1364" i="98"/>
  <c r="GG1284" i="98"/>
  <c r="GG484" i="98"/>
  <c r="GG404" i="98"/>
  <c r="GG324" i="98"/>
  <c r="GG164" i="98"/>
  <c r="GG964" i="98"/>
  <c r="GG564" i="98"/>
  <c r="GG1684" i="98"/>
  <c r="GG1044" i="98"/>
  <c r="GG644" i="98"/>
  <c r="GG1204" i="98"/>
  <c r="GG884" i="98"/>
  <c r="GG244" i="98"/>
  <c r="GG724" i="98"/>
  <c r="GG804" i="98"/>
  <c r="EP16" i="98"/>
  <c r="EX16" i="98"/>
  <c r="FD16" i="98"/>
  <c r="FB16" i="98"/>
  <c r="FA16" i="98"/>
  <c r="EY16" i="98"/>
  <c r="GG73" i="98"/>
  <c r="GG1673" i="98"/>
  <c r="GG1593" i="98"/>
  <c r="GG1513" i="98"/>
  <c r="GG713" i="98"/>
  <c r="GG633" i="98"/>
  <c r="GG473" i="98"/>
  <c r="GG393" i="98"/>
  <c r="GG793" i="98"/>
  <c r="GG873" i="98"/>
  <c r="GG953" i="98"/>
  <c r="GG1433" i="98"/>
  <c r="GG153" i="98"/>
  <c r="GG233" i="98"/>
  <c r="GG1353" i="98"/>
  <c r="GG1193" i="98"/>
  <c r="GG313" i="98"/>
  <c r="GG1033" i="98"/>
  <c r="GG1273" i="98"/>
  <c r="GG553" i="98"/>
  <c r="GG1113" i="98"/>
  <c r="EM21" i="98"/>
  <c r="FX75" i="98"/>
  <c r="FX395" i="98"/>
  <c r="FX715" i="98"/>
  <c r="FX1035" i="98"/>
  <c r="FX1355" i="98"/>
  <c r="FX1675" i="98"/>
  <c r="EP27" i="98"/>
  <c r="EY27" i="98"/>
  <c r="FB27" i="98"/>
  <c r="EX27" i="98"/>
  <c r="FA27" i="98"/>
  <c r="FD27" i="98"/>
  <c r="GL673" i="98"/>
  <c r="GL753" i="98"/>
  <c r="GL353" i="98"/>
  <c r="GL593" i="98"/>
  <c r="GL1633" i="98"/>
  <c r="GL1553" i="98"/>
  <c r="GL1073" i="98"/>
  <c r="GL193" i="98"/>
  <c r="GL1393" i="98"/>
  <c r="GL1313" i="98"/>
  <c r="GL433" i="98"/>
  <c r="GL1153" i="98"/>
  <c r="GL1473" i="98"/>
  <c r="GL993" i="98"/>
  <c r="GL273" i="98"/>
  <c r="GL1233" i="98"/>
  <c r="GL113" i="98"/>
  <c r="GL833" i="98"/>
  <c r="GL913" i="98"/>
  <c r="GL513" i="98"/>
  <c r="ER30" i="98"/>
  <c r="GL33" i="98"/>
  <c r="GJ33" i="98"/>
  <c r="GJ993" i="98"/>
  <c r="GJ753" i="98"/>
  <c r="GJ433" i="98"/>
  <c r="GJ353" i="98"/>
  <c r="GJ673" i="98"/>
  <c r="GJ593" i="98"/>
  <c r="GJ113" i="98"/>
  <c r="GJ513" i="98"/>
  <c r="GJ1633" i="98"/>
  <c r="GJ1393" i="98"/>
  <c r="GJ1233" i="98"/>
  <c r="GJ1553" i="98"/>
  <c r="GJ193" i="98"/>
  <c r="GJ1073" i="98"/>
  <c r="GJ1153" i="98"/>
  <c r="GJ273" i="98"/>
  <c r="GJ1473" i="98"/>
  <c r="GJ1313" i="98"/>
  <c r="GJ913" i="98"/>
  <c r="GJ833" i="98"/>
  <c r="GJ143" i="98"/>
  <c r="GF85" i="98"/>
  <c r="GF1365" i="98"/>
  <c r="GF1445" i="98"/>
  <c r="GF1685" i="98"/>
  <c r="GF965" i="98"/>
  <c r="GF405" i="98"/>
  <c r="GF725" i="98"/>
  <c r="GF165" i="98"/>
  <c r="GF245" i="98"/>
  <c r="GF1605" i="98"/>
  <c r="GF645" i="98"/>
  <c r="GF1525" i="98"/>
  <c r="GF565" i="98"/>
  <c r="GF805" i="98"/>
  <c r="GF885" i="98"/>
  <c r="GF485" i="98"/>
  <c r="GF1205" i="98"/>
  <c r="GF1125" i="98"/>
  <c r="GF1045" i="98"/>
  <c r="GF325" i="98"/>
  <c r="GF1285" i="98"/>
  <c r="GA85" i="98"/>
  <c r="GA1365" i="98"/>
  <c r="GA1445" i="98"/>
  <c r="GA1525" i="98"/>
  <c r="GA725" i="98"/>
  <c r="GA645" i="98"/>
  <c r="GA165" i="98"/>
  <c r="GA1205" i="98"/>
  <c r="GA245" i="98"/>
  <c r="GA965" i="98"/>
  <c r="GA1605" i="98"/>
  <c r="GA405" i="98"/>
  <c r="GA565" i="98"/>
  <c r="GA805" i="98"/>
  <c r="GA485" i="98"/>
  <c r="GA1685" i="98"/>
  <c r="GA325" i="98"/>
  <c r="GA885" i="98"/>
  <c r="GA1125" i="98"/>
  <c r="GA1045" i="98"/>
  <c r="GA1285" i="98"/>
  <c r="EP17" i="98"/>
  <c r="EX17" i="98"/>
  <c r="FD17" i="98"/>
  <c r="FB17" i="98"/>
  <c r="EY17" i="98"/>
  <c r="FA17" i="98"/>
  <c r="GJ425" i="98"/>
  <c r="DK7" i="98"/>
  <c r="DK46" i="98"/>
  <c r="DK26" i="98"/>
  <c r="DK14" i="98"/>
  <c r="DK25" i="98"/>
  <c r="DK32" i="98"/>
  <c r="DK23" i="98"/>
  <c r="DK8" i="98"/>
  <c r="DK28" i="98"/>
  <c r="DK9" i="98"/>
  <c r="GL335" i="98"/>
  <c r="GL95" i="98"/>
  <c r="GL175" i="98"/>
  <c r="GL1375" i="98"/>
  <c r="GL735" i="98"/>
  <c r="GL1055" i="98"/>
  <c r="GL975" i="98"/>
  <c r="GL1615" i="98"/>
  <c r="GL815" i="98"/>
  <c r="GL495" i="98"/>
  <c r="GL895" i="98"/>
  <c r="GL1215" i="98"/>
  <c r="GL1295" i="98"/>
  <c r="GL255" i="98"/>
  <c r="GL575" i="98"/>
  <c r="GL1135" i="98"/>
  <c r="GL655" i="98"/>
  <c r="GL1535" i="98"/>
  <c r="GL415" i="98"/>
  <c r="GL1455" i="98"/>
  <c r="ER14" i="98"/>
  <c r="GL15" i="98"/>
  <c r="GG14" i="98"/>
  <c r="GG1534" i="98"/>
  <c r="GG1134" i="98"/>
  <c r="GG1054" i="98"/>
  <c r="GG574" i="98"/>
  <c r="GG654" i="98"/>
  <c r="GG174" i="98"/>
  <c r="GG494" i="98"/>
  <c r="GG1454" i="98"/>
  <c r="GG1214" i="98"/>
  <c r="GG734" i="98"/>
  <c r="GG1374" i="98"/>
  <c r="GG1614" i="98"/>
  <c r="GG974" i="98"/>
  <c r="GG814" i="98"/>
  <c r="GG894" i="98"/>
  <c r="GG1294" i="98"/>
  <c r="GG334" i="98"/>
  <c r="GG414" i="98"/>
  <c r="GG254" i="98"/>
  <c r="GG94" i="98"/>
  <c r="GF14" i="98"/>
  <c r="GF1294" i="98"/>
  <c r="GF1054" i="98"/>
  <c r="GF574" i="98"/>
  <c r="GF494" i="98"/>
  <c r="GF174" i="98"/>
  <c r="GF1454" i="98"/>
  <c r="GF654" i="98"/>
  <c r="GF1134" i="98"/>
  <c r="GF734" i="98"/>
  <c r="GF1214" i="98"/>
  <c r="GF814" i="98"/>
  <c r="GF1374" i="98"/>
  <c r="GF894" i="98"/>
  <c r="GF254" i="98"/>
  <c r="GF1534" i="98"/>
  <c r="GF1614" i="98"/>
  <c r="GF414" i="98"/>
  <c r="GF974" i="98"/>
  <c r="GF94" i="98"/>
  <c r="GF334" i="98"/>
  <c r="GG32" i="98"/>
  <c r="GG1392" i="98"/>
  <c r="GG1232" i="98"/>
  <c r="GG512" i="98"/>
  <c r="GG112" i="98"/>
  <c r="GG592" i="98"/>
  <c r="GG272" i="98"/>
  <c r="GG432" i="98"/>
  <c r="GG1472" i="98"/>
  <c r="GG1152" i="98"/>
  <c r="GG1312" i="98"/>
  <c r="GG192" i="98"/>
  <c r="GG352" i="98"/>
  <c r="GG1552" i="98"/>
  <c r="GG1632" i="98"/>
  <c r="GG992" i="98"/>
  <c r="GG912" i="98"/>
  <c r="GG752" i="98"/>
  <c r="GG1072" i="98"/>
  <c r="GG672" i="98"/>
  <c r="GG832" i="98"/>
  <c r="GA32" i="98"/>
  <c r="GA1392" i="98"/>
  <c r="GA1152" i="98"/>
  <c r="GA1632" i="98"/>
  <c r="GA1552" i="98"/>
  <c r="GA352" i="98"/>
  <c r="GA912" i="98"/>
  <c r="GA1072" i="98"/>
  <c r="GA672" i="98"/>
  <c r="GA512" i="98"/>
  <c r="GA832" i="98"/>
  <c r="GA592" i="98"/>
  <c r="GA1232" i="98"/>
  <c r="GA272" i="98"/>
  <c r="GA112" i="98"/>
  <c r="GA1472" i="98"/>
  <c r="GA1312" i="98"/>
  <c r="GA752" i="98"/>
  <c r="GA432" i="98"/>
  <c r="GA192" i="98"/>
  <c r="GA992" i="98"/>
  <c r="DK11" i="98"/>
  <c r="GF62" i="98"/>
  <c r="GF382" i="98"/>
  <c r="GF702" i="98"/>
  <c r="GF622" i="98"/>
  <c r="GF142" i="98"/>
  <c r="GF862" i="98"/>
  <c r="GA83" i="98"/>
  <c r="GA1603" i="98"/>
  <c r="GA1363" i="98"/>
  <c r="GA1043" i="98"/>
  <c r="GA1203" i="98"/>
  <c r="GA1683" i="98"/>
  <c r="GA243" i="98"/>
  <c r="GA563" i="98"/>
  <c r="GA483" i="98"/>
  <c r="GA1523" i="98"/>
  <c r="GA163" i="98"/>
  <c r="GA323" i="98"/>
  <c r="GA1443" i="98"/>
  <c r="GA1123" i="98"/>
  <c r="GA883" i="98"/>
  <c r="GA723" i="98"/>
  <c r="GA963" i="98"/>
  <c r="GA803" i="98"/>
  <c r="GA643" i="98"/>
  <c r="GA1283" i="98"/>
  <c r="GA403" i="98"/>
  <c r="GL1384" i="98"/>
  <c r="GL504" i="98"/>
  <c r="GL104" i="98"/>
  <c r="GL1144" i="98"/>
  <c r="GL344" i="98"/>
  <c r="GL824" i="98"/>
  <c r="GL1624" i="98"/>
  <c r="GL1304" i="98"/>
  <c r="GL584" i="98"/>
  <c r="GL984" i="98"/>
  <c r="GL744" i="98"/>
  <c r="GL424" i="98"/>
  <c r="GA24" i="98"/>
  <c r="GA1304" i="98"/>
  <c r="GA1224" i="98"/>
  <c r="GA1384" i="98"/>
  <c r="GA1464" i="98"/>
  <c r="GA1624" i="98"/>
  <c r="GA1544" i="98"/>
  <c r="GA104" i="98"/>
  <c r="GA584" i="98"/>
  <c r="GA984" i="98"/>
  <c r="GA184" i="98"/>
  <c r="GA424" i="98"/>
  <c r="GA1064" i="98"/>
  <c r="GA504" i="98"/>
  <c r="GA824" i="98"/>
  <c r="GA264" i="98"/>
  <c r="GA344" i="98"/>
  <c r="GA664" i="98"/>
  <c r="GA1144" i="98"/>
  <c r="GA904" i="98"/>
  <c r="GA744" i="98"/>
  <c r="GJ74" i="98"/>
  <c r="GJ1194" i="98"/>
  <c r="GJ954" i="98"/>
  <c r="GJ714" i="98"/>
  <c r="GJ634" i="98"/>
  <c r="GJ1354" i="98"/>
  <c r="GJ394" i="98"/>
  <c r="GJ1594" i="98"/>
  <c r="GJ1514" i="98"/>
  <c r="GJ474" i="98"/>
  <c r="GJ1674" i="98"/>
  <c r="GJ874" i="98"/>
  <c r="GJ794" i="98"/>
  <c r="GF74" i="98"/>
  <c r="GF1034" i="98"/>
  <c r="GF234" i="98"/>
  <c r="GF714" i="98"/>
  <c r="GF1354" i="98"/>
  <c r="GF314" i="98"/>
  <c r="GF154" i="98"/>
  <c r="GF634" i="98"/>
  <c r="GF394" i="98"/>
  <c r="GF954" i="98"/>
  <c r="GF1674" i="98"/>
  <c r="GF554" i="98"/>
  <c r="GF474" i="98"/>
  <c r="GF794" i="98"/>
  <c r="GF1514" i="98"/>
  <c r="GF874" i="98"/>
  <c r="GG72" i="98"/>
  <c r="GG1432" i="98"/>
  <c r="GG1352" i="98"/>
  <c r="GG1112" i="98"/>
  <c r="GG952" i="98"/>
  <c r="GG392" i="98"/>
  <c r="GG472" i="98"/>
  <c r="GG552" i="98"/>
  <c r="GG312" i="98"/>
  <c r="GG152" i="98"/>
  <c r="GG232" i="98"/>
  <c r="GG1032" i="98"/>
  <c r="GG872" i="98"/>
  <c r="GG792" i="98"/>
  <c r="GG1272" i="98"/>
  <c r="GG1512" i="98"/>
  <c r="GG1192" i="98"/>
  <c r="GG1592" i="98"/>
  <c r="GG1672" i="98"/>
  <c r="GG712" i="98"/>
  <c r="GG632" i="98"/>
  <c r="EM18" i="98"/>
  <c r="DK20" i="98"/>
  <c r="GL1075" i="98"/>
  <c r="GL515" i="98"/>
  <c r="GL1395" i="98"/>
  <c r="GL995" i="98"/>
  <c r="GL195" i="98"/>
  <c r="GL835" i="98"/>
  <c r="GL915" i="98"/>
  <c r="GL115" i="98"/>
  <c r="GL1315" i="98"/>
  <c r="GL355" i="98"/>
  <c r="GL435" i="98"/>
  <c r="GL755" i="98"/>
  <c r="GL1475" i="98"/>
  <c r="GL675" i="98"/>
  <c r="GL275" i="98"/>
  <c r="GL1555" i="98"/>
  <c r="GL1155" i="98"/>
  <c r="GL1635" i="98"/>
  <c r="GL595" i="98"/>
  <c r="GL1235" i="98"/>
  <c r="ER32" i="98"/>
  <c r="GL35" i="98"/>
  <c r="GA35" i="98"/>
  <c r="GA1075" i="98"/>
  <c r="GA275" i="98"/>
  <c r="GA195" i="98"/>
  <c r="GA995" i="98"/>
  <c r="GA355" i="98"/>
  <c r="GA515" i="98"/>
  <c r="GA1475" i="98"/>
  <c r="GA1315" i="98"/>
  <c r="GA595" i="98"/>
  <c r="GA1155" i="98"/>
  <c r="GA915" i="98"/>
  <c r="GA1555" i="98"/>
  <c r="GA755" i="98"/>
  <c r="GA435" i="98"/>
  <c r="GA1235" i="98"/>
  <c r="GA115" i="98"/>
  <c r="GA835" i="98"/>
  <c r="GA1395" i="98"/>
  <c r="GA675" i="98"/>
  <c r="GA1635" i="98"/>
  <c r="GG61" i="98"/>
  <c r="GG1501" i="98"/>
  <c r="GG1341" i="98"/>
  <c r="GG1661" i="98"/>
  <c r="GG1581" i="98"/>
  <c r="GG941" i="98"/>
  <c r="GG621" i="98"/>
  <c r="GG701" i="98"/>
  <c r="GG461" i="98"/>
  <c r="GG381" i="98"/>
  <c r="GG141" i="98"/>
  <c r="GG1261" i="98"/>
  <c r="GG861" i="98"/>
  <c r="GG781" i="98"/>
  <c r="GG1021" i="98"/>
  <c r="GG1421" i="98"/>
  <c r="GG1181" i="98"/>
  <c r="GG221" i="98"/>
  <c r="GG301" i="98"/>
  <c r="GG541" i="98"/>
  <c r="GG1101" i="98"/>
  <c r="GF61" i="98"/>
  <c r="GF1501" i="98"/>
  <c r="GF1341" i="98"/>
  <c r="GF1661" i="98"/>
  <c r="GF941" i="98"/>
  <c r="GF381" i="98"/>
  <c r="GF301" i="98"/>
  <c r="GF1581" i="98"/>
  <c r="GF1261" i="98"/>
  <c r="GF701" i="98"/>
  <c r="GF1421" i="98"/>
  <c r="GF461" i="98"/>
  <c r="GF141" i="98"/>
  <c r="GF621" i="98"/>
  <c r="GF781" i="98"/>
  <c r="GF1181" i="98"/>
  <c r="GF541" i="98"/>
  <c r="GF861" i="98"/>
  <c r="GF221" i="98"/>
  <c r="GF1101" i="98"/>
  <c r="GF1021" i="98"/>
  <c r="GF384" i="98"/>
  <c r="GF864" i="98"/>
  <c r="GL304" i="98"/>
  <c r="GL1664" i="98"/>
  <c r="GL1264" i="98"/>
  <c r="GL1184" i="98"/>
  <c r="GL624" i="98"/>
  <c r="GF82" i="98"/>
  <c r="GF1282" i="98"/>
  <c r="GF1042" i="98"/>
  <c r="GF1202" i="98"/>
  <c r="GF722" i="98"/>
  <c r="GF162" i="98"/>
  <c r="GF1602" i="98"/>
  <c r="GF242" i="98"/>
  <c r="GF1682" i="98"/>
  <c r="GF642" i="98"/>
  <c r="GF1122" i="98"/>
  <c r="GF882" i="98"/>
  <c r="GF962" i="98"/>
  <c r="GF1522" i="98"/>
  <c r="GF322" i="98"/>
  <c r="GF1362" i="98"/>
  <c r="GF562" i="98"/>
  <c r="GF802" i="98"/>
  <c r="GF1442" i="98"/>
  <c r="GF402" i="98"/>
  <c r="GF482" i="98"/>
  <c r="GI320" i="98"/>
  <c r="GI800" i="98"/>
  <c r="GG80" i="98"/>
  <c r="GG1360" i="98"/>
  <c r="GG1120" i="98"/>
  <c r="GG1280" i="98"/>
  <c r="GG320" i="98"/>
  <c r="GG480" i="98"/>
  <c r="GG400" i="98"/>
  <c r="GG720" i="98"/>
  <c r="GG560" i="98"/>
  <c r="GG1040" i="98"/>
  <c r="GG160" i="98"/>
  <c r="GG960" i="98"/>
  <c r="GG1200" i="98"/>
  <c r="GG1680" i="98"/>
  <c r="GG1440" i="98"/>
  <c r="GG1520" i="98"/>
  <c r="GG1600" i="98"/>
  <c r="GG240" i="98"/>
  <c r="GG880" i="98"/>
  <c r="GG800" i="98"/>
  <c r="GG640" i="98"/>
  <c r="EX19" i="98"/>
  <c r="EY62" i="98"/>
  <c r="EP62" i="98"/>
  <c r="FD62" i="98"/>
  <c r="EX62" i="98"/>
  <c r="FA62" i="98"/>
  <c r="FB62" i="98"/>
  <c r="FX658" i="98"/>
  <c r="EM20" i="98"/>
  <c r="GL1154" i="98"/>
  <c r="GL1234" i="98"/>
  <c r="GL1074" i="98"/>
  <c r="GL594" i="98"/>
  <c r="GL1474" i="98"/>
  <c r="GL1634" i="98"/>
  <c r="GL354" i="98"/>
  <c r="GL194" i="98"/>
  <c r="GL1554" i="98"/>
  <c r="GL754" i="98"/>
  <c r="GL274" i="98"/>
  <c r="GL674" i="98"/>
  <c r="GL994" i="98"/>
  <c r="GL114" i="98"/>
  <c r="GL834" i="98"/>
  <c r="GL514" i="98"/>
  <c r="GL914" i="98"/>
  <c r="GL1314" i="98"/>
  <c r="GL1394" i="98"/>
  <c r="GL434" i="98"/>
  <c r="ER31" i="98"/>
  <c r="GL34" i="98"/>
  <c r="EP26" i="98"/>
  <c r="EX26" i="98"/>
  <c r="FD26" i="98"/>
  <c r="FA26" i="98"/>
  <c r="EY26" i="98"/>
  <c r="FB26" i="98"/>
  <c r="GL1505" i="98"/>
  <c r="GL1665" i="98"/>
  <c r="GL705" i="98"/>
  <c r="GL945" i="98"/>
  <c r="GL1345" i="98"/>
  <c r="GL225" i="98"/>
  <c r="GL465" i="98"/>
  <c r="GL625" i="98"/>
  <c r="GL1585" i="98"/>
  <c r="GL1265" i="98"/>
  <c r="GL1425" i="98"/>
  <c r="GL545" i="98"/>
  <c r="GL385" i="98"/>
  <c r="GL145" i="98"/>
  <c r="GL305" i="98"/>
  <c r="GL1105" i="98"/>
  <c r="GL785" i="98"/>
  <c r="GL1025" i="98"/>
  <c r="GL865" i="98"/>
  <c r="GL1185" i="98"/>
  <c r="ER59" i="98"/>
  <c r="GL65" i="98"/>
  <c r="GA81" i="98"/>
  <c r="GA1601" i="98"/>
  <c r="GA1441" i="98"/>
  <c r="GA1361" i="98"/>
  <c r="GA961" i="98"/>
  <c r="GA641" i="98"/>
  <c r="GA721" i="98"/>
  <c r="GA401" i="98"/>
  <c r="GA1121" i="98"/>
  <c r="GA1201" i="98"/>
  <c r="GA1281" i="98"/>
  <c r="GA1521" i="98"/>
  <c r="GA241" i="98"/>
  <c r="GA881" i="98"/>
  <c r="GA1681" i="98"/>
  <c r="GA1041" i="98"/>
  <c r="GA561" i="98"/>
  <c r="GA321" i="98"/>
  <c r="GA801" i="98"/>
  <c r="GA161" i="98"/>
  <c r="GA481" i="98"/>
  <c r="GL1444" i="98"/>
  <c r="GL1364" i="98"/>
  <c r="GL1124" i="98"/>
  <c r="GL1044" i="98"/>
  <c r="GL324" i="98"/>
  <c r="GL484" i="98"/>
  <c r="GL164" i="98"/>
  <c r="GL964" i="98"/>
  <c r="GL564" i="98"/>
  <c r="GL244" i="98"/>
  <c r="GL1684" i="98"/>
  <c r="GL404" i="98"/>
  <c r="GL1524" i="98"/>
  <c r="GL1604" i="98"/>
  <c r="GL884" i="98"/>
  <c r="GL644" i="98"/>
  <c r="GL804" i="98"/>
  <c r="GL1284" i="98"/>
  <c r="GL1204" i="98"/>
  <c r="GL724" i="98"/>
  <c r="ER76" i="98"/>
  <c r="GL84" i="98"/>
  <c r="GJ713" i="98"/>
  <c r="GJ633" i="98"/>
  <c r="GJ953" i="98"/>
  <c r="GA73" i="98"/>
  <c r="GA1353" i="98"/>
  <c r="GA633" i="98"/>
  <c r="GA473" i="98"/>
  <c r="GA1513" i="98"/>
  <c r="GA953" i="98"/>
  <c r="GA793" i="98"/>
  <c r="GA1593" i="98"/>
  <c r="GA873" i="98"/>
  <c r="GA153" i="98"/>
  <c r="GA713" i="98"/>
  <c r="GA233" i="98"/>
  <c r="GA393" i="98"/>
  <c r="GA1673" i="98"/>
  <c r="GA1433" i="98"/>
  <c r="GA1273" i="98"/>
  <c r="GA1113" i="98"/>
  <c r="GA553" i="98"/>
  <c r="GA313" i="98"/>
  <c r="GA1033" i="98"/>
  <c r="GA1193" i="98"/>
  <c r="GA875" i="98"/>
  <c r="GA955" i="98"/>
  <c r="GA1595" i="98"/>
  <c r="FX632" i="98"/>
  <c r="FX1272" i="98"/>
  <c r="FX782" i="98"/>
  <c r="GI33" i="98"/>
  <c r="GI993" i="98"/>
  <c r="GI753" i="98"/>
  <c r="GI353" i="98"/>
  <c r="GI673" i="98"/>
  <c r="GI1553" i="98"/>
  <c r="GI1633" i="98"/>
  <c r="GI1313" i="98"/>
  <c r="GI1393" i="98"/>
  <c r="GI1473" i="98"/>
  <c r="GI593" i="98"/>
  <c r="GI1153" i="98"/>
  <c r="GI433" i="98"/>
  <c r="GI273" i="98"/>
  <c r="GI833" i="98"/>
  <c r="GI1073" i="98"/>
  <c r="GI113" i="98"/>
  <c r="GI1233" i="98"/>
  <c r="GI193" i="98"/>
  <c r="GI513" i="98"/>
  <c r="GI913" i="98"/>
  <c r="GA33" i="98"/>
  <c r="GA1473" i="98"/>
  <c r="GA1313" i="98"/>
  <c r="GA353" i="98"/>
  <c r="GA993" i="98"/>
  <c r="GA113" i="98"/>
  <c r="GA513" i="98"/>
  <c r="GA1553" i="98"/>
  <c r="GA193" i="98"/>
  <c r="GA673" i="98"/>
  <c r="GA753" i="98"/>
  <c r="GA1233" i="98"/>
  <c r="GA1153" i="98"/>
  <c r="GA1393" i="98"/>
  <c r="GA273" i="98"/>
  <c r="GA433" i="98"/>
  <c r="GA593" i="98"/>
  <c r="GA913" i="98"/>
  <c r="GA1073" i="98"/>
  <c r="GA833" i="98"/>
  <c r="GA1633" i="98"/>
  <c r="GF63" i="98"/>
  <c r="GF303" i="98"/>
  <c r="GF223" i="98"/>
  <c r="GF143" i="98"/>
  <c r="GF463" i="98"/>
  <c r="GF1023" i="98"/>
  <c r="GF1343" i="98"/>
  <c r="GF623" i="98"/>
  <c r="GF703" i="98"/>
  <c r="GF1663" i="98"/>
  <c r="GF943" i="98"/>
  <c r="GF863" i="98"/>
  <c r="GF1503" i="98"/>
  <c r="GF543" i="98"/>
  <c r="GF383" i="98"/>
  <c r="GF783" i="98"/>
  <c r="GF1423" i="98"/>
  <c r="GF1263" i="98"/>
  <c r="GF1103" i="98"/>
  <c r="GF1183" i="98"/>
  <c r="GF1583" i="98"/>
  <c r="GA1663" i="98"/>
  <c r="GA863" i="98"/>
  <c r="GA1343" i="98"/>
  <c r="GA463" i="98"/>
  <c r="GL1685" i="98"/>
  <c r="GL1365" i="98"/>
  <c r="GL1445" i="98"/>
  <c r="GL965" i="98"/>
  <c r="GL725" i="98"/>
  <c r="GL405" i="98"/>
  <c r="GL1605" i="98"/>
  <c r="GL645" i="98"/>
  <c r="GL1525" i="98"/>
  <c r="GL165" i="98"/>
  <c r="GL565" i="98"/>
  <c r="GL885" i="98"/>
  <c r="GL325" i="98"/>
  <c r="GL1125" i="98"/>
  <c r="GL805" i="98"/>
  <c r="GL485" i="98"/>
  <c r="GL1205" i="98"/>
  <c r="GL1045" i="98"/>
  <c r="GL245" i="98"/>
  <c r="GL1285" i="98"/>
  <c r="ER77" i="98"/>
  <c r="GL85" i="98"/>
  <c r="GL745" i="98"/>
  <c r="GL665" i="98"/>
  <c r="GL345" i="98"/>
  <c r="GL1225" i="98"/>
  <c r="GL985" i="98"/>
  <c r="GL1065" i="98"/>
  <c r="GL1625" i="98"/>
  <c r="GL1145" i="98"/>
  <c r="GL585" i="98"/>
  <c r="GL1465" i="98"/>
  <c r="GL1305" i="98"/>
  <c r="GL1385" i="98"/>
  <c r="GL265" i="98"/>
  <c r="GL185" i="98"/>
  <c r="GL425" i="98"/>
  <c r="GL505" i="98"/>
  <c r="GL1545" i="98"/>
  <c r="GL105" i="98"/>
  <c r="GL905" i="98"/>
  <c r="GL825" i="98"/>
  <c r="ER23" i="98"/>
  <c r="GL25" i="98"/>
  <c r="FD63" i="98"/>
  <c r="EY63" i="98"/>
  <c r="FA63" i="98"/>
  <c r="EX63" i="98"/>
  <c r="EP63" i="98"/>
  <c r="FB63" i="98"/>
  <c r="EP6" i="98"/>
  <c r="FA6" i="98"/>
  <c r="FB6" i="98"/>
  <c r="FD6" i="98"/>
  <c r="EY6" i="98"/>
  <c r="EX6" i="98"/>
  <c r="GF15" i="98"/>
  <c r="GF95" i="98"/>
  <c r="GF335" i="98"/>
  <c r="GF175" i="98"/>
  <c r="GF1375" i="98"/>
  <c r="GF575" i="98"/>
  <c r="GF1055" i="98"/>
  <c r="GF1135" i="98"/>
  <c r="GF815" i="98"/>
  <c r="GF895" i="98"/>
  <c r="GF495" i="98"/>
  <c r="GF1215" i="98"/>
  <c r="GF1615" i="98"/>
  <c r="GF1295" i="98"/>
  <c r="GF255" i="98"/>
  <c r="GF975" i="98"/>
  <c r="GF735" i="98"/>
  <c r="GF415" i="98"/>
  <c r="GF655" i="98"/>
  <c r="GF1455" i="98"/>
  <c r="GF1535" i="98"/>
  <c r="GJ14" i="98"/>
  <c r="GJ1054" i="98"/>
  <c r="GJ1534" i="98"/>
  <c r="GJ1134" i="98"/>
  <c r="GJ574" i="98"/>
  <c r="GJ174" i="98"/>
  <c r="GJ1454" i="98"/>
  <c r="GJ494" i="98"/>
  <c r="GJ1614" i="98"/>
  <c r="GJ1294" i="98"/>
  <c r="GJ1374" i="98"/>
  <c r="GJ654" i="98"/>
  <c r="GJ1214" i="98"/>
  <c r="GJ334" i="98"/>
  <c r="GJ734" i="98"/>
  <c r="GJ254" i="98"/>
  <c r="GJ814" i="98"/>
  <c r="GJ894" i="98"/>
  <c r="GJ974" i="98"/>
  <c r="GJ414" i="98"/>
  <c r="GJ94" i="98"/>
  <c r="GA14" i="98"/>
  <c r="GA1374" i="98"/>
  <c r="GA1534" i="98"/>
  <c r="GA1134" i="98"/>
  <c r="GA1054" i="98"/>
  <c r="GA654" i="98"/>
  <c r="GA1294" i="98"/>
  <c r="GA574" i="98"/>
  <c r="GA734" i="98"/>
  <c r="GA814" i="98"/>
  <c r="GA174" i="98"/>
  <c r="GA1614" i="98"/>
  <c r="GA1214" i="98"/>
  <c r="GA1454" i="98"/>
  <c r="GA414" i="98"/>
  <c r="GA494" i="98"/>
  <c r="GA94" i="98"/>
  <c r="GA894" i="98"/>
  <c r="GA334" i="98"/>
  <c r="GA974" i="98"/>
  <c r="GA254" i="98"/>
  <c r="EP24" i="98"/>
  <c r="EY24" i="98"/>
  <c r="EX24" i="98"/>
  <c r="FA24" i="98"/>
  <c r="FD24" i="98"/>
  <c r="FB24" i="98"/>
  <c r="GJ32" i="98"/>
  <c r="GJ1392" i="98"/>
  <c r="GJ1472" i="98"/>
  <c r="GJ352" i="98"/>
  <c r="GJ1312" i="98"/>
  <c r="GJ672" i="98"/>
  <c r="GJ1072" i="98"/>
  <c r="GJ1152" i="98"/>
  <c r="GJ1552" i="98"/>
  <c r="GJ1632" i="98"/>
  <c r="GJ512" i="98"/>
  <c r="GJ592" i="98"/>
  <c r="GJ432" i="98"/>
  <c r="GJ272" i="98"/>
  <c r="GJ752" i="98"/>
  <c r="GJ1232" i="98"/>
  <c r="GJ192" i="98"/>
  <c r="GJ112" i="98"/>
  <c r="GJ992" i="98"/>
  <c r="GJ832" i="98"/>
  <c r="GJ912" i="98"/>
  <c r="DK13" i="98"/>
  <c r="GJ462" i="98"/>
  <c r="GJ702" i="98"/>
  <c r="GJ542" i="98"/>
  <c r="GJ1422" i="98"/>
  <c r="GJ862" i="98"/>
  <c r="GG83" i="98"/>
  <c r="GG1123" i="98"/>
  <c r="GG323" i="98"/>
  <c r="GG403" i="98"/>
  <c r="GG243" i="98"/>
  <c r="GG1203" i="98"/>
  <c r="GG483" i="98"/>
  <c r="GG1603" i="98"/>
  <c r="GG563" i="98"/>
  <c r="GG1283" i="98"/>
  <c r="GG803" i="98"/>
  <c r="GG883" i="98"/>
  <c r="GG1523" i="98"/>
  <c r="GG1043" i="98"/>
  <c r="GG1443" i="98"/>
  <c r="GG163" i="98"/>
  <c r="GG723" i="98"/>
  <c r="GG963" i="98"/>
  <c r="GG1683" i="98"/>
  <c r="GG1363" i="98"/>
  <c r="GG643" i="98"/>
  <c r="GF83" i="98"/>
  <c r="GF483" i="98"/>
  <c r="GF403" i="98"/>
  <c r="GF1203" i="98"/>
  <c r="GF1603" i="98"/>
  <c r="GF1043" i="98"/>
  <c r="GF1523" i="98"/>
  <c r="GF243" i="98"/>
  <c r="GF323" i="98"/>
  <c r="GF803" i="98"/>
  <c r="GF883" i="98"/>
  <c r="GF1123" i="98"/>
  <c r="GF1443" i="98"/>
  <c r="GF643" i="98"/>
  <c r="GF723" i="98"/>
  <c r="GF1283" i="98"/>
  <c r="GF563" i="98"/>
  <c r="GF163" i="98"/>
  <c r="GF1363" i="98"/>
  <c r="GF963" i="98"/>
  <c r="GF1683" i="98"/>
  <c r="GJ24" i="98"/>
  <c r="GJ1464" i="98"/>
  <c r="GJ1384" i="98"/>
  <c r="GJ504" i="98"/>
  <c r="GJ104" i="98"/>
  <c r="GJ744" i="98"/>
  <c r="GJ584" i="98"/>
  <c r="GJ984" i="98"/>
  <c r="GJ184" i="98"/>
  <c r="GJ424" i="98"/>
  <c r="GJ1064" i="98"/>
  <c r="GJ1224" i="98"/>
  <c r="GJ344" i="98"/>
  <c r="GJ664" i="98"/>
  <c r="GJ264" i="98"/>
  <c r="GJ1544" i="98"/>
  <c r="GJ1624" i="98"/>
  <c r="GJ1304" i="98"/>
  <c r="GJ1144" i="98"/>
  <c r="GJ824" i="98"/>
  <c r="GJ904" i="98"/>
  <c r="DL10" i="98"/>
  <c r="GL1274" i="98"/>
  <c r="GL1194" i="98"/>
  <c r="GL954" i="98"/>
  <c r="GL714" i="98"/>
  <c r="GL234" i="98"/>
  <c r="GL154" i="98"/>
  <c r="GL1434" i="98"/>
  <c r="GL1354" i="98"/>
  <c r="GL314" i="98"/>
  <c r="GL1034" i="98"/>
  <c r="GL394" i="98"/>
  <c r="GL1114" i="98"/>
  <c r="GL554" i="98"/>
  <c r="GL634" i="98"/>
  <c r="GL474" i="98"/>
  <c r="GL1674" i="98"/>
  <c r="GL1594" i="98"/>
  <c r="GL794" i="98"/>
  <c r="GL1514" i="98"/>
  <c r="GL874" i="98"/>
  <c r="ER67" i="98"/>
  <c r="GL74" i="98"/>
  <c r="GI74" i="98"/>
  <c r="GI1194" i="98"/>
  <c r="GI1274" i="98"/>
  <c r="GI1434" i="98"/>
  <c r="GI1354" i="98"/>
  <c r="GI314" i="98"/>
  <c r="GI394" i="98"/>
  <c r="GI634" i="98"/>
  <c r="GI154" i="98"/>
  <c r="GI954" i="98"/>
  <c r="GI1114" i="98"/>
  <c r="GI1514" i="98"/>
  <c r="GI714" i="98"/>
  <c r="GI1034" i="98"/>
  <c r="GI474" i="98"/>
  <c r="GI234" i="98"/>
  <c r="GI554" i="98"/>
  <c r="GI794" i="98"/>
  <c r="GI1674" i="98"/>
  <c r="GI1594" i="98"/>
  <c r="GI874" i="98"/>
  <c r="GI1112" i="98"/>
  <c r="GI152" i="98"/>
  <c r="GI1272" i="98"/>
  <c r="GI232" i="98"/>
  <c r="DN7" i="98"/>
  <c r="DN34" i="98"/>
  <c r="DN41" i="98"/>
  <c r="DN71" i="98"/>
  <c r="DN69" i="98"/>
  <c r="DN70" i="98"/>
  <c r="DN62" i="98"/>
  <c r="DN58" i="98"/>
  <c r="DN8" i="98"/>
  <c r="DN47" i="98"/>
  <c r="DN25" i="98"/>
  <c r="DN9" i="98"/>
  <c r="EP8" i="98"/>
  <c r="FB8" i="98"/>
  <c r="EY8" i="98"/>
  <c r="EX8" i="98"/>
  <c r="FD8" i="98"/>
  <c r="FA8" i="98"/>
  <c r="EP7" i="98"/>
  <c r="EY7" i="98"/>
  <c r="FA7" i="98"/>
  <c r="EX7" i="98"/>
  <c r="FB7" i="98"/>
  <c r="FD7" i="98"/>
  <c r="FX31" i="98"/>
  <c r="FX351" i="98"/>
  <c r="FX671" i="98"/>
  <c r="FX991" i="98"/>
  <c r="FX1311" i="98"/>
  <c r="FX1631" i="98"/>
  <c r="DN12" i="98"/>
  <c r="EP28" i="98"/>
  <c r="FA28" i="98"/>
  <c r="EX28" i="98"/>
  <c r="FB28" i="98"/>
  <c r="FD28" i="98"/>
  <c r="EY28" i="98"/>
  <c r="GI35" i="98"/>
  <c r="GI1075" i="98"/>
  <c r="GI275" i="98"/>
  <c r="GI515" i="98"/>
  <c r="GI195" i="98"/>
  <c r="GI995" i="98"/>
  <c r="GI1235" i="98"/>
  <c r="GI355" i="98"/>
  <c r="GI835" i="98"/>
  <c r="GI915" i="98"/>
  <c r="GI675" i="98"/>
  <c r="GI1475" i="98"/>
  <c r="GI435" i="98"/>
  <c r="GI755" i="98"/>
  <c r="GI1315" i="98"/>
  <c r="GI115" i="98"/>
  <c r="GI1155" i="98"/>
  <c r="GI1395" i="98"/>
  <c r="GI595" i="98"/>
  <c r="GI1635" i="98"/>
  <c r="GI1555" i="98"/>
  <c r="DN35" i="98"/>
  <c r="GL1501" i="98"/>
  <c r="GL1341" i="98"/>
  <c r="GL1661" i="98"/>
  <c r="GL621" i="98"/>
  <c r="GL381" i="98"/>
  <c r="GL301" i="98"/>
  <c r="GL1261" i="98"/>
  <c r="GL141" i="98"/>
  <c r="GL701" i="98"/>
  <c r="GL941" i="98"/>
  <c r="GL1581" i="98"/>
  <c r="GL1421" i="98"/>
  <c r="GL461" i="98"/>
  <c r="GL1181" i="98"/>
  <c r="GL221" i="98"/>
  <c r="GL861" i="98"/>
  <c r="GL1021" i="98"/>
  <c r="GL781" i="98"/>
  <c r="GL541" i="98"/>
  <c r="GL1101" i="98"/>
  <c r="ER55" i="98"/>
  <c r="GL61" i="98"/>
  <c r="GI61" i="98"/>
  <c r="GI1501" i="98"/>
  <c r="GI1341" i="98"/>
  <c r="GI941" i="98"/>
  <c r="GI1421" i="98"/>
  <c r="GI301" i="98"/>
  <c r="GI1581" i="98"/>
  <c r="GI1661" i="98"/>
  <c r="GI701" i="98"/>
  <c r="GI1261" i="98"/>
  <c r="GI621" i="98"/>
  <c r="GI461" i="98"/>
  <c r="GI141" i="98"/>
  <c r="GI1021" i="98"/>
  <c r="GI1181" i="98"/>
  <c r="GI541" i="98"/>
  <c r="GI1101" i="98"/>
  <c r="GI861" i="98"/>
  <c r="GI781" i="98"/>
  <c r="GI221" i="98"/>
  <c r="GI381" i="98"/>
  <c r="GJ64" i="98"/>
  <c r="GJ384" i="98"/>
  <c r="GJ1344" i="98"/>
  <c r="GJ1104" i="98"/>
  <c r="GJ1504" i="98"/>
  <c r="GJ304" i="98"/>
  <c r="GJ144" i="98"/>
  <c r="GJ624" i="98"/>
  <c r="GJ864" i="98"/>
  <c r="GJ704" i="98"/>
  <c r="GJ224" i="98"/>
  <c r="GJ1584" i="98"/>
  <c r="GJ1664" i="98"/>
  <c r="GJ1024" i="98"/>
  <c r="GJ1424" i="98"/>
  <c r="GJ544" i="98"/>
  <c r="GJ944" i="98"/>
  <c r="GJ1264" i="98"/>
  <c r="GJ1184" i="98"/>
  <c r="GJ464" i="98"/>
  <c r="GJ784" i="98"/>
  <c r="GG64" i="98"/>
  <c r="GG1504" i="98"/>
  <c r="GG1344" i="98"/>
  <c r="GG1104" i="98"/>
  <c r="GG1264" i="98"/>
  <c r="GG1184" i="98"/>
  <c r="GG304" i="98"/>
  <c r="GG384" i="98"/>
  <c r="GG144" i="98"/>
  <c r="GG704" i="98"/>
  <c r="GG224" i="98"/>
  <c r="GG864" i="98"/>
  <c r="GG1424" i="98"/>
  <c r="GG544" i="98"/>
  <c r="GG944" i="98"/>
  <c r="GG464" i="98"/>
  <c r="GG1584" i="98"/>
  <c r="GG1664" i="98"/>
  <c r="GG1024" i="98"/>
  <c r="GG784" i="98"/>
  <c r="GG624" i="98"/>
  <c r="GI82" i="98"/>
  <c r="GI1522" i="98"/>
  <c r="GI1202" i="98"/>
  <c r="GI1282" i="98"/>
  <c r="GI1042" i="98"/>
  <c r="GI162" i="98"/>
  <c r="GI1122" i="98"/>
  <c r="GI642" i="98"/>
  <c r="GI242" i="98"/>
  <c r="GI1362" i="98"/>
  <c r="GI1602" i="98"/>
  <c r="GI882" i="98"/>
  <c r="GI722" i="98"/>
  <c r="GI962" i="98"/>
  <c r="GI322" i="98"/>
  <c r="GI482" i="98"/>
  <c r="GI1682" i="98"/>
  <c r="GI1442" i="98"/>
  <c r="GI802" i="98"/>
  <c r="GI562" i="98"/>
  <c r="GI402" i="98"/>
  <c r="GF80" i="98"/>
  <c r="GF1360" i="98"/>
  <c r="GF320" i="98"/>
  <c r="GF1280" i="98"/>
  <c r="GF1200" i="98"/>
  <c r="GF1120" i="98"/>
  <c r="GF1680" i="98"/>
  <c r="GF720" i="98"/>
  <c r="GF1520" i="98"/>
  <c r="GF1600" i="98"/>
  <c r="GF480" i="98"/>
  <c r="GF800" i="98"/>
  <c r="GF160" i="98"/>
  <c r="GF960" i="98"/>
  <c r="GF400" i="98"/>
  <c r="GF240" i="98"/>
  <c r="GF560" i="98"/>
  <c r="GF1440" i="98"/>
  <c r="GF880" i="98"/>
  <c r="GF1040" i="98"/>
  <c r="GF640" i="98"/>
  <c r="GA80" i="98"/>
  <c r="GA1440" i="98"/>
  <c r="GA1360" i="98"/>
  <c r="GA1680" i="98"/>
  <c r="GA1600" i="98"/>
  <c r="GA1520" i="98"/>
  <c r="GA1200" i="98"/>
  <c r="GA960" i="98"/>
  <c r="GA1120" i="98"/>
  <c r="GA320" i="98"/>
  <c r="GA400" i="98"/>
  <c r="GA720" i="98"/>
  <c r="GA640" i="98"/>
  <c r="GA1280" i="98"/>
  <c r="GA800" i="98"/>
  <c r="GA560" i="98"/>
  <c r="GA480" i="98"/>
  <c r="GA160" i="98"/>
  <c r="GA880" i="98"/>
  <c r="GA1040" i="98"/>
  <c r="GA240" i="98"/>
  <c r="GF311" i="98"/>
  <c r="GF1511" i="98"/>
  <c r="GF1431" i="98"/>
  <c r="GF1271" i="98"/>
  <c r="GF711" i="98"/>
  <c r="FB60" i="98"/>
  <c r="FA60" i="98"/>
  <c r="EP60" i="98"/>
  <c r="EX60" i="98"/>
  <c r="FD60" i="98"/>
  <c r="EY60" i="98"/>
  <c r="DN30" i="98"/>
  <c r="GF34" i="98"/>
  <c r="GF1554" i="98"/>
  <c r="GF1074" i="98"/>
  <c r="GF1234" i="98"/>
  <c r="GF1154" i="98"/>
  <c r="GF594" i="98"/>
  <c r="GF1474" i="98"/>
  <c r="GF1314" i="98"/>
  <c r="GF194" i="98"/>
  <c r="GF434" i="98"/>
  <c r="GF354" i="98"/>
  <c r="GF1634" i="98"/>
  <c r="GF514" i="98"/>
  <c r="GF994" i="98"/>
  <c r="GF834" i="98"/>
  <c r="GF1394" i="98"/>
  <c r="GF274" i="98"/>
  <c r="GF754" i="98"/>
  <c r="GF114" i="98"/>
  <c r="GF674" i="98"/>
  <c r="GF914" i="98"/>
  <c r="GF65" i="98"/>
  <c r="GF865" i="98"/>
  <c r="GF1265" i="98"/>
  <c r="GF1105" i="98"/>
  <c r="GF145" i="98"/>
  <c r="GG65" i="98"/>
  <c r="GG1505" i="98"/>
  <c r="GG1585" i="98"/>
  <c r="GG1665" i="98"/>
  <c r="GG705" i="98"/>
  <c r="GG625" i="98"/>
  <c r="GG545" i="98"/>
  <c r="GG865" i="98"/>
  <c r="GG465" i="98"/>
  <c r="GG1025" i="98"/>
  <c r="GG1425" i="98"/>
  <c r="GG1345" i="98"/>
  <c r="GG1265" i="98"/>
  <c r="GG385" i="98"/>
  <c r="GG1105" i="98"/>
  <c r="GG785" i="98"/>
  <c r="GG305" i="98"/>
  <c r="GG1185" i="98"/>
  <c r="GG225" i="98"/>
  <c r="GG945" i="98"/>
  <c r="GG145" i="98"/>
  <c r="GG81" i="98"/>
  <c r="GG1601" i="98"/>
  <c r="GG1361" i="98"/>
  <c r="GG1521" i="98"/>
  <c r="GG1681" i="98"/>
  <c r="GG641" i="98"/>
  <c r="GG401" i="98"/>
  <c r="GG961" i="98"/>
  <c r="GG721" i="98"/>
  <c r="GG1121" i="98"/>
  <c r="GG801" i="98"/>
  <c r="GG881" i="98"/>
  <c r="GG241" i="98"/>
  <c r="GG1441" i="98"/>
  <c r="GG1201" i="98"/>
  <c r="GG1281" i="98"/>
  <c r="GG481" i="98"/>
  <c r="GG561" i="98"/>
  <c r="GG1041" i="98"/>
  <c r="GG161" i="98"/>
  <c r="GG321" i="98"/>
  <c r="GL641" i="98"/>
  <c r="GL1681" i="98"/>
  <c r="GL1121" i="98"/>
  <c r="GL321" i="98"/>
  <c r="GL561" i="98"/>
  <c r="GL961" i="98"/>
  <c r="GL1041" i="98"/>
  <c r="GL1521" i="98"/>
  <c r="GL1441" i="98"/>
  <c r="GL401" i="98"/>
  <c r="GL721" i="98"/>
  <c r="GL1601" i="98"/>
  <c r="GL1361" i="98"/>
  <c r="GL241" i="98"/>
  <c r="GL881" i="98"/>
  <c r="GL161" i="98"/>
  <c r="GL801" i="98"/>
  <c r="GL481" i="98"/>
  <c r="GL1201" i="98"/>
  <c r="GL1281" i="98"/>
  <c r="ER73" i="98"/>
  <c r="GL81" i="98"/>
  <c r="GI1684" i="98"/>
  <c r="GI1284" i="98"/>
  <c r="GI164" i="98"/>
  <c r="GI1204" i="98"/>
  <c r="GI884" i="98"/>
  <c r="GF84" i="98"/>
  <c r="GF1124" i="98"/>
  <c r="GF484" i="98"/>
  <c r="GF404" i="98"/>
  <c r="GF164" i="98"/>
  <c r="GF564" i="98"/>
  <c r="GF244" i="98"/>
  <c r="GF964" i="98"/>
  <c r="GF1204" i="98"/>
  <c r="GF1684" i="98"/>
  <c r="GF1044" i="98"/>
  <c r="GF1284" i="98"/>
  <c r="GF1524" i="98"/>
  <c r="GF1604" i="98"/>
  <c r="GF324" i="98"/>
  <c r="GF644" i="98"/>
  <c r="GF884" i="98"/>
  <c r="GF804" i="98"/>
  <c r="GF1364" i="98"/>
  <c r="GF1444" i="98"/>
  <c r="GF724" i="98"/>
  <c r="GL1673" i="98"/>
  <c r="GL713" i="98"/>
  <c r="GL393" i="98"/>
  <c r="GL1113" i="98"/>
  <c r="GL313" i="98"/>
  <c r="GL1433" i="98"/>
  <c r="GL1593" i="98"/>
  <c r="GL1353" i="98"/>
  <c r="GL233" i="98"/>
  <c r="GL473" i="98"/>
  <c r="GL633" i="98"/>
  <c r="GL1513" i="98"/>
  <c r="GL1033" i="98"/>
  <c r="GL873" i="98"/>
  <c r="GL1193" i="98"/>
  <c r="GL153" i="98"/>
  <c r="GL553" i="98"/>
  <c r="GL1273" i="98"/>
  <c r="GL953" i="98"/>
  <c r="GL793" i="98"/>
  <c r="ER66" i="98"/>
  <c r="GL73" i="98"/>
  <c r="GI73" i="98"/>
  <c r="GI1673" i="98"/>
  <c r="GI713" i="98"/>
  <c r="GI313" i="98"/>
  <c r="GI1113" i="98"/>
  <c r="GI473" i="98"/>
  <c r="GI633" i="98"/>
  <c r="GI953" i="98"/>
  <c r="GI1353" i="98"/>
  <c r="GI153" i="98"/>
  <c r="GI1193" i="98"/>
  <c r="GI233" i="98"/>
  <c r="GI1033" i="98"/>
  <c r="GI393" i="98"/>
  <c r="GI1433" i="98"/>
  <c r="GI1593" i="98"/>
  <c r="GI1513" i="98"/>
  <c r="GI1273" i="98"/>
  <c r="GI553" i="98"/>
  <c r="GI793" i="98"/>
  <c r="GI873" i="98"/>
  <c r="GL1115" i="98"/>
  <c r="GL315" i="98"/>
  <c r="GL1035" i="98"/>
  <c r="GL395" i="98"/>
  <c r="GL875" i="98"/>
  <c r="GL1195" i="98"/>
  <c r="GL1515" i="98"/>
  <c r="GL795" i="98"/>
  <c r="GL1275" i="98"/>
  <c r="GL555" i="98"/>
  <c r="GL235" i="98"/>
  <c r="GL475" i="98"/>
  <c r="GL1435" i="98"/>
  <c r="GL715" i="98"/>
  <c r="GL155" i="98"/>
  <c r="GL955" i="98"/>
  <c r="GL1675" i="98"/>
  <c r="GL1595" i="98"/>
  <c r="GL635" i="98"/>
  <c r="GL1355" i="98"/>
  <c r="ER68" i="98"/>
  <c r="GL75" i="98"/>
  <c r="DK42" i="98"/>
  <c r="ET46" i="98"/>
  <c r="EK46" i="98" s="1"/>
  <c r="ET50" i="98"/>
  <c r="EK50" i="98" s="1"/>
  <c r="EM50" i="98"/>
  <c r="ET49" i="98"/>
  <c r="EK49" i="98" s="1"/>
  <c r="EM49" i="98"/>
  <c r="ET40" i="98"/>
  <c r="EM40" i="98"/>
  <c r="ET38" i="98"/>
  <c r="EM38" i="98"/>
  <c r="ET39" i="98"/>
  <c r="EM39" i="98"/>
  <c r="ET37" i="98"/>
  <c r="ET41" i="98"/>
  <c r="EM41" i="98"/>
  <c r="DE50" i="98"/>
  <c r="DV60" i="98"/>
  <c r="EM60" i="98" s="1"/>
  <c r="DE60" i="98"/>
  <c r="DV62" i="98"/>
  <c r="EM62" i="98" s="1"/>
  <c r="DE43" i="98"/>
  <c r="DV51" i="98"/>
  <c r="EM51" i="98" s="1"/>
  <c r="DE51" i="98"/>
  <c r="DV53" i="98"/>
  <c r="EM53" i="98" s="1"/>
  <c r="DE25" i="98"/>
  <c r="DV28" i="98"/>
  <c r="DE16" i="98"/>
  <c r="DV11" i="98"/>
  <c r="DE8" i="98"/>
  <c r="DV7" i="98"/>
  <c r="DE31" i="98"/>
  <c r="DV35" i="98"/>
  <c r="DE12" i="98"/>
  <c r="DV15" i="98"/>
  <c r="DE15" i="98"/>
  <c r="DV18" i="98"/>
  <c r="DE47" i="98"/>
  <c r="DV52" i="98"/>
  <c r="DE59" i="98"/>
  <c r="DV69" i="98"/>
  <c r="DE75" i="98"/>
  <c r="DV71" i="98"/>
  <c r="DE21" i="98"/>
  <c r="DV26" i="98"/>
  <c r="DE11" i="98"/>
  <c r="DV10" i="98"/>
  <c r="DE30" i="98"/>
  <c r="DV34" i="98"/>
  <c r="DV17" i="98"/>
  <c r="DE55" i="98"/>
  <c r="DV45" i="98"/>
  <c r="DE20" i="98"/>
  <c r="DV25" i="98"/>
  <c r="DE7" i="98"/>
  <c r="DM7" i="98" s="1"/>
  <c r="DV6" i="98"/>
  <c r="DE10" i="98"/>
  <c r="DV9" i="98"/>
  <c r="DE29" i="98"/>
  <c r="DV33" i="98"/>
  <c r="DE28" i="98"/>
  <c r="DV20" i="98"/>
  <c r="DE13" i="98"/>
  <c r="DV16" i="98"/>
  <c r="DE67" i="98"/>
  <c r="DV63" i="98"/>
  <c r="EM63" i="98" s="1"/>
  <c r="DE53" i="98"/>
  <c r="DV61" i="98"/>
  <c r="EM61" i="98" s="1"/>
  <c r="DE72" i="98"/>
  <c r="DV54" i="98"/>
  <c r="EM54" i="98" s="1"/>
  <c r="DE23" i="98"/>
  <c r="DV27" i="98"/>
  <c r="DE26" i="98"/>
  <c r="DV12" i="98"/>
  <c r="DE9" i="98"/>
  <c r="DV8" i="98"/>
  <c r="DE34" i="98"/>
  <c r="DV36" i="98"/>
  <c r="DE18" i="98"/>
  <c r="DV19" i="98"/>
  <c r="DE40" i="98"/>
  <c r="DE46" i="98"/>
  <c r="S47" i="81"/>
  <c r="T47" i="81" s="1"/>
  <c r="GJ1595" i="98" l="1"/>
  <c r="GJ1035" i="98"/>
  <c r="GJ315" i="98"/>
  <c r="DL19" i="98"/>
  <c r="EM37" i="98"/>
  <c r="DN17" i="98"/>
  <c r="EK9" i="98"/>
  <c r="EX9" i="98"/>
  <c r="FA9" i="98"/>
  <c r="FB9" i="98"/>
  <c r="GJ1130" i="98" s="1"/>
  <c r="FD9" i="98"/>
  <c r="EY9" i="98"/>
  <c r="DV43" i="98"/>
  <c r="GI644" i="98"/>
  <c r="GI964" i="98"/>
  <c r="GI324" i="98"/>
  <c r="GI484" i="98"/>
  <c r="GI1524" i="98"/>
  <c r="GF305" i="98"/>
  <c r="GF785" i="98"/>
  <c r="GF1185" i="98"/>
  <c r="DN51" i="98"/>
  <c r="DN45" i="98"/>
  <c r="DN52" i="98"/>
  <c r="DN32" i="98"/>
  <c r="DN37" i="98"/>
  <c r="DN75" i="98"/>
  <c r="DN61" i="98"/>
  <c r="DN38" i="98"/>
  <c r="DN14" i="98"/>
  <c r="GA383" i="98"/>
  <c r="GA1503" i="98"/>
  <c r="GA783" i="98"/>
  <c r="GA143" i="98"/>
  <c r="DL13" i="98"/>
  <c r="FX1192" i="98"/>
  <c r="GJ1273" i="98"/>
  <c r="GJ1433" i="98"/>
  <c r="GI1440" i="98"/>
  <c r="GJ825" i="98"/>
  <c r="GL1102" i="98"/>
  <c r="DL63" i="98"/>
  <c r="DL26" i="98"/>
  <c r="GF75" i="98"/>
  <c r="GF395" i="98"/>
  <c r="GF235" i="98"/>
  <c r="GF155" i="98"/>
  <c r="GF1195" i="98"/>
  <c r="GF1675" i="98"/>
  <c r="GF1115" i="98"/>
  <c r="GF875" i="98"/>
  <c r="GF1275" i="98"/>
  <c r="GF1355" i="98"/>
  <c r="GF795" i="98"/>
  <c r="GF1035" i="98"/>
  <c r="GF475" i="98"/>
  <c r="GF715" i="98"/>
  <c r="GF555" i="98"/>
  <c r="GF1595" i="98"/>
  <c r="GF1515" i="98"/>
  <c r="GF955" i="98"/>
  <c r="GI1262" i="98"/>
  <c r="GI1182" i="98"/>
  <c r="GI142" i="98"/>
  <c r="GI462" i="98"/>
  <c r="GI302" i="98"/>
  <c r="FX222" i="98"/>
  <c r="FX1102" i="98"/>
  <c r="FX142" i="98"/>
  <c r="FX1422" i="98"/>
  <c r="FX72" i="98"/>
  <c r="FX392" i="98"/>
  <c r="FX712" i="98"/>
  <c r="FX1032" i="98"/>
  <c r="FX1352" i="98"/>
  <c r="FX1672" i="98"/>
  <c r="FX152" i="98"/>
  <c r="FX472" i="98"/>
  <c r="FX792" i="98"/>
  <c r="FX1112" i="98"/>
  <c r="FX1432" i="98"/>
  <c r="EK19" i="98"/>
  <c r="FA19" i="98"/>
  <c r="EP19" i="98"/>
  <c r="FD19" i="98"/>
  <c r="GI385" i="98"/>
  <c r="GI1265" i="98"/>
  <c r="GI1505" i="98"/>
  <c r="GI705" i="98"/>
  <c r="GI945" i="98"/>
  <c r="GA1385" i="98"/>
  <c r="GA1225" i="98"/>
  <c r="GA1625" i="98"/>
  <c r="GA505" i="98"/>
  <c r="GA1065" i="98"/>
  <c r="GA985" i="98"/>
  <c r="GA665" i="98"/>
  <c r="GA265" i="98"/>
  <c r="GA825" i="98"/>
  <c r="GA105" i="98"/>
  <c r="GA425" i="98"/>
  <c r="GA345" i="98"/>
  <c r="GA25" i="98"/>
  <c r="GA585" i="98"/>
  <c r="GA185" i="98"/>
  <c r="GA1465" i="98"/>
  <c r="GA1145" i="98"/>
  <c r="GA1545" i="98"/>
  <c r="GF705" i="98"/>
  <c r="GF1585" i="98"/>
  <c r="GF1025" i="98"/>
  <c r="GF545" i="98"/>
  <c r="GG24" i="98"/>
  <c r="GG504" i="98"/>
  <c r="GG1144" i="98"/>
  <c r="GG344" i="98"/>
  <c r="GG1624" i="98"/>
  <c r="GG264" i="98"/>
  <c r="GG1384" i="98"/>
  <c r="GG104" i="98"/>
  <c r="GG984" i="98"/>
  <c r="GG664" i="98"/>
  <c r="GG904" i="98"/>
  <c r="GG1304" i="98"/>
  <c r="GG1064" i="98"/>
  <c r="GG744" i="98"/>
  <c r="GG584" i="98"/>
  <c r="GG1224" i="98"/>
  <c r="GG424" i="98"/>
  <c r="GG1544" i="98"/>
  <c r="GJ1593" i="98"/>
  <c r="GJ393" i="98"/>
  <c r="GJ793" i="98"/>
  <c r="GJ233" i="98"/>
  <c r="GJ553" i="98"/>
  <c r="GJ1513" i="98"/>
  <c r="GJ473" i="98"/>
  <c r="GJ1193" i="98"/>
  <c r="GJ1353" i="98"/>
  <c r="GJ313" i="98"/>
  <c r="DL21" i="98"/>
  <c r="DL43" i="98"/>
  <c r="DL59" i="98"/>
  <c r="DL70" i="98"/>
  <c r="DL32" i="98"/>
  <c r="DL14" i="98"/>
  <c r="DL76" i="98"/>
  <c r="DL23" i="98"/>
  <c r="DL18" i="98"/>
  <c r="DL44" i="98"/>
  <c r="DL39" i="98"/>
  <c r="DL40" i="98"/>
  <c r="DL54" i="98"/>
  <c r="DL22" i="98"/>
  <c r="DL66" i="98"/>
  <c r="DL29" i="98"/>
  <c r="DL35" i="98"/>
  <c r="DL50" i="98"/>
  <c r="DL67" i="98"/>
  <c r="DL55" i="98"/>
  <c r="DL64" i="98"/>
  <c r="DL68" i="98"/>
  <c r="DL24" i="98"/>
  <c r="DL75" i="98"/>
  <c r="DL27" i="98"/>
  <c r="DL57" i="98"/>
  <c r="DL37" i="98"/>
  <c r="DL41" i="98"/>
  <c r="DL12" i="98"/>
  <c r="DL16" i="98"/>
  <c r="DL61" i="98"/>
  <c r="DL69" i="98"/>
  <c r="DL71" i="98"/>
  <c r="DL31" i="98"/>
  <c r="DL47" i="98"/>
  <c r="DL45" i="98"/>
  <c r="DL60" i="98"/>
  <c r="DL58" i="98"/>
  <c r="DL20" i="98"/>
  <c r="DL28" i="98"/>
  <c r="DL53" i="98"/>
  <c r="DL17" i="98"/>
  <c r="DL73" i="98"/>
  <c r="DL49" i="98"/>
  <c r="DL51" i="98"/>
  <c r="DL38" i="98"/>
  <c r="DL42" i="98"/>
  <c r="DL15" i="98"/>
  <c r="DL72" i="98"/>
  <c r="DL34" i="98"/>
  <c r="DL62" i="98"/>
  <c r="DL48" i="98"/>
  <c r="DL46" i="98"/>
  <c r="DL52" i="98"/>
  <c r="DL25" i="98"/>
  <c r="DL36" i="98"/>
  <c r="GL1120" i="98"/>
  <c r="GL1680" i="98"/>
  <c r="GL560" i="98"/>
  <c r="GL400" i="98"/>
  <c r="GL1040" i="98"/>
  <c r="GL80" i="98"/>
  <c r="GL720" i="98"/>
  <c r="GL1600" i="98"/>
  <c r="GL1280" i="98"/>
  <c r="GL880" i="98"/>
  <c r="GL1200" i="98"/>
  <c r="GL480" i="98"/>
  <c r="GL160" i="98"/>
  <c r="ER72" i="98"/>
  <c r="GC1440" i="98" s="1"/>
  <c r="GL1360" i="98"/>
  <c r="GL800" i="98"/>
  <c r="GL1440" i="98"/>
  <c r="GL640" i="98"/>
  <c r="GA1284" i="98"/>
  <c r="GA1124" i="98"/>
  <c r="GA964" i="98"/>
  <c r="GA644" i="98"/>
  <c r="GA1684" i="98"/>
  <c r="GA1204" i="98"/>
  <c r="GA404" i="98"/>
  <c r="GA564" i="98"/>
  <c r="GA484" i="98"/>
  <c r="GA724" i="98"/>
  <c r="GA1044" i="98"/>
  <c r="GA164" i="98"/>
  <c r="GA884" i="98"/>
  <c r="GA1604" i="98"/>
  <c r="GA1364" i="98"/>
  <c r="GA244" i="98"/>
  <c r="GA1524" i="98"/>
  <c r="GA1444" i="98"/>
  <c r="GI804" i="98"/>
  <c r="GI404" i="98"/>
  <c r="GI1604" i="98"/>
  <c r="GF1345" i="98"/>
  <c r="GF1665" i="98"/>
  <c r="DN20" i="98"/>
  <c r="DN27" i="98"/>
  <c r="DN44" i="98"/>
  <c r="DN39" i="98"/>
  <c r="GA1023" i="98"/>
  <c r="FX952" i="98"/>
  <c r="GJ153" i="98"/>
  <c r="GJ73" i="98"/>
  <c r="EY19" i="98"/>
  <c r="GG1381" i="98" s="1"/>
  <c r="GG184" i="98"/>
  <c r="GA905" i="98"/>
  <c r="GF315" i="98"/>
  <c r="GI865" i="98"/>
  <c r="DK53" i="98"/>
  <c r="DK65" i="98"/>
  <c r="DK57" i="98"/>
  <c r="DK74" i="98"/>
  <c r="DK55" i="98"/>
  <c r="DK72" i="98"/>
  <c r="DK56" i="98"/>
  <c r="DK59" i="98"/>
  <c r="DK63" i="98"/>
  <c r="DK67" i="98"/>
  <c r="DK50" i="98"/>
  <c r="DK54" i="98"/>
  <c r="DK61" i="98"/>
  <c r="GG475" i="98"/>
  <c r="GG395" i="98"/>
  <c r="GL382" i="98"/>
  <c r="GL142" i="98"/>
  <c r="GL1182" i="98"/>
  <c r="GL1262" i="98"/>
  <c r="GL542" i="98"/>
  <c r="GL1342" i="98"/>
  <c r="GL302" i="98"/>
  <c r="GL782" i="98"/>
  <c r="GL862" i="98"/>
  <c r="GL1582" i="98"/>
  <c r="GL1502" i="98"/>
  <c r="GL1022" i="98"/>
  <c r="GL1662" i="98"/>
  <c r="GL222" i="98"/>
  <c r="GL702" i="98"/>
  <c r="ER56" i="98"/>
  <c r="GL462" i="98"/>
  <c r="GL622" i="98"/>
  <c r="GL62" i="98"/>
  <c r="FX64" i="98"/>
  <c r="FX1264" i="98"/>
  <c r="GL463" i="98"/>
  <c r="GL1183" i="98"/>
  <c r="GL863" i="98"/>
  <c r="GL143" i="98"/>
  <c r="GL703" i="98"/>
  <c r="GL623" i="98"/>
  <c r="ER57" i="98"/>
  <c r="GA1423" i="98"/>
  <c r="GA623" i="98"/>
  <c r="GA1183" i="98"/>
  <c r="GA1263" i="98"/>
  <c r="GA1103" i="98"/>
  <c r="GJ1023" i="98"/>
  <c r="GJ1583" i="98"/>
  <c r="GJ1663" i="98"/>
  <c r="GJ863" i="98"/>
  <c r="GJ1263" i="98"/>
  <c r="GJ63" i="98"/>
  <c r="GJ463" i="98"/>
  <c r="GJ703" i="98"/>
  <c r="GJ1183" i="98"/>
  <c r="GJ303" i="98"/>
  <c r="GJ1343" i="98"/>
  <c r="GJ543" i="98"/>
  <c r="GJ783" i="98"/>
  <c r="GJ223" i="98"/>
  <c r="GJ1423" i="98"/>
  <c r="GJ383" i="98"/>
  <c r="GJ1503" i="98"/>
  <c r="GJ585" i="98"/>
  <c r="GJ1225" i="98"/>
  <c r="GJ265" i="98"/>
  <c r="GJ1465" i="98"/>
  <c r="GJ905" i="98"/>
  <c r="GJ25" i="98"/>
  <c r="GJ745" i="98"/>
  <c r="GJ1625" i="98"/>
  <c r="GJ105" i="98"/>
  <c r="GJ985" i="98"/>
  <c r="GJ1145" i="98"/>
  <c r="GJ345" i="98"/>
  <c r="GJ505" i="98"/>
  <c r="GJ665" i="98"/>
  <c r="GJ1065" i="98"/>
  <c r="GJ1305" i="98"/>
  <c r="GJ1545" i="98"/>
  <c r="FX24" i="98"/>
  <c r="FX584" i="98"/>
  <c r="FX504" i="98"/>
  <c r="FX744" i="98"/>
  <c r="FX1304" i="98"/>
  <c r="FX1464" i="98"/>
  <c r="FX184" i="98"/>
  <c r="FX424" i="98"/>
  <c r="FX1064" i="98"/>
  <c r="FX904" i="98"/>
  <c r="FX1384" i="98"/>
  <c r="FX104" i="98"/>
  <c r="FX664" i="98"/>
  <c r="FX344" i="98"/>
  <c r="FX824" i="98"/>
  <c r="FX264" i="98"/>
  <c r="FX1144" i="98"/>
  <c r="GL1202" i="98"/>
  <c r="GL722" i="98"/>
  <c r="GL882" i="98"/>
  <c r="GL642" i="98"/>
  <c r="GL1442" i="98"/>
  <c r="ER74" i="98"/>
  <c r="GL1282" i="98"/>
  <c r="GL162" i="98"/>
  <c r="GL1682" i="98"/>
  <c r="GL962" i="98"/>
  <c r="GL562" i="98"/>
  <c r="GL82" i="98"/>
  <c r="GL1522" i="98"/>
  <c r="GL1362" i="98"/>
  <c r="GL322" i="98"/>
  <c r="GL1042" i="98"/>
  <c r="GL1122" i="98"/>
  <c r="GL802" i="98"/>
  <c r="GL242" i="98"/>
  <c r="GL402" i="98"/>
  <c r="GI1360" i="98"/>
  <c r="GI480" i="98"/>
  <c r="GI1040" i="98"/>
  <c r="GI1600" i="98"/>
  <c r="GI880" i="98"/>
  <c r="GI1120" i="98"/>
  <c r="GI400" i="98"/>
  <c r="GI1200" i="98"/>
  <c r="GI1680" i="98"/>
  <c r="GI640" i="98"/>
  <c r="GI1280" i="98"/>
  <c r="GI720" i="98"/>
  <c r="GI960" i="98"/>
  <c r="GI160" i="98"/>
  <c r="GI240" i="98"/>
  <c r="DN11" i="98"/>
  <c r="DN36" i="98"/>
  <c r="DN15" i="98"/>
  <c r="DN72" i="98"/>
  <c r="DN76" i="98"/>
  <c r="DN28" i="98"/>
  <c r="DN56" i="98"/>
  <c r="DN33" i="98"/>
  <c r="DN66" i="98"/>
  <c r="DN40" i="98"/>
  <c r="DN22" i="98"/>
  <c r="DN31" i="98"/>
  <c r="DN23" i="98"/>
  <c r="DN21" i="98"/>
  <c r="DV42" i="98"/>
  <c r="DV24" i="98"/>
  <c r="GI564" i="98"/>
  <c r="GI1124" i="98"/>
  <c r="GF465" i="98"/>
  <c r="GF385" i="98"/>
  <c r="DN57" i="98"/>
  <c r="DN67" i="98"/>
  <c r="DN26" i="98"/>
  <c r="DN46" i="98"/>
  <c r="GA303" i="98"/>
  <c r="GA223" i="98"/>
  <c r="FX1592" i="98"/>
  <c r="FX312" i="98"/>
  <c r="GJ873" i="98"/>
  <c r="GI1520" i="98"/>
  <c r="GJ943" i="98"/>
  <c r="GL240" i="98"/>
  <c r="DL65" i="98"/>
  <c r="GA84" i="98"/>
  <c r="GA311" i="98"/>
  <c r="GA551" i="98"/>
  <c r="EK54" i="98"/>
  <c r="EY54" i="98"/>
  <c r="GG1100" i="98" s="1"/>
  <c r="GI724" i="98"/>
  <c r="GI1044" i="98"/>
  <c r="GI244" i="98"/>
  <c r="GI1364" i="98"/>
  <c r="GI1444" i="98"/>
  <c r="GF225" i="98"/>
  <c r="GF1425" i="98"/>
  <c r="GF945" i="98"/>
  <c r="GF1505" i="98"/>
  <c r="DL30" i="98"/>
  <c r="DN64" i="98"/>
  <c r="DN55" i="98"/>
  <c r="DN73" i="98"/>
  <c r="DN18" i="98"/>
  <c r="DN50" i="98"/>
  <c r="DN74" i="98"/>
  <c r="DN68" i="98"/>
  <c r="DN13" i="98"/>
  <c r="GA543" i="98"/>
  <c r="GA943" i="98"/>
  <c r="GA703" i="98"/>
  <c r="GA63" i="98"/>
  <c r="FX1512" i="98"/>
  <c r="FX872" i="98"/>
  <c r="FX232" i="98"/>
  <c r="GJ1033" i="98"/>
  <c r="GJ1113" i="98"/>
  <c r="GI560" i="98"/>
  <c r="GI1502" i="98"/>
  <c r="GJ185" i="98"/>
  <c r="GJ623" i="98"/>
  <c r="GL960" i="98"/>
  <c r="GG1464" i="98"/>
  <c r="DL74" i="98"/>
  <c r="EP9" i="98"/>
  <c r="GA1305" i="98"/>
  <c r="GL1602" i="98"/>
  <c r="FX509" i="98"/>
  <c r="DN48" i="98"/>
  <c r="GF1262" i="98"/>
  <c r="GF1582" i="98"/>
  <c r="GF302" i="98"/>
  <c r="GF1422" i="98"/>
  <c r="GF1662" i="98"/>
  <c r="GF1022" i="98"/>
  <c r="GF222" i="98"/>
  <c r="GF1502" i="98"/>
  <c r="GF782" i="98"/>
  <c r="GF542" i="98"/>
  <c r="GG1262" i="98"/>
  <c r="GG1022" i="98"/>
  <c r="GG1662" i="98"/>
  <c r="GG462" i="98"/>
  <c r="GG1582" i="98"/>
  <c r="GG1194" i="98"/>
  <c r="GG234" i="98"/>
  <c r="GG314" i="98"/>
  <c r="GG154" i="98"/>
  <c r="GG394" i="98"/>
  <c r="GG1114" i="98"/>
  <c r="GG714" i="98"/>
  <c r="GG1354" i="98"/>
  <c r="GG1674" i="98"/>
  <c r="GG1514" i="98"/>
  <c r="GG1274" i="98"/>
  <c r="GG1034" i="98"/>
  <c r="GG1594" i="98"/>
  <c r="GG554" i="98"/>
  <c r="GG874" i="98"/>
  <c r="GJ72" i="98"/>
  <c r="GJ472" i="98"/>
  <c r="GJ712" i="98"/>
  <c r="GJ232" i="98"/>
  <c r="GJ1272" i="98"/>
  <c r="GJ1672" i="98"/>
  <c r="GJ1352" i="98"/>
  <c r="GJ392" i="98"/>
  <c r="GJ1032" i="98"/>
  <c r="GJ1192" i="98"/>
  <c r="GJ552" i="98"/>
  <c r="GJ1432" i="98"/>
  <c r="GJ312" i="98"/>
  <c r="GJ632" i="98"/>
  <c r="GJ872" i="98"/>
  <c r="GJ1512" i="98"/>
  <c r="GL952" i="98"/>
  <c r="GL1032" i="98"/>
  <c r="GL392" i="98"/>
  <c r="GL1512" i="98"/>
  <c r="GL712" i="98"/>
  <c r="GL1432" i="98"/>
  <c r="GL312" i="98"/>
  <c r="GL472" i="98"/>
  <c r="GL872" i="98"/>
  <c r="GL1672" i="98"/>
  <c r="ER65" i="98"/>
  <c r="GC1352" i="98" s="1"/>
  <c r="GL1112" i="98"/>
  <c r="GL152" i="98"/>
  <c r="GL1272" i="98"/>
  <c r="GL552" i="98"/>
  <c r="GL792" i="98"/>
  <c r="GL72" i="98"/>
  <c r="FX154" i="98"/>
  <c r="FX474" i="98"/>
  <c r="FX794" i="98"/>
  <c r="FX1114" i="98"/>
  <c r="FX1434" i="98"/>
  <c r="FX234" i="98"/>
  <c r="FX554" i="98"/>
  <c r="FX874" i="98"/>
  <c r="FX1194" i="98"/>
  <c r="FX1514" i="98"/>
  <c r="FX314" i="98"/>
  <c r="FX634" i="98"/>
  <c r="FX954" i="98"/>
  <c r="FX1274" i="98"/>
  <c r="FX1594" i="98"/>
  <c r="GJ1274" i="98"/>
  <c r="GJ234" i="98"/>
  <c r="GJ314" i="98"/>
  <c r="GJ1034" i="98"/>
  <c r="DK60" i="98"/>
  <c r="DK16" i="98"/>
  <c r="DK62" i="98"/>
  <c r="DK38" i="98"/>
  <c r="DK68" i="98"/>
  <c r="DK40" i="98"/>
  <c r="DK75" i="98"/>
  <c r="DK44" i="98"/>
  <c r="DK31" i="98"/>
  <c r="DK18" i="98"/>
  <c r="DK64" i="98"/>
  <c r="DK71" i="98"/>
  <c r="DK49" i="98"/>
  <c r="DK43" i="98"/>
  <c r="DK24" i="98"/>
  <c r="DK19" i="98"/>
  <c r="DK21" i="98"/>
  <c r="DK39" i="98"/>
  <c r="DK51" i="98"/>
  <c r="DK52" i="98"/>
  <c r="DK33" i="98"/>
  <c r="DK76" i="98"/>
  <c r="DK34" i="98"/>
  <c r="DK27" i="98"/>
  <c r="DK17" i="98"/>
  <c r="DK47" i="98"/>
  <c r="DK41" i="98"/>
  <c r="DK70" i="98"/>
  <c r="DK73" i="98"/>
  <c r="DK48" i="98"/>
  <c r="DK29" i="98"/>
  <c r="DK15" i="98"/>
  <c r="DK36" i="98"/>
  <c r="DK30" i="98"/>
  <c r="FX303" i="98"/>
  <c r="FX623" i="98"/>
  <c r="FX943" i="98"/>
  <c r="FX1263" i="98"/>
  <c r="FX1583" i="98"/>
  <c r="FX63" i="98"/>
  <c r="FX383" i="98"/>
  <c r="FX703" i="98"/>
  <c r="FX1023" i="98"/>
  <c r="FX1343" i="98"/>
  <c r="FX1663" i="98"/>
  <c r="FX143" i="98"/>
  <c r="FX463" i="98"/>
  <c r="FX783" i="98"/>
  <c r="FX1103" i="98"/>
  <c r="FX1423" i="98"/>
  <c r="GA625" i="98"/>
  <c r="GA945" i="98"/>
  <c r="GA1105" i="98"/>
  <c r="GA1425" i="98"/>
  <c r="GA145" i="98"/>
  <c r="GA65" i="98"/>
  <c r="GA1585" i="98"/>
  <c r="GA1025" i="98"/>
  <c r="GA785" i="98"/>
  <c r="GA1345" i="98"/>
  <c r="GA305" i="98"/>
  <c r="GA1505" i="98"/>
  <c r="GA865" i="98"/>
  <c r="GA705" i="98"/>
  <c r="GA385" i="98"/>
  <c r="GA1185" i="98"/>
  <c r="GL1464" i="98"/>
  <c r="GL1224" i="98"/>
  <c r="GL664" i="98"/>
  <c r="GL1544" i="98"/>
  <c r="GL184" i="98"/>
  <c r="GL24" i="98"/>
  <c r="GI745" i="98"/>
  <c r="GI985" i="98"/>
  <c r="GI1145" i="98"/>
  <c r="GI585" i="98"/>
  <c r="GI105" i="98"/>
  <c r="GI25" i="98"/>
  <c r="GI825" i="98"/>
  <c r="GI1625" i="98"/>
  <c r="GI905" i="98"/>
  <c r="GI1545" i="98"/>
  <c r="GI265" i="98"/>
  <c r="GI1385" i="98"/>
  <c r="GI1225" i="98"/>
  <c r="GI1465" i="98"/>
  <c r="GI1305" i="98"/>
  <c r="GI505" i="98"/>
  <c r="GF1464" i="98"/>
  <c r="GF344" i="98"/>
  <c r="GF664" i="98"/>
  <c r="GF264" i="98"/>
  <c r="GF424" i="98"/>
  <c r="GF504" i="98"/>
  <c r="GF1224" i="98"/>
  <c r="GF1304" i="98"/>
  <c r="GF744" i="98"/>
  <c r="GF584" i="98"/>
  <c r="GF24" i="98"/>
  <c r="GF104" i="98"/>
  <c r="GF1144" i="98"/>
  <c r="GF1544" i="98"/>
  <c r="GF184" i="98"/>
  <c r="GF984" i="98"/>
  <c r="EK12" i="98"/>
  <c r="FB12" i="98"/>
  <c r="EY12" i="98"/>
  <c r="GG13" i="98" s="1"/>
  <c r="EP12" i="98"/>
  <c r="FA12" i="98"/>
  <c r="DN19" i="98"/>
  <c r="DN42" i="98"/>
  <c r="DN43" i="98"/>
  <c r="DN24" i="98"/>
  <c r="DN16" i="98"/>
  <c r="DN29" i="98"/>
  <c r="GI395" i="98"/>
  <c r="GI1275" i="98"/>
  <c r="GF942" i="98"/>
  <c r="GF1182" i="98"/>
  <c r="GF462" i="98"/>
  <c r="DN59" i="98"/>
  <c r="DN60" i="98"/>
  <c r="GJ152" i="98"/>
  <c r="GG954" i="98"/>
  <c r="FX863" i="98"/>
  <c r="FX1674" i="98"/>
  <c r="FX394" i="98"/>
  <c r="GI345" i="98"/>
  <c r="FX543" i="98"/>
  <c r="FX1354" i="98"/>
  <c r="FX74" i="98"/>
  <c r="DN49" i="98"/>
  <c r="DN53" i="98"/>
  <c r="DN54" i="98"/>
  <c r="DN65" i="98"/>
  <c r="DN63" i="98"/>
  <c r="GI1512" i="98"/>
  <c r="GF1194" i="98"/>
  <c r="GF1114" i="98"/>
  <c r="GF1594" i="98"/>
  <c r="GF1434" i="98"/>
  <c r="GJ554" i="98"/>
  <c r="GJ154" i="98"/>
  <c r="GJ1434" i="98"/>
  <c r="GJ1114" i="98"/>
  <c r="ER22" i="98"/>
  <c r="GL904" i="98"/>
  <c r="GL264" i="98"/>
  <c r="GL1064" i="98"/>
  <c r="GF1342" i="98"/>
  <c r="GF1102" i="98"/>
  <c r="DK69" i="98"/>
  <c r="DK45" i="98"/>
  <c r="DK58" i="98"/>
  <c r="DK22" i="98"/>
  <c r="DK66" i="98"/>
  <c r="DK37" i="98"/>
  <c r="DK35" i="98"/>
  <c r="GL1592" i="98"/>
  <c r="GA465" i="98"/>
  <c r="GJ792" i="98"/>
  <c r="GG794" i="98"/>
  <c r="GG634" i="98"/>
  <c r="GF904" i="98"/>
  <c r="GG862" i="98"/>
  <c r="GI1065" i="98"/>
  <c r="GI665" i="98"/>
  <c r="FX1503" i="98"/>
  <c r="FX223" i="98"/>
  <c r="FX1034" i="98"/>
  <c r="FV422" i="98"/>
  <c r="FV1382" i="98"/>
  <c r="FV822" i="98"/>
  <c r="FV1612" i="98"/>
  <c r="FV1622" i="98"/>
  <c r="FV1292" i="98"/>
  <c r="FV1462" i="98"/>
  <c r="FV342" i="98"/>
  <c r="FV1142" i="98"/>
  <c r="FV1542" i="98"/>
  <c r="FV502" i="98"/>
  <c r="FV1532" i="98"/>
  <c r="FV22" i="98"/>
  <c r="FV1222" i="98"/>
  <c r="FV1062" i="98"/>
  <c r="FV582" i="98"/>
  <c r="FV1302" i="98"/>
  <c r="FV742" i="98"/>
  <c r="FV92" i="98"/>
  <c r="FV982" i="98"/>
  <c r="FV182" i="98"/>
  <c r="FV902" i="98"/>
  <c r="FV662" i="98"/>
  <c r="GF1024" i="98"/>
  <c r="GF1264" i="98"/>
  <c r="GJ155" i="98"/>
  <c r="GF1424" i="98"/>
  <c r="GJ555" i="98"/>
  <c r="GG1511" i="98"/>
  <c r="GG1111" i="98"/>
  <c r="FX1544" i="98"/>
  <c r="FX984" i="98"/>
  <c r="FX1224" i="98"/>
  <c r="FV972" i="98"/>
  <c r="FV1372" i="98"/>
  <c r="FV412" i="98"/>
  <c r="FV572" i="98"/>
  <c r="FV492" i="98"/>
  <c r="FV252" i="98"/>
  <c r="FV732" i="98"/>
  <c r="FV652" i="98"/>
  <c r="FV1052" i="98"/>
  <c r="FV892" i="98"/>
  <c r="FV332" i="98"/>
  <c r="FV12" i="98"/>
  <c r="FV1452" i="98"/>
  <c r="FV1212" i="98"/>
  <c r="FV1132" i="98"/>
  <c r="FX1545" i="98"/>
  <c r="FX17" i="98"/>
  <c r="FX1297" i="98"/>
  <c r="FX337" i="98"/>
  <c r="FX1617" i="98"/>
  <c r="FX657" i="98"/>
  <c r="FX977" i="98"/>
  <c r="FX1618" i="98"/>
  <c r="FX338" i="98"/>
  <c r="GI1675" i="98"/>
  <c r="EP52" i="98"/>
  <c r="GA1258" i="98" s="1"/>
  <c r="FX1298" i="98"/>
  <c r="FX18" i="98"/>
  <c r="GI235" i="98"/>
  <c r="GI475" i="98"/>
  <c r="FX978" i="98"/>
  <c r="GI1355" i="98"/>
  <c r="FX1551" i="98"/>
  <c r="FX1231" i="98"/>
  <c r="FX911" i="98"/>
  <c r="FX591" i="98"/>
  <c r="FX271" i="98"/>
  <c r="FB54" i="98"/>
  <c r="GJ1100" i="98" s="1"/>
  <c r="GA151" i="98"/>
  <c r="GA391" i="98"/>
  <c r="GL224" i="98"/>
  <c r="GL464" i="98"/>
  <c r="GL544" i="98"/>
  <c r="GL704" i="98"/>
  <c r="GL1104" i="98"/>
  <c r="GL1671" i="98"/>
  <c r="GL391" i="98"/>
  <c r="FX944" i="98"/>
  <c r="GG1355" i="98"/>
  <c r="GG1115" i="98"/>
  <c r="GI225" i="98"/>
  <c r="GI785" i="98"/>
  <c r="GI1185" i="98"/>
  <c r="GI465" i="98"/>
  <c r="GI1425" i="98"/>
  <c r="GI65" i="98"/>
  <c r="GL1423" i="98"/>
  <c r="GL1263" i="98"/>
  <c r="GL783" i="98"/>
  <c r="GL543" i="98"/>
  <c r="GL1023" i="98"/>
  <c r="FV421" i="98"/>
  <c r="FV1621" i="98"/>
  <c r="FX1471" i="98"/>
  <c r="FX1151" i="98"/>
  <c r="FX831" i="98"/>
  <c r="FX511" i="98"/>
  <c r="FX191" i="98"/>
  <c r="EX54" i="98"/>
  <c r="FD54" i="98"/>
  <c r="GL300" i="98" s="1"/>
  <c r="GA871" i="98"/>
  <c r="GA71" i="98"/>
  <c r="GL64" i="98"/>
  <c r="GL864" i="98"/>
  <c r="GL1424" i="98"/>
  <c r="GL1024" i="98"/>
  <c r="GL144" i="98"/>
  <c r="GL1344" i="98"/>
  <c r="GL631" i="98"/>
  <c r="FX624" i="98"/>
  <c r="GG155" i="98"/>
  <c r="GI145" i="98"/>
  <c r="GI305" i="98"/>
  <c r="GI1025" i="98"/>
  <c r="GI1345" i="98"/>
  <c r="GI625" i="98"/>
  <c r="GL1103" i="98"/>
  <c r="GL383" i="98"/>
  <c r="GL303" i="98"/>
  <c r="GL943" i="98"/>
  <c r="GL1343" i="98"/>
  <c r="FV101" i="98"/>
  <c r="FX1391" i="98"/>
  <c r="FX1071" i="98"/>
  <c r="FX751" i="98"/>
  <c r="FX431" i="98"/>
  <c r="FA54" i="98"/>
  <c r="EP54" i="98"/>
  <c r="GA1100" i="98" s="1"/>
  <c r="GA231" i="98"/>
  <c r="ER58" i="98"/>
  <c r="GL784" i="98"/>
  <c r="GL944" i="98"/>
  <c r="GL1584" i="98"/>
  <c r="GL384" i="98"/>
  <c r="GL231" i="98"/>
  <c r="FX1584" i="98"/>
  <c r="FX304" i="98"/>
  <c r="GG635" i="98"/>
  <c r="GI1105" i="98"/>
  <c r="GI1665" i="98"/>
  <c r="GI545" i="98"/>
  <c r="GI1585" i="98"/>
  <c r="GA1672" i="98"/>
  <c r="GL63" i="98"/>
  <c r="GL1583" i="98"/>
  <c r="GL223" i="98"/>
  <c r="GL1503" i="98"/>
  <c r="GL1663" i="98"/>
  <c r="FV581" i="98"/>
  <c r="FX425" i="98"/>
  <c r="FX585" i="98"/>
  <c r="FX745" i="98"/>
  <c r="FX105" i="98"/>
  <c r="FX905" i="98"/>
  <c r="FX1385" i="98"/>
  <c r="FX1065" i="98"/>
  <c r="FX1225" i="98"/>
  <c r="FX265" i="98"/>
  <c r="GL471" i="98"/>
  <c r="GL711" i="98"/>
  <c r="GL1431" i="98"/>
  <c r="GL871" i="98"/>
  <c r="GL151" i="98"/>
  <c r="ER64" i="98"/>
  <c r="GL1111" i="98"/>
  <c r="GL551" i="98"/>
  <c r="GL1351" i="98"/>
  <c r="GL951" i="98"/>
  <c r="GL311" i="98"/>
  <c r="GL1031" i="98"/>
  <c r="GL1271" i="98"/>
  <c r="GL1511" i="98"/>
  <c r="GL791" i="98"/>
  <c r="FV458" i="98"/>
  <c r="EM19" i="98"/>
  <c r="GG871" i="98"/>
  <c r="GG471" i="98"/>
  <c r="GG1591" i="98"/>
  <c r="FV378" i="98"/>
  <c r="FV138" i="98"/>
  <c r="FV1658" i="98"/>
  <c r="FV1098" i="98"/>
  <c r="EM52" i="98"/>
  <c r="GJ142" i="98"/>
  <c r="GJ1182" i="98"/>
  <c r="GJ622" i="98"/>
  <c r="GJ1342" i="98"/>
  <c r="GJ382" i="98"/>
  <c r="GJ62" i="98"/>
  <c r="FX1662" i="98"/>
  <c r="FX1342" i="98"/>
  <c r="FX1022" i="98"/>
  <c r="FX702" i="98"/>
  <c r="FX382" i="98"/>
  <c r="FX62" i="98"/>
  <c r="FX1538" i="98"/>
  <c r="FX1218" i="98"/>
  <c r="FX898" i="98"/>
  <c r="FX578" i="98"/>
  <c r="FX258" i="98"/>
  <c r="GI1662" i="98"/>
  <c r="GI862" i="98"/>
  <c r="GI1422" i="98"/>
  <c r="GI622" i="98"/>
  <c r="GI382" i="98"/>
  <c r="GI62" i="98"/>
  <c r="FX1595" i="98"/>
  <c r="FX1275" i="98"/>
  <c r="FX955" i="98"/>
  <c r="FX635" i="98"/>
  <c r="FX315" i="98"/>
  <c r="GI1435" i="98"/>
  <c r="GI1115" i="98"/>
  <c r="GI555" i="98"/>
  <c r="GI875" i="98"/>
  <c r="GI315" i="98"/>
  <c r="GA874" i="98"/>
  <c r="GA474" i="98"/>
  <c r="GA234" i="98"/>
  <c r="GA314" i="98"/>
  <c r="GA1114" i="98"/>
  <c r="GA74" i="98"/>
  <c r="EX52" i="98"/>
  <c r="EY52" i="98"/>
  <c r="FX1504" i="98"/>
  <c r="FX1184" i="98"/>
  <c r="FX864" i="98"/>
  <c r="FX544" i="98"/>
  <c r="FX224" i="98"/>
  <c r="GG235" i="98"/>
  <c r="GG1675" i="98"/>
  <c r="GG1435" i="98"/>
  <c r="GG1515" i="98"/>
  <c r="GG1035" i="98"/>
  <c r="GG75" i="98"/>
  <c r="GG782" i="98"/>
  <c r="GG1422" i="98"/>
  <c r="GG302" i="98"/>
  <c r="GG622" i="98"/>
  <c r="GG1102" i="98"/>
  <c r="FV1578" i="98"/>
  <c r="FV1418" i="98"/>
  <c r="FV1498" i="98"/>
  <c r="FV1258" i="98"/>
  <c r="FV778" i="98"/>
  <c r="FV858" i="98"/>
  <c r="DV70" i="98"/>
  <c r="EM48" i="98"/>
  <c r="GJ942" i="98"/>
  <c r="GJ782" i="98"/>
  <c r="GJ302" i="98"/>
  <c r="GJ1502" i="98"/>
  <c r="GJ222" i="98"/>
  <c r="FX1582" i="98"/>
  <c r="FX1262" i="98"/>
  <c r="FX942" i="98"/>
  <c r="FX622" i="98"/>
  <c r="FX302" i="98"/>
  <c r="FX1458" i="98"/>
  <c r="FX1138" i="98"/>
  <c r="FX818" i="98"/>
  <c r="FX498" i="98"/>
  <c r="FX178" i="98"/>
  <c r="GI1582" i="98"/>
  <c r="GI1022" i="98"/>
  <c r="GI1342" i="98"/>
  <c r="GI942" i="98"/>
  <c r="GI1102" i="98"/>
  <c r="FX1515" i="98"/>
  <c r="FX1195" i="98"/>
  <c r="FX875" i="98"/>
  <c r="FX555" i="98"/>
  <c r="FX235" i="98"/>
  <c r="GI955" i="98"/>
  <c r="GI155" i="98"/>
  <c r="GI715" i="98"/>
  <c r="GI1195" i="98"/>
  <c r="GI1035" i="98"/>
  <c r="GI75" i="98"/>
  <c r="GA794" i="98"/>
  <c r="GA1674" i="98"/>
  <c r="GA1594" i="98"/>
  <c r="GA154" i="98"/>
  <c r="GA1274" i="98"/>
  <c r="FB52" i="98"/>
  <c r="GJ458" i="98" s="1"/>
  <c r="FX1424" i="98"/>
  <c r="FX1104" i="98"/>
  <c r="FX784" i="98"/>
  <c r="FX464" i="98"/>
  <c r="FX144" i="98"/>
  <c r="GG955" i="98"/>
  <c r="GG1195" i="98"/>
  <c r="GG1275" i="98"/>
  <c r="GG555" i="98"/>
  <c r="GG315" i="98"/>
  <c r="GG142" i="98"/>
  <c r="GG1342" i="98"/>
  <c r="GG942" i="98"/>
  <c r="GG382" i="98"/>
  <c r="GG1182" i="98"/>
  <c r="FV1018" i="98"/>
  <c r="FV618" i="98"/>
  <c r="FV1338" i="98"/>
  <c r="FV58" i="98"/>
  <c r="FV938" i="98"/>
  <c r="GJ1662" i="98"/>
  <c r="GJ1262" i="98"/>
  <c r="GJ1582" i="98"/>
  <c r="GJ1022" i="98"/>
  <c r="FX1502" i="98"/>
  <c r="FX1182" i="98"/>
  <c r="FX862" i="98"/>
  <c r="FX542" i="98"/>
  <c r="FX1378" i="98"/>
  <c r="FX1058" i="98"/>
  <c r="FX738" i="98"/>
  <c r="FX418" i="98"/>
  <c r="GI542" i="98"/>
  <c r="GI782" i="98"/>
  <c r="GI702" i="98"/>
  <c r="GI222" i="98"/>
  <c r="FX1435" i="98"/>
  <c r="FX1115" i="98"/>
  <c r="FX795" i="98"/>
  <c r="FX475" i="98"/>
  <c r="GI1595" i="98"/>
  <c r="GI635" i="98"/>
  <c r="GI1515" i="98"/>
  <c r="GI795" i="98"/>
  <c r="GA394" i="98"/>
  <c r="GA554" i="98"/>
  <c r="GA1354" i="98"/>
  <c r="GA634" i="98"/>
  <c r="FA52" i="98"/>
  <c r="GI58" i="98" s="1"/>
  <c r="FX1664" i="98"/>
  <c r="FX1344" i="98"/>
  <c r="FX1024" i="98"/>
  <c r="FX704" i="98"/>
  <c r="FX384" i="98"/>
  <c r="GG1595" i="98"/>
  <c r="GG715" i="98"/>
  <c r="GG795" i="98"/>
  <c r="GG875" i="98"/>
  <c r="GJ391" i="98"/>
  <c r="GG542" i="98"/>
  <c r="GG1502" i="98"/>
  <c r="GG222" i="98"/>
  <c r="GG702" i="98"/>
  <c r="FV698" i="98"/>
  <c r="FV218" i="98"/>
  <c r="FV1178" i="98"/>
  <c r="FV298" i="98"/>
  <c r="GF551" i="98"/>
  <c r="GF464" i="98"/>
  <c r="GF544" i="98"/>
  <c r="GF224" i="98"/>
  <c r="GF1184" i="98"/>
  <c r="GF1504" i="98"/>
  <c r="GJ715" i="98"/>
  <c r="GJ1275" i="98"/>
  <c r="GJ795" i="98"/>
  <c r="GJ875" i="98"/>
  <c r="GJ1115" i="98"/>
  <c r="FX1469" i="98"/>
  <c r="FX189" i="98"/>
  <c r="GG631" i="98"/>
  <c r="GG951" i="98"/>
  <c r="GG1431" i="98"/>
  <c r="GG791" i="98"/>
  <c r="GG311" i="98"/>
  <c r="GF471" i="98"/>
  <c r="GF871" i="98"/>
  <c r="GF1031" i="98"/>
  <c r="GF631" i="98"/>
  <c r="GF1671" i="98"/>
  <c r="GF231" i="98"/>
  <c r="GF1591" i="98"/>
  <c r="GF71" i="98"/>
  <c r="GF944" i="98"/>
  <c r="GF1664" i="98"/>
  <c r="GF704" i="98"/>
  <c r="GF1344" i="98"/>
  <c r="GF304" i="98"/>
  <c r="GJ955" i="98"/>
  <c r="GJ235" i="98"/>
  <c r="GJ475" i="98"/>
  <c r="GJ1195" i="98"/>
  <c r="GJ395" i="98"/>
  <c r="GJ75" i="98"/>
  <c r="FX1149" i="98"/>
  <c r="GG151" i="98"/>
  <c r="GG711" i="98"/>
  <c r="GG1351" i="98"/>
  <c r="GG1031" i="98"/>
  <c r="GG551" i="98"/>
  <c r="GF391" i="98"/>
  <c r="GF1351" i="98"/>
  <c r="GF151" i="98"/>
  <c r="GF951" i="98"/>
  <c r="GF1111" i="98"/>
  <c r="GF791" i="98"/>
  <c r="GF624" i="98"/>
  <c r="GF784" i="98"/>
  <c r="GF1584" i="98"/>
  <c r="GF144" i="98"/>
  <c r="GF1104" i="98"/>
  <c r="GJ1435" i="98"/>
  <c r="GJ1355" i="98"/>
  <c r="GJ1515" i="98"/>
  <c r="GJ635" i="98"/>
  <c r="FX829" i="98"/>
  <c r="GG1671" i="98"/>
  <c r="GG391" i="98"/>
  <c r="GG1271" i="98"/>
  <c r="GG231" i="98"/>
  <c r="GG1191" i="98"/>
  <c r="GI631" i="98"/>
  <c r="EM47" i="98"/>
  <c r="FX292" i="98" s="1"/>
  <c r="GI552" i="98"/>
  <c r="GI1192" i="98"/>
  <c r="GI392" i="98"/>
  <c r="GI1592" i="98"/>
  <c r="GI1432" i="98"/>
  <c r="FX1537" i="98"/>
  <c r="FX1217" i="98"/>
  <c r="FX897" i="98"/>
  <c r="FX577" i="98"/>
  <c r="FX257" i="98"/>
  <c r="GA715" i="98"/>
  <c r="GA235" i="98"/>
  <c r="GA1115" i="98"/>
  <c r="GI1351" i="98"/>
  <c r="GA1112" i="98"/>
  <c r="GA1192" i="98"/>
  <c r="DV44" i="98"/>
  <c r="DE35" i="98"/>
  <c r="GI712" i="98"/>
  <c r="GI792" i="98"/>
  <c r="GI872" i="98"/>
  <c r="GI312" i="98"/>
  <c r="GI1672" i="98"/>
  <c r="GI72" i="98"/>
  <c r="FX1457" i="98"/>
  <c r="FX1137" i="98"/>
  <c r="FX817" i="98"/>
  <c r="FX497" i="98"/>
  <c r="FX177" i="98"/>
  <c r="GA1675" i="98"/>
  <c r="GA1515" i="98"/>
  <c r="GA75" i="98"/>
  <c r="GI231" i="98"/>
  <c r="GA232" i="98"/>
  <c r="GI632" i="98"/>
  <c r="GI472" i="98"/>
  <c r="GI1032" i="98"/>
  <c r="GI952" i="98"/>
  <c r="FX1377" i="98"/>
  <c r="FX1057" i="98"/>
  <c r="FX737" i="98"/>
  <c r="FX417" i="98"/>
  <c r="GA1275" i="98"/>
  <c r="GA395" i="98"/>
  <c r="GI151" i="98"/>
  <c r="GI311" i="98"/>
  <c r="GA392" i="98"/>
  <c r="GJ1511" i="98"/>
  <c r="FX97" i="98"/>
  <c r="GA1355" i="98"/>
  <c r="GA1435" i="98"/>
  <c r="GA795" i="98"/>
  <c r="GA555" i="98"/>
  <c r="GA475" i="98"/>
  <c r="GI1111" i="98"/>
  <c r="GI471" i="98"/>
  <c r="GI951" i="98"/>
  <c r="GI871" i="98"/>
  <c r="GI1191" i="98"/>
  <c r="GI71" i="98"/>
  <c r="GI1264" i="98"/>
  <c r="GA712" i="98"/>
  <c r="GA872" i="98"/>
  <c r="GA1032" i="98"/>
  <c r="GA952" i="98"/>
  <c r="GA1352" i="98"/>
  <c r="GA72" i="98"/>
  <c r="GA1035" i="98"/>
  <c r="GA155" i="98"/>
  <c r="GA635" i="98"/>
  <c r="GA1195" i="98"/>
  <c r="GI1271" i="98"/>
  <c r="GI1671" i="98"/>
  <c r="GI1431" i="98"/>
  <c r="GI791" i="98"/>
  <c r="GI1591" i="98"/>
  <c r="GA792" i="98"/>
  <c r="GA152" i="98"/>
  <c r="GA312" i="98"/>
  <c r="GA1512" i="98"/>
  <c r="GA1272" i="98"/>
  <c r="GI1031" i="98"/>
  <c r="GI711" i="98"/>
  <c r="GI1511" i="98"/>
  <c r="GI391" i="98"/>
  <c r="GA632" i="98"/>
  <c r="GA552" i="98"/>
  <c r="GA472" i="98"/>
  <c r="GA1592" i="98"/>
  <c r="GJ631" i="98"/>
  <c r="GJ311" i="98"/>
  <c r="GJ871" i="98"/>
  <c r="GI1504" i="98"/>
  <c r="GI784" i="98"/>
  <c r="GI1664" i="98"/>
  <c r="GI864" i="98"/>
  <c r="FV1015" i="98"/>
  <c r="FV135" i="98"/>
  <c r="FV775" i="98"/>
  <c r="FV1255" i="98"/>
  <c r="FV295" i="98"/>
  <c r="FV1575" i="98"/>
  <c r="FV1495" i="98"/>
  <c r="FV215" i="98"/>
  <c r="FV855" i="98"/>
  <c r="FV455" i="98"/>
  <c r="FV1415" i="98"/>
  <c r="FV1655" i="98"/>
  <c r="FV615" i="98"/>
  <c r="FV535" i="98"/>
  <c r="FV1095" i="98"/>
  <c r="FV1175" i="98"/>
  <c r="FV375" i="98"/>
  <c r="FV55" i="98"/>
  <c r="FV935" i="98"/>
  <c r="FV695" i="98"/>
  <c r="FV1335" i="98"/>
  <c r="FV1664" i="98"/>
  <c r="FV784" i="98"/>
  <c r="FV1104" i="98"/>
  <c r="FV544" i="98"/>
  <c r="FV144" i="98"/>
  <c r="FV1024" i="98"/>
  <c r="FV64" i="98"/>
  <c r="FV944" i="98"/>
  <c r="FV1424" i="98"/>
  <c r="FV464" i="98"/>
  <c r="FV224" i="98"/>
  <c r="FV1184" i="98"/>
  <c r="FV1504" i="98"/>
  <c r="FV384" i="98"/>
  <c r="FV864" i="98"/>
  <c r="FV1344" i="98"/>
  <c r="FV624" i="98"/>
  <c r="FV304" i="98"/>
  <c r="FV1264" i="98"/>
  <c r="FV704" i="98"/>
  <c r="FV1584" i="98"/>
  <c r="FV471" i="98"/>
  <c r="FV151" i="98"/>
  <c r="FV791" i="98"/>
  <c r="FV71" i="98"/>
  <c r="FV311" i="98"/>
  <c r="FV1271" i="98"/>
  <c r="FV951" i="98"/>
  <c r="FV1351" i="98"/>
  <c r="FV1431" i="98"/>
  <c r="FV631" i="98"/>
  <c r="FV391" i="98"/>
  <c r="FV1031" i="98"/>
  <c r="FV551" i="98"/>
  <c r="FV1671" i="98"/>
  <c r="FV1111" i="98"/>
  <c r="FV231" i="98"/>
  <c r="FV711" i="98"/>
  <c r="FV1191" i="98"/>
  <c r="FV1511" i="98"/>
  <c r="FV871" i="98"/>
  <c r="FV1591" i="98"/>
  <c r="FV1094" i="98"/>
  <c r="FV1654" i="98"/>
  <c r="FV454" i="98"/>
  <c r="FV1014" i="98"/>
  <c r="FV294" i="98"/>
  <c r="FV1334" i="98"/>
  <c r="FV1574" i="98"/>
  <c r="FV54" i="98"/>
  <c r="FV774" i="98"/>
  <c r="FV1254" i="98"/>
  <c r="FV1494" i="98"/>
  <c r="FV374" i="98"/>
  <c r="FV934" i="98"/>
  <c r="FV534" i="98"/>
  <c r="FV694" i="98"/>
  <c r="FV1414" i="98"/>
  <c r="FV214" i="98"/>
  <c r="FV1174" i="98"/>
  <c r="FV134" i="98"/>
  <c r="FV854" i="98"/>
  <c r="FV614" i="98"/>
  <c r="FV1092" i="98"/>
  <c r="FV1412" i="98"/>
  <c r="FV1652" i="98"/>
  <c r="FV292" i="98"/>
  <c r="FV612" i="98"/>
  <c r="FV772" i="98"/>
  <c r="FV1492" i="98"/>
  <c r="FV932" i="98"/>
  <c r="FV132" i="98"/>
  <c r="FV692" i="98"/>
  <c r="FV212" i="98"/>
  <c r="FV1172" i="98"/>
  <c r="FV1332" i="98"/>
  <c r="FV1572" i="98"/>
  <c r="FV1252" i="98"/>
  <c r="FV532" i="98"/>
  <c r="FV372" i="98"/>
  <c r="FV52" i="98"/>
  <c r="FV1012" i="98"/>
  <c r="FV452" i="98"/>
  <c r="FV852" i="98"/>
  <c r="FV1413" i="98"/>
  <c r="FV1333" i="98"/>
  <c r="FV1493" i="98"/>
  <c r="FV1653" i="98"/>
  <c r="FV373" i="98"/>
  <c r="FV1573" i="98"/>
  <c r="FV693" i="98"/>
  <c r="FV933" i="98"/>
  <c r="FV293" i="98"/>
  <c r="FV773" i="98"/>
  <c r="FV853" i="98"/>
  <c r="FV1253" i="98"/>
  <c r="FV53" i="98"/>
  <c r="FV1013" i="98"/>
  <c r="FV453" i="98"/>
  <c r="FV613" i="98"/>
  <c r="FV213" i="98"/>
  <c r="FV1173" i="98"/>
  <c r="FV533" i="98"/>
  <c r="FV1093" i="98"/>
  <c r="FV133" i="98"/>
  <c r="FV860" i="98"/>
  <c r="FV220" i="98"/>
  <c r="FV1180" i="98"/>
  <c r="FV1260" i="98"/>
  <c r="FV1340" i="98"/>
  <c r="FV1420" i="98"/>
  <c r="FV380" i="98"/>
  <c r="FV780" i="98"/>
  <c r="FV540" i="98"/>
  <c r="FV140" i="98"/>
  <c r="FV1100" i="98"/>
  <c r="FV1660" i="98"/>
  <c r="FV620" i="98"/>
  <c r="FV1580" i="98"/>
  <c r="FV940" i="98"/>
  <c r="FV700" i="98"/>
  <c r="FV60" i="98"/>
  <c r="FV300" i="98"/>
  <c r="FV460" i="98"/>
  <c r="FV1500" i="98"/>
  <c r="FV1020" i="98"/>
  <c r="FV531" i="98"/>
  <c r="FV1251" i="98"/>
  <c r="FV131" i="98"/>
  <c r="FV1331" i="98"/>
  <c r="FV1171" i="98"/>
  <c r="FV371" i="98"/>
  <c r="FV1571" i="98"/>
  <c r="FV771" i="98"/>
  <c r="FV1091" i="98"/>
  <c r="FV1011" i="98"/>
  <c r="FV51" i="98"/>
  <c r="FV1651" i="98"/>
  <c r="FV931" i="98"/>
  <c r="FV691" i="98"/>
  <c r="FV451" i="98"/>
  <c r="FV291" i="98"/>
  <c r="FV611" i="98"/>
  <c r="FV211" i="98"/>
  <c r="FV1491" i="98"/>
  <c r="FV1411" i="98"/>
  <c r="FV851" i="98"/>
  <c r="EP37" i="98"/>
  <c r="EK37" i="98"/>
  <c r="EP38" i="98"/>
  <c r="GA682" i="98" s="1"/>
  <c r="EK38" i="98"/>
  <c r="GI224" i="98"/>
  <c r="GI464" i="98"/>
  <c r="GI1584" i="98"/>
  <c r="GI144" i="98"/>
  <c r="GI1184" i="98"/>
  <c r="GI64" i="98"/>
  <c r="GI624" i="98"/>
  <c r="GI944" i="98"/>
  <c r="GI1424" i="98"/>
  <c r="GI384" i="98"/>
  <c r="GI1104" i="98"/>
  <c r="EP41" i="98"/>
  <c r="GA1485" i="98" s="1"/>
  <c r="EK41" i="98"/>
  <c r="EP39" i="98"/>
  <c r="GA1323" i="98" s="1"/>
  <c r="EK39" i="98"/>
  <c r="EP40" i="98"/>
  <c r="GA1244" i="98" s="1"/>
  <c r="EK40" i="98"/>
  <c r="GI1024" i="98"/>
  <c r="GI544" i="98"/>
  <c r="GI704" i="98"/>
  <c r="GI304" i="98"/>
  <c r="GJ1111" i="98"/>
  <c r="GJ1431" i="98"/>
  <c r="GJ791" i="98"/>
  <c r="GJ1191" i="98"/>
  <c r="GJ551" i="98"/>
  <c r="GJ1031" i="98"/>
  <c r="GJ1271" i="98"/>
  <c r="GJ1671" i="98"/>
  <c r="GJ471" i="98"/>
  <c r="GJ951" i="98"/>
  <c r="GJ71" i="98"/>
  <c r="GJ711" i="98"/>
  <c r="GJ1351" i="98"/>
  <c r="GJ231" i="98"/>
  <c r="GJ151" i="98"/>
  <c r="GA1591" i="98"/>
  <c r="GA711" i="98"/>
  <c r="GA631" i="98"/>
  <c r="GA791" i="98"/>
  <c r="GA1031" i="98"/>
  <c r="FX1591" i="98"/>
  <c r="FX1271" i="98"/>
  <c r="FX951" i="98"/>
  <c r="FX631" i="98"/>
  <c r="FX311" i="98"/>
  <c r="FX1671" i="98"/>
  <c r="FX1351" i="98"/>
  <c r="FX1031" i="98"/>
  <c r="FX711" i="98"/>
  <c r="FX391" i="98"/>
  <c r="FX71" i="98"/>
  <c r="GA1511" i="98"/>
  <c r="GA1111" i="98"/>
  <c r="GA1351" i="98"/>
  <c r="GA471" i="98"/>
  <c r="GA1671" i="98"/>
  <c r="FX1511" i="98"/>
  <c r="FX1191" i="98"/>
  <c r="FX871" i="98"/>
  <c r="FX551" i="98"/>
  <c r="FX231" i="98"/>
  <c r="GA951" i="98"/>
  <c r="GA1271" i="98"/>
  <c r="GA1431" i="98"/>
  <c r="GA1191" i="98"/>
  <c r="FX1431" i="98"/>
  <c r="FX1111" i="98"/>
  <c r="FX791" i="98"/>
  <c r="FX471" i="98"/>
  <c r="FX1389" i="98"/>
  <c r="FX1069" i="98"/>
  <c r="FX749" i="98"/>
  <c r="FX429" i="98"/>
  <c r="FX109" i="98"/>
  <c r="FX1629" i="98"/>
  <c r="FX1309" i="98"/>
  <c r="FX989" i="98"/>
  <c r="FX669" i="98"/>
  <c r="FX349" i="98"/>
  <c r="FX29" i="98"/>
  <c r="FX1549" i="98"/>
  <c r="FX1229" i="98"/>
  <c r="FX909" i="98"/>
  <c r="FX589" i="98"/>
  <c r="GC73" i="98"/>
  <c r="GC1673" i="98"/>
  <c r="GC713" i="98"/>
  <c r="GC393" i="98"/>
  <c r="GC793" i="98"/>
  <c r="GC1593" i="98"/>
  <c r="GC313" i="98"/>
  <c r="GC873" i="98"/>
  <c r="GC473" i="98"/>
  <c r="GC1433" i="98"/>
  <c r="GC1513" i="98"/>
  <c r="GC633" i="98"/>
  <c r="GC1353" i="98"/>
  <c r="GC233" i="98"/>
  <c r="GC1193" i="98"/>
  <c r="GC153" i="98"/>
  <c r="GC553" i="98"/>
  <c r="GC953" i="98"/>
  <c r="GC1273" i="98"/>
  <c r="GC1033" i="98"/>
  <c r="GC1113" i="98"/>
  <c r="GC81" i="98"/>
  <c r="GC1441" i="98"/>
  <c r="GC641" i="98"/>
  <c r="GC1681" i="98"/>
  <c r="GC721" i="98"/>
  <c r="GC321" i="98"/>
  <c r="GC1121" i="98"/>
  <c r="GC1521" i="98"/>
  <c r="GC961" i="98"/>
  <c r="GC1281" i="98"/>
  <c r="GC401" i="98"/>
  <c r="GC1601" i="98"/>
  <c r="GC881" i="98"/>
  <c r="GC241" i="98"/>
  <c r="GC1361" i="98"/>
  <c r="GC1041" i="98"/>
  <c r="GC161" i="98"/>
  <c r="GC1201" i="98"/>
  <c r="GC561" i="98"/>
  <c r="GC481" i="98"/>
  <c r="GC801" i="98"/>
  <c r="GG67" i="98"/>
  <c r="GG1107" i="98"/>
  <c r="GG307" i="98"/>
  <c r="GG547" i="98"/>
  <c r="GG1027" i="98"/>
  <c r="GG1587" i="98"/>
  <c r="GG1187" i="98"/>
  <c r="GG1267" i="98"/>
  <c r="GG787" i="98"/>
  <c r="GG867" i="98"/>
  <c r="GG147" i="98"/>
  <c r="GG227" i="98"/>
  <c r="GG1347" i="98"/>
  <c r="GG1667" i="98"/>
  <c r="GG1507" i="98"/>
  <c r="GG627" i="98"/>
  <c r="GG947" i="98"/>
  <c r="GG467" i="98"/>
  <c r="GG1427" i="98"/>
  <c r="GG707" i="98"/>
  <c r="GG387" i="98"/>
  <c r="GI67" i="98"/>
  <c r="GI1107" i="98"/>
  <c r="GI547" i="98"/>
  <c r="GI1587" i="98"/>
  <c r="GI307" i="98"/>
  <c r="GI787" i="98"/>
  <c r="GI867" i="98"/>
  <c r="GI1187" i="98"/>
  <c r="GI147" i="98"/>
  <c r="GI627" i="98"/>
  <c r="GI467" i="98"/>
  <c r="GI1427" i="98"/>
  <c r="GI707" i="98"/>
  <c r="GI1347" i="98"/>
  <c r="GI947" i="98"/>
  <c r="GI387" i="98"/>
  <c r="GI1507" i="98"/>
  <c r="GI1267" i="98"/>
  <c r="GI1027" i="98"/>
  <c r="GI227" i="98"/>
  <c r="GI1667" i="98"/>
  <c r="GF31" i="98"/>
  <c r="GF1631" i="98"/>
  <c r="GF1231" i="98"/>
  <c r="GF1391" i="98"/>
  <c r="GF1551" i="98"/>
  <c r="GF991" i="98"/>
  <c r="GF351" i="98"/>
  <c r="GF751" i="98"/>
  <c r="GF191" i="98"/>
  <c r="GF511" i="98"/>
  <c r="GF1471" i="98"/>
  <c r="GF271" i="98"/>
  <c r="GF911" i="98"/>
  <c r="GF1311" i="98"/>
  <c r="GF831" i="98"/>
  <c r="GF1071" i="98"/>
  <c r="GF671" i="98"/>
  <c r="GF111" i="98"/>
  <c r="GF591" i="98"/>
  <c r="GF1151" i="98"/>
  <c r="GF431" i="98"/>
  <c r="GI8" i="98"/>
  <c r="GI1448" i="98"/>
  <c r="GI1368" i="98"/>
  <c r="GI1128" i="98"/>
  <c r="GI1608" i="98"/>
  <c r="GI1528" i="98"/>
  <c r="GI488" i="98"/>
  <c r="GI328" i="98"/>
  <c r="GI568" i="98"/>
  <c r="GI968" i="98"/>
  <c r="GI1288" i="98"/>
  <c r="GI408" i="98"/>
  <c r="GI1208" i="98"/>
  <c r="GI808" i="98"/>
  <c r="GI168" i="98"/>
  <c r="GI248" i="98"/>
  <c r="GI648" i="98"/>
  <c r="GI88" i="98"/>
  <c r="GI728" i="98"/>
  <c r="GI888" i="98"/>
  <c r="GI1048" i="98"/>
  <c r="GL1529" i="98"/>
  <c r="GL569" i="98"/>
  <c r="GL729" i="98"/>
  <c r="GL1369" i="98"/>
  <c r="GL1049" i="98"/>
  <c r="GL329" i="98"/>
  <c r="GL969" i="98"/>
  <c r="GL169" i="98"/>
  <c r="GL1289" i="98"/>
  <c r="GL409" i="98"/>
  <c r="GL89" i="98"/>
  <c r="GL1449" i="98"/>
  <c r="GL649" i="98"/>
  <c r="GL1609" i="98"/>
  <c r="GL489" i="98"/>
  <c r="GL809" i="98"/>
  <c r="GL1209" i="98"/>
  <c r="GL1129" i="98"/>
  <c r="GL249" i="98"/>
  <c r="GL889" i="98"/>
  <c r="ER8" i="98"/>
  <c r="GL9" i="98"/>
  <c r="GA9" i="98"/>
  <c r="GA1609" i="98"/>
  <c r="GA1449" i="98"/>
  <c r="GA1049" i="98"/>
  <c r="GA409" i="98"/>
  <c r="GA1289" i="98"/>
  <c r="GA889" i="98"/>
  <c r="GA1369" i="98"/>
  <c r="GA1529" i="98"/>
  <c r="GA89" i="98"/>
  <c r="GA569" i="98"/>
  <c r="GA969" i="98"/>
  <c r="GA649" i="98"/>
  <c r="GA729" i="98"/>
  <c r="GA489" i="98"/>
  <c r="GA249" i="98"/>
  <c r="GA1209" i="98"/>
  <c r="GA1129" i="98"/>
  <c r="GA169" i="98"/>
  <c r="GA809" i="98"/>
  <c r="GA329" i="98"/>
  <c r="GG1180" i="98"/>
  <c r="GG300" i="98"/>
  <c r="GG1660" i="98"/>
  <c r="GG1340" i="98"/>
  <c r="GG1260" i="98"/>
  <c r="GL1067" i="98"/>
  <c r="GL187" i="98"/>
  <c r="GL1387" i="98"/>
  <c r="GL1147" i="98"/>
  <c r="GL747" i="98"/>
  <c r="GL107" i="98"/>
  <c r="GL267" i="98"/>
  <c r="GL1467" i="98"/>
  <c r="GL507" i="98"/>
  <c r="GL1227" i="98"/>
  <c r="GL667" i="98"/>
  <c r="GL347" i="98"/>
  <c r="GL587" i="98"/>
  <c r="GL1547" i="98"/>
  <c r="GL987" i="98"/>
  <c r="GL907" i="98"/>
  <c r="GL427" i="98"/>
  <c r="GL1307" i="98"/>
  <c r="GL827" i="98"/>
  <c r="GL1627" i="98"/>
  <c r="GL27" i="98"/>
  <c r="ER24" i="98"/>
  <c r="GA27" i="98"/>
  <c r="GA1067" i="98"/>
  <c r="GA507" i="98"/>
  <c r="GA187" i="98"/>
  <c r="GA747" i="98"/>
  <c r="GA1147" i="98"/>
  <c r="GA1307" i="98"/>
  <c r="GA347" i="98"/>
  <c r="GA267" i="98"/>
  <c r="GA987" i="98"/>
  <c r="GA1227" i="98"/>
  <c r="GA667" i="98"/>
  <c r="GA1627" i="98"/>
  <c r="GA907" i="98"/>
  <c r="GA827" i="98"/>
  <c r="GA107" i="98"/>
  <c r="GA1547" i="98"/>
  <c r="GA1467" i="98"/>
  <c r="GA587" i="98"/>
  <c r="GA1387" i="98"/>
  <c r="GA427" i="98"/>
  <c r="FX28" i="98"/>
  <c r="FX108" i="98"/>
  <c r="FX188" i="98"/>
  <c r="FX268" i="98"/>
  <c r="FX348" i="98"/>
  <c r="FX428" i="98"/>
  <c r="FX508" i="98"/>
  <c r="FX588" i="98"/>
  <c r="FX668" i="98"/>
  <c r="FX748" i="98"/>
  <c r="FX828" i="98"/>
  <c r="FX908" i="98"/>
  <c r="FX988" i="98"/>
  <c r="FX1068" i="98"/>
  <c r="FX1148" i="98"/>
  <c r="FX1228" i="98"/>
  <c r="FX1308" i="98"/>
  <c r="FX1388" i="98"/>
  <c r="FX1468" i="98"/>
  <c r="FX1548" i="98"/>
  <c r="FX1628" i="98"/>
  <c r="GL87" i="98"/>
  <c r="GL1207" i="98"/>
  <c r="GL167" i="98"/>
  <c r="GL807" i="98"/>
  <c r="GL1127" i="98"/>
  <c r="GL487" i="98"/>
  <c r="GL327" i="98"/>
  <c r="GL887" i="98"/>
  <c r="GL247" i="98"/>
  <c r="GL967" i="98"/>
  <c r="GL727" i="98"/>
  <c r="GL1607" i="98"/>
  <c r="GL1287" i="98"/>
  <c r="GL1047" i="98"/>
  <c r="GL1447" i="98"/>
  <c r="GL647" i="98"/>
  <c r="GL1527" i="98"/>
  <c r="GL567" i="98"/>
  <c r="GL1367" i="98"/>
  <c r="GL407" i="98"/>
  <c r="ER6" i="98"/>
  <c r="GL7" i="98"/>
  <c r="GI70" i="98"/>
  <c r="GI1030" i="98"/>
  <c r="GI390" i="98"/>
  <c r="GI230" i="98"/>
  <c r="GI550" i="98"/>
  <c r="GI870" i="98"/>
  <c r="GI1670" i="98"/>
  <c r="GI1110" i="98"/>
  <c r="GI710" i="98"/>
  <c r="GI1430" i="98"/>
  <c r="GI630" i="98"/>
  <c r="GI150" i="98"/>
  <c r="GI1350" i="98"/>
  <c r="GI1510" i="98"/>
  <c r="GI1270" i="98"/>
  <c r="GI950" i="98"/>
  <c r="GI310" i="98"/>
  <c r="GI1590" i="98"/>
  <c r="GI470" i="98"/>
  <c r="GI1190" i="98"/>
  <c r="GI790" i="98"/>
  <c r="GC25" i="98"/>
  <c r="GC1385" i="98"/>
  <c r="GC665" i="98"/>
  <c r="GC345" i="98"/>
  <c r="GC745" i="98"/>
  <c r="GC1225" i="98"/>
  <c r="GC1145" i="98"/>
  <c r="GC1625" i="98"/>
  <c r="GC985" i="98"/>
  <c r="GC1465" i="98"/>
  <c r="GC105" i="98"/>
  <c r="GC425" i="98"/>
  <c r="GC265" i="98"/>
  <c r="GC585" i="98"/>
  <c r="GC185" i="98"/>
  <c r="GC905" i="98"/>
  <c r="GC1545" i="98"/>
  <c r="GC825" i="98"/>
  <c r="GC1065" i="98"/>
  <c r="GC1305" i="98"/>
  <c r="GC505" i="98"/>
  <c r="GG29" i="98"/>
  <c r="GG1389" i="98"/>
  <c r="GG1469" i="98"/>
  <c r="GG989" i="98"/>
  <c r="GG749" i="98"/>
  <c r="GG669" i="98"/>
  <c r="GG589" i="98"/>
  <c r="GG349" i="98"/>
  <c r="GG1309" i="98"/>
  <c r="GG109" i="98"/>
  <c r="GG829" i="98"/>
  <c r="GG429" i="98"/>
  <c r="GG1069" i="98"/>
  <c r="GG909" i="98"/>
  <c r="GG1149" i="98"/>
  <c r="GG1229" i="98"/>
  <c r="GG1629" i="98"/>
  <c r="GG1549" i="98"/>
  <c r="GG189" i="98"/>
  <c r="GG509" i="98"/>
  <c r="GG269" i="98"/>
  <c r="GA29" i="98"/>
  <c r="GA1389" i="98"/>
  <c r="GA989" i="98"/>
  <c r="GA749" i="98"/>
  <c r="GA669" i="98"/>
  <c r="GA109" i="98"/>
  <c r="GA1309" i="98"/>
  <c r="GA429" i="98"/>
  <c r="GA909" i="98"/>
  <c r="GA1149" i="98"/>
  <c r="GA589" i="98"/>
  <c r="GA1469" i="98"/>
  <c r="GA1629" i="98"/>
  <c r="GA1549" i="98"/>
  <c r="GA349" i="98"/>
  <c r="GA1229" i="98"/>
  <c r="GA1069" i="98"/>
  <c r="GA829" i="98"/>
  <c r="GA189" i="98"/>
  <c r="GA509" i="98"/>
  <c r="GA269" i="98"/>
  <c r="FX22" i="98"/>
  <c r="FX102" i="98"/>
  <c r="FX182" i="98"/>
  <c r="FX262" i="98"/>
  <c r="FX342" i="98"/>
  <c r="FX422" i="98"/>
  <c r="FX502" i="98"/>
  <c r="FX582" i="98"/>
  <c r="FX662" i="98"/>
  <c r="FX742" i="98"/>
  <c r="FX822" i="98"/>
  <c r="FX902" i="98"/>
  <c r="FX982" i="98"/>
  <c r="FX1062" i="98"/>
  <c r="FX1142" i="98"/>
  <c r="FX1222" i="98"/>
  <c r="FX1302" i="98"/>
  <c r="FX1382" i="98"/>
  <c r="FX1462" i="98"/>
  <c r="FX1542" i="98"/>
  <c r="FX1622" i="98"/>
  <c r="GI69" i="98"/>
  <c r="GI1669" i="98"/>
  <c r="GI1429" i="98"/>
  <c r="GI1349" i="98"/>
  <c r="GI709" i="98"/>
  <c r="GI549" i="98"/>
  <c r="GI1109" i="98"/>
  <c r="GI149" i="98"/>
  <c r="GI229" i="98"/>
  <c r="GI1029" i="98"/>
  <c r="GI629" i="98"/>
  <c r="GI389" i="98"/>
  <c r="GI309" i="98"/>
  <c r="GI469" i="98"/>
  <c r="GI1589" i="98"/>
  <c r="GI949" i="98"/>
  <c r="GI1509" i="98"/>
  <c r="GI869" i="98"/>
  <c r="GI789" i="98"/>
  <c r="GI1189" i="98"/>
  <c r="GI1269" i="98"/>
  <c r="GG69" i="98"/>
  <c r="GG1669" i="98"/>
  <c r="GG1429" i="98"/>
  <c r="GG1509" i="98"/>
  <c r="GG949" i="98"/>
  <c r="GG1349" i="98"/>
  <c r="GG469" i="98"/>
  <c r="GG629" i="98"/>
  <c r="GG709" i="98"/>
  <c r="GG1109" i="98"/>
  <c r="GG229" i="98"/>
  <c r="GG1029" i="98"/>
  <c r="GG309" i="98"/>
  <c r="GG1589" i="98"/>
  <c r="GG549" i="98"/>
  <c r="GG149" i="98"/>
  <c r="GG789" i="98"/>
  <c r="GG869" i="98"/>
  <c r="GG1189" i="98"/>
  <c r="GG389" i="98"/>
  <c r="GG1269" i="98"/>
  <c r="GJ21" i="98"/>
  <c r="GJ1381" i="98"/>
  <c r="GJ1461" i="98"/>
  <c r="GJ981" i="98"/>
  <c r="GJ741" i="98"/>
  <c r="GJ421" i="98"/>
  <c r="GJ1301" i="98"/>
  <c r="GJ1141" i="98"/>
  <c r="GJ581" i="98"/>
  <c r="GJ661" i="98"/>
  <c r="GJ1221" i="98"/>
  <c r="GJ1621" i="98"/>
  <c r="GJ1541" i="98"/>
  <c r="GJ181" i="98"/>
  <c r="GJ341" i="98"/>
  <c r="GJ101" i="98"/>
  <c r="GJ901" i="98"/>
  <c r="GJ261" i="98"/>
  <c r="GJ501" i="98"/>
  <c r="GJ1061" i="98"/>
  <c r="GJ821" i="98"/>
  <c r="FX20" i="98"/>
  <c r="FX100" i="98"/>
  <c r="FX180" i="98"/>
  <c r="FX260" i="98"/>
  <c r="FX340" i="98"/>
  <c r="FX420" i="98"/>
  <c r="FX500" i="98"/>
  <c r="FX580" i="98"/>
  <c r="FX660" i="98"/>
  <c r="FX740" i="98"/>
  <c r="FX820" i="98"/>
  <c r="FX900" i="98"/>
  <c r="FX980" i="98"/>
  <c r="FX1060" i="98"/>
  <c r="FX1140" i="98"/>
  <c r="FX1220" i="98"/>
  <c r="FX1300" i="98"/>
  <c r="FX1380" i="98"/>
  <c r="FX1460" i="98"/>
  <c r="FX1540" i="98"/>
  <c r="FX1620" i="98"/>
  <c r="GJ19" i="98"/>
  <c r="GJ1059" i="98"/>
  <c r="GJ339" i="98"/>
  <c r="GJ179" i="98"/>
  <c r="GJ419" i="98"/>
  <c r="GJ1539" i="98"/>
  <c r="GJ499" i="98"/>
  <c r="GJ1299" i="98"/>
  <c r="GJ1139" i="98"/>
  <c r="GJ1459" i="98"/>
  <c r="GJ819" i="98"/>
  <c r="GJ899" i="98"/>
  <c r="GJ259" i="98"/>
  <c r="GJ1219" i="98"/>
  <c r="GJ579" i="98"/>
  <c r="GJ1619" i="98"/>
  <c r="GJ1379" i="98"/>
  <c r="GJ979" i="98"/>
  <c r="GJ99" i="98"/>
  <c r="GJ659" i="98"/>
  <c r="GJ739" i="98"/>
  <c r="GF30" i="98"/>
  <c r="GF1470" i="98"/>
  <c r="GF1550" i="98"/>
  <c r="GF1310" i="98"/>
  <c r="GF1070" i="98"/>
  <c r="GF590" i="98"/>
  <c r="GF430" i="98"/>
  <c r="GF110" i="98"/>
  <c r="GF510" i="98"/>
  <c r="GF1390" i="98"/>
  <c r="GF1230" i="98"/>
  <c r="GF1150" i="98"/>
  <c r="GF910" i="98"/>
  <c r="GF190" i="98"/>
  <c r="GF830" i="98"/>
  <c r="GF1630" i="98"/>
  <c r="GF990" i="98"/>
  <c r="GF350" i="98"/>
  <c r="GF750" i="98"/>
  <c r="GF270" i="98"/>
  <c r="GF670" i="98"/>
  <c r="GJ18" i="98"/>
  <c r="GJ1538" i="98"/>
  <c r="GJ1618" i="98"/>
  <c r="GJ1138" i="98"/>
  <c r="GJ1218" i="98"/>
  <c r="GJ1298" i="98"/>
  <c r="GJ658" i="98"/>
  <c r="GJ578" i="98"/>
  <c r="GJ178" i="98"/>
  <c r="GJ338" i="98"/>
  <c r="GJ498" i="98"/>
  <c r="GJ98" i="98"/>
  <c r="GJ1378" i="98"/>
  <c r="GJ258" i="98"/>
  <c r="GJ738" i="98"/>
  <c r="GJ1058" i="98"/>
  <c r="GJ898" i="98"/>
  <c r="GJ978" i="98"/>
  <c r="GJ418" i="98"/>
  <c r="GJ818" i="98"/>
  <c r="GJ1458" i="98"/>
  <c r="GA77" i="98"/>
  <c r="GA1357" i="98"/>
  <c r="GA957" i="98"/>
  <c r="GA557" i="98"/>
  <c r="GA397" i="98"/>
  <c r="GA717" i="98"/>
  <c r="GA637" i="98"/>
  <c r="GA1517" i="98"/>
  <c r="GA317" i="98"/>
  <c r="GA477" i="98"/>
  <c r="GA1117" i="98"/>
  <c r="GA237" i="98"/>
  <c r="GA1597" i="98"/>
  <c r="GA157" i="98"/>
  <c r="GA877" i="98"/>
  <c r="GA1197" i="98"/>
  <c r="GA1677" i="98"/>
  <c r="GA1437" i="98"/>
  <c r="GA797" i="98"/>
  <c r="GA1277" i="98"/>
  <c r="GA1037" i="98"/>
  <c r="GG59" i="98"/>
  <c r="GG1099" i="98"/>
  <c r="GG299" i="98"/>
  <c r="GG539" i="98"/>
  <c r="GG459" i="98"/>
  <c r="GG939" i="98"/>
  <c r="GG1019" i="98"/>
  <c r="GG699" i="98"/>
  <c r="GG1339" i="98"/>
  <c r="GG1499" i="98"/>
  <c r="GG619" i="98"/>
  <c r="GG779" i="98"/>
  <c r="GG1579" i="98"/>
  <c r="GG1179" i="98"/>
  <c r="GG859" i="98"/>
  <c r="GG379" i="98"/>
  <c r="GG219" i="98"/>
  <c r="GG139" i="98"/>
  <c r="GG1419" i="98"/>
  <c r="GG1659" i="98"/>
  <c r="GG1259" i="98"/>
  <c r="GL1099" i="98"/>
  <c r="GL1019" i="98"/>
  <c r="GL379" i="98"/>
  <c r="GL459" i="98"/>
  <c r="GL939" i="98"/>
  <c r="GL539" i="98"/>
  <c r="GL1339" i="98"/>
  <c r="GL1579" i="98"/>
  <c r="GL1419" i="98"/>
  <c r="GL1499" i="98"/>
  <c r="GL1179" i="98"/>
  <c r="GL299" i="98"/>
  <c r="GL859" i="98"/>
  <c r="GL1659" i="98"/>
  <c r="GL699" i="98"/>
  <c r="GL139" i="98"/>
  <c r="GL1259" i="98"/>
  <c r="GL219" i="98"/>
  <c r="GL779" i="98"/>
  <c r="GL619" i="98"/>
  <c r="ER53" i="98"/>
  <c r="GL59" i="98"/>
  <c r="FX30" i="98"/>
  <c r="FX110" i="98"/>
  <c r="FX190" i="98"/>
  <c r="FX270" i="98"/>
  <c r="FX350" i="98"/>
  <c r="FX430" i="98"/>
  <c r="FX510" i="98"/>
  <c r="FX590" i="98"/>
  <c r="FX670" i="98"/>
  <c r="FX750" i="98"/>
  <c r="FX830" i="98"/>
  <c r="FX910" i="98"/>
  <c r="FX990" i="98"/>
  <c r="FX1070" i="98"/>
  <c r="FX1150" i="98"/>
  <c r="FX1230" i="98"/>
  <c r="FX1310" i="98"/>
  <c r="FX1390" i="98"/>
  <c r="FX1470" i="98"/>
  <c r="FX1550" i="98"/>
  <c r="FX1630" i="98"/>
  <c r="GC1432" i="98"/>
  <c r="GC1192" i="98"/>
  <c r="GC152" i="98"/>
  <c r="GC1592" i="98"/>
  <c r="GC552" i="98"/>
  <c r="GJ78" i="98"/>
  <c r="GJ1278" i="98"/>
  <c r="GJ1518" i="98"/>
  <c r="GJ1038" i="98"/>
  <c r="GJ1118" i="98"/>
  <c r="GJ718" i="98"/>
  <c r="GJ638" i="98"/>
  <c r="GJ238" i="98"/>
  <c r="GJ1358" i="98"/>
  <c r="GJ478" i="98"/>
  <c r="GJ558" i="98"/>
  <c r="GJ1198" i="98"/>
  <c r="GJ1598" i="98"/>
  <c r="GJ798" i="98"/>
  <c r="GJ878" i="98"/>
  <c r="GJ1438" i="98"/>
  <c r="GJ398" i="98"/>
  <c r="GJ958" i="98"/>
  <c r="GJ318" i="98"/>
  <c r="GJ1678" i="98"/>
  <c r="GJ158" i="98"/>
  <c r="GL1290" i="98"/>
  <c r="GL1210" i="98"/>
  <c r="GL1450" i="98"/>
  <c r="GL250" i="98"/>
  <c r="GL410" i="98"/>
  <c r="GL1130" i="98"/>
  <c r="GL1050" i="98"/>
  <c r="GL170" i="98"/>
  <c r="GL570" i="98"/>
  <c r="GL650" i="98"/>
  <c r="GL1610" i="98"/>
  <c r="GL1530" i="98"/>
  <c r="GL490" i="98"/>
  <c r="GL330" i="98"/>
  <c r="GL90" i="98"/>
  <c r="GL730" i="98"/>
  <c r="GL970" i="98"/>
  <c r="GL1370" i="98"/>
  <c r="GL890" i="98"/>
  <c r="GL810" i="98"/>
  <c r="ER9" i="98"/>
  <c r="GL10" i="98"/>
  <c r="GA10" i="98"/>
  <c r="GA650" i="98"/>
  <c r="GA1210" i="98"/>
  <c r="GA1290" i="98"/>
  <c r="GA1050" i="98"/>
  <c r="GA970" i="98"/>
  <c r="GA1530" i="98"/>
  <c r="GA1610" i="98"/>
  <c r="GA570" i="98"/>
  <c r="GA170" i="98"/>
  <c r="GA490" i="98"/>
  <c r="GA1130" i="98"/>
  <c r="GA410" i="98"/>
  <c r="GA730" i="98"/>
  <c r="GA250" i="98"/>
  <c r="GA330" i="98"/>
  <c r="GA890" i="98"/>
  <c r="GA1370" i="98"/>
  <c r="GA1450" i="98"/>
  <c r="GA90" i="98"/>
  <c r="GA810" i="98"/>
  <c r="GI618" i="98"/>
  <c r="GL657" i="98"/>
  <c r="GL417" i="98"/>
  <c r="GL97" i="98"/>
  <c r="GL1617" i="98"/>
  <c r="GL1137" i="98"/>
  <c r="GL1537" i="98"/>
  <c r="GL977" i="98"/>
  <c r="GL1377" i="98"/>
  <c r="GL1457" i="98"/>
  <c r="GL737" i="98"/>
  <c r="GL577" i="98"/>
  <c r="GL1057" i="98"/>
  <c r="GL817" i="98"/>
  <c r="GL1297" i="98"/>
  <c r="GL337" i="98"/>
  <c r="GL1217" i="98"/>
  <c r="GL497" i="98"/>
  <c r="GL897" i="98"/>
  <c r="GL257" i="98"/>
  <c r="GL177" i="98"/>
  <c r="ER15" i="98"/>
  <c r="GL17" i="98"/>
  <c r="GF23" i="98"/>
  <c r="GF343" i="98"/>
  <c r="GF423" i="98"/>
  <c r="GF1303" i="98"/>
  <c r="GF663" i="98"/>
  <c r="GF743" i="98"/>
  <c r="GF183" i="98"/>
  <c r="GF823" i="98"/>
  <c r="GF1383" i="98"/>
  <c r="GF1463" i="98"/>
  <c r="GF983" i="98"/>
  <c r="GF1623" i="98"/>
  <c r="GF503" i="98"/>
  <c r="GF263" i="98"/>
  <c r="GF583" i="98"/>
  <c r="GF903" i="98"/>
  <c r="GF1143" i="98"/>
  <c r="GF103" i="98"/>
  <c r="GF1543" i="98"/>
  <c r="GF1223" i="98"/>
  <c r="GF1063" i="98"/>
  <c r="GA23" i="98"/>
  <c r="GA503" i="98"/>
  <c r="GA1303" i="98"/>
  <c r="GA903" i="98"/>
  <c r="GA743" i="98"/>
  <c r="GA1623" i="98"/>
  <c r="GA1543" i="98"/>
  <c r="GA343" i="98"/>
  <c r="GA1223" i="98"/>
  <c r="GA263" i="98"/>
  <c r="GA183" i="98"/>
  <c r="GA1143" i="98"/>
  <c r="GA423" i="98"/>
  <c r="GA1383" i="98"/>
  <c r="GA823" i="98"/>
  <c r="GA983" i="98"/>
  <c r="GA583" i="98"/>
  <c r="GA1063" i="98"/>
  <c r="GA1463" i="98"/>
  <c r="GA663" i="98"/>
  <c r="GA103" i="98"/>
  <c r="GI13" i="98"/>
  <c r="GI1453" i="98"/>
  <c r="GI1613" i="98"/>
  <c r="GI1533" i="98"/>
  <c r="GI573" i="98"/>
  <c r="GI733" i="98"/>
  <c r="GI653" i="98"/>
  <c r="GI1293" i="98"/>
  <c r="GI413" i="98"/>
  <c r="GI1373" i="98"/>
  <c r="GI973" i="98"/>
  <c r="GI1053" i="98"/>
  <c r="GI813" i="98"/>
  <c r="GI493" i="98"/>
  <c r="GI1133" i="98"/>
  <c r="GI253" i="98"/>
  <c r="GI173" i="98"/>
  <c r="GI1213" i="98"/>
  <c r="GI333" i="98"/>
  <c r="GI93" i="98"/>
  <c r="GI893" i="98"/>
  <c r="GA13" i="98"/>
  <c r="GA1453" i="98"/>
  <c r="GA1613" i="98"/>
  <c r="GA1533" i="98"/>
  <c r="GA973" i="98"/>
  <c r="GA573" i="98"/>
  <c r="GA413" i="98"/>
  <c r="GA93" i="98"/>
  <c r="GA653" i="98"/>
  <c r="GA733" i="98"/>
  <c r="GA1293" i="98"/>
  <c r="GA253" i="98"/>
  <c r="GA173" i="98"/>
  <c r="GA1373" i="98"/>
  <c r="GA1053" i="98"/>
  <c r="GA813" i="98"/>
  <c r="GA1213" i="98"/>
  <c r="GA893" i="98"/>
  <c r="GA333" i="98"/>
  <c r="GA1133" i="98"/>
  <c r="GA493" i="98"/>
  <c r="GG12" i="98"/>
  <c r="GG1292" i="98"/>
  <c r="GG1132" i="98"/>
  <c r="GG1212" i="98"/>
  <c r="GG332" i="98"/>
  <c r="GG652" i="98"/>
  <c r="GG572" i="98"/>
  <c r="GG812" i="98"/>
  <c r="GG892" i="98"/>
  <c r="GG1052" i="98"/>
  <c r="GG1532" i="98"/>
  <c r="GG1372" i="98"/>
  <c r="GG1452" i="98"/>
  <c r="GG1612" i="98"/>
  <c r="GG412" i="98"/>
  <c r="GG492" i="98"/>
  <c r="GG732" i="98"/>
  <c r="GG172" i="98"/>
  <c r="GG972" i="98"/>
  <c r="GG252" i="98"/>
  <c r="GG92" i="98"/>
  <c r="GL1622" i="98"/>
  <c r="GL1382" i="98"/>
  <c r="GL1462" i="98"/>
  <c r="GL1142" i="98"/>
  <c r="GL582" i="98"/>
  <c r="GL1062" i="98"/>
  <c r="GL262" i="98"/>
  <c r="GL102" i="98"/>
  <c r="GL902" i="98"/>
  <c r="GL342" i="98"/>
  <c r="GL422" i="98"/>
  <c r="GL662" i="98"/>
  <c r="GL182" i="98"/>
  <c r="GL1542" i="98"/>
  <c r="GL1302" i="98"/>
  <c r="GL1222" i="98"/>
  <c r="GL982" i="98"/>
  <c r="GL822" i="98"/>
  <c r="GL742" i="98"/>
  <c r="GL502" i="98"/>
  <c r="ER20" i="98"/>
  <c r="GL22" i="98"/>
  <c r="GA22" i="98"/>
  <c r="GA1462" i="98"/>
  <c r="GA1542" i="98"/>
  <c r="GA1622" i="98"/>
  <c r="GA1382" i="98"/>
  <c r="GA1142" i="98"/>
  <c r="GA662" i="98"/>
  <c r="GA582" i="98"/>
  <c r="GA262" i="98"/>
  <c r="GA902" i="98"/>
  <c r="GA182" i="98"/>
  <c r="GA502" i="98"/>
  <c r="GA742" i="98"/>
  <c r="GA1062" i="98"/>
  <c r="GA102" i="98"/>
  <c r="GA422" i="98"/>
  <c r="GA342" i="98"/>
  <c r="GA822" i="98"/>
  <c r="GA982" i="98"/>
  <c r="GA1302" i="98"/>
  <c r="GA1222" i="98"/>
  <c r="GC82" i="98"/>
  <c r="GC1602" i="98"/>
  <c r="GC1282" i="98"/>
  <c r="GC1042" i="98"/>
  <c r="GC1202" i="98"/>
  <c r="GC722" i="98"/>
  <c r="GC162" i="98"/>
  <c r="GC1522" i="98"/>
  <c r="GC242" i="98"/>
  <c r="GC882" i="98"/>
  <c r="GC642" i="98"/>
  <c r="GC1122" i="98"/>
  <c r="GC1682" i="98"/>
  <c r="GC962" i="98"/>
  <c r="GC802" i="98"/>
  <c r="GC402" i="98"/>
  <c r="GC562" i="98"/>
  <c r="GC1442" i="98"/>
  <c r="GC482" i="98"/>
  <c r="GC322" i="98"/>
  <c r="GC1362" i="98"/>
  <c r="GL1657" i="98"/>
  <c r="GL617" i="98"/>
  <c r="GL697" i="98"/>
  <c r="GL777" i="98"/>
  <c r="GL1097" i="98"/>
  <c r="GL137" i="98"/>
  <c r="GL377" i="98"/>
  <c r="GL537" i="98"/>
  <c r="GL1577" i="98"/>
  <c r="GL1257" i="98"/>
  <c r="GL1417" i="98"/>
  <c r="GL1337" i="98"/>
  <c r="GL1497" i="98"/>
  <c r="GL217" i="98"/>
  <c r="GL857" i="98"/>
  <c r="GL1017" i="98"/>
  <c r="GL297" i="98"/>
  <c r="GL457" i="98"/>
  <c r="GL937" i="98"/>
  <c r="GL1177" i="98"/>
  <c r="GL57" i="98"/>
  <c r="ER51" i="98"/>
  <c r="GG11" i="98"/>
  <c r="GG1131" i="98"/>
  <c r="GG1051" i="98"/>
  <c r="GG491" i="98"/>
  <c r="GG331" i="98"/>
  <c r="GG171" i="98"/>
  <c r="GG1611" i="98"/>
  <c r="GG891" i="98"/>
  <c r="GG1451" i="98"/>
  <c r="GG1211" i="98"/>
  <c r="GG651" i="98"/>
  <c r="GG91" i="98"/>
  <c r="GG811" i="98"/>
  <c r="GG1371" i="98"/>
  <c r="GG251" i="98"/>
  <c r="GG971" i="98"/>
  <c r="GG1531" i="98"/>
  <c r="GG571" i="98"/>
  <c r="GG1291" i="98"/>
  <c r="GG731" i="98"/>
  <c r="GG411" i="98"/>
  <c r="GI11" i="98"/>
  <c r="GI1051" i="98"/>
  <c r="GI491" i="98"/>
  <c r="GI171" i="98"/>
  <c r="GI411" i="98"/>
  <c r="GI891" i="98"/>
  <c r="GI1611" i="98"/>
  <c r="GI1291" i="98"/>
  <c r="GI811" i="98"/>
  <c r="GI1451" i="98"/>
  <c r="GI1211" i="98"/>
  <c r="GI1131" i="98"/>
  <c r="GI1531" i="98"/>
  <c r="GI251" i="98"/>
  <c r="GI331" i="98"/>
  <c r="GI91" i="98"/>
  <c r="GI1371" i="98"/>
  <c r="GI971" i="98"/>
  <c r="GI731" i="98"/>
  <c r="GI571" i="98"/>
  <c r="GI651" i="98"/>
  <c r="FX19" i="98"/>
  <c r="FX99" i="98"/>
  <c r="FX179" i="98"/>
  <c r="FX259" i="98"/>
  <c r="FX339" i="98"/>
  <c r="FX419" i="98"/>
  <c r="FX499" i="98"/>
  <c r="FX579" i="98"/>
  <c r="FX659" i="98"/>
  <c r="FX739" i="98"/>
  <c r="FX819" i="98"/>
  <c r="FX899" i="98"/>
  <c r="FX979" i="98"/>
  <c r="FX1059" i="98"/>
  <c r="FX1139" i="98"/>
  <c r="FX1219" i="98"/>
  <c r="FX1299" i="98"/>
  <c r="FX1379" i="98"/>
  <c r="FX1459" i="98"/>
  <c r="FX1539" i="98"/>
  <c r="FX1619" i="98"/>
  <c r="GG20" i="98"/>
  <c r="GG1620" i="98"/>
  <c r="GG1540" i="98"/>
  <c r="GG1460" i="98"/>
  <c r="GG1380" i="98"/>
  <c r="GG1140" i="98"/>
  <c r="GG500" i="98"/>
  <c r="GG580" i="98"/>
  <c r="GG1060" i="98"/>
  <c r="GG980" i="98"/>
  <c r="GG100" i="98"/>
  <c r="GG1300" i="98"/>
  <c r="GG260" i="98"/>
  <c r="GG340" i="98"/>
  <c r="GG420" i="98"/>
  <c r="GG1220" i="98"/>
  <c r="GG900" i="98"/>
  <c r="GG820" i="98"/>
  <c r="GG180" i="98"/>
  <c r="GG740" i="98"/>
  <c r="GG660" i="98"/>
  <c r="GA68" i="98"/>
  <c r="GA1668" i="98"/>
  <c r="GA1588" i="98"/>
  <c r="GA1508" i="98"/>
  <c r="GA948" i="98"/>
  <c r="GA1188" i="98"/>
  <c r="GA1108" i="98"/>
  <c r="GA148" i="98"/>
  <c r="GA1428" i="98"/>
  <c r="GA308" i="98"/>
  <c r="GA228" i="98"/>
  <c r="GA1348" i="98"/>
  <c r="GA708" i="98"/>
  <c r="GA868" i="98"/>
  <c r="GA388" i="98"/>
  <c r="GA548" i="98"/>
  <c r="GA788" i="98"/>
  <c r="GA1268" i="98"/>
  <c r="GA1028" i="98"/>
  <c r="GA468" i="98"/>
  <c r="GA628" i="98"/>
  <c r="GL319" i="98"/>
  <c r="GL959" i="98"/>
  <c r="GL159" i="98"/>
  <c r="GL1199" i="98"/>
  <c r="GL1359" i="98"/>
  <c r="GL1119" i="98"/>
  <c r="GL1519" i="98"/>
  <c r="GL1599" i="98"/>
  <c r="GL239" i="98"/>
  <c r="GL479" i="98"/>
  <c r="GL879" i="98"/>
  <c r="GL799" i="98"/>
  <c r="GL1679" i="98"/>
  <c r="GL399" i="98"/>
  <c r="GL1439" i="98"/>
  <c r="GL719" i="98"/>
  <c r="GL1279" i="98"/>
  <c r="GL639" i="98"/>
  <c r="GL559" i="98"/>
  <c r="GL1039" i="98"/>
  <c r="ER71" i="98"/>
  <c r="GL79" i="98"/>
  <c r="GL1308" i="98"/>
  <c r="GL1148" i="98"/>
  <c r="GL1068" i="98"/>
  <c r="GL1228" i="98"/>
  <c r="GL188" i="98"/>
  <c r="GL588" i="98"/>
  <c r="GL1388" i="98"/>
  <c r="GL108" i="98"/>
  <c r="GL268" i="98"/>
  <c r="GL1628" i="98"/>
  <c r="GL828" i="98"/>
  <c r="GL748" i="98"/>
  <c r="GL428" i="98"/>
  <c r="GL1468" i="98"/>
  <c r="GL1548" i="98"/>
  <c r="GL508" i="98"/>
  <c r="GL908" i="98"/>
  <c r="GL988" i="98"/>
  <c r="GL348" i="98"/>
  <c r="GL668" i="98"/>
  <c r="ER25" i="98"/>
  <c r="GL28" i="98"/>
  <c r="FX57" i="98"/>
  <c r="FX137" i="98"/>
  <c r="FX217" i="98"/>
  <c r="FX297" i="98"/>
  <c r="FX377" i="98"/>
  <c r="FX457" i="98"/>
  <c r="FX537" i="98"/>
  <c r="FX617" i="98"/>
  <c r="FX697" i="98"/>
  <c r="FX777" i="98"/>
  <c r="FX857" i="98"/>
  <c r="FX937" i="98"/>
  <c r="FX1017" i="98"/>
  <c r="FX1097" i="98"/>
  <c r="FX1177" i="98"/>
  <c r="FX1257" i="98"/>
  <c r="FX1337" i="98"/>
  <c r="FX1417" i="98"/>
  <c r="FX1497" i="98"/>
  <c r="FX1577" i="98"/>
  <c r="FX1657" i="98"/>
  <c r="FX41" i="98"/>
  <c r="FX121" i="98"/>
  <c r="FX201" i="98"/>
  <c r="FX281" i="98"/>
  <c r="FX361" i="98"/>
  <c r="FX441" i="98"/>
  <c r="FX521" i="98"/>
  <c r="FX601" i="98"/>
  <c r="FX681" i="98"/>
  <c r="FX761" i="98"/>
  <c r="FX841" i="98"/>
  <c r="FX921" i="98"/>
  <c r="FX1001" i="98"/>
  <c r="FX1081" i="98"/>
  <c r="FX1161" i="98"/>
  <c r="FX1241" i="98"/>
  <c r="FX1321" i="98"/>
  <c r="FX1401" i="98"/>
  <c r="FX1481" i="98"/>
  <c r="FX1561" i="98"/>
  <c r="FX1641" i="98"/>
  <c r="FX54" i="98"/>
  <c r="FX134" i="98"/>
  <c r="FX214" i="98"/>
  <c r="FX294" i="98"/>
  <c r="FX374" i="98"/>
  <c r="FX454" i="98"/>
  <c r="FX534" i="98"/>
  <c r="FX614" i="98"/>
  <c r="FX694" i="98"/>
  <c r="FX774" i="98"/>
  <c r="FX854" i="98"/>
  <c r="FX934" i="98"/>
  <c r="FX1014" i="98"/>
  <c r="FX1094" i="98"/>
  <c r="FX1174" i="98"/>
  <c r="FX1254" i="98"/>
  <c r="FX1334" i="98"/>
  <c r="FX1414" i="98"/>
  <c r="FX1494" i="98"/>
  <c r="FX1574" i="98"/>
  <c r="FX1654" i="98"/>
  <c r="FX53" i="98"/>
  <c r="FX133" i="98"/>
  <c r="FX213" i="98"/>
  <c r="FX293" i="98"/>
  <c r="FX373" i="98"/>
  <c r="FX453" i="98"/>
  <c r="FX533" i="98"/>
  <c r="FX613" i="98"/>
  <c r="FX693" i="98"/>
  <c r="FX773" i="98"/>
  <c r="FX853" i="98"/>
  <c r="FX933" i="98"/>
  <c r="FX1013" i="98"/>
  <c r="FX1093" i="98"/>
  <c r="FX1173" i="98"/>
  <c r="FX1253" i="98"/>
  <c r="FX1333" i="98"/>
  <c r="FX1413" i="98"/>
  <c r="FX1493" i="98"/>
  <c r="FX1573" i="98"/>
  <c r="FX1653" i="98"/>
  <c r="GC75" i="98"/>
  <c r="GC1115" i="98"/>
  <c r="GC475" i="98"/>
  <c r="GC315" i="98"/>
  <c r="GC395" i="98"/>
  <c r="GC1675" i="98"/>
  <c r="GC875" i="98"/>
  <c r="GC1035" i="98"/>
  <c r="GC1515" i="98"/>
  <c r="GC635" i="98"/>
  <c r="GC1195" i="98"/>
  <c r="GC1275" i="98"/>
  <c r="GC555" i="98"/>
  <c r="GC155" i="98"/>
  <c r="GC1355" i="98"/>
  <c r="GC1595" i="98"/>
  <c r="GC795" i="98"/>
  <c r="GC1435" i="98"/>
  <c r="GC235" i="98"/>
  <c r="GC715" i="98"/>
  <c r="GC955" i="98"/>
  <c r="GL1107" i="98"/>
  <c r="GL1587" i="98"/>
  <c r="GL787" i="98"/>
  <c r="GL867" i="98"/>
  <c r="GL307" i="98"/>
  <c r="GL1187" i="98"/>
  <c r="GL1347" i="98"/>
  <c r="GL547" i="98"/>
  <c r="GL627" i="98"/>
  <c r="GL147" i="98"/>
  <c r="GL227" i="98"/>
  <c r="GL387" i="98"/>
  <c r="GL1267" i="98"/>
  <c r="GL707" i="98"/>
  <c r="GL1667" i="98"/>
  <c r="GL1507" i="98"/>
  <c r="GL1427" i="98"/>
  <c r="GL947" i="98"/>
  <c r="GL467" i="98"/>
  <c r="GL1027" i="98"/>
  <c r="ER60" i="98"/>
  <c r="GL67" i="98"/>
  <c r="GJ67" i="98"/>
  <c r="GJ1107" i="98"/>
  <c r="GJ307" i="98"/>
  <c r="GJ1507" i="98"/>
  <c r="GJ1587" i="98"/>
  <c r="GJ1427" i="98"/>
  <c r="GJ787" i="98"/>
  <c r="GJ867" i="98"/>
  <c r="GJ467" i="98"/>
  <c r="GJ947" i="98"/>
  <c r="GJ1187" i="98"/>
  <c r="GJ707" i="98"/>
  <c r="GJ147" i="98"/>
  <c r="GJ547" i="98"/>
  <c r="GJ627" i="98"/>
  <c r="GJ1347" i="98"/>
  <c r="GJ387" i="98"/>
  <c r="GJ1667" i="98"/>
  <c r="GJ227" i="98"/>
  <c r="GJ1267" i="98"/>
  <c r="GJ1027" i="98"/>
  <c r="GG31" i="98"/>
  <c r="GG271" i="98"/>
  <c r="GG191" i="98"/>
  <c r="GG1391" i="98"/>
  <c r="GG1231" i="98"/>
  <c r="GG1631" i="98"/>
  <c r="GG1551" i="98"/>
  <c r="GG1151" i="98"/>
  <c r="GG751" i="98"/>
  <c r="GG991" i="98"/>
  <c r="GG351" i="98"/>
  <c r="GG511" i="98"/>
  <c r="GG831" i="98"/>
  <c r="GG911" i="98"/>
  <c r="GG1471" i="98"/>
  <c r="GG111" i="98"/>
  <c r="GG431" i="98"/>
  <c r="GG591" i="98"/>
  <c r="GG1071" i="98"/>
  <c r="GG671" i="98"/>
  <c r="GG1311" i="98"/>
  <c r="GI31" i="98"/>
  <c r="GI511" i="98"/>
  <c r="GI191" i="98"/>
  <c r="GI1391" i="98"/>
  <c r="GI1551" i="98"/>
  <c r="GI1631" i="98"/>
  <c r="GI1151" i="98"/>
  <c r="GI1231" i="98"/>
  <c r="GI1311" i="98"/>
  <c r="GI671" i="98"/>
  <c r="GI351" i="98"/>
  <c r="GI751" i="98"/>
  <c r="GI271" i="98"/>
  <c r="GI911" i="98"/>
  <c r="GI1071" i="98"/>
  <c r="GI831" i="98"/>
  <c r="GI1471" i="98"/>
  <c r="GI591" i="98"/>
  <c r="GI111" i="98"/>
  <c r="GI431" i="98"/>
  <c r="GI991" i="98"/>
  <c r="GL1368" i="98"/>
  <c r="GL1128" i="98"/>
  <c r="GL1448" i="98"/>
  <c r="GL488" i="98"/>
  <c r="GL328" i="98"/>
  <c r="GL168" i="98"/>
  <c r="GL568" i="98"/>
  <c r="GL1288" i="98"/>
  <c r="GL968" i="98"/>
  <c r="GL1208" i="98"/>
  <c r="GL808" i="98"/>
  <c r="GL408" i="98"/>
  <c r="GL648" i="98"/>
  <c r="GL248" i="98"/>
  <c r="GL1528" i="98"/>
  <c r="GL1608" i="98"/>
  <c r="GL88" i="98"/>
  <c r="GL888" i="98"/>
  <c r="GL1048" i="98"/>
  <c r="GL728" i="98"/>
  <c r="ER7" i="98"/>
  <c r="GL8" i="98"/>
  <c r="GG8" i="98"/>
  <c r="GG1368" i="98"/>
  <c r="GG1448" i="98"/>
  <c r="GG408" i="98"/>
  <c r="GG488" i="98"/>
  <c r="GG328" i="98"/>
  <c r="GG168" i="98"/>
  <c r="GG568" i="98"/>
  <c r="GG728" i="98"/>
  <c r="GG808" i="98"/>
  <c r="GG1288" i="98"/>
  <c r="GG1208" i="98"/>
  <c r="GG1608" i="98"/>
  <c r="GG1128" i="98"/>
  <c r="GG1528" i="98"/>
  <c r="GG888" i="98"/>
  <c r="GG88" i="98"/>
  <c r="GG968" i="98"/>
  <c r="GG648" i="98"/>
  <c r="GG1048" i="98"/>
  <c r="GG248" i="98"/>
  <c r="GF9" i="98"/>
  <c r="GF1529" i="98"/>
  <c r="GF569" i="98"/>
  <c r="GF1049" i="98"/>
  <c r="GF649" i="98"/>
  <c r="GF969" i="98"/>
  <c r="GF1289" i="98"/>
  <c r="GF89" i="98"/>
  <c r="GF729" i="98"/>
  <c r="GF1369" i="98"/>
  <c r="GF169" i="98"/>
  <c r="GF889" i="98"/>
  <c r="GF1609" i="98"/>
  <c r="GF249" i="98"/>
  <c r="GF489" i="98"/>
  <c r="GF1449" i="98"/>
  <c r="GF409" i="98"/>
  <c r="GF809" i="98"/>
  <c r="GF1129" i="98"/>
  <c r="GF1209" i="98"/>
  <c r="GF329" i="98"/>
  <c r="GC74" i="98"/>
  <c r="GC1274" i="98"/>
  <c r="GC714" i="98"/>
  <c r="GC314" i="98"/>
  <c r="GC1434" i="98"/>
  <c r="GC1354" i="98"/>
  <c r="GC234" i="98"/>
  <c r="GC1594" i="98"/>
  <c r="GC1034" i="98"/>
  <c r="GC394" i="98"/>
  <c r="GC634" i="98"/>
  <c r="GC954" i="98"/>
  <c r="GC154" i="98"/>
  <c r="GC1114" i="98"/>
  <c r="GC1514" i="98"/>
  <c r="GC554" i="98"/>
  <c r="GC474" i="98"/>
  <c r="GC1674" i="98"/>
  <c r="GC1194" i="98"/>
  <c r="GC874" i="98"/>
  <c r="GC794" i="98"/>
  <c r="GJ540" i="98"/>
  <c r="GJ1660" i="98"/>
  <c r="GI27" i="98"/>
  <c r="GI1067" i="98"/>
  <c r="GI507" i="98"/>
  <c r="GI187" i="98"/>
  <c r="GI267" i="98"/>
  <c r="GI1147" i="98"/>
  <c r="GI747" i="98"/>
  <c r="GI1227" i="98"/>
  <c r="GI667" i="98"/>
  <c r="GI347" i="98"/>
  <c r="GI987" i="98"/>
  <c r="GI1627" i="98"/>
  <c r="GI907" i="98"/>
  <c r="GI1467" i="98"/>
  <c r="GI107" i="98"/>
  <c r="GI587" i="98"/>
  <c r="GI1387" i="98"/>
  <c r="GI1547" i="98"/>
  <c r="GI427" i="98"/>
  <c r="GI1307" i="98"/>
  <c r="GI827" i="98"/>
  <c r="GJ7" i="98"/>
  <c r="GJ87" i="98"/>
  <c r="GJ1207" i="98"/>
  <c r="GJ1527" i="98"/>
  <c r="GJ327" i="98"/>
  <c r="GJ167" i="98"/>
  <c r="GJ1127" i="98"/>
  <c r="GJ1287" i="98"/>
  <c r="GJ247" i="98"/>
  <c r="GJ807" i="98"/>
  <c r="GJ407" i="98"/>
  <c r="GJ487" i="98"/>
  <c r="GJ967" i="98"/>
  <c r="GJ1447" i="98"/>
  <c r="GJ887" i="98"/>
  <c r="GJ1607" i="98"/>
  <c r="GJ1367" i="98"/>
  <c r="GJ727" i="98"/>
  <c r="GJ567" i="98"/>
  <c r="GJ1047" i="98"/>
  <c r="GJ647" i="98"/>
  <c r="GJ70" i="98"/>
  <c r="GJ1110" i="98"/>
  <c r="GJ630" i="98"/>
  <c r="GJ230" i="98"/>
  <c r="GJ550" i="98"/>
  <c r="GJ1030" i="98"/>
  <c r="GJ1430" i="98"/>
  <c r="GJ310" i="98"/>
  <c r="GJ470" i="98"/>
  <c r="GJ790" i="98"/>
  <c r="GJ870" i="98"/>
  <c r="GJ1670" i="98"/>
  <c r="GJ1590" i="98"/>
  <c r="GJ710" i="98"/>
  <c r="GJ390" i="98"/>
  <c r="GJ1350" i="98"/>
  <c r="GJ150" i="98"/>
  <c r="GJ1190" i="98"/>
  <c r="GJ1270" i="98"/>
  <c r="GJ950" i="98"/>
  <c r="GJ1510" i="98"/>
  <c r="GG70" i="98"/>
  <c r="GG1110" i="98"/>
  <c r="GG630" i="98"/>
  <c r="GG390" i="98"/>
  <c r="GG230" i="98"/>
  <c r="GG470" i="98"/>
  <c r="GG870" i="98"/>
  <c r="GG550" i="98"/>
  <c r="GG710" i="98"/>
  <c r="GG1430" i="98"/>
  <c r="GG1590" i="98"/>
  <c r="GG1030" i="98"/>
  <c r="GG1510" i="98"/>
  <c r="GG150" i="98"/>
  <c r="GG1350" i="98"/>
  <c r="GG1190" i="98"/>
  <c r="GG1270" i="98"/>
  <c r="GG1670" i="98"/>
  <c r="GG950" i="98"/>
  <c r="GG310" i="98"/>
  <c r="GG790" i="98"/>
  <c r="GC65" i="98"/>
  <c r="GC1665" i="98"/>
  <c r="GC705" i="98"/>
  <c r="GC625" i="98"/>
  <c r="GC385" i="98"/>
  <c r="GC1585" i="98"/>
  <c r="GC1345" i="98"/>
  <c r="GC865" i="98"/>
  <c r="GC945" i="98"/>
  <c r="GC1025" i="98"/>
  <c r="GC1265" i="98"/>
  <c r="GC1105" i="98"/>
  <c r="GC785" i="98"/>
  <c r="GC545" i="98"/>
  <c r="GC1425" i="98"/>
  <c r="GC1505" i="98"/>
  <c r="GC1185" i="98"/>
  <c r="GC145" i="98"/>
  <c r="GC465" i="98"/>
  <c r="GC225" i="98"/>
  <c r="GC305" i="98"/>
  <c r="GI29" i="98"/>
  <c r="GI1389" i="98"/>
  <c r="GI1469" i="98"/>
  <c r="GI749" i="98"/>
  <c r="GI669" i="98"/>
  <c r="GI349" i="98"/>
  <c r="GI109" i="98"/>
  <c r="GI269" i="98"/>
  <c r="GI589" i="98"/>
  <c r="GI989" i="98"/>
  <c r="GI1069" i="98"/>
  <c r="GI429" i="98"/>
  <c r="GI1149" i="98"/>
  <c r="GI509" i="98"/>
  <c r="GI1629" i="98"/>
  <c r="GI1229" i="98"/>
  <c r="GI189" i="98"/>
  <c r="GI1549" i="98"/>
  <c r="GI909" i="98"/>
  <c r="GI829" i="98"/>
  <c r="GI1309" i="98"/>
  <c r="GF69" i="98"/>
  <c r="GF1349" i="98"/>
  <c r="GF1429" i="98"/>
  <c r="GF1669" i="98"/>
  <c r="GF949" i="98"/>
  <c r="GF549" i="98"/>
  <c r="GF469" i="98"/>
  <c r="GF709" i="98"/>
  <c r="GF229" i="98"/>
  <c r="GF1109" i="98"/>
  <c r="GF149" i="98"/>
  <c r="GF1589" i="98"/>
  <c r="GF309" i="98"/>
  <c r="GF629" i="98"/>
  <c r="GF1509" i="98"/>
  <c r="GF869" i="98"/>
  <c r="GF1189" i="98"/>
  <c r="GF789" i="98"/>
  <c r="GF389" i="98"/>
  <c r="GF1029" i="98"/>
  <c r="GF1269" i="98"/>
  <c r="GF21" i="98"/>
  <c r="GF1461" i="98"/>
  <c r="GF1381" i="98"/>
  <c r="GF741" i="98"/>
  <c r="GF421" i="98"/>
  <c r="GF261" i="98"/>
  <c r="GF341" i="98"/>
  <c r="GF981" i="98"/>
  <c r="GF661" i="98"/>
  <c r="GF1621" i="98"/>
  <c r="GF101" i="98"/>
  <c r="GF581" i="98"/>
  <c r="GF901" i="98"/>
  <c r="GF821" i="98"/>
  <c r="GF1301" i="98"/>
  <c r="GF181" i="98"/>
  <c r="GF1541" i="98"/>
  <c r="GF501" i="98"/>
  <c r="GF1141" i="98"/>
  <c r="GF1221" i="98"/>
  <c r="GF1061" i="98"/>
  <c r="GG21" i="98"/>
  <c r="GG741" i="98"/>
  <c r="GG581" i="98"/>
  <c r="GG1541" i="98"/>
  <c r="GG901" i="98"/>
  <c r="GG1221" i="98"/>
  <c r="GC35" i="98"/>
  <c r="GC1075" i="98"/>
  <c r="GC275" i="98"/>
  <c r="GC195" i="98"/>
  <c r="GC1555" i="98"/>
  <c r="GC1235" i="98"/>
  <c r="GC995" i="98"/>
  <c r="GC835" i="98"/>
  <c r="GC915" i="98"/>
  <c r="GC515" i="98"/>
  <c r="GC355" i="98"/>
  <c r="GC1315" i="98"/>
  <c r="GC755" i="98"/>
  <c r="GC1475" i="98"/>
  <c r="GC675" i="98"/>
  <c r="GC435" i="98"/>
  <c r="GC1635" i="98"/>
  <c r="GC1395" i="98"/>
  <c r="GC595" i="98"/>
  <c r="GC115" i="98"/>
  <c r="GC1155" i="98"/>
  <c r="GL1059" i="98"/>
  <c r="GL339" i="98"/>
  <c r="GL419" i="98"/>
  <c r="GL1459" i="98"/>
  <c r="GL819" i="98"/>
  <c r="GL899" i="98"/>
  <c r="GL259" i="98"/>
  <c r="GL1139" i="98"/>
  <c r="GL499" i="98"/>
  <c r="GL1299" i="98"/>
  <c r="GL179" i="98"/>
  <c r="GL739" i="98"/>
  <c r="GL1379" i="98"/>
  <c r="GL1619" i="98"/>
  <c r="GL659" i="98"/>
  <c r="GL979" i="98"/>
  <c r="GL1219" i="98"/>
  <c r="GL579" i="98"/>
  <c r="GL99" i="98"/>
  <c r="GL1539" i="98"/>
  <c r="ER17" i="98"/>
  <c r="GL19" i="98"/>
  <c r="GC33" i="98"/>
  <c r="GC1313" i="98"/>
  <c r="GC1473" i="98"/>
  <c r="GC673" i="98"/>
  <c r="GC993" i="98"/>
  <c r="GC753" i="98"/>
  <c r="GC1393" i="98"/>
  <c r="GC1633" i="98"/>
  <c r="GC513" i="98"/>
  <c r="GC1553" i="98"/>
  <c r="GC1233" i="98"/>
  <c r="GC433" i="98"/>
  <c r="GC1153" i="98"/>
  <c r="GC353" i="98"/>
  <c r="GC193" i="98"/>
  <c r="GC593" i="98"/>
  <c r="GC833" i="98"/>
  <c r="GC273" i="98"/>
  <c r="GC913" i="98"/>
  <c r="GC113" i="98"/>
  <c r="GC1073" i="98"/>
  <c r="GJ30" i="98"/>
  <c r="GJ1070" i="98"/>
  <c r="GJ1550" i="98"/>
  <c r="GJ590" i="98"/>
  <c r="GJ430" i="98"/>
  <c r="GJ110" i="98"/>
  <c r="GJ190" i="98"/>
  <c r="GJ1390" i="98"/>
  <c r="GJ1310" i="98"/>
  <c r="GJ350" i="98"/>
  <c r="GJ510" i="98"/>
  <c r="GJ670" i="98"/>
  <c r="GJ270" i="98"/>
  <c r="GJ1150" i="98"/>
  <c r="GJ910" i="98"/>
  <c r="GJ1630" i="98"/>
  <c r="GJ990" i="98"/>
  <c r="GJ830" i="98"/>
  <c r="GJ1230" i="98"/>
  <c r="GJ1470" i="98"/>
  <c r="GJ750" i="98"/>
  <c r="FX23" i="98"/>
  <c r="FX103" i="98"/>
  <c r="FX183" i="98"/>
  <c r="FX263" i="98"/>
  <c r="FX343" i="98"/>
  <c r="FX423" i="98"/>
  <c r="FX503" i="98"/>
  <c r="FX583" i="98"/>
  <c r="FX663" i="98"/>
  <c r="FX743" i="98"/>
  <c r="FX823" i="98"/>
  <c r="FX903" i="98"/>
  <c r="FX983" i="98"/>
  <c r="FX1063" i="98"/>
  <c r="FX1143" i="98"/>
  <c r="FX1223" i="98"/>
  <c r="FX1303" i="98"/>
  <c r="FX1383" i="98"/>
  <c r="FX1463" i="98"/>
  <c r="FX1543" i="98"/>
  <c r="FX1623" i="98"/>
  <c r="GL1218" i="98"/>
  <c r="GL1298" i="98"/>
  <c r="GL1058" i="98"/>
  <c r="GL578" i="98"/>
  <c r="GL258" i="98"/>
  <c r="GL98" i="98"/>
  <c r="GL1458" i="98"/>
  <c r="GL498" i="98"/>
  <c r="GL1618" i="98"/>
  <c r="GL658" i="98"/>
  <c r="GL1138" i="98"/>
  <c r="GL818" i="98"/>
  <c r="GL178" i="98"/>
  <c r="GL1538" i="98"/>
  <c r="GL418" i="98"/>
  <c r="GL738" i="98"/>
  <c r="GL898" i="98"/>
  <c r="GL978" i="98"/>
  <c r="GL1378" i="98"/>
  <c r="GL338" i="98"/>
  <c r="ER16" i="98"/>
  <c r="GL18" i="98"/>
  <c r="GL1357" i="98"/>
  <c r="GL1677" i="98"/>
  <c r="GL1037" i="98"/>
  <c r="GL237" i="98"/>
  <c r="GL477" i="98"/>
  <c r="GL557" i="98"/>
  <c r="GL1277" i="98"/>
  <c r="GL637" i="98"/>
  <c r="GL717" i="98"/>
  <c r="GL157" i="98"/>
  <c r="GL397" i="98"/>
  <c r="GL1597" i="98"/>
  <c r="GL1517" i="98"/>
  <c r="GL957" i="98"/>
  <c r="GL1437" i="98"/>
  <c r="GL1117" i="98"/>
  <c r="GL877" i="98"/>
  <c r="GL797" i="98"/>
  <c r="GL1197" i="98"/>
  <c r="GL317" i="98"/>
  <c r="ER69" i="98"/>
  <c r="GL77" i="98"/>
  <c r="GG77" i="98"/>
  <c r="GG1677" i="98"/>
  <c r="GG1437" i="98"/>
  <c r="GG1517" i="98"/>
  <c r="GG1357" i="98"/>
  <c r="GG1597" i="98"/>
  <c r="GG557" i="98"/>
  <c r="GG957" i="98"/>
  <c r="GG637" i="98"/>
  <c r="GG397" i="98"/>
  <c r="GG717" i="98"/>
  <c r="GG1037" i="98"/>
  <c r="GG237" i="98"/>
  <c r="GG1117" i="98"/>
  <c r="GG317" i="98"/>
  <c r="GG477" i="98"/>
  <c r="GG157" i="98"/>
  <c r="GG1277" i="98"/>
  <c r="GG797" i="98"/>
  <c r="GG877" i="98"/>
  <c r="GG1197" i="98"/>
  <c r="GA59" i="98"/>
  <c r="GA459" i="98"/>
  <c r="GA1019" i="98"/>
  <c r="GA939" i="98"/>
  <c r="GA699" i="98"/>
  <c r="GA1339" i="98"/>
  <c r="GA299" i="98"/>
  <c r="GA619" i="98"/>
  <c r="GA1099" i="98"/>
  <c r="GA539" i="98"/>
  <c r="GA1179" i="98"/>
  <c r="GA219" i="98"/>
  <c r="GA1259" i="98"/>
  <c r="GA139" i="98"/>
  <c r="GA379" i="98"/>
  <c r="GA1419" i="98"/>
  <c r="GA859" i="98"/>
  <c r="GA779" i="98"/>
  <c r="GA1579" i="98"/>
  <c r="GA1499" i="98"/>
  <c r="GA1659" i="98"/>
  <c r="GI59" i="98"/>
  <c r="GI539" i="98"/>
  <c r="GI459" i="98"/>
  <c r="GI1019" i="98"/>
  <c r="GI939" i="98"/>
  <c r="GI1339" i="98"/>
  <c r="GI299" i="98"/>
  <c r="GI1179" i="98"/>
  <c r="GI1099" i="98"/>
  <c r="GI219" i="98"/>
  <c r="GI859" i="98"/>
  <c r="GI779" i="98"/>
  <c r="GI1579" i="98"/>
  <c r="GI1499" i="98"/>
  <c r="GI619" i="98"/>
  <c r="GI139" i="98"/>
  <c r="GI1259" i="98"/>
  <c r="GI1659" i="98"/>
  <c r="GI379" i="98"/>
  <c r="GI1419" i="98"/>
  <c r="GI699" i="98"/>
  <c r="GC71" i="98"/>
  <c r="GC311" i="98"/>
  <c r="GC231" i="98"/>
  <c r="GC551" i="98"/>
  <c r="GC391" i="98"/>
  <c r="GC1191" i="98"/>
  <c r="GC1671" i="98"/>
  <c r="GC1031" i="98"/>
  <c r="GC471" i="98"/>
  <c r="GC791" i="98"/>
  <c r="GC871" i="98"/>
  <c r="GC1351" i="98"/>
  <c r="GC1431" i="98"/>
  <c r="GC1271" i="98"/>
  <c r="GC1111" i="98"/>
  <c r="GC951" i="98"/>
  <c r="GC1511" i="98"/>
  <c r="GC1591" i="98"/>
  <c r="GC151" i="98"/>
  <c r="GC631" i="98"/>
  <c r="GC711" i="98"/>
  <c r="GC1360" i="98"/>
  <c r="GC320" i="98"/>
  <c r="GC400" i="98"/>
  <c r="GC1520" i="98"/>
  <c r="GC1040" i="98"/>
  <c r="GF78" i="98"/>
  <c r="GF1438" i="98"/>
  <c r="GF1278" i="98"/>
  <c r="GF1038" i="98"/>
  <c r="GF718" i="98"/>
  <c r="GF638" i="98"/>
  <c r="GF238" i="98"/>
  <c r="GF478" i="98"/>
  <c r="GF1358" i="98"/>
  <c r="GF1518" i="98"/>
  <c r="GF1598" i="98"/>
  <c r="GF1118" i="98"/>
  <c r="GF1198" i="98"/>
  <c r="GF878" i="98"/>
  <c r="GF558" i="98"/>
  <c r="GF798" i="98"/>
  <c r="GF398" i="98"/>
  <c r="GF158" i="98"/>
  <c r="GF958" i="98"/>
  <c r="GF1678" i="98"/>
  <c r="GF318" i="98"/>
  <c r="GI10" i="98"/>
  <c r="GI1290" i="98"/>
  <c r="GI1210" i="98"/>
  <c r="GI410" i="98"/>
  <c r="GI730" i="98"/>
  <c r="GI250" i="98"/>
  <c r="GI1130" i="98"/>
  <c r="GI650" i="98"/>
  <c r="GI570" i="98"/>
  <c r="GI170" i="98"/>
  <c r="GI1050" i="98"/>
  <c r="GI1610" i="98"/>
  <c r="GI1530" i="98"/>
  <c r="GI1450" i="98"/>
  <c r="GI90" i="98"/>
  <c r="GI490" i="98"/>
  <c r="GI330" i="98"/>
  <c r="GI1370" i="98"/>
  <c r="GI970" i="98"/>
  <c r="GI890" i="98"/>
  <c r="GI810" i="98"/>
  <c r="GL778" i="98"/>
  <c r="GL1178" i="98"/>
  <c r="GL1018" i="98"/>
  <c r="GL458" i="98"/>
  <c r="GL618" i="98"/>
  <c r="GL218" i="98"/>
  <c r="GL1418" i="98"/>
  <c r="GL1498" i="98"/>
  <c r="GL1098" i="98"/>
  <c r="GL1258" i="98"/>
  <c r="GL698" i="98"/>
  <c r="GL538" i="98"/>
  <c r="GL298" i="98"/>
  <c r="GL1578" i="98"/>
  <c r="GL938" i="98"/>
  <c r="GL138" i="98"/>
  <c r="GL1658" i="98"/>
  <c r="GL858" i="98"/>
  <c r="GL378" i="98"/>
  <c r="GL1338" i="98"/>
  <c r="GL58" i="98"/>
  <c r="ER52" i="98"/>
  <c r="GA1178" i="98"/>
  <c r="GA138" i="98"/>
  <c r="GJ17" i="98"/>
  <c r="GJ657" i="98"/>
  <c r="GJ577" i="98"/>
  <c r="GJ417" i="98"/>
  <c r="GJ97" i="98"/>
  <c r="GJ1137" i="98"/>
  <c r="GJ737" i="98"/>
  <c r="GJ1297" i="98"/>
  <c r="GJ1537" i="98"/>
  <c r="GJ977" i="98"/>
  <c r="GJ1617" i="98"/>
  <c r="GJ1057" i="98"/>
  <c r="GJ177" i="98"/>
  <c r="GJ1377" i="98"/>
  <c r="GJ1457" i="98"/>
  <c r="GJ257" i="98"/>
  <c r="GJ817" i="98"/>
  <c r="GJ897" i="98"/>
  <c r="GJ497" i="98"/>
  <c r="GJ1217" i="98"/>
  <c r="GJ337" i="98"/>
  <c r="GF17" i="98"/>
  <c r="GF657" i="98"/>
  <c r="GF577" i="98"/>
  <c r="GF417" i="98"/>
  <c r="GF97" i="98"/>
  <c r="GF977" i="98"/>
  <c r="GF1617" i="98"/>
  <c r="GF1137" i="98"/>
  <c r="GF737" i="98"/>
  <c r="GF177" i="98"/>
  <c r="GF1057" i="98"/>
  <c r="GF1457" i="98"/>
  <c r="GF1377" i="98"/>
  <c r="GF817" i="98"/>
  <c r="GF897" i="98"/>
  <c r="GF337" i="98"/>
  <c r="GF1537" i="98"/>
  <c r="GF257" i="98"/>
  <c r="GF1217" i="98"/>
  <c r="GF497" i="98"/>
  <c r="GF1297" i="98"/>
  <c r="GI23" i="98"/>
  <c r="GI343" i="98"/>
  <c r="GI663" i="98"/>
  <c r="GI423" i="98"/>
  <c r="GI183" i="98"/>
  <c r="GI1303" i="98"/>
  <c r="GI983" i="98"/>
  <c r="GI1463" i="98"/>
  <c r="GI1383" i="98"/>
  <c r="GI1623" i="98"/>
  <c r="GI583" i="98"/>
  <c r="GI263" i="98"/>
  <c r="GI503" i="98"/>
  <c r="GI1143" i="98"/>
  <c r="GI1223" i="98"/>
  <c r="GI823" i="98"/>
  <c r="GI903" i="98"/>
  <c r="GI1543" i="98"/>
  <c r="GI743" i="98"/>
  <c r="GI103" i="98"/>
  <c r="GI1063" i="98"/>
  <c r="GG1453" i="98"/>
  <c r="GG733" i="98"/>
  <c r="GG1133" i="98"/>
  <c r="GG893" i="98"/>
  <c r="GG1213" i="98"/>
  <c r="GJ12" i="98"/>
  <c r="GJ1292" i="98"/>
  <c r="GJ1132" i="98"/>
  <c r="GJ1532" i="98"/>
  <c r="GJ492" i="98"/>
  <c r="GJ1212" i="98"/>
  <c r="GJ652" i="98"/>
  <c r="GJ572" i="98"/>
  <c r="GJ1052" i="98"/>
  <c r="GJ1452" i="98"/>
  <c r="GJ812" i="98"/>
  <c r="GJ332" i="98"/>
  <c r="GJ892" i="98"/>
  <c r="GJ972" i="98"/>
  <c r="GJ1612" i="98"/>
  <c r="GJ1372" i="98"/>
  <c r="GJ732" i="98"/>
  <c r="GJ412" i="98"/>
  <c r="GJ92" i="98"/>
  <c r="GJ252" i="98"/>
  <c r="GJ172" i="98"/>
  <c r="GL1292" i="98"/>
  <c r="GL1132" i="98"/>
  <c r="GL1052" i="98"/>
  <c r="GL652" i="98"/>
  <c r="GL1372" i="98"/>
  <c r="GL572" i="98"/>
  <c r="GL1532" i="98"/>
  <c r="GL972" i="98"/>
  <c r="GL1452" i="98"/>
  <c r="GL812" i="98"/>
  <c r="GL332" i="98"/>
  <c r="GL1612" i="98"/>
  <c r="GL492" i="98"/>
  <c r="GL1212" i="98"/>
  <c r="GL412" i="98"/>
  <c r="GL732" i="98"/>
  <c r="GL892" i="98"/>
  <c r="GL92" i="98"/>
  <c r="GL252" i="98"/>
  <c r="GL172" i="98"/>
  <c r="ER11" i="98"/>
  <c r="GL12" i="98"/>
  <c r="GJ22" i="98"/>
  <c r="GJ1622" i="98"/>
  <c r="GJ1542" i="98"/>
  <c r="GJ1142" i="98"/>
  <c r="GJ662" i="98"/>
  <c r="GJ582" i="98"/>
  <c r="GJ262" i="98"/>
  <c r="GJ182" i="98"/>
  <c r="GJ102" i="98"/>
  <c r="GJ902" i="98"/>
  <c r="GJ822" i="98"/>
  <c r="GJ1062" i="98"/>
  <c r="GJ1382" i="98"/>
  <c r="GJ1462" i="98"/>
  <c r="GJ502" i="98"/>
  <c r="GJ742" i="98"/>
  <c r="GJ422" i="98"/>
  <c r="GJ1302" i="98"/>
  <c r="GJ982" i="98"/>
  <c r="GJ1222" i="98"/>
  <c r="GJ342" i="98"/>
  <c r="GI57" i="98"/>
  <c r="GI1657" i="98"/>
  <c r="GI1497" i="98"/>
  <c r="GI617" i="98"/>
  <c r="GI777" i="98"/>
  <c r="GI1097" i="98"/>
  <c r="GI1017" i="98"/>
  <c r="GI137" i="98"/>
  <c r="GI377" i="98"/>
  <c r="GI697" i="98"/>
  <c r="GI537" i="98"/>
  <c r="GI1177" i="98"/>
  <c r="GI1257" i="98"/>
  <c r="GI1417" i="98"/>
  <c r="GI1337" i="98"/>
  <c r="GI457" i="98"/>
  <c r="GI1577" i="98"/>
  <c r="GI297" i="98"/>
  <c r="GI937" i="98"/>
  <c r="GI217" i="98"/>
  <c r="GI857" i="98"/>
  <c r="GF11" i="98"/>
  <c r="GF1051" i="98"/>
  <c r="GF1131" i="98"/>
  <c r="GF171" i="98"/>
  <c r="GF331" i="98"/>
  <c r="GF891" i="98"/>
  <c r="GF1611" i="98"/>
  <c r="GF411" i="98"/>
  <c r="GF1451" i="98"/>
  <c r="GF651" i="98"/>
  <c r="GF91" i="98"/>
  <c r="GF1211" i="98"/>
  <c r="GF491" i="98"/>
  <c r="GF811" i="98"/>
  <c r="GF1531" i="98"/>
  <c r="GF731" i="98"/>
  <c r="GF1371" i="98"/>
  <c r="GF971" i="98"/>
  <c r="GF251" i="98"/>
  <c r="GF571" i="98"/>
  <c r="GF1291" i="98"/>
  <c r="GA11" i="98"/>
  <c r="GA1051" i="98"/>
  <c r="GA1131" i="98"/>
  <c r="GA491" i="98"/>
  <c r="GA171" i="98"/>
  <c r="GA1611" i="98"/>
  <c r="GA1291" i="98"/>
  <c r="GA1451" i="98"/>
  <c r="GA651" i="98"/>
  <c r="GA811" i="98"/>
  <c r="GA1211" i="98"/>
  <c r="GA91" i="98"/>
  <c r="GA251" i="98"/>
  <c r="GA331" i="98"/>
  <c r="GA731" i="98"/>
  <c r="GA971" i="98"/>
  <c r="GA1531" i="98"/>
  <c r="GA891" i="98"/>
  <c r="GA1371" i="98"/>
  <c r="GA571" i="98"/>
  <c r="GA411" i="98"/>
  <c r="GL1460" i="98"/>
  <c r="GL1380" i="98"/>
  <c r="GL1220" i="98"/>
  <c r="GL1140" i="98"/>
  <c r="GL500" i="98"/>
  <c r="GL1300" i="98"/>
  <c r="GL1060" i="98"/>
  <c r="GL100" i="98"/>
  <c r="GL260" i="98"/>
  <c r="GL1540" i="98"/>
  <c r="GL1620" i="98"/>
  <c r="GL820" i="98"/>
  <c r="GL420" i="98"/>
  <c r="GL900" i="98"/>
  <c r="GL660" i="98"/>
  <c r="GL740" i="98"/>
  <c r="GL340" i="98"/>
  <c r="GL980" i="98"/>
  <c r="GL180" i="98"/>
  <c r="GL580" i="98"/>
  <c r="ER18" i="98"/>
  <c r="GL20" i="98"/>
  <c r="GJ20" i="98"/>
  <c r="GJ1140" i="98"/>
  <c r="GJ500" i="98"/>
  <c r="GJ740" i="98"/>
  <c r="GJ580" i="98"/>
  <c r="GJ1220" i="98"/>
  <c r="GJ100" i="98"/>
  <c r="GJ660" i="98"/>
  <c r="GJ260" i="98"/>
  <c r="GJ980" i="98"/>
  <c r="GJ1380" i="98"/>
  <c r="GJ1460" i="98"/>
  <c r="GJ1540" i="98"/>
  <c r="GJ1620" i="98"/>
  <c r="GJ420" i="98"/>
  <c r="GJ1060" i="98"/>
  <c r="GJ1300" i="98"/>
  <c r="GJ180" i="98"/>
  <c r="GJ900" i="98"/>
  <c r="GJ820" i="98"/>
  <c r="GJ340" i="98"/>
  <c r="GC83" i="98"/>
  <c r="GC403" i="98"/>
  <c r="GC1043" i="98"/>
  <c r="GC1363" i="98"/>
  <c r="GC1603" i="98"/>
  <c r="GC1203" i="98"/>
  <c r="GC1523" i="98"/>
  <c r="GC323" i="98"/>
  <c r="GC803" i="98"/>
  <c r="GC883" i="98"/>
  <c r="GC1123" i="98"/>
  <c r="GC243" i="98"/>
  <c r="GC483" i="98"/>
  <c r="GC643" i="98"/>
  <c r="GC1443" i="98"/>
  <c r="GC163" i="98"/>
  <c r="GC1683" i="98"/>
  <c r="GC963" i="98"/>
  <c r="GC563" i="98"/>
  <c r="GC1283" i="98"/>
  <c r="GC723" i="98"/>
  <c r="GC14" i="98"/>
  <c r="GC1534" i="98"/>
  <c r="GC1294" i="98"/>
  <c r="GC1054" i="98"/>
  <c r="GC574" i="98"/>
  <c r="GC1614" i="98"/>
  <c r="GC174" i="98"/>
  <c r="GC734" i="98"/>
  <c r="GC1454" i="98"/>
  <c r="GC1214" i="98"/>
  <c r="GC654" i="98"/>
  <c r="GC1134" i="98"/>
  <c r="GC894" i="98"/>
  <c r="GC814" i="98"/>
  <c r="GC1374" i="98"/>
  <c r="GC974" i="98"/>
  <c r="GC414" i="98"/>
  <c r="GC254" i="98"/>
  <c r="GC334" i="98"/>
  <c r="GC494" i="98"/>
  <c r="GC94" i="98"/>
  <c r="GL1428" i="98"/>
  <c r="GL1348" i="98"/>
  <c r="GL1188" i="98"/>
  <c r="GL1108" i="98"/>
  <c r="GL948" i="98"/>
  <c r="GL308" i="98"/>
  <c r="GL228" i="98"/>
  <c r="GL1268" i="98"/>
  <c r="GL1588" i="98"/>
  <c r="GL148" i="98"/>
  <c r="GL388" i="98"/>
  <c r="GL1508" i="98"/>
  <c r="GL1668" i="98"/>
  <c r="GL868" i="98"/>
  <c r="GL548" i="98"/>
  <c r="GL788" i="98"/>
  <c r="GL708" i="98"/>
  <c r="GL628" i="98"/>
  <c r="GL468" i="98"/>
  <c r="GL1028" i="98"/>
  <c r="ER61" i="98"/>
  <c r="GL68" i="98"/>
  <c r="GG68" i="98"/>
  <c r="GG1668" i="98"/>
  <c r="GG1588" i="98"/>
  <c r="GG1108" i="98"/>
  <c r="GG1508" i="98"/>
  <c r="GG1428" i="98"/>
  <c r="GG1348" i="98"/>
  <c r="GG948" i="98"/>
  <c r="GG228" i="98"/>
  <c r="GG308" i="98"/>
  <c r="GG148" i="98"/>
  <c r="GG388" i="98"/>
  <c r="GG468" i="98"/>
  <c r="GG1268" i="98"/>
  <c r="GG548" i="98"/>
  <c r="GG708" i="98"/>
  <c r="GG1188" i="98"/>
  <c r="GG868" i="98"/>
  <c r="GG628" i="98"/>
  <c r="GG788" i="98"/>
  <c r="GG1028" i="98"/>
  <c r="GF79" i="98"/>
  <c r="GF319" i="98"/>
  <c r="GF159" i="98"/>
  <c r="GF1359" i="98"/>
  <c r="GF1519" i="98"/>
  <c r="GF1679" i="98"/>
  <c r="GF239" i="98"/>
  <c r="GF639" i="98"/>
  <c r="GF479" i="98"/>
  <c r="GF799" i="98"/>
  <c r="GF879" i="98"/>
  <c r="GF1599" i="98"/>
  <c r="GF559" i="98"/>
  <c r="GF1199" i="98"/>
  <c r="GF1039" i="98"/>
  <c r="GF1119" i="98"/>
  <c r="GF399" i="98"/>
  <c r="GF719" i="98"/>
  <c r="GF1279" i="98"/>
  <c r="GF1439" i="98"/>
  <c r="GF959" i="98"/>
  <c r="GJ79" i="98"/>
  <c r="GJ319" i="98"/>
  <c r="GJ239" i="98"/>
  <c r="GJ1359" i="98"/>
  <c r="GJ1199" i="98"/>
  <c r="GJ399" i="98"/>
  <c r="GJ159" i="98"/>
  <c r="GJ959" i="98"/>
  <c r="GJ559" i="98"/>
  <c r="GJ1119" i="98"/>
  <c r="GJ1519" i="98"/>
  <c r="GJ639" i="98"/>
  <c r="GJ1679" i="98"/>
  <c r="GJ1439" i="98"/>
  <c r="GJ479" i="98"/>
  <c r="GJ799" i="98"/>
  <c r="GJ879" i="98"/>
  <c r="GJ1599" i="98"/>
  <c r="GJ1279" i="98"/>
  <c r="GJ719" i="98"/>
  <c r="GJ1039" i="98"/>
  <c r="GC63" i="98"/>
  <c r="GC303" i="98"/>
  <c r="GC1023" i="98"/>
  <c r="GC143" i="98"/>
  <c r="GC1343" i="98"/>
  <c r="GC1583" i="98"/>
  <c r="GC703" i="98"/>
  <c r="GC223" i="98"/>
  <c r="GC623" i="98"/>
  <c r="GC1663" i="98"/>
  <c r="GC943" i="98"/>
  <c r="GC543" i="98"/>
  <c r="GC1503" i="98"/>
  <c r="GC383" i="98"/>
  <c r="GC863" i="98"/>
  <c r="GC1423" i="98"/>
  <c r="GC1183" i="98"/>
  <c r="GC463" i="98"/>
  <c r="GC1263" i="98"/>
  <c r="GC1103" i="98"/>
  <c r="GC783" i="98"/>
  <c r="GG28" i="98"/>
  <c r="GG1308" i="98"/>
  <c r="GG1068" i="98"/>
  <c r="GG1228" i="98"/>
  <c r="GG508" i="98"/>
  <c r="GG268" i="98"/>
  <c r="GG588" i="98"/>
  <c r="GG428" i="98"/>
  <c r="GG188" i="98"/>
  <c r="GG1148" i="98"/>
  <c r="GG1548" i="98"/>
  <c r="GG1628" i="98"/>
  <c r="GG748" i="98"/>
  <c r="GG108" i="98"/>
  <c r="GG1388" i="98"/>
  <c r="GG1468" i="98"/>
  <c r="GG348" i="98"/>
  <c r="GG828" i="98"/>
  <c r="GG668" i="98"/>
  <c r="GG988" i="98"/>
  <c r="GG908" i="98"/>
  <c r="GF28" i="98"/>
  <c r="GF1308" i="98"/>
  <c r="GF1228" i="98"/>
  <c r="GF1068" i="98"/>
  <c r="GF188" i="98"/>
  <c r="GF108" i="98"/>
  <c r="GF268" i="98"/>
  <c r="GF588" i="98"/>
  <c r="GF428" i="98"/>
  <c r="GF508" i="98"/>
  <c r="GF1628" i="98"/>
  <c r="GF828" i="98"/>
  <c r="GF748" i="98"/>
  <c r="GF1388" i="98"/>
  <c r="GF1148" i="98"/>
  <c r="GF1468" i="98"/>
  <c r="GF1548" i="98"/>
  <c r="GF988" i="98"/>
  <c r="GF668" i="98"/>
  <c r="GF348" i="98"/>
  <c r="GF908" i="98"/>
  <c r="FX60" i="98"/>
  <c r="FX140" i="98"/>
  <c r="FX220" i="98"/>
  <c r="FX300" i="98"/>
  <c r="FX380" i="98"/>
  <c r="FX460" i="98"/>
  <c r="FX540" i="98"/>
  <c r="FX620" i="98"/>
  <c r="FX700" i="98"/>
  <c r="FX780" i="98"/>
  <c r="FX860" i="98"/>
  <c r="FX940" i="98"/>
  <c r="FX1020" i="98"/>
  <c r="FX1100" i="98"/>
  <c r="FX1180" i="98"/>
  <c r="FX1260" i="98"/>
  <c r="FX1340" i="98"/>
  <c r="FX1420" i="98"/>
  <c r="FX1500" i="98"/>
  <c r="FX1580" i="98"/>
  <c r="FX1660" i="98"/>
  <c r="FX68" i="98"/>
  <c r="FX148" i="98"/>
  <c r="FX228" i="98"/>
  <c r="FX308" i="98"/>
  <c r="FX388" i="98"/>
  <c r="FX468" i="98"/>
  <c r="FX548" i="98"/>
  <c r="FX628" i="98"/>
  <c r="FX708" i="98"/>
  <c r="FX788" i="98"/>
  <c r="FX868" i="98"/>
  <c r="FX948" i="98"/>
  <c r="FX1028" i="98"/>
  <c r="FX1108" i="98"/>
  <c r="FX1188" i="98"/>
  <c r="FX1268" i="98"/>
  <c r="FX1348" i="98"/>
  <c r="FX1428" i="98"/>
  <c r="FX1508" i="98"/>
  <c r="FX1588" i="98"/>
  <c r="FX1668" i="98"/>
  <c r="FX58" i="98"/>
  <c r="FX138" i="98"/>
  <c r="FX218" i="98"/>
  <c r="FX298" i="98"/>
  <c r="FX378" i="98"/>
  <c r="FX458" i="98"/>
  <c r="FX538" i="98"/>
  <c r="FX618" i="98"/>
  <c r="FX698" i="98"/>
  <c r="FX778" i="98"/>
  <c r="FX858" i="98"/>
  <c r="FX938" i="98"/>
  <c r="FX1018" i="98"/>
  <c r="FX1098" i="98"/>
  <c r="FX1178" i="98"/>
  <c r="FX1258" i="98"/>
  <c r="FX1338" i="98"/>
  <c r="FX1418" i="98"/>
  <c r="FX1498" i="98"/>
  <c r="FX1578" i="98"/>
  <c r="FX1658" i="98"/>
  <c r="FX67" i="98"/>
  <c r="FX147" i="98"/>
  <c r="FX307" i="98"/>
  <c r="FX387" i="98"/>
  <c r="FX227" i="98"/>
  <c r="FX467" i="98"/>
  <c r="FX547" i="98"/>
  <c r="FX627" i="98"/>
  <c r="FX707" i="98"/>
  <c r="FX787" i="98"/>
  <c r="FX867" i="98"/>
  <c r="FX947" i="98"/>
  <c r="FX1027" i="98"/>
  <c r="FX1107" i="98"/>
  <c r="FX1187" i="98"/>
  <c r="FX1267" i="98"/>
  <c r="FX1347" i="98"/>
  <c r="FX1427" i="98"/>
  <c r="FX1507" i="98"/>
  <c r="FX1587" i="98"/>
  <c r="FX1667" i="98"/>
  <c r="FX42" i="98"/>
  <c r="FX122" i="98"/>
  <c r="FX202" i="98"/>
  <c r="FX282" i="98"/>
  <c r="FX362" i="98"/>
  <c r="FX442" i="98"/>
  <c r="FX522" i="98"/>
  <c r="FX602" i="98"/>
  <c r="FX682" i="98"/>
  <c r="FX762" i="98"/>
  <c r="FX842" i="98"/>
  <c r="FX922" i="98"/>
  <c r="FX1002" i="98"/>
  <c r="FX1082" i="98"/>
  <c r="FX1162" i="98"/>
  <c r="FX1242" i="98"/>
  <c r="FX1322" i="98"/>
  <c r="FX1402" i="98"/>
  <c r="FX1482" i="98"/>
  <c r="FX1562" i="98"/>
  <c r="FX1642" i="98"/>
  <c r="GA41" i="98"/>
  <c r="GA1321" i="98"/>
  <c r="GA1001" i="98"/>
  <c r="GA601" i="98"/>
  <c r="GA1561" i="98"/>
  <c r="GA121" i="98"/>
  <c r="GA441" i="98"/>
  <c r="GA1641" i="98"/>
  <c r="GA681" i="98"/>
  <c r="GA1481" i="98"/>
  <c r="GA361" i="98"/>
  <c r="GA1401" i="98"/>
  <c r="GA761" i="98"/>
  <c r="GA1241" i="98"/>
  <c r="GA521" i="98"/>
  <c r="GA201" i="98"/>
  <c r="GA841" i="98"/>
  <c r="GA1161" i="98"/>
  <c r="GA1081" i="98"/>
  <c r="GA281" i="98"/>
  <c r="GA921" i="98"/>
  <c r="GA1082" i="98"/>
  <c r="GA762" i="98"/>
  <c r="GF67" i="98"/>
  <c r="GF1587" i="98"/>
  <c r="GF307" i="98"/>
  <c r="GF1187" i="98"/>
  <c r="GF787" i="98"/>
  <c r="GF867" i="98"/>
  <c r="GF147" i="98"/>
  <c r="GF227" i="98"/>
  <c r="GF547" i="98"/>
  <c r="GF627" i="98"/>
  <c r="GF1107" i="98"/>
  <c r="GF1267" i="98"/>
  <c r="GF707" i="98"/>
  <c r="GF947" i="98"/>
  <c r="GF1667" i="98"/>
  <c r="GF1507" i="98"/>
  <c r="GF467" i="98"/>
  <c r="GF1427" i="98"/>
  <c r="GF1347" i="98"/>
  <c r="GF387" i="98"/>
  <c r="GF1027" i="98"/>
  <c r="GC61" i="98"/>
  <c r="GC1501" i="98"/>
  <c r="GC1661" i="98"/>
  <c r="GC1341" i="98"/>
  <c r="GC141" i="98"/>
  <c r="GC941" i="98"/>
  <c r="GC301" i="98"/>
  <c r="GC1581" i="98"/>
  <c r="GC1421" i="98"/>
  <c r="GC1261" i="98"/>
  <c r="GC461" i="98"/>
  <c r="GC701" i="98"/>
  <c r="GC221" i="98"/>
  <c r="GC621" i="98"/>
  <c r="GC781" i="98"/>
  <c r="GC1181" i="98"/>
  <c r="GC381" i="98"/>
  <c r="GC1021" i="98"/>
  <c r="GC861" i="98"/>
  <c r="GC541" i="98"/>
  <c r="GC1101" i="98"/>
  <c r="GL271" i="98"/>
  <c r="GL191" i="98"/>
  <c r="GL1231" i="98"/>
  <c r="GL1391" i="98"/>
  <c r="GL1551" i="98"/>
  <c r="GL1631" i="98"/>
  <c r="GL351" i="98"/>
  <c r="GL1151" i="98"/>
  <c r="GL751" i="98"/>
  <c r="GL671" i="98"/>
  <c r="GL511" i="98"/>
  <c r="GL1471" i="98"/>
  <c r="GL831" i="98"/>
  <c r="GL911" i="98"/>
  <c r="GL591" i="98"/>
  <c r="GL431" i="98"/>
  <c r="GL991" i="98"/>
  <c r="GL1071" i="98"/>
  <c r="GL1311" i="98"/>
  <c r="GL111" i="98"/>
  <c r="ER28" i="98"/>
  <c r="GL31" i="98"/>
  <c r="GA31" i="98"/>
  <c r="GA511" i="98"/>
  <c r="GA191" i="98"/>
  <c r="GA1231" i="98"/>
  <c r="GA1391" i="98"/>
  <c r="GA1551" i="98"/>
  <c r="GA1311" i="98"/>
  <c r="GA991" i="98"/>
  <c r="GA751" i="98"/>
  <c r="GA1151" i="98"/>
  <c r="GA351" i="98"/>
  <c r="GA1471" i="98"/>
  <c r="GA271" i="98"/>
  <c r="GA831" i="98"/>
  <c r="GA671" i="98"/>
  <c r="GA1071" i="98"/>
  <c r="GA911" i="98"/>
  <c r="GA591" i="98"/>
  <c r="GA431" i="98"/>
  <c r="GA1631" i="98"/>
  <c r="GA111" i="98"/>
  <c r="GJ8" i="98"/>
  <c r="GJ1448" i="98"/>
  <c r="GJ1368" i="98"/>
  <c r="GJ488" i="98"/>
  <c r="GJ408" i="98"/>
  <c r="GJ328" i="98"/>
  <c r="GJ168" i="98"/>
  <c r="GJ568" i="98"/>
  <c r="GJ968" i="98"/>
  <c r="GJ1128" i="98"/>
  <c r="GJ1288" i="98"/>
  <c r="GJ728" i="98"/>
  <c r="GJ1208" i="98"/>
  <c r="GJ808" i="98"/>
  <c r="GJ648" i="98"/>
  <c r="GJ1528" i="98"/>
  <c r="GJ1608" i="98"/>
  <c r="GJ248" i="98"/>
  <c r="GJ1048" i="98"/>
  <c r="GJ88" i="98"/>
  <c r="GJ888" i="98"/>
  <c r="GA8" i="98"/>
  <c r="GA1448" i="98"/>
  <c r="GA1368" i="98"/>
  <c r="GA1608" i="98"/>
  <c r="GA1528" i="98"/>
  <c r="GA328" i="98"/>
  <c r="GA568" i="98"/>
  <c r="GA408" i="98"/>
  <c r="GA728" i="98"/>
  <c r="GA1128" i="98"/>
  <c r="GA168" i="98"/>
  <c r="GA488" i="98"/>
  <c r="GA808" i="98"/>
  <c r="GA248" i="98"/>
  <c r="GA1208" i="98"/>
  <c r="GA1288" i="98"/>
  <c r="GA888" i="98"/>
  <c r="GA968" i="98"/>
  <c r="GA648" i="98"/>
  <c r="GA1048" i="98"/>
  <c r="GA88" i="98"/>
  <c r="GG9" i="98"/>
  <c r="GG1609" i="98"/>
  <c r="GG569" i="98"/>
  <c r="GG969" i="98"/>
  <c r="GG1529" i="98"/>
  <c r="GG729" i="98"/>
  <c r="GG1049" i="98"/>
  <c r="GG889" i="98"/>
  <c r="GG1369" i="98"/>
  <c r="GG169" i="98"/>
  <c r="GG409" i="98"/>
  <c r="GG1289" i="98"/>
  <c r="GG89" i="98"/>
  <c r="GG649" i="98"/>
  <c r="GG489" i="98"/>
  <c r="GG249" i="98"/>
  <c r="GG1449" i="98"/>
  <c r="GG809" i="98"/>
  <c r="GG1209" i="98"/>
  <c r="GG329" i="98"/>
  <c r="GG1129" i="98"/>
  <c r="GF60" i="98"/>
  <c r="GF1260" i="98"/>
  <c r="GF1100" i="98"/>
  <c r="GF300" i="98"/>
  <c r="GF380" i="98"/>
  <c r="GF140" i="98"/>
  <c r="GF620" i="98"/>
  <c r="GF700" i="98"/>
  <c r="GF1580" i="98"/>
  <c r="GF220" i="98"/>
  <c r="GF1340" i="98"/>
  <c r="GF1420" i="98"/>
  <c r="GF1500" i="98"/>
  <c r="GF540" i="98"/>
  <c r="GF860" i="98"/>
  <c r="GF940" i="98"/>
  <c r="GF1180" i="98"/>
  <c r="GF1660" i="98"/>
  <c r="GF780" i="98"/>
  <c r="GF1020" i="98"/>
  <c r="GF460" i="98"/>
  <c r="GL380" i="98"/>
  <c r="GL1500" i="98"/>
  <c r="GL460" i="98"/>
  <c r="GF27" i="98"/>
  <c r="GF1067" i="98"/>
  <c r="GF587" i="98"/>
  <c r="GF267" i="98"/>
  <c r="GF1307" i="98"/>
  <c r="GF507" i="98"/>
  <c r="GF1467" i="98"/>
  <c r="GF187" i="98"/>
  <c r="GF1227" i="98"/>
  <c r="GF347" i="98"/>
  <c r="GF987" i="98"/>
  <c r="GF427" i="98"/>
  <c r="GF667" i="98"/>
  <c r="GF1627" i="98"/>
  <c r="GF907" i="98"/>
  <c r="GF1147" i="98"/>
  <c r="GF107" i="98"/>
  <c r="GF1547" i="98"/>
  <c r="GF747" i="98"/>
  <c r="GF827" i="98"/>
  <c r="GF1387" i="98"/>
  <c r="GF7" i="98"/>
  <c r="GF87" i="98"/>
  <c r="GF167" i="98"/>
  <c r="GF327" i="98"/>
  <c r="GF1207" i="98"/>
  <c r="GF807" i="98"/>
  <c r="GF887" i="98"/>
  <c r="GF487" i="98"/>
  <c r="GF1127" i="98"/>
  <c r="GF967" i="98"/>
  <c r="GF727" i="98"/>
  <c r="GF1047" i="98"/>
  <c r="GF1367" i="98"/>
  <c r="GF1527" i="98"/>
  <c r="GF567" i="98"/>
  <c r="GF647" i="98"/>
  <c r="GF247" i="98"/>
  <c r="GF407" i="98"/>
  <c r="GF1607" i="98"/>
  <c r="GF1447" i="98"/>
  <c r="GF1287" i="98"/>
  <c r="GI7" i="98"/>
  <c r="GI87" i="98"/>
  <c r="GI1207" i="98"/>
  <c r="GI327" i="98"/>
  <c r="GI807" i="98"/>
  <c r="GI1127" i="98"/>
  <c r="GI247" i="98"/>
  <c r="GI167" i="98"/>
  <c r="GI967" i="98"/>
  <c r="GI487" i="98"/>
  <c r="GI727" i="98"/>
  <c r="GI1047" i="98"/>
  <c r="GI1447" i="98"/>
  <c r="GI1607" i="98"/>
  <c r="GI1367" i="98"/>
  <c r="GI1287" i="98"/>
  <c r="GI1527" i="98"/>
  <c r="GI567" i="98"/>
  <c r="GI407" i="98"/>
  <c r="GI887" i="98"/>
  <c r="GI647" i="98"/>
  <c r="GA70" i="98"/>
  <c r="GA1350" i="98"/>
  <c r="GA630" i="98"/>
  <c r="GA390" i="98"/>
  <c r="GA230" i="98"/>
  <c r="GA470" i="98"/>
  <c r="GA870" i="98"/>
  <c r="GA1670" i="98"/>
  <c r="GA550" i="98"/>
  <c r="GA710" i="98"/>
  <c r="GA1590" i="98"/>
  <c r="GA1510" i="98"/>
  <c r="GA1030" i="98"/>
  <c r="GA150" i="98"/>
  <c r="GA1110" i="98"/>
  <c r="GA1430" i="98"/>
  <c r="GA1190" i="98"/>
  <c r="GA950" i="98"/>
  <c r="GA1270" i="98"/>
  <c r="GA790" i="98"/>
  <c r="GA310" i="98"/>
  <c r="GL230" i="98"/>
  <c r="GL1430" i="98"/>
  <c r="GL1350" i="98"/>
  <c r="GL1030" i="98"/>
  <c r="GL390" i="98"/>
  <c r="GL1670" i="98"/>
  <c r="GL870" i="98"/>
  <c r="GL550" i="98"/>
  <c r="GL710" i="98"/>
  <c r="GL630" i="98"/>
  <c r="GL150" i="98"/>
  <c r="GL1110" i="98"/>
  <c r="GL1190" i="98"/>
  <c r="GL950" i="98"/>
  <c r="GL790" i="98"/>
  <c r="GL310" i="98"/>
  <c r="GL1590" i="98"/>
  <c r="GL470" i="98"/>
  <c r="GL1270" i="98"/>
  <c r="GL1510" i="98"/>
  <c r="ER63" i="98"/>
  <c r="GL70" i="98"/>
  <c r="GC85" i="98"/>
  <c r="GC1445" i="98"/>
  <c r="GC1685" i="98"/>
  <c r="GC1365" i="98"/>
  <c r="GC965" i="98"/>
  <c r="GC725" i="98"/>
  <c r="GC405" i="98"/>
  <c r="GC1205" i="98"/>
  <c r="GC1605" i="98"/>
  <c r="GC245" i="98"/>
  <c r="GC1525" i="98"/>
  <c r="GC645" i="98"/>
  <c r="GC165" i="98"/>
  <c r="GC805" i="98"/>
  <c r="GC1285" i="98"/>
  <c r="GC1125" i="98"/>
  <c r="GC885" i="98"/>
  <c r="GC565" i="98"/>
  <c r="GC325" i="98"/>
  <c r="GC485" i="98"/>
  <c r="GC1045" i="98"/>
  <c r="GC84" i="98"/>
  <c r="GC1604" i="98"/>
  <c r="GC1524" i="98"/>
  <c r="GC1684" i="98"/>
  <c r="GC1204" i="98"/>
  <c r="GC1124" i="98"/>
  <c r="GC1444" i="98"/>
  <c r="GC1364" i="98"/>
  <c r="GC1284" i="98"/>
  <c r="GC324" i="98"/>
  <c r="GC484" i="98"/>
  <c r="GC404" i="98"/>
  <c r="GC164" i="98"/>
  <c r="GC964" i="98"/>
  <c r="GC564" i="98"/>
  <c r="GC884" i="98"/>
  <c r="GC644" i="98"/>
  <c r="GC1044" i="98"/>
  <c r="GC804" i="98"/>
  <c r="GC244" i="98"/>
  <c r="GC724" i="98"/>
  <c r="GL1389" i="98"/>
  <c r="GL1469" i="98"/>
  <c r="GL989" i="98"/>
  <c r="GL269" i="98"/>
  <c r="GL349" i="98"/>
  <c r="GL189" i="98"/>
  <c r="GL589" i="98"/>
  <c r="GL109" i="98"/>
  <c r="GL669" i="98"/>
  <c r="GL749" i="98"/>
  <c r="GL1069" i="98"/>
  <c r="GL1149" i="98"/>
  <c r="GL509" i="98"/>
  <c r="GL429" i="98"/>
  <c r="GL1229" i="98"/>
  <c r="GL1629" i="98"/>
  <c r="GL829" i="98"/>
  <c r="GL1309" i="98"/>
  <c r="GL1549" i="98"/>
  <c r="GL909" i="98"/>
  <c r="ER26" i="98"/>
  <c r="GL29" i="98"/>
  <c r="GC34" i="98"/>
  <c r="GC1634" i="98"/>
  <c r="GC1234" i="98"/>
  <c r="GC1154" i="98"/>
  <c r="GC1074" i="98"/>
  <c r="GC594" i="98"/>
  <c r="GC1474" i="98"/>
  <c r="GC1314" i="98"/>
  <c r="GC274" i="98"/>
  <c r="GC914" i="98"/>
  <c r="GC434" i="98"/>
  <c r="GC1554" i="98"/>
  <c r="GC194" i="98"/>
  <c r="GC354" i="98"/>
  <c r="GC994" i="98"/>
  <c r="GC754" i="98"/>
  <c r="GC1394" i="98"/>
  <c r="GC674" i="98"/>
  <c r="GC514" i="98"/>
  <c r="GC114" i="98"/>
  <c r="GC834" i="98"/>
  <c r="GL1429" i="98"/>
  <c r="GL1669" i="98"/>
  <c r="GL1349" i="98"/>
  <c r="GL469" i="98"/>
  <c r="GL549" i="98"/>
  <c r="GL1109" i="98"/>
  <c r="GL229" i="98"/>
  <c r="GL309" i="98"/>
  <c r="GL629" i="98"/>
  <c r="GL149" i="98"/>
  <c r="GL709" i="98"/>
  <c r="GL1589" i="98"/>
  <c r="GL949" i="98"/>
  <c r="GL1509" i="98"/>
  <c r="GL389" i="98"/>
  <c r="GL869" i="98"/>
  <c r="GL789" i="98"/>
  <c r="GL1029" i="98"/>
  <c r="GL1269" i="98"/>
  <c r="GL1189" i="98"/>
  <c r="ER62" i="98"/>
  <c r="GL69" i="98"/>
  <c r="GL1381" i="98"/>
  <c r="GL1461" i="98"/>
  <c r="GL421" i="98"/>
  <c r="GL741" i="98"/>
  <c r="GL261" i="98"/>
  <c r="GL1541" i="98"/>
  <c r="GL1621" i="98"/>
  <c r="GL661" i="98"/>
  <c r="GL981" i="98"/>
  <c r="GL341" i="98"/>
  <c r="GL581" i="98"/>
  <c r="GL101" i="98"/>
  <c r="GL501" i="98"/>
  <c r="GL1141" i="98"/>
  <c r="GL1221" i="98"/>
  <c r="GL1301" i="98"/>
  <c r="GL821" i="98"/>
  <c r="GL901" i="98"/>
  <c r="GL1061" i="98"/>
  <c r="GL181" i="98"/>
  <c r="ER19" i="98"/>
  <c r="GL21" i="98"/>
  <c r="GA21" i="98"/>
  <c r="GA1381" i="98"/>
  <c r="GA1461" i="98"/>
  <c r="GA741" i="98"/>
  <c r="GA661" i="98"/>
  <c r="GA261" i="98"/>
  <c r="GA981" i="98"/>
  <c r="GA1621" i="98"/>
  <c r="GA341" i="98"/>
  <c r="GA1221" i="98"/>
  <c r="GA181" i="98"/>
  <c r="GA421" i="98"/>
  <c r="GA1541" i="98"/>
  <c r="GA501" i="98"/>
  <c r="GA901" i="98"/>
  <c r="GA581" i="98"/>
  <c r="GA1141" i="98"/>
  <c r="GA101" i="98"/>
  <c r="GA1061" i="98"/>
  <c r="GA821" i="98"/>
  <c r="GA1301" i="98"/>
  <c r="GC24" i="98"/>
  <c r="GC1384" i="98"/>
  <c r="GC1304" i="98"/>
  <c r="GC1224" i="98"/>
  <c r="GC1464" i="98"/>
  <c r="GC504" i="98"/>
  <c r="GC104" i="98"/>
  <c r="GC1544" i="98"/>
  <c r="GC984" i="98"/>
  <c r="GC184" i="98"/>
  <c r="GC344" i="98"/>
  <c r="GC744" i="98"/>
  <c r="GC1624" i="98"/>
  <c r="GC584" i="98"/>
  <c r="GC1064" i="98"/>
  <c r="GC1144" i="98"/>
  <c r="GC264" i="98"/>
  <c r="GC664" i="98"/>
  <c r="GC424" i="98"/>
  <c r="GC824" i="98"/>
  <c r="GC904" i="98"/>
  <c r="GC15" i="98"/>
  <c r="GC95" i="98"/>
  <c r="GC335" i="98"/>
  <c r="GC495" i="98"/>
  <c r="GC1455" i="98"/>
  <c r="GC1535" i="98"/>
  <c r="GC1375" i="98"/>
  <c r="GC575" i="98"/>
  <c r="GC175" i="98"/>
  <c r="GC1135" i="98"/>
  <c r="GC1215" i="98"/>
  <c r="GC815" i="98"/>
  <c r="GC895" i="98"/>
  <c r="GC655" i="98"/>
  <c r="GC975" i="98"/>
  <c r="GC255" i="98"/>
  <c r="GC1615" i="98"/>
  <c r="GC1295" i="98"/>
  <c r="GC415" i="98"/>
  <c r="GC1055" i="98"/>
  <c r="GC735" i="98"/>
  <c r="GI19" i="98"/>
  <c r="GI1059" i="98"/>
  <c r="GI339" i="98"/>
  <c r="GI499" i="98"/>
  <c r="GI419" i="98"/>
  <c r="GI1299" i="98"/>
  <c r="GI99" i="98"/>
  <c r="GI1219" i="98"/>
  <c r="GI1139" i="98"/>
  <c r="GI819" i="98"/>
  <c r="GI899" i="98"/>
  <c r="GI1619" i="98"/>
  <c r="GI739" i="98"/>
  <c r="GI179" i="98"/>
  <c r="GI1379" i="98"/>
  <c r="GI259" i="98"/>
  <c r="GI579" i="98"/>
  <c r="GI979" i="98"/>
  <c r="GI1459" i="98"/>
  <c r="GI1539" i="98"/>
  <c r="GI659" i="98"/>
  <c r="GF19" i="98"/>
  <c r="GF1059" i="98"/>
  <c r="GF339" i="98"/>
  <c r="GF419" i="98"/>
  <c r="GF1139" i="98"/>
  <c r="GF499" i="98"/>
  <c r="GF1299" i="98"/>
  <c r="GF259" i="98"/>
  <c r="GF1219" i="98"/>
  <c r="GF179" i="98"/>
  <c r="GF819" i="98"/>
  <c r="GF899" i="98"/>
  <c r="GF1619" i="98"/>
  <c r="GF739" i="98"/>
  <c r="GF579" i="98"/>
  <c r="GF1459" i="98"/>
  <c r="GF979" i="98"/>
  <c r="GF1539" i="98"/>
  <c r="GF659" i="98"/>
  <c r="GF99" i="98"/>
  <c r="GF1379" i="98"/>
  <c r="GL1470" i="98"/>
  <c r="GL1550" i="98"/>
  <c r="GL1070" i="98"/>
  <c r="GL1150" i="98"/>
  <c r="GL590" i="98"/>
  <c r="GL430" i="98"/>
  <c r="GL110" i="98"/>
  <c r="GL510" i="98"/>
  <c r="GL350" i="98"/>
  <c r="GL190" i="98"/>
  <c r="GL1310" i="98"/>
  <c r="GL1390" i="98"/>
  <c r="GL1230" i="98"/>
  <c r="GL1630" i="98"/>
  <c r="GL990" i="98"/>
  <c r="GL830" i="98"/>
  <c r="GL910" i="98"/>
  <c r="GL750" i="98"/>
  <c r="GL270" i="98"/>
  <c r="GL670" i="98"/>
  <c r="ER27" i="98"/>
  <c r="GL30" i="98"/>
  <c r="GG30" i="98"/>
  <c r="GG1630" i="98"/>
  <c r="GG1150" i="98"/>
  <c r="GG1550" i="98"/>
  <c r="GG1470" i="98"/>
  <c r="GG1070" i="98"/>
  <c r="GG430" i="98"/>
  <c r="GG590" i="98"/>
  <c r="GG110" i="98"/>
  <c r="GG190" i="98"/>
  <c r="GG510" i="98"/>
  <c r="GG670" i="98"/>
  <c r="GG1390" i="98"/>
  <c r="GG270" i="98"/>
  <c r="GG1230" i="98"/>
  <c r="GG1310" i="98"/>
  <c r="GG350" i="98"/>
  <c r="GG750" i="98"/>
  <c r="GG990" i="98"/>
  <c r="GG830" i="98"/>
  <c r="GG910" i="98"/>
  <c r="GG18" i="98"/>
  <c r="GG1538" i="98"/>
  <c r="GG1298" i="98"/>
  <c r="GG1058" i="98"/>
  <c r="GG1138" i="98"/>
  <c r="GG1218" i="98"/>
  <c r="GG658" i="98"/>
  <c r="GG578" i="98"/>
  <c r="GG178" i="98"/>
  <c r="GG1618" i="98"/>
  <c r="GG338" i="98"/>
  <c r="GG498" i="98"/>
  <c r="GG1378" i="98"/>
  <c r="GG98" i="98"/>
  <c r="GG738" i="98"/>
  <c r="GG818" i="98"/>
  <c r="GG978" i="98"/>
  <c r="GG258" i="98"/>
  <c r="GG418" i="98"/>
  <c r="GG898" i="98"/>
  <c r="GG1458" i="98"/>
  <c r="GF18" i="98"/>
  <c r="GF1298" i="98"/>
  <c r="GF1218" i="98"/>
  <c r="GF1058" i="98"/>
  <c r="GF578" i="98"/>
  <c r="GF498" i="98"/>
  <c r="GF1378" i="98"/>
  <c r="GF98" i="98"/>
  <c r="GF258" i="98"/>
  <c r="GF658" i="98"/>
  <c r="GF1618" i="98"/>
  <c r="GF738" i="98"/>
  <c r="GF1138" i="98"/>
  <c r="GF178" i="98"/>
  <c r="GF818" i="98"/>
  <c r="GF978" i="98"/>
  <c r="GF1538" i="98"/>
  <c r="GF338" i="98"/>
  <c r="GF898" i="98"/>
  <c r="GF418" i="98"/>
  <c r="GF1458" i="98"/>
  <c r="GI77" i="98"/>
  <c r="GI1437" i="98"/>
  <c r="GI1357" i="98"/>
  <c r="GI957" i="98"/>
  <c r="GI717" i="98"/>
  <c r="GI637" i="98"/>
  <c r="GI397" i="98"/>
  <c r="GI1037" i="98"/>
  <c r="GI1677" i="98"/>
  <c r="GI477" i="98"/>
  <c r="GI557" i="98"/>
  <c r="GI237" i="98"/>
  <c r="GI1597" i="98"/>
  <c r="GI157" i="98"/>
  <c r="GI1197" i="98"/>
  <c r="GI1517" i="98"/>
  <c r="GI877" i="98"/>
  <c r="GI1277" i="98"/>
  <c r="GI797" i="98"/>
  <c r="GI317" i="98"/>
  <c r="GI1117" i="98"/>
  <c r="GF77" i="98"/>
  <c r="GF1357" i="98"/>
  <c r="GF717" i="98"/>
  <c r="GF1437" i="98"/>
  <c r="GF1677" i="98"/>
  <c r="GF957" i="98"/>
  <c r="GF637" i="98"/>
  <c r="GF1037" i="98"/>
  <c r="GF477" i="98"/>
  <c r="GF1517" i="98"/>
  <c r="GF157" i="98"/>
  <c r="GF237" i="98"/>
  <c r="GF397" i="98"/>
  <c r="GF1597" i="98"/>
  <c r="GF557" i="98"/>
  <c r="GF877" i="98"/>
  <c r="GF317" i="98"/>
  <c r="GF1197" i="98"/>
  <c r="GF797" i="98"/>
  <c r="GF1117" i="98"/>
  <c r="GF1277" i="98"/>
  <c r="GJ59" i="98"/>
  <c r="GJ1099" i="98"/>
  <c r="GJ299" i="98"/>
  <c r="GJ539" i="98"/>
  <c r="GJ379" i="98"/>
  <c r="GJ1019" i="98"/>
  <c r="GJ1659" i="98"/>
  <c r="GJ459" i="98"/>
  <c r="GJ939" i="98"/>
  <c r="GJ699" i="98"/>
  <c r="GJ1419" i="98"/>
  <c r="GJ1579" i="98"/>
  <c r="GJ1339" i="98"/>
  <c r="GJ859" i="98"/>
  <c r="GJ619" i="98"/>
  <c r="GJ1179" i="98"/>
  <c r="GJ139" i="98"/>
  <c r="GJ779" i="98"/>
  <c r="GJ1259" i="98"/>
  <c r="GJ219" i="98"/>
  <c r="GJ1499" i="98"/>
  <c r="GI78" i="98"/>
  <c r="GI1438" i="98"/>
  <c r="GI1278" i="98"/>
  <c r="GI1038" i="98"/>
  <c r="GI238" i="98"/>
  <c r="GI478" i="98"/>
  <c r="GI958" i="98"/>
  <c r="GI1198" i="98"/>
  <c r="GI1518" i="98"/>
  <c r="GI1358" i="98"/>
  <c r="GI1598" i="98"/>
  <c r="GI638" i="98"/>
  <c r="GI1118" i="98"/>
  <c r="GI718" i="98"/>
  <c r="GI878" i="98"/>
  <c r="GI798" i="98"/>
  <c r="GI1678" i="98"/>
  <c r="GI158" i="98"/>
  <c r="GI318" i="98"/>
  <c r="GI558" i="98"/>
  <c r="GI398" i="98"/>
  <c r="GG78" i="98"/>
  <c r="GG1598" i="98"/>
  <c r="GG1278" i="98"/>
  <c r="GG1438" i="98"/>
  <c r="GG1118" i="98"/>
  <c r="GG1038" i="98"/>
  <c r="GG718" i="98"/>
  <c r="GG638" i="98"/>
  <c r="GG1518" i="98"/>
  <c r="GG238" i="98"/>
  <c r="GG478" i="98"/>
  <c r="GG1198" i="98"/>
  <c r="GG1358" i="98"/>
  <c r="GG398" i="98"/>
  <c r="GG1678" i="98"/>
  <c r="GG878" i="98"/>
  <c r="GG318" i="98"/>
  <c r="GG958" i="98"/>
  <c r="GG798" i="98"/>
  <c r="GG158" i="98"/>
  <c r="GG558" i="98"/>
  <c r="GC62" i="98"/>
  <c r="GC1262" i="98"/>
  <c r="GC1102" i="98"/>
  <c r="GC382" i="98"/>
  <c r="GC222" i="98"/>
  <c r="GC462" i="98"/>
  <c r="GC542" i="98"/>
  <c r="GC1022" i="98"/>
  <c r="GC1582" i="98"/>
  <c r="GC302" i="98"/>
  <c r="GC1182" i="98"/>
  <c r="GC622" i="98"/>
  <c r="GC702" i="98"/>
  <c r="GC1502" i="98"/>
  <c r="GC1342" i="98"/>
  <c r="GC1422" i="98"/>
  <c r="GC862" i="98"/>
  <c r="GC782" i="98"/>
  <c r="GC142" i="98"/>
  <c r="GC942" i="98"/>
  <c r="GC1662" i="98"/>
  <c r="GF10" i="98"/>
  <c r="GF250" i="98"/>
  <c r="GF1050" i="98"/>
  <c r="GF410" i="98"/>
  <c r="GF1530" i="98"/>
  <c r="GF1610" i="98"/>
  <c r="GF570" i="98"/>
  <c r="GF1210" i="98"/>
  <c r="GF1130" i="98"/>
  <c r="GF170" i="98"/>
  <c r="GF650" i="98"/>
  <c r="GF1290" i="98"/>
  <c r="GF970" i="98"/>
  <c r="GF1450" i="98"/>
  <c r="GF490" i="98"/>
  <c r="GF330" i="98"/>
  <c r="GF1370" i="98"/>
  <c r="GF730" i="98"/>
  <c r="GF90" i="98"/>
  <c r="GF810" i="98"/>
  <c r="GF890" i="98"/>
  <c r="GF58" i="98"/>
  <c r="GF1018" i="98"/>
  <c r="GF778" i="98"/>
  <c r="GF458" i="98"/>
  <c r="GF618" i="98"/>
  <c r="GF218" i="98"/>
  <c r="GF1418" i="98"/>
  <c r="GF698" i="98"/>
  <c r="GF1498" i="98"/>
  <c r="GF1178" i="98"/>
  <c r="GF378" i="98"/>
  <c r="GF1098" i="98"/>
  <c r="GF138" i="98"/>
  <c r="GF538" i="98"/>
  <c r="GF1258" i="98"/>
  <c r="GF298" i="98"/>
  <c r="GF1578" i="98"/>
  <c r="GF858" i="98"/>
  <c r="GF938" i="98"/>
  <c r="GF1658" i="98"/>
  <c r="GF1338" i="98"/>
  <c r="GG58" i="98"/>
  <c r="GG778" i="98"/>
  <c r="GG1178" i="98"/>
  <c r="GG1018" i="98"/>
  <c r="GG1098" i="98"/>
  <c r="GG618" i="98"/>
  <c r="GG458" i="98"/>
  <c r="GG218" i="98"/>
  <c r="GG698" i="98"/>
  <c r="GG1418" i="98"/>
  <c r="GG1498" i="98"/>
  <c r="GG378" i="98"/>
  <c r="GG1658" i="98"/>
  <c r="GG1258" i="98"/>
  <c r="GG138" i="98"/>
  <c r="GG298" i="98"/>
  <c r="GG538" i="98"/>
  <c r="GG1578" i="98"/>
  <c r="GG1338" i="98"/>
  <c r="GG938" i="98"/>
  <c r="GG858" i="98"/>
  <c r="GI17" i="98"/>
  <c r="GI657" i="98"/>
  <c r="GI417" i="98"/>
  <c r="GI577" i="98"/>
  <c r="GI1377" i="98"/>
  <c r="GI1137" i="98"/>
  <c r="GI1537" i="98"/>
  <c r="GI1297" i="98"/>
  <c r="GI1617" i="98"/>
  <c r="GI97" i="98"/>
  <c r="GI737" i="98"/>
  <c r="GI977" i="98"/>
  <c r="GI1057" i="98"/>
  <c r="GI1457" i="98"/>
  <c r="GI257" i="98"/>
  <c r="GI177" i="98"/>
  <c r="GI1217" i="98"/>
  <c r="GI817" i="98"/>
  <c r="GI897" i="98"/>
  <c r="GI497" i="98"/>
  <c r="GI337" i="98"/>
  <c r="GA17" i="98"/>
  <c r="GA1457" i="98"/>
  <c r="GA1377" i="98"/>
  <c r="GA657" i="98"/>
  <c r="GA417" i="98"/>
  <c r="GA97" i="98"/>
  <c r="GA577" i="98"/>
  <c r="GA1537" i="98"/>
  <c r="GA1617" i="98"/>
  <c r="GA1297" i="98"/>
  <c r="GA977" i="98"/>
  <c r="GA1057" i="98"/>
  <c r="GA737" i="98"/>
  <c r="GA1217" i="98"/>
  <c r="GA1137" i="98"/>
  <c r="GA497" i="98"/>
  <c r="GA817" i="98"/>
  <c r="GA897" i="98"/>
  <c r="GA257" i="98"/>
  <c r="GA177" i="98"/>
  <c r="GA337" i="98"/>
  <c r="GJ23" i="98"/>
  <c r="GJ343" i="98"/>
  <c r="GJ423" i="98"/>
  <c r="GJ1303" i="98"/>
  <c r="GJ663" i="98"/>
  <c r="GJ903" i="98"/>
  <c r="GJ1543" i="98"/>
  <c r="GJ183" i="98"/>
  <c r="GJ823" i="98"/>
  <c r="GJ1383" i="98"/>
  <c r="GJ1463" i="98"/>
  <c r="GJ1063" i="98"/>
  <c r="GJ983" i="98"/>
  <c r="GJ1623" i="98"/>
  <c r="GJ583" i="98"/>
  <c r="GJ1223" i="98"/>
  <c r="GJ503" i="98"/>
  <c r="GJ263" i="98"/>
  <c r="GJ1143" i="98"/>
  <c r="GJ743" i="98"/>
  <c r="GJ103" i="98"/>
  <c r="GJ13" i="98"/>
  <c r="GJ1533" i="98"/>
  <c r="GJ1613" i="98"/>
  <c r="GJ1453" i="98"/>
  <c r="GJ973" i="98"/>
  <c r="GJ573" i="98"/>
  <c r="GJ733" i="98"/>
  <c r="GJ653" i="98"/>
  <c r="GJ1133" i="98"/>
  <c r="GJ1293" i="98"/>
  <c r="GJ173" i="98"/>
  <c r="GJ253" i="98"/>
  <c r="GJ413" i="98"/>
  <c r="GJ1373" i="98"/>
  <c r="GJ1053" i="98"/>
  <c r="GJ813" i="98"/>
  <c r="GJ1213" i="98"/>
  <c r="GJ893" i="98"/>
  <c r="GJ333" i="98"/>
  <c r="GJ493" i="98"/>
  <c r="GJ93" i="98"/>
  <c r="GF12" i="98"/>
  <c r="GF1292" i="98"/>
  <c r="GF1132" i="98"/>
  <c r="GF652" i="98"/>
  <c r="GF572" i="98"/>
  <c r="GF1532" i="98"/>
  <c r="GF1052" i="98"/>
  <c r="GF1372" i="98"/>
  <c r="GF1452" i="98"/>
  <c r="GF492" i="98"/>
  <c r="GF972" i="98"/>
  <c r="GF812" i="98"/>
  <c r="GF1212" i="98"/>
  <c r="GF252" i="98"/>
  <c r="GF1612" i="98"/>
  <c r="GF732" i="98"/>
  <c r="GF412" i="98"/>
  <c r="GF332" i="98"/>
  <c r="GF92" i="98"/>
  <c r="GF892" i="98"/>
  <c r="GF172" i="98"/>
  <c r="GA12" i="98"/>
  <c r="GA1292" i="98"/>
  <c r="GA1212" i="98"/>
  <c r="GA1132" i="98"/>
  <c r="GA332" i="98"/>
  <c r="GA572" i="98"/>
  <c r="GA1532" i="98"/>
  <c r="GA1612" i="98"/>
  <c r="GA812" i="98"/>
  <c r="GA1372" i="98"/>
  <c r="GA1452" i="98"/>
  <c r="GA492" i="98"/>
  <c r="GA1052" i="98"/>
  <c r="GA252" i="98"/>
  <c r="GA652" i="98"/>
  <c r="GA732" i="98"/>
  <c r="GA92" i="98"/>
  <c r="GA412" i="98"/>
  <c r="GA892" i="98"/>
  <c r="GA972" i="98"/>
  <c r="GA172" i="98"/>
  <c r="GG22" i="98"/>
  <c r="GG1542" i="98"/>
  <c r="GG1622" i="98"/>
  <c r="GG582" i="98"/>
  <c r="GG1142" i="98"/>
  <c r="GG1062" i="98"/>
  <c r="GG262" i="98"/>
  <c r="GG662" i="98"/>
  <c r="GG102" i="98"/>
  <c r="GG182" i="98"/>
  <c r="GG902" i="98"/>
  <c r="GG1462" i="98"/>
  <c r="GG422" i="98"/>
  <c r="GG742" i="98"/>
  <c r="GG1382" i="98"/>
  <c r="GG982" i="98"/>
  <c r="GG1302" i="98"/>
  <c r="GG342" i="98"/>
  <c r="GG1222" i="98"/>
  <c r="GG502" i="98"/>
  <c r="GG822" i="98"/>
  <c r="GG57" i="98"/>
  <c r="GG1577" i="98"/>
  <c r="GG1657" i="98"/>
  <c r="GG777" i="98"/>
  <c r="GG617" i="98"/>
  <c r="GG537" i="98"/>
  <c r="GG1017" i="98"/>
  <c r="GG1097" i="98"/>
  <c r="GG937" i="98"/>
  <c r="GG697" i="98"/>
  <c r="GG377" i="98"/>
  <c r="GG1257" i="98"/>
  <c r="GG857" i="98"/>
  <c r="GG137" i="98"/>
  <c r="GG1337" i="98"/>
  <c r="GG1417" i="98"/>
  <c r="GG1497" i="98"/>
  <c r="GG297" i="98"/>
  <c r="GG217" i="98"/>
  <c r="GG457" i="98"/>
  <c r="GG1177" i="98"/>
  <c r="GF57" i="98"/>
  <c r="GF1657" i="98"/>
  <c r="GF617" i="98"/>
  <c r="GF777" i="98"/>
  <c r="GF1017" i="98"/>
  <c r="GF377" i="98"/>
  <c r="GF1577" i="98"/>
  <c r="GF1097" i="98"/>
  <c r="GF137" i="98"/>
  <c r="GF1257" i="98"/>
  <c r="GF937" i="98"/>
  <c r="GF697" i="98"/>
  <c r="GF857" i="98"/>
  <c r="GF537" i="98"/>
  <c r="GF1337" i="98"/>
  <c r="GF1417" i="98"/>
  <c r="GF1497" i="98"/>
  <c r="GF457" i="98"/>
  <c r="GF1177" i="98"/>
  <c r="GF217" i="98"/>
  <c r="GF297" i="98"/>
  <c r="GJ11" i="98"/>
  <c r="GJ1051" i="98"/>
  <c r="GJ1131" i="98"/>
  <c r="GJ411" i="98"/>
  <c r="GJ1451" i="98"/>
  <c r="GJ331" i="98"/>
  <c r="GJ891" i="98"/>
  <c r="GJ1611" i="98"/>
  <c r="GJ91" i="98"/>
  <c r="GJ811" i="98"/>
  <c r="GJ1211" i="98"/>
  <c r="GJ1291" i="98"/>
  <c r="GJ651" i="98"/>
  <c r="GJ171" i="98"/>
  <c r="GJ491" i="98"/>
  <c r="GJ1531" i="98"/>
  <c r="GJ571" i="98"/>
  <c r="GJ971" i="98"/>
  <c r="GJ1371" i="98"/>
  <c r="GJ731" i="98"/>
  <c r="GJ251" i="98"/>
  <c r="GI20" i="98"/>
  <c r="GI1380" i="98"/>
  <c r="GI1140" i="98"/>
  <c r="GI1620" i="98"/>
  <c r="GI1540" i="98"/>
  <c r="GI1460" i="98"/>
  <c r="GI260" i="98"/>
  <c r="GI500" i="98"/>
  <c r="GI1300" i="98"/>
  <c r="GI100" i="98"/>
  <c r="GI1060" i="98"/>
  <c r="GI1220" i="98"/>
  <c r="GI340" i="98"/>
  <c r="GI900" i="98"/>
  <c r="GI420" i="98"/>
  <c r="GI820" i="98"/>
  <c r="GI980" i="98"/>
  <c r="GI180" i="98"/>
  <c r="GI660" i="98"/>
  <c r="GI580" i="98"/>
  <c r="GI740" i="98"/>
  <c r="GA20" i="98"/>
  <c r="GA1140" i="98"/>
  <c r="GA1220" i="98"/>
  <c r="GA1620" i="98"/>
  <c r="GA1540" i="98"/>
  <c r="GA580" i="98"/>
  <c r="GA1060" i="98"/>
  <c r="GA260" i="98"/>
  <c r="GA100" i="98"/>
  <c r="GA980" i="98"/>
  <c r="GA1380" i="98"/>
  <c r="GA1460" i="98"/>
  <c r="GA500" i="98"/>
  <c r="GA820" i="98"/>
  <c r="GA340" i="98"/>
  <c r="GA420" i="98"/>
  <c r="GA900" i="98"/>
  <c r="GA1300" i="98"/>
  <c r="GA180" i="98"/>
  <c r="GA660" i="98"/>
  <c r="GA740" i="98"/>
  <c r="GC32" i="98"/>
  <c r="GC1392" i="98"/>
  <c r="GC1152" i="98"/>
  <c r="GC352" i="98"/>
  <c r="GC1472" i="98"/>
  <c r="GC672" i="98"/>
  <c r="GC112" i="98"/>
  <c r="GC1072" i="98"/>
  <c r="GC512" i="98"/>
  <c r="GC592" i="98"/>
  <c r="GC272" i="98"/>
  <c r="GC1232" i="98"/>
  <c r="GC432" i="98"/>
  <c r="GC1552" i="98"/>
  <c r="GC1632" i="98"/>
  <c r="GC1312" i="98"/>
  <c r="GC992" i="98"/>
  <c r="GC832" i="98"/>
  <c r="GC192" i="98"/>
  <c r="GC912" i="98"/>
  <c r="GC752" i="98"/>
  <c r="GI68" i="98"/>
  <c r="GI1108" i="98"/>
  <c r="GI1428" i="98"/>
  <c r="GI1668" i="98"/>
  <c r="GI1588" i="98"/>
  <c r="GI1508" i="98"/>
  <c r="GI1348" i="98"/>
  <c r="GI948" i="98"/>
  <c r="GI308" i="98"/>
  <c r="GI148" i="98"/>
  <c r="GI228" i="98"/>
  <c r="GI1268" i="98"/>
  <c r="GI1188" i="98"/>
  <c r="GI388" i="98"/>
  <c r="GI788" i="98"/>
  <c r="GI548" i="98"/>
  <c r="GI708" i="98"/>
  <c r="GI868" i="98"/>
  <c r="GI628" i="98"/>
  <c r="GI468" i="98"/>
  <c r="GI1028" i="98"/>
  <c r="GF68" i="98"/>
  <c r="GF1108" i="98"/>
  <c r="GF948" i="98"/>
  <c r="GF228" i="98"/>
  <c r="GF1268" i="98"/>
  <c r="GF1188" i="98"/>
  <c r="GF388" i="98"/>
  <c r="GF1508" i="98"/>
  <c r="GF1588" i="98"/>
  <c r="GF1668" i="98"/>
  <c r="GF148" i="98"/>
  <c r="GF308" i="98"/>
  <c r="GF868" i="98"/>
  <c r="GF708" i="98"/>
  <c r="GF788" i="98"/>
  <c r="GF548" i="98"/>
  <c r="GF1348" i="98"/>
  <c r="GF1428" i="98"/>
  <c r="GF628" i="98"/>
  <c r="GF468" i="98"/>
  <c r="GF1028" i="98"/>
  <c r="GI79" i="98"/>
  <c r="GI479" i="98"/>
  <c r="GI319" i="98"/>
  <c r="GI239" i="98"/>
  <c r="GI159" i="98"/>
  <c r="GI1119" i="98"/>
  <c r="GI1359" i="98"/>
  <c r="GI1199" i="98"/>
  <c r="GI1519" i="98"/>
  <c r="GI1039" i="98"/>
  <c r="GI1679" i="98"/>
  <c r="GI1599" i="98"/>
  <c r="GI799" i="98"/>
  <c r="GI879" i="98"/>
  <c r="GI559" i="98"/>
  <c r="GI639" i="98"/>
  <c r="GI1279" i="98"/>
  <c r="GI1439" i="98"/>
  <c r="GI959" i="98"/>
  <c r="GI719" i="98"/>
  <c r="GI399" i="98"/>
  <c r="GA79" i="98"/>
  <c r="GA319" i="98"/>
  <c r="GA479" i="98"/>
  <c r="GA159" i="98"/>
  <c r="GA1199" i="98"/>
  <c r="GA1119" i="98"/>
  <c r="GA1519" i="98"/>
  <c r="GA1439" i="98"/>
  <c r="GA1039" i="98"/>
  <c r="GA639" i="98"/>
  <c r="GA799" i="98"/>
  <c r="GA239" i="98"/>
  <c r="GA959" i="98"/>
  <c r="GA879" i="98"/>
  <c r="GA1279" i="98"/>
  <c r="GA719" i="98"/>
  <c r="GA1599" i="98"/>
  <c r="GA559" i="98"/>
  <c r="GA1679" i="98"/>
  <c r="GA1359" i="98"/>
  <c r="GA399" i="98"/>
  <c r="GJ28" i="98"/>
  <c r="GJ1308" i="98"/>
  <c r="GJ1228" i="98"/>
  <c r="GJ108" i="98"/>
  <c r="GJ1628" i="98"/>
  <c r="GJ1068" i="98"/>
  <c r="GJ988" i="98"/>
  <c r="GJ188" i="98"/>
  <c r="GJ268" i="98"/>
  <c r="GJ588" i="98"/>
  <c r="GJ1468" i="98"/>
  <c r="GJ428" i="98"/>
  <c r="GJ668" i="98"/>
  <c r="GJ508" i="98"/>
  <c r="GJ748" i="98"/>
  <c r="GJ1148" i="98"/>
  <c r="GJ1388" i="98"/>
  <c r="GJ1548" i="98"/>
  <c r="GJ908" i="98"/>
  <c r="GJ348" i="98"/>
  <c r="GJ828" i="98"/>
  <c r="GA28" i="98"/>
  <c r="GA1308" i="98"/>
  <c r="GA1228" i="98"/>
  <c r="GA1468" i="98"/>
  <c r="GA108" i="98"/>
  <c r="GA1548" i="98"/>
  <c r="GA1628" i="98"/>
  <c r="GA1388" i="98"/>
  <c r="GA828" i="98"/>
  <c r="GA1068" i="98"/>
  <c r="GA1148" i="98"/>
  <c r="GA508" i="98"/>
  <c r="GA348" i="98"/>
  <c r="GA268" i="98"/>
  <c r="GA188" i="98"/>
  <c r="GA668" i="98"/>
  <c r="GA908" i="98"/>
  <c r="GA748" i="98"/>
  <c r="GA428" i="98"/>
  <c r="GA588" i="98"/>
  <c r="GA988" i="98"/>
  <c r="FX70" i="98"/>
  <c r="FX150" i="98"/>
  <c r="FX230" i="98"/>
  <c r="FX310" i="98"/>
  <c r="FX390" i="98"/>
  <c r="FX470" i="98"/>
  <c r="FX550" i="98"/>
  <c r="FX630" i="98"/>
  <c r="FX710" i="98"/>
  <c r="FX790" i="98"/>
  <c r="FX870" i="98"/>
  <c r="FX950" i="98"/>
  <c r="FX1030" i="98"/>
  <c r="FX1110" i="98"/>
  <c r="FX1190" i="98"/>
  <c r="FX1270" i="98"/>
  <c r="FX1350" i="98"/>
  <c r="FX1430" i="98"/>
  <c r="FX1510" i="98"/>
  <c r="FX1590" i="98"/>
  <c r="FX1670" i="98"/>
  <c r="FX59" i="98"/>
  <c r="FX139" i="98"/>
  <c r="FX219" i="98"/>
  <c r="FX299" i="98"/>
  <c r="FX379" i="98"/>
  <c r="FX539" i="98"/>
  <c r="FX619" i="98"/>
  <c r="FX699" i="98"/>
  <c r="FX779" i="98"/>
  <c r="FX859" i="98"/>
  <c r="FX459" i="98"/>
  <c r="FX939" i="98"/>
  <c r="FX1019" i="98"/>
  <c r="FX1099" i="98"/>
  <c r="FX1179" i="98"/>
  <c r="FX1259" i="98"/>
  <c r="FX1339" i="98"/>
  <c r="FX1419" i="98"/>
  <c r="FX1499" i="98"/>
  <c r="FX1579" i="98"/>
  <c r="FX1659" i="98"/>
  <c r="FX69" i="98"/>
  <c r="FX149" i="98"/>
  <c r="FX229" i="98"/>
  <c r="FX309" i="98"/>
  <c r="FX389" i="98"/>
  <c r="FX469" i="98"/>
  <c r="FX549" i="98"/>
  <c r="FX629" i="98"/>
  <c r="FX709" i="98"/>
  <c r="FX789" i="98"/>
  <c r="FX869" i="98"/>
  <c r="FX949" i="98"/>
  <c r="FX1029" i="98"/>
  <c r="FX1109" i="98"/>
  <c r="FX1189" i="98"/>
  <c r="FX1269" i="98"/>
  <c r="FX1349" i="98"/>
  <c r="FX1429" i="98"/>
  <c r="FX1509" i="98"/>
  <c r="FX1589" i="98"/>
  <c r="FX1669" i="98"/>
  <c r="FX45" i="98"/>
  <c r="FX125" i="98"/>
  <c r="FX205" i="98"/>
  <c r="FX285" i="98"/>
  <c r="FX365" i="98"/>
  <c r="FX445" i="98"/>
  <c r="FX525" i="98"/>
  <c r="FX605" i="98"/>
  <c r="FX685" i="98"/>
  <c r="FX765" i="98"/>
  <c r="FX845" i="98"/>
  <c r="FX925" i="98"/>
  <c r="FX1005" i="98"/>
  <c r="FX1085" i="98"/>
  <c r="FX1165" i="98"/>
  <c r="FX1245" i="98"/>
  <c r="FX1325" i="98"/>
  <c r="FX1405" i="98"/>
  <c r="FX1485" i="98"/>
  <c r="FX1565" i="98"/>
  <c r="FX1645" i="98"/>
  <c r="FX43" i="98"/>
  <c r="FX123" i="98"/>
  <c r="FX203" i="98"/>
  <c r="FX283" i="98"/>
  <c r="FX363" i="98"/>
  <c r="FX443" i="98"/>
  <c r="FX523" i="98"/>
  <c r="FX603" i="98"/>
  <c r="FX683" i="98"/>
  <c r="FX763" i="98"/>
  <c r="FX843" i="98"/>
  <c r="FX923" i="98"/>
  <c r="FX1003" i="98"/>
  <c r="FX1083" i="98"/>
  <c r="FX1163" i="98"/>
  <c r="FX1243" i="98"/>
  <c r="FX1323" i="98"/>
  <c r="FX1403" i="98"/>
  <c r="FX1483" i="98"/>
  <c r="FX1563" i="98"/>
  <c r="FX1643" i="98"/>
  <c r="FX44" i="98"/>
  <c r="FX124" i="98"/>
  <c r="FX204" i="98"/>
  <c r="FX284" i="98"/>
  <c r="FX364" i="98"/>
  <c r="FX444" i="98"/>
  <c r="FX524" i="98"/>
  <c r="FX604" i="98"/>
  <c r="FX684" i="98"/>
  <c r="FX764" i="98"/>
  <c r="FX844" i="98"/>
  <c r="FX924" i="98"/>
  <c r="FX1004" i="98"/>
  <c r="FX1084" i="98"/>
  <c r="FX1164" i="98"/>
  <c r="FX1244" i="98"/>
  <c r="FX1324" i="98"/>
  <c r="FX1404" i="98"/>
  <c r="FX1484" i="98"/>
  <c r="FX1564" i="98"/>
  <c r="FX1644" i="98"/>
  <c r="FX55" i="98"/>
  <c r="FX135" i="98"/>
  <c r="FX215" i="98"/>
  <c r="FX295" i="98"/>
  <c r="FX375" i="98"/>
  <c r="FX455" i="98"/>
  <c r="FX535" i="98"/>
  <c r="FX615" i="98"/>
  <c r="FX695" i="98"/>
  <c r="FX775" i="98"/>
  <c r="FX855" i="98"/>
  <c r="FX935" i="98"/>
  <c r="FX1015" i="98"/>
  <c r="FX1095" i="98"/>
  <c r="FX1175" i="98"/>
  <c r="FX1255" i="98"/>
  <c r="FX1335" i="98"/>
  <c r="FX1415" i="98"/>
  <c r="FX1495" i="98"/>
  <c r="FX1575" i="98"/>
  <c r="FX1655" i="98"/>
  <c r="FX51" i="98"/>
  <c r="FX131" i="98"/>
  <c r="FX211" i="98"/>
  <c r="FX291" i="98"/>
  <c r="FX371" i="98"/>
  <c r="FX451" i="98"/>
  <c r="FX531" i="98"/>
  <c r="FX611" i="98"/>
  <c r="FX691" i="98"/>
  <c r="FX771" i="98"/>
  <c r="FX851" i="98"/>
  <c r="FX931" i="98"/>
  <c r="FX1011" i="98"/>
  <c r="FX1091" i="98"/>
  <c r="FX1171" i="98"/>
  <c r="FX1251" i="98"/>
  <c r="FX1331" i="98"/>
  <c r="FX1411" i="98"/>
  <c r="FX1491" i="98"/>
  <c r="FX1571" i="98"/>
  <c r="FX1651" i="98"/>
  <c r="GA67" i="98"/>
  <c r="GA1107" i="98"/>
  <c r="GA547" i="98"/>
  <c r="GA1187" i="98"/>
  <c r="GA307" i="98"/>
  <c r="GA147" i="98"/>
  <c r="GA227" i="98"/>
  <c r="GA947" i="98"/>
  <c r="GA1667" i="98"/>
  <c r="GA787" i="98"/>
  <c r="GA1027" i="98"/>
  <c r="GA627" i="98"/>
  <c r="GA707" i="98"/>
  <c r="GA467" i="98"/>
  <c r="GA1267" i="98"/>
  <c r="GA1427" i="98"/>
  <c r="GA867" i="98"/>
  <c r="GA1347" i="98"/>
  <c r="GA387" i="98"/>
  <c r="GA1587" i="98"/>
  <c r="GA1507" i="98"/>
  <c r="GJ31" i="98"/>
  <c r="GJ1551" i="98"/>
  <c r="GJ1631" i="98"/>
  <c r="GJ431" i="98"/>
  <c r="GJ1231" i="98"/>
  <c r="GJ1311" i="98"/>
  <c r="GJ1391" i="98"/>
  <c r="GJ191" i="98"/>
  <c r="GJ991" i="98"/>
  <c r="GJ1151" i="98"/>
  <c r="GJ351" i="98"/>
  <c r="GJ751" i="98"/>
  <c r="GJ831" i="98"/>
  <c r="GJ271" i="98"/>
  <c r="GJ511" i="98"/>
  <c r="GJ911" i="98"/>
  <c r="GJ1471" i="98"/>
  <c r="GJ1071" i="98"/>
  <c r="GJ671" i="98"/>
  <c r="GJ591" i="98"/>
  <c r="GJ111" i="98"/>
  <c r="GF8" i="98"/>
  <c r="GF1448" i="98"/>
  <c r="GF328" i="98"/>
  <c r="GF1368" i="98"/>
  <c r="GF488" i="98"/>
  <c r="GF168" i="98"/>
  <c r="GF1288" i="98"/>
  <c r="GF568" i="98"/>
  <c r="GF968" i="98"/>
  <c r="GF1208" i="98"/>
  <c r="GF408" i="98"/>
  <c r="GF808" i="98"/>
  <c r="GF888" i="98"/>
  <c r="GF1128" i="98"/>
  <c r="GF248" i="98"/>
  <c r="GF648" i="98"/>
  <c r="GF1528" i="98"/>
  <c r="GF1608" i="98"/>
  <c r="GF88" i="98"/>
  <c r="GF728" i="98"/>
  <c r="GF1048" i="98"/>
  <c r="GI9" i="98"/>
  <c r="GI1449" i="98"/>
  <c r="GI1529" i="98"/>
  <c r="GI569" i="98"/>
  <c r="GI1609" i="98"/>
  <c r="GI329" i="98"/>
  <c r="GI1049" i="98"/>
  <c r="GI1209" i="98"/>
  <c r="GI969" i="98"/>
  <c r="GI1289" i="98"/>
  <c r="GI169" i="98"/>
  <c r="GI1369" i="98"/>
  <c r="GI89" i="98"/>
  <c r="GI649" i="98"/>
  <c r="GI729" i="98"/>
  <c r="GI809" i="98"/>
  <c r="GI409" i="98"/>
  <c r="GI249" i="98"/>
  <c r="GI889" i="98"/>
  <c r="GI489" i="98"/>
  <c r="GI1129" i="98"/>
  <c r="GJ9" i="98"/>
  <c r="GJ1529" i="98"/>
  <c r="GJ1609" i="98"/>
  <c r="GJ569" i="98"/>
  <c r="GJ729" i="98"/>
  <c r="GJ649" i="98"/>
  <c r="GJ409" i="98"/>
  <c r="GJ1049" i="98"/>
  <c r="GJ889" i="98"/>
  <c r="GJ1289" i="98"/>
  <c r="GJ1209" i="98"/>
  <c r="GJ1369" i="98"/>
  <c r="GJ89" i="98"/>
  <c r="GJ169" i="98"/>
  <c r="GJ969" i="98"/>
  <c r="GJ489" i="98"/>
  <c r="GJ249" i="98"/>
  <c r="GJ1449" i="98"/>
  <c r="GJ1129" i="98"/>
  <c r="GJ809" i="98"/>
  <c r="GJ329" i="98"/>
  <c r="GI60" i="98"/>
  <c r="GI1100" i="98"/>
  <c r="GI380" i="98"/>
  <c r="GI300" i="98"/>
  <c r="GI140" i="98"/>
  <c r="GI620" i="98"/>
  <c r="GI700" i="98"/>
  <c r="GI1020" i="98"/>
  <c r="GI540" i="98"/>
  <c r="GI1340" i="98"/>
  <c r="GI860" i="98"/>
  <c r="GI1500" i="98"/>
  <c r="GI1260" i="98"/>
  <c r="GI220" i="98"/>
  <c r="GI1420" i="98"/>
  <c r="GI1580" i="98"/>
  <c r="GI1660" i="98"/>
  <c r="GI1180" i="98"/>
  <c r="GI940" i="98"/>
  <c r="GI460" i="98"/>
  <c r="GI780" i="98"/>
  <c r="GA1260" i="98"/>
  <c r="GA1180" i="98"/>
  <c r="GA140" i="98"/>
  <c r="GA700" i="98"/>
  <c r="GA1500" i="98"/>
  <c r="GA860" i="98"/>
  <c r="GA1580" i="98"/>
  <c r="GA1660" i="98"/>
  <c r="GA620" i="98"/>
  <c r="GA780" i="98"/>
  <c r="GJ27" i="98"/>
  <c r="GJ1067" i="98"/>
  <c r="GJ427" i="98"/>
  <c r="GJ1147" i="98"/>
  <c r="GJ1627" i="98"/>
  <c r="GJ267" i="98"/>
  <c r="GJ747" i="98"/>
  <c r="GJ1387" i="98"/>
  <c r="GJ107" i="98"/>
  <c r="GJ507" i="98"/>
  <c r="GJ1467" i="98"/>
  <c r="GJ1307" i="98"/>
  <c r="GJ1227" i="98"/>
  <c r="GJ187" i="98"/>
  <c r="GJ347" i="98"/>
  <c r="GJ667" i="98"/>
  <c r="GJ827" i="98"/>
  <c r="GJ587" i="98"/>
  <c r="GJ1547" i="98"/>
  <c r="GJ907" i="98"/>
  <c r="GJ987" i="98"/>
  <c r="GG27" i="98"/>
  <c r="GG1067" i="98"/>
  <c r="GG507" i="98"/>
  <c r="GG267" i="98"/>
  <c r="GG187" i="98"/>
  <c r="GG1627" i="98"/>
  <c r="GG747" i="98"/>
  <c r="GG1307" i="98"/>
  <c r="GG347" i="98"/>
  <c r="GG987" i="98"/>
  <c r="GG1227" i="98"/>
  <c r="GG827" i="98"/>
  <c r="GG1387" i="98"/>
  <c r="GG1467" i="98"/>
  <c r="GG587" i="98"/>
  <c r="GG907" i="98"/>
  <c r="GG667" i="98"/>
  <c r="GG107" i="98"/>
  <c r="GG1547" i="98"/>
  <c r="GG1147" i="98"/>
  <c r="GG427" i="98"/>
  <c r="GG7" i="98"/>
  <c r="GG327" i="98"/>
  <c r="GG87" i="98"/>
  <c r="GG1207" i="98"/>
  <c r="GG1527" i="98"/>
  <c r="GG167" i="98"/>
  <c r="GG407" i="98"/>
  <c r="GG887" i="98"/>
  <c r="GG247" i="98"/>
  <c r="GG1127" i="98"/>
  <c r="GG807" i="98"/>
  <c r="GG727" i="98"/>
  <c r="GG487" i="98"/>
  <c r="GG1047" i="98"/>
  <c r="GG567" i="98"/>
  <c r="GG1607" i="98"/>
  <c r="GG1447" i="98"/>
  <c r="GG1287" i="98"/>
  <c r="GG647" i="98"/>
  <c r="GG967" i="98"/>
  <c r="GG1367" i="98"/>
  <c r="GA7" i="98"/>
  <c r="GA487" i="98"/>
  <c r="GA87" i="98"/>
  <c r="GA1527" i="98"/>
  <c r="GA167" i="98"/>
  <c r="GA1207" i="98"/>
  <c r="GA407" i="98"/>
  <c r="GA1127" i="98"/>
  <c r="GA327" i="98"/>
  <c r="GA1447" i="98"/>
  <c r="GA727" i="98"/>
  <c r="GA1047" i="98"/>
  <c r="GA887" i="98"/>
  <c r="GA1287" i="98"/>
  <c r="GA647" i="98"/>
  <c r="GA967" i="98"/>
  <c r="GA807" i="98"/>
  <c r="GA567" i="98"/>
  <c r="GA1607" i="98"/>
  <c r="GA1367" i="98"/>
  <c r="GA247" i="98"/>
  <c r="GF70" i="98"/>
  <c r="GF1030" i="98"/>
  <c r="GF390" i="98"/>
  <c r="GF230" i="98"/>
  <c r="GF870" i="98"/>
  <c r="GF550" i="98"/>
  <c r="GF1590" i="98"/>
  <c r="GF1430" i="98"/>
  <c r="GF1670" i="98"/>
  <c r="GF1110" i="98"/>
  <c r="GF1350" i="98"/>
  <c r="GF630" i="98"/>
  <c r="GF150" i="98"/>
  <c r="GF1190" i="98"/>
  <c r="GF1510" i="98"/>
  <c r="GF790" i="98"/>
  <c r="GF1270" i="98"/>
  <c r="GF710" i="98"/>
  <c r="GF950" i="98"/>
  <c r="GF310" i="98"/>
  <c r="GF470" i="98"/>
  <c r="GJ29" i="98"/>
  <c r="GJ1389" i="98"/>
  <c r="GJ1469" i="98"/>
  <c r="GJ989" i="98"/>
  <c r="GJ749" i="98"/>
  <c r="GJ669" i="98"/>
  <c r="GJ589" i="98"/>
  <c r="GJ269" i="98"/>
  <c r="GJ1309" i="98"/>
  <c r="GJ509" i="98"/>
  <c r="GJ429" i="98"/>
  <c r="GJ109" i="98"/>
  <c r="GJ909" i="98"/>
  <c r="GJ1149" i="98"/>
  <c r="GJ1069" i="98"/>
  <c r="GJ1549" i="98"/>
  <c r="GJ1229" i="98"/>
  <c r="GJ1629" i="98"/>
  <c r="GJ189" i="98"/>
  <c r="GJ829" i="98"/>
  <c r="GJ349" i="98"/>
  <c r="GF29" i="98"/>
  <c r="GF1389" i="98"/>
  <c r="GF1469" i="98"/>
  <c r="GF749" i="98"/>
  <c r="GF669" i="98"/>
  <c r="GF269" i="98"/>
  <c r="GF109" i="98"/>
  <c r="GF589" i="98"/>
  <c r="GF989" i="98"/>
  <c r="GF429" i="98"/>
  <c r="GF1149" i="98"/>
  <c r="GF1069" i="98"/>
  <c r="GF909" i="98"/>
  <c r="GF509" i="98"/>
  <c r="GF1229" i="98"/>
  <c r="GF1549" i="98"/>
  <c r="GF1629" i="98"/>
  <c r="GF1309" i="98"/>
  <c r="GF189" i="98"/>
  <c r="GF829" i="98"/>
  <c r="GF349" i="98"/>
  <c r="GJ69" i="98"/>
  <c r="GJ1509" i="98"/>
  <c r="GJ1429" i="98"/>
  <c r="GJ1669" i="98"/>
  <c r="GJ1349" i="98"/>
  <c r="GJ949" i="98"/>
  <c r="GJ709" i="98"/>
  <c r="GJ549" i="98"/>
  <c r="GJ469" i="98"/>
  <c r="GJ1109" i="98"/>
  <c r="GJ229" i="98"/>
  <c r="GJ629" i="98"/>
  <c r="GJ309" i="98"/>
  <c r="GJ149" i="98"/>
  <c r="GJ389" i="98"/>
  <c r="GJ869" i="98"/>
  <c r="GJ1589" i="98"/>
  <c r="GJ789" i="98"/>
  <c r="GJ1269" i="98"/>
  <c r="GJ1029" i="98"/>
  <c r="GJ1189" i="98"/>
  <c r="GA69" i="98"/>
  <c r="GA1349" i="98"/>
  <c r="GA1429" i="98"/>
  <c r="GA949" i="98"/>
  <c r="GA629" i="98"/>
  <c r="GA469" i="98"/>
  <c r="GA1589" i="98"/>
  <c r="GA709" i="98"/>
  <c r="GA1509" i="98"/>
  <c r="GA309" i="98"/>
  <c r="GA389" i="98"/>
  <c r="GA149" i="98"/>
  <c r="GA549" i="98"/>
  <c r="GA869" i="98"/>
  <c r="GA1669" i="98"/>
  <c r="GA789" i="98"/>
  <c r="GA229" i="98"/>
  <c r="GA1109" i="98"/>
  <c r="GA1029" i="98"/>
  <c r="GA1189" i="98"/>
  <c r="GA1269" i="98"/>
  <c r="GI21" i="98"/>
  <c r="GI1381" i="98"/>
  <c r="GI1461" i="98"/>
  <c r="GI741" i="98"/>
  <c r="GI261" i="98"/>
  <c r="GI581" i="98"/>
  <c r="GI1541" i="98"/>
  <c r="GI981" i="98"/>
  <c r="GI1221" i="98"/>
  <c r="GI1621" i="98"/>
  <c r="GI661" i="98"/>
  <c r="GI421" i="98"/>
  <c r="GI101" i="98"/>
  <c r="GI821" i="98"/>
  <c r="GI501" i="98"/>
  <c r="GI341" i="98"/>
  <c r="GI181" i="98"/>
  <c r="GI1301" i="98"/>
  <c r="GI901" i="98"/>
  <c r="GI1141" i="98"/>
  <c r="GI1061" i="98"/>
  <c r="GC64" i="98"/>
  <c r="GC1504" i="98"/>
  <c r="GC1344" i="98"/>
  <c r="GC1104" i="98"/>
  <c r="GC1264" i="98"/>
  <c r="GC384" i="98"/>
  <c r="GC304" i="98"/>
  <c r="GC144" i="98"/>
  <c r="GC864" i="98"/>
  <c r="GC1184" i="98"/>
  <c r="GC624" i="98"/>
  <c r="GC224" i="98"/>
  <c r="GC704" i="98"/>
  <c r="GC544" i="98"/>
  <c r="GC1584" i="98"/>
  <c r="GC1664" i="98"/>
  <c r="GC1424" i="98"/>
  <c r="GC464" i="98"/>
  <c r="GC944" i="98"/>
  <c r="GC1024" i="98"/>
  <c r="GC784" i="98"/>
  <c r="GG19" i="98"/>
  <c r="GG1139" i="98"/>
  <c r="GG1059" i="98"/>
  <c r="GG339" i="98"/>
  <c r="GG179" i="98"/>
  <c r="GG1539" i="98"/>
  <c r="GG419" i="98"/>
  <c r="GG979" i="98"/>
  <c r="GG499" i="98"/>
  <c r="GG259" i="98"/>
  <c r="GG1299" i="98"/>
  <c r="GG819" i="98"/>
  <c r="GG899" i="98"/>
  <c r="GG1219" i="98"/>
  <c r="GG1619" i="98"/>
  <c r="GG579" i="98"/>
  <c r="GG739" i="98"/>
  <c r="GG1459" i="98"/>
  <c r="GG1379" i="98"/>
  <c r="GG659" i="98"/>
  <c r="GG99" i="98"/>
  <c r="GA19" i="98"/>
  <c r="GA1059" i="98"/>
  <c r="GA339" i="98"/>
  <c r="GA419" i="98"/>
  <c r="GA1539" i="98"/>
  <c r="GA1299" i="98"/>
  <c r="GA979" i="98"/>
  <c r="GA1139" i="98"/>
  <c r="GA259" i="98"/>
  <c r="GA499" i="98"/>
  <c r="GA179" i="98"/>
  <c r="GA1619" i="98"/>
  <c r="GA1459" i="98"/>
  <c r="GA1219" i="98"/>
  <c r="GA819" i="98"/>
  <c r="GA99" i="98"/>
  <c r="GA659" i="98"/>
  <c r="GA579" i="98"/>
  <c r="GA1379" i="98"/>
  <c r="GA899" i="98"/>
  <c r="GA739" i="98"/>
  <c r="GI30" i="98"/>
  <c r="GI1150" i="98"/>
  <c r="GI1550" i="98"/>
  <c r="GI1470" i="98"/>
  <c r="GI1070" i="98"/>
  <c r="GI430" i="98"/>
  <c r="GI110" i="98"/>
  <c r="GI510" i="98"/>
  <c r="GI670" i="98"/>
  <c r="GI750" i="98"/>
  <c r="GI1390" i="98"/>
  <c r="GI1230" i="98"/>
  <c r="GI190" i="98"/>
  <c r="GI830" i="98"/>
  <c r="GI910" i="98"/>
  <c r="GI1630" i="98"/>
  <c r="GI590" i="98"/>
  <c r="GI1310" i="98"/>
  <c r="GI270" i="98"/>
  <c r="GI350" i="98"/>
  <c r="GI990" i="98"/>
  <c r="GA30" i="98"/>
  <c r="GA1550" i="98"/>
  <c r="GA1470" i="98"/>
  <c r="GA1630" i="98"/>
  <c r="GA1230" i="98"/>
  <c r="GA1070" i="98"/>
  <c r="GA430" i="98"/>
  <c r="GA190" i="98"/>
  <c r="GA110" i="98"/>
  <c r="GA1310" i="98"/>
  <c r="GA270" i="98"/>
  <c r="GA1150" i="98"/>
  <c r="GA590" i="98"/>
  <c r="GA1390" i="98"/>
  <c r="GA830" i="98"/>
  <c r="GA910" i="98"/>
  <c r="GA750" i="98"/>
  <c r="GA990" i="98"/>
  <c r="GA670" i="98"/>
  <c r="GA350" i="98"/>
  <c r="GA510" i="98"/>
  <c r="GI18" i="98"/>
  <c r="GI1218" i="98"/>
  <c r="GI1298" i="98"/>
  <c r="GI1058" i="98"/>
  <c r="GI98" i="98"/>
  <c r="GI498" i="98"/>
  <c r="GI1458" i="98"/>
  <c r="GI258" i="98"/>
  <c r="GI658" i="98"/>
  <c r="GI1618" i="98"/>
  <c r="GI1138" i="98"/>
  <c r="GI738" i="98"/>
  <c r="GI178" i="98"/>
  <c r="GI978" i="98"/>
  <c r="GI578" i="98"/>
  <c r="GI818" i="98"/>
  <c r="GI1538" i="98"/>
  <c r="GI418" i="98"/>
  <c r="GI898" i="98"/>
  <c r="GI1378" i="98"/>
  <c r="GI338" i="98"/>
  <c r="GA18" i="98"/>
  <c r="GA1538" i="98"/>
  <c r="GA1298" i="98"/>
  <c r="GA1218" i="98"/>
  <c r="GA1138" i="98"/>
  <c r="GA98" i="98"/>
  <c r="GA658" i="98"/>
  <c r="GA1378" i="98"/>
  <c r="GA1058" i="98"/>
  <c r="GA178" i="98"/>
  <c r="GA818" i="98"/>
  <c r="GA578" i="98"/>
  <c r="GA1618" i="98"/>
  <c r="GA338" i="98"/>
  <c r="GA418" i="98"/>
  <c r="GA898" i="98"/>
  <c r="GA258" i="98"/>
  <c r="GA498" i="98"/>
  <c r="GA978" i="98"/>
  <c r="GA1458" i="98"/>
  <c r="GA738" i="98"/>
  <c r="GJ77" i="98"/>
  <c r="GJ1677" i="98"/>
  <c r="GJ1517" i="98"/>
  <c r="GJ1357" i="98"/>
  <c r="GJ1597" i="98"/>
  <c r="GJ957" i="98"/>
  <c r="GJ397" i="98"/>
  <c r="GJ717" i="98"/>
  <c r="GJ637" i="98"/>
  <c r="GJ1037" i="98"/>
  <c r="GJ237" i="98"/>
  <c r="GJ1117" i="98"/>
  <c r="GJ317" i="98"/>
  <c r="GJ477" i="98"/>
  <c r="GJ157" i="98"/>
  <c r="GJ557" i="98"/>
  <c r="GJ1437" i="98"/>
  <c r="GJ877" i="98"/>
  <c r="GJ1197" i="98"/>
  <c r="GJ797" i="98"/>
  <c r="GJ1277" i="98"/>
  <c r="GF59" i="98"/>
  <c r="GF1099" i="98"/>
  <c r="GF1019" i="98"/>
  <c r="GF459" i="98"/>
  <c r="GF939" i="98"/>
  <c r="GF699" i="98"/>
  <c r="GF539" i="98"/>
  <c r="GF1339" i="98"/>
  <c r="GF299" i="98"/>
  <c r="GF1579" i="98"/>
  <c r="GF1179" i="98"/>
  <c r="GF619" i="98"/>
  <c r="GF1259" i="98"/>
  <c r="GF779" i="98"/>
  <c r="GF1499" i="98"/>
  <c r="GF859" i="98"/>
  <c r="GF1659" i="98"/>
  <c r="GF379" i="98"/>
  <c r="GF219" i="98"/>
  <c r="GF1419" i="98"/>
  <c r="GF139" i="98"/>
  <c r="FX27" i="98"/>
  <c r="FX107" i="98"/>
  <c r="FX187" i="98"/>
  <c r="FX267" i="98"/>
  <c r="FX347" i="98"/>
  <c r="FX427" i="98"/>
  <c r="FX507" i="98"/>
  <c r="FX587" i="98"/>
  <c r="FX667" i="98"/>
  <c r="FX747" i="98"/>
  <c r="FX827" i="98"/>
  <c r="FX907" i="98"/>
  <c r="FX987" i="98"/>
  <c r="FX1067" i="98"/>
  <c r="FX1147" i="98"/>
  <c r="FX1227" i="98"/>
  <c r="FX1307" i="98"/>
  <c r="FX1387" i="98"/>
  <c r="FX1467" i="98"/>
  <c r="FX1547" i="98"/>
  <c r="FX1627" i="98"/>
  <c r="GL1438" i="98"/>
  <c r="GL1038" i="98"/>
  <c r="GL1198" i="98"/>
  <c r="GL718" i="98"/>
  <c r="GL638" i="98"/>
  <c r="GL238" i="98"/>
  <c r="GL958" i="98"/>
  <c r="GL478" i="98"/>
  <c r="GL1118" i="98"/>
  <c r="GL1518" i="98"/>
  <c r="GL1598" i="98"/>
  <c r="GL878" i="98"/>
  <c r="GL1358" i="98"/>
  <c r="GL1678" i="98"/>
  <c r="GL1278" i="98"/>
  <c r="GL158" i="98"/>
  <c r="GL798" i="98"/>
  <c r="GL398" i="98"/>
  <c r="GL558" i="98"/>
  <c r="GL318" i="98"/>
  <c r="ER70" i="98"/>
  <c r="GL78" i="98"/>
  <c r="GA78" i="98"/>
  <c r="GA1438" i="98"/>
  <c r="GA1598" i="98"/>
  <c r="GA1038" i="98"/>
  <c r="GA1118" i="98"/>
  <c r="GA238" i="98"/>
  <c r="GA1198" i="98"/>
  <c r="GA478" i="98"/>
  <c r="GA398" i="98"/>
  <c r="GA638" i="98"/>
  <c r="GA718" i="98"/>
  <c r="GA1278" i="98"/>
  <c r="GA878" i="98"/>
  <c r="GA1678" i="98"/>
  <c r="GA1358" i="98"/>
  <c r="GA1518" i="98"/>
  <c r="GA958" i="98"/>
  <c r="GA798" i="98"/>
  <c r="GA318" i="98"/>
  <c r="GA558" i="98"/>
  <c r="GA158" i="98"/>
  <c r="GG10" i="98"/>
  <c r="GG1290" i="98"/>
  <c r="GG1210" i="98"/>
  <c r="GG1130" i="98"/>
  <c r="GG570" i="98"/>
  <c r="GG650" i="98"/>
  <c r="GG170" i="98"/>
  <c r="GG730" i="98"/>
  <c r="GG1530" i="98"/>
  <c r="GG330" i="98"/>
  <c r="GG1050" i="98"/>
  <c r="GG1610" i="98"/>
  <c r="GG490" i="98"/>
  <c r="GG1370" i="98"/>
  <c r="GG250" i="98"/>
  <c r="GG890" i="98"/>
  <c r="GG90" i="98"/>
  <c r="GG410" i="98"/>
  <c r="GG970" i="98"/>
  <c r="GG1450" i="98"/>
  <c r="GG810" i="98"/>
  <c r="GJ1290" i="98"/>
  <c r="GJ90" i="98"/>
  <c r="GJ330" i="98"/>
  <c r="GJ1210" i="98"/>
  <c r="GJ1450" i="98"/>
  <c r="GJ58" i="98"/>
  <c r="GJ1018" i="98"/>
  <c r="GJ778" i="98"/>
  <c r="GJ218" i="98"/>
  <c r="GJ1498" i="98"/>
  <c r="GJ1578" i="98"/>
  <c r="GJ1658" i="98"/>
  <c r="GJ1178" i="98"/>
  <c r="GJ538" i="98"/>
  <c r="GJ858" i="98"/>
  <c r="GJ1338" i="98"/>
  <c r="GG17" i="98"/>
  <c r="GG977" i="98"/>
  <c r="GG657" i="98"/>
  <c r="GG737" i="98"/>
  <c r="GG577" i="98"/>
  <c r="GG417" i="98"/>
  <c r="GG97" i="98"/>
  <c r="GG1617" i="98"/>
  <c r="GG1137" i="98"/>
  <c r="GG1537" i="98"/>
  <c r="GG817" i="98"/>
  <c r="GG257" i="98"/>
  <c r="GG1057" i="98"/>
  <c r="GG1457" i="98"/>
  <c r="GG1377" i="98"/>
  <c r="GG497" i="98"/>
  <c r="GG1217" i="98"/>
  <c r="GG177" i="98"/>
  <c r="GG897" i="98"/>
  <c r="GG337" i="98"/>
  <c r="GG1297" i="98"/>
  <c r="GL663" i="98"/>
  <c r="GL423" i="98"/>
  <c r="GL903" i="98"/>
  <c r="GL183" i="98"/>
  <c r="GL1383" i="98"/>
  <c r="GL1463" i="98"/>
  <c r="GL1623" i="98"/>
  <c r="GL823" i="98"/>
  <c r="GL983" i="98"/>
  <c r="GL583" i="98"/>
  <c r="GL503" i="98"/>
  <c r="GL343" i="98"/>
  <c r="GL1223" i="98"/>
  <c r="GL1143" i="98"/>
  <c r="GL1303" i="98"/>
  <c r="GL263" i="98"/>
  <c r="GL1063" i="98"/>
  <c r="GL1543" i="98"/>
  <c r="GL743" i="98"/>
  <c r="GL103" i="98"/>
  <c r="ER21" i="98"/>
  <c r="GL23" i="98"/>
  <c r="GG23" i="98"/>
  <c r="GG343" i="98"/>
  <c r="GG183" i="98"/>
  <c r="GG1303" i="98"/>
  <c r="GG423" i="98"/>
  <c r="GG903" i="98"/>
  <c r="GG823" i="98"/>
  <c r="GG1063" i="98"/>
  <c r="GG743" i="98"/>
  <c r="GG1623" i="98"/>
  <c r="GG1463" i="98"/>
  <c r="GG263" i="98"/>
  <c r="GG503" i="98"/>
  <c r="GG1143" i="98"/>
  <c r="GG983" i="98"/>
  <c r="GG583" i="98"/>
  <c r="GG1543" i="98"/>
  <c r="GG1223" i="98"/>
  <c r="GG663" i="98"/>
  <c r="GG1383" i="98"/>
  <c r="GG103" i="98"/>
  <c r="GF13" i="98"/>
  <c r="GF1373" i="98"/>
  <c r="GF1453" i="98"/>
  <c r="GF1613" i="98"/>
  <c r="GF573" i="98"/>
  <c r="GF733" i="98"/>
  <c r="GF653" i="98"/>
  <c r="GF1533" i="98"/>
  <c r="GF253" i="98"/>
  <c r="GF173" i="98"/>
  <c r="GF1293" i="98"/>
  <c r="GF93" i="98"/>
  <c r="GF413" i="98"/>
  <c r="GF973" i="98"/>
  <c r="GF1053" i="98"/>
  <c r="GF813" i="98"/>
  <c r="GF333" i="98"/>
  <c r="GF493" i="98"/>
  <c r="GF1213" i="98"/>
  <c r="GF893" i="98"/>
  <c r="GF1133" i="98"/>
  <c r="GL1613" i="98"/>
  <c r="GL1453" i="98"/>
  <c r="GL1533" i="98"/>
  <c r="GL973" i="98"/>
  <c r="GL173" i="98"/>
  <c r="GL1293" i="98"/>
  <c r="GL93" i="98"/>
  <c r="GL573" i="98"/>
  <c r="GL1053" i="98"/>
  <c r="GL413" i="98"/>
  <c r="GL653" i="98"/>
  <c r="GL733" i="98"/>
  <c r="GL1373" i="98"/>
  <c r="GL893" i="98"/>
  <c r="GL813" i="98"/>
  <c r="GL333" i="98"/>
  <c r="GL1133" i="98"/>
  <c r="GL253" i="98"/>
  <c r="GL1213" i="98"/>
  <c r="GL493" i="98"/>
  <c r="ER12" i="98"/>
  <c r="GL13" i="98"/>
  <c r="GI12" i="98"/>
  <c r="GI1292" i="98"/>
  <c r="GI1132" i="98"/>
  <c r="GI332" i="98"/>
  <c r="GI652" i="98"/>
  <c r="GI572" i="98"/>
  <c r="GI1052" i="98"/>
  <c r="GI1372" i="98"/>
  <c r="GI812" i="98"/>
  <c r="GI972" i="98"/>
  <c r="GI1452" i="98"/>
  <c r="GI412" i="98"/>
  <c r="GI492" i="98"/>
  <c r="GI732" i="98"/>
  <c r="GI92" i="98"/>
  <c r="GI1532" i="98"/>
  <c r="GI1612" i="98"/>
  <c r="GI1212" i="98"/>
  <c r="GI252" i="98"/>
  <c r="GI892" i="98"/>
  <c r="GI172" i="98"/>
  <c r="GF22" i="98"/>
  <c r="GF1622" i="98"/>
  <c r="GF1062" i="98"/>
  <c r="GF582" i="98"/>
  <c r="GF1142" i="98"/>
  <c r="GF262" i="98"/>
  <c r="GF102" i="98"/>
  <c r="GF902" i="98"/>
  <c r="GF662" i="98"/>
  <c r="GF182" i="98"/>
  <c r="GF1462" i="98"/>
  <c r="GF742" i="98"/>
  <c r="GF1382" i="98"/>
  <c r="GF1542" i="98"/>
  <c r="GF1302" i="98"/>
  <c r="GF1222" i="98"/>
  <c r="GF822" i="98"/>
  <c r="GF422" i="98"/>
  <c r="GF502" i="98"/>
  <c r="GF342" i="98"/>
  <c r="GF982" i="98"/>
  <c r="GI22" i="98"/>
  <c r="GI1622" i="98"/>
  <c r="GI1142" i="98"/>
  <c r="GI582" i="98"/>
  <c r="GI1062" i="98"/>
  <c r="GI262" i="98"/>
  <c r="GI102" i="98"/>
  <c r="GI662" i="98"/>
  <c r="GI902" i="98"/>
  <c r="GI182" i="98"/>
  <c r="GI1382" i="98"/>
  <c r="GI422" i="98"/>
  <c r="GI1462" i="98"/>
  <c r="GI1542" i="98"/>
  <c r="GI1302" i="98"/>
  <c r="GI982" i="98"/>
  <c r="GI742" i="98"/>
  <c r="GI822" i="98"/>
  <c r="GI502" i="98"/>
  <c r="GI1222" i="98"/>
  <c r="GI342" i="98"/>
  <c r="GJ57" i="98"/>
  <c r="GJ1577" i="98"/>
  <c r="GJ617" i="98"/>
  <c r="GJ1657" i="98"/>
  <c r="GJ777" i="98"/>
  <c r="GJ697" i="98"/>
  <c r="GJ137" i="98"/>
  <c r="GJ1097" i="98"/>
  <c r="GJ1017" i="98"/>
  <c r="GJ1177" i="98"/>
  <c r="GJ937" i="98"/>
  <c r="GJ1257" i="98"/>
  <c r="GJ537" i="98"/>
  <c r="GJ857" i="98"/>
  <c r="GJ377" i="98"/>
  <c r="GJ457" i="98"/>
  <c r="GJ1337" i="98"/>
  <c r="GJ1417" i="98"/>
  <c r="GJ1497" i="98"/>
  <c r="GJ217" i="98"/>
  <c r="GJ297" i="98"/>
  <c r="GA57" i="98"/>
  <c r="GA1497" i="98"/>
  <c r="GA1337" i="98"/>
  <c r="GA1417" i="98"/>
  <c r="GA777" i="98"/>
  <c r="GA537" i="98"/>
  <c r="GA1017" i="98"/>
  <c r="GA1097" i="98"/>
  <c r="GA137" i="98"/>
  <c r="GA1577" i="98"/>
  <c r="GA1257" i="98"/>
  <c r="GA377" i="98"/>
  <c r="GA617" i="98"/>
  <c r="GA937" i="98"/>
  <c r="GA857" i="98"/>
  <c r="GA697" i="98"/>
  <c r="GA1657" i="98"/>
  <c r="GA217" i="98"/>
  <c r="GA297" i="98"/>
  <c r="GA1177" i="98"/>
  <c r="GA457" i="98"/>
  <c r="GL1051" i="98"/>
  <c r="GL1131" i="98"/>
  <c r="GL171" i="98"/>
  <c r="GL1611" i="98"/>
  <c r="GL1291" i="98"/>
  <c r="GL411" i="98"/>
  <c r="GL891" i="98"/>
  <c r="GL1451" i="98"/>
  <c r="GL811" i="98"/>
  <c r="GL1211" i="98"/>
  <c r="GL491" i="98"/>
  <c r="GL1371" i="98"/>
  <c r="GL331" i="98"/>
  <c r="GL251" i="98"/>
  <c r="GL1531" i="98"/>
  <c r="GL731" i="98"/>
  <c r="GL651" i="98"/>
  <c r="GL571" i="98"/>
  <c r="GL91" i="98"/>
  <c r="GL971" i="98"/>
  <c r="ER10" i="98"/>
  <c r="GL11" i="98"/>
  <c r="GF20" i="98"/>
  <c r="GF1140" i="98"/>
  <c r="GF500" i="98"/>
  <c r="GF1220" i="98"/>
  <c r="GF1060" i="98"/>
  <c r="GF100" i="98"/>
  <c r="GF260" i="98"/>
  <c r="GF1540" i="98"/>
  <c r="GF1620" i="98"/>
  <c r="GF660" i="98"/>
  <c r="GF1300" i="98"/>
  <c r="GF420" i="98"/>
  <c r="GF820" i="98"/>
  <c r="GF900" i="98"/>
  <c r="GF1380" i="98"/>
  <c r="GF1460" i="98"/>
  <c r="GF180" i="98"/>
  <c r="GF580" i="98"/>
  <c r="GF740" i="98"/>
  <c r="GF340" i="98"/>
  <c r="GF980" i="98"/>
  <c r="GJ68" i="98"/>
  <c r="GJ1108" i="98"/>
  <c r="GJ948" i="98"/>
  <c r="GJ308" i="98"/>
  <c r="GJ228" i="98"/>
  <c r="GJ148" i="98"/>
  <c r="GJ388" i="98"/>
  <c r="GJ1268" i="98"/>
  <c r="GJ1188" i="98"/>
  <c r="GJ1348" i="98"/>
  <c r="GJ1428" i="98"/>
  <c r="GJ1508" i="98"/>
  <c r="GJ1588" i="98"/>
  <c r="GJ1668" i="98"/>
  <c r="GJ548" i="98"/>
  <c r="GJ708" i="98"/>
  <c r="GJ868" i="98"/>
  <c r="GJ788" i="98"/>
  <c r="GJ1028" i="98"/>
  <c r="GJ468" i="98"/>
  <c r="GJ628" i="98"/>
  <c r="GG79" i="98"/>
  <c r="GG319" i="98"/>
  <c r="GG1199" i="98"/>
  <c r="GG159" i="98"/>
  <c r="GG1359" i="98"/>
  <c r="GG559" i="98"/>
  <c r="GG1119" i="98"/>
  <c r="GG239" i="98"/>
  <c r="GG639" i="98"/>
  <c r="GG1679" i="98"/>
  <c r="GG1519" i="98"/>
  <c r="GG479" i="98"/>
  <c r="GG799" i="98"/>
  <c r="GG879" i="98"/>
  <c r="GG719" i="98"/>
  <c r="GG1039" i="98"/>
  <c r="GG399" i="98"/>
  <c r="GG1599" i="98"/>
  <c r="GG959" i="98"/>
  <c r="GG1439" i="98"/>
  <c r="GG1279" i="98"/>
  <c r="GI28" i="98"/>
  <c r="GI1308" i="98"/>
  <c r="GI1148" i="98"/>
  <c r="GI1228" i="98"/>
  <c r="GI1068" i="98"/>
  <c r="GI188" i="98"/>
  <c r="GI588" i="98"/>
  <c r="GI268" i="98"/>
  <c r="GI1468" i="98"/>
  <c r="GI428" i="98"/>
  <c r="GI748" i="98"/>
  <c r="GI1548" i="98"/>
  <c r="GI1628" i="98"/>
  <c r="GI108" i="98"/>
  <c r="GI348" i="98"/>
  <c r="GI508" i="98"/>
  <c r="GI1388" i="98"/>
  <c r="GI668" i="98"/>
  <c r="GI988" i="98"/>
  <c r="GI908" i="98"/>
  <c r="GI828" i="98"/>
  <c r="EP50" i="98"/>
  <c r="FB50" i="98"/>
  <c r="FD50" i="98"/>
  <c r="EX50" i="98"/>
  <c r="EY50" i="98"/>
  <c r="FA50" i="98"/>
  <c r="EP46" i="98"/>
  <c r="FB46" i="98"/>
  <c r="FA46" i="98"/>
  <c r="FD46" i="98"/>
  <c r="EX46" i="98"/>
  <c r="EY46" i="98"/>
  <c r="ET42" i="98"/>
  <c r="EK42" i="98" s="1"/>
  <c r="EM42" i="98"/>
  <c r="ET44" i="98"/>
  <c r="EK44" i="98" s="1"/>
  <c r="EM44" i="98"/>
  <c r="ET45" i="98"/>
  <c r="EK45" i="98" s="1"/>
  <c r="EM45" i="98"/>
  <c r="ET43" i="98"/>
  <c r="EK43" i="98" s="1"/>
  <c r="EM43" i="98"/>
  <c r="DM8" i="98"/>
  <c r="EP49" i="98"/>
  <c r="EX49" i="98"/>
  <c r="FD49" i="98"/>
  <c r="FB49" i="98"/>
  <c r="FA49" i="98"/>
  <c r="EY49" i="98"/>
  <c r="EP47" i="98"/>
  <c r="FA47" i="98"/>
  <c r="FB47" i="98"/>
  <c r="EX47" i="98"/>
  <c r="EY47" i="98"/>
  <c r="FD47" i="98"/>
  <c r="EP48" i="98"/>
  <c r="EY48" i="98"/>
  <c r="FB48" i="98"/>
  <c r="EX48" i="98"/>
  <c r="FA48" i="98"/>
  <c r="FD48" i="98"/>
  <c r="FA38" i="98"/>
  <c r="FB38" i="98"/>
  <c r="EX38" i="98"/>
  <c r="FD38" i="98"/>
  <c r="EY38" i="98"/>
  <c r="ET33" i="98"/>
  <c r="EM33" i="98"/>
  <c r="ET34" i="98"/>
  <c r="EM34" i="98"/>
  <c r="ET35" i="98"/>
  <c r="EM35" i="98"/>
  <c r="ET36" i="98"/>
  <c r="EM36" i="98"/>
  <c r="FB37" i="98"/>
  <c r="EX37" i="98"/>
  <c r="FD37" i="98"/>
  <c r="FA37" i="98"/>
  <c r="EY37" i="98"/>
  <c r="FB41" i="98"/>
  <c r="FA41" i="98"/>
  <c r="EX41" i="98"/>
  <c r="FD41" i="98"/>
  <c r="EY41" i="98"/>
  <c r="EY39" i="98"/>
  <c r="EX39" i="98"/>
  <c r="FA39" i="98"/>
  <c r="FD39" i="98"/>
  <c r="FB39" i="98"/>
  <c r="EX40" i="98"/>
  <c r="FD40" i="98"/>
  <c r="EY40" i="98"/>
  <c r="FA40" i="98"/>
  <c r="FB40" i="98"/>
  <c r="DM18" i="98"/>
  <c r="DM16" i="98"/>
  <c r="DM31" i="98"/>
  <c r="DM55" i="98"/>
  <c r="DM35" i="98"/>
  <c r="DM48" i="98"/>
  <c r="DM49" i="98"/>
  <c r="DM42" i="98"/>
  <c r="DM51" i="98"/>
  <c r="DM17" i="98"/>
  <c r="DM25" i="98"/>
  <c r="DM21" i="98"/>
  <c r="DM24" i="98"/>
  <c r="DM22" i="98"/>
  <c r="DM70" i="98"/>
  <c r="DM75" i="98"/>
  <c r="DM62" i="98"/>
  <c r="DM40" i="98"/>
  <c r="DM32" i="98"/>
  <c r="DM68" i="98"/>
  <c r="DM58" i="98"/>
  <c r="DM65" i="98"/>
  <c r="DM34" i="98"/>
  <c r="DM30" i="98"/>
  <c r="DM56" i="98"/>
  <c r="DM50" i="98"/>
  <c r="DM54" i="98"/>
  <c r="DM33" i="98"/>
  <c r="DM74" i="98"/>
  <c r="DM12" i="98"/>
  <c r="DM53" i="98"/>
  <c r="DM39" i="98"/>
  <c r="DM52" i="98"/>
  <c r="DM71" i="98"/>
  <c r="DM73" i="98"/>
  <c r="DM10" i="98"/>
  <c r="DM61" i="98"/>
  <c r="DM46" i="98"/>
  <c r="DM60" i="98"/>
  <c r="DM67" i="98"/>
  <c r="DM26" i="98"/>
  <c r="DM11" i="98"/>
  <c r="DM63" i="98"/>
  <c r="DM41" i="98"/>
  <c r="DM59" i="98"/>
  <c r="DM69" i="98"/>
  <c r="DM27" i="98"/>
  <c r="DM38" i="98"/>
  <c r="DM44" i="98"/>
  <c r="DM57" i="98"/>
  <c r="DM66" i="98"/>
  <c r="DM29" i="98"/>
  <c r="DM36" i="98"/>
  <c r="DM45" i="98"/>
  <c r="DM64" i="98"/>
  <c r="DM72" i="98"/>
  <c r="DM23" i="98"/>
  <c r="DM20" i="98"/>
  <c r="DM37" i="98"/>
  <c r="DM43" i="98"/>
  <c r="DM47" i="98"/>
  <c r="DM76" i="98"/>
  <c r="DM28" i="98"/>
  <c r="DM15" i="98"/>
  <c r="DM14" i="98"/>
  <c r="DM19" i="98"/>
  <c r="DM9" i="98"/>
  <c r="DM13" i="98"/>
  <c r="D7" i="84"/>
  <c r="E18" i="84"/>
  <c r="D18" i="84"/>
  <c r="BI144" i="83"/>
  <c r="BH359" i="83"/>
  <c r="BI469" i="83"/>
  <c r="BI435" i="83"/>
  <c r="BI493" i="83"/>
  <c r="BG413" i="83"/>
  <c r="BG451" i="83"/>
  <c r="BG473" i="83"/>
  <c r="BI433" i="83"/>
  <c r="BG487" i="83"/>
  <c r="BG419" i="83"/>
  <c r="BG455" i="83"/>
  <c r="BG502" i="83"/>
  <c r="BI446" i="83"/>
  <c r="BI414" i="83"/>
  <c r="BG450" i="83"/>
  <c r="BI499" i="83"/>
  <c r="BG501" i="83"/>
  <c r="BI117" i="83"/>
  <c r="BG112" i="83"/>
  <c r="BG148" i="83"/>
  <c r="BI139" i="83"/>
  <c r="BG137" i="83"/>
  <c r="BI128" i="83"/>
  <c r="BG120" i="83"/>
  <c r="BI160" i="83"/>
  <c r="BG222" i="83"/>
  <c r="BG276" i="83"/>
  <c r="BI359" i="83"/>
  <c r="BG161" i="83"/>
  <c r="BI249" i="83"/>
  <c r="BG323" i="83"/>
  <c r="BI171" i="83"/>
  <c r="BG232" i="83"/>
  <c r="BG286" i="83"/>
  <c r="BG363" i="83"/>
  <c r="BG172" i="83"/>
  <c r="BI268" i="83"/>
  <c r="BI334" i="83"/>
  <c r="BI399" i="83"/>
  <c r="BG188" i="83"/>
  <c r="BG242" i="83"/>
  <c r="BI309" i="83"/>
  <c r="BI390" i="83"/>
  <c r="BI192" i="83"/>
  <c r="BG295" i="83"/>
  <c r="BI348" i="83"/>
  <c r="BI379" i="83"/>
  <c r="BI206" i="83"/>
  <c r="BI260" i="83"/>
  <c r="BG342" i="83"/>
  <c r="BI370" i="83"/>
  <c r="BI229" i="83"/>
  <c r="BG314" i="83"/>
  <c r="BI364" i="83"/>
  <c r="BG207" i="83"/>
  <c r="BG261" i="83"/>
  <c r="BI164" i="83"/>
  <c r="BI261" i="83"/>
  <c r="BI332" i="83"/>
  <c r="BG160" i="83"/>
  <c r="BI253" i="83"/>
  <c r="BI329" i="83"/>
  <c r="BI398" i="83"/>
  <c r="BG398" i="83"/>
  <c r="BG280" i="83"/>
  <c r="BI239" i="83"/>
  <c r="BI203" i="83"/>
  <c r="BJ407" i="83"/>
  <c r="BJ469" i="83"/>
  <c r="BJ447" i="83"/>
  <c r="BJ467" i="83"/>
  <c r="BJ433" i="83"/>
  <c r="BJ496" i="83"/>
  <c r="BJ460" i="83"/>
  <c r="BJ482" i="83"/>
  <c r="BJ497" i="83"/>
  <c r="BJ141" i="83"/>
  <c r="BJ177" i="83"/>
  <c r="BJ213" i="83"/>
  <c r="BJ249" i="83"/>
  <c r="BJ285" i="83"/>
  <c r="BJ130" i="83"/>
  <c r="BJ166" i="83"/>
  <c r="BJ202" i="83"/>
  <c r="BJ238" i="83"/>
  <c r="BJ274" i="83"/>
  <c r="BG409" i="83"/>
  <c r="BG472" i="83"/>
  <c r="BI438" i="83"/>
  <c r="BG498" i="83"/>
  <c r="BG418" i="83"/>
  <c r="BG454" i="83"/>
  <c r="BI478" i="83"/>
  <c r="BI436" i="83"/>
  <c r="BI489" i="83"/>
  <c r="BG422" i="83"/>
  <c r="BG463" i="83"/>
  <c r="BG411" i="83"/>
  <c r="BI449" i="83"/>
  <c r="BI417" i="83"/>
  <c r="BG453" i="83"/>
  <c r="BI504" i="83"/>
  <c r="BI496" i="83"/>
  <c r="BI120" i="83"/>
  <c r="BG115" i="83"/>
  <c r="BG106" i="83"/>
  <c r="BI142" i="83"/>
  <c r="BG140" i="83"/>
  <c r="BI131" i="83"/>
  <c r="BG123" i="83"/>
  <c r="BI165" i="83"/>
  <c r="BG227" i="83"/>
  <c r="BG281" i="83"/>
  <c r="BI365" i="83"/>
  <c r="BG166" i="83"/>
  <c r="BI258" i="83"/>
  <c r="BI326" i="83"/>
  <c r="BG182" i="83"/>
  <c r="BI236" i="83"/>
  <c r="BG290" i="83"/>
  <c r="BG366" i="83"/>
  <c r="BG177" i="83"/>
  <c r="BI277" i="83"/>
  <c r="BG338" i="83"/>
  <c r="BI405" i="83"/>
  <c r="BG192" i="83"/>
  <c r="BG246" i="83"/>
  <c r="BG313" i="83"/>
  <c r="BI396" i="83"/>
  <c r="BI201" i="83"/>
  <c r="BG299" i="83"/>
  <c r="BG355" i="83"/>
  <c r="BI400" i="83"/>
  <c r="BG211" i="83"/>
  <c r="BG265" i="83"/>
  <c r="BI345" i="83"/>
  <c r="BI388" i="83"/>
  <c r="BI238" i="83"/>
  <c r="BI317" i="83"/>
  <c r="BI382" i="83"/>
  <c r="BG212" i="83"/>
  <c r="BG266" i="83"/>
  <c r="BI169" i="83"/>
  <c r="BI270" i="83"/>
  <c r="BG336" i="83"/>
  <c r="BG165" i="83"/>
  <c r="BI262" i="83"/>
  <c r="BG333" i="83"/>
  <c r="BI404" i="83"/>
  <c r="BI336" i="83"/>
  <c r="BG365" i="83"/>
  <c r="BG383" i="83"/>
  <c r="BG208" i="83"/>
  <c r="BJ414" i="83"/>
  <c r="BG407" i="83"/>
  <c r="BG483" i="83"/>
  <c r="BI441" i="83"/>
  <c r="BG408" i="83"/>
  <c r="BG421" i="83"/>
  <c r="BI459" i="83"/>
  <c r="BG484" i="83"/>
  <c r="BI439" i="83"/>
  <c r="BG416" i="83"/>
  <c r="BG425" i="83"/>
  <c r="BG471" i="83"/>
  <c r="BG414" i="83"/>
  <c r="BI452" i="83"/>
  <c r="BG420" i="83"/>
  <c r="BI458" i="83"/>
  <c r="BG417" i="83"/>
  <c r="BI501" i="83"/>
  <c r="BI123" i="83"/>
  <c r="BG118" i="83"/>
  <c r="BI109" i="83"/>
  <c r="BI145" i="83"/>
  <c r="BG143" i="83"/>
  <c r="BI134" i="83"/>
  <c r="BG126" i="83"/>
  <c r="BG176" i="83"/>
  <c r="BG231" i="83"/>
  <c r="BG285" i="83"/>
  <c r="BI371" i="83"/>
  <c r="BG171" i="83"/>
  <c r="BI267" i="83"/>
  <c r="BG330" i="83"/>
  <c r="BG187" i="83"/>
  <c r="BG241" i="83"/>
  <c r="BG298" i="83"/>
  <c r="BG369" i="83"/>
  <c r="BI182" i="83"/>
  <c r="BI286" i="83"/>
  <c r="BI344" i="83"/>
  <c r="BG325" i="83"/>
  <c r="BG197" i="83"/>
  <c r="BG251" i="83"/>
  <c r="BI327" i="83"/>
  <c r="BI402" i="83"/>
  <c r="BI210" i="83"/>
  <c r="BI302" i="83"/>
  <c r="BG361" i="83"/>
  <c r="BG158" i="83"/>
  <c r="BI215" i="83"/>
  <c r="BI269" i="83"/>
  <c r="BG352" i="83"/>
  <c r="BG153" i="83"/>
  <c r="BI247" i="83"/>
  <c r="BG321" i="83"/>
  <c r="BI153" i="83"/>
  <c r="BG216" i="83"/>
  <c r="BG270" i="83"/>
  <c r="BI174" i="83"/>
  <c r="BI279" i="83"/>
  <c r="BG343" i="83"/>
  <c r="BI170" i="83"/>
  <c r="BI271" i="83"/>
  <c r="BI343" i="83"/>
  <c r="BI350" i="83"/>
  <c r="BI346" i="83"/>
  <c r="BG374" i="83"/>
  <c r="BG190" i="83"/>
  <c r="BG262" i="83"/>
  <c r="BJ412" i="83"/>
  <c r="BJ500" i="83"/>
  <c r="BJ453" i="83"/>
  <c r="BJ486" i="83"/>
  <c r="BJ439" i="83"/>
  <c r="BJ457" i="83"/>
  <c r="BJ479" i="83"/>
  <c r="BJ455" i="83"/>
  <c r="BJ111" i="83"/>
  <c r="BJ147" i="83"/>
  <c r="BJ183" i="83"/>
  <c r="BJ219" i="83"/>
  <c r="BJ255" i="83"/>
  <c r="BJ291" i="83"/>
  <c r="BJ136" i="83"/>
  <c r="BJ172" i="83"/>
  <c r="BJ208" i="83"/>
  <c r="BJ244" i="83"/>
  <c r="BJ280" i="83"/>
  <c r="BI407" i="83"/>
  <c r="BI488" i="83"/>
  <c r="BI444" i="83"/>
  <c r="BI412" i="83"/>
  <c r="BG424" i="83"/>
  <c r="BG462" i="83"/>
  <c r="BI491" i="83"/>
  <c r="BI442" i="83"/>
  <c r="BI457" i="83"/>
  <c r="BG428" i="83"/>
  <c r="BI476" i="83"/>
  <c r="BI419" i="83"/>
  <c r="BI455" i="83"/>
  <c r="BG423" i="83"/>
  <c r="BI466" i="83"/>
  <c r="BG495" i="83"/>
  <c r="BG497" i="83"/>
  <c r="BI126" i="83"/>
  <c r="BG121" i="83"/>
  <c r="BI112" i="83"/>
  <c r="BG110" i="83"/>
  <c r="BG146" i="83"/>
  <c r="BI137" i="83"/>
  <c r="BG129" i="83"/>
  <c r="BG181" i="83"/>
  <c r="BG236" i="83"/>
  <c r="BI289" i="83"/>
  <c r="BI377" i="83"/>
  <c r="BI176" i="83"/>
  <c r="BI276" i="83"/>
  <c r="BI337" i="83"/>
  <c r="BI191" i="83"/>
  <c r="BI245" i="83"/>
  <c r="BI312" i="83"/>
  <c r="BG372" i="83"/>
  <c r="BI187" i="83"/>
  <c r="BG294" i="83"/>
  <c r="BG351" i="83"/>
  <c r="BI358" i="83"/>
  <c r="BG201" i="83"/>
  <c r="BG255" i="83"/>
  <c r="BG331" i="83"/>
  <c r="BI352" i="83"/>
  <c r="BI219" i="83"/>
  <c r="BG306" i="83"/>
  <c r="BG367" i="83"/>
  <c r="BG163" i="83"/>
  <c r="BG220" i="83"/>
  <c r="BG274" i="83"/>
  <c r="BG358" i="83"/>
  <c r="BI158" i="83"/>
  <c r="BI256" i="83"/>
  <c r="BI328" i="83"/>
  <c r="BG164" i="83"/>
  <c r="BG221" i="83"/>
  <c r="BG275" i="83"/>
  <c r="BG185" i="83"/>
  <c r="BG288" i="83"/>
  <c r="BI349" i="83"/>
  <c r="BI175" i="83"/>
  <c r="BI280" i="83"/>
  <c r="BG350" i="83"/>
  <c r="BG387" i="83"/>
  <c r="BI221" i="83"/>
  <c r="BG304" i="83"/>
  <c r="BG244" i="83"/>
  <c r="BG353" i="83"/>
  <c r="BJ417" i="83"/>
  <c r="BJ420" i="83"/>
  <c r="BJ480" i="83"/>
  <c r="BJ498" i="83"/>
  <c r="BJ442" i="83"/>
  <c r="BJ465" i="83"/>
  <c r="BJ440" i="83"/>
  <c r="BJ422" i="83"/>
  <c r="BJ114" i="83"/>
  <c r="BJ150" i="83"/>
  <c r="BJ186" i="83"/>
  <c r="BJ222" i="83"/>
  <c r="BJ258" i="83"/>
  <c r="BJ294" i="83"/>
  <c r="BJ139" i="83"/>
  <c r="BJ175" i="83"/>
  <c r="BJ211" i="83"/>
  <c r="BJ247" i="83"/>
  <c r="BJ283" i="83"/>
  <c r="BG410" i="83"/>
  <c r="BI500" i="83"/>
  <c r="BI447" i="83"/>
  <c r="BI415" i="83"/>
  <c r="BG427" i="83"/>
  <c r="BI467" i="83"/>
  <c r="BG494" i="83"/>
  <c r="BI445" i="83"/>
  <c r="BG460" i="83"/>
  <c r="BG431" i="83"/>
  <c r="BI487" i="83"/>
  <c r="BI422" i="83"/>
  <c r="BG458" i="83"/>
  <c r="BG426" i="83"/>
  <c r="BI474" i="83"/>
  <c r="BG505" i="83"/>
  <c r="BG469" i="83"/>
  <c r="BI129" i="83"/>
  <c r="BG124" i="83"/>
  <c r="BI115" i="83"/>
  <c r="BG113" i="83"/>
  <c r="BG149" i="83"/>
  <c r="BI140" i="83"/>
  <c r="BG132" i="83"/>
  <c r="BG186" i="83"/>
  <c r="BG240" i="83"/>
  <c r="BG297" i="83"/>
  <c r="BI383" i="83"/>
  <c r="BI181" i="83"/>
  <c r="BI285" i="83"/>
  <c r="BG344" i="83"/>
  <c r="BG196" i="83"/>
  <c r="BG250" i="83"/>
  <c r="BG316" i="83"/>
  <c r="BG375" i="83"/>
  <c r="BI196" i="83"/>
  <c r="BI298" i="83"/>
  <c r="BG348" i="83"/>
  <c r="BI373" i="83"/>
  <c r="BG206" i="83"/>
  <c r="BG260" i="83"/>
  <c r="BI341" i="83"/>
  <c r="BI367" i="83"/>
  <c r="BI228" i="83"/>
  <c r="BI313" i="83"/>
  <c r="BG373" i="83"/>
  <c r="BG168" i="83"/>
  <c r="BI224" i="83"/>
  <c r="BI278" i="83"/>
  <c r="BG364" i="83"/>
  <c r="BI163" i="83"/>
  <c r="BI265" i="83"/>
  <c r="BG332" i="83"/>
  <c r="BG169" i="83"/>
  <c r="BG225" i="83"/>
  <c r="BG279" i="83"/>
  <c r="BI189" i="83"/>
  <c r="BI292" i="83"/>
  <c r="BI148" i="83"/>
  <c r="BI180" i="83"/>
  <c r="BG289" i="83"/>
  <c r="BG347" i="83"/>
  <c r="BG399" i="83"/>
  <c r="BI275" i="83"/>
  <c r="BI230" i="83"/>
  <c r="BI296" i="83"/>
  <c r="BG389" i="83"/>
  <c r="BJ458" i="83"/>
  <c r="BJ423" i="83"/>
  <c r="BJ493" i="83"/>
  <c r="BJ478" i="83"/>
  <c r="BJ445" i="83"/>
  <c r="BJ473" i="83"/>
  <c r="BJ492" i="83"/>
  <c r="BJ485" i="83"/>
  <c r="BJ117" i="83"/>
  <c r="BJ153" i="83"/>
  <c r="BJ189" i="83"/>
  <c r="BJ225" i="83"/>
  <c r="BJ261" i="83"/>
  <c r="BJ297" i="83"/>
  <c r="BJ142" i="83"/>
  <c r="BJ178" i="83"/>
  <c r="BG406" i="83"/>
  <c r="BG503" i="83"/>
  <c r="BI450" i="83"/>
  <c r="BI456" i="83"/>
  <c r="BG430" i="83"/>
  <c r="BG470" i="83"/>
  <c r="BI409" i="83"/>
  <c r="BI448" i="83"/>
  <c r="BI465" i="83"/>
  <c r="BG434" i="83"/>
  <c r="BG492" i="83"/>
  <c r="BI425" i="83"/>
  <c r="BI463" i="83"/>
  <c r="BG429" i="83"/>
  <c r="BI477" i="83"/>
  <c r="BI485" i="83"/>
  <c r="BI490" i="83"/>
  <c r="BI132" i="83"/>
  <c r="BG127" i="83"/>
  <c r="BI118" i="83"/>
  <c r="BG116" i="83"/>
  <c r="BG107" i="83"/>
  <c r="BI143" i="83"/>
  <c r="BG135" i="83"/>
  <c r="BG191" i="83"/>
  <c r="BG245" i="83"/>
  <c r="BG301" i="83"/>
  <c r="BI389" i="83"/>
  <c r="BI186" i="83"/>
  <c r="BI293" i="83"/>
  <c r="BG384" i="83"/>
  <c r="BI200" i="83"/>
  <c r="BI254" i="83"/>
  <c r="BI330" i="83"/>
  <c r="BG378" i="83"/>
  <c r="BI205" i="83"/>
  <c r="BG302" i="83"/>
  <c r="BI357" i="83"/>
  <c r="BI394" i="83"/>
  <c r="BG210" i="83"/>
  <c r="BG264" i="83"/>
  <c r="BI351" i="83"/>
  <c r="BI385" i="83"/>
  <c r="BI237" i="83"/>
  <c r="BG317" i="83"/>
  <c r="BG379" i="83"/>
  <c r="BI173" i="83"/>
  <c r="BG229" i="83"/>
  <c r="BG283" i="83"/>
  <c r="BG370" i="83"/>
  <c r="BI168" i="83"/>
  <c r="BI274" i="83"/>
  <c r="BI335" i="83"/>
  <c r="BG174" i="83"/>
  <c r="BG230" i="83"/>
  <c r="BG284" i="83"/>
  <c r="BI198" i="83"/>
  <c r="BG300" i="83"/>
  <c r="BI154" i="83"/>
  <c r="BI190" i="83"/>
  <c r="BG293" i="83"/>
  <c r="BI356" i="83"/>
  <c r="BI266" i="83"/>
  <c r="BG322" i="83"/>
  <c r="BI284" i="83"/>
  <c r="BG340" i="83"/>
  <c r="BI212" i="83"/>
  <c r="BJ466" i="83"/>
  <c r="BJ426" i="83"/>
  <c r="BJ415" i="83"/>
  <c r="BJ491" i="83"/>
  <c r="BJ448" i="83"/>
  <c r="BJ484" i="83"/>
  <c r="BJ502" i="83"/>
  <c r="BJ425" i="83"/>
  <c r="BJ120" i="83"/>
  <c r="BJ156" i="83"/>
  <c r="BJ192" i="83"/>
  <c r="BJ228" i="83"/>
  <c r="BJ264" i="83"/>
  <c r="BJ109" i="83"/>
  <c r="BJ145" i="83"/>
  <c r="BJ181" i="83"/>
  <c r="BJ217" i="83"/>
  <c r="BJ253" i="83"/>
  <c r="BI408" i="83"/>
  <c r="BG412" i="83"/>
  <c r="BI453" i="83"/>
  <c r="BI464" i="83"/>
  <c r="BG433" i="83"/>
  <c r="BI475" i="83"/>
  <c r="BI413" i="83"/>
  <c r="BI451" i="83"/>
  <c r="BG468" i="83"/>
  <c r="BG437" i="83"/>
  <c r="BI416" i="83"/>
  <c r="BI428" i="83"/>
  <c r="BG466" i="83"/>
  <c r="BG432" i="83"/>
  <c r="BG480" i="83"/>
  <c r="BG500" i="83"/>
  <c r="BI497" i="83"/>
  <c r="BI135" i="83"/>
  <c r="BG130" i="83"/>
  <c r="BI121" i="83"/>
  <c r="BG119" i="83"/>
  <c r="BI110" i="83"/>
  <c r="BI146" i="83"/>
  <c r="BG138" i="83"/>
  <c r="BG195" i="83"/>
  <c r="BG249" i="83"/>
  <c r="BI315" i="83"/>
  <c r="BI395" i="83"/>
  <c r="BI195" i="83"/>
  <c r="BI297" i="83"/>
  <c r="BG396" i="83"/>
  <c r="BG205" i="83"/>
  <c r="BG259" i="83"/>
  <c r="BG334" i="83"/>
  <c r="BG381" i="83"/>
  <c r="BI214" i="83"/>
  <c r="BI305" i="83"/>
  <c r="BI363" i="83"/>
  <c r="BG152" i="83"/>
  <c r="BG215" i="83"/>
  <c r="BG269" i="83"/>
  <c r="BI354" i="83"/>
  <c r="BI152" i="83"/>
  <c r="BI246" i="83"/>
  <c r="BI320" i="83"/>
  <c r="BG385" i="83"/>
  <c r="BI178" i="83"/>
  <c r="BI233" i="83"/>
  <c r="BG291" i="83"/>
  <c r="BG376" i="83"/>
  <c r="BG179" i="83"/>
  <c r="BI283" i="83"/>
  <c r="BG339" i="83"/>
  <c r="BI179" i="83"/>
  <c r="BG234" i="83"/>
  <c r="BG292" i="83"/>
  <c r="BI207" i="83"/>
  <c r="BI307" i="83"/>
  <c r="BI159" i="83"/>
  <c r="BI199" i="83"/>
  <c r="BI304" i="83"/>
  <c r="BI362" i="83"/>
  <c r="BG392" i="83"/>
  <c r="BG362" i="83"/>
  <c r="BG368" i="83"/>
  <c r="BG386" i="83"/>
  <c r="BG356" i="83"/>
  <c r="BI406" i="83"/>
  <c r="BI420" i="83"/>
  <c r="BG459" i="83"/>
  <c r="BI472" i="83"/>
  <c r="BG436" i="83"/>
  <c r="BG481" i="83"/>
  <c r="BI418" i="83"/>
  <c r="BI454" i="83"/>
  <c r="BI473" i="83"/>
  <c r="BG440" i="83"/>
  <c r="BI460" i="83"/>
  <c r="BI431" i="83"/>
  <c r="BI471" i="83"/>
  <c r="BG435" i="83"/>
  <c r="BG493" i="83"/>
  <c r="BI495" i="83"/>
  <c r="BI492" i="83"/>
  <c r="BI138" i="83"/>
  <c r="BG133" i="83"/>
  <c r="BI124" i="83"/>
  <c r="BG122" i="83"/>
  <c r="BI113" i="83"/>
  <c r="BI149" i="83"/>
  <c r="BG141" i="83"/>
  <c r="BG200" i="83"/>
  <c r="BG254" i="83"/>
  <c r="BG319" i="83"/>
  <c r="BI401" i="83"/>
  <c r="BI204" i="83"/>
  <c r="BI301" i="83"/>
  <c r="BI391" i="83"/>
  <c r="BI209" i="83"/>
  <c r="BI263" i="83"/>
  <c r="BG341" i="83"/>
  <c r="BG393" i="83"/>
  <c r="BI223" i="83"/>
  <c r="BG309" i="83"/>
  <c r="BI369" i="83"/>
  <c r="BG157" i="83"/>
  <c r="BG219" i="83"/>
  <c r="BG273" i="83"/>
  <c r="BI360" i="83"/>
  <c r="BI157" i="83"/>
  <c r="BI255" i="83"/>
  <c r="BG324" i="83"/>
  <c r="BG391" i="83"/>
  <c r="BI183" i="83"/>
  <c r="BG238" i="83"/>
  <c r="BI295" i="83"/>
  <c r="BG382" i="83"/>
  <c r="BG184" i="83"/>
  <c r="BI287" i="83"/>
  <c r="BI342" i="83"/>
  <c r="BI184" i="83"/>
  <c r="BG239" i="83"/>
  <c r="BG307" i="83"/>
  <c r="BI216" i="83"/>
  <c r="BG311" i="83"/>
  <c r="BG170" i="83"/>
  <c r="BI208" i="83"/>
  <c r="BG308" i="83"/>
  <c r="BI368" i="83"/>
  <c r="BG217" i="83"/>
  <c r="BI397" i="83"/>
  <c r="BG401" i="83"/>
  <c r="BI194" i="83"/>
  <c r="BI106" i="83"/>
  <c r="BJ477" i="83"/>
  <c r="BJ432" i="83"/>
  <c r="BJ464" i="83"/>
  <c r="BJ418" i="83"/>
  <c r="BJ454" i="83"/>
  <c r="BJ476" i="83"/>
  <c r="BJ503" i="83"/>
  <c r="BJ463" i="83"/>
  <c r="BJ126" i="83"/>
  <c r="BJ162" i="83"/>
  <c r="BJ198" i="83"/>
  <c r="BJ234" i="83"/>
  <c r="BJ270" i="83"/>
  <c r="BJ115" i="83"/>
  <c r="BJ151" i="83"/>
  <c r="BJ187" i="83"/>
  <c r="BJ223" i="83"/>
  <c r="BJ259" i="83"/>
  <c r="BG415" i="83"/>
  <c r="BI423" i="83"/>
  <c r="BG467" i="83"/>
  <c r="BG478" i="83"/>
  <c r="BG439" i="83"/>
  <c r="BI486" i="83"/>
  <c r="BI421" i="83"/>
  <c r="BI462" i="83"/>
  <c r="BG479" i="83"/>
  <c r="BG443" i="83"/>
  <c r="BI468" i="83"/>
  <c r="BI434" i="83"/>
  <c r="BG474" i="83"/>
  <c r="BG438" i="83"/>
  <c r="BI498" i="83"/>
  <c r="BI505" i="83"/>
  <c r="BI502" i="83"/>
  <c r="BI141" i="83"/>
  <c r="BG136" i="83"/>
  <c r="BI127" i="83"/>
  <c r="BG125" i="83"/>
  <c r="BI116" i="83"/>
  <c r="BG108" i="83"/>
  <c r="BG144" i="83"/>
  <c r="BG204" i="83"/>
  <c r="BG258" i="83"/>
  <c r="BI333" i="83"/>
  <c r="BG390" i="83"/>
  <c r="BI213" i="83"/>
  <c r="BG305" i="83"/>
  <c r="BG151" i="83"/>
  <c r="BG214" i="83"/>
  <c r="BG268" i="83"/>
  <c r="BI347" i="83"/>
  <c r="BG405" i="83"/>
  <c r="BI232" i="83"/>
  <c r="BI316" i="83"/>
  <c r="BI375" i="83"/>
  <c r="BG162" i="83"/>
  <c r="BG224" i="83"/>
  <c r="BG278" i="83"/>
  <c r="BI366" i="83"/>
  <c r="BI162" i="83"/>
  <c r="BI264" i="83"/>
  <c r="BI331" i="83"/>
  <c r="BG397" i="83"/>
  <c r="BI188" i="83"/>
  <c r="BI242" i="83"/>
  <c r="BI306" i="83"/>
  <c r="BG388" i="83"/>
  <c r="BI193" i="83"/>
  <c r="BI291" i="83"/>
  <c r="BG349" i="83"/>
  <c r="BG189" i="83"/>
  <c r="BG243" i="83"/>
  <c r="BG346" i="83"/>
  <c r="BI225" i="83"/>
  <c r="BI314" i="83"/>
  <c r="BG175" i="83"/>
  <c r="BI217" i="83"/>
  <c r="BI311" i="83"/>
  <c r="BI374" i="83"/>
  <c r="BG271" i="83"/>
  <c r="BG377" i="83"/>
  <c r="BG235" i="83"/>
  <c r="BI248" i="83"/>
  <c r="BI107" i="83"/>
  <c r="BJ490" i="83"/>
  <c r="BJ435" i="83"/>
  <c r="BJ472" i="83"/>
  <c r="BJ421" i="83"/>
  <c r="BJ462" i="83"/>
  <c r="BJ487" i="83"/>
  <c r="BJ446" i="83"/>
  <c r="BJ431" i="83"/>
  <c r="BJ129" i="83"/>
  <c r="BJ165" i="83"/>
  <c r="BJ201" i="83"/>
  <c r="BJ237" i="83"/>
  <c r="BJ273" i="83"/>
  <c r="BJ118" i="83"/>
  <c r="BG464" i="83"/>
  <c r="BI432" i="83"/>
  <c r="BG486" i="83"/>
  <c r="BI503" i="83"/>
  <c r="BG448" i="83"/>
  <c r="BG465" i="83"/>
  <c r="BI430" i="83"/>
  <c r="BI481" i="83"/>
  <c r="BI410" i="83"/>
  <c r="BG452" i="83"/>
  <c r="BG485" i="83"/>
  <c r="BI443" i="83"/>
  <c r="BI411" i="83"/>
  <c r="BG447" i="83"/>
  <c r="BI482" i="83"/>
  <c r="BG496" i="83"/>
  <c r="BI114" i="83"/>
  <c r="BG109" i="83"/>
  <c r="BG145" i="83"/>
  <c r="BI136" i="83"/>
  <c r="BG134" i="83"/>
  <c r="BI125" i="83"/>
  <c r="BG117" i="83"/>
  <c r="BI155" i="83"/>
  <c r="BG218" i="83"/>
  <c r="BG272" i="83"/>
  <c r="BI353" i="83"/>
  <c r="BI150" i="83"/>
  <c r="BI240" i="83"/>
  <c r="BI319" i="83"/>
  <c r="BI166" i="83"/>
  <c r="BI227" i="83"/>
  <c r="BI281" i="83"/>
  <c r="BG360" i="83"/>
  <c r="BG167" i="83"/>
  <c r="BI259" i="83"/>
  <c r="BG327" i="83"/>
  <c r="BI393" i="83"/>
  <c r="BI177" i="83"/>
  <c r="BG237" i="83"/>
  <c r="BI294" i="83"/>
  <c r="BI384" i="83"/>
  <c r="BG183" i="83"/>
  <c r="BG287" i="83"/>
  <c r="BG345" i="83"/>
  <c r="BI361" i="83"/>
  <c r="BG202" i="83"/>
  <c r="BG256" i="83"/>
  <c r="BG328" i="83"/>
  <c r="BI355" i="83"/>
  <c r="BI220" i="83"/>
  <c r="BI310" i="83"/>
  <c r="BI339" i="83"/>
  <c r="BG203" i="83"/>
  <c r="BG257" i="83"/>
  <c r="BG159" i="83"/>
  <c r="BI252" i="83"/>
  <c r="BG329" i="83"/>
  <c r="BG155" i="83"/>
  <c r="BI244" i="83"/>
  <c r="BG326" i="83"/>
  <c r="BI392" i="83"/>
  <c r="BG395" i="83"/>
  <c r="BG226" i="83"/>
  <c r="BG404" i="83"/>
  <c r="BG199" i="83"/>
  <c r="BJ409" i="83"/>
  <c r="BJ461" i="83"/>
  <c r="BJ444" i="83"/>
  <c r="BJ459" i="83"/>
  <c r="BJ430" i="83"/>
  <c r="BJ489" i="83"/>
  <c r="BJ416" i="83"/>
  <c r="BJ452" i="83"/>
  <c r="BJ471" i="83"/>
  <c r="BJ138" i="83"/>
  <c r="BJ174" i="83"/>
  <c r="BJ210" i="83"/>
  <c r="BJ246" i="83"/>
  <c r="BJ282" i="83"/>
  <c r="BJ127" i="83"/>
  <c r="BJ163" i="83"/>
  <c r="BJ199" i="83"/>
  <c r="BJ235" i="83"/>
  <c r="BJ271" i="83"/>
  <c r="BH401" i="83"/>
  <c r="BH316" i="83"/>
  <c r="BH129" i="83"/>
  <c r="BH239" i="83"/>
  <c r="BH241" i="83"/>
  <c r="BH492" i="83"/>
  <c r="BH352" i="83"/>
  <c r="BH166" i="83"/>
  <c r="BH484" i="83"/>
  <c r="BH390" i="83"/>
  <c r="BH336" i="83"/>
  <c r="BH478" i="83"/>
  <c r="BH232" i="83"/>
  <c r="BH455" i="83"/>
  <c r="BH317" i="83"/>
  <c r="BH157" i="83"/>
  <c r="BH457" i="83"/>
  <c r="BH381" i="83"/>
  <c r="BH327" i="83"/>
  <c r="BH486" i="83"/>
  <c r="BH191" i="83"/>
  <c r="BH252" i="83"/>
  <c r="BH410" i="83"/>
  <c r="BH167" i="83"/>
  <c r="BH213" i="83"/>
  <c r="BH212" i="83"/>
  <c r="BH128" i="83"/>
  <c r="BH174" i="83"/>
  <c r="BH405" i="83"/>
  <c r="BH351" i="83"/>
  <c r="BH424" i="83"/>
  <c r="BH366" i="83"/>
  <c r="BH312" i="83"/>
  <c r="BH483" i="83"/>
  <c r="BJ374" i="83"/>
  <c r="BJ239" i="83"/>
  <c r="BJ400" i="83"/>
  <c r="BJ364" i="83"/>
  <c r="BJ158" i="83"/>
  <c r="BJ251" i="83"/>
  <c r="BJ338" i="83"/>
  <c r="BJ393" i="83"/>
  <c r="BJ357" i="83"/>
  <c r="BJ334" i="83"/>
  <c r="BJ272" i="83"/>
  <c r="BJ350" i="83"/>
  <c r="BJ368" i="83"/>
  <c r="BJ380" i="83"/>
  <c r="BJ277" i="83"/>
  <c r="BJ205" i="83"/>
  <c r="BJ121" i="83"/>
  <c r="BJ204" i="83"/>
  <c r="BJ434" i="83"/>
  <c r="BJ470" i="83"/>
  <c r="BJ438" i="83"/>
  <c r="BI257" i="83"/>
  <c r="BI325" i="83"/>
  <c r="BG303" i="83"/>
  <c r="BI321" i="83"/>
  <c r="BG233" i="83"/>
  <c r="BG357" i="83"/>
  <c r="BI403" i="83"/>
  <c r="BI122" i="83"/>
  <c r="BG488" i="83"/>
  <c r="BG449" i="83"/>
  <c r="BG491" i="83"/>
  <c r="BH365" i="83"/>
  <c r="BH280" i="83"/>
  <c r="BH500" i="83"/>
  <c r="BH391" i="83"/>
  <c r="BH205" i="83"/>
  <c r="BH428" i="83"/>
  <c r="BH224" i="83"/>
  <c r="BH130" i="83"/>
  <c r="BH448" i="83"/>
  <c r="BH354" i="83"/>
  <c r="BH300" i="83"/>
  <c r="BH415" i="83"/>
  <c r="BH196" i="83"/>
  <c r="BH419" i="83"/>
  <c r="BK420" i="83" s="1"/>
  <c r="BL420" i="83" s="1"/>
  <c r="BH197" i="83"/>
  <c r="BH121" i="83"/>
  <c r="BH439" i="83"/>
  <c r="BK440" i="83" s="1"/>
  <c r="BL440" i="83" s="1"/>
  <c r="BH344" i="83"/>
  <c r="BH291" i="83"/>
  <c r="BH453" i="83"/>
  <c r="BH170" i="83"/>
  <c r="BH216" i="83"/>
  <c r="BH382" i="83"/>
  <c r="BH131" i="83"/>
  <c r="BH177" i="83"/>
  <c r="BH343" i="83"/>
  <c r="BH325" i="83"/>
  <c r="BH138" i="83"/>
  <c r="BH369" i="83"/>
  <c r="BH315" i="83"/>
  <c r="BH503" i="83"/>
  <c r="BH263" i="83"/>
  <c r="BH276" i="83"/>
  <c r="BH438" i="83"/>
  <c r="BJ343" i="83"/>
  <c r="BJ230" i="83"/>
  <c r="BJ397" i="83"/>
  <c r="BJ361" i="83"/>
  <c r="BJ143" i="83"/>
  <c r="BJ242" i="83"/>
  <c r="BJ331" i="83"/>
  <c r="BJ390" i="83"/>
  <c r="BJ354" i="83"/>
  <c r="BJ323" i="83"/>
  <c r="BJ263" i="83"/>
  <c r="BJ337" i="83"/>
  <c r="BJ362" i="83"/>
  <c r="BJ371" i="83"/>
  <c r="BJ268" i="83"/>
  <c r="BJ196" i="83"/>
  <c r="BJ112" i="83"/>
  <c r="BJ195" i="83"/>
  <c r="BJ428" i="83"/>
  <c r="BJ451" i="83"/>
  <c r="BJ429" i="83"/>
  <c r="BG253" i="83"/>
  <c r="BK253" i="83" s="1"/>
  <c r="BL253" i="83" s="1"/>
  <c r="BG318" i="83"/>
  <c r="BK318" i="83" s="1"/>
  <c r="BL318" i="83" s="1"/>
  <c r="BI299" i="83"/>
  <c r="BG403" i="83"/>
  <c r="BG228" i="83"/>
  <c r="BG354" i="83"/>
  <c r="BG402" i="83"/>
  <c r="BI119" i="83"/>
  <c r="BG461" i="83"/>
  <c r="BG446" i="83"/>
  <c r="BI483" i="83"/>
  <c r="BH465" i="83"/>
  <c r="BH384" i="83"/>
  <c r="BH330" i="83"/>
  <c r="BH498" i="83"/>
  <c r="BH200" i="83"/>
  <c r="BH255" i="83"/>
  <c r="BH406" i="83"/>
  <c r="BH134" i="83"/>
  <c r="BH180" i="83"/>
  <c r="BH311" i="83"/>
  <c r="BH328" i="83"/>
  <c r="BH141" i="83"/>
  <c r="BH374" i="83"/>
  <c r="BH289" i="83"/>
  <c r="BH490" i="83"/>
  <c r="BH272" i="83"/>
  <c r="BH279" i="83"/>
  <c r="BH441" i="83"/>
  <c r="BH308" i="83"/>
  <c r="BH240" i="83"/>
  <c r="BH409" i="83"/>
  <c r="BJ346" i="83"/>
  <c r="BJ221" i="83"/>
  <c r="BJ394" i="83"/>
  <c r="BJ358" i="83"/>
  <c r="BJ107" i="83"/>
  <c r="BJ233" i="83"/>
  <c r="BJ320" i="83"/>
  <c r="BJ387" i="83"/>
  <c r="BJ351" i="83"/>
  <c r="BJ316" i="83"/>
  <c r="BJ254" i="83"/>
  <c r="BJ326" i="83"/>
  <c r="BJ356" i="83"/>
  <c r="BJ365" i="83"/>
  <c r="BJ265" i="83"/>
  <c r="BJ193" i="83"/>
  <c r="BJ288" i="83"/>
  <c r="BJ180" i="83"/>
  <c r="BJ419" i="83"/>
  <c r="BJ436" i="83"/>
  <c r="BJ488" i="83"/>
  <c r="BG359" i="83"/>
  <c r="BI243" i="83"/>
  <c r="BI211" i="83"/>
  <c r="BI338" i="83"/>
  <c r="BI172" i="83"/>
  <c r="BG277" i="83"/>
  <c r="BI340" i="83"/>
  <c r="BG131" i="83"/>
  <c r="BK131" i="83" s="1"/>
  <c r="BL131" i="83" s="1"/>
  <c r="BG504" i="83"/>
  <c r="BI494" i="83"/>
  <c r="BI480" i="83"/>
  <c r="BH206" i="83"/>
  <c r="BH124" i="83"/>
  <c r="BH442" i="83"/>
  <c r="BH290" i="83"/>
  <c r="BH294" i="83"/>
  <c r="BH480" i="83"/>
  <c r="BH173" i="83"/>
  <c r="BH219" i="83"/>
  <c r="BH389" i="83"/>
  <c r="BH331" i="83"/>
  <c r="BH144" i="83"/>
  <c r="BH377" i="83"/>
  <c r="BH292" i="83"/>
  <c r="BH502" i="83"/>
  <c r="BH275" i="83"/>
  <c r="BH253" i="83"/>
  <c r="BH461" i="83"/>
  <c r="BK462" i="83" s="1"/>
  <c r="BL462" i="83" s="1"/>
  <c r="BH326" i="83"/>
  <c r="BH243" i="83"/>
  <c r="BH407" i="83"/>
  <c r="BH158" i="83"/>
  <c r="BH204" i="83"/>
  <c r="BJ314" i="83"/>
  <c r="BJ336" i="83"/>
  <c r="BJ212" i="83"/>
  <c r="BJ391" i="83"/>
  <c r="BJ355" i="83"/>
  <c r="BJ328" i="83"/>
  <c r="BJ224" i="83"/>
  <c r="BJ313" i="83"/>
  <c r="BJ384" i="83"/>
  <c r="BJ341" i="83"/>
  <c r="BJ305" i="83"/>
  <c r="BJ245" i="83"/>
  <c r="BJ319" i="83"/>
  <c r="BJ340" i="83"/>
  <c r="BJ359" i="83"/>
  <c r="BJ262" i="83"/>
  <c r="BJ190" i="83"/>
  <c r="BJ279" i="83"/>
  <c r="BJ171" i="83"/>
  <c r="BJ494" i="83"/>
  <c r="BJ427" i="83"/>
  <c r="BJ505" i="83"/>
  <c r="BI318" i="83"/>
  <c r="BI234" i="83"/>
  <c r="BI202" i="83"/>
  <c r="BG335" i="83"/>
  <c r="BI167" i="83"/>
  <c r="BI272" i="83"/>
  <c r="BG337" i="83"/>
  <c r="BG128" i="83"/>
  <c r="BG499" i="83"/>
  <c r="BI484" i="83"/>
  <c r="BG475" i="83"/>
  <c r="BH413" i="83"/>
  <c r="BH236" i="83"/>
  <c r="BH267" i="83"/>
  <c r="BH429" i="83"/>
  <c r="BH146" i="83"/>
  <c r="BH192" i="83"/>
  <c r="BH387" i="83"/>
  <c r="BH333" i="83"/>
  <c r="BH408" i="83"/>
  <c r="BH209" i="83"/>
  <c r="BH258" i="83"/>
  <c r="BH420" i="83"/>
  <c r="BH137" i="83"/>
  <c r="BH183" i="83"/>
  <c r="BH380" i="83"/>
  <c r="BH295" i="83"/>
  <c r="BH108" i="83"/>
  <c r="BH284" i="83"/>
  <c r="BH256" i="83"/>
  <c r="BH469" i="83"/>
  <c r="BH403" i="83"/>
  <c r="BH217" i="83"/>
  <c r="BH440" i="83"/>
  <c r="BH161" i="83"/>
  <c r="BH207" i="83"/>
  <c r="BH260" i="83"/>
  <c r="BH122" i="83"/>
  <c r="BH168" i="83"/>
  <c r="BJ292" i="83"/>
  <c r="BJ318" i="83"/>
  <c r="BJ203" i="83"/>
  <c r="BJ388" i="83"/>
  <c r="BJ352" i="83"/>
  <c r="BJ287" i="83"/>
  <c r="BJ215" i="83"/>
  <c r="BJ302" i="83"/>
  <c r="BJ381" i="83"/>
  <c r="BJ327" i="83"/>
  <c r="BJ298" i="83"/>
  <c r="BJ236" i="83"/>
  <c r="BJ308" i="83"/>
  <c r="BJ333" i="83"/>
  <c r="BJ353" i="83"/>
  <c r="BJ256" i="83"/>
  <c r="BJ184" i="83"/>
  <c r="BJ276" i="83"/>
  <c r="BJ168" i="83"/>
  <c r="BJ449" i="83"/>
  <c r="BJ424" i="83"/>
  <c r="BJ495" i="83"/>
  <c r="BI386" i="83"/>
  <c r="BG154" i="83"/>
  <c r="BG400" i="83"/>
  <c r="BI282" i="83"/>
  <c r="BI387" i="83"/>
  <c r="BG223" i="83"/>
  <c r="BG267" i="83"/>
  <c r="BI133" i="83"/>
  <c r="BG444" i="83"/>
  <c r="BG476" i="83"/>
  <c r="BI429" i="83"/>
  <c r="BH242" i="83"/>
  <c r="BH136" i="83"/>
  <c r="BH454" i="83"/>
  <c r="BH360" i="83"/>
  <c r="BH306" i="83"/>
  <c r="BH464" i="83"/>
  <c r="BH185" i="83"/>
  <c r="BH231" i="83"/>
  <c r="BH371" i="83"/>
  <c r="BH110" i="83"/>
  <c r="BH156" i="83"/>
  <c r="BH341" i="83"/>
  <c r="BH297" i="83"/>
  <c r="BH493" i="83"/>
  <c r="BH176" i="83"/>
  <c r="BH222" i="83"/>
  <c r="BH335" i="83"/>
  <c r="BH334" i="83"/>
  <c r="BH147" i="83"/>
  <c r="BH296" i="83"/>
  <c r="BH259" i="83"/>
  <c r="BH474" i="83"/>
  <c r="BH314" i="83"/>
  <c r="BH220" i="83"/>
  <c r="BH443" i="83"/>
  <c r="BH367" i="83"/>
  <c r="BH181" i="83"/>
  <c r="BH504" i="83"/>
  <c r="BH125" i="83"/>
  <c r="BH171" i="83"/>
  <c r="BH404" i="83"/>
  <c r="BH319" i="83"/>
  <c r="BH132" i="83"/>
  <c r="BJ332" i="83"/>
  <c r="BJ300" i="83"/>
  <c r="BJ194" i="83"/>
  <c r="BJ385" i="83"/>
  <c r="BJ339" i="83"/>
  <c r="BJ345" i="83"/>
  <c r="BJ206" i="83"/>
  <c r="BJ152" i="83"/>
  <c r="BJ378" i="83"/>
  <c r="BJ309" i="83"/>
  <c r="BJ286" i="83"/>
  <c r="BJ227" i="83"/>
  <c r="BJ301" i="83"/>
  <c r="BJ315" i="83"/>
  <c r="BJ329" i="83"/>
  <c r="BJ250" i="83"/>
  <c r="BJ169" i="83"/>
  <c r="BJ267" i="83"/>
  <c r="BJ159" i="83"/>
  <c r="BJ443" i="83"/>
  <c r="BJ413" i="83"/>
  <c r="BJ474" i="83"/>
  <c r="BI380" i="83"/>
  <c r="BI376" i="83"/>
  <c r="BG394" i="83"/>
  <c r="BI273" i="83"/>
  <c r="BI381" i="83"/>
  <c r="BI218" i="83"/>
  <c r="BG263" i="83"/>
  <c r="BI130" i="83"/>
  <c r="BG441" i="83"/>
  <c r="BI470" i="83"/>
  <c r="BI426" i="83"/>
  <c r="BI15" i="83"/>
  <c r="BH399" i="83"/>
  <c r="BH345" i="83"/>
  <c r="BH418" i="83"/>
  <c r="BH245" i="83"/>
  <c r="BH270" i="83"/>
  <c r="BH432" i="83"/>
  <c r="BH149" i="83"/>
  <c r="BH195" i="83"/>
  <c r="BH392" i="83"/>
  <c r="BH307" i="83"/>
  <c r="BH120" i="83"/>
  <c r="BH218" i="83"/>
  <c r="BH261" i="83"/>
  <c r="BH423" i="83"/>
  <c r="BH140" i="83"/>
  <c r="BH186" i="83"/>
  <c r="BH383" i="83"/>
  <c r="BH298" i="83"/>
  <c r="BH111" i="83"/>
  <c r="BH332" i="83"/>
  <c r="BH223" i="83"/>
  <c r="BH446" i="83"/>
  <c r="BH370" i="83"/>
  <c r="BH184" i="83"/>
  <c r="BH416" i="83"/>
  <c r="BH269" i="83"/>
  <c r="BH145" i="83"/>
  <c r="BH481" i="83"/>
  <c r="BH322" i="83"/>
  <c r="BH135" i="83"/>
  <c r="BH368" i="83"/>
  <c r="BH283" i="83"/>
  <c r="BH488" i="83"/>
  <c r="BJ307" i="83"/>
  <c r="BJ296" i="83"/>
  <c r="BJ185" i="83"/>
  <c r="BJ382" i="83"/>
  <c r="BJ321" i="83"/>
  <c r="BJ324" i="83"/>
  <c r="BJ197" i="83"/>
  <c r="BJ137" i="83"/>
  <c r="BJ375" i="83"/>
  <c r="BJ290" i="83"/>
  <c r="BJ182" i="83"/>
  <c r="BJ218" i="83"/>
  <c r="BJ293" i="83"/>
  <c r="BJ289" i="83"/>
  <c r="BJ322" i="83"/>
  <c r="BJ241" i="83"/>
  <c r="BJ160" i="83"/>
  <c r="BJ252" i="83"/>
  <c r="BJ144" i="83"/>
  <c r="BJ468" i="83"/>
  <c r="BJ475" i="83"/>
  <c r="BJ411" i="83"/>
  <c r="BI322" i="83"/>
  <c r="BG252" i="83"/>
  <c r="BI324" i="83"/>
  <c r="BG178" i="83"/>
  <c r="BK178" i="83" s="1"/>
  <c r="BL178" i="83" s="1"/>
  <c r="BI323" i="83"/>
  <c r="BI161" i="83"/>
  <c r="BG213" i="83"/>
  <c r="BG142" i="83"/>
  <c r="BG490" i="83"/>
  <c r="BI427" i="83"/>
  <c r="BI461" i="83"/>
  <c r="BH363" i="83"/>
  <c r="BH309" i="83"/>
  <c r="BH472" i="83"/>
  <c r="BH107" i="83"/>
  <c r="BH234" i="83"/>
  <c r="BH329" i="83"/>
  <c r="BH113" i="83"/>
  <c r="BH159" i="83"/>
  <c r="BH356" i="83"/>
  <c r="BH271" i="83"/>
  <c r="BH495" i="83"/>
  <c r="BH179" i="83"/>
  <c r="BH225" i="83"/>
  <c r="BH353" i="83"/>
  <c r="BH337" i="83"/>
  <c r="BH150" i="83"/>
  <c r="BH346" i="83"/>
  <c r="BH262" i="83"/>
  <c r="BH477" i="83"/>
  <c r="BH373" i="83"/>
  <c r="BH187" i="83"/>
  <c r="BH460" i="83"/>
  <c r="BH278" i="83"/>
  <c r="BH148" i="83"/>
  <c r="BH489" i="83"/>
  <c r="BH302" i="83"/>
  <c r="BH109" i="83"/>
  <c r="BH427" i="83"/>
  <c r="BH286" i="83"/>
  <c r="BH466" i="83"/>
  <c r="BH257" i="83"/>
  <c r="BH247" i="83"/>
  <c r="BH482" i="83"/>
  <c r="BJ325" i="83"/>
  <c r="BJ284" i="83"/>
  <c r="BJ149" i="83"/>
  <c r="BJ379" i="83"/>
  <c r="BJ303" i="83"/>
  <c r="BJ306" i="83"/>
  <c r="BJ188" i="83"/>
  <c r="BJ348" i="83"/>
  <c r="BJ372" i="83"/>
  <c r="BJ167" i="83"/>
  <c r="BJ131" i="83"/>
  <c r="BJ209" i="83"/>
  <c r="BJ176" i="83"/>
  <c r="BJ155" i="83"/>
  <c r="BJ311" i="83"/>
  <c r="BJ232" i="83"/>
  <c r="BJ157" i="83"/>
  <c r="BJ243" i="83"/>
  <c r="BJ135" i="83"/>
  <c r="BJ504" i="83"/>
  <c r="BJ408" i="83"/>
  <c r="BJ406" i="83"/>
  <c r="BG315" i="83"/>
  <c r="BG248" i="83"/>
  <c r="BG310" i="83"/>
  <c r="BG173" i="83"/>
  <c r="BG320" i="83"/>
  <c r="BG156" i="83"/>
  <c r="BG209" i="83"/>
  <c r="BG139" i="83"/>
  <c r="BG477" i="83"/>
  <c r="BI424" i="83"/>
  <c r="BG456" i="83"/>
  <c r="BH152" i="83"/>
  <c r="BH198" i="83"/>
  <c r="BH395" i="83"/>
  <c r="BH310" i="83"/>
  <c r="BH123" i="83"/>
  <c r="BH221" i="83"/>
  <c r="BH235" i="83"/>
  <c r="BH463" i="83"/>
  <c r="BK464" i="83" s="1"/>
  <c r="BL464" i="83" s="1"/>
  <c r="BH143" i="83"/>
  <c r="BH189" i="83"/>
  <c r="BH386" i="83"/>
  <c r="BH301" i="83"/>
  <c r="BH114" i="83"/>
  <c r="BH194" i="83"/>
  <c r="BH226" i="83"/>
  <c r="BH449" i="83"/>
  <c r="BK450" i="83" s="1"/>
  <c r="BL450" i="83" s="1"/>
  <c r="BH287" i="83"/>
  <c r="BH151" i="83"/>
  <c r="BH496" i="83"/>
  <c r="BH320" i="83"/>
  <c r="BH112" i="83"/>
  <c r="BH430" i="83"/>
  <c r="BH372" i="83"/>
  <c r="BH318" i="83"/>
  <c r="BH459" i="83"/>
  <c r="BK460" i="83" s="1"/>
  <c r="BL460" i="83" s="1"/>
  <c r="BH250" i="83"/>
  <c r="BH485" i="83"/>
  <c r="BH397" i="83"/>
  <c r="BH211" i="83"/>
  <c r="BH434" i="83"/>
  <c r="BJ349" i="83"/>
  <c r="BJ275" i="83"/>
  <c r="BJ116" i="83"/>
  <c r="BJ376" i="83"/>
  <c r="BJ179" i="83"/>
  <c r="BJ295" i="83"/>
  <c r="BJ173" i="83"/>
  <c r="BJ405" i="83"/>
  <c r="BJ369" i="83"/>
  <c r="BJ134" i="83"/>
  <c r="BJ347" i="83"/>
  <c r="BJ200" i="83"/>
  <c r="BJ125" i="83"/>
  <c r="BJ122" i="83"/>
  <c r="BJ304" i="83"/>
  <c r="BJ229" i="83"/>
  <c r="BJ154" i="83"/>
  <c r="BJ240" i="83"/>
  <c r="BJ132" i="83"/>
  <c r="BJ499" i="83"/>
  <c r="BJ483" i="83"/>
  <c r="BG380" i="83"/>
  <c r="BI235" i="83"/>
  <c r="BG198" i="83"/>
  <c r="BI251" i="83"/>
  <c r="BI378" i="83"/>
  <c r="BI250" i="83"/>
  <c r="BG312" i="83"/>
  <c r="BK312" i="83" s="1"/>
  <c r="BL312" i="83" s="1"/>
  <c r="BG150" i="83"/>
  <c r="BI147" i="83"/>
  <c r="BI440" i="83"/>
  <c r="BG457" i="83"/>
  <c r="BH19" i="83"/>
  <c r="BH95" i="83"/>
  <c r="BH62" i="83"/>
  <c r="BH85" i="83"/>
  <c r="BH37" i="83"/>
  <c r="BH74" i="83"/>
  <c r="BH92" i="83"/>
  <c r="BH44" i="83"/>
  <c r="BJ9" i="83"/>
  <c r="BJ43" i="83"/>
  <c r="BH47" i="83"/>
  <c r="BH59" i="83"/>
  <c r="BH38" i="83"/>
  <c r="BH73" i="83"/>
  <c r="BH25" i="83"/>
  <c r="BH50" i="83"/>
  <c r="BH80" i="83"/>
  <c r="BH32" i="83"/>
  <c r="BJ60" i="83"/>
  <c r="BJ81" i="83"/>
  <c r="BH31" i="83"/>
  <c r="BH43" i="83"/>
  <c r="BH30" i="83"/>
  <c r="BH69" i="83"/>
  <c r="BH21" i="83"/>
  <c r="BH42" i="83"/>
  <c r="BH76" i="83"/>
  <c r="BH28" i="83"/>
  <c r="BJ44" i="83"/>
  <c r="BJ33" i="83"/>
  <c r="BH15" i="83"/>
  <c r="BH27" i="83"/>
  <c r="BH22" i="83"/>
  <c r="BH65" i="83"/>
  <c r="BH17" i="83"/>
  <c r="BH34" i="83"/>
  <c r="BH72" i="83"/>
  <c r="BH24" i="83"/>
  <c r="BJ28" i="83"/>
  <c r="BJ102" i="83"/>
  <c r="BI88" i="83"/>
  <c r="BH103" i="83"/>
  <c r="BH11" i="83"/>
  <c r="BH14" i="83"/>
  <c r="BH61" i="83"/>
  <c r="BH13" i="83"/>
  <c r="BH26" i="83"/>
  <c r="BH68" i="83"/>
  <c r="BH20" i="83"/>
  <c r="BJ12" i="83"/>
  <c r="BJ86" i="83"/>
  <c r="BJ77" i="83"/>
  <c r="BJ70" i="83"/>
  <c r="BH55" i="83"/>
  <c r="BH39" i="83"/>
  <c r="BH94" i="83"/>
  <c r="BH101" i="83"/>
  <c r="BH53" i="83"/>
  <c r="BH6" i="83"/>
  <c r="BH10" i="83"/>
  <c r="BH60" i="83"/>
  <c r="BH12" i="83"/>
  <c r="BJ25" i="83"/>
  <c r="BJ54" i="83"/>
  <c r="BJ91" i="83"/>
  <c r="BJ38" i="83"/>
  <c r="BH8" i="83"/>
  <c r="BH83" i="83"/>
  <c r="BH67" i="83"/>
  <c r="BH78" i="83"/>
  <c r="BH93" i="83"/>
  <c r="BH45" i="83"/>
  <c r="BH90" i="83"/>
  <c r="BH100" i="83"/>
  <c r="BH52" i="83"/>
  <c r="BJ101" i="83"/>
  <c r="BJ75" i="83"/>
  <c r="BJ22" i="83"/>
  <c r="BJ89" i="83"/>
  <c r="BJ41" i="83"/>
  <c r="BJ104" i="83"/>
  <c r="BJ88" i="83"/>
  <c r="BJ72" i="83"/>
  <c r="BJ56" i="83"/>
  <c r="BJ40" i="83"/>
  <c r="BJ24" i="83"/>
  <c r="BJ8" i="83"/>
  <c r="BJ65" i="83"/>
  <c r="BJ103" i="83"/>
  <c r="BJ87" i="83"/>
  <c r="BJ71" i="83"/>
  <c r="BJ55" i="83"/>
  <c r="BJ39" i="83"/>
  <c r="BJ23" i="83"/>
  <c r="BJ7" i="83"/>
  <c r="BJ69" i="83"/>
  <c r="BJ21" i="83"/>
  <c r="BJ98" i="83"/>
  <c r="BJ82" i="83"/>
  <c r="BJ66" i="83"/>
  <c r="BJ50" i="83"/>
  <c r="BJ34" i="83"/>
  <c r="BJ18" i="83"/>
  <c r="BJ73" i="83"/>
  <c r="BJ29" i="83"/>
  <c r="BJ100" i="83"/>
  <c r="BJ84" i="83"/>
  <c r="BJ68" i="83"/>
  <c r="BJ52" i="83"/>
  <c r="BJ36" i="83"/>
  <c r="BJ20" i="83"/>
  <c r="BJ97" i="83"/>
  <c r="BJ49" i="83"/>
  <c r="BJ99" i="83"/>
  <c r="BJ83" i="83"/>
  <c r="BJ67" i="83"/>
  <c r="BJ51" i="83"/>
  <c r="BJ35" i="83"/>
  <c r="BJ19" i="83"/>
  <c r="BJ105" i="83"/>
  <c r="BJ57" i="83"/>
  <c r="BJ13" i="83"/>
  <c r="BJ94" i="83"/>
  <c r="BJ78" i="83"/>
  <c r="BJ62" i="83"/>
  <c r="BJ46" i="83"/>
  <c r="BJ30" i="83"/>
  <c r="BJ14" i="83"/>
  <c r="BJ61" i="83"/>
  <c r="BJ17" i="83"/>
  <c r="BJ96" i="83"/>
  <c r="BJ80" i="83"/>
  <c r="BJ64" i="83"/>
  <c r="BJ48" i="83"/>
  <c r="BJ32" i="83"/>
  <c r="BJ16" i="83"/>
  <c r="BJ85" i="83"/>
  <c r="BJ37" i="83"/>
  <c r="BJ95" i="83"/>
  <c r="BJ79" i="83"/>
  <c r="BJ63" i="83"/>
  <c r="BJ47" i="83"/>
  <c r="BJ31" i="83"/>
  <c r="BJ15" i="83"/>
  <c r="BJ93" i="83"/>
  <c r="BJ45" i="83"/>
  <c r="BJ6" i="83"/>
  <c r="BJ90" i="83"/>
  <c r="BJ74" i="83"/>
  <c r="BJ58" i="83"/>
  <c r="BJ42" i="83"/>
  <c r="BJ26" i="83"/>
  <c r="BJ10" i="83"/>
  <c r="D14" i="84"/>
  <c r="D13" i="84"/>
  <c r="D12" i="84"/>
  <c r="D11" i="84"/>
  <c r="D10" i="84"/>
  <c r="D4" i="84"/>
  <c r="D8" i="84"/>
  <c r="E5" i="84"/>
  <c r="E16" i="84"/>
  <c r="E6" i="84"/>
  <c r="E17" i="84"/>
  <c r="E7" i="84"/>
  <c r="E8" i="84"/>
  <c r="E4" i="84"/>
  <c r="E9" i="84"/>
  <c r="E10" i="84"/>
  <c r="E11" i="84"/>
  <c r="E12" i="84"/>
  <c r="E13" i="84"/>
  <c r="E14" i="84"/>
  <c r="E15" i="84"/>
  <c r="D9" i="84"/>
  <c r="D17" i="84"/>
  <c r="D6" i="84"/>
  <c r="D16" i="84"/>
  <c r="D5" i="84"/>
  <c r="D15" i="84"/>
  <c r="BG19" i="83"/>
  <c r="BI55" i="83"/>
  <c r="BI72" i="83"/>
  <c r="BI8" i="83"/>
  <c r="BG67" i="83"/>
  <c r="BI103" i="83"/>
  <c r="BI39" i="83"/>
  <c r="BI23" i="83"/>
  <c r="BG98" i="83"/>
  <c r="BG50" i="83"/>
  <c r="BG34" i="83"/>
  <c r="BG18" i="83"/>
  <c r="BI102" i="83"/>
  <c r="BI86" i="83"/>
  <c r="BI70" i="83"/>
  <c r="BI54" i="83"/>
  <c r="BI38" i="83"/>
  <c r="BI22" i="83"/>
  <c r="BG6" i="83"/>
  <c r="BG89" i="83"/>
  <c r="BG73" i="83"/>
  <c r="BG57" i="83"/>
  <c r="BG41" i="83"/>
  <c r="BG25" i="83"/>
  <c r="BG9" i="83"/>
  <c r="BI93" i="83"/>
  <c r="BI77" i="83"/>
  <c r="BI61" i="83"/>
  <c r="BI45" i="83"/>
  <c r="BI29" i="83"/>
  <c r="BI13" i="83"/>
  <c r="BG96" i="83"/>
  <c r="BG80" i="83"/>
  <c r="BG64" i="83"/>
  <c r="BG48" i="83"/>
  <c r="BG32" i="83"/>
  <c r="BG16" i="83"/>
  <c r="BI100" i="83"/>
  <c r="BI84" i="83"/>
  <c r="BI68" i="83"/>
  <c r="BI52" i="83"/>
  <c r="BI36" i="83"/>
  <c r="BI20" i="83"/>
  <c r="BG95" i="83"/>
  <c r="BK95" i="83" s="1"/>
  <c r="BL95" i="83" s="1"/>
  <c r="BG79" i="83"/>
  <c r="BG63" i="83"/>
  <c r="BG47" i="83"/>
  <c r="BG31" i="83"/>
  <c r="BG15" i="83"/>
  <c r="BI99" i="83"/>
  <c r="BI83" i="83"/>
  <c r="BI67" i="83"/>
  <c r="BI51" i="83"/>
  <c r="BI35" i="83"/>
  <c r="BI19" i="83"/>
  <c r="BG82" i="83"/>
  <c r="BG94" i="83"/>
  <c r="BG78" i="83"/>
  <c r="BG62" i="83"/>
  <c r="BG46" i="83"/>
  <c r="BG30" i="83"/>
  <c r="BG14" i="83"/>
  <c r="BK14" i="83" s="1"/>
  <c r="BL14" i="83" s="1"/>
  <c r="BI98" i="83"/>
  <c r="BI82" i="83"/>
  <c r="BI66" i="83"/>
  <c r="BI50" i="83"/>
  <c r="BI34" i="83"/>
  <c r="BI18" i="83"/>
  <c r="BG101" i="83"/>
  <c r="BG85" i="83"/>
  <c r="BG69" i="83"/>
  <c r="BG53" i="83"/>
  <c r="BG37" i="83"/>
  <c r="BG21" i="83"/>
  <c r="BI105" i="83"/>
  <c r="BI89" i="83"/>
  <c r="BI73" i="83"/>
  <c r="BI57" i="83"/>
  <c r="BI41" i="83"/>
  <c r="BI25" i="83"/>
  <c r="BI9" i="83"/>
  <c r="BG92" i="83"/>
  <c r="BG76" i="83"/>
  <c r="BG60" i="83"/>
  <c r="BG44" i="83"/>
  <c r="BG28" i="83"/>
  <c r="BG12" i="83"/>
  <c r="BI96" i="83"/>
  <c r="BI80" i="83"/>
  <c r="BI64" i="83"/>
  <c r="BI48" i="83"/>
  <c r="BI32" i="83"/>
  <c r="BI16" i="83"/>
  <c r="BG105" i="83"/>
  <c r="BG91" i="83"/>
  <c r="BG75" i="83"/>
  <c r="BG59" i="83"/>
  <c r="BG43" i="83"/>
  <c r="BG27" i="83"/>
  <c r="BG11" i="83"/>
  <c r="BI95" i="83"/>
  <c r="BI79" i="83"/>
  <c r="BI63" i="83"/>
  <c r="BI47" i="83"/>
  <c r="BI31" i="83"/>
  <c r="BI11" i="83"/>
  <c r="BG66" i="83"/>
  <c r="BG90" i="83"/>
  <c r="BG74" i="83"/>
  <c r="BG58" i="83"/>
  <c r="BG42" i="83"/>
  <c r="BG26" i="83"/>
  <c r="BG10" i="83"/>
  <c r="BI94" i="83"/>
  <c r="BI78" i="83"/>
  <c r="BI62" i="83"/>
  <c r="BI46" i="83"/>
  <c r="BI30" i="83"/>
  <c r="BI14" i="83"/>
  <c r="BG97" i="83"/>
  <c r="BG81" i="83"/>
  <c r="BG65" i="83"/>
  <c r="BG49" i="83"/>
  <c r="BG33" i="83"/>
  <c r="BG17" i="83"/>
  <c r="BI101" i="83"/>
  <c r="BI85" i="83"/>
  <c r="BI69" i="83"/>
  <c r="BI53" i="83"/>
  <c r="BI37" i="83"/>
  <c r="BI21" i="83"/>
  <c r="BG104" i="83"/>
  <c r="BG88" i="83"/>
  <c r="BG72" i="83"/>
  <c r="BG56" i="83"/>
  <c r="BG40" i="83"/>
  <c r="BG24" i="83"/>
  <c r="BG8" i="83"/>
  <c r="BI92" i="83"/>
  <c r="BI76" i="83"/>
  <c r="BI60" i="83"/>
  <c r="BI44" i="83"/>
  <c r="BI28" i="83"/>
  <c r="BI12" i="83"/>
  <c r="BG103" i="83"/>
  <c r="BG87" i="83"/>
  <c r="BG71" i="83"/>
  <c r="BG55" i="83"/>
  <c r="BG39" i="83"/>
  <c r="BG23" i="83"/>
  <c r="BG7" i="83"/>
  <c r="BI91" i="83"/>
  <c r="BI75" i="83"/>
  <c r="BI59" i="83"/>
  <c r="BI43" i="83"/>
  <c r="BI27" i="83"/>
  <c r="BI7" i="83"/>
  <c r="BH9" i="83"/>
  <c r="S44" i="81"/>
  <c r="T44" i="81" s="1"/>
  <c r="S46" i="81"/>
  <c r="T46" i="81" s="1"/>
  <c r="S45" i="81"/>
  <c r="T45" i="81" s="1"/>
  <c r="S48" i="81"/>
  <c r="T48" i="81" s="1"/>
  <c r="S35" i="81"/>
  <c r="T35" i="81" s="1"/>
  <c r="S20" i="81"/>
  <c r="T20" i="81" s="1"/>
  <c r="R3" i="81"/>
  <c r="S6" i="81" l="1"/>
  <c r="T6" i="81" s="1"/>
  <c r="S12" i="81"/>
  <c r="T12" i="81" s="1"/>
  <c r="S11" i="81"/>
  <c r="T11" i="81" s="1"/>
  <c r="S13" i="81"/>
  <c r="T13" i="81" s="1"/>
  <c r="FV1381" i="98"/>
  <c r="FV261" i="98"/>
  <c r="FV1461" i="98"/>
  <c r="FV1141" i="98"/>
  <c r="FV661" i="98"/>
  <c r="GJ410" i="98"/>
  <c r="GJ1370" i="98"/>
  <c r="GJ570" i="98"/>
  <c r="GJ1050" i="98"/>
  <c r="GJ1530" i="98"/>
  <c r="GJ10" i="98"/>
  <c r="GG93" i="98"/>
  <c r="GG813" i="98"/>
  <c r="GG173" i="98"/>
  <c r="GG573" i="98"/>
  <c r="GG1533" i="98"/>
  <c r="GC800" i="98"/>
  <c r="GC480" i="98"/>
  <c r="GC960" i="98"/>
  <c r="GC1280" i="98"/>
  <c r="GC1120" i="98"/>
  <c r="GC80" i="98"/>
  <c r="GG1061" i="98"/>
  <c r="GG821" i="98"/>
  <c r="GG341" i="98"/>
  <c r="GG661" i="98"/>
  <c r="GG981" i="98"/>
  <c r="GC232" i="98"/>
  <c r="GC472" i="98"/>
  <c r="GC1512" i="98"/>
  <c r="GC392" i="98"/>
  <c r="GC1272" i="98"/>
  <c r="GC72" i="98"/>
  <c r="GG1020" i="98"/>
  <c r="GG220" i="98"/>
  <c r="GG1580" i="98"/>
  <c r="GG620" i="98"/>
  <c r="GG380" i="98"/>
  <c r="GG60" i="98"/>
  <c r="FV1061" i="98"/>
  <c r="FV181" i="98"/>
  <c r="FV901" i="98"/>
  <c r="FV981" i="98"/>
  <c r="GJ890" i="98"/>
  <c r="GJ490" i="98"/>
  <c r="GJ1610" i="98"/>
  <c r="GJ730" i="98"/>
  <c r="GJ170" i="98"/>
  <c r="GG493" i="98"/>
  <c r="GG253" i="98"/>
  <c r="GG413" i="98"/>
  <c r="GG973" i="98"/>
  <c r="GG1613" i="98"/>
  <c r="GC240" i="98"/>
  <c r="GC1680" i="98"/>
  <c r="GC560" i="98"/>
  <c r="GC640" i="98"/>
  <c r="GC1200" i="98"/>
  <c r="GG1141" i="98"/>
  <c r="GG101" i="98"/>
  <c r="GG501" i="98"/>
  <c r="GG261" i="98"/>
  <c r="GG1461" i="98"/>
  <c r="GC872" i="98"/>
  <c r="GC632" i="98"/>
  <c r="GC1672" i="98"/>
  <c r="GC312" i="98"/>
  <c r="GC1112" i="98"/>
  <c r="GG940" i="98"/>
  <c r="GG1500" i="98"/>
  <c r="GG780" i="98"/>
  <c r="GG700" i="98"/>
  <c r="GG540" i="98"/>
  <c r="FV1541" i="98"/>
  <c r="FV21" i="98"/>
  <c r="FV501" i="98"/>
  <c r="FV1221" i="98"/>
  <c r="GJ810" i="98"/>
  <c r="GJ970" i="98"/>
  <c r="GJ650" i="98"/>
  <c r="GJ250" i="98"/>
  <c r="GG333" i="98"/>
  <c r="GG1053" i="98"/>
  <c r="GG1293" i="98"/>
  <c r="GG653" i="98"/>
  <c r="GG1373" i="98"/>
  <c r="GC880" i="98"/>
  <c r="GC1600" i="98"/>
  <c r="GC160" i="98"/>
  <c r="GC720" i="98"/>
  <c r="GG181" i="98"/>
  <c r="GG1621" i="98"/>
  <c r="GG1301" i="98"/>
  <c r="GG421" i="98"/>
  <c r="GC792" i="98"/>
  <c r="GC712" i="98"/>
  <c r="GC1032" i="98"/>
  <c r="GC952" i="98"/>
  <c r="GG460" i="98"/>
  <c r="GG1420" i="98"/>
  <c r="GG860" i="98"/>
  <c r="GG140" i="98"/>
  <c r="FV341" i="98"/>
  <c r="FV1301" i="98"/>
  <c r="FV741" i="98"/>
  <c r="FV821" i="98"/>
  <c r="FV1370" i="98"/>
  <c r="FV1050" i="98"/>
  <c r="FV730" i="98"/>
  <c r="FV250" i="98"/>
  <c r="FV490" i="98"/>
  <c r="FV810" i="98"/>
  <c r="FV1450" i="98"/>
  <c r="FV890" i="98"/>
  <c r="FV170" i="98"/>
  <c r="FV650" i="98"/>
  <c r="FV330" i="98"/>
  <c r="FV1210" i="98"/>
  <c r="FV1530" i="98"/>
  <c r="FV90" i="98"/>
  <c r="FV970" i="98"/>
  <c r="FV10" i="98"/>
  <c r="FV1290" i="98"/>
  <c r="FV1130" i="98"/>
  <c r="FV1610" i="98"/>
  <c r="FV410" i="98"/>
  <c r="FV570" i="98"/>
  <c r="GA42" i="98"/>
  <c r="GJ1180" i="98"/>
  <c r="FV1613" i="98"/>
  <c r="FV1133" i="98"/>
  <c r="FV173" i="98"/>
  <c r="FV13" i="98"/>
  <c r="FV1213" i="98"/>
  <c r="FV1373" i="98"/>
  <c r="FV1453" i="98"/>
  <c r="FV1053" i="98"/>
  <c r="FV973" i="98"/>
  <c r="FV653" i="98"/>
  <c r="FV333" i="98"/>
  <c r="FV893" i="98"/>
  <c r="FV493" i="98"/>
  <c r="FV573" i="98"/>
  <c r="FV813" i="98"/>
  <c r="FV253" i="98"/>
  <c r="FV413" i="98"/>
  <c r="FV1293" i="98"/>
  <c r="FV733" i="98"/>
  <c r="FV1533" i="98"/>
  <c r="FV93" i="98"/>
  <c r="GA58" i="98"/>
  <c r="GL540" i="98"/>
  <c r="GA202" i="98"/>
  <c r="GA1498" i="98"/>
  <c r="GJ220" i="98"/>
  <c r="GL620" i="98"/>
  <c r="GA922" i="98"/>
  <c r="GA1642" i="98"/>
  <c r="GA858" i="98"/>
  <c r="GA778" i="98"/>
  <c r="GJ1580" i="98"/>
  <c r="FX532" i="98"/>
  <c r="GJ138" i="98"/>
  <c r="GJ1258" i="98"/>
  <c r="GJ938" i="98"/>
  <c r="GJ618" i="98"/>
  <c r="GJ1098" i="98"/>
  <c r="GA1020" i="98"/>
  <c r="GA220" i="98"/>
  <c r="GA1340" i="98"/>
  <c r="GA1420" i="98"/>
  <c r="GA300" i="98"/>
  <c r="GA60" i="98"/>
  <c r="ER54" i="98"/>
  <c r="GC60" i="98" s="1"/>
  <c r="GL780" i="98"/>
  <c r="GL860" i="98"/>
  <c r="GL700" i="98"/>
  <c r="GL140" i="98"/>
  <c r="GL1180" i="98"/>
  <c r="GA522" i="98"/>
  <c r="GA1402" i="98"/>
  <c r="GA1562" i="98"/>
  <c r="GA362" i="98"/>
  <c r="GA122" i="98"/>
  <c r="GA1338" i="98"/>
  <c r="GA538" i="98"/>
  <c r="GA1658" i="98"/>
  <c r="GA618" i="98"/>
  <c r="GA1018" i="98"/>
  <c r="GJ940" i="98"/>
  <c r="GJ1500" i="98"/>
  <c r="GJ780" i="98"/>
  <c r="GJ700" i="98"/>
  <c r="GJ380" i="98"/>
  <c r="GJ60" i="98"/>
  <c r="GJ298" i="98"/>
  <c r="GJ378" i="98"/>
  <c r="GJ1418" i="98"/>
  <c r="GJ698" i="98"/>
  <c r="GA460" i="98"/>
  <c r="GA380" i="98"/>
  <c r="GA940" i="98"/>
  <c r="GA540" i="98"/>
  <c r="GL60" i="98"/>
  <c r="GL1260" i="98"/>
  <c r="GL940" i="98"/>
  <c r="GL1420" i="98"/>
  <c r="GL220" i="98"/>
  <c r="GL1100" i="98"/>
  <c r="GA1482" i="98"/>
  <c r="GA842" i="98"/>
  <c r="GA1002" i="98"/>
  <c r="GA1322" i="98"/>
  <c r="GA602" i="98"/>
  <c r="GA1578" i="98"/>
  <c r="GA298" i="98"/>
  <c r="GA378" i="98"/>
  <c r="GA698" i="98"/>
  <c r="GA1098" i="98"/>
  <c r="GJ460" i="98"/>
  <c r="GJ1420" i="98"/>
  <c r="GJ860" i="98"/>
  <c r="GJ620" i="98"/>
  <c r="GJ300" i="98"/>
  <c r="GL1020" i="98"/>
  <c r="GL1660" i="98"/>
  <c r="GL1580" i="98"/>
  <c r="GL1340" i="98"/>
  <c r="GA442" i="98"/>
  <c r="GA282" i="98"/>
  <c r="GA1162" i="98"/>
  <c r="GA1242" i="98"/>
  <c r="GA938" i="98"/>
  <c r="GA218" i="98"/>
  <c r="GA1418" i="98"/>
  <c r="GA458" i="98"/>
  <c r="GJ1020" i="98"/>
  <c r="GJ1340" i="98"/>
  <c r="GJ1260" i="98"/>
  <c r="GJ140" i="98"/>
  <c r="FX101" i="98"/>
  <c r="FX421" i="98"/>
  <c r="FX741" i="98"/>
  <c r="FX1061" i="98"/>
  <c r="FX1381" i="98"/>
  <c r="FX181" i="98"/>
  <c r="FX501" i="98"/>
  <c r="FX821" i="98"/>
  <c r="FX1141" i="98"/>
  <c r="FX1461" i="98"/>
  <c r="FX261" i="98"/>
  <c r="FX581" i="98"/>
  <c r="FX901" i="98"/>
  <c r="FX1221" i="98"/>
  <c r="FX1541" i="98"/>
  <c r="FX21" i="98"/>
  <c r="FX341" i="98"/>
  <c r="FX661" i="98"/>
  <c r="FX981" i="98"/>
  <c r="FX1301" i="98"/>
  <c r="FX1621" i="98"/>
  <c r="FX1492" i="98"/>
  <c r="FX212" i="98"/>
  <c r="GI1098" i="98"/>
  <c r="GA1644" i="98"/>
  <c r="FX1172" i="98"/>
  <c r="GI1578" i="98"/>
  <c r="GI778" i="98"/>
  <c r="GA1085" i="98"/>
  <c r="FX852" i="98"/>
  <c r="GI1498" i="98"/>
  <c r="FX1412" i="98"/>
  <c r="FX1092" i="98"/>
  <c r="FX772" i="98"/>
  <c r="FX452" i="98"/>
  <c r="FX132" i="98"/>
  <c r="GI858" i="98"/>
  <c r="GI938" i="98"/>
  <c r="GI698" i="98"/>
  <c r="GI1418" i="98"/>
  <c r="GI1018" i="98"/>
  <c r="GA764" i="98"/>
  <c r="GA365" i="98"/>
  <c r="FX1652" i="98"/>
  <c r="FX1332" i="98"/>
  <c r="FX1012" i="98"/>
  <c r="FX692" i="98"/>
  <c r="FX372" i="98"/>
  <c r="FX52" i="98"/>
  <c r="GI298" i="98"/>
  <c r="GI1658" i="98"/>
  <c r="GI538" i="98"/>
  <c r="GI218" i="98"/>
  <c r="GI1178" i="98"/>
  <c r="GA524" i="98"/>
  <c r="GA1084" i="98"/>
  <c r="GA1325" i="98"/>
  <c r="FX1572" i="98"/>
  <c r="FX1252" i="98"/>
  <c r="FX932" i="98"/>
  <c r="FX612" i="98"/>
  <c r="GI1338" i="98"/>
  <c r="GI138" i="98"/>
  <c r="GI378" i="98"/>
  <c r="GI1258" i="98"/>
  <c r="GI458" i="98"/>
  <c r="GA284" i="98"/>
  <c r="GA925" i="98"/>
  <c r="GA124" i="98"/>
  <c r="GA844" i="98"/>
  <c r="GA44" i="98"/>
  <c r="GA1565" i="98"/>
  <c r="GA684" i="98"/>
  <c r="GA924" i="98"/>
  <c r="GA604" i="98"/>
  <c r="GA1245" i="98"/>
  <c r="GA525" i="98"/>
  <c r="GA1243" i="98"/>
  <c r="GA1403" i="98"/>
  <c r="GA283" i="98"/>
  <c r="GA763" i="98"/>
  <c r="GA523" i="98"/>
  <c r="GA444" i="98"/>
  <c r="GA1484" i="98"/>
  <c r="GA1404" i="98"/>
  <c r="GA364" i="98"/>
  <c r="GA204" i="98"/>
  <c r="GA1165" i="98"/>
  <c r="GA845" i="98"/>
  <c r="GA125" i="98"/>
  <c r="GA605" i="98"/>
  <c r="GA1405" i="98"/>
  <c r="GA285" i="98"/>
  <c r="GA685" i="98"/>
  <c r="GA1005" i="98"/>
  <c r="GA45" i="98"/>
  <c r="GA1324" i="98"/>
  <c r="GA1164" i="98"/>
  <c r="GA1564" i="98"/>
  <c r="GA1004" i="98"/>
  <c r="GA205" i="98"/>
  <c r="GA445" i="98"/>
  <c r="GA1645" i="98"/>
  <c r="GA765" i="98"/>
  <c r="FV208" i="98"/>
  <c r="FV48" i="98"/>
  <c r="FV928" i="98"/>
  <c r="FV608" i="98"/>
  <c r="FV768" i="98"/>
  <c r="FV368" i="98"/>
  <c r="FV1088" i="98"/>
  <c r="FV288" i="98"/>
  <c r="FV1248" i="98"/>
  <c r="FV1328" i="98"/>
  <c r="FV1408" i="98"/>
  <c r="FV1488" i="98"/>
  <c r="FV688" i="98"/>
  <c r="FV848" i="98"/>
  <c r="FV448" i="98"/>
  <c r="FV1648" i="98"/>
  <c r="FV128" i="98"/>
  <c r="FV1008" i="98"/>
  <c r="FV1568" i="98"/>
  <c r="FV1168" i="98"/>
  <c r="FV528" i="98"/>
  <c r="FV603" i="98"/>
  <c r="FV43" i="98"/>
  <c r="FV1403" i="98"/>
  <c r="FV1563" i="98"/>
  <c r="FV763" i="98"/>
  <c r="FV523" i="98"/>
  <c r="FV283" i="98"/>
  <c r="FV1643" i="98"/>
  <c r="FV923" i="98"/>
  <c r="FV363" i="98"/>
  <c r="FV683" i="98"/>
  <c r="FV1003" i="98"/>
  <c r="FV1323" i="98"/>
  <c r="FV203" i="98"/>
  <c r="FV1243" i="98"/>
  <c r="FV1483" i="98"/>
  <c r="FV1163" i="98"/>
  <c r="FV843" i="98"/>
  <c r="FV123" i="98"/>
  <c r="FV443" i="98"/>
  <c r="FV1083" i="98"/>
  <c r="FV50" i="98"/>
  <c r="FV450" i="98"/>
  <c r="FV930" i="98"/>
  <c r="FV290" i="98"/>
  <c r="FV530" i="98"/>
  <c r="FV210" i="98"/>
  <c r="FV690" i="98"/>
  <c r="FV770" i="98"/>
  <c r="FV1250" i="98"/>
  <c r="FV1330" i="98"/>
  <c r="FV1410" i="98"/>
  <c r="FV1490" i="98"/>
  <c r="FV1570" i="98"/>
  <c r="FV1650" i="98"/>
  <c r="FV1090" i="98"/>
  <c r="FV850" i="98"/>
  <c r="FV1170" i="98"/>
  <c r="FV130" i="98"/>
  <c r="FV370" i="98"/>
  <c r="FV610" i="98"/>
  <c r="FV1010" i="98"/>
  <c r="FV1487" i="98"/>
  <c r="FV927" i="98"/>
  <c r="FV687" i="98"/>
  <c r="FV447" i="98"/>
  <c r="FV1407" i="98"/>
  <c r="FV847" i="98"/>
  <c r="FV607" i="98"/>
  <c r="FV1567" i="98"/>
  <c r="FV287" i="98"/>
  <c r="FV207" i="98"/>
  <c r="FV767" i="98"/>
  <c r="FV1007" i="98"/>
  <c r="FV1167" i="98"/>
  <c r="FV1247" i="98"/>
  <c r="FV127" i="98"/>
  <c r="FV1647" i="98"/>
  <c r="FV527" i="98"/>
  <c r="FV47" i="98"/>
  <c r="FV367" i="98"/>
  <c r="FV1327" i="98"/>
  <c r="FV1087" i="98"/>
  <c r="FV1641" i="98"/>
  <c r="FV1481" i="98"/>
  <c r="FV1401" i="98"/>
  <c r="FV1321" i="98"/>
  <c r="FV841" i="98"/>
  <c r="FV921" i="98"/>
  <c r="FV121" i="98"/>
  <c r="FV1001" i="98"/>
  <c r="FV1561" i="98"/>
  <c r="FV681" i="98"/>
  <c r="FV1081" i="98"/>
  <c r="FV601" i="98"/>
  <c r="FV281" i="98"/>
  <c r="FV441" i="98"/>
  <c r="FV201" i="98"/>
  <c r="FV1241" i="98"/>
  <c r="FV761" i="98"/>
  <c r="FV1161" i="98"/>
  <c r="FV41" i="98"/>
  <c r="FV361" i="98"/>
  <c r="FV521" i="98"/>
  <c r="FV1489" i="98"/>
  <c r="FV1649" i="98"/>
  <c r="FV1409" i="98"/>
  <c r="FV1329" i="98"/>
  <c r="FV449" i="98"/>
  <c r="FV49" i="98"/>
  <c r="FV209" i="98"/>
  <c r="FV1089" i="98"/>
  <c r="FV1169" i="98"/>
  <c r="FV609" i="98"/>
  <c r="FV929" i="98"/>
  <c r="FV1249" i="98"/>
  <c r="FV129" i="98"/>
  <c r="FV1009" i="98"/>
  <c r="FV529" i="98"/>
  <c r="FV289" i="98"/>
  <c r="FV769" i="98"/>
  <c r="FV369" i="98"/>
  <c r="FV849" i="98"/>
  <c r="FV1569" i="98"/>
  <c r="FV689" i="98"/>
  <c r="FV122" i="98"/>
  <c r="FV922" i="98"/>
  <c r="FV442" i="98"/>
  <c r="FV682" i="98"/>
  <c r="FV1242" i="98"/>
  <c r="FV1322" i="98"/>
  <c r="FV1402" i="98"/>
  <c r="FV1482" i="98"/>
  <c r="FV1562" i="98"/>
  <c r="FV1642" i="98"/>
  <c r="FV602" i="98"/>
  <c r="FV282" i="98"/>
  <c r="FV202" i="98"/>
  <c r="FV522" i="98"/>
  <c r="FV1002" i="98"/>
  <c r="FV42" i="98"/>
  <c r="FV762" i="98"/>
  <c r="FV842" i="98"/>
  <c r="FV1162" i="98"/>
  <c r="FV362" i="98"/>
  <c r="FV1082" i="98"/>
  <c r="FV44" i="98"/>
  <c r="FV1244" i="98"/>
  <c r="FV1324" i="98"/>
  <c r="FV1404" i="98"/>
  <c r="FV764" i="98"/>
  <c r="FV844" i="98"/>
  <c r="FV444" i="98"/>
  <c r="FV1644" i="98"/>
  <c r="FV364" i="98"/>
  <c r="FV1004" i="98"/>
  <c r="FV1564" i="98"/>
  <c r="FV924" i="98"/>
  <c r="FV524" i="98"/>
  <c r="FV284" i="98"/>
  <c r="FV124" i="98"/>
  <c r="FV1084" i="98"/>
  <c r="FV1164" i="98"/>
  <c r="FV1484" i="98"/>
  <c r="FV604" i="98"/>
  <c r="FV204" i="98"/>
  <c r="FV684" i="98"/>
  <c r="FV1645" i="98"/>
  <c r="FV1485" i="98"/>
  <c r="FV1405" i="98"/>
  <c r="FV1325" i="98"/>
  <c r="FV765" i="98"/>
  <c r="FV1085" i="98"/>
  <c r="FV925" i="98"/>
  <c r="FV285" i="98"/>
  <c r="FV45" i="98"/>
  <c r="FV205" i="98"/>
  <c r="FV445" i="98"/>
  <c r="FV1165" i="98"/>
  <c r="FV1245" i="98"/>
  <c r="FV125" i="98"/>
  <c r="FV365" i="98"/>
  <c r="FV845" i="98"/>
  <c r="FV1005" i="98"/>
  <c r="FV605" i="98"/>
  <c r="FV525" i="98"/>
  <c r="FV685" i="98"/>
  <c r="FV1565" i="98"/>
  <c r="EP36" i="98"/>
  <c r="GA40" i="98" s="1"/>
  <c r="EK36" i="98"/>
  <c r="EP34" i="98"/>
  <c r="GA1318" i="98" s="1"/>
  <c r="EK34" i="98"/>
  <c r="GA1563" i="98"/>
  <c r="GA203" i="98"/>
  <c r="GA123" i="98"/>
  <c r="GA363" i="98"/>
  <c r="GA1163" i="98"/>
  <c r="GA43" i="98"/>
  <c r="EP35" i="98"/>
  <c r="GA199" i="98" s="1"/>
  <c r="EK35" i="98"/>
  <c r="EP33" i="98"/>
  <c r="GA1317" i="98" s="1"/>
  <c r="EK33" i="98"/>
  <c r="GA603" i="98"/>
  <c r="GA1643" i="98"/>
  <c r="GA843" i="98"/>
  <c r="GA1083" i="98"/>
  <c r="GA923" i="98"/>
  <c r="GA443" i="98"/>
  <c r="GA1483" i="98"/>
  <c r="GA1003" i="98"/>
  <c r="GA683" i="98"/>
  <c r="GF45" i="98"/>
  <c r="GF1565" i="98"/>
  <c r="GF1405" i="98"/>
  <c r="GF1485" i="98"/>
  <c r="GF1325" i="98"/>
  <c r="GF605" i="98"/>
  <c r="GF525" i="98"/>
  <c r="GF685" i="98"/>
  <c r="GF125" i="98"/>
  <c r="GF365" i="98"/>
  <c r="GF205" i="98"/>
  <c r="GF1085" i="98"/>
  <c r="GF1645" i="98"/>
  <c r="GF765" i="98"/>
  <c r="GF1005" i="98"/>
  <c r="GF1165" i="98"/>
  <c r="GF285" i="98"/>
  <c r="GF845" i="98"/>
  <c r="GF925" i="98"/>
  <c r="GF1245" i="98"/>
  <c r="GF445" i="98"/>
  <c r="GI42" i="98"/>
  <c r="GI1162" i="98"/>
  <c r="GI1562" i="98"/>
  <c r="GI202" i="98"/>
  <c r="GI1322" i="98"/>
  <c r="GI1402" i="98"/>
  <c r="GI762" i="98"/>
  <c r="GI1482" i="98"/>
  <c r="GI1242" i="98"/>
  <c r="GI682" i="98"/>
  <c r="GI1642" i="98"/>
  <c r="GI602" i="98"/>
  <c r="GI122" i="98"/>
  <c r="GI442" i="98"/>
  <c r="GI1082" i="98"/>
  <c r="GI282" i="98"/>
  <c r="GI922" i="98"/>
  <c r="GI522" i="98"/>
  <c r="GI362" i="98"/>
  <c r="GI1002" i="98"/>
  <c r="GI842" i="98"/>
  <c r="GG51" i="98"/>
  <c r="GG1091" i="98"/>
  <c r="GG291" i="98"/>
  <c r="GG531" i="98"/>
  <c r="GG1011" i="98"/>
  <c r="GG451" i="98"/>
  <c r="GG1331" i="98"/>
  <c r="GG1491" i="98"/>
  <c r="GG1651" i="98"/>
  <c r="GG1571" i="98"/>
  <c r="GG851" i="98"/>
  <c r="GG931" i="98"/>
  <c r="GG1411" i="98"/>
  <c r="GG131" i="98"/>
  <c r="GG1251" i="98"/>
  <c r="GG1171" i="98"/>
  <c r="GG611" i="98"/>
  <c r="GG211" i="98"/>
  <c r="GG371" i="98"/>
  <c r="GG691" i="98"/>
  <c r="GG771" i="98"/>
  <c r="GC13" i="98"/>
  <c r="GC1453" i="98"/>
  <c r="GC1613" i="98"/>
  <c r="GC573" i="98"/>
  <c r="GC733" i="98"/>
  <c r="GC653" i="98"/>
  <c r="GC1293" i="98"/>
  <c r="GC253" i="98"/>
  <c r="GC173" i="98"/>
  <c r="GC973" i="98"/>
  <c r="GC1373" i="98"/>
  <c r="GC413" i="98"/>
  <c r="GC813" i="98"/>
  <c r="GC1053" i="98"/>
  <c r="GC1533" i="98"/>
  <c r="GC893" i="98"/>
  <c r="GC1133" i="98"/>
  <c r="GC93" i="98"/>
  <c r="GC1213" i="98"/>
  <c r="GC493" i="98"/>
  <c r="GC333" i="98"/>
  <c r="GC23" i="98"/>
  <c r="GC343" i="98"/>
  <c r="GC503" i="98"/>
  <c r="GC423" i="98"/>
  <c r="GC183" i="98"/>
  <c r="GC823" i="98"/>
  <c r="GC1543" i="98"/>
  <c r="GC983" i="98"/>
  <c r="GC1463" i="98"/>
  <c r="GC1623" i="98"/>
  <c r="GC263" i="98"/>
  <c r="GC1223" i="98"/>
  <c r="GC583" i="98"/>
  <c r="GC1063" i="98"/>
  <c r="GC743" i="98"/>
  <c r="GC1303" i="98"/>
  <c r="GC663" i="98"/>
  <c r="GC1143" i="98"/>
  <c r="GC103" i="98"/>
  <c r="GC1383" i="98"/>
  <c r="GC903" i="98"/>
  <c r="GC69" i="98"/>
  <c r="GC1429" i="98"/>
  <c r="GC1349" i="98"/>
  <c r="GC1669" i="98"/>
  <c r="GC949" i="98"/>
  <c r="GC709" i="98"/>
  <c r="GC469" i="98"/>
  <c r="GC229" i="98"/>
  <c r="GC309" i="98"/>
  <c r="GC1589" i="98"/>
  <c r="GC149" i="98"/>
  <c r="GC389" i="98"/>
  <c r="GC1509" i="98"/>
  <c r="GC629" i="98"/>
  <c r="GC549" i="98"/>
  <c r="GC869" i="98"/>
  <c r="GC1029" i="98"/>
  <c r="GC1109" i="98"/>
  <c r="GC1189" i="98"/>
  <c r="GC1269" i="98"/>
  <c r="GC789" i="98"/>
  <c r="GC1100" i="98"/>
  <c r="GC620" i="98"/>
  <c r="GC540" i="98"/>
  <c r="GC1420" i="98"/>
  <c r="GC780" i="98"/>
  <c r="GC31" i="98"/>
  <c r="GC431" i="98"/>
  <c r="GC511" i="98"/>
  <c r="GC1231" i="98"/>
  <c r="GC1551" i="98"/>
  <c r="GC1391" i="98"/>
  <c r="GC991" i="98"/>
  <c r="GC191" i="98"/>
  <c r="GC751" i="98"/>
  <c r="GC1071" i="98"/>
  <c r="GC271" i="98"/>
  <c r="GC351" i="98"/>
  <c r="GC831" i="98"/>
  <c r="GC111" i="98"/>
  <c r="GC1471" i="98"/>
  <c r="GC1151" i="98"/>
  <c r="GC1311" i="98"/>
  <c r="GC1631" i="98"/>
  <c r="GC911" i="98"/>
  <c r="GC671" i="98"/>
  <c r="GC591" i="98"/>
  <c r="GC58" i="98"/>
  <c r="GC458" i="98"/>
  <c r="GC778" i="98"/>
  <c r="GC618" i="98"/>
  <c r="GC218" i="98"/>
  <c r="GC1418" i="98"/>
  <c r="GC1018" i="98"/>
  <c r="GC1498" i="98"/>
  <c r="GC1178" i="98"/>
  <c r="GC378" i="98"/>
  <c r="GC1658" i="98"/>
  <c r="GC1578" i="98"/>
  <c r="GC1098" i="98"/>
  <c r="GC698" i="98"/>
  <c r="GC298" i="98"/>
  <c r="GC138" i="98"/>
  <c r="GC538" i="98"/>
  <c r="GC1258" i="98"/>
  <c r="GC938" i="98"/>
  <c r="GC1338" i="98"/>
  <c r="GC858" i="98"/>
  <c r="GC18" i="98"/>
  <c r="GC1218" i="98"/>
  <c r="GC1298" i="98"/>
  <c r="GC1058" i="98"/>
  <c r="GC578" i="98"/>
  <c r="GC1378" i="98"/>
  <c r="GC258" i="98"/>
  <c r="GC98" i="98"/>
  <c r="GC1618" i="98"/>
  <c r="GC178" i="98"/>
  <c r="GC738" i="98"/>
  <c r="GC658" i="98"/>
  <c r="GC1138" i="98"/>
  <c r="GC1538" i="98"/>
  <c r="GC818" i="98"/>
  <c r="GC418" i="98"/>
  <c r="GC978" i="98"/>
  <c r="GC498" i="98"/>
  <c r="GC338" i="98"/>
  <c r="GC1458" i="98"/>
  <c r="GC898" i="98"/>
  <c r="GF44" i="98"/>
  <c r="GF1244" i="98"/>
  <c r="GF204" i="98"/>
  <c r="GF684" i="98"/>
  <c r="GF604" i="98"/>
  <c r="GF364" i="98"/>
  <c r="GF844" i="98"/>
  <c r="GF1324" i="98"/>
  <c r="GF1404" i="98"/>
  <c r="GF1484" i="98"/>
  <c r="GF924" i="98"/>
  <c r="GF1564" i="98"/>
  <c r="GF1644" i="98"/>
  <c r="GF1164" i="98"/>
  <c r="GF1084" i="98"/>
  <c r="GF284" i="98"/>
  <c r="GF524" i="98"/>
  <c r="GF124" i="98"/>
  <c r="GF444" i="98"/>
  <c r="GF764" i="98"/>
  <c r="GF1004" i="98"/>
  <c r="FX38" i="98"/>
  <c r="FX118" i="98"/>
  <c r="FX198" i="98"/>
  <c r="FX278" i="98"/>
  <c r="FX358" i="98"/>
  <c r="FX438" i="98"/>
  <c r="FX518" i="98"/>
  <c r="FX598" i="98"/>
  <c r="FX678" i="98"/>
  <c r="FX758" i="98"/>
  <c r="FX838" i="98"/>
  <c r="FX918" i="98"/>
  <c r="FX998" i="98"/>
  <c r="FX1078" i="98"/>
  <c r="FX1158" i="98"/>
  <c r="FX1238" i="98"/>
  <c r="FX1318" i="98"/>
  <c r="FX1398" i="98"/>
  <c r="FX1478" i="98"/>
  <c r="FX1558" i="98"/>
  <c r="FX1638" i="98"/>
  <c r="GG52" i="98"/>
  <c r="GG1572" i="98"/>
  <c r="GG1652" i="98"/>
  <c r="GG1492" i="98"/>
  <c r="GG1412" i="98"/>
  <c r="GG1332" i="98"/>
  <c r="GG532" i="98"/>
  <c r="GG212" i="98"/>
  <c r="GG292" i="98"/>
  <c r="GG132" i="98"/>
  <c r="GG372" i="98"/>
  <c r="GG1092" i="98"/>
  <c r="GG772" i="98"/>
  <c r="GG452" i="98"/>
  <c r="GG1172" i="98"/>
  <c r="GG1252" i="98"/>
  <c r="GG612" i="98"/>
  <c r="GG692" i="98"/>
  <c r="GG852" i="98"/>
  <c r="GG932" i="98"/>
  <c r="GG1012" i="98"/>
  <c r="GL1574" i="98"/>
  <c r="GL1414" i="98"/>
  <c r="GL1494" i="98"/>
  <c r="GL1094" i="98"/>
  <c r="GL1334" i="98"/>
  <c r="GL1014" i="98"/>
  <c r="GL694" i="98"/>
  <c r="GL214" i="98"/>
  <c r="GL774" i="98"/>
  <c r="GL374" i="98"/>
  <c r="GL134" i="98"/>
  <c r="GL454" i="98"/>
  <c r="GL294" i="98"/>
  <c r="GL614" i="98"/>
  <c r="GL1174" i="98"/>
  <c r="GL1654" i="98"/>
  <c r="GL1254" i="98"/>
  <c r="GL854" i="98"/>
  <c r="GL534" i="98"/>
  <c r="GL934" i="98"/>
  <c r="GJ51" i="98"/>
  <c r="GJ531" i="98"/>
  <c r="GJ291" i="98"/>
  <c r="GJ1011" i="98"/>
  <c r="GJ371" i="98"/>
  <c r="GJ451" i="98"/>
  <c r="GJ1331" i="98"/>
  <c r="GJ1491" i="98"/>
  <c r="GJ851" i="98"/>
  <c r="GJ931" i="98"/>
  <c r="GJ1091" i="98"/>
  <c r="GJ211" i="98"/>
  <c r="GJ691" i="98"/>
  <c r="GJ1411" i="98"/>
  <c r="GJ1571" i="98"/>
  <c r="GJ131" i="98"/>
  <c r="GJ771" i="98"/>
  <c r="GJ1651" i="98"/>
  <c r="GJ1171" i="98"/>
  <c r="GJ1251" i="98"/>
  <c r="GJ611" i="98"/>
  <c r="GI44" i="98"/>
  <c r="GI204" i="98"/>
  <c r="GI604" i="98"/>
  <c r="GI364" i="98"/>
  <c r="GI684" i="98"/>
  <c r="GI844" i="98"/>
  <c r="GI1404" i="98"/>
  <c r="GI1084" i="98"/>
  <c r="GI1324" i="98"/>
  <c r="GI1564" i="98"/>
  <c r="GI1644" i="98"/>
  <c r="GI1484" i="98"/>
  <c r="GI284" i="98"/>
  <c r="GI1164" i="98"/>
  <c r="GI1244" i="98"/>
  <c r="GI924" i="98"/>
  <c r="GI524" i="98"/>
  <c r="GI124" i="98"/>
  <c r="GI444" i="98"/>
  <c r="GI764" i="98"/>
  <c r="GI1004" i="98"/>
  <c r="GJ43" i="98"/>
  <c r="GJ283" i="98"/>
  <c r="GJ1563" i="98"/>
  <c r="GJ923" i="98"/>
  <c r="GJ1643" i="98"/>
  <c r="GJ443" i="98"/>
  <c r="GJ1323" i="98"/>
  <c r="GJ1163" i="98"/>
  <c r="GJ683" i="98"/>
  <c r="GJ123" i="98"/>
  <c r="GJ1243" i="98"/>
  <c r="GJ1403" i="98"/>
  <c r="GJ203" i="98"/>
  <c r="GJ843" i="98"/>
  <c r="GJ1003" i="98"/>
  <c r="GJ1083" i="98"/>
  <c r="GJ363" i="98"/>
  <c r="GJ1483" i="98"/>
  <c r="GJ603" i="98"/>
  <c r="GJ523" i="98"/>
  <c r="GJ763" i="98"/>
  <c r="GG43" i="98"/>
  <c r="GG363" i="98"/>
  <c r="GG283" i="98"/>
  <c r="GG1643" i="98"/>
  <c r="GG1323" i="98"/>
  <c r="GG923" i="98"/>
  <c r="GG123" i="98"/>
  <c r="GG1083" i="98"/>
  <c r="GG683" i="98"/>
  <c r="GG1243" i="98"/>
  <c r="GG843" i="98"/>
  <c r="GG1003" i="98"/>
  <c r="GG203" i="98"/>
  <c r="GG1403" i="98"/>
  <c r="GG443" i="98"/>
  <c r="GG603" i="98"/>
  <c r="GG1163" i="98"/>
  <c r="GG1483" i="98"/>
  <c r="GG1563" i="98"/>
  <c r="GG763" i="98"/>
  <c r="GG523" i="98"/>
  <c r="GI45" i="98"/>
  <c r="GI1405" i="98"/>
  <c r="GI1485" i="98"/>
  <c r="GI605" i="98"/>
  <c r="GI525" i="98"/>
  <c r="GI685" i="98"/>
  <c r="GI125" i="98"/>
  <c r="GI1085" i="98"/>
  <c r="GI365" i="98"/>
  <c r="GI205" i="98"/>
  <c r="GI1645" i="98"/>
  <c r="GI765" i="98"/>
  <c r="GI1005" i="98"/>
  <c r="GI1165" i="98"/>
  <c r="GI1565" i="98"/>
  <c r="GI1325" i="98"/>
  <c r="GI925" i="98"/>
  <c r="GI845" i="98"/>
  <c r="GI445" i="98"/>
  <c r="GI285" i="98"/>
  <c r="GI1245" i="98"/>
  <c r="GL681" i="98"/>
  <c r="GL361" i="98"/>
  <c r="GL441" i="98"/>
  <c r="GL1081" i="98"/>
  <c r="GL1401" i="98"/>
  <c r="GL1481" i="98"/>
  <c r="GL1321" i="98"/>
  <c r="GL761" i="98"/>
  <c r="GL601" i="98"/>
  <c r="GL1001" i="98"/>
  <c r="GL1561" i="98"/>
  <c r="GL121" i="98"/>
  <c r="GL1641" i="98"/>
  <c r="GL281" i="98"/>
  <c r="GL201" i="98"/>
  <c r="GL521" i="98"/>
  <c r="GL1161" i="98"/>
  <c r="GL841" i="98"/>
  <c r="GL1241" i="98"/>
  <c r="GL921" i="98"/>
  <c r="GL1562" i="98"/>
  <c r="GL1162" i="98"/>
  <c r="GL202" i="98"/>
  <c r="GL1322" i="98"/>
  <c r="GL362" i="98"/>
  <c r="GL1242" i="98"/>
  <c r="GL122" i="98"/>
  <c r="GL1482" i="98"/>
  <c r="GL1082" i="98"/>
  <c r="GL442" i="98"/>
  <c r="GL1642" i="98"/>
  <c r="GL282" i="98"/>
  <c r="GL602" i="98"/>
  <c r="GL682" i="98"/>
  <c r="GL922" i="98"/>
  <c r="GL1402" i="98"/>
  <c r="GL762" i="98"/>
  <c r="GL1002" i="98"/>
  <c r="GL842" i="98"/>
  <c r="GL522" i="98"/>
  <c r="GL1493" i="98"/>
  <c r="GL1653" i="98"/>
  <c r="GL1333" i="98"/>
  <c r="GL1413" i="98"/>
  <c r="GL773" i="98"/>
  <c r="GL693" i="98"/>
  <c r="GL293" i="98"/>
  <c r="GL613" i="98"/>
  <c r="GL133" i="98"/>
  <c r="GL1573" i="98"/>
  <c r="GL453" i="98"/>
  <c r="GL933" i="98"/>
  <c r="GL1013" i="98"/>
  <c r="GL533" i="98"/>
  <c r="GL1093" i="98"/>
  <c r="GL853" i="98"/>
  <c r="GL1253" i="98"/>
  <c r="GL373" i="98"/>
  <c r="GL213" i="98"/>
  <c r="GL1173" i="98"/>
  <c r="GG53" i="98"/>
  <c r="GG1333" i="98"/>
  <c r="GG1653" i="98"/>
  <c r="GG1493" i="98"/>
  <c r="GG1573" i="98"/>
  <c r="GG1413" i="98"/>
  <c r="GG773" i="98"/>
  <c r="GG613" i="98"/>
  <c r="GG693" i="98"/>
  <c r="GG133" i="98"/>
  <c r="GG293" i="98"/>
  <c r="GG213" i="98"/>
  <c r="GG1173" i="98"/>
  <c r="GG533" i="98"/>
  <c r="GG453" i="98"/>
  <c r="GG853" i="98"/>
  <c r="GG933" i="98"/>
  <c r="GG1253" i="98"/>
  <c r="GG1093" i="98"/>
  <c r="GG1013" i="98"/>
  <c r="GG373" i="98"/>
  <c r="GF52" i="98"/>
  <c r="GF532" i="98"/>
  <c r="GF292" i="98"/>
  <c r="GF212" i="98"/>
  <c r="GF132" i="98"/>
  <c r="GF692" i="98"/>
  <c r="GF1172" i="98"/>
  <c r="GF1252" i="98"/>
  <c r="GF1092" i="98"/>
  <c r="GF452" i="98"/>
  <c r="GF372" i="98"/>
  <c r="GF1572" i="98"/>
  <c r="GF1652" i="98"/>
  <c r="GF932" i="98"/>
  <c r="GF852" i="98"/>
  <c r="GF1332" i="98"/>
  <c r="GF1412" i="98"/>
  <c r="GF1492" i="98"/>
  <c r="GF612" i="98"/>
  <c r="GF772" i="98"/>
  <c r="GF1012" i="98"/>
  <c r="GG54" i="98"/>
  <c r="GG1494" i="98"/>
  <c r="GG1094" i="98"/>
  <c r="GG694" i="98"/>
  <c r="GG214" i="98"/>
  <c r="GG614" i="98"/>
  <c r="GG774" i="98"/>
  <c r="GG134" i="98"/>
  <c r="GG1574" i="98"/>
  <c r="GG454" i="98"/>
  <c r="GG294" i="98"/>
  <c r="GG1414" i="98"/>
  <c r="GG1654" i="98"/>
  <c r="GG1014" i="98"/>
  <c r="GG1334" i="98"/>
  <c r="GG374" i="98"/>
  <c r="GG1254" i="98"/>
  <c r="GG1174" i="98"/>
  <c r="GG534" i="98"/>
  <c r="GG934" i="98"/>
  <c r="GG854" i="98"/>
  <c r="GF54" i="98"/>
  <c r="GF774" i="98"/>
  <c r="GF1494" i="98"/>
  <c r="GF1574" i="98"/>
  <c r="GF1014" i="98"/>
  <c r="GF1094" i="98"/>
  <c r="GF694" i="98"/>
  <c r="GF214" i="98"/>
  <c r="GF134" i="98"/>
  <c r="GF1414" i="98"/>
  <c r="GF614" i="98"/>
  <c r="GF294" i="98"/>
  <c r="GF454" i="98"/>
  <c r="GF374" i="98"/>
  <c r="GF1334" i="98"/>
  <c r="GF1654" i="98"/>
  <c r="GF1174" i="98"/>
  <c r="GF1254" i="98"/>
  <c r="GF534" i="98"/>
  <c r="GF854" i="98"/>
  <c r="GF934" i="98"/>
  <c r="GF51" i="98"/>
  <c r="GF531" i="98"/>
  <c r="GF451" i="98"/>
  <c r="GF1011" i="98"/>
  <c r="GF1491" i="98"/>
  <c r="GF291" i="98"/>
  <c r="GF1331" i="98"/>
  <c r="GF1091" i="98"/>
  <c r="GF1651" i="98"/>
  <c r="GF1571" i="98"/>
  <c r="GF851" i="98"/>
  <c r="GF931" i="98"/>
  <c r="GF131" i="98"/>
  <c r="GF691" i="98"/>
  <c r="GF1411" i="98"/>
  <c r="GF611" i="98"/>
  <c r="GF211" i="98"/>
  <c r="GF1171" i="98"/>
  <c r="GF771" i="98"/>
  <c r="GF1251" i="98"/>
  <c r="GF371" i="98"/>
  <c r="GA51" i="98"/>
  <c r="GA1091" i="98"/>
  <c r="GA531" i="98"/>
  <c r="GA1331" i="98"/>
  <c r="GA1491" i="98"/>
  <c r="GA1651" i="98"/>
  <c r="GA291" i="98"/>
  <c r="GA131" i="98"/>
  <c r="GA1171" i="98"/>
  <c r="GA211" i="98"/>
  <c r="GA851" i="98"/>
  <c r="GA1011" i="98"/>
  <c r="GA371" i="98"/>
  <c r="GA1251" i="98"/>
  <c r="GA1411" i="98"/>
  <c r="GA931" i="98"/>
  <c r="GA611" i="98"/>
  <c r="GA691" i="98"/>
  <c r="GA771" i="98"/>
  <c r="GA1571" i="98"/>
  <c r="GA451" i="98"/>
  <c r="GL615" i="98"/>
  <c r="GL535" i="98"/>
  <c r="GL295" i="98"/>
  <c r="GL775" i="98"/>
  <c r="GL855" i="98"/>
  <c r="GL1655" i="98"/>
  <c r="GL1415" i="98"/>
  <c r="GL1495" i="98"/>
  <c r="GL375" i="98"/>
  <c r="GL1335" i="98"/>
  <c r="GL215" i="98"/>
  <c r="GL1015" i="98"/>
  <c r="GL935" i="98"/>
  <c r="GL1095" i="98"/>
  <c r="GL135" i="98"/>
  <c r="GL1255" i="98"/>
  <c r="GL1175" i="98"/>
  <c r="GL455" i="98"/>
  <c r="GL695" i="98"/>
  <c r="GL1575" i="98"/>
  <c r="GC11" i="98"/>
  <c r="GC1051" i="98"/>
  <c r="GC1131" i="98"/>
  <c r="GC491" i="98"/>
  <c r="GC1451" i="98"/>
  <c r="GC1611" i="98"/>
  <c r="GC891" i="98"/>
  <c r="GC1211" i="98"/>
  <c r="GC651" i="98"/>
  <c r="GC811" i="98"/>
  <c r="GC91" i="98"/>
  <c r="GC171" i="98"/>
  <c r="GC331" i="98"/>
  <c r="GC971" i="98"/>
  <c r="GC1371" i="98"/>
  <c r="GC1291" i="98"/>
  <c r="GC1531" i="98"/>
  <c r="GC411" i="98"/>
  <c r="GC571" i="98"/>
  <c r="GC251" i="98"/>
  <c r="GC731" i="98"/>
  <c r="GC12" i="98"/>
  <c r="GC1292" i="98"/>
  <c r="GC1132" i="98"/>
  <c r="GC1212" i="98"/>
  <c r="GC332" i="98"/>
  <c r="GC652" i="98"/>
  <c r="GC572" i="98"/>
  <c r="GC1612" i="98"/>
  <c r="GC812" i="98"/>
  <c r="GC972" i="98"/>
  <c r="GC1052" i="98"/>
  <c r="GC492" i="98"/>
  <c r="GC1532" i="98"/>
  <c r="GC412" i="98"/>
  <c r="GC1372" i="98"/>
  <c r="GC1452" i="98"/>
  <c r="GC92" i="98"/>
  <c r="GC732" i="98"/>
  <c r="GC252" i="98"/>
  <c r="GC172" i="98"/>
  <c r="GC892" i="98"/>
  <c r="GC19" i="98"/>
  <c r="GC1059" i="98"/>
  <c r="GC339" i="98"/>
  <c r="GC499" i="98"/>
  <c r="GC419" i="98"/>
  <c r="GC1539" i="98"/>
  <c r="GC1139" i="98"/>
  <c r="GC1299" i="98"/>
  <c r="GC99" i="98"/>
  <c r="GC1219" i="98"/>
  <c r="GC819" i="98"/>
  <c r="GC899" i="98"/>
  <c r="GC259" i="98"/>
  <c r="GC179" i="98"/>
  <c r="GC1619" i="98"/>
  <c r="GC579" i="98"/>
  <c r="GC1379" i="98"/>
  <c r="GC1459" i="98"/>
  <c r="GC739" i="98"/>
  <c r="GC659" i="98"/>
  <c r="GC979" i="98"/>
  <c r="GC8" i="98"/>
  <c r="GC1448" i="98"/>
  <c r="GC1128" i="98"/>
  <c r="GC1368" i="98"/>
  <c r="GC488" i="98"/>
  <c r="GC328" i="98"/>
  <c r="GC408" i="98"/>
  <c r="GC568" i="98"/>
  <c r="GC1528" i="98"/>
  <c r="GC728" i="98"/>
  <c r="GC808" i="98"/>
  <c r="GC168" i="98"/>
  <c r="GC1608" i="98"/>
  <c r="GC648" i="98"/>
  <c r="GC248" i="98"/>
  <c r="GC1288" i="98"/>
  <c r="GC1208" i="98"/>
  <c r="GC888" i="98"/>
  <c r="GC1048" i="98"/>
  <c r="GC88" i="98"/>
  <c r="GC968" i="98"/>
  <c r="GC28" i="98"/>
  <c r="GC1308" i="98"/>
  <c r="GC1228" i="98"/>
  <c r="GC1068" i="98"/>
  <c r="GC1628" i="98"/>
  <c r="GC988" i="98"/>
  <c r="GC268" i="98"/>
  <c r="GC588" i="98"/>
  <c r="GC428" i="98"/>
  <c r="GC748" i="98"/>
  <c r="GC1548" i="98"/>
  <c r="GC508" i="98"/>
  <c r="GC1148" i="98"/>
  <c r="GC108" i="98"/>
  <c r="GC348" i="98"/>
  <c r="GC1388" i="98"/>
  <c r="GC1468" i="98"/>
  <c r="GC188" i="98"/>
  <c r="GC828" i="98"/>
  <c r="GC668" i="98"/>
  <c r="GC908" i="98"/>
  <c r="GC57" i="98"/>
  <c r="GC1497" i="98"/>
  <c r="GC1657" i="98"/>
  <c r="GC777" i="98"/>
  <c r="GC1337" i="98"/>
  <c r="GC617" i="98"/>
  <c r="GC137" i="98"/>
  <c r="GC1017" i="98"/>
  <c r="GC1097" i="98"/>
  <c r="GC937" i="98"/>
  <c r="GC1577" i="98"/>
  <c r="GC697" i="98"/>
  <c r="GC377" i="98"/>
  <c r="GC1257" i="98"/>
  <c r="GC1417" i="98"/>
  <c r="GC537" i="98"/>
  <c r="GC857" i="98"/>
  <c r="GC457" i="98"/>
  <c r="GC217" i="98"/>
  <c r="GC1177" i="98"/>
  <c r="GC297" i="98"/>
  <c r="GC17" i="98"/>
  <c r="GC657" i="98"/>
  <c r="GC577" i="98"/>
  <c r="GC417" i="98"/>
  <c r="GC97" i="98"/>
  <c r="GC1137" i="98"/>
  <c r="GC1617" i="98"/>
  <c r="GC737" i="98"/>
  <c r="GC977" i="98"/>
  <c r="GC1537" i="98"/>
  <c r="GC1457" i="98"/>
  <c r="GC1057" i="98"/>
  <c r="GC1377" i="98"/>
  <c r="GC257" i="98"/>
  <c r="GC177" i="98"/>
  <c r="GC497" i="98"/>
  <c r="GC1297" i="98"/>
  <c r="GC337" i="98"/>
  <c r="GC1217" i="98"/>
  <c r="GC817" i="98"/>
  <c r="GC897" i="98"/>
  <c r="GC10" i="98"/>
  <c r="GC250" i="98"/>
  <c r="GC1130" i="98"/>
  <c r="GC1290" i="98"/>
  <c r="GC650" i="98"/>
  <c r="GC1210" i="98"/>
  <c r="GC1610" i="98"/>
  <c r="GC570" i="98"/>
  <c r="GC1530" i="98"/>
  <c r="GC490" i="98"/>
  <c r="GC170" i="98"/>
  <c r="GC1050" i="98"/>
  <c r="GC410" i="98"/>
  <c r="GC1370" i="98"/>
  <c r="GC90" i="98"/>
  <c r="GC970" i="98"/>
  <c r="GC730" i="98"/>
  <c r="GC1450" i="98"/>
  <c r="GC330" i="98"/>
  <c r="GC890" i="98"/>
  <c r="GC810" i="98"/>
  <c r="GC27" i="98"/>
  <c r="GC1067" i="98"/>
  <c r="GC507" i="98"/>
  <c r="GC267" i="98"/>
  <c r="GC1147" i="98"/>
  <c r="GC1307" i="98"/>
  <c r="GC187" i="98"/>
  <c r="GC1227" i="98"/>
  <c r="GC827" i="98"/>
  <c r="GC347" i="98"/>
  <c r="GC667" i="98"/>
  <c r="GC747" i="98"/>
  <c r="GC987" i="98"/>
  <c r="GC1467" i="98"/>
  <c r="GC1387" i="98"/>
  <c r="GC427" i="98"/>
  <c r="GC1627" i="98"/>
  <c r="GC907" i="98"/>
  <c r="GC107" i="98"/>
  <c r="GC587" i="98"/>
  <c r="GC1547" i="98"/>
  <c r="GF43" i="98"/>
  <c r="GF283" i="98"/>
  <c r="GF363" i="98"/>
  <c r="GF1643" i="98"/>
  <c r="GF123" i="98"/>
  <c r="GF1083" i="98"/>
  <c r="GF1563" i="98"/>
  <c r="GF1323" i="98"/>
  <c r="GF603" i="98"/>
  <c r="GF1403" i="98"/>
  <c r="GF1243" i="98"/>
  <c r="GF843" i="98"/>
  <c r="GF1003" i="98"/>
  <c r="GF203" i="98"/>
  <c r="GF763" i="98"/>
  <c r="GF1163" i="98"/>
  <c r="GF1483" i="98"/>
  <c r="GF923" i="98"/>
  <c r="GF523" i="98"/>
  <c r="GF443" i="98"/>
  <c r="GF683" i="98"/>
  <c r="FX40" i="98"/>
  <c r="FX120" i="98"/>
  <c r="FX200" i="98"/>
  <c r="FX280" i="98"/>
  <c r="FX360" i="98"/>
  <c r="FX440" i="98"/>
  <c r="FX520" i="98"/>
  <c r="FX600" i="98"/>
  <c r="FX680" i="98"/>
  <c r="FX760" i="98"/>
  <c r="FX840" i="98"/>
  <c r="FX1000" i="98"/>
  <c r="FX1080" i="98"/>
  <c r="FX920" i="98"/>
  <c r="FX1160" i="98"/>
  <c r="FX1240" i="98"/>
  <c r="FX1320" i="98"/>
  <c r="FX1400" i="98"/>
  <c r="FX1480" i="98"/>
  <c r="FX1560" i="98"/>
  <c r="FX1640" i="98"/>
  <c r="GJ53" i="98"/>
  <c r="GJ1333" i="98"/>
  <c r="GJ1653" i="98"/>
  <c r="GJ1573" i="98"/>
  <c r="GJ1493" i="98"/>
  <c r="GJ1413" i="98"/>
  <c r="GJ773" i="98"/>
  <c r="GJ693" i="98"/>
  <c r="GJ613" i="98"/>
  <c r="GJ133" i="98"/>
  <c r="GJ293" i="98"/>
  <c r="GJ1173" i="98"/>
  <c r="GJ213" i="98"/>
  <c r="GJ533" i="98"/>
  <c r="GJ453" i="98"/>
  <c r="GJ933" i="98"/>
  <c r="GJ853" i="98"/>
  <c r="GJ1013" i="98"/>
  <c r="GJ1253" i="98"/>
  <c r="GJ373" i="98"/>
  <c r="GJ1093" i="98"/>
  <c r="FX48" i="98"/>
  <c r="FX128" i="98"/>
  <c r="FX208" i="98"/>
  <c r="FX288" i="98"/>
  <c r="FX368" i="98"/>
  <c r="FX448" i="98"/>
  <c r="FX528" i="98"/>
  <c r="FX608" i="98"/>
  <c r="FX688" i="98"/>
  <c r="FX768" i="98"/>
  <c r="FX848" i="98"/>
  <c r="FX928" i="98"/>
  <c r="FX1008" i="98"/>
  <c r="FX1088" i="98"/>
  <c r="FX1168" i="98"/>
  <c r="FX1248" i="98"/>
  <c r="FX1328" i="98"/>
  <c r="FX1408" i="98"/>
  <c r="FX1488" i="98"/>
  <c r="FX1568" i="98"/>
  <c r="FX1648" i="98"/>
  <c r="GF55" i="98"/>
  <c r="GF215" i="98"/>
  <c r="GF1175" i="98"/>
  <c r="GF615" i="98"/>
  <c r="GF1655" i="98"/>
  <c r="GF855" i="98"/>
  <c r="GF295" i="98"/>
  <c r="GF1335" i="98"/>
  <c r="GF775" i="98"/>
  <c r="GF1415" i="98"/>
  <c r="GF375" i="98"/>
  <c r="GF935" i="98"/>
  <c r="GF1015" i="98"/>
  <c r="GF695" i="98"/>
  <c r="GF1495" i="98"/>
  <c r="GF135" i="98"/>
  <c r="GF455" i="98"/>
  <c r="GF535" i="98"/>
  <c r="GF1575" i="98"/>
  <c r="GF1095" i="98"/>
  <c r="GF1255" i="98"/>
  <c r="GG44" i="98"/>
  <c r="GG1244" i="98"/>
  <c r="GG1164" i="98"/>
  <c r="GG204" i="98"/>
  <c r="GG364" i="98"/>
  <c r="GG684" i="98"/>
  <c r="GG1564" i="98"/>
  <c r="GG604" i="98"/>
  <c r="GG1004" i="98"/>
  <c r="GG444" i="98"/>
  <c r="GG1644" i="98"/>
  <c r="GG1324" i="98"/>
  <c r="GG1404" i="98"/>
  <c r="GG1484" i="98"/>
  <c r="GG1084" i="98"/>
  <c r="GG124" i="98"/>
  <c r="GG524" i="98"/>
  <c r="GG284" i="98"/>
  <c r="GG844" i="98"/>
  <c r="GG924" i="98"/>
  <c r="GG764" i="98"/>
  <c r="GL1083" i="98"/>
  <c r="GL363" i="98"/>
  <c r="GL923" i="98"/>
  <c r="GL123" i="98"/>
  <c r="GL1483" i="98"/>
  <c r="GL1643" i="98"/>
  <c r="GL1323" i="98"/>
  <c r="GL1563" i="98"/>
  <c r="GL1163" i="98"/>
  <c r="GL283" i="98"/>
  <c r="GL1403" i="98"/>
  <c r="GL203" i="98"/>
  <c r="GL523" i="98"/>
  <c r="GL843" i="98"/>
  <c r="GL1003" i="98"/>
  <c r="GL603" i="98"/>
  <c r="GL443" i="98"/>
  <c r="GL683" i="98"/>
  <c r="GL763" i="98"/>
  <c r="GL1243" i="98"/>
  <c r="GG45" i="98"/>
  <c r="GG1645" i="98"/>
  <c r="GG1565" i="98"/>
  <c r="GG1405" i="98"/>
  <c r="GG1005" i="98"/>
  <c r="GG605" i="98"/>
  <c r="GG685" i="98"/>
  <c r="GG525" i="98"/>
  <c r="GG765" i="98"/>
  <c r="GG125" i="98"/>
  <c r="GG1085" i="98"/>
  <c r="GG205" i="98"/>
  <c r="GG365" i="98"/>
  <c r="GG925" i="98"/>
  <c r="GG1325" i="98"/>
  <c r="GG1165" i="98"/>
  <c r="GG845" i="98"/>
  <c r="GG1245" i="98"/>
  <c r="GG1485" i="98"/>
  <c r="GG445" i="98"/>
  <c r="GG285" i="98"/>
  <c r="GJ45" i="98"/>
  <c r="GJ1645" i="98"/>
  <c r="GJ1565" i="98"/>
  <c r="GJ1325" i="98"/>
  <c r="GJ1485" i="98"/>
  <c r="GJ1405" i="98"/>
  <c r="GJ1005" i="98"/>
  <c r="GJ605" i="98"/>
  <c r="GJ525" i="98"/>
  <c r="GJ765" i="98"/>
  <c r="GJ685" i="98"/>
  <c r="GJ125" i="98"/>
  <c r="GJ205" i="98"/>
  <c r="GJ365" i="98"/>
  <c r="GJ1085" i="98"/>
  <c r="GJ845" i="98"/>
  <c r="GJ1165" i="98"/>
  <c r="GJ1245" i="98"/>
  <c r="GJ925" i="98"/>
  <c r="GJ445" i="98"/>
  <c r="GJ285" i="98"/>
  <c r="GF41" i="98"/>
  <c r="GF1001" i="98"/>
  <c r="GF681" i="98"/>
  <c r="GF361" i="98"/>
  <c r="GF121" i="98"/>
  <c r="GF441" i="98"/>
  <c r="GF1481" i="98"/>
  <c r="GF1561" i="98"/>
  <c r="GF601" i="98"/>
  <c r="GF1641" i="98"/>
  <c r="GF1401" i="98"/>
  <c r="GF761" i="98"/>
  <c r="GF1321" i="98"/>
  <c r="GF281" i="98"/>
  <c r="GF201" i="98"/>
  <c r="GF1081" i="98"/>
  <c r="GF1241" i="98"/>
  <c r="GF921" i="98"/>
  <c r="GF521" i="98"/>
  <c r="GF1161" i="98"/>
  <c r="GF841" i="98"/>
  <c r="FX39" i="98"/>
  <c r="FX119" i="98"/>
  <c r="FX199" i="98"/>
  <c r="FX279" i="98"/>
  <c r="FX359" i="98"/>
  <c r="FX439" i="98"/>
  <c r="FX519" i="98"/>
  <c r="FX599" i="98"/>
  <c r="FX679" i="98"/>
  <c r="FX759" i="98"/>
  <c r="FX839" i="98"/>
  <c r="FX919" i="98"/>
  <c r="FX999" i="98"/>
  <c r="FX1079" i="98"/>
  <c r="FX1159" i="98"/>
  <c r="FX1239" i="98"/>
  <c r="FX1319" i="98"/>
  <c r="FX1399" i="98"/>
  <c r="FX1479" i="98"/>
  <c r="FX1559" i="98"/>
  <c r="FX1639" i="98"/>
  <c r="FX37" i="98"/>
  <c r="FX117" i="98"/>
  <c r="FX197" i="98"/>
  <c r="FX277" i="98"/>
  <c r="FX357" i="98"/>
  <c r="FX437" i="98"/>
  <c r="FX517" i="98"/>
  <c r="FX597" i="98"/>
  <c r="FX677" i="98"/>
  <c r="FX757" i="98"/>
  <c r="FX837" i="98"/>
  <c r="FX917" i="98"/>
  <c r="FX997" i="98"/>
  <c r="FX1077" i="98"/>
  <c r="FX1157" i="98"/>
  <c r="FX1237" i="98"/>
  <c r="FX1317" i="98"/>
  <c r="FX1397" i="98"/>
  <c r="FX1477" i="98"/>
  <c r="FX1557" i="98"/>
  <c r="FX1637" i="98"/>
  <c r="GF42" i="98"/>
  <c r="GF202" i="98"/>
  <c r="GF122" i="98"/>
  <c r="GF1322" i="98"/>
  <c r="GF602" i="98"/>
  <c r="GF1082" i="98"/>
  <c r="GF1162" i="98"/>
  <c r="GF1242" i="98"/>
  <c r="GF1642" i="98"/>
  <c r="GF682" i="98"/>
  <c r="GF282" i="98"/>
  <c r="GF1562" i="98"/>
  <c r="GF1002" i="98"/>
  <c r="GF522" i="98"/>
  <c r="GF442" i="98"/>
  <c r="GF1402" i="98"/>
  <c r="GF922" i="98"/>
  <c r="GF362" i="98"/>
  <c r="GF1482" i="98"/>
  <c r="GF762" i="98"/>
  <c r="GF842" i="98"/>
  <c r="GI53" i="98"/>
  <c r="GI1493" i="98"/>
  <c r="GI1333" i="98"/>
  <c r="GI1413" i="98"/>
  <c r="GI773" i="98"/>
  <c r="GI613" i="98"/>
  <c r="GI693" i="98"/>
  <c r="GI373" i="98"/>
  <c r="GI293" i="98"/>
  <c r="GI1573" i="98"/>
  <c r="GI1013" i="98"/>
  <c r="GI1173" i="98"/>
  <c r="GI133" i="98"/>
  <c r="GI1653" i="98"/>
  <c r="GI933" i="98"/>
  <c r="GI453" i="98"/>
  <c r="GI1253" i="98"/>
  <c r="GI533" i="98"/>
  <c r="GI1093" i="98"/>
  <c r="GI213" i="98"/>
  <c r="GI853" i="98"/>
  <c r="GA53" i="98"/>
  <c r="GA1333" i="98"/>
  <c r="GA1413" i="98"/>
  <c r="GA1493" i="98"/>
  <c r="GA773" i="98"/>
  <c r="GA693" i="98"/>
  <c r="GA613" i="98"/>
  <c r="GA133" i="98"/>
  <c r="GA293" i="98"/>
  <c r="GA1573" i="98"/>
  <c r="GA1173" i="98"/>
  <c r="GA533" i="98"/>
  <c r="GA213" i="98"/>
  <c r="GA453" i="98"/>
  <c r="GA1653" i="98"/>
  <c r="GA933" i="98"/>
  <c r="GA853" i="98"/>
  <c r="GA1253" i="98"/>
  <c r="GA1093" i="98"/>
  <c r="GA1013" i="98"/>
  <c r="GA373" i="98"/>
  <c r="GJ52" i="98"/>
  <c r="GJ532" i="98"/>
  <c r="GJ292" i="98"/>
  <c r="GJ692" i="98"/>
  <c r="GJ612" i="98"/>
  <c r="GJ132" i="98"/>
  <c r="GJ372" i="98"/>
  <c r="GJ212" i="98"/>
  <c r="GJ1092" i="98"/>
  <c r="GJ1172" i="98"/>
  <c r="GJ1252" i="98"/>
  <c r="GJ772" i="98"/>
  <c r="GJ1332" i="98"/>
  <c r="GJ1412" i="98"/>
  <c r="GJ1492" i="98"/>
  <c r="GJ1572" i="98"/>
  <c r="GJ1652" i="98"/>
  <c r="GJ452" i="98"/>
  <c r="GJ1012" i="98"/>
  <c r="GJ932" i="98"/>
  <c r="GJ852" i="98"/>
  <c r="GI54" i="98"/>
  <c r="GI1574" i="98"/>
  <c r="GI1494" i="98"/>
  <c r="GI1094" i="98"/>
  <c r="GI694" i="98"/>
  <c r="GI1014" i="98"/>
  <c r="GI774" i="98"/>
  <c r="GI214" i="98"/>
  <c r="GI134" i="98"/>
  <c r="GI374" i="98"/>
  <c r="GI614" i="98"/>
  <c r="GI1414" i="98"/>
  <c r="GI1334" i="98"/>
  <c r="GI294" i="98"/>
  <c r="GI454" i="98"/>
  <c r="GI1654" i="98"/>
  <c r="GI1254" i="98"/>
  <c r="GI1174" i="98"/>
  <c r="GI534" i="98"/>
  <c r="GI854" i="98"/>
  <c r="GI934" i="98"/>
  <c r="GA54" i="98"/>
  <c r="GA1494" i="98"/>
  <c r="GA1334" i="98"/>
  <c r="GA1094" i="98"/>
  <c r="GA614" i="98"/>
  <c r="GA694" i="98"/>
  <c r="GA774" i="98"/>
  <c r="GA374" i="98"/>
  <c r="GA214" i="98"/>
  <c r="GA134" i="98"/>
  <c r="GA1654" i="98"/>
  <c r="GA294" i="98"/>
  <c r="GA454" i="98"/>
  <c r="GA1014" i="98"/>
  <c r="GA1574" i="98"/>
  <c r="GA1414" i="98"/>
  <c r="GA1254" i="98"/>
  <c r="GA934" i="98"/>
  <c r="GA1174" i="98"/>
  <c r="GA854" i="98"/>
  <c r="GA534" i="98"/>
  <c r="FX50" i="98"/>
  <c r="FX130" i="98"/>
  <c r="FX210" i="98"/>
  <c r="FX290" i="98"/>
  <c r="FX370" i="98"/>
  <c r="FX450" i="98"/>
  <c r="FX530" i="98"/>
  <c r="FX610" i="98"/>
  <c r="FX690" i="98"/>
  <c r="FX770" i="98"/>
  <c r="FX850" i="98"/>
  <c r="FX930" i="98"/>
  <c r="FX1010" i="98"/>
  <c r="FX1090" i="98"/>
  <c r="FX1170" i="98"/>
  <c r="FX1250" i="98"/>
  <c r="FX1330" i="98"/>
  <c r="FX1410" i="98"/>
  <c r="FX1490" i="98"/>
  <c r="FX1570" i="98"/>
  <c r="FX1650" i="98"/>
  <c r="FX47" i="98"/>
  <c r="FX127" i="98"/>
  <c r="FX207" i="98"/>
  <c r="FX287" i="98"/>
  <c r="FX367" i="98"/>
  <c r="FX447" i="98"/>
  <c r="FX527" i="98"/>
  <c r="FX607" i="98"/>
  <c r="FX687" i="98"/>
  <c r="FX767" i="98"/>
  <c r="FX847" i="98"/>
  <c r="FX927" i="98"/>
  <c r="FX1007" i="98"/>
  <c r="FX1087" i="98"/>
  <c r="FX1167" i="98"/>
  <c r="FX1247" i="98"/>
  <c r="FX1327" i="98"/>
  <c r="FX1407" i="98"/>
  <c r="FX1487" i="98"/>
  <c r="FX1567" i="98"/>
  <c r="FX1647" i="98"/>
  <c r="GL451" i="98"/>
  <c r="GL371" i="98"/>
  <c r="GL1011" i="98"/>
  <c r="GL1491" i="98"/>
  <c r="GL1331" i="98"/>
  <c r="GL851" i="98"/>
  <c r="GL931" i="98"/>
  <c r="GL291" i="98"/>
  <c r="GL531" i="98"/>
  <c r="GL1571" i="98"/>
  <c r="GL611" i="98"/>
  <c r="GL1651" i="98"/>
  <c r="GL131" i="98"/>
  <c r="GL691" i="98"/>
  <c r="GL1411" i="98"/>
  <c r="GL1091" i="98"/>
  <c r="GL1171" i="98"/>
  <c r="GL771" i="98"/>
  <c r="GL1251" i="98"/>
  <c r="GL211" i="98"/>
  <c r="GI55" i="98"/>
  <c r="GI215" i="98"/>
  <c r="GI1175" i="98"/>
  <c r="GI615" i="98"/>
  <c r="GI295" i="98"/>
  <c r="GI855" i="98"/>
  <c r="GI1655" i="98"/>
  <c r="GI775" i="98"/>
  <c r="GI1415" i="98"/>
  <c r="GI1495" i="98"/>
  <c r="GI375" i="98"/>
  <c r="GI1335" i="98"/>
  <c r="GI1015" i="98"/>
  <c r="GI935" i="98"/>
  <c r="GI135" i="98"/>
  <c r="GI1255" i="98"/>
  <c r="GI455" i="98"/>
  <c r="GI695" i="98"/>
  <c r="GI535" i="98"/>
  <c r="GI1575" i="98"/>
  <c r="GI1095" i="98"/>
  <c r="GJ55" i="98"/>
  <c r="GJ295" i="98"/>
  <c r="GJ215" i="98"/>
  <c r="GJ1175" i="98"/>
  <c r="GJ455" i="98"/>
  <c r="GJ535" i="98"/>
  <c r="GJ615" i="98"/>
  <c r="GJ1655" i="98"/>
  <c r="GJ1575" i="98"/>
  <c r="GJ855" i="98"/>
  <c r="GJ375" i="98"/>
  <c r="GJ1335" i="98"/>
  <c r="GJ1415" i="98"/>
  <c r="GJ135" i="98"/>
  <c r="GJ1015" i="98"/>
  <c r="GJ935" i="98"/>
  <c r="GJ1095" i="98"/>
  <c r="GJ775" i="98"/>
  <c r="GJ1495" i="98"/>
  <c r="GJ695" i="98"/>
  <c r="GJ1255" i="98"/>
  <c r="GC21" i="98"/>
  <c r="GC1381" i="98"/>
  <c r="GC1461" i="98"/>
  <c r="GC421" i="98"/>
  <c r="GC741" i="98"/>
  <c r="GC1301" i="98"/>
  <c r="GC1221" i="98"/>
  <c r="GC981" i="98"/>
  <c r="GC181" i="98"/>
  <c r="GC1621" i="98"/>
  <c r="GC341" i="98"/>
  <c r="GC581" i="98"/>
  <c r="GC261" i="98"/>
  <c r="GC661" i="98"/>
  <c r="GC901" i="98"/>
  <c r="GC1541" i="98"/>
  <c r="GC821" i="98"/>
  <c r="GC1061" i="98"/>
  <c r="GC101" i="98"/>
  <c r="GC501" i="98"/>
  <c r="GC1141" i="98"/>
  <c r="GC68" i="98"/>
  <c r="GC1508" i="98"/>
  <c r="GC1668" i="98"/>
  <c r="GC1428" i="98"/>
  <c r="GC1348" i="98"/>
  <c r="GC1188" i="98"/>
  <c r="GC1588" i="98"/>
  <c r="GC948" i="98"/>
  <c r="GC1108" i="98"/>
  <c r="GC228" i="98"/>
  <c r="GC148" i="98"/>
  <c r="GC308" i="98"/>
  <c r="GC388" i="98"/>
  <c r="GC708" i="98"/>
  <c r="GC548" i="98"/>
  <c r="GC788" i="98"/>
  <c r="GC868" i="98"/>
  <c r="GC1268" i="98"/>
  <c r="GC1028" i="98"/>
  <c r="GC468" i="98"/>
  <c r="GC628" i="98"/>
  <c r="GC77" i="98"/>
  <c r="GC1357" i="98"/>
  <c r="GC1677" i="98"/>
  <c r="GC637" i="98"/>
  <c r="GC717" i="98"/>
  <c r="GC157" i="98"/>
  <c r="GC557" i="98"/>
  <c r="GC1117" i="98"/>
  <c r="GC477" i="98"/>
  <c r="GC237" i="98"/>
  <c r="GC957" i="98"/>
  <c r="GC397" i="98"/>
  <c r="GC1597" i="98"/>
  <c r="GC877" i="98"/>
  <c r="GC1517" i="98"/>
  <c r="GC1437" i="98"/>
  <c r="GC1197" i="98"/>
  <c r="GC317" i="98"/>
  <c r="GC797" i="98"/>
  <c r="GC1277" i="98"/>
  <c r="GC1037" i="98"/>
  <c r="GC67" i="98"/>
  <c r="GC1587" i="98"/>
  <c r="GC787" i="98"/>
  <c r="GC867" i="98"/>
  <c r="GC947" i="98"/>
  <c r="GC1187" i="98"/>
  <c r="GC307" i="98"/>
  <c r="GC547" i="98"/>
  <c r="GC627" i="98"/>
  <c r="GC707" i="98"/>
  <c r="GC147" i="98"/>
  <c r="GC1107" i="98"/>
  <c r="GC387" i="98"/>
  <c r="GC1507" i="98"/>
  <c r="GC1267" i="98"/>
  <c r="GC1667" i="98"/>
  <c r="GC1027" i="98"/>
  <c r="GC1347" i="98"/>
  <c r="GC227" i="98"/>
  <c r="GC467" i="98"/>
  <c r="GC1427" i="98"/>
  <c r="GC22" i="98"/>
  <c r="GC1142" i="98"/>
  <c r="GC262" i="98"/>
  <c r="GC582" i="98"/>
  <c r="GC182" i="98"/>
  <c r="GC1622" i="98"/>
  <c r="GC902" i="98"/>
  <c r="GC502" i="98"/>
  <c r="GC742" i="98"/>
  <c r="GC1542" i="98"/>
  <c r="GC662" i="98"/>
  <c r="GC1062" i="98"/>
  <c r="GC102" i="98"/>
  <c r="GC1462" i="98"/>
  <c r="GC1302" i="98"/>
  <c r="GC1382" i="98"/>
  <c r="GC982" i="98"/>
  <c r="GC342" i="98"/>
  <c r="GC422" i="98"/>
  <c r="GC1222" i="98"/>
  <c r="GC822" i="98"/>
  <c r="GC59" i="98"/>
  <c r="GC1099" i="98"/>
  <c r="GC1019" i="98"/>
  <c r="GC459" i="98"/>
  <c r="GC939" i="98"/>
  <c r="GC699" i="98"/>
  <c r="GC299" i="98"/>
  <c r="GC1339" i="98"/>
  <c r="GC539" i="98"/>
  <c r="GC1179" i="98"/>
  <c r="GC1579" i="98"/>
  <c r="GC1499" i="98"/>
  <c r="GC1259" i="98"/>
  <c r="GC379" i="98"/>
  <c r="GC1419" i="98"/>
  <c r="GC219" i="98"/>
  <c r="GC859" i="98"/>
  <c r="GC779" i="98"/>
  <c r="GC619" i="98"/>
  <c r="GC1659" i="98"/>
  <c r="GC139" i="98"/>
  <c r="GC7" i="98"/>
  <c r="GC87" i="98"/>
  <c r="GC1207" i="98"/>
  <c r="GC1527" i="98"/>
  <c r="GC167" i="98"/>
  <c r="GC1127" i="98"/>
  <c r="GC807" i="98"/>
  <c r="GC967" i="98"/>
  <c r="GC407" i="98"/>
  <c r="GC487" i="98"/>
  <c r="GC887" i="98"/>
  <c r="GC1447" i="98"/>
  <c r="GC1607" i="98"/>
  <c r="GC327" i="98"/>
  <c r="GC567" i="98"/>
  <c r="GC1047" i="98"/>
  <c r="GC1367" i="98"/>
  <c r="GC247" i="98"/>
  <c r="GC727" i="98"/>
  <c r="GC1287" i="98"/>
  <c r="GC647" i="98"/>
  <c r="GC9" i="98"/>
  <c r="GC1529" i="98"/>
  <c r="GC569" i="98"/>
  <c r="GC329" i="98"/>
  <c r="GC1049" i="98"/>
  <c r="GC1369" i="98"/>
  <c r="GC889" i="98"/>
  <c r="GC1289" i="98"/>
  <c r="GC969" i="98"/>
  <c r="GC169" i="98"/>
  <c r="GC489" i="98"/>
  <c r="GC1449" i="98"/>
  <c r="GC649" i="98"/>
  <c r="GC249" i="98"/>
  <c r="GC729" i="98"/>
  <c r="GC1609" i="98"/>
  <c r="GC1209" i="98"/>
  <c r="GC1129" i="98"/>
  <c r="GC409" i="98"/>
  <c r="GC809" i="98"/>
  <c r="GC89" i="98"/>
  <c r="GJ44" i="98"/>
  <c r="GJ604" i="98"/>
  <c r="GJ204" i="98"/>
  <c r="GJ1004" i="98"/>
  <c r="GJ684" i="98"/>
  <c r="GJ1484" i="98"/>
  <c r="GJ1644" i="98"/>
  <c r="GJ764" i="98"/>
  <c r="GJ1084" i="98"/>
  <c r="GJ444" i="98"/>
  <c r="GJ1564" i="98"/>
  <c r="GJ1244" i="98"/>
  <c r="GJ1164" i="98"/>
  <c r="GJ284" i="98"/>
  <c r="GJ524" i="98"/>
  <c r="GJ1324" i="98"/>
  <c r="GJ1404" i="98"/>
  <c r="GJ124" i="98"/>
  <c r="GJ844" i="98"/>
  <c r="GJ924" i="98"/>
  <c r="GJ364" i="98"/>
  <c r="GI41" i="98"/>
  <c r="GI1641" i="98"/>
  <c r="GI1001" i="98"/>
  <c r="GI681" i="98"/>
  <c r="GI361" i="98"/>
  <c r="GI121" i="98"/>
  <c r="GI441" i="98"/>
  <c r="GI1161" i="98"/>
  <c r="GI1481" i="98"/>
  <c r="GI761" i="98"/>
  <c r="GI521" i="98"/>
  <c r="GI601" i="98"/>
  <c r="GI1321" i="98"/>
  <c r="GI1401" i="98"/>
  <c r="GI1561" i="98"/>
  <c r="GI1241" i="98"/>
  <c r="GI921" i="98"/>
  <c r="GI841" i="98"/>
  <c r="GI1081" i="98"/>
  <c r="GI281" i="98"/>
  <c r="GI201" i="98"/>
  <c r="GG42" i="98"/>
  <c r="GG1162" i="98"/>
  <c r="GG682" i="98"/>
  <c r="GG202" i="98"/>
  <c r="GG122" i="98"/>
  <c r="GG362" i="98"/>
  <c r="GG1322" i="98"/>
  <c r="GG1402" i="98"/>
  <c r="GG762" i="98"/>
  <c r="GG1642" i="98"/>
  <c r="GG602" i="98"/>
  <c r="GG1482" i="98"/>
  <c r="GG1242" i="98"/>
  <c r="GG1002" i="98"/>
  <c r="GG1082" i="98"/>
  <c r="GG442" i="98"/>
  <c r="GG1562" i="98"/>
  <c r="GG282" i="98"/>
  <c r="GG522" i="98"/>
  <c r="GG842" i="98"/>
  <c r="GG922" i="98"/>
  <c r="GA52" i="98"/>
  <c r="GA1652" i="98"/>
  <c r="GA1572" i="98"/>
  <c r="GA1252" i="98"/>
  <c r="GA1172" i="98"/>
  <c r="GA292" i="98"/>
  <c r="GA212" i="98"/>
  <c r="GA772" i="98"/>
  <c r="GA1332" i="98"/>
  <c r="GA532" i="98"/>
  <c r="GA1412" i="98"/>
  <c r="GA1492" i="98"/>
  <c r="GA852" i="98"/>
  <c r="GA1092" i="98"/>
  <c r="GA372" i="98"/>
  <c r="GA932" i="98"/>
  <c r="GA132" i="98"/>
  <c r="GA692" i="98"/>
  <c r="GA452" i="98"/>
  <c r="GA612" i="98"/>
  <c r="GA1012" i="98"/>
  <c r="FX49" i="98"/>
  <c r="FX129" i="98"/>
  <c r="FX209" i="98"/>
  <c r="FX289" i="98"/>
  <c r="FX369" i="98"/>
  <c r="FX449" i="98"/>
  <c r="FX529" i="98"/>
  <c r="FX609" i="98"/>
  <c r="FX689" i="98"/>
  <c r="FX769" i="98"/>
  <c r="FX849" i="98"/>
  <c r="FX929" i="98"/>
  <c r="FX1009" i="98"/>
  <c r="FX1089" i="98"/>
  <c r="FX1169" i="98"/>
  <c r="FX1249" i="98"/>
  <c r="FX1329" i="98"/>
  <c r="FX1409" i="98"/>
  <c r="FX1489" i="98"/>
  <c r="FX1569" i="98"/>
  <c r="FX1649" i="98"/>
  <c r="GL1084" i="98"/>
  <c r="GL1244" i="98"/>
  <c r="GL204" i="98"/>
  <c r="GL1404" i="98"/>
  <c r="GL604" i="98"/>
  <c r="GL684" i="98"/>
  <c r="GL924" i="98"/>
  <c r="GL844" i="98"/>
  <c r="GL1644" i="98"/>
  <c r="GL1564" i="98"/>
  <c r="GL1324" i="98"/>
  <c r="GL444" i="98"/>
  <c r="GL1484" i="98"/>
  <c r="GL284" i="98"/>
  <c r="GL1164" i="98"/>
  <c r="GL524" i="98"/>
  <c r="GL764" i="98"/>
  <c r="GL1004" i="98"/>
  <c r="GL124" i="98"/>
  <c r="GL364" i="98"/>
  <c r="GI43" i="98"/>
  <c r="GI283" i="98"/>
  <c r="GI1563" i="98"/>
  <c r="GI1643" i="98"/>
  <c r="GI1323" i="98"/>
  <c r="GI123" i="98"/>
  <c r="GI1163" i="98"/>
  <c r="GI363" i="98"/>
  <c r="GI1083" i="98"/>
  <c r="GI1003" i="98"/>
  <c r="GI523" i="98"/>
  <c r="GI1403" i="98"/>
  <c r="GI843" i="98"/>
  <c r="GI683" i="98"/>
  <c r="GI603" i="98"/>
  <c r="GI443" i="98"/>
  <c r="GI763" i="98"/>
  <c r="GI203" i="98"/>
  <c r="GI1243" i="98"/>
  <c r="GI1483" i="98"/>
  <c r="GI923" i="98"/>
  <c r="GL1405" i="98"/>
  <c r="GL1325" i="98"/>
  <c r="GL1565" i="98"/>
  <c r="GL525" i="98"/>
  <c r="GL1085" i="98"/>
  <c r="GL365" i="98"/>
  <c r="GL205" i="98"/>
  <c r="GL685" i="98"/>
  <c r="GL1645" i="98"/>
  <c r="GL765" i="98"/>
  <c r="GL605" i="98"/>
  <c r="GL1485" i="98"/>
  <c r="GL1005" i="98"/>
  <c r="GL1165" i="98"/>
  <c r="GL125" i="98"/>
  <c r="GL285" i="98"/>
  <c r="GL445" i="98"/>
  <c r="GL925" i="98"/>
  <c r="GL1245" i="98"/>
  <c r="GL845" i="98"/>
  <c r="GG41" i="98"/>
  <c r="GG1641" i="98"/>
  <c r="GG1561" i="98"/>
  <c r="GG1001" i="98"/>
  <c r="GG681" i="98"/>
  <c r="GG361" i="98"/>
  <c r="GG121" i="98"/>
  <c r="GG441" i="98"/>
  <c r="GG601" i="98"/>
  <c r="GG841" i="98"/>
  <c r="GG1401" i="98"/>
  <c r="GG761" i="98"/>
  <c r="GG1481" i="98"/>
  <c r="GG1321" i="98"/>
  <c r="GG281" i="98"/>
  <c r="GG201" i="98"/>
  <c r="GG1241" i="98"/>
  <c r="GG521" i="98"/>
  <c r="GG1161" i="98"/>
  <c r="GG921" i="98"/>
  <c r="GG1081" i="98"/>
  <c r="GJ41" i="98"/>
  <c r="GJ1641" i="98"/>
  <c r="GJ1561" i="98"/>
  <c r="GJ1001" i="98"/>
  <c r="GJ681" i="98"/>
  <c r="GJ361" i="98"/>
  <c r="GJ121" i="98"/>
  <c r="GJ441" i="98"/>
  <c r="GJ761" i="98"/>
  <c r="GJ1081" i="98"/>
  <c r="GJ1401" i="98"/>
  <c r="GJ1481" i="98"/>
  <c r="GJ601" i="98"/>
  <c r="GJ201" i="98"/>
  <c r="GJ1241" i="98"/>
  <c r="GJ1321" i="98"/>
  <c r="GJ1161" i="98"/>
  <c r="GJ521" i="98"/>
  <c r="GJ921" i="98"/>
  <c r="GJ841" i="98"/>
  <c r="GJ281" i="98"/>
  <c r="GA197" i="98"/>
  <c r="GJ42" i="98"/>
  <c r="GJ1562" i="98"/>
  <c r="GJ202" i="98"/>
  <c r="GJ362" i="98"/>
  <c r="GJ1082" i="98"/>
  <c r="GJ682" i="98"/>
  <c r="GJ1322" i="98"/>
  <c r="GJ522" i="98"/>
  <c r="GJ602" i="98"/>
  <c r="GJ1242" i="98"/>
  <c r="GJ122" i="98"/>
  <c r="GJ1162" i="98"/>
  <c r="GJ762" i="98"/>
  <c r="GJ282" i="98"/>
  <c r="GJ1642" i="98"/>
  <c r="GJ442" i="98"/>
  <c r="GJ842" i="98"/>
  <c r="GJ1002" i="98"/>
  <c r="GJ1402" i="98"/>
  <c r="GJ922" i="98"/>
  <c r="GJ1482" i="98"/>
  <c r="GF53" i="98"/>
  <c r="GF1413" i="98"/>
  <c r="GF1333" i="98"/>
  <c r="GF1493" i="98"/>
  <c r="GF773" i="98"/>
  <c r="GF613" i="98"/>
  <c r="GF133" i="98"/>
  <c r="GF373" i="98"/>
  <c r="GF293" i="98"/>
  <c r="GF533" i="98"/>
  <c r="GF1573" i="98"/>
  <c r="GF693" i="98"/>
  <c r="GF933" i="98"/>
  <c r="GF1653" i="98"/>
  <c r="GF853" i="98"/>
  <c r="GF1013" i="98"/>
  <c r="GF453" i="98"/>
  <c r="GF1253" i="98"/>
  <c r="GF1093" i="98"/>
  <c r="GF1173" i="98"/>
  <c r="GF213" i="98"/>
  <c r="GL1492" i="98"/>
  <c r="GL1332" i="98"/>
  <c r="GL1412" i="98"/>
  <c r="GL1092" i="98"/>
  <c r="GL532" i="98"/>
  <c r="GL292" i="98"/>
  <c r="GL212" i="98"/>
  <c r="GL692" i="98"/>
  <c r="GL132" i="98"/>
  <c r="GL372" i="98"/>
  <c r="GL1172" i="98"/>
  <c r="GL1252" i="98"/>
  <c r="GL1572" i="98"/>
  <c r="GL1652" i="98"/>
  <c r="GL452" i="98"/>
  <c r="GL932" i="98"/>
  <c r="GL852" i="98"/>
  <c r="GL772" i="98"/>
  <c r="GL612" i="98"/>
  <c r="GL1012" i="98"/>
  <c r="GI52" i="98"/>
  <c r="GI1492" i="98"/>
  <c r="GI1332" i="98"/>
  <c r="GI1652" i="98"/>
  <c r="GI1572" i="98"/>
  <c r="GI1412" i="98"/>
  <c r="GI532" i="98"/>
  <c r="GI292" i="98"/>
  <c r="GI212" i="98"/>
  <c r="GI692" i="98"/>
  <c r="GI132" i="98"/>
  <c r="GI1092" i="98"/>
  <c r="GI372" i="98"/>
  <c r="GI1172" i="98"/>
  <c r="GI1252" i="98"/>
  <c r="GI852" i="98"/>
  <c r="GI932" i="98"/>
  <c r="GI452" i="98"/>
  <c r="GI612" i="98"/>
  <c r="GI772" i="98"/>
  <c r="GI1012" i="98"/>
  <c r="GJ54" i="98"/>
  <c r="GJ1574" i="98"/>
  <c r="GJ1654" i="98"/>
  <c r="GJ1094" i="98"/>
  <c r="GJ694" i="98"/>
  <c r="GJ614" i="98"/>
  <c r="GJ774" i="98"/>
  <c r="GJ214" i="98"/>
  <c r="GJ534" i="98"/>
  <c r="GJ134" i="98"/>
  <c r="GJ1014" i="98"/>
  <c r="GJ1414" i="98"/>
  <c r="GJ854" i="98"/>
  <c r="GJ1334" i="98"/>
  <c r="GJ294" i="98"/>
  <c r="GJ454" i="98"/>
  <c r="GJ374" i="98"/>
  <c r="GJ1254" i="98"/>
  <c r="GJ1494" i="98"/>
  <c r="GJ1174" i="98"/>
  <c r="GJ934" i="98"/>
  <c r="GI51" i="98"/>
  <c r="GI1091" i="98"/>
  <c r="GI531" i="98"/>
  <c r="GI1011" i="98"/>
  <c r="GI451" i="98"/>
  <c r="GI1491" i="98"/>
  <c r="GI291" i="98"/>
  <c r="GI1331" i="98"/>
  <c r="GI1571" i="98"/>
  <c r="GI851" i="98"/>
  <c r="GI931" i="98"/>
  <c r="GI1651" i="98"/>
  <c r="GI211" i="98"/>
  <c r="GI691" i="98"/>
  <c r="GI131" i="98"/>
  <c r="GI611" i="98"/>
  <c r="GI1411" i="98"/>
  <c r="GI771" i="98"/>
  <c r="GI1251" i="98"/>
  <c r="GI371" i="98"/>
  <c r="GI1171" i="98"/>
  <c r="GG55" i="98"/>
  <c r="GG215" i="98"/>
  <c r="GG295" i="98"/>
  <c r="GG1175" i="98"/>
  <c r="GG615" i="98"/>
  <c r="GG535" i="98"/>
  <c r="GG1575" i="98"/>
  <c r="GG775" i="98"/>
  <c r="GG695" i="98"/>
  <c r="GG855" i="98"/>
  <c r="GG1415" i="98"/>
  <c r="GG1655" i="98"/>
  <c r="GG375" i="98"/>
  <c r="GG1335" i="98"/>
  <c r="GG1015" i="98"/>
  <c r="GG935" i="98"/>
  <c r="GG135" i="98"/>
  <c r="GG1095" i="98"/>
  <c r="GG1495" i="98"/>
  <c r="GG1255" i="98"/>
  <c r="GG455" i="98"/>
  <c r="GA55" i="98"/>
  <c r="GA215" i="98"/>
  <c r="GA1175" i="98"/>
  <c r="GA615" i="98"/>
  <c r="GA295" i="98"/>
  <c r="GA535" i="98"/>
  <c r="GA1575" i="98"/>
  <c r="GA855" i="98"/>
  <c r="GA375" i="98"/>
  <c r="GA1655" i="98"/>
  <c r="GA695" i="98"/>
  <c r="GA935" i="98"/>
  <c r="GA1015" i="98"/>
  <c r="GA1095" i="98"/>
  <c r="GA1255" i="98"/>
  <c r="GA455" i="98"/>
  <c r="GA1495" i="98"/>
  <c r="GA1415" i="98"/>
  <c r="GA775" i="98"/>
  <c r="GA135" i="98"/>
  <c r="GA1335" i="98"/>
  <c r="GC78" i="98"/>
  <c r="GC1278" i="98"/>
  <c r="GC1438" i="98"/>
  <c r="GC1518" i="98"/>
  <c r="GC1038" i="98"/>
  <c r="GC638" i="98"/>
  <c r="GC238" i="98"/>
  <c r="GC718" i="98"/>
  <c r="GC478" i="98"/>
  <c r="GC558" i="98"/>
  <c r="GC1598" i="98"/>
  <c r="GC1358" i="98"/>
  <c r="GC1198" i="98"/>
  <c r="GC1118" i="98"/>
  <c r="GC878" i="98"/>
  <c r="GC398" i="98"/>
  <c r="GC1678" i="98"/>
  <c r="GC158" i="98"/>
  <c r="GC318" i="98"/>
  <c r="GC798" i="98"/>
  <c r="GC958" i="98"/>
  <c r="GC30" i="98"/>
  <c r="GC1470" i="98"/>
  <c r="GC1310" i="98"/>
  <c r="GC1070" i="98"/>
  <c r="GC430" i="98"/>
  <c r="GC590" i="98"/>
  <c r="GC110" i="98"/>
  <c r="GC1550" i="98"/>
  <c r="GC1150" i="98"/>
  <c r="GC270" i="98"/>
  <c r="GC1630" i="98"/>
  <c r="GC1390" i="98"/>
  <c r="GC190" i="98"/>
  <c r="GC1230" i="98"/>
  <c r="GC990" i="98"/>
  <c r="GC830" i="98"/>
  <c r="GC910" i="98"/>
  <c r="GC670" i="98"/>
  <c r="GC350" i="98"/>
  <c r="GC510" i="98"/>
  <c r="GC750" i="98"/>
  <c r="GC29" i="98"/>
  <c r="GC1389" i="98"/>
  <c r="GC1469" i="98"/>
  <c r="GC749" i="98"/>
  <c r="GC669" i="98"/>
  <c r="GC269" i="98"/>
  <c r="GC589" i="98"/>
  <c r="GC989" i="98"/>
  <c r="GC1309" i="98"/>
  <c r="GC109" i="98"/>
  <c r="GC509" i="98"/>
  <c r="GC429" i="98"/>
  <c r="GC1069" i="98"/>
  <c r="GC909" i="98"/>
  <c r="GC1149" i="98"/>
  <c r="GC1549" i="98"/>
  <c r="GC829" i="98"/>
  <c r="GC1629" i="98"/>
  <c r="GC189" i="98"/>
  <c r="GC1229" i="98"/>
  <c r="GC349" i="98"/>
  <c r="GC70" i="98"/>
  <c r="GC390" i="98"/>
  <c r="GC230" i="98"/>
  <c r="GC870" i="98"/>
  <c r="GC550" i="98"/>
  <c r="GC1670" i="98"/>
  <c r="GC1590" i="98"/>
  <c r="GC1110" i="98"/>
  <c r="GC1430" i="98"/>
  <c r="GC630" i="98"/>
  <c r="GC1030" i="98"/>
  <c r="GC150" i="98"/>
  <c r="GC1190" i="98"/>
  <c r="GC1350" i="98"/>
  <c r="GC470" i="98"/>
  <c r="GC710" i="98"/>
  <c r="GC790" i="98"/>
  <c r="GC950" i="98"/>
  <c r="GC310" i="98"/>
  <c r="GC1510" i="98"/>
  <c r="GC1270" i="98"/>
  <c r="GC20" i="98"/>
  <c r="GC1540" i="98"/>
  <c r="GC1620" i="98"/>
  <c r="GC1460" i="98"/>
  <c r="GC1380" i="98"/>
  <c r="GC1220" i="98"/>
  <c r="GC1140" i="98"/>
  <c r="GC500" i="98"/>
  <c r="GC260" i="98"/>
  <c r="GC580" i="98"/>
  <c r="GC980" i="98"/>
  <c r="GC100" i="98"/>
  <c r="GC1060" i="98"/>
  <c r="GC900" i="98"/>
  <c r="GC340" i="98"/>
  <c r="GC420" i="98"/>
  <c r="GC820" i="98"/>
  <c r="GC1300" i="98"/>
  <c r="GC180" i="98"/>
  <c r="GC660" i="98"/>
  <c r="GC740" i="98"/>
  <c r="GC79" i="98"/>
  <c r="GC239" i="98"/>
  <c r="GC319" i="98"/>
  <c r="GC479" i="98"/>
  <c r="GC399" i="98"/>
  <c r="GC159" i="98"/>
  <c r="GC1359" i="98"/>
  <c r="GC1279" i="98"/>
  <c r="GC1519" i="98"/>
  <c r="GC1039" i="98"/>
  <c r="GC639" i="98"/>
  <c r="GC799" i="98"/>
  <c r="GC879" i="98"/>
  <c r="GC1119" i="98"/>
  <c r="GC1599" i="98"/>
  <c r="GC719" i="98"/>
  <c r="GC1439" i="98"/>
  <c r="GC559" i="98"/>
  <c r="GC1679" i="98"/>
  <c r="GC1199" i="98"/>
  <c r="GC959" i="98"/>
  <c r="BK430" i="83"/>
  <c r="BL430" i="83" s="1"/>
  <c r="BK408" i="83"/>
  <c r="BL408" i="83" s="1"/>
  <c r="ER49" i="98"/>
  <c r="GL54" i="98"/>
  <c r="ER37" i="98"/>
  <c r="GL41" i="98"/>
  <c r="ER38" i="98"/>
  <c r="GL42" i="98"/>
  <c r="ER48" i="98"/>
  <c r="GL53" i="98"/>
  <c r="ER50" i="98"/>
  <c r="GL55" i="98"/>
  <c r="ER39" i="98"/>
  <c r="GL43" i="98"/>
  <c r="ER46" i="98"/>
  <c r="GL51" i="98"/>
  <c r="ER40" i="98"/>
  <c r="GL44" i="98"/>
  <c r="ER41" i="98"/>
  <c r="GL45" i="98"/>
  <c r="ER47" i="98"/>
  <c r="GL52" i="98"/>
  <c r="EP43" i="98"/>
  <c r="FA43" i="98"/>
  <c r="EY43" i="98"/>
  <c r="FD43" i="98"/>
  <c r="EX43" i="98"/>
  <c r="FB43" i="98"/>
  <c r="EY44" i="98"/>
  <c r="FA44" i="98"/>
  <c r="EP44" i="98"/>
  <c r="EX44" i="98"/>
  <c r="FB44" i="98"/>
  <c r="FD44" i="98"/>
  <c r="EX45" i="98"/>
  <c r="FD45" i="98"/>
  <c r="FA45" i="98"/>
  <c r="EY45" i="98"/>
  <c r="EP45" i="98"/>
  <c r="FB45" i="98"/>
  <c r="EP42" i="98"/>
  <c r="FB42" i="98"/>
  <c r="EY42" i="98"/>
  <c r="FA42" i="98"/>
  <c r="FD42" i="98"/>
  <c r="EX42" i="98"/>
  <c r="EX36" i="98"/>
  <c r="FD36" i="98"/>
  <c r="FB36" i="98"/>
  <c r="EY36" i="98"/>
  <c r="FA36" i="98"/>
  <c r="FA34" i="98"/>
  <c r="EY34" i="98"/>
  <c r="FB34" i="98"/>
  <c r="EX34" i="98"/>
  <c r="FD34" i="98"/>
  <c r="EY35" i="98"/>
  <c r="FA35" i="98"/>
  <c r="EX35" i="98"/>
  <c r="FB35" i="98"/>
  <c r="FD35" i="98"/>
  <c r="FB33" i="98"/>
  <c r="EX33" i="98"/>
  <c r="FD33" i="98"/>
  <c r="EY33" i="98"/>
  <c r="FA33" i="98"/>
  <c r="BK410" i="83"/>
  <c r="BL410" i="83" s="1"/>
  <c r="BK458" i="83"/>
  <c r="BL458" i="83" s="1"/>
  <c r="BK470" i="83"/>
  <c r="BL470" i="83" s="1"/>
  <c r="BK466" i="83"/>
  <c r="BL466" i="83" s="1"/>
  <c r="BK416" i="83"/>
  <c r="BL416" i="83" s="1"/>
  <c r="BK139" i="83"/>
  <c r="BL139" i="83" s="1"/>
  <c r="BK478" i="83"/>
  <c r="BL478" i="83" s="1"/>
  <c r="BK28" i="83"/>
  <c r="BL28" i="83" s="1"/>
  <c r="BK15" i="83"/>
  <c r="BL15" i="83" s="1"/>
  <c r="BK23" i="83"/>
  <c r="BL23" i="83" s="1"/>
  <c r="BK337" i="83"/>
  <c r="BL337" i="83" s="1"/>
  <c r="BK424" i="83"/>
  <c r="BL424" i="83" s="1"/>
  <c r="BK484" i="83"/>
  <c r="BL484" i="83" s="1"/>
  <c r="BK40" i="83"/>
  <c r="BL40" i="83" s="1"/>
  <c r="BK26" i="83"/>
  <c r="BL26" i="83" s="1"/>
  <c r="BG147" i="83"/>
  <c r="BK147" i="83" s="1"/>
  <c r="BL147" i="83" s="1"/>
  <c r="BI241" i="83"/>
  <c r="BI437" i="83"/>
  <c r="BG247" i="83"/>
  <c r="BJ231" i="83"/>
  <c r="BJ330" i="83"/>
  <c r="BH321" i="83"/>
  <c r="BK322" i="83" s="1"/>
  <c r="BL322" i="83" s="1"/>
  <c r="BI308" i="83"/>
  <c r="BG194" i="83"/>
  <c r="BJ148" i="83"/>
  <c r="BJ140" i="83"/>
  <c r="BH433" i="83"/>
  <c r="BK434" i="83" s="1"/>
  <c r="BL434" i="83" s="1"/>
  <c r="BI226" i="83"/>
  <c r="BJ404" i="83"/>
  <c r="BJ373" i="83"/>
  <c r="BI372" i="83"/>
  <c r="BI300" i="83"/>
  <c r="BJ191" i="83"/>
  <c r="BJ164" i="83"/>
  <c r="BJ170" i="83"/>
  <c r="BJ401" i="83"/>
  <c r="BK310" i="83"/>
  <c r="BL310" i="83" s="1"/>
  <c r="BH444" i="83"/>
  <c r="BJ395" i="83"/>
  <c r="BH282" i="83"/>
  <c r="BK283" i="83" s="1"/>
  <c r="BL283" i="83" s="1"/>
  <c r="BH281" i="83"/>
  <c r="T73" i="81"/>
  <c r="T71" i="81"/>
  <c r="T75" i="81"/>
  <c r="T74" i="81"/>
  <c r="T72" i="81"/>
  <c r="BJ366" i="83"/>
  <c r="BH375" i="83"/>
  <c r="BK376" i="83" s="1"/>
  <c r="BL376" i="83" s="1"/>
  <c r="BK150" i="83"/>
  <c r="BL150" i="83" s="1"/>
  <c r="BJ456" i="83"/>
  <c r="BJ278" i="83"/>
  <c r="BH411" i="83"/>
  <c r="BK412" i="83" s="1"/>
  <c r="BL412" i="83" s="1"/>
  <c r="BJ123" i="83"/>
  <c r="BJ146" i="83"/>
  <c r="BH340" i="83"/>
  <c r="BK341" i="83" s="1"/>
  <c r="BL341" i="83" s="1"/>
  <c r="BJ226" i="83"/>
  <c r="BJ266" i="83"/>
  <c r="BK66" i="83"/>
  <c r="BL66" i="83" s="1"/>
  <c r="BK62" i="83"/>
  <c r="BL62" i="83" s="1"/>
  <c r="BK496" i="83"/>
  <c r="BL496" i="83" s="1"/>
  <c r="BK75" i="83"/>
  <c r="BL75" i="83" s="1"/>
  <c r="BK454" i="83"/>
  <c r="BL454" i="83" s="1"/>
  <c r="BK32" i="83"/>
  <c r="BL32" i="83" s="1"/>
  <c r="BK53" i="83"/>
  <c r="BL53" i="83" s="1"/>
  <c r="BK198" i="83"/>
  <c r="BL198" i="83" s="1"/>
  <c r="BK44" i="83"/>
  <c r="BL44" i="83" s="1"/>
  <c r="BK101" i="83"/>
  <c r="BL101" i="83" s="1"/>
  <c r="BK315" i="83"/>
  <c r="BL315" i="83" s="1"/>
  <c r="BK499" i="83"/>
  <c r="BL499" i="83" s="1"/>
  <c r="BK320" i="83"/>
  <c r="BL320" i="83" s="1"/>
  <c r="BK9" i="83"/>
  <c r="BL9" i="83" s="1"/>
  <c r="BK142" i="83"/>
  <c r="BL142" i="83" s="1"/>
  <c r="BK504" i="83"/>
  <c r="BL504" i="83" s="1"/>
  <c r="BK402" i="83"/>
  <c r="BL402" i="83" s="1"/>
  <c r="BK444" i="83"/>
  <c r="BL444" i="83" s="1"/>
  <c r="BK449" i="83"/>
  <c r="BL449" i="83" s="1"/>
  <c r="BK490" i="83"/>
  <c r="BL490" i="83" s="1"/>
  <c r="BK277" i="83"/>
  <c r="BL277" i="83" s="1"/>
  <c r="BK233" i="83"/>
  <c r="BL233" i="83" s="1"/>
  <c r="BK335" i="83"/>
  <c r="BL335" i="83" s="1"/>
  <c r="BK248" i="83"/>
  <c r="BL248" i="83" s="1"/>
  <c r="BK256" i="83"/>
  <c r="BL256" i="83" s="1"/>
  <c r="BK456" i="83"/>
  <c r="BL456" i="83" s="1"/>
  <c r="BK144" i="83"/>
  <c r="BL144" i="83" s="1"/>
  <c r="BK308" i="83"/>
  <c r="BL308" i="83" s="1"/>
  <c r="BK309" i="83"/>
  <c r="BL309" i="83" s="1"/>
  <c r="BK292" i="83"/>
  <c r="BL292" i="83" s="1"/>
  <c r="BK205" i="83"/>
  <c r="BL205" i="83" s="1"/>
  <c r="BK279" i="83"/>
  <c r="BL279" i="83" s="1"/>
  <c r="BK196" i="83"/>
  <c r="BL196" i="83" s="1"/>
  <c r="BK288" i="83"/>
  <c r="BL288" i="83" s="1"/>
  <c r="BK367" i="83"/>
  <c r="BL367" i="83" s="1"/>
  <c r="BK146" i="83"/>
  <c r="BL146" i="83" s="1"/>
  <c r="BK126" i="83"/>
  <c r="BL126" i="83" s="1"/>
  <c r="BK182" i="83"/>
  <c r="BL182" i="83" s="1"/>
  <c r="BK137" i="83"/>
  <c r="BL137" i="83" s="1"/>
  <c r="BK419" i="83"/>
  <c r="BL419" i="83" s="1"/>
  <c r="BK91" i="83"/>
  <c r="BL91" i="83" s="1"/>
  <c r="BK104" i="83"/>
  <c r="BL104" i="83" s="1"/>
  <c r="BK60" i="83"/>
  <c r="BL60" i="83" s="1"/>
  <c r="BK46" i="83"/>
  <c r="BL46" i="83" s="1"/>
  <c r="BK31" i="83"/>
  <c r="BL31" i="83" s="1"/>
  <c r="BK25" i="83"/>
  <c r="BL25" i="83" s="1"/>
  <c r="BK18" i="83"/>
  <c r="BL18" i="83" s="1"/>
  <c r="BK263" i="83"/>
  <c r="BL263" i="83" s="1"/>
  <c r="BK226" i="83"/>
  <c r="BL226" i="83" s="1"/>
  <c r="BK237" i="83"/>
  <c r="BL237" i="83" s="1"/>
  <c r="BK382" i="83"/>
  <c r="BL382" i="83" s="1"/>
  <c r="BK254" i="83"/>
  <c r="BL254" i="83" s="1"/>
  <c r="BK435" i="83"/>
  <c r="BL435" i="83" s="1"/>
  <c r="BK259" i="83"/>
  <c r="BL259" i="83" s="1"/>
  <c r="BK113" i="83"/>
  <c r="BL113" i="83" s="1"/>
  <c r="BK372" i="83"/>
  <c r="BL372" i="83" s="1"/>
  <c r="BK407" i="83"/>
  <c r="BL407" i="83" s="1"/>
  <c r="BK299" i="83"/>
  <c r="BL299" i="83" s="1"/>
  <c r="BK455" i="83"/>
  <c r="BL455" i="83" s="1"/>
  <c r="BH265" i="83"/>
  <c r="BK266" i="83" s="1"/>
  <c r="BL266" i="83" s="1"/>
  <c r="BK63" i="83"/>
  <c r="BL63" i="83" s="1"/>
  <c r="BK414" i="83"/>
  <c r="BL414" i="83" s="1"/>
  <c r="BK357" i="83"/>
  <c r="BL357" i="83" s="1"/>
  <c r="BK272" i="83"/>
  <c r="BL272" i="83" s="1"/>
  <c r="BK447" i="83"/>
  <c r="BL447" i="83" s="1"/>
  <c r="BK175" i="83"/>
  <c r="BL175" i="83" s="1"/>
  <c r="BK405" i="83"/>
  <c r="BL405" i="83" s="1"/>
  <c r="BK108" i="83"/>
  <c r="BL108" i="83" s="1"/>
  <c r="BK141" i="83"/>
  <c r="BL141" i="83" s="1"/>
  <c r="BK396" i="83"/>
  <c r="BL396" i="83" s="1"/>
  <c r="BK130" i="83"/>
  <c r="BL130" i="83" s="1"/>
  <c r="BK284" i="83"/>
  <c r="BL284" i="83" s="1"/>
  <c r="BK225" i="83"/>
  <c r="BL225" i="83" s="1"/>
  <c r="BK344" i="83"/>
  <c r="BL344" i="83" s="1"/>
  <c r="BK124" i="83"/>
  <c r="BL124" i="83" s="1"/>
  <c r="BK494" i="83"/>
  <c r="BL494" i="83" s="1"/>
  <c r="BK185" i="83"/>
  <c r="BL185" i="83" s="1"/>
  <c r="BK110" i="83"/>
  <c r="BL110" i="83" s="1"/>
  <c r="BK158" i="83"/>
  <c r="BL158" i="83" s="1"/>
  <c r="BK369" i="83"/>
  <c r="BL369" i="83" s="1"/>
  <c r="BK208" i="83"/>
  <c r="BL208" i="83" s="1"/>
  <c r="BK212" i="83"/>
  <c r="BL212" i="83" s="1"/>
  <c r="BK115" i="83"/>
  <c r="BL115" i="83" s="1"/>
  <c r="BK295" i="83"/>
  <c r="BL295" i="83" s="1"/>
  <c r="BK232" i="83"/>
  <c r="BL232" i="83" s="1"/>
  <c r="BK487" i="83"/>
  <c r="BL487" i="83" s="1"/>
  <c r="BH467" i="83"/>
  <c r="BK468" i="83" s="1"/>
  <c r="BL468" i="83" s="1"/>
  <c r="BH153" i="83"/>
  <c r="BK154" i="83" s="1"/>
  <c r="BL154" i="83" s="1"/>
  <c r="BK48" i="83"/>
  <c r="BL48" i="83" s="1"/>
  <c r="BK94" i="83"/>
  <c r="BL94" i="83" s="1"/>
  <c r="BK79" i="83"/>
  <c r="BL79" i="83" s="1"/>
  <c r="BK73" i="83"/>
  <c r="BL73" i="83" s="1"/>
  <c r="BK475" i="83"/>
  <c r="BL475" i="83" s="1"/>
  <c r="BK326" i="83"/>
  <c r="BL326" i="83" s="1"/>
  <c r="BK328" i="83"/>
  <c r="BL328" i="83" s="1"/>
  <c r="BK327" i="83"/>
  <c r="BL327" i="83" s="1"/>
  <c r="BK218" i="83"/>
  <c r="BL218" i="83" s="1"/>
  <c r="BK443" i="83"/>
  <c r="BL443" i="83" s="1"/>
  <c r="BK393" i="83"/>
  <c r="BL393" i="83" s="1"/>
  <c r="BK384" i="83"/>
  <c r="BL384" i="83" s="1"/>
  <c r="BK169" i="83"/>
  <c r="BL169" i="83" s="1"/>
  <c r="BK361" i="83"/>
  <c r="BL361" i="83" s="1"/>
  <c r="BK298" i="83"/>
  <c r="BL298" i="83" s="1"/>
  <c r="BK425" i="83"/>
  <c r="BL425" i="83" s="1"/>
  <c r="BK383" i="83"/>
  <c r="BL383" i="83" s="1"/>
  <c r="BK313" i="83"/>
  <c r="BL313" i="83" s="1"/>
  <c r="BK261" i="83"/>
  <c r="BL261" i="83" s="1"/>
  <c r="BK148" i="83"/>
  <c r="BL148" i="83" s="1"/>
  <c r="BH106" i="83"/>
  <c r="BK107" i="83" s="1"/>
  <c r="BL107" i="83" s="1"/>
  <c r="BK96" i="83"/>
  <c r="BL96" i="83" s="1"/>
  <c r="BK486" i="83"/>
  <c r="BL486" i="83" s="1"/>
  <c r="BK268" i="83"/>
  <c r="BL268" i="83" s="1"/>
  <c r="BK125" i="83"/>
  <c r="BL125" i="83" s="1"/>
  <c r="BK479" i="83"/>
  <c r="BL479" i="83" s="1"/>
  <c r="BK311" i="83"/>
  <c r="BL311" i="83" s="1"/>
  <c r="BK391" i="83"/>
  <c r="BL391" i="83" s="1"/>
  <c r="BK368" i="83"/>
  <c r="BL368" i="83" s="1"/>
  <c r="BK433" i="83"/>
  <c r="BL433" i="83" s="1"/>
  <c r="BK174" i="83"/>
  <c r="BL174" i="83" s="1"/>
  <c r="BK332" i="83"/>
  <c r="BL332" i="83" s="1"/>
  <c r="BK260" i="83"/>
  <c r="BL260" i="83" s="1"/>
  <c r="BK353" i="83"/>
  <c r="BL353" i="83" s="1"/>
  <c r="BK221" i="83"/>
  <c r="BL221" i="83" s="1"/>
  <c r="BK121" i="83"/>
  <c r="BL121" i="83" s="1"/>
  <c r="BK241" i="83"/>
  <c r="BL241" i="83" s="1"/>
  <c r="BK246" i="83"/>
  <c r="BL246" i="83" s="1"/>
  <c r="BK207" i="83"/>
  <c r="BL207" i="83" s="1"/>
  <c r="BK323" i="83"/>
  <c r="BL323" i="83" s="1"/>
  <c r="BK112" i="83"/>
  <c r="BL112" i="83" s="1"/>
  <c r="BK473" i="83"/>
  <c r="BL473" i="83" s="1"/>
  <c r="BH422" i="83"/>
  <c r="BK423" i="83" s="1"/>
  <c r="BL423" i="83" s="1"/>
  <c r="BK7" i="83"/>
  <c r="BL7" i="83" s="1"/>
  <c r="BK6" i="83"/>
  <c r="BL6" i="83" s="1"/>
  <c r="BK213" i="83"/>
  <c r="BL213" i="83" s="1"/>
  <c r="BK461" i="83"/>
  <c r="BL461" i="83" s="1"/>
  <c r="BK303" i="83"/>
  <c r="BL303" i="83" s="1"/>
  <c r="BK167" i="83"/>
  <c r="BL167" i="83" s="1"/>
  <c r="BK485" i="83"/>
  <c r="BL485" i="83" s="1"/>
  <c r="BK346" i="83"/>
  <c r="BL346" i="83" s="1"/>
  <c r="BK214" i="83"/>
  <c r="BL214" i="83" s="1"/>
  <c r="BK122" i="83"/>
  <c r="BL122" i="83" s="1"/>
  <c r="BK264" i="83"/>
  <c r="BL264" i="83" s="1"/>
  <c r="BK206" i="83"/>
  <c r="BL206" i="83" s="1"/>
  <c r="BK505" i="83"/>
  <c r="BL505" i="83" s="1"/>
  <c r="BK244" i="83"/>
  <c r="BL244" i="83" s="1"/>
  <c r="BK331" i="83"/>
  <c r="BL331" i="83" s="1"/>
  <c r="BK270" i="83"/>
  <c r="BL270" i="83" s="1"/>
  <c r="BK187" i="83"/>
  <c r="BL187" i="83" s="1"/>
  <c r="BK192" i="83"/>
  <c r="BL192" i="83" s="1"/>
  <c r="BH199" i="83"/>
  <c r="BK200" i="83" s="1"/>
  <c r="BL200" i="83" s="1"/>
  <c r="BK329" i="83"/>
  <c r="BL329" i="83" s="1"/>
  <c r="BK360" i="83"/>
  <c r="BL360" i="83" s="1"/>
  <c r="BK243" i="83"/>
  <c r="BL243" i="83" s="1"/>
  <c r="BK151" i="83"/>
  <c r="BL151" i="83" s="1"/>
  <c r="BK136" i="83"/>
  <c r="BL136" i="83" s="1"/>
  <c r="BK307" i="83"/>
  <c r="BL307" i="83" s="1"/>
  <c r="BK392" i="83"/>
  <c r="BL392" i="83" s="1"/>
  <c r="BK152" i="83"/>
  <c r="BL152" i="83" s="1"/>
  <c r="BK210" i="83"/>
  <c r="BL210" i="83" s="1"/>
  <c r="BK297" i="83"/>
  <c r="BL297" i="83" s="1"/>
  <c r="BK497" i="83"/>
  <c r="BL497" i="83" s="1"/>
  <c r="BK262" i="83"/>
  <c r="BL262" i="83" s="1"/>
  <c r="BK330" i="83"/>
  <c r="BL330" i="83" s="1"/>
  <c r="BK281" i="83"/>
  <c r="BL281" i="83" s="1"/>
  <c r="BK280" i="83"/>
  <c r="BL280" i="83" s="1"/>
  <c r="BK242" i="83"/>
  <c r="BL242" i="83" s="1"/>
  <c r="BK501" i="83"/>
  <c r="BL501" i="83" s="1"/>
  <c r="BH487" i="83"/>
  <c r="BK488" i="83" s="1"/>
  <c r="BL488" i="83" s="1"/>
  <c r="BH115" i="83"/>
  <c r="BK116" i="83" s="1"/>
  <c r="BL116" i="83" s="1"/>
  <c r="BH385" i="83"/>
  <c r="BK386" i="83" s="1"/>
  <c r="BL386" i="83" s="1"/>
  <c r="BK317" i="83"/>
  <c r="BL317" i="83" s="1"/>
  <c r="BK10" i="83"/>
  <c r="BL10" i="83" s="1"/>
  <c r="BK223" i="83"/>
  <c r="BL223" i="83" s="1"/>
  <c r="BK345" i="83"/>
  <c r="BL345" i="83" s="1"/>
  <c r="BK133" i="83"/>
  <c r="BL133" i="83" s="1"/>
  <c r="BK301" i="83"/>
  <c r="BL301" i="83" s="1"/>
  <c r="BK347" i="83"/>
  <c r="BL347" i="83" s="1"/>
  <c r="BK364" i="83"/>
  <c r="BL364" i="83" s="1"/>
  <c r="BK240" i="83"/>
  <c r="BL240" i="83" s="1"/>
  <c r="BK201" i="83"/>
  <c r="BL201" i="83" s="1"/>
  <c r="BK190" i="83"/>
  <c r="BL190" i="83" s="1"/>
  <c r="BK333" i="83"/>
  <c r="BL333" i="83" s="1"/>
  <c r="BK338" i="83"/>
  <c r="BL338" i="83" s="1"/>
  <c r="BK227" i="83"/>
  <c r="BL227" i="83" s="1"/>
  <c r="BK398" i="83"/>
  <c r="BL398" i="83" s="1"/>
  <c r="BK188" i="83"/>
  <c r="BL188" i="83" s="1"/>
  <c r="BH175" i="83"/>
  <c r="BK176" i="83" s="1"/>
  <c r="BL176" i="83" s="1"/>
  <c r="BH338" i="83"/>
  <c r="BK339" i="83" s="1"/>
  <c r="BL339" i="83" s="1"/>
  <c r="BH505" i="83"/>
  <c r="BK69" i="83"/>
  <c r="BL69" i="83" s="1"/>
  <c r="BK39" i="83"/>
  <c r="BL39" i="83" s="1"/>
  <c r="BK33" i="83"/>
  <c r="BL33" i="83" s="1"/>
  <c r="BK11" i="83"/>
  <c r="BL11" i="83" s="1"/>
  <c r="BK354" i="83"/>
  <c r="BL354" i="83" s="1"/>
  <c r="BK159" i="83"/>
  <c r="BL159" i="83" s="1"/>
  <c r="BK287" i="83"/>
  <c r="BL287" i="83" s="1"/>
  <c r="BK235" i="83"/>
  <c r="BL235" i="83" s="1"/>
  <c r="BK439" i="83"/>
  <c r="BL439" i="83" s="1"/>
  <c r="BK481" i="83"/>
  <c r="BL481" i="83" s="1"/>
  <c r="BK291" i="83"/>
  <c r="BL291" i="83" s="1"/>
  <c r="BK195" i="83"/>
  <c r="BL195" i="83" s="1"/>
  <c r="BK370" i="83"/>
  <c r="BL370" i="83" s="1"/>
  <c r="BK429" i="83"/>
  <c r="BL429" i="83" s="1"/>
  <c r="BK503" i="83"/>
  <c r="BL503" i="83" s="1"/>
  <c r="BK186" i="83"/>
  <c r="BL186" i="83" s="1"/>
  <c r="BK387" i="83"/>
  <c r="BL387" i="83" s="1"/>
  <c r="BK374" i="83"/>
  <c r="BL374" i="83" s="1"/>
  <c r="BK321" i="83"/>
  <c r="BL321" i="83" s="1"/>
  <c r="BK251" i="83"/>
  <c r="BL251" i="83" s="1"/>
  <c r="BK171" i="83"/>
  <c r="BL171" i="83" s="1"/>
  <c r="BK421" i="83"/>
  <c r="BL421" i="83" s="1"/>
  <c r="BK409" i="83"/>
  <c r="BL409" i="83" s="1"/>
  <c r="BK276" i="83"/>
  <c r="BL276" i="83" s="1"/>
  <c r="BJ342" i="83"/>
  <c r="BH361" i="83"/>
  <c r="BK362" i="83" s="1"/>
  <c r="BL362" i="83" s="1"/>
  <c r="BH468" i="83"/>
  <c r="BK469" i="83" s="1"/>
  <c r="BL469" i="83" s="1"/>
  <c r="BH274" i="83"/>
  <c r="BK275" i="83" s="1"/>
  <c r="BL275" i="83" s="1"/>
  <c r="BK56" i="83"/>
  <c r="BL56" i="83" s="1"/>
  <c r="BK27" i="83"/>
  <c r="BL27" i="83" s="1"/>
  <c r="BK12" i="83"/>
  <c r="BL12" i="83" s="1"/>
  <c r="BK428" i="83"/>
  <c r="BL428" i="83" s="1"/>
  <c r="BK491" i="83"/>
  <c r="BL491" i="83" s="1"/>
  <c r="BK257" i="83"/>
  <c r="BL257" i="83" s="1"/>
  <c r="BK145" i="83"/>
  <c r="BL145" i="83" s="1"/>
  <c r="BK224" i="83"/>
  <c r="BL224" i="83" s="1"/>
  <c r="BK390" i="83"/>
  <c r="BL390" i="83" s="1"/>
  <c r="BK273" i="83"/>
  <c r="BL273" i="83" s="1"/>
  <c r="BK138" i="83"/>
  <c r="BL138" i="83" s="1"/>
  <c r="BK293" i="83"/>
  <c r="BL293" i="83" s="1"/>
  <c r="BK302" i="83"/>
  <c r="BL302" i="83" s="1"/>
  <c r="BK406" i="83"/>
  <c r="BL406" i="83" s="1"/>
  <c r="BK132" i="83"/>
  <c r="BL132" i="83" s="1"/>
  <c r="BK236" i="83"/>
  <c r="BL236" i="83" s="1"/>
  <c r="BK197" i="83"/>
  <c r="BL197" i="83" s="1"/>
  <c r="BK417" i="83"/>
  <c r="BL417" i="83" s="1"/>
  <c r="BK177" i="83"/>
  <c r="BL177" i="83" s="1"/>
  <c r="BK123" i="83"/>
  <c r="BL123" i="83" s="1"/>
  <c r="BK411" i="83"/>
  <c r="BL411" i="83" s="1"/>
  <c r="BK342" i="83"/>
  <c r="BL342" i="83" s="1"/>
  <c r="BK222" i="83"/>
  <c r="BL222" i="83" s="1"/>
  <c r="BH437" i="83"/>
  <c r="BK438" i="83" s="1"/>
  <c r="BL438" i="83" s="1"/>
  <c r="BH190" i="83"/>
  <c r="BK191" i="83" s="1"/>
  <c r="BL191" i="83" s="1"/>
  <c r="BK43" i="83"/>
  <c r="BL43" i="83" s="1"/>
  <c r="BK21" i="83"/>
  <c r="BL21" i="83" s="1"/>
  <c r="BK441" i="83"/>
  <c r="BL441" i="83" s="1"/>
  <c r="BK400" i="83"/>
  <c r="BL400" i="83" s="1"/>
  <c r="BK199" i="83"/>
  <c r="BL199" i="83" s="1"/>
  <c r="BK109" i="83"/>
  <c r="BL109" i="83" s="1"/>
  <c r="BK465" i="83"/>
  <c r="BL465" i="83" s="1"/>
  <c r="BK271" i="83"/>
  <c r="BL271" i="83" s="1"/>
  <c r="BK162" i="83"/>
  <c r="BL162" i="83" s="1"/>
  <c r="BK467" i="83"/>
  <c r="BL467" i="83" s="1"/>
  <c r="BK219" i="83"/>
  <c r="BL219" i="83" s="1"/>
  <c r="BK381" i="83"/>
  <c r="BL381" i="83" s="1"/>
  <c r="BK135" i="83"/>
  <c r="BL135" i="83" s="1"/>
  <c r="BK168" i="83"/>
  <c r="BL168" i="83" s="1"/>
  <c r="BK375" i="83"/>
  <c r="BL375" i="83" s="1"/>
  <c r="BK181" i="83"/>
  <c r="BL181" i="83" s="1"/>
  <c r="BK153" i="83"/>
  <c r="BL153" i="83" s="1"/>
  <c r="BK285" i="83"/>
  <c r="BL285" i="83" s="1"/>
  <c r="BK336" i="83"/>
  <c r="BL336" i="83" s="1"/>
  <c r="BK366" i="83"/>
  <c r="BL366" i="83" s="1"/>
  <c r="BH435" i="83"/>
  <c r="BK436" i="83" s="1"/>
  <c r="BL436" i="83" s="1"/>
  <c r="BH273" i="83"/>
  <c r="BK274" i="83" s="1"/>
  <c r="BL274" i="83" s="1"/>
  <c r="BH254" i="83"/>
  <c r="BK255" i="83" s="1"/>
  <c r="BL255" i="83" s="1"/>
  <c r="BH48" i="83"/>
  <c r="BH7" i="83"/>
  <c r="BH54" i="83"/>
  <c r="BH23" i="83"/>
  <c r="BK24" i="83" s="1"/>
  <c r="BL24" i="83" s="1"/>
  <c r="BI104" i="83"/>
  <c r="BI97" i="83"/>
  <c r="BI90" i="83"/>
  <c r="BG86" i="83"/>
  <c r="BK86" i="83" s="1"/>
  <c r="BL86" i="83" s="1"/>
  <c r="BJ481" i="83"/>
  <c r="BJ248" i="83"/>
  <c r="BH142" i="83"/>
  <c r="BK143" i="83" s="1"/>
  <c r="BL143" i="83" s="1"/>
  <c r="BH323" i="83"/>
  <c r="BK324" i="83" s="1"/>
  <c r="BL324" i="83" s="1"/>
  <c r="BH127" i="83"/>
  <c r="BK128" i="83" s="1"/>
  <c r="BL128" i="83" s="1"/>
  <c r="BH165" i="83"/>
  <c r="BK166" i="83" s="1"/>
  <c r="BL166" i="83" s="1"/>
  <c r="BH16" i="83"/>
  <c r="BI231" i="83"/>
  <c r="BJ216" i="83"/>
  <c r="BJ386" i="83"/>
  <c r="BJ399" i="83"/>
  <c r="BJ370" i="83"/>
  <c r="BH412" i="83"/>
  <c r="BK413" i="83" s="1"/>
  <c r="BL413" i="83" s="1"/>
  <c r="BH501" i="83"/>
  <c r="BK502" i="83" s="1"/>
  <c r="BL502" i="83" s="1"/>
  <c r="BH473" i="83"/>
  <c r="BK474" i="83" s="1"/>
  <c r="BL474" i="83" s="1"/>
  <c r="BH201" i="83"/>
  <c r="BK202" i="83" s="1"/>
  <c r="BL202" i="83" s="1"/>
  <c r="BH82" i="83"/>
  <c r="BH56" i="83"/>
  <c r="BH29" i="83"/>
  <c r="BK30" i="83" s="1"/>
  <c r="BL30" i="83" s="1"/>
  <c r="BH70" i="83"/>
  <c r="BH87" i="83"/>
  <c r="BK88" i="83" s="1"/>
  <c r="BL88" i="83" s="1"/>
  <c r="BG20" i="83"/>
  <c r="BK20" i="83" s="1"/>
  <c r="BL20" i="83" s="1"/>
  <c r="BG13" i="83"/>
  <c r="BK13" i="83" s="1"/>
  <c r="BL13" i="83" s="1"/>
  <c r="BI6" i="83"/>
  <c r="BI222" i="83"/>
  <c r="BJ344" i="83"/>
  <c r="BH421" i="83"/>
  <c r="BK422" i="83" s="1"/>
  <c r="BL422" i="83" s="1"/>
  <c r="BH249" i="83"/>
  <c r="BK250" i="83" s="1"/>
  <c r="BL250" i="83" s="1"/>
  <c r="BH479" i="83"/>
  <c r="BK480" i="83" s="1"/>
  <c r="BL480" i="83" s="1"/>
  <c r="BH202" i="83"/>
  <c r="BK203" i="83" s="1"/>
  <c r="BL203" i="83" s="1"/>
  <c r="BH66" i="83"/>
  <c r="BI156" i="83"/>
  <c r="BJ108" i="83"/>
  <c r="BJ133" i="83"/>
  <c r="BJ398" i="83"/>
  <c r="BJ317" i="83"/>
  <c r="BJ110" i="83"/>
  <c r="BH178" i="83"/>
  <c r="BK179" i="83" s="1"/>
  <c r="BL179" i="83" s="1"/>
  <c r="BH324" i="83"/>
  <c r="BK325" i="83" s="1"/>
  <c r="BL325" i="83" s="1"/>
  <c r="BH203" i="83"/>
  <c r="BK204" i="83" s="1"/>
  <c r="BL204" i="83" s="1"/>
  <c r="BH126" i="83"/>
  <c r="BK127" i="83" s="1"/>
  <c r="BL127" i="83" s="1"/>
  <c r="BJ11" i="83"/>
  <c r="BH64" i="83"/>
  <c r="BK65" i="83" s="1"/>
  <c r="BL65" i="83" s="1"/>
  <c r="BH33" i="83"/>
  <c r="BH86" i="83"/>
  <c r="BG36" i="83"/>
  <c r="BG29" i="83"/>
  <c r="BK29" i="83" s="1"/>
  <c r="BL29" i="83" s="1"/>
  <c r="BG22" i="83"/>
  <c r="BK22" i="83" s="1"/>
  <c r="BL22" i="83" s="1"/>
  <c r="BG77" i="83"/>
  <c r="BK77" i="83" s="1"/>
  <c r="BL77" i="83" s="1"/>
  <c r="BG296" i="83"/>
  <c r="BK296" i="83" s="1"/>
  <c r="BL296" i="83" s="1"/>
  <c r="BJ128" i="83"/>
  <c r="BJ260" i="83"/>
  <c r="BH470" i="83"/>
  <c r="BK471" i="83" s="1"/>
  <c r="BL471" i="83" s="1"/>
  <c r="BH450" i="83"/>
  <c r="BK451" i="83" s="1"/>
  <c r="BL451" i="83" s="1"/>
  <c r="BH193" i="83"/>
  <c r="BK194" i="83" s="1"/>
  <c r="BL194" i="83" s="1"/>
  <c r="BH388" i="83"/>
  <c r="BK389" i="83" s="1"/>
  <c r="BL389" i="83" s="1"/>
  <c r="BG445" i="83"/>
  <c r="BK445" i="83" s="1"/>
  <c r="BL445" i="83" s="1"/>
  <c r="BI303" i="83"/>
  <c r="BJ363" i="83"/>
  <c r="BJ113" i="83"/>
  <c r="BH246" i="83"/>
  <c r="BH154" i="83"/>
  <c r="BK155" i="83" s="1"/>
  <c r="BL155" i="83" s="1"/>
  <c r="BH349" i="83"/>
  <c r="BK350" i="83" s="1"/>
  <c r="BL350" i="83" s="1"/>
  <c r="BI58" i="83"/>
  <c r="BJ27" i="83"/>
  <c r="BH84" i="83"/>
  <c r="BH41" i="83"/>
  <c r="BH102" i="83"/>
  <c r="BK103" i="83" s="1"/>
  <c r="BL103" i="83" s="1"/>
  <c r="BI71" i="83"/>
  <c r="BG52" i="83"/>
  <c r="BG45" i="83"/>
  <c r="BK45" i="83" s="1"/>
  <c r="BL45" i="83" s="1"/>
  <c r="BG38" i="83"/>
  <c r="BK38" i="83" s="1"/>
  <c r="BL38" i="83" s="1"/>
  <c r="BG61" i="83"/>
  <c r="BK61" i="83" s="1"/>
  <c r="BL61" i="83" s="1"/>
  <c r="BG70" i="83"/>
  <c r="BK70" i="83" s="1"/>
  <c r="BL70" i="83" s="1"/>
  <c r="BI288" i="83"/>
  <c r="BH118" i="83"/>
  <c r="BK119" i="83" s="1"/>
  <c r="BL119" i="83" s="1"/>
  <c r="BH277" i="83"/>
  <c r="BK278" i="83" s="1"/>
  <c r="BL278" i="83" s="1"/>
  <c r="BI111" i="83"/>
  <c r="BJ220" i="83"/>
  <c r="BJ312" i="83"/>
  <c r="BJ269" i="83"/>
  <c r="BH251" i="83"/>
  <c r="BK252" i="83" s="1"/>
  <c r="BL252" i="83" s="1"/>
  <c r="BH285" i="83"/>
  <c r="BK286" i="83" s="1"/>
  <c r="BL286" i="83" s="1"/>
  <c r="BH452" i="83"/>
  <c r="BK453" i="83" s="1"/>
  <c r="BL453" i="83" s="1"/>
  <c r="BH238" i="83"/>
  <c r="BK239" i="83" s="1"/>
  <c r="BL239" i="83" s="1"/>
  <c r="BI40" i="83"/>
  <c r="BH342" i="83"/>
  <c r="BK343" i="83" s="1"/>
  <c r="BL343" i="83" s="1"/>
  <c r="BH396" i="83"/>
  <c r="BK397" i="83" s="1"/>
  <c r="BL397" i="83" s="1"/>
  <c r="BH476" i="83"/>
  <c r="BK477" i="83" s="1"/>
  <c r="BL477" i="83" s="1"/>
  <c r="BH172" i="83"/>
  <c r="BK173" i="83" s="1"/>
  <c r="BL173" i="83" s="1"/>
  <c r="BH358" i="83"/>
  <c r="BK359" i="83" s="1"/>
  <c r="BL359" i="83" s="1"/>
  <c r="BJ59" i="83"/>
  <c r="BH88" i="83"/>
  <c r="BH49" i="83"/>
  <c r="BH75" i="83"/>
  <c r="BK76" i="83" s="1"/>
  <c r="BL76" i="83" s="1"/>
  <c r="BI87" i="83"/>
  <c r="BG68" i="83"/>
  <c r="BK68" i="83" s="1"/>
  <c r="BL68" i="83" s="1"/>
  <c r="BG54" i="83"/>
  <c r="BK54" i="83" s="1"/>
  <c r="BL54" i="83" s="1"/>
  <c r="BG193" i="83"/>
  <c r="BK193" i="83" s="1"/>
  <c r="BL193" i="83" s="1"/>
  <c r="BJ367" i="83"/>
  <c r="BH164" i="83"/>
  <c r="BK165" i="83" s="1"/>
  <c r="BL165" i="83" s="1"/>
  <c r="BH268" i="83"/>
  <c r="BK269" i="83" s="1"/>
  <c r="BL269" i="83" s="1"/>
  <c r="BH119" i="83"/>
  <c r="BK120" i="83" s="1"/>
  <c r="BL120" i="83" s="1"/>
  <c r="BI42" i="83"/>
  <c r="BJ501" i="83"/>
  <c r="BH499" i="83"/>
  <c r="BK500" i="83" s="1"/>
  <c r="BL500" i="83" s="1"/>
  <c r="BH378" i="83"/>
  <c r="BK379" i="83" s="1"/>
  <c r="BL379" i="83" s="1"/>
  <c r="BH163" i="83"/>
  <c r="BK164" i="83" s="1"/>
  <c r="BL164" i="83" s="1"/>
  <c r="BH155" i="83"/>
  <c r="BK156" i="83" s="1"/>
  <c r="BL156" i="83" s="1"/>
  <c r="BI65" i="83"/>
  <c r="BH228" i="83"/>
  <c r="BK229" i="83" s="1"/>
  <c r="BL229" i="83" s="1"/>
  <c r="BH182" i="83"/>
  <c r="BK183" i="83" s="1"/>
  <c r="BL183" i="83" s="1"/>
  <c r="BH456" i="83"/>
  <c r="BK457" i="83" s="1"/>
  <c r="BL457" i="83" s="1"/>
  <c r="BH303" i="83"/>
  <c r="BK304" i="83" s="1"/>
  <c r="BL304" i="83" s="1"/>
  <c r="BH357" i="83"/>
  <c r="BK358" i="83" s="1"/>
  <c r="BL358" i="83" s="1"/>
  <c r="BH451" i="83"/>
  <c r="BK452" i="83" s="1"/>
  <c r="BL452" i="83" s="1"/>
  <c r="BH133" i="83"/>
  <c r="BK134" i="83" s="1"/>
  <c r="BL134" i="83" s="1"/>
  <c r="BH233" i="83"/>
  <c r="BK234" i="83" s="1"/>
  <c r="BL234" i="83" s="1"/>
  <c r="BH431" i="83"/>
  <c r="BK432" i="83" s="1"/>
  <c r="BL432" i="83" s="1"/>
  <c r="BH208" i="83"/>
  <c r="BK209" i="83" s="1"/>
  <c r="BL209" i="83" s="1"/>
  <c r="BH394" i="83"/>
  <c r="BK395" i="83" s="1"/>
  <c r="BL395" i="83" s="1"/>
  <c r="BJ76" i="83"/>
  <c r="BH96" i="83"/>
  <c r="BH57" i="83"/>
  <c r="BH91" i="83"/>
  <c r="BG35" i="83"/>
  <c r="BK35" i="83" s="1"/>
  <c r="BL35" i="83" s="1"/>
  <c r="BG84" i="83"/>
  <c r="BK84" i="83" s="1"/>
  <c r="BL84" i="83" s="1"/>
  <c r="BG93" i="83"/>
  <c r="BK93" i="83" s="1"/>
  <c r="BL93" i="83" s="1"/>
  <c r="BJ437" i="83"/>
  <c r="BJ403" i="83"/>
  <c r="BH400" i="83"/>
  <c r="BK401" i="83" s="1"/>
  <c r="BL401" i="83" s="1"/>
  <c r="BH436" i="83"/>
  <c r="BK437" i="83" s="1"/>
  <c r="BL437" i="83" s="1"/>
  <c r="BH215" i="83"/>
  <c r="BK216" i="83" s="1"/>
  <c r="BL216" i="83" s="1"/>
  <c r="BH63" i="83"/>
  <c r="BG114" i="83"/>
  <c r="BK114" i="83" s="1"/>
  <c r="BL114" i="83" s="1"/>
  <c r="BJ119" i="83"/>
  <c r="BJ161" i="83"/>
  <c r="BJ335" i="83"/>
  <c r="BH139" i="83"/>
  <c r="BK140" i="83" s="1"/>
  <c r="BL140" i="83" s="1"/>
  <c r="BH447" i="83"/>
  <c r="BK448" i="83" s="1"/>
  <c r="BL448" i="83" s="1"/>
  <c r="BH229" i="83"/>
  <c r="BK230" i="83" s="1"/>
  <c r="BL230" i="83" s="1"/>
  <c r="BH230" i="83"/>
  <c r="BK231" i="83" s="1"/>
  <c r="BL231" i="83" s="1"/>
  <c r="BH36" i="83"/>
  <c r="BK37" i="83" s="1"/>
  <c r="BL37" i="83" s="1"/>
  <c r="BH160" i="83"/>
  <c r="BK161" i="83" s="1"/>
  <c r="BL161" i="83" s="1"/>
  <c r="BH426" i="83"/>
  <c r="BK427" i="83" s="1"/>
  <c r="BL427" i="83" s="1"/>
  <c r="BH264" i="83"/>
  <c r="BK265" i="83" s="1"/>
  <c r="BL265" i="83" s="1"/>
  <c r="BH227" i="83"/>
  <c r="BK228" i="83" s="1"/>
  <c r="BL228" i="83" s="1"/>
  <c r="BH491" i="83"/>
  <c r="BK492" i="83" s="1"/>
  <c r="BL492" i="83" s="1"/>
  <c r="BH339" i="83"/>
  <c r="BK340" i="83" s="1"/>
  <c r="BL340" i="83" s="1"/>
  <c r="BH393" i="83"/>
  <c r="BK394" i="83" s="1"/>
  <c r="BL394" i="83" s="1"/>
  <c r="BH494" i="83"/>
  <c r="BK495" i="83" s="1"/>
  <c r="BL495" i="83" s="1"/>
  <c r="BH169" i="83"/>
  <c r="BK170" i="83" s="1"/>
  <c r="BL170" i="83" s="1"/>
  <c r="BH355" i="83"/>
  <c r="BK356" i="83" s="1"/>
  <c r="BL356" i="83" s="1"/>
  <c r="BH497" i="83"/>
  <c r="BK498" i="83" s="1"/>
  <c r="BL498" i="83" s="1"/>
  <c r="BH244" i="83"/>
  <c r="BK245" i="83" s="1"/>
  <c r="BL245" i="83" s="1"/>
  <c r="BH248" i="83"/>
  <c r="BK249" i="83" s="1"/>
  <c r="BL249" i="83" s="1"/>
  <c r="BJ92" i="83"/>
  <c r="BH104" i="83"/>
  <c r="BH77" i="83"/>
  <c r="BH35" i="83"/>
  <c r="BG51" i="83"/>
  <c r="BG100" i="83"/>
  <c r="BG111" i="83"/>
  <c r="BK111" i="83" s="1"/>
  <c r="BL111" i="83" s="1"/>
  <c r="BJ360" i="83"/>
  <c r="BH402" i="83"/>
  <c r="BK403" i="83" s="1"/>
  <c r="BL403" i="83" s="1"/>
  <c r="BH288" i="83"/>
  <c r="BK289" i="83" s="1"/>
  <c r="BL289" i="83" s="1"/>
  <c r="BH445" i="83"/>
  <c r="BK446" i="83" s="1"/>
  <c r="BL446" i="83" s="1"/>
  <c r="BH364" i="83"/>
  <c r="BK365" i="83" s="1"/>
  <c r="BL365" i="83" s="1"/>
  <c r="BH97" i="83"/>
  <c r="BI290" i="83"/>
  <c r="BG371" i="83"/>
  <c r="BK371" i="83" s="1"/>
  <c r="BL371" i="83" s="1"/>
  <c r="BH462" i="83"/>
  <c r="BK463" i="83" s="1"/>
  <c r="BL463" i="83" s="1"/>
  <c r="BH475" i="83"/>
  <c r="BK476" i="83" s="1"/>
  <c r="BL476" i="83" s="1"/>
  <c r="BH304" i="83"/>
  <c r="BK305" i="83" s="1"/>
  <c r="BL305" i="83" s="1"/>
  <c r="BH398" i="83"/>
  <c r="BK399" i="83" s="1"/>
  <c r="BL399" i="83" s="1"/>
  <c r="BJ53" i="83"/>
  <c r="BH18" i="83"/>
  <c r="BK19" i="83" s="1"/>
  <c r="BL19" i="83" s="1"/>
  <c r="BH81" i="83"/>
  <c r="BH99" i="83"/>
  <c r="BG83" i="83"/>
  <c r="BI17" i="83"/>
  <c r="BI10" i="83"/>
  <c r="BG102" i="83"/>
  <c r="BK102" i="83" s="1"/>
  <c r="BL102" i="83" s="1"/>
  <c r="BI479" i="83"/>
  <c r="BG180" i="83"/>
  <c r="BK180" i="83" s="1"/>
  <c r="BL180" i="83" s="1"/>
  <c r="BJ106" i="83"/>
  <c r="BJ377" i="83"/>
  <c r="BJ396" i="83"/>
  <c r="BH348" i="83"/>
  <c r="BK349" i="83" s="1"/>
  <c r="BL349" i="83" s="1"/>
  <c r="BH347" i="83"/>
  <c r="BK348" i="83" s="1"/>
  <c r="BL348" i="83" s="1"/>
  <c r="BH379" i="83"/>
  <c r="BK380" i="83" s="1"/>
  <c r="BL380" i="83" s="1"/>
  <c r="BH458" i="83"/>
  <c r="BK459" i="83" s="1"/>
  <c r="BL459" i="83" s="1"/>
  <c r="BI49" i="83"/>
  <c r="BI185" i="83"/>
  <c r="BH58" i="83"/>
  <c r="BH89" i="83"/>
  <c r="BH71" i="83"/>
  <c r="BG99" i="83"/>
  <c r="BI33" i="83"/>
  <c r="BI26" i="83"/>
  <c r="BG442" i="83"/>
  <c r="BK442" i="83" s="1"/>
  <c r="BL442" i="83" s="1"/>
  <c r="BI108" i="83"/>
  <c r="BG282" i="83"/>
  <c r="BJ441" i="83"/>
  <c r="BJ207" i="83"/>
  <c r="BJ124" i="83"/>
  <c r="BJ214" i="83"/>
  <c r="BJ389" i="83"/>
  <c r="BJ281" i="83"/>
  <c r="BJ310" i="83"/>
  <c r="BJ383" i="83"/>
  <c r="BH210" i="83"/>
  <c r="BK211" i="83" s="1"/>
  <c r="BL211" i="83" s="1"/>
  <c r="BH188" i="83"/>
  <c r="BK189" i="83" s="1"/>
  <c r="BL189" i="83" s="1"/>
  <c r="BH425" i="83"/>
  <c r="BK426" i="83" s="1"/>
  <c r="BL426" i="83" s="1"/>
  <c r="BI24" i="83"/>
  <c r="BJ450" i="83"/>
  <c r="BJ257" i="83"/>
  <c r="BH350" i="83"/>
  <c r="BK351" i="83" s="1"/>
  <c r="BL351" i="83" s="1"/>
  <c r="BH299" i="83"/>
  <c r="BK300" i="83" s="1"/>
  <c r="BL300" i="83" s="1"/>
  <c r="BH471" i="83"/>
  <c r="BK472" i="83" s="1"/>
  <c r="BL472" i="83" s="1"/>
  <c r="BH105" i="83"/>
  <c r="BK106" i="83" s="1"/>
  <c r="BL106" i="83" s="1"/>
  <c r="BH116" i="83"/>
  <c r="BK117" i="83" s="1"/>
  <c r="BL117" i="83" s="1"/>
  <c r="BH266" i="83"/>
  <c r="BK267" i="83" s="1"/>
  <c r="BL267" i="83" s="1"/>
  <c r="BH237" i="83"/>
  <c r="BK238" i="83" s="1"/>
  <c r="BL238" i="83" s="1"/>
  <c r="BH293" i="83"/>
  <c r="BK294" i="83" s="1"/>
  <c r="BL294" i="83" s="1"/>
  <c r="BH40" i="83"/>
  <c r="BH98" i="83"/>
  <c r="BH46" i="83"/>
  <c r="BK47" i="83" s="1"/>
  <c r="BL47" i="83" s="1"/>
  <c r="BH51" i="83"/>
  <c r="BI56" i="83"/>
  <c r="BI81" i="83"/>
  <c r="BI74" i="83"/>
  <c r="BI151" i="83"/>
  <c r="BJ299" i="83"/>
  <c r="BH417" i="83"/>
  <c r="BK418" i="83" s="1"/>
  <c r="BL418" i="83" s="1"/>
  <c r="BH414" i="83"/>
  <c r="BK415" i="83" s="1"/>
  <c r="BL415" i="83" s="1"/>
  <c r="BH362" i="83"/>
  <c r="BK363" i="83" s="1"/>
  <c r="BL363" i="83" s="1"/>
  <c r="BG482" i="83"/>
  <c r="BK482" i="83" s="1"/>
  <c r="BL482" i="83" s="1"/>
  <c r="BI197" i="83"/>
  <c r="BJ392" i="83"/>
  <c r="BH305" i="83"/>
  <c r="BK306" i="83" s="1"/>
  <c r="BL306" i="83" s="1"/>
  <c r="BH117" i="83"/>
  <c r="BK118" i="83" s="1"/>
  <c r="BL118" i="83" s="1"/>
  <c r="BH313" i="83"/>
  <c r="BK314" i="83" s="1"/>
  <c r="BL314" i="83" s="1"/>
  <c r="BH79" i="83"/>
  <c r="BJ410" i="83"/>
  <c r="BJ402" i="83"/>
  <c r="BH214" i="83"/>
  <c r="BK215" i="83" s="1"/>
  <c r="BL215" i="83" s="1"/>
  <c r="BH376" i="83"/>
  <c r="BK377" i="83" s="1"/>
  <c r="BL377" i="83" s="1"/>
  <c r="BH162" i="83"/>
  <c r="BK163" i="83" s="1"/>
  <c r="BL163" i="83" s="1"/>
  <c r="BK81" i="83"/>
  <c r="BL81" i="83" s="1"/>
  <c r="BK74" i="83"/>
  <c r="BL74" i="83" s="1"/>
  <c r="BK16" i="83"/>
  <c r="BL16" i="83" s="1"/>
  <c r="BK404" i="83"/>
  <c r="BL404" i="83" s="1"/>
  <c r="BK388" i="83"/>
  <c r="BL388" i="83" s="1"/>
  <c r="BK258" i="83"/>
  <c r="BL258" i="83" s="1"/>
  <c r="BK217" i="83"/>
  <c r="BL217" i="83" s="1"/>
  <c r="BK184" i="83"/>
  <c r="BL184" i="83" s="1"/>
  <c r="BK157" i="83"/>
  <c r="BL157" i="83" s="1"/>
  <c r="BK319" i="83"/>
  <c r="BL319" i="83" s="1"/>
  <c r="BK493" i="83"/>
  <c r="BL493" i="83" s="1"/>
  <c r="BK385" i="83"/>
  <c r="BL385" i="83" s="1"/>
  <c r="BK334" i="83"/>
  <c r="BL334" i="83" s="1"/>
  <c r="BK378" i="83"/>
  <c r="BL378" i="83" s="1"/>
  <c r="BK373" i="83"/>
  <c r="BL373" i="83" s="1"/>
  <c r="BK316" i="83"/>
  <c r="BL316" i="83" s="1"/>
  <c r="BK149" i="83"/>
  <c r="BL149" i="83" s="1"/>
  <c r="BK431" i="83"/>
  <c r="BL431" i="83" s="1"/>
  <c r="BK220" i="83"/>
  <c r="BL220" i="83" s="1"/>
  <c r="BK129" i="83"/>
  <c r="BL129" i="83" s="1"/>
  <c r="BK352" i="83"/>
  <c r="BL352" i="83" s="1"/>
  <c r="BK483" i="83"/>
  <c r="BL483" i="83" s="1"/>
  <c r="BK355" i="83"/>
  <c r="BL355" i="83" s="1"/>
  <c r="BK290" i="83"/>
  <c r="BL290" i="83" s="1"/>
  <c r="BK160" i="83"/>
  <c r="BL160" i="83" s="1"/>
  <c r="BK172" i="83"/>
  <c r="BL172" i="83" s="1"/>
  <c r="BG489" i="83"/>
  <c r="BK489" i="83" s="1"/>
  <c r="BL489" i="83" s="1"/>
  <c r="S34" i="81"/>
  <c r="T34" i="81" s="1"/>
  <c r="S31" i="81"/>
  <c r="T31" i="81" s="1"/>
  <c r="S33" i="81"/>
  <c r="T33" i="81" s="1"/>
  <c r="S32" i="81"/>
  <c r="T32" i="81" s="1"/>
  <c r="S19" i="81"/>
  <c r="T19" i="81" s="1"/>
  <c r="S21" i="81"/>
  <c r="T21" i="81" s="1"/>
  <c r="S22" i="81"/>
  <c r="T22" i="81" s="1"/>
  <c r="S18" i="81"/>
  <c r="T18" i="81" s="1"/>
  <c r="S9" i="81"/>
  <c r="T9" i="81" s="1"/>
  <c r="S7" i="81"/>
  <c r="T7" i="81" s="1"/>
  <c r="S8" i="81"/>
  <c r="T8" i="81" s="1"/>
  <c r="S5" i="81"/>
  <c r="T5" i="81" s="1"/>
  <c r="S10" i="81"/>
  <c r="T10" i="81" s="1"/>
  <c r="GA759" i="98" l="1"/>
  <c r="GA1479" i="98"/>
  <c r="GA1079" i="98"/>
  <c r="GA519" i="98"/>
  <c r="GA919" i="98"/>
  <c r="GA677" i="98"/>
  <c r="GA1157" i="98"/>
  <c r="GA1477" i="98"/>
  <c r="GA837" i="98"/>
  <c r="GA517" i="98"/>
  <c r="GA277" i="98"/>
  <c r="GA357" i="98"/>
  <c r="GA437" i="98"/>
  <c r="GA1397" i="98"/>
  <c r="GC940" i="98"/>
  <c r="GC1340" i="98"/>
  <c r="GC860" i="98"/>
  <c r="GC140" i="98"/>
  <c r="GC1180" i="98"/>
  <c r="GA1237" i="98"/>
  <c r="GA917" i="98"/>
  <c r="GA1637" i="98"/>
  <c r="GA597" i="98"/>
  <c r="GA757" i="98"/>
  <c r="GA37" i="98"/>
  <c r="GC460" i="98"/>
  <c r="GC220" i="98"/>
  <c r="GC1580" i="98"/>
  <c r="GC300" i="98"/>
  <c r="GC1260" i="98"/>
  <c r="GA1077" i="98"/>
  <c r="GA997" i="98"/>
  <c r="GA1557" i="98"/>
  <c r="GA117" i="98"/>
  <c r="GC1020" i="98"/>
  <c r="GC1500" i="98"/>
  <c r="GC1660" i="98"/>
  <c r="GC700" i="98"/>
  <c r="GC380" i="98"/>
  <c r="GA119" i="98"/>
  <c r="GA679" i="98"/>
  <c r="GA999" i="98"/>
  <c r="GA599" i="98"/>
  <c r="GA279" i="98"/>
  <c r="GA39" i="98"/>
  <c r="GA1239" i="98"/>
  <c r="GA359" i="98"/>
  <c r="GA1319" i="98"/>
  <c r="GA1639" i="98"/>
  <c r="GA1159" i="98"/>
  <c r="GA1399" i="98"/>
  <c r="GA439" i="98"/>
  <c r="GA839" i="98"/>
  <c r="GA1559" i="98"/>
  <c r="GA118" i="98"/>
  <c r="GA438" i="98"/>
  <c r="GA1398" i="98"/>
  <c r="GA1078" i="98"/>
  <c r="GA518" i="98"/>
  <c r="GA358" i="98"/>
  <c r="GA998" i="98"/>
  <c r="GA198" i="98"/>
  <c r="GA1638" i="98"/>
  <c r="GA598" i="98"/>
  <c r="GA38" i="98"/>
  <c r="GA1158" i="98"/>
  <c r="GA1238" i="98"/>
  <c r="GA758" i="98"/>
  <c r="GA278" i="98"/>
  <c r="GA1478" i="98"/>
  <c r="GA918" i="98"/>
  <c r="GA1558" i="98"/>
  <c r="GA678" i="98"/>
  <c r="GA838" i="98"/>
  <c r="GA1080" i="98"/>
  <c r="GA1000" i="98"/>
  <c r="GA1560" i="98"/>
  <c r="GA200" i="98"/>
  <c r="GA1240" i="98"/>
  <c r="GA760" i="98"/>
  <c r="GA280" i="98"/>
  <c r="GA680" i="98"/>
  <c r="GA1640" i="98"/>
  <c r="GA1480" i="98"/>
  <c r="GA840" i="98"/>
  <c r="GA520" i="98"/>
  <c r="GA120" i="98"/>
  <c r="GA1320" i="98"/>
  <c r="GA1400" i="98"/>
  <c r="GA920" i="98"/>
  <c r="GA600" i="98"/>
  <c r="GA440" i="98"/>
  <c r="GA360" i="98"/>
  <c r="GA1160" i="98"/>
  <c r="FV1160" i="98"/>
  <c r="FV1080" i="98"/>
  <c r="FV1000" i="98"/>
  <c r="FV1560" i="98"/>
  <c r="FV1320" i="98"/>
  <c r="FV680" i="98"/>
  <c r="FV360" i="98"/>
  <c r="FV1400" i="98"/>
  <c r="FV40" i="98"/>
  <c r="FV440" i="98"/>
  <c r="FV760" i="98"/>
  <c r="FV120" i="98"/>
  <c r="FV520" i="98"/>
  <c r="FV600" i="98"/>
  <c r="FV280" i="98"/>
  <c r="FV1240" i="98"/>
  <c r="FV1640" i="98"/>
  <c r="FV200" i="98"/>
  <c r="FV1480" i="98"/>
  <c r="FV840" i="98"/>
  <c r="FV920" i="98"/>
  <c r="FV1477" i="98"/>
  <c r="FV1397" i="98"/>
  <c r="FV1317" i="98"/>
  <c r="FV1637" i="98"/>
  <c r="FV1237" i="98"/>
  <c r="FV757" i="98"/>
  <c r="FV1157" i="98"/>
  <c r="FV677" i="98"/>
  <c r="FV517" i="98"/>
  <c r="FV437" i="98"/>
  <c r="FV597" i="98"/>
  <c r="FV917" i="98"/>
  <c r="FV37" i="98"/>
  <c r="FV197" i="98"/>
  <c r="FV357" i="98"/>
  <c r="FV117" i="98"/>
  <c r="FV277" i="98"/>
  <c r="FV837" i="98"/>
  <c r="FV1077" i="98"/>
  <c r="FV1557" i="98"/>
  <c r="FV997" i="98"/>
  <c r="FV759" i="98"/>
  <c r="FV1639" i="98"/>
  <c r="FV1159" i="98"/>
  <c r="FV1399" i="98"/>
  <c r="FV119" i="98"/>
  <c r="FV1559" i="98"/>
  <c r="FV999" i="98"/>
  <c r="FV39" i="98"/>
  <c r="FV1319" i="98"/>
  <c r="FV839" i="98"/>
  <c r="FV679" i="98"/>
  <c r="FV599" i="98"/>
  <c r="FV279" i="98"/>
  <c r="FV1479" i="98"/>
  <c r="FV519" i="98"/>
  <c r="FV439" i="98"/>
  <c r="FV1239" i="98"/>
  <c r="FV199" i="98"/>
  <c r="FV359" i="98"/>
  <c r="FV1079" i="98"/>
  <c r="FV919" i="98"/>
  <c r="FV598" i="98"/>
  <c r="FV358" i="98"/>
  <c r="FV1238" i="98"/>
  <c r="FV1478" i="98"/>
  <c r="FV838" i="98"/>
  <c r="FV1158" i="98"/>
  <c r="FV118" i="98"/>
  <c r="FV918" i="98"/>
  <c r="FV1398" i="98"/>
  <c r="FV1638" i="98"/>
  <c r="FV1318" i="98"/>
  <c r="FV1558" i="98"/>
  <c r="FV998" i="98"/>
  <c r="FV1078" i="98"/>
  <c r="FV278" i="98"/>
  <c r="FV678" i="98"/>
  <c r="FV198" i="98"/>
  <c r="FV518" i="98"/>
  <c r="FV38" i="98"/>
  <c r="FV758" i="98"/>
  <c r="FV438" i="98"/>
  <c r="GG37" i="98"/>
  <c r="GG1637" i="98"/>
  <c r="GG1397" i="98"/>
  <c r="GG1557" i="98"/>
  <c r="GG1477" i="98"/>
  <c r="GG1317" i="98"/>
  <c r="GG997" i="98"/>
  <c r="GG757" i="98"/>
  <c r="GG677" i="98"/>
  <c r="GG437" i="98"/>
  <c r="GG597" i="98"/>
  <c r="GG117" i="98"/>
  <c r="GG1157" i="98"/>
  <c r="GG357" i="98"/>
  <c r="GG277" i="98"/>
  <c r="GG837" i="98"/>
  <c r="GG917" i="98"/>
  <c r="GG517" i="98"/>
  <c r="GG197" i="98"/>
  <c r="GG1237" i="98"/>
  <c r="GG1077" i="98"/>
  <c r="GL199" i="98"/>
  <c r="GL1159" i="98"/>
  <c r="GL519" i="98"/>
  <c r="GL1639" i="98"/>
  <c r="GL599" i="98"/>
  <c r="GL839" i="98"/>
  <c r="GL1399" i="98"/>
  <c r="GL1479" i="98"/>
  <c r="GL359" i="98"/>
  <c r="GL919" i="98"/>
  <c r="GL439" i="98"/>
  <c r="GL279" i="98"/>
  <c r="GL1319" i="98"/>
  <c r="GL1239" i="98"/>
  <c r="GL759" i="98"/>
  <c r="GL679" i="98"/>
  <c r="GL1079" i="98"/>
  <c r="GL999" i="98"/>
  <c r="GL1559" i="98"/>
  <c r="GL119" i="98"/>
  <c r="GG39" i="98"/>
  <c r="GG279" i="98"/>
  <c r="GG199" i="98"/>
  <c r="GG1159" i="98"/>
  <c r="GG759" i="98"/>
  <c r="GG599" i="98"/>
  <c r="GG1559" i="98"/>
  <c r="GG1639" i="98"/>
  <c r="GG359" i="98"/>
  <c r="GG999" i="98"/>
  <c r="GG1479" i="98"/>
  <c r="GG839" i="98"/>
  <c r="GG439" i="98"/>
  <c r="GG519" i="98"/>
  <c r="GG919" i="98"/>
  <c r="GG1399" i="98"/>
  <c r="GG1079" i="98"/>
  <c r="GG1239" i="98"/>
  <c r="GG679" i="98"/>
  <c r="GG1319" i="98"/>
  <c r="GG119" i="98"/>
  <c r="GG38" i="98"/>
  <c r="GG1318" i="98"/>
  <c r="GG598" i="98"/>
  <c r="GG198" i="98"/>
  <c r="GG838" i="98"/>
  <c r="GG1558" i="98"/>
  <c r="GG278" i="98"/>
  <c r="GG518" i="98"/>
  <c r="GG758" i="98"/>
  <c r="GG998" i="98"/>
  <c r="GG1638" i="98"/>
  <c r="GG1078" i="98"/>
  <c r="GG1478" i="98"/>
  <c r="GG118" i="98"/>
  <c r="GG1398" i="98"/>
  <c r="GG678" i="98"/>
  <c r="GG1158" i="98"/>
  <c r="GG358" i="98"/>
  <c r="GG438" i="98"/>
  <c r="GG918" i="98"/>
  <c r="GG1238" i="98"/>
  <c r="GJ40" i="98"/>
  <c r="GJ1480" i="98"/>
  <c r="GJ1400" i="98"/>
  <c r="GJ1320" i="98"/>
  <c r="GJ520" i="98"/>
  <c r="GJ360" i="98"/>
  <c r="GJ1000" i="98"/>
  <c r="GJ680" i="98"/>
  <c r="GJ280" i="98"/>
  <c r="GJ760" i="98"/>
  <c r="GJ440" i="98"/>
  <c r="GJ840" i="98"/>
  <c r="GJ1160" i="98"/>
  <c r="GJ120" i="98"/>
  <c r="GJ920" i="98"/>
  <c r="GJ1080" i="98"/>
  <c r="GJ1560" i="98"/>
  <c r="GJ1640" i="98"/>
  <c r="GJ1240" i="98"/>
  <c r="GJ200" i="98"/>
  <c r="GJ600" i="98"/>
  <c r="GL1007" i="98"/>
  <c r="GL367" i="98"/>
  <c r="GL127" i="98"/>
  <c r="GL1407" i="98"/>
  <c r="GL1167" i="98"/>
  <c r="GL207" i="98"/>
  <c r="GL527" i="98"/>
  <c r="GL607" i="98"/>
  <c r="GL687" i="98"/>
  <c r="GL847" i="98"/>
  <c r="GL927" i="98"/>
  <c r="GL287" i="98"/>
  <c r="GL1647" i="98"/>
  <c r="GL1087" i="98"/>
  <c r="GL1327" i="98"/>
  <c r="GL1487" i="98"/>
  <c r="GL1247" i="98"/>
  <c r="GL767" i="98"/>
  <c r="GL1567" i="98"/>
  <c r="GL447" i="98"/>
  <c r="GA47" i="98"/>
  <c r="GA527" i="98"/>
  <c r="GA1407" i="98"/>
  <c r="GA447" i="98"/>
  <c r="GA1567" i="98"/>
  <c r="GA127" i="98"/>
  <c r="GA1247" i="98"/>
  <c r="GA1167" i="98"/>
  <c r="GA687" i="98"/>
  <c r="GA767" i="98"/>
  <c r="GA1087" i="98"/>
  <c r="GA287" i="98"/>
  <c r="GA847" i="98"/>
  <c r="GA207" i="98"/>
  <c r="GA927" i="98"/>
  <c r="GA1327" i="98"/>
  <c r="GA607" i="98"/>
  <c r="GA1487" i="98"/>
  <c r="GA1007" i="98"/>
  <c r="GA367" i="98"/>
  <c r="GA1647" i="98"/>
  <c r="GI50" i="98"/>
  <c r="GI1650" i="98"/>
  <c r="GI1170" i="98"/>
  <c r="GI1250" i="98"/>
  <c r="GI1090" i="98"/>
  <c r="GI610" i="98"/>
  <c r="GI1410" i="98"/>
  <c r="GI370" i="98"/>
  <c r="GI210" i="98"/>
  <c r="GI690" i="98"/>
  <c r="GI1010" i="98"/>
  <c r="GI130" i="98"/>
  <c r="GI1570" i="98"/>
  <c r="GI770" i="98"/>
  <c r="GI1330" i="98"/>
  <c r="GI1490" i="98"/>
  <c r="GI530" i="98"/>
  <c r="GI850" i="98"/>
  <c r="GI290" i="98"/>
  <c r="GI930" i="98"/>
  <c r="GI450" i="98"/>
  <c r="GJ49" i="98"/>
  <c r="GJ1569" i="98"/>
  <c r="GJ1649" i="98"/>
  <c r="GJ1489" i="98"/>
  <c r="GJ1329" i="98"/>
  <c r="GJ769" i="98"/>
  <c r="GJ689" i="98"/>
  <c r="GJ369" i="98"/>
  <c r="GJ129" i="98"/>
  <c r="GJ449" i="98"/>
  <c r="GJ529" i="98"/>
  <c r="GJ1409" i="98"/>
  <c r="GJ849" i="98"/>
  <c r="GJ1009" i="98"/>
  <c r="GJ609" i="98"/>
  <c r="GJ1089" i="98"/>
  <c r="GJ209" i="98"/>
  <c r="GJ1249" i="98"/>
  <c r="GJ1169" i="98"/>
  <c r="GJ289" i="98"/>
  <c r="GJ929" i="98"/>
  <c r="GG49" i="98"/>
  <c r="GG1569" i="98"/>
  <c r="GG1329" i="98"/>
  <c r="GG1649" i="98"/>
  <c r="GG1489" i="98"/>
  <c r="GG769" i="98"/>
  <c r="GG609" i="98"/>
  <c r="GG689" i="98"/>
  <c r="GG449" i="98"/>
  <c r="GG129" i="98"/>
  <c r="GG369" i="98"/>
  <c r="GG1409" i="98"/>
  <c r="GG849" i="98"/>
  <c r="GG929" i="98"/>
  <c r="GG1009" i="98"/>
  <c r="GG209" i="98"/>
  <c r="GG529" i="98"/>
  <c r="GG1249" i="98"/>
  <c r="GG1169" i="98"/>
  <c r="GG289" i="98"/>
  <c r="GG1089" i="98"/>
  <c r="GG48" i="98"/>
  <c r="GG1408" i="98"/>
  <c r="GG1248" i="98"/>
  <c r="GG448" i="98"/>
  <c r="GG288" i="98"/>
  <c r="GG368" i="98"/>
  <c r="GG1488" i="98"/>
  <c r="GG1328" i="98"/>
  <c r="GG528" i="98"/>
  <c r="GG1168" i="98"/>
  <c r="GG1568" i="98"/>
  <c r="GG1648" i="98"/>
  <c r="GG848" i="98"/>
  <c r="GG928" i="98"/>
  <c r="GG608" i="98"/>
  <c r="GG208" i="98"/>
  <c r="GG768" i="98"/>
  <c r="GG1008" i="98"/>
  <c r="GG128" i="98"/>
  <c r="GG688" i="98"/>
  <c r="GG1088" i="98"/>
  <c r="GC52" i="98"/>
  <c r="GC1652" i="98"/>
  <c r="GC1572" i="98"/>
  <c r="GC1252" i="98"/>
  <c r="GC1172" i="98"/>
  <c r="GC1492" i="98"/>
  <c r="GC1412" i="98"/>
  <c r="GC1332" i="98"/>
  <c r="GC532" i="98"/>
  <c r="GC292" i="98"/>
  <c r="GC212" i="98"/>
  <c r="GC132" i="98"/>
  <c r="GC772" i="98"/>
  <c r="GC372" i="98"/>
  <c r="GC1092" i="98"/>
  <c r="GC932" i="98"/>
  <c r="GC852" i="98"/>
  <c r="GC692" i="98"/>
  <c r="GC452" i="98"/>
  <c r="GC612" i="98"/>
  <c r="GC1012" i="98"/>
  <c r="GC44" i="98"/>
  <c r="GC1244" i="98"/>
  <c r="GC204" i="98"/>
  <c r="GC684" i="98"/>
  <c r="GC604" i="98"/>
  <c r="GC1644" i="98"/>
  <c r="GC1004" i="98"/>
  <c r="GC364" i="98"/>
  <c r="GC844" i="98"/>
  <c r="GC1164" i="98"/>
  <c r="GC124" i="98"/>
  <c r="GC284" i="98"/>
  <c r="GC1564" i="98"/>
  <c r="GC1324" i="98"/>
  <c r="GC1404" i="98"/>
  <c r="GC1484" i="98"/>
  <c r="GC1084" i="98"/>
  <c r="GC924" i="98"/>
  <c r="GC444" i="98"/>
  <c r="GC524" i="98"/>
  <c r="GC764" i="98"/>
  <c r="GC43" i="98"/>
  <c r="GC283" i="98"/>
  <c r="GC123" i="98"/>
  <c r="GC1323" i="98"/>
  <c r="GC1643" i="98"/>
  <c r="GC1563" i="98"/>
  <c r="GC1163" i="98"/>
  <c r="GC363" i="98"/>
  <c r="GC1243" i="98"/>
  <c r="GC523" i="98"/>
  <c r="GC843" i="98"/>
  <c r="GC203" i="98"/>
  <c r="GC1083" i="98"/>
  <c r="GC443" i="98"/>
  <c r="GC683" i="98"/>
  <c r="GC923" i="98"/>
  <c r="GC1003" i="98"/>
  <c r="GC763" i="98"/>
  <c r="GC1483" i="98"/>
  <c r="GC1403" i="98"/>
  <c r="GC603" i="98"/>
  <c r="GC53" i="98"/>
  <c r="GC1333" i="98"/>
  <c r="GC1493" i="98"/>
  <c r="GC1413" i="98"/>
  <c r="GC773" i="98"/>
  <c r="GC613" i="98"/>
  <c r="GC133" i="98"/>
  <c r="GC293" i="98"/>
  <c r="GC213" i="98"/>
  <c r="GC533" i="98"/>
  <c r="GC1173" i="98"/>
  <c r="GC693" i="98"/>
  <c r="GC1573" i="98"/>
  <c r="GC933" i="98"/>
  <c r="GC1653" i="98"/>
  <c r="GC373" i="98"/>
  <c r="GC1253" i="98"/>
  <c r="GC853" i="98"/>
  <c r="GC1013" i="98"/>
  <c r="GC453" i="98"/>
  <c r="GC1093" i="98"/>
  <c r="GC41" i="98"/>
  <c r="GC1001" i="98"/>
  <c r="GC681" i="98"/>
  <c r="GC361" i="98"/>
  <c r="GC121" i="98"/>
  <c r="GC441" i="98"/>
  <c r="GC1401" i="98"/>
  <c r="GC761" i="98"/>
  <c r="GC1161" i="98"/>
  <c r="GC1481" i="98"/>
  <c r="GC1561" i="98"/>
  <c r="GC601" i="98"/>
  <c r="GC1321" i="98"/>
  <c r="GC1641" i="98"/>
  <c r="GC921" i="98"/>
  <c r="GC841" i="98"/>
  <c r="GC1241" i="98"/>
  <c r="GC281" i="98"/>
  <c r="GC201" i="98"/>
  <c r="GC1081" i="98"/>
  <c r="GC521" i="98"/>
  <c r="GL1397" i="98"/>
  <c r="GL1637" i="98"/>
  <c r="GL1317" i="98"/>
  <c r="GL1477" i="98"/>
  <c r="GL757" i="98"/>
  <c r="GL677" i="98"/>
  <c r="GL437" i="98"/>
  <c r="GL117" i="98"/>
  <c r="GL1157" i="98"/>
  <c r="GL197" i="98"/>
  <c r="GL357" i="98"/>
  <c r="GL517" i="98"/>
  <c r="GL997" i="98"/>
  <c r="GL277" i="98"/>
  <c r="GL597" i="98"/>
  <c r="GL1557" i="98"/>
  <c r="GL917" i="98"/>
  <c r="GL837" i="98"/>
  <c r="GL1237" i="98"/>
  <c r="GL1077" i="98"/>
  <c r="GJ39" i="98"/>
  <c r="GJ199" i="98"/>
  <c r="GJ279" i="98"/>
  <c r="GJ1159" i="98"/>
  <c r="GJ1559" i="98"/>
  <c r="GJ519" i="98"/>
  <c r="GJ839" i="98"/>
  <c r="GJ599" i="98"/>
  <c r="GJ999" i="98"/>
  <c r="GJ1319" i="98"/>
  <c r="GJ1639" i="98"/>
  <c r="GJ1479" i="98"/>
  <c r="GJ919" i="98"/>
  <c r="GJ359" i="98"/>
  <c r="GJ439" i="98"/>
  <c r="GJ1239" i="98"/>
  <c r="GJ679" i="98"/>
  <c r="GJ119" i="98"/>
  <c r="GJ1079" i="98"/>
  <c r="GJ1399" i="98"/>
  <c r="GJ759" i="98"/>
  <c r="GL1398" i="98"/>
  <c r="GL1318" i="98"/>
  <c r="GL1078" i="98"/>
  <c r="GL1478" i="98"/>
  <c r="GL118" i="98"/>
  <c r="GL838" i="98"/>
  <c r="GL278" i="98"/>
  <c r="GL918" i="98"/>
  <c r="GL518" i="98"/>
  <c r="GL358" i="98"/>
  <c r="GL1558" i="98"/>
  <c r="GL438" i="98"/>
  <c r="GL598" i="98"/>
  <c r="GL198" i="98"/>
  <c r="GL1238" i="98"/>
  <c r="GL1638" i="98"/>
  <c r="GL998" i="98"/>
  <c r="GL1158" i="98"/>
  <c r="GL678" i="98"/>
  <c r="GL758" i="98"/>
  <c r="GI38" i="98"/>
  <c r="GI1318" i="98"/>
  <c r="GI918" i="98"/>
  <c r="GI278" i="98"/>
  <c r="GI198" i="98"/>
  <c r="GI838" i="98"/>
  <c r="GI118" i="98"/>
  <c r="GI1558" i="98"/>
  <c r="GI518" i="98"/>
  <c r="GI1398" i="98"/>
  <c r="GI438" i="98"/>
  <c r="GI1078" i="98"/>
  <c r="GI998" i="98"/>
  <c r="GI1478" i="98"/>
  <c r="GI598" i="98"/>
  <c r="GI1638" i="98"/>
  <c r="GI1158" i="98"/>
  <c r="GI758" i="98"/>
  <c r="GI358" i="98"/>
  <c r="GI1238" i="98"/>
  <c r="GI678" i="98"/>
  <c r="GL1400" i="98"/>
  <c r="GL1320" i="98"/>
  <c r="GL1480" i="98"/>
  <c r="GL520" i="98"/>
  <c r="GL360" i="98"/>
  <c r="GL760" i="98"/>
  <c r="GL680" i="98"/>
  <c r="GL1160" i="98"/>
  <c r="GL120" i="98"/>
  <c r="GL280" i="98"/>
  <c r="GL1080" i="98"/>
  <c r="GL1240" i="98"/>
  <c r="GL1560" i="98"/>
  <c r="GL1640" i="98"/>
  <c r="GL440" i="98"/>
  <c r="GL600" i="98"/>
  <c r="GL920" i="98"/>
  <c r="GL1000" i="98"/>
  <c r="GL840" i="98"/>
  <c r="GL200" i="98"/>
  <c r="GI47" i="98"/>
  <c r="GI527" i="98"/>
  <c r="GI1247" i="98"/>
  <c r="GI127" i="98"/>
  <c r="GI1007" i="98"/>
  <c r="GI367" i="98"/>
  <c r="GI1407" i="98"/>
  <c r="GI1167" i="98"/>
  <c r="GI607" i="98"/>
  <c r="GI1087" i="98"/>
  <c r="GI687" i="98"/>
  <c r="GI287" i="98"/>
  <c r="GI207" i="98"/>
  <c r="GI847" i="98"/>
  <c r="GI927" i="98"/>
  <c r="GI767" i="98"/>
  <c r="GI1567" i="98"/>
  <c r="GI447" i="98"/>
  <c r="GI1327" i="98"/>
  <c r="GI1487" i="98"/>
  <c r="GI1647" i="98"/>
  <c r="GJ50" i="98"/>
  <c r="GJ1650" i="98"/>
  <c r="GJ1170" i="98"/>
  <c r="GJ1010" i="98"/>
  <c r="GJ1250" i="98"/>
  <c r="GJ690" i="98"/>
  <c r="GJ290" i="98"/>
  <c r="GJ530" i="98"/>
  <c r="GJ130" i="98"/>
  <c r="GJ610" i="98"/>
  <c r="GJ850" i="98"/>
  <c r="GJ930" i="98"/>
  <c r="GJ1090" i="98"/>
  <c r="GJ210" i="98"/>
  <c r="GJ770" i="98"/>
  <c r="GJ1570" i="98"/>
  <c r="GJ450" i="98"/>
  <c r="GJ1490" i="98"/>
  <c r="GJ1330" i="98"/>
  <c r="GJ1410" i="98"/>
  <c r="GJ370" i="98"/>
  <c r="GL1170" i="98"/>
  <c r="GL1250" i="98"/>
  <c r="GL1650" i="98"/>
  <c r="GL1090" i="98"/>
  <c r="GL690" i="98"/>
  <c r="GL130" i="98"/>
  <c r="GL210" i="98"/>
  <c r="GL370" i="98"/>
  <c r="GL1010" i="98"/>
  <c r="GL1570" i="98"/>
  <c r="GL610" i="98"/>
  <c r="GL1330" i="98"/>
  <c r="GL1490" i="98"/>
  <c r="GL530" i="98"/>
  <c r="GL1410" i="98"/>
  <c r="GL850" i="98"/>
  <c r="GL770" i="98"/>
  <c r="GL450" i="98"/>
  <c r="GL290" i="98"/>
  <c r="GL930" i="98"/>
  <c r="GF49" i="98"/>
  <c r="GF1649" i="98"/>
  <c r="GF1489" i="98"/>
  <c r="GF1329" i="98"/>
  <c r="GF689" i="98"/>
  <c r="GF769" i="98"/>
  <c r="GF129" i="98"/>
  <c r="GF1409" i="98"/>
  <c r="GF849" i="98"/>
  <c r="GF449" i="98"/>
  <c r="GF529" i="98"/>
  <c r="GF609" i="98"/>
  <c r="GF1009" i="98"/>
  <c r="GF369" i="98"/>
  <c r="GF209" i="98"/>
  <c r="GF1569" i="98"/>
  <c r="GF1249" i="98"/>
  <c r="GF1089" i="98"/>
  <c r="GF1169" i="98"/>
  <c r="GF289" i="98"/>
  <c r="GF929" i="98"/>
  <c r="GJ48" i="98"/>
  <c r="GJ1488" i="98"/>
  <c r="GJ1408" i="98"/>
  <c r="GJ448" i="98"/>
  <c r="GJ288" i="98"/>
  <c r="GJ528" i="98"/>
  <c r="GJ768" i="98"/>
  <c r="GJ688" i="98"/>
  <c r="GJ128" i="98"/>
  <c r="GJ1568" i="98"/>
  <c r="GJ1648" i="98"/>
  <c r="GJ368" i="98"/>
  <c r="GJ1248" i="98"/>
  <c r="GJ1168" i="98"/>
  <c r="GJ608" i="98"/>
  <c r="GJ1328" i="98"/>
  <c r="GJ1008" i="98"/>
  <c r="GJ848" i="98"/>
  <c r="GJ928" i="98"/>
  <c r="GJ1088" i="98"/>
  <c r="GJ208" i="98"/>
  <c r="GI48" i="98"/>
  <c r="GI1408" i="98"/>
  <c r="GI1248" i="98"/>
  <c r="GI448" i="98"/>
  <c r="GI288" i="98"/>
  <c r="GI528" i="98"/>
  <c r="GI928" i="98"/>
  <c r="GI848" i="98"/>
  <c r="GI1168" i="98"/>
  <c r="GI1568" i="98"/>
  <c r="GI1648" i="98"/>
  <c r="GI1008" i="98"/>
  <c r="GI608" i="98"/>
  <c r="GI368" i="98"/>
  <c r="GI1328" i="98"/>
  <c r="GI1488" i="98"/>
  <c r="GI208" i="98"/>
  <c r="GI128" i="98"/>
  <c r="GI768" i="98"/>
  <c r="GI688" i="98"/>
  <c r="GI1088" i="98"/>
  <c r="GF37" i="98"/>
  <c r="GF1397" i="98"/>
  <c r="GF1477" i="98"/>
  <c r="GF1317" i="98"/>
  <c r="GF757" i="98"/>
  <c r="GF677" i="98"/>
  <c r="GF437" i="98"/>
  <c r="GF597" i="98"/>
  <c r="GF117" i="98"/>
  <c r="GF1157" i="98"/>
  <c r="GF517" i="98"/>
  <c r="GF997" i="98"/>
  <c r="GF1557" i="98"/>
  <c r="GF837" i="98"/>
  <c r="GF1637" i="98"/>
  <c r="GF357" i="98"/>
  <c r="GF917" i="98"/>
  <c r="GF197" i="98"/>
  <c r="GF277" i="98"/>
  <c r="GF1237" i="98"/>
  <c r="GF1077" i="98"/>
  <c r="GF39" i="98"/>
  <c r="GF199" i="98"/>
  <c r="GF279" i="98"/>
  <c r="GF1159" i="98"/>
  <c r="GF519" i="98"/>
  <c r="GF1639" i="98"/>
  <c r="GF599" i="98"/>
  <c r="GF1479" i="98"/>
  <c r="GF359" i="98"/>
  <c r="GF439" i="98"/>
  <c r="GF1399" i="98"/>
  <c r="GF119" i="98"/>
  <c r="GF679" i="98"/>
  <c r="GF1319" i="98"/>
  <c r="GF999" i="98"/>
  <c r="GF1559" i="98"/>
  <c r="GF1079" i="98"/>
  <c r="GF919" i="98"/>
  <c r="GF1239" i="98"/>
  <c r="GF759" i="98"/>
  <c r="GF839" i="98"/>
  <c r="GF38" i="98"/>
  <c r="GF1318" i="98"/>
  <c r="GF1558" i="98"/>
  <c r="GF918" i="98"/>
  <c r="GF278" i="98"/>
  <c r="GF838" i="98"/>
  <c r="GF678" i="98"/>
  <c r="GF118" i="98"/>
  <c r="GF518" i="98"/>
  <c r="GF198" i="98"/>
  <c r="GF1478" i="98"/>
  <c r="GF438" i="98"/>
  <c r="GF598" i="98"/>
  <c r="GF1078" i="98"/>
  <c r="GF1398" i="98"/>
  <c r="GF1638" i="98"/>
  <c r="GF758" i="98"/>
  <c r="GF998" i="98"/>
  <c r="GF1158" i="98"/>
  <c r="GF1238" i="98"/>
  <c r="GF358" i="98"/>
  <c r="GI40" i="98"/>
  <c r="GI1400" i="98"/>
  <c r="GI1480" i="98"/>
  <c r="GI1320" i="98"/>
  <c r="GI1240" i="98"/>
  <c r="GI1640" i="98"/>
  <c r="GI1560" i="98"/>
  <c r="GI360" i="98"/>
  <c r="GI680" i="98"/>
  <c r="GI760" i="98"/>
  <c r="GI120" i="98"/>
  <c r="GI520" i="98"/>
  <c r="GI1160" i="98"/>
  <c r="GI920" i="98"/>
  <c r="GI1080" i="98"/>
  <c r="GI280" i="98"/>
  <c r="GI840" i="98"/>
  <c r="GI1000" i="98"/>
  <c r="GI600" i="98"/>
  <c r="GI200" i="98"/>
  <c r="GI440" i="98"/>
  <c r="GF40" i="98"/>
  <c r="GF1400" i="98"/>
  <c r="GF1480" i="98"/>
  <c r="GF1320" i="98"/>
  <c r="GF520" i="98"/>
  <c r="GF360" i="98"/>
  <c r="GF680" i="98"/>
  <c r="GF760" i="98"/>
  <c r="GF280" i="98"/>
  <c r="GF1160" i="98"/>
  <c r="GF920" i="98"/>
  <c r="GF120" i="98"/>
  <c r="GF1080" i="98"/>
  <c r="GF1240" i="98"/>
  <c r="GF1560" i="98"/>
  <c r="GF1640" i="98"/>
  <c r="GF840" i="98"/>
  <c r="GF1000" i="98"/>
  <c r="GF440" i="98"/>
  <c r="GF600" i="98"/>
  <c r="GF200" i="98"/>
  <c r="GG47" i="98"/>
  <c r="GG287" i="98"/>
  <c r="GG1007" i="98"/>
  <c r="GG1567" i="98"/>
  <c r="GG447" i="98"/>
  <c r="GG127" i="98"/>
  <c r="GG367" i="98"/>
  <c r="GG1407" i="98"/>
  <c r="GG1167" i="98"/>
  <c r="GG767" i="98"/>
  <c r="GG687" i="98"/>
  <c r="GG207" i="98"/>
  <c r="GG527" i="98"/>
  <c r="GG1087" i="98"/>
  <c r="GG927" i="98"/>
  <c r="GG847" i="98"/>
  <c r="GG1327" i="98"/>
  <c r="GG1247" i="98"/>
  <c r="GG1487" i="98"/>
  <c r="GG607" i="98"/>
  <c r="GG1647" i="98"/>
  <c r="GA50" i="98"/>
  <c r="GA1650" i="98"/>
  <c r="GA1570" i="98"/>
  <c r="GA1250" i="98"/>
  <c r="GA1170" i="98"/>
  <c r="GA130" i="98"/>
  <c r="GA610" i="98"/>
  <c r="GA930" i="98"/>
  <c r="GA1090" i="98"/>
  <c r="GA850" i="98"/>
  <c r="GA690" i="98"/>
  <c r="GA210" i="98"/>
  <c r="GA1010" i="98"/>
  <c r="GA450" i="98"/>
  <c r="GA1330" i="98"/>
  <c r="GA370" i="98"/>
  <c r="GA1410" i="98"/>
  <c r="GA290" i="98"/>
  <c r="GA770" i="98"/>
  <c r="GA1490" i="98"/>
  <c r="GA530" i="98"/>
  <c r="GF50" i="98"/>
  <c r="GF1250" i="98"/>
  <c r="GF1570" i="98"/>
  <c r="GF1170" i="98"/>
  <c r="GF1090" i="98"/>
  <c r="GF690" i="98"/>
  <c r="GF370" i="98"/>
  <c r="GF1010" i="98"/>
  <c r="GF210" i="98"/>
  <c r="GF610" i="98"/>
  <c r="GF130" i="98"/>
  <c r="GF770" i="98"/>
  <c r="GF1650" i="98"/>
  <c r="GF450" i="98"/>
  <c r="GF290" i="98"/>
  <c r="GF930" i="98"/>
  <c r="GF1490" i="98"/>
  <c r="GF1410" i="98"/>
  <c r="GF1330" i="98"/>
  <c r="GF530" i="98"/>
  <c r="GF850" i="98"/>
  <c r="GA49" i="98"/>
  <c r="GA1329" i="98"/>
  <c r="GA1489" i="98"/>
  <c r="GA609" i="98"/>
  <c r="GA129" i="98"/>
  <c r="GA689" i="98"/>
  <c r="GA449" i="98"/>
  <c r="GA1409" i="98"/>
  <c r="GA1009" i="98"/>
  <c r="GA1569" i="98"/>
  <c r="GA849" i="98"/>
  <c r="GA769" i="98"/>
  <c r="GA209" i="98"/>
  <c r="GA369" i="98"/>
  <c r="GA529" i="98"/>
  <c r="GA1169" i="98"/>
  <c r="GA1249" i="98"/>
  <c r="GA1649" i="98"/>
  <c r="GA929" i="98"/>
  <c r="GA289" i="98"/>
  <c r="GA1089" i="98"/>
  <c r="GF48" i="98"/>
  <c r="GF1408" i="98"/>
  <c r="GF288" i="98"/>
  <c r="GF448" i="98"/>
  <c r="GF368" i="98"/>
  <c r="GF848" i="98"/>
  <c r="GF1168" i="98"/>
  <c r="GF528" i="98"/>
  <c r="GF928" i="98"/>
  <c r="GF1568" i="98"/>
  <c r="GF1648" i="98"/>
  <c r="GF1248" i="98"/>
  <c r="GF608" i="98"/>
  <c r="GF1328" i="98"/>
  <c r="GF1488" i="98"/>
  <c r="GF128" i="98"/>
  <c r="GF768" i="98"/>
  <c r="GF688" i="98"/>
  <c r="GF1008" i="98"/>
  <c r="GF1088" i="98"/>
  <c r="GF208" i="98"/>
  <c r="GA48" i="98"/>
  <c r="GA1488" i="98"/>
  <c r="GA1328" i="98"/>
  <c r="GA1408" i="98"/>
  <c r="GA1248" i="98"/>
  <c r="GA1648" i="98"/>
  <c r="GA1568" i="98"/>
  <c r="GA288" i="98"/>
  <c r="GA448" i="98"/>
  <c r="GA768" i="98"/>
  <c r="GA928" i="98"/>
  <c r="GA688" i="98"/>
  <c r="GA528" i="98"/>
  <c r="GA848" i="98"/>
  <c r="GA128" i="98"/>
  <c r="GA368" i="98"/>
  <c r="GA1168" i="98"/>
  <c r="GA1008" i="98"/>
  <c r="GA608" i="98"/>
  <c r="GA208" i="98"/>
  <c r="GA1088" i="98"/>
  <c r="GC45" i="98"/>
  <c r="GC1325" i="98"/>
  <c r="GC1405" i="98"/>
  <c r="GC1485" i="98"/>
  <c r="GC1565" i="98"/>
  <c r="GC685" i="98"/>
  <c r="GC605" i="98"/>
  <c r="GC125" i="98"/>
  <c r="GC365" i="98"/>
  <c r="GC205" i="98"/>
  <c r="GC1645" i="98"/>
  <c r="GC525" i="98"/>
  <c r="GC765" i="98"/>
  <c r="GC1005" i="98"/>
  <c r="GC845" i="98"/>
  <c r="GC1245" i="98"/>
  <c r="GC1165" i="98"/>
  <c r="GC445" i="98"/>
  <c r="GC1085" i="98"/>
  <c r="GC925" i="98"/>
  <c r="GC285" i="98"/>
  <c r="GC51" i="98"/>
  <c r="GC531" i="98"/>
  <c r="GC1011" i="98"/>
  <c r="GC1331" i="98"/>
  <c r="GC1491" i="98"/>
  <c r="GC851" i="98"/>
  <c r="GC931" i="98"/>
  <c r="GC1091" i="98"/>
  <c r="GC1651" i="98"/>
  <c r="GC291" i="98"/>
  <c r="GC691" i="98"/>
  <c r="GC771" i="98"/>
  <c r="GC131" i="98"/>
  <c r="GC211" i="98"/>
  <c r="GC1171" i="98"/>
  <c r="GC611" i="98"/>
  <c r="GC1251" i="98"/>
  <c r="GC1411" i="98"/>
  <c r="GC451" i="98"/>
  <c r="GC1571" i="98"/>
  <c r="GC371" i="98"/>
  <c r="GC55" i="98"/>
  <c r="GC455" i="98"/>
  <c r="GC775" i="98"/>
  <c r="GC855" i="98"/>
  <c r="GC1655" i="98"/>
  <c r="GC215" i="98"/>
  <c r="GC375" i="98"/>
  <c r="GC295" i="98"/>
  <c r="GC1415" i="98"/>
  <c r="GC135" i="98"/>
  <c r="GC1015" i="98"/>
  <c r="GC935" i="98"/>
  <c r="GC535" i="98"/>
  <c r="GC1175" i="98"/>
  <c r="GC1575" i="98"/>
  <c r="GC615" i="98"/>
  <c r="GC1095" i="98"/>
  <c r="GC1495" i="98"/>
  <c r="GC1255" i="98"/>
  <c r="GC1335" i="98"/>
  <c r="GC695" i="98"/>
  <c r="GC42" i="98"/>
  <c r="GC202" i="98"/>
  <c r="GC1562" i="98"/>
  <c r="GC1322" i="98"/>
  <c r="GC1642" i="98"/>
  <c r="GC1162" i="98"/>
  <c r="GC602" i="98"/>
  <c r="GC682" i="98"/>
  <c r="GC1242" i="98"/>
  <c r="GC1082" i="98"/>
  <c r="GC122" i="98"/>
  <c r="GC1482" i="98"/>
  <c r="GC1002" i="98"/>
  <c r="GC842" i="98"/>
  <c r="GC362" i="98"/>
  <c r="GC762" i="98"/>
  <c r="GC522" i="98"/>
  <c r="GC282" i="98"/>
  <c r="GC442" i="98"/>
  <c r="GC1402" i="98"/>
  <c r="GC922" i="98"/>
  <c r="GC54" i="98"/>
  <c r="GC1574" i="98"/>
  <c r="GC1494" i="98"/>
  <c r="GC1094" i="98"/>
  <c r="GC694" i="98"/>
  <c r="GC774" i="98"/>
  <c r="GC214" i="98"/>
  <c r="GC294" i="98"/>
  <c r="GC134" i="98"/>
  <c r="GC1414" i="98"/>
  <c r="GC1654" i="98"/>
  <c r="GC614" i="98"/>
  <c r="GC374" i="98"/>
  <c r="GC1014" i="98"/>
  <c r="GC1334" i="98"/>
  <c r="GC1174" i="98"/>
  <c r="GC1254" i="98"/>
  <c r="GC454" i="98"/>
  <c r="GC934" i="98"/>
  <c r="GC534" i="98"/>
  <c r="GC854" i="98"/>
  <c r="GI37" i="98"/>
  <c r="GI1397" i="98"/>
  <c r="GI1317" i="98"/>
  <c r="GI1477" i="98"/>
  <c r="GI757" i="98"/>
  <c r="GI597" i="98"/>
  <c r="GI677" i="98"/>
  <c r="GI117" i="98"/>
  <c r="GI437" i="98"/>
  <c r="GI1157" i="98"/>
  <c r="GI517" i="98"/>
  <c r="GI997" i="98"/>
  <c r="GI1557" i="98"/>
  <c r="GI277" i="98"/>
  <c r="GI1637" i="98"/>
  <c r="GI917" i="98"/>
  <c r="GI837" i="98"/>
  <c r="GI357" i="98"/>
  <c r="GI197" i="98"/>
  <c r="GI1077" i="98"/>
  <c r="GI1237" i="98"/>
  <c r="GJ37" i="98"/>
  <c r="GJ1637" i="98"/>
  <c r="GJ1557" i="98"/>
  <c r="GJ1397" i="98"/>
  <c r="GJ1477" i="98"/>
  <c r="GJ1317" i="98"/>
  <c r="GJ757" i="98"/>
  <c r="GJ597" i="98"/>
  <c r="GJ677" i="98"/>
  <c r="GJ437" i="98"/>
  <c r="GJ117" i="98"/>
  <c r="GJ1157" i="98"/>
  <c r="GJ197" i="98"/>
  <c r="GJ357" i="98"/>
  <c r="GJ517" i="98"/>
  <c r="GJ277" i="98"/>
  <c r="GJ997" i="98"/>
  <c r="GJ837" i="98"/>
  <c r="GJ1077" i="98"/>
  <c r="GJ917" i="98"/>
  <c r="GJ1237" i="98"/>
  <c r="GI39" i="98"/>
  <c r="GI279" i="98"/>
  <c r="GI199" i="98"/>
  <c r="GI1159" i="98"/>
  <c r="GI359" i="98"/>
  <c r="GI1399" i="98"/>
  <c r="GI599" i="98"/>
  <c r="GI1479" i="98"/>
  <c r="GI1639" i="98"/>
  <c r="GI439" i="98"/>
  <c r="GI519" i="98"/>
  <c r="GI999" i="98"/>
  <c r="GI1239" i="98"/>
  <c r="GI759" i="98"/>
  <c r="GI919" i="98"/>
  <c r="GI1079" i="98"/>
  <c r="GI839" i="98"/>
  <c r="GI1319" i="98"/>
  <c r="GI1559" i="98"/>
  <c r="GI119" i="98"/>
  <c r="GI679" i="98"/>
  <c r="GJ38" i="98"/>
  <c r="GJ1638" i="98"/>
  <c r="GJ198" i="98"/>
  <c r="GJ1318" i="98"/>
  <c r="GJ918" i="98"/>
  <c r="GJ278" i="98"/>
  <c r="GJ838" i="98"/>
  <c r="GJ1398" i="98"/>
  <c r="GJ598" i="98"/>
  <c r="GJ678" i="98"/>
  <c r="GJ118" i="98"/>
  <c r="GJ518" i="98"/>
  <c r="GJ438" i="98"/>
  <c r="GJ1078" i="98"/>
  <c r="GJ758" i="98"/>
  <c r="GJ1558" i="98"/>
  <c r="GJ1238" i="98"/>
  <c r="GJ1478" i="98"/>
  <c r="GJ1158" i="98"/>
  <c r="GJ358" i="98"/>
  <c r="GJ998" i="98"/>
  <c r="GG40" i="98"/>
  <c r="GG1400" i="98"/>
  <c r="GG1320" i="98"/>
  <c r="GG1480" i="98"/>
  <c r="GG1240" i="98"/>
  <c r="GG360" i="98"/>
  <c r="GG520" i="98"/>
  <c r="GG280" i="98"/>
  <c r="GG680" i="98"/>
  <c r="GG1000" i="98"/>
  <c r="GG440" i="98"/>
  <c r="GG920" i="98"/>
  <c r="GG840" i="98"/>
  <c r="GG120" i="98"/>
  <c r="GG1080" i="98"/>
  <c r="GG1160" i="98"/>
  <c r="GG1640" i="98"/>
  <c r="GG1560" i="98"/>
  <c r="GG600" i="98"/>
  <c r="GG200" i="98"/>
  <c r="GG760" i="98"/>
  <c r="GF47" i="98"/>
  <c r="GF1007" i="98"/>
  <c r="GF367" i="98"/>
  <c r="GF127" i="98"/>
  <c r="GF1407" i="98"/>
  <c r="GF1247" i="98"/>
  <c r="GF1167" i="98"/>
  <c r="GF287" i="98"/>
  <c r="GF1087" i="98"/>
  <c r="GF527" i="98"/>
  <c r="GF687" i="98"/>
  <c r="GF767" i="98"/>
  <c r="GF207" i="98"/>
  <c r="GF1567" i="98"/>
  <c r="GF927" i="98"/>
  <c r="GF607" i="98"/>
  <c r="GF447" i="98"/>
  <c r="GF1327" i="98"/>
  <c r="GF1487" i="98"/>
  <c r="GF1647" i="98"/>
  <c r="GF847" i="98"/>
  <c r="GJ47" i="98"/>
  <c r="GJ287" i="98"/>
  <c r="GJ447" i="98"/>
  <c r="GJ1407" i="98"/>
  <c r="GJ1647" i="98"/>
  <c r="GJ1567" i="98"/>
  <c r="GJ127" i="98"/>
  <c r="GJ1007" i="98"/>
  <c r="GJ367" i="98"/>
  <c r="GJ1247" i="98"/>
  <c r="GJ1487" i="98"/>
  <c r="GJ1167" i="98"/>
  <c r="GJ1327" i="98"/>
  <c r="GJ207" i="98"/>
  <c r="GJ1087" i="98"/>
  <c r="GJ527" i="98"/>
  <c r="GJ687" i="98"/>
  <c r="GJ767" i="98"/>
  <c r="GJ847" i="98"/>
  <c r="GJ927" i="98"/>
  <c r="GJ607" i="98"/>
  <c r="GG50" i="98"/>
  <c r="GG1570" i="98"/>
  <c r="GG1650" i="98"/>
  <c r="GG1250" i="98"/>
  <c r="GG1170" i="98"/>
  <c r="GG1090" i="98"/>
  <c r="GG690" i="98"/>
  <c r="GG130" i="98"/>
  <c r="GG290" i="98"/>
  <c r="GG1010" i="98"/>
  <c r="GG1490" i="98"/>
  <c r="GG370" i="98"/>
  <c r="GG850" i="98"/>
  <c r="GG930" i="98"/>
  <c r="GG610" i="98"/>
  <c r="GG770" i="98"/>
  <c r="GG210" i="98"/>
  <c r="GG1410" i="98"/>
  <c r="GG450" i="98"/>
  <c r="GG530" i="98"/>
  <c r="GG1330" i="98"/>
  <c r="GL1569" i="98"/>
  <c r="GL1649" i="98"/>
  <c r="GL769" i="98"/>
  <c r="GL369" i="98"/>
  <c r="GL1409" i="98"/>
  <c r="GL289" i="98"/>
  <c r="GL529" i="98"/>
  <c r="GL689" i="98"/>
  <c r="GL1089" i="98"/>
  <c r="GL209" i="98"/>
  <c r="GL609" i="98"/>
  <c r="GL129" i="98"/>
  <c r="GL449" i="98"/>
  <c r="GL1249" i="98"/>
  <c r="GL1329" i="98"/>
  <c r="GL1489" i="98"/>
  <c r="GL1169" i="98"/>
  <c r="GL1009" i="98"/>
  <c r="GL849" i="98"/>
  <c r="GL929" i="98"/>
  <c r="GI49" i="98"/>
  <c r="GI1569" i="98"/>
  <c r="GI769" i="98"/>
  <c r="GI689" i="98"/>
  <c r="GI129" i="98"/>
  <c r="GI609" i="98"/>
  <c r="GI289" i="98"/>
  <c r="GI1409" i="98"/>
  <c r="GI1489" i="98"/>
  <c r="GI1329" i="98"/>
  <c r="GI1649" i="98"/>
  <c r="GI529" i="98"/>
  <c r="GI369" i="98"/>
  <c r="GI1009" i="98"/>
  <c r="GI449" i="98"/>
  <c r="GI209" i="98"/>
  <c r="GI1249" i="98"/>
  <c r="GI849" i="98"/>
  <c r="GI1089" i="98"/>
  <c r="GI1169" i="98"/>
  <c r="GI929" i="98"/>
  <c r="GL1408" i="98"/>
  <c r="GL368" i="98"/>
  <c r="GL288" i="98"/>
  <c r="GL848" i="98"/>
  <c r="GL528" i="98"/>
  <c r="GL928" i="98"/>
  <c r="GL1568" i="98"/>
  <c r="GL1648" i="98"/>
  <c r="GL448" i="98"/>
  <c r="GL1328" i="98"/>
  <c r="GL1488" i="98"/>
  <c r="GL1248" i="98"/>
  <c r="GL608" i="98"/>
  <c r="GL1168" i="98"/>
  <c r="GL128" i="98"/>
  <c r="GL768" i="98"/>
  <c r="GL688" i="98"/>
  <c r="GL1008" i="98"/>
  <c r="GL1088" i="98"/>
  <c r="GL208" i="98"/>
  <c r="ER44" i="98"/>
  <c r="GL49" i="98"/>
  <c r="ER43" i="98"/>
  <c r="GL48" i="98"/>
  <c r="ER35" i="98"/>
  <c r="GL39" i="98"/>
  <c r="ER42" i="98"/>
  <c r="GL47" i="98"/>
  <c r="ER33" i="98"/>
  <c r="GL37" i="98"/>
  <c r="ER34" i="98"/>
  <c r="GL38" i="98"/>
  <c r="ER36" i="98"/>
  <c r="GL40" i="98"/>
  <c r="ER45" i="98"/>
  <c r="GL50" i="98"/>
  <c r="BK282" i="83"/>
  <c r="BL282" i="83" s="1"/>
  <c r="BK247" i="83"/>
  <c r="BL247" i="83" s="1"/>
  <c r="BK59" i="83"/>
  <c r="BL59" i="83" s="1"/>
  <c r="BS3" i="83"/>
  <c r="BK55" i="83"/>
  <c r="BL55" i="83" s="1"/>
  <c r="BK83" i="83"/>
  <c r="BL83" i="83" s="1"/>
  <c r="BK42" i="83"/>
  <c r="BL42" i="83" s="1"/>
  <c r="BK78" i="83"/>
  <c r="BL78" i="83" s="1"/>
  <c r="BK90" i="83"/>
  <c r="BL90" i="83" s="1"/>
  <c r="BK89" i="83"/>
  <c r="BL89" i="83" s="1"/>
  <c r="BK52" i="83"/>
  <c r="BL52" i="83" s="1"/>
  <c r="BK36" i="83"/>
  <c r="BL36" i="83" s="1"/>
  <c r="BK49" i="83"/>
  <c r="BL49" i="83" s="1"/>
  <c r="BK98" i="83"/>
  <c r="BL98" i="83" s="1"/>
  <c r="BK85" i="83"/>
  <c r="BL85" i="83" s="1"/>
  <c r="BK97" i="83"/>
  <c r="BL97" i="83" s="1"/>
  <c r="BK8" i="83"/>
  <c r="BL8" i="83" s="1"/>
  <c r="BK34" i="83"/>
  <c r="BL34" i="83" s="1"/>
  <c r="BK58" i="83"/>
  <c r="BL58" i="83" s="1"/>
  <c r="BK50" i="83"/>
  <c r="BL50" i="83" s="1"/>
  <c r="BK92" i="83"/>
  <c r="BL92" i="83" s="1"/>
  <c r="BK82" i="83"/>
  <c r="BL82" i="83" s="1"/>
  <c r="BK99" i="83"/>
  <c r="BL99" i="83" s="1"/>
  <c r="BK100" i="83"/>
  <c r="BL100" i="83" s="1"/>
  <c r="BK87" i="83"/>
  <c r="BL87" i="83" s="1"/>
  <c r="BK71" i="83"/>
  <c r="BL71" i="83" s="1"/>
  <c r="BK80" i="83"/>
  <c r="BL80" i="83" s="1"/>
  <c r="BK57" i="83"/>
  <c r="BL57" i="83" s="1"/>
  <c r="BK105" i="83"/>
  <c r="BL105" i="83" s="1"/>
  <c r="BK72" i="83"/>
  <c r="BL72" i="83" s="1"/>
  <c r="BK51" i="83"/>
  <c r="BL51" i="83" s="1"/>
  <c r="BK67" i="83"/>
  <c r="BL67" i="83" s="1"/>
  <c r="BK41" i="83"/>
  <c r="BL41" i="83" s="1"/>
  <c r="BK17" i="83"/>
  <c r="BL17" i="83" s="1"/>
  <c r="BK64" i="83"/>
  <c r="BL64" i="83" s="1"/>
  <c r="GC40" i="98" l="1"/>
  <c r="GC1400" i="98"/>
  <c r="GC1480" i="98"/>
  <c r="GC1240" i="98"/>
  <c r="GC1160" i="98"/>
  <c r="GC1320" i="98"/>
  <c r="GC520" i="98"/>
  <c r="GC360" i="98"/>
  <c r="GC120" i="98"/>
  <c r="GC1640" i="98"/>
  <c r="GC680" i="98"/>
  <c r="GC1560" i="98"/>
  <c r="GC760" i="98"/>
  <c r="GC1000" i="98"/>
  <c r="GC280" i="98"/>
  <c r="GC920" i="98"/>
  <c r="GC1080" i="98"/>
  <c r="GC840" i="98"/>
  <c r="GC440" i="98"/>
  <c r="GC600" i="98"/>
  <c r="GC200" i="98"/>
  <c r="GC50" i="98"/>
  <c r="GC1570" i="98"/>
  <c r="GC1170" i="98"/>
  <c r="GC1090" i="98"/>
  <c r="GC1250" i="98"/>
  <c r="GC690" i="98"/>
  <c r="GC1650" i="98"/>
  <c r="GC530" i="98"/>
  <c r="GC210" i="98"/>
  <c r="GC370" i="98"/>
  <c r="GC930" i="98"/>
  <c r="GC1010" i="98"/>
  <c r="GC610" i="98"/>
  <c r="GC850" i="98"/>
  <c r="GC770" i="98"/>
  <c r="GC130" i="98"/>
  <c r="GC1490" i="98"/>
  <c r="GC1410" i="98"/>
  <c r="GC290" i="98"/>
  <c r="GC1330" i="98"/>
  <c r="GC450" i="98"/>
  <c r="GC38" i="98"/>
  <c r="GC1558" i="98"/>
  <c r="GC1318" i="98"/>
  <c r="GC1078" i="98"/>
  <c r="GC278" i="98"/>
  <c r="GC838" i="98"/>
  <c r="GC998" i="98"/>
  <c r="GC118" i="98"/>
  <c r="GC678" i="98"/>
  <c r="GC518" i="98"/>
  <c r="GC598" i="98"/>
  <c r="GC1638" i="98"/>
  <c r="GC198" i="98"/>
  <c r="GC1478" i="98"/>
  <c r="GC1398" i="98"/>
  <c r="GC358" i="98"/>
  <c r="GC918" i="98"/>
  <c r="GC438" i="98"/>
  <c r="GC1158" i="98"/>
  <c r="GC1238" i="98"/>
  <c r="GC758" i="98"/>
  <c r="GC48" i="98"/>
  <c r="GC1408" i="98"/>
  <c r="GC1488" i="98"/>
  <c r="GC1328" i="98"/>
  <c r="GC1248" i="98"/>
  <c r="GC448" i="98"/>
  <c r="GC288" i="98"/>
  <c r="GC688" i="98"/>
  <c r="GC848" i="98"/>
  <c r="GC528" i="98"/>
  <c r="GC768" i="98"/>
  <c r="GC928" i="98"/>
  <c r="GC128" i="98"/>
  <c r="GC1568" i="98"/>
  <c r="GC1648" i="98"/>
  <c r="GC368" i="98"/>
  <c r="GC1168" i="98"/>
  <c r="GC1008" i="98"/>
  <c r="GC608" i="98"/>
  <c r="GC208" i="98"/>
  <c r="GC1088" i="98"/>
  <c r="GC37" i="98"/>
  <c r="GC1397" i="98"/>
  <c r="GC1477" i="98"/>
  <c r="GC1317" i="98"/>
  <c r="GC757" i="98"/>
  <c r="GC677" i="98"/>
  <c r="GC437" i="98"/>
  <c r="GC597" i="98"/>
  <c r="GC117" i="98"/>
  <c r="GC357" i="98"/>
  <c r="GC1157" i="98"/>
  <c r="GC517" i="98"/>
  <c r="GC197" i="98"/>
  <c r="GC997" i="98"/>
  <c r="GC1557" i="98"/>
  <c r="GC837" i="98"/>
  <c r="GC1637" i="98"/>
  <c r="GC277" i="98"/>
  <c r="GC1237" i="98"/>
  <c r="GC917" i="98"/>
  <c r="GC1077" i="98"/>
  <c r="GC39" i="98"/>
  <c r="GC279" i="98"/>
  <c r="GC199" i="98"/>
  <c r="GC1159" i="98"/>
  <c r="GC1639" i="98"/>
  <c r="GC1559" i="98"/>
  <c r="GC999" i="98"/>
  <c r="GC1479" i="98"/>
  <c r="GC359" i="98"/>
  <c r="GC519" i="98"/>
  <c r="GC439" i="98"/>
  <c r="GC599" i="98"/>
  <c r="GC839" i="98"/>
  <c r="GC1319" i="98"/>
  <c r="GC1399" i="98"/>
  <c r="GC1079" i="98"/>
  <c r="GC119" i="98"/>
  <c r="GC1239" i="98"/>
  <c r="GC679" i="98"/>
  <c r="GC919" i="98"/>
  <c r="GC759" i="98"/>
  <c r="GC49" i="98"/>
  <c r="GC1329" i="98"/>
  <c r="GC1649" i="98"/>
  <c r="GC1489" i="98"/>
  <c r="GC769" i="98"/>
  <c r="GC689" i="98"/>
  <c r="GC129" i="98"/>
  <c r="GC289" i="98"/>
  <c r="GC1409" i="98"/>
  <c r="GC849" i="98"/>
  <c r="GC449" i="98"/>
  <c r="GC1009" i="98"/>
  <c r="GC609" i="98"/>
  <c r="GC529" i="98"/>
  <c r="GC369" i="98"/>
  <c r="GC209" i="98"/>
  <c r="GC1249" i="98"/>
  <c r="GC1169" i="98"/>
  <c r="GC1569" i="98"/>
  <c r="GC929" i="98"/>
  <c r="GC1089" i="98"/>
  <c r="GC47" i="98"/>
  <c r="GC527" i="98"/>
  <c r="GC367" i="98"/>
  <c r="GC127" i="98"/>
  <c r="GC1407" i="98"/>
  <c r="GC447" i="98"/>
  <c r="GC1167" i="98"/>
  <c r="GC687" i="98"/>
  <c r="GC287" i="98"/>
  <c r="GC767" i="98"/>
  <c r="GC207" i="98"/>
  <c r="GC847" i="98"/>
  <c r="GC1647" i="98"/>
  <c r="GC1087" i="98"/>
  <c r="GC1327" i="98"/>
  <c r="GC1487" i="98"/>
  <c r="GC927" i="98"/>
  <c r="GC607" i="98"/>
  <c r="GC1247" i="98"/>
  <c r="GC1567" i="98"/>
  <c r="GC1007" i="98"/>
</calcChain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最大，最多可按1折卖</t>
        </r>
      </text>
    </comment>
    <comment ref="C6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不限次数的价格
大R按0.5钻算
月卡谨慎按0.1钻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  <comment ref="G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H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AA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</commentList>
</comments>
</file>

<file path=xl/sharedStrings.xml><?xml version="1.0" encoding="utf-8"?>
<sst xmlns="http://schemas.openxmlformats.org/spreadsheetml/2006/main" count="8075" uniqueCount="1449">
  <si>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</si>
  <si>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</si>
  <si>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</si>
  <si>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</si>
  <si>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</si>
  <si>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</si>
  <si>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</si>
  <si>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</si>
  <si>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</si>
  <si>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</si>
  <si>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</si>
  <si>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</si>
  <si>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</si>
  <si>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《银镇魂街》经济总表</t>
    <phoneticPr fontId="4" type="noConversion"/>
  </si>
  <si>
    <t>经济总表</t>
    <phoneticPr fontId="4" type="noConversion"/>
  </si>
  <si>
    <t>游戏的产销</t>
    <phoneticPr fontId="2" type="noConversion"/>
  </si>
  <si>
    <t>道具</t>
    <phoneticPr fontId="2" type="noConversion"/>
  </si>
  <si>
    <t>初级三才</t>
    <phoneticPr fontId="2" type="noConversion"/>
  </si>
  <si>
    <t>中级三才</t>
    <phoneticPr fontId="2" type="noConversion"/>
  </si>
  <si>
    <t>高级三才</t>
    <phoneticPr fontId="2" type="noConversion"/>
  </si>
  <si>
    <t>价值金币</t>
    <phoneticPr fontId="2" type="noConversion"/>
  </si>
  <si>
    <t>价值钻石</t>
    <phoneticPr fontId="2" type="noConversion"/>
  </si>
  <si>
    <t>钻石</t>
    <phoneticPr fontId="2" type="noConversion"/>
  </si>
  <si>
    <t>五行修身</t>
    <phoneticPr fontId="2" type="noConversion"/>
  </si>
  <si>
    <t>芦花币</t>
    <phoneticPr fontId="2" type="noConversion"/>
  </si>
  <si>
    <t>SSR专属武器碎片</t>
    <phoneticPr fontId="2" type="noConversion"/>
  </si>
  <si>
    <t>SR专属武器碎片</t>
    <phoneticPr fontId="2" type="noConversion"/>
  </si>
  <si>
    <t>R卡寄灵人碎片</t>
    <phoneticPr fontId="2" type="noConversion"/>
  </si>
  <si>
    <t>SR卡寄灵人碎片</t>
    <phoneticPr fontId="2" type="noConversion"/>
  </si>
  <si>
    <t>SSR卡寄灵人碎片</t>
    <phoneticPr fontId="2" type="noConversion"/>
  </si>
  <si>
    <t>R卡守护灵碎片</t>
    <phoneticPr fontId="2" type="noConversion"/>
  </si>
  <si>
    <t>SR卡守护灵碎片</t>
    <phoneticPr fontId="2" type="noConversion"/>
  </si>
  <si>
    <t>SSR卡守护灵碎片</t>
    <phoneticPr fontId="2" type="noConversion"/>
  </si>
  <si>
    <t>RowId</t>
    <phoneticPr fontId="2" type="noConversion"/>
  </si>
  <si>
    <t>Cha</t>
    <phoneticPr fontId="2" type="noConversion"/>
  </si>
  <si>
    <t>Level</t>
    <phoneticPr fontId="2" type="noConversion"/>
  </si>
  <si>
    <t>Exp</t>
    <phoneticPr fontId="2" type="noConversion"/>
  </si>
  <si>
    <t>等级</t>
    <phoneticPr fontId="2" type="noConversion"/>
  </si>
  <si>
    <t>经验</t>
    <phoneticPr fontId="2" type="noConversion"/>
  </si>
  <si>
    <t>Exp</t>
    <phoneticPr fontId="2" type="noConversion"/>
  </si>
  <si>
    <t>困难</t>
    <phoneticPr fontId="2" type="noConversion"/>
  </si>
  <si>
    <t>芦花古楼</t>
  </si>
  <si>
    <t>总和</t>
    <phoneticPr fontId="2" type="noConversion"/>
  </si>
  <si>
    <t>主线任务</t>
    <phoneticPr fontId="2" type="noConversion"/>
  </si>
  <si>
    <t>占比</t>
    <phoneticPr fontId="2" type="noConversion"/>
  </si>
  <si>
    <t>计算值</t>
    <phoneticPr fontId="2" type="noConversion"/>
  </si>
  <si>
    <t>权重</t>
    <phoneticPr fontId="2" type="noConversion"/>
  </si>
  <si>
    <t>挂机扫荡</t>
    <phoneticPr fontId="2" type="noConversion"/>
  </si>
  <si>
    <t>Lv</t>
    <phoneticPr fontId="2" type="noConversion"/>
  </si>
  <si>
    <t>Exp</t>
    <phoneticPr fontId="2" type="noConversion"/>
  </si>
  <si>
    <t>日常任务</t>
    <phoneticPr fontId="2" type="noConversion"/>
  </si>
  <si>
    <t>购买游戏币</t>
  </si>
  <si>
    <t>世界留言</t>
  </si>
  <si>
    <t>守护灵升级</t>
  </si>
  <si>
    <t>技能升级</t>
  </si>
  <si>
    <t>专属武器强化</t>
  </si>
  <si>
    <t>获取技能经验</t>
  </si>
  <si>
    <t>神器升级</t>
  </si>
  <si>
    <t>普通守护灵扭蛋</t>
  </si>
  <si>
    <t>杂货店采购</t>
  </si>
  <si>
    <t>个人竞技</t>
  </si>
  <si>
    <t>Exp</t>
    <phoneticPr fontId="2" type="noConversion"/>
  </si>
  <si>
    <t>Title</t>
    <phoneticPr fontId="2" type="noConversion"/>
  </si>
  <si>
    <t>ExpWeight</t>
    <phoneticPr fontId="2" type="noConversion"/>
  </si>
  <si>
    <t>经验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</si>
  <si>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</si>
  <si>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</si>
  <si>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</si>
  <si>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</si>
  <si>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芦花币</t>
    <phoneticPr fontId="2" type="noConversion"/>
  </si>
  <si>
    <t>金币</t>
    <phoneticPr fontId="2" type="noConversion"/>
  </si>
  <si>
    <t>雪</t>
    <phoneticPr fontId="2" type="noConversion"/>
  </si>
  <si>
    <t>月</t>
    <phoneticPr fontId="2" type="noConversion"/>
  </si>
  <si>
    <t>层数</t>
    <phoneticPr fontId="2" type="noConversion"/>
  </si>
  <si>
    <t>时间</t>
    <phoneticPr fontId="2" type="noConversion"/>
  </si>
  <si>
    <t>时间</t>
    <phoneticPr fontId="2" type="noConversion"/>
  </si>
  <si>
    <t>等级</t>
    <phoneticPr fontId="2" type="noConversion"/>
  </si>
  <si>
    <t>碎片数</t>
    <phoneticPr fontId="2" type="noConversion"/>
  </si>
  <si>
    <t>芦花币.E</t>
    <phoneticPr fontId="2" type="noConversion"/>
  </si>
  <si>
    <t>金币.F</t>
    <phoneticPr fontId="2" type="noConversion"/>
  </si>
  <si>
    <t>芦花币总产出100天</t>
    <phoneticPr fontId="2" type="noConversion"/>
  </si>
  <si>
    <t>普通第四章</t>
    <phoneticPr fontId="2" type="noConversion"/>
  </si>
  <si>
    <t>等级段</t>
    <phoneticPr fontId="2" type="noConversion"/>
  </si>
  <si>
    <t>停留时间</t>
    <phoneticPr fontId="2" type="noConversion"/>
  </si>
  <si>
    <t>自然</t>
    <phoneticPr fontId="2" type="noConversion"/>
  </si>
  <si>
    <t>活跃</t>
    <phoneticPr fontId="2" type="noConversion"/>
  </si>
  <si>
    <t>每日钻石</t>
    <phoneticPr fontId="2" type="noConversion"/>
  </si>
  <si>
    <t>月卡钻石</t>
    <phoneticPr fontId="2" type="noConversion"/>
  </si>
  <si>
    <t>月卡高活</t>
    <phoneticPr fontId="2" type="noConversion"/>
  </si>
  <si>
    <t>极限扫荡</t>
    <phoneticPr fontId="2" type="noConversion"/>
  </si>
  <si>
    <t>商店售价</t>
    <phoneticPr fontId="2" type="noConversion"/>
  </si>
  <si>
    <t>计算描述</t>
    <phoneticPr fontId="2" type="noConversion"/>
  </si>
  <si>
    <t>扫荡赠送</t>
    <phoneticPr fontId="2" type="noConversion"/>
  </si>
  <si>
    <t>月卡时间</t>
    <phoneticPr fontId="2" type="noConversion"/>
  </si>
  <si>
    <t>章节数</t>
    <phoneticPr fontId="2" type="noConversion"/>
  </si>
  <si>
    <t>挂机</t>
    <phoneticPr fontId="2" type="noConversion"/>
  </si>
  <si>
    <t>Coin</t>
  </si>
  <si>
    <t>Golst</t>
    <phoneticPr fontId="2" type="noConversion"/>
  </si>
  <si>
    <t>挂机设计</t>
    <phoneticPr fontId="2" type="noConversion"/>
  </si>
  <si>
    <t>n</t>
    <phoneticPr fontId="2" type="noConversion"/>
  </si>
  <si>
    <t>n</t>
    <phoneticPr fontId="2" type="noConversion"/>
  </si>
  <si>
    <t>n</t>
    <phoneticPr fontId="2" type="noConversion"/>
  </si>
  <si>
    <t>Coin</t>
    <phoneticPr fontId="2" type="noConversion"/>
  </si>
  <si>
    <t>d</t>
    <phoneticPr fontId="2" type="noConversion"/>
  </si>
  <si>
    <t>Golst</t>
    <phoneticPr fontId="2" type="noConversion"/>
  </si>
  <si>
    <t>Golst</t>
    <phoneticPr fontId="2" type="noConversion"/>
  </si>
  <si>
    <t>d</t>
    <phoneticPr fontId="2" type="noConversion"/>
  </si>
  <si>
    <t>普通关卡</t>
    <phoneticPr fontId="2" type="noConversion"/>
  </si>
  <si>
    <t>n</t>
    <phoneticPr fontId="2" type="noConversion"/>
  </si>
  <si>
    <t>Exp</t>
    <phoneticPr fontId="2" type="noConversion"/>
  </si>
  <si>
    <t>Coin</t>
    <phoneticPr fontId="2" type="noConversion"/>
  </si>
  <si>
    <t>n</t>
    <phoneticPr fontId="2" type="noConversion"/>
  </si>
  <si>
    <t>num</t>
    <phoneticPr fontId="2" type="noConversion"/>
  </si>
  <si>
    <t>困难关卡</t>
    <phoneticPr fontId="2" type="noConversion"/>
  </si>
  <si>
    <t>Cha</t>
    <phoneticPr fontId="2" type="noConversion"/>
  </si>
  <si>
    <t>n</t>
    <phoneticPr fontId="2" type="noConversion"/>
  </si>
  <si>
    <t>Cha</t>
    <phoneticPr fontId="2" type="noConversion"/>
  </si>
  <si>
    <t>Cha</t>
    <phoneticPr fontId="2" type="noConversion"/>
  </si>
  <si>
    <t>芦花风</t>
    <phoneticPr fontId="2" type="noConversion"/>
  </si>
  <si>
    <t>芦花花</t>
    <phoneticPr fontId="2" type="noConversion"/>
  </si>
  <si>
    <t>芦花雪</t>
    <phoneticPr fontId="2" type="noConversion"/>
  </si>
  <si>
    <t>芦花月</t>
    <phoneticPr fontId="2" type="noConversion"/>
  </si>
  <si>
    <t>困难第4章</t>
    <phoneticPr fontId="2" type="noConversion"/>
  </si>
  <si>
    <t>章节</t>
    <phoneticPr fontId="2" type="noConversion"/>
  </si>
  <si>
    <t>挂机</t>
    <phoneticPr fontId="2" type="noConversion"/>
  </si>
  <si>
    <t>关卡首通</t>
    <phoneticPr fontId="2" type="noConversion"/>
  </si>
  <si>
    <t>花首通</t>
    <phoneticPr fontId="2" type="noConversion"/>
  </si>
  <si>
    <t>雪首通</t>
    <phoneticPr fontId="2" type="noConversion"/>
  </si>
  <si>
    <t>月首通</t>
    <phoneticPr fontId="2" type="noConversion"/>
  </si>
  <si>
    <t>困难首通</t>
    <phoneticPr fontId="2" type="noConversion"/>
  </si>
  <si>
    <t>停留</t>
    <phoneticPr fontId="2" type="noConversion"/>
  </si>
  <si>
    <t>金币获取</t>
    <phoneticPr fontId="2" type="noConversion"/>
  </si>
  <si>
    <t>单人Boss</t>
    <phoneticPr fontId="2" type="noConversion"/>
  </si>
  <si>
    <t>扫荡时间</t>
    <phoneticPr fontId="2" type="noConversion"/>
  </si>
  <si>
    <t>1分钟挂机</t>
    <phoneticPr fontId="2" type="noConversion"/>
  </si>
  <si>
    <t>风首通</t>
    <phoneticPr fontId="2" type="noConversion"/>
  </si>
  <si>
    <t>加总</t>
    <phoneticPr fontId="2" type="noConversion"/>
  </si>
  <si>
    <t>GOLD</t>
    <phoneticPr fontId="2" type="noConversion"/>
  </si>
  <si>
    <t>每日任务</t>
    <phoneticPr fontId="2" type="noConversion"/>
  </si>
  <si>
    <t>停留扫荡</t>
    <phoneticPr fontId="2" type="noConversion"/>
  </si>
  <si>
    <t>等级</t>
    <phoneticPr fontId="2" type="noConversion"/>
  </si>
  <si>
    <t>绿材料</t>
  </si>
  <si>
    <t>蓝材料</t>
  </si>
  <si>
    <t>紫材料</t>
  </si>
  <si>
    <t>橙材料</t>
  </si>
  <si>
    <t>要求等级</t>
    <phoneticPr fontId="2" type="noConversion"/>
  </si>
  <si>
    <t>产率</t>
    <phoneticPr fontId="2" type="noConversion"/>
  </si>
  <si>
    <t>间隔</t>
    <phoneticPr fontId="2" type="noConversion"/>
  </si>
  <si>
    <t>挂机队伍</t>
    <phoneticPr fontId="2" type="noConversion"/>
  </si>
  <si>
    <t>点数</t>
    <phoneticPr fontId="2" type="noConversion"/>
  </si>
  <si>
    <t>ChaId</t>
    <phoneticPr fontId="2" type="noConversion"/>
  </si>
  <si>
    <t>Pct</t>
    <phoneticPr fontId="2" type="noConversion"/>
  </si>
  <si>
    <t>产出倍数</t>
    <phoneticPr fontId="2" type="noConversion"/>
  </si>
  <si>
    <t>守护灵数</t>
    <phoneticPr fontId="2" type="noConversion"/>
  </si>
  <si>
    <t>守护灵数</t>
    <phoneticPr fontId="2" type="noConversion"/>
  </si>
  <si>
    <t>产出加总</t>
    <phoneticPr fontId="2" type="noConversion"/>
  </si>
  <si>
    <t>挂机占比</t>
    <phoneticPr fontId="2" type="noConversion"/>
  </si>
  <si>
    <t>星星宝箱</t>
    <phoneticPr fontId="2" type="noConversion"/>
  </si>
  <si>
    <t>运营活动</t>
    <phoneticPr fontId="2" type="noConversion"/>
  </si>
  <si>
    <t>消耗总量</t>
    <phoneticPr fontId="2" type="noConversion"/>
  </si>
  <si>
    <t>金币购买</t>
    <phoneticPr fontId="2" type="noConversion"/>
  </si>
  <si>
    <t>守护灵经验</t>
    <phoneticPr fontId="2" type="noConversion"/>
  </si>
  <si>
    <t>金币</t>
    <phoneticPr fontId="2" type="noConversion"/>
  </si>
  <si>
    <t>Gold</t>
    <phoneticPr fontId="2" type="noConversion"/>
  </si>
  <si>
    <t>Ghost</t>
    <phoneticPr fontId="2" type="noConversion"/>
  </si>
  <si>
    <t>等级段金币</t>
    <phoneticPr fontId="2" type="noConversion"/>
  </si>
  <si>
    <t>阶段百分比</t>
    <phoneticPr fontId="2" type="noConversion"/>
  </si>
  <si>
    <t>金币消耗</t>
    <phoneticPr fontId="2" type="noConversion"/>
  </si>
  <si>
    <t>培养队伍</t>
    <phoneticPr fontId="2" type="noConversion"/>
  </si>
  <si>
    <t>品质影响</t>
    <phoneticPr fontId="2" type="noConversion"/>
  </si>
  <si>
    <t>N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</si>
  <si>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</si>
  <si>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</si>
  <si>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</si>
  <si>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类型</t>
    <phoneticPr fontId="2" type="noConversion"/>
  </si>
  <si>
    <t>基础材料</t>
    <phoneticPr fontId="2" type="noConversion"/>
  </si>
  <si>
    <t>ID</t>
    <phoneticPr fontId="2" type="noConversion"/>
  </si>
  <si>
    <t>名字</t>
    <phoneticPr fontId="2" type="noConversion"/>
  </si>
  <si>
    <t>品质</t>
    <phoneticPr fontId="2" type="noConversion"/>
  </si>
  <si>
    <t>碎片</t>
    <phoneticPr fontId="2" type="noConversion"/>
  </si>
  <si>
    <t>颜色</t>
    <phoneticPr fontId="2" type="noConversion"/>
  </si>
  <si>
    <t>卡牌碎片</t>
    <phoneticPr fontId="2" type="noConversion"/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</si>
  <si>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</si>
  <si>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</si>
  <si>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</si>
  <si>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</si>
  <si>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</si>
  <si>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</si>
  <si>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</si>
  <si>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</si>
  <si>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</si>
  <si>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</si>
  <si>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</si>
  <si>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</si>
  <si>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</si>
  <si>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</si>
  <si>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</si>
  <si>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</si>
  <si>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</si>
  <si>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</si>
  <si>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</si>
  <si>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</si>
  <si>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</si>
  <si>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ID</t>
    <phoneticPr fontId="2" type="noConversion"/>
  </si>
  <si>
    <t>红色基础材料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</si>
  <si>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</si>
  <si>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</si>
  <si>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</si>
  <si>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</si>
  <si>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材料1</t>
    <phoneticPr fontId="2" type="noConversion"/>
  </si>
  <si>
    <t>材料2</t>
    <phoneticPr fontId="2" type="noConversion"/>
  </si>
  <si>
    <t>材料3</t>
    <phoneticPr fontId="2" type="noConversion"/>
  </si>
  <si>
    <t>蓝</t>
    <phoneticPr fontId="2" type="noConversion"/>
  </si>
  <si>
    <t>初级专属强化石</t>
    <phoneticPr fontId="2" type="noConversion"/>
  </si>
  <si>
    <t>中级专属强化石</t>
    <phoneticPr fontId="2" type="noConversion"/>
  </si>
  <si>
    <t>高级专属强化石</t>
    <phoneticPr fontId="2" type="noConversion"/>
  </si>
  <si>
    <t>n</t>
    <phoneticPr fontId="2" type="noConversion"/>
  </si>
  <si>
    <t>StarGold</t>
    <phoneticPr fontId="2" type="noConversion"/>
  </si>
  <si>
    <t>普通星星</t>
    <phoneticPr fontId="2" type="noConversion"/>
  </si>
  <si>
    <t>困难星星</t>
    <phoneticPr fontId="2" type="noConversion"/>
  </si>
  <si>
    <t>阶段2</t>
  </si>
  <si>
    <t>阶段3</t>
  </si>
  <si>
    <t>阶段4</t>
  </si>
  <si>
    <t>等级Min</t>
    <phoneticPr fontId="2" type="noConversion"/>
  </si>
  <si>
    <t>期望</t>
    <phoneticPr fontId="2" type="noConversion"/>
  </si>
  <si>
    <t>折扣</t>
    <phoneticPr fontId="2" type="noConversion"/>
  </si>
  <si>
    <t>坑</t>
    <phoneticPr fontId="2" type="noConversion"/>
  </si>
  <si>
    <t>比例</t>
    <phoneticPr fontId="2" type="noConversion"/>
  </si>
  <si>
    <t>产出总价</t>
    <phoneticPr fontId="2" type="noConversion"/>
  </si>
  <si>
    <t>专属武器</t>
    <phoneticPr fontId="2" type="noConversion"/>
  </si>
  <si>
    <t>Loc</t>
    <phoneticPr fontId="2" type="noConversion"/>
  </si>
  <si>
    <t>位置2</t>
  </si>
  <si>
    <t>关卡ID</t>
    <phoneticPr fontId="2" type="noConversion"/>
  </si>
  <si>
    <t>门</t>
    <phoneticPr fontId="2" type="noConversion"/>
  </si>
  <si>
    <t>辅助列</t>
    <phoneticPr fontId="2" type="noConversion"/>
  </si>
  <si>
    <t>关卡位</t>
    <phoneticPr fontId="2" type="noConversion"/>
  </si>
  <si>
    <t>首通ID1</t>
    <phoneticPr fontId="2" type="noConversion"/>
  </si>
  <si>
    <t>首通值1</t>
    <phoneticPr fontId="2" type="noConversion"/>
  </si>
  <si>
    <t>首通ID2</t>
  </si>
  <si>
    <t>首通值2</t>
  </si>
  <si>
    <t>首通ID3</t>
  </si>
  <si>
    <t>首通值3</t>
  </si>
  <si>
    <t>每日奖励ID1</t>
    <phoneticPr fontId="2" type="noConversion"/>
  </si>
  <si>
    <t>每日奖励值1</t>
    <phoneticPr fontId="2" type="noConversion"/>
  </si>
  <si>
    <t>每日奖励ID2</t>
  </si>
  <si>
    <t>每日奖励值2</t>
  </si>
  <si>
    <t>每日奖励ID3</t>
    <phoneticPr fontId="2" type="noConversion"/>
  </si>
  <si>
    <t>每日奖励值3</t>
    <phoneticPr fontId="2" type="noConversion"/>
  </si>
  <si>
    <t>战场特效</t>
    <phoneticPr fontId="2" type="noConversion"/>
  </si>
  <si>
    <t>描述</t>
    <phoneticPr fontId="2" type="noConversion"/>
  </si>
  <si>
    <t>立绘</t>
    <phoneticPr fontId="2" type="noConversion"/>
  </si>
  <si>
    <t>头像</t>
    <phoneticPr fontId="2" type="noConversion"/>
  </si>
  <si>
    <t>地图坐标</t>
    <phoneticPr fontId="2" type="noConversion"/>
  </si>
  <si>
    <t>是否开放</t>
    <phoneticPr fontId="2" type="noConversion"/>
  </si>
  <si>
    <t>怪物1</t>
    <phoneticPr fontId="2" type="noConversion"/>
  </si>
  <si>
    <t>怪物2</t>
  </si>
  <si>
    <t>怪物3</t>
  </si>
  <si>
    <t>Lvs</t>
    <phoneticPr fontId="2" type="noConversion"/>
  </si>
  <si>
    <t>RowId</t>
    <phoneticPr fontId="2" type="noConversion"/>
  </si>
  <si>
    <t>Cha</t>
    <phoneticPr fontId="2" type="noConversion"/>
  </si>
  <si>
    <t>Loc</t>
    <phoneticPr fontId="2" type="noConversion"/>
  </si>
  <si>
    <t>Award[2].id</t>
  </si>
  <si>
    <t>Award[2].num</t>
  </si>
  <si>
    <t>n1</t>
    <phoneticPr fontId="2" type="noConversion"/>
  </si>
  <si>
    <t>n2</t>
  </si>
  <si>
    <t>金币</t>
    <phoneticPr fontId="2" type="noConversion"/>
  </si>
  <si>
    <t>钻石</t>
    <phoneticPr fontId="2" type="noConversion"/>
  </si>
  <si>
    <t>普通章节宝箱</t>
    <phoneticPr fontId="2" type="noConversion"/>
  </si>
  <si>
    <t>困难章节宝箱</t>
    <phoneticPr fontId="2" type="noConversion"/>
  </si>
  <si>
    <t>Cha</t>
    <phoneticPr fontId="2" type="noConversion"/>
  </si>
  <si>
    <t>钻石</t>
    <phoneticPr fontId="2" type="noConversion"/>
  </si>
  <si>
    <t>守护灵抽卡券</t>
  </si>
  <si>
    <t>初级神器1配件2</t>
  </si>
  <si>
    <t>初级神器2配件1</t>
  </si>
  <si>
    <t>初级神器2配件2</t>
  </si>
  <si>
    <t>中级神器1配件1</t>
  </si>
  <si>
    <t>中级神器1配件2</t>
  </si>
  <si>
    <t>中级神器1配件3</t>
  </si>
  <si>
    <t>中级神器1配件4</t>
  </si>
  <si>
    <t>中级神器2配件1</t>
  </si>
  <si>
    <t>中级神器2配件2</t>
  </si>
  <si>
    <t>中级神器2配件3</t>
  </si>
  <si>
    <t>中级神器2配件4</t>
  </si>
  <si>
    <t>神器低级材料</t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</si>
  <si>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</si>
  <si>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</si>
  <si>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</si>
  <si>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</si>
  <si>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登录</t>
  </si>
  <si>
    <t>使用1次牧守令</t>
  </si>
  <si>
    <t>恶灵入侵</t>
  </si>
  <si>
    <t>神器惊喜宝箱</t>
    <phoneticPr fontId="2" type="noConversion"/>
  </si>
  <si>
    <t>卡牌经验</t>
    <phoneticPr fontId="2" type="noConversion"/>
  </si>
  <si>
    <t>等级段</t>
    <phoneticPr fontId="2" type="noConversion"/>
  </si>
  <si>
    <t>等级</t>
    <phoneticPr fontId="2" type="noConversion"/>
  </si>
  <si>
    <t>经验</t>
    <phoneticPr fontId="2" type="noConversion"/>
  </si>
  <si>
    <t>挂机经验</t>
    <phoneticPr fontId="2" type="noConversion"/>
  </si>
  <si>
    <t>普通关卡</t>
    <phoneticPr fontId="2" type="noConversion"/>
  </si>
  <si>
    <t>普通章节</t>
    <phoneticPr fontId="2" type="noConversion"/>
  </si>
  <si>
    <t>困难关卡</t>
    <phoneticPr fontId="2" type="noConversion"/>
  </si>
  <si>
    <t>困难章节</t>
    <phoneticPr fontId="2" type="noConversion"/>
  </si>
  <si>
    <t>加总</t>
    <phoneticPr fontId="2" type="noConversion"/>
  </si>
  <si>
    <t>百分比</t>
    <phoneticPr fontId="2" type="noConversion"/>
  </si>
  <si>
    <t>总经验</t>
    <phoneticPr fontId="2" type="noConversion"/>
  </si>
  <si>
    <t>培养卡牌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</si>
  <si>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</si>
  <si>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</si>
  <si>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</si>
  <si>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比例</t>
    <phoneticPr fontId="2" type="noConversion"/>
  </si>
  <si>
    <t>队伍</t>
    <phoneticPr fontId="2" type="noConversion"/>
  </si>
  <si>
    <t>章节</t>
    <phoneticPr fontId="2" type="noConversion"/>
  </si>
  <si>
    <t>品质</t>
    <phoneticPr fontId="2" type="noConversion"/>
  </si>
  <si>
    <t>Row</t>
    <phoneticPr fontId="2" type="noConversion"/>
  </si>
  <si>
    <t>Row</t>
    <phoneticPr fontId="2" type="noConversion"/>
  </si>
  <si>
    <t>Module</t>
    <phoneticPr fontId="2" type="noConversion"/>
  </si>
  <si>
    <t>Module</t>
    <phoneticPr fontId="2" type="noConversion"/>
  </si>
  <si>
    <t>ModuleId</t>
    <phoneticPr fontId="2" type="noConversion"/>
  </si>
  <si>
    <t>#note</t>
    <phoneticPr fontId="2" type="noConversion"/>
  </si>
  <si>
    <t>Qua</t>
    <phoneticPr fontId="2" type="noConversion"/>
  </si>
  <si>
    <t>Lv</t>
    <phoneticPr fontId="2" type="noConversion"/>
  </si>
  <si>
    <t>Sum</t>
    <phoneticPr fontId="2" type="noConversion"/>
  </si>
  <si>
    <t>神器1-1</t>
  </si>
  <si>
    <t>神器1-2</t>
  </si>
  <si>
    <t>神器1-3</t>
  </si>
  <si>
    <t>神器2-1</t>
  </si>
  <si>
    <t>神器2-2</t>
  </si>
  <si>
    <t>神器2-3</t>
  </si>
  <si>
    <t>神器2-4</t>
  </si>
  <si>
    <t>神器2-5</t>
  </si>
  <si>
    <t>神器3-1</t>
  </si>
  <si>
    <t>神器3-2</t>
  </si>
  <si>
    <t>神器3-3</t>
  </si>
  <si>
    <t>神器3-4</t>
  </si>
  <si>
    <t>神器3-5</t>
  </si>
  <si>
    <t>神器3-6</t>
  </si>
  <si>
    <t>神器4-1</t>
  </si>
  <si>
    <t>神器4-2</t>
  </si>
  <si>
    <t>神器4-3</t>
  </si>
  <si>
    <t>神器4-4</t>
  </si>
  <si>
    <t>神器4-5</t>
  </si>
  <si>
    <t>神器4-6</t>
  </si>
  <si>
    <t>神器5-1</t>
  </si>
  <si>
    <t>神器5-2</t>
  </si>
  <si>
    <t>神器5-3</t>
  </si>
  <si>
    <t>神器5-4</t>
  </si>
  <si>
    <t>神器5-5</t>
  </si>
  <si>
    <t>神器5-6</t>
  </si>
  <si>
    <t>神器6-1</t>
  </si>
  <si>
    <t>神器6-2</t>
  </si>
  <si>
    <t>神器6-3</t>
  </si>
  <si>
    <t>神器6-4</t>
  </si>
  <si>
    <t>神器6-5</t>
  </si>
  <si>
    <t>神器6-6</t>
  </si>
  <si>
    <t>神器6-7</t>
  </si>
  <si>
    <t>神器6-8</t>
  </si>
  <si>
    <t>神器7-1</t>
  </si>
  <si>
    <t>神器7-2</t>
  </si>
  <si>
    <t>神器7-3</t>
  </si>
  <si>
    <t>神器7-4</t>
  </si>
  <si>
    <t>神器7-5</t>
  </si>
  <si>
    <t>神器7-6</t>
  </si>
  <si>
    <t>神器7-7</t>
  </si>
  <si>
    <t>神器7-8</t>
  </si>
  <si>
    <t>两仪剑</t>
  </si>
  <si>
    <t>无界之爪</t>
  </si>
  <si>
    <t>踏雪白狼</t>
  </si>
  <si>
    <t>大荒紫电</t>
  </si>
  <si>
    <t>十殿阎罗</t>
  </si>
  <si>
    <t>大夏龙雀</t>
  </si>
  <si>
    <t>阿波普之刃</t>
  </si>
  <si>
    <t>#note</t>
    <phoneticPr fontId="2" type="noConversion"/>
  </si>
  <si>
    <t>Qua</t>
    <phoneticPr fontId="2" type="noConversion"/>
  </si>
  <si>
    <t>金币</t>
  </si>
  <si>
    <t>芦花币</t>
  </si>
  <si>
    <t>初级神器1配件1</t>
  </si>
  <si>
    <t>价值</t>
    <phoneticPr fontId="2" type="noConversion"/>
  </si>
  <si>
    <t>橙</t>
    <phoneticPr fontId="2" type="noConversion"/>
  </si>
  <si>
    <t>芦花币.F</t>
    <phoneticPr fontId="2" type="noConversion"/>
  </si>
  <si>
    <t>芦花币.sum</t>
    <phoneticPr fontId="2" type="noConversion"/>
  </si>
  <si>
    <t>初强.E</t>
    <phoneticPr fontId="2" type="noConversion"/>
  </si>
  <si>
    <t>初强.sum</t>
    <phoneticPr fontId="2" type="noConversion"/>
  </si>
  <si>
    <t>普通</t>
    <phoneticPr fontId="3" type="noConversion"/>
  </si>
  <si>
    <t>阎风吒</t>
  </si>
  <si>
    <t>UR</t>
    <phoneticPr fontId="2" type="noConversion"/>
  </si>
  <si>
    <t>星</t>
    <phoneticPr fontId="2" type="noConversion"/>
  </si>
  <si>
    <t>UR</t>
    <phoneticPr fontId="2" type="noConversion"/>
  </si>
  <si>
    <t>常服曹焱兵</t>
  </si>
  <si>
    <t>曹玄亮</t>
  </si>
  <si>
    <t>战斗夏铃</t>
  </si>
  <si>
    <t>项昆仑</t>
  </si>
  <si>
    <t>刘羽禅</t>
  </si>
  <si>
    <t>红莲缇娜</t>
  </si>
  <si>
    <t>战斗曹焱兵</t>
  </si>
  <si>
    <t>黑尔坎普</t>
  </si>
  <si>
    <t>北落师门</t>
  </si>
  <si>
    <t>盖文</t>
  </si>
  <si>
    <t>南御夫</t>
  </si>
  <si>
    <t>吉拉</t>
  </si>
  <si>
    <t>吕仙宫</t>
  </si>
  <si>
    <t>阎巧巧</t>
  </si>
  <si>
    <t>常服夏铃</t>
  </si>
  <si>
    <t>柠檬精</t>
  </si>
  <si>
    <t>升星碎片</t>
    <phoneticPr fontId="2" type="noConversion"/>
  </si>
  <si>
    <t>升星金币</t>
    <phoneticPr fontId="2" type="noConversion"/>
  </si>
  <si>
    <t>挂机队伍</t>
    <phoneticPr fontId="2" type="noConversion"/>
  </si>
  <si>
    <t>高</t>
    <phoneticPr fontId="2" type="noConversion"/>
  </si>
  <si>
    <t>中高</t>
    <phoneticPr fontId="2" type="noConversion"/>
  </si>
  <si>
    <t>初中</t>
    <phoneticPr fontId="2" type="noConversion"/>
  </si>
  <si>
    <t>初级</t>
    <phoneticPr fontId="2" type="noConversion"/>
  </si>
  <si>
    <t>阶段1</t>
    <phoneticPr fontId="2" type="noConversion"/>
  </si>
  <si>
    <t>强化石类型</t>
    <phoneticPr fontId="2" type="noConversion"/>
  </si>
  <si>
    <t>分配等级</t>
    <phoneticPr fontId="2" type="noConversion"/>
  </si>
  <si>
    <t>培养数量</t>
    <phoneticPr fontId="2" type="noConversion"/>
  </si>
  <si>
    <t>坑</t>
    <phoneticPr fontId="2" type="noConversion"/>
  </si>
  <si>
    <t>强化石购买</t>
    <phoneticPr fontId="2" type="noConversion"/>
  </si>
  <si>
    <t>金币消耗</t>
    <phoneticPr fontId="2" type="noConversion"/>
  </si>
  <si>
    <t>停留时间</t>
    <phoneticPr fontId="2" type="noConversion"/>
  </si>
  <si>
    <t>金币总产</t>
    <phoneticPr fontId="2" type="noConversion"/>
  </si>
  <si>
    <t>绿</t>
    <phoneticPr fontId="2" type="noConversion"/>
  </si>
  <si>
    <t>金币本</t>
    <phoneticPr fontId="2" type="noConversion"/>
  </si>
  <si>
    <t>金币消耗</t>
    <phoneticPr fontId="2" type="noConversion"/>
  </si>
  <si>
    <t>每日任务100钻</t>
    <phoneticPr fontId="2" type="noConversion"/>
  </si>
  <si>
    <t>竞技场50钻（按前500名算）</t>
    <phoneticPr fontId="2" type="noConversion"/>
  </si>
  <si>
    <t>实时竞技</t>
    <phoneticPr fontId="2" type="noConversion"/>
  </si>
  <si>
    <t>SR</t>
    <phoneticPr fontId="10" type="noConversion"/>
  </si>
  <si>
    <t>产率/h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</si>
  <si>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</si>
  <si>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</si>
  <si>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</si>
  <si>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玄铁</t>
  </si>
  <si>
    <t>乌金</t>
  </si>
  <si>
    <t>银母</t>
  </si>
  <si>
    <t>绿色基础材料</t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</si>
  <si>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</si>
  <si>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</si>
  <si>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</si>
  <si>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红材料</t>
    <phoneticPr fontId="2" type="noConversion"/>
  </si>
  <si>
    <t>灵玉</t>
    <phoneticPr fontId="2" type="noConversion"/>
  </si>
  <si>
    <t>铀金</t>
    <phoneticPr fontId="2" type="noConversion"/>
  </si>
  <si>
    <t>红材料</t>
    <phoneticPr fontId="2" type="noConversion"/>
  </si>
  <si>
    <t>红材料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</si>
  <si>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</si>
  <si>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</si>
  <si>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</si>
  <si>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</si>
  <si>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sum</t>
    <phoneticPr fontId="2" type="noConversion"/>
  </si>
  <si>
    <t>芦花-风</t>
    <phoneticPr fontId="2" type="noConversion"/>
  </si>
  <si>
    <t>章节</t>
    <phoneticPr fontId="2" type="noConversion"/>
  </si>
  <si>
    <t>芦花-花</t>
    <phoneticPr fontId="2" type="noConversion"/>
  </si>
  <si>
    <t>芦花-雪</t>
    <phoneticPr fontId="2" type="noConversion"/>
  </si>
  <si>
    <t>芦花-月</t>
    <phoneticPr fontId="2" type="noConversion"/>
  </si>
  <si>
    <t>停留时间/h</t>
    <phoneticPr fontId="2" type="noConversion"/>
  </si>
  <si>
    <t>第几天</t>
    <phoneticPr fontId="2" type="noConversion"/>
  </si>
  <si>
    <t>大R时间</t>
    <phoneticPr fontId="2" type="noConversion"/>
  </si>
  <si>
    <t>非R时间</t>
    <phoneticPr fontId="2" type="noConversion"/>
  </si>
  <si>
    <t>本级停留</t>
    <phoneticPr fontId="2" type="noConversion"/>
  </si>
  <si>
    <t>第一天上半日</t>
    <phoneticPr fontId="2" type="noConversion"/>
  </si>
  <si>
    <t>通关pt-07
通关kn-06
芦花-f-20。
开启专属武器，开启组队副本。
组队副本，组队副本掉落专属武器碎片。
挂机36小时。</t>
    <phoneticPr fontId="2" type="noConversion"/>
  </si>
  <si>
    <t>通关pt-05
通关kn-04
芦花-f-10
开启花，雪，月。花雪月对阵容有要求。
集训营，实时竞技场。
挂机30小时</t>
    <phoneticPr fontId="2" type="noConversion"/>
  </si>
  <si>
    <t>通关pt-06
通关kn-05
芦花-f-15。
开启羁绊副本。
挂机30小时</t>
    <phoneticPr fontId="2" type="noConversion"/>
  </si>
  <si>
    <t>第一天下半日</t>
    <phoneticPr fontId="2" type="noConversion"/>
  </si>
  <si>
    <t>30~35</t>
    <phoneticPr fontId="2" type="noConversion"/>
  </si>
  <si>
    <t>35~40</t>
    <phoneticPr fontId="2" type="noConversion"/>
  </si>
  <si>
    <t>40~45</t>
    <phoneticPr fontId="2" type="noConversion"/>
  </si>
  <si>
    <t>45~50</t>
    <phoneticPr fontId="2" type="noConversion"/>
  </si>
  <si>
    <t>50~55</t>
    <phoneticPr fontId="2" type="noConversion"/>
  </si>
  <si>
    <t>55~60</t>
    <phoneticPr fontId="2" type="noConversion"/>
  </si>
  <si>
    <t>60~65</t>
    <phoneticPr fontId="2" type="noConversion"/>
  </si>
  <si>
    <t>65~70</t>
    <phoneticPr fontId="2" type="noConversion"/>
  </si>
  <si>
    <t>70~75</t>
    <phoneticPr fontId="2" type="noConversion"/>
  </si>
  <si>
    <t>75~80</t>
    <phoneticPr fontId="2" type="noConversion"/>
  </si>
  <si>
    <t>80~85</t>
    <phoneticPr fontId="2" type="noConversion"/>
  </si>
  <si>
    <t>85~90</t>
    <phoneticPr fontId="2" type="noConversion"/>
  </si>
  <si>
    <t>90~95</t>
    <phoneticPr fontId="2" type="noConversion"/>
  </si>
  <si>
    <t>95~100</t>
    <phoneticPr fontId="2" type="noConversion"/>
  </si>
  <si>
    <t>首日修正</t>
    <phoneticPr fontId="2" type="noConversion"/>
  </si>
  <si>
    <t>100~105</t>
    <phoneticPr fontId="2" type="noConversion"/>
  </si>
  <si>
    <t>105~110</t>
    <phoneticPr fontId="2" type="noConversion"/>
  </si>
  <si>
    <t>110~115</t>
    <phoneticPr fontId="2" type="noConversion"/>
  </si>
  <si>
    <t>115~120</t>
    <phoneticPr fontId="2" type="noConversion"/>
  </si>
  <si>
    <t>120~125</t>
    <phoneticPr fontId="2" type="noConversion"/>
  </si>
  <si>
    <t>125~130</t>
    <phoneticPr fontId="2" type="noConversion"/>
  </si>
  <si>
    <t>130~135</t>
    <phoneticPr fontId="2" type="noConversion"/>
  </si>
  <si>
    <t>135~140</t>
    <phoneticPr fontId="2" type="noConversion"/>
  </si>
  <si>
    <t>140~145</t>
    <phoneticPr fontId="2" type="noConversion"/>
  </si>
  <si>
    <t>145~150</t>
    <phoneticPr fontId="2" type="noConversion"/>
  </si>
  <si>
    <t>格子</t>
    <phoneticPr fontId="2" type="noConversion"/>
  </si>
  <si>
    <t>突破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</si>
  <si>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</si>
  <si>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</si>
  <si>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</si>
  <si>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大叫唤</t>
    <phoneticPr fontId="2" type="noConversion"/>
  </si>
  <si>
    <t>焦热</t>
    <phoneticPr fontId="2" type="noConversion"/>
  </si>
  <si>
    <t>众合+1</t>
    <phoneticPr fontId="2" type="noConversion"/>
  </si>
  <si>
    <t>叫唤</t>
    <phoneticPr fontId="2" type="noConversion"/>
  </si>
  <si>
    <t>焦热+2</t>
  </si>
  <si>
    <t>地狱道名</t>
    <phoneticPr fontId="2" type="noConversion"/>
  </si>
  <si>
    <t>总格子</t>
    <phoneticPr fontId="2" type="noConversion"/>
  </si>
  <si>
    <t>大焦热</t>
    <phoneticPr fontId="2" type="noConversion"/>
  </si>
  <si>
    <t>无间</t>
    <phoneticPr fontId="2" type="noConversion"/>
  </si>
  <si>
    <t>格子等级</t>
    <phoneticPr fontId="2" type="noConversion"/>
  </si>
  <si>
    <t>总格子数</t>
    <phoneticPr fontId="2" type="noConversion"/>
  </si>
  <si>
    <t>黑绳+1</t>
    <phoneticPr fontId="2" type="noConversion"/>
  </si>
  <si>
    <t>叫唤+2</t>
  </si>
  <si>
    <t>大叫唤+2</t>
  </si>
  <si>
    <t>大焦热+2</t>
  </si>
  <si>
    <t>等级</t>
    <phoneticPr fontId="2" type="noConversion"/>
  </si>
  <si>
    <t>总时间</t>
    <phoneticPr fontId="2" type="noConversion"/>
  </si>
  <si>
    <t>极限停留</t>
    <phoneticPr fontId="2" type="noConversion"/>
  </si>
  <si>
    <t>极限加总</t>
    <phoneticPr fontId="2" type="noConversion"/>
  </si>
  <si>
    <t>等级</t>
    <phoneticPr fontId="2" type="noConversion"/>
  </si>
  <si>
    <t>地狱道</t>
    <phoneticPr fontId="2" type="noConversion"/>
  </si>
  <si>
    <t>等级上限</t>
    <phoneticPr fontId="2" type="noConversion"/>
  </si>
  <si>
    <t>日常本产出</t>
    <phoneticPr fontId="2" type="noConversion"/>
  </si>
  <si>
    <t>名字</t>
    <phoneticPr fontId="2" type="noConversion"/>
  </si>
  <si>
    <t>境界</t>
    <phoneticPr fontId="2" type="noConversion"/>
  </si>
  <si>
    <t>寄灵人地狱道</t>
    <phoneticPr fontId="2" type="noConversion"/>
  </si>
  <si>
    <t>境界名</t>
    <phoneticPr fontId="2" type="noConversion"/>
  </si>
  <si>
    <t>颜色</t>
    <phoneticPr fontId="2" type="noConversion"/>
  </si>
  <si>
    <t>白(偏黄)</t>
    <phoneticPr fontId="2" type="noConversion"/>
  </si>
  <si>
    <t>绿</t>
    <phoneticPr fontId="2" type="noConversion"/>
  </si>
  <si>
    <t>青</t>
    <phoneticPr fontId="2" type="noConversion"/>
  </si>
  <si>
    <t>蓝</t>
    <phoneticPr fontId="2" type="noConversion"/>
  </si>
  <si>
    <t>靛蓝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</si>
  <si>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</si>
  <si>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</si>
  <si>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</si>
  <si>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众合+2</t>
  </si>
  <si>
    <t>叫唤+1</t>
    <phoneticPr fontId="2" type="noConversion"/>
  </si>
  <si>
    <t>大叫唤</t>
    <phoneticPr fontId="2" type="noConversion"/>
  </si>
  <si>
    <t>大叫唤+1</t>
    <phoneticPr fontId="2" type="noConversion"/>
  </si>
  <si>
    <t>焦热</t>
    <phoneticPr fontId="2" type="noConversion"/>
  </si>
  <si>
    <t>焦热+1</t>
    <phoneticPr fontId="2" type="noConversion"/>
  </si>
  <si>
    <t>大焦热+1</t>
    <phoneticPr fontId="2" type="noConversion"/>
  </si>
  <si>
    <t>无间</t>
    <phoneticPr fontId="2" type="noConversion"/>
  </si>
  <si>
    <t>无间+1</t>
    <phoneticPr fontId="2" type="noConversion"/>
  </si>
  <si>
    <t>要求等级</t>
    <phoneticPr fontId="2" type="noConversion"/>
  </si>
  <si>
    <t>等活</t>
  </si>
  <si>
    <t>黑绳</t>
  </si>
  <si>
    <t>黑绳+1</t>
  </si>
  <si>
    <t>众合</t>
  </si>
  <si>
    <t>众合+1</t>
  </si>
  <si>
    <t>叫唤</t>
  </si>
  <si>
    <t>叫唤+1</t>
  </si>
  <si>
    <t>大叫唤</t>
  </si>
  <si>
    <t>大叫唤+1</t>
  </si>
  <si>
    <t>焦热</t>
  </si>
  <si>
    <t>焦热+1</t>
  </si>
  <si>
    <t>大焦热</t>
  </si>
  <si>
    <t>大焦热+1</t>
  </si>
  <si>
    <t>无间</t>
  </si>
  <si>
    <t>lv</t>
    <phoneticPr fontId="2" type="noConversion"/>
  </si>
  <si>
    <t>副本位</t>
    <phoneticPr fontId="2" type="noConversion"/>
  </si>
  <si>
    <t>强化石1</t>
    <phoneticPr fontId="2" type="noConversion"/>
  </si>
  <si>
    <t>强化石2</t>
  </si>
  <si>
    <t>强化石3</t>
  </si>
  <si>
    <t>强化石4</t>
  </si>
  <si>
    <t>强化石2-少</t>
    <phoneticPr fontId="2" type="noConversion"/>
  </si>
  <si>
    <t>强化石1-多</t>
    <phoneticPr fontId="2" type="noConversion"/>
  </si>
  <si>
    <t>强化石2-多</t>
    <phoneticPr fontId="2" type="noConversion"/>
  </si>
  <si>
    <t>强化石3-少</t>
    <phoneticPr fontId="2" type="noConversion"/>
  </si>
  <si>
    <t>强化石3-多</t>
    <phoneticPr fontId="2" type="noConversion"/>
  </si>
  <si>
    <t>强化石4-少</t>
    <phoneticPr fontId="2" type="noConversion"/>
  </si>
  <si>
    <t>道具</t>
    <phoneticPr fontId="2" type="noConversion"/>
  </si>
  <si>
    <t>价值</t>
    <phoneticPr fontId="2" type="noConversion"/>
  </si>
  <si>
    <t>强化石4-中</t>
    <phoneticPr fontId="2" type="noConversion"/>
  </si>
  <si>
    <t>强化石4-多</t>
    <phoneticPr fontId="2" type="noConversion"/>
  </si>
  <si>
    <t>强化石2-中</t>
    <phoneticPr fontId="2" type="noConversion"/>
  </si>
  <si>
    <t>强化石3-中</t>
    <phoneticPr fontId="2" type="noConversion"/>
  </si>
  <si>
    <t>强化石1-中</t>
    <phoneticPr fontId="2" type="noConversion"/>
  </si>
  <si>
    <t>停留</t>
    <phoneticPr fontId="2" type="noConversion"/>
  </si>
  <si>
    <t>每日次数</t>
    <phoneticPr fontId="2" type="noConversion"/>
  </si>
  <si>
    <t>开放等级</t>
    <phoneticPr fontId="2" type="noConversion"/>
  </si>
  <si>
    <t>材料1</t>
    <phoneticPr fontId="2" type="noConversion"/>
  </si>
  <si>
    <t>材料2</t>
    <phoneticPr fontId="2" type="noConversion"/>
  </si>
  <si>
    <t>魂珠</t>
    <phoneticPr fontId="2" type="noConversion"/>
  </si>
  <si>
    <t>强化石1-少</t>
    <phoneticPr fontId="2" type="noConversion"/>
  </si>
  <si>
    <t>难度</t>
    <phoneticPr fontId="2" type="noConversion"/>
  </si>
  <si>
    <t>普通</t>
    <phoneticPr fontId="2" type="noConversion"/>
  </si>
  <si>
    <t>噩梦</t>
    <phoneticPr fontId="2" type="noConversion"/>
  </si>
  <si>
    <t>专属强化石副本</t>
    <phoneticPr fontId="2" type="noConversion"/>
  </si>
  <si>
    <t>非R次数</t>
    <phoneticPr fontId="2" type="noConversion"/>
  </si>
  <si>
    <t>pt价值</t>
    <phoneticPr fontId="2" type="noConversion"/>
  </si>
  <si>
    <t>kn价值</t>
    <phoneticPr fontId="2" type="noConversion"/>
  </si>
  <si>
    <t>EM价值</t>
    <phoneticPr fontId="2" type="noConversion"/>
  </si>
  <si>
    <t>1珠</t>
    <phoneticPr fontId="2" type="noConversion"/>
  </si>
  <si>
    <t>2珠</t>
  </si>
  <si>
    <t>3珠</t>
  </si>
  <si>
    <t>4珠</t>
  </si>
  <si>
    <t>5珠</t>
  </si>
  <si>
    <t>6珠</t>
  </si>
  <si>
    <t>7珠</t>
  </si>
  <si>
    <t>8珠</t>
  </si>
  <si>
    <t>预估等级</t>
    <phoneticPr fontId="2" type="noConversion"/>
  </si>
  <si>
    <t>1珠.强化石1</t>
    <phoneticPr fontId="2" type="noConversion"/>
  </si>
  <si>
    <t>1珠.强化石2</t>
    <phoneticPr fontId="2" type="noConversion"/>
  </si>
  <si>
    <t>1珠.强化石3</t>
    <phoneticPr fontId="2" type="noConversion"/>
  </si>
  <si>
    <t>1珠.强化石4</t>
    <phoneticPr fontId="2" type="noConversion"/>
  </si>
  <si>
    <t>2珠.强化石1</t>
    <phoneticPr fontId="2" type="noConversion"/>
  </si>
  <si>
    <t>2珠.强化石2</t>
    <phoneticPr fontId="2" type="noConversion"/>
  </si>
  <si>
    <t>2珠.强化石3</t>
    <phoneticPr fontId="2" type="noConversion"/>
  </si>
  <si>
    <t>2珠.强化石4</t>
    <phoneticPr fontId="2" type="noConversion"/>
  </si>
  <si>
    <t>3珠.强化石1</t>
    <phoneticPr fontId="2" type="noConversion"/>
  </si>
  <si>
    <t>3珠.强化石2</t>
    <phoneticPr fontId="2" type="noConversion"/>
  </si>
  <si>
    <t>3珠.强化石3</t>
    <phoneticPr fontId="2" type="noConversion"/>
  </si>
  <si>
    <t>3珠.强化石4</t>
    <phoneticPr fontId="2" type="noConversion"/>
  </si>
  <si>
    <t>4珠.强化石1</t>
    <phoneticPr fontId="2" type="noConversion"/>
  </si>
  <si>
    <t>4珠.强化石2</t>
    <phoneticPr fontId="2" type="noConversion"/>
  </si>
  <si>
    <t>4珠.强化石3</t>
    <phoneticPr fontId="2" type="noConversion"/>
  </si>
  <si>
    <t>4珠.强化石4</t>
    <phoneticPr fontId="2" type="noConversion"/>
  </si>
  <si>
    <t>5珠.强化石2</t>
    <phoneticPr fontId="2" type="noConversion"/>
  </si>
  <si>
    <t>5珠.强化石3</t>
    <phoneticPr fontId="2" type="noConversion"/>
  </si>
  <si>
    <t>5珠.强化石4</t>
    <phoneticPr fontId="2" type="noConversion"/>
  </si>
  <si>
    <t>6珠.强化石2</t>
    <phoneticPr fontId="2" type="noConversion"/>
  </si>
  <si>
    <t>6珠.强化石3</t>
    <phoneticPr fontId="2" type="noConversion"/>
  </si>
  <si>
    <t>6珠.强化石4</t>
    <phoneticPr fontId="2" type="noConversion"/>
  </si>
  <si>
    <t>7珠.强化石2</t>
    <phoneticPr fontId="2" type="noConversion"/>
  </si>
  <si>
    <t>5珠.强化石1</t>
    <phoneticPr fontId="2" type="noConversion"/>
  </si>
  <si>
    <t>6珠.强化石1</t>
    <phoneticPr fontId="2" type="noConversion"/>
  </si>
  <si>
    <t>7珠.强化石1</t>
    <phoneticPr fontId="2" type="noConversion"/>
  </si>
  <si>
    <t>7珠.强化石3</t>
    <phoneticPr fontId="2" type="noConversion"/>
  </si>
  <si>
    <t>7珠.强化石4</t>
    <phoneticPr fontId="2" type="noConversion"/>
  </si>
  <si>
    <t>8珠.强化石1</t>
    <phoneticPr fontId="2" type="noConversion"/>
  </si>
  <si>
    <t>8珠.强化石2</t>
    <phoneticPr fontId="2" type="noConversion"/>
  </si>
  <si>
    <t>8珠.强化石3</t>
    <phoneticPr fontId="2" type="noConversion"/>
  </si>
  <si>
    <t>8珠.强化石4</t>
    <phoneticPr fontId="2" type="noConversion"/>
  </si>
  <si>
    <t>龙珠开启</t>
    <phoneticPr fontId="2" type="noConversion"/>
  </si>
  <si>
    <t>养成龙珠</t>
    <phoneticPr fontId="2" type="noConversion"/>
  </si>
  <si>
    <t>消耗</t>
    <phoneticPr fontId="2" type="noConversion"/>
  </si>
  <si>
    <t>剩余</t>
    <phoneticPr fontId="2" type="noConversion"/>
  </si>
  <si>
    <t>获得</t>
    <phoneticPr fontId="2" type="noConversion"/>
  </si>
  <si>
    <t>购买</t>
    <phoneticPr fontId="2" type="noConversion"/>
  </si>
  <si>
    <t>扫荡5次</t>
    <phoneticPr fontId="2" type="noConversion"/>
  </si>
  <si>
    <t>商店购买</t>
    <phoneticPr fontId="2" type="noConversion"/>
  </si>
  <si>
    <t>每日购买</t>
    <phoneticPr fontId="2" type="noConversion"/>
  </si>
  <si>
    <t>花费钻石</t>
    <phoneticPr fontId="2" type="noConversion"/>
  </si>
  <si>
    <t>花费金币</t>
    <phoneticPr fontId="2" type="noConversion"/>
  </si>
  <si>
    <t>神器日常本</t>
    <phoneticPr fontId="2" type="noConversion"/>
  </si>
  <si>
    <t>层数</t>
    <phoneticPr fontId="2" type="noConversion"/>
  </si>
  <si>
    <t>神器</t>
    <phoneticPr fontId="2" type="noConversion"/>
  </si>
  <si>
    <t>组件位</t>
    <phoneticPr fontId="2" type="noConversion"/>
  </si>
  <si>
    <t>品质</t>
    <phoneticPr fontId="2" type="noConversion"/>
  </si>
  <si>
    <t>神器位</t>
    <phoneticPr fontId="2" type="noConversion"/>
  </si>
  <si>
    <t>比例</t>
    <phoneticPr fontId="2" type="noConversion"/>
  </si>
  <si>
    <t>品质名</t>
    <phoneticPr fontId="2" type="noConversion"/>
  </si>
  <si>
    <t>属性权重</t>
    <phoneticPr fontId="2" type="noConversion"/>
  </si>
  <si>
    <t>绿</t>
    <phoneticPr fontId="2" type="noConversion"/>
  </si>
  <si>
    <t>紫</t>
    <phoneticPr fontId="2" type="noConversion"/>
  </si>
  <si>
    <t>产出描述</t>
    <phoneticPr fontId="2" type="noConversion"/>
  </si>
  <si>
    <t>等级</t>
    <phoneticPr fontId="2" type="noConversion"/>
  </si>
  <si>
    <t>价值</t>
    <phoneticPr fontId="2" type="noConversion"/>
  </si>
  <si>
    <t>价值</t>
    <phoneticPr fontId="2" type="noConversion"/>
  </si>
  <si>
    <t>基本价值</t>
    <phoneticPr fontId="2" type="noConversion"/>
  </si>
  <si>
    <t>价值</t>
    <phoneticPr fontId="2" type="noConversion"/>
  </si>
  <si>
    <t>Loc</t>
    <phoneticPr fontId="2" type="noConversion"/>
  </si>
  <si>
    <t>#note</t>
    <phoneticPr fontId="2" type="noConversion"/>
  </si>
  <si>
    <t>产出价值</t>
    <phoneticPr fontId="2" type="noConversion"/>
  </si>
  <si>
    <t>比例</t>
    <phoneticPr fontId="2" type="noConversion"/>
  </si>
  <si>
    <t>神器1</t>
    <phoneticPr fontId="2" type="noConversion"/>
  </si>
  <si>
    <t>概率</t>
    <phoneticPr fontId="2" type="noConversion"/>
  </si>
  <si>
    <t>碎片</t>
    <phoneticPr fontId="2" type="noConversion"/>
  </si>
  <si>
    <t>数量.Min</t>
    <phoneticPr fontId="2" type="noConversion"/>
  </si>
  <si>
    <t>数量.Max</t>
    <phoneticPr fontId="2" type="noConversion"/>
  </si>
  <si>
    <t>神器1中，神器2少</t>
    <phoneticPr fontId="2" type="noConversion"/>
  </si>
  <si>
    <t>神器1多，神器2中，神器3少</t>
    <phoneticPr fontId="2" type="noConversion"/>
  </si>
  <si>
    <t>神器2多，神器3中，神器4少</t>
    <phoneticPr fontId="2" type="noConversion"/>
  </si>
  <si>
    <t>神器3多，神器4中，神器5少</t>
    <phoneticPr fontId="2" type="noConversion"/>
  </si>
  <si>
    <t>神器4多，神器5中，神器6少</t>
    <phoneticPr fontId="2" type="noConversion"/>
  </si>
  <si>
    <t>神器5多，神器6中，神器7少</t>
    <phoneticPr fontId="2" type="noConversion"/>
  </si>
  <si>
    <t>神器6多，神器7中</t>
    <phoneticPr fontId="2" type="noConversion"/>
  </si>
  <si>
    <t>少.概率</t>
    <phoneticPr fontId="2" type="noConversion"/>
  </si>
  <si>
    <t>少.Min</t>
    <phoneticPr fontId="2" type="noConversion"/>
  </si>
  <si>
    <t>少.Max</t>
    <phoneticPr fontId="2" type="noConversion"/>
  </si>
  <si>
    <t>中.概率</t>
    <phoneticPr fontId="2" type="noConversion"/>
  </si>
  <si>
    <t>中.Min</t>
    <phoneticPr fontId="2" type="noConversion"/>
  </si>
  <si>
    <t>中.Max</t>
    <phoneticPr fontId="2" type="noConversion"/>
  </si>
  <si>
    <t>高.概率</t>
    <phoneticPr fontId="2" type="noConversion"/>
  </si>
  <si>
    <t>高.Min</t>
    <phoneticPr fontId="2" type="noConversion"/>
  </si>
  <si>
    <t>高.Max</t>
    <phoneticPr fontId="2" type="noConversion"/>
  </si>
  <si>
    <t>神器5-1</t>
    <phoneticPr fontId="2" type="noConversion"/>
  </si>
  <si>
    <t>神器5-2</t>
    <phoneticPr fontId="2" type="noConversion"/>
  </si>
  <si>
    <t>神器5-3</t>
    <phoneticPr fontId="2" type="noConversion"/>
  </si>
  <si>
    <t>神器5-4</t>
    <phoneticPr fontId="2" type="noConversion"/>
  </si>
  <si>
    <t>神器5-5</t>
    <phoneticPr fontId="2" type="noConversion"/>
  </si>
  <si>
    <t>神器5-6</t>
    <phoneticPr fontId="2" type="noConversion"/>
  </si>
  <si>
    <t>神器7-1</t>
    <phoneticPr fontId="2" type="noConversion"/>
  </si>
  <si>
    <t>位置</t>
    <phoneticPr fontId="2" type="noConversion"/>
  </si>
  <si>
    <t>数量</t>
    <phoneticPr fontId="2" type="noConversion"/>
  </si>
  <si>
    <t>概率组</t>
    <phoneticPr fontId="2" type="noConversion"/>
  </si>
  <si>
    <t>等级</t>
    <phoneticPr fontId="2" type="noConversion"/>
  </si>
  <si>
    <t>消耗</t>
    <phoneticPr fontId="2" type="noConversion"/>
  </si>
  <si>
    <t>位置1</t>
    <phoneticPr fontId="2" type="noConversion"/>
  </si>
  <si>
    <t>位置3</t>
  </si>
  <si>
    <t>位置4</t>
  </si>
  <si>
    <t>位置5</t>
  </si>
  <si>
    <t>位置6</t>
  </si>
  <si>
    <t>位置7</t>
  </si>
  <si>
    <t>位置8</t>
  </si>
  <si>
    <t>层数</t>
    <phoneticPr fontId="2" type="noConversion"/>
  </si>
  <si>
    <t>次数</t>
    <phoneticPr fontId="2" type="noConversion"/>
  </si>
  <si>
    <t>时间</t>
    <phoneticPr fontId="2" type="noConversion"/>
  </si>
  <si>
    <t>等级</t>
    <phoneticPr fontId="2" type="noConversion"/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</si>
  <si>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</si>
  <si>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</si>
  <si>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</si>
  <si>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</si>
  <si>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</si>
  <si>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</si>
  <si>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</si>
  <si>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</si>
  <si>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</si>
  <si>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</si>
  <si>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</si>
  <si>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</si>
  <si>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位置21</t>
  </si>
  <si>
    <t>位置22</t>
  </si>
  <si>
    <t>位置23</t>
  </si>
  <si>
    <t>位置24</t>
  </si>
  <si>
    <t>位置25</t>
  </si>
  <si>
    <t>位置26</t>
  </si>
  <si>
    <t>位置27</t>
  </si>
  <si>
    <t>位置28</t>
  </si>
  <si>
    <t>位置29</t>
  </si>
  <si>
    <t>位置30</t>
  </si>
  <si>
    <t>位置31</t>
  </si>
  <si>
    <t>位置32</t>
  </si>
  <si>
    <t>位置33</t>
  </si>
  <si>
    <t>位置34</t>
  </si>
  <si>
    <t>位置35</t>
  </si>
  <si>
    <t>位置36</t>
  </si>
  <si>
    <t>位置37</t>
  </si>
  <si>
    <t>位置38</t>
  </si>
  <si>
    <t>位置39</t>
  </si>
  <si>
    <t>位置40</t>
  </si>
  <si>
    <t>位置41</t>
  </si>
  <si>
    <t>位置42</t>
  </si>
  <si>
    <t>sum</t>
    <phoneticPr fontId="2" type="noConversion"/>
  </si>
  <si>
    <t>神器等级消耗</t>
    <phoneticPr fontId="2" type="noConversion"/>
  </si>
  <si>
    <t>产率</t>
    <phoneticPr fontId="2" type="noConversion"/>
  </si>
  <si>
    <t>普通副本</t>
    <phoneticPr fontId="2" type="noConversion"/>
  </si>
  <si>
    <t>掉落次数</t>
    <phoneticPr fontId="2" type="noConversion"/>
  </si>
  <si>
    <t>等级</t>
  </si>
  <si>
    <t>时间</t>
    <phoneticPr fontId="2" type="noConversion"/>
  </si>
  <si>
    <t>神器日常本</t>
  </si>
  <si>
    <t>层数</t>
  </si>
  <si>
    <t>普通本</t>
    <phoneticPr fontId="2" type="noConversion"/>
  </si>
  <si>
    <t>困难本</t>
    <phoneticPr fontId="2" type="noConversion"/>
  </si>
  <si>
    <t>神器1-1</t>
    <phoneticPr fontId="2" type="noConversion"/>
  </si>
  <si>
    <t>神器1-2</t>
    <phoneticPr fontId="2" type="noConversion"/>
  </si>
  <si>
    <t>神器1-3</t>
    <phoneticPr fontId="2" type="noConversion"/>
  </si>
  <si>
    <t>碎片</t>
    <phoneticPr fontId="2" type="noConversion"/>
  </si>
  <si>
    <t>Min</t>
    <phoneticPr fontId="2" type="noConversion"/>
  </si>
  <si>
    <t>Max</t>
    <phoneticPr fontId="2" type="noConversion"/>
  </si>
  <si>
    <t>概率</t>
    <phoneticPr fontId="2" type="noConversion"/>
  </si>
  <si>
    <t>品质</t>
    <phoneticPr fontId="2" type="noConversion"/>
  </si>
  <si>
    <t>必掉1,2，30%概率额外掉3</t>
    <phoneticPr fontId="2" type="noConversion"/>
  </si>
  <si>
    <t>必掉神器1；必掉1,2碎片；70%概率掉3,4</t>
    <phoneticPr fontId="2" type="noConversion"/>
  </si>
  <si>
    <t>必掉神器1；必掉1,2碎片；70%掉3,4碎片；25%掉5碎片</t>
    <phoneticPr fontId="2" type="noConversion"/>
  </si>
  <si>
    <t>Layer</t>
    <phoneticPr fontId="2" type="noConversion"/>
  </si>
  <si>
    <t>Difficulty</t>
    <phoneticPr fontId="2" type="noConversion"/>
  </si>
  <si>
    <t>Loc</t>
    <phoneticPr fontId="2" type="noConversion"/>
  </si>
  <si>
    <t>价值</t>
    <phoneticPr fontId="2" type="noConversion"/>
  </si>
  <si>
    <t>神器2-1</t>
    <phoneticPr fontId="2" type="noConversion"/>
  </si>
  <si>
    <t>神器2-2</t>
    <phoneticPr fontId="2" type="noConversion"/>
  </si>
  <si>
    <t>Group</t>
    <phoneticPr fontId="2" type="noConversion"/>
  </si>
  <si>
    <t>必掉神器3,4,5；必掉1,2,3碎片；30%概率掉4,5,6碎片；15%概率掉7,8碎片</t>
    <phoneticPr fontId="2" type="noConversion"/>
  </si>
  <si>
    <t>必掉神器3,4,5；60%掉1,2,3碎片；30%概率掉4,5,6碎片</t>
    <phoneticPr fontId="2" type="noConversion"/>
  </si>
  <si>
    <t>必掉神器3,4,5；60%掉1,2,3碎片；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</si>
  <si>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</si>
  <si>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</si>
  <si>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</si>
  <si>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</si>
  <si>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</si>
  <si>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</si>
  <si>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</si>
  <si>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</si>
  <si>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神器3-1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</si>
  <si>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</si>
  <si>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</si>
  <si>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</si>
  <si>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神器7-2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</si>
  <si>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</si>
  <si>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</si>
  <si>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</si>
  <si>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神器7-6</t>
    <phoneticPr fontId="2" type="noConversion"/>
  </si>
  <si>
    <t>神器7-7</t>
    <phoneticPr fontId="2" type="noConversion"/>
  </si>
  <si>
    <t>神器7-8</t>
    <phoneticPr fontId="2" type="noConversion"/>
  </si>
  <si>
    <t>价值</t>
    <phoneticPr fontId="2" type="noConversion"/>
  </si>
  <si>
    <t>碎片信息</t>
    <phoneticPr fontId="2" type="noConversion"/>
  </si>
  <si>
    <t>掉落组</t>
    <phoneticPr fontId="2" type="noConversion"/>
  </si>
  <si>
    <t>层</t>
    <phoneticPr fontId="2" type="noConversion"/>
  </si>
  <si>
    <t>价值</t>
    <phoneticPr fontId="2" type="noConversion"/>
  </si>
  <si>
    <t>产出价值</t>
    <phoneticPr fontId="2" type="noConversion"/>
  </si>
  <si>
    <t>时间</t>
    <phoneticPr fontId="2" type="noConversion"/>
  </si>
  <si>
    <t>等级</t>
    <phoneticPr fontId="2" type="noConversion"/>
  </si>
  <si>
    <t>产出进度</t>
    <phoneticPr fontId="2" type="noConversion"/>
  </si>
  <si>
    <t>层数</t>
    <phoneticPr fontId="2" type="noConversion"/>
  </si>
  <si>
    <t>难度</t>
    <phoneticPr fontId="2" type="noConversion"/>
  </si>
  <si>
    <t>必掉神器3,4,5,6；60%掉1,2,3碎片；</t>
    <phoneticPr fontId="2" type="noConversion"/>
  </si>
  <si>
    <t>必掉神器3,4,5,6；50%掉6；60%掉1,2,3碎片；30%概率掉4,5,6碎片</t>
    <phoneticPr fontId="2" type="noConversion"/>
  </si>
  <si>
    <t>必掉神器3,4,5,6；50%掉6；必掉1,2,3碎片；30%概率掉4,5,6碎片；15%概率掉7,8碎片</t>
    <phoneticPr fontId="2" type="noConversion"/>
  </si>
  <si>
    <t>神器6-1</t>
    <phoneticPr fontId="2" type="noConversion"/>
  </si>
  <si>
    <t>产出总量</t>
    <phoneticPr fontId="2" type="noConversion"/>
  </si>
  <si>
    <t>神器</t>
    <phoneticPr fontId="2" type="noConversion"/>
  </si>
  <si>
    <t>神器位</t>
    <phoneticPr fontId="2" type="noConversion"/>
  </si>
  <si>
    <t>品质</t>
    <phoneticPr fontId="2" type="noConversion"/>
  </si>
  <si>
    <t>MaxLv</t>
    <phoneticPr fontId="2" type="noConversion"/>
  </si>
  <si>
    <t>Sum</t>
    <phoneticPr fontId="2" type="noConversion"/>
  </si>
  <si>
    <t>碎片名</t>
    <phoneticPr fontId="2" type="noConversion"/>
  </si>
  <si>
    <t>卡牌碎片</t>
    <phoneticPr fontId="2" type="noConversion"/>
  </si>
  <si>
    <t>RowId</t>
    <phoneticPr fontId="2" type="noConversion"/>
  </si>
  <si>
    <t>Id</t>
    <phoneticPr fontId="2" type="noConversion"/>
  </si>
  <si>
    <t>ID</t>
    <phoneticPr fontId="2" type="noConversion"/>
  </si>
  <si>
    <t>HelpCol</t>
    <phoneticPr fontId="2" type="noConversion"/>
  </si>
  <si>
    <t>等级</t>
    <phoneticPr fontId="2" type="noConversion"/>
  </si>
  <si>
    <t>Loc</t>
    <phoneticPr fontId="2" type="noConversion"/>
  </si>
  <si>
    <t>Lvs</t>
    <phoneticPr fontId="2" type="noConversion"/>
  </si>
  <si>
    <t>Cost[1].Id</t>
    <phoneticPr fontId="2" type="noConversion"/>
  </si>
  <si>
    <t>Cost[1].Val</t>
    <phoneticPr fontId="2" type="noConversion"/>
  </si>
  <si>
    <t>神器碎片升级消耗</t>
    <phoneticPr fontId="2" type="noConversion"/>
  </si>
  <si>
    <t>神器1</t>
    <phoneticPr fontId="2" type="noConversion"/>
  </si>
  <si>
    <t>神器2</t>
    <phoneticPr fontId="2" type="noConversion"/>
  </si>
  <si>
    <t>神器3</t>
    <phoneticPr fontId="2" type="noConversion"/>
  </si>
  <si>
    <t>神器4</t>
  </si>
  <si>
    <t>神器5</t>
  </si>
  <si>
    <t>神器6</t>
    <phoneticPr fontId="2" type="noConversion"/>
  </si>
  <si>
    <t>神器7</t>
  </si>
  <si>
    <t>位置1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</si>
  <si>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</si>
  <si>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</si>
  <si>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</si>
  <si>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</si>
  <si>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</si>
  <si>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</si>
  <si>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</si>
  <si>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</si>
  <si>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位置6</t>
    <phoneticPr fontId="2" type="noConversion"/>
  </si>
  <si>
    <t>位置1</t>
    <phoneticPr fontId="2" type="noConversion"/>
  </si>
  <si>
    <t>位置3</t>
    <phoneticPr fontId="2" type="noConversion"/>
  </si>
  <si>
    <t>位置6</t>
    <phoneticPr fontId="2" type="noConversion"/>
  </si>
  <si>
    <t>位置1</t>
    <phoneticPr fontId="2" type="noConversion"/>
  </si>
  <si>
    <t>消耗Id1</t>
    <phoneticPr fontId="2" type="noConversion"/>
  </si>
  <si>
    <t>消耗Id2</t>
  </si>
  <si>
    <t>RowId</t>
    <phoneticPr fontId="2" type="noConversion"/>
  </si>
  <si>
    <t>Loc</t>
    <phoneticPr fontId="2" type="noConversion"/>
  </si>
  <si>
    <t>Lv</t>
    <phoneticPr fontId="2" type="noConversion"/>
  </si>
  <si>
    <t>Cost[1]</t>
    <phoneticPr fontId="2" type="noConversion"/>
  </si>
  <si>
    <t>Cost[2]</t>
  </si>
  <si>
    <t>Cost[3]</t>
  </si>
  <si>
    <t>Cost[4]</t>
  </si>
  <si>
    <t>Loc1</t>
    <phoneticPr fontId="2" type="noConversion"/>
  </si>
  <si>
    <t>Loc2</t>
  </si>
  <si>
    <t>ST[1].P</t>
    <phoneticPr fontId="2" type="noConversion"/>
  </si>
  <si>
    <t>ST[1].FvUp</t>
    <phoneticPr fontId="2" type="noConversion"/>
  </si>
  <si>
    <t>ST[1].MaxV</t>
    <phoneticPr fontId="2" type="noConversion"/>
  </si>
  <si>
    <t>ST[2].P</t>
    <phoneticPr fontId="2" type="noConversion"/>
  </si>
  <si>
    <t>ST[2].FvUp</t>
    <phoneticPr fontId="2" type="noConversion"/>
  </si>
  <si>
    <t>ST[2].MaxV</t>
    <phoneticPr fontId="2" type="noConversion"/>
  </si>
  <si>
    <t>ST[3].P</t>
    <phoneticPr fontId="2" type="noConversion"/>
  </si>
  <si>
    <t>ST[3].FvUp</t>
    <phoneticPr fontId="2" type="noConversion"/>
  </si>
  <si>
    <t>ST[3].MaxV</t>
    <phoneticPr fontId="2" type="noConversion"/>
  </si>
  <si>
    <t>专属强化石1</t>
    <phoneticPr fontId="2" type="noConversion"/>
  </si>
  <si>
    <t>Times</t>
    <phoneticPr fontId="2" type="noConversion"/>
  </si>
  <si>
    <t>Cost[2].Id</t>
    <phoneticPr fontId="2" type="noConversion"/>
  </si>
  <si>
    <t>Cost[2].Val</t>
    <phoneticPr fontId="2" type="noConversion"/>
  </si>
  <si>
    <t>专属强化石1</t>
    <phoneticPr fontId="2" type="noConversion"/>
  </si>
  <si>
    <t>专属强化石2</t>
    <phoneticPr fontId="2" type="noConversion"/>
  </si>
  <si>
    <t>专属强化石3</t>
    <phoneticPr fontId="2" type="noConversion"/>
  </si>
  <si>
    <t>P</t>
    <phoneticPr fontId="2" type="noConversion"/>
  </si>
  <si>
    <t>MaxV</t>
    <phoneticPr fontId="2" type="noConversion"/>
  </si>
  <si>
    <t>专属强化石4</t>
    <phoneticPr fontId="2" type="noConversion"/>
  </si>
  <si>
    <t>Name</t>
    <phoneticPr fontId="2" type="noConversion"/>
  </si>
  <si>
    <t>Quality</t>
    <phoneticPr fontId="2" type="noConversion"/>
  </si>
  <si>
    <t>典韦</t>
    <phoneticPr fontId="2" type="noConversion"/>
  </si>
  <si>
    <t>夏侯渊</t>
    <phoneticPr fontId="2" type="noConversion"/>
  </si>
  <si>
    <t>雷震子</t>
    <phoneticPr fontId="2" type="noConversion"/>
  </si>
  <si>
    <t>许褚</t>
    <phoneticPr fontId="2" type="noConversion"/>
  </si>
  <si>
    <t>李轩辕</t>
    <phoneticPr fontId="2" type="noConversion"/>
  </si>
  <si>
    <t>天使缇娜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</si>
  <si>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</si>
  <si>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</si>
  <si>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</si>
  <si>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石灵明</t>
    <phoneticPr fontId="2" type="noConversion"/>
  </si>
  <si>
    <t>朱仙</t>
    <phoneticPr fontId="2" type="noConversion"/>
  </si>
  <si>
    <t>燕青</t>
    <phoneticPr fontId="2" type="noConversion"/>
  </si>
  <si>
    <t>秦琼</t>
    <phoneticPr fontId="2" type="noConversion"/>
  </si>
  <si>
    <t>ID</t>
    <phoneticPr fontId="2" type="noConversion"/>
  </si>
  <si>
    <t>CardId</t>
    <phoneticPr fontId="2" type="noConversion"/>
  </si>
  <si>
    <t>NxtLvId</t>
    <phoneticPr fontId="2" type="noConversion"/>
  </si>
  <si>
    <t>#note</t>
    <phoneticPr fontId="2" type="noConversion"/>
  </si>
  <si>
    <t>Name</t>
  </si>
  <si>
    <t>LvLimit</t>
  </si>
  <si>
    <t>AwardTimes</t>
  </si>
  <si>
    <t>ResetCost</t>
    <phoneticPr fontId="2" type="noConversion"/>
  </si>
  <si>
    <t>Drop[1]</t>
    <phoneticPr fontId="2" type="noConversion"/>
  </si>
  <si>
    <t>Drop[2]</t>
    <phoneticPr fontId="2" type="noConversion"/>
  </si>
  <si>
    <t>KeyDropShow[1].Id</t>
  </si>
  <si>
    <t>KeyDropShow[1].Desc</t>
  </si>
  <si>
    <t>KeyDropShow[2].Id</t>
  </si>
  <si>
    <t>KeyDropShow[2].Desc</t>
  </si>
  <si>
    <t>SceneName</t>
  </si>
  <si>
    <t>Num</t>
    <phoneticPr fontId="2" type="noConversion"/>
  </si>
  <si>
    <t>RowId</t>
    <phoneticPr fontId="2" type="noConversion"/>
  </si>
  <si>
    <t>Levels</t>
    <phoneticPr fontId="2" type="noConversion"/>
  </si>
  <si>
    <t>Lv</t>
    <phoneticPr fontId="2" type="noConversion"/>
  </si>
  <si>
    <t>等级解锁</t>
    <phoneticPr fontId="2" type="noConversion"/>
  </si>
  <si>
    <t>星级要求</t>
    <phoneticPr fontId="2" type="noConversion"/>
  </si>
  <si>
    <t>50#100#200</t>
    <phoneticPr fontId="2" type="noConversion"/>
  </si>
  <si>
    <t>碎片</t>
    <phoneticPr fontId="2" type="noConversion"/>
  </si>
  <si>
    <t>掉落1</t>
    <phoneticPr fontId="2" type="noConversion"/>
  </si>
  <si>
    <t>掉落2</t>
    <phoneticPr fontId="2" type="noConversion"/>
  </si>
  <si>
    <t>专属武器碎片</t>
    <phoneticPr fontId="2" type="noConversion"/>
  </si>
  <si>
    <t>碎片</t>
    <phoneticPr fontId="2" type="noConversion"/>
  </si>
  <si>
    <t>掉落1.数量Max</t>
    <phoneticPr fontId="2" type="noConversion"/>
  </si>
  <si>
    <t>掉落1.数量Min</t>
    <phoneticPr fontId="2" type="noConversion"/>
  </si>
  <si>
    <t>掉落2.数量Min</t>
    <phoneticPr fontId="2" type="noConversion"/>
  </si>
  <si>
    <t>掉落2.数量Max</t>
    <phoneticPr fontId="2" type="noConversion"/>
  </si>
  <si>
    <t>掉落数量</t>
    <phoneticPr fontId="2" type="noConversion"/>
  </si>
  <si>
    <t>LevelPic</t>
    <phoneticPr fontId="2" type="noConversion"/>
  </si>
  <si>
    <t>CardLimit</t>
    <phoneticPr fontId="2" type="noConversion"/>
  </si>
  <si>
    <t>DropGroup</t>
    <phoneticPr fontId="2" type="noConversion"/>
  </si>
  <si>
    <t>RowId</t>
    <phoneticPr fontId="2" type="noConversion"/>
  </si>
  <si>
    <t>Lv</t>
    <phoneticPr fontId="2" type="noConversion"/>
  </si>
  <si>
    <t>SubLv</t>
    <phoneticPr fontId="2" type="noConversion"/>
  </si>
  <si>
    <t>Drop</t>
    <phoneticPr fontId="2" type="noConversion"/>
  </si>
  <si>
    <t>Row</t>
    <phoneticPr fontId="2" type="noConversion"/>
  </si>
  <si>
    <t>Loc</t>
    <phoneticPr fontId="2" type="noConversion"/>
  </si>
  <si>
    <t>DropSum</t>
    <phoneticPr fontId="2" type="noConversion"/>
  </si>
  <si>
    <t>#note</t>
    <phoneticPr fontId="2" type="noConversion"/>
  </si>
  <si>
    <t>#note</t>
    <phoneticPr fontId="2" type="noConversion"/>
  </si>
  <si>
    <t>subDropLoc</t>
    <phoneticPr fontId="2" type="noConversion"/>
  </si>
  <si>
    <t>Item.id</t>
  </si>
  <si>
    <t>Item.numMin</t>
  </si>
  <si>
    <t>Item.numMax</t>
  </si>
  <si>
    <t>Weight</t>
  </si>
  <si>
    <t>StarLimit</t>
    <phoneticPr fontId="2" type="noConversion"/>
  </si>
  <si>
    <t>1-1</t>
    <phoneticPr fontId="2" type="noConversion"/>
  </si>
  <si>
    <t>2-1</t>
    <phoneticPr fontId="2" type="noConversion"/>
  </si>
  <si>
    <t>3-1</t>
    <phoneticPr fontId="2" type="noConversion"/>
  </si>
  <si>
    <t>4-1</t>
    <phoneticPr fontId="2" type="noConversion"/>
  </si>
  <si>
    <t>5-1</t>
    <phoneticPr fontId="2" type="noConversion"/>
  </si>
  <si>
    <t>5-2</t>
    <phoneticPr fontId="2" type="noConversion"/>
  </si>
  <si>
    <t>6-1</t>
    <phoneticPr fontId="2" type="noConversion"/>
  </si>
  <si>
    <t>6-2</t>
    <phoneticPr fontId="2" type="noConversion"/>
  </si>
  <si>
    <t>7-1</t>
    <phoneticPr fontId="2" type="noConversion"/>
  </si>
  <si>
    <t>7-2</t>
    <phoneticPr fontId="2" type="noConversion"/>
  </si>
  <si>
    <t>8-1</t>
    <phoneticPr fontId="2" type="noConversion"/>
  </si>
  <si>
    <t>等级段</t>
    <phoneticPr fontId="2" type="noConversion"/>
  </si>
  <si>
    <t>展示等级</t>
    <phoneticPr fontId="2" type="noConversion"/>
  </si>
  <si>
    <t>价值系数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</si>
  <si>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</si>
  <si>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</si>
  <si>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</si>
  <si>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</si>
  <si>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Cost[3].Id</t>
    <phoneticPr fontId="2" type="noConversion"/>
  </si>
  <si>
    <t>Cost[1].Id</t>
    <phoneticPr fontId="2" type="noConversion"/>
  </si>
  <si>
    <t>Cost[1].Val</t>
    <phoneticPr fontId="2" type="noConversion"/>
  </si>
  <si>
    <t>Cost[3].Val</t>
    <phoneticPr fontId="2" type="noConversion"/>
  </si>
  <si>
    <t>金币</t>
    <phoneticPr fontId="2" type="noConversion"/>
  </si>
  <si>
    <t>Fv</t>
    <phoneticPr fontId="2" type="noConversion"/>
  </si>
  <si>
    <t>RowId</t>
    <phoneticPr fontId="2" type="noConversion"/>
  </si>
  <si>
    <t>Loc</t>
    <phoneticPr fontId="2" type="noConversion"/>
  </si>
  <si>
    <t>Lv</t>
    <phoneticPr fontId="2" type="noConversion"/>
  </si>
  <si>
    <t>Pos</t>
    <phoneticPr fontId="2" type="noConversion"/>
  </si>
  <si>
    <t>WpId</t>
    <phoneticPr fontId="2" type="noConversion"/>
  </si>
  <si>
    <t>雷震子</t>
    <phoneticPr fontId="2" type="noConversion"/>
  </si>
  <si>
    <t>吕布</t>
    <phoneticPr fontId="2" type="noConversion"/>
  </si>
  <si>
    <t>秦琼</t>
    <phoneticPr fontId="2" type="noConversion"/>
  </si>
  <si>
    <t>#note</t>
    <phoneticPr fontId="2" type="noConversion"/>
  </si>
  <si>
    <t>SubRow</t>
    <phoneticPr fontId="2" type="noConversion"/>
  </si>
  <si>
    <t>CostNum</t>
    <phoneticPr fontId="2" type="noConversion"/>
  </si>
  <si>
    <t>朱仙</t>
  </si>
  <si>
    <t>雷震子</t>
  </si>
  <si>
    <t>吕布</t>
  </si>
  <si>
    <t>燕青</t>
  </si>
  <si>
    <t>秦琼</t>
  </si>
  <si>
    <t>异邦刀客</t>
  </si>
  <si>
    <t>无间+1</t>
  </si>
  <si>
    <t>魂火设计</t>
    <phoneticPr fontId="2" type="noConversion"/>
  </si>
  <si>
    <t>突破等级</t>
    <phoneticPr fontId="2" type="noConversion"/>
  </si>
  <si>
    <t>名字</t>
    <phoneticPr fontId="2" type="noConversion"/>
  </si>
  <si>
    <t>突破设计</t>
    <phoneticPr fontId="2" type="noConversion"/>
  </si>
  <si>
    <t>总消耗</t>
    <phoneticPr fontId="2" type="noConversion"/>
  </si>
  <si>
    <t>铀金</t>
    <phoneticPr fontId="2" type="noConversion"/>
  </si>
  <si>
    <t>魂火填表</t>
    <phoneticPr fontId="2" type="noConversion"/>
  </si>
  <si>
    <t>RowId</t>
    <phoneticPr fontId="2" type="noConversion"/>
  </si>
  <si>
    <t>GridId</t>
    <phoneticPr fontId="2" type="noConversion"/>
  </si>
  <si>
    <t>Cost[1].Id</t>
    <phoneticPr fontId="2" type="noConversion"/>
  </si>
  <si>
    <t>Cost[1].Val</t>
    <phoneticPr fontId="2" type="noConversion"/>
  </si>
  <si>
    <t>Cost[2].Id</t>
    <phoneticPr fontId="2" type="noConversion"/>
  </si>
  <si>
    <t>Cost[2].Val</t>
    <phoneticPr fontId="2" type="noConversion"/>
  </si>
  <si>
    <t>Cost[3].Id</t>
    <phoneticPr fontId="2" type="noConversion"/>
  </si>
  <si>
    <t>Cost[3].Val</t>
    <phoneticPr fontId="2" type="noConversion"/>
  </si>
  <si>
    <t>#note</t>
    <phoneticPr fontId="2" type="noConversion"/>
  </si>
  <si>
    <t>Loc</t>
    <phoneticPr fontId="2" type="noConversion"/>
  </si>
  <si>
    <t>金币</t>
    <phoneticPr fontId="2" type="noConversion"/>
  </si>
  <si>
    <t>金币</t>
    <phoneticPr fontId="2" type="noConversion"/>
  </si>
  <si>
    <t>金币</t>
    <phoneticPr fontId="2" type="noConversion"/>
  </si>
  <si>
    <t>占比</t>
    <phoneticPr fontId="2" type="noConversion"/>
  </si>
  <si>
    <t>灵玉</t>
    <phoneticPr fontId="2" type="noConversion"/>
  </si>
  <si>
    <t>进阶材料</t>
    <phoneticPr fontId="2" type="noConversion"/>
  </si>
  <si>
    <t>灵玉</t>
    <phoneticPr fontId="2" type="noConversion"/>
  </si>
  <si>
    <t>Qua</t>
    <phoneticPr fontId="2" type="noConversion"/>
  </si>
  <si>
    <t>CostLoc1</t>
    <phoneticPr fontId="2" type="noConversion"/>
  </si>
  <si>
    <t>CostLoc2</t>
  </si>
  <si>
    <t>CostLoc3</t>
  </si>
  <si>
    <t>RowId</t>
    <phoneticPr fontId="2" type="noConversion"/>
  </si>
  <si>
    <t>CardId</t>
    <phoneticPr fontId="2" type="noConversion"/>
  </si>
  <si>
    <t>CardId</t>
    <phoneticPr fontId="2" type="noConversion"/>
  </si>
  <si>
    <t>Lv</t>
    <phoneticPr fontId="2" type="noConversion"/>
  </si>
  <si>
    <t>金币</t>
    <phoneticPr fontId="2" type="noConversion"/>
  </si>
  <si>
    <t>Loc1</t>
    <phoneticPr fontId="2" type="noConversion"/>
  </si>
  <si>
    <t>Loc2</t>
    <phoneticPr fontId="2" type="noConversion"/>
  </si>
  <si>
    <t>金币</t>
    <phoneticPr fontId="2" type="noConversion"/>
  </si>
  <si>
    <t>CostLoc1</t>
    <phoneticPr fontId="2" type="noConversion"/>
  </si>
  <si>
    <t>num</t>
    <phoneticPr fontId="2" type="noConversion"/>
  </si>
  <si>
    <t>sum</t>
    <phoneticPr fontId="2" type="noConversion"/>
  </si>
  <si>
    <t>drop60.Loc1</t>
    <phoneticPr fontId="2" type="noConversion"/>
  </si>
  <si>
    <t>drop20.Loc2</t>
    <phoneticPr fontId="2" type="noConversion"/>
  </si>
  <si>
    <t>drop20.Loc1</t>
    <phoneticPr fontId="2" type="noConversion"/>
  </si>
  <si>
    <t>drop6.Loc2</t>
    <phoneticPr fontId="2" type="noConversion"/>
  </si>
  <si>
    <t>drop6.Loc1</t>
    <phoneticPr fontId="2" type="noConversion"/>
  </si>
  <si>
    <t>DropLoc</t>
    <phoneticPr fontId="2" type="noConversion"/>
  </si>
  <si>
    <t>Lv</t>
    <phoneticPr fontId="2" type="noConversion"/>
  </si>
  <si>
    <t>BoxLoc1</t>
    <phoneticPr fontId="2" type="noConversion"/>
  </si>
  <si>
    <t>BoxTime1</t>
    <phoneticPr fontId="2" type="noConversion"/>
  </si>
  <si>
    <t>BoxLoc2</t>
    <phoneticPr fontId="2" type="noConversion"/>
  </si>
  <si>
    <t>BoxTime2</t>
    <phoneticPr fontId="2" type="noConversion"/>
  </si>
  <si>
    <t>Lv</t>
    <phoneticPr fontId="2" type="noConversion"/>
  </si>
  <si>
    <t>DropLoc</t>
    <phoneticPr fontId="2" type="noConversion"/>
  </si>
  <si>
    <t>守护灵抽卡券</t>
    <phoneticPr fontId="2" type="noConversion"/>
  </si>
  <si>
    <t>熔炼值</t>
    <phoneticPr fontId="2" type="noConversion"/>
  </si>
  <si>
    <t>装备熔炼值</t>
    <phoneticPr fontId="2" type="noConversion"/>
  </si>
  <si>
    <t>扫荡产率</t>
    <phoneticPr fontId="2" type="noConversion"/>
  </si>
  <si>
    <t>灵玉</t>
  </si>
  <si>
    <t>停留</t>
    <phoneticPr fontId="2" type="noConversion"/>
  </si>
  <si>
    <t>Coin</t>
    <phoneticPr fontId="2" type="noConversion"/>
  </si>
  <si>
    <t>Golst</t>
    <phoneticPr fontId="2" type="noConversion"/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</si>
  <si>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</si>
  <si>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</si>
  <si>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</si>
  <si>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Award[3].num</t>
    <phoneticPr fontId="2" type="noConversion"/>
  </si>
  <si>
    <t>Id</t>
  </si>
  <si>
    <t>Difficult</t>
  </si>
  <si>
    <t>ChaId</t>
  </si>
  <si>
    <t>HelpCol</t>
  </si>
  <si>
    <t>Loc</t>
  </si>
  <si>
    <t>#note</t>
  </si>
  <si>
    <t>Star</t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</si>
  <si>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</si>
  <si>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</si>
  <si>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</si>
  <si>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StarBox</t>
    <phoneticPr fontId="2" type="noConversion"/>
  </si>
  <si>
    <t>Loc</t>
    <phoneticPr fontId="2" type="noConversion"/>
  </si>
  <si>
    <t>Id</t>
    <phoneticPr fontId="2" type="noConversion"/>
  </si>
  <si>
    <t>HelpCol</t>
    <phoneticPr fontId="2" type="noConversion"/>
  </si>
  <si>
    <t>LevelIdRequired</t>
    <phoneticPr fontId="2" type="noConversion"/>
  </si>
  <si>
    <t>Award[1].Id</t>
    <phoneticPr fontId="2" type="noConversion"/>
  </si>
  <si>
    <t>Award[1].Val</t>
    <phoneticPr fontId="2" type="noConversion"/>
  </si>
  <si>
    <t>Award[2].Id</t>
    <phoneticPr fontId="2" type="noConversion"/>
  </si>
  <si>
    <t>Award[2].Val</t>
    <phoneticPr fontId="2" type="noConversion"/>
  </si>
  <si>
    <t>普通关卡额外宝箱</t>
    <phoneticPr fontId="2" type="noConversion"/>
  </si>
  <si>
    <t>ExtBox</t>
    <phoneticPr fontId="2" type="noConversion"/>
  </si>
  <si>
    <t>Award[3].Id</t>
    <phoneticPr fontId="2" type="noConversion"/>
  </si>
  <si>
    <t>Award[3].Val</t>
    <phoneticPr fontId="2" type="noConversion"/>
  </si>
  <si>
    <t>钻石</t>
    <phoneticPr fontId="2" type="noConversion"/>
  </si>
  <si>
    <t>守护灵初级抽卡券</t>
    <phoneticPr fontId="2" type="noConversion"/>
  </si>
  <si>
    <t>守护灵经验</t>
    <phoneticPr fontId="2" type="noConversion"/>
  </si>
  <si>
    <t>nGhost</t>
    <phoneticPr fontId="2" type="noConversion"/>
  </si>
  <si>
    <t>玩家地狱道等级</t>
    <phoneticPr fontId="2" type="noConversion"/>
  </si>
  <si>
    <t>地狱道</t>
    <phoneticPr fontId="2" type="noConversion"/>
  </si>
  <si>
    <t>等级</t>
    <phoneticPr fontId="2" type="noConversion"/>
  </si>
  <si>
    <t>名字</t>
    <phoneticPr fontId="2" type="noConversion"/>
  </si>
  <si>
    <t>守护灵境界</t>
    <phoneticPr fontId="2" type="noConversion"/>
  </si>
  <si>
    <t>等级上限</t>
    <phoneticPr fontId="2" type="noConversion"/>
  </si>
  <si>
    <t>玩家等级</t>
    <phoneticPr fontId="2" type="noConversion"/>
  </si>
  <si>
    <t>所需地狱道</t>
    <phoneticPr fontId="2" type="noConversion"/>
  </si>
  <si>
    <t>LvLimit</t>
    <phoneticPr fontId="2" type="noConversion"/>
  </si>
  <si>
    <t xml:space="preserve">20级开启装备系统
8件装备，头盔(+2)，肩甲(+3)，衣服(+1)，武器(价值x2)(+0)，鞋子(+4)，护手(+5)，戒指(价值x1.5)(+8)，项链(价值x1.5)(+10)。
装备掉落：
6分钟掉落一件装备，装备掉率如下
50%绿，30%蓝，15%紫，5%橙
武器掉率/2，戒指和项链掉率/1.5
橙色装备出现必然需要鉴定。鉴定30%出套装。
装备属性上，橙装按3星SR为基准，60%属性投放。套装前2个属性40%（攻，血），套装3，某项百分比属性，套装4，某项2级属性。
锻造：
80%紫，15%橙，5%套装橙
套装：
20级，40级，60级，80级，100级，120级
洗练属性：
紫色和橙色装备可能产生洗练属性。
装备在生成时，决定洗练条目数。
装备套装：
20级套装8件套，4条套装属性。
40级套装有2套：
套1(武器，头盔，肩甲，衣服)（2,4：血，百分比攻）；套2（护手，鞋子，项链，戒指：攻，百分比血）
60，级套装有2套：
套1(武器，肩甲，头，衣，护手，鞋（2,3,5：血,攻,百分比血）)，套2（武器，衣服，鞋子，护手，项链，戒指（2,3,5：攻,血,百分比攻））
80,100,120级套装有3套：
套1(稀有，只可鉴定出)(武器，头盔，肩甲，项链，戒指（2,3,4,5：攻，血，增伤，免伤）)；套2（武器，头，肩，护手，鞋子，衣（2,3,5：血,攻,百分比血））;套3（武器，项链，戒指，护手，鞋子，衣（2,3,5：攻,血,百分比攻））
功能拓展：
公会护送：
每天刷出3个护送任务（低中高）。护送需要提交特定道具，派遣3个寄灵人和3个守护灵进行护送。护送完成奖励装备精华和帮会币。被劫持装备精华奖励减少20%，劫持者获得50%的装备精华。提交的道具包括药品，食物，装备，古董。药品和食物产出自生活技能，装备产出自掉落和锻造，古董产出自日常任务宝箱和恶灵入侵。
生活技能：
生活技能有2个，烹饪和制药。烹饪品可给寄灵人吃，提升基础属性，食用量受地狱道制约。药品可给守护灵吃，提升基础属性，食用量受突破等级制约。
生活技能可升级，使用帮贡升级，升级降低烹饪所需的经历。生活技能可进阶，进阶需要到达一定等级，进阶消耗技能书。进阶解锁新的产品，提升精力消耗。
制作消耗精力，每天回复精力300点，可吃精力丹回复精力。精力丹在商店限购。
每次制造，在已解锁的产品中随机一个。
交易：
未鉴定的装备和商品（食物，药品，古董）可以交易。低价为配置价格的1/3，一口价为配置价的2~3倍。交易币可由充值和成就获得，有一个交易币对应的商店，售卖基础强化材料。
</t>
    <phoneticPr fontId="2" type="noConversion"/>
  </si>
  <si>
    <t>停留时间</t>
    <phoneticPr fontId="2" type="noConversion"/>
  </si>
  <si>
    <t xml:space="preserve">通关pt-04
通关kn-03
</t>
    <phoneticPr fontId="2" type="noConversion"/>
  </si>
  <si>
    <t xml:space="preserve">通关pt-03
通关kn-02
</t>
    <phoneticPr fontId="2" type="noConversion"/>
  </si>
  <si>
    <t>通关pt-02</t>
    <phoneticPr fontId="2" type="noConversion"/>
  </si>
  <si>
    <t xml:space="preserve">通关pt-01，9关。
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</si>
  <si>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</si>
  <si>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</si>
  <si>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</si>
  <si>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</si>
  <si>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</si>
  <si>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困难</t>
    <phoneticPr fontId="2" type="noConversion"/>
  </si>
  <si>
    <t>n</t>
    <phoneticPr fontId="2" type="noConversion"/>
  </si>
  <si>
    <t>Lv</t>
    <phoneticPr fontId="2" type="noConversion"/>
  </si>
  <si>
    <t>Exp</t>
    <phoneticPr fontId="2" type="noConversion"/>
  </si>
  <si>
    <t>金币本</t>
    <phoneticPr fontId="2" type="noConversion"/>
  </si>
  <si>
    <t>金币位</t>
    <phoneticPr fontId="2" type="noConversion"/>
  </si>
  <si>
    <t>等级</t>
    <phoneticPr fontId="2" type="noConversion"/>
  </si>
  <si>
    <t>产率</t>
    <phoneticPr fontId="2" type="noConversion"/>
  </si>
  <si>
    <t>总金币</t>
    <phoneticPr fontId="2" type="noConversion"/>
  </si>
  <si>
    <t>等级</t>
    <phoneticPr fontId="2" type="noConversion"/>
  </si>
  <si>
    <t>等级Id</t>
    <phoneticPr fontId="2" type="noConversion"/>
  </si>
  <si>
    <t>等级段</t>
    <phoneticPr fontId="2" type="noConversion"/>
  </si>
  <si>
    <t>等级Min</t>
    <phoneticPr fontId="2" type="noConversion"/>
  </si>
  <si>
    <t>等级Max</t>
    <phoneticPr fontId="2" type="noConversion"/>
  </si>
  <si>
    <t>金币</t>
    <phoneticPr fontId="2" type="noConversion"/>
  </si>
  <si>
    <t>总和</t>
    <phoneticPr fontId="2" type="noConversion"/>
  </si>
  <si>
    <t>突破</t>
    <phoneticPr fontId="2" type="noConversion"/>
  </si>
  <si>
    <t>升星</t>
    <phoneticPr fontId="2" type="noConversion"/>
  </si>
  <si>
    <t>装备强化</t>
    <phoneticPr fontId="2" type="noConversion"/>
  </si>
  <si>
    <t>装备锻造</t>
    <phoneticPr fontId="2" type="noConversion"/>
  </si>
  <si>
    <t>神器升级</t>
    <phoneticPr fontId="2" type="noConversion"/>
  </si>
  <si>
    <t>专属武器强化</t>
    <phoneticPr fontId="2" type="noConversion"/>
  </si>
  <si>
    <t>专属武器解封</t>
    <phoneticPr fontId="2" type="noConversion"/>
  </si>
  <si>
    <t>购买初级抽</t>
    <phoneticPr fontId="2" type="noConversion"/>
  </si>
  <si>
    <t>总和</t>
    <phoneticPr fontId="2" type="noConversion"/>
  </si>
  <si>
    <t>升星填表</t>
    <phoneticPr fontId="2" type="noConversion"/>
  </si>
  <si>
    <t>Row</t>
    <phoneticPr fontId="2" type="noConversion"/>
  </si>
  <si>
    <t>升星填表</t>
    <phoneticPr fontId="2" type="noConversion"/>
  </si>
  <si>
    <t>Loc</t>
    <phoneticPr fontId="2" type="noConversion"/>
  </si>
  <si>
    <t>秦王攻</t>
  </si>
  <si>
    <t>姬烟华</t>
  </si>
  <si>
    <t>幻</t>
  </si>
  <si>
    <t>朱童</t>
  </si>
  <si>
    <t>貂灵芸</t>
  </si>
  <si>
    <t>卢天佑</t>
  </si>
  <si>
    <t>Id</t>
    <phoneticPr fontId="2" type="noConversion"/>
  </si>
  <si>
    <t>Help_col</t>
    <phoneticPr fontId="2" type="noConversion"/>
  </si>
  <si>
    <t>StarLv</t>
    <phoneticPr fontId="2" type="noConversion"/>
  </si>
  <si>
    <t>stars</t>
    <phoneticPr fontId="2" type="noConversion"/>
  </si>
  <si>
    <t>ID</t>
    <phoneticPr fontId="2" type="noConversion"/>
  </si>
  <si>
    <t>note</t>
    <phoneticPr fontId="2" type="noConversion"/>
  </si>
  <si>
    <t>qua</t>
    <phoneticPr fontId="2" type="noConversion"/>
  </si>
  <si>
    <t>n</t>
    <phoneticPr fontId="2" type="noConversion"/>
  </si>
  <si>
    <t>sum</t>
    <phoneticPr fontId="2" type="noConversion"/>
  </si>
  <si>
    <t>金币</t>
    <phoneticPr fontId="2" type="noConversion"/>
  </si>
  <si>
    <t>qua</t>
    <phoneticPr fontId="2" type="noConversion"/>
  </si>
  <si>
    <t>#note</t>
    <phoneticPr fontId="2" type="noConversion"/>
  </si>
  <si>
    <t>魂火</t>
    <phoneticPr fontId="2" type="noConversion"/>
  </si>
  <si>
    <t>突破</t>
    <phoneticPr fontId="2" type="noConversion"/>
  </si>
  <si>
    <t>等级</t>
    <phoneticPr fontId="2" type="noConversion"/>
  </si>
  <si>
    <t>等级名</t>
    <phoneticPr fontId="2" type="noConversion"/>
  </si>
  <si>
    <t>金币</t>
    <phoneticPr fontId="2" type="noConversion"/>
  </si>
  <si>
    <t>境界段</t>
    <phoneticPr fontId="2" type="noConversion"/>
  </si>
  <si>
    <t>魂火突破</t>
    <phoneticPr fontId="2" type="noConversion"/>
  </si>
  <si>
    <t>魂火等级</t>
    <phoneticPr fontId="2" type="noConversion"/>
  </si>
  <si>
    <t>R魂火</t>
    <phoneticPr fontId="2" type="noConversion"/>
  </si>
  <si>
    <t>SR魂火</t>
    <phoneticPr fontId="2" type="noConversion"/>
  </si>
  <si>
    <t>SSR魂火</t>
    <phoneticPr fontId="2" type="noConversion"/>
  </si>
  <si>
    <t>UR魂火</t>
    <phoneticPr fontId="2" type="noConversion"/>
  </si>
  <si>
    <t>魂火</t>
    <phoneticPr fontId="2" type="noConversion"/>
  </si>
  <si>
    <t>魂火金币</t>
    <phoneticPr fontId="2" type="noConversion"/>
  </si>
  <si>
    <t>突破消耗</t>
    <phoneticPr fontId="2" type="noConversion"/>
  </si>
  <si>
    <t>境界</t>
    <phoneticPr fontId="2" type="noConversion"/>
  </si>
  <si>
    <t>比例</t>
    <phoneticPr fontId="2" type="noConversion"/>
  </si>
  <si>
    <t>守护灵数</t>
    <phoneticPr fontId="2" type="noConversion"/>
  </si>
  <si>
    <t>总卡牌数</t>
    <phoneticPr fontId="2" type="noConversion"/>
  </si>
  <si>
    <t>龙珠位</t>
    <phoneticPr fontId="2" type="noConversion"/>
  </si>
  <si>
    <t>金币百分比</t>
    <phoneticPr fontId="2" type="noConversion"/>
  </si>
  <si>
    <t>龙珠位</t>
    <phoneticPr fontId="2" type="noConversion"/>
  </si>
  <si>
    <t>RowId</t>
    <phoneticPr fontId="2" type="noConversion"/>
  </si>
  <si>
    <t>金币每人</t>
    <phoneticPr fontId="2" type="noConversion"/>
  </si>
  <si>
    <t>qua</t>
    <phoneticPr fontId="2" type="noConversion"/>
  </si>
  <si>
    <t>Qua</t>
    <phoneticPr fontId="2" type="noConversion"/>
  </si>
  <si>
    <t>等级段</t>
    <phoneticPr fontId="2" type="noConversion"/>
  </si>
  <si>
    <t>等级</t>
    <phoneticPr fontId="2" type="noConversion"/>
  </si>
  <si>
    <t>境界段</t>
    <phoneticPr fontId="2" type="noConversion"/>
  </si>
  <si>
    <t>占比</t>
    <phoneticPr fontId="2" type="noConversion"/>
  </si>
  <si>
    <t>金币消耗</t>
    <phoneticPr fontId="2" type="noConversion"/>
  </si>
  <si>
    <t>少年曹玄亮</t>
    <phoneticPr fontId="2" type="noConversion"/>
  </si>
  <si>
    <t>总装备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</si>
  <si>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</si>
  <si>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</si>
  <si>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</si>
  <si>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</si>
  <si>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掉落概率</t>
    <phoneticPr fontId="2" type="noConversion"/>
  </si>
  <si>
    <t>章节</t>
    <phoneticPr fontId="2" type="noConversion"/>
  </si>
  <si>
    <t>掉落1</t>
    <phoneticPr fontId="2" type="noConversion"/>
  </si>
  <si>
    <t>掉落2</t>
  </si>
  <si>
    <t>掉落3</t>
  </si>
  <si>
    <t>掉落4</t>
  </si>
  <si>
    <t>掉落5</t>
  </si>
  <si>
    <t>掉落6</t>
  </si>
  <si>
    <t>掉落7</t>
  </si>
  <si>
    <t>掉落8</t>
  </si>
  <si>
    <t>掉落9</t>
  </si>
  <si>
    <t>掉落10</t>
  </si>
  <si>
    <t>掉落11</t>
  </si>
  <si>
    <t>显示等级</t>
    <phoneticPr fontId="2" type="noConversion"/>
  </si>
  <si>
    <t>停留</t>
    <phoneticPr fontId="2" type="noConversion"/>
  </si>
  <si>
    <t>产率</t>
    <phoneticPr fontId="2" type="noConversion"/>
  </si>
  <si>
    <t>产出熔炼值</t>
    <phoneticPr fontId="2" type="noConversion"/>
  </si>
  <si>
    <t>总产出</t>
    <phoneticPr fontId="2" type="noConversion"/>
  </si>
  <si>
    <t>SUM</t>
    <phoneticPr fontId="2" type="noConversion"/>
  </si>
  <si>
    <t>熔炼值橙套</t>
    <phoneticPr fontId="2" type="noConversion"/>
  </si>
  <si>
    <t>熔炼值</t>
    <phoneticPr fontId="2" type="noConversion"/>
  </si>
  <si>
    <t>装备掉落</t>
    <phoneticPr fontId="2" type="noConversion"/>
  </si>
  <si>
    <t>熔炼值橙</t>
    <phoneticPr fontId="2" type="noConversion"/>
  </si>
  <si>
    <t>橙套价值</t>
    <phoneticPr fontId="2" type="noConversion"/>
  </si>
  <si>
    <t>锻造概率</t>
    <phoneticPr fontId="2" type="noConversion"/>
  </si>
  <si>
    <t>熔炼消耗</t>
    <phoneticPr fontId="2" type="noConversion"/>
  </si>
  <si>
    <t>橙套数量</t>
    <phoneticPr fontId="2" type="noConversion"/>
  </si>
  <si>
    <t>等级</t>
    <phoneticPr fontId="2" type="noConversion"/>
  </si>
  <si>
    <t>等级</t>
    <phoneticPr fontId="2" type="noConversion"/>
  </si>
  <si>
    <t>note</t>
    <phoneticPr fontId="2" type="noConversion"/>
  </si>
  <si>
    <t>熔炼值</t>
    <phoneticPr fontId="2" type="noConversion"/>
  </si>
  <si>
    <t>RowId</t>
    <phoneticPr fontId="2" type="noConversion"/>
  </si>
  <si>
    <t>Loc</t>
    <phoneticPr fontId="2" type="noConversion"/>
  </si>
  <si>
    <t>Pos</t>
    <phoneticPr fontId="2" type="noConversion"/>
  </si>
  <si>
    <t>HelpCol</t>
    <phoneticPr fontId="2" type="noConversion"/>
  </si>
  <si>
    <t>Equips</t>
    <phoneticPr fontId="2" type="noConversion"/>
  </si>
  <si>
    <t>Cost[1].Id</t>
  </si>
  <si>
    <t>Cost[1].Val</t>
  </si>
  <si>
    <t>Pic</t>
    <phoneticPr fontId="2" type="noConversion"/>
  </si>
  <si>
    <t>Fac</t>
    <phoneticPr fontId="2" type="noConversion"/>
  </si>
  <si>
    <t>Name</t>
    <phoneticPr fontId="2" type="noConversion"/>
  </si>
  <si>
    <t>灵器</t>
    <phoneticPr fontId="2" type="noConversion"/>
  </si>
  <si>
    <t>头盔</t>
    <phoneticPr fontId="2" type="noConversion"/>
  </si>
  <si>
    <t>铠甲</t>
    <phoneticPr fontId="2" type="noConversion"/>
  </si>
  <si>
    <t>裤子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</si>
  <si>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</si>
  <si>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</si>
  <si>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</si>
  <si>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</si>
  <si>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普通</t>
    <phoneticPr fontId="2" type="noConversion"/>
  </si>
  <si>
    <t>困难</t>
    <phoneticPr fontId="2" type="noConversion"/>
  </si>
  <si>
    <t>噩梦</t>
    <phoneticPr fontId="2" type="noConversion"/>
  </si>
  <si>
    <t>金币本</t>
    <phoneticPr fontId="2" type="noConversion"/>
  </si>
  <si>
    <t>副本位</t>
    <phoneticPr fontId="2" type="noConversion"/>
  </si>
  <si>
    <t>铀金</t>
  </si>
  <si>
    <t>魂火材料本</t>
    <phoneticPr fontId="2" type="noConversion"/>
  </si>
  <si>
    <t>突破材料本</t>
    <phoneticPr fontId="2" type="noConversion"/>
  </si>
  <si>
    <t>Loc</t>
    <phoneticPr fontId="2" type="noConversion"/>
  </si>
  <si>
    <t>金币</t>
    <phoneticPr fontId="2" type="noConversion"/>
  </si>
  <si>
    <t>RealGroup</t>
    <phoneticPr fontId="2" type="noConversion"/>
  </si>
  <si>
    <t>神器本-1-普通-1</t>
    <phoneticPr fontId="2" type="noConversion"/>
  </si>
  <si>
    <t>神器本-1-普通-1</t>
    <phoneticPr fontId="2" type="noConversion"/>
  </si>
  <si>
    <t>神器本-1-普通-2</t>
    <phoneticPr fontId="2" type="noConversion"/>
  </si>
  <si>
    <t>神器本-2-普通-1</t>
    <phoneticPr fontId="2" type="noConversion"/>
  </si>
  <si>
    <t>神器本-3-普通-1</t>
  </si>
  <si>
    <t>神器本-2-普通-2</t>
    <phoneticPr fontId="2" type="noConversion"/>
  </si>
  <si>
    <t>神器本-2-普通-3</t>
    <phoneticPr fontId="2" type="noConversion"/>
  </si>
  <si>
    <t>神器本-2-普通-3</t>
    <phoneticPr fontId="2" type="noConversion"/>
  </si>
  <si>
    <t>神器本-2-困难-1</t>
  </si>
  <si>
    <t>神器本-2-困难-2</t>
  </si>
  <si>
    <t>神器本-2-困难-3</t>
  </si>
  <si>
    <t>神器本-2-困难-4</t>
    <phoneticPr fontId="2" type="noConversion"/>
  </si>
  <si>
    <t>神器本-3-困难-1</t>
  </si>
  <si>
    <t>神器本-3-困难-2</t>
  </si>
  <si>
    <t>神器本-3-困难-3</t>
  </si>
  <si>
    <t>神器本-3-普通-2</t>
    <phoneticPr fontId="2" type="noConversion"/>
  </si>
  <si>
    <t>神器本-3-普通-3</t>
    <phoneticPr fontId="2" type="noConversion"/>
  </si>
  <si>
    <t>神器本-3-困难-4</t>
    <phoneticPr fontId="2" type="noConversion"/>
  </si>
  <si>
    <t>神器本-3-噩梦-1</t>
  </si>
  <si>
    <t>神器本-3-噩梦-2</t>
  </si>
  <si>
    <t>神器本-3-噩梦-3</t>
  </si>
  <si>
    <t>神器本-3-噩梦-4</t>
  </si>
  <si>
    <t>神器本-3-噩梦-5</t>
  </si>
  <si>
    <t>神器本-4-普通-1</t>
    <phoneticPr fontId="2" type="noConversion"/>
  </si>
  <si>
    <t>神器本-4-普通-2</t>
    <phoneticPr fontId="2" type="noConversion"/>
  </si>
  <si>
    <t>神器本-4-普通-3</t>
    <phoneticPr fontId="2" type="noConversion"/>
  </si>
  <si>
    <t>神器本-4-困难-1</t>
  </si>
  <si>
    <t>神器本-4-困难-2</t>
  </si>
  <si>
    <t>神器本-4-困难-3</t>
  </si>
  <si>
    <t>神器本-4-困难-4</t>
  </si>
  <si>
    <t>神器本-5-困难-3</t>
  </si>
  <si>
    <t>神器本-4-噩梦-1</t>
  </si>
  <si>
    <t>神器本-4-噩梦-2</t>
  </si>
  <si>
    <t>神器本-4-噩梦-3</t>
  </si>
  <si>
    <t>神器本-4-噩梦-4</t>
  </si>
  <si>
    <t>神器本-4-噩梦-5</t>
  </si>
  <si>
    <t>神器本-5-普通-1</t>
    <phoneticPr fontId="2" type="noConversion"/>
  </si>
  <si>
    <t>神器本-5-普通-2</t>
    <phoneticPr fontId="2" type="noConversion"/>
  </si>
  <si>
    <t>神器本-5-困难-1</t>
  </si>
  <si>
    <t>神器本-5-困难-2</t>
  </si>
  <si>
    <t>神器本-6-困难-1</t>
  </si>
  <si>
    <t>神器本-6-困难-2</t>
  </si>
  <si>
    <t>神器本-5-噩梦-1</t>
  </si>
  <si>
    <t>神器本-5-噩梦-2</t>
  </si>
  <si>
    <t>神器本-5-噩梦-3</t>
  </si>
  <si>
    <t>神器本-5-噩梦-4</t>
  </si>
  <si>
    <t>神器本-6-普通-1</t>
    <phoneticPr fontId="2" type="noConversion"/>
  </si>
  <si>
    <t>神器本-6-普通-2</t>
    <phoneticPr fontId="2" type="noConversion"/>
  </si>
  <si>
    <t>神器本-6-困难-3</t>
    <phoneticPr fontId="2" type="noConversion"/>
  </si>
  <si>
    <t>神器本-7-困难-1</t>
  </si>
  <si>
    <t>神器本-7-困难-2</t>
  </si>
  <si>
    <t>神器本-7-困难-3</t>
  </si>
  <si>
    <t>神器本-6-噩梦-1</t>
  </si>
  <si>
    <t>神器本-6-噩梦-2</t>
  </si>
  <si>
    <t>神器本-6-噩梦-3</t>
  </si>
  <si>
    <t>神器本-6-噩梦-4</t>
  </si>
  <si>
    <t>神器本-7-普通-1</t>
    <phoneticPr fontId="2" type="noConversion"/>
  </si>
  <si>
    <t>神器本-7-普通-2</t>
    <phoneticPr fontId="2" type="noConversion"/>
  </si>
  <si>
    <t>神器本-7-噩梦-1</t>
  </si>
  <si>
    <t>神器本-7-噩梦-2</t>
  </si>
  <si>
    <t>神器本-7-噩梦-3</t>
  </si>
  <si>
    <t>神器本-7-噩梦-4</t>
  </si>
  <si>
    <t>神器本-5-普通-3</t>
    <phoneticPr fontId="2" type="noConversion"/>
  </si>
  <si>
    <t>神器本-5-普通-3</t>
    <phoneticPr fontId="2" type="noConversion"/>
  </si>
  <si>
    <t>神器本-7-普通-1</t>
    <phoneticPr fontId="2" type="noConversion"/>
  </si>
  <si>
    <t>神器本-7-噩梦-1</t>
    <phoneticPr fontId="2" type="noConversion"/>
  </si>
  <si>
    <t>WpName</t>
    <phoneticPr fontId="2" type="noConversion"/>
  </si>
  <si>
    <t>青龙偃月刀</t>
  </si>
  <si>
    <t>碎岩</t>
  </si>
  <si>
    <t>狂鲨铁戟</t>
  </si>
  <si>
    <t>清风化煞</t>
  </si>
  <si>
    <t>破军</t>
  </si>
  <si>
    <t>阿尔法拉</t>
  </si>
  <si>
    <t>娑伽罗之刃</t>
  </si>
  <si>
    <t>白龙</t>
  </si>
  <si>
    <t>流光·幻影</t>
  </si>
  <si>
    <t>丈八蛇矛</t>
  </si>
  <si>
    <t>鬼哭地狱</t>
  </si>
  <si>
    <t>镔铁盘龙棍</t>
  </si>
  <si>
    <t>诸神的裁决</t>
  </si>
  <si>
    <t>黑色死神</t>
  </si>
  <si>
    <t>百战陷阵枪</t>
  </si>
  <si>
    <t>断灭一闪</t>
  </si>
  <si>
    <t>朱仙专属武器</t>
  </si>
  <si>
    <t>雷神之锤</t>
  </si>
  <si>
    <t>方天画戟</t>
  </si>
  <si>
    <t>小乙玉笛</t>
  </si>
  <si>
    <t>虎头錾金枪</t>
  </si>
  <si>
    <t>地煞一</t>
  </si>
  <si>
    <t>地煞二</t>
  </si>
  <si>
    <t>地煞三</t>
  </si>
  <si>
    <t>地煞四</t>
  </si>
  <si>
    <t>地煞五</t>
  </si>
  <si>
    <t>地煞六</t>
  </si>
  <si>
    <t>地煞七</t>
  </si>
  <si>
    <t>地煞八</t>
  </si>
  <si>
    <t>地煞九</t>
  </si>
  <si>
    <t>天罡一</t>
  </si>
  <si>
    <t>天罡二</t>
  </si>
  <si>
    <t>天罡三</t>
  </si>
  <si>
    <t>天罡四</t>
  </si>
  <si>
    <t>天罡五</t>
  </si>
  <si>
    <t>天罡六</t>
  </si>
  <si>
    <t>星耀</t>
  </si>
  <si>
    <t>恶灵入侵名</t>
    <phoneticPr fontId="2" type="noConversion"/>
  </si>
  <si>
    <t>限制等级</t>
    <phoneticPr fontId="2" type="noConversion"/>
  </si>
  <si>
    <t>品质</t>
    <phoneticPr fontId="2" type="noConversion"/>
  </si>
  <si>
    <t>价值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</si>
  <si>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</si>
  <si>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</si>
  <si>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</si>
  <si>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</si>
  <si>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SR+</t>
    <phoneticPr fontId="2" type="noConversion"/>
  </si>
  <si>
    <t>SSR+</t>
    <phoneticPr fontId="2" type="noConversion"/>
  </si>
  <si>
    <t>UR</t>
    <phoneticPr fontId="2" type="noConversion"/>
  </si>
  <si>
    <t>需求碎片</t>
    <phoneticPr fontId="2" type="noConversion"/>
  </si>
  <si>
    <t>单次产出</t>
    <phoneticPr fontId="2" type="noConversion"/>
  </si>
  <si>
    <t>D1</t>
    <phoneticPr fontId="2" type="noConversion"/>
  </si>
  <si>
    <t>小品质Id</t>
    <phoneticPr fontId="2" type="noConversion"/>
  </si>
  <si>
    <t>D2</t>
  </si>
  <si>
    <t>D3</t>
  </si>
  <si>
    <t>D4</t>
  </si>
  <si>
    <t>D5</t>
  </si>
  <si>
    <t>D6</t>
  </si>
  <si>
    <t>价值</t>
    <phoneticPr fontId="2" type="noConversion"/>
  </si>
  <si>
    <t>小品质</t>
    <phoneticPr fontId="2" type="noConversion"/>
  </si>
  <si>
    <t>SubQua</t>
    <phoneticPr fontId="2" type="noConversion"/>
  </si>
  <si>
    <t>WpId</t>
    <phoneticPr fontId="2" type="noConversion"/>
  </si>
  <si>
    <t>品质描述</t>
    <phoneticPr fontId="2" type="noConversion"/>
  </si>
  <si>
    <t>Weight</t>
    <phoneticPr fontId="2" type="noConversion"/>
  </si>
  <si>
    <t>项羽</t>
    <phoneticPr fontId="2" type="noConversion"/>
  </si>
  <si>
    <t>掉落设计</t>
    <phoneticPr fontId="2" type="noConversion"/>
  </si>
  <si>
    <t>专属碎片价值</t>
    <phoneticPr fontId="2" type="noConversion"/>
  </si>
  <si>
    <t>专属武器碎片</t>
    <phoneticPr fontId="2" type="noConversion"/>
  </si>
  <si>
    <t>价值</t>
    <phoneticPr fontId="2" type="noConversion"/>
  </si>
  <si>
    <t>对应章节</t>
    <phoneticPr fontId="2" type="noConversion"/>
  </si>
  <si>
    <t>金币n</t>
    <phoneticPr fontId="2" type="noConversion"/>
  </si>
  <si>
    <t>金币</t>
    <phoneticPr fontId="2" type="noConversion"/>
  </si>
  <si>
    <t>洗炼瓶Min</t>
    <phoneticPr fontId="2" type="noConversion"/>
  </si>
  <si>
    <t>洗炼瓶Max</t>
    <phoneticPr fontId="2" type="noConversion"/>
  </si>
  <si>
    <t>RowId</t>
    <phoneticPr fontId="2" type="noConversion"/>
  </si>
  <si>
    <t>WpID</t>
    <phoneticPr fontId="2" type="noConversion"/>
  </si>
  <si>
    <t>PSkill</t>
    <phoneticPr fontId="2" type="noConversion"/>
  </si>
  <si>
    <t>PSkillLevel</t>
    <phoneticPr fontId="2" type="noConversion"/>
  </si>
  <si>
    <t>解封等级</t>
    <phoneticPr fontId="2" type="noConversion"/>
  </si>
  <si>
    <t>SR数量</t>
    <phoneticPr fontId="2" type="noConversion"/>
  </si>
  <si>
    <t>SR+数量</t>
    <phoneticPr fontId="2" type="noConversion"/>
  </si>
  <si>
    <t>SSR数量</t>
    <phoneticPr fontId="2" type="noConversion"/>
  </si>
  <si>
    <t>SSR+数量</t>
    <phoneticPr fontId="2" type="noConversion"/>
  </si>
  <si>
    <t>UR数量</t>
    <phoneticPr fontId="2" type="noConversion"/>
  </si>
  <si>
    <t>Loc</t>
    <phoneticPr fontId="2" type="noConversion"/>
  </si>
  <si>
    <t>Unseal</t>
    <phoneticPr fontId="2" type="noConversion"/>
  </si>
  <si>
    <t>#note</t>
    <phoneticPr fontId="2" type="noConversion"/>
  </si>
  <si>
    <t>Cost[1].Val</t>
    <phoneticPr fontId="2" type="noConversion"/>
  </si>
  <si>
    <t>Cost[2].Val</t>
    <phoneticPr fontId="2" type="noConversion"/>
  </si>
  <si>
    <t>SR金币</t>
    <phoneticPr fontId="2" type="noConversion"/>
  </si>
  <si>
    <t>SR+金币</t>
    <phoneticPr fontId="2" type="noConversion"/>
  </si>
  <si>
    <t>SSR金币</t>
    <phoneticPr fontId="2" type="noConversion"/>
  </si>
  <si>
    <t>SSR+金币</t>
    <phoneticPr fontId="2" type="noConversion"/>
  </si>
  <si>
    <t>UR金币</t>
    <phoneticPr fontId="2" type="noConversion"/>
  </si>
  <si>
    <t>规划金币</t>
    <phoneticPr fontId="2" type="noConversion"/>
  </si>
  <si>
    <t>SubQua</t>
    <phoneticPr fontId="2" type="noConversion"/>
  </si>
  <si>
    <t>分解金币</t>
    <phoneticPr fontId="2" type="noConversion"/>
  </si>
  <si>
    <t>购买钻石</t>
    <phoneticPr fontId="2" type="noConversion"/>
  </si>
  <si>
    <t>十一后放整件，要追加公告系统</t>
    <phoneticPr fontId="2" type="noConversion"/>
  </si>
  <si>
    <t>分解货币</t>
    <phoneticPr fontId="2" type="noConversion"/>
  </si>
  <si>
    <t>1~10</t>
  </si>
  <si>
    <t>10~15</t>
  </si>
  <si>
    <t>15~20</t>
  </si>
  <si>
    <t>20~25</t>
  </si>
  <si>
    <t>25~30</t>
  </si>
  <si>
    <t>30~35</t>
  </si>
  <si>
    <t>35~40</t>
  </si>
  <si>
    <t>40~45</t>
  </si>
  <si>
    <t>45~50</t>
  </si>
  <si>
    <t>50~55</t>
  </si>
  <si>
    <t>55~60</t>
  </si>
  <si>
    <t>60~65</t>
  </si>
  <si>
    <t>65~70</t>
  </si>
  <si>
    <t>70~75</t>
  </si>
  <si>
    <t>75~80</t>
  </si>
  <si>
    <t>80~85</t>
  </si>
  <si>
    <t>85~90</t>
  </si>
  <si>
    <t>90~95</t>
  </si>
  <si>
    <t>95~100</t>
  </si>
  <si>
    <t>100~105</t>
  </si>
  <si>
    <t>105~110</t>
  </si>
  <si>
    <t>110~115</t>
  </si>
  <si>
    <t>115~120</t>
  </si>
  <si>
    <t>120~125</t>
  </si>
  <si>
    <t>125~130</t>
  </si>
  <si>
    <t>130~135</t>
  </si>
  <si>
    <t>135~140</t>
  </si>
  <si>
    <t>140~145</t>
  </si>
  <si>
    <t>145~150</t>
  </si>
  <si>
    <t>大R</t>
    <phoneticPr fontId="2" type="noConversion"/>
  </si>
  <si>
    <t>15~25</t>
    <phoneticPr fontId="2" type="noConversion"/>
  </si>
  <si>
    <t>25~30</t>
    <phoneticPr fontId="2" type="noConversion"/>
  </si>
  <si>
    <t>极限时间</t>
    <phoneticPr fontId="2" type="noConversion"/>
  </si>
  <si>
    <t>极限停留</t>
    <phoneticPr fontId="2" type="noConversion"/>
  </si>
  <si>
    <t>假定不限使用次数，月卡每天买4次，大R每天买8次</t>
    <phoneticPr fontId="2" type="noConversion"/>
  </si>
  <si>
    <t>对应挂机章</t>
    <phoneticPr fontId="2" type="noConversion"/>
  </si>
  <si>
    <t>150小圆满</t>
    <phoneticPr fontId="2" type="noConversion"/>
  </si>
  <si>
    <t>150大圆满</t>
    <phoneticPr fontId="2" type="noConversion"/>
  </si>
  <si>
    <t>每天次数</t>
    <phoneticPr fontId="2" type="noConversion"/>
  </si>
  <si>
    <t>月卡100钻</t>
    <phoneticPr fontId="2" type="noConversion"/>
  </si>
  <si>
    <t>终身卡150钻</t>
    <phoneticPr fontId="2" type="noConversion"/>
  </si>
  <si>
    <t>1~7</t>
    <phoneticPr fontId="2" type="noConversion"/>
  </si>
  <si>
    <t>7~15</t>
    <phoneticPr fontId="2" type="noConversion"/>
  </si>
  <si>
    <t>等级</t>
    <phoneticPr fontId="2" type="noConversion"/>
  </si>
  <si>
    <t>等级Max</t>
    <phoneticPr fontId="2" type="noConversion"/>
  </si>
  <si>
    <t>计算等级</t>
    <phoneticPr fontId="2" type="noConversion"/>
  </si>
  <si>
    <t>对应章节</t>
    <phoneticPr fontId="2" type="noConversion"/>
  </si>
  <si>
    <t>停留总</t>
    <phoneticPr fontId="2" type="noConversion"/>
  </si>
  <si>
    <t>比例</t>
    <phoneticPr fontId="2" type="noConversion"/>
  </si>
  <si>
    <t>开启等级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</si>
</sst>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trike/>
      <sz val="11"/>
      <color theme="1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5" tint="-0.249977111117893"/>
        <bgColor indexed="64"/>
      </patternFill>
    </fill>
  </fills>
  <borders count="35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  <xf numFmtId="0" fontId="15" fillId="11" borderId="0" applyNumberFormat="0" applyBorder="0" applyAlignment="0" applyProtection="0">
      <alignment vertical="center"/>
    </xf>
    <xf numFmtId="0" fontId="16" fillId="12" borderId="22" applyNumberFormat="0" applyAlignment="0" applyProtection="0">
      <alignment vertical="center"/>
    </xf>
  </cellStyleXfs>
  <cellXfs count="207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0" borderId="4" xfId="4" applyNumberFormat="1">
      <alignment vertical="top" wrapText="1"/>
    </xf>
    <xf numFmtId="10" fontId="7" fillId="7" borderId="4" xfId="7" applyNumberFormat="1">
      <alignment horizontal="center" vertical="center" wrapText="1"/>
    </xf>
    <xf numFmtId="10" fontId="7" fillId="0" borderId="4" xfId="4" applyNumberFormat="1">
      <alignment vertical="top" wrapText="1"/>
    </xf>
    <xf numFmtId="0" fontId="7" fillId="0" borderId="4" xfId="4">
      <alignment vertical="top" wrapText="1"/>
    </xf>
    <xf numFmtId="0" fontId="5" fillId="5" borderId="0" xfId="5" applyBorder="1">
      <alignment horizontal="center" vertical="center" shrinkToFi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8" borderId="4" xfId="8" applyFont="1">
      <alignment horizontal="center" vertical="center" wrapText="1"/>
    </xf>
    <xf numFmtId="9" fontId="1" fillId="0" borderId="0" xfId="1" applyNumberFormat="1">
      <alignment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5" borderId="33" xfId="5" applyBorder="1">
      <alignment horizontal="center" vertical="center" shrinkToFit="1"/>
    </xf>
    <xf numFmtId="0" fontId="7" fillId="0" borderId="4" xfId="4" applyNumberFormat="1">
      <alignment vertical="top" wrapText="1"/>
    </xf>
    <xf numFmtId="0" fontId="0" fillId="8" borderId="0" xfId="8" applyFont="1" applyBorder="1">
      <alignment horizontal="center" vertical="center" wrapText="1"/>
    </xf>
    <xf numFmtId="0" fontId="7" fillId="0" borderId="4" xfId="4">
      <alignment vertical="top" wrapText="1"/>
    </xf>
    <xf numFmtId="9" fontId="0" fillId="0" borderId="0" xfId="0" applyNumberFormat="1"/>
    <xf numFmtId="0" fontId="1" fillId="8" borderId="4" xfId="8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3" fillId="3" borderId="0" xfId="2" applyAlignment="1">
      <alignment horizontal="center" vertical="top" wrapText="1"/>
    </xf>
    <xf numFmtId="0" fontId="7" fillId="0" borderId="4" xfId="4" applyFont="1">
      <alignment vertical="top" wrapText="1"/>
    </xf>
    <xf numFmtId="0" fontId="7" fillId="0" borderId="4" xfId="4">
      <alignment vertical="top" wrapText="1"/>
    </xf>
    <xf numFmtId="0" fontId="1" fillId="0" borderId="0" xfId="1" applyAlignment="1">
      <alignment vertical="center"/>
    </xf>
    <xf numFmtId="0" fontId="7" fillId="0" borderId="0" xfId="4" applyFill="1" applyBorder="1">
      <alignment vertical="top" wrapText="1"/>
    </xf>
    <xf numFmtId="0" fontId="5" fillId="5" borderId="27" xfId="5" applyBorder="1">
      <alignment horizontal="center" vertical="center" shrinkToFi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quotePrefix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0" borderId="0" xfId="0" applyAlignmen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33" xfId="4" applyFill="1" applyBorder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7" borderId="4" xfId="7" applyNumberFormat="1">
      <alignment horizontal="center" vertical="center" wrapText="1"/>
    </xf>
    <xf numFmtId="10" fontId="0" fillId="0" borderId="0" xfId="0" applyNumberForma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27" xfId="4" applyFill="1" applyBorder="1">
      <alignment vertical="top" wrapText="1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applyFont="1" applyFill="1" applyBorder="1" applyAlignment="1">
      <alignment vertical="top" wrapText="1"/>
    </xf>
    <xf numFmtId="3" fontId="7" fillId="0" borderId="4" xfId="4" applyNumberFormat="1" applyFont="1" applyFill="1" applyBorder="1" applyAlignme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1" fillId="0" borderId="0" xfId="1">
      <alignment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 applyAlignment="1">
      <alignment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19" fillId="0" borderId="4" xfId="4" applyFo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34" xfId="4" applyBorder="1" applyAlignment="1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0" fillId="13" borderId="0" xfId="1" applyFont="1" applyFill="1" applyAlignment="1">
      <alignment horizontal="center" vertical="center"/>
    </xf>
    <xf numFmtId="0" fontId="1" fillId="13" borderId="0" xfId="1" applyFill="1" applyAlignment="1">
      <alignment horizontal="center" vertical="center"/>
    </xf>
    <xf numFmtId="0" fontId="7" fillId="0" borderId="24" xfId="4" applyBorder="1" applyAlignment="1">
      <alignment horizontal="left" vertical="top" wrapText="1"/>
    </xf>
    <xf numFmtId="0" fontId="7" fillId="0" borderId="25" xfId="4" applyBorder="1" applyAlignment="1">
      <alignment horizontal="left" vertical="top" wrapText="1"/>
    </xf>
    <xf numFmtId="0" fontId="7" fillId="0" borderId="26" xfId="4" applyBorder="1" applyAlignment="1">
      <alignment horizontal="left" vertical="top" wrapText="1"/>
    </xf>
    <xf numFmtId="0" fontId="7" fillId="0" borderId="27" xfId="4" applyBorder="1" applyAlignment="1">
      <alignment horizontal="left" vertical="top" wrapText="1"/>
    </xf>
    <xf numFmtId="0" fontId="7" fillId="0" borderId="0" xfId="4" applyBorder="1" applyAlignment="1">
      <alignment horizontal="left" vertical="top" wrapText="1"/>
    </xf>
    <xf numFmtId="0" fontId="7" fillId="0" borderId="28" xfId="4" applyBorder="1" applyAlignment="1">
      <alignment horizontal="left" vertical="top" wrapText="1"/>
    </xf>
    <xf numFmtId="0" fontId="7" fillId="0" borderId="29" xfId="4" applyBorder="1" applyAlignment="1">
      <alignment horizontal="left" vertical="top" wrapText="1"/>
    </xf>
    <xf numFmtId="0" fontId="7" fillId="0" borderId="23" xfId="4" applyBorder="1" applyAlignment="1">
      <alignment horizontal="left" vertical="top" wrapText="1"/>
    </xf>
    <xf numFmtId="0" fontId="7" fillId="0" borderId="30" xfId="4" applyBorder="1" applyAlignment="1">
      <alignment horizontal="left" vertical="top" wrapText="1"/>
    </xf>
    <xf numFmtId="0" fontId="0" fillId="8" borderId="4" xfId="8" applyFo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" fillId="0" borderId="0" xfId="1">
      <alignment vertical="center"/>
    </xf>
    <xf numFmtId="0" fontId="0" fillId="0" borderId="0" xfId="0"/>
    <xf numFmtId="0" fontId="3" fillId="3" borderId="3" xfId="2" applyBorder="1" applyAlignment="1">
      <alignment horizontal="center" vertical="top"/>
    </xf>
    <xf numFmtId="0" fontId="3" fillId="3" borderId="0" xfId="2">
      <alignment horizontal="center" vertical="top"/>
    </xf>
  </cellXfs>
  <cellStyles count="14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计算" xfId="13" builtinId="22" hidden="1"/>
    <cellStyle name="适中" xfId="12" builtinId="28" hidden="1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L13" sqref="L13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168" t="s">
        <v>13</v>
      </c>
      <c r="C2" s="169"/>
      <c r="D2" s="169"/>
      <c r="E2" s="170"/>
    </row>
    <row r="3" spans="2:5" ht="35.1" customHeight="1" x14ac:dyDescent="0.2">
      <c r="B3" s="2" t="s">
        <v>0</v>
      </c>
      <c r="C3" s="3" t="s">
        <v>11</v>
      </c>
      <c r="D3" s="171" t="s">
        <v>1</v>
      </c>
      <c r="E3" s="173" t="s">
        <v>14</v>
      </c>
    </row>
    <row r="4" spans="2:5" ht="35.1" customHeight="1" x14ac:dyDescent="0.2">
      <c r="B4" s="2" t="s">
        <v>2</v>
      </c>
      <c r="C4" s="3" t="s">
        <v>12</v>
      </c>
      <c r="D4" s="172"/>
      <c r="E4" s="174"/>
    </row>
    <row r="5" spans="2:5" ht="35.1" customHeight="1" x14ac:dyDescent="0.2">
      <c r="B5" s="4" t="s">
        <v>3</v>
      </c>
      <c r="C5" s="175" t="s">
        <v>15</v>
      </c>
      <c r="D5" s="176"/>
      <c r="E5" s="177"/>
    </row>
    <row r="6" spans="2:5" ht="18" x14ac:dyDescent="0.2">
      <c r="B6" s="178" t="s">
        <v>4</v>
      </c>
      <c r="C6" s="179"/>
      <c r="D6" s="179"/>
      <c r="E6" s="180"/>
    </row>
    <row r="7" spans="2:5" ht="18" x14ac:dyDescent="0.2">
      <c r="B7" s="5" t="s">
        <v>5</v>
      </c>
      <c r="C7" s="6" t="s">
        <v>6</v>
      </c>
      <c r="D7" s="166" t="s">
        <v>7</v>
      </c>
      <c r="E7" s="167"/>
    </row>
    <row r="8" spans="2:5" x14ac:dyDescent="0.2">
      <c r="B8" s="7">
        <v>43490</v>
      </c>
      <c r="C8" s="8" t="s">
        <v>10</v>
      </c>
      <c r="D8" s="181" t="s">
        <v>8</v>
      </c>
      <c r="E8" s="182"/>
    </row>
    <row r="9" spans="2:5" x14ac:dyDescent="0.2">
      <c r="B9" s="7"/>
      <c r="C9" s="8"/>
      <c r="D9" s="181"/>
      <c r="E9" s="182"/>
    </row>
    <row r="10" spans="2:5" x14ac:dyDescent="0.2">
      <c r="B10" s="9"/>
      <c r="C10" s="8"/>
      <c r="D10" s="181"/>
      <c r="E10" s="182"/>
    </row>
    <row r="11" spans="2:5" x14ac:dyDescent="0.2">
      <c r="B11" s="9"/>
      <c r="C11" s="8"/>
      <c r="D11" s="181"/>
      <c r="E11" s="182"/>
    </row>
    <row r="12" spans="2:5" x14ac:dyDescent="0.2">
      <c r="B12" s="9"/>
      <c r="C12" s="8"/>
      <c r="D12" s="181"/>
      <c r="E12" s="182"/>
    </row>
    <row r="13" spans="2:5" x14ac:dyDescent="0.2">
      <c r="B13" s="9"/>
      <c r="C13" s="8"/>
      <c r="D13" s="181"/>
      <c r="E13" s="182"/>
    </row>
    <row r="14" spans="2:5" x14ac:dyDescent="0.2">
      <c r="B14" s="9"/>
      <c r="C14" s="8"/>
      <c r="D14" s="181"/>
      <c r="E14" s="182"/>
    </row>
    <row r="15" spans="2:5" x14ac:dyDescent="0.2">
      <c r="B15" s="9"/>
      <c r="C15" s="8"/>
      <c r="D15" s="181"/>
      <c r="E15" s="182"/>
    </row>
    <row r="16" spans="2:5" x14ac:dyDescent="0.2">
      <c r="B16" s="9"/>
      <c r="C16" s="8"/>
      <c r="D16" s="181"/>
      <c r="E16" s="182"/>
    </row>
    <row r="17" spans="2:5" x14ac:dyDescent="0.2">
      <c r="B17" s="9"/>
      <c r="C17" s="8"/>
      <c r="D17" s="181"/>
      <c r="E17" s="182"/>
    </row>
    <row r="18" spans="2:5" x14ac:dyDescent="0.2">
      <c r="B18" s="9"/>
      <c r="C18" s="8"/>
      <c r="D18" s="181"/>
      <c r="E18" s="182"/>
    </row>
    <row r="19" spans="2:5" x14ac:dyDescent="0.2">
      <c r="B19" s="9"/>
      <c r="C19" s="8"/>
      <c r="D19" s="181"/>
      <c r="E19" s="182"/>
    </row>
    <row r="20" spans="2:5" x14ac:dyDescent="0.2">
      <c r="B20" s="9"/>
      <c r="C20" s="8"/>
      <c r="D20" s="181"/>
      <c r="E20" s="182"/>
    </row>
    <row r="21" spans="2:5" x14ac:dyDescent="0.2">
      <c r="B21" s="9"/>
      <c r="C21" s="8"/>
      <c r="D21" s="181"/>
      <c r="E21" s="182"/>
    </row>
    <row r="22" spans="2:5" x14ac:dyDescent="0.2">
      <c r="B22" s="9"/>
      <c r="C22" s="8"/>
      <c r="D22" s="181"/>
      <c r="E22" s="182"/>
    </row>
    <row r="23" spans="2:5" x14ac:dyDescent="0.2">
      <c r="B23" s="9"/>
      <c r="C23" s="8"/>
      <c r="D23" s="181"/>
      <c r="E23" s="182"/>
    </row>
    <row r="24" spans="2:5" x14ac:dyDescent="0.2">
      <c r="B24" s="9"/>
      <c r="C24" s="8"/>
      <c r="D24" s="181"/>
      <c r="E24" s="182"/>
    </row>
    <row r="25" spans="2:5" x14ac:dyDescent="0.2">
      <c r="B25" s="9"/>
      <c r="C25" s="8"/>
      <c r="D25" s="181"/>
      <c r="E25" s="182"/>
    </row>
    <row r="26" spans="2:5" x14ac:dyDescent="0.2">
      <c r="B26" s="9"/>
      <c r="C26" s="8"/>
      <c r="D26" s="181"/>
      <c r="E26" s="182"/>
    </row>
    <row r="27" spans="2:5" x14ac:dyDescent="0.2">
      <c r="B27" s="9"/>
      <c r="C27" s="8"/>
      <c r="D27" s="181"/>
      <c r="E27" s="182"/>
    </row>
    <row r="28" spans="2:5" ht="18" thickBot="1" x14ac:dyDescent="0.25">
      <c r="B28" s="10"/>
      <c r="C28" s="11"/>
      <c r="D28" s="183"/>
      <c r="E28" s="184"/>
    </row>
    <row r="30" spans="2:5" x14ac:dyDescent="0.2">
      <c r="B30" s="185" t="s">
        <v>9</v>
      </c>
      <c r="C30" s="185"/>
      <c r="D30" s="185"/>
      <c r="E30" s="185"/>
    </row>
  </sheetData>
  <mergeCells count="28"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7:E7"/>
    <mergeCell ref="B2:E2"/>
    <mergeCell ref="D3:D4"/>
    <mergeCell ref="E3:E4"/>
    <mergeCell ref="C5:E5"/>
    <mergeCell ref="B6:E6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68"/>
  <sheetViews>
    <sheetView workbookViewId="0">
      <selection activeCell="G14" sqref="G14"/>
    </sheetView>
  </sheetViews>
  <sheetFormatPr defaultRowHeight="14.25" x14ac:dyDescent="0.2"/>
  <cols>
    <col min="1" max="1" width="16" customWidth="1"/>
    <col min="4" max="4" width="9.75" customWidth="1"/>
    <col min="5" max="5" width="10.375" customWidth="1"/>
    <col min="11" max="11" width="15" customWidth="1"/>
    <col min="12" max="12" width="38.25" customWidth="1"/>
    <col min="13" max="13" width="37.75" customWidth="1"/>
    <col min="14" max="14" width="37" customWidth="1"/>
    <col min="15" max="15" width="38.375" customWidth="1"/>
    <col min="16" max="16" width="36" customWidth="1"/>
    <col min="17" max="17" width="32.5" customWidth="1"/>
    <col min="18" max="18" width="22.875" customWidth="1"/>
    <col min="19" max="19" width="27.375" customWidth="1"/>
    <col min="20" max="20" width="22.375" customWidth="1"/>
  </cols>
  <sheetData>
    <row r="2" spans="1:7" ht="17.25" x14ac:dyDescent="0.2">
      <c r="A2" s="12" t="s">
        <v>16</v>
      </c>
      <c r="B2" s="12" t="s">
        <v>20</v>
      </c>
      <c r="C2" s="12" t="s">
        <v>21</v>
      </c>
      <c r="D2" s="12" t="s">
        <v>225</v>
      </c>
      <c r="E2" s="12" t="s">
        <v>311</v>
      </c>
    </row>
    <row r="3" spans="1:7" ht="16.5" x14ac:dyDescent="0.2">
      <c r="A3" s="13" t="s">
        <v>22</v>
      </c>
      <c r="B3" s="13">
        <v>1000</v>
      </c>
      <c r="C3" s="13"/>
      <c r="D3" s="37">
        <v>0.1</v>
      </c>
      <c r="E3" s="51"/>
    </row>
    <row r="4" spans="1:7" ht="16.5" x14ac:dyDescent="0.2">
      <c r="A4" s="30" t="s">
        <v>205</v>
      </c>
      <c r="B4" s="30">
        <v>200</v>
      </c>
      <c r="C4" s="30">
        <v>0.2</v>
      </c>
      <c r="D4" s="37"/>
      <c r="E4" s="51"/>
    </row>
    <row r="5" spans="1:7" ht="16.5" x14ac:dyDescent="0.2">
      <c r="A5" s="30" t="s">
        <v>206</v>
      </c>
      <c r="B5" s="30">
        <v>500</v>
      </c>
      <c r="C5" s="30">
        <v>0.5</v>
      </c>
      <c r="D5" s="37"/>
      <c r="E5" s="51"/>
    </row>
    <row r="6" spans="1:7" ht="16.5" x14ac:dyDescent="0.2">
      <c r="A6" s="30" t="s">
        <v>207</v>
      </c>
      <c r="B6" s="30">
        <v>1000</v>
      </c>
      <c r="C6" s="30">
        <v>1</v>
      </c>
      <c r="D6" s="37"/>
      <c r="E6" s="51"/>
    </row>
    <row r="7" spans="1:7" ht="16.5" x14ac:dyDescent="0.2">
      <c r="A7" s="30" t="s">
        <v>208</v>
      </c>
      <c r="B7" s="30">
        <v>2500</v>
      </c>
      <c r="C7" s="30">
        <v>2.5</v>
      </c>
      <c r="D7" s="37"/>
      <c r="E7" s="51"/>
    </row>
    <row r="8" spans="1:7" ht="16.5" x14ac:dyDescent="0.2">
      <c r="A8" s="30" t="s">
        <v>204</v>
      </c>
      <c r="B8" s="30">
        <v>10000</v>
      </c>
      <c r="C8" s="30">
        <v>10</v>
      </c>
      <c r="D8" s="37"/>
      <c r="E8" s="51"/>
    </row>
    <row r="9" spans="1:7" ht="16.5" x14ac:dyDescent="0.2">
      <c r="A9" s="13" t="s">
        <v>17</v>
      </c>
      <c r="B9" s="13">
        <v>5000</v>
      </c>
      <c r="C9" s="13"/>
      <c r="D9" s="37"/>
      <c r="E9" s="51"/>
      <c r="G9">
        <f>B9*50/$B$3/2</f>
        <v>125</v>
      </c>
    </row>
    <row r="10" spans="1:7" ht="16.5" x14ac:dyDescent="0.2">
      <c r="A10" s="13" t="s">
        <v>18</v>
      </c>
      <c r="B10" s="13">
        <v>12000</v>
      </c>
      <c r="C10" s="13"/>
      <c r="D10" s="37"/>
      <c r="E10" s="51"/>
      <c r="G10">
        <f>B10*50/$B$3/2</f>
        <v>300</v>
      </c>
    </row>
    <row r="11" spans="1:7" ht="16.5" x14ac:dyDescent="0.2">
      <c r="A11" s="13" t="s">
        <v>19</v>
      </c>
      <c r="B11" s="13">
        <v>35000</v>
      </c>
      <c r="C11" s="13"/>
      <c r="D11" s="37"/>
      <c r="E11" s="51"/>
      <c r="G11">
        <f>B11*50/$B$3/2</f>
        <v>875</v>
      </c>
    </row>
    <row r="12" spans="1:7" ht="16.5" x14ac:dyDescent="0.2">
      <c r="A12" s="13" t="s">
        <v>23</v>
      </c>
      <c r="B12" s="13"/>
      <c r="C12" s="13">
        <v>10</v>
      </c>
      <c r="D12" s="37"/>
      <c r="E12" s="51"/>
    </row>
    <row r="13" spans="1:7" ht="16.5" x14ac:dyDescent="0.2">
      <c r="A13" s="13" t="s">
        <v>24</v>
      </c>
      <c r="B13" s="13"/>
      <c r="C13" s="13">
        <v>1</v>
      </c>
      <c r="D13" s="37"/>
      <c r="E13" s="51"/>
    </row>
    <row r="14" spans="1:7" ht="16.5" x14ac:dyDescent="0.2">
      <c r="A14" s="13" t="s">
        <v>321</v>
      </c>
      <c r="B14" s="13"/>
      <c r="C14" s="13">
        <v>40</v>
      </c>
      <c r="D14" s="37"/>
      <c r="E14" s="51">
        <v>1</v>
      </c>
    </row>
    <row r="15" spans="1:7" ht="16.5" x14ac:dyDescent="0.2">
      <c r="A15" s="34" t="s">
        <v>322</v>
      </c>
      <c r="B15" s="13"/>
      <c r="C15" s="34">
        <v>40</v>
      </c>
      <c r="D15" s="37"/>
      <c r="E15" s="51">
        <v>1</v>
      </c>
    </row>
    <row r="16" spans="1:7" ht="16.5" x14ac:dyDescent="0.2">
      <c r="A16" s="34" t="s">
        <v>323</v>
      </c>
      <c r="B16" s="13"/>
      <c r="C16" s="13">
        <v>120</v>
      </c>
      <c r="D16" s="37"/>
      <c r="E16" s="51">
        <v>2</v>
      </c>
    </row>
    <row r="17" spans="1:5" ht="16.5" x14ac:dyDescent="0.2">
      <c r="A17" s="34" t="s">
        <v>324</v>
      </c>
      <c r="B17" s="34"/>
      <c r="C17" s="34">
        <v>40</v>
      </c>
      <c r="D17" s="37"/>
      <c r="E17" s="51">
        <v>1</v>
      </c>
    </row>
    <row r="18" spans="1:5" ht="16.5" x14ac:dyDescent="0.2">
      <c r="A18" s="34" t="s">
        <v>325</v>
      </c>
      <c r="B18" s="34"/>
      <c r="C18" s="34">
        <v>40</v>
      </c>
      <c r="D18" s="37"/>
      <c r="E18" s="51">
        <v>1</v>
      </c>
    </row>
    <row r="19" spans="1:5" ht="18" customHeight="1" x14ac:dyDescent="0.2">
      <c r="A19" s="34" t="s">
        <v>326</v>
      </c>
      <c r="B19" s="34"/>
      <c r="C19" s="49">
        <v>40</v>
      </c>
      <c r="D19" s="37"/>
      <c r="E19" s="51">
        <v>1</v>
      </c>
    </row>
    <row r="20" spans="1:5" ht="19.5" customHeight="1" x14ac:dyDescent="0.2">
      <c r="A20" s="34" t="s">
        <v>327</v>
      </c>
      <c r="B20" s="34"/>
      <c r="C20" s="49">
        <v>120</v>
      </c>
      <c r="D20" s="37"/>
      <c r="E20" s="51">
        <v>2</v>
      </c>
    </row>
    <row r="21" spans="1:5" ht="16.5" x14ac:dyDescent="0.2">
      <c r="A21" s="34" t="s">
        <v>328</v>
      </c>
      <c r="B21" s="34"/>
      <c r="C21" s="49">
        <v>280</v>
      </c>
      <c r="D21" s="37"/>
      <c r="E21" s="51">
        <v>3</v>
      </c>
    </row>
    <row r="22" spans="1:5" ht="16.5" x14ac:dyDescent="0.2">
      <c r="A22" s="34" t="s">
        <v>329</v>
      </c>
      <c r="B22" s="34"/>
      <c r="C22" s="34">
        <v>40</v>
      </c>
      <c r="D22" s="37"/>
      <c r="E22" s="51">
        <v>1</v>
      </c>
    </row>
    <row r="23" spans="1:5" ht="16.5" x14ac:dyDescent="0.2">
      <c r="A23" s="34" t="s">
        <v>330</v>
      </c>
      <c r="B23" s="34"/>
      <c r="C23" s="49">
        <v>120</v>
      </c>
      <c r="D23" s="37"/>
      <c r="E23" s="51">
        <v>2</v>
      </c>
    </row>
    <row r="24" spans="1:5" ht="16.5" x14ac:dyDescent="0.2">
      <c r="A24" s="34" t="s">
        <v>331</v>
      </c>
      <c r="B24" s="34"/>
      <c r="C24" s="49">
        <v>120</v>
      </c>
      <c r="D24" s="37"/>
      <c r="E24" s="51">
        <v>2</v>
      </c>
    </row>
    <row r="25" spans="1:5" ht="16.5" x14ac:dyDescent="0.2">
      <c r="A25" s="34" t="s">
        <v>332</v>
      </c>
      <c r="B25" s="34"/>
      <c r="C25" s="49">
        <v>280</v>
      </c>
      <c r="D25" s="37"/>
      <c r="E25" s="51">
        <v>3</v>
      </c>
    </row>
    <row r="26" spans="1:5" ht="16.5" x14ac:dyDescent="0.2">
      <c r="A26" s="34" t="s">
        <v>333</v>
      </c>
      <c r="B26" s="34"/>
      <c r="C26" s="34">
        <v>280</v>
      </c>
      <c r="D26" s="37"/>
      <c r="E26" s="51">
        <v>3</v>
      </c>
    </row>
    <row r="27" spans="1:5" ht="16.5" x14ac:dyDescent="0.2">
      <c r="A27" s="34" t="s">
        <v>334</v>
      </c>
      <c r="B27" s="34"/>
      <c r="C27" s="49">
        <v>600</v>
      </c>
      <c r="D27" s="37"/>
      <c r="E27" s="51">
        <v>4</v>
      </c>
    </row>
    <row r="28" spans="1:5" ht="16.5" x14ac:dyDescent="0.2">
      <c r="A28" s="34" t="s">
        <v>335</v>
      </c>
      <c r="B28" s="34"/>
      <c r="C28" s="49">
        <v>40</v>
      </c>
      <c r="D28" s="37"/>
      <c r="E28" s="51">
        <v>1</v>
      </c>
    </row>
    <row r="29" spans="1:5" ht="16.5" x14ac:dyDescent="0.2">
      <c r="A29" s="34" t="s">
        <v>336</v>
      </c>
      <c r="B29" s="34"/>
      <c r="C29" s="49">
        <v>120</v>
      </c>
      <c r="D29" s="37"/>
      <c r="E29" s="51">
        <v>2</v>
      </c>
    </row>
    <row r="30" spans="1:5" ht="16.5" x14ac:dyDescent="0.2">
      <c r="A30" s="34" t="s">
        <v>337</v>
      </c>
      <c r="B30" s="34"/>
      <c r="C30" s="34">
        <v>120</v>
      </c>
      <c r="D30" s="37"/>
      <c r="E30" s="51">
        <v>2</v>
      </c>
    </row>
    <row r="31" spans="1:5" ht="16.5" x14ac:dyDescent="0.2">
      <c r="A31" s="34" t="s">
        <v>338</v>
      </c>
      <c r="B31" s="34"/>
      <c r="C31" s="49">
        <v>280</v>
      </c>
      <c r="D31" s="37"/>
      <c r="E31" s="51">
        <v>3</v>
      </c>
    </row>
    <row r="32" spans="1:5" ht="16.5" x14ac:dyDescent="0.2">
      <c r="A32" s="34" t="s">
        <v>339</v>
      </c>
      <c r="B32" s="34"/>
      <c r="C32" s="49">
        <v>280</v>
      </c>
      <c r="D32" s="37"/>
      <c r="E32" s="51">
        <v>3</v>
      </c>
    </row>
    <row r="33" spans="1:5" ht="16.5" x14ac:dyDescent="0.2">
      <c r="A33" s="34" t="s">
        <v>340</v>
      </c>
      <c r="B33" s="34"/>
      <c r="C33" s="49">
        <v>600</v>
      </c>
      <c r="D33" s="37"/>
      <c r="E33" s="51">
        <v>4</v>
      </c>
    </row>
    <row r="34" spans="1:5" ht="16.5" x14ac:dyDescent="0.2">
      <c r="A34" s="34" t="s">
        <v>341</v>
      </c>
      <c r="B34" s="34"/>
      <c r="C34" s="49">
        <v>40</v>
      </c>
      <c r="D34" s="37"/>
      <c r="E34" s="51">
        <v>1</v>
      </c>
    </row>
    <row r="35" spans="1:5" ht="16.5" x14ac:dyDescent="0.2">
      <c r="A35" s="34" t="s">
        <v>342</v>
      </c>
      <c r="B35" s="34"/>
      <c r="C35" s="49">
        <v>120</v>
      </c>
      <c r="D35" s="37"/>
      <c r="E35" s="51">
        <v>2</v>
      </c>
    </row>
    <row r="36" spans="1:5" ht="16.5" x14ac:dyDescent="0.2">
      <c r="A36" s="34" t="s">
        <v>343</v>
      </c>
      <c r="B36" s="34"/>
      <c r="C36" s="49">
        <v>120</v>
      </c>
      <c r="D36" s="37"/>
      <c r="E36" s="51">
        <v>2</v>
      </c>
    </row>
    <row r="37" spans="1:5" ht="16.5" x14ac:dyDescent="0.2">
      <c r="A37" s="34" t="s">
        <v>344</v>
      </c>
      <c r="B37" s="34"/>
      <c r="C37" s="49">
        <v>280</v>
      </c>
      <c r="D37" s="37"/>
      <c r="E37" s="51">
        <v>3</v>
      </c>
    </row>
    <row r="38" spans="1:5" ht="16.5" x14ac:dyDescent="0.2">
      <c r="A38" s="34" t="s">
        <v>345</v>
      </c>
      <c r="B38" s="34"/>
      <c r="C38" s="49">
        <v>280</v>
      </c>
      <c r="D38" s="37"/>
      <c r="E38" s="51">
        <v>3</v>
      </c>
    </row>
    <row r="39" spans="1:5" ht="16.5" x14ac:dyDescent="0.2">
      <c r="A39" s="34" t="s">
        <v>346</v>
      </c>
      <c r="B39" s="34"/>
      <c r="C39" s="49">
        <v>600</v>
      </c>
      <c r="D39" s="37"/>
      <c r="E39" s="51">
        <v>4</v>
      </c>
    </row>
    <row r="40" spans="1:5" ht="16.5" x14ac:dyDescent="0.2">
      <c r="A40" s="34" t="s">
        <v>347</v>
      </c>
      <c r="B40" s="34"/>
      <c r="C40" s="49">
        <v>120</v>
      </c>
      <c r="D40" s="37"/>
      <c r="E40" s="51">
        <v>2</v>
      </c>
    </row>
    <row r="41" spans="1:5" ht="16.5" x14ac:dyDescent="0.2">
      <c r="A41" s="34" t="s">
        <v>348</v>
      </c>
      <c r="B41" s="34"/>
      <c r="C41" s="49">
        <v>120</v>
      </c>
      <c r="D41" s="37"/>
      <c r="E41" s="51">
        <v>2</v>
      </c>
    </row>
    <row r="42" spans="1:5" ht="16.5" x14ac:dyDescent="0.2">
      <c r="A42" s="34" t="s">
        <v>349</v>
      </c>
      <c r="B42" s="34"/>
      <c r="C42" s="49">
        <v>120</v>
      </c>
      <c r="D42" s="37"/>
      <c r="E42" s="51">
        <v>2</v>
      </c>
    </row>
    <row r="43" spans="1:5" ht="16.5" x14ac:dyDescent="0.2">
      <c r="A43" s="34" t="s">
        <v>350</v>
      </c>
      <c r="B43" s="34"/>
      <c r="C43" s="49">
        <v>280</v>
      </c>
      <c r="D43" s="37"/>
      <c r="E43" s="51">
        <v>3</v>
      </c>
    </row>
    <row r="44" spans="1:5" ht="16.5" x14ac:dyDescent="0.2">
      <c r="A44" s="53" t="s">
        <v>351</v>
      </c>
      <c r="B44" s="53"/>
      <c r="C44" s="53">
        <v>280</v>
      </c>
      <c r="D44" s="53"/>
      <c r="E44" s="53">
        <v>3</v>
      </c>
    </row>
    <row r="45" spans="1:5" ht="16.5" x14ac:dyDescent="0.2">
      <c r="A45" s="53" t="s">
        <v>352</v>
      </c>
      <c r="B45" s="53"/>
      <c r="C45" s="53">
        <v>280</v>
      </c>
      <c r="D45" s="53"/>
      <c r="E45" s="53">
        <v>3</v>
      </c>
    </row>
    <row r="46" spans="1:5" ht="16.5" x14ac:dyDescent="0.2">
      <c r="A46" s="53" t="s">
        <v>353</v>
      </c>
      <c r="B46" s="53"/>
      <c r="C46" s="53">
        <v>600</v>
      </c>
      <c r="D46" s="53"/>
      <c r="E46" s="53">
        <v>4</v>
      </c>
    </row>
    <row r="47" spans="1:5" ht="16.5" x14ac:dyDescent="0.2">
      <c r="A47" s="53" t="s">
        <v>354</v>
      </c>
      <c r="B47" s="53"/>
      <c r="C47" s="53">
        <v>600</v>
      </c>
      <c r="D47" s="53"/>
      <c r="E47" s="53">
        <v>4</v>
      </c>
    </row>
    <row r="48" spans="1:5" ht="16.5" x14ac:dyDescent="0.2">
      <c r="A48" s="53" t="s">
        <v>355</v>
      </c>
      <c r="B48" s="53"/>
      <c r="C48" s="53">
        <v>120</v>
      </c>
      <c r="D48" s="53"/>
      <c r="E48" s="53">
        <v>2</v>
      </c>
    </row>
    <row r="49" spans="1:5" ht="16.5" x14ac:dyDescent="0.2">
      <c r="A49" s="53" t="s">
        <v>356</v>
      </c>
      <c r="B49" s="53"/>
      <c r="C49" s="53">
        <v>120</v>
      </c>
      <c r="D49" s="53"/>
      <c r="E49" s="53">
        <v>2</v>
      </c>
    </row>
    <row r="50" spans="1:5" ht="16.5" x14ac:dyDescent="0.2">
      <c r="A50" s="53" t="s">
        <v>357</v>
      </c>
      <c r="B50" s="53"/>
      <c r="C50" s="53">
        <v>120</v>
      </c>
      <c r="D50" s="53"/>
      <c r="E50" s="53">
        <v>2</v>
      </c>
    </row>
    <row r="51" spans="1:5" ht="16.5" x14ac:dyDescent="0.2">
      <c r="A51" s="53" t="s">
        <v>358</v>
      </c>
      <c r="B51" s="53"/>
      <c r="C51" s="53">
        <v>280</v>
      </c>
      <c r="D51" s="53"/>
      <c r="E51" s="53">
        <v>3</v>
      </c>
    </row>
    <row r="52" spans="1:5" ht="16.5" x14ac:dyDescent="0.2">
      <c r="A52" s="53" t="s">
        <v>359</v>
      </c>
      <c r="B52" s="53"/>
      <c r="C52" s="53">
        <v>280</v>
      </c>
      <c r="D52" s="53"/>
      <c r="E52" s="53">
        <v>3</v>
      </c>
    </row>
    <row r="53" spans="1:5" ht="16.5" x14ac:dyDescent="0.2">
      <c r="A53" s="53" t="s">
        <v>360</v>
      </c>
      <c r="B53" s="53"/>
      <c r="C53" s="53">
        <v>280</v>
      </c>
      <c r="D53" s="53"/>
      <c r="E53" s="53">
        <v>3</v>
      </c>
    </row>
    <row r="54" spans="1:5" ht="16.5" x14ac:dyDescent="0.2">
      <c r="A54" s="53" t="s">
        <v>361</v>
      </c>
      <c r="B54" s="53"/>
      <c r="C54" s="53">
        <v>600</v>
      </c>
      <c r="D54" s="53"/>
      <c r="E54" s="53">
        <v>4</v>
      </c>
    </row>
    <row r="55" spans="1:5" ht="16.5" x14ac:dyDescent="0.2">
      <c r="A55" s="53" t="s">
        <v>362</v>
      </c>
      <c r="B55" s="53"/>
      <c r="C55" s="53">
        <v>600</v>
      </c>
      <c r="D55" s="53"/>
      <c r="E55" s="53">
        <v>4</v>
      </c>
    </row>
    <row r="56" spans="1:5" ht="15.75" customHeight="1" x14ac:dyDescent="0.2">
      <c r="A56" s="47" t="s">
        <v>291</v>
      </c>
      <c r="B56" s="47"/>
      <c r="C56" s="47">
        <v>150</v>
      </c>
      <c r="D56" s="47"/>
      <c r="E56" s="51"/>
    </row>
    <row r="57" spans="1:5" ht="16.5" x14ac:dyDescent="0.2">
      <c r="A57" s="16" t="s">
        <v>27</v>
      </c>
      <c r="B57" s="16"/>
      <c r="C57" s="16">
        <v>7</v>
      </c>
      <c r="D57" s="37"/>
      <c r="E57" s="51"/>
    </row>
    <row r="58" spans="1:5" ht="16.5" x14ac:dyDescent="0.2">
      <c r="A58" s="16" t="s">
        <v>28</v>
      </c>
      <c r="B58" s="16"/>
      <c r="C58" s="16">
        <v>35</v>
      </c>
      <c r="D58" s="37"/>
      <c r="E58" s="51"/>
    </row>
    <row r="59" spans="1:5" ht="16.5" x14ac:dyDescent="0.2">
      <c r="A59" s="16" t="s">
        <v>29</v>
      </c>
      <c r="B59" s="16"/>
      <c r="C59" s="16">
        <v>100</v>
      </c>
      <c r="D59" s="37"/>
      <c r="E59" s="51"/>
    </row>
    <row r="60" spans="1:5" ht="16.5" x14ac:dyDescent="0.2">
      <c r="A60" s="13" t="s">
        <v>30</v>
      </c>
      <c r="B60" s="13"/>
      <c r="C60" s="13">
        <v>10</v>
      </c>
      <c r="D60" s="37"/>
      <c r="E60" s="51"/>
    </row>
    <row r="61" spans="1:5" ht="16.5" x14ac:dyDescent="0.2">
      <c r="A61" s="13" t="s">
        <v>31</v>
      </c>
      <c r="B61" s="13"/>
      <c r="C61" s="13">
        <v>50</v>
      </c>
      <c r="D61" s="37"/>
      <c r="E61" s="51"/>
    </row>
    <row r="62" spans="1:5" ht="16.5" x14ac:dyDescent="0.2">
      <c r="A62" s="13" t="s">
        <v>32</v>
      </c>
      <c r="B62" s="13"/>
      <c r="C62" s="13">
        <v>200</v>
      </c>
      <c r="D62" s="37"/>
      <c r="E62" s="51"/>
    </row>
    <row r="63" spans="1:5" ht="16.5" x14ac:dyDescent="0.2">
      <c r="A63" s="13" t="s">
        <v>25</v>
      </c>
      <c r="B63" s="13"/>
      <c r="C63" s="13">
        <v>350</v>
      </c>
      <c r="D63" s="37"/>
      <c r="E63" s="51"/>
    </row>
    <row r="64" spans="1:5" ht="16.5" x14ac:dyDescent="0.2">
      <c r="A64" s="13" t="s">
        <v>26</v>
      </c>
      <c r="B64" s="13"/>
      <c r="C64" s="13">
        <v>75</v>
      </c>
      <c r="D64" s="37"/>
      <c r="E64" s="51"/>
    </row>
    <row r="65" spans="1:5" ht="16.5" x14ac:dyDescent="0.2">
      <c r="A65" s="13" t="s">
        <v>213</v>
      </c>
      <c r="B65" s="13">
        <v>5000</v>
      </c>
      <c r="C65" s="13">
        <v>5</v>
      </c>
      <c r="D65" s="37"/>
      <c r="E65" s="51"/>
    </row>
    <row r="66" spans="1:5" ht="16.5" x14ac:dyDescent="0.2">
      <c r="A66" s="13" t="s">
        <v>214</v>
      </c>
      <c r="B66" s="13">
        <v>10000</v>
      </c>
      <c r="C66" s="13">
        <v>10</v>
      </c>
      <c r="D66" s="37"/>
      <c r="E66" s="51"/>
    </row>
    <row r="67" spans="1:5" ht="16.5" x14ac:dyDescent="0.2">
      <c r="A67" s="13" t="s">
        <v>215</v>
      </c>
      <c r="B67" s="13">
        <v>50000</v>
      </c>
      <c r="C67" s="13">
        <v>50</v>
      </c>
      <c r="D67" s="37"/>
      <c r="E67" s="51"/>
    </row>
    <row r="68" spans="1:5" ht="16.5" x14ac:dyDescent="0.2">
      <c r="A68" s="24" t="s">
        <v>134</v>
      </c>
      <c r="B68" s="24"/>
      <c r="C68" s="24">
        <v>1</v>
      </c>
      <c r="D68" s="37"/>
      <c r="E68" s="51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B153"/>
  <sheetViews>
    <sheetView tabSelected="1" topLeftCell="BC1" zoomScaleNormal="100" workbookViewId="0">
      <selection activeCell="BN5" sqref="BN5:BN23"/>
    </sheetView>
  </sheetViews>
  <sheetFormatPr defaultRowHeight="14.25" x14ac:dyDescent="0.2"/>
  <cols>
    <col min="2" max="2" width="9.625" bestFit="1" customWidth="1"/>
    <col min="3" max="3" width="9.75" customWidth="1"/>
    <col min="4" max="4" width="9.75" style="154" customWidth="1"/>
    <col min="5" max="5" width="9.75" customWidth="1"/>
    <col min="10" max="10" width="9" customWidth="1"/>
    <col min="11" max="11" width="10.875" customWidth="1"/>
    <col min="12" max="12" width="9.625" customWidth="1"/>
    <col min="13" max="13" width="9.625" style="162" customWidth="1"/>
    <col min="14" max="14" width="9.375" customWidth="1"/>
    <col min="15" max="15" width="9.875" customWidth="1"/>
    <col min="16" max="16" width="7.5" customWidth="1"/>
    <col min="17" max="17" width="7.125" customWidth="1"/>
    <col min="18" max="18" width="7.5" customWidth="1"/>
    <col min="19" max="19" width="8.5" customWidth="1"/>
    <col min="20" max="21" width="7.75" customWidth="1"/>
    <col min="22" max="23" width="9" customWidth="1"/>
    <col min="24" max="25" width="8.25" customWidth="1"/>
    <col min="26" max="27" width="8.25" style="157" customWidth="1"/>
    <col min="28" max="28" width="43.5" customWidth="1"/>
    <col min="29" max="36" width="9" customWidth="1"/>
    <col min="38" max="39" width="9" style="162"/>
    <col min="40" max="40" width="10.625" style="162" customWidth="1"/>
    <col min="42" max="49" width="9" style="162"/>
    <col min="50" max="54" width="9" customWidth="1"/>
    <col min="56" max="62" width="9" customWidth="1"/>
    <col min="63" max="63" width="11.875" customWidth="1"/>
    <col min="64" max="65" width="9" customWidth="1"/>
    <col min="66" max="66" width="9" style="165" customWidth="1"/>
    <col min="69" max="71" width="9" style="122"/>
    <col min="79" max="79" width="9" style="122"/>
  </cols>
  <sheetData>
    <row r="2" spans="1:80" ht="20.25" x14ac:dyDescent="0.2">
      <c r="V2" t="s">
        <v>1433</v>
      </c>
      <c r="BI2" s="186" t="s">
        <v>1073</v>
      </c>
      <c r="BJ2" s="186"/>
      <c r="BK2" s="186"/>
      <c r="BL2" s="186"/>
      <c r="BM2" s="186"/>
      <c r="BN2" s="186"/>
      <c r="BO2" s="186"/>
      <c r="BP2" s="186"/>
      <c r="BQ2" s="186"/>
      <c r="BY2" s="186" t="s">
        <v>1069</v>
      </c>
      <c r="BZ2" s="186"/>
      <c r="CA2" s="186"/>
      <c r="CB2" s="186"/>
    </row>
    <row r="3" spans="1:80" ht="17.25" x14ac:dyDescent="0.2">
      <c r="A3" s="12" t="s">
        <v>84</v>
      </c>
      <c r="B3" s="12" t="s">
        <v>85</v>
      </c>
      <c r="C3" s="12" t="s">
        <v>88</v>
      </c>
      <c r="D3" s="12" t="s">
        <v>1428</v>
      </c>
      <c r="E3" s="12" t="s">
        <v>89</v>
      </c>
      <c r="G3" s="27" t="s">
        <v>86</v>
      </c>
      <c r="H3" s="24">
        <v>100</v>
      </c>
      <c r="J3" s="12" t="s">
        <v>94</v>
      </c>
      <c r="K3" s="12" t="s">
        <v>82</v>
      </c>
      <c r="L3" s="12" t="s">
        <v>223</v>
      </c>
      <c r="M3" s="12" t="s">
        <v>1443</v>
      </c>
      <c r="N3" s="12" t="s">
        <v>83</v>
      </c>
      <c r="O3" s="12" t="s">
        <v>92</v>
      </c>
      <c r="P3" s="12" t="s">
        <v>475</v>
      </c>
      <c r="Q3" s="12" t="s">
        <v>475</v>
      </c>
      <c r="R3" s="12" t="s">
        <v>475</v>
      </c>
      <c r="S3" s="12" t="s">
        <v>404</v>
      </c>
      <c r="T3" s="12" t="s">
        <v>454</v>
      </c>
      <c r="U3" s="12" t="s">
        <v>455</v>
      </c>
      <c r="V3" s="12" t="s">
        <v>93</v>
      </c>
      <c r="W3" s="12" t="s">
        <v>455</v>
      </c>
      <c r="X3" s="12" t="s">
        <v>453</v>
      </c>
      <c r="Y3" s="12" t="s">
        <v>455</v>
      </c>
      <c r="Z3" s="12" t="s">
        <v>1431</v>
      </c>
      <c r="AA3" s="12" t="s">
        <v>1432</v>
      </c>
      <c r="AB3" s="12" t="s">
        <v>91</v>
      </c>
      <c r="AC3" s="12" t="s">
        <v>508</v>
      </c>
      <c r="AD3" s="12" t="s">
        <v>509</v>
      </c>
      <c r="AF3" s="45" t="s">
        <v>284</v>
      </c>
      <c r="AG3" s="45" t="s">
        <v>285</v>
      </c>
      <c r="AH3" s="45" t="s">
        <v>286</v>
      </c>
      <c r="AI3" s="45" t="s">
        <v>287</v>
      </c>
      <c r="AL3" s="23" t="s">
        <v>1442</v>
      </c>
      <c r="AM3" s="23" t="s">
        <v>1445</v>
      </c>
      <c r="AN3" s="23" t="s">
        <v>1446</v>
      </c>
      <c r="AO3" s="23" t="s">
        <v>1447</v>
      </c>
      <c r="AY3" s="12" t="s">
        <v>487</v>
      </c>
      <c r="AZ3" s="12" t="s">
        <v>496</v>
      </c>
      <c r="BA3" s="12" t="s">
        <v>486</v>
      </c>
      <c r="BB3" s="12" t="s">
        <v>497</v>
      </c>
      <c r="BD3" s="45" t="s">
        <v>501</v>
      </c>
      <c r="BE3" s="45" t="s">
        <v>486</v>
      </c>
      <c r="BF3" s="23" t="s">
        <v>500</v>
      </c>
      <c r="BI3" s="12" t="s">
        <v>487</v>
      </c>
      <c r="BJ3" s="12" t="s">
        <v>517</v>
      </c>
      <c r="BK3" s="12" t="s">
        <v>516</v>
      </c>
      <c r="BL3" s="12" t="s">
        <v>486</v>
      </c>
      <c r="BM3" s="12" t="s">
        <v>497</v>
      </c>
      <c r="BN3" s="12" t="s">
        <v>1448</v>
      </c>
      <c r="BO3" s="12" t="s">
        <v>510</v>
      </c>
      <c r="BP3" s="12" t="s">
        <v>1076</v>
      </c>
      <c r="BQ3" s="12" t="s">
        <v>1075</v>
      </c>
      <c r="BT3" s="12" t="s">
        <v>511</v>
      </c>
      <c r="BU3" s="12" t="s">
        <v>518</v>
      </c>
      <c r="BV3" s="12" t="s">
        <v>536</v>
      </c>
      <c r="BW3" s="12" t="s">
        <v>512</v>
      </c>
      <c r="BY3" s="45" t="s">
        <v>1070</v>
      </c>
      <c r="BZ3" s="45" t="s">
        <v>1071</v>
      </c>
      <c r="CA3" s="45" t="s">
        <v>1074</v>
      </c>
      <c r="CB3" s="45" t="s">
        <v>1072</v>
      </c>
    </row>
    <row r="4" spans="1:80" ht="17.25" x14ac:dyDescent="0.2">
      <c r="A4" s="24">
        <v>24</v>
      </c>
      <c r="B4" s="24">
        <v>30</v>
      </c>
      <c r="C4" s="24">
        <v>34</v>
      </c>
      <c r="D4" s="153">
        <v>42</v>
      </c>
      <c r="E4" s="24">
        <v>48</v>
      </c>
      <c r="G4" s="27" t="s">
        <v>87</v>
      </c>
      <c r="H4" s="24">
        <v>400</v>
      </c>
      <c r="J4" s="159">
        <v>0</v>
      </c>
      <c r="K4" s="159">
        <v>0</v>
      </c>
      <c r="L4" s="159">
        <v>0</v>
      </c>
      <c r="M4" s="159">
        <v>0</v>
      </c>
      <c r="N4" s="159">
        <v>0</v>
      </c>
      <c r="O4" s="159">
        <v>0</v>
      </c>
      <c r="P4" s="159">
        <v>0</v>
      </c>
      <c r="Q4" s="159">
        <v>0</v>
      </c>
      <c r="R4" s="159">
        <v>0</v>
      </c>
      <c r="S4" s="159">
        <v>0</v>
      </c>
      <c r="T4" s="159">
        <v>0</v>
      </c>
      <c r="U4" s="159">
        <v>0</v>
      </c>
      <c r="V4" s="159">
        <v>0</v>
      </c>
      <c r="W4" s="159">
        <v>0</v>
      </c>
      <c r="X4" s="159">
        <v>0</v>
      </c>
      <c r="Y4" s="159">
        <v>0</v>
      </c>
      <c r="Z4" s="159">
        <v>0</v>
      </c>
      <c r="AA4" s="159">
        <v>0</v>
      </c>
      <c r="AB4" s="159">
        <v>0</v>
      </c>
      <c r="AC4" s="159">
        <v>0</v>
      </c>
      <c r="AD4" s="159">
        <v>0</v>
      </c>
      <c r="AF4" s="69">
        <v>0</v>
      </c>
      <c r="AG4" s="69"/>
      <c r="AH4" s="69"/>
      <c r="AI4" s="69"/>
      <c r="AL4" s="159">
        <v>1</v>
      </c>
      <c r="AM4" s="159">
        <f>MATCH(AL4-1,$M$4:$M$34,1)</f>
        <v>1</v>
      </c>
      <c r="AN4" s="159">
        <f>INDEX($U$5:$U$34,AM4)</f>
        <v>0</v>
      </c>
      <c r="AY4" s="72">
        <v>1</v>
      </c>
      <c r="AZ4" s="72" t="s">
        <v>488</v>
      </c>
      <c r="BA4" s="72">
        <v>2</v>
      </c>
      <c r="BB4" s="72">
        <f>SUM(BA$4:BA4)</f>
        <v>2</v>
      </c>
      <c r="BC4" s="70"/>
      <c r="BD4" s="72">
        <v>1</v>
      </c>
      <c r="BE4" s="72">
        <v>5</v>
      </c>
      <c r="BF4" s="72">
        <f>SUM(BE$4:BE4)</f>
        <v>5</v>
      </c>
      <c r="BG4" s="70"/>
      <c r="BI4" s="72">
        <v>1</v>
      </c>
      <c r="BJ4" s="72" t="s">
        <v>488</v>
      </c>
      <c r="BK4" s="74" t="s">
        <v>488</v>
      </c>
      <c r="BL4" s="72">
        <v>1</v>
      </c>
      <c r="BM4" s="72">
        <f>SUM(BL$4:BL4)</f>
        <v>1</v>
      </c>
      <c r="BN4" s="164">
        <v>1</v>
      </c>
      <c r="BO4" s="73">
        <f>INDEX($BF$4:$BF$55,BM4)</f>
        <v>5</v>
      </c>
      <c r="BP4" s="121">
        <v>1</v>
      </c>
      <c r="BQ4" s="121">
        <f>INDEX($BZ$4:$BZ$23,BP4)</f>
        <v>1</v>
      </c>
      <c r="BT4" s="73" t="s">
        <v>488</v>
      </c>
      <c r="BU4" s="74" t="s">
        <v>519</v>
      </c>
      <c r="BV4" s="75">
        <v>1</v>
      </c>
      <c r="BW4" s="73">
        <v>10</v>
      </c>
      <c r="BY4" s="121">
        <v>1</v>
      </c>
      <c r="BZ4" s="121">
        <v>1</v>
      </c>
      <c r="CA4" s="121">
        <v>10</v>
      </c>
      <c r="CB4" s="121" t="s">
        <v>537</v>
      </c>
    </row>
    <row r="5" spans="1:80" ht="16.5" x14ac:dyDescent="0.2">
      <c r="J5" s="24">
        <v>1</v>
      </c>
      <c r="K5" s="24" t="s">
        <v>1440</v>
      </c>
      <c r="L5" s="37">
        <v>1</v>
      </c>
      <c r="M5" s="159">
        <v>7</v>
      </c>
      <c r="N5" s="24">
        <v>0</v>
      </c>
      <c r="O5" s="24">
        <v>0</v>
      </c>
      <c r="P5" s="71"/>
      <c r="Q5" s="71"/>
      <c r="R5" s="71"/>
      <c r="S5" s="57">
        <v>1</v>
      </c>
      <c r="T5" s="14">
        <f>ROUND((SUM($N$5:$N5)-SUM($O$5:$O5)+SUM(P$5:P5))/B$4,2)</f>
        <v>0</v>
      </c>
      <c r="U5" s="14">
        <f>T5</f>
        <v>0</v>
      </c>
      <c r="V5" s="14">
        <f>ROUND((SUM($N$5:$N5)-SUM($O$5:$O5)+SUM(Q$5:Q5))/C$4,2)</f>
        <v>0</v>
      </c>
      <c r="W5" s="14">
        <f>V5</f>
        <v>0</v>
      </c>
      <c r="X5" s="14">
        <f>ROUND((SUM($N$5:$N5)-SUM($O$5:$O5)+SUM(R$5:R5))/D$4,2)</f>
        <v>0</v>
      </c>
      <c r="Y5" s="14">
        <f>X5</f>
        <v>0</v>
      </c>
      <c r="Z5" s="14">
        <f>ROUND((SUM($N$5:$N5)+SUM(R$5:R5))/E$4,2)</f>
        <v>0</v>
      </c>
      <c r="AA5" s="14">
        <v>0</v>
      </c>
      <c r="AB5" s="24"/>
      <c r="AC5" s="14">
        <f>AA5</f>
        <v>0</v>
      </c>
      <c r="AD5" s="14">
        <f>SUM(AC$5:AC5)</f>
        <v>0</v>
      </c>
      <c r="AF5" s="69">
        <v>0</v>
      </c>
      <c r="AG5" s="69"/>
      <c r="AH5" s="69"/>
      <c r="AI5" s="69"/>
      <c r="AL5" s="159">
        <v>2</v>
      </c>
      <c r="AM5" s="159">
        <f t="shared" ref="AM5:AM68" si="0">MATCH(AL5-1,$M$4:$M$34,1)</f>
        <v>1</v>
      </c>
      <c r="AN5" s="159">
        <f>INDEX($W$5:$W$34,AM4)</f>
        <v>0</v>
      </c>
      <c r="AY5" s="72">
        <v>2</v>
      </c>
      <c r="AZ5" s="72" t="s">
        <v>489</v>
      </c>
      <c r="BA5" s="72">
        <v>3</v>
      </c>
      <c r="BB5" s="72">
        <f>SUM(BA$4:BA5)</f>
        <v>5</v>
      </c>
      <c r="BC5" s="70"/>
      <c r="BD5" s="72">
        <v>2</v>
      </c>
      <c r="BE5" s="72">
        <v>5</v>
      </c>
      <c r="BF5" s="72">
        <f>SUM(BE$4:BE5)</f>
        <v>10</v>
      </c>
      <c r="BG5" s="70"/>
      <c r="BI5" s="72">
        <v>2</v>
      </c>
      <c r="BJ5" s="72" t="s">
        <v>489</v>
      </c>
      <c r="BK5" s="74" t="s">
        <v>489</v>
      </c>
      <c r="BL5" s="72">
        <v>2</v>
      </c>
      <c r="BM5" s="72">
        <f>SUM(BL$4:BL5)</f>
        <v>3</v>
      </c>
      <c r="BN5" s="164">
        <v>5</v>
      </c>
      <c r="BO5" s="73">
        <f t="shared" ref="BO5:BO23" si="1">INDEX($BF$4:$BF$55,BM5)</f>
        <v>15</v>
      </c>
      <c r="BP5" s="121">
        <v>1</v>
      </c>
      <c r="BQ5" s="121">
        <f t="shared" ref="BQ5:BQ23" si="2">INDEX($BZ$4:$BZ$23,BP5)</f>
        <v>1</v>
      </c>
      <c r="BT5" s="73" t="s">
        <v>489</v>
      </c>
      <c r="BU5" s="74" t="s">
        <v>520</v>
      </c>
      <c r="BV5" s="75">
        <v>10</v>
      </c>
      <c r="BW5" s="73">
        <v>30</v>
      </c>
      <c r="BY5" s="121">
        <v>2</v>
      </c>
      <c r="BZ5" s="121">
        <v>10</v>
      </c>
      <c r="CA5" s="121">
        <v>20</v>
      </c>
      <c r="CB5" s="121" t="s">
        <v>538</v>
      </c>
    </row>
    <row r="6" spans="1:80" ht="17.25" x14ac:dyDescent="0.2">
      <c r="A6" s="12" t="s">
        <v>90</v>
      </c>
      <c r="F6" t="s">
        <v>422</v>
      </c>
      <c r="J6" s="158">
        <v>2</v>
      </c>
      <c r="K6" s="158" t="s">
        <v>1441</v>
      </c>
      <c r="L6" s="37">
        <v>7</v>
      </c>
      <c r="M6" s="159">
        <v>15</v>
      </c>
      <c r="N6" s="24">
        <v>4</v>
      </c>
      <c r="O6" s="153">
        <v>2</v>
      </c>
      <c r="P6" s="71"/>
      <c r="Q6" s="71"/>
      <c r="R6" s="71"/>
      <c r="S6" s="71">
        <v>1</v>
      </c>
      <c r="T6" s="14">
        <f>ROUND((SUM($N$5:$N6)-SUM($O$5:$O6)+SUM(P$5:P6))/B$4,2)</f>
        <v>7.0000000000000007E-2</v>
      </c>
      <c r="U6" s="14">
        <f>T6-T5</f>
        <v>7.0000000000000007E-2</v>
      </c>
      <c r="V6" s="14">
        <f>ROUND((SUM($N$5:$N6)-SUM($O$5:$O6)+SUM(Q$5:Q6))/C$4,2)</f>
        <v>0.06</v>
      </c>
      <c r="W6" s="14">
        <f>V6-V5</f>
        <v>0.06</v>
      </c>
      <c r="X6" s="14">
        <f>ROUND((SUM($N$5:$N6)-SUM($O$5:$O6)+SUM(R$5:R6))/D$4,2)</f>
        <v>0.05</v>
      </c>
      <c r="Y6" s="14">
        <f>X6-X5</f>
        <v>0.05</v>
      </c>
      <c r="Z6" s="14">
        <f>ROUND((SUM($N$5:$N6)+SUM(R$5:R6))/E$4,2)</f>
        <v>0.08</v>
      </c>
      <c r="AA6" s="14">
        <f>Z6-Z5</f>
        <v>0.08</v>
      </c>
      <c r="AB6" s="24"/>
      <c r="AC6" s="14">
        <f t="shared" ref="AC6:AC34" si="3">AA6</f>
        <v>0.08</v>
      </c>
      <c r="AD6" s="14">
        <f>SUM(AC$5:AC6)</f>
        <v>0.08</v>
      </c>
      <c r="AF6" s="69">
        <v>5</v>
      </c>
      <c r="AG6" s="69"/>
      <c r="AH6" s="69"/>
      <c r="AI6" s="69"/>
      <c r="AL6" s="159">
        <v>3</v>
      </c>
      <c r="AM6" s="159">
        <f t="shared" si="0"/>
        <v>1</v>
      </c>
      <c r="AN6" s="159">
        <f>INDEX($AA$5:$AA$34,AM4)</f>
        <v>0</v>
      </c>
      <c r="AY6" s="72">
        <v>3</v>
      </c>
      <c r="AZ6" s="72" t="s">
        <v>490</v>
      </c>
      <c r="BA6" s="72">
        <v>3</v>
      </c>
      <c r="BB6" s="72">
        <f>SUM(BA$4:BA6)</f>
        <v>8</v>
      </c>
      <c r="BC6" s="70"/>
      <c r="BD6" s="72">
        <v>3</v>
      </c>
      <c r="BE6" s="72">
        <v>5</v>
      </c>
      <c r="BF6" s="72">
        <f>SUM(BE$4:BE6)</f>
        <v>15</v>
      </c>
      <c r="BG6" s="70"/>
      <c r="BI6" s="72">
        <v>3</v>
      </c>
      <c r="BJ6" s="72" t="s">
        <v>502</v>
      </c>
      <c r="BK6" s="74" t="s">
        <v>489</v>
      </c>
      <c r="BL6" s="72">
        <v>2</v>
      </c>
      <c r="BM6" s="72">
        <f>SUM(BL$4:BL6)</f>
        <v>5</v>
      </c>
      <c r="BN6" s="164">
        <v>15</v>
      </c>
      <c r="BO6" s="73">
        <f t="shared" si="1"/>
        <v>25</v>
      </c>
      <c r="BP6" s="121">
        <v>2</v>
      </c>
      <c r="BQ6" s="121">
        <f t="shared" si="2"/>
        <v>10</v>
      </c>
      <c r="BT6" s="73" t="s">
        <v>490</v>
      </c>
      <c r="BU6" s="74" t="s">
        <v>521</v>
      </c>
      <c r="BV6" s="75">
        <v>30</v>
      </c>
      <c r="BW6" s="73">
        <v>50</v>
      </c>
      <c r="BY6" s="121">
        <v>3</v>
      </c>
      <c r="BZ6" s="121">
        <v>20</v>
      </c>
      <c r="CA6" s="121">
        <v>30</v>
      </c>
      <c r="CB6" s="121" t="s">
        <v>539</v>
      </c>
    </row>
    <row r="7" spans="1:80" ht="18" customHeight="1" x14ac:dyDescent="0.2">
      <c r="A7" s="24">
        <v>50</v>
      </c>
      <c r="F7" t="s">
        <v>421</v>
      </c>
      <c r="J7" s="158">
        <v>3</v>
      </c>
      <c r="K7" s="158" t="s">
        <v>1429</v>
      </c>
      <c r="L7" s="71">
        <v>15</v>
      </c>
      <c r="M7" s="159">
        <v>25</v>
      </c>
      <c r="N7" s="153">
        <v>20</v>
      </c>
      <c r="O7" s="71">
        <v>4</v>
      </c>
      <c r="P7" s="71">
        <v>12</v>
      </c>
      <c r="Q7" s="71">
        <v>12</v>
      </c>
      <c r="R7" s="71"/>
      <c r="S7" s="71">
        <v>1</v>
      </c>
      <c r="T7" s="14">
        <f>ROUND((SUM($N$5:$N7)-SUM($O$5:$O7)+SUM(P$5:P7))/B$4,2)</f>
        <v>1</v>
      </c>
      <c r="U7" s="14">
        <f>T7-T6</f>
        <v>0.92999999999999994</v>
      </c>
      <c r="V7" s="14">
        <f>ROUND((SUM($N$5:$N7)-SUM($O$5:$O7)+SUM(Q$5:Q7))/C$4,2)</f>
        <v>0.88</v>
      </c>
      <c r="W7" s="14">
        <f>V7-V6</f>
        <v>0.82000000000000006</v>
      </c>
      <c r="X7" s="14">
        <f>ROUND((SUM($N$5:$N7)-SUM($O$5:$O7)+SUM(R$5:R7))/D$4,2)</f>
        <v>0.43</v>
      </c>
      <c r="Y7" s="14">
        <f>X7-X6</f>
        <v>0.38</v>
      </c>
      <c r="Z7" s="14">
        <f>ROUND((SUM($N$5:$N7)+SUM(R$5:R7))/E$4,2)</f>
        <v>0.5</v>
      </c>
      <c r="AA7" s="14">
        <f t="shared" ref="AA7:AA34" si="4">Z7-Z6</f>
        <v>0.42</v>
      </c>
      <c r="AB7" s="24"/>
      <c r="AC7" s="14">
        <f t="shared" si="3"/>
        <v>0.42</v>
      </c>
      <c r="AD7" s="14">
        <f>SUM(AC$5:AC7)</f>
        <v>0.5</v>
      </c>
      <c r="AF7" s="69">
        <v>10</v>
      </c>
      <c r="AG7" s="69">
        <v>5</v>
      </c>
      <c r="AH7" s="69"/>
      <c r="AI7" s="69"/>
      <c r="AL7" s="159">
        <v>4</v>
      </c>
      <c r="AM7" s="159">
        <f t="shared" si="0"/>
        <v>1</v>
      </c>
      <c r="AN7" s="161"/>
      <c r="AY7" s="72">
        <v>4</v>
      </c>
      <c r="AZ7" s="72" t="s">
        <v>494</v>
      </c>
      <c r="BA7" s="72">
        <v>4</v>
      </c>
      <c r="BB7" s="72">
        <f>SUM(BA$4:BA7)</f>
        <v>12</v>
      </c>
      <c r="BC7" s="70"/>
      <c r="BD7" s="72">
        <v>4</v>
      </c>
      <c r="BE7" s="72">
        <v>5</v>
      </c>
      <c r="BF7" s="72">
        <f>SUM(BE$4:BE7)</f>
        <v>20</v>
      </c>
      <c r="BG7" s="70"/>
      <c r="BI7" s="72">
        <v>4</v>
      </c>
      <c r="BJ7" s="72" t="s">
        <v>490</v>
      </c>
      <c r="BK7" s="74" t="s">
        <v>490</v>
      </c>
      <c r="BL7" s="72">
        <v>2</v>
      </c>
      <c r="BM7" s="72">
        <f>SUM(BL$4:BL7)</f>
        <v>7</v>
      </c>
      <c r="BN7" s="164">
        <v>25</v>
      </c>
      <c r="BO7" s="73">
        <f t="shared" si="1"/>
        <v>35</v>
      </c>
      <c r="BP7" s="121">
        <v>3</v>
      </c>
      <c r="BQ7" s="121">
        <f t="shared" si="2"/>
        <v>20</v>
      </c>
      <c r="BT7" s="73" t="s">
        <v>494</v>
      </c>
      <c r="BU7" s="74" t="s">
        <v>522</v>
      </c>
      <c r="BV7" s="75">
        <v>50</v>
      </c>
      <c r="BW7" s="73">
        <v>70</v>
      </c>
      <c r="BY7" s="121">
        <v>4</v>
      </c>
      <c r="BZ7" s="121">
        <v>30</v>
      </c>
      <c r="CA7" s="121">
        <v>40</v>
      </c>
      <c r="CB7" s="121" t="s">
        <v>540</v>
      </c>
    </row>
    <row r="8" spans="1:80" ht="16.5" x14ac:dyDescent="0.2">
      <c r="A8" s="24">
        <v>50</v>
      </c>
      <c r="B8" s="14">
        <f>SUM(A7:A8)</f>
        <v>100</v>
      </c>
      <c r="J8" s="158">
        <v>4</v>
      </c>
      <c r="K8" s="158" t="s">
        <v>1430</v>
      </c>
      <c r="L8" s="155">
        <v>25</v>
      </c>
      <c r="M8" s="159">
        <v>30</v>
      </c>
      <c r="N8" s="155">
        <v>22</v>
      </c>
      <c r="O8" s="155">
        <v>4</v>
      </c>
      <c r="P8" s="155"/>
      <c r="Q8" s="155"/>
      <c r="R8" s="155">
        <v>12</v>
      </c>
      <c r="S8" s="155">
        <v>1</v>
      </c>
      <c r="T8" s="14">
        <f>ROUND((SUM($N$5:$N8)-SUM($O$5:$O8)+SUM(P$5:P8))/B$4,2)</f>
        <v>1.6</v>
      </c>
      <c r="U8" s="14">
        <f>T8-T7</f>
        <v>0.60000000000000009</v>
      </c>
      <c r="V8" s="14">
        <f>ROUND((SUM($N$5:$N8)-SUM($O$5:$O8)+SUM(Q$5:Q8))/C$4,2)</f>
        <v>1.41</v>
      </c>
      <c r="W8" s="14">
        <f>V8-V7</f>
        <v>0.52999999999999992</v>
      </c>
      <c r="X8" s="14">
        <f>ROUND((SUM($N$5:$N8)-SUM($O$5:$O8)+SUM(R$5:R8))/D$4,2)</f>
        <v>1.1399999999999999</v>
      </c>
      <c r="Y8" s="14">
        <f>X8-X7</f>
        <v>0.71</v>
      </c>
      <c r="Z8" s="14">
        <f>ROUND((SUM($N$5:$N8)+SUM(R$5:R8))/E$4,2)</f>
        <v>1.21</v>
      </c>
      <c r="AA8" s="14">
        <f t="shared" si="4"/>
        <v>0.71</v>
      </c>
      <c r="AC8" s="14">
        <f t="shared" si="3"/>
        <v>0.71</v>
      </c>
      <c r="AD8" s="14">
        <f>SUM(AC$5:AC8)</f>
        <v>1.21</v>
      </c>
      <c r="AF8" s="69">
        <v>20</v>
      </c>
      <c r="AG8" s="69">
        <v>10</v>
      </c>
      <c r="AH8" s="69">
        <v>5</v>
      </c>
      <c r="AI8" s="69"/>
      <c r="AL8" s="159">
        <v>5</v>
      </c>
      <c r="AM8" s="159">
        <f t="shared" si="0"/>
        <v>1</v>
      </c>
      <c r="AN8" s="161"/>
      <c r="AY8" s="72">
        <v>5</v>
      </c>
      <c r="AZ8" s="72" t="s">
        <v>491</v>
      </c>
      <c r="BA8" s="72">
        <v>4</v>
      </c>
      <c r="BB8" s="72">
        <f>SUM(BA$4:BA8)</f>
        <v>16</v>
      </c>
      <c r="BC8" s="70"/>
      <c r="BD8" s="72">
        <v>5</v>
      </c>
      <c r="BE8" s="72">
        <v>5</v>
      </c>
      <c r="BF8" s="72">
        <f>SUM(BE$4:BE8)</f>
        <v>25</v>
      </c>
      <c r="BG8" s="70"/>
      <c r="BI8" s="72">
        <v>5</v>
      </c>
      <c r="BJ8" s="72" t="s">
        <v>493</v>
      </c>
      <c r="BK8" s="74" t="s">
        <v>490</v>
      </c>
      <c r="BL8" s="72">
        <v>2</v>
      </c>
      <c r="BM8" s="72">
        <f>SUM(BL$4:BL8)</f>
        <v>9</v>
      </c>
      <c r="BN8" s="164">
        <v>35</v>
      </c>
      <c r="BO8" s="73">
        <f t="shared" si="1"/>
        <v>42</v>
      </c>
      <c r="BP8" s="121">
        <v>4</v>
      </c>
      <c r="BQ8" s="121">
        <f t="shared" si="2"/>
        <v>30</v>
      </c>
      <c r="BT8" s="73" t="s">
        <v>491</v>
      </c>
      <c r="BU8" s="74" t="s">
        <v>523</v>
      </c>
      <c r="BV8" s="75">
        <v>70</v>
      </c>
      <c r="BW8" s="73">
        <v>90</v>
      </c>
      <c r="BY8" s="121">
        <v>5</v>
      </c>
      <c r="BZ8" s="121">
        <v>40</v>
      </c>
      <c r="CA8" s="121">
        <v>50</v>
      </c>
      <c r="CB8" s="121" t="s">
        <v>541</v>
      </c>
    </row>
    <row r="9" spans="1:80" ht="16.5" x14ac:dyDescent="0.2">
      <c r="A9" s="24">
        <v>75</v>
      </c>
      <c r="F9" t="s">
        <v>1438</v>
      </c>
      <c r="J9" s="158">
        <v>5</v>
      </c>
      <c r="K9" s="71" t="s">
        <v>461</v>
      </c>
      <c r="L9" s="71">
        <v>30</v>
      </c>
      <c r="M9" s="159">
        <v>35</v>
      </c>
      <c r="N9" s="155">
        <v>24</v>
      </c>
      <c r="O9" s="159">
        <v>4</v>
      </c>
      <c r="P9" s="71"/>
      <c r="Q9" s="153"/>
      <c r="R9" s="153"/>
      <c r="S9" s="71">
        <v>1</v>
      </c>
      <c r="T9" s="14">
        <f>ROUND((SUM($N$5:$N9)-SUM($O$5:$O9)+SUM(P$5:P9))/B$4,2)</f>
        <v>2.27</v>
      </c>
      <c r="U9" s="14">
        <f>T9-T7</f>
        <v>1.27</v>
      </c>
      <c r="V9" s="14">
        <f>ROUND((SUM($N$5:$N9)-SUM($O$5:$O9)+SUM(Q$5:Q9))/C$4,2)</f>
        <v>2</v>
      </c>
      <c r="W9" s="14">
        <f>V9-V7</f>
        <v>1.1200000000000001</v>
      </c>
      <c r="X9" s="14">
        <f>ROUND((SUM($N$5:$N9)-SUM($O$5:$O9)+SUM(R$5:R9))/D$4,2)</f>
        <v>1.62</v>
      </c>
      <c r="Y9" s="14">
        <f>X9-X7</f>
        <v>1.1900000000000002</v>
      </c>
      <c r="Z9" s="14">
        <f>ROUND((SUM($N$5:$N9)+SUM(R$5:R9))/E$4,2)</f>
        <v>1.71</v>
      </c>
      <c r="AA9" s="14">
        <f t="shared" si="4"/>
        <v>0.5</v>
      </c>
      <c r="AB9" s="24"/>
      <c r="AC9" s="14">
        <f t="shared" si="3"/>
        <v>0.5</v>
      </c>
      <c r="AD9" s="14">
        <f>SUM(AC$5:AC9)</f>
        <v>1.71</v>
      </c>
      <c r="AF9" s="69">
        <v>30</v>
      </c>
      <c r="AG9" s="69">
        <v>15</v>
      </c>
      <c r="AH9" s="69">
        <v>10</v>
      </c>
      <c r="AI9" s="69">
        <v>5</v>
      </c>
      <c r="AL9" s="159">
        <v>6</v>
      </c>
      <c r="AM9" s="159">
        <f t="shared" si="0"/>
        <v>1</v>
      </c>
      <c r="AN9" s="161"/>
      <c r="AY9" s="72">
        <v>6</v>
      </c>
      <c r="AZ9" s="72" t="s">
        <v>492</v>
      </c>
      <c r="BA9" s="72">
        <v>4</v>
      </c>
      <c r="BB9" s="72">
        <f>SUM(BA$4:BA9)</f>
        <v>20</v>
      </c>
      <c r="BC9" s="70"/>
      <c r="BD9" s="72">
        <v>6</v>
      </c>
      <c r="BE9" s="72">
        <v>5</v>
      </c>
      <c r="BF9" s="72">
        <f>SUM(BE$4:BE9)</f>
        <v>30</v>
      </c>
      <c r="BG9" s="70"/>
      <c r="BI9" s="72">
        <v>6</v>
      </c>
      <c r="BJ9" s="74" t="s">
        <v>527</v>
      </c>
      <c r="BK9" s="74" t="s">
        <v>490</v>
      </c>
      <c r="BL9" s="72">
        <v>2</v>
      </c>
      <c r="BM9" s="72">
        <f>SUM(BL$4:BL9)</f>
        <v>11</v>
      </c>
      <c r="BN9" s="164">
        <v>42</v>
      </c>
      <c r="BO9" s="73">
        <f t="shared" si="1"/>
        <v>47</v>
      </c>
      <c r="BP9" s="121">
        <v>5</v>
      </c>
      <c r="BQ9" s="121">
        <f t="shared" si="2"/>
        <v>40</v>
      </c>
      <c r="BT9" s="73" t="s">
        <v>492</v>
      </c>
      <c r="BU9" s="74" t="s">
        <v>524</v>
      </c>
      <c r="BV9" s="75">
        <v>90</v>
      </c>
      <c r="BW9" s="73">
        <v>110</v>
      </c>
      <c r="BY9" s="121">
        <v>6</v>
      </c>
      <c r="BZ9" s="121">
        <v>50</v>
      </c>
      <c r="CA9" s="121">
        <v>60</v>
      </c>
      <c r="CB9" s="121" t="s">
        <v>527</v>
      </c>
    </row>
    <row r="10" spans="1:80" ht="16.5" x14ac:dyDescent="0.2">
      <c r="A10" s="159">
        <v>75</v>
      </c>
      <c r="F10" t="s">
        <v>1439</v>
      </c>
      <c r="J10" s="158">
        <v>6</v>
      </c>
      <c r="K10" s="71" t="s">
        <v>462</v>
      </c>
      <c r="L10" s="71">
        <v>35</v>
      </c>
      <c r="M10" s="159">
        <v>40</v>
      </c>
      <c r="N10" s="155">
        <v>26</v>
      </c>
      <c r="O10" s="159">
        <v>4</v>
      </c>
      <c r="P10" s="71"/>
      <c r="Q10" s="71"/>
      <c r="R10" s="71"/>
      <c r="S10" s="71">
        <v>1</v>
      </c>
      <c r="T10" s="14">
        <f>ROUND((SUM($N$5:$N10)-SUM($O$5:$O10)+SUM(P$5:P10))/B$4,2)</f>
        <v>3</v>
      </c>
      <c r="U10" s="14">
        <f t="shared" ref="U10:U34" si="5">T10-T9</f>
        <v>0.73</v>
      </c>
      <c r="V10" s="14">
        <f>ROUND((SUM($N$5:$N10)-SUM($O$5:$O10)+SUM(Q$5:Q10))/C$4,2)</f>
        <v>2.65</v>
      </c>
      <c r="W10" s="14">
        <f t="shared" ref="W10:W34" si="6">V10-V9</f>
        <v>0.64999999999999991</v>
      </c>
      <c r="X10" s="14">
        <f>ROUND((SUM($N$5:$N10)-SUM($O$5:$O10)+SUM(R$5:R10))/D$4,2)</f>
        <v>2.14</v>
      </c>
      <c r="Y10" s="14">
        <f t="shared" ref="Y10:Y34" si="7">X10-X9</f>
        <v>0.52</v>
      </c>
      <c r="Z10" s="14">
        <f>ROUND((SUM($N$5:$N10)+SUM(R$5:R10))/E$4,2)</f>
        <v>2.25</v>
      </c>
      <c r="AA10" s="14">
        <f t="shared" si="4"/>
        <v>0.54</v>
      </c>
      <c r="AB10" s="24"/>
      <c r="AC10" s="14">
        <f t="shared" si="3"/>
        <v>0.54</v>
      </c>
      <c r="AD10" s="14">
        <f>SUM(AC$5:AC10)</f>
        <v>2.25</v>
      </c>
      <c r="AF10" s="69">
        <v>40</v>
      </c>
      <c r="AG10" s="69">
        <v>20</v>
      </c>
      <c r="AH10" s="69">
        <v>15</v>
      </c>
      <c r="AI10" s="69">
        <v>10</v>
      </c>
      <c r="AL10" s="159">
        <v>7</v>
      </c>
      <c r="AM10" s="159">
        <f t="shared" si="0"/>
        <v>1</v>
      </c>
      <c r="AN10" s="161"/>
      <c r="AY10" s="72">
        <v>7</v>
      </c>
      <c r="AZ10" s="72" t="s">
        <v>498</v>
      </c>
      <c r="BA10" s="72">
        <v>5</v>
      </c>
      <c r="BB10" s="72">
        <f>SUM(BA$4:BA10)</f>
        <v>25</v>
      </c>
      <c r="BC10" s="70"/>
      <c r="BD10" s="72">
        <v>7</v>
      </c>
      <c r="BE10" s="72">
        <v>5</v>
      </c>
      <c r="BF10" s="72">
        <f>SUM(BE$4:BE10)</f>
        <v>35</v>
      </c>
      <c r="BG10" s="70"/>
      <c r="BI10" s="72">
        <v>7</v>
      </c>
      <c r="BJ10" s="72" t="s">
        <v>494</v>
      </c>
      <c r="BK10" s="74" t="s">
        <v>494</v>
      </c>
      <c r="BL10" s="72">
        <v>2</v>
      </c>
      <c r="BM10" s="72">
        <f>SUM(BL$4:BL10)</f>
        <v>13</v>
      </c>
      <c r="BN10" s="164">
        <v>47</v>
      </c>
      <c r="BO10" s="73">
        <f t="shared" si="1"/>
        <v>52</v>
      </c>
      <c r="BP10" s="121">
        <v>6</v>
      </c>
      <c r="BQ10" s="121">
        <f t="shared" si="2"/>
        <v>50</v>
      </c>
      <c r="BT10" s="73" t="s">
        <v>498</v>
      </c>
      <c r="BU10" s="74" t="s">
        <v>525</v>
      </c>
      <c r="BV10" s="75">
        <v>110</v>
      </c>
      <c r="BW10" s="73">
        <v>135</v>
      </c>
      <c r="BY10" s="121">
        <v>7</v>
      </c>
      <c r="BZ10" s="121">
        <v>60</v>
      </c>
      <c r="CA10" s="121">
        <v>65</v>
      </c>
      <c r="CB10" s="121" t="s">
        <v>542</v>
      </c>
    </row>
    <row r="11" spans="1:80" ht="16.5" x14ac:dyDescent="0.2">
      <c r="A11" s="24">
        <v>100</v>
      </c>
      <c r="B11" s="14">
        <f>SUM(A7:A11)</f>
        <v>350</v>
      </c>
      <c r="J11" s="158">
        <v>7</v>
      </c>
      <c r="K11" s="71" t="s">
        <v>463</v>
      </c>
      <c r="L11" s="71">
        <v>40</v>
      </c>
      <c r="M11" s="159">
        <v>45</v>
      </c>
      <c r="N11" s="155">
        <v>28</v>
      </c>
      <c r="O11" s="159">
        <v>4</v>
      </c>
      <c r="P11" s="71"/>
      <c r="Q11" s="71"/>
      <c r="R11" s="71"/>
      <c r="S11" s="71">
        <v>1</v>
      </c>
      <c r="T11" s="14">
        <f>ROUND((SUM($N$5:$N11)-SUM($O$5:$O11)+SUM(P$5:P11))/B$4,2)</f>
        <v>3.8</v>
      </c>
      <c r="U11" s="14">
        <f t="shared" si="5"/>
        <v>0.79999999999999982</v>
      </c>
      <c r="V11" s="14">
        <f>ROUND((SUM($N$5:$N11)-SUM($O$5:$O11)+SUM(Q$5:Q11))/C$4,2)</f>
        <v>3.35</v>
      </c>
      <c r="W11" s="14">
        <f t="shared" si="6"/>
        <v>0.70000000000000018</v>
      </c>
      <c r="X11" s="14">
        <f>ROUND((SUM($N$5:$N11)-SUM($O$5:$O11)+SUM(R$5:R11))/D$4,2)</f>
        <v>2.71</v>
      </c>
      <c r="Y11" s="14">
        <f t="shared" si="7"/>
        <v>0.56999999999999984</v>
      </c>
      <c r="Z11" s="14">
        <f>ROUND((SUM($N$5:$N11)+SUM(R$5:R11))/E$4,2)</f>
        <v>2.83</v>
      </c>
      <c r="AA11" s="14">
        <f t="shared" si="4"/>
        <v>0.58000000000000007</v>
      </c>
      <c r="AB11" s="24"/>
      <c r="AC11" s="14">
        <f t="shared" si="3"/>
        <v>0.58000000000000007</v>
      </c>
      <c r="AD11" s="14">
        <f>SUM(AC$5:AC11)</f>
        <v>2.83</v>
      </c>
      <c r="AF11" s="69">
        <v>50</v>
      </c>
      <c r="AG11" s="69">
        <v>30</v>
      </c>
      <c r="AH11" s="69">
        <v>20</v>
      </c>
      <c r="AI11" s="69">
        <v>15</v>
      </c>
      <c r="AL11" s="159">
        <v>8</v>
      </c>
      <c r="AM11" s="159">
        <f t="shared" si="0"/>
        <v>2</v>
      </c>
      <c r="AN11" s="159">
        <f>INDEX($U$5:$U$34,AM11)</f>
        <v>7.0000000000000007E-2</v>
      </c>
      <c r="AY11" s="72">
        <v>8</v>
      </c>
      <c r="AZ11" s="72" t="s">
        <v>499</v>
      </c>
      <c r="BA11" s="72">
        <v>5</v>
      </c>
      <c r="BB11" s="72">
        <f>SUM(BA$4:BA11)</f>
        <v>30</v>
      </c>
      <c r="BC11" s="70"/>
      <c r="BD11" s="72">
        <v>8</v>
      </c>
      <c r="BE11" s="72">
        <v>5</v>
      </c>
      <c r="BF11" s="72">
        <f>SUM(BE$4:BE11)</f>
        <v>40</v>
      </c>
      <c r="BG11" s="70"/>
      <c r="BI11" s="72">
        <v>8</v>
      </c>
      <c r="BJ11" s="72" t="s">
        <v>528</v>
      </c>
      <c r="BK11" s="74" t="s">
        <v>494</v>
      </c>
      <c r="BL11" s="72">
        <v>2</v>
      </c>
      <c r="BM11" s="72">
        <f>SUM(BL$4:BL11)</f>
        <v>15</v>
      </c>
      <c r="BN11" s="164">
        <v>52</v>
      </c>
      <c r="BO11" s="73">
        <f t="shared" si="1"/>
        <v>57</v>
      </c>
      <c r="BP11" s="121">
        <v>7</v>
      </c>
      <c r="BQ11" s="121">
        <f t="shared" si="2"/>
        <v>60</v>
      </c>
      <c r="BT11" s="73" t="s">
        <v>499</v>
      </c>
      <c r="BU11" s="74" t="s">
        <v>526</v>
      </c>
      <c r="BV11" s="75">
        <v>135</v>
      </c>
      <c r="BW11" s="73">
        <v>150</v>
      </c>
      <c r="BY11" s="121">
        <v>8</v>
      </c>
      <c r="BZ11" s="121">
        <v>65</v>
      </c>
      <c r="CA11" s="121">
        <v>70</v>
      </c>
      <c r="CB11" s="121" t="s">
        <v>543</v>
      </c>
    </row>
    <row r="12" spans="1:80" ht="16.5" x14ac:dyDescent="0.2">
      <c r="A12" s="60">
        <v>100</v>
      </c>
      <c r="J12" s="158">
        <v>8</v>
      </c>
      <c r="K12" s="71" t="s">
        <v>464</v>
      </c>
      <c r="L12" s="71">
        <v>45</v>
      </c>
      <c r="M12" s="159">
        <v>50</v>
      </c>
      <c r="N12" s="155">
        <v>30</v>
      </c>
      <c r="O12" s="159">
        <v>4</v>
      </c>
      <c r="P12" s="71"/>
      <c r="Q12" s="71"/>
      <c r="R12" s="71"/>
      <c r="S12" s="71">
        <v>1</v>
      </c>
      <c r="T12" s="14">
        <f>ROUND((SUM($N$5:$N12)-SUM($O$5:$O12)+SUM(P$5:P12))/B$4,2)</f>
        <v>4.67</v>
      </c>
      <c r="U12" s="14">
        <f t="shared" si="5"/>
        <v>0.87000000000000011</v>
      </c>
      <c r="V12" s="14">
        <f>ROUND((SUM($N$5:$N12)-SUM($O$5:$O12)+SUM(Q$5:Q12))/C$4,2)</f>
        <v>4.12</v>
      </c>
      <c r="W12" s="14">
        <f t="shared" si="6"/>
        <v>0.77</v>
      </c>
      <c r="X12" s="14">
        <f>ROUND((SUM($N$5:$N12)-SUM($O$5:$O12)+SUM(R$5:R12))/D$4,2)</f>
        <v>3.33</v>
      </c>
      <c r="Y12" s="14">
        <f t="shared" si="7"/>
        <v>0.62000000000000011</v>
      </c>
      <c r="Z12" s="14">
        <f>ROUND((SUM($N$5:$N12)+SUM(R$5:R12))/E$4,2)</f>
        <v>3.46</v>
      </c>
      <c r="AA12" s="14">
        <f t="shared" si="4"/>
        <v>0.62999999999999989</v>
      </c>
      <c r="AB12" s="24"/>
      <c r="AC12" s="14">
        <f t="shared" si="3"/>
        <v>0.62999999999999989</v>
      </c>
      <c r="AD12" s="14">
        <f>SUM(AC$5:AC12)</f>
        <v>3.46</v>
      </c>
      <c r="AF12" s="69">
        <v>60</v>
      </c>
      <c r="AG12" s="69">
        <v>40</v>
      </c>
      <c r="AH12" s="69">
        <v>25</v>
      </c>
      <c r="AI12" s="69">
        <v>20</v>
      </c>
      <c r="AL12" s="159">
        <v>9</v>
      </c>
      <c r="AM12" s="159">
        <f t="shared" si="0"/>
        <v>2</v>
      </c>
      <c r="AN12" s="159">
        <f>INDEX($W$5:$W$34,AM11)</f>
        <v>0.06</v>
      </c>
      <c r="BC12" s="70"/>
      <c r="BD12" s="72">
        <v>9</v>
      </c>
      <c r="BE12" s="72">
        <v>2</v>
      </c>
      <c r="BF12" s="72">
        <f>SUM(BE$4:BE12)</f>
        <v>42</v>
      </c>
      <c r="BG12" s="70"/>
      <c r="BI12" s="72">
        <v>9</v>
      </c>
      <c r="BJ12" s="74" t="s">
        <v>503</v>
      </c>
      <c r="BK12" s="74" t="s">
        <v>494</v>
      </c>
      <c r="BL12" s="72">
        <v>3</v>
      </c>
      <c r="BM12" s="72">
        <f>SUM(BL$4:BL12)</f>
        <v>18</v>
      </c>
      <c r="BN12" s="164">
        <v>57</v>
      </c>
      <c r="BO12" s="73">
        <f t="shared" si="1"/>
        <v>65</v>
      </c>
      <c r="BP12" s="121">
        <v>8</v>
      </c>
      <c r="BQ12" s="121">
        <f t="shared" si="2"/>
        <v>65</v>
      </c>
      <c r="BY12" s="121">
        <v>9</v>
      </c>
      <c r="BZ12" s="121">
        <v>70</v>
      </c>
      <c r="CA12" s="121">
        <v>80</v>
      </c>
      <c r="CB12" s="121" t="s">
        <v>503</v>
      </c>
    </row>
    <row r="13" spans="1:80" ht="16.5" x14ac:dyDescent="0.2">
      <c r="A13" s="24">
        <v>200</v>
      </c>
      <c r="J13" s="158">
        <v>9</v>
      </c>
      <c r="K13" s="71" t="s">
        <v>465</v>
      </c>
      <c r="L13" s="71">
        <v>50</v>
      </c>
      <c r="M13" s="159">
        <v>55</v>
      </c>
      <c r="N13" s="155">
        <v>34</v>
      </c>
      <c r="O13" s="159">
        <v>4</v>
      </c>
      <c r="P13" s="71"/>
      <c r="Q13" s="71"/>
      <c r="R13" s="71"/>
      <c r="S13" s="71">
        <v>1</v>
      </c>
      <c r="T13" s="14">
        <f>ROUND((SUM($N$5:$N13)-SUM($O$5:$O13)+SUM(P$5:P13))/B$4,2)</f>
        <v>5.67</v>
      </c>
      <c r="U13" s="14">
        <f t="shared" si="5"/>
        <v>1</v>
      </c>
      <c r="V13" s="14">
        <f>ROUND((SUM($N$5:$N13)-SUM($O$5:$O13)+SUM(Q$5:Q13))/C$4,2)</f>
        <v>5</v>
      </c>
      <c r="W13" s="14">
        <f t="shared" si="6"/>
        <v>0.87999999999999989</v>
      </c>
      <c r="X13" s="14">
        <f>ROUND((SUM($N$5:$N13)-SUM($O$5:$O13)+SUM(R$5:R13))/D$4,2)</f>
        <v>4.05</v>
      </c>
      <c r="Y13" s="14">
        <f t="shared" si="7"/>
        <v>0.71999999999999975</v>
      </c>
      <c r="Z13" s="14">
        <f>ROUND((SUM($N$5:$N13)+SUM(R$5:R13))/E$4,2)</f>
        <v>4.17</v>
      </c>
      <c r="AA13" s="14">
        <f t="shared" si="4"/>
        <v>0.71</v>
      </c>
      <c r="AB13" s="24"/>
      <c r="AC13" s="14">
        <f t="shared" si="3"/>
        <v>0.71</v>
      </c>
      <c r="AD13" s="14">
        <f>SUM(AC$5:AC13)</f>
        <v>4.17</v>
      </c>
      <c r="AF13" s="69">
        <v>70</v>
      </c>
      <c r="AG13" s="69">
        <v>50</v>
      </c>
      <c r="AH13" s="69">
        <v>30</v>
      </c>
      <c r="AI13" s="69">
        <v>25</v>
      </c>
      <c r="AL13" s="159">
        <v>10</v>
      </c>
      <c r="AM13" s="159">
        <f t="shared" si="0"/>
        <v>2</v>
      </c>
      <c r="AN13" s="159">
        <f>INDEX($AA$5:$AA$34,AM11)</f>
        <v>0.08</v>
      </c>
      <c r="BC13" s="70"/>
      <c r="BD13" s="72">
        <v>10</v>
      </c>
      <c r="BE13" s="72">
        <v>3</v>
      </c>
      <c r="BF13" s="72">
        <f>SUM(BE$4:BE13)</f>
        <v>45</v>
      </c>
      <c r="BG13" s="70"/>
      <c r="BI13" s="72">
        <v>10</v>
      </c>
      <c r="BJ13" s="72" t="s">
        <v>529</v>
      </c>
      <c r="BK13" s="74" t="s">
        <v>491</v>
      </c>
      <c r="BL13" s="72">
        <v>3</v>
      </c>
      <c r="BM13" s="72">
        <f>SUM(BL$4:BL13)</f>
        <v>21</v>
      </c>
      <c r="BN13" s="164">
        <v>65</v>
      </c>
      <c r="BO13" s="73">
        <f t="shared" si="1"/>
        <v>72</v>
      </c>
      <c r="BP13" s="121">
        <v>9</v>
      </c>
      <c r="BQ13" s="121">
        <f t="shared" si="2"/>
        <v>70</v>
      </c>
      <c r="BY13" s="121">
        <v>10</v>
      </c>
      <c r="BZ13" s="121">
        <v>80</v>
      </c>
      <c r="CA13" s="121">
        <v>85</v>
      </c>
      <c r="CB13" s="121" t="s">
        <v>544</v>
      </c>
    </row>
    <row r="14" spans="1:80" ht="16.5" x14ac:dyDescent="0.2">
      <c r="A14" s="60">
        <v>200</v>
      </c>
      <c r="J14" s="158">
        <v>10</v>
      </c>
      <c r="K14" s="71" t="s">
        <v>466</v>
      </c>
      <c r="L14" s="71">
        <v>55</v>
      </c>
      <c r="M14" s="159">
        <v>60</v>
      </c>
      <c r="N14" s="155">
        <v>40</v>
      </c>
      <c r="O14" s="159">
        <v>4</v>
      </c>
      <c r="P14" s="71"/>
      <c r="Q14" s="71"/>
      <c r="R14" s="71"/>
      <c r="S14" s="71">
        <v>1</v>
      </c>
      <c r="T14" s="14">
        <f>ROUND((SUM($N$5:$N14)-SUM($O$5:$O14)+SUM(P$5:P14))/B$4,2)</f>
        <v>6.87</v>
      </c>
      <c r="U14" s="14">
        <f t="shared" si="5"/>
        <v>1.2000000000000002</v>
      </c>
      <c r="V14" s="14">
        <f>ROUND((SUM($N$5:$N14)-SUM($O$5:$O14)+SUM(Q$5:Q14))/C$4,2)</f>
        <v>6.06</v>
      </c>
      <c r="W14" s="14">
        <f t="shared" si="6"/>
        <v>1.0599999999999996</v>
      </c>
      <c r="X14" s="14">
        <f>ROUND((SUM($N$5:$N14)-SUM($O$5:$O14)+SUM(R$5:R14))/D$4,2)</f>
        <v>4.9000000000000004</v>
      </c>
      <c r="Y14" s="14">
        <f t="shared" si="7"/>
        <v>0.85000000000000053</v>
      </c>
      <c r="Z14" s="14">
        <f>ROUND((SUM($N$5:$N14)+SUM(R$5:R14))/E$4,2)</f>
        <v>5</v>
      </c>
      <c r="AA14" s="14">
        <f t="shared" si="4"/>
        <v>0.83000000000000007</v>
      </c>
      <c r="AB14" s="24"/>
      <c r="AC14" s="14">
        <f t="shared" si="3"/>
        <v>0.83000000000000007</v>
      </c>
      <c r="AD14" s="14">
        <f>SUM(AC$5:AC14)</f>
        <v>5</v>
      </c>
      <c r="AF14" s="69">
        <v>80</v>
      </c>
      <c r="AG14" s="69">
        <v>60</v>
      </c>
      <c r="AH14" s="69">
        <v>40</v>
      </c>
      <c r="AI14" s="69">
        <v>30</v>
      </c>
      <c r="AL14" s="159">
        <v>11</v>
      </c>
      <c r="AM14" s="159">
        <f t="shared" si="0"/>
        <v>2</v>
      </c>
      <c r="AN14" s="161"/>
      <c r="BC14" s="70"/>
      <c r="BD14" s="72">
        <v>11</v>
      </c>
      <c r="BE14" s="72">
        <v>2</v>
      </c>
      <c r="BF14" s="72">
        <f>SUM(BE$4:BE14)</f>
        <v>47</v>
      </c>
      <c r="BG14" s="70"/>
      <c r="BI14" s="72">
        <v>11</v>
      </c>
      <c r="BJ14" s="72" t="s">
        <v>530</v>
      </c>
      <c r="BK14" s="74" t="s">
        <v>491</v>
      </c>
      <c r="BL14" s="72">
        <v>3</v>
      </c>
      <c r="BM14" s="72">
        <f>SUM(BL$4:BL14)</f>
        <v>24</v>
      </c>
      <c r="BN14" s="164">
        <v>72</v>
      </c>
      <c r="BO14" s="73">
        <f t="shared" si="1"/>
        <v>80</v>
      </c>
      <c r="BP14" s="121">
        <v>10</v>
      </c>
      <c r="BQ14" s="121">
        <f t="shared" si="2"/>
        <v>80</v>
      </c>
      <c r="BY14" s="121">
        <v>11</v>
      </c>
      <c r="BZ14" s="121">
        <v>85</v>
      </c>
      <c r="CA14" s="121">
        <v>90</v>
      </c>
      <c r="CB14" s="121" t="s">
        <v>545</v>
      </c>
    </row>
    <row r="15" spans="1:80" ht="16.5" x14ac:dyDescent="0.2">
      <c r="A15" s="24">
        <v>500</v>
      </c>
      <c r="J15" s="158">
        <v>11</v>
      </c>
      <c r="K15" s="71" t="s">
        <v>467</v>
      </c>
      <c r="L15" s="71">
        <v>60</v>
      </c>
      <c r="M15" s="159">
        <v>65</v>
      </c>
      <c r="N15" s="155">
        <v>45</v>
      </c>
      <c r="O15" s="159">
        <v>4</v>
      </c>
      <c r="P15" s="71"/>
      <c r="Q15" s="71"/>
      <c r="R15" s="71"/>
      <c r="S15" s="71">
        <v>1</v>
      </c>
      <c r="T15" s="14">
        <f>ROUND((SUM($N$5:$N15)-SUM($O$5:$O15)+SUM(P$5:P15))/B$4,2)</f>
        <v>8.23</v>
      </c>
      <c r="U15" s="14">
        <f t="shared" si="5"/>
        <v>1.3600000000000003</v>
      </c>
      <c r="V15" s="14">
        <f>ROUND((SUM($N$5:$N15)-SUM($O$5:$O15)+SUM(Q$5:Q15))/C$4,2)</f>
        <v>7.26</v>
      </c>
      <c r="W15" s="14">
        <f t="shared" si="6"/>
        <v>1.2000000000000002</v>
      </c>
      <c r="X15" s="14">
        <f>ROUND((SUM($N$5:$N15)-SUM($O$5:$O15)+SUM(R$5:R15))/D$4,2)</f>
        <v>5.88</v>
      </c>
      <c r="Y15" s="14">
        <f t="shared" si="7"/>
        <v>0.97999999999999954</v>
      </c>
      <c r="Z15" s="14">
        <f>ROUND((SUM($N$5:$N15)+SUM(R$5:R15))/E$4,2)</f>
        <v>5.94</v>
      </c>
      <c r="AA15" s="14">
        <f t="shared" si="4"/>
        <v>0.94000000000000039</v>
      </c>
      <c r="AB15" s="24"/>
      <c r="AC15" s="14">
        <f t="shared" si="3"/>
        <v>0.94000000000000039</v>
      </c>
      <c r="AD15" s="14">
        <f>SUM(AC$5:AC15)</f>
        <v>5.94</v>
      </c>
      <c r="AF15" s="69">
        <v>90</v>
      </c>
      <c r="AG15" s="69">
        <v>70</v>
      </c>
      <c r="AH15" s="69">
        <v>50</v>
      </c>
      <c r="AI15" s="69">
        <v>40</v>
      </c>
      <c r="AL15" s="159">
        <v>12</v>
      </c>
      <c r="AM15" s="159">
        <f t="shared" si="0"/>
        <v>2</v>
      </c>
      <c r="AN15" s="161"/>
      <c r="BD15" s="72">
        <v>12</v>
      </c>
      <c r="BE15" s="72">
        <v>3</v>
      </c>
      <c r="BF15" s="72">
        <f>SUM(BE$4:BE15)</f>
        <v>50</v>
      </c>
      <c r="BI15" s="72">
        <v>12</v>
      </c>
      <c r="BJ15" s="74" t="s">
        <v>504</v>
      </c>
      <c r="BK15" s="74" t="s">
        <v>491</v>
      </c>
      <c r="BL15" s="72">
        <v>3</v>
      </c>
      <c r="BM15" s="72">
        <f>SUM(BL$4:BL15)</f>
        <v>27</v>
      </c>
      <c r="BN15" s="164">
        <v>80</v>
      </c>
      <c r="BO15" s="73">
        <f t="shared" si="1"/>
        <v>87</v>
      </c>
      <c r="BP15" s="121">
        <v>11</v>
      </c>
      <c r="BQ15" s="121">
        <f t="shared" si="2"/>
        <v>85</v>
      </c>
      <c r="BY15" s="121">
        <v>12</v>
      </c>
      <c r="BZ15" s="121">
        <v>90</v>
      </c>
      <c r="CA15" s="121">
        <v>95</v>
      </c>
      <c r="CB15" s="121" t="s">
        <v>504</v>
      </c>
    </row>
    <row r="16" spans="1:80" ht="16.5" x14ac:dyDescent="0.2">
      <c r="A16" s="24">
        <v>500</v>
      </c>
      <c r="J16" s="158">
        <v>12</v>
      </c>
      <c r="K16" s="71" t="s">
        <v>468</v>
      </c>
      <c r="L16" s="71">
        <v>65</v>
      </c>
      <c r="M16" s="159">
        <v>70</v>
      </c>
      <c r="N16" s="155">
        <v>51</v>
      </c>
      <c r="O16" s="159">
        <v>4</v>
      </c>
      <c r="P16" s="71"/>
      <c r="Q16" s="71"/>
      <c r="R16" s="71"/>
      <c r="S16" s="71">
        <v>1</v>
      </c>
      <c r="T16" s="14">
        <f>ROUND((SUM($N$5:$N16)-SUM($O$5:$O16)+SUM(P$5:P16))/B$4,2)</f>
        <v>9.8000000000000007</v>
      </c>
      <c r="U16" s="14">
        <f t="shared" si="5"/>
        <v>1.5700000000000003</v>
      </c>
      <c r="V16" s="14">
        <f>ROUND((SUM($N$5:$N16)-SUM($O$5:$O16)+SUM(Q$5:Q16))/C$4,2)</f>
        <v>8.65</v>
      </c>
      <c r="W16" s="14">
        <f t="shared" si="6"/>
        <v>1.3900000000000006</v>
      </c>
      <c r="X16" s="14">
        <f>ROUND((SUM($N$5:$N16)-SUM($O$5:$O16)+SUM(R$5:R16))/D$4,2)</f>
        <v>7</v>
      </c>
      <c r="Y16" s="14">
        <f t="shared" si="7"/>
        <v>1.1200000000000001</v>
      </c>
      <c r="Z16" s="14">
        <f>ROUND((SUM($N$5:$N16)+SUM(R$5:R16))/E$4,2)</f>
        <v>7</v>
      </c>
      <c r="AA16" s="14">
        <f t="shared" si="4"/>
        <v>1.0599999999999996</v>
      </c>
      <c r="AB16" s="24"/>
      <c r="AC16" s="14">
        <f t="shared" si="3"/>
        <v>1.0599999999999996</v>
      </c>
      <c r="AD16" s="14">
        <f>SUM(AC$5:AC16)</f>
        <v>7</v>
      </c>
      <c r="AF16" s="69">
        <v>100</v>
      </c>
      <c r="AG16" s="69">
        <v>80</v>
      </c>
      <c r="AH16" s="69">
        <v>60</v>
      </c>
      <c r="AI16" s="69">
        <v>50</v>
      </c>
      <c r="AL16" s="159">
        <v>13</v>
      </c>
      <c r="AM16" s="159">
        <f t="shared" si="0"/>
        <v>2</v>
      </c>
      <c r="AN16" s="161"/>
      <c r="BD16" s="72">
        <v>13</v>
      </c>
      <c r="BE16" s="72">
        <v>2</v>
      </c>
      <c r="BF16" s="72">
        <f>SUM(BE$4:BE16)</f>
        <v>52</v>
      </c>
      <c r="BI16" s="72">
        <v>13</v>
      </c>
      <c r="BJ16" s="72" t="s">
        <v>531</v>
      </c>
      <c r="BK16" s="74" t="s">
        <v>492</v>
      </c>
      <c r="BL16" s="72">
        <v>3</v>
      </c>
      <c r="BM16" s="72">
        <f>SUM(BL$4:BL16)</f>
        <v>30</v>
      </c>
      <c r="BN16" s="164">
        <v>87</v>
      </c>
      <c r="BO16" s="73">
        <f t="shared" si="1"/>
        <v>95</v>
      </c>
      <c r="BP16" s="121">
        <v>12</v>
      </c>
      <c r="BQ16" s="121">
        <f t="shared" si="2"/>
        <v>90</v>
      </c>
      <c r="BY16" s="121">
        <v>13</v>
      </c>
      <c r="BZ16" s="121">
        <v>95</v>
      </c>
      <c r="CA16" s="121">
        <v>100</v>
      </c>
      <c r="CB16" s="121" t="s">
        <v>546</v>
      </c>
    </row>
    <row r="17" spans="1:80" ht="16.5" x14ac:dyDescent="0.2">
      <c r="A17" s="24">
        <v>1000</v>
      </c>
      <c r="J17" s="158">
        <v>13</v>
      </c>
      <c r="K17" s="71" t="s">
        <v>469</v>
      </c>
      <c r="L17" s="71">
        <v>70</v>
      </c>
      <c r="M17" s="159">
        <v>75</v>
      </c>
      <c r="N17" s="155">
        <v>65</v>
      </c>
      <c r="O17" s="159">
        <v>4</v>
      </c>
      <c r="P17" s="71"/>
      <c r="Q17" s="71"/>
      <c r="R17" s="71"/>
      <c r="S17" s="71">
        <v>1</v>
      </c>
      <c r="T17" s="14">
        <f>ROUND((SUM($N$5:$N17)-SUM($O$5:$O17)+SUM(P$5:P17))/B$4,2)</f>
        <v>11.83</v>
      </c>
      <c r="U17" s="14">
        <f t="shared" si="5"/>
        <v>2.0299999999999994</v>
      </c>
      <c r="V17" s="14">
        <f>ROUND((SUM($N$5:$N17)-SUM($O$5:$O17)+SUM(Q$5:Q17))/C$4,2)</f>
        <v>10.44</v>
      </c>
      <c r="W17" s="14">
        <f t="shared" si="6"/>
        <v>1.7899999999999991</v>
      </c>
      <c r="X17" s="14">
        <f>ROUND((SUM($N$5:$N17)-SUM($O$5:$O17)+SUM(R$5:R17))/D$4,2)</f>
        <v>8.4499999999999993</v>
      </c>
      <c r="Y17" s="14">
        <f t="shared" si="7"/>
        <v>1.4499999999999993</v>
      </c>
      <c r="Z17" s="14">
        <f>ROUND((SUM($N$5:$N17)+SUM(R$5:R17))/E$4,2)</f>
        <v>8.35</v>
      </c>
      <c r="AA17" s="14">
        <f t="shared" si="4"/>
        <v>1.3499999999999996</v>
      </c>
      <c r="AB17" s="24"/>
      <c r="AC17" s="14">
        <f t="shared" si="3"/>
        <v>1.3499999999999996</v>
      </c>
      <c r="AD17" s="14">
        <f>SUM(AC$5:AC17)</f>
        <v>8.35</v>
      </c>
      <c r="AF17" s="69"/>
      <c r="AG17" s="69">
        <v>90</v>
      </c>
      <c r="AH17" s="69">
        <v>70</v>
      </c>
      <c r="AI17" s="69">
        <v>60</v>
      </c>
      <c r="AL17" s="159">
        <v>14</v>
      </c>
      <c r="AM17" s="159">
        <f t="shared" si="0"/>
        <v>2</v>
      </c>
      <c r="AN17" s="161"/>
      <c r="BD17" s="72">
        <v>14</v>
      </c>
      <c r="BE17" s="72">
        <v>3</v>
      </c>
      <c r="BF17" s="72">
        <f>SUM(BE$4:BE17)</f>
        <v>55</v>
      </c>
      <c r="BI17" s="72">
        <v>14</v>
      </c>
      <c r="BJ17" s="72" t="s">
        <v>532</v>
      </c>
      <c r="BK17" s="74" t="s">
        <v>492</v>
      </c>
      <c r="BL17" s="72">
        <v>3</v>
      </c>
      <c r="BM17" s="72">
        <f>SUM(BL$4:BL17)</f>
        <v>33</v>
      </c>
      <c r="BN17" s="164">
        <v>95</v>
      </c>
      <c r="BO17" s="73">
        <f t="shared" si="1"/>
        <v>102</v>
      </c>
      <c r="BP17" s="121">
        <v>13</v>
      </c>
      <c r="BQ17" s="121">
        <f t="shared" si="2"/>
        <v>95</v>
      </c>
      <c r="BY17" s="121">
        <v>14</v>
      </c>
      <c r="BZ17" s="121">
        <v>100</v>
      </c>
      <c r="CA17" s="121">
        <v>105</v>
      </c>
      <c r="CB17" s="121" t="s">
        <v>547</v>
      </c>
    </row>
    <row r="18" spans="1:80" ht="16.5" x14ac:dyDescent="0.2">
      <c r="A18" s="71">
        <v>1000</v>
      </c>
      <c r="J18" s="158">
        <v>14</v>
      </c>
      <c r="K18" s="71" t="s">
        <v>470</v>
      </c>
      <c r="L18" s="71">
        <v>75</v>
      </c>
      <c r="M18" s="159">
        <v>80</v>
      </c>
      <c r="N18" s="155">
        <v>76</v>
      </c>
      <c r="O18" s="159">
        <v>4</v>
      </c>
      <c r="P18" s="71"/>
      <c r="Q18" s="71"/>
      <c r="R18" s="71"/>
      <c r="S18" s="71">
        <v>1</v>
      </c>
      <c r="T18" s="14">
        <f>ROUND((SUM($N$5:$N18)-SUM($O$5:$O18)+SUM(P$5:P18))/B$4,2)</f>
        <v>14.23</v>
      </c>
      <c r="U18" s="14">
        <f t="shared" si="5"/>
        <v>2.4000000000000004</v>
      </c>
      <c r="V18" s="14">
        <f>ROUND((SUM($N$5:$N18)-SUM($O$5:$O18)+SUM(Q$5:Q18))/C$4,2)</f>
        <v>12.56</v>
      </c>
      <c r="W18" s="14">
        <f t="shared" si="6"/>
        <v>2.120000000000001</v>
      </c>
      <c r="X18" s="14">
        <f>ROUND((SUM($N$5:$N18)-SUM($O$5:$O18)+SUM(R$5:R18))/D$4,2)</f>
        <v>10.17</v>
      </c>
      <c r="Y18" s="14">
        <f t="shared" si="7"/>
        <v>1.7200000000000006</v>
      </c>
      <c r="Z18" s="14">
        <f>ROUND((SUM($N$5:$N18)+SUM(R$5:R18))/E$4,2)</f>
        <v>9.94</v>
      </c>
      <c r="AA18" s="14">
        <f t="shared" si="4"/>
        <v>1.5899999999999999</v>
      </c>
      <c r="AB18" s="24"/>
      <c r="AC18" s="14">
        <f t="shared" si="3"/>
        <v>1.5899999999999999</v>
      </c>
      <c r="AD18" s="14">
        <f>SUM(AC$5:AC18)</f>
        <v>9.94</v>
      </c>
      <c r="AF18" s="69"/>
      <c r="AG18" s="69">
        <v>100</v>
      </c>
      <c r="AH18" s="69">
        <v>80</v>
      </c>
      <c r="AI18" s="69">
        <v>70</v>
      </c>
      <c r="AL18" s="159">
        <v>15</v>
      </c>
      <c r="AM18" s="159">
        <f t="shared" si="0"/>
        <v>2</v>
      </c>
      <c r="AN18" s="161"/>
      <c r="BD18" s="72">
        <v>15</v>
      </c>
      <c r="BE18" s="72">
        <v>2</v>
      </c>
      <c r="BF18" s="72">
        <f>SUM(BE$4:BE18)</f>
        <v>57</v>
      </c>
      <c r="BI18" s="72">
        <v>15</v>
      </c>
      <c r="BJ18" s="74" t="s">
        <v>495</v>
      </c>
      <c r="BK18" s="74" t="s">
        <v>492</v>
      </c>
      <c r="BL18" s="72">
        <v>3</v>
      </c>
      <c r="BM18" s="72">
        <f>SUM(BL$4:BL18)</f>
        <v>36</v>
      </c>
      <c r="BN18" s="164">
        <v>102</v>
      </c>
      <c r="BO18" s="73">
        <f t="shared" si="1"/>
        <v>110</v>
      </c>
      <c r="BP18" s="121">
        <v>14</v>
      </c>
      <c r="BQ18" s="121">
        <f t="shared" si="2"/>
        <v>100</v>
      </c>
      <c r="BY18" s="121">
        <v>15</v>
      </c>
      <c r="BZ18" s="121">
        <v>105</v>
      </c>
      <c r="CA18" s="121">
        <v>110</v>
      </c>
      <c r="CB18" s="121" t="s">
        <v>495</v>
      </c>
    </row>
    <row r="19" spans="1:80" ht="16.5" x14ac:dyDescent="0.2">
      <c r="J19" s="158">
        <v>15</v>
      </c>
      <c r="K19" s="71" t="s">
        <v>471</v>
      </c>
      <c r="L19" s="71">
        <v>80</v>
      </c>
      <c r="M19" s="159">
        <v>85</v>
      </c>
      <c r="N19" s="155">
        <v>90</v>
      </c>
      <c r="O19" s="159">
        <v>4</v>
      </c>
      <c r="P19" s="71"/>
      <c r="Q19" s="71"/>
      <c r="R19" s="71"/>
      <c r="S19" s="71">
        <v>1</v>
      </c>
      <c r="T19" s="14">
        <f>ROUND((SUM($N$5:$N19)-SUM($O$5:$O19)+SUM(P$5:P19))/B$4,2)</f>
        <v>17.100000000000001</v>
      </c>
      <c r="U19" s="14">
        <f t="shared" si="5"/>
        <v>2.870000000000001</v>
      </c>
      <c r="V19" s="14">
        <f>ROUND((SUM($N$5:$N19)-SUM($O$5:$O19)+SUM(Q$5:Q19))/C$4,2)</f>
        <v>15.09</v>
      </c>
      <c r="W19" s="14">
        <f t="shared" si="6"/>
        <v>2.5299999999999994</v>
      </c>
      <c r="X19" s="14">
        <f>ROUND((SUM($N$5:$N19)-SUM($O$5:$O19)+SUM(R$5:R19))/D$4,2)</f>
        <v>12.21</v>
      </c>
      <c r="Y19" s="14">
        <f t="shared" si="7"/>
        <v>2.0400000000000009</v>
      </c>
      <c r="Z19" s="14">
        <f>ROUND((SUM($N$5:$N19)+SUM(R$5:R19))/E$4,2)</f>
        <v>11.81</v>
      </c>
      <c r="AA19" s="14">
        <f t="shared" si="4"/>
        <v>1.870000000000001</v>
      </c>
      <c r="AB19" s="62"/>
      <c r="AC19" s="14">
        <f t="shared" si="3"/>
        <v>1.870000000000001</v>
      </c>
      <c r="AD19" s="14">
        <f>SUM(AC$5:AC19)</f>
        <v>11.81</v>
      </c>
      <c r="AF19" s="69"/>
      <c r="AG19" s="69"/>
      <c r="AH19" s="69">
        <v>90</v>
      </c>
      <c r="AI19" s="69">
        <v>80</v>
      </c>
      <c r="AL19" s="159">
        <v>16</v>
      </c>
      <c r="AM19" s="159">
        <f t="shared" si="0"/>
        <v>3</v>
      </c>
      <c r="AN19" s="159">
        <f>INDEX($U$5:$U$34,AM19)</f>
        <v>0.92999999999999994</v>
      </c>
      <c r="BD19" s="72">
        <v>16</v>
      </c>
      <c r="BE19" s="72">
        <v>3</v>
      </c>
      <c r="BF19" s="72">
        <f>SUM(BE$4:BE19)</f>
        <v>60</v>
      </c>
      <c r="BI19" s="72">
        <v>16</v>
      </c>
      <c r="BJ19" s="72" t="s">
        <v>498</v>
      </c>
      <c r="BK19" s="74" t="s">
        <v>498</v>
      </c>
      <c r="BL19" s="72">
        <v>3</v>
      </c>
      <c r="BM19" s="72">
        <f>SUM(BL$4:BL19)</f>
        <v>39</v>
      </c>
      <c r="BN19" s="164">
        <v>110</v>
      </c>
      <c r="BO19" s="73">
        <f t="shared" si="1"/>
        <v>117</v>
      </c>
      <c r="BP19" s="121">
        <v>15</v>
      </c>
      <c r="BQ19" s="121">
        <f t="shared" si="2"/>
        <v>105</v>
      </c>
      <c r="BY19" s="121">
        <v>16</v>
      </c>
      <c r="BZ19" s="121">
        <v>110</v>
      </c>
      <c r="CA19" s="121">
        <v>120</v>
      </c>
      <c r="CB19" s="121" t="s">
        <v>548</v>
      </c>
    </row>
    <row r="20" spans="1:80" ht="16.5" x14ac:dyDescent="0.2">
      <c r="J20" s="158">
        <v>16</v>
      </c>
      <c r="K20" s="71" t="s">
        <v>472</v>
      </c>
      <c r="L20" s="71">
        <v>85</v>
      </c>
      <c r="M20" s="159">
        <v>90</v>
      </c>
      <c r="N20" s="155">
        <v>105</v>
      </c>
      <c r="O20" s="159">
        <v>4</v>
      </c>
      <c r="P20" s="71"/>
      <c r="Q20" s="71"/>
      <c r="R20" s="71"/>
      <c r="S20" s="71">
        <v>1</v>
      </c>
      <c r="T20" s="14">
        <f>ROUND((SUM($N$5:$N20)-SUM($O$5:$O20)+SUM(P$5:P20))/B$4,2)</f>
        <v>20.47</v>
      </c>
      <c r="U20" s="14">
        <f t="shared" si="5"/>
        <v>3.3699999999999974</v>
      </c>
      <c r="V20" s="14">
        <f>ROUND((SUM($N$5:$N20)-SUM($O$5:$O20)+SUM(Q$5:Q20))/C$4,2)</f>
        <v>18.059999999999999</v>
      </c>
      <c r="W20" s="14">
        <f t="shared" si="6"/>
        <v>2.9699999999999989</v>
      </c>
      <c r="X20" s="14">
        <f>ROUND((SUM($N$5:$N20)-SUM($O$5:$O20)+SUM(R$5:R20))/D$4,2)</f>
        <v>14.62</v>
      </c>
      <c r="Y20" s="14">
        <f t="shared" si="7"/>
        <v>2.4099999999999984</v>
      </c>
      <c r="Z20" s="14">
        <f>ROUND((SUM($N$5:$N20)+SUM(R$5:R20))/E$4,2)</f>
        <v>14</v>
      </c>
      <c r="AA20" s="14">
        <f t="shared" si="4"/>
        <v>2.1899999999999995</v>
      </c>
      <c r="AB20" s="62"/>
      <c r="AC20" s="14">
        <f t="shared" si="3"/>
        <v>2.1899999999999995</v>
      </c>
      <c r="AD20" s="14">
        <f>SUM(AC$5:AC20)</f>
        <v>14</v>
      </c>
      <c r="AF20" s="69"/>
      <c r="AG20" s="69"/>
      <c r="AH20" s="69">
        <v>100</v>
      </c>
      <c r="AI20" s="69">
        <v>90</v>
      </c>
      <c r="AL20" s="159">
        <v>17</v>
      </c>
      <c r="AM20" s="159">
        <f t="shared" si="0"/>
        <v>3</v>
      </c>
      <c r="AN20" s="159">
        <f>INDEX($W$5:$W$34,AM19)</f>
        <v>0.82000000000000006</v>
      </c>
      <c r="BD20" s="72">
        <v>17</v>
      </c>
      <c r="BE20" s="72">
        <v>2</v>
      </c>
      <c r="BF20" s="72">
        <f>SUM(BE$4:BE20)</f>
        <v>62</v>
      </c>
      <c r="BI20" s="72">
        <v>17</v>
      </c>
      <c r="BJ20" s="72" t="s">
        <v>533</v>
      </c>
      <c r="BK20" s="74" t="s">
        <v>498</v>
      </c>
      <c r="BL20" s="72">
        <v>3</v>
      </c>
      <c r="BM20" s="72">
        <f>SUM(BL$4:BL20)</f>
        <v>42</v>
      </c>
      <c r="BN20" s="164">
        <v>117</v>
      </c>
      <c r="BO20" s="73">
        <f t="shared" si="1"/>
        <v>125</v>
      </c>
      <c r="BP20" s="121">
        <v>16</v>
      </c>
      <c r="BQ20" s="121">
        <f t="shared" si="2"/>
        <v>110</v>
      </c>
      <c r="BY20" s="121">
        <v>17</v>
      </c>
      <c r="BZ20" s="121">
        <v>120</v>
      </c>
      <c r="CA20" s="121">
        <v>130</v>
      </c>
      <c r="CB20" s="121" t="s">
        <v>549</v>
      </c>
    </row>
    <row r="21" spans="1:80" ht="16.5" x14ac:dyDescent="0.2">
      <c r="J21" s="158">
        <v>17</v>
      </c>
      <c r="K21" s="71" t="s">
        <v>473</v>
      </c>
      <c r="L21" s="71">
        <v>90</v>
      </c>
      <c r="M21" s="159">
        <v>95</v>
      </c>
      <c r="N21" s="71">
        <v>112</v>
      </c>
      <c r="O21" s="159">
        <v>4</v>
      </c>
      <c r="P21" s="71"/>
      <c r="Q21" s="71"/>
      <c r="R21" s="71"/>
      <c r="S21" s="71">
        <v>1</v>
      </c>
      <c r="T21" s="14">
        <f>ROUND((SUM($N$5:$N21)-SUM($O$5:$O21)+SUM(P$5:P21))/B$4,2)</f>
        <v>24.07</v>
      </c>
      <c r="U21" s="14">
        <f t="shared" si="5"/>
        <v>3.6000000000000014</v>
      </c>
      <c r="V21" s="14">
        <f>ROUND((SUM($N$5:$N21)-SUM($O$5:$O21)+SUM(Q$5:Q21))/C$4,2)</f>
        <v>21.24</v>
      </c>
      <c r="W21" s="14">
        <f t="shared" si="6"/>
        <v>3.1799999999999997</v>
      </c>
      <c r="X21" s="14">
        <f>ROUND((SUM($N$5:$N21)-SUM($O$5:$O21)+SUM(R$5:R21))/D$4,2)</f>
        <v>17.190000000000001</v>
      </c>
      <c r="Y21" s="14">
        <f t="shared" si="7"/>
        <v>2.5700000000000021</v>
      </c>
      <c r="Z21" s="14">
        <f>ROUND((SUM($N$5:$N21)+SUM(R$5:R21))/E$4,2)</f>
        <v>16.329999999999998</v>
      </c>
      <c r="AA21" s="14">
        <f t="shared" si="4"/>
        <v>2.3299999999999983</v>
      </c>
      <c r="AB21" s="62"/>
      <c r="AC21" s="14">
        <f t="shared" si="3"/>
        <v>2.3299999999999983</v>
      </c>
      <c r="AD21" s="14">
        <f>SUM(AC$5:AC21)</f>
        <v>16.329999999999998</v>
      </c>
      <c r="AF21" s="69"/>
      <c r="AG21" s="69"/>
      <c r="AH21" s="69"/>
      <c r="AI21" s="69">
        <v>100</v>
      </c>
      <c r="AL21" s="159">
        <v>18</v>
      </c>
      <c r="AM21" s="159">
        <f t="shared" si="0"/>
        <v>3</v>
      </c>
      <c r="AN21" s="159">
        <f>INDEX($AA$5:$AA$34,AM19)</f>
        <v>0.42</v>
      </c>
      <c r="BD21" s="72">
        <v>18</v>
      </c>
      <c r="BE21" s="72">
        <v>3</v>
      </c>
      <c r="BF21" s="72">
        <f>SUM(BE$4:BE21)</f>
        <v>65</v>
      </c>
      <c r="BI21" s="72">
        <v>18</v>
      </c>
      <c r="BJ21" s="72" t="s">
        <v>505</v>
      </c>
      <c r="BK21" s="74" t="s">
        <v>498</v>
      </c>
      <c r="BL21" s="72">
        <v>3</v>
      </c>
      <c r="BM21" s="72">
        <f>SUM(BL$4:BL21)</f>
        <v>45</v>
      </c>
      <c r="BN21" s="164">
        <v>125</v>
      </c>
      <c r="BO21" s="73">
        <f t="shared" si="1"/>
        <v>132</v>
      </c>
      <c r="BP21" s="121">
        <v>17</v>
      </c>
      <c r="BQ21" s="121">
        <f t="shared" si="2"/>
        <v>120</v>
      </c>
      <c r="BY21" s="121">
        <v>18</v>
      </c>
      <c r="BZ21" s="121">
        <v>130</v>
      </c>
      <c r="CA21" s="121">
        <v>135</v>
      </c>
      <c r="CB21" s="121" t="s">
        <v>505</v>
      </c>
    </row>
    <row r="22" spans="1:80" ht="16.5" x14ac:dyDescent="0.2">
      <c r="J22" s="158">
        <v>18</v>
      </c>
      <c r="K22" s="71" t="s">
        <v>474</v>
      </c>
      <c r="L22" s="71">
        <v>95</v>
      </c>
      <c r="M22" s="159">
        <v>100</v>
      </c>
      <c r="N22" s="155">
        <v>120</v>
      </c>
      <c r="O22" s="159">
        <v>4</v>
      </c>
      <c r="P22" s="71"/>
      <c r="Q22" s="71"/>
      <c r="R22" s="71"/>
      <c r="S22" s="71">
        <v>1</v>
      </c>
      <c r="T22" s="14">
        <f>ROUND((SUM($N$5:$N22)-SUM($O$5:$O22)+SUM(P$5:P22))/B$4,2)</f>
        <v>27.93</v>
      </c>
      <c r="U22" s="14">
        <f t="shared" si="5"/>
        <v>3.8599999999999994</v>
      </c>
      <c r="V22" s="14">
        <f>ROUND((SUM($N$5:$N22)-SUM($O$5:$O22)+SUM(Q$5:Q22))/C$4,2)</f>
        <v>24.65</v>
      </c>
      <c r="W22" s="14">
        <f t="shared" si="6"/>
        <v>3.41</v>
      </c>
      <c r="X22" s="14">
        <f>ROUND((SUM($N$5:$N22)-SUM($O$5:$O22)+SUM(R$5:R22))/D$4,2)</f>
        <v>19.95</v>
      </c>
      <c r="Y22" s="14">
        <f t="shared" si="7"/>
        <v>2.759999999999998</v>
      </c>
      <c r="Z22" s="14">
        <f>ROUND((SUM($N$5:$N22)+SUM(R$5:R22))/E$4,2)</f>
        <v>18.829999999999998</v>
      </c>
      <c r="AA22" s="14">
        <f t="shared" si="4"/>
        <v>2.5</v>
      </c>
      <c r="AB22" s="62"/>
      <c r="AC22" s="14">
        <f t="shared" si="3"/>
        <v>2.5</v>
      </c>
      <c r="AD22" s="14">
        <f>SUM(AC$5:AC22)</f>
        <v>18.829999999999998</v>
      </c>
      <c r="AF22" s="69"/>
      <c r="AG22" s="69"/>
      <c r="AH22" s="69"/>
      <c r="AI22" s="69"/>
      <c r="AL22" s="159">
        <v>19</v>
      </c>
      <c r="AM22" s="159">
        <f t="shared" si="0"/>
        <v>3</v>
      </c>
      <c r="AN22" s="161"/>
      <c r="BD22" s="72">
        <v>19</v>
      </c>
      <c r="BE22" s="72">
        <v>2</v>
      </c>
      <c r="BF22" s="72">
        <f>SUM(BE$4:BE22)</f>
        <v>67</v>
      </c>
      <c r="BI22" s="72">
        <v>19</v>
      </c>
      <c r="BJ22" s="72" t="s">
        <v>534</v>
      </c>
      <c r="BK22" s="74" t="s">
        <v>499</v>
      </c>
      <c r="BL22" s="72">
        <v>3</v>
      </c>
      <c r="BM22" s="72">
        <f>SUM(BL$4:BL22)</f>
        <v>48</v>
      </c>
      <c r="BN22" s="164">
        <v>132</v>
      </c>
      <c r="BO22" s="73">
        <f t="shared" si="1"/>
        <v>140</v>
      </c>
      <c r="BP22" s="121">
        <v>18</v>
      </c>
      <c r="BQ22" s="121">
        <f t="shared" si="2"/>
        <v>130</v>
      </c>
      <c r="BY22" s="121">
        <v>19</v>
      </c>
      <c r="BZ22" s="121">
        <v>135</v>
      </c>
      <c r="CA22" s="121">
        <v>140</v>
      </c>
      <c r="CB22" s="121" t="s">
        <v>550</v>
      </c>
    </row>
    <row r="23" spans="1:80" ht="16.5" x14ac:dyDescent="0.2">
      <c r="J23" s="158">
        <v>19</v>
      </c>
      <c r="K23" s="62" t="s">
        <v>476</v>
      </c>
      <c r="L23" s="71">
        <v>100</v>
      </c>
      <c r="M23" s="159">
        <v>105</v>
      </c>
      <c r="N23" s="155">
        <v>125</v>
      </c>
      <c r="O23" s="159">
        <v>4</v>
      </c>
      <c r="P23" s="71"/>
      <c r="Q23" s="71"/>
      <c r="R23" s="71"/>
      <c r="S23" s="71">
        <v>1</v>
      </c>
      <c r="T23" s="14">
        <f>ROUND((SUM($N$5:$N23)-SUM($O$5:$O23)+SUM(P$5:P23))/B$4,2)</f>
        <v>31.97</v>
      </c>
      <c r="U23" s="14">
        <f t="shared" si="5"/>
        <v>4.0399999999999991</v>
      </c>
      <c r="V23" s="14">
        <f>ROUND((SUM($N$5:$N23)-SUM($O$5:$O23)+SUM(Q$5:Q23))/C$4,2)</f>
        <v>28.21</v>
      </c>
      <c r="W23" s="14">
        <f t="shared" si="6"/>
        <v>3.5600000000000023</v>
      </c>
      <c r="X23" s="14">
        <f>ROUND((SUM($N$5:$N23)-SUM($O$5:$O23)+SUM(R$5:R23))/D$4,2)</f>
        <v>22.83</v>
      </c>
      <c r="Y23" s="14">
        <f t="shared" si="7"/>
        <v>2.879999999999999</v>
      </c>
      <c r="Z23" s="14">
        <f>ROUND((SUM($N$5:$N23)+SUM(R$5:R23))/E$4,2)</f>
        <v>21.44</v>
      </c>
      <c r="AA23" s="14">
        <f t="shared" si="4"/>
        <v>2.610000000000003</v>
      </c>
      <c r="AB23" s="62"/>
      <c r="AC23" s="14">
        <f t="shared" si="3"/>
        <v>2.610000000000003</v>
      </c>
      <c r="AD23" s="14">
        <f>SUM(AC$5:AC23)</f>
        <v>21.44</v>
      </c>
      <c r="AF23" s="69"/>
      <c r="AG23" s="69"/>
      <c r="AH23" s="69"/>
      <c r="AI23" s="69"/>
      <c r="AL23" s="159">
        <v>20</v>
      </c>
      <c r="AM23" s="159">
        <f t="shared" si="0"/>
        <v>3</v>
      </c>
      <c r="AN23" s="161"/>
      <c r="BD23" s="72">
        <v>20</v>
      </c>
      <c r="BE23" s="72">
        <v>3</v>
      </c>
      <c r="BF23" s="72">
        <f>SUM(BE$4:BE23)</f>
        <v>70</v>
      </c>
      <c r="BI23" s="72">
        <v>20</v>
      </c>
      <c r="BJ23" s="72" t="s">
        <v>535</v>
      </c>
      <c r="BK23" s="74" t="s">
        <v>499</v>
      </c>
      <c r="BL23" s="72">
        <v>4</v>
      </c>
      <c r="BM23" s="72">
        <f>SUM(BL$4:BL23)</f>
        <v>52</v>
      </c>
      <c r="BN23" s="164">
        <v>140</v>
      </c>
      <c r="BO23" s="73">
        <f t="shared" si="1"/>
        <v>150</v>
      </c>
      <c r="BP23" s="121">
        <v>19</v>
      </c>
      <c r="BQ23" s="121">
        <f t="shared" si="2"/>
        <v>135</v>
      </c>
      <c r="BY23" s="121">
        <v>20</v>
      </c>
      <c r="BZ23" s="121">
        <v>140</v>
      </c>
      <c r="CA23" s="121">
        <v>150</v>
      </c>
      <c r="CB23" s="121" t="s">
        <v>977</v>
      </c>
    </row>
    <row r="24" spans="1:80" ht="16.5" x14ac:dyDescent="0.2">
      <c r="J24" s="158">
        <v>20</v>
      </c>
      <c r="K24" s="62" t="s">
        <v>477</v>
      </c>
      <c r="L24" s="71">
        <v>105</v>
      </c>
      <c r="M24" s="159">
        <v>110</v>
      </c>
      <c r="N24" s="155">
        <v>130</v>
      </c>
      <c r="O24" s="159">
        <v>4</v>
      </c>
      <c r="P24" s="71"/>
      <c r="Q24" s="71"/>
      <c r="R24" s="71"/>
      <c r="S24" s="71">
        <v>1</v>
      </c>
      <c r="T24" s="14">
        <f>ROUND((SUM($N$5:$N24)-SUM($O$5:$O24)+SUM(P$5:P24))/B$4,2)</f>
        <v>36.17</v>
      </c>
      <c r="U24" s="14">
        <f t="shared" si="5"/>
        <v>4.2000000000000028</v>
      </c>
      <c r="V24" s="14">
        <f>ROUND((SUM($N$5:$N24)-SUM($O$5:$O24)+SUM(Q$5:Q24))/C$4,2)</f>
        <v>31.91</v>
      </c>
      <c r="W24" s="14">
        <f t="shared" si="6"/>
        <v>3.6999999999999993</v>
      </c>
      <c r="X24" s="14">
        <f>ROUND((SUM($N$5:$N24)-SUM($O$5:$O24)+SUM(R$5:R24))/D$4,2)</f>
        <v>25.83</v>
      </c>
      <c r="Y24" s="14">
        <f t="shared" si="7"/>
        <v>3</v>
      </c>
      <c r="Z24" s="14">
        <f>ROUND((SUM($N$5:$N24)+SUM(R$5:R24))/E$4,2)</f>
        <v>24.15</v>
      </c>
      <c r="AA24" s="14">
        <f t="shared" si="4"/>
        <v>2.7099999999999973</v>
      </c>
      <c r="AB24" s="62"/>
      <c r="AC24" s="14">
        <f t="shared" si="3"/>
        <v>2.7099999999999973</v>
      </c>
      <c r="AD24" s="14">
        <f>SUM(AC$5:AC24)</f>
        <v>24.15</v>
      </c>
      <c r="AL24" s="159">
        <v>21</v>
      </c>
      <c r="AM24" s="159">
        <f t="shared" si="0"/>
        <v>3</v>
      </c>
      <c r="AN24" s="161"/>
      <c r="BD24" s="72">
        <v>21</v>
      </c>
      <c r="BE24" s="72">
        <v>2</v>
      </c>
      <c r="BF24" s="72">
        <f>SUM(BE$4:BE24)</f>
        <v>72</v>
      </c>
    </row>
    <row r="25" spans="1:80" ht="16.5" x14ac:dyDescent="0.2">
      <c r="J25" s="158">
        <v>21</v>
      </c>
      <c r="K25" s="71" t="s">
        <v>478</v>
      </c>
      <c r="L25" s="71">
        <v>110</v>
      </c>
      <c r="M25" s="159">
        <v>115</v>
      </c>
      <c r="N25" s="155">
        <v>137</v>
      </c>
      <c r="O25" s="159">
        <v>4</v>
      </c>
      <c r="P25" s="71"/>
      <c r="Q25" s="71"/>
      <c r="R25" s="71"/>
      <c r="S25" s="71">
        <v>1</v>
      </c>
      <c r="T25" s="14">
        <f>ROUND((SUM($N$5:$N25)-SUM($O$5:$O25)+SUM(P$5:P25))/B$4,2)</f>
        <v>40.6</v>
      </c>
      <c r="U25" s="14">
        <f t="shared" si="5"/>
        <v>4.43</v>
      </c>
      <c r="V25" s="14">
        <f>ROUND((SUM($N$5:$N25)-SUM($O$5:$O25)+SUM(Q$5:Q25))/C$4,2)</f>
        <v>35.82</v>
      </c>
      <c r="W25" s="14">
        <f t="shared" si="6"/>
        <v>3.91</v>
      </c>
      <c r="X25" s="14">
        <f>ROUND((SUM($N$5:$N25)-SUM($O$5:$O25)+SUM(R$5:R25))/D$4,2)</f>
        <v>29</v>
      </c>
      <c r="Y25" s="14">
        <f t="shared" si="7"/>
        <v>3.1700000000000017</v>
      </c>
      <c r="Z25" s="14">
        <f>ROUND((SUM($N$5:$N25)+SUM(R$5:R25))/E$4,2)</f>
        <v>27</v>
      </c>
      <c r="AA25" s="14">
        <f t="shared" si="4"/>
        <v>2.8500000000000014</v>
      </c>
      <c r="AB25" s="62"/>
      <c r="AC25" s="14">
        <f t="shared" si="3"/>
        <v>2.8500000000000014</v>
      </c>
      <c r="AD25" s="14">
        <f>SUM(AC$5:AC25)</f>
        <v>27</v>
      </c>
      <c r="AL25" s="159">
        <v>22</v>
      </c>
      <c r="AM25" s="159">
        <f t="shared" si="0"/>
        <v>3</v>
      </c>
      <c r="AN25" s="161"/>
      <c r="BD25" s="72">
        <v>22</v>
      </c>
      <c r="BE25" s="72">
        <v>3</v>
      </c>
      <c r="BF25" s="72">
        <f>SUM(BE$4:BE25)</f>
        <v>75</v>
      </c>
    </row>
    <row r="26" spans="1:80" ht="16.5" x14ac:dyDescent="0.2">
      <c r="J26" s="158">
        <v>22</v>
      </c>
      <c r="K26" s="71" t="s">
        <v>479</v>
      </c>
      <c r="L26" s="71">
        <v>115</v>
      </c>
      <c r="M26" s="159">
        <v>120</v>
      </c>
      <c r="N26" s="155">
        <v>144</v>
      </c>
      <c r="O26" s="159">
        <v>4</v>
      </c>
      <c r="P26" s="71"/>
      <c r="Q26" s="71"/>
      <c r="R26" s="71"/>
      <c r="S26" s="71">
        <v>1</v>
      </c>
      <c r="T26" s="14">
        <f>ROUND((SUM($N$5:$N26)-SUM($O$5:$O26)+SUM(P$5:P26))/B$4,2)</f>
        <v>45.27</v>
      </c>
      <c r="U26" s="14">
        <f t="shared" si="5"/>
        <v>4.6700000000000017</v>
      </c>
      <c r="V26" s="14">
        <f>ROUND((SUM($N$5:$N26)-SUM($O$5:$O26)+SUM(Q$5:Q26))/C$4,2)</f>
        <v>39.94</v>
      </c>
      <c r="W26" s="14">
        <f t="shared" si="6"/>
        <v>4.1199999999999974</v>
      </c>
      <c r="X26" s="14">
        <f>ROUND((SUM($N$5:$N26)-SUM($O$5:$O26)+SUM(R$5:R26))/D$4,2)</f>
        <v>32.33</v>
      </c>
      <c r="Y26" s="14">
        <f t="shared" si="7"/>
        <v>3.3299999999999983</v>
      </c>
      <c r="Z26" s="14">
        <f>ROUND((SUM($N$5:$N26)+SUM(R$5:R26))/E$4,2)</f>
        <v>30</v>
      </c>
      <c r="AA26" s="14">
        <f t="shared" si="4"/>
        <v>3</v>
      </c>
      <c r="AB26" s="62"/>
      <c r="AC26" s="14">
        <f t="shared" si="3"/>
        <v>3</v>
      </c>
      <c r="AD26" s="14">
        <f>SUM(AC$5:AC26)</f>
        <v>30</v>
      </c>
      <c r="AL26" s="159">
        <v>23</v>
      </c>
      <c r="AM26" s="159">
        <f t="shared" si="0"/>
        <v>3</v>
      </c>
      <c r="AN26" s="161"/>
      <c r="BD26" s="72">
        <v>23</v>
      </c>
      <c r="BE26" s="72">
        <v>2</v>
      </c>
      <c r="BF26" s="72">
        <f>SUM(BE$4:BE26)</f>
        <v>77</v>
      </c>
    </row>
    <row r="27" spans="1:80" ht="16.5" x14ac:dyDescent="0.2">
      <c r="J27" s="158">
        <v>23</v>
      </c>
      <c r="K27" s="71" t="s">
        <v>480</v>
      </c>
      <c r="L27" s="71">
        <v>120</v>
      </c>
      <c r="M27" s="159">
        <v>125</v>
      </c>
      <c r="N27" s="155">
        <v>160</v>
      </c>
      <c r="O27" s="159">
        <v>4</v>
      </c>
      <c r="P27" s="71"/>
      <c r="Q27" s="71"/>
      <c r="R27" s="71"/>
      <c r="S27" s="71">
        <v>1</v>
      </c>
      <c r="T27" s="14">
        <f>ROUND((SUM($N$5:$N27)-SUM($O$5:$O27)+SUM(P$5:P27))/B$4,2)</f>
        <v>50.47</v>
      </c>
      <c r="U27" s="14">
        <f t="shared" si="5"/>
        <v>5.1999999999999957</v>
      </c>
      <c r="V27" s="14">
        <f>ROUND((SUM($N$5:$N27)-SUM($O$5:$O27)+SUM(Q$5:Q27))/C$4,2)</f>
        <v>44.53</v>
      </c>
      <c r="W27" s="14">
        <f t="shared" si="6"/>
        <v>4.5900000000000034</v>
      </c>
      <c r="X27" s="14">
        <f>ROUND((SUM($N$5:$N27)-SUM($O$5:$O27)+SUM(R$5:R27))/D$4,2)</f>
        <v>36.049999999999997</v>
      </c>
      <c r="Y27" s="14">
        <f t="shared" si="7"/>
        <v>3.7199999999999989</v>
      </c>
      <c r="Z27" s="14">
        <f>ROUND((SUM($N$5:$N27)+SUM(R$5:R27))/E$4,2)</f>
        <v>33.33</v>
      </c>
      <c r="AA27" s="14">
        <f t="shared" si="4"/>
        <v>3.3299999999999983</v>
      </c>
      <c r="AB27" s="62"/>
      <c r="AC27" s="14">
        <f t="shared" si="3"/>
        <v>3.3299999999999983</v>
      </c>
      <c r="AD27" s="14">
        <f>SUM(AC$5:AC27)</f>
        <v>33.33</v>
      </c>
      <c r="AL27" s="159">
        <v>24</v>
      </c>
      <c r="AM27" s="159">
        <f t="shared" si="0"/>
        <v>3</v>
      </c>
      <c r="AN27" s="161"/>
      <c r="BD27" s="72">
        <v>24</v>
      </c>
      <c r="BE27" s="72">
        <v>3</v>
      </c>
      <c r="BF27" s="72">
        <f>SUM(BE$4:BE27)</f>
        <v>80</v>
      </c>
    </row>
    <row r="28" spans="1:80" ht="16.5" x14ac:dyDescent="0.2">
      <c r="J28" s="158">
        <v>24</v>
      </c>
      <c r="K28" s="71" t="s">
        <v>481</v>
      </c>
      <c r="L28" s="71">
        <v>125</v>
      </c>
      <c r="M28" s="159">
        <v>130</v>
      </c>
      <c r="N28" s="155">
        <v>180</v>
      </c>
      <c r="O28" s="159">
        <v>4</v>
      </c>
      <c r="P28" s="71"/>
      <c r="Q28" s="71"/>
      <c r="R28" s="71"/>
      <c r="S28" s="71">
        <v>1</v>
      </c>
      <c r="T28" s="14">
        <f>ROUND((SUM($N$5:$N28)-SUM($O$5:$O28)+SUM(P$5:P28))/B$4,2)</f>
        <v>56.33</v>
      </c>
      <c r="U28" s="14">
        <f t="shared" si="5"/>
        <v>5.8599999999999994</v>
      </c>
      <c r="V28" s="14">
        <f>ROUND((SUM($N$5:$N28)-SUM($O$5:$O28)+SUM(Q$5:Q28))/C$4,2)</f>
        <v>49.71</v>
      </c>
      <c r="W28" s="14">
        <f t="shared" si="6"/>
        <v>5.18</v>
      </c>
      <c r="X28" s="14">
        <f>ROUND((SUM($N$5:$N28)-SUM($O$5:$O28)+SUM(R$5:R28))/D$4,2)</f>
        <v>40.24</v>
      </c>
      <c r="Y28" s="14">
        <f t="shared" si="7"/>
        <v>4.1900000000000048</v>
      </c>
      <c r="Z28" s="14">
        <f>ROUND((SUM($N$5:$N28)+SUM(R$5:R28))/E$4,2)</f>
        <v>37.08</v>
      </c>
      <c r="AA28" s="14">
        <f t="shared" si="4"/>
        <v>3.75</v>
      </c>
      <c r="AB28" s="62"/>
      <c r="AC28" s="14">
        <f t="shared" si="3"/>
        <v>3.75</v>
      </c>
      <c r="AD28" s="14">
        <f>SUM(AC$5:AC28)</f>
        <v>37.08</v>
      </c>
      <c r="AL28" s="159">
        <v>25</v>
      </c>
      <c r="AM28" s="159">
        <f t="shared" si="0"/>
        <v>3</v>
      </c>
      <c r="AN28" s="161"/>
      <c r="BD28" s="72">
        <v>25</v>
      </c>
      <c r="BE28" s="72">
        <v>2</v>
      </c>
      <c r="BF28" s="72">
        <f>SUM(BE$4:BE28)</f>
        <v>82</v>
      </c>
    </row>
    <row r="29" spans="1:80" ht="16.5" x14ac:dyDescent="0.2">
      <c r="J29" s="158">
        <v>25</v>
      </c>
      <c r="K29" s="71" t="s">
        <v>482</v>
      </c>
      <c r="L29" s="71">
        <v>130</v>
      </c>
      <c r="M29" s="159">
        <v>135</v>
      </c>
      <c r="N29" s="155">
        <v>210</v>
      </c>
      <c r="O29" s="159">
        <v>4</v>
      </c>
      <c r="P29" s="71"/>
      <c r="Q29" s="71"/>
      <c r="R29" s="71"/>
      <c r="S29" s="71">
        <v>1</v>
      </c>
      <c r="T29" s="14">
        <f>ROUND((SUM($N$5:$N29)-SUM($O$5:$O29)+SUM(P$5:P29))/B$4,2)</f>
        <v>63.2</v>
      </c>
      <c r="U29" s="14">
        <f t="shared" si="5"/>
        <v>6.8700000000000045</v>
      </c>
      <c r="V29" s="14">
        <f>ROUND((SUM($N$5:$N29)-SUM($O$5:$O29)+SUM(Q$5:Q29))/C$4,2)</f>
        <v>55.76</v>
      </c>
      <c r="W29" s="14">
        <f t="shared" si="6"/>
        <v>6.0499999999999972</v>
      </c>
      <c r="X29" s="14">
        <f>ROUND((SUM($N$5:$N29)-SUM($O$5:$O29)+SUM(R$5:R29))/D$4,2)</f>
        <v>45.14</v>
      </c>
      <c r="Y29" s="14">
        <f t="shared" si="7"/>
        <v>4.8999999999999986</v>
      </c>
      <c r="Z29" s="14">
        <f>ROUND((SUM($N$5:$N29)+SUM(R$5:R29))/E$4,2)</f>
        <v>41.46</v>
      </c>
      <c r="AA29" s="14">
        <f t="shared" si="4"/>
        <v>4.3800000000000026</v>
      </c>
      <c r="AB29" s="62"/>
      <c r="AC29" s="14">
        <f t="shared" si="3"/>
        <v>4.3800000000000026</v>
      </c>
      <c r="AD29" s="14">
        <f>SUM(AC$5:AC29)</f>
        <v>41.46</v>
      </c>
      <c r="AL29" s="159">
        <v>26</v>
      </c>
      <c r="AM29" s="159">
        <f t="shared" si="0"/>
        <v>4</v>
      </c>
      <c r="AN29" s="159">
        <f>INDEX($U$5:$U$34,AM29)</f>
        <v>0.60000000000000009</v>
      </c>
      <c r="BD29" s="72">
        <v>26</v>
      </c>
      <c r="BE29" s="72">
        <v>3</v>
      </c>
      <c r="BF29" s="72">
        <f>SUM(BE$4:BE29)</f>
        <v>85</v>
      </c>
    </row>
    <row r="30" spans="1:80" ht="16.5" x14ac:dyDescent="0.2">
      <c r="J30" s="158">
        <v>26</v>
      </c>
      <c r="K30" s="71" t="s">
        <v>483</v>
      </c>
      <c r="L30" s="71">
        <v>135</v>
      </c>
      <c r="M30" s="159">
        <v>140</v>
      </c>
      <c r="N30" s="155">
        <v>250</v>
      </c>
      <c r="O30" s="159">
        <v>4</v>
      </c>
      <c r="P30" s="71"/>
      <c r="Q30" s="71"/>
      <c r="R30" s="71"/>
      <c r="S30" s="71">
        <v>1</v>
      </c>
      <c r="T30" s="14">
        <f>ROUND((SUM($N$5:$N30)-SUM($O$5:$O30)+SUM(P$5:P30))/B$4,2)</f>
        <v>71.400000000000006</v>
      </c>
      <c r="U30" s="14">
        <f t="shared" si="5"/>
        <v>8.2000000000000028</v>
      </c>
      <c r="V30" s="14">
        <f>ROUND((SUM($N$5:$N30)-SUM($O$5:$O30)+SUM(Q$5:Q30))/C$4,2)</f>
        <v>63</v>
      </c>
      <c r="W30" s="14">
        <f t="shared" si="6"/>
        <v>7.240000000000002</v>
      </c>
      <c r="X30" s="14">
        <f>ROUND((SUM($N$5:$N30)-SUM($O$5:$O30)+SUM(R$5:R30))/D$4,2)</f>
        <v>51</v>
      </c>
      <c r="Y30" s="14">
        <f t="shared" si="7"/>
        <v>5.8599999999999994</v>
      </c>
      <c r="Z30" s="14">
        <f>ROUND((SUM($N$5:$N30)+SUM(R$5:R30))/E$4,2)</f>
        <v>46.67</v>
      </c>
      <c r="AA30" s="14">
        <f t="shared" si="4"/>
        <v>5.2100000000000009</v>
      </c>
      <c r="AB30" s="62"/>
      <c r="AC30" s="14">
        <f t="shared" si="3"/>
        <v>5.2100000000000009</v>
      </c>
      <c r="AD30" s="14">
        <f>SUM(AC$5:AC30)</f>
        <v>46.67</v>
      </c>
      <c r="AL30" s="159">
        <v>27</v>
      </c>
      <c r="AM30" s="159">
        <f t="shared" si="0"/>
        <v>4</v>
      </c>
      <c r="AN30" s="159">
        <f>INDEX($W$5:$W$34,AM29)</f>
        <v>0.52999999999999992</v>
      </c>
      <c r="BD30" s="72">
        <v>27</v>
      </c>
      <c r="BE30" s="72">
        <v>2</v>
      </c>
      <c r="BF30" s="72">
        <f>SUM(BE$4:BE30)</f>
        <v>87</v>
      </c>
    </row>
    <row r="31" spans="1:80" ht="16.5" x14ac:dyDescent="0.2">
      <c r="J31" s="158">
        <v>27</v>
      </c>
      <c r="K31" s="71" t="s">
        <v>484</v>
      </c>
      <c r="L31" s="71">
        <v>140</v>
      </c>
      <c r="M31" s="159">
        <v>145</v>
      </c>
      <c r="N31" s="155">
        <v>300</v>
      </c>
      <c r="O31" s="159">
        <v>4</v>
      </c>
      <c r="P31" s="71"/>
      <c r="Q31" s="71"/>
      <c r="R31" s="71"/>
      <c r="S31" s="71">
        <v>1</v>
      </c>
      <c r="T31" s="14">
        <f>ROUND((SUM($N$5:$N31)-SUM($O$5:$O31)+SUM(P$5:P31))/B$4,2)</f>
        <v>81.27</v>
      </c>
      <c r="U31" s="14">
        <f t="shared" si="5"/>
        <v>9.8699999999999903</v>
      </c>
      <c r="V31" s="14">
        <f>ROUND((SUM($N$5:$N31)-SUM($O$5:$O31)+SUM(Q$5:Q31))/C$4,2)</f>
        <v>71.709999999999994</v>
      </c>
      <c r="W31" s="14">
        <f t="shared" si="6"/>
        <v>8.7099999999999937</v>
      </c>
      <c r="X31" s="14">
        <f>ROUND((SUM($N$5:$N31)-SUM($O$5:$O31)+SUM(R$5:R31))/D$4,2)</f>
        <v>58.05</v>
      </c>
      <c r="Y31" s="14">
        <f t="shared" si="7"/>
        <v>7.0499999999999972</v>
      </c>
      <c r="Z31" s="14">
        <f>ROUND((SUM($N$5:$N31)+SUM(R$5:R31))/E$4,2)</f>
        <v>52.92</v>
      </c>
      <c r="AA31" s="14">
        <f t="shared" si="4"/>
        <v>6.25</v>
      </c>
      <c r="AB31" s="62"/>
      <c r="AC31" s="14">
        <f t="shared" si="3"/>
        <v>6.25</v>
      </c>
      <c r="AD31" s="14">
        <f>SUM(AC$5:AC31)</f>
        <v>52.92</v>
      </c>
      <c r="AL31" s="159">
        <v>28</v>
      </c>
      <c r="AM31" s="159">
        <f t="shared" si="0"/>
        <v>4</v>
      </c>
      <c r="AN31" s="159">
        <f>INDEX($AA$5:$AA$34,AM29)</f>
        <v>0.71</v>
      </c>
      <c r="BD31" s="72">
        <v>28</v>
      </c>
      <c r="BE31" s="72">
        <v>3</v>
      </c>
      <c r="BF31" s="72">
        <f>SUM(BE$4:BE31)</f>
        <v>90</v>
      </c>
    </row>
    <row r="32" spans="1:80" ht="16.5" x14ac:dyDescent="0.2">
      <c r="J32" s="158">
        <v>28</v>
      </c>
      <c r="K32" s="71" t="s">
        <v>485</v>
      </c>
      <c r="L32" s="71">
        <v>145</v>
      </c>
      <c r="M32" s="159">
        <v>150</v>
      </c>
      <c r="N32" s="155">
        <v>340</v>
      </c>
      <c r="O32" s="159">
        <v>4</v>
      </c>
      <c r="P32" s="71"/>
      <c r="Q32" s="71"/>
      <c r="R32" s="71"/>
      <c r="S32" s="71">
        <v>1</v>
      </c>
      <c r="T32" s="14">
        <f>ROUND((SUM($N$5:$N32)-SUM($O$5:$O32)+SUM(P$5:P32))/B$4,2)</f>
        <v>92.47</v>
      </c>
      <c r="U32" s="14">
        <f t="shared" si="5"/>
        <v>11.200000000000003</v>
      </c>
      <c r="V32" s="14">
        <f>ROUND((SUM($N$5:$N32)-SUM($O$5:$O32)+SUM(Q$5:Q32))/C$4,2)</f>
        <v>81.59</v>
      </c>
      <c r="W32" s="14">
        <f t="shared" si="6"/>
        <v>9.8800000000000097</v>
      </c>
      <c r="X32" s="14">
        <f>ROUND((SUM($N$5:$N32)-SUM($O$5:$O32)+SUM(R$5:R32))/D$4,2)</f>
        <v>66.05</v>
      </c>
      <c r="Y32" s="14">
        <f t="shared" si="7"/>
        <v>8</v>
      </c>
      <c r="Z32" s="14">
        <f>ROUND((SUM($N$5:$N32)+SUM(R$5:R32))/E$4,2)</f>
        <v>60</v>
      </c>
      <c r="AA32" s="14">
        <f t="shared" si="4"/>
        <v>7.0799999999999983</v>
      </c>
      <c r="AB32" s="62"/>
      <c r="AC32" s="14">
        <f t="shared" si="3"/>
        <v>7.0799999999999983</v>
      </c>
      <c r="AD32" s="14">
        <f>SUM(AC$5:AC32)</f>
        <v>60</v>
      </c>
      <c r="AL32" s="159">
        <v>29</v>
      </c>
      <c r="AM32" s="159">
        <f t="shared" si="0"/>
        <v>4</v>
      </c>
      <c r="AN32" s="161"/>
      <c r="BD32" s="72">
        <v>29</v>
      </c>
      <c r="BE32" s="72">
        <v>2</v>
      </c>
      <c r="BF32" s="72">
        <f>SUM(BE$4:BE32)</f>
        <v>92</v>
      </c>
    </row>
    <row r="33" spans="10:58" ht="16.5" x14ac:dyDescent="0.2">
      <c r="J33" s="158">
        <v>29</v>
      </c>
      <c r="K33" s="155" t="s">
        <v>1435</v>
      </c>
      <c r="L33" s="155">
        <v>150</v>
      </c>
      <c r="M33" s="159">
        <v>150</v>
      </c>
      <c r="N33" s="155">
        <v>1440</v>
      </c>
      <c r="O33" s="159">
        <v>4</v>
      </c>
      <c r="P33" s="155"/>
      <c r="Q33" s="155"/>
      <c r="R33" s="155"/>
      <c r="S33" s="155">
        <v>1</v>
      </c>
      <c r="T33" s="14">
        <f>ROUND((SUM($N$5:$N33)-SUM($O$5:$O33)+SUM(P$5:P33))/B$4,2)</f>
        <v>140.33000000000001</v>
      </c>
      <c r="U33" s="14">
        <f t="shared" si="5"/>
        <v>47.860000000000014</v>
      </c>
      <c r="V33" s="14">
        <f>ROUND((SUM($N$5:$N33)-SUM($O$5:$O33)+SUM(Q$5:Q33))/C$4,2)</f>
        <v>123.82</v>
      </c>
      <c r="W33" s="14">
        <f t="shared" si="6"/>
        <v>42.22999999999999</v>
      </c>
      <c r="X33" s="14">
        <f>ROUND((SUM($N$5:$N33)-SUM($O$5:$O33)+SUM(R$5:R33))/D$4,2)</f>
        <v>100.24</v>
      </c>
      <c r="Y33" s="14">
        <f t="shared" si="7"/>
        <v>34.19</v>
      </c>
      <c r="Z33" s="14">
        <f>ROUND((SUM($N$5:$N33)+SUM(R$5:R33))/E$4,2)</f>
        <v>90</v>
      </c>
      <c r="AA33" s="14">
        <f t="shared" si="4"/>
        <v>30</v>
      </c>
      <c r="AB33" s="155"/>
      <c r="AC33" s="14">
        <f t="shared" si="3"/>
        <v>30</v>
      </c>
      <c r="AD33" s="14">
        <f>SUM(AC$5:AC33)</f>
        <v>90</v>
      </c>
      <c r="AL33" s="159">
        <v>30</v>
      </c>
      <c r="AM33" s="159">
        <f t="shared" si="0"/>
        <v>4</v>
      </c>
      <c r="AN33" s="161"/>
      <c r="BD33" s="72">
        <v>30</v>
      </c>
      <c r="BE33" s="72">
        <v>3</v>
      </c>
      <c r="BF33" s="72">
        <f>SUM(BE$4:BE33)</f>
        <v>95</v>
      </c>
    </row>
    <row r="34" spans="10:58" ht="16.5" x14ac:dyDescent="0.2">
      <c r="J34" s="158">
        <v>30</v>
      </c>
      <c r="K34" s="155" t="s">
        <v>1436</v>
      </c>
      <c r="L34" s="155">
        <v>150</v>
      </c>
      <c r="M34" s="159">
        <v>150</v>
      </c>
      <c r="N34" s="155">
        <v>2880</v>
      </c>
      <c r="O34" s="159">
        <v>4</v>
      </c>
      <c r="P34" s="155"/>
      <c r="Q34" s="155"/>
      <c r="R34" s="155"/>
      <c r="S34" s="155">
        <v>1</v>
      </c>
      <c r="T34" s="14">
        <f>ROUND((SUM($N$5:$N34)-SUM($O$5:$O34)+SUM(P$5:P34))/B$4,2)</f>
        <v>236.2</v>
      </c>
      <c r="U34" s="14">
        <f t="shared" si="5"/>
        <v>95.869999999999976</v>
      </c>
      <c r="V34" s="14">
        <f>ROUND((SUM($N$5:$N34)-SUM($O$5:$O34)+SUM(Q$5:Q34))/C$4,2)</f>
        <v>208.41</v>
      </c>
      <c r="W34" s="14">
        <f t="shared" si="6"/>
        <v>84.59</v>
      </c>
      <c r="X34" s="14">
        <f>ROUND((SUM($N$5:$N34)-SUM($O$5:$O34)+SUM(R$5:R34))/D$4,2)</f>
        <v>168.71</v>
      </c>
      <c r="Y34" s="14">
        <f t="shared" si="7"/>
        <v>68.470000000000013</v>
      </c>
      <c r="Z34" s="14">
        <f>ROUND((SUM($N$5:$N34)+SUM(R$5:R34))/E$4,2)</f>
        <v>150</v>
      </c>
      <c r="AA34" s="14">
        <f t="shared" si="4"/>
        <v>60</v>
      </c>
      <c r="AB34" s="155"/>
      <c r="AC34" s="14">
        <f t="shared" si="3"/>
        <v>60</v>
      </c>
      <c r="AD34" s="14">
        <f>SUM(AC$5:AC34)</f>
        <v>150</v>
      </c>
      <c r="AL34" s="159">
        <v>31</v>
      </c>
      <c r="AM34" s="159">
        <f t="shared" si="0"/>
        <v>5</v>
      </c>
      <c r="AN34" s="159">
        <f>INDEX($U$5:$U$34,AM34)</f>
        <v>1.27</v>
      </c>
      <c r="BD34" s="72">
        <v>31</v>
      </c>
      <c r="BE34" s="72">
        <v>2</v>
      </c>
      <c r="BF34" s="72">
        <f>SUM(BE$4:BE34)</f>
        <v>97</v>
      </c>
    </row>
    <row r="35" spans="10:58" ht="16.5" x14ac:dyDescent="0.2">
      <c r="T35">
        <v>120</v>
      </c>
      <c r="AA35" s="157">
        <v>60</v>
      </c>
      <c r="AL35" s="159">
        <v>32</v>
      </c>
      <c r="AM35" s="159">
        <f t="shared" si="0"/>
        <v>5</v>
      </c>
      <c r="AN35" s="159">
        <f>INDEX($W$5:$W$34,AM34)</f>
        <v>1.1200000000000001</v>
      </c>
      <c r="BD35" s="72">
        <v>32</v>
      </c>
      <c r="BE35" s="72">
        <v>3</v>
      </c>
      <c r="BF35" s="72">
        <f>SUM(BE$4:BE35)</f>
        <v>100</v>
      </c>
    </row>
    <row r="36" spans="10:58" ht="16.5" x14ac:dyDescent="0.2">
      <c r="AB36">
        <v>54</v>
      </c>
      <c r="AL36" s="159">
        <v>33</v>
      </c>
      <c r="AM36" s="159">
        <f t="shared" si="0"/>
        <v>5</v>
      </c>
      <c r="AN36" s="159">
        <f>INDEX($AA$5:$AA$34,AM34)</f>
        <v>0.5</v>
      </c>
      <c r="BD36" s="72">
        <v>33</v>
      </c>
      <c r="BE36" s="72">
        <v>2</v>
      </c>
      <c r="BF36" s="72">
        <f>SUM(BE$4:BE36)</f>
        <v>102</v>
      </c>
    </row>
    <row r="37" spans="10:58" ht="16.5" x14ac:dyDescent="0.2">
      <c r="AB37">
        <v>48</v>
      </c>
      <c r="AL37" s="159">
        <v>34</v>
      </c>
      <c r="AM37" s="159">
        <f t="shared" si="0"/>
        <v>5</v>
      </c>
      <c r="AN37" s="161"/>
      <c r="BD37" s="72">
        <v>34</v>
      </c>
      <c r="BE37" s="72">
        <v>3</v>
      </c>
      <c r="BF37" s="72">
        <f>SUM(BE$4:BE37)</f>
        <v>105</v>
      </c>
    </row>
    <row r="38" spans="10:58" ht="16.5" x14ac:dyDescent="0.2">
      <c r="AL38" s="159">
        <v>35</v>
      </c>
      <c r="AM38" s="159">
        <f t="shared" si="0"/>
        <v>5</v>
      </c>
      <c r="AN38" s="161"/>
      <c r="BD38" s="72">
        <v>35</v>
      </c>
      <c r="BE38" s="72">
        <v>2</v>
      </c>
      <c r="BF38" s="72">
        <f>SUM(BE$4:BE38)</f>
        <v>107</v>
      </c>
    </row>
    <row r="39" spans="10:58" ht="16.5" x14ac:dyDescent="0.2">
      <c r="AL39" s="159">
        <v>36</v>
      </c>
      <c r="AM39" s="159">
        <f t="shared" si="0"/>
        <v>6</v>
      </c>
      <c r="AN39" s="159">
        <f>INDEX($U$5:$U$34,AM39)</f>
        <v>0.73</v>
      </c>
      <c r="BD39" s="72">
        <v>36</v>
      </c>
      <c r="BE39" s="72">
        <v>3</v>
      </c>
      <c r="BF39" s="72">
        <f>SUM(BE$4:BE39)</f>
        <v>110</v>
      </c>
    </row>
    <row r="40" spans="10:58" ht="16.5" x14ac:dyDescent="0.2">
      <c r="AL40" s="159">
        <v>37</v>
      </c>
      <c r="AM40" s="159">
        <f t="shared" si="0"/>
        <v>6</v>
      </c>
      <c r="AN40" s="159">
        <f>INDEX($W$5:$W$34,AM39)</f>
        <v>0.64999999999999991</v>
      </c>
      <c r="BD40" s="72">
        <v>37</v>
      </c>
      <c r="BE40" s="72">
        <v>2</v>
      </c>
      <c r="BF40" s="72">
        <f>SUM(BE$4:BE40)</f>
        <v>112</v>
      </c>
    </row>
    <row r="41" spans="10:58" ht="16.5" x14ac:dyDescent="0.2">
      <c r="AL41" s="159">
        <v>38</v>
      </c>
      <c r="AM41" s="159">
        <f t="shared" si="0"/>
        <v>6</v>
      </c>
      <c r="AN41" s="159">
        <f>INDEX($AA$5:$AA$34,AM39)</f>
        <v>0.54</v>
      </c>
      <c r="BD41" s="72">
        <v>38</v>
      </c>
      <c r="BE41" s="72">
        <v>3</v>
      </c>
      <c r="BF41" s="72">
        <f>SUM(BE$4:BE41)</f>
        <v>115</v>
      </c>
    </row>
    <row r="42" spans="10:58" ht="16.5" x14ac:dyDescent="0.2">
      <c r="AL42" s="159">
        <v>39</v>
      </c>
      <c r="AM42" s="159">
        <f t="shared" si="0"/>
        <v>6</v>
      </c>
      <c r="AN42" s="161"/>
      <c r="BD42" s="72">
        <v>39</v>
      </c>
      <c r="BE42" s="72">
        <v>2</v>
      </c>
      <c r="BF42" s="72">
        <f>SUM(BE$4:BE42)</f>
        <v>117</v>
      </c>
    </row>
    <row r="43" spans="10:58" ht="16.5" x14ac:dyDescent="0.2">
      <c r="AL43" s="159">
        <v>40</v>
      </c>
      <c r="AM43" s="159">
        <f t="shared" si="0"/>
        <v>6</v>
      </c>
      <c r="AN43" s="161"/>
      <c r="BD43" s="72">
        <v>40</v>
      </c>
      <c r="BE43" s="72">
        <v>3</v>
      </c>
      <c r="BF43" s="72">
        <f>SUM(BE$4:BE43)</f>
        <v>120</v>
      </c>
    </row>
    <row r="44" spans="10:58" ht="16.5" x14ac:dyDescent="0.2">
      <c r="AL44" s="159">
        <v>41</v>
      </c>
      <c r="AM44" s="159">
        <f t="shared" si="0"/>
        <v>7</v>
      </c>
      <c r="AN44" s="159">
        <f>INDEX($U$5:$U$34,AM44)</f>
        <v>0.79999999999999982</v>
      </c>
      <c r="BD44" s="72">
        <v>41</v>
      </c>
      <c r="BE44" s="72">
        <v>2</v>
      </c>
      <c r="BF44" s="72">
        <f>SUM(BE$4:BE44)</f>
        <v>122</v>
      </c>
    </row>
    <row r="45" spans="10:58" ht="16.5" x14ac:dyDescent="0.2">
      <c r="AL45" s="159">
        <v>42</v>
      </c>
      <c r="AM45" s="159">
        <f t="shared" si="0"/>
        <v>7</v>
      </c>
      <c r="AN45" s="159">
        <f>INDEX($W$5:$W$34,AM44)</f>
        <v>0.70000000000000018</v>
      </c>
      <c r="BD45" s="72">
        <v>42</v>
      </c>
      <c r="BE45" s="72">
        <v>3</v>
      </c>
      <c r="BF45" s="72">
        <f>SUM(BE$4:BE45)</f>
        <v>125</v>
      </c>
    </row>
    <row r="46" spans="10:58" ht="16.5" x14ac:dyDescent="0.2">
      <c r="AL46" s="159">
        <v>43</v>
      </c>
      <c r="AM46" s="159">
        <f t="shared" si="0"/>
        <v>7</v>
      </c>
      <c r="AN46" s="159">
        <f>INDEX($AA$5:$AA$34,AM44)</f>
        <v>0.58000000000000007</v>
      </c>
      <c r="BD46" s="72">
        <v>43</v>
      </c>
      <c r="BE46" s="72">
        <v>2</v>
      </c>
      <c r="BF46" s="72">
        <f>SUM(BE$4:BE46)</f>
        <v>127</v>
      </c>
    </row>
    <row r="47" spans="10:58" ht="16.5" x14ac:dyDescent="0.2">
      <c r="AL47" s="159">
        <v>44</v>
      </c>
      <c r="AM47" s="159">
        <f t="shared" si="0"/>
        <v>7</v>
      </c>
      <c r="AN47" s="161"/>
      <c r="BD47" s="72">
        <v>44</v>
      </c>
      <c r="BE47" s="72">
        <v>3</v>
      </c>
      <c r="BF47" s="72">
        <f>SUM(BE$4:BE47)</f>
        <v>130</v>
      </c>
    </row>
    <row r="48" spans="10:58" ht="16.5" x14ac:dyDescent="0.2">
      <c r="AL48" s="159">
        <v>45</v>
      </c>
      <c r="AM48" s="159">
        <f t="shared" si="0"/>
        <v>7</v>
      </c>
      <c r="AN48" s="161"/>
      <c r="BD48" s="72">
        <v>45</v>
      </c>
      <c r="BE48" s="72">
        <v>2</v>
      </c>
      <c r="BF48" s="72">
        <f>SUM(BE$4:BE48)</f>
        <v>132</v>
      </c>
    </row>
    <row r="49" spans="38:58" ht="16.5" x14ac:dyDescent="0.2">
      <c r="AL49" s="159">
        <v>46</v>
      </c>
      <c r="AM49" s="159">
        <f t="shared" si="0"/>
        <v>8</v>
      </c>
      <c r="AN49" s="159">
        <f>INDEX($U$5:$U$34,AM49)</f>
        <v>0.87000000000000011</v>
      </c>
      <c r="BD49" s="72">
        <v>46</v>
      </c>
      <c r="BE49" s="72">
        <v>3</v>
      </c>
      <c r="BF49" s="72">
        <f>SUM(BE$4:BE49)</f>
        <v>135</v>
      </c>
    </row>
    <row r="50" spans="38:58" ht="16.5" x14ac:dyDescent="0.2">
      <c r="AL50" s="159">
        <v>47</v>
      </c>
      <c r="AM50" s="159">
        <f t="shared" si="0"/>
        <v>8</v>
      </c>
      <c r="AN50" s="159">
        <f>INDEX($W$5:$W$34,AM49)</f>
        <v>0.77</v>
      </c>
      <c r="BD50" s="72">
        <v>47</v>
      </c>
      <c r="BE50" s="72">
        <v>2</v>
      </c>
      <c r="BF50" s="72">
        <f>SUM(BE$4:BE50)</f>
        <v>137</v>
      </c>
    </row>
    <row r="51" spans="38:58" ht="16.5" x14ac:dyDescent="0.2">
      <c r="AL51" s="159">
        <v>48</v>
      </c>
      <c r="AM51" s="159">
        <f t="shared" si="0"/>
        <v>8</v>
      </c>
      <c r="AN51" s="159">
        <f>INDEX($AA$5:$AA$34,AM49)</f>
        <v>0.62999999999999989</v>
      </c>
      <c r="BD51" s="72">
        <v>48</v>
      </c>
      <c r="BE51" s="72">
        <v>3</v>
      </c>
      <c r="BF51" s="72">
        <f>SUM(BE$4:BE51)</f>
        <v>140</v>
      </c>
    </row>
    <row r="52" spans="38:58" ht="16.5" x14ac:dyDescent="0.2">
      <c r="AL52" s="159">
        <v>49</v>
      </c>
      <c r="AM52" s="159">
        <f t="shared" si="0"/>
        <v>8</v>
      </c>
      <c r="AN52" s="161"/>
      <c r="BD52" s="72">
        <v>49</v>
      </c>
      <c r="BE52" s="72">
        <v>2</v>
      </c>
      <c r="BF52" s="72">
        <f>SUM(BE$4:BE52)</f>
        <v>142</v>
      </c>
    </row>
    <row r="53" spans="38:58" ht="16.5" x14ac:dyDescent="0.2">
      <c r="AL53" s="159">
        <v>50</v>
      </c>
      <c r="AM53" s="159">
        <f t="shared" si="0"/>
        <v>8</v>
      </c>
      <c r="AN53" s="161"/>
      <c r="BD53" s="72">
        <v>50</v>
      </c>
      <c r="BE53" s="72">
        <v>3</v>
      </c>
      <c r="BF53" s="72">
        <f>SUM(BE$4:BE53)</f>
        <v>145</v>
      </c>
    </row>
    <row r="54" spans="38:58" ht="16.5" x14ac:dyDescent="0.2">
      <c r="AL54" s="159">
        <v>51</v>
      </c>
      <c r="AM54" s="159">
        <f t="shared" si="0"/>
        <v>9</v>
      </c>
      <c r="AN54" s="159">
        <f>INDEX($U$5:$U$34,AM54)</f>
        <v>1</v>
      </c>
      <c r="BD54" s="72">
        <v>51</v>
      </c>
      <c r="BE54" s="72">
        <v>2</v>
      </c>
      <c r="BF54" s="72">
        <f>SUM(BE$4:BE54)</f>
        <v>147</v>
      </c>
    </row>
    <row r="55" spans="38:58" ht="16.5" x14ac:dyDescent="0.2">
      <c r="AL55" s="159">
        <v>52</v>
      </c>
      <c r="AM55" s="159">
        <f t="shared" si="0"/>
        <v>9</v>
      </c>
      <c r="AN55" s="159">
        <f>INDEX($W$5:$W$34,AM54)</f>
        <v>0.87999999999999989</v>
      </c>
      <c r="BD55" s="72">
        <v>52</v>
      </c>
      <c r="BE55" s="72">
        <v>3</v>
      </c>
      <c r="BF55" s="72">
        <f>SUM(BE$4:BE55)</f>
        <v>150</v>
      </c>
    </row>
    <row r="56" spans="38:58" ht="16.5" x14ac:dyDescent="0.2">
      <c r="AL56" s="159">
        <v>53</v>
      </c>
      <c r="AM56" s="159">
        <f t="shared" si="0"/>
        <v>9</v>
      </c>
      <c r="AN56" s="159">
        <f>INDEX($AA$5:$AA$34,AM54)</f>
        <v>0.71</v>
      </c>
      <c r="BD56" s="70"/>
      <c r="BE56" s="70"/>
      <c r="BF56" s="70"/>
    </row>
    <row r="57" spans="38:58" ht="16.5" x14ac:dyDescent="0.2">
      <c r="AL57" s="159">
        <v>54</v>
      </c>
      <c r="AM57" s="159">
        <f t="shared" si="0"/>
        <v>9</v>
      </c>
      <c r="AN57" s="161"/>
      <c r="BD57" s="70"/>
      <c r="BE57" s="70"/>
      <c r="BF57" s="70"/>
    </row>
    <row r="58" spans="38:58" ht="16.5" x14ac:dyDescent="0.2">
      <c r="AL58" s="159">
        <v>55</v>
      </c>
      <c r="AM58" s="159">
        <f t="shared" si="0"/>
        <v>9</v>
      </c>
      <c r="AN58" s="161"/>
      <c r="BD58" s="70"/>
      <c r="BE58" s="70"/>
      <c r="BF58" s="70"/>
    </row>
    <row r="59" spans="38:58" ht="16.5" x14ac:dyDescent="0.2">
      <c r="AL59" s="159">
        <v>56</v>
      </c>
      <c r="AM59" s="159">
        <f t="shared" si="0"/>
        <v>10</v>
      </c>
      <c r="AN59" s="159">
        <f>INDEX($U$5:$U$34,AM59)</f>
        <v>1.2000000000000002</v>
      </c>
      <c r="BD59" s="70"/>
      <c r="BE59" s="70"/>
      <c r="BF59" s="70"/>
    </row>
    <row r="60" spans="38:58" ht="16.5" x14ac:dyDescent="0.2">
      <c r="AL60" s="159">
        <v>57</v>
      </c>
      <c r="AM60" s="159">
        <f t="shared" si="0"/>
        <v>10</v>
      </c>
      <c r="AN60" s="159">
        <f>INDEX($W$5:$W$34,AM59)</f>
        <v>1.0599999999999996</v>
      </c>
      <c r="BD60" s="70"/>
      <c r="BE60" s="70"/>
      <c r="BF60" s="70"/>
    </row>
    <row r="61" spans="38:58" ht="16.5" x14ac:dyDescent="0.2">
      <c r="AL61" s="159">
        <v>58</v>
      </c>
      <c r="AM61" s="159">
        <f t="shared" si="0"/>
        <v>10</v>
      </c>
      <c r="AN61" s="159">
        <f>INDEX($AA$5:$AA$34,AM59)</f>
        <v>0.83000000000000007</v>
      </c>
      <c r="BD61" s="70"/>
      <c r="BE61" s="70"/>
      <c r="BF61" s="70"/>
    </row>
    <row r="62" spans="38:58" ht="16.5" x14ac:dyDescent="0.2">
      <c r="AL62" s="159">
        <v>59</v>
      </c>
      <c r="AM62" s="159">
        <f t="shared" si="0"/>
        <v>10</v>
      </c>
      <c r="AN62" s="161"/>
      <c r="BD62" s="70"/>
      <c r="BE62" s="70"/>
      <c r="BF62" s="70"/>
    </row>
    <row r="63" spans="38:58" ht="16.5" x14ac:dyDescent="0.2">
      <c r="AL63" s="159">
        <v>60</v>
      </c>
      <c r="AM63" s="159">
        <f t="shared" si="0"/>
        <v>10</v>
      </c>
      <c r="AN63" s="161"/>
      <c r="BD63" s="70"/>
      <c r="BE63" s="70"/>
      <c r="BF63" s="70"/>
    </row>
    <row r="64" spans="38:58" ht="16.5" x14ac:dyDescent="0.2">
      <c r="AL64" s="159">
        <v>61</v>
      </c>
      <c r="AM64" s="159">
        <f t="shared" si="0"/>
        <v>11</v>
      </c>
      <c r="AN64" s="159">
        <f>INDEX($U$5:$U$34,AM64)</f>
        <v>1.3600000000000003</v>
      </c>
      <c r="BE64" s="70"/>
      <c r="BF64" s="70"/>
    </row>
    <row r="65" spans="38:58" ht="16.5" x14ac:dyDescent="0.2">
      <c r="AL65" s="159">
        <v>62</v>
      </c>
      <c r="AM65" s="159">
        <f t="shared" si="0"/>
        <v>11</v>
      </c>
      <c r="AN65" s="159">
        <f>INDEX($W$5:$W$34,AM64)</f>
        <v>1.2000000000000002</v>
      </c>
      <c r="BE65" s="70"/>
      <c r="BF65" s="70"/>
    </row>
    <row r="66" spans="38:58" ht="16.5" x14ac:dyDescent="0.2">
      <c r="AL66" s="159">
        <v>63</v>
      </c>
      <c r="AM66" s="159">
        <f t="shared" si="0"/>
        <v>11</v>
      </c>
      <c r="AN66" s="159">
        <f>INDEX($AA$5:$AA$34,AM64)</f>
        <v>0.94000000000000039</v>
      </c>
      <c r="BE66" s="70"/>
      <c r="BF66" s="70"/>
    </row>
    <row r="67" spans="38:58" ht="16.5" x14ac:dyDescent="0.2">
      <c r="AL67" s="159">
        <v>64</v>
      </c>
      <c r="AM67" s="159">
        <f t="shared" si="0"/>
        <v>11</v>
      </c>
      <c r="AN67" s="161"/>
      <c r="BE67" s="70"/>
      <c r="BF67" s="70"/>
    </row>
    <row r="68" spans="38:58" ht="16.5" x14ac:dyDescent="0.2">
      <c r="AL68" s="159">
        <v>65</v>
      </c>
      <c r="AM68" s="159">
        <f t="shared" si="0"/>
        <v>11</v>
      </c>
      <c r="AN68" s="161"/>
      <c r="BE68" s="70"/>
      <c r="BF68" s="70"/>
    </row>
    <row r="69" spans="38:58" ht="16.5" x14ac:dyDescent="0.2">
      <c r="AL69" s="159">
        <v>66</v>
      </c>
      <c r="AM69" s="159">
        <f t="shared" ref="AM69:AM132" si="8">MATCH(AL69-1,$M$4:$M$34,1)</f>
        <v>12</v>
      </c>
      <c r="AN69" s="159">
        <f>INDEX($U$5:$U$34,AM69)</f>
        <v>1.5700000000000003</v>
      </c>
      <c r="BE69" s="70"/>
      <c r="BF69" s="70"/>
    </row>
    <row r="70" spans="38:58" ht="16.5" x14ac:dyDescent="0.2">
      <c r="AL70" s="159">
        <v>67</v>
      </c>
      <c r="AM70" s="159">
        <f t="shared" si="8"/>
        <v>12</v>
      </c>
      <c r="AN70" s="159">
        <f>INDEX($W$5:$W$34,AM69)</f>
        <v>1.3900000000000006</v>
      </c>
      <c r="BE70" s="70"/>
      <c r="BF70" s="70"/>
    </row>
    <row r="71" spans="38:58" ht="16.5" x14ac:dyDescent="0.2">
      <c r="AL71" s="159">
        <v>68</v>
      </c>
      <c r="AM71" s="159">
        <f t="shared" si="8"/>
        <v>12</v>
      </c>
      <c r="AN71" s="159">
        <f>INDEX($AA$5:$AA$34,AM69)</f>
        <v>1.0599999999999996</v>
      </c>
      <c r="BE71" s="70"/>
      <c r="BF71" s="70"/>
    </row>
    <row r="72" spans="38:58" ht="16.5" x14ac:dyDescent="0.2">
      <c r="AL72" s="159">
        <v>69</v>
      </c>
      <c r="AM72" s="159">
        <f t="shared" si="8"/>
        <v>12</v>
      </c>
      <c r="AN72" s="161"/>
      <c r="BE72" s="70"/>
      <c r="BF72" s="70"/>
    </row>
    <row r="73" spans="38:58" ht="16.5" x14ac:dyDescent="0.2">
      <c r="AL73" s="159">
        <v>70</v>
      </c>
      <c r="AM73" s="159">
        <f t="shared" si="8"/>
        <v>12</v>
      </c>
      <c r="AN73" s="161"/>
      <c r="BE73" s="70"/>
      <c r="BF73" s="70"/>
    </row>
    <row r="74" spans="38:58" ht="16.5" x14ac:dyDescent="0.2">
      <c r="AL74" s="159">
        <v>71</v>
      </c>
      <c r="AM74" s="159">
        <f t="shared" si="8"/>
        <v>13</v>
      </c>
      <c r="AN74" s="159">
        <f>INDEX($U$5:$U$34,AM74)</f>
        <v>2.0299999999999994</v>
      </c>
      <c r="BE74" s="70"/>
      <c r="BF74" s="70"/>
    </row>
    <row r="75" spans="38:58" ht="16.5" x14ac:dyDescent="0.2">
      <c r="AL75" s="159">
        <v>72</v>
      </c>
      <c r="AM75" s="159">
        <f t="shared" si="8"/>
        <v>13</v>
      </c>
      <c r="AN75" s="159">
        <f>INDEX($W$5:$W$34,AM74)</f>
        <v>1.7899999999999991</v>
      </c>
      <c r="BE75" s="70"/>
      <c r="BF75" s="70"/>
    </row>
    <row r="76" spans="38:58" ht="16.5" x14ac:dyDescent="0.2">
      <c r="AL76" s="159">
        <v>73</v>
      </c>
      <c r="AM76" s="159">
        <f t="shared" si="8"/>
        <v>13</v>
      </c>
      <c r="AN76" s="159">
        <f>INDEX($AA$5:$AA$34,AM74)</f>
        <v>1.3499999999999996</v>
      </c>
      <c r="BE76" s="70"/>
      <c r="BF76" s="70"/>
    </row>
    <row r="77" spans="38:58" ht="16.5" x14ac:dyDescent="0.2">
      <c r="AL77" s="159">
        <v>74</v>
      </c>
      <c r="AM77" s="159">
        <f t="shared" si="8"/>
        <v>13</v>
      </c>
      <c r="AN77" s="161"/>
      <c r="BE77" s="70"/>
      <c r="BF77" s="70"/>
    </row>
    <row r="78" spans="38:58" ht="16.5" x14ac:dyDescent="0.2">
      <c r="AL78" s="159">
        <v>75</v>
      </c>
      <c r="AM78" s="159">
        <f t="shared" si="8"/>
        <v>13</v>
      </c>
      <c r="AN78" s="161"/>
      <c r="BE78" s="70"/>
      <c r="BF78" s="70"/>
    </row>
    <row r="79" spans="38:58" ht="16.5" x14ac:dyDescent="0.2">
      <c r="AL79" s="159">
        <v>76</v>
      </c>
      <c r="AM79" s="159">
        <f t="shared" si="8"/>
        <v>14</v>
      </c>
      <c r="AN79" s="159">
        <f>INDEX($U$5:$U$34,AM79)</f>
        <v>2.4000000000000004</v>
      </c>
      <c r="BE79" s="70"/>
      <c r="BF79" s="70"/>
    </row>
    <row r="80" spans="38:58" ht="16.5" x14ac:dyDescent="0.2">
      <c r="AL80" s="159">
        <v>77</v>
      </c>
      <c r="AM80" s="159">
        <f t="shared" si="8"/>
        <v>14</v>
      </c>
      <c r="AN80" s="159">
        <f>INDEX($W$5:$W$34,AM79)</f>
        <v>2.120000000000001</v>
      </c>
      <c r="BE80" s="70"/>
      <c r="BF80" s="70"/>
    </row>
    <row r="81" spans="38:58" ht="16.5" x14ac:dyDescent="0.2">
      <c r="AL81" s="159">
        <v>78</v>
      </c>
      <c r="AM81" s="159">
        <f t="shared" si="8"/>
        <v>14</v>
      </c>
      <c r="AN81" s="159">
        <f>INDEX($AA$5:$AA$34,AM79)</f>
        <v>1.5899999999999999</v>
      </c>
      <c r="BE81" s="70"/>
      <c r="BF81" s="70"/>
    </row>
    <row r="82" spans="38:58" ht="16.5" x14ac:dyDescent="0.2">
      <c r="AL82" s="159">
        <v>79</v>
      </c>
      <c r="AM82" s="159">
        <f t="shared" si="8"/>
        <v>14</v>
      </c>
      <c r="AN82" s="161"/>
      <c r="BE82" s="70"/>
      <c r="BF82" s="70"/>
    </row>
    <row r="83" spans="38:58" ht="16.5" x14ac:dyDescent="0.2">
      <c r="AL83" s="159">
        <v>80</v>
      </c>
      <c r="AM83" s="159">
        <f t="shared" si="8"/>
        <v>14</v>
      </c>
      <c r="AN83" s="161"/>
      <c r="BE83" s="70"/>
      <c r="BF83" s="70"/>
    </row>
    <row r="84" spans="38:58" ht="16.5" x14ac:dyDescent="0.2">
      <c r="AL84" s="159">
        <v>81</v>
      </c>
      <c r="AM84" s="159">
        <f t="shared" si="8"/>
        <v>15</v>
      </c>
      <c r="AN84" s="159">
        <f>INDEX($U$5:$U$34,AM84)</f>
        <v>2.870000000000001</v>
      </c>
      <c r="BE84" s="70"/>
      <c r="BF84" s="70"/>
    </row>
    <row r="85" spans="38:58" ht="16.5" x14ac:dyDescent="0.2">
      <c r="AL85" s="159">
        <v>82</v>
      </c>
      <c r="AM85" s="159">
        <f t="shared" si="8"/>
        <v>15</v>
      </c>
      <c r="AN85" s="159">
        <f>INDEX($W$5:$W$34,AM84)</f>
        <v>2.5299999999999994</v>
      </c>
      <c r="BE85" s="70"/>
      <c r="BF85" s="70"/>
    </row>
    <row r="86" spans="38:58" ht="16.5" x14ac:dyDescent="0.2">
      <c r="AL86" s="159">
        <v>83</v>
      </c>
      <c r="AM86" s="159">
        <f t="shared" si="8"/>
        <v>15</v>
      </c>
      <c r="AN86" s="159">
        <f>INDEX($AA$5:$AA$34,AM84)</f>
        <v>1.870000000000001</v>
      </c>
      <c r="BE86" s="70"/>
      <c r="BF86" s="70"/>
    </row>
    <row r="87" spans="38:58" ht="16.5" x14ac:dyDescent="0.2">
      <c r="AL87" s="159">
        <v>84</v>
      </c>
      <c r="AM87" s="159">
        <f t="shared" si="8"/>
        <v>15</v>
      </c>
      <c r="AN87" s="161"/>
      <c r="BE87" s="70"/>
      <c r="BF87" s="70"/>
    </row>
    <row r="88" spans="38:58" ht="16.5" x14ac:dyDescent="0.2">
      <c r="AL88" s="159">
        <v>85</v>
      </c>
      <c r="AM88" s="159">
        <f t="shared" si="8"/>
        <v>15</v>
      </c>
      <c r="AN88" s="161"/>
      <c r="BE88" s="70"/>
      <c r="BF88" s="70"/>
    </row>
    <row r="89" spans="38:58" ht="16.5" x14ac:dyDescent="0.2">
      <c r="AL89" s="159">
        <v>86</v>
      </c>
      <c r="AM89" s="159">
        <f t="shared" si="8"/>
        <v>16</v>
      </c>
      <c r="AN89" s="159">
        <f>INDEX($U$5:$U$34,AM89)</f>
        <v>3.3699999999999974</v>
      </c>
      <c r="BE89" s="70"/>
      <c r="BF89" s="70"/>
    </row>
    <row r="90" spans="38:58" ht="16.5" x14ac:dyDescent="0.2">
      <c r="AL90" s="159">
        <v>87</v>
      </c>
      <c r="AM90" s="159">
        <f t="shared" si="8"/>
        <v>16</v>
      </c>
      <c r="AN90" s="159">
        <f>INDEX($W$5:$W$34,AM89)</f>
        <v>2.9699999999999989</v>
      </c>
      <c r="BE90" s="70"/>
      <c r="BF90" s="70"/>
    </row>
    <row r="91" spans="38:58" ht="16.5" x14ac:dyDescent="0.2">
      <c r="AL91" s="159">
        <v>88</v>
      </c>
      <c r="AM91" s="159">
        <f t="shared" si="8"/>
        <v>16</v>
      </c>
      <c r="AN91" s="159">
        <f>INDEX($AA$5:$AA$34,AM89)</f>
        <v>2.1899999999999995</v>
      </c>
      <c r="BE91" s="70"/>
      <c r="BF91" s="70"/>
    </row>
    <row r="92" spans="38:58" ht="16.5" x14ac:dyDescent="0.2">
      <c r="AL92" s="159">
        <v>89</v>
      </c>
      <c r="AM92" s="159">
        <f t="shared" si="8"/>
        <v>16</v>
      </c>
      <c r="AN92" s="161"/>
    </row>
    <row r="93" spans="38:58" ht="16.5" x14ac:dyDescent="0.2">
      <c r="AL93" s="159">
        <v>90</v>
      </c>
      <c r="AM93" s="159">
        <f t="shared" si="8"/>
        <v>16</v>
      </c>
      <c r="AN93" s="161"/>
    </row>
    <row r="94" spans="38:58" ht="16.5" x14ac:dyDescent="0.2">
      <c r="AL94" s="159">
        <v>91</v>
      </c>
      <c r="AM94" s="159">
        <f t="shared" si="8"/>
        <v>17</v>
      </c>
      <c r="AN94" s="159">
        <f>INDEX($U$5:$U$34,AM94)</f>
        <v>3.6000000000000014</v>
      </c>
    </row>
    <row r="95" spans="38:58" ht="16.5" x14ac:dyDescent="0.2">
      <c r="AL95" s="159">
        <v>92</v>
      </c>
      <c r="AM95" s="159">
        <f t="shared" si="8"/>
        <v>17</v>
      </c>
      <c r="AN95" s="159">
        <f>INDEX($W$5:$W$34,AM94)</f>
        <v>3.1799999999999997</v>
      </c>
    </row>
    <row r="96" spans="38:58" ht="16.5" x14ac:dyDescent="0.2">
      <c r="AL96" s="159">
        <v>93</v>
      </c>
      <c r="AM96" s="159">
        <f t="shared" si="8"/>
        <v>17</v>
      </c>
      <c r="AN96" s="159">
        <f>INDEX($AA$5:$AA$34,AM94)</f>
        <v>2.3299999999999983</v>
      </c>
    </row>
    <row r="97" spans="38:40" ht="16.5" x14ac:dyDescent="0.2">
      <c r="AL97" s="159">
        <v>94</v>
      </c>
      <c r="AM97" s="159">
        <f t="shared" si="8"/>
        <v>17</v>
      </c>
      <c r="AN97" s="161"/>
    </row>
    <row r="98" spans="38:40" ht="16.5" x14ac:dyDescent="0.2">
      <c r="AL98" s="159">
        <v>95</v>
      </c>
      <c r="AM98" s="159">
        <f t="shared" si="8"/>
        <v>17</v>
      </c>
      <c r="AN98" s="161"/>
    </row>
    <row r="99" spans="38:40" ht="16.5" x14ac:dyDescent="0.2">
      <c r="AL99" s="159">
        <v>96</v>
      </c>
      <c r="AM99" s="159">
        <f t="shared" si="8"/>
        <v>18</v>
      </c>
      <c r="AN99" s="159">
        <f>INDEX($U$5:$U$34,AM99)</f>
        <v>3.8599999999999994</v>
      </c>
    </row>
    <row r="100" spans="38:40" ht="16.5" x14ac:dyDescent="0.2">
      <c r="AL100" s="159">
        <v>97</v>
      </c>
      <c r="AM100" s="159">
        <f t="shared" si="8"/>
        <v>18</v>
      </c>
      <c r="AN100" s="159">
        <f>INDEX($W$5:$W$34,AM99)</f>
        <v>3.41</v>
      </c>
    </row>
    <row r="101" spans="38:40" ht="16.5" x14ac:dyDescent="0.2">
      <c r="AL101" s="159">
        <v>98</v>
      </c>
      <c r="AM101" s="159">
        <f t="shared" si="8"/>
        <v>18</v>
      </c>
      <c r="AN101" s="159">
        <f>INDEX($AA$5:$AA$34,AM99)</f>
        <v>2.5</v>
      </c>
    </row>
    <row r="102" spans="38:40" ht="16.5" x14ac:dyDescent="0.2">
      <c r="AL102" s="159">
        <v>99</v>
      </c>
      <c r="AM102" s="159">
        <f t="shared" si="8"/>
        <v>18</v>
      </c>
      <c r="AN102" s="161"/>
    </row>
    <row r="103" spans="38:40" ht="16.5" x14ac:dyDescent="0.2">
      <c r="AL103" s="159">
        <v>100</v>
      </c>
      <c r="AM103" s="159">
        <f t="shared" si="8"/>
        <v>18</v>
      </c>
      <c r="AN103" s="161"/>
    </row>
    <row r="104" spans="38:40" ht="16.5" x14ac:dyDescent="0.2">
      <c r="AL104" s="159">
        <v>101</v>
      </c>
      <c r="AM104" s="159">
        <f t="shared" si="8"/>
        <v>19</v>
      </c>
      <c r="AN104" s="159">
        <f>INDEX($U$5:$U$34,AM104)</f>
        <v>4.0399999999999991</v>
      </c>
    </row>
    <row r="105" spans="38:40" ht="16.5" x14ac:dyDescent="0.2">
      <c r="AL105" s="159">
        <v>102</v>
      </c>
      <c r="AM105" s="159">
        <f t="shared" si="8"/>
        <v>19</v>
      </c>
      <c r="AN105" s="159">
        <f>INDEX($W$5:$W$34,AM104)</f>
        <v>3.5600000000000023</v>
      </c>
    </row>
    <row r="106" spans="38:40" ht="16.5" x14ac:dyDescent="0.2">
      <c r="AL106" s="159">
        <v>103</v>
      </c>
      <c r="AM106" s="159">
        <f t="shared" si="8"/>
        <v>19</v>
      </c>
      <c r="AN106" s="159">
        <f>INDEX($AA$5:$AA$34,AM104)</f>
        <v>2.610000000000003</v>
      </c>
    </row>
    <row r="107" spans="38:40" ht="16.5" x14ac:dyDescent="0.2">
      <c r="AL107" s="159">
        <v>104</v>
      </c>
      <c r="AM107" s="159">
        <f t="shared" si="8"/>
        <v>19</v>
      </c>
      <c r="AN107" s="161"/>
    </row>
    <row r="108" spans="38:40" ht="16.5" x14ac:dyDescent="0.2">
      <c r="AL108" s="159">
        <v>105</v>
      </c>
      <c r="AM108" s="159">
        <f t="shared" si="8"/>
        <v>19</v>
      </c>
      <c r="AN108" s="161"/>
    </row>
    <row r="109" spans="38:40" ht="16.5" x14ac:dyDescent="0.2">
      <c r="AL109" s="159">
        <v>106</v>
      </c>
      <c r="AM109" s="159">
        <f t="shared" si="8"/>
        <v>20</v>
      </c>
      <c r="AN109" s="159">
        <f>INDEX($U$5:$U$34,AM109)</f>
        <v>4.2000000000000028</v>
      </c>
    </row>
    <row r="110" spans="38:40" ht="16.5" x14ac:dyDescent="0.2">
      <c r="AL110" s="159">
        <v>107</v>
      </c>
      <c r="AM110" s="159">
        <f t="shared" si="8"/>
        <v>20</v>
      </c>
      <c r="AN110" s="159">
        <f>INDEX($W$5:$W$34,AM109)</f>
        <v>3.6999999999999993</v>
      </c>
    </row>
    <row r="111" spans="38:40" ht="16.5" x14ac:dyDescent="0.2">
      <c r="AL111" s="159">
        <v>108</v>
      </c>
      <c r="AM111" s="159">
        <f t="shared" si="8"/>
        <v>20</v>
      </c>
      <c r="AN111" s="159">
        <f>INDEX($AA$5:$AA$34,AM109)</f>
        <v>2.7099999999999973</v>
      </c>
    </row>
    <row r="112" spans="38:40" ht="16.5" x14ac:dyDescent="0.2">
      <c r="AL112" s="159">
        <v>109</v>
      </c>
      <c r="AM112" s="159">
        <f t="shared" si="8"/>
        <v>20</v>
      </c>
      <c r="AN112" s="161"/>
    </row>
    <row r="113" spans="38:40" ht="16.5" x14ac:dyDescent="0.2">
      <c r="AL113" s="159">
        <v>110</v>
      </c>
      <c r="AM113" s="159">
        <f t="shared" si="8"/>
        <v>20</v>
      </c>
      <c r="AN113" s="161"/>
    </row>
    <row r="114" spans="38:40" ht="16.5" x14ac:dyDescent="0.2">
      <c r="AL114" s="159">
        <v>111</v>
      </c>
      <c r="AM114" s="159">
        <f t="shared" si="8"/>
        <v>21</v>
      </c>
      <c r="AN114" s="159">
        <f>INDEX($U$5:$U$34,AM114)</f>
        <v>4.43</v>
      </c>
    </row>
    <row r="115" spans="38:40" ht="16.5" x14ac:dyDescent="0.2">
      <c r="AL115" s="159">
        <v>112</v>
      </c>
      <c r="AM115" s="159">
        <f t="shared" si="8"/>
        <v>21</v>
      </c>
      <c r="AN115" s="159">
        <f>INDEX($W$5:$W$34,AM114)</f>
        <v>3.91</v>
      </c>
    </row>
    <row r="116" spans="38:40" ht="16.5" x14ac:dyDescent="0.2">
      <c r="AL116" s="159">
        <v>113</v>
      </c>
      <c r="AM116" s="159">
        <f t="shared" si="8"/>
        <v>21</v>
      </c>
      <c r="AN116" s="159">
        <f>INDEX($AA$5:$AA$34,AM114)</f>
        <v>2.8500000000000014</v>
      </c>
    </row>
    <row r="117" spans="38:40" ht="16.5" x14ac:dyDescent="0.2">
      <c r="AL117" s="159">
        <v>114</v>
      </c>
      <c r="AM117" s="159">
        <f t="shared" si="8"/>
        <v>21</v>
      </c>
      <c r="AN117" s="161"/>
    </row>
    <row r="118" spans="38:40" ht="16.5" x14ac:dyDescent="0.2">
      <c r="AL118" s="159">
        <v>115</v>
      </c>
      <c r="AM118" s="159">
        <f t="shared" si="8"/>
        <v>21</v>
      </c>
      <c r="AN118" s="161"/>
    </row>
    <row r="119" spans="38:40" ht="16.5" x14ac:dyDescent="0.2">
      <c r="AL119" s="159">
        <v>116</v>
      </c>
      <c r="AM119" s="159">
        <f t="shared" si="8"/>
        <v>22</v>
      </c>
      <c r="AN119" s="159">
        <f>INDEX($U$5:$U$34,AM119)</f>
        <v>4.6700000000000017</v>
      </c>
    </row>
    <row r="120" spans="38:40" ht="16.5" x14ac:dyDescent="0.2">
      <c r="AL120" s="159">
        <v>117</v>
      </c>
      <c r="AM120" s="159">
        <f t="shared" si="8"/>
        <v>22</v>
      </c>
      <c r="AN120" s="159">
        <f>INDEX($W$5:$W$34,AM119)</f>
        <v>4.1199999999999974</v>
      </c>
    </row>
    <row r="121" spans="38:40" ht="16.5" x14ac:dyDescent="0.2">
      <c r="AL121" s="159">
        <v>118</v>
      </c>
      <c r="AM121" s="159">
        <f t="shared" si="8"/>
        <v>22</v>
      </c>
      <c r="AN121" s="159">
        <f>INDEX($AA$5:$AA$34,AM119)</f>
        <v>3</v>
      </c>
    </row>
    <row r="122" spans="38:40" ht="16.5" x14ac:dyDescent="0.2">
      <c r="AL122" s="159">
        <v>119</v>
      </c>
      <c r="AM122" s="159">
        <f t="shared" si="8"/>
        <v>22</v>
      </c>
      <c r="AN122" s="161"/>
    </row>
    <row r="123" spans="38:40" ht="16.5" x14ac:dyDescent="0.2">
      <c r="AL123" s="159">
        <v>120</v>
      </c>
      <c r="AM123" s="159">
        <f t="shared" si="8"/>
        <v>22</v>
      </c>
      <c r="AN123" s="161"/>
    </row>
    <row r="124" spans="38:40" ht="16.5" x14ac:dyDescent="0.2">
      <c r="AL124" s="159">
        <v>121</v>
      </c>
      <c r="AM124" s="159">
        <f t="shared" si="8"/>
        <v>23</v>
      </c>
      <c r="AN124" s="159">
        <f>INDEX($U$5:$U$34,AM124)</f>
        <v>5.1999999999999957</v>
      </c>
    </row>
    <row r="125" spans="38:40" ht="16.5" x14ac:dyDescent="0.2">
      <c r="AL125" s="159">
        <v>122</v>
      </c>
      <c r="AM125" s="159">
        <f t="shared" si="8"/>
        <v>23</v>
      </c>
      <c r="AN125" s="159">
        <f>INDEX($W$5:$W$34,AM124)</f>
        <v>4.5900000000000034</v>
      </c>
    </row>
    <row r="126" spans="38:40" ht="16.5" x14ac:dyDescent="0.2">
      <c r="AL126" s="159">
        <v>123</v>
      </c>
      <c r="AM126" s="159">
        <f t="shared" si="8"/>
        <v>23</v>
      </c>
      <c r="AN126" s="159">
        <f>INDEX($AA$5:$AA$34,AM124)</f>
        <v>3.3299999999999983</v>
      </c>
    </row>
    <row r="127" spans="38:40" ht="16.5" x14ac:dyDescent="0.2">
      <c r="AL127" s="159">
        <v>124</v>
      </c>
      <c r="AM127" s="159">
        <f t="shared" si="8"/>
        <v>23</v>
      </c>
      <c r="AN127" s="161"/>
    </row>
    <row r="128" spans="38:40" ht="16.5" x14ac:dyDescent="0.2">
      <c r="AL128" s="159">
        <v>125</v>
      </c>
      <c r="AM128" s="159">
        <f t="shared" si="8"/>
        <v>23</v>
      </c>
      <c r="AN128" s="161"/>
    </row>
    <row r="129" spans="38:40" ht="16.5" x14ac:dyDescent="0.2">
      <c r="AL129" s="159">
        <v>126</v>
      </c>
      <c r="AM129" s="159">
        <f t="shared" si="8"/>
        <v>24</v>
      </c>
      <c r="AN129" s="159">
        <f>INDEX($U$5:$U$34,AM129)</f>
        <v>5.8599999999999994</v>
      </c>
    </row>
    <row r="130" spans="38:40" ht="16.5" x14ac:dyDescent="0.2">
      <c r="AL130" s="159">
        <v>127</v>
      </c>
      <c r="AM130" s="159">
        <f t="shared" si="8"/>
        <v>24</v>
      </c>
      <c r="AN130" s="159">
        <f>INDEX($W$5:$W$34,AM129)</f>
        <v>5.18</v>
      </c>
    </row>
    <row r="131" spans="38:40" ht="16.5" x14ac:dyDescent="0.2">
      <c r="AL131" s="159">
        <v>128</v>
      </c>
      <c r="AM131" s="159">
        <f t="shared" si="8"/>
        <v>24</v>
      </c>
      <c r="AN131" s="159">
        <f>INDEX($AA$5:$AA$34,AM129)</f>
        <v>3.75</v>
      </c>
    </row>
    <row r="132" spans="38:40" ht="16.5" x14ac:dyDescent="0.2">
      <c r="AL132" s="159">
        <v>129</v>
      </c>
      <c r="AM132" s="159">
        <f t="shared" si="8"/>
        <v>24</v>
      </c>
      <c r="AN132" s="161"/>
    </row>
    <row r="133" spans="38:40" ht="16.5" x14ac:dyDescent="0.2">
      <c r="AL133" s="159">
        <v>130</v>
      </c>
      <c r="AM133" s="159">
        <f t="shared" ref="AM133:AM153" si="9">MATCH(AL133-1,$M$4:$M$34,1)</f>
        <v>24</v>
      </c>
      <c r="AN133" s="161"/>
    </row>
    <row r="134" spans="38:40" ht="16.5" x14ac:dyDescent="0.2">
      <c r="AL134" s="159">
        <v>131</v>
      </c>
      <c r="AM134" s="159">
        <f t="shared" si="9"/>
        <v>25</v>
      </c>
      <c r="AN134" s="159">
        <f>INDEX($U$5:$U$34,AM134)</f>
        <v>6.8700000000000045</v>
      </c>
    </row>
    <row r="135" spans="38:40" ht="16.5" x14ac:dyDescent="0.2">
      <c r="AL135" s="159">
        <v>132</v>
      </c>
      <c r="AM135" s="159">
        <f t="shared" si="9"/>
        <v>25</v>
      </c>
      <c r="AN135" s="159">
        <f>INDEX($W$5:$W$34,AM134)</f>
        <v>6.0499999999999972</v>
      </c>
    </row>
    <row r="136" spans="38:40" ht="16.5" x14ac:dyDescent="0.2">
      <c r="AL136" s="159">
        <v>133</v>
      </c>
      <c r="AM136" s="159">
        <f t="shared" si="9"/>
        <v>25</v>
      </c>
      <c r="AN136" s="159">
        <f>INDEX($AA$5:$AA$34,AM134)</f>
        <v>4.3800000000000026</v>
      </c>
    </row>
    <row r="137" spans="38:40" ht="16.5" x14ac:dyDescent="0.2">
      <c r="AL137" s="159">
        <v>134</v>
      </c>
      <c r="AM137" s="159">
        <f t="shared" si="9"/>
        <v>25</v>
      </c>
      <c r="AN137" s="161"/>
    </row>
    <row r="138" spans="38:40" ht="16.5" x14ac:dyDescent="0.2">
      <c r="AL138" s="159">
        <v>135</v>
      </c>
      <c r="AM138" s="159">
        <f t="shared" si="9"/>
        <v>25</v>
      </c>
      <c r="AN138" s="161"/>
    </row>
    <row r="139" spans="38:40" ht="16.5" x14ac:dyDescent="0.2">
      <c r="AL139" s="159">
        <v>136</v>
      </c>
      <c r="AM139" s="159">
        <f t="shared" si="9"/>
        <v>26</v>
      </c>
      <c r="AN139" s="159">
        <f>INDEX($U$5:$U$34,AM139)</f>
        <v>8.2000000000000028</v>
      </c>
    </row>
    <row r="140" spans="38:40" ht="16.5" x14ac:dyDescent="0.2">
      <c r="AL140" s="159">
        <v>137</v>
      </c>
      <c r="AM140" s="159">
        <f t="shared" si="9"/>
        <v>26</v>
      </c>
      <c r="AN140" s="159">
        <f>INDEX($W$5:$W$34,AM139)</f>
        <v>7.240000000000002</v>
      </c>
    </row>
    <row r="141" spans="38:40" ht="16.5" x14ac:dyDescent="0.2">
      <c r="AL141" s="159">
        <v>138</v>
      </c>
      <c r="AM141" s="159">
        <f t="shared" si="9"/>
        <v>26</v>
      </c>
      <c r="AN141" s="159">
        <f>INDEX($AA$5:$AA$34,AM139)</f>
        <v>5.2100000000000009</v>
      </c>
    </row>
    <row r="142" spans="38:40" ht="16.5" x14ac:dyDescent="0.2">
      <c r="AL142" s="159">
        <v>139</v>
      </c>
      <c r="AM142" s="159">
        <f t="shared" si="9"/>
        <v>26</v>
      </c>
      <c r="AN142" s="161"/>
    </row>
    <row r="143" spans="38:40" ht="16.5" x14ac:dyDescent="0.2">
      <c r="AL143" s="159">
        <v>140</v>
      </c>
      <c r="AM143" s="159">
        <f t="shared" si="9"/>
        <v>26</v>
      </c>
      <c r="AN143" s="161"/>
    </row>
    <row r="144" spans="38:40" ht="16.5" x14ac:dyDescent="0.2">
      <c r="AL144" s="159">
        <v>141</v>
      </c>
      <c r="AM144" s="159">
        <f t="shared" si="9"/>
        <v>27</v>
      </c>
      <c r="AN144" s="159">
        <f>INDEX($U$5:$U$34,AM144)</f>
        <v>9.8699999999999903</v>
      </c>
    </row>
    <row r="145" spans="38:40" ht="16.5" x14ac:dyDescent="0.2">
      <c r="AL145" s="159">
        <v>142</v>
      </c>
      <c r="AM145" s="159">
        <f t="shared" si="9"/>
        <v>27</v>
      </c>
      <c r="AN145" s="159">
        <f>INDEX($W$5:$W$34,AM144)</f>
        <v>8.7099999999999937</v>
      </c>
    </row>
    <row r="146" spans="38:40" ht="16.5" x14ac:dyDescent="0.2">
      <c r="AL146" s="159">
        <v>143</v>
      </c>
      <c r="AM146" s="159">
        <f t="shared" si="9"/>
        <v>27</v>
      </c>
      <c r="AN146" s="159">
        <f>INDEX($AA$5:$AA$34,AM144)</f>
        <v>6.25</v>
      </c>
    </row>
    <row r="147" spans="38:40" ht="16.5" x14ac:dyDescent="0.2">
      <c r="AL147" s="159">
        <v>144</v>
      </c>
      <c r="AM147" s="159">
        <f t="shared" si="9"/>
        <v>27</v>
      </c>
      <c r="AN147" s="161"/>
    </row>
    <row r="148" spans="38:40" ht="16.5" x14ac:dyDescent="0.2">
      <c r="AL148" s="159">
        <v>145</v>
      </c>
      <c r="AM148" s="159">
        <f t="shared" si="9"/>
        <v>27</v>
      </c>
      <c r="AN148" s="161"/>
    </row>
    <row r="149" spans="38:40" ht="16.5" x14ac:dyDescent="0.2">
      <c r="AL149" s="159">
        <v>146</v>
      </c>
      <c r="AM149" s="159">
        <f t="shared" si="9"/>
        <v>28</v>
      </c>
      <c r="AN149" s="159">
        <f>INDEX($U$5:$U$34,AM149)</f>
        <v>11.200000000000003</v>
      </c>
    </row>
    <row r="150" spans="38:40" ht="16.5" x14ac:dyDescent="0.2">
      <c r="AL150" s="159">
        <v>147</v>
      </c>
      <c r="AM150" s="159">
        <f t="shared" si="9"/>
        <v>28</v>
      </c>
      <c r="AN150" s="159">
        <f>INDEX($W$5:$W$34,AM149)</f>
        <v>9.8800000000000097</v>
      </c>
    </row>
    <row r="151" spans="38:40" ht="16.5" x14ac:dyDescent="0.2">
      <c r="AL151" s="159">
        <v>148</v>
      </c>
      <c r="AM151" s="159">
        <f t="shared" si="9"/>
        <v>28</v>
      </c>
      <c r="AN151" s="159">
        <f>INDEX($AA$5:$AA$34,AM149)</f>
        <v>7.0799999999999983</v>
      </c>
    </row>
    <row r="152" spans="38:40" ht="16.5" x14ac:dyDescent="0.2">
      <c r="AL152" s="159">
        <v>149</v>
      </c>
      <c r="AM152" s="159">
        <f t="shared" si="9"/>
        <v>28</v>
      </c>
      <c r="AN152" s="161"/>
    </row>
    <row r="153" spans="38:40" ht="16.5" x14ac:dyDescent="0.2">
      <c r="AL153" s="159">
        <v>150</v>
      </c>
      <c r="AM153" s="159">
        <f t="shared" si="9"/>
        <v>28</v>
      </c>
      <c r="AN153" s="161"/>
    </row>
  </sheetData>
  <mergeCells count="2">
    <mergeCell ref="BY2:CB2"/>
    <mergeCell ref="BI2:BQ2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DU304"/>
  <sheetViews>
    <sheetView workbookViewId="0">
      <selection activeCell="F38" sqref="F38"/>
    </sheetView>
  </sheetViews>
  <sheetFormatPr defaultRowHeight="14.25" x14ac:dyDescent="0.2"/>
  <cols>
    <col min="3" max="4" width="9" style="111"/>
    <col min="5" max="5" width="8.875" customWidth="1"/>
    <col min="6" max="6" width="9.625" customWidth="1"/>
    <col min="7" max="7" width="12.25" customWidth="1"/>
    <col min="8" max="8" width="11.375" customWidth="1"/>
    <col min="9" max="9" width="13" customWidth="1"/>
    <col min="10" max="10" width="13.5" customWidth="1"/>
    <col min="11" max="11" width="15.875" customWidth="1"/>
    <col min="12" max="12" width="15" customWidth="1"/>
    <col min="13" max="13" width="14.25" customWidth="1"/>
    <col min="14" max="14" width="14.5" customWidth="1"/>
    <col min="15" max="15" width="14.5" style="122" customWidth="1"/>
    <col min="16" max="16" width="12.875" customWidth="1"/>
    <col min="17" max="17" width="10.25" customWidth="1"/>
    <col min="18" max="18" width="9.75" customWidth="1"/>
    <col min="19" max="19" width="15.625" customWidth="1"/>
    <col min="20" max="20" width="15.125" customWidth="1"/>
    <col min="21" max="24" width="15.625" customWidth="1"/>
    <col min="25" max="26" width="11.75" customWidth="1"/>
    <col min="27" max="27" width="13.625" customWidth="1"/>
    <col min="28" max="28" width="12.75" style="157" customWidth="1"/>
    <col min="29" max="29" width="14" customWidth="1"/>
    <col min="30" max="30" width="13.5" style="120" customWidth="1"/>
    <col min="31" max="31" width="12.875" style="120" customWidth="1"/>
    <col min="32" max="32" width="10.5" customWidth="1"/>
    <col min="45" max="47" width="11.125" customWidth="1"/>
    <col min="51" max="51" width="9.625" customWidth="1"/>
    <col min="52" max="52" width="10.5" customWidth="1"/>
    <col min="53" max="55" width="10.625" customWidth="1"/>
    <col min="68" max="68" width="9" style="114"/>
    <col min="72" max="72" width="9" style="111"/>
    <col min="73" max="73" width="10.625" style="120" customWidth="1"/>
    <col min="74" max="74" width="10.125" style="120" customWidth="1"/>
    <col min="75" max="75" width="11.375" style="120" customWidth="1"/>
    <col min="76" max="76" width="10.75" style="120" customWidth="1"/>
    <col min="77" max="77" width="9" style="120"/>
    <col min="78" max="78" width="41.125" style="120" customWidth="1"/>
    <col min="79" max="79" width="9" style="120"/>
    <col min="80" max="80" width="13.875" customWidth="1"/>
    <col min="81" max="81" width="10.5" customWidth="1"/>
    <col min="82" max="82" width="17.5" customWidth="1"/>
    <col min="83" max="83" width="11.375" customWidth="1"/>
    <col min="84" max="84" width="9.875" customWidth="1"/>
    <col min="89" max="89" width="9" style="117"/>
    <col min="90" max="90" width="9" style="120"/>
    <col min="93" max="93" width="10.25" style="117" customWidth="1"/>
    <col min="94" max="98" width="10.25" style="120" customWidth="1"/>
    <col min="99" max="99" width="38.75" style="120" customWidth="1"/>
    <col min="100" max="100" width="10.25" style="120" customWidth="1"/>
    <col min="101" max="101" width="15.875" customWidth="1"/>
    <col min="103" max="103" width="15.25" customWidth="1"/>
    <col min="104" max="104" width="11.125" customWidth="1"/>
    <col min="105" max="105" width="11.25" customWidth="1"/>
    <col min="106" max="106" width="11.5" customWidth="1"/>
    <col min="112" max="112" width="9" style="120"/>
    <col min="113" max="113" width="14.625" customWidth="1"/>
    <col min="118" max="118" width="40.75" customWidth="1"/>
    <col min="119" max="119" width="18.75" customWidth="1"/>
    <col min="120" max="120" width="13.75" customWidth="1"/>
    <col min="121" max="121" width="14.125" customWidth="1"/>
    <col min="122" max="122" width="18.375" customWidth="1"/>
    <col min="123" max="123" width="14.25" customWidth="1"/>
    <col min="124" max="124" width="16.125" style="120" customWidth="1"/>
    <col min="125" max="125" width="14.25" style="120" customWidth="1"/>
  </cols>
  <sheetData>
    <row r="2" spans="1:125" ht="16.5" x14ac:dyDescent="0.2">
      <c r="AE2" s="120">
        <v>0.25</v>
      </c>
      <c r="CM2" s="44">
        <v>1.5</v>
      </c>
      <c r="CN2" s="44">
        <v>2</v>
      </c>
      <c r="CO2" s="44"/>
      <c r="CP2" s="44"/>
      <c r="CQ2" s="44"/>
      <c r="CR2" s="44"/>
      <c r="CS2" s="44"/>
      <c r="CT2" s="44"/>
      <c r="CU2" s="44"/>
      <c r="CV2" s="44"/>
      <c r="CW2" s="111"/>
      <c r="CX2" s="111"/>
      <c r="CY2" s="111"/>
      <c r="CZ2" s="111"/>
      <c r="DA2" s="111"/>
      <c r="DB2" s="111"/>
    </row>
    <row r="3" spans="1:125" ht="20.25" x14ac:dyDescent="0.2">
      <c r="A3" s="187" t="s">
        <v>98</v>
      </c>
      <c r="B3" s="187"/>
      <c r="C3" s="187"/>
      <c r="D3" s="187"/>
      <c r="E3" s="187"/>
      <c r="F3" s="187"/>
      <c r="G3" s="187"/>
      <c r="H3" s="187"/>
      <c r="I3" s="187"/>
      <c r="J3" s="187"/>
      <c r="K3" s="187"/>
      <c r="L3" s="187"/>
      <c r="N3" s="186" t="s">
        <v>107</v>
      </c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AA3" s="186" t="s">
        <v>113</v>
      </c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  <c r="AP3" s="187" t="s">
        <v>95</v>
      </c>
      <c r="AQ3" s="187"/>
      <c r="AR3" s="187"/>
      <c r="AS3" s="187"/>
      <c r="AT3" s="187"/>
      <c r="AU3" s="187"/>
      <c r="AX3" s="186" t="s">
        <v>381</v>
      </c>
      <c r="AY3" s="186"/>
      <c r="AZ3" s="186"/>
      <c r="BA3" s="186"/>
      <c r="BB3" s="186"/>
      <c r="BC3" s="186"/>
      <c r="BF3" s="186" t="s">
        <v>40</v>
      </c>
      <c r="BG3" s="186"/>
      <c r="BH3" s="186"/>
      <c r="BI3" s="186"/>
      <c r="BJ3" s="186"/>
      <c r="BK3" s="186"/>
      <c r="BN3" s="187" t="s">
        <v>267</v>
      </c>
      <c r="BO3" s="187"/>
      <c r="BP3" s="187"/>
      <c r="BQ3" s="187"/>
      <c r="BR3" s="187"/>
      <c r="BS3" s="187"/>
      <c r="BT3" s="187"/>
      <c r="BU3" s="187"/>
      <c r="BV3" s="187"/>
      <c r="BW3" s="187"/>
      <c r="BX3" s="187"/>
      <c r="BY3" s="187"/>
      <c r="BZ3" s="187"/>
      <c r="CA3" s="187"/>
      <c r="CB3" s="187"/>
      <c r="CC3" s="187"/>
      <c r="CD3" s="187"/>
      <c r="CE3" s="187"/>
      <c r="CF3" s="187"/>
      <c r="CG3" s="187"/>
      <c r="CJ3" s="187" t="s">
        <v>268</v>
      </c>
      <c r="CK3" s="187"/>
      <c r="CL3" s="187"/>
      <c r="CM3" s="187"/>
      <c r="CN3" s="187"/>
      <c r="CO3" s="187"/>
      <c r="CP3" s="187"/>
      <c r="CQ3" s="187"/>
      <c r="CR3" s="187"/>
      <c r="CS3" s="187"/>
      <c r="CT3" s="187"/>
      <c r="CU3" s="187"/>
      <c r="CV3" s="187"/>
      <c r="CW3" s="187"/>
      <c r="CX3" s="187"/>
      <c r="CY3" s="187"/>
      <c r="CZ3" s="187"/>
      <c r="DA3" s="187"/>
      <c r="DB3" s="187"/>
      <c r="DE3" s="187" t="s">
        <v>1061</v>
      </c>
      <c r="DF3" s="187"/>
      <c r="DG3" s="187"/>
      <c r="DH3" s="187"/>
      <c r="DI3" s="187"/>
      <c r="DJ3" s="187"/>
      <c r="DK3" s="187"/>
      <c r="DL3" s="187"/>
      <c r="DM3" s="187"/>
      <c r="DN3" s="187"/>
      <c r="DO3" s="187"/>
      <c r="DP3" s="187"/>
      <c r="DQ3" s="187"/>
      <c r="DR3" s="187"/>
      <c r="DS3" s="187"/>
      <c r="DT3" s="187"/>
      <c r="DU3" s="187"/>
    </row>
    <row r="4" spans="1:125" ht="17.25" x14ac:dyDescent="0.2">
      <c r="A4" s="12" t="s">
        <v>34</v>
      </c>
      <c r="B4" s="12" t="s">
        <v>551</v>
      </c>
      <c r="C4" s="12" t="s">
        <v>1015</v>
      </c>
      <c r="D4" s="12" t="s">
        <v>1016</v>
      </c>
      <c r="E4" s="12" t="s">
        <v>99</v>
      </c>
      <c r="F4" s="12" t="s">
        <v>36</v>
      </c>
      <c r="G4" s="12" t="s">
        <v>100</v>
      </c>
      <c r="H4" s="12" t="s">
        <v>102</v>
      </c>
      <c r="I4" s="12" t="s">
        <v>103</v>
      </c>
      <c r="J4" s="12" t="s">
        <v>101</v>
      </c>
      <c r="K4" s="12" t="s">
        <v>104</v>
      </c>
      <c r="L4" s="12" t="s">
        <v>106</v>
      </c>
      <c r="N4" s="12" t="s">
        <v>34</v>
      </c>
      <c r="O4" s="12" t="s">
        <v>1077</v>
      </c>
      <c r="P4" s="12" t="s">
        <v>112</v>
      </c>
      <c r="Q4" s="12" t="s">
        <v>445</v>
      </c>
      <c r="R4" s="12" t="s">
        <v>108</v>
      </c>
      <c r="S4" s="12" t="s">
        <v>109</v>
      </c>
      <c r="T4" s="12" t="s">
        <v>99</v>
      </c>
      <c r="U4" s="12" t="s">
        <v>110</v>
      </c>
      <c r="V4" s="12" t="s">
        <v>111</v>
      </c>
      <c r="W4" s="12" t="s">
        <v>105</v>
      </c>
      <c r="X4" s="12" t="s">
        <v>216</v>
      </c>
      <c r="Y4" s="12" t="s">
        <v>217</v>
      </c>
      <c r="AA4" s="12" t="s">
        <v>34</v>
      </c>
      <c r="AB4" s="12" t="s">
        <v>1434</v>
      </c>
      <c r="AC4" s="12" t="s">
        <v>112</v>
      </c>
      <c r="AD4" s="12" t="s">
        <v>1035</v>
      </c>
      <c r="AE4" s="12" t="s">
        <v>1090</v>
      </c>
      <c r="AF4" s="12" t="s">
        <v>445</v>
      </c>
      <c r="AG4" s="12" t="s">
        <v>109</v>
      </c>
      <c r="AH4" s="12" t="s">
        <v>99</v>
      </c>
      <c r="AI4" s="12" t="s">
        <v>1036</v>
      </c>
      <c r="AJ4" s="12" t="s">
        <v>111</v>
      </c>
      <c r="AK4" s="12" t="s">
        <v>1037</v>
      </c>
      <c r="AL4" s="12" t="s">
        <v>216</v>
      </c>
      <c r="AM4" s="12" t="s">
        <v>217</v>
      </c>
      <c r="AP4" s="12" t="s">
        <v>33</v>
      </c>
      <c r="AQ4" s="12" t="s">
        <v>34</v>
      </c>
      <c r="AR4" s="12" t="s">
        <v>35</v>
      </c>
      <c r="AS4" s="12" t="s">
        <v>36</v>
      </c>
      <c r="AT4" s="12" t="s">
        <v>110</v>
      </c>
      <c r="AU4" s="12" t="s">
        <v>105</v>
      </c>
      <c r="AX4" s="12" t="s">
        <v>33</v>
      </c>
      <c r="AY4" s="12" t="s">
        <v>34</v>
      </c>
      <c r="AZ4" s="12" t="s">
        <v>35</v>
      </c>
      <c r="BA4" s="12" t="s">
        <v>39</v>
      </c>
      <c r="BB4" s="12" t="s">
        <v>96</v>
      </c>
      <c r="BC4" s="12" t="s">
        <v>97</v>
      </c>
      <c r="BF4" s="12" t="s">
        <v>33</v>
      </c>
      <c r="BG4" s="12" t="s">
        <v>34</v>
      </c>
      <c r="BH4" s="12" t="s">
        <v>35</v>
      </c>
      <c r="BI4" s="12" t="s">
        <v>39</v>
      </c>
      <c r="BJ4" s="12" t="s">
        <v>96</v>
      </c>
      <c r="BK4" s="12" t="s">
        <v>97</v>
      </c>
      <c r="BN4" s="12" t="s">
        <v>258</v>
      </c>
      <c r="BO4" s="12" t="s">
        <v>259</v>
      </c>
      <c r="BP4" s="12" t="s">
        <v>1023</v>
      </c>
      <c r="BQ4" s="12" t="s">
        <v>260</v>
      </c>
      <c r="BR4" s="12" t="s">
        <v>263</v>
      </c>
      <c r="BS4" s="12" t="s">
        <v>264</v>
      </c>
      <c r="BT4" s="12" t="s">
        <v>1022</v>
      </c>
      <c r="BU4" s="12" t="s">
        <v>1042</v>
      </c>
      <c r="BV4" s="12" t="s">
        <v>1043</v>
      </c>
      <c r="BW4" s="12" t="s">
        <v>1044</v>
      </c>
      <c r="BX4" s="12" t="s">
        <v>1045</v>
      </c>
      <c r="BY4" s="12" t="s">
        <v>1046</v>
      </c>
      <c r="BZ4" s="12" t="s">
        <v>1047</v>
      </c>
      <c r="CA4" s="12" t="s">
        <v>1048</v>
      </c>
      <c r="CB4" s="12" t="s">
        <v>1038</v>
      </c>
      <c r="CC4" s="12" t="s">
        <v>1039</v>
      </c>
      <c r="CD4" s="12" t="s">
        <v>261</v>
      </c>
      <c r="CE4" s="12" t="s">
        <v>262</v>
      </c>
      <c r="CF4" s="12" t="s">
        <v>1040</v>
      </c>
      <c r="CG4" s="12" t="s">
        <v>1041</v>
      </c>
      <c r="CJ4" s="45" t="s">
        <v>269</v>
      </c>
      <c r="CK4" s="45" t="s">
        <v>1028</v>
      </c>
      <c r="CL4" s="45" t="s">
        <v>1053</v>
      </c>
      <c r="CM4" s="12" t="s">
        <v>263</v>
      </c>
      <c r="CN4" s="12" t="s">
        <v>264</v>
      </c>
      <c r="CO4" s="12" t="s">
        <v>1029</v>
      </c>
      <c r="CP4" s="12" t="s">
        <v>1042</v>
      </c>
      <c r="CQ4" s="12" t="s">
        <v>1043</v>
      </c>
      <c r="CR4" s="12" t="s">
        <v>1044</v>
      </c>
      <c r="CS4" s="12" t="s">
        <v>1045</v>
      </c>
      <c r="CT4" s="12" t="s">
        <v>1046</v>
      </c>
      <c r="CU4" s="12" t="s">
        <v>1047</v>
      </c>
      <c r="CV4" s="12" t="s">
        <v>1048</v>
      </c>
      <c r="CW4" s="12" t="s">
        <v>1049</v>
      </c>
      <c r="CX4" s="12" t="s">
        <v>1050</v>
      </c>
      <c r="CY4" s="12" t="s">
        <v>261</v>
      </c>
      <c r="CZ4" s="12" t="s">
        <v>262</v>
      </c>
      <c r="DA4" s="12" t="s">
        <v>1051</v>
      </c>
      <c r="DB4" s="12" t="s">
        <v>1041</v>
      </c>
      <c r="DE4" s="12" t="s">
        <v>258</v>
      </c>
      <c r="DF4" s="12" t="s">
        <v>114</v>
      </c>
      <c r="DG4" s="12" t="s">
        <v>1023</v>
      </c>
      <c r="DH4" s="12" t="s">
        <v>1068</v>
      </c>
      <c r="DI4" s="12" t="s">
        <v>1054</v>
      </c>
      <c r="DJ4" s="12" t="s">
        <v>1043</v>
      </c>
      <c r="DK4" s="12" t="s">
        <v>150</v>
      </c>
      <c r="DL4" s="12" t="s">
        <v>1055</v>
      </c>
      <c r="DM4" s="12" t="s">
        <v>230</v>
      </c>
      <c r="DN4" s="12" t="s">
        <v>317</v>
      </c>
      <c r="DO4" s="12" t="s">
        <v>1056</v>
      </c>
      <c r="DP4" s="12" t="s">
        <v>1057</v>
      </c>
      <c r="DQ4" s="12" t="s">
        <v>1058</v>
      </c>
      <c r="DR4" s="12" t="s">
        <v>1059</v>
      </c>
      <c r="DS4" s="12" t="s">
        <v>1060</v>
      </c>
      <c r="DT4" s="12" t="s">
        <v>1063</v>
      </c>
      <c r="DU4" s="12" t="s">
        <v>1064</v>
      </c>
    </row>
    <row r="5" spans="1:125" ht="16.5" x14ac:dyDescent="0.2">
      <c r="A5" s="24">
        <v>0</v>
      </c>
      <c r="B5" s="109">
        <v>0</v>
      </c>
      <c r="C5" s="109">
        <v>0</v>
      </c>
      <c r="D5" s="109">
        <v>0</v>
      </c>
      <c r="E5" s="109">
        <v>0</v>
      </c>
      <c r="F5" s="109">
        <v>0</v>
      </c>
      <c r="G5" s="109">
        <v>0</v>
      </c>
      <c r="H5" s="109">
        <v>0</v>
      </c>
      <c r="I5" s="109">
        <v>0</v>
      </c>
      <c r="J5" s="109">
        <v>0</v>
      </c>
      <c r="K5" s="24">
        <v>10</v>
      </c>
      <c r="L5" s="24">
        <v>0</v>
      </c>
      <c r="N5" s="24">
        <v>0</v>
      </c>
      <c r="O5" s="121">
        <v>0</v>
      </c>
      <c r="P5" s="24">
        <v>0</v>
      </c>
      <c r="Q5" s="14">
        <f>SUM(P$5:P5)</f>
        <v>0</v>
      </c>
      <c r="R5" s="24"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34">
        <v>0</v>
      </c>
      <c r="Y5" s="34">
        <v>0</v>
      </c>
      <c r="AA5" s="24">
        <v>0</v>
      </c>
      <c r="AB5" s="155"/>
      <c r="AC5" s="24">
        <v>0</v>
      </c>
      <c r="AD5" s="118"/>
      <c r="AE5" s="118"/>
      <c r="AF5" s="67">
        <f>SUM(AC$5:AC5)</f>
        <v>0</v>
      </c>
      <c r="AG5" s="24">
        <v>0</v>
      </c>
      <c r="AH5" s="24">
        <v>0</v>
      </c>
      <c r="AI5" s="24">
        <v>0</v>
      </c>
      <c r="AJ5" s="24">
        <v>0</v>
      </c>
      <c r="AK5" s="24">
        <v>0</v>
      </c>
      <c r="AL5" s="34"/>
      <c r="AM5" s="34"/>
      <c r="AP5" s="24">
        <v>1</v>
      </c>
      <c r="AQ5" s="14">
        <f>MATCH(AP5-1,$D$5:$D$35,1)</f>
        <v>1</v>
      </c>
      <c r="AR5" s="24">
        <f>AP5-INDEX($D$5:$D$35,AQ5)</f>
        <v>1</v>
      </c>
      <c r="AS5" s="24">
        <f>INDEX($F$6:$F$35,AQ5)</f>
        <v>5</v>
      </c>
      <c r="AT5" s="24">
        <f>INT(INDEX($H$5:$H$35,AQ5)+AR5*INDEX($I$6:$I$35,AQ5))</f>
        <v>2</v>
      </c>
      <c r="AU5" s="24">
        <f>INT(INDEX($K$5:$K$35,AQ5)+AR5*INDEX($L$6:$L$35,AQ5))</f>
        <v>13</v>
      </c>
      <c r="AX5" s="17">
        <v>1</v>
      </c>
      <c r="AY5" s="14">
        <f t="shared" ref="AY5:AY68" si="0">INDEX($N$5:$N$36,MATCH(AX5-1,$Q$5:$Q$36,1))+1</f>
        <v>1</v>
      </c>
      <c r="AZ5" s="14">
        <f>AX5-INDEX($Q$5:$Q$36,AY5)</f>
        <v>1</v>
      </c>
      <c r="BA5" s="14">
        <v>50</v>
      </c>
      <c r="BB5" s="14">
        <f t="shared" ref="BB5:BB68" si="1">INDEX($U$6:$U$35,AY5)</f>
        <v>300</v>
      </c>
      <c r="BC5" s="14">
        <f t="shared" ref="BC5:BC68" si="2">INDEX($W$6:$W$35,AY5)</f>
        <v>1125</v>
      </c>
      <c r="BF5" s="17">
        <v>1</v>
      </c>
      <c r="BG5" s="14">
        <f>INDEX($AA$5:$AA$35,MATCH(BF5-1,$AF$5:$AF$35,1))+1</f>
        <v>1</v>
      </c>
      <c r="BH5" s="14">
        <f>BF5-INDEX($AF$5:$AF$35,BG5)</f>
        <v>1</v>
      </c>
      <c r="BI5" s="14">
        <f t="shared" ref="BI5:BI68" si="3">INDEX($AG$6:$AG$35,BG5)</f>
        <v>100</v>
      </c>
      <c r="BJ5" s="14">
        <f t="shared" ref="BJ5:BJ68" si="4">INDEX($AI$6:$AI$35,BG5)</f>
        <v>900</v>
      </c>
      <c r="BK5" s="14">
        <f t="shared" ref="BK5:BK68" si="5">INDEX($AK$6:$AK$35,BG5)</f>
        <v>2250</v>
      </c>
      <c r="BN5" s="109">
        <v>1</v>
      </c>
      <c r="BO5" s="109">
        <f>INDEX($A$6:$A$35,INT((BN5-1)/3)+1)</f>
        <v>1</v>
      </c>
      <c r="BP5" s="112">
        <f>INDEX($B$6:$B$35,BO5)</f>
        <v>10</v>
      </c>
      <c r="BQ5" s="109">
        <f t="shared" ref="BQ5:BQ49" si="6">MOD(BN5-1,3)+1</f>
        <v>1</v>
      </c>
      <c r="BR5" s="109">
        <v>60</v>
      </c>
      <c r="BS5" s="109">
        <v>90</v>
      </c>
      <c r="BT5" s="109">
        <v>1</v>
      </c>
      <c r="BU5" s="14">
        <f>10000+BW5*10+BQ5</f>
        <v>11011</v>
      </c>
      <c r="BV5" s="118">
        <v>1</v>
      </c>
      <c r="BW5" s="14">
        <f>100+BO5</f>
        <v>101</v>
      </c>
      <c r="BX5" s="118" t="s">
        <v>1052</v>
      </c>
      <c r="BY5" s="14">
        <f>BQ5</f>
        <v>1</v>
      </c>
      <c r="BZ5" s="118" t="str">
        <f>CB5&amp;CC5&amp;CD5&amp;CE5&amp;CF5&amp;CG5</f>
        <v>钻石50绿色基础材料8金币600</v>
      </c>
      <c r="CA5" s="14">
        <f>BY5*10</f>
        <v>10</v>
      </c>
      <c r="CB5" s="109" t="s">
        <v>266</v>
      </c>
      <c r="CC5" s="109">
        <v>50</v>
      </c>
      <c r="CD5" s="109" t="str">
        <f>INDEX(挂机升级突破!$BX$4:$CB$4,章节关卡!BT5)</f>
        <v>绿色基础材料</v>
      </c>
      <c r="CE5" s="109">
        <f>ROUND(INDEX(挂机升级突破!$Q$7:$U$37,BO5+2,章节关卡!BT5)/INDEX(挂机升级突破!$Q$5:$U$5,章节关卡!BT5)*章节关卡!BS5,0)</f>
        <v>8</v>
      </c>
      <c r="CF5" s="109" t="s">
        <v>265</v>
      </c>
      <c r="CG5" s="109">
        <f t="shared" ref="CG5:CG36" si="7">INDEX($H$6:$H$35,BO5)*BR5</f>
        <v>600</v>
      </c>
      <c r="CJ5" s="109">
        <f t="shared" ref="CJ5:CJ36" si="8">BO5</f>
        <v>1</v>
      </c>
      <c r="CK5" s="115">
        <f t="shared" ref="CK5:CK36" si="9">BP5+10</f>
        <v>20</v>
      </c>
      <c r="CL5" s="118">
        <v>1</v>
      </c>
      <c r="CM5" s="109">
        <f t="shared" ref="CM5:CM36" si="10">BR5*CM$2</f>
        <v>90</v>
      </c>
      <c r="CN5" s="109">
        <f t="shared" ref="CN5:CN36" si="11">BS5*CN$2</f>
        <v>180</v>
      </c>
      <c r="CO5" s="115">
        <v>1</v>
      </c>
      <c r="CP5" s="14">
        <f>10000+CR5*10+CL5</f>
        <v>12011</v>
      </c>
      <c r="CQ5" s="118">
        <v>2</v>
      </c>
      <c r="CR5" s="14">
        <f>200+CJ5</f>
        <v>201</v>
      </c>
      <c r="CS5" s="118" t="s">
        <v>1052</v>
      </c>
      <c r="CT5" s="14">
        <f>CL5</f>
        <v>1</v>
      </c>
      <c r="CU5" s="118" t="str">
        <f>CW5&amp;CX5&amp;CY5&amp;CZ5&amp;DA5&amp;DB5</f>
        <v>钻石100绿色基础材料23金币900</v>
      </c>
      <c r="CV5" s="14">
        <f>CT5*10</f>
        <v>10</v>
      </c>
      <c r="CW5" s="109" t="s">
        <v>270</v>
      </c>
      <c r="CX5" s="109">
        <v>100</v>
      </c>
      <c r="CY5" s="109" t="str">
        <f>INDEX(挂机升级突破!$BX$4:$CG$4,章节关卡!CO5)</f>
        <v>绿色基础材料</v>
      </c>
      <c r="CZ5" s="109">
        <f>ROUND(INDEX(挂机升级突破!$Q$7:$Z$37,CJ5+3,章节关卡!CO5)/INDEX(挂机升级突破!$Q$5:$Z$5,章节关卡!CO5)*章节关卡!CN5,0)</f>
        <v>23</v>
      </c>
      <c r="DA5" s="109" t="s">
        <v>265</v>
      </c>
      <c r="DB5" s="109">
        <f t="shared" ref="DB5:DB36" si="12">INDEX($H$6:$H$35,BO5)*CM5</f>
        <v>900</v>
      </c>
      <c r="DE5" s="118">
        <v>1</v>
      </c>
      <c r="DF5" s="14">
        <f>INT((DE5-1)/3)+1</f>
        <v>1</v>
      </c>
      <c r="DG5" s="118">
        <f>BP5</f>
        <v>10</v>
      </c>
      <c r="DH5" s="118">
        <v>30</v>
      </c>
      <c r="DI5" s="118">
        <f>20000+DK5*10+DM5</f>
        <v>21011</v>
      </c>
      <c r="DJ5" s="118">
        <v>1</v>
      </c>
      <c r="DK5" s="14">
        <f>DF5+100</f>
        <v>101</v>
      </c>
      <c r="DL5" s="118" t="s">
        <v>1062</v>
      </c>
      <c r="DM5" s="118">
        <v>1</v>
      </c>
      <c r="DN5" s="118" t="str">
        <f>DP5&amp;DQ5&amp;DR5&amp;DS5&amp;DT5&amp;DU5</f>
        <v>钻石10守护灵初级抽卡券2守护灵经验750</v>
      </c>
      <c r="DO5" s="14">
        <f>DK5*100+3</f>
        <v>10103</v>
      </c>
      <c r="DP5" s="118" t="s">
        <v>1065</v>
      </c>
      <c r="DQ5" s="118">
        <v>10</v>
      </c>
      <c r="DR5" s="118" t="s">
        <v>1066</v>
      </c>
      <c r="DS5" s="118">
        <v>2</v>
      </c>
      <c r="DT5" s="118" t="s">
        <v>1067</v>
      </c>
      <c r="DU5" s="118">
        <f>INDEX($K$6:$K$35,DF5)*DH5</f>
        <v>750</v>
      </c>
    </row>
    <row r="6" spans="1:125" ht="16.5" x14ac:dyDescent="0.2">
      <c r="A6" s="24">
        <v>1</v>
      </c>
      <c r="B6" s="76">
        <v>10</v>
      </c>
      <c r="C6" s="109">
        <v>4</v>
      </c>
      <c r="D6" s="14">
        <f>SUM(C$5:C6)</f>
        <v>4</v>
      </c>
      <c r="E6" s="24">
        <v>5</v>
      </c>
      <c r="F6" s="24">
        <v>5</v>
      </c>
      <c r="G6" s="76">
        <v>5</v>
      </c>
      <c r="H6" s="24">
        <v>10</v>
      </c>
      <c r="I6" s="24">
        <f t="shared" ref="I6:I20" si="13">(H6-H5)/$E6</f>
        <v>2</v>
      </c>
      <c r="J6" s="24">
        <v>5</v>
      </c>
      <c r="K6" s="24">
        <f t="shared" ref="K6:K20" si="14">F6*J6</f>
        <v>25</v>
      </c>
      <c r="L6" s="24">
        <f>(K6-K5)/$E6</f>
        <v>3</v>
      </c>
      <c r="N6" s="24">
        <v>1</v>
      </c>
      <c r="O6" s="121">
        <v>1</v>
      </c>
      <c r="P6" s="24">
        <v>10</v>
      </c>
      <c r="Q6" s="14">
        <f>SUM(P$5:P6)</f>
        <v>10</v>
      </c>
      <c r="R6" s="24">
        <v>10</v>
      </c>
      <c r="S6" s="24">
        <f t="shared" ref="S6:S35" si="15">INDEX($F$6:$F$35,N6)*R6</f>
        <v>50</v>
      </c>
      <c r="T6" s="24">
        <v>30</v>
      </c>
      <c r="U6" s="24">
        <f t="shared" ref="U6:U35" si="16">INDEX($H$6:$H$35,N6)*T6</f>
        <v>300</v>
      </c>
      <c r="V6" s="24">
        <v>45</v>
      </c>
      <c r="W6" s="24">
        <f t="shared" ref="W6:W35" si="17">INDEX($K$6:$K$37,N6)*V6</f>
        <v>1125</v>
      </c>
      <c r="X6" s="34">
        <v>60</v>
      </c>
      <c r="Y6" s="34">
        <f t="shared" ref="Y6:Y35" si="18">INDEX($K$6:$K$35,N6)*X6</f>
        <v>1500</v>
      </c>
      <c r="AA6" s="24">
        <v>1</v>
      </c>
      <c r="AB6" s="155">
        <v>2</v>
      </c>
      <c r="AC6" s="24">
        <v>10</v>
      </c>
      <c r="AD6" s="118">
        <f>INDEX(节奏总表!$N$5:$N$34,章节关卡!AB6)</f>
        <v>4</v>
      </c>
      <c r="AE6" s="155">
        <v>140</v>
      </c>
      <c r="AF6" s="14">
        <f>SUM(AC$5:AC6)</f>
        <v>10</v>
      </c>
      <c r="AG6" s="14">
        <f>ROUND(INDEX($F$6:$F$35,AA6+2)*AE6/50,0)*5</f>
        <v>100</v>
      </c>
      <c r="AH6" s="24">
        <v>60</v>
      </c>
      <c r="AI6" s="14">
        <f>INDEX($H$6:$H$35,AB6)*AH6</f>
        <v>900</v>
      </c>
      <c r="AJ6" s="24">
        <v>90</v>
      </c>
      <c r="AK6" s="14">
        <f t="shared" ref="AK6:AK35" si="19">INDEX($K$6:$K$35,AA6)*AJ6</f>
        <v>2250</v>
      </c>
      <c r="AL6" s="34">
        <v>120</v>
      </c>
      <c r="AM6" s="14">
        <f t="shared" ref="AM6:AM35" si="20">INDEX($K$6:$K$35,AA6)*AL6</f>
        <v>3000</v>
      </c>
      <c r="AP6" s="24">
        <v>2</v>
      </c>
      <c r="AQ6" s="14">
        <f t="shared" ref="AQ6:AQ69" si="21">MATCH(AP6-1,$D$5:$D$35,1)</f>
        <v>1</v>
      </c>
      <c r="AR6" s="109">
        <f t="shared" ref="AR6:AR69" si="22">AP6-INDEX($D$5:$D$35,AQ6)</f>
        <v>2</v>
      </c>
      <c r="AS6" s="109">
        <f t="shared" ref="AS6:AS69" si="23">INDEX($F$6:$F$35,AQ6)</f>
        <v>5</v>
      </c>
      <c r="AT6" s="109">
        <f t="shared" ref="AT6:AT69" si="24">INT(INDEX($H$5:$H$35,AQ6)+AR6*INDEX($I$6:$I$35,AQ6))</f>
        <v>4</v>
      </c>
      <c r="AU6" s="109">
        <f t="shared" ref="AU6:AU69" si="25">INT(INDEX($K$5:$K$35,AQ6)+AR6*INDEX($L$6:$L$35,AQ6))</f>
        <v>16</v>
      </c>
      <c r="AX6" s="17">
        <v>2</v>
      </c>
      <c r="AY6" s="14">
        <f t="shared" si="0"/>
        <v>1</v>
      </c>
      <c r="AZ6" s="14">
        <f t="shared" ref="AZ6:AZ69" si="26">AX6-INDEX($Q$5:$Q$36,AY6)</f>
        <v>2</v>
      </c>
      <c r="BA6" s="14">
        <v>50</v>
      </c>
      <c r="BB6" s="14">
        <f t="shared" si="1"/>
        <v>300</v>
      </c>
      <c r="BC6" s="14">
        <f t="shared" si="2"/>
        <v>1125</v>
      </c>
      <c r="BF6" s="17">
        <v>2</v>
      </c>
      <c r="BG6" s="14">
        <f t="shared" ref="BG6:BG69" si="27">INDEX($AA$5:$AA$35,MATCH(BF6-1,$AF$5:$AF$35,1))+1</f>
        <v>1</v>
      </c>
      <c r="BH6" s="14">
        <f t="shared" ref="BH6:BH69" si="28">BF6-INDEX($AF$5:$AF$35,BG6)</f>
        <v>2</v>
      </c>
      <c r="BI6" s="14">
        <f t="shared" si="3"/>
        <v>100</v>
      </c>
      <c r="BJ6" s="14">
        <f t="shared" si="4"/>
        <v>900</v>
      </c>
      <c r="BK6" s="14">
        <f t="shared" si="5"/>
        <v>2250</v>
      </c>
      <c r="BN6" s="109">
        <v>2</v>
      </c>
      <c r="BO6" s="109">
        <f t="shared" ref="BO6:BO69" si="29">INDEX($A$6:$A$35,INT((BN6-1)/3)+1)</f>
        <v>1</v>
      </c>
      <c r="BP6" s="112">
        <f t="shared" ref="BP6:BP69" si="30">INDEX($B$6:$B$35,BO6)</f>
        <v>10</v>
      </c>
      <c r="BQ6" s="109">
        <f t="shared" si="6"/>
        <v>2</v>
      </c>
      <c r="BR6" s="109">
        <v>120</v>
      </c>
      <c r="BS6" s="109">
        <v>180</v>
      </c>
      <c r="BT6" s="109">
        <v>1</v>
      </c>
      <c r="BU6" s="14">
        <f t="shared" ref="BU6:BU69" si="31">10000+BW6*10+BQ6</f>
        <v>11012</v>
      </c>
      <c r="BV6" s="118">
        <v>1</v>
      </c>
      <c r="BW6" s="14">
        <f t="shared" ref="BW6:BW69" si="32">100+BO6</f>
        <v>101</v>
      </c>
      <c r="BX6" s="118" t="s">
        <v>1052</v>
      </c>
      <c r="BY6" s="14">
        <f t="shared" ref="BY6:BY69" si="33">BQ6</f>
        <v>2</v>
      </c>
      <c r="BZ6" s="118" t="str">
        <f t="shared" ref="BZ6:BZ69" si="34">CB6&amp;CC6&amp;CD6&amp;CE6&amp;CF6&amp;CG6</f>
        <v>守护灵抽卡券2绿色基础材料15金币1200</v>
      </c>
      <c r="CA6" s="14">
        <f t="shared" ref="CA6:CA69" si="35">BY6*10</f>
        <v>20</v>
      </c>
      <c r="CB6" s="109" t="s">
        <v>271</v>
      </c>
      <c r="CC6" s="109">
        <v>2</v>
      </c>
      <c r="CD6" s="112" t="str">
        <f>INDEX(挂机升级突破!$BX$4:$CB$4,章节关卡!BT6)</f>
        <v>绿色基础材料</v>
      </c>
      <c r="CE6" s="115">
        <f>ROUND(INDEX(挂机升级突破!$Q$7:$U$37,BO6+2,章节关卡!BT6)/INDEX(挂机升级突破!$Q$5:$U$5,章节关卡!BT6)*章节关卡!BS6,0)</f>
        <v>15</v>
      </c>
      <c r="CF6" s="109" t="s">
        <v>265</v>
      </c>
      <c r="CG6" s="109">
        <f t="shared" si="7"/>
        <v>1200</v>
      </c>
      <c r="CJ6" s="115">
        <f t="shared" si="8"/>
        <v>1</v>
      </c>
      <c r="CK6" s="115">
        <f t="shared" si="9"/>
        <v>20</v>
      </c>
      <c r="CL6" s="118">
        <v>2</v>
      </c>
      <c r="CM6" s="109">
        <f t="shared" si="10"/>
        <v>180</v>
      </c>
      <c r="CN6" s="109">
        <f t="shared" si="11"/>
        <v>360</v>
      </c>
      <c r="CO6" s="115">
        <v>1</v>
      </c>
      <c r="CP6" s="14">
        <f t="shared" ref="CP6:CP69" si="36">10000+CR6*10+CL6</f>
        <v>12012</v>
      </c>
      <c r="CQ6" s="118">
        <v>2</v>
      </c>
      <c r="CR6" s="14">
        <f t="shared" ref="CR6:CR69" si="37">200+CJ6</f>
        <v>201</v>
      </c>
      <c r="CS6" s="118" t="s">
        <v>1052</v>
      </c>
      <c r="CT6" s="14">
        <f t="shared" ref="CT6:CT69" si="38">CL6</f>
        <v>2</v>
      </c>
      <c r="CU6" s="118" t="str">
        <f t="shared" ref="CU6:CU69" si="39">CW6&amp;CX6&amp;CY6&amp;CZ6&amp;DA6&amp;DB6</f>
        <v>熔炼值500绿色基础材料45金币1800</v>
      </c>
      <c r="CV6" s="14">
        <f t="shared" ref="CV6:CV69" si="40">CT6*10</f>
        <v>20</v>
      </c>
      <c r="CW6" s="109" t="s">
        <v>1031</v>
      </c>
      <c r="CX6" s="109">
        <v>500</v>
      </c>
      <c r="CY6" s="115" t="str">
        <f>INDEX(挂机升级突破!$BX$4:$CG$4,章节关卡!CO6)</f>
        <v>绿色基础材料</v>
      </c>
      <c r="CZ6" s="115">
        <f>ROUND(INDEX(挂机升级突破!$Q$7:$Z$37,CJ6+3,章节关卡!CO6)/INDEX(挂机升级突破!$Q$5:$Z$5,章节关卡!CO6)*章节关卡!CN6,0)</f>
        <v>45</v>
      </c>
      <c r="DA6" s="109" t="s">
        <v>265</v>
      </c>
      <c r="DB6" s="115">
        <f t="shared" si="12"/>
        <v>1800</v>
      </c>
      <c r="DE6" s="118">
        <v>2</v>
      </c>
      <c r="DF6" s="14">
        <f t="shared" ref="DF6:DF69" si="41">INT((DE6-1)/3)+1</f>
        <v>1</v>
      </c>
      <c r="DG6" s="118">
        <f t="shared" ref="DG6:DG69" si="42">BP6</f>
        <v>10</v>
      </c>
      <c r="DH6" s="118">
        <v>60</v>
      </c>
      <c r="DI6" s="118">
        <f t="shared" ref="DI6:DI69" si="43">20000+DK6*10+DM6</f>
        <v>21012</v>
      </c>
      <c r="DJ6" s="118">
        <v>1</v>
      </c>
      <c r="DK6" s="14">
        <f>DF6+100</f>
        <v>101</v>
      </c>
      <c r="DL6" s="118" t="s">
        <v>1062</v>
      </c>
      <c r="DM6" s="118">
        <v>2</v>
      </c>
      <c r="DN6" s="118" t="str">
        <f t="shared" ref="DN6:DN69" si="44">DP6&amp;DQ6&amp;DR6&amp;DS6&amp;DT6&amp;DU6</f>
        <v>钻石15守护灵初级抽卡券3守护灵经验1500</v>
      </c>
      <c r="DO6" s="14">
        <f>DK6*100+6</f>
        <v>10106</v>
      </c>
      <c r="DP6" s="118" t="s">
        <v>1065</v>
      </c>
      <c r="DQ6" s="118">
        <v>15</v>
      </c>
      <c r="DR6" s="118" t="s">
        <v>1066</v>
      </c>
      <c r="DS6" s="118">
        <v>3</v>
      </c>
      <c r="DT6" s="118" t="s">
        <v>1067</v>
      </c>
      <c r="DU6" s="118">
        <f t="shared" ref="DU6:DU69" si="45">INDEX($K$6:$K$35,DF6)*DH6</f>
        <v>1500</v>
      </c>
    </row>
    <row r="7" spans="1:125" ht="16.5" x14ac:dyDescent="0.2">
      <c r="A7" s="24">
        <v>2</v>
      </c>
      <c r="B7" s="76">
        <v>15</v>
      </c>
      <c r="C7" s="109">
        <v>4</v>
      </c>
      <c r="D7" s="14">
        <f>SUM(C$5:C7)</f>
        <v>8</v>
      </c>
      <c r="E7" s="76">
        <v>5</v>
      </c>
      <c r="F7" s="24">
        <v>6</v>
      </c>
      <c r="G7" s="24">
        <v>5</v>
      </c>
      <c r="H7" s="24">
        <v>15</v>
      </c>
      <c r="I7" s="24">
        <f t="shared" si="13"/>
        <v>1</v>
      </c>
      <c r="J7" s="76">
        <v>5</v>
      </c>
      <c r="K7" s="24">
        <f t="shared" si="14"/>
        <v>30</v>
      </c>
      <c r="L7" s="24">
        <f t="shared" ref="L7:L20" si="46">(K7-K6)/$E7</f>
        <v>1</v>
      </c>
      <c r="N7" s="24">
        <v>2</v>
      </c>
      <c r="O7" s="121">
        <v>5</v>
      </c>
      <c r="P7" s="107">
        <v>10</v>
      </c>
      <c r="Q7" s="14">
        <f>SUM(P$5:P7)</f>
        <v>20</v>
      </c>
      <c r="R7" s="24">
        <v>20</v>
      </c>
      <c r="S7" s="109">
        <f t="shared" si="15"/>
        <v>120</v>
      </c>
      <c r="T7" s="24">
        <v>30</v>
      </c>
      <c r="U7" s="109">
        <f t="shared" si="16"/>
        <v>450</v>
      </c>
      <c r="V7" s="109">
        <v>45</v>
      </c>
      <c r="W7" s="76">
        <f t="shared" si="17"/>
        <v>1350</v>
      </c>
      <c r="X7" s="34">
        <v>90</v>
      </c>
      <c r="Y7" s="109">
        <f t="shared" si="18"/>
        <v>2700</v>
      </c>
      <c r="AA7" s="77">
        <v>2</v>
      </c>
      <c r="AB7" s="155">
        <v>3</v>
      </c>
      <c r="AC7" s="109">
        <v>10</v>
      </c>
      <c r="AD7" s="155">
        <f>INDEX(节奏总表!$N$5:$N$34,章节关卡!AB7)</f>
        <v>20</v>
      </c>
      <c r="AE7" s="155">
        <f t="shared" ref="AE7:AE9" si="47">ROUND(AD7*AE$2*60,0)</f>
        <v>300</v>
      </c>
      <c r="AF7" s="14">
        <f>SUM(AC$5:AC7)</f>
        <v>20</v>
      </c>
      <c r="AG7" s="14">
        <f t="shared" ref="AG7:AG33" si="48">ROUND(INDEX($F$6:$F$35,AA7+2)*AE7/500,0)*50</f>
        <v>250</v>
      </c>
      <c r="AH7" s="24">
        <v>60</v>
      </c>
      <c r="AI7" s="14">
        <f t="shared" ref="AI7:AI35" si="49">INDEX($H$6:$H$35,AA7)*AH7</f>
        <v>900</v>
      </c>
      <c r="AJ7" s="54">
        <v>90</v>
      </c>
      <c r="AK7" s="14">
        <f t="shared" si="19"/>
        <v>2700</v>
      </c>
      <c r="AL7" s="34">
        <v>180</v>
      </c>
      <c r="AM7" s="14">
        <f t="shared" si="20"/>
        <v>5400</v>
      </c>
      <c r="AP7" s="24">
        <v>3</v>
      </c>
      <c r="AQ7" s="14">
        <f t="shared" si="21"/>
        <v>1</v>
      </c>
      <c r="AR7" s="109">
        <f t="shared" si="22"/>
        <v>3</v>
      </c>
      <c r="AS7" s="109">
        <f t="shared" si="23"/>
        <v>5</v>
      </c>
      <c r="AT7" s="109">
        <f t="shared" si="24"/>
        <v>6</v>
      </c>
      <c r="AU7" s="109">
        <f t="shared" si="25"/>
        <v>19</v>
      </c>
      <c r="AX7" s="109">
        <v>3</v>
      </c>
      <c r="AY7" s="14">
        <f t="shared" si="0"/>
        <v>1</v>
      </c>
      <c r="AZ7" s="14">
        <f t="shared" si="26"/>
        <v>3</v>
      </c>
      <c r="BA7" s="14">
        <v>50</v>
      </c>
      <c r="BB7" s="14">
        <f t="shared" si="1"/>
        <v>300</v>
      </c>
      <c r="BC7" s="14">
        <f t="shared" si="2"/>
        <v>1125</v>
      </c>
      <c r="BF7" s="109">
        <v>3</v>
      </c>
      <c r="BG7" s="14">
        <f t="shared" si="27"/>
        <v>1</v>
      </c>
      <c r="BH7" s="14">
        <f t="shared" si="28"/>
        <v>3</v>
      </c>
      <c r="BI7" s="14">
        <f t="shared" si="3"/>
        <v>100</v>
      </c>
      <c r="BJ7" s="14">
        <f t="shared" si="4"/>
        <v>900</v>
      </c>
      <c r="BK7" s="14">
        <f t="shared" si="5"/>
        <v>2250</v>
      </c>
      <c r="BN7" s="109">
        <v>3</v>
      </c>
      <c r="BO7" s="109">
        <f t="shared" si="29"/>
        <v>1</v>
      </c>
      <c r="BP7" s="112">
        <f t="shared" si="30"/>
        <v>10</v>
      </c>
      <c r="BQ7" s="109">
        <f t="shared" si="6"/>
        <v>3</v>
      </c>
      <c r="BR7" s="109">
        <v>180</v>
      </c>
      <c r="BS7" s="109">
        <v>270</v>
      </c>
      <c r="BT7" s="109">
        <v>1</v>
      </c>
      <c r="BU7" s="14">
        <f t="shared" si="31"/>
        <v>11013</v>
      </c>
      <c r="BV7" s="118">
        <v>1</v>
      </c>
      <c r="BW7" s="14">
        <f t="shared" si="32"/>
        <v>101</v>
      </c>
      <c r="BX7" s="118" t="s">
        <v>1052</v>
      </c>
      <c r="BY7" s="14">
        <f t="shared" si="33"/>
        <v>3</v>
      </c>
      <c r="BZ7" s="118" t="str">
        <f t="shared" si="34"/>
        <v>守护灵抽卡券3绿色基础材料23金币1800</v>
      </c>
      <c r="CA7" s="14">
        <f t="shared" si="35"/>
        <v>30</v>
      </c>
      <c r="CB7" s="109" t="s">
        <v>271</v>
      </c>
      <c r="CC7" s="109">
        <v>3</v>
      </c>
      <c r="CD7" s="112" t="str">
        <f>INDEX(挂机升级突破!$BX$4:$CB$4,章节关卡!BT7)</f>
        <v>绿色基础材料</v>
      </c>
      <c r="CE7" s="115">
        <f>ROUND(INDEX(挂机升级突破!$Q$7:$U$37,BO7+2,章节关卡!BT7)/INDEX(挂机升级突破!$Q$5:$U$5,章节关卡!BT7)*章节关卡!BS7,0)</f>
        <v>23</v>
      </c>
      <c r="CF7" s="109" t="s">
        <v>265</v>
      </c>
      <c r="CG7" s="109">
        <f t="shared" si="7"/>
        <v>1800</v>
      </c>
      <c r="CJ7" s="115">
        <f t="shared" si="8"/>
        <v>1</v>
      </c>
      <c r="CK7" s="115">
        <f t="shared" si="9"/>
        <v>20</v>
      </c>
      <c r="CL7" s="118">
        <v>3</v>
      </c>
      <c r="CM7" s="109">
        <f t="shared" si="10"/>
        <v>270</v>
      </c>
      <c r="CN7" s="109">
        <f t="shared" si="11"/>
        <v>540</v>
      </c>
      <c r="CO7" s="115">
        <v>1</v>
      </c>
      <c r="CP7" s="14">
        <f t="shared" si="36"/>
        <v>12013</v>
      </c>
      <c r="CQ7" s="118">
        <v>2</v>
      </c>
      <c r="CR7" s="14">
        <f t="shared" si="37"/>
        <v>201</v>
      </c>
      <c r="CS7" s="118" t="s">
        <v>1052</v>
      </c>
      <c r="CT7" s="14">
        <f t="shared" si="38"/>
        <v>3</v>
      </c>
      <c r="CU7" s="118" t="str">
        <f t="shared" si="39"/>
        <v>守护灵抽卡券5绿色基础材料68金币2700</v>
      </c>
      <c r="CV7" s="14">
        <f t="shared" si="40"/>
        <v>30</v>
      </c>
      <c r="CW7" s="109" t="s">
        <v>1030</v>
      </c>
      <c r="CX7" s="109">
        <v>5</v>
      </c>
      <c r="CY7" s="115" t="str">
        <f>INDEX(挂机升级突破!$BX$4:$CG$4,章节关卡!CO7)</f>
        <v>绿色基础材料</v>
      </c>
      <c r="CZ7" s="115">
        <f>ROUND(INDEX(挂机升级突破!$Q$7:$Z$37,CJ7+3,章节关卡!CO7)/INDEX(挂机升级突破!$Q$5:$Z$5,章节关卡!CO7)*章节关卡!CN7,0)</f>
        <v>68</v>
      </c>
      <c r="DA7" s="109" t="s">
        <v>265</v>
      </c>
      <c r="DB7" s="115">
        <f t="shared" si="12"/>
        <v>2700</v>
      </c>
      <c r="DE7" s="118">
        <v>3</v>
      </c>
      <c r="DF7" s="14">
        <f t="shared" si="41"/>
        <v>1</v>
      </c>
      <c r="DG7" s="118">
        <f t="shared" si="42"/>
        <v>10</v>
      </c>
      <c r="DH7" s="118">
        <v>90</v>
      </c>
      <c r="DI7" s="118">
        <f t="shared" si="43"/>
        <v>21013</v>
      </c>
      <c r="DJ7" s="118">
        <v>1</v>
      </c>
      <c r="DK7" s="14">
        <f t="shared" ref="DK7:DK70" si="50">DF7+100</f>
        <v>101</v>
      </c>
      <c r="DL7" s="118" t="s">
        <v>1062</v>
      </c>
      <c r="DM7" s="118">
        <v>3</v>
      </c>
      <c r="DN7" s="118" t="str">
        <f t="shared" si="44"/>
        <v>钻石25守护灵初级抽卡券5守护灵经验2250</v>
      </c>
      <c r="DO7" s="14">
        <f>DK7*100+9</f>
        <v>10109</v>
      </c>
      <c r="DP7" s="118" t="s">
        <v>1065</v>
      </c>
      <c r="DQ7" s="118">
        <v>25</v>
      </c>
      <c r="DR7" s="118" t="s">
        <v>1066</v>
      </c>
      <c r="DS7" s="118">
        <v>5</v>
      </c>
      <c r="DT7" s="118" t="s">
        <v>1067</v>
      </c>
      <c r="DU7" s="118">
        <f t="shared" si="45"/>
        <v>2250</v>
      </c>
    </row>
    <row r="8" spans="1:125" ht="16.5" x14ac:dyDescent="0.2">
      <c r="A8" s="24">
        <v>3</v>
      </c>
      <c r="B8" s="76">
        <v>20</v>
      </c>
      <c r="C8" s="109">
        <v>4</v>
      </c>
      <c r="D8" s="14">
        <f>SUM(C$5:C8)</f>
        <v>12</v>
      </c>
      <c r="E8" s="76">
        <v>5</v>
      </c>
      <c r="F8" s="76">
        <v>7</v>
      </c>
      <c r="G8" s="76">
        <v>5</v>
      </c>
      <c r="H8" s="24">
        <v>20</v>
      </c>
      <c r="I8" s="24">
        <f t="shared" si="13"/>
        <v>1</v>
      </c>
      <c r="J8" s="76">
        <v>5</v>
      </c>
      <c r="K8" s="24">
        <f t="shared" si="14"/>
        <v>35</v>
      </c>
      <c r="L8" s="24">
        <f t="shared" si="46"/>
        <v>1</v>
      </c>
      <c r="N8" s="24">
        <v>3</v>
      </c>
      <c r="O8" s="121">
        <v>15</v>
      </c>
      <c r="P8" s="107">
        <v>10</v>
      </c>
      <c r="Q8" s="14">
        <f>SUM(P$5:P8)</f>
        <v>30</v>
      </c>
      <c r="R8" s="24">
        <v>20</v>
      </c>
      <c r="S8" s="109">
        <f t="shared" si="15"/>
        <v>140</v>
      </c>
      <c r="T8" s="24">
        <v>30</v>
      </c>
      <c r="U8" s="109">
        <f t="shared" si="16"/>
        <v>600</v>
      </c>
      <c r="V8" s="109">
        <v>45</v>
      </c>
      <c r="W8" s="76">
        <f t="shared" si="17"/>
        <v>1575</v>
      </c>
      <c r="X8" s="34">
        <v>120</v>
      </c>
      <c r="Y8" s="109">
        <f t="shared" si="18"/>
        <v>4200</v>
      </c>
      <c r="AA8" s="77">
        <v>3</v>
      </c>
      <c r="AB8" s="155">
        <v>4</v>
      </c>
      <c r="AC8" s="109">
        <v>10</v>
      </c>
      <c r="AD8" s="155">
        <f>INDEX(节奏总表!$N$5:$N$34,章节关卡!AB8)</f>
        <v>22</v>
      </c>
      <c r="AE8" s="155">
        <f t="shared" si="47"/>
        <v>330</v>
      </c>
      <c r="AF8" s="14">
        <f>SUM(AC$5:AC8)</f>
        <v>30</v>
      </c>
      <c r="AG8" s="14">
        <f t="shared" si="48"/>
        <v>300</v>
      </c>
      <c r="AH8" s="24">
        <v>60</v>
      </c>
      <c r="AI8" s="14">
        <f t="shared" si="49"/>
        <v>1200</v>
      </c>
      <c r="AJ8" s="54">
        <v>90</v>
      </c>
      <c r="AK8" s="14">
        <f t="shared" si="19"/>
        <v>3150</v>
      </c>
      <c r="AL8" s="34">
        <v>240</v>
      </c>
      <c r="AM8" s="14">
        <f t="shared" si="20"/>
        <v>8400</v>
      </c>
      <c r="AP8" s="24">
        <v>4</v>
      </c>
      <c r="AQ8" s="14">
        <f t="shared" si="21"/>
        <v>1</v>
      </c>
      <c r="AR8" s="109">
        <f t="shared" si="22"/>
        <v>4</v>
      </c>
      <c r="AS8" s="109">
        <f t="shared" si="23"/>
        <v>5</v>
      </c>
      <c r="AT8" s="109">
        <f t="shared" si="24"/>
        <v>8</v>
      </c>
      <c r="AU8" s="109">
        <f t="shared" si="25"/>
        <v>22</v>
      </c>
      <c r="AX8" s="109">
        <v>4</v>
      </c>
      <c r="AY8" s="14">
        <f t="shared" si="0"/>
        <v>1</v>
      </c>
      <c r="AZ8" s="14">
        <f t="shared" si="26"/>
        <v>4</v>
      </c>
      <c r="BA8" s="14">
        <v>50</v>
      </c>
      <c r="BB8" s="14">
        <f t="shared" si="1"/>
        <v>300</v>
      </c>
      <c r="BC8" s="14">
        <f t="shared" si="2"/>
        <v>1125</v>
      </c>
      <c r="BF8" s="109">
        <v>4</v>
      </c>
      <c r="BG8" s="14">
        <f t="shared" si="27"/>
        <v>1</v>
      </c>
      <c r="BH8" s="14">
        <f t="shared" si="28"/>
        <v>4</v>
      </c>
      <c r="BI8" s="14">
        <f t="shared" si="3"/>
        <v>100</v>
      </c>
      <c r="BJ8" s="14">
        <f t="shared" si="4"/>
        <v>900</v>
      </c>
      <c r="BK8" s="14">
        <f t="shared" si="5"/>
        <v>2250</v>
      </c>
      <c r="BN8" s="109">
        <v>4</v>
      </c>
      <c r="BO8" s="109">
        <f t="shared" si="29"/>
        <v>2</v>
      </c>
      <c r="BP8" s="112">
        <f t="shared" si="30"/>
        <v>15</v>
      </c>
      <c r="BQ8" s="109">
        <f t="shared" si="6"/>
        <v>1</v>
      </c>
      <c r="BR8" s="109">
        <v>60</v>
      </c>
      <c r="BS8" s="109">
        <v>90</v>
      </c>
      <c r="BT8" s="109">
        <v>1</v>
      </c>
      <c r="BU8" s="14">
        <f t="shared" si="31"/>
        <v>11021</v>
      </c>
      <c r="BV8" s="118">
        <v>1</v>
      </c>
      <c r="BW8" s="14">
        <f t="shared" si="32"/>
        <v>102</v>
      </c>
      <c r="BX8" s="118" t="s">
        <v>1052</v>
      </c>
      <c r="BY8" s="14">
        <f t="shared" si="33"/>
        <v>1</v>
      </c>
      <c r="BZ8" s="118" t="str">
        <f t="shared" si="34"/>
        <v>钻石60绿色基础材料11金币900</v>
      </c>
      <c r="CA8" s="14">
        <f t="shared" si="35"/>
        <v>10</v>
      </c>
      <c r="CB8" s="109" t="s">
        <v>22</v>
      </c>
      <c r="CC8" s="109">
        <v>60</v>
      </c>
      <c r="CD8" s="112" t="str">
        <f>INDEX(挂机升级突破!$BX$4:$CB$4,章节关卡!BT8)</f>
        <v>绿色基础材料</v>
      </c>
      <c r="CE8" s="115">
        <f>ROUND(INDEX(挂机升级突破!$Q$7:$U$37,BO8+2,章节关卡!BT8)/INDEX(挂机升级突破!$Q$5:$U$5,章节关卡!BT8)*章节关卡!BS8,0)</f>
        <v>11</v>
      </c>
      <c r="CF8" s="109" t="s">
        <v>265</v>
      </c>
      <c r="CG8" s="109">
        <f t="shared" si="7"/>
        <v>900</v>
      </c>
      <c r="CJ8" s="115">
        <f t="shared" si="8"/>
        <v>2</v>
      </c>
      <c r="CK8" s="115">
        <f t="shared" si="9"/>
        <v>25</v>
      </c>
      <c r="CL8" s="118">
        <v>1</v>
      </c>
      <c r="CM8" s="109">
        <f t="shared" si="10"/>
        <v>90</v>
      </c>
      <c r="CN8" s="109">
        <f t="shared" si="11"/>
        <v>180</v>
      </c>
      <c r="CO8" s="115">
        <v>6</v>
      </c>
      <c r="CP8" s="14">
        <f t="shared" si="36"/>
        <v>12021</v>
      </c>
      <c r="CQ8" s="118">
        <v>2</v>
      </c>
      <c r="CR8" s="14">
        <f t="shared" si="37"/>
        <v>202</v>
      </c>
      <c r="CS8" s="118" t="s">
        <v>1052</v>
      </c>
      <c r="CT8" s="14">
        <f t="shared" si="38"/>
        <v>1</v>
      </c>
      <c r="CU8" s="118" t="str">
        <f t="shared" si="39"/>
        <v>钻石100玄铁2金币1350</v>
      </c>
      <c r="CV8" s="14">
        <f t="shared" si="40"/>
        <v>10</v>
      </c>
      <c r="CW8" s="115" t="s">
        <v>270</v>
      </c>
      <c r="CX8" s="115">
        <v>100</v>
      </c>
      <c r="CY8" s="115" t="str">
        <f>INDEX(挂机升级突破!$BX$4:$CG$4,章节关卡!CO8)</f>
        <v>玄铁</v>
      </c>
      <c r="CZ8" s="115">
        <f>ROUND(INDEX(挂机升级突破!$Q$7:$Z$37,CJ8+3,章节关卡!CO8)/INDEX(挂机升级突破!$Q$5:$Z$5,章节关卡!CO8)*章节关卡!CN8,0)</f>
        <v>2</v>
      </c>
      <c r="DA8" s="109" t="s">
        <v>265</v>
      </c>
      <c r="DB8" s="115">
        <f t="shared" si="12"/>
        <v>1350</v>
      </c>
      <c r="DE8" s="118">
        <v>4</v>
      </c>
      <c r="DF8" s="14">
        <f t="shared" si="41"/>
        <v>2</v>
      </c>
      <c r="DG8" s="118">
        <f t="shared" si="42"/>
        <v>15</v>
      </c>
      <c r="DH8" s="118">
        <v>60</v>
      </c>
      <c r="DI8" s="118">
        <f t="shared" si="43"/>
        <v>21021</v>
      </c>
      <c r="DJ8" s="118">
        <v>1</v>
      </c>
      <c r="DK8" s="14">
        <f t="shared" si="50"/>
        <v>102</v>
      </c>
      <c r="DL8" s="118" t="s">
        <v>1062</v>
      </c>
      <c r="DM8" s="118">
        <v>1</v>
      </c>
      <c r="DN8" s="118" t="str">
        <f t="shared" si="44"/>
        <v>钻石10守护灵初级抽卡券2守护灵经验1800</v>
      </c>
      <c r="DO8" s="14">
        <f t="shared" ref="DO8:DO71" si="51">DK8*100+9</f>
        <v>10209</v>
      </c>
      <c r="DP8" s="118" t="s">
        <v>1065</v>
      </c>
      <c r="DQ8" s="118">
        <v>10</v>
      </c>
      <c r="DR8" s="118" t="s">
        <v>1066</v>
      </c>
      <c r="DS8" s="118">
        <v>2</v>
      </c>
      <c r="DT8" s="118" t="s">
        <v>1067</v>
      </c>
      <c r="DU8" s="118">
        <f t="shared" si="45"/>
        <v>1800</v>
      </c>
    </row>
    <row r="9" spans="1:125" ht="16.5" x14ac:dyDescent="0.2">
      <c r="A9" s="24">
        <v>4</v>
      </c>
      <c r="B9" s="76">
        <v>25</v>
      </c>
      <c r="C9" s="109">
        <v>4</v>
      </c>
      <c r="D9" s="14">
        <f>SUM(C$5:C9)</f>
        <v>16</v>
      </c>
      <c r="E9" s="76">
        <v>5</v>
      </c>
      <c r="F9" s="76">
        <v>8</v>
      </c>
      <c r="G9" s="76">
        <v>5</v>
      </c>
      <c r="H9" s="34">
        <v>25</v>
      </c>
      <c r="I9" s="24">
        <f t="shared" si="13"/>
        <v>1</v>
      </c>
      <c r="J9" s="76">
        <v>5</v>
      </c>
      <c r="K9" s="24">
        <f t="shared" si="14"/>
        <v>40</v>
      </c>
      <c r="L9" s="24">
        <f t="shared" si="46"/>
        <v>1</v>
      </c>
      <c r="N9" s="24">
        <v>4</v>
      </c>
      <c r="O9" s="121">
        <v>25</v>
      </c>
      <c r="P9" s="107">
        <v>10</v>
      </c>
      <c r="Q9" s="14">
        <f>SUM(P$5:P9)</f>
        <v>40</v>
      </c>
      <c r="R9" s="24">
        <v>20</v>
      </c>
      <c r="S9" s="109">
        <f t="shared" si="15"/>
        <v>160</v>
      </c>
      <c r="T9" s="24">
        <v>30</v>
      </c>
      <c r="U9" s="109">
        <f t="shared" si="16"/>
        <v>750</v>
      </c>
      <c r="V9" s="109">
        <v>45</v>
      </c>
      <c r="W9" s="76">
        <f t="shared" si="17"/>
        <v>1800</v>
      </c>
      <c r="X9" s="34">
        <v>120</v>
      </c>
      <c r="Y9" s="109">
        <f t="shared" si="18"/>
        <v>4800</v>
      </c>
      <c r="AA9" s="77">
        <v>4</v>
      </c>
      <c r="AB9" s="155">
        <v>5</v>
      </c>
      <c r="AC9" s="109">
        <v>10</v>
      </c>
      <c r="AD9" s="155">
        <f>INDEX(节奏总表!$N$5:$N$34,章节关卡!AB9)</f>
        <v>24</v>
      </c>
      <c r="AE9" s="155">
        <f t="shared" si="47"/>
        <v>360</v>
      </c>
      <c r="AF9" s="14">
        <f>SUM(AC$5:AC9)</f>
        <v>40</v>
      </c>
      <c r="AG9" s="14">
        <f t="shared" si="48"/>
        <v>350</v>
      </c>
      <c r="AH9" s="24">
        <v>60</v>
      </c>
      <c r="AI9" s="14">
        <f t="shared" si="49"/>
        <v>1500</v>
      </c>
      <c r="AJ9" s="54">
        <v>90</v>
      </c>
      <c r="AK9" s="14">
        <f t="shared" si="19"/>
        <v>3600</v>
      </c>
      <c r="AL9" s="34">
        <v>240</v>
      </c>
      <c r="AM9" s="14">
        <f t="shared" si="20"/>
        <v>9600</v>
      </c>
      <c r="AP9" s="24">
        <v>5</v>
      </c>
      <c r="AQ9" s="14">
        <f t="shared" si="21"/>
        <v>2</v>
      </c>
      <c r="AR9" s="109">
        <f t="shared" si="22"/>
        <v>1</v>
      </c>
      <c r="AS9" s="109">
        <f t="shared" si="23"/>
        <v>6</v>
      </c>
      <c r="AT9" s="109">
        <f t="shared" si="24"/>
        <v>11</v>
      </c>
      <c r="AU9" s="109">
        <f t="shared" si="25"/>
        <v>26</v>
      </c>
      <c r="AX9" s="109">
        <v>5</v>
      </c>
      <c r="AY9" s="14">
        <f t="shared" si="0"/>
        <v>1</v>
      </c>
      <c r="AZ9" s="14">
        <f t="shared" si="26"/>
        <v>5</v>
      </c>
      <c r="BA9" s="14">
        <v>50</v>
      </c>
      <c r="BB9" s="14">
        <f t="shared" si="1"/>
        <v>300</v>
      </c>
      <c r="BC9" s="14">
        <f t="shared" si="2"/>
        <v>1125</v>
      </c>
      <c r="BF9" s="109">
        <v>5</v>
      </c>
      <c r="BG9" s="14">
        <f t="shared" si="27"/>
        <v>1</v>
      </c>
      <c r="BH9" s="14">
        <f t="shared" si="28"/>
        <v>5</v>
      </c>
      <c r="BI9" s="14">
        <f t="shared" si="3"/>
        <v>100</v>
      </c>
      <c r="BJ9" s="14">
        <f t="shared" si="4"/>
        <v>900</v>
      </c>
      <c r="BK9" s="14">
        <f t="shared" si="5"/>
        <v>2250</v>
      </c>
      <c r="BN9" s="109">
        <v>5</v>
      </c>
      <c r="BO9" s="109">
        <f t="shared" si="29"/>
        <v>2</v>
      </c>
      <c r="BP9" s="112">
        <f t="shared" si="30"/>
        <v>15</v>
      </c>
      <c r="BQ9" s="109">
        <f t="shared" si="6"/>
        <v>2</v>
      </c>
      <c r="BR9" s="109">
        <v>120</v>
      </c>
      <c r="BS9" s="109">
        <v>180</v>
      </c>
      <c r="BT9" s="109">
        <v>1</v>
      </c>
      <c r="BU9" s="14">
        <f t="shared" si="31"/>
        <v>11022</v>
      </c>
      <c r="BV9" s="118">
        <v>1</v>
      </c>
      <c r="BW9" s="14">
        <f t="shared" si="32"/>
        <v>102</v>
      </c>
      <c r="BX9" s="118" t="s">
        <v>1052</v>
      </c>
      <c r="BY9" s="14">
        <f t="shared" si="33"/>
        <v>2</v>
      </c>
      <c r="BZ9" s="118" t="str">
        <f t="shared" si="34"/>
        <v>守护灵抽卡券2绿色基础材料23金币1800</v>
      </c>
      <c r="CA9" s="14">
        <f t="shared" si="35"/>
        <v>20</v>
      </c>
      <c r="CB9" s="115" t="s">
        <v>271</v>
      </c>
      <c r="CC9" s="115">
        <v>2</v>
      </c>
      <c r="CD9" s="112" t="str">
        <f>INDEX(挂机升级突破!$BX$4:$CB$4,章节关卡!BT9)</f>
        <v>绿色基础材料</v>
      </c>
      <c r="CE9" s="115">
        <f>ROUND(INDEX(挂机升级突破!$Q$7:$U$37,BO9+2,章节关卡!BT9)/INDEX(挂机升级突破!$Q$5:$U$5,章节关卡!BT9)*章节关卡!BS9,0)</f>
        <v>23</v>
      </c>
      <c r="CF9" s="109" t="s">
        <v>265</v>
      </c>
      <c r="CG9" s="109">
        <f t="shared" si="7"/>
        <v>1800</v>
      </c>
      <c r="CJ9" s="115">
        <f t="shared" si="8"/>
        <v>2</v>
      </c>
      <c r="CK9" s="115">
        <f t="shared" si="9"/>
        <v>25</v>
      </c>
      <c r="CL9" s="118">
        <v>2</v>
      </c>
      <c r="CM9" s="109">
        <f t="shared" si="10"/>
        <v>180</v>
      </c>
      <c r="CN9" s="109">
        <f t="shared" si="11"/>
        <v>360</v>
      </c>
      <c r="CO9" s="115">
        <v>6</v>
      </c>
      <c r="CP9" s="14">
        <f t="shared" si="36"/>
        <v>12022</v>
      </c>
      <c r="CQ9" s="118">
        <v>2</v>
      </c>
      <c r="CR9" s="14">
        <f t="shared" si="37"/>
        <v>202</v>
      </c>
      <c r="CS9" s="118" t="s">
        <v>1052</v>
      </c>
      <c r="CT9" s="14">
        <f t="shared" si="38"/>
        <v>2</v>
      </c>
      <c r="CU9" s="118" t="str">
        <f t="shared" si="39"/>
        <v>熔炼值600玄铁4金币2700</v>
      </c>
      <c r="CV9" s="14">
        <f t="shared" si="40"/>
        <v>20</v>
      </c>
      <c r="CW9" s="115" t="s">
        <v>1031</v>
      </c>
      <c r="CX9" s="115">
        <v>600</v>
      </c>
      <c r="CY9" s="115" t="str">
        <f>INDEX(挂机升级突破!$BX$4:$CG$4,章节关卡!CO9)</f>
        <v>玄铁</v>
      </c>
      <c r="CZ9" s="115">
        <f>ROUND(INDEX(挂机升级突破!$Q$7:$Z$37,CJ9+3,章节关卡!CO9)/INDEX(挂机升级突破!$Q$5:$Z$5,章节关卡!CO9)*章节关卡!CN9,0)</f>
        <v>4</v>
      </c>
      <c r="DA9" s="109" t="s">
        <v>265</v>
      </c>
      <c r="DB9" s="115">
        <f t="shared" si="12"/>
        <v>2700</v>
      </c>
      <c r="DE9" s="118">
        <v>5</v>
      </c>
      <c r="DF9" s="14">
        <f t="shared" si="41"/>
        <v>2</v>
      </c>
      <c r="DG9" s="118">
        <f t="shared" si="42"/>
        <v>15</v>
      </c>
      <c r="DH9" s="118">
        <v>90</v>
      </c>
      <c r="DI9" s="118">
        <f t="shared" si="43"/>
        <v>21022</v>
      </c>
      <c r="DJ9" s="118">
        <v>1</v>
      </c>
      <c r="DK9" s="14">
        <f t="shared" si="50"/>
        <v>102</v>
      </c>
      <c r="DL9" s="118" t="s">
        <v>1062</v>
      </c>
      <c r="DM9" s="118">
        <v>2</v>
      </c>
      <c r="DN9" s="118" t="str">
        <f t="shared" si="44"/>
        <v>钻石15守护灵初级抽卡券3守护灵经验2700</v>
      </c>
      <c r="DO9" s="14">
        <f t="shared" si="51"/>
        <v>10209</v>
      </c>
      <c r="DP9" s="118" t="s">
        <v>1065</v>
      </c>
      <c r="DQ9" s="118">
        <v>15</v>
      </c>
      <c r="DR9" s="118" t="s">
        <v>1066</v>
      </c>
      <c r="DS9" s="118">
        <v>3</v>
      </c>
      <c r="DT9" s="118" t="s">
        <v>1067</v>
      </c>
      <c r="DU9" s="118">
        <f t="shared" si="45"/>
        <v>2700</v>
      </c>
    </row>
    <row r="10" spans="1:125" ht="16.5" x14ac:dyDescent="0.2">
      <c r="A10" s="24">
        <v>5</v>
      </c>
      <c r="B10" s="76">
        <v>30</v>
      </c>
      <c r="C10" s="109">
        <v>4</v>
      </c>
      <c r="D10" s="14">
        <f>SUM(C$5:C10)</f>
        <v>20</v>
      </c>
      <c r="E10" s="76">
        <v>5</v>
      </c>
      <c r="F10" s="76">
        <v>9</v>
      </c>
      <c r="G10" s="76">
        <v>5</v>
      </c>
      <c r="H10" s="24">
        <v>30</v>
      </c>
      <c r="I10" s="24">
        <f t="shared" si="13"/>
        <v>1</v>
      </c>
      <c r="J10" s="76">
        <v>5</v>
      </c>
      <c r="K10" s="24">
        <f t="shared" si="14"/>
        <v>45</v>
      </c>
      <c r="L10" s="24">
        <f t="shared" si="46"/>
        <v>1</v>
      </c>
      <c r="N10" s="24">
        <v>5</v>
      </c>
      <c r="O10" s="121">
        <v>30</v>
      </c>
      <c r="P10" s="107">
        <v>10</v>
      </c>
      <c r="Q10" s="14">
        <f>SUM(P$5:P10)</f>
        <v>50</v>
      </c>
      <c r="R10" s="24">
        <v>20</v>
      </c>
      <c r="S10" s="109">
        <f t="shared" si="15"/>
        <v>180</v>
      </c>
      <c r="T10" s="24">
        <v>30</v>
      </c>
      <c r="U10" s="109">
        <f t="shared" si="16"/>
        <v>900</v>
      </c>
      <c r="V10" s="109">
        <v>45</v>
      </c>
      <c r="W10" s="76">
        <f t="shared" si="17"/>
        <v>2025</v>
      </c>
      <c r="X10" s="34">
        <v>150</v>
      </c>
      <c r="Y10" s="109">
        <f t="shared" si="18"/>
        <v>6750</v>
      </c>
      <c r="AA10" s="77">
        <v>5</v>
      </c>
      <c r="AB10" s="155">
        <v>6</v>
      </c>
      <c r="AC10" s="109">
        <v>10</v>
      </c>
      <c r="AD10" s="155">
        <f>INDEX(节奏总表!$N$5:$N$34,章节关卡!AB10)</f>
        <v>26</v>
      </c>
      <c r="AE10" s="118">
        <f t="shared" ref="AE10:AE31" si="52">ROUND(AD10*AE$2*60,0)</f>
        <v>390</v>
      </c>
      <c r="AF10" s="14">
        <f>SUM(AC$5:AC10)</f>
        <v>50</v>
      </c>
      <c r="AG10" s="14">
        <f t="shared" si="48"/>
        <v>450</v>
      </c>
      <c r="AH10" s="24">
        <v>60</v>
      </c>
      <c r="AI10" s="14">
        <f t="shared" si="49"/>
        <v>1800</v>
      </c>
      <c r="AJ10" s="54">
        <v>90</v>
      </c>
      <c r="AK10" s="14">
        <f t="shared" si="19"/>
        <v>4050</v>
      </c>
      <c r="AL10" s="34">
        <v>300</v>
      </c>
      <c r="AM10" s="14">
        <f t="shared" si="20"/>
        <v>13500</v>
      </c>
      <c r="AP10" s="24">
        <v>6</v>
      </c>
      <c r="AQ10" s="14">
        <f t="shared" si="21"/>
        <v>2</v>
      </c>
      <c r="AR10" s="109">
        <f t="shared" si="22"/>
        <v>2</v>
      </c>
      <c r="AS10" s="109">
        <f t="shared" si="23"/>
        <v>6</v>
      </c>
      <c r="AT10" s="109">
        <f t="shared" si="24"/>
        <v>12</v>
      </c>
      <c r="AU10" s="109">
        <f t="shared" si="25"/>
        <v>27</v>
      </c>
      <c r="AX10" s="109">
        <v>6</v>
      </c>
      <c r="AY10" s="14">
        <f t="shared" si="0"/>
        <v>1</v>
      </c>
      <c r="AZ10" s="14">
        <f t="shared" si="26"/>
        <v>6</v>
      </c>
      <c r="BA10" s="14">
        <v>50</v>
      </c>
      <c r="BB10" s="14">
        <f t="shared" si="1"/>
        <v>300</v>
      </c>
      <c r="BC10" s="14">
        <f t="shared" si="2"/>
        <v>1125</v>
      </c>
      <c r="BF10" s="109">
        <v>6</v>
      </c>
      <c r="BG10" s="14">
        <f t="shared" si="27"/>
        <v>1</v>
      </c>
      <c r="BH10" s="14">
        <f t="shared" si="28"/>
        <v>6</v>
      </c>
      <c r="BI10" s="14">
        <f t="shared" si="3"/>
        <v>100</v>
      </c>
      <c r="BJ10" s="14">
        <f t="shared" si="4"/>
        <v>900</v>
      </c>
      <c r="BK10" s="14">
        <f t="shared" si="5"/>
        <v>2250</v>
      </c>
      <c r="BN10" s="109">
        <v>6</v>
      </c>
      <c r="BO10" s="109">
        <f t="shared" si="29"/>
        <v>2</v>
      </c>
      <c r="BP10" s="112">
        <f t="shared" si="30"/>
        <v>15</v>
      </c>
      <c r="BQ10" s="109">
        <f t="shared" si="6"/>
        <v>3</v>
      </c>
      <c r="BR10" s="109">
        <v>180</v>
      </c>
      <c r="BS10" s="109">
        <v>270</v>
      </c>
      <c r="BT10" s="109">
        <v>1</v>
      </c>
      <c r="BU10" s="14">
        <f t="shared" si="31"/>
        <v>11023</v>
      </c>
      <c r="BV10" s="118">
        <v>1</v>
      </c>
      <c r="BW10" s="14">
        <f t="shared" si="32"/>
        <v>102</v>
      </c>
      <c r="BX10" s="118" t="s">
        <v>1052</v>
      </c>
      <c r="BY10" s="14">
        <f t="shared" si="33"/>
        <v>3</v>
      </c>
      <c r="BZ10" s="118" t="str">
        <f t="shared" si="34"/>
        <v>守护灵抽卡券3绿色基础材料34金币2700</v>
      </c>
      <c r="CA10" s="14">
        <f t="shared" si="35"/>
        <v>30</v>
      </c>
      <c r="CB10" s="115" t="s">
        <v>271</v>
      </c>
      <c r="CC10" s="115">
        <v>3</v>
      </c>
      <c r="CD10" s="112" t="str">
        <f>INDEX(挂机升级突破!$BX$4:$CB$4,章节关卡!BT10)</f>
        <v>绿色基础材料</v>
      </c>
      <c r="CE10" s="115">
        <f>ROUND(INDEX(挂机升级突破!$Q$7:$U$37,BO10+2,章节关卡!BT10)/INDEX(挂机升级突破!$Q$5:$U$5,章节关卡!BT10)*章节关卡!BS10,0)</f>
        <v>34</v>
      </c>
      <c r="CF10" s="109" t="s">
        <v>265</v>
      </c>
      <c r="CG10" s="109">
        <f t="shared" si="7"/>
        <v>2700</v>
      </c>
      <c r="CJ10" s="115">
        <f t="shared" si="8"/>
        <v>2</v>
      </c>
      <c r="CK10" s="115">
        <f t="shared" si="9"/>
        <v>25</v>
      </c>
      <c r="CL10" s="118">
        <v>3</v>
      </c>
      <c r="CM10" s="109">
        <f t="shared" si="10"/>
        <v>270</v>
      </c>
      <c r="CN10" s="109">
        <f t="shared" si="11"/>
        <v>540</v>
      </c>
      <c r="CO10" s="115">
        <v>6</v>
      </c>
      <c r="CP10" s="14">
        <f t="shared" si="36"/>
        <v>12023</v>
      </c>
      <c r="CQ10" s="118">
        <v>2</v>
      </c>
      <c r="CR10" s="14">
        <f t="shared" si="37"/>
        <v>202</v>
      </c>
      <c r="CS10" s="118" t="s">
        <v>1052</v>
      </c>
      <c r="CT10" s="14">
        <f t="shared" si="38"/>
        <v>3</v>
      </c>
      <c r="CU10" s="118" t="str">
        <f t="shared" si="39"/>
        <v>守护灵抽卡券5玄铁5金币4050</v>
      </c>
      <c r="CV10" s="14">
        <f t="shared" si="40"/>
        <v>30</v>
      </c>
      <c r="CW10" s="115" t="s">
        <v>1030</v>
      </c>
      <c r="CX10" s="115">
        <v>5</v>
      </c>
      <c r="CY10" s="115" t="str">
        <f>INDEX(挂机升级突破!$BX$4:$CG$4,章节关卡!CO10)</f>
        <v>玄铁</v>
      </c>
      <c r="CZ10" s="115">
        <f>ROUND(INDEX(挂机升级突破!$Q$7:$Z$37,CJ10+3,章节关卡!CO10)/INDEX(挂机升级突破!$Q$5:$Z$5,章节关卡!CO10)*章节关卡!CN10,0)</f>
        <v>5</v>
      </c>
      <c r="DA10" s="109" t="s">
        <v>265</v>
      </c>
      <c r="DB10" s="115">
        <f t="shared" si="12"/>
        <v>4050</v>
      </c>
      <c r="DE10" s="118">
        <v>6</v>
      </c>
      <c r="DF10" s="14">
        <f t="shared" si="41"/>
        <v>2</v>
      </c>
      <c r="DG10" s="118">
        <f t="shared" si="42"/>
        <v>15</v>
      </c>
      <c r="DH10" s="118">
        <v>120</v>
      </c>
      <c r="DI10" s="118">
        <f t="shared" si="43"/>
        <v>21023</v>
      </c>
      <c r="DJ10" s="118">
        <v>1</v>
      </c>
      <c r="DK10" s="14">
        <f t="shared" si="50"/>
        <v>102</v>
      </c>
      <c r="DL10" s="118" t="s">
        <v>1062</v>
      </c>
      <c r="DM10" s="118">
        <v>3</v>
      </c>
      <c r="DN10" s="118" t="str">
        <f t="shared" si="44"/>
        <v>钻石25守护灵初级抽卡券5守护灵经验3600</v>
      </c>
      <c r="DO10" s="14">
        <f t="shared" si="51"/>
        <v>10209</v>
      </c>
      <c r="DP10" s="118" t="s">
        <v>1065</v>
      </c>
      <c r="DQ10" s="118">
        <v>25</v>
      </c>
      <c r="DR10" s="118" t="s">
        <v>1066</v>
      </c>
      <c r="DS10" s="118">
        <v>5</v>
      </c>
      <c r="DT10" s="118" t="s">
        <v>1067</v>
      </c>
      <c r="DU10" s="118">
        <f t="shared" si="45"/>
        <v>3600</v>
      </c>
    </row>
    <row r="11" spans="1:125" ht="16.5" x14ac:dyDescent="0.2">
      <c r="A11" s="24">
        <v>6</v>
      </c>
      <c r="B11" s="76">
        <v>35</v>
      </c>
      <c r="C11" s="109">
        <v>4</v>
      </c>
      <c r="D11" s="14">
        <f>SUM(C$5:C11)</f>
        <v>24</v>
      </c>
      <c r="E11" s="76">
        <v>5</v>
      </c>
      <c r="F11" s="76">
        <v>10</v>
      </c>
      <c r="G11" s="76">
        <v>5</v>
      </c>
      <c r="H11" s="24">
        <v>35</v>
      </c>
      <c r="I11" s="24">
        <f t="shared" si="13"/>
        <v>1</v>
      </c>
      <c r="J11" s="76">
        <v>5</v>
      </c>
      <c r="K11" s="24">
        <f t="shared" si="14"/>
        <v>50</v>
      </c>
      <c r="L11" s="24">
        <f t="shared" si="46"/>
        <v>1</v>
      </c>
      <c r="N11" s="24">
        <v>6</v>
      </c>
      <c r="O11" s="121">
        <v>35</v>
      </c>
      <c r="P11" s="107">
        <v>10</v>
      </c>
      <c r="Q11" s="14">
        <f>SUM(P$5:P11)</f>
        <v>60</v>
      </c>
      <c r="R11" s="24">
        <v>20</v>
      </c>
      <c r="S11" s="109">
        <f t="shared" si="15"/>
        <v>200</v>
      </c>
      <c r="T11" s="24">
        <v>30</v>
      </c>
      <c r="U11" s="109">
        <f t="shared" si="16"/>
        <v>1050</v>
      </c>
      <c r="V11" s="109">
        <v>45</v>
      </c>
      <c r="W11" s="76">
        <f t="shared" si="17"/>
        <v>2250</v>
      </c>
      <c r="X11" s="34">
        <v>150</v>
      </c>
      <c r="Y11" s="109">
        <f t="shared" si="18"/>
        <v>7500</v>
      </c>
      <c r="AA11" s="77">
        <v>6</v>
      </c>
      <c r="AB11" s="155">
        <v>7</v>
      </c>
      <c r="AC11" s="109">
        <v>10</v>
      </c>
      <c r="AD11" s="155">
        <f>INDEX(节奏总表!$N$5:$N$34,章节关卡!AB11)</f>
        <v>28</v>
      </c>
      <c r="AE11" s="118">
        <f t="shared" si="52"/>
        <v>420</v>
      </c>
      <c r="AF11" s="14">
        <f>SUM(AC$5:AC11)</f>
        <v>60</v>
      </c>
      <c r="AG11" s="14">
        <f t="shared" si="48"/>
        <v>600</v>
      </c>
      <c r="AH11" s="24">
        <v>60</v>
      </c>
      <c r="AI11" s="14">
        <f t="shared" si="49"/>
        <v>2100</v>
      </c>
      <c r="AJ11" s="54">
        <v>90</v>
      </c>
      <c r="AK11" s="14">
        <f t="shared" si="19"/>
        <v>4500</v>
      </c>
      <c r="AL11" s="34">
        <v>300</v>
      </c>
      <c r="AM11" s="14">
        <f t="shared" si="20"/>
        <v>15000</v>
      </c>
      <c r="AP11" s="24">
        <v>7</v>
      </c>
      <c r="AQ11" s="14">
        <f t="shared" si="21"/>
        <v>2</v>
      </c>
      <c r="AR11" s="109">
        <f t="shared" si="22"/>
        <v>3</v>
      </c>
      <c r="AS11" s="109">
        <f t="shared" si="23"/>
        <v>6</v>
      </c>
      <c r="AT11" s="109">
        <f t="shared" si="24"/>
        <v>13</v>
      </c>
      <c r="AU11" s="109">
        <f t="shared" si="25"/>
        <v>28</v>
      </c>
      <c r="AX11" s="109">
        <v>7</v>
      </c>
      <c r="AY11" s="14">
        <f t="shared" si="0"/>
        <v>1</v>
      </c>
      <c r="AZ11" s="14">
        <f t="shared" si="26"/>
        <v>7</v>
      </c>
      <c r="BA11" s="14">
        <v>75</v>
      </c>
      <c r="BB11" s="14">
        <f t="shared" si="1"/>
        <v>300</v>
      </c>
      <c r="BC11" s="14">
        <f t="shared" si="2"/>
        <v>1125</v>
      </c>
      <c r="BF11" s="109">
        <v>7</v>
      </c>
      <c r="BG11" s="14">
        <f t="shared" si="27"/>
        <v>1</v>
      </c>
      <c r="BH11" s="14">
        <f t="shared" si="28"/>
        <v>7</v>
      </c>
      <c r="BI11" s="14">
        <f t="shared" si="3"/>
        <v>100</v>
      </c>
      <c r="BJ11" s="14">
        <f t="shared" si="4"/>
        <v>900</v>
      </c>
      <c r="BK11" s="14">
        <f t="shared" si="5"/>
        <v>2250</v>
      </c>
      <c r="BN11" s="109">
        <v>7</v>
      </c>
      <c r="BO11" s="109">
        <f t="shared" si="29"/>
        <v>3</v>
      </c>
      <c r="BP11" s="112">
        <f t="shared" si="30"/>
        <v>20</v>
      </c>
      <c r="BQ11" s="109">
        <f t="shared" si="6"/>
        <v>1</v>
      </c>
      <c r="BR11" s="109">
        <v>90</v>
      </c>
      <c r="BS11" s="109">
        <v>135</v>
      </c>
      <c r="BT11" s="109">
        <v>1</v>
      </c>
      <c r="BU11" s="14">
        <f t="shared" si="31"/>
        <v>11031</v>
      </c>
      <c r="BV11" s="118">
        <v>1</v>
      </c>
      <c r="BW11" s="14">
        <f t="shared" si="32"/>
        <v>103</v>
      </c>
      <c r="BX11" s="118" t="s">
        <v>1052</v>
      </c>
      <c r="BY11" s="14">
        <f t="shared" si="33"/>
        <v>1</v>
      </c>
      <c r="BZ11" s="118" t="str">
        <f t="shared" si="34"/>
        <v>钻石70绿色基础材料23金币1800</v>
      </c>
      <c r="CA11" s="14">
        <f t="shared" si="35"/>
        <v>10</v>
      </c>
      <c r="CB11" s="109" t="s">
        <v>22</v>
      </c>
      <c r="CC11" s="109">
        <v>70</v>
      </c>
      <c r="CD11" s="112" t="str">
        <f>INDEX(挂机升级突破!$BX$4:$CB$4,章节关卡!BT11)</f>
        <v>绿色基础材料</v>
      </c>
      <c r="CE11" s="115">
        <f>ROUND(INDEX(挂机升级突破!$Q$7:$U$37,BO11+2,章节关卡!BT11)/INDEX(挂机升级突破!$Q$5:$U$5,章节关卡!BT11)*章节关卡!BS11,0)</f>
        <v>23</v>
      </c>
      <c r="CF11" s="109" t="s">
        <v>265</v>
      </c>
      <c r="CG11" s="109">
        <f t="shared" si="7"/>
        <v>1800</v>
      </c>
      <c r="CJ11" s="115">
        <f t="shared" si="8"/>
        <v>3</v>
      </c>
      <c r="CK11" s="115">
        <f t="shared" si="9"/>
        <v>30</v>
      </c>
      <c r="CL11" s="118">
        <v>1</v>
      </c>
      <c r="CM11" s="109">
        <f t="shared" si="10"/>
        <v>135</v>
      </c>
      <c r="CN11" s="109">
        <f t="shared" si="11"/>
        <v>270</v>
      </c>
      <c r="CO11" s="115">
        <v>6</v>
      </c>
      <c r="CP11" s="14">
        <f t="shared" si="36"/>
        <v>12031</v>
      </c>
      <c r="CQ11" s="118">
        <v>2</v>
      </c>
      <c r="CR11" s="14">
        <f t="shared" si="37"/>
        <v>203</v>
      </c>
      <c r="CS11" s="118" t="s">
        <v>1052</v>
      </c>
      <c r="CT11" s="14">
        <f t="shared" si="38"/>
        <v>1</v>
      </c>
      <c r="CU11" s="118" t="str">
        <f t="shared" si="39"/>
        <v>钻石100玄铁5金币2700</v>
      </c>
      <c r="CV11" s="14">
        <f t="shared" si="40"/>
        <v>10</v>
      </c>
      <c r="CW11" s="115" t="s">
        <v>270</v>
      </c>
      <c r="CX11" s="115">
        <v>100</v>
      </c>
      <c r="CY11" s="115" t="str">
        <f>INDEX(挂机升级突破!$BX$4:$CG$4,章节关卡!CO11)</f>
        <v>玄铁</v>
      </c>
      <c r="CZ11" s="115">
        <f>ROUND(INDEX(挂机升级突破!$Q$7:$Z$37,CJ11+3,章节关卡!CO11)/INDEX(挂机升级突破!$Q$5:$Z$5,章节关卡!CO11)*章节关卡!CN11,0)</f>
        <v>5</v>
      </c>
      <c r="DA11" s="109" t="s">
        <v>265</v>
      </c>
      <c r="DB11" s="115">
        <f t="shared" si="12"/>
        <v>2700</v>
      </c>
      <c r="DE11" s="118">
        <v>7</v>
      </c>
      <c r="DF11" s="14">
        <f t="shared" si="41"/>
        <v>3</v>
      </c>
      <c r="DG11" s="118">
        <f t="shared" si="42"/>
        <v>20</v>
      </c>
      <c r="DH11" s="118">
        <v>90</v>
      </c>
      <c r="DI11" s="118">
        <f t="shared" si="43"/>
        <v>21031</v>
      </c>
      <c r="DJ11" s="118">
        <v>1</v>
      </c>
      <c r="DK11" s="14">
        <f t="shared" si="50"/>
        <v>103</v>
      </c>
      <c r="DL11" s="118" t="s">
        <v>1062</v>
      </c>
      <c r="DM11" s="118">
        <v>1</v>
      </c>
      <c r="DN11" s="118" t="str">
        <f t="shared" si="44"/>
        <v>钻石10守护灵初级抽卡券2守护灵经验3150</v>
      </c>
      <c r="DO11" s="14">
        <f t="shared" si="51"/>
        <v>10309</v>
      </c>
      <c r="DP11" s="118" t="s">
        <v>1065</v>
      </c>
      <c r="DQ11" s="118">
        <v>10</v>
      </c>
      <c r="DR11" s="118" t="s">
        <v>1066</v>
      </c>
      <c r="DS11" s="118">
        <v>2</v>
      </c>
      <c r="DT11" s="118" t="s">
        <v>1067</v>
      </c>
      <c r="DU11" s="118">
        <f t="shared" si="45"/>
        <v>3150</v>
      </c>
    </row>
    <row r="12" spans="1:125" ht="16.5" x14ac:dyDescent="0.2">
      <c r="A12" s="24">
        <v>7</v>
      </c>
      <c r="B12" s="76">
        <v>40</v>
      </c>
      <c r="C12" s="109">
        <v>4</v>
      </c>
      <c r="D12" s="14">
        <f>SUM(C$5:C12)</f>
        <v>28</v>
      </c>
      <c r="E12" s="76">
        <v>5</v>
      </c>
      <c r="F12" s="76">
        <v>12</v>
      </c>
      <c r="G12" s="76">
        <v>5</v>
      </c>
      <c r="H12" s="24">
        <v>40</v>
      </c>
      <c r="I12" s="24">
        <f t="shared" si="13"/>
        <v>1</v>
      </c>
      <c r="J12" s="76">
        <v>5</v>
      </c>
      <c r="K12" s="24">
        <f t="shared" si="14"/>
        <v>60</v>
      </c>
      <c r="L12" s="24">
        <f t="shared" si="46"/>
        <v>2</v>
      </c>
      <c r="N12" s="24">
        <v>7</v>
      </c>
      <c r="O12" s="121">
        <v>40</v>
      </c>
      <c r="P12" s="107">
        <v>10</v>
      </c>
      <c r="Q12" s="14">
        <f>SUM(P$5:P12)</f>
        <v>70</v>
      </c>
      <c r="R12" s="24">
        <v>20</v>
      </c>
      <c r="S12" s="109">
        <f t="shared" si="15"/>
        <v>240</v>
      </c>
      <c r="T12" s="24">
        <v>30</v>
      </c>
      <c r="U12" s="109">
        <f t="shared" si="16"/>
        <v>1200</v>
      </c>
      <c r="V12" s="109">
        <v>45</v>
      </c>
      <c r="W12" s="76">
        <f t="shared" si="17"/>
        <v>2700</v>
      </c>
      <c r="X12" s="34">
        <v>150</v>
      </c>
      <c r="Y12" s="109">
        <f t="shared" si="18"/>
        <v>9000</v>
      </c>
      <c r="AA12" s="77">
        <v>7</v>
      </c>
      <c r="AB12" s="155">
        <v>8</v>
      </c>
      <c r="AC12" s="109">
        <v>10</v>
      </c>
      <c r="AD12" s="155">
        <f>INDEX(节奏总表!$N$5:$N$34,章节关卡!AB12)</f>
        <v>30</v>
      </c>
      <c r="AE12" s="118">
        <f t="shared" si="52"/>
        <v>450</v>
      </c>
      <c r="AF12" s="14">
        <f>SUM(AC$5:AC12)</f>
        <v>70</v>
      </c>
      <c r="AG12" s="14">
        <f t="shared" si="48"/>
        <v>700</v>
      </c>
      <c r="AH12" s="24">
        <v>60</v>
      </c>
      <c r="AI12" s="14">
        <f t="shared" si="49"/>
        <v>2400</v>
      </c>
      <c r="AJ12" s="54">
        <v>90</v>
      </c>
      <c r="AK12" s="14">
        <f t="shared" si="19"/>
        <v>5400</v>
      </c>
      <c r="AL12" s="34">
        <v>300</v>
      </c>
      <c r="AM12" s="14">
        <f t="shared" si="20"/>
        <v>18000</v>
      </c>
      <c r="AP12" s="24">
        <v>8</v>
      </c>
      <c r="AQ12" s="14">
        <f t="shared" si="21"/>
        <v>2</v>
      </c>
      <c r="AR12" s="109">
        <f t="shared" si="22"/>
        <v>4</v>
      </c>
      <c r="AS12" s="109">
        <f t="shared" si="23"/>
        <v>6</v>
      </c>
      <c r="AT12" s="109">
        <f t="shared" si="24"/>
        <v>14</v>
      </c>
      <c r="AU12" s="109">
        <f t="shared" si="25"/>
        <v>29</v>
      </c>
      <c r="AX12" s="109">
        <v>8</v>
      </c>
      <c r="AY12" s="14">
        <f t="shared" si="0"/>
        <v>1</v>
      </c>
      <c r="AZ12" s="14">
        <f t="shared" si="26"/>
        <v>8</v>
      </c>
      <c r="BA12" s="14">
        <v>75</v>
      </c>
      <c r="BB12" s="14">
        <f t="shared" si="1"/>
        <v>300</v>
      </c>
      <c r="BC12" s="14">
        <f t="shared" si="2"/>
        <v>1125</v>
      </c>
      <c r="BF12" s="109">
        <v>8</v>
      </c>
      <c r="BG12" s="14">
        <f t="shared" si="27"/>
        <v>1</v>
      </c>
      <c r="BH12" s="14">
        <f t="shared" si="28"/>
        <v>8</v>
      </c>
      <c r="BI12" s="14">
        <f t="shared" si="3"/>
        <v>100</v>
      </c>
      <c r="BJ12" s="14">
        <f t="shared" si="4"/>
        <v>900</v>
      </c>
      <c r="BK12" s="14">
        <f t="shared" si="5"/>
        <v>2250</v>
      </c>
      <c r="BN12" s="109">
        <v>8</v>
      </c>
      <c r="BO12" s="109">
        <f t="shared" si="29"/>
        <v>3</v>
      </c>
      <c r="BP12" s="112">
        <f t="shared" si="30"/>
        <v>20</v>
      </c>
      <c r="BQ12" s="109">
        <f t="shared" si="6"/>
        <v>2</v>
      </c>
      <c r="BR12" s="109">
        <v>150</v>
      </c>
      <c r="BS12" s="109">
        <v>225</v>
      </c>
      <c r="BT12" s="109">
        <v>1</v>
      </c>
      <c r="BU12" s="14">
        <f t="shared" si="31"/>
        <v>11032</v>
      </c>
      <c r="BV12" s="118">
        <v>1</v>
      </c>
      <c r="BW12" s="14">
        <f t="shared" si="32"/>
        <v>103</v>
      </c>
      <c r="BX12" s="118" t="s">
        <v>1052</v>
      </c>
      <c r="BY12" s="14">
        <f t="shared" si="33"/>
        <v>2</v>
      </c>
      <c r="BZ12" s="118" t="str">
        <f t="shared" si="34"/>
        <v>守护灵抽卡券2绿色基础材料38金币3000</v>
      </c>
      <c r="CA12" s="14">
        <f t="shared" si="35"/>
        <v>20</v>
      </c>
      <c r="CB12" s="115" t="s">
        <v>271</v>
      </c>
      <c r="CC12" s="115">
        <v>2</v>
      </c>
      <c r="CD12" s="112" t="str">
        <f>INDEX(挂机升级突破!$BX$4:$CB$4,章节关卡!BT12)</f>
        <v>绿色基础材料</v>
      </c>
      <c r="CE12" s="115">
        <f>ROUND(INDEX(挂机升级突破!$Q$7:$U$37,BO12+2,章节关卡!BT12)/INDEX(挂机升级突破!$Q$5:$U$5,章节关卡!BT12)*章节关卡!BS12,0)</f>
        <v>38</v>
      </c>
      <c r="CF12" s="109" t="s">
        <v>265</v>
      </c>
      <c r="CG12" s="109">
        <f t="shared" si="7"/>
        <v>3000</v>
      </c>
      <c r="CJ12" s="115">
        <f t="shared" si="8"/>
        <v>3</v>
      </c>
      <c r="CK12" s="115">
        <f t="shared" si="9"/>
        <v>30</v>
      </c>
      <c r="CL12" s="118">
        <v>2</v>
      </c>
      <c r="CM12" s="109">
        <f t="shared" si="10"/>
        <v>225</v>
      </c>
      <c r="CN12" s="109">
        <f t="shared" si="11"/>
        <v>450</v>
      </c>
      <c r="CO12" s="115">
        <v>6</v>
      </c>
      <c r="CP12" s="14">
        <f t="shared" si="36"/>
        <v>12032</v>
      </c>
      <c r="CQ12" s="118">
        <v>2</v>
      </c>
      <c r="CR12" s="14">
        <f t="shared" si="37"/>
        <v>203</v>
      </c>
      <c r="CS12" s="118" t="s">
        <v>1052</v>
      </c>
      <c r="CT12" s="14">
        <f t="shared" si="38"/>
        <v>2</v>
      </c>
      <c r="CU12" s="118" t="str">
        <f t="shared" si="39"/>
        <v>熔炼值700玄铁8金币4500</v>
      </c>
      <c r="CV12" s="14">
        <f t="shared" si="40"/>
        <v>20</v>
      </c>
      <c r="CW12" s="115" t="s">
        <v>1031</v>
      </c>
      <c r="CX12" s="115">
        <v>700</v>
      </c>
      <c r="CY12" s="115" t="str">
        <f>INDEX(挂机升级突破!$BX$4:$CG$4,章节关卡!CO12)</f>
        <v>玄铁</v>
      </c>
      <c r="CZ12" s="115">
        <f>ROUND(INDEX(挂机升级突破!$Q$7:$Z$37,CJ12+3,章节关卡!CO12)/INDEX(挂机升级突破!$Q$5:$Z$5,章节关卡!CO12)*章节关卡!CN12,0)</f>
        <v>8</v>
      </c>
      <c r="DA12" s="109" t="s">
        <v>265</v>
      </c>
      <c r="DB12" s="115">
        <f t="shared" si="12"/>
        <v>4500</v>
      </c>
      <c r="DE12" s="118">
        <v>8</v>
      </c>
      <c r="DF12" s="14">
        <f t="shared" si="41"/>
        <v>3</v>
      </c>
      <c r="DG12" s="118">
        <f t="shared" si="42"/>
        <v>20</v>
      </c>
      <c r="DH12" s="118">
        <v>120</v>
      </c>
      <c r="DI12" s="118">
        <f t="shared" si="43"/>
        <v>21032</v>
      </c>
      <c r="DJ12" s="118">
        <v>1</v>
      </c>
      <c r="DK12" s="14">
        <f t="shared" si="50"/>
        <v>103</v>
      </c>
      <c r="DL12" s="118" t="s">
        <v>1062</v>
      </c>
      <c r="DM12" s="118">
        <v>2</v>
      </c>
      <c r="DN12" s="118" t="str">
        <f t="shared" si="44"/>
        <v>钻石20守护灵初级抽卡券3守护灵经验4200</v>
      </c>
      <c r="DO12" s="14">
        <f t="shared" si="51"/>
        <v>10309</v>
      </c>
      <c r="DP12" s="118" t="s">
        <v>1065</v>
      </c>
      <c r="DQ12" s="118">
        <v>20</v>
      </c>
      <c r="DR12" s="118" t="s">
        <v>1066</v>
      </c>
      <c r="DS12" s="118">
        <v>3</v>
      </c>
      <c r="DT12" s="118" t="s">
        <v>1067</v>
      </c>
      <c r="DU12" s="118">
        <f t="shared" si="45"/>
        <v>4200</v>
      </c>
    </row>
    <row r="13" spans="1:125" ht="16.5" x14ac:dyDescent="0.2">
      <c r="A13" s="24">
        <v>8</v>
      </c>
      <c r="B13" s="76">
        <v>45</v>
      </c>
      <c r="C13" s="109">
        <v>4</v>
      </c>
      <c r="D13" s="14">
        <f>SUM(C$5:C13)</f>
        <v>32</v>
      </c>
      <c r="E13" s="76">
        <v>5</v>
      </c>
      <c r="F13" s="76">
        <v>14</v>
      </c>
      <c r="G13" s="76">
        <v>5</v>
      </c>
      <c r="H13" s="24">
        <v>45</v>
      </c>
      <c r="I13" s="24">
        <f t="shared" si="13"/>
        <v>1</v>
      </c>
      <c r="J13" s="76">
        <v>5</v>
      </c>
      <c r="K13" s="24">
        <f t="shared" si="14"/>
        <v>70</v>
      </c>
      <c r="L13" s="24">
        <f t="shared" si="46"/>
        <v>2</v>
      </c>
      <c r="N13" s="24">
        <v>8</v>
      </c>
      <c r="O13" s="121">
        <v>45</v>
      </c>
      <c r="P13" s="107">
        <v>10</v>
      </c>
      <c r="Q13" s="14">
        <f>SUM(P$5:P13)</f>
        <v>80</v>
      </c>
      <c r="R13" s="24">
        <v>20</v>
      </c>
      <c r="S13" s="109">
        <f t="shared" si="15"/>
        <v>280</v>
      </c>
      <c r="T13" s="24">
        <v>30</v>
      </c>
      <c r="U13" s="109">
        <f t="shared" si="16"/>
        <v>1350</v>
      </c>
      <c r="V13" s="109">
        <v>45</v>
      </c>
      <c r="W13" s="76">
        <f t="shared" si="17"/>
        <v>3150</v>
      </c>
      <c r="X13" s="34">
        <v>150</v>
      </c>
      <c r="Y13" s="109">
        <f t="shared" si="18"/>
        <v>10500</v>
      </c>
      <c r="AA13" s="77">
        <v>8</v>
      </c>
      <c r="AB13" s="155">
        <v>9</v>
      </c>
      <c r="AC13" s="109">
        <v>10</v>
      </c>
      <c r="AD13" s="155">
        <f>INDEX(节奏总表!$N$5:$N$34,章节关卡!AB13)</f>
        <v>34</v>
      </c>
      <c r="AE13" s="118">
        <f t="shared" si="52"/>
        <v>510</v>
      </c>
      <c r="AF13" s="14">
        <f>SUM(AC$5:AC13)</f>
        <v>80</v>
      </c>
      <c r="AG13" s="14">
        <f t="shared" si="48"/>
        <v>900</v>
      </c>
      <c r="AH13" s="24">
        <v>60</v>
      </c>
      <c r="AI13" s="14">
        <f t="shared" si="49"/>
        <v>2700</v>
      </c>
      <c r="AJ13" s="54">
        <v>90</v>
      </c>
      <c r="AK13" s="14">
        <f t="shared" si="19"/>
        <v>6300</v>
      </c>
      <c r="AL13" s="34">
        <v>300</v>
      </c>
      <c r="AM13" s="14">
        <f t="shared" si="20"/>
        <v>21000</v>
      </c>
      <c r="AP13" s="24">
        <v>9</v>
      </c>
      <c r="AQ13" s="14">
        <f t="shared" si="21"/>
        <v>3</v>
      </c>
      <c r="AR13" s="109">
        <f t="shared" si="22"/>
        <v>1</v>
      </c>
      <c r="AS13" s="109">
        <f t="shared" si="23"/>
        <v>7</v>
      </c>
      <c r="AT13" s="109">
        <f t="shared" si="24"/>
        <v>16</v>
      </c>
      <c r="AU13" s="109">
        <f t="shared" si="25"/>
        <v>31</v>
      </c>
      <c r="AX13" s="109">
        <v>9</v>
      </c>
      <c r="AY13" s="14">
        <f t="shared" si="0"/>
        <v>1</v>
      </c>
      <c r="AZ13" s="14">
        <f t="shared" si="26"/>
        <v>9</v>
      </c>
      <c r="BA13" s="14">
        <v>75</v>
      </c>
      <c r="BB13" s="14">
        <f t="shared" si="1"/>
        <v>300</v>
      </c>
      <c r="BC13" s="14">
        <f t="shared" si="2"/>
        <v>1125</v>
      </c>
      <c r="BF13" s="109">
        <v>9</v>
      </c>
      <c r="BG13" s="14">
        <f t="shared" si="27"/>
        <v>1</v>
      </c>
      <c r="BH13" s="14">
        <f t="shared" si="28"/>
        <v>9</v>
      </c>
      <c r="BI13" s="14">
        <f t="shared" si="3"/>
        <v>100</v>
      </c>
      <c r="BJ13" s="14">
        <f t="shared" si="4"/>
        <v>900</v>
      </c>
      <c r="BK13" s="14">
        <f t="shared" si="5"/>
        <v>2250</v>
      </c>
      <c r="BN13" s="109">
        <v>9</v>
      </c>
      <c r="BO13" s="109">
        <f t="shared" si="29"/>
        <v>3</v>
      </c>
      <c r="BP13" s="112">
        <f t="shared" si="30"/>
        <v>20</v>
      </c>
      <c r="BQ13" s="109">
        <f t="shared" si="6"/>
        <v>3</v>
      </c>
      <c r="BR13" s="109">
        <v>210</v>
      </c>
      <c r="BS13" s="109">
        <v>315</v>
      </c>
      <c r="BT13" s="109">
        <v>1</v>
      </c>
      <c r="BU13" s="14">
        <f t="shared" si="31"/>
        <v>11033</v>
      </c>
      <c r="BV13" s="118">
        <v>1</v>
      </c>
      <c r="BW13" s="14">
        <f t="shared" si="32"/>
        <v>103</v>
      </c>
      <c r="BX13" s="118" t="s">
        <v>1052</v>
      </c>
      <c r="BY13" s="14">
        <f t="shared" si="33"/>
        <v>3</v>
      </c>
      <c r="BZ13" s="118" t="str">
        <f t="shared" si="34"/>
        <v>守护灵抽卡券3绿色基础材料53金币4200</v>
      </c>
      <c r="CA13" s="14">
        <f t="shared" si="35"/>
        <v>30</v>
      </c>
      <c r="CB13" s="115" t="s">
        <v>271</v>
      </c>
      <c r="CC13" s="115">
        <v>3</v>
      </c>
      <c r="CD13" s="112" t="str">
        <f>INDEX(挂机升级突破!$BX$4:$CB$4,章节关卡!BT13)</f>
        <v>绿色基础材料</v>
      </c>
      <c r="CE13" s="115">
        <f>ROUND(INDEX(挂机升级突破!$Q$7:$U$37,BO13+2,章节关卡!BT13)/INDEX(挂机升级突破!$Q$5:$U$5,章节关卡!BT13)*章节关卡!BS13,0)</f>
        <v>53</v>
      </c>
      <c r="CF13" s="109" t="s">
        <v>265</v>
      </c>
      <c r="CG13" s="109">
        <f t="shared" si="7"/>
        <v>4200</v>
      </c>
      <c r="CJ13" s="115">
        <f t="shared" si="8"/>
        <v>3</v>
      </c>
      <c r="CK13" s="115">
        <f t="shared" si="9"/>
        <v>30</v>
      </c>
      <c r="CL13" s="118">
        <v>3</v>
      </c>
      <c r="CM13" s="109">
        <f t="shared" si="10"/>
        <v>315</v>
      </c>
      <c r="CN13" s="109">
        <f t="shared" si="11"/>
        <v>630</v>
      </c>
      <c r="CO13" s="115">
        <v>6</v>
      </c>
      <c r="CP13" s="14">
        <f t="shared" si="36"/>
        <v>12033</v>
      </c>
      <c r="CQ13" s="118">
        <v>2</v>
      </c>
      <c r="CR13" s="14">
        <f t="shared" si="37"/>
        <v>203</v>
      </c>
      <c r="CS13" s="118" t="s">
        <v>1052</v>
      </c>
      <c r="CT13" s="14">
        <f t="shared" si="38"/>
        <v>3</v>
      </c>
      <c r="CU13" s="118" t="str">
        <f t="shared" si="39"/>
        <v>守护灵抽卡券5玄铁11金币6300</v>
      </c>
      <c r="CV13" s="14">
        <f t="shared" si="40"/>
        <v>30</v>
      </c>
      <c r="CW13" s="115" t="s">
        <v>1030</v>
      </c>
      <c r="CX13" s="115">
        <v>5</v>
      </c>
      <c r="CY13" s="115" t="str">
        <f>INDEX(挂机升级突破!$BX$4:$CG$4,章节关卡!CO13)</f>
        <v>玄铁</v>
      </c>
      <c r="CZ13" s="115">
        <f>ROUND(INDEX(挂机升级突破!$Q$7:$Z$37,CJ13+3,章节关卡!CO13)/INDEX(挂机升级突破!$Q$5:$Z$5,章节关卡!CO13)*章节关卡!CN13,0)</f>
        <v>11</v>
      </c>
      <c r="DA13" s="109" t="s">
        <v>265</v>
      </c>
      <c r="DB13" s="115">
        <f t="shared" si="12"/>
        <v>6300</v>
      </c>
      <c r="DE13" s="118">
        <v>9</v>
      </c>
      <c r="DF13" s="14">
        <f t="shared" si="41"/>
        <v>3</v>
      </c>
      <c r="DG13" s="118">
        <f t="shared" si="42"/>
        <v>20</v>
      </c>
      <c r="DH13" s="118">
        <v>150</v>
      </c>
      <c r="DI13" s="118">
        <f t="shared" si="43"/>
        <v>21033</v>
      </c>
      <c r="DJ13" s="118">
        <v>1</v>
      </c>
      <c r="DK13" s="14">
        <f t="shared" si="50"/>
        <v>103</v>
      </c>
      <c r="DL13" s="118" t="s">
        <v>1062</v>
      </c>
      <c r="DM13" s="118">
        <v>3</v>
      </c>
      <c r="DN13" s="118" t="str">
        <f t="shared" si="44"/>
        <v>钻石30守护灵初级抽卡券5守护灵经验5250</v>
      </c>
      <c r="DO13" s="14">
        <f t="shared" si="51"/>
        <v>10309</v>
      </c>
      <c r="DP13" s="118" t="s">
        <v>1065</v>
      </c>
      <c r="DQ13" s="118">
        <v>30</v>
      </c>
      <c r="DR13" s="118" t="s">
        <v>1066</v>
      </c>
      <c r="DS13" s="118">
        <v>5</v>
      </c>
      <c r="DT13" s="118" t="s">
        <v>1067</v>
      </c>
      <c r="DU13" s="118">
        <f t="shared" si="45"/>
        <v>5250</v>
      </c>
    </row>
    <row r="14" spans="1:125" ht="16.5" x14ac:dyDescent="0.2">
      <c r="A14" s="24">
        <v>9</v>
      </c>
      <c r="B14" s="76">
        <v>50</v>
      </c>
      <c r="C14" s="109">
        <v>4</v>
      </c>
      <c r="D14" s="14">
        <f>SUM(C$5:C14)</f>
        <v>36</v>
      </c>
      <c r="E14" s="76">
        <v>5</v>
      </c>
      <c r="F14" s="76">
        <v>16</v>
      </c>
      <c r="G14" s="76">
        <v>5</v>
      </c>
      <c r="H14" s="24">
        <v>50</v>
      </c>
      <c r="I14" s="24">
        <f t="shared" si="13"/>
        <v>1</v>
      </c>
      <c r="J14" s="76">
        <v>5</v>
      </c>
      <c r="K14" s="24">
        <f t="shared" si="14"/>
        <v>80</v>
      </c>
      <c r="L14" s="24">
        <f t="shared" si="46"/>
        <v>2</v>
      </c>
      <c r="N14" s="24">
        <v>9</v>
      </c>
      <c r="O14" s="121">
        <v>50</v>
      </c>
      <c r="P14" s="107">
        <v>10</v>
      </c>
      <c r="Q14" s="14">
        <f>SUM(P$5:P14)</f>
        <v>90</v>
      </c>
      <c r="R14" s="24">
        <v>20</v>
      </c>
      <c r="S14" s="109">
        <f t="shared" si="15"/>
        <v>320</v>
      </c>
      <c r="T14" s="24">
        <v>30</v>
      </c>
      <c r="U14" s="109">
        <f t="shared" si="16"/>
        <v>1500</v>
      </c>
      <c r="V14" s="109">
        <v>45</v>
      </c>
      <c r="W14" s="76">
        <f t="shared" si="17"/>
        <v>3600</v>
      </c>
      <c r="X14" s="34">
        <v>150</v>
      </c>
      <c r="Y14" s="109">
        <f t="shared" si="18"/>
        <v>12000</v>
      </c>
      <c r="AA14" s="77">
        <v>9</v>
      </c>
      <c r="AB14" s="155">
        <v>10</v>
      </c>
      <c r="AC14" s="109">
        <v>10</v>
      </c>
      <c r="AD14" s="155">
        <f>INDEX(节奏总表!$N$5:$N$34,章节关卡!AB14)</f>
        <v>40</v>
      </c>
      <c r="AE14" s="118">
        <f t="shared" si="52"/>
        <v>600</v>
      </c>
      <c r="AF14" s="14">
        <f>SUM(AC$5:AC14)</f>
        <v>90</v>
      </c>
      <c r="AG14" s="14">
        <f t="shared" si="48"/>
        <v>1200</v>
      </c>
      <c r="AH14" s="24">
        <v>60</v>
      </c>
      <c r="AI14" s="14">
        <f t="shared" si="49"/>
        <v>3000</v>
      </c>
      <c r="AJ14" s="54">
        <v>90</v>
      </c>
      <c r="AK14" s="14">
        <f t="shared" si="19"/>
        <v>7200</v>
      </c>
      <c r="AL14" s="109">
        <v>300</v>
      </c>
      <c r="AM14" s="14">
        <f t="shared" si="20"/>
        <v>24000</v>
      </c>
      <c r="AP14" s="24">
        <v>10</v>
      </c>
      <c r="AQ14" s="14">
        <f t="shared" si="21"/>
        <v>3</v>
      </c>
      <c r="AR14" s="109">
        <f t="shared" si="22"/>
        <v>2</v>
      </c>
      <c r="AS14" s="109">
        <f t="shared" si="23"/>
        <v>7</v>
      </c>
      <c r="AT14" s="109">
        <f t="shared" si="24"/>
        <v>17</v>
      </c>
      <c r="AU14" s="109">
        <f t="shared" si="25"/>
        <v>32</v>
      </c>
      <c r="AX14" s="109">
        <v>10</v>
      </c>
      <c r="AY14" s="14">
        <f t="shared" si="0"/>
        <v>1</v>
      </c>
      <c r="AZ14" s="14">
        <f t="shared" si="26"/>
        <v>10</v>
      </c>
      <c r="BA14" s="14">
        <v>100</v>
      </c>
      <c r="BB14" s="14">
        <f t="shared" si="1"/>
        <v>300</v>
      </c>
      <c r="BC14" s="14">
        <f t="shared" si="2"/>
        <v>1125</v>
      </c>
      <c r="BF14" s="109">
        <v>10</v>
      </c>
      <c r="BG14" s="14">
        <f t="shared" si="27"/>
        <v>1</v>
      </c>
      <c r="BH14" s="14">
        <f t="shared" si="28"/>
        <v>10</v>
      </c>
      <c r="BI14" s="14">
        <f t="shared" si="3"/>
        <v>100</v>
      </c>
      <c r="BJ14" s="14">
        <f t="shared" si="4"/>
        <v>900</v>
      </c>
      <c r="BK14" s="14">
        <f t="shared" si="5"/>
        <v>2250</v>
      </c>
      <c r="BN14" s="109">
        <v>10</v>
      </c>
      <c r="BO14" s="109">
        <f t="shared" si="29"/>
        <v>4</v>
      </c>
      <c r="BP14" s="112">
        <f t="shared" si="30"/>
        <v>25</v>
      </c>
      <c r="BQ14" s="109">
        <f t="shared" si="6"/>
        <v>1</v>
      </c>
      <c r="BR14" s="109">
        <v>90</v>
      </c>
      <c r="BS14" s="109">
        <v>135</v>
      </c>
      <c r="BT14" s="112">
        <v>1</v>
      </c>
      <c r="BU14" s="14">
        <f t="shared" si="31"/>
        <v>11041</v>
      </c>
      <c r="BV14" s="118">
        <v>1</v>
      </c>
      <c r="BW14" s="14">
        <f t="shared" si="32"/>
        <v>104</v>
      </c>
      <c r="BX14" s="118" t="s">
        <v>1052</v>
      </c>
      <c r="BY14" s="14">
        <f t="shared" si="33"/>
        <v>1</v>
      </c>
      <c r="BZ14" s="118" t="str">
        <f t="shared" si="34"/>
        <v>钻石80绿色基础材料18金币2250</v>
      </c>
      <c r="CA14" s="14">
        <f t="shared" si="35"/>
        <v>10</v>
      </c>
      <c r="CB14" s="109" t="s">
        <v>22</v>
      </c>
      <c r="CC14" s="109">
        <v>80</v>
      </c>
      <c r="CD14" s="112" t="str">
        <f>INDEX(挂机升级突破!$BX$4:$CB$4,章节关卡!BT14)</f>
        <v>绿色基础材料</v>
      </c>
      <c r="CE14" s="115">
        <f>ROUND(INDEX(挂机升级突破!$Q$7:$U$37,BO14+2,章节关卡!BT14)/INDEX(挂机升级突破!$Q$5:$U$5,章节关卡!BT14)*章节关卡!BS14,0)</f>
        <v>18</v>
      </c>
      <c r="CF14" s="109" t="s">
        <v>265</v>
      </c>
      <c r="CG14" s="109">
        <f t="shared" si="7"/>
        <v>2250</v>
      </c>
      <c r="CJ14" s="115">
        <f t="shared" si="8"/>
        <v>4</v>
      </c>
      <c r="CK14" s="115">
        <f t="shared" si="9"/>
        <v>35</v>
      </c>
      <c r="CL14" s="118">
        <v>1</v>
      </c>
      <c r="CM14" s="109">
        <f t="shared" si="10"/>
        <v>135</v>
      </c>
      <c r="CN14" s="109">
        <f t="shared" si="11"/>
        <v>270</v>
      </c>
      <c r="CO14" s="115">
        <v>6</v>
      </c>
      <c r="CP14" s="14">
        <f t="shared" si="36"/>
        <v>12041</v>
      </c>
      <c r="CQ14" s="118">
        <v>2</v>
      </c>
      <c r="CR14" s="14">
        <f t="shared" si="37"/>
        <v>204</v>
      </c>
      <c r="CS14" s="118" t="s">
        <v>1052</v>
      </c>
      <c r="CT14" s="14">
        <f t="shared" si="38"/>
        <v>1</v>
      </c>
      <c r="CU14" s="118" t="str">
        <f t="shared" si="39"/>
        <v>钻石100玄铁7金币3375</v>
      </c>
      <c r="CV14" s="14">
        <f t="shared" si="40"/>
        <v>10</v>
      </c>
      <c r="CW14" s="115" t="s">
        <v>270</v>
      </c>
      <c r="CX14" s="115">
        <v>100</v>
      </c>
      <c r="CY14" s="115" t="str">
        <f>INDEX(挂机升级突破!$BX$4:$CG$4,章节关卡!CO14)</f>
        <v>玄铁</v>
      </c>
      <c r="CZ14" s="115">
        <f>ROUND(INDEX(挂机升级突破!$Q$7:$Z$37,CJ14+3,章节关卡!CO14)/INDEX(挂机升级突破!$Q$5:$Z$5,章节关卡!CO14)*章节关卡!CN14,0)</f>
        <v>7</v>
      </c>
      <c r="DA14" s="109" t="s">
        <v>265</v>
      </c>
      <c r="DB14" s="115">
        <f t="shared" si="12"/>
        <v>3375</v>
      </c>
      <c r="DE14" s="118">
        <v>10</v>
      </c>
      <c r="DF14" s="14">
        <f t="shared" si="41"/>
        <v>4</v>
      </c>
      <c r="DG14" s="118">
        <f t="shared" si="42"/>
        <v>25</v>
      </c>
      <c r="DH14" s="118">
        <v>90</v>
      </c>
      <c r="DI14" s="118">
        <f t="shared" si="43"/>
        <v>21041</v>
      </c>
      <c r="DJ14" s="118">
        <v>1</v>
      </c>
      <c r="DK14" s="14">
        <f t="shared" si="50"/>
        <v>104</v>
      </c>
      <c r="DL14" s="118" t="s">
        <v>1062</v>
      </c>
      <c r="DM14" s="118">
        <v>1</v>
      </c>
      <c r="DN14" s="118" t="str">
        <f t="shared" si="44"/>
        <v>钻石10守护灵初级抽卡券2守护灵经验3600</v>
      </c>
      <c r="DO14" s="14">
        <f t="shared" si="51"/>
        <v>10409</v>
      </c>
      <c r="DP14" s="118" t="s">
        <v>1065</v>
      </c>
      <c r="DQ14" s="118">
        <v>10</v>
      </c>
      <c r="DR14" s="118" t="s">
        <v>1066</v>
      </c>
      <c r="DS14" s="118">
        <v>2</v>
      </c>
      <c r="DT14" s="118" t="s">
        <v>1067</v>
      </c>
      <c r="DU14" s="118">
        <f t="shared" si="45"/>
        <v>3600</v>
      </c>
    </row>
    <row r="15" spans="1:125" ht="16.5" x14ac:dyDescent="0.2">
      <c r="A15" s="24">
        <v>10</v>
      </c>
      <c r="B15" s="76">
        <v>55</v>
      </c>
      <c r="C15" s="109">
        <v>4</v>
      </c>
      <c r="D15" s="14">
        <f>SUM(C$5:C15)</f>
        <v>40</v>
      </c>
      <c r="E15" s="76">
        <v>5</v>
      </c>
      <c r="F15" s="76">
        <v>18</v>
      </c>
      <c r="G15" s="76">
        <v>5</v>
      </c>
      <c r="H15" s="24">
        <v>55</v>
      </c>
      <c r="I15" s="24">
        <f t="shared" si="13"/>
        <v>1</v>
      </c>
      <c r="J15" s="76">
        <v>5</v>
      </c>
      <c r="K15" s="24">
        <f t="shared" si="14"/>
        <v>90</v>
      </c>
      <c r="L15" s="24">
        <f t="shared" si="46"/>
        <v>2</v>
      </c>
      <c r="N15" s="24">
        <v>10</v>
      </c>
      <c r="O15" s="121">
        <v>55</v>
      </c>
      <c r="P15" s="107">
        <v>10</v>
      </c>
      <c r="Q15" s="14">
        <f>SUM(P$5:P15)</f>
        <v>100</v>
      </c>
      <c r="R15" s="24">
        <v>20</v>
      </c>
      <c r="S15" s="109">
        <f t="shared" si="15"/>
        <v>360</v>
      </c>
      <c r="T15" s="24">
        <v>30</v>
      </c>
      <c r="U15" s="109">
        <f t="shared" si="16"/>
        <v>1650</v>
      </c>
      <c r="V15" s="109">
        <v>45</v>
      </c>
      <c r="W15" s="76">
        <f t="shared" si="17"/>
        <v>4050</v>
      </c>
      <c r="X15" s="34">
        <v>150</v>
      </c>
      <c r="Y15" s="109">
        <f t="shared" si="18"/>
        <v>13500</v>
      </c>
      <c r="AA15" s="77">
        <v>10</v>
      </c>
      <c r="AB15" s="155">
        <v>11</v>
      </c>
      <c r="AC15" s="109">
        <v>10</v>
      </c>
      <c r="AD15" s="155">
        <f>INDEX(节奏总表!$N$5:$N$34,章节关卡!AB15)</f>
        <v>45</v>
      </c>
      <c r="AE15" s="118">
        <f t="shared" si="52"/>
        <v>675</v>
      </c>
      <c r="AF15" s="14">
        <f>SUM(AC$5:AC15)</f>
        <v>100</v>
      </c>
      <c r="AG15" s="14">
        <f t="shared" si="48"/>
        <v>1500</v>
      </c>
      <c r="AH15" s="24">
        <v>60</v>
      </c>
      <c r="AI15" s="14">
        <f t="shared" si="49"/>
        <v>3300</v>
      </c>
      <c r="AJ15" s="54">
        <v>90</v>
      </c>
      <c r="AK15" s="14">
        <f t="shared" si="19"/>
        <v>8100</v>
      </c>
      <c r="AL15" s="109">
        <v>300</v>
      </c>
      <c r="AM15" s="14">
        <f t="shared" si="20"/>
        <v>27000</v>
      </c>
      <c r="AP15" s="24">
        <v>11</v>
      </c>
      <c r="AQ15" s="14">
        <f t="shared" si="21"/>
        <v>3</v>
      </c>
      <c r="AR15" s="109">
        <f t="shared" si="22"/>
        <v>3</v>
      </c>
      <c r="AS15" s="109">
        <f t="shared" si="23"/>
        <v>7</v>
      </c>
      <c r="AT15" s="109">
        <f t="shared" si="24"/>
        <v>18</v>
      </c>
      <c r="AU15" s="109">
        <f t="shared" si="25"/>
        <v>33</v>
      </c>
      <c r="AX15" s="109">
        <v>11</v>
      </c>
      <c r="AY15" s="14">
        <f t="shared" si="0"/>
        <v>2</v>
      </c>
      <c r="AZ15" s="14">
        <f t="shared" si="26"/>
        <v>1</v>
      </c>
      <c r="BA15" s="14">
        <f t="shared" ref="BA15:BA78" si="53">INDEX($S$6:$S$35,AY15)</f>
        <v>120</v>
      </c>
      <c r="BB15" s="14">
        <f t="shared" si="1"/>
        <v>450</v>
      </c>
      <c r="BC15" s="14">
        <f t="shared" si="2"/>
        <v>1350</v>
      </c>
      <c r="BF15" s="109">
        <v>11</v>
      </c>
      <c r="BG15" s="14">
        <f t="shared" si="27"/>
        <v>2</v>
      </c>
      <c r="BH15" s="14">
        <f t="shared" si="28"/>
        <v>1</v>
      </c>
      <c r="BI15" s="14">
        <f t="shared" si="3"/>
        <v>250</v>
      </c>
      <c r="BJ15" s="14">
        <f t="shared" si="4"/>
        <v>900</v>
      </c>
      <c r="BK15" s="14">
        <f t="shared" si="5"/>
        <v>2700</v>
      </c>
      <c r="BN15" s="109">
        <v>11</v>
      </c>
      <c r="BO15" s="109">
        <f t="shared" si="29"/>
        <v>4</v>
      </c>
      <c r="BP15" s="112">
        <f t="shared" si="30"/>
        <v>25</v>
      </c>
      <c r="BQ15" s="109">
        <f t="shared" si="6"/>
        <v>2</v>
      </c>
      <c r="BR15" s="109">
        <v>150</v>
      </c>
      <c r="BS15" s="109">
        <v>225</v>
      </c>
      <c r="BT15" s="112">
        <v>1</v>
      </c>
      <c r="BU15" s="14">
        <f t="shared" si="31"/>
        <v>11042</v>
      </c>
      <c r="BV15" s="118">
        <v>1</v>
      </c>
      <c r="BW15" s="14">
        <f t="shared" si="32"/>
        <v>104</v>
      </c>
      <c r="BX15" s="118" t="s">
        <v>1052</v>
      </c>
      <c r="BY15" s="14">
        <f t="shared" si="33"/>
        <v>2</v>
      </c>
      <c r="BZ15" s="118" t="str">
        <f t="shared" si="34"/>
        <v>守护灵抽卡券2绿色基础材料30金币3750</v>
      </c>
      <c r="CA15" s="14">
        <f t="shared" si="35"/>
        <v>20</v>
      </c>
      <c r="CB15" s="115" t="s">
        <v>271</v>
      </c>
      <c r="CC15" s="115">
        <v>2</v>
      </c>
      <c r="CD15" s="112" t="str">
        <f>INDEX(挂机升级突破!$BX$4:$CB$4,章节关卡!BT15)</f>
        <v>绿色基础材料</v>
      </c>
      <c r="CE15" s="115">
        <f>ROUND(INDEX(挂机升级突破!$Q$7:$U$37,BO15+2,章节关卡!BT15)/INDEX(挂机升级突破!$Q$5:$U$5,章节关卡!BT15)*章节关卡!BS15,0)</f>
        <v>30</v>
      </c>
      <c r="CF15" s="109" t="s">
        <v>265</v>
      </c>
      <c r="CG15" s="109">
        <f t="shared" si="7"/>
        <v>3750</v>
      </c>
      <c r="CJ15" s="115">
        <f t="shared" si="8"/>
        <v>4</v>
      </c>
      <c r="CK15" s="115">
        <f t="shared" si="9"/>
        <v>35</v>
      </c>
      <c r="CL15" s="118">
        <v>2</v>
      </c>
      <c r="CM15" s="109">
        <f t="shared" si="10"/>
        <v>225</v>
      </c>
      <c r="CN15" s="109">
        <f t="shared" si="11"/>
        <v>450</v>
      </c>
      <c r="CO15" s="115">
        <v>6</v>
      </c>
      <c r="CP15" s="14">
        <f t="shared" si="36"/>
        <v>12042</v>
      </c>
      <c r="CQ15" s="118">
        <v>2</v>
      </c>
      <c r="CR15" s="14">
        <f t="shared" si="37"/>
        <v>204</v>
      </c>
      <c r="CS15" s="118" t="s">
        <v>1052</v>
      </c>
      <c r="CT15" s="14">
        <f t="shared" si="38"/>
        <v>2</v>
      </c>
      <c r="CU15" s="118" t="str">
        <f t="shared" si="39"/>
        <v>熔炼值800玄铁11金币5625</v>
      </c>
      <c r="CV15" s="14">
        <f t="shared" si="40"/>
        <v>20</v>
      </c>
      <c r="CW15" s="115" t="s">
        <v>1031</v>
      </c>
      <c r="CX15" s="115">
        <v>800</v>
      </c>
      <c r="CY15" s="115" t="str">
        <f>INDEX(挂机升级突破!$BX$4:$CG$4,章节关卡!CO15)</f>
        <v>玄铁</v>
      </c>
      <c r="CZ15" s="115">
        <f>ROUND(INDEX(挂机升级突破!$Q$7:$Z$37,CJ15+3,章节关卡!CO15)/INDEX(挂机升级突破!$Q$5:$Z$5,章节关卡!CO15)*章节关卡!CN15,0)</f>
        <v>11</v>
      </c>
      <c r="DA15" s="109" t="s">
        <v>265</v>
      </c>
      <c r="DB15" s="115">
        <f t="shared" si="12"/>
        <v>5625</v>
      </c>
      <c r="DE15" s="118">
        <v>11</v>
      </c>
      <c r="DF15" s="14">
        <f t="shared" si="41"/>
        <v>4</v>
      </c>
      <c r="DG15" s="118">
        <f t="shared" si="42"/>
        <v>25</v>
      </c>
      <c r="DH15" s="118">
        <v>120</v>
      </c>
      <c r="DI15" s="118">
        <f t="shared" si="43"/>
        <v>21042</v>
      </c>
      <c r="DJ15" s="118">
        <v>1</v>
      </c>
      <c r="DK15" s="14">
        <f t="shared" si="50"/>
        <v>104</v>
      </c>
      <c r="DL15" s="118" t="s">
        <v>1062</v>
      </c>
      <c r="DM15" s="118">
        <v>2</v>
      </c>
      <c r="DN15" s="118" t="str">
        <f t="shared" si="44"/>
        <v>钻石20守护灵初级抽卡券3守护灵经验4800</v>
      </c>
      <c r="DO15" s="14">
        <f t="shared" si="51"/>
        <v>10409</v>
      </c>
      <c r="DP15" s="118" t="s">
        <v>1065</v>
      </c>
      <c r="DQ15" s="118">
        <v>20</v>
      </c>
      <c r="DR15" s="118" t="s">
        <v>1066</v>
      </c>
      <c r="DS15" s="118">
        <v>3</v>
      </c>
      <c r="DT15" s="118" t="s">
        <v>1067</v>
      </c>
      <c r="DU15" s="118">
        <f t="shared" si="45"/>
        <v>4800</v>
      </c>
    </row>
    <row r="16" spans="1:125" ht="16.5" x14ac:dyDescent="0.2">
      <c r="A16" s="24">
        <v>11</v>
      </c>
      <c r="B16" s="76">
        <v>60</v>
      </c>
      <c r="C16" s="109">
        <v>4</v>
      </c>
      <c r="D16" s="14">
        <f>SUM(C$5:C16)</f>
        <v>44</v>
      </c>
      <c r="E16" s="76">
        <v>5</v>
      </c>
      <c r="F16" s="76">
        <v>20</v>
      </c>
      <c r="G16" s="76">
        <v>5</v>
      </c>
      <c r="H16" s="34">
        <v>60</v>
      </c>
      <c r="I16" s="24">
        <f t="shared" si="13"/>
        <v>1</v>
      </c>
      <c r="J16" s="76">
        <v>5</v>
      </c>
      <c r="K16" s="24">
        <f t="shared" si="14"/>
        <v>100</v>
      </c>
      <c r="L16" s="24">
        <f t="shared" si="46"/>
        <v>2</v>
      </c>
      <c r="N16" s="24">
        <v>11</v>
      </c>
      <c r="O16" s="121">
        <v>60</v>
      </c>
      <c r="P16" s="107">
        <v>10</v>
      </c>
      <c r="Q16" s="14">
        <f>SUM(P$5:P16)</f>
        <v>110</v>
      </c>
      <c r="R16" s="24">
        <v>20</v>
      </c>
      <c r="S16" s="109">
        <f t="shared" si="15"/>
        <v>400</v>
      </c>
      <c r="T16" s="24">
        <v>30</v>
      </c>
      <c r="U16" s="109">
        <f t="shared" si="16"/>
        <v>1800</v>
      </c>
      <c r="V16" s="109">
        <v>45</v>
      </c>
      <c r="W16" s="76">
        <f t="shared" si="17"/>
        <v>4500</v>
      </c>
      <c r="X16" s="34">
        <v>150</v>
      </c>
      <c r="Y16" s="109">
        <f t="shared" si="18"/>
        <v>15000</v>
      </c>
      <c r="AA16" s="77">
        <v>11</v>
      </c>
      <c r="AB16" s="155">
        <v>12</v>
      </c>
      <c r="AC16" s="109">
        <v>10</v>
      </c>
      <c r="AD16" s="155">
        <f>INDEX(节奏总表!$N$5:$N$34,章节关卡!AB16)</f>
        <v>51</v>
      </c>
      <c r="AE16" s="118">
        <f t="shared" si="52"/>
        <v>765</v>
      </c>
      <c r="AF16" s="14">
        <f>SUM(AC$5:AC16)</f>
        <v>110</v>
      </c>
      <c r="AG16" s="14">
        <f t="shared" si="48"/>
        <v>1900</v>
      </c>
      <c r="AH16" s="24">
        <v>60</v>
      </c>
      <c r="AI16" s="14">
        <f t="shared" si="49"/>
        <v>3600</v>
      </c>
      <c r="AJ16" s="54">
        <v>90</v>
      </c>
      <c r="AK16" s="14">
        <f t="shared" si="19"/>
        <v>9000</v>
      </c>
      <c r="AL16" s="109">
        <v>300</v>
      </c>
      <c r="AM16" s="14">
        <f t="shared" si="20"/>
        <v>30000</v>
      </c>
      <c r="AP16" s="24">
        <v>12</v>
      </c>
      <c r="AQ16" s="14">
        <f t="shared" si="21"/>
        <v>3</v>
      </c>
      <c r="AR16" s="109">
        <f t="shared" si="22"/>
        <v>4</v>
      </c>
      <c r="AS16" s="109">
        <f t="shared" si="23"/>
        <v>7</v>
      </c>
      <c r="AT16" s="109">
        <f t="shared" si="24"/>
        <v>19</v>
      </c>
      <c r="AU16" s="109">
        <f t="shared" si="25"/>
        <v>34</v>
      </c>
      <c r="AX16" s="109">
        <v>12</v>
      </c>
      <c r="AY16" s="14">
        <f t="shared" si="0"/>
        <v>2</v>
      </c>
      <c r="AZ16" s="14">
        <f t="shared" si="26"/>
        <v>2</v>
      </c>
      <c r="BA16" s="14">
        <f t="shared" si="53"/>
        <v>120</v>
      </c>
      <c r="BB16" s="14">
        <f t="shared" si="1"/>
        <v>450</v>
      </c>
      <c r="BC16" s="14">
        <f t="shared" si="2"/>
        <v>1350</v>
      </c>
      <c r="BF16" s="109">
        <v>12</v>
      </c>
      <c r="BG16" s="14">
        <f t="shared" si="27"/>
        <v>2</v>
      </c>
      <c r="BH16" s="14">
        <f t="shared" si="28"/>
        <v>2</v>
      </c>
      <c r="BI16" s="14">
        <f t="shared" si="3"/>
        <v>250</v>
      </c>
      <c r="BJ16" s="14">
        <f t="shared" si="4"/>
        <v>900</v>
      </c>
      <c r="BK16" s="14">
        <f t="shared" si="5"/>
        <v>2700</v>
      </c>
      <c r="BN16" s="109">
        <v>12</v>
      </c>
      <c r="BO16" s="109">
        <f t="shared" si="29"/>
        <v>4</v>
      </c>
      <c r="BP16" s="112">
        <f t="shared" si="30"/>
        <v>25</v>
      </c>
      <c r="BQ16" s="109">
        <f t="shared" si="6"/>
        <v>3</v>
      </c>
      <c r="BR16" s="109">
        <v>210</v>
      </c>
      <c r="BS16" s="109">
        <v>315</v>
      </c>
      <c r="BT16" s="112">
        <v>1</v>
      </c>
      <c r="BU16" s="14">
        <f t="shared" si="31"/>
        <v>11043</v>
      </c>
      <c r="BV16" s="118">
        <v>1</v>
      </c>
      <c r="BW16" s="14">
        <f t="shared" si="32"/>
        <v>104</v>
      </c>
      <c r="BX16" s="118" t="s">
        <v>1052</v>
      </c>
      <c r="BY16" s="14">
        <f t="shared" si="33"/>
        <v>3</v>
      </c>
      <c r="BZ16" s="118" t="str">
        <f t="shared" si="34"/>
        <v>守护灵抽卡券3绿色基础材料42金币5250</v>
      </c>
      <c r="CA16" s="14">
        <f t="shared" si="35"/>
        <v>30</v>
      </c>
      <c r="CB16" s="115" t="s">
        <v>271</v>
      </c>
      <c r="CC16" s="115">
        <v>3</v>
      </c>
      <c r="CD16" s="112" t="str">
        <f>INDEX(挂机升级突破!$BX$4:$CB$4,章节关卡!BT16)</f>
        <v>绿色基础材料</v>
      </c>
      <c r="CE16" s="115">
        <f>ROUND(INDEX(挂机升级突破!$Q$7:$U$37,BO16+2,章节关卡!BT16)/INDEX(挂机升级突破!$Q$5:$U$5,章节关卡!BT16)*章节关卡!BS16,0)</f>
        <v>42</v>
      </c>
      <c r="CF16" s="109" t="s">
        <v>265</v>
      </c>
      <c r="CG16" s="109">
        <f t="shared" si="7"/>
        <v>5250</v>
      </c>
      <c r="CJ16" s="115">
        <f t="shared" si="8"/>
        <v>4</v>
      </c>
      <c r="CK16" s="115">
        <f t="shared" si="9"/>
        <v>35</v>
      </c>
      <c r="CL16" s="118">
        <v>3</v>
      </c>
      <c r="CM16" s="109">
        <f t="shared" si="10"/>
        <v>315</v>
      </c>
      <c r="CN16" s="109">
        <f t="shared" si="11"/>
        <v>630</v>
      </c>
      <c r="CO16" s="115">
        <v>6</v>
      </c>
      <c r="CP16" s="14">
        <f t="shared" si="36"/>
        <v>12043</v>
      </c>
      <c r="CQ16" s="118">
        <v>2</v>
      </c>
      <c r="CR16" s="14">
        <f t="shared" si="37"/>
        <v>204</v>
      </c>
      <c r="CS16" s="118" t="s">
        <v>1052</v>
      </c>
      <c r="CT16" s="14">
        <f t="shared" si="38"/>
        <v>3</v>
      </c>
      <c r="CU16" s="118" t="str">
        <f t="shared" si="39"/>
        <v>守护灵抽卡券5玄铁16金币7875</v>
      </c>
      <c r="CV16" s="14">
        <f t="shared" si="40"/>
        <v>30</v>
      </c>
      <c r="CW16" s="115" t="s">
        <v>1030</v>
      </c>
      <c r="CX16" s="115">
        <v>5</v>
      </c>
      <c r="CY16" s="115" t="str">
        <f>INDEX(挂机升级突破!$BX$4:$CG$4,章节关卡!CO16)</f>
        <v>玄铁</v>
      </c>
      <c r="CZ16" s="115">
        <f>ROUND(INDEX(挂机升级突破!$Q$7:$Z$37,CJ16+3,章节关卡!CO16)/INDEX(挂机升级突破!$Q$5:$Z$5,章节关卡!CO16)*章节关卡!CN16,0)</f>
        <v>16</v>
      </c>
      <c r="DA16" s="109" t="s">
        <v>265</v>
      </c>
      <c r="DB16" s="115">
        <f t="shared" si="12"/>
        <v>7875</v>
      </c>
      <c r="DE16" s="118">
        <v>12</v>
      </c>
      <c r="DF16" s="14">
        <f t="shared" si="41"/>
        <v>4</v>
      </c>
      <c r="DG16" s="118">
        <f t="shared" si="42"/>
        <v>25</v>
      </c>
      <c r="DH16" s="118">
        <v>150</v>
      </c>
      <c r="DI16" s="118">
        <f t="shared" si="43"/>
        <v>21043</v>
      </c>
      <c r="DJ16" s="118">
        <v>1</v>
      </c>
      <c r="DK16" s="14">
        <f t="shared" si="50"/>
        <v>104</v>
      </c>
      <c r="DL16" s="118" t="s">
        <v>1062</v>
      </c>
      <c r="DM16" s="118">
        <v>3</v>
      </c>
      <c r="DN16" s="118" t="str">
        <f t="shared" si="44"/>
        <v>钻石30守护灵初级抽卡券5守护灵经验6000</v>
      </c>
      <c r="DO16" s="14">
        <f t="shared" si="51"/>
        <v>10409</v>
      </c>
      <c r="DP16" s="118" t="s">
        <v>1065</v>
      </c>
      <c r="DQ16" s="118">
        <v>30</v>
      </c>
      <c r="DR16" s="118" t="s">
        <v>1066</v>
      </c>
      <c r="DS16" s="118">
        <v>5</v>
      </c>
      <c r="DT16" s="118" t="s">
        <v>1067</v>
      </c>
      <c r="DU16" s="118">
        <f t="shared" si="45"/>
        <v>6000</v>
      </c>
    </row>
    <row r="17" spans="1:125" ht="16.5" x14ac:dyDescent="0.2">
      <c r="A17" s="24">
        <v>12</v>
      </c>
      <c r="B17" s="76">
        <v>65</v>
      </c>
      <c r="C17" s="109">
        <v>4</v>
      </c>
      <c r="D17" s="14">
        <f>SUM(C$5:C17)</f>
        <v>48</v>
      </c>
      <c r="E17" s="76">
        <v>5</v>
      </c>
      <c r="F17" s="76">
        <v>22</v>
      </c>
      <c r="G17" s="76">
        <v>5</v>
      </c>
      <c r="H17" s="24">
        <v>65</v>
      </c>
      <c r="I17" s="24">
        <f t="shared" si="13"/>
        <v>1</v>
      </c>
      <c r="J17" s="76">
        <v>5</v>
      </c>
      <c r="K17" s="24">
        <f t="shared" si="14"/>
        <v>110</v>
      </c>
      <c r="L17" s="24">
        <f t="shared" si="46"/>
        <v>2</v>
      </c>
      <c r="N17" s="24">
        <v>12</v>
      </c>
      <c r="O17" s="121">
        <v>65</v>
      </c>
      <c r="P17" s="107">
        <v>10</v>
      </c>
      <c r="Q17" s="14">
        <f>SUM(P$5:P17)</f>
        <v>120</v>
      </c>
      <c r="R17" s="24">
        <v>20</v>
      </c>
      <c r="S17" s="109">
        <f t="shared" si="15"/>
        <v>440</v>
      </c>
      <c r="T17" s="24">
        <v>30</v>
      </c>
      <c r="U17" s="109">
        <f t="shared" si="16"/>
        <v>1950</v>
      </c>
      <c r="V17" s="109">
        <v>45</v>
      </c>
      <c r="W17" s="76">
        <f t="shared" si="17"/>
        <v>4950</v>
      </c>
      <c r="X17" s="34">
        <v>150</v>
      </c>
      <c r="Y17" s="109">
        <f t="shared" si="18"/>
        <v>16500</v>
      </c>
      <c r="AA17" s="77">
        <v>12</v>
      </c>
      <c r="AB17" s="155">
        <v>13</v>
      </c>
      <c r="AC17" s="109">
        <v>10</v>
      </c>
      <c r="AD17" s="155">
        <f>INDEX(节奏总表!$N$5:$N$34,章节关卡!AB17)</f>
        <v>65</v>
      </c>
      <c r="AE17" s="118">
        <f t="shared" si="52"/>
        <v>975</v>
      </c>
      <c r="AF17" s="14">
        <f>SUM(AC$5:AC17)</f>
        <v>120</v>
      </c>
      <c r="AG17" s="14">
        <f t="shared" si="48"/>
        <v>2650</v>
      </c>
      <c r="AH17" s="24">
        <v>60</v>
      </c>
      <c r="AI17" s="14">
        <f t="shared" si="49"/>
        <v>3900</v>
      </c>
      <c r="AJ17" s="54">
        <v>90</v>
      </c>
      <c r="AK17" s="14">
        <f t="shared" si="19"/>
        <v>9900</v>
      </c>
      <c r="AL17" s="109">
        <v>300</v>
      </c>
      <c r="AM17" s="14">
        <f t="shared" si="20"/>
        <v>33000</v>
      </c>
      <c r="AP17" s="24">
        <v>13</v>
      </c>
      <c r="AQ17" s="14">
        <f t="shared" si="21"/>
        <v>4</v>
      </c>
      <c r="AR17" s="109">
        <f t="shared" si="22"/>
        <v>1</v>
      </c>
      <c r="AS17" s="109">
        <f t="shared" si="23"/>
        <v>8</v>
      </c>
      <c r="AT17" s="109">
        <f t="shared" si="24"/>
        <v>21</v>
      </c>
      <c r="AU17" s="109">
        <f t="shared" si="25"/>
        <v>36</v>
      </c>
      <c r="AX17" s="109">
        <v>13</v>
      </c>
      <c r="AY17" s="14">
        <f t="shared" si="0"/>
        <v>2</v>
      </c>
      <c r="AZ17" s="14">
        <f t="shared" si="26"/>
        <v>3</v>
      </c>
      <c r="BA17" s="14">
        <f t="shared" si="53"/>
        <v>120</v>
      </c>
      <c r="BB17" s="14">
        <f t="shared" si="1"/>
        <v>450</v>
      </c>
      <c r="BC17" s="14">
        <f t="shared" si="2"/>
        <v>1350</v>
      </c>
      <c r="BF17" s="109">
        <v>13</v>
      </c>
      <c r="BG17" s="14">
        <f t="shared" si="27"/>
        <v>2</v>
      </c>
      <c r="BH17" s="14">
        <f t="shared" si="28"/>
        <v>3</v>
      </c>
      <c r="BI17" s="14">
        <f t="shared" si="3"/>
        <v>250</v>
      </c>
      <c r="BJ17" s="14">
        <f t="shared" si="4"/>
        <v>900</v>
      </c>
      <c r="BK17" s="14">
        <f t="shared" si="5"/>
        <v>2700</v>
      </c>
      <c r="BN17" s="109">
        <v>13</v>
      </c>
      <c r="BO17" s="109">
        <f t="shared" si="29"/>
        <v>5</v>
      </c>
      <c r="BP17" s="112">
        <f t="shared" si="30"/>
        <v>30</v>
      </c>
      <c r="BQ17" s="109">
        <f t="shared" si="6"/>
        <v>1</v>
      </c>
      <c r="BR17" s="109">
        <v>120</v>
      </c>
      <c r="BS17" s="109">
        <v>180</v>
      </c>
      <c r="BT17" s="109">
        <v>2</v>
      </c>
      <c r="BU17" s="14">
        <f t="shared" si="31"/>
        <v>11051</v>
      </c>
      <c r="BV17" s="118">
        <v>1</v>
      </c>
      <c r="BW17" s="14">
        <f t="shared" si="32"/>
        <v>105</v>
      </c>
      <c r="BX17" s="118" t="s">
        <v>1052</v>
      </c>
      <c r="BY17" s="14">
        <f t="shared" si="33"/>
        <v>1</v>
      </c>
      <c r="BZ17" s="118" t="str">
        <f t="shared" si="34"/>
        <v>钻石90蓝色基础材料11金币3600</v>
      </c>
      <c r="CA17" s="14">
        <f t="shared" si="35"/>
        <v>10</v>
      </c>
      <c r="CB17" s="109" t="s">
        <v>22</v>
      </c>
      <c r="CC17" s="109">
        <v>90</v>
      </c>
      <c r="CD17" s="112" t="str">
        <f>INDEX(挂机升级突破!$BX$4:$CB$4,章节关卡!BT17)</f>
        <v>蓝色基础材料</v>
      </c>
      <c r="CE17" s="115">
        <f>ROUND(INDEX(挂机升级突破!$Q$7:$U$37,BO17+2,章节关卡!BT17)/INDEX(挂机升级突破!$Q$5:$U$5,章节关卡!BT17)*章节关卡!BS17,0)</f>
        <v>11</v>
      </c>
      <c r="CF17" s="109" t="s">
        <v>265</v>
      </c>
      <c r="CG17" s="109">
        <f t="shared" si="7"/>
        <v>3600</v>
      </c>
      <c r="CJ17" s="115">
        <f t="shared" si="8"/>
        <v>5</v>
      </c>
      <c r="CK17" s="115">
        <f t="shared" si="9"/>
        <v>40</v>
      </c>
      <c r="CL17" s="118">
        <v>1</v>
      </c>
      <c r="CM17" s="109">
        <f t="shared" si="10"/>
        <v>180</v>
      </c>
      <c r="CN17" s="109">
        <f t="shared" si="11"/>
        <v>360</v>
      </c>
      <c r="CO17" s="115">
        <v>6</v>
      </c>
      <c r="CP17" s="14">
        <f t="shared" si="36"/>
        <v>12051</v>
      </c>
      <c r="CQ17" s="118">
        <v>2</v>
      </c>
      <c r="CR17" s="14">
        <f t="shared" si="37"/>
        <v>205</v>
      </c>
      <c r="CS17" s="118" t="s">
        <v>1052</v>
      </c>
      <c r="CT17" s="14">
        <f t="shared" si="38"/>
        <v>1</v>
      </c>
      <c r="CU17" s="118" t="str">
        <f t="shared" si="39"/>
        <v>钻石100玄铁12金币5400</v>
      </c>
      <c r="CV17" s="14">
        <f t="shared" si="40"/>
        <v>10</v>
      </c>
      <c r="CW17" s="115" t="s">
        <v>270</v>
      </c>
      <c r="CX17" s="115">
        <v>100</v>
      </c>
      <c r="CY17" s="115" t="str">
        <f>INDEX(挂机升级突破!$BX$4:$CG$4,章节关卡!CO17)</f>
        <v>玄铁</v>
      </c>
      <c r="CZ17" s="115">
        <f>ROUND(INDEX(挂机升级突破!$Q$7:$Z$37,CJ17+3,章节关卡!CO17)/INDEX(挂机升级突破!$Q$5:$Z$5,章节关卡!CO17)*章节关卡!CN17,0)</f>
        <v>12</v>
      </c>
      <c r="DA17" s="109" t="s">
        <v>265</v>
      </c>
      <c r="DB17" s="115">
        <f t="shared" si="12"/>
        <v>5400</v>
      </c>
      <c r="DE17" s="118">
        <v>13</v>
      </c>
      <c r="DF17" s="14">
        <f t="shared" si="41"/>
        <v>5</v>
      </c>
      <c r="DG17" s="118">
        <f t="shared" si="42"/>
        <v>30</v>
      </c>
      <c r="DH17" s="118">
        <v>90</v>
      </c>
      <c r="DI17" s="118">
        <f t="shared" si="43"/>
        <v>21051</v>
      </c>
      <c r="DJ17" s="118">
        <v>1</v>
      </c>
      <c r="DK17" s="14">
        <f t="shared" si="50"/>
        <v>105</v>
      </c>
      <c r="DL17" s="118" t="s">
        <v>1062</v>
      </c>
      <c r="DM17" s="118">
        <v>1</v>
      </c>
      <c r="DN17" s="118" t="str">
        <f t="shared" si="44"/>
        <v>钻石20守护灵初级抽卡券2守护灵经验4050</v>
      </c>
      <c r="DO17" s="14">
        <f t="shared" si="51"/>
        <v>10509</v>
      </c>
      <c r="DP17" s="118" t="s">
        <v>1065</v>
      </c>
      <c r="DQ17" s="118">
        <v>20</v>
      </c>
      <c r="DR17" s="118" t="s">
        <v>1066</v>
      </c>
      <c r="DS17" s="118">
        <v>2</v>
      </c>
      <c r="DT17" s="118" t="s">
        <v>1067</v>
      </c>
      <c r="DU17" s="118">
        <f t="shared" si="45"/>
        <v>4050</v>
      </c>
    </row>
    <row r="18" spans="1:125" ht="16.5" x14ac:dyDescent="0.2">
      <c r="A18" s="24">
        <v>13</v>
      </c>
      <c r="B18" s="76">
        <v>70</v>
      </c>
      <c r="C18" s="109">
        <v>4</v>
      </c>
      <c r="D18" s="14">
        <f>SUM(C$5:C18)</f>
        <v>52</v>
      </c>
      <c r="E18" s="76">
        <v>5</v>
      </c>
      <c r="F18" s="76">
        <v>25</v>
      </c>
      <c r="G18" s="76">
        <v>5</v>
      </c>
      <c r="H18" s="24">
        <v>70</v>
      </c>
      <c r="I18" s="24">
        <f t="shared" si="13"/>
        <v>1</v>
      </c>
      <c r="J18" s="76">
        <v>5</v>
      </c>
      <c r="K18" s="24">
        <f t="shared" si="14"/>
        <v>125</v>
      </c>
      <c r="L18" s="24">
        <f t="shared" si="46"/>
        <v>3</v>
      </c>
      <c r="N18" s="24">
        <v>13</v>
      </c>
      <c r="O18" s="121">
        <v>70</v>
      </c>
      <c r="P18" s="107">
        <v>10</v>
      </c>
      <c r="Q18" s="14">
        <f>SUM(P$5:P18)</f>
        <v>130</v>
      </c>
      <c r="R18" s="24">
        <v>20</v>
      </c>
      <c r="S18" s="109">
        <f t="shared" si="15"/>
        <v>500</v>
      </c>
      <c r="T18" s="24">
        <v>30</v>
      </c>
      <c r="U18" s="109">
        <f t="shared" si="16"/>
        <v>2100</v>
      </c>
      <c r="V18" s="109">
        <v>45</v>
      </c>
      <c r="W18" s="76">
        <f t="shared" si="17"/>
        <v>5625</v>
      </c>
      <c r="X18" s="34">
        <v>150</v>
      </c>
      <c r="Y18" s="109">
        <f t="shared" si="18"/>
        <v>18750</v>
      </c>
      <c r="AA18" s="77">
        <v>13</v>
      </c>
      <c r="AB18" s="155">
        <v>14</v>
      </c>
      <c r="AC18" s="109">
        <v>10</v>
      </c>
      <c r="AD18" s="155">
        <f>INDEX(节奏总表!$N$5:$N$34,章节关卡!AB18)</f>
        <v>76</v>
      </c>
      <c r="AE18" s="118">
        <f t="shared" si="52"/>
        <v>1140</v>
      </c>
      <c r="AF18" s="14">
        <f>SUM(AC$5:AC18)</f>
        <v>130</v>
      </c>
      <c r="AG18" s="14">
        <f t="shared" si="48"/>
        <v>3400</v>
      </c>
      <c r="AH18" s="24">
        <v>60</v>
      </c>
      <c r="AI18" s="14">
        <f t="shared" si="49"/>
        <v>4200</v>
      </c>
      <c r="AJ18" s="54">
        <v>90</v>
      </c>
      <c r="AK18" s="14">
        <f t="shared" si="19"/>
        <v>11250</v>
      </c>
      <c r="AL18" s="109">
        <v>300</v>
      </c>
      <c r="AM18" s="14">
        <f t="shared" si="20"/>
        <v>37500</v>
      </c>
      <c r="AP18" s="24">
        <v>14</v>
      </c>
      <c r="AQ18" s="14">
        <f t="shared" si="21"/>
        <v>4</v>
      </c>
      <c r="AR18" s="109">
        <f t="shared" si="22"/>
        <v>2</v>
      </c>
      <c r="AS18" s="109">
        <f t="shared" si="23"/>
        <v>8</v>
      </c>
      <c r="AT18" s="109">
        <f t="shared" si="24"/>
        <v>22</v>
      </c>
      <c r="AU18" s="109">
        <f t="shared" si="25"/>
        <v>37</v>
      </c>
      <c r="AX18" s="109">
        <v>14</v>
      </c>
      <c r="AY18" s="14">
        <f t="shared" si="0"/>
        <v>2</v>
      </c>
      <c r="AZ18" s="14">
        <f t="shared" si="26"/>
        <v>4</v>
      </c>
      <c r="BA18" s="14">
        <f t="shared" si="53"/>
        <v>120</v>
      </c>
      <c r="BB18" s="14">
        <f t="shared" si="1"/>
        <v>450</v>
      </c>
      <c r="BC18" s="14">
        <f t="shared" si="2"/>
        <v>1350</v>
      </c>
      <c r="BF18" s="109">
        <v>14</v>
      </c>
      <c r="BG18" s="14">
        <f t="shared" si="27"/>
        <v>2</v>
      </c>
      <c r="BH18" s="14">
        <f t="shared" si="28"/>
        <v>4</v>
      </c>
      <c r="BI18" s="14">
        <f t="shared" si="3"/>
        <v>250</v>
      </c>
      <c r="BJ18" s="14">
        <f t="shared" si="4"/>
        <v>900</v>
      </c>
      <c r="BK18" s="14">
        <f t="shared" si="5"/>
        <v>2700</v>
      </c>
      <c r="BN18" s="109">
        <v>14</v>
      </c>
      <c r="BO18" s="109">
        <f t="shared" si="29"/>
        <v>5</v>
      </c>
      <c r="BP18" s="112">
        <f t="shared" si="30"/>
        <v>30</v>
      </c>
      <c r="BQ18" s="109">
        <f t="shared" si="6"/>
        <v>2</v>
      </c>
      <c r="BR18" s="109">
        <v>240</v>
      </c>
      <c r="BS18" s="109">
        <v>360</v>
      </c>
      <c r="BT18" s="112">
        <v>2</v>
      </c>
      <c r="BU18" s="14">
        <f t="shared" si="31"/>
        <v>11052</v>
      </c>
      <c r="BV18" s="118">
        <v>1</v>
      </c>
      <c r="BW18" s="14">
        <f t="shared" si="32"/>
        <v>105</v>
      </c>
      <c r="BX18" s="118" t="s">
        <v>1052</v>
      </c>
      <c r="BY18" s="14">
        <f t="shared" si="33"/>
        <v>2</v>
      </c>
      <c r="BZ18" s="118" t="str">
        <f t="shared" si="34"/>
        <v>守护灵抽卡券2蓝色基础材料21金币7200</v>
      </c>
      <c r="CA18" s="14">
        <f t="shared" si="35"/>
        <v>20</v>
      </c>
      <c r="CB18" s="115" t="s">
        <v>271</v>
      </c>
      <c r="CC18" s="115">
        <v>2</v>
      </c>
      <c r="CD18" s="112" t="str">
        <f>INDEX(挂机升级突破!$BX$4:$CB$4,章节关卡!BT18)</f>
        <v>蓝色基础材料</v>
      </c>
      <c r="CE18" s="115">
        <f>ROUND(INDEX(挂机升级突破!$Q$7:$U$37,BO18+2,章节关卡!BT18)/INDEX(挂机升级突破!$Q$5:$U$5,章节关卡!BT18)*章节关卡!BS18,0)</f>
        <v>21</v>
      </c>
      <c r="CF18" s="109" t="s">
        <v>265</v>
      </c>
      <c r="CG18" s="109">
        <f t="shared" si="7"/>
        <v>7200</v>
      </c>
      <c r="CJ18" s="115">
        <f t="shared" si="8"/>
        <v>5</v>
      </c>
      <c r="CK18" s="115">
        <f t="shared" si="9"/>
        <v>40</v>
      </c>
      <c r="CL18" s="118">
        <v>2</v>
      </c>
      <c r="CM18" s="109">
        <f t="shared" si="10"/>
        <v>360</v>
      </c>
      <c r="CN18" s="109">
        <f t="shared" si="11"/>
        <v>720</v>
      </c>
      <c r="CO18" s="115">
        <v>6</v>
      </c>
      <c r="CP18" s="14">
        <f t="shared" si="36"/>
        <v>12052</v>
      </c>
      <c r="CQ18" s="118">
        <v>2</v>
      </c>
      <c r="CR18" s="14">
        <f t="shared" si="37"/>
        <v>205</v>
      </c>
      <c r="CS18" s="118" t="s">
        <v>1052</v>
      </c>
      <c r="CT18" s="14">
        <f t="shared" si="38"/>
        <v>2</v>
      </c>
      <c r="CU18" s="118" t="str">
        <f t="shared" si="39"/>
        <v>熔炼值1000玄铁23金币10800</v>
      </c>
      <c r="CV18" s="14">
        <f t="shared" si="40"/>
        <v>20</v>
      </c>
      <c r="CW18" s="115" t="s">
        <v>1031</v>
      </c>
      <c r="CX18" s="115">
        <v>1000</v>
      </c>
      <c r="CY18" s="115" t="str">
        <f>INDEX(挂机升级突破!$BX$4:$CG$4,章节关卡!CO18)</f>
        <v>玄铁</v>
      </c>
      <c r="CZ18" s="115">
        <f>ROUND(INDEX(挂机升级突破!$Q$7:$Z$37,CJ18+3,章节关卡!CO18)/INDEX(挂机升级突破!$Q$5:$Z$5,章节关卡!CO18)*章节关卡!CN18,0)</f>
        <v>23</v>
      </c>
      <c r="DA18" s="109" t="s">
        <v>265</v>
      </c>
      <c r="DB18" s="115">
        <f t="shared" si="12"/>
        <v>10800</v>
      </c>
      <c r="DE18" s="118">
        <v>14</v>
      </c>
      <c r="DF18" s="14">
        <f t="shared" si="41"/>
        <v>5</v>
      </c>
      <c r="DG18" s="118">
        <f t="shared" si="42"/>
        <v>30</v>
      </c>
      <c r="DH18" s="118">
        <v>120</v>
      </c>
      <c r="DI18" s="118">
        <f t="shared" si="43"/>
        <v>21052</v>
      </c>
      <c r="DJ18" s="118">
        <v>1</v>
      </c>
      <c r="DK18" s="14">
        <f t="shared" si="50"/>
        <v>105</v>
      </c>
      <c r="DL18" s="118" t="s">
        <v>1062</v>
      </c>
      <c r="DM18" s="118">
        <v>2</v>
      </c>
      <c r="DN18" s="118" t="str">
        <f t="shared" si="44"/>
        <v>钻石30守护灵初级抽卡券3守护灵经验5400</v>
      </c>
      <c r="DO18" s="14">
        <f t="shared" si="51"/>
        <v>10509</v>
      </c>
      <c r="DP18" s="118" t="s">
        <v>1065</v>
      </c>
      <c r="DQ18" s="118">
        <v>30</v>
      </c>
      <c r="DR18" s="118" t="s">
        <v>1066</v>
      </c>
      <c r="DS18" s="118">
        <v>3</v>
      </c>
      <c r="DT18" s="118" t="s">
        <v>1067</v>
      </c>
      <c r="DU18" s="118">
        <f t="shared" si="45"/>
        <v>5400</v>
      </c>
    </row>
    <row r="19" spans="1:125" ht="16.5" x14ac:dyDescent="0.2">
      <c r="A19" s="24">
        <v>14</v>
      </c>
      <c r="B19" s="76">
        <v>75</v>
      </c>
      <c r="C19" s="109">
        <v>4</v>
      </c>
      <c r="D19" s="14">
        <f>SUM(C$5:C19)</f>
        <v>56</v>
      </c>
      <c r="E19" s="76">
        <v>5</v>
      </c>
      <c r="F19" s="76">
        <v>27</v>
      </c>
      <c r="G19" s="76">
        <v>5</v>
      </c>
      <c r="H19" s="24">
        <v>75</v>
      </c>
      <c r="I19" s="24">
        <f t="shared" si="13"/>
        <v>1</v>
      </c>
      <c r="J19" s="76">
        <v>5</v>
      </c>
      <c r="K19" s="24">
        <f t="shared" si="14"/>
        <v>135</v>
      </c>
      <c r="L19" s="24">
        <f t="shared" si="46"/>
        <v>2</v>
      </c>
      <c r="N19" s="24">
        <v>14</v>
      </c>
      <c r="O19" s="121">
        <v>75</v>
      </c>
      <c r="P19" s="107">
        <v>10</v>
      </c>
      <c r="Q19" s="14">
        <f>SUM(P$5:P19)</f>
        <v>140</v>
      </c>
      <c r="R19" s="24">
        <v>20</v>
      </c>
      <c r="S19" s="109">
        <f t="shared" si="15"/>
        <v>540</v>
      </c>
      <c r="T19" s="24">
        <v>30</v>
      </c>
      <c r="U19" s="109">
        <f t="shared" si="16"/>
        <v>2250</v>
      </c>
      <c r="V19" s="109">
        <v>45</v>
      </c>
      <c r="W19" s="76">
        <f t="shared" si="17"/>
        <v>6075</v>
      </c>
      <c r="X19" s="34">
        <v>150</v>
      </c>
      <c r="Y19" s="109">
        <f t="shared" si="18"/>
        <v>20250</v>
      </c>
      <c r="AA19" s="77">
        <v>14</v>
      </c>
      <c r="AB19" s="155">
        <v>15</v>
      </c>
      <c r="AC19" s="109">
        <v>10</v>
      </c>
      <c r="AD19" s="155">
        <f>INDEX(节奏总表!$N$5:$N$34,章节关卡!AB19)</f>
        <v>90</v>
      </c>
      <c r="AE19" s="118">
        <f t="shared" si="52"/>
        <v>1350</v>
      </c>
      <c r="AF19" s="14">
        <f>SUM(AC$5:AC19)</f>
        <v>140</v>
      </c>
      <c r="AG19" s="14">
        <f t="shared" si="48"/>
        <v>4300</v>
      </c>
      <c r="AH19" s="24">
        <v>60</v>
      </c>
      <c r="AI19" s="14">
        <f t="shared" si="49"/>
        <v>4500</v>
      </c>
      <c r="AJ19" s="54">
        <v>90</v>
      </c>
      <c r="AK19" s="14">
        <f t="shared" si="19"/>
        <v>12150</v>
      </c>
      <c r="AL19" s="109">
        <v>300</v>
      </c>
      <c r="AM19" s="14">
        <f t="shared" si="20"/>
        <v>40500</v>
      </c>
      <c r="AP19" s="24">
        <v>15</v>
      </c>
      <c r="AQ19" s="14">
        <f t="shared" si="21"/>
        <v>4</v>
      </c>
      <c r="AR19" s="109">
        <f t="shared" si="22"/>
        <v>3</v>
      </c>
      <c r="AS19" s="109">
        <f t="shared" si="23"/>
        <v>8</v>
      </c>
      <c r="AT19" s="109">
        <f t="shared" si="24"/>
        <v>23</v>
      </c>
      <c r="AU19" s="109">
        <f t="shared" si="25"/>
        <v>38</v>
      </c>
      <c r="AX19" s="109">
        <v>15</v>
      </c>
      <c r="AY19" s="14">
        <f t="shared" si="0"/>
        <v>2</v>
      </c>
      <c r="AZ19" s="14">
        <f t="shared" si="26"/>
        <v>5</v>
      </c>
      <c r="BA19" s="14">
        <f t="shared" si="53"/>
        <v>120</v>
      </c>
      <c r="BB19" s="14">
        <f t="shared" si="1"/>
        <v>450</v>
      </c>
      <c r="BC19" s="14">
        <f t="shared" si="2"/>
        <v>1350</v>
      </c>
      <c r="BF19" s="109">
        <v>15</v>
      </c>
      <c r="BG19" s="14">
        <f t="shared" si="27"/>
        <v>2</v>
      </c>
      <c r="BH19" s="14">
        <f t="shared" si="28"/>
        <v>5</v>
      </c>
      <c r="BI19" s="14">
        <f t="shared" si="3"/>
        <v>250</v>
      </c>
      <c r="BJ19" s="14">
        <f t="shared" si="4"/>
        <v>900</v>
      </c>
      <c r="BK19" s="14">
        <f t="shared" si="5"/>
        <v>2700</v>
      </c>
      <c r="BN19" s="109">
        <v>15</v>
      </c>
      <c r="BO19" s="109">
        <f t="shared" si="29"/>
        <v>5</v>
      </c>
      <c r="BP19" s="112">
        <f t="shared" si="30"/>
        <v>30</v>
      </c>
      <c r="BQ19" s="109">
        <f t="shared" si="6"/>
        <v>3</v>
      </c>
      <c r="BR19" s="109">
        <v>360</v>
      </c>
      <c r="BS19" s="109">
        <v>540</v>
      </c>
      <c r="BT19" s="112">
        <v>2</v>
      </c>
      <c r="BU19" s="14">
        <f t="shared" si="31"/>
        <v>11053</v>
      </c>
      <c r="BV19" s="118">
        <v>1</v>
      </c>
      <c r="BW19" s="14">
        <f t="shared" si="32"/>
        <v>105</v>
      </c>
      <c r="BX19" s="118" t="s">
        <v>1052</v>
      </c>
      <c r="BY19" s="14">
        <f t="shared" si="33"/>
        <v>3</v>
      </c>
      <c r="BZ19" s="118" t="str">
        <f t="shared" si="34"/>
        <v>守护灵抽卡券3蓝色基础材料32金币10800</v>
      </c>
      <c r="CA19" s="14">
        <f t="shared" si="35"/>
        <v>30</v>
      </c>
      <c r="CB19" s="115" t="s">
        <v>271</v>
      </c>
      <c r="CC19" s="115">
        <v>3</v>
      </c>
      <c r="CD19" s="112" t="str">
        <f>INDEX(挂机升级突破!$BX$4:$CB$4,章节关卡!BT19)</f>
        <v>蓝色基础材料</v>
      </c>
      <c r="CE19" s="115">
        <f>ROUND(INDEX(挂机升级突破!$Q$7:$U$37,BO19+2,章节关卡!BT19)/INDEX(挂机升级突破!$Q$5:$U$5,章节关卡!BT19)*章节关卡!BS19,0)</f>
        <v>32</v>
      </c>
      <c r="CF19" s="109" t="s">
        <v>265</v>
      </c>
      <c r="CG19" s="109">
        <f t="shared" si="7"/>
        <v>10800</v>
      </c>
      <c r="CJ19" s="115">
        <f t="shared" si="8"/>
        <v>5</v>
      </c>
      <c r="CK19" s="115">
        <f t="shared" si="9"/>
        <v>40</v>
      </c>
      <c r="CL19" s="118">
        <v>3</v>
      </c>
      <c r="CM19" s="109">
        <f t="shared" si="10"/>
        <v>540</v>
      </c>
      <c r="CN19" s="109">
        <f t="shared" si="11"/>
        <v>1080</v>
      </c>
      <c r="CO19" s="115">
        <v>6</v>
      </c>
      <c r="CP19" s="14">
        <f t="shared" si="36"/>
        <v>12053</v>
      </c>
      <c r="CQ19" s="118">
        <v>2</v>
      </c>
      <c r="CR19" s="14">
        <f t="shared" si="37"/>
        <v>205</v>
      </c>
      <c r="CS19" s="118" t="s">
        <v>1052</v>
      </c>
      <c r="CT19" s="14">
        <f t="shared" si="38"/>
        <v>3</v>
      </c>
      <c r="CU19" s="118" t="str">
        <f t="shared" si="39"/>
        <v>守护灵抽卡券5玄铁35金币16200</v>
      </c>
      <c r="CV19" s="14">
        <f t="shared" si="40"/>
        <v>30</v>
      </c>
      <c r="CW19" s="115" t="s">
        <v>1030</v>
      </c>
      <c r="CX19" s="115">
        <v>5</v>
      </c>
      <c r="CY19" s="115" t="str">
        <f>INDEX(挂机升级突破!$BX$4:$CG$4,章节关卡!CO19)</f>
        <v>玄铁</v>
      </c>
      <c r="CZ19" s="115">
        <f>ROUND(INDEX(挂机升级突破!$Q$7:$Z$37,CJ19+3,章节关卡!CO19)/INDEX(挂机升级突破!$Q$5:$Z$5,章节关卡!CO19)*章节关卡!CN19,0)</f>
        <v>35</v>
      </c>
      <c r="DA19" s="109" t="s">
        <v>265</v>
      </c>
      <c r="DB19" s="115">
        <f t="shared" si="12"/>
        <v>16200</v>
      </c>
      <c r="DE19" s="118">
        <v>15</v>
      </c>
      <c r="DF19" s="14">
        <f t="shared" si="41"/>
        <v>5</v>
      </c>
      <c r="DG19" s="118">
        <f t="shared" si="42"/>
        <v>30</v>
      </c>
      <c r="DH19" s="118">
        <v>150</v>
      </c>
      <c r="DI19" s="118">
        <f t="shared" si="43"/>
        <v>21053</v>
      </c>
      <c r="DJ19" s="118">
        <v>1</v>
      </c>
      <c r="DK19" s="14">
        <f t="shared" si="50"/>
        <v>105</v>
      </c>
      <c r="DL19" s="118" t="s">
        <v>1062</v>
      </c>
      <c r="DM19" s="118">
        <v>3</v>
      </c>
      <c r="DN19" s="118" t="str">
        <f t="shared" si="44"/>
        <v>钻石50守护灵初级抽卡券5守护灵经验6750</v>
      </c>
      <c r="DO19" s="14">
        <f t="shared" si="51"/>
        <v>10509</v>
      </c>
      <c r="DP19" s="118" t="s">
        <v>1065</v>
      </c>
      <c r="DQ19" s="118">
        <v>50</v>
      </c>
      <c r="DR19" s="118" t="s">
        <v>1066</v>
      </c>
      <c r="DS19" s="118">
        <v>5</v>
      </c>
      <c r="DT19" s="118" t="s">
        <v>1067</v>
      </c>
      <c r="DU19" s="118">
        <f t="shared" si="45"/>
        <v>6750</v>
      </c>
    </row>
    <row r="20" spans="1:125" ht="16.5" x14ac:dyDescent="0.2">
      <c r="A20" s="24">
        <v>15</v>
      </c>
      <c r="B20" s="76">
        <v>80</v>
      </c>
      <c r="C20" s="109">
        <v>4</v>
      </c>
      <c r="D20" s="14">
        <f>SUM(C$5:C20)</f>
        <v>60</v>
      </c>
      <c r="E20" s="76">
        <v>5</v>
      </c>
      <c r="F20" s="76">
        <v>30</v>
      </c>
      <c r="G20" s="76">
        <v>5</v>
      </c>
      <c r="H20" s="24">
        <v>80</v>
      </c>
      <c r="I20" s="24">
        <f t="shared" si="13"/>
        <v>1</v>
      </c>
      <c r="J20" s="76">
        <v>5</v>
      </c>
      <c r="K20" s="24">
        <f t="shared" si="14"/>
        <v>150</v>
      </c>
      <c r="L20" s="24">
        <f t="shared" si="46"/>
        <v>3</v>
      </c>
      <c r="N20" s="24">
        <v>15</v>
      </c>
      <c r="O20" s="121">
        <v>80</v>
      </c>
      <c r="P20" s="107">
        <v>10</v>
      </c>
      <c r="Q20" s="14">
        <f>SUM(P$5:P20)</f>
        <v>150</v>
      </c>
      <c r="R20" s="24">
        <v>20</v>
      </c>
      <c r="S20" s="109">
        <f t="shared" si="15"/>
        <v>600</v>
      </c>
      <c r="T20" s="24">
        <v>30</v>
      </c>
      <c r="U20" s="109">
        <f t="shared" si="16"/>
        <v>2400</v>
      </c>
      <c r="V20" s="109">
        <v>45</v>
      </c>
      <c r="W20" s="76">
        <f t="shared" si="17"/>
        <v>6750</v>
      </c>
      <c r="X20" s="34">
        <v>150</v>
      </c>
      <c r="Y20" s="109">
        <f t="shared" si="18"/>
        <v>22500</v>
      </c>
      <c r="AA20" s="77">
        <v>15</v>
      </c>
      <c r="AB20" s="155">
        <v>16</v>
      </c>
      <c r="AC20" s="109">
        <v>10</v>
      </c>
      <c r="AD20" s="155">
        <f>INDEX(节奏总表!$N$5:$N$34,章节关卡!AB20)</f>
        <v>105</v>
      </c>
      <c r="AE20" s="118">
        <f t="shared" si="52"/>
        <v>1575</v>
      </c>
      <c r="AF20" s="14">
        <f>SUM(AC$5:AC20)</f>
        <v>150</v>
      </c>
      <c r="AG20" s="14">
        <f t="shared" si="48"/>
        <v>5500</v>
      </c>
      <c r="AH20" s="24">
        <v>60</v>
      </c>
      <c r="AI20" s="14">
        <f t="shared" si="49"/>
        <v>4800</v>
      </c>
      <c r="AJ20" s="54">
        <v>90</v>
      </c>
      <c r="AK20" s="14">
        <f t="shared" si="19"/>
        <v>13500</v>
      </c>
      <c r="AL20" s="109">
        <v>300</v>
      </c>
      <c r="AM20" s="14">
        <f t="shared" si="20"/>
        <v>45000</v>
      </c>
      <c r="AP20" s="24">
        <v>16</v>
      </c>
      <c r="AQ20" s="14">
        <f t="shared" si="21"/>
        <v>4</v>
      </c>
      <c r="AR20" s="109">
        <f t="shared" si="22"/>
        <v>4</v>
      </c>
      <c r="AS20" s="109">
        <f t="shared" si="23"/>
        <v>8</v>
      </c>
      <c r="AT20" s="109">
        <f t="shared" si="24"/>
        <v>24</v>
      </c>
      <c r="AU20" s="109">
        <f t="shared" si="25"/>
        <v>39</v>
      </c>
      <c r="AX20" s="109">
        <v>16</v>
      </c>
      <c r="AY20" s="14">
        <f t="shared" si="0"/>
        <v>2</v>
      </c>
      <c r="AZ20" s="14">
        <f t="shared" si="26"/>
        <v>6</v>
      </c>
      <c r="BA20" s="14">
        <f t="shared" si="53"/>
        <v>120</v>
      </c>
      <c r="BB20" s="14">
        <f t="shared" si="1"/>
        <v>450</v>
      </c>
      <c r="BC20" s="14">
        <f t="shared" si="2"/>
        <v>1350</v>
      </c>
      <c r="BF20" s="109">
        <v>16</v>
      </c>
      <c r="BG20" s="14">
        <f t="shared" si="27"/>
        <v>2</v>
      </c>
      <c r="BH20" s="14">
        <f t="shared" si="28"/>
        <v>6</v>
      </c>
      <c r="BI20" s="14">
        <f t="shared" si="3"/>
        <v>250</v>
      </c>
      <c r="BJ20" s="14">
        <f t="shared" si="4"/>
        <v>900</v>
      </c>
      <c r="BK20" s="14">
        <f t="shared" si="5"/>
        <v>2700</v>
      </c>
      <c r="BN20" s="109">
        <v>16</v>
      </c>
      <c r="BO20" s="109">
        <f t="shared" si="29"/>
        <v>6</v>
      </c>
      <c r="BP20" s="112">
        <f t="shared" si="30"/>
        <v>35</v>
      </c>
      <c r="BQ20" s="109">
        <f t="shared" si="6"/>
        <v>1</v>
      </c>
      <c r="BR20" s="109">
        <v>120</v>
      </c>
      <c r="BS20" s="109">
        <v>180</v>
      </c>
      <c r="BT20" s="112">
        <v>2</v>
      </c>
      <c r="BU20" s="14">
        <f t="shared" si="31"/>
        <v>11061</v>
      </c>
      <c r="BV20" s="118">
        <v>1</v>
      </c>
      <c r="BW20" s="14">
        <f t="shared" si="32"/>
        <v>106</v>
      </c>
      <c r="BX20" s="118" t="s">
        <v>1052</v>
      </c>
      <c r="BY20" s="14">
        <f t="shared" si="33"/>
        <v>1</v>
      </c>
      <c r="BZ20" s="118" t="str">
        <f t="shared" si="34"/>
        <v>钻石100蓝色基础材料15金币4200</v>
      </c>
      <c r="CA20" s="14">
        <f t="shared" si="35"/>
        <v>10</v>
      </c>
      <c r="CB20" s="109" t="s">
        <v>22</v>
      </c>
      <c r="CC20" s="109">
        <v>100</v>
      </c>
      <c r="CD20" s="112" t="str">
        <f>INDEX(挂机升级突破!$BX$4:$CB$4,章节关卡!BT20)</f>
        <v>蓝色基础材料</v>
      </c>
      <c r="CE20" s="115">
        <f>ROUND(INDEX(挂机升级突破!$Q$7:$U$37,BO20+2,章节关卡!BT20)/INDEX(挂机升级突破!$Q$5:$U$5,章节关卡!BT20)*章节关卡!BS20,0)</f>
        <v>15</v>
      </c>
      <c r="CF20" s="109" t="s">
        <v>265</v>
      </c>
      <c r="CG20" s="109">
        <f t="shared" si="7"/>
        <v>4200</v>
      </c>
      <c r="CJ20" s="115">
        <f t="shared" si="8"/>
        <v>6</v>
      </c>
      <c r="CK20" s="115">
        <f t="shared" si="9"/>
        <v>45</v>
      </c>
      <c r="CL20" s="118">
        <v>1</v>
      </c>
      <c r="CM20" s="109">
        <f t="shared" si="10"/>
        <v>180</v>
      </c>
      <c r="CN20" s="109">
        <f t="shared" si="11"/>
        <v>360</v>
      </c>
      <c r="CO20" s="115">
        <v>6</v>
      </c>
      <c r="CP20" s="14">
        <f t="shared" si="36"/>
        <v>12061</v>
      </c>
      <c r="CQ20" s="118">
        <v>2</v>
      </c>
      <c r="CR20" s="14">
        <f t="shared" si="37"/>
        <v>206</v>
      </c>
      <c r="CS20" s="118" t="s">
        <v>1052</v>
      </c>
      <c r="CT20" s="14">
        <f t="shared" si="38"/>
        <v>1</v>
      </c>
      <c r="CU20" s="118" t="str">
        <f t="shared" si="39"/>
        <v>钻石100玄铁14金币6300</v>
      </c>
      <c r="CV20" s="14">
        <f t="shared" si="40"/>
        <v>10</v>
      </c>
      <c r="CW20" s="115" t="s">
        <v>270</v>
      </c>
      <c r="CX20" s="115">
        <v>100</v>
      </c>
      <c r="CY20" s="115" t="str">
        <f>INDEX(挂机升级突破!$BX$4:$CG$4,章节关卡!CO20)</f>
        <v>玄铁</v>
      </c>
      <c r="CZ20" s="115">
        <f>ROUND(INDEX(挂机升级突破!$Q$7:$Z$37,CJ20+3,章节关卡!CO20)/INDEX(挂机升级突破!$Q$5:$Z$5,章节关卡!CO20)*章节关卡!CN20,0)</f>
        <v>14</v>
      </c>
      <c r="DA20" s="109" t="s">
        <v>265</v>
      </c>
      <c r="DB20" s="115">
        <f t="shared" si="12"/>
        <v>6300</v>
      </c>
      <c r="DE20" s="118">
        <v>16</v>
      </c>
      <c r="DF20" s="14">
        <f t="shared" si="41"/>
        <v>6</v>
      </c>
      <c r="DG20" s="118">
        <f t="shared" si="42"/>
        <v>35</v>
      </c>
      <c r="DH20" s="118">
        <v>90</v>
      </c>
      <c r="DI20" s="118">
        <f t="shared" si="43"/>
        <v>21061</v>
      </c>
      <c r="DJ20" s="118">
        <v>1</v>
      </c>
      <c r="DK20" s="14">
        <f t="shared" si="50"/>
        <v>106</v>
      </c>
      <c r="DL20" s="118" t="s">
        <v>1062</v>
      </c>
      <c r="DM20" s="118">
        <v>1</v>
      </c>
      <c r="DN20" s="118" t="str">
        <f t="shared" si="44"/>
        <v>钻石20守护灵初级抽卡券2守护灵经验4500</v>
      </c>
      <c r="DO20" s="14">
        <f t="shared" si="51"/>
        <v>10609</v>
      </c>
      <c r="DP20" s="118" t="s">
        <v>1065</v>
      </c>
      <c r="DQ20" s="118">
        <v>20</v>
      </c>
      <c r="DR20" s="118" t="s">
        <v>1066</v>
      </c>
      <c r="DS20" s="118">
        <v>2</v>
      </c>
      <c r="DT20" s="118" t="s">
        <v>1067</v>
      </c>
      <c r="DU20" s="118">
        <f t="shared" si="45"/>
        <v>4500</v>
      </c>
    </row>
    <row r="21" spans="1:125" ht="16.5" x14ac:dyDescent="0.2">
      <c r="A21" s="64">
        <v>16</v>
      </c>
      <c r="B21" s="76">
        <v>85</v>
      </c>
      <c r="C21" s="109">
        <v>4</v>
      </c>
      <c r="D21" s="14">
        <f>SUM(C$5:C21)</f>
        <v>64</v>
      </c>
      <c r="E21" s="76">
        <v>5</v>
      </c>
      <c r="F21" s="76">
        <v>32</v>
      </c>
      <c r="G21" s="76">
        <v>5</v>
      </c>
      <c r="H21" s="64">
        <v>90</v>
      </c>
      <c r="I21" s="64">
        <f>(H21-H20)/$E21</f>
        <v>2</v>
      </c>
      <c r="J21" s="76">
        <v>5</v>
      </c>
      <c r="K21" s="64">
        <f>F21*J21</f>
        <v>160</v>
      </c>
      <c r="L21" s="64">
        <f>(K21-K20)/$E21</f>
        <v>2</v>
      </c>
      <c r="N21" s="64">
        <v>16</v>
      </c>
      <c r="O21" s="121">
        <v>85</v>
      </c>
      <c r="P21" s="107">
        <v>10</v>
      </c>
      <c r="Q21" s="14">
        <f>SUM(P$5:P21)</f>
        <v>160</v>
      </c>
      <c r="R21" s="64">
        <v>20</v>
      </c>
      <c r="S21" s="109">
        <f t="shared" si="15"/>
        <v>640</v>
      </c>
      <c r="T21" s="64">
        <v>30</v>
      </c>
      <c r="U21" s="109">
        <f t="shared" si="16"/>
        <v>2700</v>
      </c>
      <c r="V21" s="109">
        <v>45</v>
      </c>
      <c r="W21" s="76">
        <f t="shared" si="17"/>
        <v>7200</v>
      </c>
      <c r="X21" s="64">
        <v>150</v>
      </c>
      <c r="Y21" s="109">
        <f t="shared" si="18"/>
        <v>24000</v>
      </c>
      <c r="AA21" s="77">
        <v>16</v>
      </c>
      <c r="AB21" s="155">
        <v>17</v>
      </c>
      <c r="AC21" s="109">
        <v>10</v>
      </c>
      <c r="AD21" s="155">
        <f>INDEX(节奏总表!$N$5:$N$34,章节关卡!AB21)</f>
        <v>112</v>
      </c>
      <c r="AE21" s="118">
        <f t="shared" si="52"/>
        <v>1680</v>
      </c>
      <c r="AF21" s="14">
        <f>SUM(AC$5:AC21)</f>
        <v>160</v>
      </c>
      <c r="AG21" s="14">
        <f t="shared" si="48"/>
        <v>6200</v>
      </c>
      <c r="AH21" s="64">
        <v>60</v>
      </c>
      <c r="AI21" s="14">
        <f t="shared" si="49"/>
        <v>5400</v>
      </c>
      <c r="AJ21" s="64">
        <v>90</v>
      </c>
      <c r="AK21" s="14">
        <f t="shared" si="19"/>
        <v>14400</v>
      </c>
      <c r="AL21" s="109">
        <v>300</v>
      </c>
      <c r="AM21" s="14">
        <f t="shared" si="20"/>
        <v>48000</v>
      </c>
      <c r="AP21" s="24">
        <v>17</v>
      </c>
      <c r="AQ21" s="14">
        <f t="shared" si="21"/>
        <v>5</v>
      </c>
      <c r="AR21" s="109">
        <f t="shared" si="22"/>
        <v>1</v>
      </c>
      <c r="AS21" s="109">
        <f t="shared" si="23"/>
        <v>9</v>
      </c>
      <c r="AT21" s="109">
        <f t="shared" si="24"/>
        <v>26</v>
      </c>
      <c r="AU21" s="109">
        <f t="shared" si="25"/>
        <v>41</v>
      </c>
      <c r="AX21" s="109">
        <v>17</v>
      </c>
      <c r="AY21" s="14">
        <f t="shared" si="0"/>
        <v>2</v>
      </c>
      <c r="AZ21" s="14">
        <f t="shared" si="26"/>
        <v>7</v>
      </c>
      <c r="BA21" s="14">
        <f t="shared" si="53"/>
        <v>120</v>
      </c>
      <c r="BB21" s="14">
        <f t="shared" si="1"/>
        <v>450</v>
      </c>
      <c r="BC21" s="14">
        <f t="shared" si="2"/>
        <v>1350</v>
      </c>
      <c r="BF21" s="109">
        <v>17</v>
      </c>
      <c r="BG21" s="14">
        <f t="shared" si="27"/>
        <v>2</v>
      </c>
      <c r="BH21" s="14">
        <f t="shared" si="28"/>
        <v>7</v>
      </c>
      <c r="BI21" s="14">
        <f t="shared" si="3"/>
        <v>250</v>
      </c>
      <c r="BJ21" s="14">
        <f t="shared" si="4"/>
        <v>900</v>
      </c>
      <c r="BK21" s="14">
        <f t="shared" si="5"/>
        <v>2700</v>
      </c>
      <c r="BN21" s="109">
        <v>17</v>
      </c>
      <c r="BO21" s="109">
        <f t="shared" si="29"/>
        <v>6</v>
      </c>
      <c r="BP21" s="112">
        <f t="shared" si="30"/>
        <v>35</v>
      </c>
      <c r="BQ21" s="109">
        <f t="shared" si="6"/>
        <v>2</v>
      </c>
      <c r="BR21" s="109">
        <v>240</v>
      </c>
      <c r="BS21" s="109">
        <v>360</v>
      </c>
      <c r="BT21" s="112">
        <v>2</v>
      </c>
      <c r="BU21" s="14">
        <f t="shared" si="31"/>
        <v>11062</v>
      </c>
      <c r="BV21" s="118">
        <v>1</v>
      </c>
      <c r="BW21" s="14">
        <f t="shared" si="32"/>
        <v>106</v>
      </c>
      <c r="BX21" s="118" t="s">
        <v>1052</v>
      </c>
      <c r="BY21" s="14">
        <f t="shared" si="33"/>
        <v>2</v>
      </c>
      <c r="BZ21" s="118" t="str">
        <f t="shared" si="34"/>
        <v>守护灵抽卡券2蓝色基础材料30金币8400</v>
      </c>
      <c r="CA21" s="14">
        <f t="shared" si="35"/>
        <v>20</v>
      </c>
      <c r="CB21" s="115" t="s">
        <v>271</v>
      </c>
      <c r="CC21" s="115">
        <v>2</v>
      </c>
      <c r="CD21" s="112" t="str">
        <f>INDEX(挂机升级突破!$BX$4:$CB$4,章节关卡!BT21)</f>
        <v>蓝色基础材料</v>
      </c>
      <c r="CE21" s="115">
        <f>ROUND(INDEX(挂机升级突破!$Q$7:$U$37,BO21+2,章节关卡!BT21)/INDEX(挂机升级突破!$Q$5:$U$5,章节关卡!BT21)*章节关卡!BS21,0)</f>
        <v>30</v>
      </c>
      <c r="CF21" s="109" t="s">
        <v>265</v>
      </c>
      <c r="CG21" s="109">
        <f t="shared" si="7"/>
        <v>8400</v>
      </c>
      <c r="CJ21" s="115">
        <f t="shared" si="8"/>
        <v>6</v>
      </c>
      <c r="CK21" s="115">
        <f t="shared" si="9"/>
        <v>45</v>
      </c>
      <c r="CL21" s="118">
        <v>2</v>
      </c>
      <c r="CM21" s="109">
        <f t="shared" si="10"/>
        <v>360</v>
      </c>
      <c r="CN21" s="109">
        <f t="shared" si="11"/>
        <v>720</v>
      </c>
      <c r="CO21" s="115">
        <v>6</v>
      </c>
      <c r="CP21" s="14">
        <f t="shared" si="36"/>
        <v>12062</v>
      </c>
      <c r="CQ21" s="118">
        <v>2</v>
      </c>
      <c r="CR21" s="14">
        <f t="shared" si="37"/>
        <v>206</v>
      </c>
      <c r="CS21" s="118" t="s">
        <v>1052</v>
      </c>
      <c r="CT21" s="14">
        <f t="shared" si="38"/>
        <v>2</v>
      </c>
      <c r="CU21" s="118" t="str">
        <f t="shared" si="39"/>
        <v>熔炼值1050玄铁29金币12600</v>
      </c>
      <c r="CV21" s="14">
        <f t="shared" si="40"/>
        <v>20</v>
      </c>
      <c r="CW21" s="115" t="s">
        <v>1031</v>
      </c>
      <c r="CX21" s="115">
        <v>1050</v>
      </c>
      <c r="CY21" s="115" t="str">
        <f>INDEX(挂机升级突破!$BX$4:$CG$4,章节关卡!CO21)</f>
        <v>玄铁</v>
      </c>
      <c r="CZ21" s="115">
        <f>ROUND(INDEX(挂机升级突破!$Q$7:$Z$37,CJ21+3,章节关卡!CO21)/INDEX(挂机升级突破!$Q$5:$Z$5,章节关卡!CO21)*章节关卡!CN21,0)</f>
        <v>29</v>
      </c>
      <c r="DA21" s="109" t="s">
        <v>265</v>
      </c>
      <c r="DB21" s="115">
        <f t="shared" si="12"/>
        <v>12600</v>
      </c>
      <c r="DE21" s="118">
        <v>17</v>
      </c>
      <c r="DF21" s="14">
        <f t="shared" si="41"/>
        <v>6</v>
      </c>
      <c r="DG21" s="118">
        <f t="shared" si="42"/>
        <v>35</v>
      </c>
      <c r="DH21" s="118">
        <v>120</v>
      </c>
      <c r="DI21" s="118">
        <f t="shared" si="43"/>
        <v>21062</v>
      </c>
      <c r="DJ21" s="118">
        <v>1</v>
      </c>
      <c r="DK21" s="14">
        <f t="shared" si="50"/>
        <v>106</v>
      </c>
      <c r="DL21" s="118" t="s">
        <v>1062</v>
      </c>
      <c r="DM21" s="118">
        <v>2</v>
      </c>
      <c r="DN21" s="118" t="str">
        <f t="shared" si="44"/>
        <v>钻石30守护灵初级抽卡券3守护灵经验6000</v>
      </c>
      <c r="DO21" s="14">
        <f t="shared" si="51"/>
        <v>10609</v>
      </c>
      <c r="DP21" s="118" t="s">
        <v>1065</v>
      </c>
      <c r="DQ21" s="118">
        <v>30</v>
      </c>
      <c r="DR21" s="118" t="s">
        <v>1066</v>
      </c>
      <c r="DS21" s="118">
        <v>3</v>
      </c>
      <c r="DT21" s="118" t="s">
        <v>1067</v>
      </c>
      <c r="DU21" s="118">
        <f t="shared" si="45"/>
        <v>6000</v>
      </c>
    </row>
    <row r="22" spans="1:125" ht="16.5" x14ac:dyDescent="0.2">
      <c r="A22" s="64">
        <v>17</v>
      </c>
      <c r="B22" s="76">
        <v>90</v>
      </c>
      <c r="C22" s="109">
        <v>4</v>
      </c>
      <c r="D22" s="14">
        <f>SUM(C$5:C22)</f>
        <v>68</v>
      </c>
      <c r="E22" s="76">
        <v>5</v>
      </c>
      <c r="F22" s="76">
        <v>35</v>
      </c>
      <c r="G22" s="76">
        <v>5</v>
      </c>
      <c r="H22" s="64">
        <v>100</v>
      </c>
      <c r="I22" s="64">
        <f>(H22-H21)/$E22</f>
        <v>2</v>
      </c>
      <c r="J22" s="76">
        <v>5</v>
      </c>
      <c r="K22" s="64">
        <f>F22*J22</f>
        <v>175</v>
      </c>
      <c r="L22" s="64">
        <f>(K22-K21)/$E22</f>
        <v>3</v>
      </c>
      <c r="N22" s="64">
        <v>17</v>
      </c>
      <c r="O22" s="121">
        <v>90</v>
      </c>
      <c r="P22" s="107">
        <v>10</v>
      </c>
      <c r="Q22" s="14">
        <f>SUM(P$5:P22)</f>
        <v>170</v>
      </c>
      <c r="R22" s="64">
        <v>20</v>
      </c>
      <c r="S22" s="109">
        <f t="shared" si="15"/>
        <v>700</v>
      </c>
      <c r="T22" s="64">
        <v>30</v>
      </c>
      <c r="U22" s="109">
        <f t="shared" si="16"/>
        <v>3000</v>
      </c>
      <c r="V22" s="109">
        <v>45</v>
      </c>
      <c r="W22" s="76">
        <f t="shared" si="17"/>
        <v>7875</v>
      </c>
      <c r="X22" s="64">
        <v>150</v>
      </c>
      <c r="Y22" s="109">
        <f t="shared" si="18"/>
        <v>26250</v>
      </c>
      <c r="AA22" s="77">
        <v>17</v>
      </c>
      <c r="AB22" s="155">
        <v>18</v>
      </c>
      <c r="AC22" s="109">
        <v>10</v>
      </c>
      <c r="AD22" s="155">
        <f>INDEX(节奏总表!$N$5:$N$34,章节关卡!AB22)</f>
        <v>120</v>
      </c>
      <c r="AE22" s="118">
        <f t="shared" si="52"/>
        <v>1800</v>
      </c>
      <c r="AF22" s="14">
        <f>SUM(AC$5:AC22)</f>
        <v>170</v>
      </c>
      <c r="AG22" s="14">
        <f t="shared" si="48"/>
        <v>7200</v>
      </c>
      <c r="AH22" s="64">
        <v>60</v>
      </c>
      <c r="AI22" s="14">
        <f t="shared" si="49"/>
        <v>6000</v>
      </c>
      <c r="AJ22" s="64">
        <v>90</v>
      </c>
      <c r="AK22" s="14">
        <f t="shared" si="19"/>
        <v>15750</v>
      </c>
      <c r="AL22" s="109">
        <v>300</v>
      </c>
      <c r="AM22" s="14">
        <f t="shared" si="20"/>
        <v>52500</v>
      </c>
      <c r="AP22" s="24">
        <v>18</v>
      </c>
      <c r="AQ22" s="14">
        <f t="shared" si="21"/>
        <v>5</v>
      </c>
      <c r="AR22" s="109">
        <f t="shared" si="22"/>
        <v>2</v>
      </c>
      <c r="AS22" s="109">
        <f t="shared" si="23"/>
        <v>9</v>
      </c>
      <c r="AT22" s="109">
        <f t="shared" si="24"/>
        <v>27</v>
      </c>
      <c r="AU22" s="109">
        <f t="shared" si="25"/>
        <v>42</v>
      </c>
      <c r="AX22" s="109">
        <v>18</v>
      </c>
      <c r="AY22" s="14">
        <f t="shared" si="0"/>
        <v>2</v>
      </c>
      <c r="AZ22" s="14">
        <f t="shared" si="26"/>
        <v>8</v>
      </c>
      <c r="BA22" s="14">
        <f t="shared" si="53"/>
        <v>120</v>
      </c>
      <c r="BB22" s="14">
        <f t="shared" si="1"/>
        <v>450</v>
      </c>
      <c r="BC22" s="14">
        <f t="shared" si="2"/>
        <v>1350</v>
      </c>
      <c r="BF22" s="109">
        <v>18</v>
      </c>
      <c r="BG22" s="14">
        <f t="shared" si="27"/>
        <v>2</v>
      </c>
      <c r="BH22" s="14">
        <f t="shared" si="28"/>
        <v>8</v>
      </c>
      <c r="BI22" s="14">
        <f t="shared" si="3"/>
        <v>250</v>
      </c>
      <c r="BJ22" s="14">
        <f t="shared" si="4"/>
        <v>900</v>
      </c>
      <c r="BK22" s="14">
        <f t="shared" si="5"/>
        <v>2700</v>
      </c>
      <c r="BN22" s="109">
        <v>18</v>
      </c>
      <c r="BO22" s="109">
        <f t="shared" si="29"/>
        <v>6</v>
      </c>
      <c r="BP22" s="112">
        <f t="shared" si="30"/>
        <v>35</v>
      </c>
      <c r="BQ22" s="109">
        <f t="shared" si="6"/>
        <v>3</v>
      </c>
      <c r="BR22" s="109">
        <v>360</v>
      </c>
      <c r="BS22" s="109">
        <v>540</v>
      </c>
      <c r="BT22" s="112">
        <v>2</v>
      </c>
      <c r="BU22" s="14">
        <f t="shared" si="31"/>
        <v>11063</v>
      </c>
      <c r="BV22" s="118">
        <v>1</v>
      </c>
      <c r="BW22" s="14">
        <f t="shared" si="32"/>
        <v>106</v>
      </c>
      <c r="BX22" s="118" t="s">
        <v>1052</v>
      </c>
      <c r="BY22" s="14">
        <f t="shared" si="33"/>
        <v>3</v>
      </c>
      <c r="BZ22" s="118" t="str">
        <f t="shared" si="34"/>
        <v>守护灵抽卡券3蓝色基础材料45金币12600</v>
      </c>
      <c r="CA22" s="14">
        <f t="shared" si="35"/>
        <v>30</v>
      </c>
      <c r="CB22" s="115" t="s">
        <v>271</v>
      </c>
      <c r="CC22" s="115">
        <v>3</v>
      </c>
      <c r="CD22" s="112" t="str">
        <f>INDEX(挂机升级突破!$BX$4:$CB$4,章节关卡!BT22)</f>
        <v>蓝色基础材料</v>
      </c>
      <c r="CE22" s="115">
        <f>ROUND(INDEX(挂机升级突破!$Q$7:$U$37,BO22+2,章节关卡!BT22)/INDEX(挂机升级突破!$Q$5:$U$5,章节关卡!BT22)*章节关卡!BS22,0)</f>
        <v>45</v>
      </c>
      <c r="CF22" s="109" t="s">
        <v>265</v>
      </c>
      <c r="CG22" s="109">
        <f t="shared" si="7"/>
        <v>12600</v>
      </c>
      <c r="CJ22" s="115">
        <f t="shared" si="8"/>
        <v>6</v>
      </c>
      <c r="CK22" s="115">
        <f t="shared" si="9"/>
        <v>45</v>
      </c>
      <c r="CL22" s="118">
        <v>3</v>
      </c>
      <c r="CM22" s="109">
        <f t="shared" si="10"/>
        <v>540</v>
      </c>
      <c r="CN22" s="109">
        <f t="shared" si="11"/>
        <v>1080</v>
      </c>
      <c r="CO22" s="115">
        <v>6</v>
      </c>
      <c r="CP22" s="14">
        <f t="shared" si="36"/>
        <v>12063</v>
      </c>
      <c r="CQ22" s="118">
        <v>2</v>
      </c>
      <c r="CR22" s="14">
        <f t="shared" si="37"/>
        <v>206</v>
      </c>
      <c r="CS22" s="118" t="s">
        <v>1052</v>
      </c>
      <c r="CT22" s="14">
        <f t="shared" si="38"/>
        <v>3</v>
      </c>
      <c r="CU22" s="118" t="str">
        <f t="shared" si="39"/>
        <v>守护灵抽卡券5玄铁43金币18900</v>
      </c>
      <c r="CV22" s="14">
        <f t="shared" si="40"/>
        <v>30</v>
      </c>
      <c r="CW22" s="115" t="s">
        <v>1030</v>
      </c>
      <c r="CX22" s="115">
        <v>5</v>
      </c>
      <c r="CY22" s="115" t="str">
        <f>INDEX(挂机升级突破!$BX$4:$CG$4,章节关卡!CO22)</f>
        <v>玄铁</v>
      </c>
      <c r="CZ22" s="115">
        <f>ROUND(INDEX(挂机升级突破!$Q$7:$Z$37,CJ22+3,章节关卡!CO22)/INDEX(挂机升级突破!$Q$5:$Z$5,章节关卡!CO22)*章节关卡!CN22,0)</f>
        <v>43</v>
      </c>
      <c r="DA22" s="109" t="s">
        <v>265</v>
      </c>
      <c r="DB22" s="115">
        <f t="shared" si="12"/>
        <v>18900</v>
      </c>
      <c r="DE22" s="118">
        <v>18</v>
      </c>
      <c r="DF22" s="14">
        <f t="shared" si="41"/>
        <v>6</v>
      </c>
      <c r="DG22" s="118">
        <f t="shared" si="42"/>
        <v>35</v>
      </c>
      <c r="DH22" s="118">
        <v>150</v>
      </c>
      <c r="DI22" s="118">
        <f t="shared" si="43"/>
        <v>21063</v>
      </c>
      <c r="DJ22" s="118">
        <v>1</v>
      </c>
      <c r="DK22" s="14">
        <f t="shared" si="50"/>
        <v>106</v>
      </c>
      <c r="DL22" s="118" t="s">
        <v>1062</v>
      </c>
      <c r="DM22" s="118">
        <v>3</v>
      </c>
      <c r="DN22" s="118" t="str">
        <f t="shared" si="44"/>
        <v>钻石50守护灵初级抽卡券5守护灵经验7500</v>
      </c>
      <c r="DO22" s="14">
        <f t="shared" si="51"/>
        <v>10609</v>
      </c>
      <c r="DP22" s="118" t="s">
        <v>1065</v>
      </c>
      <c r="DQ22" s="118">
        <v>50</v>
      </c>
      <c r="DR22" s="118" t="s">
        <v>1066</v>
      </c>
      <c r="DS22" s="118">
        <v>5</v>
      </c>
      <c r="DT22" s="118" t="s">
        <v>1067</v>
      </c>
      <c r="DU22" s="118">
        <f t="shared" si="45"/>
        <v>7500</v>
      </c>
    </row>
    <row r="23" spans="1:125" ht="16.5" x14ac:dyDescent="0.2">
      <c r="A23" s="64">
        <v>18</v>
      </c>
      <c r="B23" s="76">
        <v>95</v>
      </c>
      <c r="C23" s="109">
        <v>4</v>
      </c>
      <c r="D23" s="14">
        <f>SUM(C$5:C23)</f>
        <v>72</v>
      </c>
      <c r="E23" s="76">
        <v>5</v>
      </c>
      <c r="F23" s="76">
        <v>37</v>
      </c>
      <c r="G23" s="76">
        <v>5</v>
      </c>
      <c r="H23" s="76">
        <v>110</v>
      </c>
      <c r="I23" s="64">
        <f>(H23-H22)/$E23</f>
        <v>2</v>
      </c>
      <c r="J23" s="76">
        <v>5</v>
      </c>
      <c r="K23" s="64">
        <f>F23*J23</f>
        <v>185</v>
      </c>
      <c r="L23" s="64">
        <f>(K23-K22)/$E23</f>
        <v>2</v>
      </c>
      <c r="N23" s="64">
        <v>18</v>
      </c>
      <c r="O23" s="121">
        <v>95</v>
      </c>
      <c r="P23" s="107">
        <v>10</v>
      </c>
      <c r="Q23" s="14">
        <f>SUM(P$5:P23)</f>
        <v>180</v>
      </c>
      <c r="R23" s="64">
        <v>20</v>
      </c>
      <c r="S23" s="109">
        <f t="shared" si="15"/>
        <v>740</v>
      </c>
      <c r="T23" s="64">
        <v>30</v>
      </c>
      <c r="U23" s="109">
        <f t="shared" si="16"/>
        <v>3300</v>
      </c>
      <c r="V23" s="109">
        <v>45</v>
      </c>
      <c r="W23" s="76">
        <f t="shared" si="17"/>
        <v>8325</v>
      </c>
      <c r="X23" s="64">
        <v>150</v>
      </c>
      <c r="Y23" s="109">
        <f t="shared" si="18"/>
        <v>27750</v>
      </c>
      <c r="AA23" s="77">
        <v>18</v>
      </c>
      <c r="AB23" s="155">
        <v>19</v>
      </c>
      <c r="AC23" s="109">
        <v>10</v>
      </c>
      <c r="AD23" s="155">
        <f>INDEX(节奏总表!$N$5:$N$34,章节关卡!AB23)</f>
        <v>125</v>
      </c>
      <c r="AE23" s="118">
        <f t="shared" si="52"/>
        <v>1875</v>
      </c>
      <c r="AF23" s="14">
        <f>SUM(AC$5:AC23)</f>
        <v>180</v>
      </c>
      <c r="AG23" s="14">
        <f t="shared" si="48"/>
        <v>7900</v>
      </c>
      <c r="AH23" s="64">
        <v>60</v>
      </c>
      <c r="AI23" s="14">
        <f t="shared" si="49"/>
        <v>6600</v>
      </c>
      <c r="AJ23" s="64">
        <v>90</v>
      </c>
      <c r="AK23" s="14">
        <f t="shared" si="19"/>
        <v>16650</v>
      </c>
      <c r="AL23" s="109">
        <v>300</v>
      </c>
      <c r="AM23" s="14">
        <f t="shared" si="20"/>
        <v>55500</v>
      </c>
      <c r="AP23" s="24">
        <v>19</v>
      </c>
      <c r="AQ23" s="14">
        <f t="shared" si="21"/>
        <v>5</v>
      </c>
      <c r="AR23" s="109">
        <f t="shared" si="22"/>
        <v>3</v>
      </c>
      <c r="AS23" s="109">
        <f t="shared" si="23"/>
        <v>9</v>
      </c>
      <c r="AT23" s="109">
        <f t="shared" si="24"/>
        <v>28</v>
      </c>
      <c r="AU23" s="109">
        <f t="shared" si="25"/>
        <v>43</v>
      </c>
      <c r="AX23" s="109">
        <v>19</v>
      </c>
      <c r="AY23" s="14">
        <f t="shared" si="0"/>
        <v>2</v>
      </c>
      <c r="AZ23" s="14">
        <f t="shared" si="26"/>
        <v>9</v>
      </c>
      <c r="BA23" s="14">
        <f t="shared" si="53"/>
        <v>120</v>
      </c>
      <c r="BB23" s="14">
        <f t="shared" si="1"/>
        <v>450</v>
      </c>
      <c r="BC23" s="14">
        <f t="shared" si="2"/>
        <v>1350</v>
      </c>
      <c r="BF23" s="109">
        <v>19</v>
      </c>
      <c r="BG23" s="14">
        <f t="shared" si="27"/>
        <v>2</v>
      </c>
      <c r="BH23" s="14">
        <f t="shared" si="28"/>
        <v>9</v>
      </c>
      <c r="BI23" s="14">
        <f t="shared" si="3"/>
        <v>250</v>
      </c>
      <c r="BJ23" s="14">
        <f t="shared" si="4"/>
        <v>900</v>
      </c>
      <c r="BK23" s="14">
        <f t="shared" si="5"/>
        <v>2700</v>
      </c>
      <c r="BN23" s="109">
        <v>19</v>
      </c>
      <c r="BO23" s="109">
        <f t="shared" si="29"/>
        <v>7</v>
      </c>
      <c r="BP23" s="112">
        <f t="shared" si="30"/>
        <v>40</v>
      </c>
      <c r="BQ23" s="109">
        <f t="shared" si="6"/>
        <v>1</v>
      </c>
      <c r="BR23" s="109">
        <v>120</v>
      </c>
      <c r="BS23" s="109">
        <v>180</v>
      </c>
      <c r="BT23" s="112">
        <v>2</v>
      </c>
      <c r="BU23" s="14">
        <f t="shared" si="31"/>
        <v>11071</v>
      </c>
      <c r="BV23" s="118">
        <v>1</v>
      </c>
      <c r="BW23" s="14">
        <f t="shared" si="32"/>
        <v>107</v>
      </c>
      <c r="BX23" s="118" t="s">
        <v>1052</v>
      </c>
      <c r="BY23" s="14">
        <f t="shared" si="33"/>
        <v>1</v>
      </c>
      <c r="BZ23" s="118" t="str">
        <f t="shared" si="34"/>
        <v>钻石100蓝色基础材料20金币4800</v>
      </c>
      <c r="CA23" s="14">
        <f t="shared" si="35"/>
        <v>10</v>
      </c>
      <c r="CB23" s="109" t="s">
        <v>22</v>
      </c>
      <c r="CC23" s="115">
        <v>100</v>
      </c>
      <c r="CD23" s="112" t="str">
        <f>INDEX(挂机升级突破!$BX$4:$CB$4,章节关卡!BT23)</f>
        <v>蓝色基础材料</v>
      </c>
      <c r="CE23" s="115">
        <f>ROUND(INDEX(挂机升级突破!$Q$7:$U$37,BO23+2,章节关卡!BT23)/INDEX(挂机升级突破!$Q$5:$U$5,章节关卡!BT23)*章节关卡!BS23,0)</f>
        <v>20</v>
      </c>
      <c r="CF23" s="109" t="s">
        <v>265</v>
      </c>
      <c r="CG23" s="109">
        <f t="shared" si="7"/>
        <v>4800</v>
      </c>
      <c r="CJ23" s="115">
        <f t="shared" si="8"/>
        <v>7</v>
      </c>
      <c r="CK23" s="115">
        <f t="shared" si="9"/>
        <v>50</v>
      </c>
      <c r="CL23" s="118">
        <v>1</v>
      </c>
      <c r="CM23" s="109">
        <f t="shared" si="10"/>
        <v>180</v>
      </c>
      <c r="CN23" s="109">
        <f t="shared" si="11"/>
        <v>360</v>
      </c>
      <c r="CO23" s="115">
        <v>6</v>
      </c>
      <c r="CP23" s="14">
        <f t="shared" si="36"/>
        <v>12071</v>
      </c>
      <c r="CQ23" s="118">
        <v>2</v>
      </c>
      <c r="CR23" s="14">
        <f t="shared" si="37"/>
        <v>207</v>
      </c>
      <c r="CS23" s="118" t="s">
        <v>1052</v>
      </c>
      <c r="CT23" s="14">
        <f t="shared" si="38"/>
        <v>1</v>
      </c>
      <c r="CU23" s="118" t="str">
        <f t="shared" si="39"/>
        <v>钻石100玄铁18金币7200</v>
      </c>
      <c r="CV23" s="14">
        <f t="shared" si="40"/>
        <v>10</v>
      </c>
      <c r="CW23" s="115" t="s">
        <v>270</v>
      </c>
      <c r="CX23" s="115">
        <v>100</v>
      </c>
      <c r="CY23" s="115" t="str">
        <f>INDEX(挂机升级突破!$BX$4:$CG$4,章节关卡!CO23)</f>
        <v>玄铁</v>
      </c>
      <c r="CZ23" s="115">
        <f>ROUND(INDEX(挂机升级突破!$Q$7:$Z$37,CJ23+3,章节关卡!CO23)/INDEX(挂机升级突破!$Q$5:$Z$5,章节关卡!CO23)*章节关卡!CN23,0)</f>
        <v>18</v>
      </c>
      <c r="DA23" s="109" t="s">
        <v>265</v>
      </c>
      <c r="DB23" s="115">
        <f t="shared" si="12"/>
        <v>7200</v>
      </c>
      <c r="DE23" s="118">
        <v>19</v>
      </c>
      <c r="DF23" s="14">
        <f t="shared" si="41"/>
        <v>7</v>
      </c>
      <c r="DG23" s="118">
        <f t="shared" si="42"/>
        <v>40</v>
      </c>
      <c r="DH23" s="118">
        <v>90</v>
      </c>
      <c r="DI23" s="118">
        <f t="shared" si="43"/>
        <v>21071</v>
      </c>
      <c r="DJ23" s="118">
        <v>1</v>
      </c>
      <c r="DK23" s="14">
        <f t="shared" si="50"/>
        <v>107</v>
      </c>
      <c r="DL23" s="118" t="s">
        <v>1062</v>
      </c>
      <c r="DM23" s="118">
        <v>1</v>
      </c>
      <c r="DN23" s="118" t="str">
        <f t="shared" si="44"/>
        <v>钻石20守护灵初级抽卡券2守护灵经验5400</v>
      </c>
      <c r="DO23" s="14">
        <f t="shared" si="51"/>
        <v>10709</v>
      </c>
      <c r="DP23" s="118" t="s">
        <v>1065</v>
      </c>
      <c r="DQ23" s="118">
        <v>20</v>
      </c>
      <c r="DR23" s="118" t="s">
        <v>1066</v>
      </c>
      <c r="DS23" s="118">
        <v>2</v>
      </c>
      <c r="DT23" s="118" t="s">
        <v>1067</v>
      </c>
      <c r="DU23" s="118">
        <f t="shared" si="45"/>
        <v>5400</v>
      </c>
    </row>
    <row r="24" spans="1:125" ht="16.5" x14ac:dyDescent="0.2">
      <c r="A24" s="64">
        <v>19</v>
      </c>
      <c r="B24" s="76">
        <v>100</v>
      </c>
      <c r="C24" s="109">
        <v>4</v>
      </c>
      <c r="D24" s="14">
        <f>SUM(C$5:C24)</f>
        <v>76</v>
      </c>
      <c r="E24" s="76">
        <v>5</v>
      </c>
      <c r="F24" s="76">
        <v>40</v>
      </c>
      <c r="G24" s="76">
        <v>5</v>
      </c>
      <c r="H24" s="76">
        <v>120</v>
      </c>
      <c r="I24" s="64">
        <f>(H24-H23)/$E24</f>
        <v>2</v>
      </c>
      <c r="J24" s="76">
        <v>5</v>
      </c>
      <c r="K24" s="64">
        <f>F24*J24</f>
        <v>200</v>
      </c>
      <c r="L24" s="64">
        <f>(K24-K23)/$E24</f>
        <v>3</v>
      </c>
      <c r="N24" s="64">
        <v>19</v>
      </c>
      <c r="O24" s="121">
        <v>100</v>
      </c>
      <c r="P24" s="107">
        <v>10</v>
      </c>
      <c r="Q24" s="14">
        <f>SUM(P$5:P24)</f>
        <v>190</v>
      </c>
      <c r="R24" s="64">
        <v>20</v>
      </c>
      <c r="S24" s="109">
        <f t="shared" si="15"/>
        <v>800</v>
      </c>
      <c r="T24" s="64">
        <v>30</v>
      </c>
      <c r="U24" s="109">
        <f t="shared" si="16"/>
        <v>3600</v>
      </c>
      <c r="V24" s="109">
        <v>45</v>
      </c>
      <c r="W24" s="76">
        <f t="shared" si="17"/>
        <v>9000</v>
      </c>
      <c r="X24" s="64">
        <v>150</v>
      </c>
      <c r="Y24" s="109">
        <f t="shared" si="18"/>
        <v>30000</v>
      </c>
      <c r="AA24" s="77">
        <v>19</v>
      </c>
      <c r="AB24" s="155">
        <v>20</v>
      </c>
      <c r="AC24" s="109">
        <v>10</v>
      </c>
      <c r="AD24" s="155">
        <f>INDEX(节奏总表!$N$5:$N$34,章节关卡!AB24)</f>
        <v>130</v>
      </c>
      <c r="AE24" s="118">
        <f t="shared" si="52"/>
        <v>1950</v>
      </c>
      <c r="AF24" s="14">
        <f>SUM(AC$5:AC24)</f>
        <v>190</v>
      </c>
      <c r="AG24" s="14">
        <f t="shared" si="48"/>
        <v>8800</v>
      </c>
      <c r="AH24" s="64">
        <v>60</v>
      </c>
      <c r="AI24" s="14">
        <f t="shared" si="49"/>
        <v>7200</v>
      </c>
      <c r="AJ24" s="64">
        <v>90</v>
      </c>
      <c r="AK24" s="14">
        <f t="shared" si="19"/>
        <v>18000</v>
      </c>
      <c r="AL24" s="109">
        <v>300</v>
      </c>
      <c r="AM24" s="14">
        <f t="shared" si="20"/>
        <v>60000</v>
      </c>
      <c r="AP24" s="24">
        <v>20</v>
      </c>
      <c r="AQ24" s="14">
        <f t="shared" si="21"/>
        <v>5</v>
      </c>
      <c r="AR24" s="109">
        <f t="shared" si="22"/>
        <v>4</v>
      </c>
      <c r="AS24" s="109">
        <f t="shared" si="23"/>
        <v>9</v>
      </c>
      <c r="AT24" s="109">
        <f t="shared" si="24"/>
        <v>29</v>
      </c>
      <c r="AU24" s="109">
        <f t="shared" si="25"/>
        <v>44</v>
      </c>
      <c r="AX24" s="109">
        <v>20</v>
      </c>
      <c r="AY24" s="14">
        <f t="shared" si="0"/>
        <v>2</v>
      </c>
      <c r="AZ24" s="14">
        <f t="shared" si="26"/>
        <v>10</v>
      </c>
      <c r="BA24" s="14">
        <f t="shared" si="53"/>
        <v>120</v>
      </c>
      <c r="BB24" s="14">
        <f t="shared" si="1"/>
        <v>450</v>
      </c>
      <c r="BC24" s="14">
        <f t="shared" si="2"/>
        <v>1350</v>
      </c>
      <c r="BF24" s="109">
        <v>20</v>
      </c>
      <c r="BG24" s="14">
        <f t="shared" si="27"/>
        <v>2</v>
      </c>
      <c r="BH24" s="14">
        <f t="shared" si="28"/>
        <v>10</v>
      </c>
      <c r="BI24" s="14">
        <f t="shared" si="3"/>
        <v>250</v>
      </c>
      <c r="BJ24" s="14">
        <f t="shared" si="4"/>
        <v>900</v>
      </c>
      <c r="BK24" s="14">
        <f t="shared" si="5"/>
        <v>2700</v>
      </c>
      <c r="BN24" s="109">
        <v>20</v>
      </c>
      <c r="BO24" s="109">
        <f t="shared" si="29"/>
        <v>7</v>
      </c>
      <c r="BP24" s="112">
        <f t="shared" si="30"/>
        <v>40</v>
      </c>
      <c r="BQ24" s="109">
        <f t="shared" si="6"/>
        <v>2</v>
      </c>
      <c r="BR24" s="109">
        <v>240</v>
      </c>
      <c r="BS24" s="109">
        <v>360</v>
      </c>
      <c r="BT24" s="112">
        <v>2</v>
      </c>
      <c r="BU24" s="14">
        <f t="shared" si="31"/>
        <v>11072</v>
      </c>
      <c r="BV24" s="118">
        <v>1</v>
      </c>
      <c r="BW24" s="14">
        <f t="shared" si="32"/>
        <v>107</v>
      </c>
      <c r="BX24" s="118" t="s">
        <v>1052</v>
      </c>
      <c r="BY24" s="14">
        <f t="shared" si="33"/>
        <v>2</v>
      </c>
      <c r="BZ24" s="118" t="str">
        <f t="shared" si="34"/>
        <v>守护灵抽卡券2蓝色基础材料39金币9600</v>
      </c>
      <c r="CA24" s="14">
        <f t="shared" si="35"/>
        <v>20</v>
      </c>
      <c r="CB24" s="109" t="s">
        <v>271</v>
      </c>
      <c r="CC24" s="115">
        <v>2</v>
      </c>
      <c r="CD24" s="112" t="str">
        <f>INDEX(挂机升级突破!$BX$4:$CB$4,章节关卡!BT24)</f>
        <v>蓝色基础材料</v>
      </c>
      <c r="CE24" s="115">
        <f>ROUND(INDEX(挂机升级突破!$Q$7:$U$37,BO24+2,章节关卡!BT24)/INDEX(挂机升级突破!$Q$5:$U$5,章节关卡!BT24)*章节关卡!BS24,0)</f>
        <v>39</v>
      </c>
      <c r="CF24" s="109" t="s">
        <v>265</v>
      </c>
      <c r="CG24" s="109">
        <f t="shared" si="7"/>
        <v>9600</v>
      </c>
      <c r="CJ24" s="115">
        <f t="shared" si="8"/>
        <v>7</v>
      </c>
      <c r="CK24" s="115">
        <f t="shared" si="9"/>
        <v>50</v>
      </c>
      <c r="CL24" s="118">
        <v>2</v>
      </c>
      <c r="CM24" s="109">
        <f t="shared" si="10"/>
        <v>360</v>
      </c>
      <c r="CN24" s="109">
        <f t="shared" si="11"/>
        <v>720</v>
      </c>
      <c r="CO24" s="115">
        <v>6</v>
      </c>
      <c r="CP24" s="14">
        <f t="shared" si="36"/>
        <v>12072</v>
      </c>
      <c r="CQ24" s="118">
        <v>2</v>
      </c>
      <c r="CR24" s="14">
        <f t="shared" si="37"/>
        <v>207</v>
      </c>
      <c r="CS24" s="118" t="s">
        <v>1052</v>
      </c>
      <c r="CT24" s="14">
        <f t="shared" si="38"/>
        <v>2</v>
      </c>
      <c r="CU24" s="118" t="str">
        <f t="shared" si="39"/>
        <v>熔炼值1100玄铁36金币14400</v>
      </c>
      <c r="CV24" s="14">
        <f t="shared" si="40"/>
        <v>20</v>
      </c>
      <c r="CW24" s="115" t="s">
        <v>1031</v>
      </c>
      <c r="CX24" s="115">
        <v>1100</v>
      </c>
      <c r="CY24" s="115" t="str">
        <f>INDEX(挂机升级突破!$BX$4:$CG$4,章节关卡!CO24)</f>
        <v>玄铁</v>
      </c>
      <c r="CZ24" s="115">
        <f>ROUND(INDEX(挂机升级突破!$Q$7:$Z$37,CJ24+3,章节关卡!CO24)/INDEX(挂机升级突破!$Q$5:$Z$5,章节关卡!CO24)*章节关卡!CN24,0)</f>
        <v>36</v>
      </c>
      <c r="DA24" s="109" t="s">
        <v>265</v>
      </c>
      <c r="DB24" s="115">
        <f t="shared" si="12"/>
        <v>14400</v>
      </c>
      <c r="DE24" s="118">
        <v>20</v>
      </c>
      <c r="DF24" s="14">
        <f t="shared" si="41"/>
        <v>7</v>
      </c>
      <c r="DG24" s="118">
        <f t="shared" si="42"/>
        <v>40</v>
      </c>
      <c r="DH24" s="118">
        <v>120</v>
      </c>
      <c r="DI24" s="118">
        <f t="shared" si="43"/>
        <v>21072</v>
      </c>
      <c r="DJ24" s="118">
        <v>1</v>
      </c>
      <c r="DK24" s="14">
        <f t="shared" si="50"/>
        <v>107</v>
      </c>
      <c r="DL24" s="118" t="s">
        <v>1062</v>
      </c>
      <c r="DM24" s="118">
        <v>2</v>
      </c>
      <c r="DN24" s="118" t="str">
        <f t="shared" si="44"/>
        <v>钻石30守护灵初级抽卡券3守护灵经验7200</v>
      </c>
      <c r="DO24" s="14">
        <f t="shared" si="51"/>
        <v>10709</v>
      </c>
      <c r="DP24" s="118" t="s">
        <v>1065</v>
      </c>
      <c r="DQ24" s="118">
        <v>30</v>
      </c>
      <c r="DR24" s="118" t="s">
        <v>1066</v>
      </c>
      <c r="DS24" s="118">
        <v>3</v>
      </c>
      <c r="DT24" s="118" t="s">
        <v>1067</v>
      </c>
      <c r="DU24" s="118">
        <f t="shared" si="45"/>
        <v>7200</v>
      </c>
    </row>
    <row r="25" spans="1:125" ht="16.5" x14ac:dyDescent="0.2">
      <c r="A25" s="64">
        <v>20</v>
      </c>
      <c r="B25" s="76">
        <v>105</v>
      </c>
      <c r="C25" s="109">
        <v>4</v>
      </c>
      <c r="D25" s="14">
        <f>SUM(C$5:C25)</f>
        <v>80</v>
      </c>
      <c r="E25" s="76">
        <v>5</v>
      </c>
      <c r="F25" s="76">
        <v>42</v>
      </c>
      <c r="G25" s="76">
        <v>5</v>
      </c>
      <c r="H25" s="76">
        <v>130</v>
      </c>
      <c r="I25" s="64">
        <f>(H25-H24)/$E25</f>
        <v>2</v>
      </c>
      <c r="J25" s="76">
        <v>5</v>
      </c>
      <c r="K25" s="64">
        <f>F25*J25</f>
        <v>210</v>
      </c>
      <c r="L25" s="64">
        <f>(K25-K24)/$E25</f>
        <v>2</v>
      </c>
      <c r="N25" s="64">
        <v>20</v>
      </c>
      <c r="O25" s="121">
        <v>105</v>
      </c>
      <c r="P25" s="107">
        <v>10</v>
      </c>
      <c r="Q25" s="14">
        <f>SUM(P$5:P25)</f>
        <v>200</v>
      </c>
      <c r="R25" s="64">
        <v>20</v>
      </c>
      <c r="S25" s="109">
        <f t="shared" si="15"/>
        <v>840</v>
      </c>
      <c r="T25" s="64">
        <v>30</v>
      </c>
      <c r="U25" s="109">
        <f t="shared" si="16"/>
        <v>3900</v>
      </c>
      <c r="V25" s="109">
        <v>45</v>
      </c>
      <c r="W25" s="76">
        <f t="shared" si="17"/>
        <v>9450</v>
      </c>
      <c r="X25" s="64">
        <v>150</v>
      </c>
      <c r="Y25" s="109">
        <f t="shared" si="18"/>
        <v>31500</v>
      </c>
      <c r="AA25" s="77">
        <v>20</v>
      </c>
      <c r="AB25" s="155">
        <v>21</v>
      </c>
      <c r="AC25" s="109">
        <v>10</v>
      </c>
      <c r="AD25" s="155">
        <f>INDEX(节奏总表!$N$5:$N$34,章节关卡!AB25)</f>
        <v>137</v>
      </c>
      <c r="AE25" s="118">
        <f t="shared" si="52"/>
        <v>2055</v>
      </c>
      <c r="AF25" s="14">
        <f>SUM(AC$5:AC25)</f>
        <v>200</v>
      </c>
      <c r="AG25" s="14">
        <f t="shared" si="48"/>
        <v>9650</v>
      </c>
      <c r="AH25" s="64">
        <v>60</v>
      </c>
      <c r="AI25" s="14">
        <f t="shared" si="49"/>
        <v>7800</v>
      </c>
      <c r="AJ25" s="64">
        <v>90</v>
      </c>
      <c r="AK25" s="14">
        <f t="shared" si="19"/>
        <v>18900</v>
      </c>
      <c r="AL25" s="109">
        <v>300</v>
      </c>
      <c r="AM25" s="14">
        <f t="shared" si="20"/>
        <v>63000</v>
      </c>
      <c r="AP25" s="24">
        <v>21</v>
      </c>
      <c r="AQ25" s="14">
        <f t="shared" si="21"/>
        <v>6</v>
      </c>
      <c r="AR25" s="109">
        <f t="shared" si="22"/>
        <v>1</v>
      </c>
      <c r="AS25" s="109">
        <f t="shared" si="23"/>
        <v>10</v>
      </c>
      <c r="AT25" s="109">
        <f t="shared" si="24"/>
        <v>31</v>
      </c>
      <c r="AU25" s="109">
        <f t="shared" si="25"/>
        <v>46</v>
      </c>
      <c r="AX25" s="109">
        <v>21</v>
      </c>
      <c r="AY25" s="14">
        <f t="shared" si="0"/>
        <v>3</v>
      </c>
      <c r="AZ25" s="14">
        <f t="shared" si="26"/>
        <v>1</v>
      </c>
      <c r="BA25" s="14">
        <f t="shared" si="53"/>
        <v>140</v>
      </c>
      <c r="BB25" s="14">
        <f t="shared" si="1"/>
        <v>600</v>
      </c>
      <c r="BC25" s="14">
        <f t="shared" si="2"/>
        <v>1575</v>
      </c>
      <c r="BF25" s="109">
        <v>21</v>
      </c>
      <c r="BG25" s="14">
        <f t="shared" si="27"/>
        <v>3</v>
      </c>
      <c r="BH25" s="14">
        <f t="shared" si="28"/>
        <v>1</v>
      </c>
      <c r="BI25" s="14">
        <f t="shared" si="3"/>
        <v>300</v>
      </c>
      <c r="BJ25" s="14">
        <f t="shared" si="4"/>
        <v>1200</v>
      </c>
      <c r="BK25" s="14">
        <f t="shared" si="5"/>
        <v>3150</v>
      </c>
      <c r="BN25" s="109">
        <v>21</v>
      </c>
      <c r="BO25" s="109">
        <f t="shared" si="29"/>
        <v>7</v>
      </c>
      <c r="BP25" s="112">
        <f t="shared" si="30"/>
        <v>40</v>
      </c>
      <c r="BQ25" s="109">
        <f t="shared" si="6"/>
        <v>3</v>
      </c>
      <c r="BR25" s="109">
        <v>360</v>
      </c>
      <c r="BS25" s="109">
        <v>540</v>
      </c>
      <c r="BT25" s="112">
        <v>2</v>
      </c>
      <c r="BU25" s="14">
        <f t="shared" si="31"/>
        <v>11073</v>
      </c>
      <c r="BV25" s="118">
        <v>1</v>
      </c>
      <c r="BW25" s="14">
        <f t="shared" si="32"/>
        <v>107</v>
      </c>
      <c r="BX25" s="118" t="s">
        <v>1052</v>
      </c>
      <c r="BY25" s="14">
        <f t="shared" si="33"/>
        <v>3</v>
      </c>
      <c r="BZ25" s="118" t="str">
        <f t="shared" si="34"/>
        <v>守护灵抽卡券3蓝色基础材料59金币14400</v>
      </c>
      <c r="CA25" s="14">
        <f t="shared" si="35"/>
        <v>30</v>
      </c>
      <c r="CB25" s="109" t="s">
        <v>271</v>
      </c>
      <c r="CC25" s="115">
        <v>3</v>
      </c>
      <c r="CD25" s="112" t="str">
        <f>INDEX(挂机升级突破!$BX$4:$CB$4,章节关卡!BT25)</f>
        <v>蓝色基础材料</v>
      </c>
      <c r="CE25" s="115">
        <f>ROUND(INDEX(挂机升级突破!$Q$7:$U$37,BO25+2,章节关卡!BT25)/INDEX(挂机升级突破!$Q$5:$U$5,章节关卡!BT25)*章节关卡!BS25,0)</f>
        <v>59</v>
      </c>
      <c r="CF25" s="109" t="s">
        <v>265</v>
      </c>
      <c r="CG25" s="109">
        <f t="shared" si="7"/>
        <v>14400</v>
      </c>
      <c r="CJ25" s="115">
        <f t="shared" si="8"/>
        <v>7</v>
      </c>
      <c r="CK25" s="115">
        <f t="shared" si="9"/>
        <v>50</v>
      </c>
      <c r="CL25" s="118">
        <v>3</v>
      </c>
      <c r="CM25" s="109">
        <f t="shared" si="10"/>
        <v>540</v>
      </c>
      <c r="CN25" s="109">
        <f t="shared" si="11"/>
        <v>1080</v>
      </c>
      <c r="CO25" s="115">
        <v>6</v>
      </c>
      <c r="CP25" s="14">
        <f t="shared" si="36"/>
        <v>12073</v>
      </c>
      <c r="CQ25" s="118">
        <v>2</v>
      </c>
      <c r="CR25" s="14">
        <f t="shared" si="37"/>
        <v>207</v>
      </c>
      <c r="CS25" s="118" t="s">
        <v>1052</v>
      </c>
      <c r="CT25" s="14">
        <f t="shared" si="38"/>
        <v>3</v>
      </c>
      <c r="CU25" s="118" t="str">
        <f t="shared" si="39"/>
        <v>守护灵抽卡券5玄铁54金币21600</v>
      </c>
      <c r="CV25" s="14">
        <f t="shared" si="40"/>
        <v>30</v>
      </c>
      <c r="CW25" s="115" t="s">
        <v>1030</v>
      </c>
      <c r="CX25" s="115">
        <v>5</v>
      </c>
      <c r="CY25" s="115" t="str">
        <f>INDEX(挂机升级突破!$BX$4:$CG$4,章节关卡!CO25)</f>
        <v>玄铁</v>
      </c>
      <c r="CZ25" s="115">
        <f>ROUND(INDEX(挂机升级突破!$Q$7:$Z$37,CJ25+3,章节关卡!CO25)/INDEX(挂机升级突破!$Q$5:$Z$5,章节关卡!CO25)*章节关卡!CN25,0)</f>
        <v>54</v>
      </c>
      <c r="DA25" s="109" t="s">
        <v>265</v>
      </c>
      <c r="DB25" s="115">
        <f t="shared" si="12"/>
        <v>21600</v>
      </c>
      <c r="DE25" s="118">
        <v>21</v>
      </c>
      <c r="DF25" s="14">
        <f t="shared" si="41"/>
        <v>7</v>
      </c>
      <c r="DG25" s="118">
        <f t="shared" si="42"/>
        <v>40</v>
      </c>
      <c r="DH25" s="118">
        <v>150</v>
      </c>
      <c r="DI25" s="118">
        <f t="shared" si="43"/>
        <v>21073</v>
      </c>
      <c r="DJ25" s="118">
        <v>1</v>
      </c>
      <c r="DK25" s="14">
        <f t="shared" si="50"/>
        <v>107</v>
      </c>
      <c r="DL25" s="118" t="s">
        <v>1062</v>
      </c>
      <c r="DM25" s="118">
        <v>3</v>
      </c>
      <c r="DN25" s="118" t="str">
        <f t="shared" si="44"/>
        <v>钻石50守护灵初级抽卡券5守护灵经验9000</v>
      </c>
      <c r="DO25" s="14">
        <f t="shared" si="51"/>
        <v>10709</v>
      </c>
      <c r="DP25" s="118" t="s">
        <v>1065</v>
      </c>
      <c r="DQ25" s="118">
        <v>50</v>
      </c>
      <c r="DR25" s="118" t="s">
        <v>1066</v>
      </c>
      <c r="DS25" s="118">
        <v>5</v>
      </c>
      <c r="DT25" s="118" t="s">
        <v>1067</v>
      </c>
      <c r="DU25" s="118">
        <f t="shared" si="45"/>
        <v>9000</v>
      </c>
    </row>
    <row r="26" spans="1:125" ht="16.5" x14ac:dyDescent="0.2">
      <c r="A26" s="76">
        <v>21</v>
      </c>
      <c r="B26" s="76">
        <v>110</v>
      </c>
      <c r="C26" s="109">
        <v>4</v>
      </c>
      <c r="D26" s="14">
        <f>SUM(C$5:C26)</f>
        <v>84</v>
      </c>
      <c r="E26" s="76">
        <v>5</v>
      </c>
      <c r="F26" s="76">
        <v>45</v>
      </c>
      <c r="G26" s="76">
        <v>5</v>
      </c>
      <c r="H26" s="76">
        <v>140</v>
      </c>
      <c r="I26" s="76">
        <f t="shared" ref="I26:I34" si="54">(H26-H25)/$E26</f>
        <v>2</v>
      </c>
      <c r="J26" s="76">
        <v>5</v>
      </c>
      <c r="K26" s="76">
        <f t="shared" ref="K26:K34" si="55">F26*J26</f>
        <v>225</v>
      </c>
      <c r="L26" s="76">
        <f t="shared" ref="L26:L34" si="56">(K26-K25)/$E26</f>
        <v>3</v>
      </c>
      <c r="N26" s="76">
        <v>21</v>
      </c>
      <c r="O26" s="121">
        <v>110</v>
      </c>
      <c r="P26" s="107">
        <v>10</v>
      </c>
      <c r="Q26" s="14">
        <f>SUM(P$5:P26)</f>
        <v>210</v>
      </c>
      <c r="R26" s="76">
        <v>20</v>
      </c>
      <c r="S26" s="109">
        <f t="shared" si="15"/>
        <v>900</v>
      </c>
      <c r="T26" s="76">
        <v>30</v>
      </c>
      <c r="U26" s="109">
        <f t="shared" si="16"/>
        <v>4200</v>
      </c>
      <c r="V26" s="109">
        <v>45</v>
      </c>
      <c r="W26" s="76">
        <f t="shared" si="17"/>
        <v>10125</v>
      </c>
      <c r="X26" s="76">
        <v>151</v>
      </c>
      <c r="Y26" s="109">
        <f t="shared" si="18"/>
        <v>33975</v>
      </c>
      <c r="AA26" s="77">
        <v>21</v>
      </c>
      <c r="AB26" s="155">
        <v>22</v>
      </c>
      <c r="AC26" s="109">
        <v>10</v>
      </c>
      <c r="AD26" s="155">
        <f>INDEX(节奏总表!$N$5:$N$34,章节关卡!AB26)</f>
        <v>144</v>
      </c>
      <c r="AE26" s="118">
        <f t="shared" si="52"/>
        <v>2160</v>
      </c>
      <c r="AF26" s="14">
        <f>SUM(AC$5:AC26)</f>
        <v>210</v>
      </c>
      <c r="AG26" s="14">
        <f t="shared" si="48"/>
        <v>10800</v>
      </c>
      <c r="AH26" s="109">
        <v>60</v>
      </c>
      <c r="AI26" s="14">
        <f t="shared" si="49"/>
        <v>8400</v>
      </c>
      <c r="AJ26" s="109">
        <v>90</v>
      </c>
      <c r="AK26" s="14">
        <f t="shared" si="19"/>
        <v>20250</v>
      </c>
      <c r="AL26" s="109">
        <v>300</v>
      </c>
      <c r="AM26" s="14">
        <f t="shared" si="20"/>
        <v>67500</v>
      </c>
      <c r="AP26" s="24">
        <v>22</v>
      </c>
      <c r="AQ26" s="14">
        <f t="shared" si="21"/>
        <v>6</v>
      </c>
      <c r="AR26" s="109">
        <f t="shared" si="22"/>
        <v>2</v>
      </c>
      <c r="AS26" s="109">
        <f t="shared" si="23"/>
        <v>10</v>
      </c>
      <c r="AT26" s="109">
        <f t="shared" si="24"/>
        <v>32</v>
      </c>
      <c r="AU26" s="109">
        <f t="shared" si="25"/>
        <v>47</v>
      </c>
      <c r="AX26" s="109">
        <v>22</v>
      </c>
      <c r="AY26" s="14">
        <f t="shared" si="0"/>
        <v>3</v>
      </c>
      <c r="AZ26" s="14">
        <f t="shared" si="26"/>
        <v>2</v>
      </c>
      <c r="BA26" s="14">
        <f t="shared" si="53"/>
        <v>140</v>
      </c>
      <c r="BB26" s="14">
        <f t="shared" si="1"/>
        <v>600</v>
      </c>
      <c r="BC26" s="14">
        <f t="shared" si="2"/>
        <v>1575</v>
      </c>
      <c r="BF26" s="109">
        <v>22</v>
      </c>
      <c r="BG26" s="14">
        <f t="shared" si="27"/>
        <v>3</v>
      </c>
      <c r="BH26" s="14">
        <f t="shared" si="28"/>
        <v>2</v>
      </c>
      <c r="BI26" s="14">
        <f t="shared" si="3"/>
        <v>300</v>
      </c>
      <c r="BJ26" s="14">
        <f t="shared" si="4"/>
        <v>1200</v>
      </c>
      <c r="BK26" s="14">
        <f t="shared" si="5"/>
        <v>3150</v>
      </c>
      <c r="BN26" s="109">
        <v>22</v>
      </c>
      <c r="BO26" s="109">
        <f t="shared" si="29"/>
        <v>8</v>
      </c>
      <c r="BP26" s="112">
        <f t="shared" si="30"/>
        <v>45</v>
      </c>
      <c r="BQ26" s="109">
        <f t="shared" si="6"/>
        <v>1</v>
      </c>
      <c r="BR26" s="109">
        <v>120</v>
      </c>
      <c r="BS26" s="109">
        <v>180</v>
      </c>
      <c r="BT26" s="112">
        <v>2</v>
      </c>
      <c r="BU26" s="14">
        <f t="shared" si="31"/>
        <v>11081</v>
      </c>
      <c r="BV26" s="118">
        <v>1</v>
      </c>
      <c r="BW26" s="14">
        <f t="shared" si="32"/>
        <v>108</v>
      </c>
      <c r="BX26" s="118" t="s">
        <v>1052</v>
      </c>
      <c r="BY26" s="14">
        <f t="shared" si="33"/>
        <v>1</v>
      </c>
      <c r="BZ26" s="118" t="str">
        <f t="shared" si="34"/>
        <v>钻石100蓝色基础材料24金币5400</v>
      </c>
      <c r="CA26" s="14">
        <f t="shared" si="35"/>
        <v>10</v>
      </c>
      <c r="CB26" s="115" t="s">
        <v>22</v>
      </c>
      <c r="CC26" s="115">
        <v>100</v>
      </c>
      <c r="CD26" s="112" t="str">
        <f>INDEX(挂机升级突破!$BX$4:$CB$4,章节关卡!BT26)</f>
        <v>蓝色基础材料</v>
      </c>
      <c r="CE26" s="115">
        <f>ROUND(INDEX(挂机升级突破!$Q$7:$U$37,BO26+2,章节关卡!BT26)/INDEX(挂机升级突破!$Q$5:$U$5,章节关卡!BT26)*章节关卡!BS26,0)</f>
        <v>24</v>
      </c>
      <c r="CF26" s="109" t="s">
        <v>265</v>
      </c>
      <c r="CG26" s="109">
        <f t="shared" si="7"/>
        <v>5400</v>
      </c>
      <c r="CJ26" s="115">
        <f t="shared" si="8"/>
        <v>8</v>
      </c>
      <c r="CK26" s="115">
        <f t="shared" si="9"/>
        <v>55</v>
      </c>
      <c r="CL26" s="118">
        <v>1</v>
      </c>
      <c r="CM26" s="109">
        <f t="shared" si="10"/>
        <v>180</v>
      </c>
      <c r="CN26" s="109">
        <f t="shared" si="11"/>
        <v>360</v>
      </c>
      <c r="CO26" s="115">
        <v>7</v>
      </c>
      <c r="CP26" s="14">
        <f t="shared" si="36"/>
        <v>12081</v>
      </c>
      <c r="CQ26" s="118">
        <v>2</v>
      </c>
      <c r="CR26" s="14">
        <f t="shared" si="37"/>
        <v>208</v>
      </c>
      <c r="CS26" s="118" t="s">
        <v>1052</v>
      </c>
      <c r="CT26" s="14">
        <f t="shared" si="38"/>
        <v>1</v>
      </c>
      <c r="CU26" s="118" t="str">
        <f t="shared" si="39"/>
        <v>钻石100乌金4金币8100</v>
      </c>
      <c r="CV26" s="14">
        <f t="shared" si="40"/>
        <v>10</v>
      </c>
      <c r="CW26" s="115" t="s">
        <v>270</v>
      </c>
      <c r="CX26" s="115">
        <v>100</v>
      </c>
      <c r="CY26" s="115" t="str">
        <f>INDEX(挂机升级突破!$BX$4:$CG$4,章节关卡!CO26)</f>
        <v>乌金</v>
      </c>
      <c r="CZ26" s="115">
        <f>ROUND(INDEX(挂机升级突破!$Q$7:$Z$37,CJ26+3,章节关卡!CO26)/INDEX(挂机升级突破!$Q$5:$Z$5,章节关卡!CO26)*章节关卡!CN26,0)</f>
        <v>4</v>
      </c>
      <c r="DA26" s="109" t="s">
        <v>265</v>
      </c>
      <c r="DB26" s="115">
        <f t="shared" si="12"/>
        <v>8100</v>
      </c>
      <c r="DE26" s="118">
        <v>22</v>
      </c>
      <c r="DF26" s="14">
        <f t="shared" si="41"/>
        <v>8</v>
      </c>
      <c r="DG26" s="118">
        <f t="shared" si="42"/>
        <v>45</v>
      </c>
      <c r="DH26" s="118">
        <v>90</v>
      </c>
      <c r="DI26" s="118">
        <f t="shared" si="43"/>
        <v>21081</v>
      </c>
      <c r="DJ26" s="118">
        <v>1</v>
      </c>
      <c r="DK26" s="14">
        <f t="shared" si="50"/>
        <v>108</v>
      </c>
      <c r="DL26" s="118" t="s">
        <v>1062</v>
      </c>
      <c r="DM26" s="118">
        <v>1</v>
      </c>
      <c r="DN26" s="118" t="str">
        <f t="shared" si="44"/>
        <v>钻石20守护灵初级抽卡券2守护灵经验6300</v>
      </c>
      <c r="DO26" s="14">
        <f t="shared" si="51"/>
        <v>10809</v>
      </c>
      <c r="DP26" s="118" t="s">
        <v>1065</v>
      </c>
      <c r="DQ26" s="118">
        <v>20</v>
      </c>
      <c r="DR26" s="118" t="s">
        <v>1066</v>
      </c>
      <c r="DS26" s="118">
        <v>2</v>
      </c>
      <c r="DT26" s="118" t="s">
        <v>1067</v>
      </c>
      <c r="DU26" s="118">
        <f t="shared" si="45"/>
        <v>6300</v>
      </c>
    </row>
    <row r="27" spans="1:125" ht="16.5" x14ac:dyDescent="0.2">
      <c r="A27" s="76">
        <v>22</v>
      </c>
      <c r="B27" s="76">
        <v>115</v>
      </c>
      <c r="C27" s="109">
        <v>4</v>
      </c>
      <c r="D27" s="14">
        <f>SUM(C$5:C27)</f>
        <v>88</v>
      </c>
      <c r="E27" s="76">
        <v>5</v>
      </c>
      <c r="F27" s="76">
        <v>47</v>
      </c>
      <c r="G27" s="76">
        <v>5</v>
      </c>
      <c r="H27" s="76">
        <v>150</v>
      </c>
      <c r="I27" s="76">
        <f t="shared" si="54"/>
        <v>2</v>
      </c>
      <c r="J27" s="76">
        <v>5</v>
      </c>
      <c r="K27" s="76">
        <f t="shared" si="55"/>
        <v>235</v>
      </c>
      <c r="L27" s="76">
        <f t="shared" si="56"/>
        <v>2</v>
      </c>
      <c r="N27" s="76">
        <v>22</v>
      </c>
      <c r="O27" s="121">
        <v>115</v>
      </c>
      <c r="P27" s="107">
        <v>10</v>
      </c>
      <c r="Q27" s="14">
        <f>SUM(P$5:P27)</f>
        <v>220</v>
      </c>
      <c r="R27" s="76">
        <v>20</v>
      </c>
      <c r="S27" s="109">
        <f t="shared" si="15"/>
        <v>940</v>
      </c>
      <c r="T27" s="76">
        <v>30</v>
      </c>
      <c r="U27" s="109">
        <f t="shared" si="16"/>
        <v>4500</v>
      </c>
      <c r="V27" s="109">
        <v>45</v>
      </c>
      <c r="W27" s="76">
        <f t="shared" si="17"/>
        <v>10575</v>
      </c>
      <c r="X27" s="76">
        <v>152</v>
      </c>
      <c r="Y27" s="109">
        <f t="shared" si="18"/>
        <v>35720</v>
      </c>
      <c r="AA27" s="77">
        <v>22</v>
      </c>
      <c r="AB27" s="155">
        <v>23</v>
      </c>
      <c r="AC27" s="109">
        <v>10</v>
      </c>
      <c r="AD27" s="155">
        <f>INDEX(节奏总表!$N$5:$N$34,章节关卡!AB27)</f>
        <v>160</v>
      </c>
      <c r="AE27" s="118">
        <f t="shared" si="52"/>
        <v>2400</v>
      </c>
      <c r="AF27" s="14">
        <f>SUM(AC$5:AC27)</f>
        <v>220</v>
      </c>
      <c r="AG27" s="14">
        <f t="shared" si="48"/>
        <v>13200</v>
      </c>
      <c r="AH27" s="109">
        <v>60</v>
      </c>
      <c r="AI27" s="14">
        <f t="shared" si="49"/>
        <v>9000</v>
      </c>
      <c r="AJ27" s="109">
        <v>90</v>
      </c>
      <c r="AK27" s="14">
        <f t="shared" si="19"/>
        <v>21150</v>
      </c>
      <c r="AL27" s="109">
        <v>300</v>
      </c>
      <c r="AM27" s="14">
        <f t="shared" si="20"/>
        <v>70500</v>
      </c>
      <c r="AP27" s="24">
        <v>23</v>
      </c>
      <c r="AQ27" s="14">
        <f t="shared" si="21"/>
        <v>6</v>
      </c>
      <c r="AR27" s="109">
        <f t="shared" si="22"/>
        <v>3</v>
      </c>
      <c r="AS27" s="109">
        <f t="shared" si="23"/>
        <v>10</v>
      </c>
      <c r="AT27" s="109">
        <f t="shared" si="24"/>
        <v>33</v>
      </c>
      <c r="AU27" s="109">
        <f t="shared" si="25"/>
        <v>48</v>
      </c>
      <c r="AX27" s="109">
        <v>23</v>
      </c>
      <c r="AY27" s="14">
        <f t="shared" si="0"/>
        <v>3</v>
      </c>
      <c r="AZ27" s="14">
        <f t="shared" si="26"/>
        <v>3</v>
      </c>
      <c r="BA27" s="14">
        <f t="shared" si="53"/>
        <v>140</v>
      </c>
      <c r="BB27" s="14">
        <f t="shared" si="1"/>
        <v>600</v>
      </c>
      <c r="BC27" s="14">
        <f t="shared" si="2"/>
        <v>1575</v>
      </c>
      <c r="BF27" s="109">
        <v>23</v>
      </c>
      <c r="BG27" s="14">
        <f t="shared" si="27"/>
        <v>3</v>
      </c>
      <c r="BH27" s="14">
        <f t="shared" si="28"/>
        <v>3</v>
      </c>
      <c r="BI27" s="14">
        <f t="shared" si="3"/>
        <v>300</v>
      </c>
      <c r="BJ27" s="14">
        <f t="shared" si="4"/>
        <v>1200</v>
      </c>
      <c r="BK27" s="14">
        <f t="shared" si="5"/>
        <v>3150</v>
      </c>
      <c r="BN27" s="109">
        <v>23</v>
      </c>
      <c r="BO27" s="109">
        <f t="shared" si="29"/>
        <v>8</v>
      </c>
      <c r="BP27" s="112">
        <f t="shared" si="30"/>
        <v>45</v>
      </c>
      <c r="BQ27" s="109">
        <f t="shared" si="6"/>
        <v>2</v>
      </c>
      <c r="BR27" s="109">
        <v>240</v>
      </c>
      <c r="BS27" s="109">
        <v>360</v>
      </c>
      <c r="BT27" s="112">
        <v>2</v>
      </c>
      <c r="BU27" s="14">
        <f t="shared" si="31"/>
        <v>11082</v>
      </c>
      <c r="BV27" s="118">
        <v>1</v>
      </c>
      <c r="BW27" s="14">
        <f t="shared" si="32"/>
        <v>108</v>
      </c>
      <c r="BX27" s="118" t="s">
        <v>1052</v>
      </c>
      <c r="BY27" s="14">
        <f t="shared" si="33"/>
        <v>2</v>
      </c>
      <c r="BZ27" s="118" t="str">
        <f t="shared" si="34"/>
        <v>守护灵抽卡券2蓝色基础材料48金币10800</v>
      </c>
      <c r="CA27" s="14">
        <f t="shared" si="35"/>
        <v>20</v>
      </c>
      <c r="CB27" s="115" t="s">
        <v>271</v>
      </c>
      <c r="CC27" s="115">
        <v>2</v>
      </c>
      <c r="CD27" s="112" t="str">
        <f>INDEX(挂机升级突破!$BX$4:$CB$4,章节关卡!BT27)</f>
        <v>蓝色基础材料</v>
      </c>
      <c r="CE27" s="115">
        <f>ROUND(INDEX(挂机升级突破!$Q$7:$U$37,BO27+2,章节关卡!BT27)/INDEX(挂机升级突破!$Q$5:$U$5,章节关卡!BT27)*章节关卡!BS27,0)</f>
        <v>48</v>
      </c>
      <c r="CF27" s="109" t="s">
        <v>265</v>
      </c>
      <c r="CG27" s="109">
        <f t="shared" si="7"/>
        <v>10800</v>
      </c>
      <c r="CJ27" s="115">
        <f t="shared" si="8"/>
        <v>8</v>
      </c>
      <c r="CK27" s="115">
        <f t="shared" si="9"/>
        <v>55</v>
      </c>
      <c r="CL27" s="118">
        <v>2</v>
      </c>
      <c r="CM27" s="109">
        <f t="shared" si="10"/>
        <v>360</v>
      </c>
      <c r="CN27" s="109">
        <f t="shared" si="11"/>
        <v>720</v>
      </c>
      <c r="CO27" s="115">
        <v>7</v>
      </c>
      <c r="CP27" s="14">
        <f t="shared" si="36"/>
        <v>12082</v>
      </c>
      <c r="CQ27" s="118">
        <v>2</v>
      </c>
      <c r="CR27" s="14">
        <f t="shared" si="37"/>
        <v>208</v>
      </c>
      <c r="CS27" s="118" t="s">
        <v>1052</v>
      </c>
      <c r="CT27" s="14">
        <f t="shared" si="38"/>
        <v>2</v>
      </c>
      <c r="CU27" s="118" t="str">
        <f t="shared" si="39"/>
        <v>熔炼值1150乌金7金币16200</v>
      </c>
      <c r="CV27" s="14">
        <f t="shared" si="40"/>
        <v>20</v>
      </c>
      <c r="CW27" s="115" t="s">
        <v>1031</v>
      </c>
      <c r="CX27" s="115">
        <v>1150</v>
      </c>
      <c r="CY27" s="115" t="str">
        <f>INDEX(挂机升级突破!$BX$4:$CG$4,章节关卡!CO27)</f>
        <v>乌金</v>
      </c>
      <c r="CZ27" s="115">
        <f>ROUND(INDEX(挂机升级突破!$Q$7:$Z$37,CJ27+3,章节关卡!CO27)/INDEX(挂机升级突破!$Q$5:$Z$5,章节关卡!CO27)*章节关卡!CN27,0)</f>
        <v>7</v>
      </c>
      <c r="DA27" s="109" t="s">
        <v>265</v>
      </c>
      <c r="DB27" s="115">
        <f t="shared" si="12"/>
        <v>16200</v>
      </c>
      <c r="DE27" s="118">
        <v>23</v>
      </c>
      <c r="DF27" s="14">
        <f t="shared" si="41"/>
        <v>8</v>
      </c>
      <c r="DG27" s="118">
        <f t="shared" si="42"/>
        <v>45</v>
      </c>
      <c r="DH27" s="118">
        <v>120</v>
      </c>
      <c r="DI27" s="118">
        <f t="shared" si="43"/>
        <v>21082</v>
      </c>
      <c r="DJ27" s="118">
        <v>1</v>
      </c>
      <c r="DK27" s="14">
        <f t="shared" si="50"/>
        <v>108</v>
      </c>
      <c r="DL27" s="118" t="s">
        <v>1062</v>
      </c>
      <c r="DM27" s="118">
        <v>2</v>
      </c>
      <c r="DN27" s="118" t="str">
        <f t="shared" si="44"/>
        <v>钻石30守护灵初级抽卡券3守护灵经验8400</v>
      </c>
      <c r="DO27" s="14">
        <f t="shared" si="51"/>
        <v>10809</v>
      </c>
      <c r="DP27" s="118" t="s">
        <v>1065</v>
      </c>
      <c r="DQ27" s="118">
        <v>30</v>
      </c>
      <c r="DR27" s="118" t="s">
        <v>1066</v>
      </c>
      <c r="DS27" s="118">
        <v>3</v>
      </c>
      <c r="DT27" s="118" t="s">
        <v>1067</v>
      </c>
      <c r="DU27" s="118">
        <f t="shared" si="45"/>
        <v>8400</v>
      </c>
    </row>
    <row r="28" spans="1:125" ht="16.5" x14ac:dyDescent="0.2">
      <c r="A28" s="76">
        <v>23</v>
      </c>
      <c r="B28" s="76">
        <v>120</v>
      </c>
      <c r="C28" s="109">
        <v>4</v>
      </c>
      <c r="D28" s="14">
        <f>SUM(C$5:C28)</f>
        <v>92</v>
      </c>
      <c r="E28" s="76">
        <v>5</v>
      </c>
      <c r="F28" s="76">
        <v>50</v>
      </c>
      <c r="G28" s="76">
        <v>5</v>
      </c>
      <c r="H28" s="76">
        <v>160</v>
      </c>
      <c r="I28" s="76">
        <f t="shared" si="54"/>
        <v>2</v>
      </c>
      <c r="J28" s="76">
        <v>5</v>
      </c>
      <c r="K28" s="76">
        <f t="shared" si="55"/>
        <v>250</v>
      </c>
      <c r="L28" s="76">
        <f t="shared" si="56"/>
        <v>3</v>
      </c>
      <c r="N28" s="76">
        <v>23</v>
      </c>
      <c r="O28" s="121">
        <v>120</v>
      </c>
      <c r="P28" s="107">
        <v>10</v>
      </c>
      <c r="Q28" s="14">
        <f>SUM(P$5:P28)</f>
        <v>230</v>
      </c>
      <c r="R28" s="76">
        <v>20</v>
      </c>
      <c r="S28" s="109">
        <f t="shared" si="15"/>
        <v>1000</v>
      </c>
      <c r="T28" s="76">
        <v>30</v>
      </c>
      <c r="U28" s="109">
        <f t="shared" si="16"/>
        <v>4800</v>
      </c>
      <c r="V28" s="109">
        <v>45</v>
      </c>
      <c r="W28" s="76">
        <f t="shared" si="17"/>
        <v>11250</v>
      </c>
      <c r="X28" s="76">
        <v>153</v>
      </c>
      <c r="Y28" s="109">
        <f t="shared" si="18"/>
        <v>38250</v>
      </c>
      <c r="AA28" s="77">
        <v>23</v>
      </c>
      <c r="AB28" s="155">
        <v>24</v>
      </c>
      <c r="AC28" s="109">
        <v>10</v>
      </c>
      <c r="AD28" s="155">
        <f>INDEX(节奏总表!$N$5:$N$34,章节关卡!AB28)</f>
        <v>180</v>
      </c>
      <c r="AE28" s="118">
        <f t="shared" si="52"/>
        <v>2700</v>
      </c>
      <c r="AF28" s="14">
        <f>SUM(AC$5:AC28)</f>
        <v>230</v>
      </c>
      <c r="AG28" s="14">
        <f t="shared" si="48"/>
        <v>16200</v>
      </c>
      <c r="AH28" s="109">
        <v>60</v>
      </c>
      <c r="AI28" s="14">
        <f t="shared" si="49"/>
        <v>9600</v>
      </c>
      <c r="AJ28" s="109">
        <v>90</v>
      </c>
      <c r="AK28" s="14">
        <f t="shared" si="19"/>
        <v>22500</v>
      </c>
      <c r="AL28" s="109">
        <v>300</v>
      </c>
      <c r="AM28" s="14">
        <f t="shared" si="20"/>
        <v>75000</v>
      </c>
      <c r="AP28" s="24">
        <v>24</v>
      </c>
      <c r="AQ28" s="14">
        <f t="shared" si="21"/>
        <v>6</v>
      </c>
      <c r="AR28" s="109">
        <f t="shared" si="22"/>
        <v>4</v>
      </c>
      <c r="AS28" s="109">
        <f t="shared" si="23"/>
        <v>10</v>
      </c>
      <c r="AT28" s="109">
        <f t="shared" si="24"/>
        <v>34</v>
      </c>
      <c r="AU28" s="109">
        <f t="shared" si="25"/>
        <v>49</v>
      </c>
      <c r="AX28" s="109">
        <v>24</v>
      </c>
      <c r="AY28" s="14">
        <f t="shared" si="0"/>
        <v>3</v>
      </c>
      <c r="AZ28" s="14">
        <f t="shared" si="26"/>
        <v>4</v>
      </c>
      <c r="BA28" s="14">
        <f t="shared" si="53"/>
        <v>140</v>
      </c>
      <c r="BB28" s="14">
        <f t="shared" si="1"/>
        <v>600</v>
      </c>
      <c r="BC28" s="14">
        <f t="shared" si="2"/>
        <v>1575</v>
      </c>
      <c r="BF28" s="109">
        <v>24</v>
      </c>
      <c r="BG28" s="14">
        <f t="shared" si="27"/>
        <v>3</v>
      </c>
      <c r="BH28" s="14">
        <f t="shared" si="28"/>
        <v>4</v>
      </c>
      <c r="BI28" s="14">
        <f t="shared" si="3"/>
        <v>300</v>
      </c>
      <c r="BJ28" s="14">
        <f t="shared" si="4"/>
        <v>1200</v>
      </c>
      <c r="BK28" s="14">
        <f t="shared" si="5"/>
        <v>3150</v>
      </c>
      <c r="BN28" s="109">
        <v>24</v>
      </c>
      <c r="BO28" s="109">
        <f t="shared" si="29"/>
        <v>8</v>
      </c>
      <c r="BP28" s="112">
        <f t="shared" si="30"/>
        <v>45</v>
      </c>
      <c r="BQ28" s="109">
        <f t="shared" si="6"/>
        <v>3</v>
      </c>
      <c r="BR28" s="109">
        <v>360</v>
      </c>
      <c r="BS28" s="109">
        <v>540</v>
      </c>
      <c r="BT28" s="112">
        <v>2</v>
      </c>
      <c r="BU28" s="14">
        <f t="shared" si="31"/>
        <v>11083</v>
      </c>
      <c r="BV28" s="118">
        <v>1</v>
      </c>
      <c r="BW28" s="14">
        <f t="shared" si="32"/>
        <v>108</v>
      </c>
      <c r="BX28" s="118" t="s">
        <v>1052</v>
      </c>
      <c r="BY28" s="14">
        <f t="shared" si="33"/>
        <v>3</v>
      </c>
      <c r="BZ28" s="118" t="str">
        <f t="shared" si="34"/>
        <v>守护灵抽卡券3蓝色基础材料72金币16200</v>
      </c>
      <c r="CA28" s="14">
        <f t="shared" si="35"/>
        <v>30</v>
      </c>
      <c r="CB28" s="115" t="s">
        <v>271</v>
      </c>
      <c r="CC28" s="115">
        <v>3</v>
      </c>
      <c r="CD28" s="112" t="str">
        <f>INDEX(挂机升级突破!$BX$4:$CB$4,章节关卡!BT28)</f>
        <v>蓝色基础材料</v>
      </c>
      <c r="CE28" s="115">
        <f>ROUND(INDEX(挂机升级突破!$Q$7:$U$37,BO28+2,章节关卡!BT28)/INDEX(挂机升级突破!$Q$5:$U$5,章节关卡!BT28)*章节关卡!BS28,0)</f>
        <v>72</v>
      </c>
      <c r="CF28" s="109" t="s">
        <v>265</v>
      </c>
      <c r="CG28" s="109">
        <f t="shared" si="7"/>
        <v>16200</v>
      </c>
      <c r="CJ28" s="115">
        <f t="shared" si="8"/>
        <v>8</v>
      </c>
      <c r="CK28" s="115">
        <f t="shared" si="9"/>
        <v>55</v>
      </c>
      <c r="CL28" s="118">
        <v>3</v>
      </c>
      <c r="CM28" s="109">
        <f t="shared" si="10"/>
        <v>540</v>
      </c>
      <c r="CN28" s="109">
        <f t="shared" si="11"/>
        <v>1080</v>
      </c>
      <c r="CO28" s="115">
        <v>7</v>
      </c>
      <c r="CP28" s="14">
        <f t="shared" si="36"/>
        <v>12083</v>
      </c>
      <c r="CQ28" s="118">
        <v>2</v>
      </c>
      <c r="CR28" s="14">
        <f t="shared" si="37"/>
        <v>208</v>
      </c>
      <c r="CS28" s="118" t="s">
        <v>1052</v>
      </c>
      <c r="CT28" s="14">
        <f t="shared" si="38"/>
        <v>3</v>
      </c>
      <c r="CU28" s="118" t="str">
        <f t="shared" si="39"/>
        <v>守护灵抽卡券5乌金11金币24300</v>
      </c>
      <c r="CV28" s="14">
        <f t="shared" si="40"/>
        <v>30</v>
      </c>
      <c r="CW28" s="115" t="s">
        <v>1030</v>
      </c>
      <c r="CX28" s="115">
        <v>5</v>
      </c>
      <c r="CY28" s="115" t="str">
        <f>INDEX(挂机升级突破!$BX$4:$CG$4,章节关卡!CO28)</f>
        <v>乌金</v>
      </c>
      <c r="CZ28" s="115">
        <f>ROUND(INDEX(挂机升级突破!$Q$7:$Z$37,CJ28+3,章节关卡!CO28)/INDEX(挂机升级突破!$Q$5:$Z$5,章节关卡!CO28)*章节关卡!CN28,0)</f>
        <v>11</v>
      </c>
      <c r="DA28" s="109" t="s">
        <v>265</v>
      </c>
      <c r="DB28" s="115">
        <f t="shared" si="12"/>
        <v>24300</v>
      </c>
      <c r="DE28" s="118">
        <v>24</v>
      </c>
      <c r="DF28" s="14">
        <f t="shared" si="41"/>
        <v>8</v>
      </c>
      <c r="DG28" s="118">
        <f t="shared" si="42"/>
        <v>45</v>
      </c>
      <c r="DH28" s="118">
        <v>150</v>
      </c>
      <c r="DI28" s="118">
        <f t="shared" si="43"/>
        <v>21083</v>
      </c>
      <c r="DJ28" s="118">
        <v>1</v>
      </c>
      <c r="DK28" s="14">
        <f t="shared" si="50"/>
        <v>108</v>
      </c>
      <c r="DL28" s="118" t="s">
        <v>1062</v>
      </c>
      <c r="DM28" s="118">
        <v>3</v>
      </c>
      <c r="DN28" s="118" t="str">
        <f t="shared" si="44"/>
        <v>钻石50守护灵初级抽卡券5守护灵经验10500</v>
      </c>
      <c r="DO28" s="14">
        <f t="shared" si="51"/>
        <v>10809</v>
      </c>
      <c r="DP28" s="118" t="s">
        <v>1065</v>
      </c>
      <c r="DQ28" s="118">
        <v>50</v>
      </c>
      <c r="DR28" s="118" t="s">
        <v>1066</v>
      </c>
      <c r="DS28" s="118">
        <v>5</v>
      </c>
      <c r="DT28" s="118" t="s">
        <v>1067</v>
      </c>
      <c r="DU28" s="118">
        <f t="shared" si="45"/>
        <v>10500</v>
      </c>
    </row>
    <row r="29" spans="1:125" ht="16.5" x14ac:dyDescent="0.2">
      <c r="A29" s="76">
        <v>24</v>
      </c>
      <c r="B29" s="76">
        <v>125</v>
      </c>
      <c r="C29" s="109">
        <v>4</v>
      </c>
      <c r="D29" s="14">
        <f>SUM(C$5:C29)</f>
        <v>96</v>
      </c>
      <c r="E29" s="76">
        <v>5</v>
      </c>
      <c r="F29" s="76">
        <v>55</v>
      </c>
      <c r="G29" s="76">
        <v>5</v>
      </c>
      <c r="H29" s="76">
        <v>170</v>
      </c>
      <c r="I29" s="76">
        <f t="shared" si="54"/>
        <v>2</v>
      </c>
      <c r="J29" s="76">
        <v>5</v>
      </c>
      <c r="K29" s="76">
        <f t="shared" si="55"/>
        <v>275</v>
      </c>
      <c r="L29" s="76">
        <f t="shared" si="56"/>
        <v>5</v>
      </c>
      <c r="N29" s="76">
        <v>24</v>
      </c>
      <c r="O29" s="121">
        <v>125</v>
      </c>
      <c r="P29" s="107">
        <v>10</v>
      </c>
      <c r="Q29" s="14">
        <f>SUM(P$5:P29)</f>
        <v>240</v>
      </c>
      <c r="R29" s="76">
        <v>20</v>
      </c>
      <c r="S29" s="109">
        <f t="shared" si="15"/>
        <v>1100</v>
      </c>
      <c r="T29" s="76">
        <v>30</v>
      </c>
      <c r="U29" s="109">
        <f t="shared" si="16"/>
        <v>5100</v>
      </c>
      <c r="V29" s="109">
        <v>45</v>
      </c>
      <c r="W29" s="76">
        <f t="shared" si="17"/>
        <v>12375</v>
      </c>
      <c r="X29" s="76">
        <v>154</v>
      </c>
      <c r="Y29" s="109">
        <f t="shared" si="18"/>
        <v>42350</v>
      </c>
      <c r="AA29" s="77">
        <v>24</v>
      </c>
      <c r="AB29" s="155">
        <v>25</v>
      </c>
      <c r="AC29" s="109">
        <v>10</v>
      </c>
      <c r="AD29" s="155">
        <f>INDEX(节奏总表!$N$5:$N$34,章节关卡!AB29)</f>
        <v>210</v>
      </c>
      <c r="AE29" s="118">
        <f t="shared" si="52"/>
        <v>3150</v>
      </c>
      <c r="AF29" s="14">
        <f>SUM(AC$5:AC29)</f>
        <v>240</v>
      </c>
      <c r="AG29" s="14">
        <f t="shared" si="48"/>
        <v>20500</v>
      </c>
      <c r="AH29" s="109">
        <v>60</v>
      </c>
      <c r="AI29" s="14">
        <f t="shared" si="49"/>
        <v>10200</v>
      </c>
      <c r="AJ29" s="109">
        <v>90</v>
      </c>
      <c r="AK29" s="14">
        <f t="shared" si="19"/>
        <v>24750</v>
      </c>
      <c r="AL29" s="109">
        <v>300</v>
      </c>
      <c r="AM29" s="14">
        <f t="shared" si="20"/>
        <v>82500</v>
      </c>
      <c r="AP29" s="24">
        <v>25</v>
      </c>
      <c r="AQ29" s="14">
        <f t="shared" si="21"/>
        <v>7</v>
      </c>
      <c r="AR29" s="109">
        <f t="shared" si="22"/>
        <v>1</v>
      </c>
      <c r="AS29" s="109">
        <f t="shared" si="23"/>
        <v>12</v>
      </c>
      <c r="AT29" s="109">
        <f t="shared" si="24"/>
        <v>36</v>
      </c>
      <c r="AU29" s="109">
        <f t="shared" si="25"/>
        <v>52</v>
      </c>
      <c r="AX29" s="109">
        <v>25</v>
      </c>
      <c r="AY29" s="14">
        <f t="shared" si="0"/>
        <v>3</v>
      </c>
      <c r="AZ29" s="14">
        <f t="shared" si="26"/>
        <v>5</v>
      </c>
      <c r="BA29" s="14">
        <f t="shared" si="53"/>
        <v>140</v>
      </c>
      <c r="BB29" s="14">
        <f t="shared" si="1"/>
        <v>600</v>
      </c>
      <c r="BC29" s="14">
        <f t="shared" si="2"/>
        <v>1575</v>
      </c>
      <c r="BF29" s="109">
        <v>25</v>
      </c>
      <c r="BG29" s="14">
        <f t="shared" si="27"/>
        <v>3</v>
      </c>
      <c r="BH29" s="14">
        <f t="shared" si="28"/>
        <v>5</v>
      </c>
      <c r="BI29" s="14">
        <f t="shared" si="3"/>
        <v>300</v>
      </c>
      <c r="BJ29" s="14">
        <f t="shared" si="4"/>
        <v>1200</v>
      </c>
      <c r="BK29" s="14">
        <f t="shared" si="5"/>
        <v>3150</v>
      </c>
      <c r="BN29" s="109">
        <v>25</v>
      </c>
      <c r="BO29" s="109">
        <f t="shared" si="29"/>
        <v>9</v>
      </c>
      <c r="BP29" s="112">
        <f t="shared" si="30"/>
        <v>50</v>
      </c>
      <c r="BQ29" s="109">
        <f t="shared" si="6"/>
        <v>1</v>
      </c>
      <c r="BR29" s="109">
        <v>120</v>
      </c>
      <c r="BS29" s="109">
        <v>180</v>
      </c>
      <c r="BT29" s="112">
        <v>2</v>
      </c>
      <c r="BU29" s="14">
        <f t="shared" si="31"/>
        <v>11091</v>
      </c>
      <c r="BV29" s="118">
        <v>1</v>
      </c>
      <c r="BW29" s="14">
        <f t="shared" si="32"/>
        <v>109</v>
      </c>
      <c r="BX29" s="118" t="s">
        <v>1052</v>
      </c>
      <c r="BY29" s="14">
        <f t="shared" si="33"/>
        <v>1</v>
      </c>
      <c r="BZ29" s="118" t="str">
        <f t="shared" si="34"/>
        <v>钻石100蓝色基础材料30金币6000</v>
      </c>
      <c r="CA29" s="14">
        <f t="shared" si="35"/>
        <v>10</v>
      </c>
      <c r="CB29" s="115" t="s">
        <v>22</v>
      </c>
      <c r="CC29" s="115">
        <v>100</v>
      </c>
      <c r="CD29" s="112" t="str">
        <f>INDEX(挂机升级突破!$BX$4:$CB$4,章节关卡!BT29)</f>
        <v>蓝色基础材料</v>
      </c>
      <c r="CE29" s="115">
        <f>ROUND(INDEX(挂机升级突破!$Q$7:$U$37,BO29+2,章节关卡!BT29)/INDEX(挂机升级突破!$Q$5:$U$5,章节关卡!BT29)*章节关卡!BS29,0)</f>
        <v>30</v>
      </c>
      <c r="CF29" s="109" t="s">
        <v>265</v>
      </c>
      <c r="CG29" s="109">
        <f t="shared" si="7"/>
        <v>6000</v>
      </c>
      <c r="CJ29" s="115">
        <f t="shared" si="8"/>
        <v>9</v>
      </c>
      <c r="CK29" s="115">
        <f t="shared" si="9"/>
        <v>60</v>
      </c>
      <c r="CL29" s="118">
        <v>1</v>
      </c>
      <c r="CM29" s="109">
        <f t="shared" si="10"/>
        <v>180</v>
      </c>
      <c r="CN29" s="109">
        <f t="shared" si="11"/>
        <v>360</v>
      </c>
      <c r="CO29" s="115">
        <v>7</v>
      </c>
      <c r="CP29" s="14">
        <f t="shared" si="36"/>
        <v>12091</v>
      </c>
      <c r="CQ29" s="118">
        <v>2</v>
      </c>
      <c r="CR29" s="14">
        <f t="shared" si="37"/>
        <v>209</v>
      </c>
      <c r="CS29" s="118" t="s">
        <v>1052</v>
      </c>
      <c r="CT29" s="14">
        <f t="shared" si="38"/>
        <v>1</v>
      </c>
      <c r="CU29" s="118" t="str">
        <f t="shared" si="39"/>
        <v>钻石100乌金6金币9000</v>
      </c>
      <c r="CV29" s="14">
        <f t="shared" si="40"/>
        <v>10</v>
      </c>
      <c r="CW29" s="115" t="s">
        <v>270</v>
      </c>
      <c r="CX29" s="115">
        <v>100</v>
      </c>
      <c r="CY29" s="115" t="str">
        <f>INDEX(挂机升级突破!$BX$4:$CG$4,章节关卡!CO29)</f>
        <v>乌金</v>
      </c>
      <c r="CZ29" s="115">
        <f>ROUND(INDEX(挂机升级突破!$Q$7:$Z$37,CJ29+3,章节关卡!CO29)/INDEX(挂机升级突破!$Q$5:$Z$5,章节关卡!CO29)*章节关卡!CN29,0)</f>
        <v>6</v>
      </c>
      <c r="DA29" s="109" t="s">
        <v>265</v>
      </c>
      <c r="DB29" s="115">
        <f t="shared" si="12"/>
        <v>9000</v>
      </c>
      <c r="DE29" s="118">
        <v>25</v>
      </c>
      <c r="DF29" s="14">
        <f t="shared" si="41"/>
        <v>9</v>
      </c>
      <c r="DG29" s="118">
        <f t="shared" si="42"/>
        <v>50</v>
      </c>
      <c r="DH29" s="118">
        <v>90</v>
      </c>
      <c r="DI29" s="118">
        <f t="shared" si="43"/>
        <v>21091</v>
      </c>
      <c r="DJ29" s="118">
        <v>1</v>
      </c>
      <c r="DK29" s="14">
        <f t="shared" si="50"/>
        <v>109</v>
      </c>
      <c r="DL29" s="118" t="s">
        <v>1062</v>
      </c>
      <c r="DM29" s="118">
        <v>1</v>
      </c>
      <c r="DN29" s="118" t="str">
        <f t="shared" si="44"/>
        <v>钻石20守护灵初级抽卡券2守护灵经验7200</v>
      </c>
      <c r="DO29" s="14">
        <f t="shared" si="51"/>
        <v>10909</v>
      </c>
      <c r="DP29" s="118" t="s">
        <v>1065</v>
      </c>
      <c r="DQ29" s="118">
        <v>20</v>
      </c>
      <c r="DR29" s="118" t="s">
        <v>1066</v>
      </c>
      <c r="DS29" s="118">
        <v>2</v>
      </c>
      <c r="DT29" s="118" t="s">
        <v>1067</v>
      </c>
      <c r="DU29" s="118">
        <f t="shared" si="45"/>
        <v>7200</v>
      </c>
    </row>
    <row r="30" spans="1:125" ht="16.5" x14ac:dyDescent="0.2">
      <c r="A30" s="76">
        <v>25</v>
      </c>
      <c r="B30" s="76">
        <v>130</v>
      </c>
      <c r="C30" s="109">
        <v>4</v>
      </c>
      <c r="D30" s="14">
        <f>SUM(C$5:C30)</f>
        <v>100</v>
      </c>
      <c r="E30" s="76">
        <v>5</v>
      </c>
      <c r="F30" s="76">
        <v>60</v>
      </c>
      <c r="G30" s="76">
        <v>5</v>
      </c>
      <c r="H30" s="76">
        <v>180</v>
      </c>
      <c r="I30" s="76">
        <f t="shared" si="54"/>
        <v>2</v>
      </c>
      <c r="J30" s="76">
        <v>5</v>
      </c>
      <c r="K30" s="76">
        <f t="shared" si="55"/>
        <v>300</v>
      </c>
      <c r="L30" s="76">
        <f t="shared" si="56"/>
        <v>5</v>
      </c>
      <c r="N30" s="76">
        <v>25</v>
      </c>
      <c r="O30" s="121">
        <v>130</v>
      </c>
      <c r="P30" s="107">
        <v>10</v>
      </c>
      <c r="Q30" s="14">
        <f>SUM(P$5:P30)</f>
        <v>250</v>
      </c>
      <c r="R30" s="76">
        <v>20</v>
      </c>
      <c r="S30" s="109">
        <f t="shared" si="15"/>
        <v>1200</v>
      </c>
      <c r="T30" s="76">
        <v>30</v>
      </c>
      <c r="U30" s="109">
        <f t="shared" si="16"/>
        <v>5400</v>
      </c>
      <c r="V30" s="109">
        <v>45</v>
      </c>
      <c r="W30" s="76">
        <f t="shared" si="17"/>
        <v>13500</v>
      </c>
      <c r="X30" s="76">
        <v>155</v>
      </c>
      <c r="Y30" s="109">
        <f t="shared" si="18"/>
        <v>46500</v>
      </c>
      <c r="AA30" s="77">
        <v>25</v>
      </c>
      <c r="AB30" s="155">
        <v>26</v>
      </c>
      <c r="AC30" s="109">
        <v>10</v>
      </c>
      <c r="AD30" s="155">
        <f>INDEX(节奏总表!$N$5:$N$34,章节关卡!AB30)</f>
        <v>250</v>
      </c>
      <c r="AE30" s="118">
        <f t="shared" si="52"/>
        <v>3750</v>
      </c>
      <c r="AF30" s="14">
        <f>SUM(AC$5:AC30)</f>
        <v>250</v>
      </c>
      <c r="AG30" s="14">
        <f t="shared" si="48"/>
        <v>26250</v>
      </c>
      <c r="AH30" s="109">
        <v>60</v>
      </c>
      <c r="AI30" s="14">
        <f t="shared" si="49"/>
        <v>10800</v>
      </c>
      <c r="AJ30" s="109">
        <v>90</v>
      </c>
      <c r="AK30" s="14">
        <f t="shared" si="19"/>
        <v>27000</v>
      </c>
      <c r="AL30" s="109">
        <v>300</v>
      </c>
      <c r="AM30" s="14">
        <f t="shared" si="20"/>
        <v>90000</v>
      </c>
      <c r="AP30" s="24">
        <v>26</v>
      </c>
      <c r="AQ30" s="14">
        <f t="shared" si="21"/>
        <v>7</v>
      </c>
      <c r="AR30" s="109">
        <f t="shared" si="22"/>
        <v>2</v>
      </c>
      <c r="AS30" s="109">
        <f t="shared" si="23"/>
        <v>12</v>
      </c>
      <c r="AT30" s="109">
        <f t="shared" si="24"/>
        <v>37</v>
      </c>
      <c r="AU30" s="109">
        <f t="shared" si="25"/>
        <v>54</v>
      </c>
      <c r="AX30" s="109">
        <v>26</v>
      </c>
      <c r="AY30" s="14">
        <f t="shared" si="0"/>
        <v>3</v>
      </c>
      <c r="AZ30" s="14">
        <f t="shared" si="26"/>
        <v>6</v>
      </c>
      <c r="BA30" s="14">
        <f t="shared" si="53"/>
        <v>140</v>
      </c>
      <c r="BB30" s="14">
        <f t="shared" si="1"/>
        <v>600</v>
      </c>
      <c r="BC30" s="14">
        <f t="shared" si="2"/>
        <v>1575</v>
      </c>
      <c r="BF30" s="109">
        <v>26</v>
      </c>
      <c r="BG30" s="14">
        <f t="shared" si="27"/>
        <v>3</v>
      </c>
      <c r="BH30" s="14">
        <f t="shared" si="28"/>
        <v>6</v>
      </c>
      <c r="BI30" s="14">
        <f t="shared" si="3"/>
        <v>300</v>
      </c>
      <c r="BJ30" s="14">
        <f t="shared" si="4"/>
        <v>1200</v>
      </c>
      <c r="BK30" s="14">
        <f t="shared" si="5"/>
        <v>3150</v>
      </c>
      <c r="BN30" s="109">
        <v>26</v>
      </c>
      <c r="BO30" s="109">
        <f t="shared" si="29"/>
        <v>9</v>
      </c>
      <c r="BP30" s="112">
        <f t="shared" si="30"/>
        <v>50</v>
      </c>
      <c r="BQ30" s="109">
        <f t="shared" si="6"/>
        <v>2</v>
      </c>
      <c r="BR30" s="109">
        <v>240</v>
      </c>
      <c r="BS30" s="109">
        <v>360</v>
      </c>
      <c r="BT30" s="112">
        <v>2</v>
      </c>
      <c r="BU30" s="14">
        <f t="shared" si="31"/>
        <v>11092</v>
      </c>
      <c r="BV30" s="118">
        <v>1</v>
      </c>
      <c r="BW30" s="14">
        <f t="shared" si="32"/>
        <v>109</v>
      </c>
      <c r="BX30" s="118" t="s">
        <v>1052</v>
      </c>
      <c r="BY30" s="14">
        <f t="shared" si="33"/>
        <v>2</v>
      </c>
      <c r="BZ30" s="118" t="str">
        <f t="shared" si="34"/>
        <v>守护灵抽卡券2蓝色基础材料60金币12000</v>
      </c>
      <c r="CA30" s="14">
        <f t="shared" si="35"/>
        <v>20</v>
      </c>
      <c r="CB30" s="115" t="s">
        <v>271</v>
      </c>
      <c r="CC30" s="115">
        <v>2</v>
      </c>
      <c r="CD30" s="112" t="str">
        <f>INDEX(挂机升级突破!$BX$4:$CB$4,章节关卡!BT30)</f>
        <v>蓝色基础材料</v>
      </c>
      <c r="CE30" s="115">
        <f>ROUND(INDEX(挂机升级突破!$Q$7:$U$37,BO30+2,章节关卡!BT30)/INDEX(挂机升级突破!$Q$5:$U$5,章节关卡!BT30)*章节关卡!BS30,0)</f>
        <v>60</v>
      </c>
      <c r="CF30" s="109" t="s">
        <v>265</v>
      </c>
      <c r="CG30" s="109">
        <f t="shared" si="7"/>
        <v>12000</v>
      </c>
      <c r="CJ30" s="115">
        <f t="shared" si="8"/>
        <v>9</v>
      </c>
      <c r="CK30" s="115">
        <f t="shared" si="9"/>
        <v>60</v>
      </c>
      <c r="CL30" s="118">
        <v>2</v>
      </c>
      <c r="CM30" s="109">
        <f t="shared" si="10"/>
        <v>360</v>
      </c>
      <c r="CN30" s="109">
        <f t="shared" si="11"/>
        <v>720</v>
      </c>
      <c r="CO30" s="115">
        <v>7</v>
      </c>
      <c r="CP30" s="14">
        <f t="shared" si="36"/>
        <v>12092</v>
      </c>
      <c r="CQ30" s="118">
        <v>2</v>
      </c>
      <c r="CR30" s="14">
        <f t="shared" si="37"/>
        <v>209</v>
      </c>
      <c r="CS30" s="118" t="s">
        <v>1052</v>
      </c>
      <c r="CT30" s="14">
        <f t="shared" si="38"/>
        <v>2</v>
      </c>
      <c r="CU30" s="118" t="str">
        <f t="shared" si="39"/>
        <v>熔炼值1200乌金13金币18000</v>
      </c>
      <c r="CV30" s="14">
        <f t="shared" si="40"/>
        <v>20</v>
      </c>
      <c r="CW30" s="115" t="s">
        <v>1031</v>
      </c>
      <c r="CX30" s="115">
        <v>1200</v>
      </c>
      <c r="CY30" s="115" t="str">
        <f>INDEX(挂机升级突破!$BX$4:$CG$4,章节关卡!CO30)</f>
        <v>乌金</v>
      </c>
      <c r="CZ30" s="115">
        <f>ROUND(INDEX(挂机升级突破!$Q$7:$Z$37,CJ30+3,章节关卡!CO30)/INDEX(挂机升级突破!$Q$5:$Z$5,章节关卡!CO30)*章节关卡!CN30,0)</f>
        <v>13</v>
      </c>
      <c r="DA30" s="109" t="s">
        <v>265</v>
      </c>
      <c r="DB30" s="115">
        <f t="shared" si="12"/>
        <v>18000</v>
      </c>
      <c r="DE30" s="118">
        <v>26</v>
      </c>
      <c r="DF30" s="14">
        <f t="shared" si="41"/>
        <v>9</v>
      </c>
      <c r="DG30" s="118">
        <f t="shared" si="42"/>
        <v>50</v>
      </c>
      <c r="DH30" s="118">
        <v>120</v>
      </c>
      <c r="DI30" s="118">
        <f t="shared" si="43"/>
        <v>21092</v>
      </c>
      <c r="DJ30" s="118">
        <v>1</v>
      </c>
      <c r="DK30" s="14">
        <f t="shared" si="50"/>
        <v>109</v>
      </c>
      <c r="DL30" s="118" t="s">
        <v>1062</v>
      </c>
      <c r="DM30" s="118">
        <v>2</v>
      </c>
      <c r="DN30" s="118" t="str">
        <f t="shared" si="44"/>
        <v>钻石30守护灵初级抽卡券3守护灵经验9600</v>
      </c>
      <c r="DO30" s="14">
        <f t="shared" si="51"/>
        <v>10909</v>
      </c>
      <c r="DP30" s="118" t="s">
        <v>1065</v>
      </c>
      <c r="DQ30" s="118">
        <v>30</v>
      </c>
      <c r="DR30" s="118" t="s">
        <v>1066</v>
      </c>
      <c r="DS30" s="118">
        <v>3</v>
      </c>
      <c r="DT30" s="118" t="s">
        <v>1067</v>
      </c>
      <c r="DU30" s="118">
        <f t="shared" si="45"/>
        <v>9600</v>
      </c>
    </row>
    <row r="31" spans="1:125" ht="16.5" x14ac:dyDescent="0.2">
      <c r="A31" s="76">
        <v>26</v>
      </c>
      <c r="B31" s="76">
        <v>135</v>
      </c>
      <c r="C31" s="109">
        <v>4</v>
      </c>
      <c r="D31" s="14">
        <f>SUM(C$5:C31)</f>
        <v>104</v>
      </c>
      <c r="E31" s="76">
        <v>5</v>
      </c>
      <c r="F31" s="76">
        <v>65</v>
      </c>
      <c r="G31" s="76">
        <v>5</v>
      </c>
      <c r="H31" s="76">
        <v>190</v>
      </c>
      <c r="I31" s="76">
        <f t="shared" si="54"/>
        <v>2</v>
      </c>
      <c r="J31" s="76">
        <v>5</v>
      </c>
      <c r="K31" s="76">
        <f t="shared" si="55"/>
        <v>325</v>
      </c>
      <c r="L31" s="76">
        <f t="shared" si="56"/>
        <v>5</v>
      </c>
      <c r="N31" s="76">
        <v>26</v>
      </c>
      <c r="O31" s="121">
        <v>135</v>
      </c>
      <c r="P31" s="107">
        <v>10</v>
      </c>
      <c r="Q31" s="14">
        <f>SUM(P$5:P31)</f>
        <v>260</v>
      </c>
      <c r="R31" s="76">
        <v>20</v>
      </c>
      <c r="S31" s="109">
        <f t="shared" si="15"/>
        <v>1300</v>
      </c>
      <c r="T31" s="76">
        <v>30</v>
      </c>
      <c r="U31" s="109">
        <f t="shared" si="16"/>
        <v>5700</v>
      </c>
      <c r="V31" s="109">
        <v>45</v>
      </c>
      <c r="W31" s="76">
        <f t="shared" si="17"/>
        <v>14625</v>
      </c>
      <c r="X31" s="76">
        <v>156</v>
      </c>
      <c r="Y31" s="109">
        <f t="shared" si="18"/>
        <v>50700</v>
      </c>
      <c r="AA31" s="77">
        <v>26</v>
      </c>
      <c r="AB31" s="155">
        <v>27</v>
      </c>
      <c r="AC31" s="109">
        <v>10</v>
      </c>
      <c r="AD31" s="155">
        <f>INDEX(节奏总表!$N$5:$N$34,章节关卡!AB31)</f>
        <v>300</v>
      </c>
      <c r="AE31" s="118">
        <f t="shared" si="52"/>
        <v>4500</v>
      </c>
      <c r="AF31" s="14">
        <f>SUM(AC$5:AC31)</f>
        <v>260</v>
      </c>
      <c r="AG31" s="14">
        <f t="shared" si="48"/>
        <v>33750</v>
      </c>
      <c r="AH31" s="109">
        <v>60</v>
      </c>
      <c r="AI31" s="14">
        <f t="shared" si="49"/>
        <v>11400</v>
      </c>
      <c r="AJ31" s="109">
        <v>90</v>
      </c>
      <c r="AK31" s="14">
        <f t="shared" si="19"/>
        <v>29250</v>
      </c>
      <c r="AL31" s="109">
        <v>300</v>
      </c>
      <c r="AM31" s="14">
        <f t="shared" si="20"/>
        <v>97500</v>
      </c>
      <c r="AP31" s="24">
        <v>27</v>
      </c>
      <c r="AQ31" s="14">
        <f t="shared" si="21"/>
        <v>7</v>
      </c>
      <c r="AR31" s="109">
        <f t="shared" si="22"/>
        <v>3</v>
      </c>
      <c r="AS31" s="109">
        <f t="shared" si="23"/>
        <v>12</v>
      </c>
      <c r="AT31" s="109">
        <f t="shared" si="24"/>
        <v>38</v>
      </c>
      <c r="AU31" s="109">
        <f t="shared" si="25"/>
        <v>56</v>
      </c>
      <c r="AX31" s="109">
        <v>27</v>
      </c>
      <c r="AY31" s="14">
        <f t="shared" si="0"/>
        <v>3</v>
      </c>
      <c r="AZ31" s="14">
        <f t="shared" si="26"/>
        <v>7</v>
      </c>
      <c r="BA31" s="14">
        <f t="shared" si="53"/>
        <v>140</v>
      </c>
      <c r="BB31" s="14">
        <f t="shared" si="1"/>
        <v>600</v>
      </c>
      <c r="BC31" s="14">
        <f t="shared" si="2"/>
        <v>1575</v>
      </c>
      <c r="BF31" s="109">
        <v>27</v>
      </c>
      <c r="BG31" s="14">
        <f t="shared" si="27"/>
        <v>3</v>
      </c>
      <c r="BH31" s="14">
        <f t="shared" si="28"/>
        <v>7</v>
      </c>
      <c r="BI31" s="14">
        <f t="shared" si="3"/>
        <v>300</v>
      </c>
      <c r="BJ31" s="14">
        <f t="shared" si="4"/>
        <v>1200</v>
      </c>
      <c r="BK31" s="14">
        <f t="shared" si="5"/>
        <v>3150</v>
      </c>
      <c r="BN31" s="109">
        <v>27</v>
      </c>
      <c r="BO31" s="109">
        <f t="shared" si="29"/>
        <v>9</v>
      </c>
      <c r="BP31" s="112">
        <f t="shared" si="30"/>
        <v>50</v>
      </c>
      <c r="BQ31" s="109">
        <f t="shared" si="6"/>
        <v>3</v>
      </c>
      <c r="BR31" s="109">
        <v>360</v>
      </c>
      <c r="BS31" s="109">
        <v>540</v>
      </c>
      <c r="BT31" s="112">
        <v>2</v>
      </c>
      <c r="BU31" s="14">
        <f t="shared" si="31"/>
        <v>11093</v>
      </c>
      <c r="BV31" s="118">
        <v>1</v>
      </c>
      <c r="BW31" s="14">
        <f t="shared" si="32"/>
        <v>109</v>
      </c>
      <c r="BX31" s="118" t="s">
        <v>1052</v>
      </c>
      <c r="BY31" s="14">
        <f t="shared" si="33"/>
        <v>3</v>
      </c>
      <c r="BZ31" s="118" t="str">
        <f t="shared" si="34"/>
        <v>守护灵抽卡券3蓝色基础材料90金币18000</v>
      </c>
      <c r="CA31" s="14">
        <f t="shared" si="35"/>
        <v>30</v>
      </c>
      <c r="CB31" s="115" t="s">
        <v>271</v>
      </c>
      <c r="CC31" s="115">
        <v>3</v>
      </c>
      <c r="CD31" s="112" t="str">
        <f>INDEX(挂机升级突破!$BX$4:$CB$4,章节关卡!BT31)</f>
        <v>蓝色基础材料</v>
      </c>
      <c r="CE31" s="115">
        <f>ROUND(INDEX(挂机升级突破!$Q$7:$U$37,BO31+2,章节关卡!BT31)/INDEX(挂机升级突破!$Q$5:$U$5,章节关卡!BT31)*章节关卡!BS31,0)</f>
        <v>90</v>
      </c>
      <c r="CF31" s="109" t="s">
        <v>265</v>
      </c>
      <c r="CG31" s="109">
        <f t="shared" si="7"/>
        <v>18000</v>
      </c>
      <c r="CJ31" s="115">
        <f t="shared" si="8"/>
        <v>9</v>
      </c>
      <c r="CK31" s="115">
        <f t="shared" si="9"/>
        <v>60</v>
      </c>
      <c r="CL31" s="118">
        <v>3</v>
      </c>
      <c r="CM31" s="109">
        <f t="shared" si="10"/>
        <v>540</v>
      </c>
      <c r="CN31" s="109">
        <f t="shared" si="11"/>
        <v>1080</v>
      </c>
      <c r="CO31" s="115">
        <v>7</v>
      </c>
      <c r="CP31" s="14">
        <f t="shared" si="36"/>
        <v>12093</v>
      </c>
      <c r="CQ31" s="118">
        <v>2</v>
      </c>
      <c r="CR31" s="14">
        <f t="shared" si="37"/>
        <v>209</v>
      </c>
      <c r="CS31" s="118" t="s">
        <v>1052</v>
      </c>
      <c r="CT31" s="14">
        <f t="shared" si="38"/>
        <v>3</v>
      </c>
      <c r="CU31" s="118" t="str">
        <f t="shared" si="39"/>
        <v>守护灵抽卡券5乌金19金币27000</v>
      </c>
      <c r="CV31" s="14">
        <f t="shared" si="40"/>
        <v>30</v>
      </c>
      <c r="CW31" s="115" t="s">
        <v>1030</v>
      </c>
      <c r="CX31" s="115">
        <v>5</v>
      </c>
      <c r="CY31" s="115" t="str">
        <f>INDEX(挂机升级突破!$BX$4:$CG$4,章节关卡!CO31)</f>
        <v>乌金</v>
      </c>
      <c r="CZ31" s="115">
        <f>ROUND(INDEX(挂机升级突破!$Q$7:$Z$37,CJ31+3,章节关卡!CO31)/INDEX(挂机升级突破!$Q$5:$Z$5,章节关卡!CO31)*章节关卡!CN31,0)</f>
        <v>19</v>
      </c>
      <c r="DA31" s="109" t="s">
        <v>265</v>
      </c>
      <c r="DB31" s="115">
        <f t="shared" si="12"/>
        <v>27000</v>
      </c>
      <c r="DE31" s="118">
        <v>27</v>
      </c>
      <c r="DF31" s="14">
        <f t="shared" si="41"/>
        <v>9</v>
      </c>
      <c r="DG31" s="118">
        <f t="shared" si="42"/>
        <v>50</v>
      </c>
      <c r="DH31" s="118">
        <v>150</v>
      </c>
      <c r="DI31" s="118">
        <f t="shared" si="43"/>
        <v>21093</v>
      </c>
      <c r="DJ31" s="118">
        <v>1</v>
      </c>
      <c r="DK31" s="14">
        <f t="shared" si="50"/>
        <v>109</v>
      </c>
      <c r="DL31" s="118" t="s">
        <v>1062</v>
      </c>
      <c r="DM31" s="118">
        <v>3</v>
      </c>
      <c r="DN31" s="118" t="str">
        <f t="shared" si="44"/>
        <v>钻石50守护灵初级抽卡券5守护灵经验12000</v>
      </c>
      <c r="DO31" s="14">
        <f t="shared" si="51"/>
        <v>10909</v>
      </c>
      <c r="DP31" s="118" t="s">
        <v>1065</v>
      </c>
      <c r="DQ31" s="118">
        <v>50</v>
      </c>
      <c r="DR31" s="118" t="s">
        <v>1066</v>
      </c>
      <c r="DS31" s="118">
        <v>5</v>
      </c>
      <c r="DT31" s="118" t="s">
        <v>1067</v>
      </c>
      <c r="DU31" s="118">
        <f t="shared" si="45"/>
        <v>12000</v>
      </c>
    </row>
    <row r="32" spans="1:125" ht="16.5" x14ac:dyDescent="0.2">
      <c r="A32" s="76">
        <v>27</v>
      </c>
      <c r="B32" s="76">
        <v>140</v>
      </c>
      <c r="C32" s="109">
        <v>4</v>
      </c>
      <c r="D32" s="14">
        <f>SUM(C$5:C32)</f>
        <v>108</v>
      </c>
      <c r="E32" s="76">
        <v>5</v>
      </c>
      <c r="F32" s="76">
        <v>70</v>
      </c>
      <c r="G32" s="76">
        <v>5</v>
      </c>
      <c r="H32" s="76">
        <v>200</v>
      </c>
      <c r="I32" s="76">
        <f t="shared" si="54"/>
        <v>2</v>
      </c>
      <c r="J32" s="76">
        <v>5</v>
      </c>
      <c r="K32" s="76">
        <f t="shared" si="55"/>
        <v>350</v>
      </c>
      <c r="L32" s="76">
        <f t="shared" si="56"/>
        <v>5</v>
      </c>
      <c r="N32" s="76">
        <v>27</v>
      </c>
      <c r="O32" s="121">
        <v>140</v>
      </c>
      <c r="P32" s="107">
        <v>10</v>
      </c>
      <c r="Q32" s="14">
        <f>SUM(P$5:P32)</f>
        <v>270</v>
      </c>
      <c r="R32" s="76">
        <v>20</v>
      </c>
      <c r="S32" s="109">
        <f t="shared" si="15"/>
        <v>1400</v>
      </c>
      <c r="T32" s="76">
        <v>30</v>
      </c>
      <c r="U32" s="109">
        <f t="shared" si="16"/>
        <v>6000</v>
      </c>
      <c r="V32" s="109">
        <v>45</v>
      </c>
      <c r="W32" s="76">
        <f t="shared" si="17"/>
        <v>15750</v>
      </c>
      <c r="X32" s="76">
        <v>157</v>
      </c>
      <c r="Y32" s="109">
        <f t="shared" si="18"/>
        <v>54950</v>
      </c>
      <c r="AA32" s="77">
        <v>27</v>
      </c>
      <c r="AB32" s="155">
        <v>28</v>
      </c>
      <c r="AC32" s="109">
        <v>10</v>
      </c>
      <c r="AD32" s="155">
        <f>INDEX(节奏总表!$N$5:$N$34,章节关卡!AB32)</f>
        <v>340</v>
      </c>
      <c r="AE32" s="118">
        <f>AE31</f>
        <v>4500</v>
      </c>
      <c r="AF32" s="14">
        <f>SUM(AC$5:AC32)</f>
        <v>270</v>
      </c>
      <c r="AG32" s="14">
        <f t="shared" si="48"/>
        <v>36000</v>
      </c>
      <c r="AH32" s="109">
        <v>60</v>
      </c>
      <c r="AI32" s="14">
        <f t="shared" si="49"/>
        <v>12000</v>
      </c>
      <c r="AJ32" s="109">
        <v>90</v>
      </c>
      <c r="AK32" s="14">
        <f t="shared" si="19"/>
        <v>31500</v>
      </c>
      <c r="AL32" s="109">
        <v>300</v>
      </c>
      <c r="AM32" s="14">
        <f t="shared" si="20"/>
        <v>105000</v>
      </c>
      <c r="AP32" s="24">
        <v>28</v>
      </c>
      <c r="AQ32" s="14">
        <f t="shared" si="21"/>
        <v>7</v>
      </c>
      <c r="AR32" s="109">
        <f t="shared" si="22"/>
        <v>4</v>
      </c>
      <c r="AS32" s="109">
        <f t="shared" si="23"/>
        <v>12</v>
      </c>
      <c r="AT32" s="109">
        <f t="shared" si="24"/>
        <v>39</v>
      </c>
      <c r="AU32" s="109">
        <f t="shared" si="25"/>
        <v>58</v>
      </c>
      <c r="AX32" s="109">
        <v>28</v>
      </c>
      <c r="AY32" s="14">
        <f t="shared" si="0"/>
        <v>3</v>
      </c>
      <c r="AZ32" s="14">
        <f t="shared" si="26"/>
        <v>8</v>
      </c>
      <c r="BA32" s="14">
        <f t="shared" si="53"/>
        <v>140</v>
      </c>
      <c r="BB32" s="14">
        <f t="shared" si="1"/>
        <v>600</v>
      </c>
      <c r="BC32" s="14">
        <f t="shared" si="2"/>
        <v>1575</v>
      </c>
      <c r="BF32" s="109">
        <v>28</v>
      </c>
      <c r="BG32" s="14">
        <f t="shared" si="27"/>
        <v>3</v>
      </c>
      <c r="BH32" s="14">
        <f t="shared" si="28"/>
        <v>8</v>
      </c>
      <c r="BI32" s="14">
        <f t="shared" si="3"/>
        <v>300</v>
      </c>
      <c r="BJ32" s="14">
        <f t="shared" si="4"/>
        <v>1200</v>
      </c>
      <c r="BK32" s="14">
        <f t="shared" si="5"/>
        <v>3150</v>
      </c>
      <c r="BN32" s="109">
        <v>28</v>
      </c>
      <c r="BO32" s="109">
        <f t="shared" si="29"/>
        <v>10</v>
      </c>
      <c r="BP32" s="112">
        <f t="shared" si="30"/>
        <v>55</v>
      </c>
      <c r="BQ32" s="109">
        <f t="shared" si="6"/>
        <v>1</v>
      </c>
      <c r="BR32" s="109">
        <v>120</v>
      </c>
      <c r="BS32" s="109">
        <v>180</v>
      </c>
      <c r="BT32" s="109">
        <v>3</v>
      </c>
      <c r="BU32" s="14">
        <f t="shared" si="31"/>
        <v>11101</v>
      </c>
      <c r="BV32" s="118">
        <v>1</v>
      </c>
      <c r="BW32" s="14">
        <f t="shared" si="32"/>
        <v>110</v>
      </c>
      <c r="BX32" s="118" t="s">
        <v>1052</v>
      </c>
      <c r="BY32" s="14">
        <f t="shared" si="33"/>
        <v>1</v>
      </c>
      <c r="BZ32" s="118" t="str">
        <f t="shared" si="34"/>
        <v>钻石100紫色基础材料6金币6600</v>
      </c>
      <c r="CA32" s="14">
        <f t="shared" si="35"/>
        <v>10</v>
      </c>
      <c r="CB32" s="115" t="s">
        <v>22</v>
      </c>
      <c r="CC32" s="115">
        <v>100</v>
      </c>
      <c r="CD32" s="112" t="str">
        <f>INDEX(挂机升级突破!$BX$4:$CB$4,章节关卡!BT32)</f>
        <v>紫色基础材料</v>
      </c>
      <c r="CE32" s="115">
        <f>ROUND(INDEX(挂机升级突破!$Q$7:$U$37,BO32+2,章节关卡!BT32)/INDEX(挂机升级突破!$Q$5:$U$5,章节关卡!BT32)*章节关卡!BS32,0)</f>
        <v>6</v>
      </c>
      <c r="CF32" s="109" t="s">
        <v>265</v>
      </c>
      <c r="CG32" s="109">
        <f t="shared" si="7"/>
        <v>6600</v>
      </c>
      <c r="CJ32" s="115">
        <f t="shared" si="8"/>
        <v>10</v>
      </c>
      <c r="CK32" s="115">
        <f t="shared" si="9"/>
        <v>65</v>
      </c>
      <c r="CL32" s="118">
        <v>1</v>
      </c>
      <c r="CM32" s="109">
        <f t="shared" si="10"/>
        <v>180</v>
      </c>
      <c r="CN32" s="109">
        <f t="shared" si="11"/>
        <v>360</v>
      </c>
      <c r="CO32" s="115">
        <v>7</v>
      </c>
      <c r="CP32" s="14">
        <f t="shared" si="36"/>
        <v>12101</v>
      </c>
      <c r="CQ32" s="118">
        <v>2</v>
      </c>
      <c r="CR32" s="14">
        <f t="shared" si="37"/>
        <v>210</v>
      </c>
      <c r="CS32" s="118" t="s">
        <v>1052</v>
      </c>
      <c r="CT32" s="14">
        <f t="shared" si="38"/>
        <v>1</v>
      </c>
      <c r="CU32" s="118" t="str">
        <f t="shared" si="39"/>
        <v>钻石100乌金9金币9900</v>
      </c>
      <c r="CV32" s="14">
        <f t="shared" si="40"/>
        <v>10</v>
      </c>
      <c r="CW32" s="115" t="s">
        <v>270</v>
      </c>
      <c r="CX32" s="115">
        <v>100</v>
      </c>
      <c r="CY32" s="115" t="str">
        <f>INDEX(挂机升级突破!$BX$4:$CG$4,章节关卡!CO32)</f>
        <v>乌金</v>
      </c>
      <c r="CZ32" s="115">
        <f>ROUND(INDEX(挂机升级突破!$Q$7:$Z$37,CJ32+3,章节关卡!CO32)/INDEX(挂机升级突破!$Q$5:$Z$5,章节关卡!CO32)*章节关卡!CN32,0)</f>
        <v>9</v>
      </c>
      <c r="DA32" s="109" t="s">
        <v>265</v>
      </c>
      <c r="DB32" s="115">
        <f t="shared" si="12"/>
        <v>9900</v>
      </c>
      <c r="DE32" s="118">
        <v>28</v>
      </c>
      <c r="DF32" s="14">
        <f t="shared" si="41"/>
        <v>10</v>
      </c>
      <c r="DG32" s="118">
        <f t="shared" si="42"/>
        <v>55</v>
      </c>
      <c r="DH32" s="118">
        <v>90</v>
      </c>
      <c r="DI32" s="118">
        <f t="shared" si="43"/>
        <v>21101</v>
      </c>
      <c r="DJ32" s="118">
        <v>1</v>
      </c>
      <c r="DK32" s="14">
        <f t="shared" si="50"/>
        <v>110</v>
      </c>
      <c r="DL32" s="118" t="s">
        <v>1062</v>
      </c>
      <c r="DM32" s="118">
        <v>1</v>
      </c>
      <c r="DN32" s="118" t="str">
        <f t="shared" si="44"/>
        <v>钻石20守护灵初级抽卡券2守护灵经验8100</v>
      </c>
      <c r="DO32" s="14">
        <f t="shared" si="51"/>
        <v>11009</v>
      </c>
      <c r="DP32" s="118" t="s">
        <v>1065</v>
      </c>
      <c r="DQ32" s="118">
        <v>20</v>
      </c>
      <c r="DR32" s="118" t="s">
        <v>1066</v>
      </c>
      <c r="DS32" s="118">
        <v>2</v>
      </c>
      <c r="DT32" s="118" t="s">
        <v>1067</v>
      </c>
      <c r="DU32" s="118">
        <f t="shared" si="45"/>
        <v>8100</v>
      </c>
    </row>
    <row r="33" spans="1:125" ht="16.5" x14ac:dyDescent="0.2">
      <c r="A33" s="76">
        <v>28</v>
      </c>
      <c r="B33" s="76">
        <v>145</v>
      </c>
      <c r="C33" s="109">
        <v>4</v>
      </c>
      <c r="D33" s="14">
        <f>SUM(C$5:C33)</f>
        <v>112</v>
      </c>
      <c r="E33" s="76">
        <v>5</v>
      </c>
      <c r="F33" s="76">
        <v>75</v>
      </c>
      <c r="G33" s="76">
        <v>5</v>
      </c>
      <c r="H33" s="76">
        <v>210</v>
      </c>
      <c r="I33" s="76">
        <f t="shared" si="54"/>
        <v>2</v>
      </c>
      <c r="J33" s="76">
        <v>5</v>
      </c>
      <c r="K33" s="76">
        <f t="shared" si="55"/>
        <v>375</v>
      </c>
      <c r="L33" s="76">
        <f t="shared" si="56"/>
        <v>5</v>
      </c>
      <c r="N33" s="76">
        <v>28</v>
      </c>
      <c r="O33" s="121">
        <v>145</v>
      </c>
      <c r="P33" s="107">
        <v>10</v>
      </c>
      <c r="Q33" s="14">
        <f>SUM(P$5:P33)</f>
        <v>280</v>
      </c>
      <c r="R33" s="76">
        <v>20</v>
      </c>
      <c r="S33" s="109">
        <f t="shared" si="15"/>
        <v>1500</v>
      </c>
      <c r="T33" s="76">
        <v>30</v>
      </c>
      <c r="U33" s="109">
        <f t="shared" si="16"/>
        <v>6300</v>
      </c>
      <c r="V33" s="109">
        <v>45</v>
      </c>
      <c r="W33" s="76">
        <f t="shared" si="17"/>
        <v>16875</v>
      </c>
      <c r="X33" s="76">
        <v>158</v>
      </c>
      <c r="Y33" s="109">
        <f t="shared" si="18"/>
        <v>59250</v>
      </c>
      <c r="AA33" s="77">
        <v>28</v>
      </c>
      <c r="AB33" s="155">
        <v>29</v>
      </c>
      <c r="AC33" s="109">
        <v>10</v>
      </c>
      <c r="AD33" s="155">
        <f>INDEX(节奏总表!$N$5:$N$34,章节关卡!AB33)</f>
        <v>1440</v>
      </c>
      <c r="AE33" s="155">
        <f t="shared" ref="AE33:AE35" si="57">AE32</f>
        <v>4500</v>
      </c>
      <c r="AF33" s="14">
        <f>SUM(AC$5:AC33)</f>
        <v>280</v>
      </c>
      <c r="AG33" s="14">
        <f t="shared" si="48"/>
        <v>36000</v>
      </c>
      <c r="AH33" s="109">
        <v>60</v>
      </c>
      <c r="AI33" s="14">
        <f t="shared" si="49"/>
        <v>12600</v>
      </c>
      <c r="AJ33" s="109">
        <v>90</v>
      </c>
      <c r="AK33" s="14">
        <f t="shared" si="19"/>
        <v>33750</v>
      </c>
      <c r="AL33" s="109">
        <v>300</v>
      </c>
      <c r="AM33" s="14">
        <f t="shared" si="20"/>
        <v>112500</v>
      </c>
      <c r="AP33" s="24">
        <v>29</v>
      </c>
      <c r="AQ33" s="14">
        <f t="shared" si="21"/>
        <v>8</v>
      </c>
      <c r="AR33" s="109">
        <f t="shared" si="22"/>
        <v>1</v>
      </c>
      <c r="AS33" s="109">
        <f t="shared" si="23"/>
        <v>14</v>
      </c>
      <c r="AT33" s="109">
        <f t="shared" si="24"/>
        <v>41</v>
      </c>
      <c r="AU33" s="109">
        <f t="shared" si="25"/>
        <v>62</v>
      </c>
      <c r="AX33" s="109">
        <v>29</v>
      </c>
      <c r="AY33" s="14">
        <f t="shared" si="0"/>
        <v>3</v>
      </c>
      <c r="AZ33" s="14">
        <f t="shared" si="26"/>
        <v>9</v>
      </c>
      <c r="BA33" s="14">
        <f t="shared" si="53"/>
        <v>140</v>
      </c>
      <c r="BB33" s="14">
        <f t="shared" si="1"/>
        <v>600</v>
      </c>
      <c r="BC33" s="14">
        <f t="shared" si="2"/>
        <v>1575</v>
      </c>
      <c r="BF33" s="109">
        <v>29</v>
      </c>
      <c r="BG33" s="14">
        <f t="shared" si="27"/>
        <v>3</v>
      </c>
      <c r="BH33" s="14">
        <f t="shared" si="28"/>
        <v>9</v>
      </c>
      <c r="BI33" s="14">
        <f t="shared" si="3"/>
        <v>300</v>
      </c>
      <c r="BJ33" s="14">
        <f t="shared" si="4"/>
        <v>1200</v>
      </c>
      <c r="BK33" s="14">
        <f t="shared" si="5"/>
        <v>3150</v>
      </c>
      <c r="BN33" s="109">
        <v>29</v>
      </c>
      <c r="BO33" s="109">
        <f t="shared" si="29"/>
        <v>10</v>
      </c>
      <c r="BP33" s="112">
        <f t="shared" si="30"/>
        <v>55</v>
      </c>
      <c r="BQ33" s="109">
        <f t="shared" si="6"/>
        <v>2</v>
      </c>
      <c r="BR33" s="109">
        <v>240</v>
      </c>
      <c r="BS33" s="109">
        <v>360</v>
      </c>
      <c r="BT33" s="112">
        <v>3</v>
      </c>
      <c r="BU33" s="14">
        <f t="shared" si="31"/>
        <v>11102</v>
      </c>
      <c r="BV33" s="118">
        <v>1</v>
      </c>
      <c r="BW33" s="14">
        <f t="shared" si="32"/>
        <v>110</v>
      </c>
      <c r="BX33" s="118" t="s">
        <v>1052</v>
      </c>
      <c r="BY33" s="14">
        <f t="shared" si="33"/>
        <v>2</v>
      </c>
      <c r="BZ33" s="118" t="str">
        <f t="shared" si="34"/>
        <v>守护灵抽卡券2紫色基础材料12金币13200</v>
      </c>
      <c r="CA33" s="14">
        <f t="shared" si="35"/>
        <v>20</v>
      </c>
      <c r="CB33" s="115" t="s">
        <v>271</v>
      </c>
      <c r="CC33" s="115">
        <v>2</v>
      </c>
      <c r="CD33" s="112" t="str">
        <f>INDEX(挂机升级突破!$BX$4:$CB$4,章节关卡!BT33)</f>
        <v>紫色基础材料</v>
      </c>
      <c r="CE33" s="115">
        <f>ROUND(INDEX(挂机升级突破!$Q$7:$U$37,BO33+2,章节关卡!BT33)/INDEX(挂机升级突破!$Q$5:$U$5,章节关卡!BT33)*章节关卡!BS33,0)</f>
        <v>12</v>
      </c>
      <c r="CF33" s="109" t="s">
        <v>265</v>
      </c>
      <c r="CG33" s="109">
        <f t="shared" si="7"/>
        <v>13200</v>
      </c>
      <c r="CJ33" s="115">
        <f t="shared" si="8"/>
        <v>10</v>
      </c>
      <c r="CK33" s="115">
        <f t="shared" si="9"/>
        <v>65</v>
      </c>
      <c r="CL33" s="118">
        <v>2</v>
      </c>
      <c r="CM33" s="109">
        <f t="shared" si="10"/>
        <v>360</v>
      </c>
      <c r="CN33" s="109">
        <f t="shared" si="11"/>
        <v>720</v>
      </c>
      <c r="CO33" s="115">
        <v>7</v>
      </c>
      <c r="CP33" s="14">
        <f t="shared" si="36"/>
        <v>12102</v>
      </c>
      <c r="CQ33" s="118">
        <v>2</v>
      </c>
      <c r="CR33" s="14">
        <f t="shared" si="37"/>
        <v>210</v>
      </c>
      <c r="CS33" s="118" t="s">
        <v>1052</v>
      </c>
      <c r="CT33" s="14">
        <f t="shared" si="38"/>
        <v>2</v>
      </c>
      <c r="CU33" s="118" t="str">
        <f t="shared" si="39"/>
        <v>熔炼值1350乌金18金币19800</v>
      </c>
      <c r="CV33" s="14">
        <f t="shared" si="40"/>
        <v>20</v>
      </c>
      <c r="CW33" s="115" t="s">
        <v>1031</v>
      </c>
      <c r="CX33" s="115">
        <v>1350</v>
      </c>
      <c r="CY33" s="115" t="str">
        <f>INDEX(挂机升级突破!$BX$4:$CG$4,章节关卡!CO33)</f>
        <v>乌金</v>
      </c>
      <c r="CZ33" s="115">
        <f>ROUND(INDEX(挂机升级突破!$Q$7:$Z$37,CJ33+3,章节关卡!CO33)/INDEX(挂机升级突破!$Q$5:$Z$5,章节关卡!CO33)*章节关卡!CN33,0)</f>
        <v>18</v>
      </c>
      <c r="DA33" s="109" t="s">
        <v>265</v>
      </c>
      <c r="DB33" s="115">
        <f t="shared" si="12"/>
        <v>19800</v>
      </c>
      <c r="DE33" s="118">
        <v>29</v>
      </c>
      <c r="DF33" s="14">
        <f t="shared" si="41"/>
        <v>10</v>
      </c>
      <c r="DG33" s="118">
        <f t="shared" si="42"/>
        <v>55</v>
      </c>
      <c r="DH33" s="118">
        <v>120</v>
      </c>
      <c r="DI33" s="118">
        <f t="shared" si="43"/>
        <v>21102</v>
      </c>
      <c r="DJ33" s="118">
        <v>1</v>
      </c>
      <c r="DK33" s="14">
        <f t="shared" si="50"/>
        <v>110</v>
      </c>
      <c r="DL33" s="118" t="s">
        <v>1062</v>
      </c>
      <c r="DM33" s="118">
        <v>2</v>
      </c>
      <c r="DN33" s="118" t="str">
        <f t="shared" si="44"/>
        <v>钻石30守护灵初级抽卡券3守护灵经验10800</v>
      </c>
      <c r="DO33" s="14">
        <f t="shared" si="51"/>
        <v>11009</v>
      </c>
      <c r="DP33" s="118" t="s">
        <v>1065</v>
      </c>
      <c r="DQ33" s="118">
        <v>30</v>
      </c>
      <c r="DR33" s="118" t="s">
        <v>1066</v>
      </c>
      <c r="DS33" s="118">
        <v>3</v>
      </c>
      <c r="DT33" s="118" t="s">
        <v>1067</v>
      </c>
      <c r="DU33" s="118">
        <f t="shared" si="45"/>
        <v>10800</v>
      </c>
    </row>
    <row r="34" spans="1:125" ht="16.5" x14ac:dyDescent="0.2">
      <c r="A34" s="76">
        <v>29</v>
      </c>
      <c r="B34" s="76">
        <v>150</v>
      </c>
      <c r="C34" s="109">
        <v>4</v>
      </c>
      <c r="D34" s="14">
        <f>SUM(C$5:C34)</f>
        <v>116</v>
      </c>
      <c r="E34" s="76">
        <v>5</v>
      </c>
      <c r="F34" s="76">
        <v>80</v>
      </c>
      <c r="G34" s="76">
        <v>5</v>
      </c>
      <c r="H34" s="76">
        <v>220</v>
      </c>
      <c r="I34" s="76">
        <f t="shared" si="54"/>
        <v>2</v>
      </c>
      <c r="J34" s="76">
        <v>5</v>
      </c>
      <c r="K34" s="76">
        <f t="shared" si="55"/>
        <v>400</v>
      </c>
      <c r="L34" s="76">
        <f t="shared" si="56"/>
        <v>5</v>
      </c>
      <c r="N34" s="76">
        <v>29</v>
      </c>
      <c r="O34" s="121">
        <v>150</v>
      </c>
      <c r="P34" s="107">
        <v>10</v>
      </c>
      <c r="Q34" s="14">
        <f>SUM(P$5:P34)</f>
        <v>290</v>
      </c>
      <c r="R34" s="76">
        <v>20</v>
      </c>
      <c r="S34" s="109">
        <f t="shared" si="15"/>
        <v>1600</v>
      </c>
      <c r="T34" s="76">
        <v>30</v>
      </c>
      <c r="U34" s="109">
        <f t="shared" si="16"/>
        <v>6600</v>
      </c>
      <c r="V34" s="109">
        <v>45</v>
      </c>
      <c r="W34" s="76">
        <f t="shared" si="17"/>
        <v>18000</v>
      </c>
      <c r="X34" s="76">
        <v>159</v>
      </c>
      <c r="Y34" s="109">
        <f t="shared" si="18"/>
        <v>63600</v>
      </c>
      <c r="AA34" s="77">
        <v>29</v>
      </c>
      <c r="AB34" s="155">
        <v>30</v>
      </c>
      <c r="AC34" s="109">
        <v>10</v>
      </c>
      <c r="AD34" s="155">
        <f>INDEX(节奏总表!$N$5:$N$34,章节关卡!AB34)</f>
        <v>2880</v>
      </c>
      <c r="AE34" s="155">
        <f t="shared" si="57"/>
        <v>4500</v>
      </c>
      <c r="AF34" s="14">
        <f>SUM(AC$5:AC34)</f>
        <v>290</v>
      </c>
      <c r="AG34" s="14">
        <f>ROUND(AG33*1.1,0)</f>
        <v>39600</v>
      </c>
      <c r="AH34" s="109">
        <v>60</v>
      </c>
      <c r="AI34" s="14">
        <f t="shared" si="49"/>
        <v>13200</v>
      </c>
      <c r="AJ34" s="109">
        <v>90</v>
      </c>
      <c r="AK34" s="14">
        <f t="shared" si="19"/>
        <v>36000</v>
      </c>
      <c r="AL34" s="109">
        <v>300</v>
      </c>
      <c r="AM34" s="14">
        <f t="shared" si="20"/>
        <v>120000</v>
      </c>
      <c r="AP34" s="24">
        <v>30</v>
      </c>
      <c r="AQ34" s="14">
        <f t="shared" si="21"/>
        <v>8</v>
      </c>
      <c r="AR34" s="109">
        <f t="shared" si="22"/>
        <v>2</v>
      </c>
      <c r="AS34" s="109">
        <f t="shared" si="23"/>
        <v>14</v>
      </c>
      <c r="AT34" s="109">
        <f t="shared" si="24"/>
        <v>42</v>
      </c>
      <c r="AU34" s="109">
        <f t="shared" si="25"/>
        <v>64</v>
      </c>
      <c r="AX34" s="109">
        <v>30</v>
      </c>
      <c r="AY34" s="14">
        <f t="shared" si="0"/>
        <v>3</v>
      </c>
      <c r="AZ34" s="14">
        <f t="shared" si="26"/>
        <v>10</v>
      </c>
      <c r="BA34" s="14">
        <f t="shared" si="53"/>
        <v>140</v>
      </c>
      <c r="BB34" s="14">
        <f t="shared" si="1"/>
        <v>600</v>
      </c>
      <c r="BC34" s="14">
        <f t="shared" si="2"/>
        <v>1575</v>
      </c>
      <c r="BF34" s="109">
        <v>30</v>
      </c>
      <c r="BG34" s="14">
        <f t="shared" si="27"/>
        <v>3</v>
      </c>
      <c r="BH34" s="14">
        <f t="shared" si="28"/>
        <v>10</v>
      </c>
      <c r="BI34" s="14">
        <f t="shared" si="3"/>
        <v>300</v>
      </c>
      <c r="BJ34" s="14">
        <f t="shared" si="4"/>
        <v>1200</v>
      </c>
      <c r="BK34" s="14">
        <f t="shared" si="5"/>
        <v>3150</v>
      </c>
      <c r="BN34" s="109">
        <v>30</v>
      </c>
      <c r="BO34" s="109">
        <f t="shared" si="29"/>
        <v>10</v>
      </c>
      <c r="BP34" s="112">
        <f t="shared" si="30"/>
        <v>55</v>
      </c>
      <c r="BQ34" s="109">
        <f t="shared" si="6"/>
        <v>3</v>
      </c>
      <c r="BR34" s="109">
        <v>360</v>
      </c>
      <c r="BS34" s="109">
        <v>540</v>
      </c>
      <c r="BT34" s="112">
        <v>3</v>
      </c>
      <c r="BU34" s="14">
        <f t="shared" si="31"/>
        <v>11103</v>
      </c>
      <c r="BV34" s="118">
        <v>1</v>
      </c>
      <c r="BW34" s="14">
        <f t="shared" si="32"/>
        <v>110</v>
      </c>
      <c r="BX34" s="118" t="s">
        <v>1052</v>
      </c>
      <c r="BY34" s="14">
        <f t="shared" si="33"/>
        <v>3</v>
      </c>
      <c r="BZ34" s="118" t="str">
        <f t="shared" si="34"/>
        <v>守护灵抽卡券3紫色基础材料18金币19800</v>
      </c>
      <c r="CA34" s="14">
        <f t="shared" si="35"/>
        <v>30</v>
      </c>
      <c r="CB34" s="115" t="s">
        <v>271</v>
      </c>
      <c r="CC34" s="115">
        <v>3</v>
      </c>
      <c r="CD34" s="112" t="str">
        <f>INDEX(挂机升级突破!$BX$4:$CB$4,章节关卡!BT34)</f>
        <v>紫色基础材料</v>
      </c>
      <c r="CE34" s="115">
        <f>ROUND(INDEX(挂机升级突破!$Q$7:$U$37,BO34+2,章节关卡!BT34)/INDEX(挂机升级突破!$Q$5:$U$5,章节关卡!BT34)*章节关卡!BS34,0)</f>
        <v>18</v>
      </c>
      <c r="CF34" s="109" t="s">
        <v>265</v>
      </c>
      <c r="CG34" s="109">
        <f t="shared" si="7"/>
        <v>19800</v>
      </c>
      <c r="CJ34" s="115">
        <f t="shared" si="8"/>
        <v>10</v>
      </c>
      <c r="CK34" s="115">
        <f t="shared" si="9"/>
        <v>65</v>
      </c>
      <c r="CL34" s="118">
        <v>3</v>
      </c>
      <c r="CM34" s="109">
        <f t="shared" si="10"/>
        <v>540</v>
      </c>
      <c r="CN34" s="109">
        <f t="shared" si="11"/>
        <v>1080</v>
      </c>
      <c r="CO34" s="115">
        <v>7</v>
      </c>
      <c r="CP34" s="14">
        <f t="shared" si="36"/>
        <v>12103</v>
      </c>
      <c r="CQ34" s="118">
        <v>2</v>
      </c>
      <c r="CR34" s="14">
        <f t="shared" si="37"/>
        <v>210</v>
      </c>
      <c r="CS34" s="118" t="s">
        <v>1052</v>
      </c>
      <c r="CT34" s="14">
        <f t="shared" si="38"/>
        <v>3</v>
      </c>
      <c r="CU34" s="118" t="str">
        <f t="shared" si="39"/>
        <v>守护灵抽卡券5乌金27金币29700</v>
      </c>
      <c r="CV34" s="14">
        <f t="shared" si="40"/>
        <v>30</v>
      </c>
      <c r="CW34" s="115" t="s">
        <v>1030</v>
      </c>
      <c r="CX34" s="115">
        <v>5</v>
      </c>
      <c r="CY34" s="115" t="str">
        <f>INDEX(挂机升级突破!$BX$4:$CG$4,章节关卡!CO34)</f>
        <v>乌金</v>
      </c>
      <c r="CZ34" s="115">
        <f>ROUND(INDEX(挂机升级突破!$Q$7:$Z$37,CJ34+3,章节关卡!CO34)/INDEX(挂机升级突破!$Q$5:$Z$5,章节关卡!CO34)*章节关卡!CN34,0)</f>
        <v>27</v>
      </c>
      <c r="DA34" s="109" t="s">
        <v>265</v>
      </c>
      <c r="DB34" s="115">
        <f t="shared" si="12"/>
        <v>29700</v>
      </c>
      <c r="DE34" s="118">
        <v>30</v>
      </c>
      <c r="DF34" s="14">
        <f t="shared" si="41"/>
        <v>10</v>
      </c>
      <c r="DG34" s="118">
        <f t="shared" si="42"/>
        <v>55</v>
      </c>
      <c r="DH34" s="118">
        <v>150</v>
      </c>
      <c r="DI34" s="118">
        <f t="shared" si="43"/>
        <v>21103</v>
      </c>
      <c r="DJ34" s="118">
        <v>1</v>
      </c>
      <c r="DK34" s="14">
        <f t="shared" si="50"/>
        <v>110</v>
      </c>
      <c r="DL34" s="118" t="s">
        <v>1062</v>
      </c>
      <c r="DM34" s="118">
        <v>3</v>
      </c>
      <c r="DN34" s="118" t="str">
        <f t="shared" si="44"/>
        <v>钻石50守护灵初级抽卡券5守护灵经验13500</v>
      </c>
      <c r="DO34" s="14">
        <f t="shared" si="51"/>
        <v>11009</v>
      </c>
      <c r="DP34" s="118" t="s">
        <v>1065</v>
      </c>
      <c r="DQ34" s="118">
        <v>50</v>
      </c>
      <c r="DR34" s="118" t="s">
        <v>1066</v>
      </c>
      <c r="DS34" s="118">
        <v>5</v>
      </c>
      <c r="DT34" s="118" t="s">
        <v>1067</v>
      </c>
      <c r="DU34" s="118">
        <f t="shared" si="45"/>
        <v>13500</v>
      </c>
    </row>
    <row r="35" spans="1:125" s="108" customFormat="1" ht="16.5" x14ac:dyDescent="0.2">
      <c r="A35" s="107">
        <v>30</v>
      </c>
      <c r="B35" s="107">
        <v>150</v>
      </c>
      <c r="C35" s="109">
        <v>4</v>
      </c>
      <c r="D35" s="14">
        <f>SUM(C$5:C35)</f>
        <v>120</v>
      </c>
      <c r="E35" s="107">
        <v>5</v>
      </c>
      <c r="F35" s="107">
        <v>80</v>
      </c>
      <c r="G35" s="107">
        <v>5</v>
      </c>
      <c r="H35" s="107">
        <v>220</v>
      </c>
      <c r="I35" s="107">
        <f t="shared" ref="I35" si="58">(H35-H34)/$E35</f>
        <v>0</v>
      </c>
      <c r="J35" s="107">
        <v>6</v>
      </c>
      <c r="K35" s="107">
        <f t="shared" ref="K35" si="59">F35*J35</f>
        <v>480</v>
      </c>
      <c r="L35" s="107">
        <f t="shared" ref="L35" si="60">(K35-K34)/$E35</f>
        <v>16</v>
      </c>
      <c r="N35" s="107">
        <v>30</v>
      </c>
      <c r="O35" s="121">
        <v>150</v>
      </c>
      <c r="P35" s="107">
        <v>10</v>
      </c>
      <c r="Q35" s="14">
        <f>SUM(P$5:P35)</f>
        <v>300</v>
      </c>
      <c r="R35" s="155">
        <v>20</v>
      </c>
      <c r="S35" s="109">
        <f t="shared" si="15"/>
        <v>1600</v>
      </c>
      <c r="T35" s="109">
        <v>30</v>
      </c>
      <c r="U35" s="109">
        <f t="shared" si="16"/>
        <v>6600</v>
      </c>
      <c r="V35" s="109">
        <v>45</v>
      </c>
      <c r="W35" s="107">
        <f t="shared" si="17"/>
        <v>21600</v>
      </c>
      <c r="X35" s="107">
        <v>160</v>
      </c>
      <c r="Y35" s="109">
        <f t="shared" si="18"/>
        <v>76800</v>
      </c>
      <c r="AA35" s="109">
        <v>30</v>
      </c>
      <c r="AB35" s="155">
        <v>30</v>
      </c>
      <c r="AC35" s="109">
        <v>10</v>
      </c>
      <c r="AD35" s="155">
        <f>INDEX(节奏总表!$N$5:$N$34,章节关卡!AB35)</f>
        <v>2880</v>
      </c>
      <c r="AE35" s="155">
        <f t="shared" si="57"/>
        <v>4500</v>
      </c>
      <c r="AF35" s="14">
        <f>SUM(AC$5:AC35)</f>
        <v>300</v>
      </c>
      <c r="AG35" s="14">
        <f>ROUND(AG34*1.1,0)</f>
        <v>43560</v>
      </c>
      <c r="AH35" s="109">
        <v>60</v>
      </c>
      <c r="AI35" s="14">
        <f t="shared" si="49"/>
        <v>13200</v>
      </c>
      <c r="AJ35" s="109">
        <v>90</v>
      </c>
      <c r="AK35" s="14">
        <f t="shared" si="19"/>
        <v>43200</v>
      </c>
      <c r="AL35" s="109">
        <v>300</v>
      </c>
      <c r="AM35" s="14">
        <f t="shared" si="20"/>
        <v>144000</v>
      </c>
      <c r="AP35" s="24">
        <v>31</v>
      </c>
      <c r="AQ35" s="14">
        <f t="shared" si="21"/>
        <v>8</v>
      </c>
      <c r="AR35" s="109">
        <f t="shared" si="22"/>
        <v>3</v>
      </c>
      <c r="AS35" s="109">
        <f t="shared" si="23"/>
        <v>14</v>
      </c>
      <c r="AT35" s="109">
        <f t="shared" si="24"/>
        <v>43</v>
      </c>
      <c r="AU35" s="109">
        <f t="shared" si="25"/>
        <v>66</v>
      </c>
      <c r="AX35" s="109">
        <v>31</v>
      </c>
      <c r="AY35" s="14">
        <f t="shared" si="0"/>
        <v>4</v>
      </c>
      <c r="AZ35" s="14">
        <f t="shared" si="26"/>
        <v>1</v>
      </c>
      <c r="BA35" s="14">
        <f t="shared" si="53"/>
        <v>160</v>
      </c>
      <c r="BB35" s="14">
        <f t="shared" si="1"/>
        <v>750</v>
      </c>
      <c r="BC35" s="14">
        <f t="shared" si="2"/>
        <v>1800</v>
      </c>
      <c r="BF35" s="109">
        <v>31</v>
      </c>
      <c r="BG35" s="14">
        <f t="shared" si="27"/>
        <v>4</v>
      </c>
      <c r="BH35" s="14">
        <f t="shared" si="28"/>
        <v>1</v>
      </c>
      <c r="BI35" s="14">
        <f t="shared" si="3"/>
        <v>350</v>
      </c>
      <c r="BJ35" s="14">
        <f t="shared" si="4"/>
        <v>1500</v>
      </c>
      <c r="BK35" s="14">
        <f t="shared" si="5"/>
        <v>3600</v>
      </c>
      <c r="BN35" s="109">
        <v>31</v>
      </c>
      <c r="BO35" s="109">
        <f t="shared" si="29"/>
        <v>11</v>
      </c>
      <c r="BP35" s="112">
        <f t="shared" si="30"/>
        <v>60</v>
      </c>
      <c r="BQ35" s="109">
        <f t="shared" si="6"/>
        <v>1</v>
      </c>
      <c r="BR35" s="109">
        <v>120</v>
      </c>
      <c r="BS35" s="109">
        <v>180</v>
      </c>
      <c r="BT35" s="112">
        <v>3</v>
      </c>
      <c r="BU35" s="14">
        <f t="shared" si="31"/>
        <v>11111</v>
      </c>
      <c r="BV35" s="118">
        <v>1</v>
      </c>
      <c r="BW35" s="14">
        <f t="shared" si="32"/>
        <v>111</v>
      </c>
      <c r="BX35" s="118" t="s">
        <v>1052</v>
      </c>
      <c r="BY35" s="14">
        <f t="shared" si="33"/>
        <v>1</v>
      </c>
      <c r="BZ35" s="118" t="str">
        <f t="shared" si="34"/>
        <v>钻石100紫色基础材料11金币7200</v>
      </c>
      <c r="CA35" s="14">
        <f t="shared" si="35"/>
        <v>10</v>
      </c>
      <c r="CB35" s="115" t="s">
        <v>22</v>
      </c>
      <c r="CC35" s="115">
        <v>100</v>
      </c>
      <c r="CD35" s="112" t="str">
        <f>INDEX(挂机升级突破!$BX$4:$CB$4,章节关卡!BT35)</f>
        <v>紫色基础材料</v>
      </c>
      <c r="CE35" s="115">
        <f>ROUND(INDEX(挂机升级突破!$Q$7:$U$37,BO35+2,章节关卡!BT35)/INDEX(挂机升级突破!$Q$5:$U$5,章节关卡!BT35)*章节关卡!BS35,0)</f>
        <v>11</v>
      </c>
      <c r="CF35" s="109" t="s">
        <v>265</v>
      </c>
      <c r="CG35" s="109">
        <f t="shared" si="7"/>
        <v>7200</v>
      </c>
      <c r="CJ35" s="115">
        <f t="shared" si="8"/>
        <v>11</v>
      </c>
      <c r="CK35" s="115">
        <f t="shared" si="9"/>
        <v>70</v>
      </c>
      <c r="CL35" s="118">
        <v>1</v>
      </c>
      <c r="CM35" s="109">
        <f t="shared" si="10"/>
        <v>180</v>
      </c>
      <c r="CN35" s="109">
        <f t="shared" si="11"/>
        <v>360</v>
      </c>
      <c r="CO35" s="115">
        <v>7</v>
      </c>
      <c r="CP35" s="14">
        <f t="shared" si="36"/>
        <v>12111</v>
      </c>
      <c r="CQ35" s="118">
        <v>2</v>
      </c>
      <c r="CR35" s="14">
        <f t="shared" si="37"/>
        <v>211</v>
      </c>
      <c r="CS35" s="118" t="s">
        <v>1052</v>
      </c>
      <c r="CT35" s="14">
        <f t="shared" si="38"/>
        <v>1</v>
      </c>
      <c r="CU35" s="118" t="str">
        <f t="shared" si="39"/>
        <v>钻石100乌金12金币10800</v>
      </c>
      <c r="CV35" s="14">
        <f t="shared" si="40"/>
        <v>10</v>
      </c>
      <c r="CW35" s="115" t="s">
        <v>270</v>
      </c>
      <c r="CX35" s="115">
        <v>100</v>
      </c>
      <c r="CY35" s="115" t="str">
        <f>INDEX(挂机升级突破!$BX$4:$CG$4,章节关卡!CO35)</f>
        <v>乌金</v>
      </c>
      <c r="CZ35" s="115">
        <f>ROUND(INDEX(挂机升级突破!$Q$7:$Z$37,CJ35+3,章节关卡!CO35)/INDEX(挂机升级突破!$Q$5:$Z$5,章节关卡!CO35)*章节关卡!CN35,0)</f>
        <v>12</v>
      </c>
      <c r="DA35" s="109" t="s">
        <v>265</v>
      </c>
      <c r="DB35" s="115">
        <f t="shared" si="12"/>
        <v>10800</v>
      </c>
      <c r="DE35" s="118">
        <v>31</v>
      </c>
      <c r="DF35" s="14">
        <f t="shared" si="41"/>
        <v>11</v>
      </c>
      <c r="DG35" s="118">
        <f t="shared" si="42"/>
        <v>60</v>
      </c>
      <c r="DH35" s="118">
        <v>90</v>
      </c>
      <c r="DI35" s="118">
        <f t="shared" si="43"/>
        <v>21111</v>
      </c>
      <c r="DJ35" s="118">
        <v>1</v>
      </c>
      <c r="DK35" s="14">
        <f t="shared" si="50"/>
        <v>111</v>
      </c>
      <c r="DL35" s="118" t="s">
        <v>1062</v>
      </c>
      <c r="DM35" s="118">
        <v>1</v>
      </c>
      <c r="DN35" s="118" t="str">
        <f t="shared" si="44"/>
        <v>钻石20守护灵初级抽卡券2守护灵经验9000</v>
      </c>
      <c r="DO35" s="14">
        <f t="shared" si="51"/>
        <v>11109</v>
      </c>
      <c r="DP35" s="118" t="s">
        <v>1065</v>
      </c>
      <c r="DQ35" s="118">
        <v>20</v>
      </c>
      <c r="DR35" s="118" t="s">
        <v>1066</v>
      </c>
      <c r="DS35" s="118">
        <v>2</v>
      </c>
      <c r="DT35" s="118" t="s">
        <v>1067</v>
      </c>
      <c r="DU35" s="118">
        <f t="shared" si="45"/>
        <v>9000</v>
      </c>
    </row>
    <row r="36" spans="1:125" ht="16.5" x14ac:dyDescent="0.2">
      <c r="A36" s="15"/>
      <c r="B36" s="15"/>
      <c r="C36" s="110"/>
      <c r="D36" s="110"/>
      <c r="E36" s="15"/>
      <c r="F36" s="15"/>
      <c r="G36" s="15"/>
      <c r="H36" s="15"/>
      <c r="I36" s="15"/>
      <c r="J36" s="15"/>
      <c r="K36" s="15"/>
      <c r="L36" s="15"/>
      <c r="AP36" s="24">
        <v>32</v>
      </c>
      <c r="AQ36" s="14">
        <f t="shared" si="21"/>
        <v>8</v>
      </c>
      <c r="AR36" s="109">
        <f t="shared" si="22"/>
        <v>4</v>
      </c>
      <c r="AS36" s="109">
        <f t="shared" si="23"/>
        <v>14</v>
      </c>
      <c r="AT36" s="109">
        <f t="shared" si="24"/>
        <v>44</v>
      </c>
      <c r="AU36" s="109">
        <f t="shared" si="25"/>
        <v>68</v>
      </c>
      <c r="AX36" s="109">
        <v>32</v>
      </c>
      <c r="AY36" s="14">
        <f t="shared" si="0"/>
        <v>4</v>
      </c>
      <c r="AZ36" s="14">
        <f t="shared" si="26"/>
        <v>2</v>
      </c>
      <c r="BA36" s="14">
        <f t="shared" si="53"/>
        <v>160</v>
      </c>
      <c r="BB36" s="14">
        <f t="shared" si="1"/>
        <v>750</v>
      </c>
      <c r="BC36" s="14">
        <f t="shared" si="2"/>
        <v>1800</v>
      </c>
      <c r="BF36" s="109">
        <v>32</v>
      </c>
      <c r="BG36" s="14">
        <f t="shared" si="27"/>
        <v>4</v>
      </c>
      <c r="BH36" s="14">
        <f t="shared" si="28"/>
        <v>2</v>
      </c>
      <c r="BI36" s="14">
        <f t="shared" si="3"/>
        <v>350</v>
      </c>
      <c r="BJ36" s="14">
        <f t="shared" si="4"/>
        <v>1500</v>
      </c>
      <c r="BK36" s="14">
        <f t="shared" si="5"/>
        <v>3600</v>
      </c>
      <c r="BN36" s="109">
        <v>32</v>
      </c>
      <c r="BO36" s="109">
        <f t="shared" si="29"/>
        <v>11</v>
      </c>
      <c r="BP36" s="112">
        <f t="shared" si="30"/>
        <v>60</v>
      </c>
      <c r="BQ36" s="109">
        <f t="shared" si="6"/>
        <v>2</v>
      </c>
      <c r="BR36" s="109">
        <v>240</v>
      </c>
      <c r="BS36" s="109">
        <v>360</v>
      </c>
      <c r="BT36" s="112">
        <v>3</v>
      </c>
      <c r="BU36" s="14">
        <f t="shared" si="31"/>
        <v>11112</v>
      </c>
      <c r="BV36" s="118">
        <v>1</v>
      </c>
      <c r="BW36" s="14">
        <f t="shared" si="32"/>
        <v>111</v>
      </c>
      <c r="BX36" s="118" t="s">
        <v>1052</v>
      </c>
      <c r="BY36" s="14">
        <f t="shared" si="33"/>
        <v>2</v>
      </c>
      <c r="BZ36" s="118" t="str">
        <f t="shared" si="34"/>
        <v>守护灵抽卡券2紫色基础材料21金币14400</v>
      </c>
      <c r="CA36" s="14">
        <f t="shared" si="35"/>
        <v>20</v>
      </c>
      <c r="CB36" s="115" t="s">
        <v>271</v>
      </c>
      <c r="CC36" s="115">
        <v>2</v>
      </c>
      <c r="CD36" s="112" t="str">
        <f>INDEX(挂机升级突破!$BX$4:$CB$4,章节关卡!BT36)</f>
        <v>紫色基础材料</v>
      </c>
      <c r="CE36" s="115">
        <f>ROUND(INDEX(挂机升级突破!$Q$7:$U$37,BO36+2,章节关卡!BT36)/INDEX(挂机升级突破!$Q$5:$U$5,章节关卡!BT36)*章节关卡!BS36,0)</f>
        <v>21</v>
      </c>
      <c r="CF36" s="109" t="s">
        <v>265</v>
      </c>
      <c r="CG36" s="109">
        <f t="shared" si="7"/>
        <v>14400</v>
      </c>
      <c r="CJ36" s="115">
        <f t="shared" si="8"/>
        <v>11</v>
      </c>
      <c r="CK36" s="115">
        <f t="shared" si="9"/>
        <v>70</v>
      </c>
      <c r="CL36" s="118">
        <v>2</v>
      </c>
      <c r="CM36" s="109">
        <f t="shared" si="10"/>
        <v>360</v>
      </c>
      <c r="CN36" s="109">
        <f t="shared" si="11"/>
        <v>720</v>
      </c>
      <c r="CO36" s="115">
        <v>7</v>
      </c>
      <c r="CP36" s="14">
        <f t="shared" si="36"/>
        <v>12112</v>
      </c>
      <c r="CQ36" s="118">
        <v>2</v>
      </c>
      <c r="CR36" s="14">
        <f t="shared" si="37"/>
        <v>211</v>
      </c>
      <c r="CS36" s="118" t="s">
        <v>1052</v>
      </c>
      <c r="CT36" s="14">
        <f t="shared" si="38"/>
        <v>2</v>
      </c>
      <c r="CU36" s="118" t="str">
        <f t="shared" si="39"/>
        <v>熔炼值1500乌金23金币21600</v>
      </c>
      <c r="CV36" s="14">
        <f t="shared" si="40"/>
        <v>20</v>
      </c>
      <c r="CW36" s="115" t="s">
        <v>1031</v>
      </c>
      <c r="CX36" s="115">
        <v>1500</v>
      </c>
      <c r="CY36" s="115" t="str">
        <f>INDEX(挂机升级突破!$BX$4:$CG$4,章节关卡!CO36)</f>
        <v>乌金</v>
      </c>
      <c r="CZ36" s="115">
        <f>ROUND(INDEX(挂机升级突破!$Q$7:$Z$37,CJ36+3,章节关卡!CO36)/INDEX(挂机升级突破!$Q$5:$Z$5,章节关卡!CO36)*章节关卡!CN36,0)</f>
        <v>23</v>
      </c>
      <c r="DA36" s="109" t="s">
        <v>265</v>
      </c>
      <c r="DB36" s="115">
        <f t="shared" si="12"/>
        <v>21600</v>
      </c>
      <c r="DE36" s="118">
        <v>32</v>
      </c>
      <c r="DF36" s="14">
        <f t="shared" si="41"/>
        <v>11</v>
      </c>
      <c r="DG36" s="118">
        <f t="shared" si="42"/>
        <v>60</v>
      </c>
      <c r="DH36" s="118">
        <v>120</v>
      </c>
      <c r="DI36" s="118">
        <f t="shared" si="43"/>
        <v>21112</v>
      </c>
      <c r="DJ36" s="118">
        <v>1</v>
      </c>
      <c r="DK36" s="14">
        <f t="shared" si="50"/>
        <v>111</v>
      </c>
      <c r="DL36" s="118" t="s">
        <v>1062</v>
      </c>
      <c r="DM36" s="118">
        <v>2</v>
      </c>
      <c r="DN36" s="118" t="str">
        <f t="shared" si="44"/>
        <v>钻石30守护灵初级抽卡券3守护灵经验12000</v>
      </c>
      <c r="DO36" s="14">
        <f t="shared" si="51"/>
        <v>11109</v>
      </c>
      <c r="DP36" s="118" t="s">
        <v>1065</v>
      </c>
      <c r="DQ36" s="118">
        <v>30</v>
      </c>
      <c r="DR36" s="118" t="s">
        <v>1066</v>
      </c>
      <c r="DS36" s="118">
        <v>3</v>
      </c>
      <c r="DT36" s="118" t="s">
        <v>1067</v>
      </c>
      <c r="DU36" s="118">
        <f t="shared" si="45"/>
        <v>12000</v>
      </c>
    </row>
    <row r="37" spans="1:125" ht="16.5" x14ac:dyDescent="0.2">
      <c r="A37" s="15"/>
      <c r="B37" s="15"/>
      <c r="C37" s="110"/>
      <c r="D37" s="110"/>
      <c r="E37" s="15"/>
      <c r="F37" s="15"/>
      <c r="G37" s="15"/>
      <c r="H37" s="15"/>
      <c r="I37" s="15"/>
      <c r="J37" s="15"/>
      <c r="K37" s="15"/>
      <c r="L37" s="15"/>
      <c r="AP37" s="24">
        <v>33</v>
      </c>
      <c r="AQ37" s="14">
        <f t="shared" si="21"/>
        <v>9</v>
      </c>
      <c r="AR37" s="109">
        <f t="shared" si="22"/>
        <v>1</v>
      </c>
      <c r="AS37" s="109">
        <f t="shared" si="23"/>
        <v>16</v>
      </c>
      <c r="AT37" s="109">
        <f t="shared" si="24"/>
        <v>46</v>
      </c>
      <c r="AU37" s="109">
        <f t="shared" si="25"/>
        <v>72</v>
      </c>
      <c r="AX37" s="109">
        <v>33</v>
      </c>
      <c r="AY37" s="14">
        <f t="shared" si="0"/>
        <v>4</v>
      </c>
      <c r="AZ37" s="14">
        <f t="shared" si="26"/>
        <v>3</v>
      </c>
      <c r="BA37" s="14">
        <f t="shared" si="53"/>
        <v>160</v>
      </c>
      <c r="BB37" s="14">
        <f t="shared" si="1"/>
        <v>750</v>
      </c>
      <c r="BC37" s="14">
        <f t="shared" si="2"/>
        <v>1800</v>
      </c>
      <c r="BF37" s="109">
        <v>33</v>
      </c>
      <c r="BG37" s="14">
        <f t="shared" si="27"/>
        <v>4</v>
      </c>
      <c r="BH37" s="14">
        <f t="shared" si="28"/>
        <v>3</v>
      </c>
      <c r="BI37" s="14">
        <f t="shared" si="3"/>
        <v>350</v>
      </c>
      <c r="BJ37" s="14">
        <f t="shared" si="4"/>
        <v>1500</v>
      </c>
      <c r="BK37" s="14">
        <f t="shared" si="5"/>
        <v>3600</v>
      </c>
      <c r="BN37" s="109">
        <v>33</v>
      </c>
      <c r="BO37" s="109">
        <f t="shared" si="29"/>
        <v>11</v>
      </c>
      <c r="BP37" s="112">
        <f t="shared" si="30"/>
        <v>60</v>
      </c>
      <c r="BQ37" s="109">
        <f t="shared" si="6"/>
        <v>3</v>
      </c>
      <c r="BR37" s="109">
        <v>360</v>
      </c>
      <c r="BS37" s="109">
        <v>540</v>
      </c>
      <c r="BT37" s="112">
        <v>3</v>
      </c>
      <c r="BU37" s="14">
        <f t="shared" si="31"/>
        <v>11113</v>
      </c>
      <c r="BV37" s="118">
        <v>1</v>
      </c>
      <c r="BW37" s="14">
        <f t="shared" si="32"/>
        <v>111</v>
      </c>
      <c r="BX37" s="118" t="s">
        <v>1052</v>
      </c>
      <c r="BY37" s="14">
        <f t="shared" si="33"/>
        <v>3</v>
      </c>
      <c r="BZ37" s="118" t="str">
        <f t="shared" si="34"/>
        <v>守护灵抽卡券3紫色基础材料32金币21600</v>
      </c>
      <c r="CA37" s="14">
        <f t="shared" si="35"/>
        <v>30</v>
      </c>
      <c r="CB37" s="115" t="s">
        <v>271</v>
      </c>
      <c r="CC37" s="115">
        <v>3</v>
      </c>
      <c r="CD37" s="112" t="str">
        <f>INDEX(挂机升级突破!$BX$4:$CB$4,章节关卡!BT37)</f>
        <v>紫色基础材料</v>
      </c>
      <c r="CE37" s="115">
        <f>ROUND(INDEX(挂机升级突破!$Q$7:$U$37,BO37+2,章节关卡!BT37)/INDEX(挂机升级突破!$Q$5:$U$5,章节关卡!BT37)*章节关卡!BS37,0)</f>
        <v>32</v>
      </c>
      <c r="CF37" s="109" t="s">
        <v>265</v>
      </c>
      <c r="CG37" s="109">
        <f t="shared" ref="CG37:CG68" si="61">INDEX($H$6:$H$35,BO37)*BR37</f>
        <v>21600</v>
      </c>
      <c r="CJ37" s="115">
        <f t="shared" ref="CJ37:CJ68" si="62">BO37</f>
        <v>11</v>
      </c>
      <c r="CK37" s="115">
        <f t="shared" ref="CK37:CK68" si="63">BP37+10</f>
        <v>70</v>
      </c>
      <c r="CL37" s="118">
        <v>3</v>
      </c>
      <c r="CM37" s="109">
        <f t="shared" ref="CM37:CM68" si="64">BR37*CM$2</f>
        <v>540</v>
      </c>
      <c r="CN37" s="109">
        <f t="shared" ref="CN37:CN68" si="65">BS37*CN$2</f>
        <v>1080</v>
      </c>
      <c r="CO37" s="115">
        <v>7</v>
      </c>
      <c r="CP37" s="14">
        <f t="shared" si="36"/>
        <v>12113</v>
      </c>
      <c r="CQ37" s="118">
        <v>2</v>
      </c>
      <c r="CR37" s="14">
        <f t="shared" si="37"/>
        <v>211</v>
      </c>
      <c r="CS37" s="118" t="s">
        <v>1052</v>
      </c>
      <c r="CT37" s="14">
        <f t="shared" si="38"/>
        <v>3</v>
      </c>
      <c r="CU37" s="118" t="str">
        <f t="shared" si="39"/>
        <v>守护灵抽卡券5乌金35金币32400</v>
      </c>
      <c r="CV37" s="14">
        <f t="shared" si="40"/>
        <v>30</v>
      </c>
      <c r="CW37" s="115" t="s">
        <v>1030</v>
      </c>
      <c r="CX37" s="115">
        <v>5</v>
      </c>
      <c r="CY37" s="115" t="str">
        <f>INDEX(挂机升级突破!$BX$4:$CG$4,章节关卡!CO37)</f>
        <v>乌金</v>
      </c>
      <c r="CZ37" s="115">
        <f>ROUND(INDEX(挂机升级突破!$Q$7:$Z$37,CJ37+3,章节关卡!CO37)/INDEX(挂机升级突破!$Q$5:$Z$5,章节关卡!CO37)*章节关卡!CN37,0)</f>
        <v>35</v>
      </c>
      <c r="DA37" s="109" t="s">
        <v>265</v>
      </c>
      <c r="DB37" s="115">
        <f t="shared" ref="DB37:DB68" si="66">INDEX($H$6:$H$35,BO37)*CM37</f>
        <v>32400</v>
      </c>
      <c r="DE37" s="118">
        <v>33</v>
      </c>
      <c r="DF37" s="14">
        <f t="shared" si="41"/>
        <v>11</v>
      </c>
      <c r="DG37" s="118">
        <f t="shared" si="42"/>
        <v>60</v>
      </c>
      <c r="DH37" s="118">
        <v>150</v>
      </c>
      <c r="DI37" s="118">
        <f t="shared" si="43"/>
        <v>21113</v>
      </c>
      <c r="DJ37" s="118">
        <v>1</v>
      </c>
      <c r="DK37" s="14">
        <f t="shared" si="50"/>
        <v>111</v>
      </c>
      <c r="DL37" s="118" t="s">
        <v>1062</v>
      </c>
      <c r="DM37" s="118">
        <v>3</v>
      </c>
      <c r="DN37" s="118" t="str">
        <f t="shared" si="44"/>
        <v>钻石50守护灵初级抽卡券5守护灵经验15000</v>
      </c>
      <c r="DO37" s="14">
        <f t="shared" si="51"/>
        <v>11109</v>
      </c>
      <c r="DP37" s="118" t="s">
        <v>1065</v>
      </c>
      <c r="DQ37" s="118">
        <v>50</v>
      </c>
      <c r="DR37" s="118" t="s">
        <v>1066</v>
      </c>
      <c r="DS37" s="118">
        <v>5</v>
      </c>
      <c r="DT37" s="118" t="s">
        <v>1067</v>
      </c>
      <c r="DU37" s="118">
        <f t="shared" si="45"/>
        <v>15000</v>
      </c>
    </row>
    <row r="38" spans="1:125" ht="16.5" x14ac:dyDescent="0.2">
      <c r="P38" s="43"/>
      <c r="AP38" s="24">
        <v>34</v>
      </c>
      <c r="AQ38" s="14">
        <f t="shared" si="21"/>
        <v>9</v>
      </c>
      <c r="AR38" s="109">
        <f t="shared" si="22"/>
        <v>2</v>
      </c>
      <c r="AS38" s="109">
        <f t="shared" si="23"/>
        <v>16</v>
      </c>
      <c r="AT38" s="109">
        <f t="shared" si="24"/>
        <v>47</v>
      </c>
      <c r="AU38" s="109">
        <f t="shared" si="25"/>
        <v>74</v>
      </c>
      <c r="AX38" s="109">
        <v>34</v>
      </c>
      <c r="AY38" s="14">
        <f t="shared" si="0"/>
        <v>4</v>
      </c>
      <c r="AZ38" s="14">
        <f t="shared" si="26"/>
        <v>4</v>
      </c>
      <c r="BA38" s="14">
        <f t="shared" si="53"/>
        <v>160</v>
      </c>
      <c r="BB38" s="14">
        <f t="shared" si="1"/>
        <v>750</v>
      </c>
      <c r="BC38" s="14">
        <f t="shared" si="2"/>
        <v>1800</v>
      </c>
      <c r="BF38" s="109">
        <v>34</v>
      </c>
      <c r="BG38" s="14">
        <f t="shared" si="27"/>
        <v>4</v>
      </c>
      <c r="BH38" s="14">
        <f t="shared" si="28"/>
        <v>4</v>
      </c>
      <c r="BI38" s="14">
        <f t="shared" si="3"/>
        <v>350</v>
      </c>
      <c r="BJ38" s="14">
        <f t="shared" si="4"/>
        <v>1500</v>
      </c>
      <c r="BK38" s="14">
        <f t="shared" si="5"/>
        <v>3600</v>
      </c>
      <c r="BN38" s="109">
        <v>34</v>
      </c>
      <c r="BO38" s="109">
        <f t="shared" si="29"/>
        <v>12</v>
      </c>
      <c r="BP38" s="112">
        <f t="shared" si="30"/>
        <v>65</v>
      </c>
      <c r="BQ38" s="109">
        <f t="shared" si="6"/>
        <v>1</v>
      </c>
      <c r="BR38" s="109">
        <v>120</v>
      </c>
      <c r="BS38" s="109">
        <v>180</v>
      </c>
      <c r="BT38" s="112">
        <v>3</v>
      </c>
      <c r="BU38" s="14">
        <f t="shared" si="31"/>
        <v>11121</v>
      </c>
      <c r="BV38" s="118">
        <v>1</v>
      </c>
      <c r="BW38" s="14">
        <f t="shared" si="32"/>
        <v>112</v>
      </c>
      <c r="BX38" s="118" t="s">
        <v>1052</v>
      </c>
      <c r="BY38" s="14">
        <f t="shared" si="33"/>
        <v>1</v>
      </c>
      <c r="BZ38" s="118" t="str">
        <f t="shared" si="34"/>
        <v>钻石100紫色基础材料15金币7800</v>
      </c>
      <c r="CA38" s="14">
        <f t="shared" si="35"/>
        <v>10</v>
      </c>
      <c r="CB38" s="115" t="s">
        <v>22</v>
      </c>
      <c r="CC38" s="115">
        <v>100</v>
      </c>
      <c r="CD38" s="112" t="str">
        <f>INDEX(挂机升级突破!$BX$4:$CB$4,章节关卡!BT38)</f>
        <v>紫色基础材料</v>
      </c>
      <c r="CE38" s="115">
        <f>ROUND(INDEX(挂机升级突破!$Q$7:$U$37,BO38+2,章节关卡!BT38)/INDEX(挂机升级突破!$Q$5:$U$5,章节关卡!BT38)*章节关卡!BS38,0)</f>
        <v>15</v>
      </c>
      <c r="CF38" s="109" t="s">
        <v>265</v>
      </c>
      <c r="CG38" s="109">
        <f t="shared" si="61"/>
        <v>7800</v>
      </c>
      <c r="CJ38" s="115">
        <f t="shared" si="62"/>
        <v>12</v>
      </c>
      <c r="CK38" s="115">
        <f t="shared" si="63"/>
        <v>75</v>
      </c>
      <c r="CL38" s="118">
        <v>1</v>
      </c>
      <c r="CM38" s="109">
        <f t="shared" si="64"/>
        <v>180</v>
      </c>
      <c r="CN38" s="109">
        <f t="shared" si="65"/>
        <v>360</v>
      </c>
      <c r="CO38" s="115">
        <v>7</v>
      </c>
      <c r="CP38" s="14">
        <f t="shared" si="36"/>
        <v>12121</v>
      </c>
      <c r="CQ38" s="118">
        <v>2</v>
      </c>
      <c r="CR38" s="14">
        <f t="shared" si="37"/>
        <v>212</v>
      </c>
      <c r="CS38" s="118" t="s">
        <v>1052</v>
      </c>
      <c r="CT38" s="14">
        <f t="shared" si="38"/>
        <v>1</v>
      </c>
      <c r="CU38" s="118" t="str">
        <f t="shared" si="39"/>
        <v>钻石100乌金14金币11700</v>
      </c>
      <c r="CV38" s="14">
        <f t="shared" si="40"/>
        <v>10</v>
      </c>
      <c r="CW38" s="115" t="s">
        <v>270</v>
      </c>
      <c r="CX38" s="115">
        <v>100</v>
      </c>
      <c r="CY38" s="115" t="str">
        <f>INDEX(挂机升级突破!$BX$4:$CG$4,章节关卡!CO38)</f>
        <v>乌金</v>
      </c>
      <c r="CZ38" s="115">
        <f>ROUND(INDEX(挂机升级突破!$Q$7:$Z$37,CJ38+3,章节关卡!CO38)/INDEX(挂机升级突破!$Q$5:$Z$5,章节关卡!CO38)*章节关卡!CN38,0)</f>
        <v>14</v>
      </c>
      <c r="DA38" s="109" t="s">
        <v>265</v>
      </c>
      <c r="DB38" s="115">
        <f t="shared" si="66"/>
        <v>11700</v>
      </c>
      <c r="DE38" s="118">
        <v>34</v>
      </c>
      <c r="DF38" s="14">
        <f t="shared" si="41"/>
        <v>12</v>
      </c>
      <c r="DG38" s="118">
        <f t="shared" si="42"/>
        <v>65</v>
      </c>
      <c r="DH38" s="118">
        <v>90</v>
      </c>
      <c r="DI38" s="118">
        <f t="shared" si="43"/>
        <v>21121</v>
      </c>
      <c r="DJ38" s="118">
        <v>1</v>
      </c>
      <c r="DK38" s="14">
        <f t="shared" si="50"/>
        <v>112</v>
      </c>
      <c r="DL38" s="118" t="s">
        <v>1062</v>
      </c>
      <c r="DM38" s="118">
        <v>1</v>
      </c>
      <c r="DN38" s="118" t="str">
        <f t="shared" si="44"/>
        <v>钻石20守护灵初级抽卡券2守护灵经验9900</v>
      </c>
      <c r="DO38" s="14">
        <f t="shared" si="51"/>
        <v>11209</v>
      </c>
      <c r="DP38" s="118" t="s">
        <v>1065</v>
      </c>
      <c r="DQ38" s="118">
        <v>20</v>
      </c>
      <c r="DR38" s="118" t="s">
        <v>1066</v>
      </c>
      <c r="DS38" s="118">
        <v>2</v>
      </c>
      <c r="DT38" s="118" t="s">
        <v>1067</v>
      </c>
      <c r="DU38" s="118">
        <f t="shared" si="45"/>
        <v>9900</v>
      </c>
    </row>
    <row r="39" spans="1:125" ht="16.5" x14ac:dyDescent="0.2">
      <c r="P39" s="43"/>
      <c r="AP39" s="24">
        <v>35</v>
      </c>
      <c r="AQ39" s="14">
        <f t="shared" si="21"/>
        <v>9</v>
      </c>
      <c r="AR39" s="109">
        <f t="shared" si="22"/>
        <v>3</v>
      </c>
      <c r="AS39" s="109">
        <f t="shared" si="23"/>
        <v>16</v>
      </c>
      <c r="AT39" s="109">
        <f t="shared" si="24"/>
        <v>48</v>
      </c>
      <c r="AU39" s="109">
        <f t="shared" si="25"/>
        <v>76</v>
      </c>
      <c r="AX39" s="109">
        <v>35</v>
      </c>
      <c r="AY39" s="14">
        <f t="shared" si="0"/>
        <v>4</v>
      </c>
      <c r="AZ39" s="14">
        <f t="shared" si="26"/>
        <v>5</v>
      </c>
      <c r="BA39" s="14">
        <f t="shared" si="53"/>
        <v>160</v>
      </c>
      <c r="BB39" s="14">
        <f t="shared" si="1"/>
        <v>750</v>
      </c>
      <c r="BC39" s="14">
        <f t="shared" si="2"/>
        <v>1800</v>
      </c>
      <c r="BF39" s="109">
        <v>35</v>
      </c>
      <c r="BG39" s="14">
        <f t="shared" si="27"/>
        <v>4</v>
      </c>
      <c r="BH39" s="14">
        <f t="shared" si="28"/>
        <v>5</v>
      </c>
      <c r="BI39" s="14">
        <f t="shared" si="3"/>
        <v>350</v>
      </c>
      <c r="BJ39" s="14">
        <f t="shared" si="4"/>
        <v>1500</v>
      </c>
      <c r="BK39" s="14">
        <f t="shared" si="5"/>
        <v>3600</v>
      </c>
      <c r="BN39" s="109">
        <v>35</v>
      </c>
      <c r="BO39" s="109">
        <f t="shared" si="29"/>
        <v>12</v>
      </c>
      <c r="BP39" s="112">
        <f t="shared" si="30"/>
        <v>65</v>
      </c>
      <c r="BQ39" s="109">
        <f t="shared" si="6"/>
        <v>2</v>
      </c>
      <c r="BR39" s="109">
        <v>240</v>
      </c>
      <c r="BS39" s="109">
        <v>360</v>
      </c>
      <c r="BT39" s="112">
        <v>3</v>
      </c>
      <c r="BU39" s="14">
        <f t="shared" si="31"/>
        <v>11122</v>
      </c>
      <c r="BV39" s="118">
        <v>1</v>
      </c>
      <c r="BW39" s="14">
        <f t="shared" si="32"/>
        <v>112</v>
      </c>
      <c r="BX39" s="118" t="s">
        <v>1052</v>
      </c>
      <c r="BY39" s="14">
        <f t="shared" si="33"/>
        <v>2</v>
      </c>
      <c r="BZ39" s="118" t="str">
        <f t="shared" si="34"/>
        <v>守护灵抽卡券2紫色基础材料30金币15600</v>
      </c>
      <c r="CA39" s="14">
        <f t="shared" si="35"/>
        <v>20</v>
      </c>
      <c r="CB39" s="115" t="s">
        <v>271</v>
      </c>
      <c r="CC39" s="115">
        <v>2</v>
      </c>
      <c r="CD39" s="112" t="str">
        <f>INDEX(挂机升级突破!$BX$4:$CB$4,章节关卡!BT39)</f>
        <v>紫色基础材料</v>
      </c>
      <c r="CE39" s="115">
        <f>ROUND(INDEX(挂机升级突破!$Q$7:$U$37,BO39+2,章节关卡!BT39)/INDEX(挂机升级突破!$Q$5:$U$5,章节关卡!BT39)*章节关卡!BS39,0)</f>
        <v>30</v>
      </c>
      <c r="CF39" s="109" t="s">
        <v>265</v>
      </c>
      <c r="CG39" s="109">
        <f t="shared" si="61"/>
        <v>15600</v>
      </c>
      <c r="CJ39" s="115">
        <f t="shared" si="62"/>
        <v>12</v>
      </c>
      <c r="CK39" s="115">
        <f t="shared" si="63"/>
        <v>75</v>
      </c>
      <c r="CL39" s="118">
        <v>2</v>
      </c>
      <c r="CM39" s="109">
        <f t="shared" si="64"/>
        <v>360</v>
      </c>
      <c r="CN39" s="109">
        <f t="shared" si="65"/>
        <v>720</v>
      </c>
      <c r="CO39" s="115">
        <v>7</v>
      </c>
      <c r="CP39" s="14">
        <f t="shared" si="36"/>
        <v>12122</v>
      </c>
      <c r="CQ39" s="118">
        <v>2</v>
      </c>
      <c r="CR39" s="14">
        <f t="shared" si="37"/>
        <v>212</v>
      </c>
      <c r="CS39" s="118" t="s">
        <v>1052</v>
      </c>
      <c r="CT39" s="14">
        <f t="shared" si="38"/>
        <v>2</v>
      </c>
      <c r="CU39" s="118" t="str">
        <f t="shared" si="39"/>
        <v>熔炼值1600乌金29金币23400</v>
      </c>
      <c r="CV39" s="14">
        <f t="shared" si="40"/>
        <v>20</v>
      </c>
      <c r="CW39" s="115" t="s">
        <v>1031</v>
      </c>
      <c r="CX39" s="115">
        <v>1600</v>
      </c>
      <c r="CY39" s="115" t="str">
        <f>INDEX(挂机升级突破!$BX$4:$CG$4,章节关卡!CO39)</f>
        <v>乌金</v>
      </c>
      <c r="CZ39" s="115">
        <f>ROUND(INDEX(挂机升级突破!$Q$7:$Z$37,CJ39+3,章节关卡!CO39)/INDEX(挂机升级突破!$Q$5:$Z$5,章节关卡!CO39)*章节关卡!CN39,0)</f>
        <v>29</v>
      </c>
      <c r="DA39" s="109" t="s">
        <v>265</v>
      </c>
      <c r="DB39" s="115">
        <f t="shared" si="66"/>
        <v>23400</v>
      </c>
      <c r="DE39" s="118">
        <v>35</v>
      </c>
      <c r="DF39" s="14">
        <f t="shared" si="41"/>
        <v>12</v>
      </c>
      <c r="DG39" s="118">
        <f t="shared" si="42"/>
        <v>65</v>
      </c>
      <c r="DH39" s="118">
        <v>120</v>
      </c>
      <c r="DI39" s="118">
        <f t="shared" si="43"/>
        <v>21122</v>
      </c>
      <c r="DJ39" s="118">
        <v>1</v>
      </c>
      <c r="DK39" s="14">
        <f t="shared" si="50"/>
        <v>112</v>
      </c>
      <c r="DL39" s="118" t="s">
        <v>1062</v>
      </c>
      <c r="DM39" s="118">
        <v>2</v>
      </c>
      <c r="DN39" s="118" t="str">
        <f t="shared" si="44"/>
        <v>钻石30守护灵初级抽卡券3守护灵经验13200</v>
      </c>
      <c r="DO39" s="14">
        <f t="shared" si="51"/>
        <v>11209</v>
      </c>
      <c r="DP39" s="118" t="s">
        <v>1065</v>
      </c>
      <c r="DQ39" s="118">
        <v>30</v>
      </c>
      <c r="DR39" s="118" t="s">
        <v>1066</v>
      </c>
      <c r="DS39" s="118">
        <v>3</v>
      </c>
      <c r="DT39" s="118" t="s">
        <v>1067</v>
      </c>
      <c r="DU39" s="118">
        <f t="shared" si="45"/>
        <v>13200</v>
      </c>
    </row>
    <row r="40" spans="1:125" ht="16.5" x14ac:dyDescent="0.2">
      <c r="P40" s="15"/>
      <c r="AA40" s="15"/>
      <c r="AB40" s="156"/>
      <c r="AC40" s="15"/>
      <c r="AD40" s="119"/>
      <c r="AE40" s="119"/>
      <c r="AF40" s="15"/>
      <c r="AP40" s="24">
        <v>36</v>
      </c>
      <c r="AQ40" s="14">
        <f t="shared" si="21"/>
        <v>9</v>
      </c>
      <c r="AR40" s="109">
        <f t="shared" si="22"/>
        <v>4</v>
      </c>
      <c r="AS40" s="109">
        <f t="shared" si="23"/>
        <v>16</v>
      </c>
      <c r="AT40" s="109">
        <f t="shared" si="24"/>
        <v>49</v>
      </c>
      <c r="AU40" s="109">
        <f t="shared" si="25"/>
        <v>78</v>
      </c>
      <c r="AX40" s="109">
        <v>36</v>
      </c>
      <c r="AY40" s="14">
        <f t="shared" si="0"/>
        <v>4</v>
      </c>
      <c r="AZ40" s="14">
        <f t="shared" si="26"/>
        <v>6</v>
      </c>
      <c r="BA40" s="14">
        <f t="shared" si="53"/>
        <v>160</v>
      </c>
      <c r="BB40" s="14">
        <f t="shared" si="1"/>
        <v>750</v>
      </c>
      <c r="BC40" s="14">
        <f t="shared" si="2"/>
        <v>1800</v>
      </c>
      <c r="BF40" s="109">
        <v>36</v>
      </c>
      <c r="BG40" s="14">
        <f t="shared" si="27"/>
        <v>4</v>
      </c>
      <c r="BH40" s="14">
        <f t="shared" si="28"/>
        <v>6</v>
      </c>
      <c r="BI40" s="14">
        <f t="shared" si="3"/>
        <v>350</v>
      </c>
      <c r="BJ40" s="14">
        <f t="shared" si="4"/>
        <v>1500</v>
      </c>
      <c r="BK40" s="14">
        <f t="shared" si="5"/>
        <v>3600</v>
      </c>
      <c r="BN40" s="109">
        <v>36</v>
      </c>
      <c r="BO40" s="109">
        <f t="shared" si="29"/>
        <v>12</v>
      </c>
      <c r="BP40" s="112">
        <f t="shared" si="30"/>
        <v>65</v>
      </c>
      <c r="BQ40" s="109">
        <f t="shared" si="6"/>
        <v>3</v>
      </c>
      <c r="BR40" s="109">
        <v>360</v>
      </c>
      <c r="BS40" s="109">
        <v>540</v>
      </c>
      <c r="BT40" s="112">
        <v>3</v>
      </c>
      <c r="BU40" s="14">
        <f t="shared" si="31"/>
        <v>11123</v>
      </c>
      <c r="BV40" s="118">
        <v>1</v>
      </c>
      <c r="BW40" s="14">
        <f t="shared" si="32"/>
        <v>112</v>
      </c>
      <c r="BX40" s="118" t="s">
        <v>1052</v>
      </c>
      <c r="BY40" s="14">
        <f t="shared" si="33"/>
        <v>3</v>
      </c>
      <c r="BZ40" s="118" t="str">
        <f t="shared" si="34"/>
        <v>守护灵抽卡券3紫色基础材料45金币23400</v>
      </c>
      <c r="CA40" s="14">
        <f t="shared" si="35"/>
        <v>30</v>
      </c>
      <c r="CB40" s="115" t="s">
        <v>271</v>
      </c>
      <c r="CC40" s="115">
        <v>3</v>
      </c>
      <c r="CD40" s="112" t="str">
        <f>INDEX(挂机升级突破!$BX$4:$CB$4,章节关卡!BT40)</f>
        <v>紫色基础材料</v>
      </c>
      <c r="CE40" s="115">
        <f>ROUND(INDEX(挂机升级突破!$Q$7:$U$37,BO40+2,章节关卡!BT40)/INDEX(挂机升级突破!$Q$5:$U$5,章节关卡!BT40)*章节关卡!BS40,0)</f>
        <v>45</v>
      </c>
      <c r="CF40" s="109" t="s">
        <v>265</v>
      </c>
      <c r="CG40" s="109">
        <f t="shared" si="61"/>
        <v>23400</v>
      </c>
      <c r="CJ40" s="115">
        <f t="shared" si="62"/>
        <v>12</v>
      </c>
      <c r="CK40" s="115">
        <f t="shared" si="63"/>
        <v>75</v>
      </c>
      <c r="CL40" s="118">
        <v>3</v>
      </c>
      <c r="CM40" s="109">
        <f t="shared" si="64"/>
        <v>540</v>
      </c>
      <c r="CN40" s="109">
        <f t="shared" si="65"/>
        <v>1080</v>
      </c>
      <c r="CO40" s="115">
        <v>7</v>
      </c>
      <c r="CP40" s="14">
        <f t="shared" si="36"/>
        <v>12123</v>
      </c>
      <c r="CQ40" s="118">
        <v>2</v>
      </c>
      <c r="CR40" s="14">
        <f t="shared" si="37"/>
        <v>212</v>
      </c>
      <c r="CS40" s="118" t="s">
        <v>1052</v>
      </c>
      <c r="CT40" s="14">
        <f t="shared" si="38"/>
        <v>3</v>
      </c>
      <c r="CU40" s="118" t="str">
        <f t="shared" si="39"/>
        <v>守护灵抽卡券5乌金43金币35100</v>
      </c>
      <c r="CV40" s="14">
        <f t="shared" si="40"/>
        <v>30</v>
      </c>
      <c r="CW40" s="115" t="s">
        <v>1030</v>
      </c>
      <c r="CX40" s="115">
        <v>5</v>
      </c>
      <c r="CY40" s="115" t="str">
        <f>INDEX(挂机升级突破!$BX$4:$CG$4,章节关卡!CO40)</f>
        <v>乌金</v>
      </c>
      <c r="CZ40" s="115">
        <f>ROUND(INDEX(挂机升级突破!$Q$7:$Z$37,CJ40+3,章节关卡!CO40)/INDEX(挂机升级突破!$Q$5:$Z$5,章节关卡!CO40)*章节关卡!CN40,0)</f>
        <v>43</v>
      </c>
      <c r="DA40" s="109" t="s">
        <v>265</v>
      </c>
      <c r="DB40" s="115">
        <f t="shared" si="66"/>
        <v>35100</v>
      </c>
      <c r="DE40" s="118">
        <v>36</v>
      </c>
      <c r="DF40" s="14">
        <f t="shared" si="41"/>
        <v>12</v>
      </c>
      <c r="DG40" s="118">
        <f t="shared" si="42"/>
        <v>65</v>
      </c>
      <c r="DH40" s="118">
        <v>150</v>
      </c>
      <c r="DI40" s="118">
        <f t="shared" si="43"/>
        <v>21123</v>
      </c>
      <c r="DJ40" s="118">
        <v>1</v>
      </c>
      <c r="DK40" s="14">
        <f t="shared" si="50"/>
        <v>112</v>
      </c>
      <c r="DL40" s="118" t="s">
        <v>1062</v>
      </c>
      <c r="DM40" s="118">
        <v>3</v>
      </c>
      <c r="DN40" s="118" t="str">
        <f t="shared" si="44"/>
        <v>钻石50守护灵初级抽卡券5守护灵经验16500</v>
      </c>
      <c r="DO40" s="14">
        <f t="shared" si="51"/>
        <v>11209</v>
      </c>
      <c r="DP40" s="118" t="s">
        <v>1065</v>
      </c>
      <c r="DQ40" s="118">
        <v>50</v>
      </c>
      <c r="DR40" s="118" t="s">
        <v>1066</v>
      </c>
      <c r="DS40" s="118">
        <v>5</v>
      </c>
      <c r="DT40" s="118" t="s">
        <v>1067</v>
      </c>
      <c r="DU40" s="118">
        <f t="shared" si="45"/>
        <v>16500</v>
      </c>
    </row>
    <row r="41" spans="1:125" ht="16.5" x14ac:dyDescent="0.2">
      <c r="P41" s="15"/>
      <c r="AA41" s="15"/>
      <c r="AB41" s="156"/>
      <c r="AC41" s="15"/>
      <c r="AD41" s="119"/>
      <c r="AE41" s="119"/>
      <c r="AF41" s="15"/>
      <c r="AP41" s="24">
        <v>37</v>
      </c>
      <c r="AQ41" s="14">
        <f t="shared" si="21"/>
        <v>10</v>
      </c>
      <c r="AR41" s="109">
        <f t="shared" si="22"/>
        <v>1</v>
      </c>
      <c r="AS41" s="109">
        <f t="shared" si="23"/>
        <v>18</v>
      </c>
      <c r="AT41" s="109">
        <f t="shared" si="24"/>
        <v>51</v>
      </c>
      <c r="AU41" s="109">
        <f t="shared" si="25"/>
        <v>82</v>
      </c>
      <c r="AX41" s="109">
        <v>37</v>
      </c>
      <c r="AY41" s="14">
        <f t="shared" si="0"/>
        <v>4</v>
      </c>
      <c r="AZ41" s="14">
        <f t="shared" si="26"/>
        <v>7</v>
      </c>
      <c r="BA41" s="14">
        <f t="shared" si="53"/>
        <v>160</v>
      </c>
      <c r="BB41" s="14">
        <f t="shared" si="1"/>
        <v>750</v>
      </c>
      <c r="BC41" s="14">
        <f t="shared" si="2"/>
        <v>1800</v>
      </c>
      <c r="BF41" s="109">
        <v>37</v>
      </c>
      <c r="BG41" s="14">
        <f t="shared" si="27"/>
        <v>4</v>
      </c>
      <c r="BH41" s="14">
        <f t="shared" si="28"/>
        <v>7</v>
      </c>
      <c r="BI41" s="14">
        <f t="shared" si="3"/>
        <v>350</v>
      </c>
      <c r="BJ41" s="14">
        <f t="shared" si="4"/>
        <v>1500</v>
      </c>
      <c r="BK41" s="14">
        <f t="shared" si="5"/>
        <v>3600</v>
      </c>
      <c r="BN41" s="109">
        <v>37</v>
      </c>
      <c r="BO41" s="109">
        <f t="shared" si="29"/>
        <v>13</v>
      </c>
      <c r="BP41" s="112">
        <f t="shared" si="30"/>
        <v>70</v>
      </c>
      <c r="BQ41" s="109">
        <f t="shared" si="6"/>
        <v>1</v>
      </c>
      <c r="BR41" s="109">
        <v>120</v>
      </c>
      <c r="BS41" s="109">
        <v>180</v>
      </c>
      <c r="BT41" s="112">
        <v>3</v>
      </c>
      <c r="BU41" s="14">
        <f t="shared" si="31"/>
        <v>11131</v>
      </c>
      <c r="BV41" s="118">
        <v>1</v>
      </c>
      <c r="BW41" s="14">
        <f t="shared" si="32"/>
        <v>113</v>
      </c>
      <c r="BX41" s="118" t="s">
        <v>1052</v>
      </c>
      <c r="BY41" s="14">
        <f t="shared" si="33"/>
        <v>1</v>
      </c>
      <c r="BZ41" s="118" t="str">
        <f t="shared" si="34"/>
        <v>钻石100紫色基础材料20金币8400</v>
      </c>
      <c r="CA41" s="14">
        <f t="shared" si="35"/>
        <v>10</v>
      </c>
      <c r="CB41" s="115" t="s">
        <v>22</v>
      </c>
      <c r="CC41" s="115">
        <v>100</v>
      </c>
      <c r="CD41" s="112" t="str">
        <f>INDEX(挂机升级突破!$BX$4:$CB$4,章节关卡!BT41)</f>
        <v>紫色基础材料</v>
      </c>
      <c r="CE41" s="115">
        <f>ROUND(INDEX(挂机升级突破!$Q$7:$U$37,BO41+2,章节关卡!BT41)/INDEX(挂机升级突破!$Q$5:$U$5,章节关卡!BT41)*章节关卡!BS41,0)</f>
        <v>20</v>
      </c>
      <c r="CF41" s="109" t="s">
        <v>265</v>
      </c>
      <c r="CG41" s="109">
        <f t="shared" si="61"/>
        <v>8400</v>
      </c>
      <c r="CJ41" s="115">
        <f t="shared" si="62"/>
        <v>13</v>
      </c>
      <c r="CK41" s="115">
        <f t="shared" si="63"/>
        <v>80</v>
      </c>
      <c r="CL41" s="118">
        <v>1</v>
      </c>
      <c r="CM41" s="109">
        <f t="shared" si="64"/>
        <v>180</v>
      </c>
      <c r="CN41" s="109">
        <f t="shared" si="65"/>
        <v>360</v>
      </c>
      <c r="CO41" s="115">
        <v>7</v>
      </c>
      <c r="CP41" s="14">
        <f t="shared" si="36"/>
        <v>12131</v>
      </c>
      <c r="CQ41" s="118">
        <v>2</v>
      </c>
      <c r="CR41" s="14">
        <f t="shared" si="37"/>
        <v>213</v>
      </c>
      <c r="CS41" s="118" t="s">
        <v>1052</v>
      </c>
      <c r="CT41" s="14">
        <f t="shared" si="38"/>
        <v>1</v>
      </c>
      <c r="CU41" s="118" t="str">
        <f t="shared" si="39"/>
        <v>钻石100乌金18金币12600</v>
      </c>
      <c r="CV41" s="14">
        <f t="shared" si="40"/>
        <v>10</v>
      </c>
      <c r="CW41" s="115" t="s">
        <v>270</v>
      </c>
      <c r="CX41" s="115">
        <v>100</v>
      </c>
      <c r="CY41" s="115" t="str">
        <f>INDEX(挂机升级突破!$BX$4:$CG$4,章节关卡!CO41)</f>
        <v>乌金</v>
      </c>
      <c r="CZ41" s="115">
        <f>ROUND(INDEX(挂机升级突破!$Q$7:$Z$37,CJ41+3,章节关卡!CO41)/INDEX(挂机升级突破!$Q$5:$Z$5,章节关卡!CO41)*章节关卡!CN41,0)</f>
        <v>18</v>
      </c>
      <c r="DA41" s="109" t="s">
        <v>265</v>
      </c>
      <c r="DB41" s="115">
        <f t="shared" si="66"/>
        <v>12600</v>
      </c>
      <c r="DE41" s="118">
        <v>37</v>
      </c>
      <c r="DF41" s="14">
        <f t="shared" si="41"/>
        <v>13</v>
      </c>
      <c r="DG41" s="118">
        <f t="shared" si="42"/>
        <v>70</v>
      </c>
      <c r="DH41" s="118">
        <v>90</v>
      </c>
      <c r="DI41" s="118">
        <f t="shared" si="43"/>
        <v>21131</v>
      </c>
      <c r="DJ41" s="118">
        <v>1</v>
      </c>
      <c r="DK41" s="14">
        <f t="shared" si="50"/>
        <v>113</v>
      </c>
      <c r="DL41" s="118" t="s">
        <v>1062</v>
      </c>
      <c r="DM41" s="118">
        <v>1</v>
      </c>
      <c r="DN41" s="118" t="str">
        <f t="shared" si="44"/>
        <v>钻石20守护灵初级抽卡券2守护灵经验11250</v>
      </c>
      <c r="DO41" s="14">
        <f t="shared" si="51"/>
        <v>11309</v>
      </c>
      <c r="DP41" s="118" t="s">
        <v>1065</v>
      </c>
      <c r="DQ41" s="118">
        <v>20</v>
      </c>
      <c r="DR41" s="118" t="s">
        <v>1066</v>
      </c>
      <c r="DS41" s="118">
        <v>2</v>
      </c>
      <c r="DT41" s="118" t="s">
        <v>1067</v>
      </c>
      <c r="DU41" s="118">
        <f t="shared" si="45"/>
        <v>11250</v>
      </c>
    </row>
    <row r="42" spans="1:125" ht="16.5" x14ac:dyDescent="0.2">
      <c r="P42" s="15"/>
      <c r="AA42" s="15"/>
      <c r="AB42" s="156"/>
      <c r="AC42" s="15"/>
      <c r="AD42" s="119"/>
      <c r="AE42" s="119"/>
      <c r="AF42" s="15"/>
      <c r="AP42" s="24">
        <v>38</v>
      </c>
      <c r="AQ42" s="14">
        <f t="shared" si="21"/>
        <v>10</v>
      </c>
      <c r="AR42" s="109">
        <f t="shared" si="22"/>
        <v>2</v>
      </c>
      <c r="AS42" s="109">
        <f t="shared" si="23"/>
        <v>18</v>
      </c>
      <c r="AT42" s="109">
        <f t="shared" si="24"/>
        <v>52</v>
      </c>
      <c r="AU42" s="109">
        <f t="shared" si="25"/>
        <v>84</v>
      </c>
      <c r="AX42" s="109">
        <v>38</v>
      </c>
      <c r="AY42" s="14">
        <f t="shared" si="0"/>
        <v>4</v>
      </c>
      <c r="AZ42" s="14">
        <f t="shared" si="26"/>
        <v>8</v>
      </c>
      <c r="BA42" s="14">
        <f t="shared" si="53"/>
        <v>160</v>
      </c>
      <c r="BB42" s="14">
        <f t="shared" si="1"/>
        <v>750</v>
      </c>
      <c r="BC42" s="14">
        <f t="shared" si="2"/>
        <v>1800</v>
      </c>
      <c r="BF42" s="109">
        <v>38</v>
      </c>
      <c r="BG42" s="14">
        <f t="shared" si="27"/>
        <v>4</v>
      </c>
      <c r="BH42" s="14">
        <f t="shared" si="28"/>
        <v>8</v>
      </c>
      <c r="BI42" s="14">
        <f t="shared" si="3"/>
        <v>350</v>
      </c>
      <c r="BJ42" s="14">
        <f t="shared" si="4"/>
        <v>1500</v>
      </c>
      <c r="BK42" s="14">
        <f t="shared" si="5"/>
        <v>3600</v>
      </c>
      <c r="BN42" s="109">
        <v>38</v>
      </c>
      <c r="BO42" s="109">
        <f t="shared" si="29"/>
        <v>13</v>
      </c>
      <c r="BP42" s="112">
        <f t="shared" si="30"/>
        <v>70</v>
      </c>
      <c r="BQ42" s="109">
        <f t="shared" si="6"/>
        <v>2</v>
      </c>
      <c r="BR42" s="109">
        <v>240</v>
      </c>
      <c r="BS42" s="109">
        <v>360</v>
      </c>
      <c r="BT42" s="112">
        <v>3</v>
      </c>
      <c r="BU42" s="14">
        <f t="shared" si="31"/>
        <v>11132</v>
      </c>
      <c r="BV42" s="118">
        <v>1</v>
      </c>
      <c r="BW42" s="14">
        <f t="shared" si="32"/>
        <v>113</v>
      </c>
      <c r="BX42" s="118" t="s">
        <v>1052</v>
      </c>
      <c r="BY42" s="14">
        <f t="shared" si="33"/>
        <v>2</v>
      </c>
      <c r="BZ42" s="118" t="str">
        <f t="shared" si="34"/>
        <v>守护灵抽卡券2紫色基础材料39金币16800</v>
      </c>
      <c r="CA42" s="14">
        <f t="shared" si="35"/>
        <v>20</v>
      </c>
      <c r="CB42" s="115" t="s">
        <v>271</v>
      </c>
      <c r="CC42" s="115">
        <v>2</v>
      </c>
      <c r="CD42" s="112" t="str">
        <f>INDEX(挂机升级突破!$BX$4:$CB$4,章节关卡!BT42)</f>
        <v>紫色基础材料</v>
      </c>
      <c r="CE42" s="115">
        <f>ROUND(INDEX(挂机升级突破!$Q$7:$U$37,BO42+2,章节关卡!BT42)/INDEX(挂机升级突破!$Q$5:$U$5,章节关卡!BT42)*章节关卡!BS42,0)</f>
        <v>39</v>
      </c>
      <c r="CF42" s="109" t="s">
        <v>265</v>
      </c>
      <c r="CG42" s="109">
        <f t="shared" si="61"/>
        <v>16800</v>
      </c>
      <c r="CJ42" s="115">
        <f t="shared" si="62"/>
        <v>13</v>
      </c>
      <c r="CK42" s="115">
        <f t="shared" si="63"/>
        <v>80</v>
      </c>
      <c r="CL42" s="118">
        <v>2</v>
      </c>
      <c r="CM42" s="109">
        <f t="shared" si="64"/>
        <v>360</v>
      </c>
      <c r="CN42" s="109">
        <f t="shared" si="65"/>
        <v>720</v>
      </c>
      <c r="CO42" s="115">
        <v>7</v>
      </c>
      <c r="CP42" s="14">
        <f t="shared" si="36"/>
        <v>12132</v>
      </c>
      <c r="CQ42" s="118">
        <v>2</v>
      </c>
      <c r="CR42" s="14">
        <f t="shared" si="37"/>
        <v>213</v>
      </c>
      <c r="CS42" s="118" t="s">
        <v>1052</v>
      </c>
      <c r="CT42" s="14">
        <f t="shared" si="38"/>
        <v>2</v>
      </c>
      <c r="CU42" s="118" t="str">
        <f t="shared" si="39"/>
        <v>熔炼值1800乌金36金币25200</v>
      </c>
      <c r="CV42" s="14">
        <f t="shared" si="40"/>
        <v>20</v>
      </c>
      <c r="CW42" s="115" t="s">
        <v>1031</v>
      </c>
      <c r="CX42" s="115">
        <v>1800</v>
      </c>
      <c r="CY42" s="115" t="str">
        <f>INDEX(挂机升级突破!$BX$4:$CG$4,章节关卡!CO42)</f>
        <v>乌金</v>
      </c>
      <c r="CZ42" s="115">
        <f>ROUND(INDEX(挂机升级突破!$Q$7:$Z$37,CJ42+3,章节关卡!CO42)/INDEX(挂机升级突破!$Q$5:$Z$5,章节关卡!CO42)*章节关卡!CN42,0)</f>
        <v>36</v>
      </c>
      <c r="DA42" s="109" t="s">
        <v>265</v>
      </c>
      <c r="DB42" s="115">
        <f t="shared" si="66"/>
        <v>25200</v>
      </c>
      <c r="DE42" s="118">
        <v>38</v>
      </c>
      <c r="DF42" s="14">
        <f t="shared" si="41"/>
        <v>13</v>
      </c>
      <c r="DG42" s="118">
        <f t="shared" si="42"/>
        <v>70</v>
      </c>
      <c r="DH42" s="118">
        <v>120</v>
      </c>
      <c r="DI42" s="118">
        <f t="shared" si="43"/>
        <v>21132</v>
      </c>
      <c r="DJ42" s="118">
        <v>1</v>
      </c>
      <c r="DK42" s="14">
        <f t="shared" si="50"/>
        <v>113</v>
      </c>
      <c r="DL42" s="118" t="s">
        <v>1062</v>
      </c>
      <c r="DM42" s="118">
        <v>2</v>
      </c>
      <c r="DN42" s="118" t="str">
        <f t="shared" si="44"/>
        <v>钻石30守护灵初级抽卡券3守护灵经验15000</v>
      </c>
      <c r="DO42" s="14">
        <f t="shared" si="51"/>
        <v>11309</v>
      </c>
      <c r="DP42" s="118" t="s">
        <v>1065</v>
      </c>
      <c r="DQ42" s="118">
        <v>30</v>
      </c>
      <c r="DR42" s="118" t="s">
        <v>1066</v>
      </c>
      <c r="DS42" s="118">
        <v>3</v>
      </c>
      <c r="DT42" s="118" t="s">
        <v>1067</v>
      </c>
      <c r="DU42" s="118">
        <f t="shared" si="45"/>
        <v>15000</v>
      </c>
    </row>
    <row r="43" spans="1:125" ht="16.5" x14ac:dyDescent="0.2">
      <c r="P43" s="15"/>
      <c r="AP43" s="24">
        <v>39</v>
      </c>
      <c r="AQ43" s="14">
        <f t="shared" si="21"/>
        <v>10</v>
      </c>
      <c r="AR43" s="109">
        <f t="shared" si="22"/>
        <v>3</v>
      </c>
      <c r="AS43" s="109">
        <f t="shared" si="23"/>
        <v>18</v>
      </c>
      <c r="AT43" s="109">
        <f t="shared" si="24"/>
        <v>53</v>
      </c>
      <c r="AU43" s="109">
        <f t="shared" si="25"/>
        <v>86</v>
      </c>
      <c r="AX43" s="109">
        <v>39</v>
      </c>
      <c r="AY43" s="14">
        <f t="shared" si="0"/>
        <v>4</v>
      </c>
      <c r="AZ43" s="14">
        <f t="shared" si="26"/>
        <v>9</v>
      </c>
      <c r="BA43" s="14">
        <f t="shared" si="53"/>
        <v>160</v>
      </c>
      <c r="BB43" s="14">
        <f t="shared" si="1"/>
        <v>750</v>
      </c>
      <c r="BC43" s="14">
        <f t="shared" si="2"/>
        <v>1800</v>
      </c>
      <c r="BF43" s="109">
        <v>39</v>
      </c>
      <c r="BG43" s="14">
        <f t="shared" si="27"/>
        <v>4</v>
      </c>
      <c r="BH43" s="14">
        <f t="shared" si="28"/>
        <v>9</v>
      </c>
      <c r="BI43" s="14">
        <f t="shared" si="3"/>
        <v>350</v>
      </c>
      <c r="BJ43" s="14">
        <f t="shared" si="4"/>
        <v>1500</v>
      </c>
      <c r="BK43" s="14">
        <f t="shared" si="5"/>
        <v>3600</v>
      </c>
      <c r="BN43" s="109">
        <v>39</v>
      </c>
      <c r="BO43" s="109">
        <f t="shared" si="29"/>
        <v>13</v>
      </c>
      <c r="BP43" s="112">
        <f t="shared" si="30"/>
        <v>70</v>
      </c>
      <c r="BQ43" s="109">
        <f t="shared" si="6"/>
        <v>3</v>
      </c>
      <c r="BR43" s="109">
        <v>360</v>
      </c>
      <c r="BS43" s="109">
        <v>540</v>
      </c>
      <c r="BT43" s="112">
        <v>3</v>
      </c>
      <c r="BU43" s="14">
        <f t="shared" si="31"/>
        <v>11133</v>
      </c>
      <c r="BV43" s="118">
        <v>1</v>
      </c>
      <c r="BW43" s="14">
        <f t="shared" si="32"/>
        <v>113</v>
      </c>
      <c r="BX43" s="118" t="s">
        <v>1052</v>
      </c>
      <c r="BY43" s="14">
        <f t="shared" si="33"/>
        <v>3</v>
      </c>
      <c r="BZ43" s="118" t="str">
        <f t="shared" si="34"/>
        <v>守护灵抽卡券3紫色基础材料59金币25200</v>
      </c>
      <c r="CA43" s="14">
        <f t="shared" si="35"/>
        <v>30</v>
      </c>
      <c r="CB43" s="115" t="s">
        <v>271</v>
      </c>
      <c r="CC43" s="115">
        <v>3</v>
      </c>
      <c r="CD43" s="112" t="str">
        <f>INDEX(挂机升级突破!$BX$4:$CB$4,章节关卡!BT43)</f>
        <v>紫色基础材料</v>
      </c>
      <c r="CE43" s="115">
        <f>ROUND(INDEX(挂机升级突破!$Q$7:$U$37,BO43+2,章节关卡!BT43)/INDEX(挂机升级突破!$Q$5:$U$5,章节关卡!BT43)*章节关卡!BS43,0)</f>
        <v>59</v>
      </c>
      <c r="CF43" s="109" t="s">
        <v>265</v>
      </c>
      <c r="CG43" s="109">
        <f t="shared" si="61"/>
        <v>25200</v>
      </c>
      <c r="CJ43" s="115">
        <f t="shared" si="62"/>
        <v>13</v>
      </c>
      <c r="CK43" s="115">
        <f t="shared" si="63"/>
        <v>80</v>
      </c>
      <c r="CL43" s="118">
        <v>3</v>
      </c>
      <c r="CM43" s="109">
        <f t="shared" si="64"/>
        <v>540</v>
      </c>
      <c r="CN43" s="109">
        <f t="shared" si="65"/>
        <v>1080</v>
      </c>
      <c r="CO43" s="115">
        <v>7</v>
      </c>
      <c r="CP43" s="14">
        <f t="shared" si="36"/>
        <v>12133</v>
      </c>
      <c r="CQ43" s="118">
        <v>2</v>
      </c>
      <c r="CR43" s="14">
        <f t="shared" si="37"/>
        <v>213</v>
      </c>
      <c r="CS43" s="118" t="s">
        <v>1052</v>
      </c>
      <c r="CT43" s="14">
        <f t="shared" si="38"/>
        <v>3</v>
      </c>
      <c r="CU43" s="118" t="str">
        <f t="shared" si="39"/>
        <v>守护灵抽卡券5乌金54金币37800</v>
      </c>
      <c r="CV43" s="14">
        <f t="shared" si="40"/>
        <v>30</v>
      </c>
      <c r="CW43" s="115" t="s">
        <v>1030</v>
      </c>
      <c r="CX43" s="115">
        <v>5</v>
      </c>
      <c r="CY43" s="115" t="str">
        <f>INDEX(挂机升级突破!$BX$4:$CG$4,章节关卡!CO43)</f>
        <v>乌金</v>
      </c>
      <c r="CZ43" s="115">
        <f>ROUND(INDEX(挂机升级突破!$Q$7:$Z$37,CJ43+3,章节关卡!CO43)/INDEX(挂机升级突破!$Q$5:$Z$5,章节关卡!CO43)*章节关卡!CN43,0)</f>
        <v>54</v>
      </c>
      <c r="DA43" s="109" t="s">
        <v>265</v>
      </c>
      <c r="DB43" s="115">
        <f t="shared" si="66"/>
        <v>37800</v>
      </c>
      <c r="DE43" s="118">
        <v>39</v>
      </c>
      <c r="DF43" s="14">
        <f t="shared" si="41"/>
        <v>13</v>
      </c>
      <c r="DG43" s="118">
        <f t="shared" si="42"/>
        <v>70</v>
      </c>
      <c r="DH43" s="118">
        <v>150</v>
      </c>
      <c r="DI43" s="118">
        <f t="shared" si="43"/>
        <v>21133</v>
      </c>
      <c r="DJ43" s="118">
        <v>1</v>
      </c>
      <c r="DK43" s="14">
        <f t="shared" si="50"/>
        <v>113</v>
      </c>
      <c r="DL43" s="118" t="s">
        <v>1062</v>
      </c>
      <c r="DM43" s="118">
        <v>3</v>
      </c>
      <c r="DN43" s="118" t="str">
        <f t="shared" si="44"/>
        <v>钻石50守护灵初级抽卡券5守护灵经验18750</v>
      </c>
      <c r="DO43" s="14">
        <f t="shared" si="51"/>
        <v>11309</v>
      </c>
      <c r="DP43" s="118" t="s">
        <v>1065</v>
      </c>
      <c r="DQ43" s="118">
        <v>50</v>
      </c>
      <c r="DR43" s="118" t="s">
        <v>1066</v>
      </c>
      <c r="DS43" s="118">
        <v>5</v>
      </c>
      <c r="DT43" s="118" t="s">
        <v>1067</v>
      </c>
      <c r="DU43" s="118">
        <f t="shared" si="45"/>
        <v>18750</v>
      </c>
    </row>
    <row r="44" spans="1:125" ht="16.5" x14ac:dyDescent="0.2">
      <c r="P44" s="15"/>
      <c r="AP44" s="24">
        <v>40</v>
      </c>
      <c r="AQ44" s="14">
        <f t="shared" si="21"/>
        <v>10</v>
      </c>
      <c r="AR44" s="109">
        <f t="shared" si="22"/>
        <v>4</v>
      </c>
      <c r="AS44" s="109">
        <f t="shared" si="23"/>
        <v>18</v>
      </c>
      <c r="AT44" s="109">
        <f t="shared" si="24"/>
        <v>54</v>
      </c>
      <c r="AU44" s="109">
        <f t="shared" si="25"/>
        <v>88</v>
      </c>
      <c r="AX44" s="109">
        <v>40</v>
      </c>
      <c r="AY44" s="14">
        <f t="shared" si="0"/>
        <v>4</v>
      </c>
      <c r="AZ44" s="14">
        <f t="shared" si="26"/>
        <v>10</v>
      </c>
      <c r="BA44" s="14">
        <f t="shared" si="53"/>
        <v>160</v>
      </c>
      <c r="BB44" s="14">
        <f t="shared" si="1"/>
        <v>750</v>
      </c>
      <c r="BC44" s="14">
        <f t="shared" si="2"/>
        <v>1800</v>
      </c>
      <c r="BF44" s="109">
        <v>40</v>
      </c>
      <c r="BG44" s="14">
        <f t="shared" si="27"/>
        <v>4</v>
      </c>
      <c r="BH44" s="14">
        <f t="shared" si="28"/>
        <v>10</v>
      </c>
      <c r="BI44" s="14">
        <f t="shared" si="3"/>
        <v>350</v>
      </c>
      <c r="BJ44" s="14">
        <f t="shared" si="4"/>
        <v>1500</v>
      </c>
      <c r="BK44" s="14">
        <f t="shared" si="5"/>
        <v>3600</v>
      </c>
      <c r="BN44" s="109">
        <v>40</v>
      </c>
      <c r="BO44" s="109">
        <f t="shared" si="29"/>
        <v>14</v>
      </c>
      <c r="BP44" s="112">
        <f t="shared" si="30"/>
        <v>75</v>
      </c>
      <c r="BQ44" s="109">
        <f t="shared" si="6"/>
        <v>1</v>
      </c>
      <c r="BR44" s="109">
        <v>120</v>
      </c>
      <c r="BS44" s="109">
        <v>180</v>
      </c>
      <c r="BT44" s="112">
        <v>3</v>
      </c>
      <c r="BU44" s="14">
        <f t="shared" si="31"/>
        <v>11141</v>
      </c>
      <c r="BV44" s="118">
        <v>1</v>
      </c>
      <c r="BW44" s="14">
        <f t="shared" si="32"/>
        <v>114</v>
      </c>
      <c r="BX44" s="118" t="s">
        <v>1052</v>
      </c>
      <c r="BY44" s="14">
        <f t="shared" si="33"/>
        <v>1</v>
      </c>
      <c r="BZ44" s="118" t="str">
        <f t="shared" si="34"/>
        <v>钻石100紫色基础材料24金币9000</v>
      </c>
      <c r="CA44" s="14">
        <f t="shared" si="35"/>
        <v>10</v>
      </c>
      <c r="CB44" s="115" t="s">
        <v>22</v>
      </c>
      <c r="CC44" s="115">
        <v>100</v>
      </c>
      <c r="CD44" s="112" t="str">
        <f>INDEX(挂机升级突破!$BX$4:$CB$4,章节关卡!BT44)</f>
        <v>紫色基础材料</v>
      </c>
      <c r="CE44" s="115">
        <f>ROUND(INDEX(挂机升级突破!$Q$7:$U$37,BO44+2,章节关卡!BT44)/INDEX(挂机升级突破!$Q$5:$U$5,章节关卡!BT44)*章节关卡!BS44,0)</f>
        <v>24</v>
      </c>
      <c r="CF44" s="109" t="s">
        <v>265</v>
      </c>
      <c r="CG44" s="109">
        <f t="shared" si="61"/>
        <v>9000</v>
      </c>
      <c r="CJ44" s="115">
        <f t="shared" si="62"/>
        <v>14</v>
      </c>
      <c r="CK44" s="115">
        <f t="shared" si="63"/>
        <v>85</v>
      </c>
      <c r="CL44" s="118">
        <v>1</v>
      </c>
      <c r="CM44" s="109">
        <f t="shared" si="64"/>
        <v>180</v>
      </c>
      <c r="CN44" s="109">
        <f t="shared" si="65"/>
        <v>360</v>
      </c>
      <c r="CO44" s="115">
        <v>8</v>
      </c>
      <c r="CP44" s="14">
        <f t="shared" si="36"/>
        <v>12141</v>
      </c>
      <c r="CQ44" s="118">
        <v>2</v>
      </c>
      <c r="CR44" s="14">
        <f t="shared" si="37"/>
        <v>214</v>
      </c>
      <c r="CS44" s="118" t="s">
        <v>1052</v>
      </c>
      <c r="CT44" s="14">
        <f t="shared" si="38"/>
        <v>1</v>
      </c>
      <c r="CU44" s="118" t="str">
        <f t="shared" si="39"/>
        <v>钻石100银母4金币13500</v>
      </c>
      <c r="CV44" s="14">
        <f t="shared" si="40"/>
        <v>10</v>
      </c>
      <c r="CW44" s="115" t="s">
        <v>270</v>
      </c>
      <c r="CX44" s="115">
        <v>100</v>
      </c>
      <c r="CY44" s="115" t="str">
        <f>INDEX(挂机升级突破!$BX$4:$CG$4,章节关卡!CO44)</f>
        <v>银母</v>
      </c>
      <c r="CZ44" s="115">
        <f>ROUND(INDEX(挂机升级突破!$Q$7:$Z$37,CJ44+3,章节关卡!CO44)/INDEX(挂机升级突破!$Q$5:$Z$5,章节关卡!CO44)*章节关卡!CN44,0)</f>
        <v>4</v>
      </c>
      <c r="DA44" s="109" t="s">
        <v>265</v>
      </c>
      <c r="DB44" s="115">
        <f t="shared" si="66"/>
        <v>13500</v>
      </c>
      <c r="DE44" s="118">
        <v>40</v>
      </c>
      <c r="DF44" s="14">
        <f t="shared" si="41"/>
        <v>14</v>
      </c>
      <c r="DG44" s="118">
        <f t="shared" si="42"/>
        <v>75</v>
      </c>
      <c r="DH44" s="118">
        <v>90</v>
      </c>
      <c r="DI44" s="118">
        <f t="shared" si="43"/>
        <v>21141</v>
      </c>
      <c r="DJ44" s="118">
        <v>1</v>
      </c>
      <c r="DK44" s="14">
        <f t="shared" si="50"/>
        <v>114</v>
      </c>
      <c r="DL44" s="118" t="s">
        <v>1062</v>
      </c>
      <c r="DM44" s="118">
        <v>1</v>
      </c>
      <c r="DN44" s="118" t="str">
        <f t="shared" si="44"/>
        <v>钻石20守护灵初级抽卡券2守护灵经验12150</v>
      </c>
      <c r="DO44" s="14">
        <f t="shared" si="51"/>
        <v>11409</v>
      </c>
      <c r="DP44" s="118" t="s">
        <v>1065</v>
      </c>
      <c r="DQ44" s="118">
        <v>20</v>
      </c>
      <c r="DR44" s="118" t="s">
        <v>1066</v>
      </c>
      <c r="DS44" s="118">
        <v>2</v>
      </c>
      <c r="DT44" s="118" t="s">
        <v>1067</v>
      </c>
      <c r="DU44" s="118">
        <f t="shared" si="45"/>
        <v>12150</v>
      </c>
    </row>
    <row r="45" spans="1:125" ht="16.5" x14ac:dyDescent="0.2">
      <c r="P45" s="15"/>
      <c r="AP45" s="24">
        <v>41</v>
      </c>
      <c r="AQ45" s="14">
        <f t="shared" si="21"/>
        <v>11</v>
      </c>
      <c r="AR45" s="109">
        <f t="shared" si="22"/>
        <v>1</v>
      </c>
      <c r="AS45" s="109">
        <f t="shared" si="23"/>
        <v>20</v>
      </c>
      <c r="AT45" s="109">
        <f t="shared" si="24"/>
        <v>56</v>
      </c>
      <c r="AU45" s="109">
        <f t="shared" si="25"/>
        <v>92</v>
      </c>
      <c r="AX45" s="109">
        <v>41</v>
      </c>
      <c r="AY45" s="14">
        <f t="shared" si="0"/>
        <v>5</v>
      </c>
      <c r="AZ45" s="14">
        <f t="shared" si="26"/>
        <v>1</v>
      </c>
      <c r="BA45" s="14">
        <f t="shared" si="53"/>
        <v>180</v>
      </c>
      <c r="BB45" s="14">
        <f t="shared" si="1"/>
        <v>900</v>
      </c>
      <c r="BC45" s="14">
        <f t="shared" si="2"/>
        <v>2025</v>
      </c>
      <c r="BF45" s="109">
        <v>41</v>
      </c>
      <c r="BG45" s="14">
        <f t="shared" si="27"/>
        <v>5</v>
      </c>
      <c r="BH45" s="14">
        <f t="shared" si="28"/>
        <v>1</v>
      </c>
      <c r="BI45" s="14">
        <f t="shared" si="3"/>
        <v>450</v>
      </c>
      <c r="BJ45" s="14">
        <f t="shared" si="4"/>
        <v>1800</v>
      </c>
      <c r="BK45" s="14">
        <f t="shared" si="5"/>
        <v>4050</v>
      </c>
      <c r="BN45" s="109">
        <v>41</v>
      </c>
      <c r="BO45" s="109">
        <f t="shared" si="29"/>
        <v>14</v>
      </c>
      <c r="BP45" s="112">
        <f t="shared" si="30"/>
        <v>75</v>
      </c>
      <c r="BQ45" s="109">
        <f t="shared" si="6"/>
        <v>2</v>
      </c>
      <c r="BR45" s="109">
        <v>240</v>
      </c>
      <c r="BS45" s="109">
        <v>360</v>
      </c>
      <c r="BT45" s="112">
        <v>3</v>
      </c>
      <c r="BU45" s="14">
        <f t="shared" si="31"/>
        <v>11142</v>
      </c>
      <c r="BV45" s="118">
        <v>1</v>
      </c>
      <c r="BW45" s="14">
        <f t="shared" si="32"/>
        <v>114</v>
      </c>
      <c r="BX45" s="118" t="s">
        <v>1052</v>
      </c>
      <c r="BY45" s="14">
        <f t="shared" si="33"/>
        <v>2</v>
      </c>
      <c r="BZ45" s="118" t="str">
        <f t="shared" si="34"/>
        <v>守护灵抽卡券2紫色基础材料48金币18000</v>
      </c>
      <c r="CA45" s="14">
        <f t="shared" si="35"/>
        <v>20</v>
      </c>
      <c r="CB45" s="115" t="s">
        <v>271</v>
      </c>
      <c r="CC45" s="115">
        <v>2</v>
      </c>
      <c r="CD45" s="112" t="str">
        <f>INDEX(挂机升级突破!$BX$4:$CB$4,章节关卡!BT45)</f>
        <v>紫色基础材料</v>
      </c>
      <c r="CE45" s="115">
        <f>ROUND(INDEX(挂机升级突破!$Q$7:$U$37,BO45+2,章节关卡!BT45)/INDEX(挂机升级突破!$Q$5:$U$5,章节关卡!BT45)*章节关卡!BS45,0)</f>
        <v>48</v>
      </c>
      <c r="CF45" s="109" t="s">
        <v>265</v>
      </c>
      <c r="CG45" s="109">
        <f t="shared" si="61"/>
        <v>18000</v>
      </c>
      <c r="CJ45" s="115">
        <f t="shared" si="62"/>
        <v>14</v>
      </c>
      <c r="CK45" s="115">
        <f t="shared" si="63"/>
        <v>85</v>
      </c>
      <c r="CL45" s="118">
        <v>2</v>
      </c>
      <c r="CM45" s="109">
        <f t="shared" si="64"/>
        <v>360</v>
      </c>
      <c r="CN45" s="109">
        <f t="shared" si="65"/>
        <v>720</v>
      </c>
      <c r="CO45" s="115">
        <v>8</v>
      </c>
      <c r="CP45" s="14">
        <f t="shared" si="36"/>
        <v>12142</v>
      </c>
      <c r="CQ45" s="118">
        <v>2</v>
      </c>
      <c r="CR45" s="14">
        <f t="shared" si="37"/>
        <v>214</v>
      </c>
      <c r="CS45" s="118" t="s">
        <v>1052</v>
      </c>
      <c r="CT45" s="14">
        <f t="shared" si="38"/>
        <v>2</v>
      </c>
      <c r="CU45" s="118" t="str">
        <f t="shared" si="39"/>
        <v>熔炼值2000银母7金币27000</v>
      </c>
      <c r="CV45" s="14">
        <f t="shared" si="40"/>
        <v>20</v>
      </c>
      <c r="CW45" s="115" t="s">
        <v>1031</v>
      </c>
      <c r="CX45" s="115">
        <v>2000</v>
      </c>
      <c r="CY45" s="115" t="str">
        <f>INDEX(挂机升级突破!$BX$4:$CG$4,章节关卡!CO45)</f>
        <v>银母</v>
      </c>
      <c r="CZ45" s="115">
        <f>ROUND(INDEX(挂机升级突破!$Q$7:$Z$37,CJ45+3,章节关卡!CO45)/INDEX(挂机升级突破!$Q$5:$Z$5,章节关卡!CO45)*章节关卡!CN45,0)</f>
        <v>7</v>
      </c>
      <c r="DA45" s="109" t="s">
        <v>265</v>
      </c>
      <c r="DB45" s="115">
        <f t="shared" si="66"/>
        <v>27000</v>
      </c>
      <c r="DE45" s="118">
        <v>41</v>
      </c>
      <c r="DF45" s="14">
        <f t="shared" si="41"/>
        <v>14</v>
      </c>
      <c r="DG45" s="118">
        <f t="shared" si="42"/>
        <v>75</v>
      </c>
      <c r="DH45" s="118">
        <v>120</v>
      </c>
      <c r="DI45" s="118">
        <f t="shared" si="43"/>
        <v>21142</v>
      </c>
      <c r="DJ45" s="118">
        <v>1</v>
      </c>
      <c r="DK45" s="14">
        <f t="shared" si="50"/>
        <v>114</v>
      </c>
      <c r="DL45" s="118" t="s">
        <v>1062</v>
      </c>
      <c r="DM45" s="118">
        <v>2</v>
      </c>
      <c r="DN45" s="118" t="str">
        <f t="shared" si="44"/>
        <v>钻石30守护灵初级抽卡券3守护灵经验16200</v>
      </c>
      <c r="DO45" s="14">
        <f t="shared" si="51"/>
        <v>11409</v>
      </c>
      <c r="DP45" s="118" t="s">
        <v>1065</v>
      </c>
      <c r="DQ45" s="118">
        <v>30</v>
      </c>
      <c r="DR45" s="118" t="s">
        <v>1066</v>
      </c>
      <c r="DS45" s="118">
        <v>3</v>
      </c>
      <c r="DT45" s="118" t="s">
        <v>1067</v>
      </c>
      <c r="DU45" s="118">
        <f t="shared" si="45"/>
        <v>16200</v>
      </c>
    </row>
    <row r="46" spans="1:125" ht="16.5" x14ac:dyDescent="0.2">
      <c r="P46" s="15"/>
      <c r="AP46" s="24">
        <v>42</v>
      </c>
      <c r="AQ46" s="14">
        <f t="shared" si="21"/>
        <v>11</v>
      </c>
      <c r="AR46" s="109">
        <f t="shared" si="22"/>
        <v>2</v>
      </c>
      <c r="AS46" s="109">
        <f t="shared" si="23"/>
        <v>20</v>
      </c>
      <c r="AT46" s="109">
        <f t="shared" si="24"/>
        <v>57</v>
      </c>
      <c r="AU46" s="109">
        <f t="shared" si="25"/>
        <v>94</v>
      </c>
      <c r="AX46" s="109">
        <v>42</v>
      </c>
      <c r="AY46" s="14">
        <f t="shared" si="0"/>
        <v>5</v>
      </c>
      <c r="AZ46" s="14">
        <f t="shared" si="26"/>
        <v>2</v>
      </c>
      <c r="BA46" s="14">
        <f t="shared" si="53"/>
        <v>180</v>
      </c>
      <c r="BB46" s="14">
        <f t="shared" si="1"/>
        <v>900</v>
      </c>
      <c r="BC46" s="14">
        <f t="shared" si="2"/>
        <v>2025</v>
      </c>
      <c r="BF46" s="109">
        <v>42</v>
      </c>
      <c r="BG46" s="14">
        <f t="shared" si="27"/>
        <v>5</v>
      </c>
      <c r="BH46" s="14">
        <f t="shared" si="28"/>
        <v>2</v>
      </c>
      <c r="BI46" s="14">
        <f t="shared" si="3"/>
        <v>450</v>
      </c>
      <c r="BJ46" s="14">
        <f t="shared" si="4"/>
        <v>1800</v>
      </c>
      <c r="BK46" s="14">
        <f t="shared" si="5"/>
        <v>4050</v>
      </c>
      <c r="BN46" s="109">
        <v>42</v>
      </c>
      <c r="BO46" s="109">
        <f t="shared" si="29"/>
        <v>14</v>
      </c>
      <c r="BP46" s="112">
        <f t="shared" si="30"/>
        <v>75</v>
      </c>
      <c r="BQ46" s="109">
        <f t="shared" si="6"/>
        <v>3</v>
      </c>
      <c r="BR46" s="109">
        <v>360</v>
      </c>
      <c r="BS46" s="109">
        <v>540</v>
      </c>
      <c r="BT46" s="112">
        <v>3</v>
      </c>
      <c r="BU46" s="14">
        <f t="shared" si="31"/>
        <v>11143</v>
      </c>
      <c r="BV46" s="118">
        <v>1</v>
      </c>
      <c r="BW46" s="14">
        <f t="shared" si="32"/>
        <v>114</v>
      </c>
      <c r="BX46" s="118" t="s">
        <v>1052</v>
      </c>
      <c r="BY46" s="14">
        <f t="shared" si="33"/>
        <v>3</v>
      </c>
      <c r="BZ46" s="118" t="str">
        <f t="shared" si="34"/>
        <v>守护灵抽卡券3紫色基础材料72金币27000</v>
      </c>
      <c r="CA46" s="14">
        <f t="shared" si="35"/>
        <v>30</v>
      </c>
      <c r="CB46" s="115" t="s">
        <v>271</v>
      </c>
      <c r="CC46" s="115">
        <v>3</v>
      </c>
      <c r="CD46" s="112" t="str">
        <f>INDEX(挂机升级突破!$BX$4:$CB$4,章节关卡!BT46)</f>
        <v>紫色基础材料</v>
      </c>
      <c r="CE46" s="115">
        <f>ROUND(INDEX(挂机升级突破!$Q$7:$U$37,BO46+2,章节关卡!BT46)/INDEX(挂机升级突破!$Q$5:$U$5,章节关卡!BT46)*章节关卡!BS46,0)</f>
        <v>72</v>
      </c>
      <c r="CF46" s="109" t="s">
        <v>265</v>
      </c>
      <c r="CG46" s="109">
        <f t="shared" si="61"/>
        <v>27000</v>
      </c>
      <c r="CJ46" s="115">
        <f t="shared" si="62"/>
        <v>14</v>
      </c>
      <c r="CK46" s="115">
        <f t="shared" si="63"/>
        <v>85</v>
      </c>
      <c r="CL46" s="118">
        <v>3</v>
      </c>
      <c r="CM46" s="109">
        <f t="shared" si="64"/>
        <v>540</v>
      </c>
      <c r="CN46" s="109">
        <f t="shared" si="65"/>
        <v>1080</v>
      </c>
      <c r="CO46" s="115">
        <v>8</v>
      </c>
      <c r="CP46" s="14">
        <f t="shared" si="36"/>
        <v>12143</v>
      </c>
      <c r="CQ46" s="118">
        <v>2</v>
      </c>
      <c r="CR46" s="14">
        <f t="shared" si="37"/>
        <v>214</v>
      </c>
      <c r="CS46" s="118" t="s">
        <v>1052</v>
      </c>
      <c r="CT46" s="14">
        <f t="shared" si="38"/>
        <v>3</v>
      </c>
      <c r="CU46" s="118" t="str">
        <f t="shared" si="39"/>
        <v>守护灵抽卡券5银母11金币40500</v>
      </c>
      <c r="CV46" s="14">
        <f t="shared" si="40"/>
        <v>30</v>
      </c>
      <c r="CW46" s="115" t="s">
        <v>1030</v>
      </c>
      <c r="CX46" s="115">
        <v>5</v>
      </c>
      <c r="CY46" s="115" t="str">
        <f>INDEX(挂机升级突破!$BX$4:$CG$4,章节关卡!CO46)</f>
        <v>银母</v>
      </c>
      <c r="CZ46" s="115">
        <f>ROUND(INDEX(挂机升级突破!$Q$7:$Z$37,CJ46+3,章节关卡!CO46)/INDEX(挂机升级突破!$Q$5:$Z$5,章节关卡!CO46)*章节关卡!CN46,0)</f>
        <v>11</v>
      </c>
      <c r="DA46" s="109" t="s">
        <v>265</v>
      </c>
      <c r="DB46" s="115">
        <f t="shared" si="66"/>
        <v>40500</v>
      </c>
      <c r="DE46" s="118">
        <v>42</v>
      </c>
      <c r="DF46" s="14">
        <f t="shared" si="41"/>
        <v>14</v>
      </c>
      <c r="DG46" s="118">
        <f t="shared" si="42"/>
        <v>75</v>
      </c>
      <c r="DH46" s="118">
        <v>150</v>
      </c>
      <c r="DI46" s="118">
        <f t="shared" si="43"/>
        <v>21143</v>
      </c>
      <c r="DJ46" s="118">
        <v>1</v>
      </c>
      <c r="DK46" s="14">
        <f t="shared" si="50"/>
        <v>114</v>
      </c>
      <c r="DL46" s="118" t="s">
        <v>1062</v>
      </c>
      <c r="DM46" s="118">
        <v>3</v>
      </c>
      <c r="DN46" s="118" t="str">
        <f t="shared" si="44"/>
        <v>钻石50守护灵初级抽卡券5守护灵经验20250</v>
      </c>
      <c r="DO46" s="14">
        <f t="shared" si="51"/>
        <v>11409</v>
      </c>
      <c r="DP46" s="118" t="s">
        <v>1065</v>
      </c>
      <c r="DQ46" s="118">
        <v>50</v>
      </c>
      <c r="DR46" s="118" t="s">
        <v>1066</v>
      </c>
      <c r="DS46" s="118">
        <v>5</v>
      </c>
      <c r="DT46" s="118" t="s">
        <v>1067</v>
      </c>
      <c r="DU46" s="118">
        <f t="shared" si="45"/>
        <v>20250</v>
      </c>
    </row>
    <row r="47" spans="1:125" ht="16.5" x14ac:dyDescent="0.2">
      <c r="P47" s="15"/>
      <c r="AP47" s="24">
        <v>43</v>
      </c>
      <c r="AQ47" s="14">
        <f t="shared" si="21"/>
        <v>11</v>
      </c>
      <c r="AR47" s="109">
        <f t="shared" si="22"/>
        <v>3</v>
      </c>
      <c r="AS47" s="109">
        <f t="shared" si="23"/>
        <v>20</v>
      </c>
      <c r="AT47" s="109">
        <f t="shared" si="24"/>
        <v>58</v>
      </c>
      <c r="AU47" s="109">
        <f t="shared" si="25"/>
        <v>96</v>
      </c>
      <c r="AX47" s="109">
        <v>43</v>
      </c>
      <c r="AY47" s="14">
        <f t="shared" si="0"/>
        <v>5</v>
      </c>
      <c r="AZ47" s="14">
        <f t="shared" si="26"/>
        <v>3</v>
      </c>
      <c r="BA47" s="14">
        <f t="shared" si="53"/>
        <v>180</v>
      </c>
      <c r="BB47" s="14">
        <f t="shared" si="1"/>
        <v>900</v>
      </c>
      <c r="BC47" s="14">
        <f t="shared" si="2"/>
        <v>2025</v>
      </c>
      <c r="BF47" s="109">
        <v>43</v>
      </c>
      <c r="BG47" s="14">
        <f t="shared" si="27"/>
        <v>5</v>
      </c>
      <c r="BH47" s="14">
        <f t="shared" si="28"/>
        <v>3</v>
      </c>
      <c r="BI47" s="14">
        <f t="shared" si="3"/>
        <v>450</v>
      </c>
      <c r="BJ47" s="14">
        <f t="shared" si="4"/>
        <v>1800</v>
      </c>
      <c r="BK47" s="14">
        <f t="shared" si="5"/>
        <v>4050</v>
      </c>
      <c r="BN47" s="109">
        <v>43</v>
      </c>
      <c r="BO47" s="109">
        <f t="shared" si="29"/>
        <v>15</v>
      </c>
      <c r="BP47" s="112">
        <f t="shared" si="30"/>
        <v>80</v>
      </c>
      <c r="BQ47" s="109">
        <f t="shared" si="6"/>
        <v>1</v>
      </c>
      <c r="BR47" s="109">
        <v>120</v>
      </c>
      <c r="BS47" s="109">
        <v>180</v>
      </c>
      <c r="BT47" s="109">
        <v>4</v>
      </c>
      <c r="BU47" s="14">
        <f t="shared" si="31"/>
        <v>11151</v>
      </c>
      <c r="BV47" s="118">
        <v>1</v>
      </c>
      <c r="BW47" s="14">
        <f t="shared" si="32"/>
        <v>115</v>
      </c>
      <c r="BX47" s="118" t="s">
        <v>1052</v>
      </c>
      <c r="BY47" s="14">
        <f t="shared" si="33"/>
        <v>1</v>
      </c>
      <c r="BZ47" s="118" t="str">
        <f t="shared" si="34"/>
        <v>钻石100橙色基础材料0金币9600</v>
      </c>
      <c r="CA47" s="14">
        <f t="shared" si="35"/>
        <v>10</v>
      </c>
      <c r="CB47" s="115" t="s">
        <v>22</v>
      </c>
      <c r="CC47" s="115">
        <v>100</v>
      </c>
      <c r="CD47" s="112" t="str">
        <f>INDEX(挂机升级突破!$BX$4:$CB$4,章节关卡!BT47)</f>
        <v>橙色基础材料</v>
      </c>
      <c r="CE47" s="115">
        <f>ROUND(INDEX(挂机升级突破!$Q$7:$U$37,BO47+2,章节关卡!BT47)/INDEX(挂机升级突破!$Q$5:$U$5,章节关卡!BT47)*章节关卡!BS47,0)</f>
        <v>0</v>
      </c>
      <c r="CF47" s="109" t="s">
        <v>265</v>
      </c>
      <c r="CG47" s="109">
        <f t="shared" si="61"/>
        <v>9600</v>
      </c>
      <c r="CJ47" s="115">
        <f t="shared" si="62"/>
        <v>15</v>
      </c>
      <c r="CK47" s="115">
        <f t="shared" si="63"/>
        <v>90</v>
      </c>
      <c r="CL47" s="118">
        <v>1</v>
      </c>
      <c r="CM47" s="109">
        <f t="shared" si="64"/>
        <v>180</v>
      </c>
      <c r="CN47" s="109">
        <f t="shared" si="65"/>
        <v>360</v>
      </c>
      <c r="CO47" s="115">
        <v>8</v>
      </c>
      <c r="CP47" s="14">
        <f t="shared" si="36"/>
        <v>12151</v>
      </c>
      <c r="CQ47" s="118">
        <v>2</v>
      </c>
      <c r="CR47" s="14">
        <f t="shared" si="37"/>
        <v>215</v>
      </c>
      <c r="CS47" s="118" t="s">
        <v>1052</v>
      </c>
      <c r="CT47" s="14">
        <f t="shared" si="38"/>
        <v>1</v>
      </c>
      <c r="CU47" s="118" t="str">
        <f t="shared" si="39"/>
        <v>钻石100银母6金币14400</v>
      </c>
      <c r="CV47" s="14">
        <f t="shared" si="40"/>
        <v>10</v>
      </c>
      <c r="CW47" s="115" t="s">
        <v>270</v>
      </c>
      <c r="CX47" s="115">
        <v>100</v>
      </c>
      <c r="CY47" s="115" t="str">
        <f>INDEX(挂机升级突破!$BX$4:$CG$4,章节关卡!CO47)</f>
        <v>银母</v>
      </c>
      <c r="CZ47" s="115">
        <f>ROUND(INDEX(挂机升级突破!$Q$7:$Z$37,CJ47+3,章节关卡!CO47)/INDEX(挂机升级突破!$Q$5:$Z$5,章节关卡!CO47)*章节关卡!CN47,0)</f>
        <v>6</v>
      </c>
      <c r="DA47" s="109" t="s">
        <v>265</v>
      </c>
      <c r="DB47" s="115">
        <f t="shared" si="66"/>
        <v>14400</v>
      </c>
      <c r="DE47" s="118">
        <v>43</v>
      </c>
      <c r="DF47" s="14">
        <f t="shared" si="41"/>
        <v>15</v>
      </c>
      <c r="DG47" s="118">
        <f t="shared" si="42"/>
        <v>80</v>
      </c>
      <c r="DH47" s="118">
        <v>90</v>
      </c>
      <c r="DI47" s="118">
        <f t="shared" si="43"/>
        <v>21151</v>
      </c>
      <c r="DJ47" s="118">
        <v>1</v>
      </c>
      <c r="DK47" s="14">
        <f t="shared" si="50"/>
        <v>115</v>
      </c>
      <c r="DL47" s="118" t="s">
        <v>1062</v>
      </c>
      <c r="DM47" s="118">
        <v>1</v>
      </c>
      <c r="DN47" s="118" t="str">
        <f t="shared" si="44"/>
        <v>钻石20守护灵初级抽卡券2守护灵经验13500</v>
      </c>
      <c r="DO47" s="14">
        <f t="shared" si="51"/>
        <v>11509</v>
      </c>
      <c r="DP47" s="118" t="s">
        <v>1065</v>
      </c>
      <c r="DQ47" s="118">
        <v>20</v>
      </c>
      <c r="DR47" s="118" t="s">
        <v>1066</v>
      </c>
      <c r="DS47" s="118">
        <v>2</v>
      </c>
      <c r="DT47" s="118" t="s">
        <v>1067</v>
      </c>
      <c r="DU47" s="118">
        <f t="shared" si="45"/>
        <v>13500</v>
      </c>
    </row>
    <row r="48" spans="1:125" ht="16.5" x14ac:dyDescent="0.2">
      <c r="P48" s="15"/>
      <c r="AP48" s="24">
        <v>44</v>
      </c>
      <c r="AQ48" s="14">
        <f t="shared" si="21"/>
        <v>11</v>
      </c>
      <c r="AR48" s="109">
        <f t="shared" si="22"/>
        <v>4</v>
      </c>
      <c r="AS48" s="109">
        <f t="shared" si="23"/>
        <v>20</v>
      </c>
      <c r="AT48" s="109">
        <f t="shared" si="24"/>
        <v>59</v>
      </c>
      <c r="AU48" s="109">
        <f t="shared" si="25"/>
        <v>98</v>
      </c>
      <c r="AX48" s="109">
        <v>44</v>
      </c>
      <c r="AY48" s="14">
        <f t="shared" si="0"/>
        <v>5</v>
      </c>
      <c r="AZ48" s="14">
        <f t="shared" si="26"/>
        <v>4</v>
      </c>
      <c r="BA48" s="14">
        <f t="shared" si="53"/>
        <v>180</v>
      </c>
      <c r="BB48" s="14">
        <f t="shared" si="1"/>
        <v>900</v>
      </c>
      <c r="BC48" s="14">
        <f t="shared" si="2"/>
        <v>2025</v>
      </c>
      <c r="BF48" s="109">
        <v>44</v>
      </c>
      <c r="BG48" s="14">
        <f t="shared" si="27"/>
        <v>5</v>
      </c>
      <c r="BH48" s="14">
        <f t="shared" si="28"/>
        <v>4</v>
      </c>
      <c r="BI48" s="14">
        <f t="shared" si="3"/>
        <v>450</v>
      </c>
      <c r="BJ48" s="14">
        <f t="shared" si="4"/>
        <v>1800</v>
      </c>
      <c r="BK48" s="14">
        <f t="shared" si="5"/>
        <v>4050</v>
      </c>
      <c r="BN48" s="109">
        <v>44</v>
      </c>
      <c r="BO48" s="109">
        <f t="shared" si="29"/>
        <v>15</v>
      </c>
      <c r="BP48" s="112">
        <f t="shared" si="30"/>
        <v>80</v>
      </c>
      <c r="BQ48" s="109">
        <f t="shared" si="6"/>
        <v>2</v>
      </c>
      <c r="BR48" s="109">
        <v>240</v>
      </c>
      <c r="BS48" s="109">
        <v>360</v>
      </c>
      <c r="BT48" s="112">
        <v>4</v>
      </c>
      <c r="BU48" s="14">
        <f t="shared" si="31"/>
        <v>11152</v>
      </c>
      <c r="BV48" s="118">
        <v>1</v>
      </c>
      <c r="BW48" s="14">
        <f t="shared" si="32"/>
        <v>115</v>
      </c>
      <c r="BX48" s="118" t="s">
        <v>1052</v>
      </c>
      <c r="BY48" s="14">
        <f t="shared" si="33"/>
        <v>2</v>
      </c>
      <c r="BZ48" s="118" t="str">
        <f t="shared" si="34"/>
        <v>守护灵抽卡券2橙色基础材料0金币19200</v>
      </c>
      <c r="CA48" s="14">
        <f t="shared" si="35"/>
        <v>20</v>
      </c>
      <c r="CB48" s="115" t="s">
        <v>271</v>
      </c>
      <c r="CC48" s="115">
        <v>2</v>
      </c>
      <c r="CD48" s="112" t="str">
        <f>INDEX(挂机升级突破!$BX$4:$CB$4,章节关卡!BT48)</f>
        <v>橙色基础材料</v>
      </c>
      <c r="CE48" s="115">
        <f>ROUND(INDEX(挂机升级突破!$Q$7:$U$37,BO48+2,章节关卡!BT48)/INDEX(挂机升级突破!$Q$5:$U$5,章节关卡!BT48)*章节关卡!BS48,0)</f>
        <v>0</v>
      </c>
      <c r="CF48" s="109" t="s">
        <v>265</v>
      </c>
      <c r="CG48" s="109">
        <f t="shared" si="61"/>
        <v>19200</v>
      </c>
      <c r="CJ48" s="115">
        <f t="shared" si="62"/>
        <v>15</v>
      </c>
      <c r="CK48" s="115">
        <f t="shared" si="63"/>
        <v>90</v>
      </c>
      <c r="CL48" s="118">
        <v>2</v>
      </c>
      <c r="CM48" s="109">
        <f t="shared" si="64"/>
        <v>360</v>
      </c>
      <c r="CN48" s="109">
        <f t="shared" si="65"/>
        <v>720</v>
      </c>
      <c r="CO48" s="115">
        <v>8</v>
      </c>
      <c r="CP48" s="14">
        <f t="shared" si="36"/>
        <v>12152</v>
      </c>
      <c r="CQ48" s="118">
        <v>2</v>
      </c>
      <c r="CR48" s="14">
        <f t="shared" si="37"/>
        <v>215</v>
      </c>
      <c r="CS48" s="118" t="s">
        <v>1052</v>
      </c>
      <c r="CT48" s="14">
        <f t="shared" si="38"/>
        <v>2</v>
      </c>
      <c r="CU48" s="118" t="str">
        <f t="shared" si="39"/>
        <v>熔炼值2400银母13金币28800</v>
      </c>
      <c r="CV48" s="14">
        <f t="shared" si="40"/>
        <v>20</v>
      </c>
      <c r="CW48" s="115" t="s">
        <v>1031</v>
      </c>
      <c r="CX48" s="115">
        <v>2400</v>
      </c>
      <c r="CY48" s="115" t="str">
        <f>INDEX(挂机升级突破!$BX$4:$CG$4,章节关卡!CO48)</f>
        <v>银母</v>
      </c>
      <c r="CZ48" s="115">
        <f>ROUND(INDEX(挂机升级突破!$Q$7:$Z$37,CJ48+3,章节关卡!CO48)/INDEX(挂机升级突破!$Q$5:$Z$5,章节关卡!CO48)*章节关卡!CN48,0)</f>
        <v>13</v>
      </c>
      <c r="DA48" s="109" t="s">
        <v>265</v>
      </c>
      <c r="DB48" s="115">
        <f t="shared" si="66"/>
        <v>28800</v>
      </c>
      <c r="DE48" s="118">
        <v>44</v>
      </c>
      <c r="DF48" s="14">
        <f t="shared" si="41"/>
        <v>15</v>
      </c>
      <c r="DG48" s="118">
        <f t="shared" si="42"/>
        <v>80</v>
      </c>
      <c r="DH48" s="118">
        <v>120</v>
      </c>
      <c r="DI48" s="118">
        <f t="shared" si="43"/>
        <v>21152</v>
      </c>
      <c r="DJ48" s="118">
        <v>1</v>
      </c>
      <c r="DK48" s="14">
        <f t="shared" si="50"/>
        <v>115</v>
      </c>
      <c r="DL48" s="118" t="s">
        <v>1062</v>
      </c>
      <c r="DM48" s="118">
        <v>2</v>
      </c>
      <c r="DN48" s="118" t="str">
        <f t="shared" si="44"/>
        <v>钻石30守护灵初级抽卡券3守护灵经验18000</v>
      </c>
      <c r="DO48" s="14">
        <f t="shared" si="51"/>
        <v>11509</v>
      </c>
      <c r="DP48" s="118" t="s">
        <v>1065</v>
      </c>
      <c r="DQ48" s="118">
        <v>30</v>
      </c>
      <c r="DR48" s="118" t="s">
        <v>1066</v>
      </c>
      <c r="DS48" s="118">
        <v>3</v>
      </c>
      <c r="DT48" s="118" t="s">
        <v>1067</v>
      </c>
      <c r="DU48" s="118">
        <f t="shared" si="45"/>
        <v>18000</v>
      </c>
    </row>
    <row r="49" spans="16:125" ht="16.5" x14ac:dyDescent="0.2">
      <c r="P49" s="15"/>
      <c r="AP49" s="24">
        <v>45</v>
      </c>
      <c r="AQ49" s="14">
        <f t="shared" si="21"/>
        <v>12</v>
      </c>
      <c r="AR49" s="109">
        <f t="shared" si="22"/>
        <v>1</v>
      </c>
      <c r="AS49" s="109">
        <f t="shared" si="23"/>
        <v>22</v>
      </c>
      <c r="AT49" s="109">
        <f t="shared" si="24"/>
        <v>61</v>
      </c>
      <c r="AU49" s="109">
        <f t="shared" si="25"/>
        <v>102</v>
      </c>
      <c r="AX49" s="109">
        <v>45</v>
      </c>
      <c r="AY49" s="14">
        <f t="shared" si="0"/>
        <v>5</v>
      </c>
      <c r="AZ49" s="14">
        <f t="shared" si="26"/>
        <v>5</v>
      </c>
      <c r="BA49" s="14">
        <f t="shared" si="53"/>
        <v>180</v>
      </c>
      <c r="BB49" s="14">
        <f t="shared" si="1"/>
        <v>900</v>
      </c>
      <c r="BC49" s="14">
        <f t="shared" si="2"/>
        <v>2025</v>
      </c>
      <c r="BF49" s="109">
        <v>45</v>
      </c>
      <c r="BG49" s="14">
        <f t="shared" si="27"/>
        <v>5</v>
      </c>
      <c r="BH49" s="14">
        <f t="shared" si="28"/>
        <v>5</v>
      </c>
      <c r="BI49" s="14">
        <f t="shared" si="3"/>
        <v>450</v>
      </c>
      <c r="BJ49" s="14">
        <f t="shared" si="4"/>
        <v>1800</v>
      </c>
      <c r="BK49" s="14">
        <f t="shared" si="5"/>
        <v>4050</v>
      </c>
      <c r="BN49" s="109">
        <v>45</v>
      </c>
      <c r="BO49" s="109">
        <f t="shared" si="29"/>
        <v>15</v>
      </c>
      <c r="BP49" s="112">
        <f t="shared" si="30"/>
        <v>80</v>
      </c>
      <c r="BQ49" s="109">
        <f t="shared" si="6"/>
        <v>3</v>
      </c>
      <c r="BR49" s="109">
        <v>360</v>
      </c>
      <c r="BS49" s="109">
        <v>540</v>
      </c>
      <c r="BT49" s="112">
        <v>4</v>
      </c>
      <c r="BU49" s="14">
        <f t="shared" si="31"/>
        <v>11153</v>
      </c>
      <c r="BV49" s="118">
        <v>1</v>
      </c>
      <c r="BW49" s="14">
        <f t="shared" si="32"/>
        <v>115</v>
      </c>
      <c r="BX49" s="118" t="s">
        <v>1052</v>
      </c>
      <c r="BY49" s="14">
        <f t="shared" si="33"/>
        <v>3</v>
      </c>
      <c r="BZ49" s="118" t="str">
        <f t="shared" si="34"/>
        <v>守护灵抽卡券3橙色基础材料0金币28800</v>
      </c>
      <c r="CA49" s="14">
        <f t="shared" si="35"/>
        <v>30</v>
      </c>
      <c r="CB49" s="115" t="s">
        <v>271</v>
      </c>
      <c r="CC49" s="115">
        <v>3</v>
      </c>
      <c r="CD49" s="112" t="str">
        <f>INDEX(挂机升级突破!$BX$4:$CB$4,章节关卡!BT49)</f>
        <v>橙色基础材料</v>
      </c>
      <c r="CE49" s="115">
        <f>ROUND(INDEX(挂机升级突破!$Q$7:$U$37,BO49+2,章节关卡!BT49)/INDEX(挂机升级突破!$Q$5:$U$5,章节关卡!BT49)*章节关卡!BS49,0)</f>
        <v>0</v>
      </c>
      <c r="CF49" s="109" t="s">
        <v>265</v>
      </c>
      <c r="CG49" s="109">
        <f t="shared" si="61"/>
        <v>28800</v>
      </c>
      <c r="CJ49" s="115">
        <f t="shared" si="62"/>
        <v>15</v>
      </c>
      <c r="CK49" s="115">
        <f t="shared" si="63"/>
        <v>90</v>
      </c>
      <c r="CL49" s="118">
        <v>3</v>
      </c>
      <c r="CM49" s="109">
        <f t="shared" si="64"/>
        <v>540</v>
      </c>
      <c r="CN49" s="109">
        <f t="shared" si="65"/>
        <v>1080</v>
      </c>
      <c r="CO49" s="115">
        <v>8</v>
      </c>
      <c r="CP49" s="14">
        <f t="shared" si="36"/>
        <v>12153</v>
      </c>
      <c r="CQ49" s="118">
        <v>2</v>
      </c>
      <c r="CR49" s="14">
        <f t="shared" si="37"/>
        <v>215</v>
      </c>
      <c r="CS49" s="118" t="s">
        <v>1052</v>
      </c>
      <c r="CT49" s="14">
        <f t="shared" si="38"/>
        <v>3</v>
      </c>
      <c r="CU49" s="118" t="str">
        <f t="shared" si="39"/>
        <v>守护灵抽卡券5银母19金币43200</v>
      </c>
      <c r="CV49" s="14">
        <f t="shared" si="40"/>
        <v>30</v>
      </c>
      <c r="CW49" s="115" t="s">
        <v>1030</v>
      </c>
      <c r="CX49" s="115">
        <v>5</v>
      </c>
      <c r="CY49" s="115" t="str">
        <f>INDEX(挂机升级突破!$BX$4:$CG$4,章节关卡!CO49)</f>
        <v>银母</v>
      </c>
      <c r="CZ49" s="115">
        <f>ROUND(INDEX(挂机升级突破!$Q$7:$Z$37,CJ49+3,章节关卡!CO49)/INDEX(挂机升级突破!$Q$5:$Z$5,章节关卡!CO49)*章节关卡!CN49,0)</f>
        <v>19</v>
      </c>
      <c r="DA49" s="109" t="s">
        <v>265</v>
      </c>
      <c r="DB49" s="115">
        <f t="shared" si="66"/>
        <v>43200</v>
      </c>
      <c r="DE49" s="118">
        <v>45</v>
      </c>
      <c r="DF49" s="14">
        <f t="shared" si="41"/>
        <v>15</v>
      </c>
      <c r="DG49" s="118">
        <f t="shared" si="42"/>
        <v>80</v>
      </c>
      <c r="DH49" s="118">
        <v>150</v>
      </c>
      <c r="DI49" s="118">
        <f t="shared" si="43"/>
        <v>21153</v>
      </c>
      <c r="DJ49" s="118">
        <v>1</v>
      </c>
      <c r="DK49" s="14">
        <f t="shared" si="50"/>
        <v>115</v>
      </c>
      <c r="DL49" s="118" t="s">
        <v>1062</v>
      </c>
      <c r="DM49" s="118">
        <v>3</v>
      </c>
      <c r="DN49" s="118" t="str">
        <f t="shared" si="44"/>
        <v>钻石50守护灵初级抽卡券5守护灵经验22500</v>
      </c>
      <c r="DO49" s="14">
        <f t="shared" si="51"/>
        <v>11509</v>
      </c>
      <c r="DP49" s="118" t="s">
        <v>1065</v>
      </c>
      <c r="DQ49" s="118">
        <v>50</v>
      </c>
      <c r="DR49" s="118" t="s">
        <v>1066</v>
      </c>
      <c r="DS49" s="118">
        <v>5</v>
      </c>
      <c r="DT49" s="118" t="s">
        <v>1067</v>
      </c>
      <c r="DU49" s="118">
        <f t="shared" si="45"/>
        <v>22500</v>
      </c>
    </row>
    <row r="50" spans="16:125" ht="16.5" x14ac:dyDescent="0.2">
      <c r="P50" s="15"/>
      <c r="AP50" s="24">
        <v>46</v>
      </c>
      <c r="AQ50" s="14">
        <f t="shared" si="21"/>
        <v>12</v>
      </c>
      <c r="AR50" s="109">
        <f t="shared" si="22"/>
        <v>2</v>
      </c>
      <c r="AS50" s="109">
        <f t="shared" si="23"/>
        <v>22</v>
      </c>
      <c r="AT50" s="109">
        <f t="shared" si="24"/>
        <v>62</v>
      </c>
      <c r="AU50" s="109">
        <f t="shared" si="25"/>
        <v>104</v>
      </c>
      <c r="AX50" s="109">
        <v>46</v>
      </c>
      <c r="AY50" s="14">
        <f t="shared" si="0"/>
        <v>5</v>
      </c>
      <c r="AZ50" s="14">
        <f t="shared" si="26"/>
        <v>6</v>
      </c>
      <c r="BA50" s="14">
        <f t="shared" si="53"/>
        <v>180</v>
      </c>
      <c r="BB50" s="14">
        <f t="shared" si="1"/>
        <v>900</v>
      </c>
      <c r="BC50" s="14">
        <f t="shared" si="2"/>
        <v>2025</v>
      </c>
      <c r="BF50" s="109">
        <v>46</v>
      </c>
      <c r="BG50" s="14">
        <f t="shared" si="27"/>
        <v>5</v>
      </c>
      <c r="BH50" s="14">
        <f t="shared" si="28"/>
        <v>6</v>
      </c>
      <c r="BI50" s="14">
        <f t="shared" si="3"/>
        <v>450</v>
      </c>
      <c r="BJ50" s="14">
        <f t="shared" si="4"/>
        <v>1800</v>
      </c>
      <c r="BK50" s="14">
        <f t="shared" si="5"/>
        <v>4050</v>
      </c>
      <c r="BN50" s="109">
        <v>46</v>
      </c>
      <c r="BO50" s="109">
        <f t="shared" si="29"/>
        <v>16</v>
      </c>
      <c r="BP50" s="112">
        <f t="shared" si="30"/>
        <v>85</v>
      </c>
      <c r="BQ50" s="109">
        <f t="shared" ref="BQ50:BQ64" si="67">MOD(BN50-1,3)+1</f>
        <v>1</v>
      </c>
      <c r="BR50" s="109">
        <v>120</v>
      </c>
      <c r="BS50" s="109">
        <v>180</v>
      </c>
      <c r="BT50" s="112">
        <v>4</v>
      </c>
      <c r="BU50" s="14">
        <f t="shared" si="31"/>
        <v>11161</v>
      </c>
      <c r="BV50" s="118">
        <v>1</v>
      </c>
      <c r="BW50" s="14">
        <f t="shared" si="32"/>
        <v>116</v>
      </c>
      <c r="BX50" s="118" t="s">
        <v>1052</v>
      </c>
      <c r="BY50" s="14">
        <f t="shared" si="33"/>
        <v>1</v>
      </c>
      <c r="BZ50" s="118" t="str">
        <f t="shared" si="34"/>
        <v>钻石100橙色基础材料6金币10800</v>
      </c>
      <c r="CA50" s="14">
        <f t="shared" si="35"/>
        <v>10</v>
      </c>
      <c r="CB50" s="115" t="s">
        <v>22</v>
      </c>
      <c r="CC50" s="115">
        <v>100</v>
      </c>
      <c r="CD50" s="112" t="str">
        <f>INDEX(挂机升级突破!$BX$4:$CB$4,章节关卡!BT50)</f>
        <v>橙色基础材料</v>
      </c>
      <c r="CE50" s="115">
        <f>ROUND(INDEX(挂机升级突破!$Q$7:$U$37,BO50+2,章节关卡!BT50)/INDEX(挂机升级突破!$Q$5:$U$5,章节关卡!BT50)*章节关卡!BS50,0)</f>
        <v>6</v>
      </c>
      <c r="CF50" s="109" t="s">
        <v>162</v>
      </c>
      <c r="CG50" s="109">
        <f t="shared" si="61"/>
        <v>10800</v>
      </c>
      <c r="CJ50" s="115">
        <f t="shared" si="62"/>
        <v>16</v>
      </c>
      <c r="CK50" s="115">
        <f t="shared" si="63"/>
        <v>95</v>
      </c>
      <c r="CL50" s="118">
        <v>1</v>
      </c>
      <c r="CM50" s="109">
        <f t="shared" si="64"/>
        <v>180</v>
      </c>
      <c r="CN50" s="109">
        <f t="shared" si="65"/>
        <v>360</v>
      </c>
      <c r="CO50" s="115">
        <v>8</v>
      </c>
      <c r="CP50" s="14">
        <f t="shared" si="36"/>
        <v>12161</v>
      </c>
      <c r="CQ50" s="118">
        <v>2</v>
      </c>
      <c r="CR50" s="14">
        <f t="shared" si="37"/>
        <v>216</v>
      </c>
      <c r="CS50" s="118" t="s">
        <v>1052</v>
      </c>
      <c r="CT50" s="14">
        <f t="shared" si="38"/>
        <v>1</v>
      </c>
      <c r="CU50" s="118" t="str">
        <f t="shared" si="39"/>
        <v>钻石100银母9金币16200</v>
      </c>
      <c r="CV50" s="14">
        <f t="shared" si="40"/>
        <v>10</v>
      </c>
      <c r="CW50" s="115" t="s">
        <v>270</v>
      </c>
      <c r="CX50" s="115">
        <v>100</v>
      </c>
      <c r="CY50" s="115" t="str">
        <f>INDEX(挂机升级突破!$BX$4:$CG$4,章节关卡!CO50)</f>
        <v>银母</v>
      </c>
      <c r="CZ50" s="115">
        <f>ROUND(INDEX(挂机升级突破!$Q$7:$Z$37,CJ50+3,章节关卡!CO50)/INDEX(挂机升级突破!$Q$5:$Z$5,章节关卡!CO50)*章节关卡!CN50,0)</f>
        <v>9</v>
      </c>
      <c r="DA50" s="109" t="s">
        <v>265</v>
      </c>
      <c r="DB50" s="115">
        <f t="shared" si="66"/>
        <v>16200</v>
      </c>
      <c r="DE50" s="118">
        <v>46</v>
      </c>
      <c r="DF50" s="14">
        <f t="shared" si="41"/>
        <v>16</v>
      </c>
      <c r="DG50" s="118">
        <f t="shared" si="42"/>
        <v>85</v>
      </c>
      <c r="DH50" s="118">
        <v>90</v>
      </c>
      <c r="DI50" s="118">
        <f t="shared" si="43"/>
        <v>21161</v>
      </c>
      <c r="DJ50" s="118">
        <v>1</v>
      </c>
      <c r="DK50" s="14">
        <f t="shared" si="50"/>
        <v>116</v>
      </c>
      <c r="DL50" s="118" t="s">
        <v>1062</v>
      </c>
      <c r="DM50" s="118">
        <v>1</v>
      </c>
      <c r="DN50" s="118" t="str">
        <f t="shared" si="44"/>
        <v>钻石20守护灵初级抽卡券2守护灵经验14400</v>
      </c>
      <c r="DO50" s="14">
        <f t="shared" si="51"/>
        <v>11609</v>
      </c>
      <c r="DP50" s="118" t="s">
        <v>1065</v>
      </c>
      <c r="DQ50" s="118">
        <v>20</v>
      </c>
      <c r="DR50" s="118" t="s">
        <v>1066</v>
      </c>
      <c r="DS50" s="118">
        <v>2</v>
      </c>
      <c r="DT50" s="118" t="s">
        <v>1067</v>
      </c>
      <c r="DU50" s="118">
        <f t="shared" si="45"/>
        <v>14400</v>
      </c>
    </row>
    <row r="51" spans="16:125" ht="16.5" x14ac:dyDescent="0.2">
      <c r="P51" s="15"/>
      <c r="AP51" s="24">
        <v>47</v>
      </c>
      <c r="AQ51" s="14">
        <f t="shared" si="21"/>
        <v>12</v>
      </c>
      <c r="AR51" s="109">
        <f t="shared" si="22"/>
        <v>3</v>
      </c>
      <c r="AS51" s="109">
        <f t="shared" si="23"/>
        <v>22</v>
      </c>
      <c r="AT51" s="109">
        <f t="shared" si="24"/>
        <v>63</v>
      </c>
      <c r="AU51" s="109">
        <f t="shared" si="25"/>
        <v>106</v>
      </c>
      <c r="AX51" s="109">
        <v>47</v>
      </c>
      <c r="AY51" s="14">
        <f t="shared" si="0"/>
        <v>5</v>
      </c>
      <c r="AZ51" s="14">
        <f t="shared" si="26"/>
        <v>7</v>
      </c>
      <c r="BA51" s="14">
        <f t="shared" si="53"/>
        <v>180</v>
      </c>
      <c r="BB51" s="14">
        <f t="shared" si="1"/>
        <v>900</v>
      </c>
      <c r="BC51" s="14">
        <f t="shared" si="2"/>
        <v>2025</v>
      </c>
      <c r="BF51" s="109">
        <v>47</v>
      </c>
      <c r="BG51" s="14">
        <f t="shared" si="27"/>
        <v>5</v>
      </c>
      <c r="BH51" s="14">
        <f t="shared" si="28"/>
        <v>7</v>
      </c>
      <c r="BI51" s="14">
        <f t="shared" si="3"/>
        <v>450</v>
      </c>
      <c r="BJ51" s="14">
        <f t="shared" si="4"/>
        <v>1800</v>
      </c>
      <c r="BK51" s="14">
        <f t="shared" si="5"/>
        <v>4050</v>
      </c>
      <c r="BN51" s="109">
        <v>47</v>
      </c>
      <c r="BO51" s="109">
        <f t="shared" si="29"/>
        <v>16</v>
      </c>
      <c r="BP51" s="112">
        <f t="shared" si="30"/>
        <v>85</v>
      </c>
      <c r="BQ51" s="109">
        <f t="shared" si="67"/>
        <v>2</v>
      </c>
      <c r="BR51" s="109">
        <v>240</v>
      </c>
      <c r="BS51" s="109">
        <v>360</v>
      </c>
      <c r="BT51" s="112">
        <v>4</v>
      </c>
      <c r="BU51" s="14">
        <f t="shared" si="31"/>
        <v>11162</v>
      </c>
      <c r="BV51" s="118">
        <v>1</v>
      </c>
      <c r="BW51" s="14">
        <f t="shared" si="32"/>
        <v>116</v>
      </c>
      <c r="BX51" s="118" t="s">
        <v>1052</v>
      </c>
      <c r="BY51" s="14">
        <f t="shared" si="33"/>
        <v>2</v>
      </c>
      <c r="BZ51" s="118" t="str">
        <f t="shared" si="34"/>
        <v>守护灵抽卡券2橙色基础材料12金币21600</v>
      </c>
      <c r="CA51" s="14">
        <f t="shared" si="35"/>
        <v>20</v>
      </c>
      <c r="CB51" s="115" t="s">
        <v>271</v>
      </c>
      <c r="CC51" s="115">
        <v>2</v>
      </c>
      <c r="CD51" s="112" t="str">
        <f>INDEX(挂机升级突破!$BX$4:$CB$4,章节关卡!BT51)</f>
        <v>橙色基础材料</v>
      </c>
      <c r="CE51" s="115">
        <f>ROUND(INDEX(挂机升级突破!$Q$7:$U$37,BO51+2,章节关卡!BT51)/INDEX(挂机升级突破!$Q$5:$U$5,章节关卡!BT51)*章节关卡!BS51,0)</f>
        <v>12</v>
      </c>
      <c r="CF51" s="109" t="s">
        <v>162</v>
      </c>
      <c r="CG51" s="109">
        <f t="shared" si="61"/>
        <v>21600</v>
      </c>
      <c r="CJ51" s="115">
        <f t="shared" si="62"/>
        <v>16</v>
      </c>
      <c r="CK51" s="115">
        <f t="shared" si="63"/>
        <v>95</v>
      </c>
      <c r="CL51" s="118">
        <v>2</v>
      </c>
      <c r="CM51" s="109">
        <f t="shared" si="64"/>
        <v>360</v>
      </c>
      <c r="CN51" s="109">
        <f t="shared" si="65"/>
        <v>720</v>
      </c>
      <c r="CO51" s="115">
        <v>8</v>
      </c>
      <c r="CP51" s="14">
        <f t="shared" si="36"/>
        <v>12162</v>
      </c>
      <c r="CQ51" s="118">
        <v>2</v>
      </c>
      <c r="CR51" s="14">
        <f t="shared" si="37"/>
        <v>216</v>
      </c>
      <c r="CS51" s="118" t="s">
        <v>1052</v>
      </c>
      <c r="CT51" s="14">
        <f t="shared" si="38"/>
        <v>2</v>
      </c>
      <c r="CU51" s="118" t="str">
        <f t="shared" si="39"/>
        <v>熔炼值2750银母18金币32400</v>
      </c>
      <c r="CV51" s="14">
        <f t="shared" si="40"/>
        <v>20</v>
      </c>
      <c r="CW51" s="115" t="s">
        <v>1031</v>
      </c>
      <c r="CX51" s="115">
        <v>2750</v>
      </c>
      <c r="CY51" s="115" t="str">
        <f>INDEX(挂机升级突破!$BX$4:$CG$4,章节关卡!CO51)</f>
        <v>银母</v>
      </c>
      <c r="CZ51" s="115">
        <f>ROUND(INDEX(挂机升级突破!$Q$7:$Z$37,CJ51+3,章节关卡!CO51)/INDEX(挂机升级突破!$Q$5:$Z$5,章节关卡!CO51)*章节关卡!CN51,0)</f>
        <v>18</v>
      </c>
      <c r="DA51" s="109" t="s">
        <v>265</v>
      </c>
      <c r="DB51" s="115">
        <f t="shared" si="66"/>
        <v>32400</v>
      </c>
      <c r="DE51" s="118">
        <v>47</v>
      </c>
      <c r="DF51" s="14">
        <f t="shared" si="41"/>
        <v>16</v>
      </c>
      <c r="DG51" s="118">
        <f t="shared" si="42"/>
        <v>85</v>
      </c>
      <c r="DH51" s="118">
        <v>120</v>
      </c>
      <c r="DI51" s="118">
        <f t="shared" si="43"/>
        <v>21162</v>
      </c>
      <c r="DJ51" s="118">
        <v>1</v>
      </c>
      <c r="DK51" s="14">
        <f t="shared" si="50"/>
        <v>116</v>
      </c>
      <c r="DL51" s="118" t="s">
        <v>1062</v>
      </c>
      <c r="DM51" s="118">
        <v>2</v>
      </c>
      <c r="DN51" s="118" t="str">
        <f t="shared" si="44"/>
        <v>钻石30守护灵初级抽卡券3守护灵经验19200</v>
      </c>
      <c r="DO51" s="14">
        <f t="shared" si="51"/>
        <v>11609</v>
      </c>
      <c r="DP51" s="118" t="s">
        <v>1065</v>
      </c>
      <c r="DQ51" s="118">
        <v>30</v>
      </c>
      <c r="DR51" s="118" t="s">
        <v>1066</v>
      </c>
      <c r="DS51" s="118">
        <v>3</v>
      </c>
      <c r="DT51" s="118" t="s">
        <v>1067</v>
      </c>
      <c r="DU51" s="118">
        <f t="shared" si="45"/>
        <v>19200</v>
      </c>
    </row>
    <row r="52" spans="16:125" ht="16.5" x14ac:dyDescent="0.2">
      <c r="P52" s="15"/>
      <c r="AP52" s="24">
        <v>48</v>
      </c>
      <c r="AQ52" s="14">
        <f t="shared" si="21"/>
        <v>12</v>
      </c>
      <c r="AR52" s="109">
        <f t="shared" si="22"/>
        <v>4</v>
      </c>
      <c r="AS52" s="109">
        <f t="shared" si="23"/>
        <v>22</v>
      </c>
      <c r="AT52" s="109">
        <f t="shared" si="24"/>
        <v>64</v>
      </c>
      <c r="AU52" s="109">
        <f t="shared" si="25"/>
        <v>108</v>
      </c>
      <c r="AX52" s="109">
        <v>48</v>
      </c>
      <c r="AY52" s="14">
        <f t="shared" si="0"/>
        <v>5</v>
      </c>
      <c r="AZ52" s="14">
        <f t="shared" si="26"/>
        <v>8</v>
      </c>
      <c r="BA52" s="14">
        <f t="shared" si="53"/>
        <v>180</v>
      </c>
      <c r="BB52" s="14">
        <f t="shared" si="1"/>
        <v>900</v>
      </c>
      <c r="BC52" s="14">
        <f t="shared" si="2"/>
        <v>2025</v>
      </c>
      <c r="BF52" s="109">
        <v>48</v>
      </c>
      <c r="BG52" s="14">
        <f t="shared" si="27"/>
        <v>5</v>
      </c>
      <c r="BH52" s="14">
        <f t="shared" si="28"/>
        <v>8</v>
      </c>
      <c r="BI52" s="14">
        <f t="shared" si="3"/>
        <v>450</v>
      </c>
      <c r="BJ52" s="14">
        <f t="shared" si="4"/>
        <v>1800</v>
      </c>
      <c r="BK52" s="14">
        <f t="shared" si="5"/>
        <v>4050</v>
      </c>
      <c r="BN52" s="109">
        <v>48</v>
      </c>
      <c r="BO52" s="109">
        <f t="shared" si="29"/>
        <v>16</v>
      </c>
      <c r="BP52" s="112">
        <f t="shared" si="30"/>
        <v>85</v>
      </c>
      <c r="BQ52" s="109">
        <f t="shared" si="67"/>
        <v>3</v>
      </c>
      <c r="BR52" s="109">
        <v>360</v>
      </c>
      <c r="BS52" s="109">
        <v>540</v>
      </c>
      <c r="BT52" s="112">
        <v>4</v>
      </c>
      <c r="BU52" s="14">
        <f t="shared" si="31"/>
        <v>11163</v>
      </c>
      <c r="BV52" s="118">
        <v>1</v>
      </c>
      <c r="BW52" s="14">
        <f t="shared" si="32"/>
        <v>116</v>
      </c>
      <c r="BX52" s="118" t="s">
        <v>1052</v>
      </c>
      <c r="BY52" s="14">
        <f t="shared" si="33"/>
        <v>3</v>
      </c>
      <c r="BZ52" s="118" t="str">
        <f t="shared" si="34"/>
        <v>守护灵抽卡券3橙色基础材料18金币32400</v>
      </c>
      <c r="CA52" s="14">
        <f t="shared" si="35"/>
        <v>30</v>
      </c>
      <c r="CB52" s="115" t="s">
        <v>271</v>
      </c>
      <c r="CC52" s="115">
        <v>3</v>
      </c>
      <c r="CD52" s="112" t="str">
        <f>INDEX(挂机升级突破!$BX$4:$CB$4,章节关卡!BT52)</f>
        <v>橙色基础材料</v>
      </c>
      <c r="CE52" s="115">
        <f>ROUND(INDEX(挂机升级突破!$Q$7:$U$37,BO52+2,章节关卡!BT52)/INDEX(挂机升级突破!$Q$5:$U$5,章节关卡!BT52)*章节关卡!BS52,0)</f>
        <v>18</v>
      </c>
      <c r="CF52" s="109" t="s">
        <v>162</v>
      </c>
      <c r="CG52" s="109">
        <f t="shared" si="61"/>
        <v>32400</v>
      </c>
      <c r="CJ52" s="115">
        <f t="shared" si="62"/>
        <v>16</v>
      </c>
      <c r="CK52" s="115">
        <f t="shared" si="63"/>
        <v>95</v>
      </c>
      <c r="CL52" s="118">
        <v>3</v>
      </c>
      <c r="CM52" s="109">
        <f t="shared" si="64"/>
        <v>540</v>
      </c>
      <c r="CN52" s="109">
        <f t="shared" si="65"/>
        <v>1080</v>
      </c>
      <c r="CO52" s="115">
        <v>8</v>
      </c>
      <c r="CP52" s="14">
        <f t="shared" si="36"/>
        <v>12163</v>
      </c>
      <c r="CQ52" s="118">
        <v>2</v>
      </c>
      <c r="CR52" s="14">
        <f t="shared" si="37"/>
        <v>216</v>
      </c>
      <c r="CS52" s="118" t="s">
        <v>1052</v>
      </c>
      <c r="CT52" s="14">
        <f t="shared" si="38"/>
        <v>3</v>
      </c>
      <c r="CU52" s="118" t="str">
        <f t="shared" si="39"/>
        <v>守护灵抽卡券5银母27金币48600</v>
      </c>
      <c r="CV52" s="14">
        <f t="shared" si="40"/>
        <v>30</v>
      </c>
      <c r="CW52" s="115" t="s">
        <v>1030</v>
      </c>
      <c r="CX52" s="115">
        <v>5</v>
      </c>
      <c r="CY52" s="115" t="str">
        <f>INDEX(挂机升级突破!$BX$4:$CG$4,章节关卡!CO52)</f>
        <v>银母</v>
      </c>
      <c r="CZ52" s="115">
        <f>ROUND(INDEX(挂机升级突破!$Q$7:$Z$37,CJ52+3,章节关卡!CO52)/INDEX(挂机升级突破!$Q$5:$Z$5,章节关卡!CO52)*章节关卡!CN52,0)</f>
        <v>27</v>
      </c>
      <c r="DA52" s="109" t="s">
        <v>265</v>
      </c>
      <c r="DB52" s="115">
        <f t="shared" si="66"/>
        <v>48600</v>
      </c>
      <c r="DE52" s="118">
        <v>48</v>
      </c>
      <c r="DF52" s="14">
        <f t="shared" si="41"/>
        <v>16</v>
      </c>
      <c r="DG52" s="118">
        <f t="shared" si="42"/>
        <v>85</v>
      </c>
      <c r="DH52" s="118">
        <v>150</v>
      </c>
      <c r="DI52" s="118">
        <f t="shared" si="43"/>
        <v>21163</v>
      </c>
      <c r="DJ52" s="118">
        <v>1</v>
      </c>
      <c r="DK52" s="14">
        <f t="shared" si="50"/>
        <v>116</v>
      </c>
      <c r="DL52" s="118" t="s">
        <v>1062</v>
      </c>
      <c r="DM52" s="118">
        <v>3</v>
      </c>
      <c r="DN52" s="118" t="str">
        <f t="shared" si="44"/>
        <v>钻石50守护灵初级抽卡券5守护灵经验24000</v>
      </c>
      <c r="DO52" s="14">
        <f t="shared" si="51"/>
        <v>11609</v>
      </c>
      <c r="DP52" s="118" t="s">
        <v>1065</v>
      </c>
      <c r="DQ52" s="118">
        <v>50</v>
      </c>
      <c r="DR52" s="118" t="s">
        <v>1066</v>
      </c>
      <c r="DS52" s="118">
        <v>5</v>
      </c>
      <c r="DT52" s="118" t="s">
        <v>1067</v>
      </c>
      <c r="DU52" s="118">
        <f t="shared" si="45"/>
        <v>24000</v>
      </c>
    </row>
    <row r="53" spans="16:125" ht="16.5" x14ac:dyDescent="0.2">
      <c r="P53" s="15"/>
      <c r="AP53" s="24">
        <v>49</v>
      </c>
      <c r="AQ53" s="14">
        <f t="shared" si="21"/>
        <v>13</v>
      </c>
      <c r="AR53" s="109">
        <f t="shared" si="22"/>
        <v>1</v>
      </c>
      <c r="AS53" s="109">
        <f t="shared" si="23"/>
        <v>25</v>
      </c>
      <c r="AT53" s="109">
        <f t="shared" si="24"/>
        <v>66</v>
      </c>
      <c r="AU53" s="109">
        <f t="shared" si="25"/>
        <v>113</v>
      </c>
      <c r="AX53" s="109">
        <v>49</v>
      </c>
      <c r="AY53" s="14">
        <f t="shared" si="0"/>
        <v>5</v>
      </c>
      <c r="AZ53" s="14">
        <f t="shared" si="26"/>
        <v>9</v>
      </c>
      <c r="BA53" s="14">
        <f t="shared" si="53"/>
        <v>180</v>
      </c>
      <c r="BB53" s="14">
        <f t="shared" si="1"/>
        <v>900</v>
      </c>
      <c r="BC53" s="14">
        <f t="shared" si="2"/>
        <v>2025</v>
      </c>
      <c r="BF53" s="109">
        <v>49</v>
      </c>
      <c r="BG53" s="14">
        <f t="shared" si="27"/>
        <v>5</v>
      </c>
      <c r="BH53" s="14">
        <f t="shared" si="28"/>
        <v>9</v>
      </c>
      <c r="BI53" s="14">
        <f t="shared" si="3"/>
        <v>450</v>
      </c>
      <c r="BJ53" s="14">
        <f t="shared" si="4"/>
        <v>1800</v>
      </c>
      <c r="BK53" s="14">
        <f t="shared" si="5"/>
        <v>4050</v>
      </c>
      <c r="BN53" s="109">
        <v>49</v>
      </c>
      <c r="BO53" s="109">
        <f t="shared" si="29"/>
        <v>17</v>
      </c>
      <c r="BP53" s="112">
        <f t="shared" si="30"/>
        <v>90</v>
      </c>
      <c r="BQ53" s="109">
        <f t="shared" si="67"/>
        <v>1</v>
      </c>
      <c r="BR53" s="109">
        <v>120</v>
      </c>
      <c r="BS53" s="109">
        <v>180</v>
      </c>
      <c r="BT53" s="112">
        <v>4</v>
      </c>
      <c r="BU53" s="14">
        <f t="shared" si="31"/>
        <v>11171</v>
      </c>
      <c r="BV53" s="118">
        <v>1</v>
      </c>
      <c r="BW53" s="14">
        <f t="shared" si="32"/>
        <v>117</v>
      </c>
      <c r="BX53" s="118" t="s">
        <v>1052</v>
      </c>
      <c r="BY53" s="14">
        <f t="shared" si="33"/>
        <v>1</v>
      </c>
      <c r="BZ53" s="118" t="str">
        <f t="shared" si="34"/>
        <v>钻石100橙色基础材料11金币12000</v>
      </c>
      <c r="CA53" s="14">
        <f t="shared" si="35"/>
        <v>10</v>
      </c>
      <c r="CB53" s="115" t="s">
        <v>22</v>
      </c>
      <c r="CC53" s="115">
        <v>100</v>
      </c>
      <c r="CD53" s="112" t="str">
        <f>INDEX(挂机升级突破!$BX$4:$CB$4,章节关卡!BT53)</f>
        <v>橙色基础材料</v>
      </c>
      <c r="CE53" s="115">
        <f>ROUND(INDEX(挂机升级突破!$Q$7:$U$37,BO53+2,章节关卡!BT53)/INDEX(挂机升级突破!$Q$5:$U$5,章节关卡!BT53)*章节关卡!BS53,0)</f>
        <v>11</v>
      </c>
      <c r="CF53" s="109" t="s">
        <v>162</v>
      </c>
      <c r="CG53" s="109">
        <f t="shared" si="61"/>
        <v>12000</v>
      </c>
      <c r="CJ53" s="115">
        <f t="shared" si="62"/>
        <v>17</v>
      </c>
      <c r="CK53" s="115">
        <f t="shared" si="63"/>
        <v>100</v>
      </c>
      <c r="CL53" s="118">
        <v>1</v>
      </c>
      <c r="CM53" s="109">
        <f t="shared" si="64"/>
        <v>180</v>
      </c>
      <c r="CN53" s="109">
        <f t="shared" si="65"/>
        <v>360</v>
      </c>
      <c r="CO53" s="115">
        <v>8</v>
      </c>
      <c r="CP53" s="14">
        <f t="shared" si="36"/>
        <v>12171</v>
      </c>
      <c r="CQ53" s="118">
        <v>2</v>
      </c>
      <c r="CR53" s="14">
        <f t="shared" si="37"/>
        <v>217</v>
      </c>
      <c r="CS53" s="118" t="s">
        <v>1052</v>
      </c>
      <c r="CT53" s="14">
        <f t="shared" si="38"/>
        <v>1</v>
      </c>
      <c r="CU53" s="118" t="str">
        <f t="shared" si="39"/>
        <v>钻石100银母12金币18000</v>
      </c>
      <c r="CV53" s="14">
        <f t="shared" si="40"/>
        <v>10</v>
      </c>
      <c r="CW53" s="115" t="s">
        <v>270</v>
      </c>
      <c r="CX53" s="115">
        <v>100</v>
      </c>
      <c r="CY53" s="115" t="str">
        <f>INDEX(挂机升级突破!$BX$4:$CG$4,章节关卡!CO53)</f>
        <v>银母</v>
      </c>
      <c r="CZ53" s="115">
        <f>ROUND(INDEX(挂机升级突破!$Q$7:$Z$37,CJ53+3,章节关卡!CO53)/INDEX(挂机升级突破!$Q$5:$Z$5,章节关卡!CO53)*章节关卡!CN53,0)</f>
        <v>12</v>
      </c>
      <c r="DA53" s="109" t="s">
        <v>265</v>
      </c>
      <c r="DB53" s="115">
        <f t="shared" si="66"/>
        <v>18000</v>
      </c>
      <c r="DE53" s="118">
        <v>49</v>
      </c>
      <c r="DF53" s="14">
        <f t="shared" si="41"/>
        <v>17</v>
      </c>
      <c r="DG53" s="118">
        <f t="shared" si="42"/>
        <v>90</v>
      </c>
      <c r="DH53" s="118">
        <v>90</v>
      </c>
      <c r="DI53" s="118">
        <f t="shared" si="43"/>
        <v>21171</v>
      </c>
      <c r="DJ53" s="118">
        <v>1</v>
      </c>
      <c r="DK53" s="14">
        <f t="shared" si="50"/>
        <v>117</v>
      </c>
      <c r="DL53" s="118" t="s">
        <v>1062</v>
      </c>
      <c r="DM53" s="118">
        <v>1</v>
      </c>
      <c r="DN53" s="118" t="str">
        <f t="shared" si="44"/>
        <v>钻石20守护灵初级抽卡券2守护灵经验15750</v>
      </c>
      <c r="DO53" s="14">
        <f t="shared" si="51"/>
        <v>11709</v>
      </c>
      <c r="DP53" s="118" t="s">
        <v>1065</v>
      </c>
      <c r="DQ53" s="118">
        <v>20</v>
      </c>
      <c r="DR53" s="118" t="s">
        <v>1066</v>
      </c>
      <c r="DS53" s="118">
        <v>2</v>
      </c>
      <c r="DT53" s="118" t="s">
        <v>1067</v>
      </c>
      <c r="DU53" s="118">
        <f t="shared" si="45"/>
        <v>15750</v>
      </c>
    </row>
    <row r="54" spans="16:125" ht="16.5" x14ac:dyDescent="0.2">
      <c r="P54" s="15"/>
      <c r="AP54" s="24">
        <v>50</v>
      </c>
      <c r="AQ54" s="14">
        <f t="shared" si="21"/>
        <v>13</v>
      </c>
      <c r="AR54" s="109">
        <f t="shared" si="22"/>
        <v>2</v>
      </c>
      <c r="AS54" s="109">
        <f t="shared" si="23"/>
        <v>25</v>
      </c>
      <c r="AT54" s="109">
        <f t="shared" si="24"/>
        <v>67</v>
      </c>
      <c r="AU54" s="109">
        <f t="shared" si="25"/>
        <v>116</v>
      </c>
      <c r="AX54" s="109">
        <v>50</v>
      </c>
      <c r="AY54" s="14">
        <f t="shared" si="0"/>
        <v>5</v>
      </c>
      <c r="AZ54" s="14">
        <f t="shared" si="26"/>
        <v>10</v>
      </c>
      <c r="BA54" s="14">
        <f t="shared" si="53"/>
        <v>180</v>
      </c>
      <c r="BB54" s="14">
        <f t="shared" si="1"/>
        <v>900</v>
      </c>
      <c r="BC54" s="14">
        <f t="shared" si="2"/>
        <v>2025</v>
      </c>
      <c r="BF54" s="109">
        <v>50</v>
      </c>
      <c r="BG54" s="14">
        <f t="shared" si="27"/>
        <v>5</v>
      </c>
      <c r="BH54" s="14">
        <f t="shared" si="28"/>
        <v>10</v>
      </c>
      <c r="BI54" s="14">
        <f t="shared" si="3"/>
        <v>450</v>
      </c>
      <c r="BJ54" s="14">
        <f t="shared" si="4"/>
        <v>1800</v>
      </c>
      <c r="BK54" s="14">
        <f t="shared" si="5"/>
        <v>4050</v>
      </c>
      <c r="BN54" s="109">
        <v>50</v>
      </c>
      <c r="BO54" s="109">
        <f t="shared" si="29"/>
        <v>17</v>
      </c>
      <c r="BP54" s="112">
        <f t="shared" si="30"/>
        <v>90</v>
      </c>
      <c r="BQ54" s="109">
        <f t="shared" si="67"/>
        <v>2</v>
      </c>
      <c r="BR54" s="109">
        <v>240</v>
      </c>
      <c r="BS54" s="109">
        <v>360</v>
      </c>
      <c r="BT54" s="112">
        <v>4</v>
      </c>
      <c r="BU54" s="14">
        <f t="shared" si="31"/>
        <v>11172</v>
      </c>
      <c r="BV54" s="118">
        <v>1</v>
      </c>
      <c r="BW54" s="14">
        <f t="shared" si="32"/>
        <v>117</v>
      </c>
      <c r="BX54" s="118" t="s">
        <v>1052</v>
      </c>
      <c r="BY54" s="14">
        <f t="shared" si="33"/>
        <v>2</v>
      </c>
      <c r="BZ54" s="118" t="str">
        <f t="shared" si="34"/>
        <v>守护灵抽卡券2橙色基础材料21金币24000</v>
      </c>
      <c r="CA54" s="14">
        <f t="shared" si="35"/>
        <v>20</v>
      </c>
      <c r="CB54" s="115" t="s">
        <v>271</v>
      </c>
      <c r="CC54" s="115">
        <v>2</v>
      </c>
      <c r="CD54" s="112" t="str">
        <f>INDEX(挂机升级突破!$BX$4:$CB$4,章节关卡!BT54)</f>
        <v>橙色基础材料</v>
      </c>
      <c r="CE54" s="115">
        <f>ROUND(INDEX(挂机升级突破!$Q$7:$U$37,BO54+2,章节关卡!BT54)/INDEX(挂机升级突破!$Q$5:$U$5,章节关卡!BT54)*章节关卡!BS54,0)</f>
        <v>21</v>
      </c>
      <c r="CF54" s="109" t="s">
        <v>162</v>
      </c>
      <c r="CG54" s="109">
        <f t="shared" si="61"/>
        <v>24000</v>
      </c>
      <c r="CJ54" s="115">
        <f t="shared" si="62"/>
        <v>17</v>
      </c>
      <c r="CK54" s="115">
        <f t="shared" si="63"/>
        <v>100</v>
      </c>
      <c r="CL54" s="118">
        <v>2</v>
      </c>
      <c r="CM54" s="109">
        <f t="shared" si="64"/>
        <v>360</v>
      </c>
      <c r="CN54" s="109">
        <f t="shared" si="65"/>
        <v>720</v>
      </c>
      <c r="CO54" s="115">
        <v>8</v>
      </c>
      <c r="CP54" s="14">
        <f t="shared" si="36"/>
        <v>12172</v>
      </c>
      <c r="CQ54" s="118">
        <v>2</v>
      </c>
      <c r="CR54" s="14">
        <f t="shared" si="37"/>
        <v>217</v>
      </c>
      <c r="CS54" s="118" t="s">
        <v>1052</v>
      </c>
      <c r="CT54" s="14">
        <f t="shared" si="38"/>
        <v>2</v>
      </c>
      <c r="CU54" s="118" t="str">
        <f t="shared" si="39"/>
        <v>熔炼值3000银母23金币36000</v>
      </c>
      <c r="CV54" s="14">
        <f t="shared" si="40"/>
        <v>20</v>
      </c>
      <c r="CW54" s="115" t="s">
        <v>1031</v>
      </c>
      <c r="CX54" s="115">
        <v>3000</v>
      </c>
      <c r="CY54" s="115" t="str">
        <f>INDEX(挂机升级突破!$BX$4:$CG$4,章节关卡!CO54)</f>
        <v>银母</v>
      </c>
      <c r="CZ54" s="115">
        <f>ROUND(INDEX(挂机升级突破!$Q$7:$Z$37,CJ54+3,章节关卡!CO54)/INDEX(挂机升级突破!$Q$5:$Z$5,章节关卡!CO54)*章节关卡!CN54,0)</f>
        <v>23</v>
      </c>
      <c r="DA54" s="109" t="s">
        <v>265</v>
      </c>
      <c r="DB54" s="115">
        <f t="shared" si="66"/>
        <v>36000</v>
      </c>
      <c r="DE54" s="118">
        <v>50</v>
      </c>
      <c r="DF54" s="14">
        <f t="shared" si="41"/>
        <v>17</v>
      </c>
      <c r="DG54" s="118">
        <f t="shared" si="42"/>
        <v>90</v>
      </c>
      <c r="DH54" s="118">
        <v>120</v>
      </c>
      <c r="DI54" s="118">
        <f t="shared" si="43"/>
        <v>21172</v>
      </c>
      <c r="DJ54" s="118">
        <v>1</v>
      </c>
      <c r="DK54" s="14">
        <f t="shared" si="50"/>
        <v>117</v>
      </c>
      <c r="DL54" s="118" t="s">
        <v>1062</v>
      </c>
      <c r="DM54" s="118">
        <v>2</v>
      </c>
      <c r="DN54" s="118" t="str">
        <f t="shared" si="44"/>
        <v>钻石30守护灵初级抽卡券3守护灵经验21000</v>
      </c>
      <c r="DO54" s="14">
        <f t="shared" si="51"/>
        <v>11709</v>
      </c>
      <c r="DP54" s="118" t="s">
        <v>1065</v>
      </c>
      <c r="DQ54" s="118">
        <v>30</v>
      </c>
      <c r="DR54" s="118" t="s">
        <v>1066</v>
      </c>
      <c r="DS54" s="118">
        <v>3</v>
      </c>
      <c r="DT54" s="118" t="s">
        <v>1067</v>
      </c>
      <c r="DU54" s="118">
        <f t="shared" si="45"/>
        <v>21000</v>
      </c>
    </row>
    <row r="55" spans="16:125" ht="16.5" x14ac:dyDescent="0.2">
      <c r="P55" s="15"/>
      <c r="AP55" s="24">
        <v>51</v>
      </c>
      <c r="AQ55" s="14">
        <f t="shared" si="21"/>
        <v>13</v>
      </c>
      <c r="AR55" s="109">
        <f t="shared" si="22"/>
        <v>3</v>
      </c>
      <c r="AS55" s="109">
        <f t="shared" si="23"/>
        <v>25</v>
      </c>
      <c r="AT55" s="109">
        <f t="shared" si="24"/>
        <v>68</v>
      </c>
      <c r="AU55" s="109">
        <f t="shared" si="25"/>
        <v>119</v>
      </c>
      <c r="AX55" s="109">
        <v>51</v>
      </c>
      <c r="AY55" s="14">
        <f t="shared" si="0"/>
        <v>6</v>
      </c>
      <c r="AZ55" s="14">
        <f t="shared" si="26"/>
        <v>1</v>
      </c>
      <c r="BA55" s="14">
        <f t="shared" si="53"/>
        <v>200</v>
      </c>
      <c r="BB55" s="14">
        <f t="shared" si="1"/>
        <v>1050</v>
      </c>
      <c r="BC55" s="14">
        <f t="shared" si="2"/>
        <v>2250</v>
      </c>
      <c r="BF55" s="109">
        <v>51</v>
      </c>
      <c r="BG55" s="14">
        <f t="shared" si="27"/>
        <v>6</v>
      </c>
      <c r="BH55" s="14">
        <f t="shared" si="28"/>
        <v>1</v>
      </c>
      <c r="BI55" s="14">
        <f t="shared" si="3"/>
        <v>600</v>
      </c>
      <c r="BJ55" s="14">
        <f t="shared" si="4"/>
        <v>2100</v>
      </c>
      <c r="BK55" s="14">
        <f t="shared" si="5"/>
        <v>4500</v>
      </c>
      <c r="BN55" s="109">
        <v>51</v>
      </c>
      <c r="BO55" s="109">
        <f t="shared" si="29"/>
        <v>17</v>
      </c>
      <c r="BP55" s="112">
        <f t="shared" si="30"/>
        <v>90</v>
      </c>
      <c r="BQ55" s="109">
        <f t="shared" si="67"/>
        <v>3</v>
      </c>
      <c r="BR55" s="109">
        <v>360</v>
      </c>
      <c r="BS55" s="109">
        <v>540</v>
      </c>
      <c r="BT55" s="112">
        <v>4</v>
      </c>
      <c r="BU55" s="14">
        <f t="shared" si="31"/>
        <v>11173</v>
      </c>
      <c r="BV55" s="118">
        <v>1</v>
      </c>
      <c r="BW55" s="14">
        <f t="shared" si="32"/>
        <v>117</v>
      </c>
      <c r="BX55" s="118" t="s">
        <v>1052</v>
      </c>
      <c r="BY55" s="14">
        <f t="shared" si="33"/>
        <v>3</v>
      </c>
      <c r="BZ55" s="118" t="str">
        <f t="shared" si="34"/>
        <v>守护灵抽卡券3橙色基础材料32金币36000</v>
      </c>
      <c r="CA55" s="14">
        <f t="shared" si="35"/>
        <v>30</v>
      </c>
      <c r="CB55" s="115" t="s">
        <v>271</v>
      </c>
      <c r="CC55" s="115">
        <v>3</v>
      </c>
      <c r="CD55" s="112" t="str">
        <f>INDEX(挂机升级突破!$BX$4:$CB$4,章节关卡!BT55)</f>
        <v>橙色基础材料</v>
      </c>
      <c r="CE55" s="115">
        <f>ROUND(INDEX(挂机升级突破!$Q$7:$U$37,BO55+2,章节关卡!BT55)/INDEX(挂机升级突破!$Q$5:$U$5,章节关卡!BT55)*章节关卡!BS55,0)</f>
        <v>32</v>
      </c>
      <c r="CF55" s="109" t="s">
        <v>162</v>
      </c>
      <c r="CG55" s="109">
        <f t="shared" si="61"/>
        <v>36000</v>
      </c>
      <c r="CJ55" s="115">
        <f t="shared" si="62"/>
        <v>17</v>
      </c>
      <c r="CK55" s="115">
        <f t="shared" si="63"/>
        <v>100</v>
      </c>
      <c r="CL55" s="118">
        <v>3</v>
      </c>
      <c r="CM55" s="109">
        <f t="shared" si="64"/>
        <v>540</v>
      </c>
      <c r="CN55" s="109">
        <f t="shared" si="65"/>
        <v>1080</v>
      </c>
      <c r="CO55" s="115">
        <v>8</v>
      </c>
      <c r="CP55" s="14">
        <f t="shared" si="36"/>
        <v>12173</v>
      </c>
      <c r="CQ55" s="118">
        <v>2</v>
      </c>
      <c r="CR55" s="14">
        <f t="shared" si="37"/>
        <v>217</v>
      </c>
      <c r="CS55" s="118" t="s">
        <v>1052</v>
      </c>
      <c r="CT55" s="14">
        <f t="shared" si="38"/>
        <v>3</v>
      </c>
      <c r="CU55" s="118" t="str">
        <f t="shared" si="39"/>
        <v>守护灵抽卡券5银母35金币54000</v>
      </c>
      <c r="CV55" s="14">
        <f t="shared" si="40"/>
        <v>30</v>
      </c>
      <c r="CW55" s="115" t="s">
        <v>1030</v>
      </c>
      <c r="CX55" s="115">
        <v>5</v>
      </c>
      <c r="CY55" s="115" t="str">
        <f>INDEX(挂机升级突破!$BX$4:$CG$4,章节关卡!CO55)</f>
        <v>银母</v>
      </c>
      <c r="CZ55" s="115">
        <f>ROUND(INDEX(挂机升级突破!$Q$7:$Z$37,CJ55+3,章节关卡!CO55)/INDEX(挂机升级突破!$Q$5:$Z$5,章节关卡!CO55)*章节关卡!CN55,0)</f>
        <v>35</v>
      </c>
      <c r="DA55" s="109" t="s">
        <v>265</v>
      </c>
      <c r="DB55" s="115">
        <f t="shared" si="66"/>
        <v>54000</v>
      </c>
      <c r="DE55" s="118">
        <v>51</v>
      </c>
      <c r="DF55" s="14">
        <f t="shared" si="41"/>
        <v>17</v>
      </c>
      <c r="DG55" s="118">
        <f t="shared" si="42"/>
        <v>90</v>
      </c>
      <c r="DH55" s="118">
        <v>150</v>
      </c>
      <c r="DI55" s="118">
        <f t="shared" si="43"/>
        <v>21173</v>
      </c>
      <c r="DJ55" s="118">
        <v>1</v>
      </c>
      <c r="DK55" s="14">
        <f t="shared" si="50"/>
        <v>117</v>
      </c>
      <c r="DL55" s="118" t="s">
        <v>1062</v>
      </c>
      <c r="DM55" s="118">
        <v>3</v>
      </c>
      <c r="DN55" s="118" t="str">
        <f t="shared" si="44"/>
        <v>钻石50守护灵初级抽卡券5守护灵经验26250</v>
      </c>
      <c r="DO55" s="14">
        <f t="shared" si="51"/>
        <v>11709</v>
      </c>
      <c r="DP55" s="118" t="s">
        <v>1065</v>
      </c>
      <c r="DQ55" s="118">
        <v>50</v>
      </c>
      <c r="DR55" s="118" t="s">
        <v>1066</v>
      </c>
      <c r="DS55" s="118">
        <v>5</v>
      </c>
      <c r="DT55" s="118" t="s">
        <v>1067</v>
      </c>
      <c r="DU55" s="118">
        <f t="shared" si="45"/>
        <v>26250</v>
      </c>
    </row>
    <row r="56" spans="16:125" ht="16.5" x14ac:dyDescent="0.2">
      <c r="AP56" s="24">
        <v>52</v>
      </c>
      <c r="AQ56" s="14">
        <f t="shared" si="21"/>
        <v>13</v>
      </c>
      <c r="AR56" s="109">
        <f t="shared" si="22"/>
        <v>4</v>
      </c>
      <c r="AS56" s="109">
        <f t="shared" si="23"/>
        <v>25</v>
      </c>
      <c r="AT56" s="109">
        <f t="shared" si="24"/>
        <v>69</v>
      </c>
      <c r="AU56" s="109">
        <f t="shared" si="25"/>
        <v>122</v>
      </c>
      <c r="AX56" s="109">
        <v>52</v>
      </c>
      <c r="AY56" s="14">
        <f t="shared" si="0"/>
        <v>6</v>
      </c>
      <c r="AZ56" s="14">
        <f t="shared" si="26"/>
        <v>2</v>
      </c>
      <c r="BA56" s="14">
        <f t="shared" si="53"/>
        <v>200</v>
      </c>
      <c r="BB56" s="14">
        <f t="shared" si="1"/>
        <v>1050</v>
      </c>
      <c r="BC56" s="14">
        <f t="shared" si="2"/>
        <v>2250</v>
      </c>
      <c r="BF56" s="109">
        <v>52</v>
      </c>
      <c r="BG56" s="14">
        <f t="shared" si="27"/>
        <v>6</v>
      </c>
      <c r="BH56" s="14">
        <f t="shared" si="28"/>
        <v>2</v>
      </c>
      <c r="BI56" s="14">
        <f t="shared" si="3"/>
        <v>600</v>
      </c>
      <c r="BJ56" s="14">
        <f t="shared" si="4"/>
        <v>2100</v>
      </c>
      <c r="BK56" s="14">
        <f t="shared" si="5"/>
        <v>4500</v>
      </c>
      <c r="BN56" s="109">
        <v>52</v>
      </c>
      <c r="BO56" s="109">
        <f t="shared" si="29"/>
        <v>18</v>
      </c>
      <c r="BP56" s="112">
        <f t="shared" si="30"/>
        <v>95</v>
      </c>
      <c r="BQ56" s="109">
        <f t="shared" si="67"/>
        <v>1</v>
      </c>
      <c r="BR56" s="109">
        <v>120</v>
      </c>
      <c r="BS56" s="109">
        <v>180</v>
      </c>
      <c r="BT56" s="112">
        <v>4</v>
      </c>
      <c r="BU56" s="14">
        <f t="shared" si="31"/>
        <v>11181</v>
      </c>
      <c r="BV56" s="118">
        <v>1</v>
      </c>
      <c r="BW56" s="14">
        <f t="shared" si="32"/>
        <v>118</v>
      </c>
      <c r="BX56" s="118" t="s">
        <v>1052</v>
      </c>
      <c r="BY56" s="14">
        <f t="shared" si="33"/>
        <v>1</v>
      </c>
      <c r="BZ56" s="118" t="str">
        <f t="shared" si="34"/>
        <v>钻石100橙色基础材料15金币13200</v>
      </c>
      <c r="CA56" s="14">
        <f t="shared" si="35"/>
        <v>10</v>
      </c>
      <c r="CB56" s="115" t="s">
        <v>22</v>
      </c>
      <c r="CC56" s="115">
        <v>100</v>
      </c>
      <c r="CD56" s="112" t="str">
        <f>INDEX(挂机升级突破!$BX$4:$CB$4,章节关卡!BT56)</f>
        <v>橙色基础材料</v>
      </c>
      <c r="CE56" s="115">
        <f>ROUND(INDEX(挂机升级突破!$Q$7:$U$37,BO56+2,章节关卡!BT56)/INDEX(挂机升级突破!$Q$5:$U$5,章节关卡!BT56)*章节关卡!BS56,0)</f>
        <v>15</v>
      </c>
      <c r="CF56" s="109" t="s">
        <v>162</v>
      </c>
      <c r="CG56" s="109">
        <f t="shared" si="61"/>
        <v>13200</v>
      </c>
      <c r="CJ56" s="115">
        <f t="shared" si="62"/>
        <v>18</v>
      </c>
      <c r="CK56" s="115">
        <f t="shared" si="63"/>
        <v>105</v>
      </c>
      <c r="CL56" s="118">
        <v>1</v>
      </c>
      <c r="CM56" s="109">
        <f t="shared" si="64"/>
        <v>180</v>
      </c>
      <c r="CN56" s="109">
        <f t="shared" si="65"/>
        <v>360</v>
      </c>
      <c r="CO56" s="115">
        <v>8</v>
      </c>
      <c r="CP56" s="14">
        <f t="shared" si="36"/>
        <v>12181</v>
      </c>
      <c r="CQ56" s="118">
        <v>2</v>
      </c>
      <c r="CR56" s="14">
        <f t="shared" si="37"/>
        <v>218</v>
      </c>
      <c r="CS56" s="118" t="s">
        <v>1052</v>
      </c>
      <c r="CT56" s="14">
        <f t="shared" si="38"/>
        <v>1</v>
      </c>
      <c r="CU56" s="118" t="str">
        <f t="shared" si="39"/>
        <v>钻石100银母14金币19800</v>
      </c>
      <c r="CV56" s="14">
        <f t="shared" si="40"/>
        <v>10</v>
      </c>
      <c r="CW56" s="115" t="s">
        <v>270</v>
      </c>
      <c r="CX56" s="115">
        <v>100</v>
      </c>
      <c r="CY56" s="115" t="str">
        <f>INDEX(挂机升级突破!$BX$4:$CG$4,章节关卡!CO56)</f>
        <v>银母</v>
      </c>
      <c r="CZ56" s="115">
        <f>ROUND(INDEX(挂机升级突破!$Q$7:$Z$37,CJ56+3,章节关卡!CO56)/INDEX(挂机升级突破!$Q$5:$Z$5,章节关卡!CO56)*章节关卡!CN56,0)</f>
        <v>14</v>
      </c>
      <c r="DA56" s="109" t="s">
        <v>265</v>
      </c>
      <c r="DB56" s="115">
        <f t="shared" si="66"/>
        <v>19800</v>
      </c>
      <c r="DE56" s="118">
        <v>52</v>
      </c>
      <c r="DF56" s="14">
        <f t="shared" si="41"/>
        <v>18</v>
      </c>
      <c r="DG56" s="118">
        <f t="shared" si="42"/>
        <v>95</v>
      </c>
      <c r="DH56" s="118">
        <v>90</v>
      </c>
      <c r="DI56" s="118">
        <f t="shared" si="43"/>
        <v>21181</v>
      </c>
      <c r="DJ56" s="118">
        <v>1</v>
      </c>
      <c r="DK56" s="14">
        <f t="shared" si="50"/>
        <v>118</v>
      </c>
      <c r="DL56" s="118" t="s">
        <v>1062</v>
      </c>
      <c r="DM56" s="118">
        <v>1</v>
      </c>
      <c r="DN56" s="118" t="str">
        <f t="shared" si="44"/>
        <v>钻石20守护灵初级抽卡券2守护灵经验16650</v>
      </c>
      <c r="DO56" s="14">
        <f t="shared" si="51"/>
        <v>11809</v>
      </c>
      <c r="DP56" s="118" t="s">
        <v>1065</v>
      </c>
      <c r="DQ56" s="118">
        <v>20</v>
      </c>
      <c r="DR56" s="118" t="s">
        <v>1066</v>
      </c>
      <c r="DS56" s="118">
        <v>2</v>
      </c>
      <c r="DT56" s="118" t="s">
        <v>1067</v>
      </c>
      <c r="DU56" s="118">
        <f t="shared" si="45"/>
        <v>16650</v>
      </c>
    </row>
    <row r="57" spans="16:125" ht="16.5" x14ac:dyDescent="0.2">
      <c r="AP57" s="24">
        <v>53</v>
      </c>
      <c r="AQ57" s="14">
        <f t="shared" si="21"/>
        <v>14</v>
      </c>
      <c r="AR57" s="109">
        <f t="shared" si="22"/>
        <v>1</v>
      </c>
      <c r="AS57" s="109">
        <f t="shared" si="23"/>
        <v>27</v>
      </c>
      <c r="AT57" s="109">
        <f t="shared" si="24"/>
        <v>71</v>
      </c>
      <c r="AU57" s="109">
        <f t="shared" si="25"/>
        <v>127</v>
      </c>
      <c r="AX57" s="109">
        <v>53</v>
      </c>
      <c r="AY57" s="14">
        <f t="shared" si="0"/>
        <v>6</v>
      </c>
      <c r="AZ57" s="14">
        <f t="shared" si="26"/>
        <v>3</v>
      </c>
      <c r="BA57" s="14">
        <f t="shared" si="53"/>
        <v>200</v>
      </c>
      <c r="BB57" s="14">
        <f t="shared" si="1"/>
        <v>1050</v>
      </c>
      <c r="BC57" s="14">
        <f t="shared" si="2"/>
        <v>2250</v>
      </c>
      <c r="BF57" s="109">
        <v>53</v>
      </c>
      <c r="BG57" s="14">
        <f t="shared" si="27"/>
        <v>6</v>
      </c>
      <c r="BH57" s="14">
        <f t="shared" si="28"/>
        <v>3</v>
      </c>
      <c r="BI57" s="14">
        <f t="shared" si="3"/>
        <v>600</v>
      </c>
      <c r="BJ57" s="14">
        <f t="shared" si="4"/>
        <v>2100</v>
      </c>
      <c r="BK57" s="14">
        <f t="shared" si="5"/>
        <v>4500</v>
      </c>
      <c r="BN57" s="109">
        <v>53</v>
      </c>
      <c r="BO57" s="109">
        <f t="shared" si="29"/>
        <v>18</v>
      </c>
      <c r="BP57" s="112">
        <f t="shared" si="30"/>
        <v>95</v>
      </c>
      <c r="BQ57" s="109">
        <f t="shared" si="67"/>
        <v>2</v>
      </c>
      <c r="BR57" s="109">
        <v>240</v>
      </c>
      <c r="BS57" s="109">
        <v>360</v>
      </c>
      <c r="BT57" s="112">
        <v>4</v>
      </c>
      <c r="BU57" s="14">
        <f t="shared" si="31"/>
        <v>11182</v>
      </c>
      <c r="BV57" s="118">
        <v>1</v>
      </c>
      <c r="BW57" s="14">
        <f t="shared" si="32"/>
        <v>118</v>
      </c>
      <c r="BX57" s="118" t="s">
        <v>1052</v>
      </c>
      <c r="BY57" s="14">
        <f t="shared" si="33"/>
        <v>2</v>
      </c>
      <c r="BZ57" s="118" t="str">
        <f t="shared" si="34"/>
        <v>守护灵抽卡券2橙色基础材料30金币26400</v>
      </c>
      <c r="CA57" s="14">
        <f t="shared" si="35"/>
        <v>20</v>
      </c>
      <c r="CB57" s="115" t="s">
        <v>271</v>
      </c>
      <c r="CC57" s="115">
        <v>2</v>
      </c>
      <c r="CD57" s="112" t="str">
        <f>INDEX(挂机升级突破!$BX$4:$CB$4,章节关卡!BT57)</f>
        <v>橙色基础材料</v>
      </c>
      <c r="CE57" s="115">
        <f>ROUND(INDEX(挂机升级突破!$Q$7:$U$37,BO57+2,章节关卡!BT57)/INDEX(挂机升级突破!$Q$5:$U$5,章节关卡!BT57)*章节关卡!BS57,0)</f>
        <v>30</v>
      </c>
      <c r="CF57" s="109" t="s">
        <v>162</v>
      </c>
      <c r="CG57" s="109">
        <f t="shared" si="61"/>
        <v>26400</v>
      </c>
      <c r="CJ57" s="115">
        <f t="shared" si="62"/>
        <v>18</v>
      </c>
      <c r="CK57" s="115">
        <f t="shared" si="63"/>
        <v>105</v>
      </c>
      <c r="CL57" s="118">
        <v>2</v>
      </c>
      <c r="CM57" s="109">
        <f t="shared" si="64"/>
        <v>360</v>
      </c>
      <c r="CN57" s="109">
        <f t="shared" si="65"/>
        <v>720</v>
      </c>
      <c r="CO57" s="115">
        <v>8</v>
      </c>
      <c r="CP57" s="14">
        <f t="shared" si="36"/>
        <v>12182</v>
      </c>
      <c r="CQ57" s="118">
        <v>2</v>
      </c>
      <c r="CR57" s="14">
        <f t="shared" si="37"/>
        <v>218</v>
      </c>
      <c r="CS57" s="118" t="s">
        <v>1052</v>
      </c>
      <c r="CT57" s="14">
        <f t="shared" si="38"/>
        <v>2</v>
      </c>
      <c r="CU57" s="118" t="str">
        <f t="shared" si="39"/>
        <v>熔炼值3300银母29金币39600</v>
      </c>
      <c r="CV57" s="14">
        <f t="shared" si="40"/>
        <v>20</v>
      </c>
      <c r="CW57" s="115" t="s">
        <v>1031</v>
      </c>
      <c r="CX57" s="115">
        <v>3300</v>
      </c>
      <c r="CY57" s="115" t="str">
        <f>INDEX(挂机升级突破!$BX$4:$CG$4,章节关卡!CO57)</f>
        <v>银母</v>
      </c>
      <c r="CZ57" s="115">
        <f>ROUND(INDEX(挂机升级突破!$Q$7:$Z$37,CJ57+3,章节关卡!CO57)/INDEX(挂机升级突破!$Q$5:$Z$5,章节关卡!CO57)*章节关卡!CN57,0)</f>
        <v>29</v>
      </c>
      <c r="DA57" s="109" t="s">
        <v>265</v>
      </c>
      <c r="DB57" s="115">
        <f t="shared" si="66"/>
        <v>39600</v>
      </c>
      <c r="DE57" s="118">
        <v>53</v>
      </c>
      <c r="DF57" s="14">
        <f t="shared" si="41"/>
        <v>18</v>
      </c>
      <c r="DG57" s="118">
        <f t="shared" si="42"/>
        <v>95</v>
      </c>
      <c r="DH57" s="118">
        <v>120</v>
      </c>
      <c r="DI57" s="118">
        <f t="shared" si="43"/>
        <v>21182</v>
      </c>
      <c r="DJ57" s="118">
        <v>1</v>
      </c>
      <c r="DK57" s="14">
        <f t="shared" si="50"/>
        <v>118</v>
      </c>
      <c r="DL57" s="118" t="s">
        <v>1062</v>
      </c>
      <c r="DM57" s="118">
        <v>2</v>
      </c>
      <c r="DN57" s="118" t="str">
        <f t="shared" si="44"/>
        <v>钻石30守护灵初级抽卡券3守护灵经验22200</v>
      </c>
      <c r="DO57" s="14">
        <f t="shared" si="51"/>
        <v>11809</v>
      </c>
      <c r="DP57" s="118" t="s">
        <v>1065</v>
      </c>
      <c r="DQ57" s="118">
        <v>30</v>
      </c>
      <c r="DR57" s="118" t="s">
        <v>1066</v>
      </c>
      <c r="DS57" s="118">
        <v>3</v>
      </c>
      <c r="DT57" s="118" t="s">
        <v>1067</v>
      </c>
      <c r="DU57" s="118">
        <f t="shared" si="45"/>
        <v>22200</v>
      </c>
    </row>
    <row r="58" spans="16:125" ht="16.5" x14ac:dyDescent="0.2">
      <c r="AP58" s="24">
        <v>54</v>
      </c>
      <c r="AQ58" s="14">
        <f t="shared" si="21"/>
        <v>14</v>
      </c>
      <c r="AR58" s="109">
        <f t="shared" si="22"/>
        <v>2</v>
      </c>
      <c r="AS58" s="109">
        <f t="shared" si="23"/>
        <v>27</v>
      </c>
      <c r="AT58" s="109">
        <f t="shared" si="24"/>
        <v>72</v>
      </c>
      <c r="AU58" s="109">
        <f t="shared" si="25"/>
        <v>129</v>
      </c>
      <c r="AX58" s="109">
        <v>54</v>
      </c>
      <c r="AY58" s="14">
        <f t="shared" si="0"/>
        <v>6</v>
      </c>
      <c r="AZ58" s="14">
        <f t="shared" si="26"/>
        <v>4</v>
      </c>
      <c r="BA58" s="14">
        <f t="shared" si="53"/>
        <v>200</v>
      </c>
      <c r="BB58" s="14">
        <f t="shared" si="1"/>
        <v>1050</v>
      </c>
      <c r="BC58" s="14">
        <f t="shared" si="2"/>
        <v>2250</v>
      </c>
      <c r="BF58" s="109">
        <v>54</v>
      </c>
      <c r="BG58" s="14">
        <f t="shared" si="27"/>
        <v>6</v>
      </c>
      <c r="BH58" s="14">
        <f t="shared" si="28"/>
        <v>4</v>
      </c>
      <c r="BI58" s="14">
        <f t="shared" si="3"/>
        <v>600</v>
      </c>
      <c r="BJ58" s="14">
        <f t="shared" si="4"/>
        <v>2100</v>
      </c>
      <c r="BK58" s="14">
        <f t="shared" si="5"/>
        <v>4500</v>
      </c>
      <c r="BN58" s="109">
        <v>54</v>
      </c>
      <c r="BO58" s="109">
        <f t="shared" si="29"/>
        <v>18</v>
      </c>
      <c r="BP58" s="112">
        <f t="shared" si="30"/>
        <v>95</v>
      </c>
      <c r="BQ58" s="109">
        <f t="shared" si="67"/>
        <v>3</v>
      </c>
      <c r="BR58" s="109">
        <v>360</v>
      </c>
      <c r="BS58" s="109">
        <v>540</v>
      </c>
      <c r="BT58" s="112">
        <v>4</v>
      </c>
      <c r="BU58" s="14">
        <f t="shared" si="31"/>
        <v>11183</v>
      </c>
      <c r="BV58" s="118">
        <v>1</v>
      </c>
      <c r="BW58" s="14">
        <f t="shared" si="32"/>
        <v>118</v>
      </c>
      <c r="BX58" s="118" t="s">
        <v>1052</v>
      </c>
      <c r="BY58" s="14">
        <f t="shared" si="33"/>
        <v>3</v>
      </c>
      <c r="BZ58" s="118" t="str">
        <f t="shared" si="34"/>
        <v>守护灵抽卡券3橙色基础材料45金币39600</v>
      </c>
      <c r="CA58" s="14">
        <f t="shared" si="35"/>
        <v>30</v>
      </c>
      <c r="CB58" s="115" t="s">
        <v>271</v>
      </c>
      <c r="CC58" s="115">
        <v>3</v>
      </c>
      <c r="CD58" s="112" t="str">
        <f>INDEX(挂机升级突破!$BX$4:$CB$4,章节关卡!BT58)</f>
        <v>橙色基础材料</v>
      </c>
      <c r="CE58" s="115">
        <f>ROUND(INDEX(挂机升级突破!$Q$7:$U$37,BO58+2,章节关卡!BT58)/INDEX(挂机升级突破!$Q$5:$U$5,章节关卡!BT58)*章节关卡!BS58,0)</f>
        <v>45</v>
      </c>
      <c r="CF58" s="109" t="s">
        <v>162</v>
      </c>
      <c r="CG58" s="109">
        <f t="shared" si="61"/>
        <v>39600</v>
      </c>
      <c r="CJ58" s="115">
        <f t="shared" si="62"/>
        <v>18</v>
      </c>
      <c r="CK58" s="115">
        <f t="shared" si="63"/>
        <v>105</v>
      </c>
      <c r="CL58" s="118">
        <v>3</v>
      </c>
      <c r="CM58" s="109">
        <f t="shared" si="64"/>
        <v>540</v>
      </c>
      <c r="CN58" s="109">
        <f t="shared" si="65"/>
        <v>1080</v>
      </c>
      <c r="CO58" s="115">
        <v>8</v>
      </c>
      <c r="CP58" s="14">
        <f t="shared" si="36"/>
        <v>12183</v>
      </c>
      <c r="CQ58" s="118">
        <v>2</v>
      </c>
      <c r="CR58" s="14">
        <f t="shared" si="37"/>
        <v>218</v>
      </c>
      <c r="CS58" s="118" t="s">
        <v>1052</v>
      </c>
      <c r="CT58" s="14">
        <f t="shared" si="38"/>
        <v>3</v>
      </c>
      <c r="CU58" s="118" t="str">
        <f t="shared" si="39"/>
        <v>守护灵抽卡券5银母43金币59400</v>
      </c>
      <c r="CV58" s="14">
        <f t="shared" si="40"/>
        <v>30</v>
      </c>
      <c r="CW58" s="115" t="s">
        <v>1030</v>
      </c>
      <c r="CX58" s="115">
        <v>5</v>
      </c>
      <c r="CY58" s="115" t="str">
        <f>INDEX(挂机升级突破!$BX$4:$CG$4,章节关卡!CO58)</f>
        <v>银母</v>
      </c>
      <c r="CZ58" s="115">
        <f>ROUND(INDEX(挂机升级突破!$Q$7:$Z$37,CJ58+3,章节关卡!CO58)/INDEX(挂机升级突破!$Q$5:$Z$5,章节关卡!CO58)*章节关卡!CN58,0)</f>
        <v>43</v>
      </c>
      <c r="DA58" s="109" t="s">
        <v>265</v>
      </c>
      <c r="DB58" s="115">
        <f t="shared" si="66"/>
        <v>59400</v>
      </c>
      <c r="DE58" s="118">
        <v>54</v>
      </c>
      <c r="DF58" s="14">
        <f t="shared" si="41"/>
        <v>18</v>
      </c>
      <c r="DG58" s="118">
        <f t="shared" si="42"/>
        <v>95</v>
      </c>
      <c r="DH58" s="118">
        <v>150</v>
      </c>
      <c r="DI58" s="118">
        <f t="shared" si="43"/>
        <v>21183</v>
      </c>
      <c r="DJ58" s="118">
        <v>1</v>
      </c>
      <c r="DK58" s="14">
        <f t="shared" si="50"/>
        <v>118</v>
      </c>
      <c r="DL58" s="118" t="s">
        <v>1062</v>
      </c>
      <c r="DM58" s="118">
        <v>3</v>
      </c>
      <c r="DN58" s="118" t="str">
        <f t="shared" si="44"/>
        <v>钻石50守护灵初级抽卡券5守护灵经验27750</v>
      </c>
      <c r="DO58" s="14">
        <f t="shared" si="51"/>
        <v>11809</v>
      </c>
      <c r="DP58" s="118" t="s">
        <v>1065</v>
      </c>
      <c r="DQ58" s="118">
        <v>50</v>
      </c>
      <c r="DR58" s="118" t="s">
        <v>1066</v>
      </c>
      <c r="DS58" s="118">
        <v>5</v>
      </c>
      <c r="DT58" s="118" t="s">
        <v>1067</v>
      </c>
      <c r="DU58" s="118">
        <f t="shared" si="45"/>
        <v>27750</v>
      </c>
    </row>
    <row r="59" spans="16:125" ht="16.5" x14ac:dyDescent="0.2">
      <c r="AP59" s="24">
        <v>55</v>
      </c>
      <c r="AQ59" s="14">
        <f t="shared" si="21"/>
        <v>14</v>
      </c>
      <c r="AR59" s="109">
        <f t="shared" si="22"/>
        <v>3</v>
      </c>
      <c r="AS59" s="109">
        <f t="shared" si="23"/>
        <v>27</v>
      </c>
      <c r="AT59" s="109">
        <f t="shared" si="24"/>
        <v>73</v>
      </c>
      <c r="AU59" s="109">
        <f t="shared" si="25"/>
        <v>131</v>
      </c>
      <c r="AX59" s="109">
        <v>55</v>
      </c>
      <c r="AY59" s="14">
        <f t="shared" si="0"/>
        <v>6</v>
      </c>
      <c r="AZ59" s="14">
        <f t="shared" si="26"/>
        <v>5</v>
      </c>
      <c r="BA59" s="14">
        <f t="shared" si="53"/>
        <v>200</v>
      </c>
      <c r="BB59" s="14">
        <f t="shared" si="1"/>
        <v>1050</v>
      </c>
      <c r="BC59" s="14">
        <f t="shared" si="2"/>
        <v>2250</v>
      </c>
      <c r="BF59" s="109">
        <v>55</v>
      </c>
      <c r="BG59" s="14">
        <f t="shared" si="27"/>
        <v>6</v>
      </c>
      <c r="BH59" s="14">
        <f t="shared" si="28"/>
        <v>5</v>
      </c>
      <c r="BI59" s="14">
        <f t="shared" si="3"/>
        <v>600</v>
      </c>
      <c r="BJ59" s="14">
        <f t="shared" si="4"/>
        <v>2100</v>
      </c>
      <c r="BK59" s="14">
        <f t="shared" si="5"/>
        <v>4500</v>
      </c>
      <c r="BN59" s="109">
        <v>55</v>
      </c>
      <c r="BO59" s="109">
        <f t="shared" si="29"/>
        <v>19</v>
      </c>
      <c r="BP59" s="112">
        <f t="shared" si="30"/>
        <v>100</v>
      </c>
      <c r="BQ59" s="109">
        <f t="shared" si="67"/>
        <v>1</v>
      </c>
      <c r="BR59" s="109">
        <v>120</v>
      </c>
      <c r="BS59" s="109">
        <v>180</v>
      </c>
      <c r="BT59" s="112">
        <v>4</v>
      </c>
      <c r="BU59" s="14">
        <f t="shared" si="31"/>
        <v>11191</v>
      </c>
      <c r="BV59" s="118">
        <v>1</v>
      </c>
      <c r="BW59" s="14">
        <f t="shared" si="32"/>
        <v>119</v>
      </c>
      <c r="BX59" s="118" t="s">
        <v>1052</v>
      </c>
      <c r="BY59" s="14">
        <f t="shared" si="33"/>
        <v>1</v>
      </c>
      <c r="BZ59" s="118" t="str">
        <f t="shared" si="34"/>
        <v>钻石100橙色基础材料20金币14400</v>
      </c>
      <c r="CA59" s="14">
        <f t="shared" si="35"/>
        <v>10</v>
      </c>
      <c r="CB59" s="115" t="s">
        <v>22</v>
      </c>
      <c r="CC59" s="115">
        <v>100</v>
      </c>
      <c r="CD59" s="112" t="str">
        <f>INDEX(挂机升级突破!$BX$4:$CB$4,章节关卡!BT59)</f>
        <v>橙色基础材料</v>
      </c>
      <c r="CE59" s="115">
        <f>ROUND(INDEX(挂机升级突破!$Q$7:$U$37,BO59+2,章节关卡!BT59)/INDEX(挂机升级突破!$Q$5:$U$5,章节关卡!BT59)*章节关卡!BS59,0)</f>
        <v>20</v>
      </c>
      <c r="CF59" s="109" t="s">
        <v>162</v>
      </c>
      <c r="CG59" s="109">
        <f t="shared" si="61"/>
        <v>14400</v>
      </c>
      <c r="CJ59" s="115">
        <f t="shared" si="62"/>
        <v>19</v>
      </c>
      <c r="CK59" s="115">
        <f t="shared" si="63"/>
        <v>110</v>
      </c>
      <c r="CL59" s="118">
        <v>1</v>
      </c>
      <c r="CM59" s="109">
        <f t="shared" si="64"/>
        <v>180</v>
      </c>
      <c r="CN59" s="109">
        <f t="shared" si="65"/>
        <v>360</v>
      </c>
      <c r="CO59" s="115">
        <v>8</v>
      </c>
      <c r="CP59" s="14">
        <f t="shared" si="36"/>
        <v>12191</v>
      </c>
      <c r="CQ59" s="118">
        <v>2</v>
      </c>
      <c r="CR59" s="14">
        <f t="shared" si="37"/>
        <v>219</v>
      </c>
      <c r="CS59" s="118" t="s">
        <v>1052</v>
      </c>
      <c r="CT59" s="14">
        <f t="shared" si="38"/>
        <v>1</v>
      </c>
      <c r="CU59" s="118" t="str">
        <f t="shared" si="39"/>
        <v>钻石100银母18金币21600</v>
      </c>
      <c r="CV59" s="14">
        <f t="shared" si="40"/>
        <v>10</v>
      </c>
      <c r="CW59" s="115" t="s">
        <v>270</v>
      </c>
      <c r="CX59" s="115">
        <v>100</v>
      </c>
      <c r="CY59" s="115" t="str">
        <f>INDEX(挂机升级突破!$BX$4:$CG$4,章节关卡!CO59)</f>
        <v>银母</v>
      </c>
      <c r="CZ59" s="115">
        <f>ROUND(INDEX(挂机升级突破!$Q$7:$Z$37,CJ59+3,章节关卡!CO59)/INDEX(挂机升级突破!$Q$5:$Z$5,章节关卡!CO59)*章节关卡!CN59,0)</f>
        <v>18</v>
      </c>
      <c r="DA59" s="109" t="s">
        <v>265</v>
      </c>
      <c r="DB59" s="115">
        <f t="shared" si="66"/>
        <v>21600</v>
      </c>
      <c r="DE59" s="118">
        <v>55</v>
      </c>
      <c r="DF59" s="14">
        <f t="shared" si="41"/>
        <v>19</v>
      </c>
      <c r="DG59" s="118">
        <f t="shared" si="42"/>
        <v>100</v>
      </c>
      <c r="DH59" s="118">
        <v>90</v>
      </c>
      <c r="DI59" s="118">
        <f t="shared" si="43"/>
        <v>21191</v>
      </c>
      <c r="DJ59" s="118">
        <v>1</v>
      </c>
      <c r="DK59" s="14">
        <f t="shared" si="50"/>
        <v>119</v>
      </c>
      <c r="DL59" s="118" t="s">
        <v>1062</v>
      </c>
      <c r="DM59" s="118">
        <v>1</v>
      </c>
      <c r="DN59" s="118" t="str">
        <f t="shared" si="44"/>
        <v>钻石20守护灵初级抽卡券2守护灵经验18000</v>
      </c>
      <c r="DO59" s="14">
        <f t="shared" si="51"/>
        <v>11909</v>
      </c>
      <c r="DP59" s="118" t="s">
        <v>1065</v>
      </c>
      <c r="DQ59" s="118">
        <v>20</v>
      </c>
      <c r="DR59" s="118" t="s">
        <v>1066</v>
      </c>
      <c r="DS59" s="118">
        <v>2</v>
      </c>
      <c r="DT59" s="118" t="s">
        <v>1067</v>
      </c>
      <c r="DU59" s="118">
        <f t="shared" si="45"/>
        <v>18000</v>
      </c>
    </row>
    <row r="60" spans="16:125" ht="16.5" x14ac:dyDescent="0.2">
      <c r="AP60" s="24">
        <v>56</v>
      </c>
      <c r="AQ60" s="14">
        <f t="shared" si="21"/>
        <v>14</v>
      </c>
      <c r="AR60" s="109">
        <f t="shared" si="22"/>
        <v>4</v>
      </c>
      <c r="AS60" s="109">
        <f t="shared" si="23"/>
        <v>27</v>
      </c>
      <c r="AT60" s="109">
        <f t="shared" si="24"/>
        <v>74</v>
      </c>
      <c r="AU60" s="109">
        <f t="shared" si="25"/>
        <v>133</v>
      </c>
      <c r="AX60" s="109">
        <v>56</v>
      </c>
      <c r="AY60" s="14">
        <f t="shared" si="0"/>
        <v>6</v>
      </c>
      <c r="AZ60" s="14">
        <f t="shared" si="26"/>
        <v>6</v>
      </c>
      <c r="BA60" s="14">
        <f t="shared" si="53"/>
        <v>200</v>
      </c>
      <c r="BB60" s="14">
        <f t="shared" si="1"/>
        <v>1050</v>
      </c>
      <c r="BC60" s="14">
        <f t="shared" si="2"/>
        <v>2250</v>
      </c>
      <c r="BF60" s="109">
        <v>56</v>
      </c>
      <c r="BG60" s="14">
        <f t="shared" si="27"/>
        <v>6</v>
      </c>
      <c r="BH60" s="14">
        <f t="shared" si="28"/>
        <v>6</v>
      </c>
      <c r="BI60" s="14">
        <f t="shared" si="3"/>
        <v>600</v>
      </c>
      <c r="BJ60" s="14">
        <f t="shared" si="4"/>
        <v>2100</v>
      </c>
      <c r="BK60" s="14">
        <f t="shared" si="5"/>
        <v>4500</v>
      </c>
      <c r="BN60" s="109">
        <v>56</v>
      </c>
      <c r="BO60" s="109">
        <f t="shared" si="29"/>
        <v>19</v>
      </c>
      <c r="BP60" s="112">
        <f t="shared" si="30"/>
        <v>100</v>
      </c>
      <c r="BQ60" s="109">
        <f t="shared" si="67"/>
        <v>2</v>
      </c>
      <c r="BR60" s="109">
        <v>240</v>
      </c>
      <c r="BS60" s="109">
        <v>360</v>
      </c>
      <c r="BT60" s="112">
        <v>4</v>
      </c>
      <c r="BU60" s="14">
        <f t="shared" si="31"/>
        <v>11192</v>
      </c>
      <c r="BV60" s="118">
        <v>1</v>
      </c>
      <c r="BW60" s="14">
        <f t="shared" si="32"/>
        <v>119</v>
      </c>
      <c r="BX60" s="118" t="s">
        <v>1052</v>
      </c>
      <c r="BY60" s="14">
        <f t="shared" si="33"/>
        <v>2</v>
      </c>
      <c r="BZ60" s="118" t="str">
        <f t="shared" si="34"/>
        <v>守护灵抽卡券2橙色基础材料39金币28800</v>
      </c>
      <c r="CA60" s="14">
        <f t="shared" si="35"/>
        <v>20</v>
      </c>
      <c r="CB60" s="115" t="s">
        <v>271</v>
      </c>
      <c r="CC60" s="115">
        <v>2</v>
      </c>
      <c r="CD60" s="112" t="str">
        <f>INDEX(挂机升级突破!$BX$4:$CB$4,章节关卡!BT60)</f>
        <v>橙色基础材料</v>
      </c>
      <c r="CE60" s="115">
        <f>ROUND(INDEX(挂机升级突破!$Q$7:$U$37,BO60+2,章节关卡!BT60)/INDEX(挂机升级突破!$Q$5:$U$5,章节关卡!BT60)*章节关卡!BS60,0)</f>
        <v>39</v>
      </c>
      <c r="CF60" s="109" t="s">
        <v>162</v>
      </c>
      <c r="CG60" s="109">
        <f t="shared" si="61"/>
        <v>28800</v>
      </c>
      <c r="CJ60" s="115">
        <f t="shared" si="62"/>
        <v>19</v>
      </c>
      <c r="CK60" s="115">
        <f t="shared" si="63"/>
        <v>110</v>
      </c>
      <c r="CL60" s="118">
        <v>2</v>
      </c>
      <c r="CM60" s="115">
        <f t="shared" si="64"/>
        <v>360</v>
      </c>
      <c r="CN60" s="115">
        <f t="shared" si="65"/>
        <v>720</v>
      </c>
      <c r="CO60" s="115">
        <v>8</v>
      </c>
      <c r="CP60" s="14">
        <f t="shared" si="36"/>
        <v>12192</v>
      </c>
      <c r="CQ60" s="118">
        <v>2</v>
      </c>
      <c r="CR60" s="14">
        <f t="shared" si="37"/>
        <v>219</v>
      </c>
      <c r="CS60" s="118" t="s">
        <v>1052</v>
      </c>
      <c r="CT60" s="14">
        <f t="shared" si="38"/>
        <v>2</v>
      </c>
      <c r="CU60" s="118" t="str">
        <f t="shared" si="39"/>
        <v>熔炼值3600银母36金币43200</v>
      </c>
      <c r="CV60" s="14">
        <f t="shared" si="40"/>
        <v>20</v>
      </c>
      <c r="CW60" s="115" t="s">
        <v>1031</v>
      </c>
      <c r="CX60" s="115">
        <v>3600</v>
      </c>
      <c r="CY60" s="115" t="str">
        <f>INDEX(挂机升级突破!$BX$4:$CG$4,章节关卡!CO60)</f>
        <v>银母</v>
      </c>
      <c r="CZ60" s="115">
        <f>ROUND(INDEX(挂机升级突破!$Q$7:$Z$37,CJ60+3,章节关卡!CO60)/INDEX(挂机升级突破!$Q$5:$Z$5,章节关卡!CO60)*章节关卡!CN60,0)</f>
        <v>36</v>
      </c>
      <c r="DA60" s="109" t="s">
        <v>265</v>
      </c>
      <c r="DB60" s="115">
        <f t="shared" si="66"/>
        <v>43200</v>
      </c>
      <c r="DE60" s="118">
        <v>56</v>
      </c>
      <c r="DF60" s="14">
        <f t="shared" si="41"/>
        <v>19</v>
      </c>
      <c r="DG60" s="118">
        <f t="shared" si="42"/>
        <v>100</v>
      </c>
      <c r="DH60" s="118">
        <v>120</v>
      </c>
      <c r="DI60" s="118">
        <f t="shared" si="43"/>
        <v>21192</v>
      </c>
      <c r="DJ60" s="118">
        <v>1</v>
      </c>
      <c r="DK60" s="14">
        <f t="shared" si="50"/>
        <v>119</v>
      </c>
      <c r="DL60" s="118" t="s">
        <v>1062</v>
      </c>
      <c r="DM60" s="118">
        <v>2</v>
      </c>
      <c r="DN60" s="118" t="str">
        <f t="shared" si="44"/>
        <v>钻石30守护灵初级抽卡券3守护灵经验24000</v>
      </c>
      <c r="DO60" s="14">
        <f t="shared" si="51"/>
        <v>11909</v>
      </c>
      <c r="DP60" s="118" t="s">
        <v>1065</v>
      </c>
      <c r="DQ60" s="118">
        <v>30</v>
      </c>
      <c r="DR60" s="118" t="s">
        <v>1066</v>
      </c>
      <c r="DS60" s="118">
        <v>3</v>
      </c>
      <c r="DT60" s="118" t="s">
        <v>1067</v>
      </c>
      <c r="DU60" s="118">
        <f t="shared" si="45"/>
        <v>24000</v>
      </c>
    </row>
    <row r="61" spans="16:125" ht="16.5" x14ac:dyDescent="0.2">
      <c r="AP61" s="24">
        <v>57</v>
      </c>
      <c r="AQ61" s="14">
        <f t="shared" si="21"/>
        <v>15</v>
      </c>
      <c r="AR61" s="109">
        <f t="shared" si="22"/>
        <v>1</v>
      </c>
      <c r="AS61" s="109">
        <f t="shared" si="23"/>
        <v>30</v>
      </c>
      <c r="AT61" s="109">
        <f t="shared" si="24"/>
        <v>76</v>
      </c>
      <c r="AU61" s="109">
        <f t="shared" si="25"/>
        <v>138</v>
      </c>
      <c r="AX61" s="109">
        <v>57</v>
      </c>
      <c r="AY61" s="14">
        <f t="shared" si="0"/>
        <v>6</v>
      </c>
      <c r="AZ61" s="14">
        <f t="shared" si="26"/>
        <v>7</v>
      </c>
      <c r="BA61" s="14">
        <f t="shared" si="53"/>
        <v>200</v>
      </c>
      <c r="BB61" s="14">
        <f t="shared" si="1"/>
        <v>1050</v>
      </c>
      <c r="BC61" s="14">
        <f t="shared" si="2"/>
        <v>2250</v>
      </c>
      <c r="BF61" s="109">
        <v>57</v>
      </c>
      <c r="BG61" s="14">
        <f t="shared" si="27"/>
        <v>6</v>
      </c>
      <c r="BH61" s="14">
        <f t="shared" si="28"/>
        <v>7</v>
      </c>
      <c r="BI61" s="14">
        <f t="shared" si="3"/>
        <v>600</v>
      </c>
      <c r="BJ61" s="14">
        <f t="shared" si="4"/>
        <v>2100</v>
      </c>
      <c r="BK61" s="14">
        <f t="shared" si="5"/>
        <v>4500</v>
      </c>
      <c r="BN61" s="109">
        <v>57</v>
      </c>
      <c r="BO61" s="109">
        <f t="shared" si="29"/>
        <v>19</v>
      </c>
      <c r="BP61" s="112">
        <f t="shared" si="30"/>
        <v>100</v>
      </c>
      <c r="BQ61" s="109">
        <f t="shared" si="67"/>
        <v>3</v>
      </c>
      <c r="BR61" s="109">
        <v>360</v>
      </c>
      <c r="BS61" s="109">
        <v>540</v>
      </c>
      <c r="BT61" s="112">
        <v>4</v>
      </c>
      <c r="BU61" s="14">
        <f t="shared" si="31"/>
        <v>11193</v>
      </c>
      <c r="BV61" s="118">
        <v>1</v>
      </c>
      <c r="BW61" s="14">
        <f t="shared" si="32"/>
        <v>119</v>
      </c>
      <c r="BX61" s="118" t="s">
        <v>1052</v>
      </c>
      <c r="BY61" s="14">
        <f t="shared" si="33"/>
        <v>3</v>
      </c>
      <c r="BZ61" s="118" t="str">
        <f t="shared" si="34"/>
        <v>守护灵抽卡券3橙色基础材料59金币43200</v>
      </c>
      <c r="CA61" s="14">
        <f t="shared" si="35"/>
        <v>30</v>
      </c>
      <c r="CB61" s="115" t="s">
        <v>271</v>
      </c>
      <c r="CC61" s="115">
        <v>3</v>
      </c>
      <c r="CD61" s="112" t="str">
        <f>INDEX(挂机升级突破!$BX$4:$CB$4,章节关卡!BT61)</f>
        <v>橙色基础材料</v>
      </c>
      <c r="CE61" s="115">
        <f>ROUND(INDEX(挂机升级突破!$Q$7:$U$37,BO61+2,章节关卡!BT61)/INDEX(挂机升级突破!$Q$5:$U$5,章节关卡!BT61)*章节关卡!BS61,0)</f>
        <v>59</v>
      </c>
      <c r="CF61" s="109" t="s">
        <v>162</v>
      </c>
      <c r="CG61" s="109">
        <f t="shared" si="61"/>
        <v>43200</v>
      </c>
      <c r="CJ61" s="115">
        <f t="shared" si="62"/>
        <v>19</v>
      </c>
      <c r="CK61" s="115">
        <f t="shared" si="63"/>
        <v>110</v>
      </c>
      <c r="CL61" s="118">
        <v>3</v>
      </c>
      <c r="CM61" s="115">
        <f t="shared" si="64"/>
        <v>540</v>
      </c>
      <c r="CN61" s="115">
        <f t="shared" si="65"/>
        <v>1080</v>
      </c>
      <c r="CO61" s="115">
        <v>8</v>
      </c>
      <c r="CP61" s="14">
        <f t="shared" si="36"/>
        <v>12193</v>
      </c>
      <c r="CQ61" s="118">
        <v>2</v>
      </c>
      <c r="CR61" s="14">
        <f t="shared" si="37"/>
        <v>219</v>
      </c>
      <c r="CS61" s="118" t="s">
        <v>1052</v>
      </c>
      <c r="CT61" s="14">
        <f t="shared" si="38"/>
        <v>3</v>
      </c>
      <c r="CU61" s="118" t="str">
        <f t="shared" si="39"/>
        <v>守护灵抽卡券5银母54金币64800</v>
      </c>
      <c r="CV61" s="14">
        <f t="shared" si="40"/>
        <v>30</v>
      </c>
      <c r="CW61" s="115" t="s">
        <v>1030</v>
      </c>
      <c r="CX61" s="115">
        <v>5</v>
      </c>
      <c r="CY61" s="115" t="str">
        <f>INDEX(挂机升级突破!$BX$4:$CG$4,章节关卡!CO61)</f>
        <v>银母</v>
      </c>
      <c r="CZ61" s="115">
        <f>ROUND(INDEX(挂机升级突破!$Q$7:$Z$37,CJ61+3,章节关卡!CO61)/INDEX(挂机升级突破!$Q$5:$Z$5,章节关卡!CO61)*章节关卡!CN61,0)</f>
        <v>54</v>
      </c>
      <c r="DA61" s="109" t="s">
        <v>265</v>
      </c>
      <c r="DB61" s="115">
        <f t="shared" si="66"/>
        <v>64800</v>
      </c>
      <c r="DE61" s="118">
        <v>57</v>
      </c>
      <c r="DF61" s="14">
        <f t="shared" si="41"/>
        <v>19</v>
      </c>
      <c r="DG61" s="118">
        <f t="shared" si="42"/>
        <v>100</v>
      </c>
      <c r="DH61" s="118">
        <v>150</v>
      </c>
      <c r="DI61" s="118">
        <f t="shared" si="43"/>
        <v>21193</v>
      </c>
      <c r="DJ61" s="118">
        <v>1</v>
      </c>
      <c r="DK61" s="14">
        <f t="shared" si="50"/>
        <v>119</v>
      </c>
      <c r="DL61" s="118" t="s">
        <v>1062</v>
      </c>
      <c r="DM61" s="118">
        <v>3</v>
      </c>
      <c r="DN61" s="118" t="str">
        <f t="shared" si="44"/>
        <v>钻石50守护灵初级抽卡券5守护灵经验30000</v>
      </c>
      <c r="DO61" s="14">
        <f t="shared" si="51"/>
        <v>11909</v>
      </c>
      <c r="DP61" s="118" t="s">
        <v>1065</v>
      </c>
      <c r="DQ61" s="118">
        <v>50</v>
      </c>
      <c r="DR61" s="118" t="s">
        <v>1066</v>
      </c>
      <c r="DS61" s="118">
        <v>5</v>
      </c>
      <c r="DT61" s="118" t="s">
        <v>1067</v>
      </c>
      <c r="DU61" s="118">
        <f t="shared" si="45"/>
        <v>30000</v>
      </c>
    </row>
    <row r="62" spans="16:125" ht="16.5" x14ac:dyDescent="0.2">
      <c r="AP62" s="24">
        <v>58</v>
      </c>
      <c r="AQ62" s="14">
        <f t="shared" si="21"/>
        <v>15</v>
      </c>
      <c r="AR62" s="109">
        <f t="shared" si="22"/>
        <v>2</v>
      </c>
      <c r="AS62" s="109">
        <f t="shared" si="23"/>
        <v>30</v>
      </c>
      <c r="AT62" s="109">
        <f t="shared" si="24"/>
        <v>77</v>
      </c>
      <c r="AU62" s="109">
        <f t="shared" si="25"/>
        <v>141</v>
      </c>
      <c r="AX62" s="109">
        <v>58</v>
      </c>
      <c r="AY62" s="14">
        <f t="shared" si="0"/>
        <v>6</v>
      </c>
      <c r="AZ62" s="14">
        <f t="shared" si="26"/>
        <v>8</v>
      </c>
      <c r="BA62" s="14">
        <f t="shared" si="53"/>
        <v>200</v>
      </c>
      <c r="BB62" s="14">
        <f t="shared" si="1"/>
        <v>1050</v>
      </c>
      <c r="BC62" s="14">
        <f t="shared" si="2"/>
        <v>2250</v>
      </c>
      <c r="BF62" s="109">
        <v>58</v>
      </c>
      <c r="BG62" s="14">
        <f t="shared" si="27"/>
        <v>6</v>
      </c>
      <c r="BH62" s="14">
        <f t="shared" si="28"/>
        <v>8</v>
      </c>
      <c r="BI62" s="14">
        <f t="shared" si="3"/>
        <v>600</v>
      </c>
      <c r="BJ62" s="14">
        <f t="shared" si="4"/>
        <v>2100</v>
      </c>
      <c r="BK62" s="14">
        <f t="shared" si="5"/>
        <v>4500</v>
      </c>
      <c r="BN62" s="109">
        <v>58</v>
      </c>
      <c r="BO62" s="109">
        <f t="shared" si="29"/>
        <v>20</v>
      </c>
      <c r="BP62" s="112">
        <f t="shared" si="30"/>
        <v>105</v>
      </c>
      <c r="BQ62" s="109">
        <f t="shared" si="67"/>
        <v>1</v>
      </c>
      <c r="BR62" s="109">
        <v>120</v>
      </c>
      <c r="BS62" s="109">
        <v>180</v>
      </c>
      <c r="BT62" s="112">
        <v>4</v>
      </c>
      <c r="BU62" s="14">
        <f t="shared" si="31"/>
        <v>11201</v>
      </c>
      <c r="BV62" s="118">
        <v>1</v>
      </c>
      <c r="BW62" s="14">
        <f t="shared" si="32"/>
        <v>120</v>
      </c>
      <c r="BX62" s="118" t="s">
        <v>1052</v>
      </c>
      <c r="BY62" s="14">
        <f t="shared" si="33"/>
        <v>1</v>
      </c>
      <c r="BZ62" s="118" t="str">
        <f t="shared" si="34"/>
        <v>钻石100橙色基础材料24金币15600</v>
      </c>
      <c r="CA62" s="14">
        <f t="shared" si="35"/>
        <v>10</v>
      </c>
      <c r="CB62" s="115" t="s">
        <v>22</v>
      </c>
      <c r="CC62" s="115">
        <v>100</v>
      </c>
      <c r="CD62" s="112" t="str">
        <f>INDEX(挂机升级突破!$BX$4:$CB$4,章节关卡!BT62)</f>
        <v>橙色基础材料</v>
      </c>
      <c r="CE62" s="115">
        <f>ROUND(INDEX(挂机升级突破!$Q$7:$U$37,BO62+2,章节关卡!BT62)/INDEX(挂机升级突破!$Q$5:$U$5,章节关卡!BT62)*章节关卡!BS62,0)</f>
        <v>24</v>
      </c>
      <c r="CF62" s="109" t="s">
        <v>162</v>
      </c>
      <c r="CG62" s="109">
        <f t="shared" si="61"/>
        <v>15600</v>
      </c>
      <c r="CJ62" s="115">
        <f t="shared" si="62"/>
        <v>20</v>
      </c>
      <c r="CK62" s="115">
        <f t="shared" si="63"/>
        <v>115</v>
      </c>
      <c r="CL62" s="118">
        <v>1</v>
      </c>
      <c r="CM62" s="115">
        <f t="shared" si="64"/>
        <v>180</v>
      </c>
      <c r="CN62" s="115">
        <f t="shared" si="65"/>
        <v>360</v>
      </c>
      <c r="CO62" s="115">
        <v>9</v>
      </c>
      <c r="CP62" s="14">
        <f t="shared" si="36"/>
        <v>12201</v>
      </c>
      <c r="CQ62" s="118">
        <v>2</v>
      </c>
      <c r="CR62" s="14">
        <f t="shared" si="37"/>
        <v>220</v>
      </c>
      <c r="CS62" s="118" t="s">
        <v>1052</v>
      </c>
      <c r="CT62" s="14">
        <f t="shared" si="38"/>
        <v>1</v>
      </c>
      <c r="CU62" s="118" t="str">
        <f t="shared" si="39"/>
        <v>钻石100铀金4金币23400</v>
      </c>
      <c r="CV62" s="14">
        <f t="shared" si="40"/>
        <v>10</v>
      </c>
      <c r="CW62" s="115" t="s">
        <v>270</v>
      </c>
      <c r="CX62" s="115">
        <v>100</v>
      </c>
      <c r="CY62" s="115" t="str">
        <f>INDEX(挂机升级突破!$BX$4:$CG$4,章节关卡!CO62)</f>
        <v>铀金</v>
      </c>
      <c r="CZ62" s="115">
        <f>ROUND(INDEX(挂机升级突破!$Q$7:$Z$37,CJ62+3,章节关卡!CO62)/INDEX(挂机升级突破!$Q$5:$Z$5,章节关卡!CO62)*章节关卡!CN62,0)</f>
        <v>4</v>
      </c>
      <c r="DA62" s="109" t="s">
        <v>265</v>
      </c>
      <c r="DB62" s="115">
        <f t="shared" si="66"/>
        <v>23400</v>
      </c>
      <c r="DE62" s="118">
        <v>58</v>
      </c>
      <c r="DF62" s="14">
        <f t="shared" si="41"/>
        <v>20</v>
      </c>
      <c r="DG62" s="118">
        <f t="shared" si="42"/>
        <v>105</v>
      </c>
      <c r="DH62" s="118">
        <v>90</v>
      </c>
      <c r="DI62" s="118">
        <f t="shared" si="43"/>
        <v>21201</v>
      </c>
      <c r="DJ62" s="118">
        <v>1</v>
      </c>
      <c r="DK62" s="14">
        <f t="shared" si="50"/>
        <v>120</v>
      </c>
      <c r="DL62" s="118" t="s">
        <v>1062</v>
      </c>
      <c r="DM62" s="118">
        <v>1</v>
      </c>
      <c r="DN62" s="118" t="str">
        <f t="shared" si="44"/>
        <v>钻石20守护灵初级抽卡券2守护灵经验18900</v>
      </c>
      <c r="DO62" s="14">
        <f t="shared" si="51"/>
        <v>12009</v>
      </c>
      <c r="DP62" s="118" t="s">
        <v>1065</v>
      </c>
      <c r="DQ62" s="118">
        <v>20</v>
      </c>
      <c r="DR62" s="118" t="s">
        <v>1066</v>
      </c>
      <c r="DS62" s="118">
        <v>2</v>
      </c>
      <c r="DT62" s="118" t="s">
        <v>1067</v>
      </c>
      <c r="DU62" s="118">
        <f t="shared" si="45"/>
        <v>18900</v>
      </c>
    </row>
    <row r="63" spans="16:125" ht="16.5" x14ac:dyDescent="0.2">
      <c r="AP63" s="24">
        <v>59</v>
      </c>
      <c r="AQ63" s="14">
        <f t="shared" si="21"/>
        <v>15</v>
      </c>
      <c r="AR63" s="109">
        <f t="shared" si="22"/>
        <v>3</v>
      </c>
      <c r="AS63" s="109">
        <f t="shared" si="23"/>
        <v>30</v>
      </c>
      <c r="AT63" s="109">
        <f t="shared" si="24"/>
        <v>78</v>
      </c>
      <c r="AU63" s="109">
        <f t="shared" si="25"/>
        <v>144</v>
      </c>
      <c r="AX63" s="109">
        <v>59</v>
      </c>
      <c r="AY63" s="14">
        <f t="shared" si="0"/>
        <v>6</v>
      </c>
      <c r="AZ63" s="14">
        <f t="shared" si="26"/>
        <v>9</v>
      </c>
      <c r="BA63" s="14">
        <f t="shared" si="53"/>
        <v>200</v>
      </c>
      <c r="BB63" s="14">
        <f t="shared" si="1"/>
        <v>1050</v>
      </c>
      <c r="BC63" s="14">
        <f t="shared" si="2"/>
        <v>2250</v>
      </c>
      <c r="BF63" s="109">
        <v>59</v>
      </c>
      <c r="BG63" s="14">
        <f t="shared" si="27"/>
        <v>6</v>
      </c>
      <c r="BH63" s="14">
        <f t="shared" si="28"/>
        <v>9</v>
      </c>
      <c r="BI63" s="14">
        <f t="shared" si="3"/>
        <v>600</v>
      </c>
      <c r="BJ63" s="14">
        <f t="shared" si="4"/>
        <v>2100</v>
      </c>
      <c r="BK63" s="14">
        <f t="shared" si="5"/>
        <v>4500</v>
      </c>
      <c r="BN63" s="109">
        <v>59</v>
      </c>
      <c r="BO63" s="109">
        <f t="shared" si="29"/>
        <v>20</v>
      </c>
      <c r="BP63" s="112">
        <f t="shared" si="30"/>
        <v>105</v>
      </c>
      <c r="BQ63" s="109">
        <f t="shared" si="67"/>
        <v>2</v>
      </c>
      <c r="BR63" s="109">
        <v>240</v>
      </c>
      <c r="BS63" s="109">
        <v>360</v>
      </c>
      <c r="BT63" s="112">
        <v>4</v>
      </c>
      <c r="BU63" s="14">
        <f t="shared" si="31"/>
        <v>11202</v>
      </c>
      <c r="BV63" s="118">
        <v>1</v>
      </c>
      <c r="BW63" s="14">
        <f t="shared" si="32"/>
        <v>120</v>
      </c>
      <c r="BX63" s="118" t="s">
        <v>1052</v>
      </c>
      <c r="BY63" s="14">
        <f t="shared" si="33"/>
        <v>2</v>
      </c>
      <c r="BZ63" s="118" t="str">
        <f t="shared" si="34"/>
        <v>守护灵抽卡券2橙色基础材料48金币31200</v>
      </c>
      <c r="CA63" s="14">
        <f t="shared" si="35"/>
        <v>20</v>
      </c>
      <c r="CB63" s="115" t="s">
        <v>271</v>
      </c>
      <c r="CC63" s="115">
        <v>2</v>
      </c>
      <c r="CD63" s="112" t="str">
        <f>INDEX(挂机升级突破!$BX$4:$CB$4,章节关卡!BT63)</f>
        <v>橙色基础材料</v>
      </c>
      <c r="CE63" s="115">
        <f>ROUND(INDEX(挂机升级突破!$Q$7:$U$37,BO63+2,章节关卡!BT63)/INDEX(挂机升级突破!$Q$5:$U$5,章节关卡!BT63)*章节关卡!BS63,0)</f>
        <v>48</v>
      </c>
      <c r="CF63" s="109" t="s">
        <v>162</v>
      </c>
      <c r="CG63" s="109">
        <f t="shared" si="61"/>
        <v>31200</v>
      </c>
      <c r="CJ63" s="115">
        <f t="shared" si="62"/>
        <v>20</v>
      </c>
      <c r="CK63" s="115">
        <f t="shared" si="63"/>
        <v>115</v>
      </c>
      <c r="CL63" s="118">
        <v>2</v>
      </c>
      <c r="CM63" s="115">
        <f t="shared" si="64"/>
        <v>360</v>
      </c>
      <c r="CN63" s="115">
        <f t="shared" si="65"/>
        <v>720</v>
      </c>
      <c r="CO63" s="115">
        <v>9</v>
      </c>
      <c r="CP63" s="14">
        <f t="shared" si="36"/>
        <v>12202</v>
      </c>
      <c r="CQ63" s="118">
        <v>2</v>
      </c>
      <c r="CR63" s="14">
        <f t="shared" si="37"/>
        <v>220</v>
      </c>
      <c r="CS63" s="118" t="s">
        <v>1052</v>
      </c>
      <c r="CT63" s="14">
        <f t="shared" si="38"/>
        <v>2</v>
      </c>
      <c r="CU63" s="118" t="str">
        <f t="shared" si="39"/>
        <v>熔炼值4200铀金7金币46800</v>
      </c>
      <c r="CV63" s="14">
        <f t="shared" si="40"/>
        <v>20</v>
      </c>
      <c r="CW63" s="115" t="s">
        <v>1031</v>
      </c>
      <c r="CX63" s="115">
        <v>4200</v>
      </c>
      <c r="CY63" s="115" t="str">
        <f>INDEX(挂机升级突破!$BX$4:$CG$4,章节关卡!CO63)</f>
        <v>铀金</v>
      </c>
      <c r="CZ63" s="115">
        <f>ROUND(INDEX(挂机升级突破!$Q$7:$Z$37,CJ63+3,章节关卡!CO63)/INDEX(挂机升级突破!$Q$5:$Z$5,章节关卡!CO63)*章节关卡!CN63,0)</f>
        <v>7</v>
      </c>
      <c r="DA63" s="109" t="s">
        <v>265</v>
      </c>
      <c r="DB63" s="115">
        <f t="shared" si="66"/>
        <v>46800</v>
      </c>
      <c r="DE63" s="118">
        <v>59</v>
      </c>
      <c r="DF63" s="14">
        <f t="shared" si="41"/>
        <v>20</v>
      </c>
      <c r="DG63" s="118">
        <f t="shared" si="42"/>
        <v>105</v>
      </c>
      <c r="DH63" s="118">
        <v>120</v>
      </c>
      <c r="DI63" s="118">
        <f t="shared" si="43"/>
        <v>21202</v>
      </c>
      <c r="DJ63" s="118">
        <v>1</v>
      </c>
      <c r="DK63" s="14">
        <f t="shared" si="50"/>
        <v>120</v>
      </c>
      <c r="DL63" s="118" t="s">
        <v>1062</v>
      </c>
      <c r="DM63" s="118">
        <v>2</v>
      </c>
      <c r="DN63" s="118" t="str">
        <f t="shared" si="44"/>
        <v>钻石30守护灵初级抽卡券3守护灵经验25200</v>
      </c>
      <c r="DO63" s="14">
        <f t="shared" si="51"/>
        <v>12009</v>
      </c>
      <c r="DP63" s="118" t="s">
        <v>1065</v>
      </c>
      <c r="DQ63" s="118">
        <v>30</v>
      </c>
      <c r="DR63" s="118" t="s">
        <v>1066</v>
      </c>
      <c r="DS63" s="118">
        <v>3</v>
      </c>
      <c r="DT63" s="118" t="s">
        <v>1067</v>
      </c>
      <c r="DU63" s="118">
        <f t="shared" si="45"/>
        <v>25200</v>
      </c>
    </row>
    <row r="64" spans="16:125" ht="16.5" x14ac:dyDescent="0.2">
      <c r="AP64" s="24">
        <v>60</v>
      </c>
      <c r="AQ64" s="14">
        <f t="shared" si="21"/>
        <v>15</v>
      </c>
      <c r="AR64" s="109">
        <f t="shared" si="22"/>
        <v>4</v>
      </c>
      <c r="AS64" s="109">
        <f t="shared" si="23"/>
        <v>30</v>
      </c>
      <c r="AT64" s="109">
        <f t="shared" si="24"/>
        <v>79</v>
      </c>
      <c r="AU64" s="109">
        <f t="shared" si="25"/>
        <v>147</v>
      </c>
      <c r="AX64" s="109">
        <v>60</v>
      </c>
      <c r="AY64" s="14">
        <f t="shared" si="0"/>
        <v>6</v>
      </c>
      <c r="AZ64" s="14">
        <f t="shared" si="26"/>
        <v>10</v>
      </c>
      <c r="BA64" s="14">
        <f t="shared" si="53"/>
        <v>200</v>
      </c>
      <c r="BB64" s="14">
        <f t="shared" si="1"/>
        <v>1050</v>
      </c>
      <c r="BC64" s="14">
        <f t="shared" si="2"/>
        <v>2250</v>
      </c>
      <c r="BF64" s="109">
        <v>60</v>
      </c>
      <c r="BG64" s="14">
        <f t="shared" si="27"/>
        <v>6</v>
      </c>
      <c r="BH64" s="14">
        <f t="shared" si="28"/>
        <v>10</v>
      </c>
      <c r="BI64" s="14">
        <f t="shared" si="3"/>
        <v>600</v>
      </c>
      <c r="BJ64" s="14">
        <f t="shared" si="4"/>
        <v>2100</v>
      </c>
      <c r="BK64" s="14">
        <f t="shared" si="5"/>
        <v>4500</v>
      </c>
      <c r="BN64" s="109">
        <v>60</v>
      </c>
      <c r="BO64" s="109">
        <f t="shared" si="29"/>
        <v>20</v>
      </c>
      <c r="BP64" s="112">
        <f t="shared" si="30"/>
        <v>105</v>
      </c>
      <c r="BQ64" s="109">
        <f t="shared" si="67"/>
        <v>3</v>
      </c>
      <c r="BR64" s="109">
        <v>360</v>
      </c>
      <c r="BS64" s="109">
        <v>540</v>
      </c>
      <c r="BT64" s="112">
        <v>4</v>
      </c>
      <c r="BU64" s="14">
        <f t="shared" si="31"/>
        <v>11203</v>
      </c>
      <c r="BV64" s="118">
        <v>1</v>
      </c>
      <c r="BW64" s="14">
        <f t="shared" si="32"/>
        <v>120</v>
      </c>
      <c r="BX64" s="118" t="s">
        <v>1052</v>
      </c>
      <c r="BY64" s="14">
        <f t="shared" si="33"/>
        <v>3</v>
      </c>
      <c r="BZ64" s="118" t="str">
        <f t="shared" si="34"/>
        <v>守护灵抽卡券3橙色基础材料72金币46800</v>
      </c>
      <c r="CA64" s="14">
        <f t="shared" si="35"/>
        <v>30</v>
      </c>
      <c r="CB64" s="115" t="s">
        <v>271</v>
      </c>
      <c r="CC64" s="115">
        <v>3</v>
      </c>
      <c r="CD64" s="112" t="str">
        <f>INDEX(挂机升级突破!$BX$4:$CB$4,章节关卡!BT64)</f>
        <v>橙色基础材料</v>
      </c>
      <c r="CE64" s="115">
        <f>ROUND(INDEX(挂机升级突破!$Q$7:$U$37,BO64+2,章节关卡!BT64)/INDEX(挂机升级突破!$Q$5:$U$5,章节关卡!BT64)*章节关卡!BS64,0)</f>
        <v>72</v>
      </c>
      <c r="CF64" s="109" t="s">
        <v>162</v>
      </c>
      <c r="CG64" s="109">
        <f t="shared" si="61"/>
        <v>46800</v>
      </c>
      <c r="CJ64" s="115">
        <f t="shared" si="62"/>
        <v>20</v>
      </c>
      <c r="CK64" s="115">
        <f t="shared" si="63"/>
        <v>115</v>
      </c>
      <c r="CL64" s="118">
        <v>3</v>
      </c>
      <c r="CM64" s="115">
        <f t="shared" si="64"/>
        <v>540</v>
      </c>
      <c r="CN64" s="115">
        <f t="shared" si="65"/>
        <v>1080</v>
      </c>
      <c r="CO64" s="115">
        <v>9</v>
      </c>
      <c r="CP64" s="14">
        <f t="shared" si="36"/>
        <v>12203</v>
      </c>
      <c r="CQ64" s="118">
        <v>2</v>
      </c>
      <c r="CR64" s="14">
        <f t="shared" si="37"/>
        <v>220</v>
      </c>
      <c r="CS64" s="118" t="s">
        <v>1052</v>
      </c>
      <c r="CT64" s="14">
        <f t="shared" si="38"/>
        <v>3</v>
      </c>
      <c r="CU64" s="118" t="str">
        <f t="shared" si="39"/>
        <v>守护灵抽卡券5铀金11金币70200</v>
      </c>
      <c r="CV64" s="14">
        <f t="shared" si="40"/>
        <v>30</v>
      </c>
      <c r="CW64" s="115" t="s">
        <v>1030</v>
      </c>
      <c r="CX64" s="115">
        <v>5</v>
      </c>
      <c r="CY64" s="115" t="str">
        <f>INDEX(挂机升级突破!$BX$4:$CG$4,章节关卡!CO64)</f>
        <v>铀金</v>
      </c>
      <c r="CZ64" s="115">
        <f>ROUND(INDEX(挂机升级突破!$Q$7:$Z$37,CJ64+3,章节关卡!CO64)/INDEX(挂机升级突破!$Q$5:$Z$5,章节关卡!CO64)*章节关卡!CN64,0)</f>
        <v>11</v>
      </c>
      <c r="DA64" s="109" t="s">
        <v>265</v>
      </c>
      <c r="DB64" s="115">
        <f t="shared" si="66"/>
        <v>70200</v>
      </c>
      <c r="DE64" s="118">
        <v>60</v>
      </c>
      <c r="DF64" s="14">
        <f t="shared" si="41"/>
        <v>20</v>
      </c>
      <c r="DG64" s="118">
        <f t="shared" si="42"/>
        <v>105</v>
      </c>
      <c r="DH64" s="118">
        <v>150</v>
      </c>
      <c r="DI64" s="118">
        <f t="shared" si="43"/>
        <v>21203</v>
      </c>
      <c r="DJ64" s="118">
        <v>1</v>
      </c>
      <c r="DK64" s="14">
        <f t="shared" si="50"/>
        <v>120</v>
      </c>
      <c r="DL64" s="118" t="s">
        <v>1062</v>
      </c>
      <c r="DM64" s="118">
        <v>3</v>
      </c>
      <c r="DN64" s="118" t="str">
        <f t="shared" si="44"/>
        <v>钻石50守护灵初级抽卡券5守护灵经验31500</v>
      </c>
      <c r="DO64" s="14">
        <f t="shared" si="51"/>
        <v>12009</v>
      </c>
      <c r="DP64" s="118" t="s">
        <v>1065</v>
      </c>
      <c r="DQ64" s="118">
        <v>50</v>
      </c>
      <c r="DR64" s="118" t="s">
        <v>1066</v>
      </c>
      <c r="DS64" s="118">
        <v>5</v>
      </c>
      <c r="DT64" s="118" t="s">
        <v>1067</v>
      </c>
      <c r="DU64" s="118">
        <f t="shared" si="45"/>
        <v>31500</v>
      </c>
    </row>
    <row r="65" spans="42:125" ht="16.5" x14ac:dyDescent="0.2">
      <c r="AP65" s="24">
        <v>61</v>
      </c>
      <c r="AQ65" s="14">
        <f t="shared" si="21"/>
        <v>16</v>
      </c>
      <c r="AR65" s="109">
        <f t="shared" si="22"/>
        <v>1</v>
      </c>
      <c r="AS65" s="109">
        <f t="shared" si="23"/>
        <v>32</v>
      </c>
      <c r="AT65" s="109">
        <f t="shared" si="24"/>
        <v>82</v>
      </c>
      <c r="AU65" s="109">
        <f t="shared" si="25"/>
        <v>152</v>
      </c>
      <c r="AX65" s="109">
        <v>61</v>
      </c>
      <c r="AY65" s="14">
        <f t="shared" si="0"/>
        <v>7</v>
      </c>
      <c r="AZ65" s="14">
        <f t="shared" si="26"/>
        <v>1</v>
      </c>
      <c r="BA65" s="14">
        <f t="shared" si="53"/>
        <v>240</v>
      </c>
      <c r="BB65" s="14">
        <f t="shared" si="1"/>
        <v>1200</v>
      </c>
      <c r="BC65" s="14">
        <f t="shared" si="2"/>
        <v>2700</v>
      </c>
      <c r="BF65" s="109">
        <v>61</v>
      </c>
      <c r="BG65" s="14">
        <f t="shared" si="27"/>
        <v>7</v>
      </c>
      <c r="BH65" s="14">
        <f t="shared" si="28"/>
        <v>1</v>
      </c>
      <c r="BI65" s="14">
        <f t="shared" si="3"/>
        <v>700</v>
      </c>
      <c r="BJ65" s="14">
        <f t="shared" si="4"/>
        <v>2400</v>
      </c>
      <c r="BK65" s="14">
        <f t="shared" si="5"/>
        <v>5400</v>
      </c>
      <c r="BN65" s="109">
        <v>61</v>
      </c>
      <c r="BO65" s="109">
        <f t="shared" si="29"/>
        <v>21</v>
      </c>
      <c r="BP65" s="112">
        <f t="shared" si="30"/>
        <v>110</v>
      </c>
      <c r="BQ65" s="109">
        <f t="shared" ref="BQ65:BQ94" si="68">MOD(BN65-1,3)+1</f>
        <v>1</v>
      </c>
      <c r="BR65" s="109">
        <v>120</v>
      </c>
      <c r="BS65" s="109">
        <v>180</v>
      </c>
      <c r="BT65" s="112">
        <v>4</v>
      </c>
      <c r="BU65" s="14">
        <f t="shared" si="31"/>
        <v>11211</v>
      </c>
      <c r="BV65" s="118">
        <v>1</v>
      </c>
      <c r="BW65" s="14">
        <f t="shared" si="32"/>
        <v>121</v>
      </c>
      <c r="BX65" s="118" t="s">
        <v>1052</v>
      </c>
      <c r="BY65" s="14">
        <f t="shared" si="33"/>
        <v>1</v>
      </c>
      <c r="BZ65" s="118" t="str">
        <f t="shared" si="34"/>
        <v>钻石100橙色基础材料30金币16800</v>
      </c>
      <c r="CA65" s="14">
        <f t="shared" si="35"/>
        <v>10</v>
      </c>
      <c r="CB65" s="115" t="s">
        <v>22</v>
      </c>
      <c r="CC65" s="115">
        <v>100</v>
      </c>
      <c r="CD65" s="112" t="str">
        <f>INDEX(挂机升级突破!$BX$4:$CB$4,章节关卡!BT65)</f>
        <v>橙色基础材料</v>
      </c>
      <c r="CE65" s="115">
        <f>ROUND(INDEX(挂机升级突破!$Q$7:$U$37,BO65+2,章节关卡!BT65)/INDEX(挂机升级突破!$Q$5:$U$5,章节关卡!BT65)*章节关卡!BS65,0)</f>
        <v>30</v>
      </c>
      <c r="CF65" s="109" t="s">
        <v>70</v>
      </c>
      <c r="CG65" s="109">
        <f t="shared" si="61"/>
        <v>16800</v>
      </c>
      <c r="CJ65" s="115">
        <f t="shared" si="62"/>
        <v>21</v>
      </c>
      <c r="CK65" s="115">
        <f t="shared" si="63"/>
        <v>120</v>
      </c>
      <c r="CL65" s="118">
        <v>1</v>
      </c>
      <c r="CM65" s="115">
        <f t="shared" si="64"/>
        <v>180</v>
      </c>
      <c r="CN65" s="115">
        <f t="shared" si="65"/>
        <v>360</v>
      </c>
      <c r="CO65" s="115">
        <v>9</v>
      </c>
      <c r="CP65" s="14">
        <f t="shared" si="36"/>
        <v>12211</v>
      </c>
      <c r="CQ65" s="118">
        <v>2</v>
      </c>
      <c r="CR65" s="14">
        <f t="shared" si="37"/>
        <v>221</v>
      </c>
      <c r="CS65" s="118" t="s">
        <v>1052</v>
      </c>
      <c r="CT65" s="14">
        <f t="shared" si="38"/>
        <v>1</v>
      </c>
      <c r="CU65" s="118" t="str">
        <f t="shared" si="39"/>
        <v>钻石100铀金6金币25200</v>
      </c>
      <c r="CV65" s="14">
        <f t="shared" si="40"/>
        <v>10</v>
      </c>
      <c r="CW65" s="115" t="s">
        <v>270</v>
      </c>
      <c r="CX65" s="115">
        <v>100</v>
      </c>
      <c r="CY65" s="115" t="str">
        <f>INDEX(挂机升级突破!$BX$4:$CG$4,章节关卡!CO65)</f>
        <v>铀金</v>
      </c>
      <c r="CZ65" s="115">
        <f>ROUND(INDEX(挂机升级突破!$Q$7:$Z$37,CJ65+3,章节关卡!CO65)/INDEX(挂机升级突破!$Q$5:$Z$5,章节关卡!CO65)*章节关卡!CN65,0)</f>
        <v>6</v>
      </c>
      <c r="DA65" s="115" t="s">
        <v>265</v>
      </c>
      <c r="DB65" s="115">
        <f t="shared" si="66"/>
        <v>25200</v>
      </c>
      <c r="DE65" s="118">
        <v>61</v>
      </c>
      <c r="DF65" s="14">
        <f t="shared" si="41"/>
        <v>21</v>
      </c>
      <c r="DG65" s="118">
        <f t="shared" si="42"/>
        <v>110</v>
      </c>
      <c r="DH65" s="118">
        <v>90</v>
      </c>
      <c r="DI65" s="118">
        <f t="shared" si="43"/>
        <v>21211</v>
      </c>
      <c r="DJ65" s="118">
        <v>1</v>
      </c>
      <c r="DK65" s="14">
        <f t="shared" si="50"/>
        <v>121</v>
      </c>
      <c r="DL65" s="118" t="s">
        <v>1062</v>
      </c>
      <c r="DM65" s="118">
        <v>1</v>
      </c>
      <c r="DN65" s="118" t="str">
        <f t="shared" si="44"/>
        <v>钻石20守护灵初级抽卡券2守护灵经验20250</v>
      </c>
      <c r="DO65" s="14">
        <f t="shared" si="51"/>
        <v>12109</v>
      </c>
      <c r="DP65" s="118" t="s">
        <v>1065</v>
      </c>
      <c r="DQ65" s="118">
        <v>20</v>
      </c>
      <c r="DR65" s="118" t="s">
        <v>1066</v>
      </c>
      <c r="DS65" s="118">
        <v>2</v>
      </c>
      <c r="DT65" s="118" t="s">
        <v>1067</v>
      </c>
      <c r="DU65" s="118">
        <f t="shared" si="45"/>
        <v>20250</v>
      </c>
    </row>
    <row r="66" spans="42:125" ht="16.5" x14ac:dyDescent="0.2">
      <c r="AP66" s="24">
        <v>62</v>
      </c>
      <c r="AQ66" s="14">
        <f t="shared" si="21"/>
        <v>16</v>
      </c>
      <c r="AR66" s="109">
        <f t="shared" si="22"/>
        <v>2</v>
      </c>
      <c r="AS66" s="109">
        <f t="shared" si="23"/>
        <v>32</v>
      </c>
      <c r="AT66" s="109">
        <f t="shared" si="24"/>
        <v>84</v>
      </c>
      <c r="AU66" s="109">
        <f t="shared" si="25"/>
        <v>154</v>
      </c>
      <c r="AX66" s="109">
        <v>62</v>
      </c>
      <c r="AY66" s="14">
        <f t="shared" si="0"/>
        <v>7</v>
      </c>
      <c r="AZ66" s="14">
        <f t="shared" si="26"/>
        <v>2</v>
      </c>
      <c r="BA66" s="14">
        <f t="shared" si="53"/>
        <v>240</v>
      </c>
      <c r="BB66" s="14">
        <f t="shared" si="1"/>
        <v>1200</v>
      </c>
      <c r="BC66" s="14">
        <f t="shared" si="2"/>
        <v>2700</v>
      </c>
      <c r="BF66" s="109">
        <v>62</v>
      </c>
      <c r="BG66" s="14">
        <f t="shared" si="27"/>
        <v>7</v>
      </c>
      <c r="BH66" s="14">
        <f t="shared" si="28"/>
        <v>2</v>
      </c>
      <c r="BI66" s="14">
        <f t="shared" si="3"/>
        <v>700</v>
      </c>
      <c r="BJ66" s="14">
        <f t="shared" si="4"/>
        <v>2400</v>
      </c>
      <c r="BK66" s="14">
        <f t="shared" si="5"/>
        <v>5400</v>
      </c>
      <c r="BN66" s="109">
        <v>62</v>
      </c>
      <c r="BO66" s="109">
        <f t="shared" si="29"/>
        <v>21</v>
      </c>
      <c r="BP66" s="112">
        <f t="shared" si="30"/>
        <v>110</v>
      </c>
      <c r="BQ66" s="109">
        <f t="shared" si="68"/>
        <v>2</v>
      </c>
      <c r="BR66" s="109">
        <v>240</v>
      </c>
      <c r="BS66" s="109">
        <v>360</v>
      </c>
      <c r="BT66" s="112">
        <v>4</v>
      </c>
      <c r="BU66" s="14">
        <f t="shared" si="31"/>
        <v>11212</v>
      </c>
      <c r="BV66" s="118">
        <v>1</v>
      </c>
      <c r="BW66" s="14">
        <f t="shared" si="32"/>
        <v>121</v>
      </c>
      <c r="BX66" s="118" t="s">
        <v>1052</v>
      </c>
      <c r="BY66" s="14">
        <f t="shared" si="33"/>
        <v>2</v>
      </c>
      <c r="BZ66" s="118" t="str">
        <f t="shared" si="34"/>
        <v>守护灵抽卡券2橙色基础材料60金币33600</v>
      </c>
      <c r="CA66" s="14">
        <f t="shared" si="35"/>
        <v>20</v>
      </c>
      <c r="CB66" s="115" t="s">
        <v>271</v>
      </c>
      <c r="CC66" s="115">
        <v>2</v>
      </c>
      <c r="CD66" s="112" t="str">
        <f>INDEX(挂机升级突破!$BX$4:$CB$4,章节关卡!BT66)</f>
        <v>橙色基础材料</v>
      </c>
      <c r="CE66" s="115">
        <f>ROUND(INDEX(挂机升级突破!$Q$7:$U$37,BO66+2,章节关卡!BT66)/INDEX(挂机升级突破!$Q$5:$U$5,章节关卡!BT66)*章节关卡!BS66,0)</f>
        <v>60</v>
      </c>
      <c r="CF66" s="109" t="s">
        <v>70</v>
      </c>
      <c r="CG66" s="109">
        <f t="shared" si="61"/>
        <v>33600</v>
      </c>
      <c r="CJ66" s="115">
        <f t="shared" si="62"/>
        <v>21</v>
      </c>
      <c r="CK66" s="115">
        <f t="shared" si="63"/>
        <v>120</v>
      </c>
      <c r="CL66" s="118">
        <v>2</v>
      </c>
      <c r="CM66" s="115">
        <f t="shared" si="64"/>
        <v>360</v>
      </c>
      <c r="CN66" s="115">
        <f t="shared" si="65"/>
        <v>720</v>
      </c>
      <c r="CO66" s="115">
        <v>9</v>
      </c>
      <c r="CP66" s="14">
        <f t="shared" si="36"/>
        <v>12212</v>
      </c>
      <c r="CQ66" s="118">
        <v>2</v>
      </c>
      <c r="CR66" s="14">
        <f t="shared" si="37"/>
        <v>221</v>
      </c>
      <c r="CS66" s="118" t="s">
        <v>1052</v>
      </c>
      <c r="CT66" s="14">
        <f t="shared" si="38"/>
        <v>2</v>
      </c>
      <c r="CU66" s="118" t="str">
        <f t="shared" si="39"/>
        <v>熔炼值4800铀金13金币50400</v>
      </c>
      <c r="CV66" s="14">
        <f t="shared" si="40"/>
        <v>20</v>
      </c>
      <c r="CW66" s="115" t="s">
        <v>1031</v>
      </c>
      <c r="CX66" s="115">
        <v>4800</v>
      </c>
      <c r="CY66" s="115" t="str">
        <f>INDEX(挂机升级突破!$BX$4:$CG$4,章节关卡!CO66)</f>
        <v>铀金</v>
      </c>
      <c r="CZ66" s="115">
        <f>ROUND(INDEX(挂机升级突破!$Q$7:$Z$37,CJ66+3,章节关卡!CO66)/INDEX(挂机升级突破!$Q$5:$Z$5,章节关卡!CO66)*章节关卡!CN66,0)</f>
        <v>13</v>
      </c>
      <c r="DA66" s="115" t="s">
        <v>265</v>
      </c>
      <c r="DB66" s="115">
        <f t="shared" si="66"/>
        <v>50400</v>
      </c>
      <c r="DE66" s="118">
        <v>62</v>
      </c>
      <c r="DF66" s="14">
        <f t="shared" si="41"/>
        <v>21</v>
      </c>
      <c r="DG66" s="118">
        <f t="shared" si="42"/>
        <v>110</v>
      </c>
      <c r="DH66" s="118">
        <v>120</v>
      </c>
      <c r="DI66" s="118">
        <f t="shared" si="43"/>
        <v>21212</v>
      </c>
      <c r="DJ66" s="118">
        <v>1</v>
      </c>
      <c r="DK66" s="14">
        <f t="shared" si="50"/>
        <v>121</v>
      </c>
      <c r="DL66" s="118" t="s">
        <v>1062</v>
      </c>
      <c r="DM66" s="118">
        <v>2</v>
      </c>
      <c r="DN66" s="118" t="str">
        <f t="shared" si="44"/>
        <v>钻石30守护灵初级抽卡券3守护灵经验27000</v>
      </c>
      <c r="DO66" s="14">
        <f t="shared" si="51"/>
        <v>12109</v>
      </c>
      <c r="DP66" s="118" t="s">
        <v>1065</v>
      </c>
      <c r="DQ66" s="118">
        <v>30</v>
      </c>
      <c r="DR66" s="118" t="s">
        <v>1066</v>
      </c>
      <c r="DS66" s="118">
        <v>3</v>
      </c>
      <c r="DT66" s="118" t="s">
        <v>1067</v>
      </c>
      <c r="DU66" s="118">
        <f t="shared" si="45"/>
        <v>27000</v>
      </c>
    </row>
    <row r="67" spans="42:125" ht="16.5" x14ac:dyDescent="0.2">
      <c r="AP67" s="24">
        <v>63</v>
      </c>
      <c r="AQ67" s="14">
        <f t="shared" si="21"/>
        <v>16</v>
      </c>
      <c r="AR67" s="109">
        <f t="shared" si="22"/>
        <v>3</v>
      </c>
      <c r="AS67" s="109">
        <f t="shared" si="23"/>
        <v>32</v>
      </c>
      <c r="AT67" s="109">
        <f t="shared" si="24"/>
        <v>86</v>
      </c>
      <c r="AU67" s="109">
        <f t="shared" si="25"/>
        <v>156</v>
      </c>
      <c r="AX67" s="109">
        <v>63</v>
      </c>
      <c r="AY67" s="14">
        <f t="shared" si="0"/>
        <v>7</v>
      </c>
      <c r="AZ67" s="14">
        <f t="shared" si="26"/>
        <v>3</v>
      </c>
      <c r="BA67" s="14">
        <f t="shared" si="53"/>
        <v>240</v>
      </c>
      <c r="BB67" s="14">
        <f t="shared" si="1"/>
        <v>1200</v>
      </c>
      <c r="BC67" s="14">
        <f t="shared" si="2"/>
        <v>2700</v>
      </c>
      <c r="BF67" s="109">
        <v>63</v>
      </c>
      <c r="BG67" s="14">
        <f t="shared" si="27"/>
        <v>7</v>
      </c>
      <c r="BH67" s="14">
        <f t="shared" si="28"/>
        <v>3</v>
      </c>
      <c r="BI67" s="14">
        <f t="shared" si="3"/>
        <v>700</v>
      </c>
      <c r="BJ67" s="14">
        <f t="shared" si="4"/>
        <v>2400</v>
      </c>
      <c r="BK67" s="14">
        <f t="shared" si="5"/>
        <v>5400</v>
      </c>
      <c r="BN67" s="109">
        <v>63</v>
      </c>
      <c r="BO67" s="109">
        <f t="shared" si="29"/>
        <v>21</v>
      </c>
      <c r="BP67" s="112">
        <f t="shared" si="30"/>
        <v>110</v>
      </c>
      <c r="BQ67" s="109">
        <f t="shared" si="68"/>
        <v>3</v>
      </c>
      <c r="BR67" s="109">
        <v>360</v>
      </c>
      <c r="BS67" s="109">
        <v>540</v>
      </c>
      <c r="BT67" s="112">
        <v>4</v>
      </c>
      <c r="BU67" s="14">
        <f t="shared" si="31"/>
        <v>11213</v>
      </c>
      <c r="BV67" s="118">
        <v>1</v>
      </c>
      <c r="BW67" s="14">
        <f t="shared" si="32"/>
        <v>121</v>
      </c>
      <c r="BX67" s="118" t="s">
        <v>1052</v>
      </c>
      <c r="BY67" s="14">
        <f t="shared" si="33"/>
        <v>3</v>
      </c>
      <c r="BZ67" s="118" t="str">
        <f t="shared" si="34"/>
        <v>守护灵抽卡券3橙色基础材料90金币50400</v>
      </c>
      <c r="CA67" s="14">
        <f t="shared" si="35"/>
        <v>30</v>
      </c>
      <c r="CB67" s="115" t="s">
        <v>271</v>
      </c>
      <c r="CC67" s="115">
        <v>3</v>
      </c>
      <c r="CD67" s="112" t="str">
        <f>INDEX(挂机升级突破!$BX$4:$CB$4,章节关卡!BT67)</f>
        <v>橙色基础材料</v>
      </c>
      <c r="CE67" s="115">
        <f>ROUND(INDEX(挂机升级突破!$Q$7:$U$37,BO67+2,章节关卡!BT67)/INDEX(挂机升级突破!$Q$5:$U$5,章节关卡!BT67)*章节关卡!BS67,0)</f>
        <v>90</v>
      </c>
      <c r="CF67" s="109" t="s">
        <v>70</v>
      </c>
      <c r="CG67" s="109">
        <f t="shared" si="61"/>
        <v>50400</v>
      </c>
      <c r="CJ67" s="115">
        <f t="shared" si="62"/>
        <v>21</v>
      </c>
      <c r="CK67" s="115">
        <f t="shared" si="63"/>
        <v>120</v>
      </c>
      <c r="CL67" s="118">
        <v>3</v>
      </c>
      <c r="CM67" s="115">
        <f t="shared" si="64"/>
        <v>540</v>
      </c>
      <c r="CN67" s="115">
        <f t="shared" si="65"/>
        <v>1080</v>
      </c>
      <c r="CO67" s="115">
        <v>9</v>
      </c>
      <c r="CP67" s="14">
        <f t="shared" si="36"/>
        <v>12213</v>
      </c>
      <c r="CQ67" s="118">
        <v>2</v>
      </c>
      <c r="CR67" s="14">
        <f t="shared" si="37"/>
        <v>221</v>
      </c>
      <c r="CS67" s="118" t="s">
        <v>1052</v>
      </c>
      <c r="CT67" s="14">
        <f t="shared" si="38"/>
        <v>3</v>
      </c>
      <c r="CU67" s="118" t="str">
        <f t="shared" si="39"/>
        <v>守护灵抽卡券5铀金19金币75600</v>
      </c>
      <c r="CV67" s="14">
        <f t="shared" si="40"/>
        <v>30</v>
      </c>
      <c r="CW67" s="115" t="s">
        <v>1030</v>
      </c>
      <c r="CX67" s="115">
        <v>5</v>
      </c>
      <c r="CY67" s="115" t="str">
        <f>INDEX(挂机升级突破!$BX$4:$CG$4,章节关卡!CO67)</f>
        <v>铀金</v>
      </c>
      <c r="CZ67" s="115">
        <f>ROUND(INDEX(挂机升级突破!$Q$7:$Z$37,CJ67+3,章节关卡!CO67)/INDEX(挂机升级突破!$Q$5:$Z$5,章节关卡!CO67)*章节关卡!CN67,0)</f>
        <v>19</v>
      </c>
      <c r="DA67" s="115" t="s">
        <v>265</v>
      </c>
      <c r="DB67" s="115">
        <f t="shared" si="66"/>
        <v>75600</v>
      </c>
      <c r="DE67" s="118">
        <v>63</v>
      </c>
      <c r="DF67" s="14">
        <f t="shared" si="41"/>
        <v>21</v>
      </c>
      <c r="DG67" s="118">
        <f t="shared" si="42"/>
        <v>110</v>
      </c>
      <c r="DH67" s="118">
        <v>150</v>
      </c>
      <c r="DI67" s="118">
        <f t="shared" si="43"/>
        <v>21213</v>
      </c>
      <c r="DJ67" s="118">
        <v>1</v>
      </c>
      <c r="DK67" s="14">
        <f t="shared" si="50"/>
        <v>121</v>
      </c>
      <c r="DL67" s="118" t="s">
        <v>1062</v>
      </c>
      <c r="DM67" s="118">
        <v>3</v>
      </c>
      <c r="DN67" s="118" t="str">
        <f t="shared" si="44"/>
        <v>钻石50守护灵初级抽卡券5守护灵经验33750</v>
      </c>
      <c r="DO67" s="14">
        <f t="shared" si="51"/>
        <v>12109</v>
      </c>
      <c r="DP67" s="118" t="s">
        <v>1065</v>
      </c>
      <c r="DQ67" s="118">
        <v>50</v>
      </c>
      <c r="DR67" s="118" t="s">
        <v>1066</v>
      </c>
      <c r="DS67" s="118">
        <v>5</v>
      </c>
      <c r="DT67" s="118" t="s">
        <v>1067</v>
      </c>
      <c r="DU67" s="118">
        <f t="shared" si="45"/>
        <v>33750</v>
      </c>
    </row>
    <row r="68" spans="42:125" ht="16.5" x14ac:dyDescent="0.2">
      <c r="AP68" s="24">
        <v>64</v>
      </c>
      <c r="AQ68" s="14">
        <f t="shared" si="21"/>
        <v>16</v>
      </c>
      <c r="AR68" s="109">
        <f t="shared" si="22"/>
        <v>4</v>
      </c>
      <c r="AS68" s="109">
        <f t="shared" si="23"/>
        <v>32</v>
      </c>
      <c r="AT68" s="109">
        <f t="shared" si="24"/>
        <v>88</v>
      </c>
      <c r="AU68" s="109">
        <f t="shared" si="25"/>
        <v>158</v>
      </c>
      <c r="AX68" s="109">
        <v>64</v>
      </c>
      <c r="AY68" s="14">
        <f t="shared" si="0"/>
        <v>7</v>
      </c>
      <c r="AZ68" s="14">
        <f t="shared" si="26"/>
        <v>4</v>
      </c>
      <c r="BA68" s="14">
        <f t="shared" si="53"/>
        <v>240</v>
      </c>
      <c r="BB68" s="14">
        <f t="shared" si="1"/>
        <v>1200</v>
      </c>
      <c r="BC68" s="14">
        <f t="shared" si="2"/>
        <v>2700</v>
      </c>
      <c r="BF68" s="109">
        <v>64</v>
      </c>
      <c r="BG68" s="14">
        <f t="shared" si="27"/>
        <v>7</v>
      </c>
      <c r="BH68" s="14">
        <f t="shared" si="28"/>
        <v>4</v>
      </c>
      <c r="BI68" s="14">
        <f t="shared" si="3"/>
        <v>700</v>
      </c>
      <c r="BJ68" s="14">
        <f t="shared" si="4"/>
        <v>2400</v>
      </c>
      <c r="BK68" s="14">
        <f t="shared" si="5"/>
        <v>5400</v>
      </c>
      <c r="BN68" s="109">
        <v>64</v>
      </c>
      <c r="BO68" s="109">
        <f t="shared" si="29"/>
        <v>22</v>
      </c>
      <c r="BP68" s="112">
        <f t="shared" si="30"/>
        <v>115</v>
      </c>
      <c r="BQ68" s="109">
        <f t="shared" si="68"/>
        <v>1</v>
      </c>
      <c r="BR68" s="109">
        <v>120</v>
      </c>
      <c r="BS68" s="109">
        <v>180</v>
      </c>
      <c r="BT68" s="109">
        <v>5</v>
      </c>
      <c r="BU68" s="14">
        <f t="shared" si="31"/>
        <v>11221</v>
      </c>
      <c r="BV68" s="118">
        <v>1</v>
      </c>
      <c r="BW68" s="14">
        <f t="shared" si="32"/>
        <v>122</v>
      </c>
      <c r="BX68" s="118" t="s">
        <v>1052</v>
      </c>
      <c r="BY68" s="14">
        <f t="shared" si="33"/>
        <v>1</v>
      </c>
      <c r="BZ68" s="118" t="str">
        <f t="shared" si="34"/>
        <v>钻石100红色基础材料6金币18000</v>
      </c>
      <c r="CA68" s="14">
        <f t="shared" si="35"/>
        <v>10</v>
      </c>
      <c r="CB68" s="115" t="s">
        <v>22</v>
      </c>
      <c r="CC68" s="115">
        <v>100</v>
      </c>
      <c r="CD68" s="112" t="str">
        <f>INDEX(挂机升级突破!$BX$4:$CB$4,章节关卡!BT68)</f>
        <v>红色基础材料</v>
      </c>
      <c r="CE68" s="115">
        <f>ROUND(INDEX(挂机升级突破!$Q$7:$U$37,BO68+2,章节关卡!BT68)/INDEX(挂机升级突破!$Q$5:$U$5,章节关卡!BT68)*章节关卡!BS68,0)</f>
        <v>6</v>
      </c>
      <c r="CF68" s="109" t="s">
        <v>70</v>
      </c>
      <c r="CG68" s="109">
        <f t="shared" si="61"/>
        <v>18000</v>
      </c>
      <c r="CJ68" s="115">
        <f t="shared" si="62"/>
        <v>22</v>
      </c>
      <c r="CK68" s="115">
        <f t="shared" si="63"/>
        <v>125</v>
      </c>
      <c r="CL68" s="118">
        <v>1</v>
      </c>
      <c r="CM68" s="115">
        <f t="shared" si="64"/>
        <v>180</v>
      </c>
      <c r="CN68" s="115">
        <f t="shared" si="65"/>
        <v>360</v>
      </c>
      <c r="CO68" s="115">
        <v>9</v>
      </c>
      <c r="CP68" s="14">
        <f t="shared" si="36"/>
        <v>12221</v>
      </c>
      <c r="CQ68" s="118">
        <v>2</v>
      </c>
      <c r="CR68" s="14">
        <f t="shared" si="37"/>
        <v>222</v>
      </c>
      <c r="CS68" s="118" t="s">
        <v>1052</v>
      </c>
      <c r="CT68" s="14">
        <f t="shared" si="38"/>
        <v>1</v>
      </c>
      <c r="CU68" s="118" t="str">
        <f t="shared" si="39"/>
        <v>钻石100铀金9金币27000</v>
      </c>
      <c r="CV68" s="14">
        <f t="shared" si="40"/>
        <v>10</v>
      </c>
      <c r="CW68" s="115" t="s">
        <v>270</v>
      </c>
      <c r="CX68" s="115">
        <v>100</v>
      </c>
      <c r="CY68" s="115" t="str">
        <f>INDEX(挂机升级突破!$BX$4:$CG$4,章节关卡!CO68)</f>
        <v>铀金</v>
      </c>
      <c r="CZ68" s="115">
        <f>ROUND(INDEX(挂机升级突破!$Q$7:$Z$37,CJ68+3,章节关卡!CO68)/INDEX(挂机升级突破!$Q$5:$Z$5,章节关卡!CO68)*章节关卡!CN68,0)</f>
        <v>9</v>
      </c>
      <c r="DA68" s="115" t="s">
        <v>265</v>
      </c>
      <c r="DB68" s="115">
        <f t="shared" si="66"/>
        <v>27000</v>
      </c>
      <c r="DE68" s="118">
        <v>64</v>
      </c>
      <c r="DF68" s="14">
        <f t="shared" si="41"/>
        <v>22</v>
      </c>
      <c r="DG68" s="118">
        <f t="shared" si="42"/>
        <v>115</v>
      </c>
      <c r="DH68" s="118">
        <v>90</v>
      </c>
      <c r="DI68" s="118">
        <f t="shared" si="43"/>
        <v>21221</v>
      </c>
      <c r="DJ68" s="118">
        <v>1</v>
      </c>
      <c r="DK68" s="14">
        <f t="shared" si="50"/>
        <v>122</v>
      </c>
      <c r="DL68" s="118" t="s">
        <v>1062</v>
      </c>
      <c r="DM68" s="118">
        <v>1</v>
      </c>
      <c r="DN68" s="118" t="str">
        <f t="shared" si="44"/>
        <v>钻石20守护灵初级抽卡券2守护灵经验21150</v>
      </c>
      <c r="DO68" s="14">
        <f t="shared" si="51"/>
        <v>12209</v>
      </c>
      <c r="DP68" s="118" t="s">
        <v>1065</v>
      </c>
      <c r="DQ68" s="118">
        <v>20</v>
      </c>
      <c r="DR68" s="118" t="s">
        <v>1066</v>
      </c>
      <c r="DS68" s="118">
        <v>2</v>
      </c>
      <c r="DT68" s="118" t="s">
        <v>1067</v>
      </c>
      <c r="DU68" s="118">
        <f t="shared" si="45"/>
        <v>21150</v>
      </c>
    </row>
    <row r="69" spans="42:125" ht="16.5" x14ac:dyDescent="0.2">
      <c r="AP69" s="24">
        <v>65</v>
      </c>
      <c r="AQ69" s="14">
        <f t="shared" si="21"/>
        <v>17</v>
      </c>
      <c r="AR69" s="109">
        <f t="shared" si="22"/>
        <v>1</v>
      </c>
      <c r="AS69" s="109">
        <f t="shared" si="23"/>
        <v>35</v>
      </c>
      <c r="AT69" s="109">
        <f t="shared" si="24"/>
        <v>92</v>
      </c>
      <c r="AU69" s="109">
        <f t="shared" si="25"/>
        <v>163</v>
      </c>
      <c r="AX69" s="109">
        <v>65</v>
      </c>
      <c r="AY69" s="14">
        <f t="shared" ref="AY69:AY132" si="69">INDEX($N$5:$N$36,MATCH(AX69-1,$Q$5:$Q$36,1))+1</f>
        <v>7</v>
      </c>
      <c r="AZ69" s="14">
        <f t="shared" si="26"/>
        <v>5</v>
      </c>
      <c r="BA69" s="14">
        <f t="shared" si="53"/>
        <v>240</v>
      </c>
      <c r="BB69" s="14">
        <f t="shared" ref="BB69:BB132" si="70">INDEX($U$6:$U$35,AY69)</f>
        <v>1200</v>
      </c>
      <c r="BC69" s="14">
        <f t="shared" ref="BC69:BC132" si="71">INDEX($W$6:$W$35,AY69)</f>
        <v>2700</v>
      </c>
      <c r="BF69" s="109">
        <v>65</v>
      </c>
      <c r="BG69" s="14">
        <f t="shared" si="27"/>
        <v>7</v>
      </c>
      <c r="BH69" s="14">
        <f t="shared" si="28"/>
        <v>5</v>
      </c>
      <c r="BI69" s="14">
        <f t="shared" ref="BI69:BI132" si="72">INDEX($AG$6:$AG$35,BG69)</f>
        <v>700</v>
      </c>
      <c r="BJ69" s="14">
        <f t="shared" ref="BJ69:BJ132" si="73">INDEX($AI$6:$AI$35,BG69)</f>
        <v>2400</v>
      </c>
      <c r="BK69" s="14">
        <f t="shared" ref="BK69:BK132" si="74">INDEX($AK$6:$AK$35,BG69)</f>
        <v>5400</v>
      </c>
      <c r="BN69" s="109">
        <v>65</v>
      </c>
      <c r="BO69" s="109">
        <f t="shared" si="29"/>
        <v>22</v>
      </c>
      <c r="BP69" s="112">
        <f t="shared" si="30"/>
        <v>115</v>
      </c>
      <c r="BQ69" s="109">
        <f t="shared" si="68"/>
        <v>2</v>
      </c>
      <c r="BR69" s="109">
        <v>240</v>
      </c>
      <c r="BS69" s="109">
        <v>360</v>
      </c>
      <c r="BT69" s="112">
        <v>5</v>
      </c>
      <c r="BU69" s="14">
        <f t="shared" si="31"/>
        <v>11222</v>
      </c>
      <c r="BV69" s="118">
        <v>1</v>
      </c>
      <c r="BW69" s="14">
        <f t="shared" si="32"/>
        <v>122</v>
      </c>
      <c r="BX69" s="118" t="s">
        <v>1052</v>
      </c>
      <c r="BY69" s="14">
        <f t="shared" si="33"/>
        <v>2</v>
      </c>
      <c r="BZ69" s="118" t="str">
        <f t="shared" si="34"/>
        <v>守护灵抽卡券2红色基础材料12金币36000</v>
      </c>
      <c r="CA69" s="14">
        <f t="shared" si="35"/>
        <v>20</v>
      </c>
      <c r="CB69" s="115" t="s">
        <v>271</v>
      </c>
      <c r="CC69" s="115">
        <v>2</v>
      </c>
      <c r="CD69" s="112" t="str">
        <f>INDEX(挂机升级突破!$BX$4:$CB$4,章节关卡!BT69)</f>
        <v>红色基础材料</v>
      </c>
      <c r="CE69" s="115">
        <f>ROUND(INDEX(挂机升级突破!$Q$7:$U$37,BO69+2,章节关卡!BT69)/INDEX(挂机升级突破!$Q$5:$U$5,章节关卡!BT69)*章节关卡!BS69,0)</f>
        <v>12</v>
      </c>
      <c r="CF69" s="109" t="s">
        <v>70</v>
      </c>
      <c r="CG69" s="109">
        <f t="shared" ref="CG69:CG94" si="75">INDEX($H$6:$H$35,BO69)*BR69</f>
        <v>36000</v>
      </c>
      <c r="CJ69" s="115">
        <f t="shared" ref="CJ69:CJ94" si="76">BO69</f>
        <v>22</v>
      </c>
      <c r="CK69" s="115">
        <f t="shared" ref="CK69:CK94" si="77">BP69+10</f>
        <v>125</v>
      </c>
      <c r="CL69" s="118">
        <v>2</v>
      </c>
      <c r="CM69" s="115">
        <f t="shared" ref="CM69:CM94" si="78">BR69*CM$2</f>
        <v>360</v>
      </c>
      <c r="CN69" s="115">
        <f t="shared" ref="CN69:CN94" si="79">BS69*CN$2</f>
        <v>720</v>
      </c>
      <c r="CO69" s="115">
        <v>9</v>
      </c>
      <c r="CP69" s="14">
        <f t="shared" si="36"/>
        <v>12222</v>
      </c>
      <c r="CQ69" s="118">
        <v>2</v>
      </c>
      <c r="CR69" s="14">
        <f t="shared" si="37"/>
        <v>222</v>
      </c>
      <c r="CS69" s="118" t="s">
        <v>1052</v>
      </c>
      <c r="CT69" s="14">
        <f t="shared" si="38"/>
        <v>2</v>
      </c>
      <c r="CU69" s="118" t="str">
        <f t="shared" si="39"/>
        <v>熔炼值5400铀金18金币54000</v>
      </c>
      <c r="CV69" s="14">
        <f t="shared" si="40"/>
        <v>20</v>
      </c>
      <c r="CW69" s="115" t="s">
        <v>1031</v>
      </c>
      <c r="CX69" s="115">
        <v>5400</v>
      </c>
      <c r="CY69" s="115" t="str">
        <f>INDEX(挂机升级突破!$BX$4:$CG$4,章节关卡!CO69)</f>
        <v>铀金</v>
      </c>
      <c r="CZ69" s="115">
        <f>ROUND(INDEX(挂机升级突破!$Q$7:$Z$37,CJ69+3,章节关卡!CO69)/INDEX(挂机升级突破!$Q$5:$Z$5,章节关卡!CO69)*章节关卡!CN69,0)</f>
        <v>18</v>
      </c>
      <c r="DA69" s="115" t="s">
        <v>265</v>
      </c>
      <c r="DB69" s="115">
        <f t="shared" ref="DB69:DB94" si="80">INDEX($H$6:$H$35,BO69)*CM69</f>
        <v>54000</v>
      </c>
      <c r="DE69" s="118">
        <v>65</v>
      </c>
      <c r="DF69" s="14">
        <f t="shared" si="41"/>
        <v>22</v>
      </c>
      <c r="DG69" s="118">
        <f t="shared" si="42"/>
        <v>115</v>
      </c>
      <c r="DH69" s="118">
        <v>120</v>
      </c>
      <c r="DI69" s="118">
        <f t="shared" si="43"/>
        <v>21222</v>
      </c>
      <c r="DJ69" s="118">
        <v>1</v>
      </c>
      <c r="DK69" s="14">
        <f t="shared" si="50"/>
        <v>122</v>
      </c>
      <c r="DL69" s="118" t="s">
        <v>1062</v>
      </c>
      <c r="DM69" s="118">
        <v>2</v>
      </c>
      <c r="DN69" s="118" t="str">
        <f t="shared" si="44"/>
        <v>钻石30守护灵初级抽卡券3守护灵经验28200</v>
      </c>
      <c r="DO69" s="14">
        <f t="shared" si="51"/>
        <v>12209</v>
      </c>
      <c r="DP69" s="118" t="s">
        <v>1065</v>
      </c>
      <c r="DQ69" s="118">
        <v>30</v>
      </c>
      <c r="DR69" s="118" t="s">
        <v>1066</v>
      </c>
      <c r="DS69" s="118">
        <v>3</v>
      </c>
      <c r="DT69" s="118" t="s">
        <v>1067</v>
      </c>
      <c r="DU69" s="118">
        <f t="shared" si="45"/>
        <v>28200</v>
      </c>
    </row>
    <row r="70" spans="42:125" ht="16.5" x14ac:dyDescent="0.2">
      <c r="AP70" s="24">
        <v>66</v>
      </c>
      <c r="AQ70" s="14">
        <f t="shared" ref="AQ70:AQ124" si="81">MATCH(AP70-1,$D$5:$D$35,1)</f>
        <v>17</v>
      </c>
      <c r="AR70" s="109">
        <f t="shared" ref="AR70:AR124" si="82">AP70-INDEX($D$5:$D$35,AQ70)</f>
        <v>2</v>
      </c>
      <c r="AS70" s="109">
        <f t="shared" ref="AS70:AS124" si="83">INDEX($F$6:$F$35,AQ70)</f>
        <v>35</v>
      </c>
      <c r="AT70" s="109">
        <f t="shared" ref="AT70:AT124" si="84">INT(INDEX($H$5:$H$35,AQ70)+AR70*INDEX($I$6:$I$35,AQ70))</f>
        <v>94</v>
      </c>
      <c r="AU70" s="109">
        <f t="shared" ref="AU70:AU124" si="85">INT(INDEX($K$5:$K$35,AQ70)+AR70*INDEX($L$6:$L$35,AQ70))</f>
        <v>166</v>
      </c>
      <c r="AX70" s="109">
        <v>66</v>
      </c>
      <c r="AY70" s="14">
        <f t="shared" si="69"/>
        <v>7</v>
      </c>
      <c r="AZ70" s="14">
        <f t="shared" ref="AZ70:AZ133" si="86">AX70-INDEX($Q$5:$Q$36,AY70)</f>
        <v>6</v>
      </c>
      <c r="BA70" s="14">
        <f t="shared" si="53"/>
        <v>240</v>
      </c>
      <c r="BB70" s="14">
        <f t="shared" si="70"/>
        <v>1200</v>
      </c>
      <c r="BC70" s="14">
        <f t="shared" si="71"/>
        <v>2700</v>
      </c>
      <c r="BF70" s="109">
        <v>66</v>
      </c>
      <c r="BG70" s="14">
        <f t="shared" ref="BG70:BG133" si="87">INDEX($AA$5:$AA$35,MATCH(BF70-1,$AF$5:$AF$35,1))+1</f>
        <v>7</v>
      </c>
      <c r="BH70" s="14">
        <f t="shared" ref="BH70:BH133" si="88">BF70-INDEX($AF$5:$AF$35,BG70)</f>
        <v>6</v>
      </c>
      <c r="BI70" s="14">
        <f t="shared" si="72"/>
        <v>700</v>
      </c>
      <c r="BJ70" s="14">
        <f t="shared" si="73"/>
        <v>2400</v>
      </c>
      <c r="BK70" s="14">
        <f t="shared" si="74"/>
        <v>5400</v>
      </c>
      <c r="BN70" s="109">
        <v>66</v>
      </c>
      <c r="BO70" s="109">
        <f t="shared" ref="BO70:BO94" si="89">INDEX($A$6:$A$35,INT((BN70-1)/3)+1)</f>
        <v>22</v>
      </c>
      <c r="BP70" s="112">
        <f t="shared" ref="BP70:BP94" si="90">INDEX($B$6:$B$35,BO70)</f>
        <v>115</v>
      </c>
      <c r="BQ70" s="109">
        <f t="shared" si="68"/>
        <v>3</v>
      </c>
      <c r="BR70" s="109">
        <v>360</v>
      </c>
      <c r="BS70" s="109">
        <v>540</v>
      </c>
      <c r="BT70" s="112">
        <v>5</v>
      </c>
      <c r="BU70" s="14">
        <f t="shared" ref="BU70:BU94" si="91">10000+BW70*10+BQ70</f>
        <v>11223</v>
      </c>
      <c r="BV70" s="118">
        <v>1</v>
      </c>
      <c r="BW70" s="14">
        <f t="shared" ref="BW70:BW94" si="92">100+BO70</f>
        <v>122</v>
      </c>
      <c r="BX70" s="118" t="s">
        <v>1052</v>
      </c>
      <c r="BY70" s="14">
        <f t="shared" ref="BY70:BY94" si="93">BQ70</f>
        <v>3</v>
      </c>
      <c r="BZ70" s="118" t="str">
        <f t="shared" ref="BZ70:BZ94" si="94">CB70&amp;CC70&amp;CD70&amp;CE70&amp;CF70&amp;CG70</f>
        <v>守护灵抽卡券3红色基础材料18金币54000</v>
      </c>
      <c r="CA70" s="14">
        <f t="shared" ref="CA70:CA94" si="95">BY70*10</f>
        <v>30</v>
      </c>
      <c r="CB70" s="115" t="s">
        <v>271</v>
      </c>
      <c r="CC70" s="115">
        <v>3</v>
      </c>
      <c r="CD70" s="112" t="str">
        <f>INDEX(挂机升级突破!$BX$4:$CB$4,章节关卡!BT70)</f>
        <v>红色基础材料</v>
      </c>
      <c r="CE70" s="115">
        <f>ROUND(INDEX(挂机升级突破!$Q$7:$U$37,BO70+2,章节关卡!BT70)/INDEX(挂机升级突破!$Q$5:$U$5,章节关卡!BT70)*章节关卡!BS70,0)</f>
        <v>18</v>
      </c>
      <c r="CF70" s="109" t="s">
        <v>70</v>
      </c>
      <c r="CG70" s="109">
        <f t="shared" si="75"/>
        <v>54000</v>
      </c>
      <c r="CJ70" s="115">
        <f t="shared" si="76"/>
        <v>22</v>
      </c>
      <c r="CK70" s="115">
        <f t="shared" si="77"/>
        <v>125</v>
      </c>
      <c r="CL70" s="118">
        <v>3</v>
      </c>
      <c r="CM70" s="115">
        <f t="shared" si="78"/>
        <v>540</v>
      </c>
      <c r="CN70" s="115">
        <f t="shared" si="79"/>
        <v>1080</v>
      </c>
      <c r="CO70" s="115">
        <v>9</v>
      </c>
      <c r="CP70" s="14">
        <f t="shared" ref="CP70:CP94" si="96">10000+CR70*10+CL70</f>
        <v>12223</v>
      </c>
      <c r="CQ70" s="118">
        <v>2</v>
      </c>
      <c r="CR70" s="14">
        <f t="shared" ref="CR70:CR94" si="97">200+CJ70</f>
        <v>222</v>
      </c>
      <c r="CS70" s="118" t="s">
        <v>1052</v>
      </c>
      <c r="CT70" s="14">
        <f t="shared" ref="CT70:CT94" si="98">CL70</f>
        <v>3</v>
      </c>
      <c r="CU70" s="118" t="str">
        <f t="shared" ref="CU70:CU94" si="99">CW70&amp;CX70&amp;CY70&amp;CZ70&amp;DA70&amp;DB70</f>
        <v>守护灵抽卡券5铀金27金币81000</v>
      </c>
      <c r="CV70" s="14">
        <f t="shared" ref="CV70:CV94" si="100">CT70*10</f>
        <v>30</v>
      </c>
      <c r="CW70" s="115" t="s">
        <v>1030</v>
      </c>
      <c r="CX70" s="115">
        <v>5</v>
      </c>
      <c r="CY70" s="115" t="str">
        <f>INDEX(挂机升级突破!$BX$4:$CG$4,章节关卡!CO70)</f>
        <v>铀金</v>
      </c>
      <c r="CZ70" s="115">
        <f>ROUND(INDEX(挂机升级突破!$Q$7:$Z$37,CJ70+3,章节关卡!CO70)/INDEX(挂机升级突破!$Q$5:$Z$5,章节关卡!CO70)*章节关卡!CN70,0)</f>
        <v>27</v>
      </c>
      <c r="DA70" s="115" t="s">
        <v>265</v>
      </c>
      <c r="DB70" s="115">
        <f t="shared" si="80"/>
        <v>81000</v>
      </c>
      <c r="DE70" s="118">
        <v>66</v>
      </c>
      <c r="DF70" s="14">
        <f t="shared" ref="DF70:DF94" si="101">INT((DE70-1)/3)+1</f>
        <v>22</v>
      </c>
      <c r="DG70" s="118">
        <f t="shared" ref="DG70:DG94" si="102">BP70</f>
        <v>115</v>
      </c>
      <c r="DH70" s="118">
        <v>150</v>
      </c>
      <c r="DI70" s="118">
        <f t="shared" ref="DI70:DI94" si="103">20000+DK70*10+DM70</f>
        <v>21223</v>
      </c>
      <c r="DJ70" s="118">
        <v>1</v>
      </c>
      <c r="DK70" s="14">
        <f t="shared" si="50"/>
        <v>122</v>
      </c>
      <c r="DL70" s="118" t="s">
        <v>1062</v>
      </c>
      <c r="DM70" s="118">
        <v>3</v>
      </c>
      <c r="DN70" s="118" t="str">
        <f t="shared" ref="DN70:DN94" si="104">DP70&amp;DQ70&amp;DR70&amp;DS70&amp;DT70&amp;DU70</f>
        <v>钻石50守护灵初级抽卡券5守护灵经验35250</v>
      </c>
      <c r="DO70" s="14">
        <f t="shared" si="51"/>
        <v>12209</v>
      </c>
      <c r="DP70" s="118" t="s">
        <v>1065</v>
      </c>
      <c r="DQ70" s="118">
        <v>50</v>
      </c>
      <c r="DR70" s="118" t="s">
        <v>1066</v>
      </c>
      <c r="DS70" s="118">
        <v>5</v>
      </c>
      <c r="DT70" s="118" t="s">
        <v>1067</v>
      </c>
      <c r="DU70" s="118">
        <f t="shared" ref="DU70:DU94" si="105">INDEX($K$6:$K$35,DF70)*DH70</f>
        <v>35250</v>
      </c>
    </row>
    <row r="71" spans="42:125" ht="16.5" x14ac:dyDescent="0.2">
      <c r="AP71" s="24">
        <v>67</v>
      </c>
      <c r="AQ71" s="14">
        <f t="shared" si="81"/>
        <v>17</v>
      </c>
      <c r="AR71" s="109">
        <f t="shared" si="82"/>
        <v>3</v>
      </c>
      <c r="AS71" s="109">
        <f t="shared" si="83"/>
        <v>35</v>
      </c>
      <c r="AT71" s="109">
        <f t="shared" si="84"/>
        <v>96</v>
      </c>
      <c r="AU71" s="109">
        <f t="shared" si="85"/>
        <v>169</v>
      </c>
      <c r="AX71" s="109">
        <v>67</v>
      </c>
      <c r="AY71" s="14">
        <f t="shared" si="69"/>
        <v>7</v>
      </c>
      <c r="AZ71" s="14">
        <f t="shared" si="86"/>
        <v>7</v>
      </c>
      <c r="BA71" s="14">
        <f t="shared" si="53"/>
        <v>240</v>
      </c>
      <c r="BB71" s="14">
        <f t="shared" si="70"/>
        <v>1200</v>
      </c>
      <c r="BC71" s="14">
        <f t="shared" si="71"/>
        <v>2700</v>
      </c>
      <c r="BF71" s="109">
        <v>67</v>
      </c>
      <c r="BG71" s="14">
        <f t="shared" si="87"/>
        <v>7</v>
      </c>
      <c r="BH71" s="14">
        <f t="shared" si="88"/>
        <v>7</v>
      </c>
      <c r="BI71" s="14">
        <f t="shared" si="72"/>
        <v>700</v>
      </c>
      <c r="BJ71" s="14">
        <f t="shared" si="73"/>
        <v>2400</v>
      </c>
      <c r="BK71" s="14">
        <f t="shared" si="74"/>
        <v>5400</v>
      </c>
      <c r="BN71" s="109">
        <v>67</v>
      </c>
      <c r="BO71" s="109">
        <f t="shared" si="89"/>
        <v>23</v>
      </c>
      <c r="BP71" s="112">
        <f t="shared" si="90"/>
        <v>120</v>
      </c>
      <c r="BQ71" s="109">
        <f t="shared" si="68"/>
        <v>1</v>
      </c>
      <c r="BR71" s="109">
        <v>120</v>
      </c>
      <c r="BS71" s="109">
        <v>180</v>
      </c>
      <c r="BT71" s="112">
        <v>5</v>
      </c>
      <c r="BU71" s="14">
        <f t="shared" si="91"/>
        <v>11231</v>
      </c>
      <c r="BV71" s="118">
        <v>1</v>
      </c>
      <c r="BW71" s="14">
        <f t="shared" si="92"/>
        <v>123</v>
      </c>
      <c r="BX71" s="118" t="s">
        <v>1052</v>
      </c>
      <c r="BY71" s="14">
        <f t="shared" si="93"/>
        <v>1</v>
      </c>
      <c r="BZ71" s="118" t="str">
        <f t="shared" si="94"/>
        <v>钻石100红色基础材料11金币19200</v>
      </c>
      <c r="CA71" s="14">
        <f t="shared" si="95"/>
        <v>10</v>
      </c>
      <c r="CB71" s="115" t="s">
        <v>22</v>
      </c>
      <c r="CC71" s="115">
        <v>100</v>
      </c>
      <c r="CD71" s="112" t="str">
        <f>INDEX(挂机升级突破!$BX$4:$CB$4,章节关卡!BT71)</f>
        <v>红色基础材料</v>
      </c>
      <c r="CE71" s="115">
        <f>ROUND(INDEX(挂机升级突破!$Q$7:$U$37,BO71+2,章节关卡!BT71)/INDEX(挂机升级突破!$Q$5:$U$5,章节关卡!BT71)*章节关卡!BS71,0)</f>
        <v>11</v>
      </c>
      <c r="CF71" s="109" t="s">
        <v>70</v>
      </c>
      <c r="CG71" s="109">
        <f t="shared" si="75"/>
        <v>19200</v>
      </c>
      <c r="CJ71" s="115">
        <f t="shared" si="76"/>
        <v>23</v>
      </c>
      <c r="CK71" s="115">
        <f t="shared" si="77"/>
        <v>130</v>
      </c>
      <c r="CL71" s="118">
        <v>1</v>
      </c>
      <c r="CM71" s="115">
        <f t="shared" si="78"/>
        <v>180</v>
      </c>
      <c r="CN71" s="115">
        <f t="shared" si="79"/>
        <v>360</v>
      </c>
      <c r="CO71" s="115">
        <v>9</v>
      </c>
      <c r="CP71" s="14">
        <f t="shared" si="96"/>
        <v>12231</v>
      </c>
      <c r="CQ71" s="118">
        <v>2</v>
      </c>
      <c r="CR71" s="14">
        <f t="shared" si="97"/>
        <v>223</v>
      </c>
      <c r="CS71" s="118" t="s">
        <v>1052</v>
      </c>
      <c r="CT71" s="14">
        <f t="shared" si="98"/>
        <v>1</v>
      </c>
      <c r="CU71" s="118" t="str">
        <f t="shared" si="99"/>
        <v>钻石100铀金12金币28800</v>
      </c>
      <c r="CV71" s="14">
        <f t="shared" si="100"/>
        <v>10</v>
      </c>
      <c r="CW71" s="115" t="s">
        <v>270</v>
      </c>
      <c r="CX71" s="115">
        <v>100</v>
      </c>
      <c r="CY71" s="115" t="str">
        <f>INDEX(挂机升级突破!$BX$4:$CG$4,章节关卡!CO71)</f>
        <v>铀金</v>
      </c>
      <c r="CZ71" s="115">
        <f>ROUND(INDEX(挂机升级突破!$Q$7:$Z$37,CJ71+3,章节关卡!CO71)/INDEX(挂机升级突破!$Q$5:$Z$5,章节关卡!CO71)*章节关卡!CN71,0)</f>
        <v>12</v>
      </c>
      <c r="DA71" s="115" t="s">
        <v>265</v>
      </c>
      <c r="DB71" s="115">
        <f t="shared" si="80"/>
        <v>28800</v>
      </c>
      <c r="DE71" s="118">
        <v>67</v>
      </c>
      <c r="DF71" s="14">
        <f t="shared" si="101"/>
        <v>23</v>
      </c>
      <c r="DG71" s="118">
        <f t="shared" si="102"/>
        <v>120</v>
      </c>
      <c r="DH71" s="118">
        <v>90</v>
      </c>
      <c r="DI71" s="118">
        <f t="shared" si="103"/>
        <v>21231</v>
      </c>
      <c r="DJ71" s="118">
        <v>1</v>
      </c>
      <c r="DK71" s="14">
        <f t="shared" ref="DK71:DK94" si="106">DF71+100</f>
        <v>123</v>
      </c>
      <c r="DL71" s="118" t="s">
        <v>1062</v>
      </c>
      <c r="DM71" s="118">
        <v>1</v>
      </c>
      <c r="DN71" s="118" t="str">
        <f t="shared" si="104"/>
        <v>钻石20守护灵初级抽卡券2守护灵经验22500</v>
      </c>
      <c r="DO71" s="14">
        <f t="shared" si="51"/>
        <v>12309</v>
      </c>
      <c r="DP71" s="118" t="s">
        <v>1065</v>
      </c>
      <c r="DQ71" s="118">
        <v>20</v>
      </c>
      <c r="DR71" s="118" t="s">
        <v>1066</v>
      </c>
      <c r="DS71" s="118">
        <v>2</v>
      </c>
      <c r="DT71" s="118" t="s">
        <v>1067</v>
      </c>
      <c r="DU71" s="118">
        <f t="shared" si="105"/>
        <v>22500</v>
      </c>
    </row>
    <row r="72" spans="42:125" ht="16.5" x14ac:dyDescent="0.2">
      <c r="AP72" s="24">
        <v>68</v>
      </c>
      <c r="AQ72" s="14">
        <f t="shared" si="81"/>
        <v>17</v>
      </c>
      <c r="AR72" s="109">
        <f t="shared" si="82"/>
        <v>4</v>
      </c>
      <c r="AS72" s="109">
        <f t="shared" si="83"/>
        <v>35</v>
      </c>
      <c r="AT72" s="109">
        <f t="shared" si="84"/>
        <v>98</v>
      </c>
      <c r="AU72" s="109">
        <f t="shared" si="85"/>
        <v>172</v>
      </c>
      <c r="AX72" s="109">
        <v>68</v>
      </c>
      <c r="AY72" s="14">
        <f t="shared" si="69"/>
        <v>7</v>
      </c>
      <c r="AZ72" s="14">
        <f t="shared" si="86"/>
        <v>8</v>
      </c>
      <c r="BA72" s="14">
        <f t="shared" si="53"/>
        <v>240</v>
      </c>
      <c r="BB72" s="14">
        <f t="shared" si="70"/>
        <v>1200</v>
      </c>
      <c r="BC72" s="14">
        <f t="shared" si="71"/>
        <v>2700</v>
      </c>
      <c r="BF72" s="109">
        <v>68</v>
      </c>
      <c r="BG72" s="14">
        <f t="shared" si="87"/>
        <v>7</v>
      </c>
      <c r="BH72" s="14">
        <f t="shared" si="88"/>
        <v>8</v>
      </c>
      <c r="BI72" s="14">
        <f t="shared" si="72"/>
        <v>700</v>
      </c>
      <c r="BJ72" s="14">
        <f t="shared" si="73"/>
        <v>2400</v>
      </c>
      <c r="BK72" s="14">
        <f t="shared" si="74"/>
        <v>5400</v>
      </c>
      <c r="BN72" s="109">
        <v>68</v>
      </c>
      <c r="BO72" s="109">
        <f t="shared" si="89"/>
        <v>23</v>
      </c>
      <c r="BP72" s="112">
        <f t="shared" si="90"/>
        <v>120</v>
      </c>
      <c r="BQ72" s="109">
        <f t="shared" si="68"/>
        <v>2</v>
      </c>
      <c r="BR72" s="109">
        <v>240</v>
      </c>
      <c r="BS72" s="109">
        <v>360</v>
      </c>
      <c r="BT72" s="112">
        <v>5</v>
      </c>
      <c r="BU72" s="14">
        <f t="shared" si="91"/>
        <v>11232</v>
      </c>
      <c r="BV72" s="118">
        <v>1</v>
      </c>
      <c r="BW72" s="14">
        <f t="shared" si="92"/>
        <v>123</v>
      </c>
      <c r="BX72" s="118" t="s">
        <v>1052</v>
      </c>
      <c r="BY72" s="14">
        <f t="shared" si="93"/>
        <v>2</v>
      </c>
      <c r="BZ72" s="118" t="str">
        <f t="shared" si="94"/>
        <v>守护灵抽卡券2红色基础材料21金币38400</v>
      </c>
      <c r="CA72" s="14">
        <f t="shared" si="95"/>
        <v>20</v>
      </c>
      <c r="CB72" s="115" t="s">
        <v>271</v>
      </c>
      <c r="CC72" s="115">
        <v>2</v>
      </c>
      <c r="CD72" s="112" t="str">
        <f>INDEX(挂机升级突破!$BX$4:$CB$4,章节关卡!BT72)</f>
        <v>红色基础材料</v>
      </c>
      <c r="CE72" s="115">
        <f>ROUND(INDEX(挂机升级突破!$Q$7:$U$37,BO72+2,章节关卡!BT72)/INDEX(挂机升级突破!$Q$5:$U$5,章节关卡!BT72)*章节关卡!BS72,0)</f>
        <v>21</v>
      </c>
      <c r="CF72" s="109" t="s">
        <v>70</v>
      </c>
      <c r="CG72" s="109">
        <f t="shared" si="75"/>
        <v>38400</v>
      </c>
      <c r="CJ72" s="115">
        <f t="shared" si="76"/>
        <v>23</v>
      </c>
      <c r="CK72" s="115">
        <f t="shared" si="77"/>
        <v>130</v>
      </c>
      <c r="CL72" s="118">
        <v>2</v>
      </c>
      <c r="CM72" s="115">
        <f t="shared" si="78"/>
        <v>360</v>
      </c>
      <c r="CN72" s="115">
        <f t="shared" si="79"/>
        <v>720</v>
      </c>
      <c r="CO72" s="115">
        <v>9</v>
      </c>
      <c r="CP72" s="14">
        <f t="shared" si="96"/>
        <v>12232</v>
      </c>
      <c r="CQ72" s="118">
        <v>2</v>
      </c>
      <c r="CR72" s="14">
        <f t="shared" si="97"/>
        <v>223</v>
      </c>
      <c r="CS72" s="118" t="s">
        <v>1052</v>
      </c>
      <c r="CT72" s="14">
        <f t="shared" si="98"/>
        <v>2</v>
      </c>
      <c r="CU72" s="118" t="str">
        <f t="shared" si="99"/>
        <v>熔炼值6000铀金23金币57600</v>
      </c>
      <c r="CV72" s="14">
        <f t="shared" si="100"/>
        <v>20</v>
      </c>
      <c r="CW72" s="115" t="s">
        <v>1031</v>
      </c>
      <c r="CX72" s="115">
        <v>6000</v>
      </c>
      <c r="CY72" s="115" t="str">
        <f>INDEX(挂机升级突破!$BX$4:$CG$4,章节关卡!CO72)</f>
        <v>铀金</v>
      </c>
      <c r="CZ72" s="115">
        <f>ROUND(INDEX(挂机升级突破!$Q$7:$Z$37,CJ72+3,章节关卡!CO72)/INDEX(挂机升级突破!$Q$5:$Z$5,章节关卡!CO72)*章节关卡!CN72,0)</f>
        <v>23</v>
      </c>
      <c r="DA72" s="115" t="s">
        <v>265</v>
      </c>
      <c r="DB72" s="115">
        <f t="shared" si="80"/>
        <v>57600</v>
      </c>
      <c r="DE72" s="118">
        <v>68</v>
      </c>
      <c r="DF72" s="14">
        <f t="shared" si="101"/>
        <v>23</v>
      </c>
      <c r="DG72" s="118">
        <f t="shared" si="102"/>
        <v>120</v>
      </c>
      <c r="DH72" s="118">
        <v>120</v>
      </c>
      <c r="DI72" s="118">
        <f t="shared" si="103"/>
        <v>21232</v>
      </c>
      <c r="DJ72" s="118">
        <v>1</v>
      </c>
      <c r="DK72" s="14">
        <f t="shared" si="106"/>
        <v>123</v>
      </c>
      <c r="DL72" s="118" t="s">
        <v>1062</v>
      </c>
      <c r="DM72" s="118">
        <v>2</v>
      </c>
      <c r="DN72" s="118" t="str">
        <f t="shared" si="104"/>
        <v>钻石30守护灵初级抽卡券3守护灵经验30000</v>
      </c>
      <c r="DO72" s="14">
        <f t="shared" ref="DO72:DO94" si="107">DK72*100+9</f>
        <v>12309</v>
      </c>
      <c r="DP72" s="118" t="s">
        <v>1065</v>
      </c>
      <c r="DQ72" s="118">
        <v>30</v>
      </c>
      <c r="DR72" s="118" t="s">
        <v>1066</v>
      </c>
      <c r="DS72" s="118">
        <v>3</v>
      </c>
      <c r="DT72" s="118" t="s">
        <v>1067</v>
      </c>
      <c r="DU72" s="118">
        <f t="shared" si="105"/>
        <v>30000</v>
      </c>
    </row>
    <row r="73" spans="42:125" ht="16.5" x14ac:dyDescent="0.2">
      <c r="AP73" s="24">
        <v>69</v>
      </c>
      <c r="AQ73" s="14">
        <f t="shared" si="81"/>
        <v>18</v>
      </c>
      <c r="AR73" s="109">
        <f t="shared" si="82"/>
        <v>1</v>
      </c>
      <c r="AS73" s="109">
        <f t="shared" si="83"/>
        <v>37</v>
      </c>
      <c r="AT73" s="109">
        <f t="shared" si="84"/>
        <v>102</v>
      </c>
      <c r="AU73" s="109">
        <f t="shared" si="85"/>
        <v>177</v>
      </c>
      <c r="AX73" s="109">
        <v>69</v>
      </c>
      <c r="AY73" s="14">
        <f t="shared" si="69"/>
        <v>7</v>
      </c>
      <c r="AZ73" s="14">
        <f t="shared" si="86"/>
        <v>9</v>
      </c>
      <c r="BA73" s="14">
        <f t="shared" si="53"/>
        <v>240</v>
      </c>
      <c r="BB73" s="14">
        <f t="shared" si="70"/>
        <v>1200</v>
      </c>
      <c r="BC73" s="14">
        <f t="shared" si="71"/>
        <v>2700</v>
      </c>
      <c r="BF73" s="109">
        <v>69</v>
      </c>
      <c r="BG73" s="14">
        <f t="shared" si="87"/>
        <v>7</v>
      </c>
      <c r="BH73" s="14">
        <f t="shared" si="88"/>
        <v>9</v>
      </c>
      <c r="BI73" s="14">
        <f t="shared" si="72"/>
        <v>700</v>
      </c>
      <c r="BJ73" s="14">
        <f t="shared" si="73"/>
        <v>2400</v>
      </c>
      <c r="BK73" s="14">
        <f t="shared" si="74"/>
        <v>5400</v>
      </c>
      <c r="BN73" s="109">
        <v>69</v>
      </c>
      <c r="BO73" s="109">
        <f t="shared" si="89"/>
        <v>23</v>
      </c>
      <c r="BP73" s="112">
        <f t="shared" si="90"/>
        <v>120</v>
      </c>
      <c r="BQ73" s="109">
        <f t="shared" si="68"/>
        <v>3</v>
      </c>
      <c r="BR73" s="109">
        <v>360</v>
      </c>
      <c r="BS73" s="109">
        <v>540</v>
      </c>
      <c r="BT73" s="112">
        <v>5</v>
      </c>
      <c r="BU73" s="14">
        <f t="shared" si="91"/>
        <v>11233</v>
      </c>
      <c r="BV73" s="118">
        <v>1</v>
      </c>
      <c r="BW73" s="14">
        <f t="shared" si="92"/>
        <v>123</v>
      </c>
      <c r="BX73" s="118" t="s">
        <v>1052</v>
      </c>
      <c r="BY73" s="14">
        <f t="shared" si="93"/>
        <v>3</v>
      </c>
      <c r="BZ73" s="118" t="str">
        <f t="shared" si="94"/>
        <v>守护灵抽卡券3红色基础材料32金币57600</v>
      </c>
      <c r="CA73" s="14">
        <f t="shared" si="95"/>
        <v>30</v>
      </c>
      <c r="CB73" s="115" t="s">
        <v>271</v>
      </c>
      <c r="CC73" s="115">
        <v>3</v>
      </c>
      <c r="CD73" s="112" t="str">
        <f>INDEX(挂机升级突破!$BX$4:$CB$4,章节关卡!BT73)</f>
        <v>红色基础材料</v>
      </c>
      <c r="CE73" s="115">
        <f>ROUND(INDEX(挂机升级突破!$Q$7:$U$37,BO73+2,章节关卡!BT73)/INDEX(挂机升级突破!$Q$5:$U$5,章节关卡!BT73)*章节关卡!BS73,0)</f>
        <v>32</v>
      </c>
      <c r="CF73" s="109" t="s">
        <v>70</v>
      </c>
      <c r="CG73" s="109">
        <f t="shared" si="75"/>
        <v>57600</v>
      </c>
      <c r="CJ73" s="115">
        <f t="shared" si="76"/>
        <v>23</v>
      </c>
      <c r="CK73" s="115">
        <f t="shared" si="77"/>
        <v>130</v>
      </c>
      <c r="CL73" s="118">
        <v>3</v>
      </c>
      <c r="CM73" s="115">
        <f t="shared" si="78"/>
        <v>540</v>
      </c>
      <c r="CN73" s="115">
        <f t="shared" si="79"/>
        <v>1080</v>
      </c>
      <c r="CO73" s="115">
        <v>9</v>
      </c>
      <c r="CP73" s="14">
        <f t="shared" si="96"/>
        <v>12233</v>
      </c>
      <c r="CQ73" s="118">
        <v>2</v>
      </c>
      <c r="CR73" s="14">
        <f t="shared" si="97"/>
        <v>223</v>
      </c>
      <c r="CS73" s="118" t="s">
        <v>1052</v>
      </c>
      <c r="CT73" s="14">
        <f t="shared" si="98"/>
        <v>3</v>
      </c>
      <c r="CU73" s="118" t="str">
        <f t="shared" si="99"/>
        <v>守护灵抽卡券5铀金35金币86400</v>
      </c>
      <c r="CV73" s="14">
        <f t="shared" si="100"/>
        <v>30</v>
      </c>
      <c r="CW73" s="115" t="s">
        <v>1030</v>
      </c>
      <c r="CX73" s="115">
        <v>5</v>
      </c>
      <c r="CY73" s="115" t="str">
        <f>INDEX(挂机升级突破!$BX$4:$CG$4,章节关卡!CO73)</f>
        <v>铀金</v>
      </c>
      <c r="CZ73" s="115">
        <f>ROUND(INDEX(挂机升级突破!$Q$7:$Z$37,CJ73+3,章节关卡!CO73)/INDEX(挂机升级突破!$Q$5:$Z$5,章节关卡!CO73)*章节关卡!CN73,0)</f>
        <v>35</v>
      </c>
      <c r="DA73" s="115" t="s">
        <v>265</v>
      </c>
      <c r="DB73" s="115">
        <f t="shared" si="80"/>
        <v>86400</v>
      </c>
      <c r="DE73" s="118">
        <v>69</v>
      </c>
      <c r="DF73" s="14">
        <f t="shared" si="101"/>
        <v>23</v>
      </c>
      <c r="DG73" s="118">
        <f t="shared" si="102"/>
        <v>120</v>
      </c>
      <c r="DH73" s="118">
        <v>150</v>
      </c>
      <c r="DI73" s="118">
        <f t="shared" si="103"/>
        <v>21233</v>
      </c>
      <c r="DJ73" s="118">
        <v>1</v>
      </c>
      <c r="DK73" s="14">
        <f t="shared" si="106"/>
        <v>123</v>
      </c>
      <c r="DL73" s="118" t="s">
        <v>1062</v>
      </c>
      <c r="DM73" s="118">
        <v>3</v>
      </c>
      <c r="DN73" s="118" t="str">
        <f t="shared" si="104"/>
        <v>钻石50守护灵初级抽卡券5守护灵经验37500</v>
      </c>
      <c r="DO73" s="14">
        <f t="shared" si="107"/>
        <v>12309</v>
      </c>
      <c r="DP73" s="118" t="s">
        <v>1065</v>
      </c>
      <c r="DQ73" s="118">
        <v>50</v>
      </c>
      <c r="DR73" s="118" t="s">
        <v>1066</v>
      </c>
      <c r="DS73" s="118">
        <v>5</v>
      </c>
      <c r="DT73" s="118" t="s">
        <v>1067</v>
      </c>
      <c r="DU73" s="118">
        <f t="shared" si="105"/>
        <v>37500</v>
      </c>
    </row>
    <row r="74" spans="42:125" ht="16.5" x14ac:dyDescent="0.2">
      <c r="AP74" s="24">
        <v>70</v>
      </c>
      <c r="AQ74" s="14">
        <f t="shared" si="81"/>
        <v>18</v>
      </c>
      <c r="AR74" s="109">
        <f t="shared" si="82"/>
        <v>2</v>
      </c>
      <c r="AS74" s="109">
        <f t="shared" si="83"/>
        <v>37</v>
      </c>
      <c r="AT74" s="109">
        <f t="shared" si="84"/>
        <v>104</v>
      </c>
      <c r="AU74" s="109">
        <f t="shared" si="85"/>
        <v>179</v>
      </c>
      <c r="AX74" s="109">
        <v>70</v>
      </c>
      <c r="AY74" s="14">
        <f t="shared" si="69"/>
        <v>7</v>
      </c>
      <c r="AZ74" s="14">
        <f t="shared" si="86"/>
        <v>10</v>
      </c>
      <c r="BA74" s="14">
        <f t="shared" si="53"/>
        <v>240</v>
      </c>
      <c r="BB74" s="14">
        <f t="shared" si="70"/>
        <v>1200</v>
      </c>
      <c r="BC74" s="14">
        <f t="shared" si="71"/>
        <v>2700</v>
      </c>
      <c r="BF74" s="109">
        <v>70</v>
      </c>
      <c r="BG74" s="14">
        <f t="shared" si="87"/>
        <v>7</v>
      </c>
      <c r="BH74" s="14">
        <f t="shared" si="88"/>
        <v>10</v>
      </c>
      <c r="BI74" s="14">
        <f t="shared" si="72"/>
        <v>700</v>
      </c>
      <c r="BJ74" s="14">
        <f t="shared" si="73"/>
        <v>2400</v>
      </c>
      <c r="BK74" s="14">
        <f t="shared" si="74"/>
        <v>5400</v>
      </c>
      <c r="BN74" s="109">
        <v>70</v>
      </c>
      <c r="BO74" s="109">
        <f t="shared" si="89"/>
        <v>24</v>
      </c>
      <c r="BP74" s="112">
        <f t="shared" si="90"/>
        <v>125</v>
      </c>
      <c r="BQ74" s="109">
        <f t="shared" si="68"/>
        <v>1</v>
      </c>
      <c r="BR74" s="109">
        <v>120</v>
      </c>
      <c r="BS74" s="109">
        <v>180</v>
      </c>
      <c r="BT74" s="112">
        <v>5</v>
      </c>
      <c r="BU74" s="14">
        <f t="shared" si="91"/>
        <v>11241</v>
      </c>
      <c r="BV74" s="118">
        <v>1</v>
      </c>
      <c r="BW74" s="14">
        <f t="shared" si="92"/>
        <v>124</v>
      </c>
      <c r="BX74" s="118" t="s">
        <v>1052</v>
      </c>
      <c r="BY74" s="14">
        <f t="shared" si="93"/>
        <v>1</v>
      </c>
      <c r="BZ74" s="118" t="str">
        <f t="shared" si="94"/>
        <v>钻石100红色基础材料15金币20400</v>
      </c>
      <c r="CA74" s="14">
        <f t="shared" si="95"/>
        <v>10</v>
      </c>
      <c r="CB74" s="115" t="s">
        <v>22</v>
      </c>
      <c r="CC74" s="115">
        <v>100</v>
      </c>
      <c r="CD74" s="112" t="str">
        <f>INDEX(挂机升级突破!$BX$4:$CB$4,章节关卡!BT74)</f>
        <v>红色基础材料</v>
      </c>
      <c r="CE74" s="115">
        <f>ROUND(INDEX(挂机升级突破!$Q$7:$U$37,BO74+2,章节关卡!BT74)/INDEX(挂机升级突破!$Q$5:$U$5,章节关卡!BT74)*章节关卡!BS74,0)</f>
        <v>15</v>
      </c>
      <c r="CF74" s="109" t="s">
        <v>70</v>
      </c>
      <c r="CG74" s="109">
        <f t="shared" si="75"/>
        <v>20400</v>
      </c>
      <c r="CJ74" s="115">
        <f t="shared" si="76"/>
        <v>24</v>
      </c>
      <c r="CK74" s="115">
        <f t="shared" si="77"/>
        <v>135</v>
      </c>
      <c r="CL74" s="118">
        <v>1</v>
      </c>
      <c r="CM74" s="115">
        <f t="shared" si="78"/>
        <v>180</v>
      </c>
      <c r="CN74" s="115">
        <f t="shared" si="79"/>
        <v>360</v>
      </c>
      <c r="CO74" s="115">
        <v>9</v>
      </c>
      <c r="CP74" s="14">
        <f t="shared" si="96"/>
        <v>12241</v>
      </c>
      <c r="CQ74" s="118">
        <v>2</v>
      </c>
      <c r="CR74" s="14">
        <f t="shared" si="97"/>
        <v>224</v>
      </c>
      <c r="CS74" s="118" t="s">
        <v>1052</v>
      </c>
      <c r="CT74" s="14">
        <f t="shared" si="98"/>
        <v>1</v>
      </c>
      <c r="CU74" s="118" t="str">
        <f t="shared" si="99"/>
        <v>钻石100铀金14金币30600</v>
      </c>
      <c r="CV74" s="14">
        <f t="shared" si="100"/>
        <v>10</v>
      </c>
      <c r="CW74" s="115" t="s">
        <v>270</v>
      </c>
      <c r="CX74" s="115">
        <v>100</v>
      </c>
      <c r="CY74" s="115" t="str">
        <f>INDEX(挂机升级突破!$BX$4:$CG$4,章节关卡!CO74)</f>
        <v>铀金</v>
      </c>
      <c r="CZ74" s="115">
        <f>ROUND(INDEX(挂机升级突破!$Q$7:$Z$37,CJ74+3,章节关卡!CO74)/INDEX(挂机升级突破!$Q$5:$Z$5,章节关卡!CO74)*章节关卡!CN74,0)</f>
        <v>14</v>
      </c>
      <c r="DA74" s="115" t="s">
        <v>265</v>
      </c>
      <c r="DB74" s="115">
        <f t="shared" si="80"/>
        <v>30600</v>
      </c>
      <c r="DE74" s="118">
        <v>70</v>
      </c>
      <c r="DF74" s="14">
        <f t="shared" si="101"/>
        <v>24</v>
      </c>
      <c r="DG74" s="118">
        <f t="shared" si="102"/>
        <v>125</v>
      </c>
      <c r="DH74" s="118">
        <v>90</v>
      </c>
      <c r="DI74" s="118">
        <f t="shared" si="103"/>
        <v>21241</v>
      </c>
      <c r="DJ74" s="118">
        <v>1</v>
      </c>
      <c r="DK74" s="14">
        <f t="shared" si="106"/>
        <v>124</v>
      </c>
      <c r="DL74" s="118" t="s">
        <v>1062</v>
      </c>
      <c r="DM74" s="118">
        <v>1</v>
      </c>
      <c r="DN74" s="118" t="str">
        <f t="shared" si="104"/>
        <v>钻石20守护灵初级抽卡券2守护灵经验24750</v>
      </c>
      <c r="DO74" s="14">
        <f t="shared" si="107"/>
        <v>12409</v>
      </c>
      <c r="DP74" s="118" t="s">
        <v>1065</v>
      </c>
      <c r="DQ74" s="118">
        <v>20</v>
      </c>
      <c r="DR74" s="118" t="s">
        <v>1066</v>
      </c>
      <c r="DS74" s="118">
        <v>2</v>
      </c>
      <c r="DT74" s="118" t="s">
        <v>1067</v>
      </c>
      <c r="DU74" s="118">
        <f t="shared" si="105"/>
        <v>24750</v>
      </c>
    </row>
    <row r="75" spans="42:125" ht="16.5" x14ac:dyDescent="0.2">
      <c r="AP75" s="24">
        <v>71</v>
      </c>
      <c r="AQ75" s="14">
        <f t="shared" si="81"/>
        <v>18</v>
      </c>
      <c r="AR75" s="109">
        <f t="shared" si="82"/>
        <v>3</v>
      </c>
      <c r="AS75" s="109">
        <f t="shared" si="83"/>
        <v>37</v>
      </c>
      <c r="AT75" s="109">
        <f t="shared" si="84"/>
        <v>106</v>
      </c>
      <c r="AU75" s="109">
        <f t="shared" si="85"/>
        <v>181</v>
      </c>
      <c r="AX75" s="109">
        <v>71</v>
      </c>
      <c r="AY75" s="14">
        <f t="shared" si="69"/>
        <v>8</v>
      </c>
      <c r="AZ75" s="14">
        <f t="shared" si="86"/>
        <v>1</v>
      </c>
      <c r="BA75" s="14">
        <f t="shared" si="53"/>
        <v>280</v>
      </c>
      <c r="BB75" s="14">
        <f t="shared" si="70"/>
        <v>1350</v>
      </c>
      <c r="BC75" s="14">
        <f t="shared" si="71"/>
        <v>3150</v>
      </c>
      <c r="BF75" s="109">
        <v>71</v>
      </c>
      <c r="BG75" s="14">
        <f t="shared" si="87"/>
        <v>8</v>
      </c>
      <c r="BH75" s="14">
        <f t="shared" si="88"/>
        <v>1</v>
      </c>
      <c r="BI75" s="14">
        <f t="shared" si="72"/>
        <v>900</v>
      </c>
      <c r="BJ75" s="14">
        <f t="shared" si="73"/>
        <v>2700</v>
      </c>
      <c r="BK75" s="14">
        <f t="shared" si="74"/>
        <v>6300</v>
      </c>
      <c r="BN75" s="109">
        <v>71</v>
      </c>
      <c r="BO75" s="109">
        <f t="shared" si="89"/>
        <v>24</v>
      </c>
      <c r="BP75" s="112">
        <f t="shared" si="90"/>
        <v>125</v>
      </c>
      <c r="BQ75" s="109">
        <f t="shared" si="68"/>
        <v>2</v>
      </c>
      <c r="BR75" s="109">
        <v>240</v>
      </c>
      <c r="BS75" s="109">
        <v>360</v>
      </c>
      <c r="BT75" s="112">
        <v>5</v>
      </c>
      <c r="BU75" s="14">
        <f t="shared" si="91"/>
        <v>11242</v>
      </c>
      <c r="BV75" s="118">
        <v>1</v>
      </c>
      <c r="BW75" s="14">
        <f t="shared" si="92"/>
        <v>124</v>
      </c>
      <c r="BX75" s="118" t="s">
        <v>1052</v>
      </c>
      <c r="BY75" s="14">
        <f t="shared" si="93"/>
        <v>2</v>
      </c>
      <c r="BZ75" s="118" t="str">
        <f t="shared" si="94"/>
        <v>守护灵抽卡券2红色基础材料30金币40800</v>
      </c>
      <c r="CA75" s="14">
        <f t="shared" si="95"/>
        <v>20</v>
      </c>
      <c r="CB75" s="115" t="s">
        <v>271</v>
      </c>
      <c r="CC75" s="115">
        <v>2</v>
      </c>
      <c r="CD75" s="112" t="str">
        <f>INDEX(挂机升级突破!$BX$4:$CB$4,章节关卡!BT75)</f>
        <v>红色基础材料</v>
      </c>
      <c r="CE75" s="115">
        <f>ROUND(INDEX(挂机升级突破!$Q$7:$U$37,BO75+2,章节关卡!BT75)/INDEX(挂机升级突破!$Q$5:$U$5,章节关卡!BT75)*章节关卡!BS75,0)</f>
        <v>30</v>
      </c>
      <c r="CF75" s="109" t="s">
        <v>70</v>
      </c>
      <c r="CG75" s="109">
        <f t="shared" si="75"/>
        <v>40800</v>
      </c>
      <c r="CJ75" s="115">
        <f t="shared" si="76"/>
        <v>24</v>
      </c>
      <c r="CK75" s="115">
        <f t="shared" si="77"/>
        <v>135</v>
      </c>
      <c r="CL75" s="118">
        <v>2</v>
      </c>
      <c r="CM75" s="115">
        <f t="shared" si="78"/>
        <v>360</v>
      </c>
      <c r="CN75" s="115">
        <f t="shared" si="79"/>
        <v>720</v>
      </c>
      <c r="CO75" s="115">
        <v>9</v>
      </c>
      <c r="CP75" s="14">
        <f t="shared" si="96"/>
        <v>12242</v>
      </c>
      <c r="CQ75" s="118">
        <v>2</v>
      </c>
      <c r="CR75" s="14">
        <f t="shared" si="97"/>
        <v>224</v>
      </c>
      <c r="CS75" s="118" t="s">
        <v>1052</v>
      </c>
      <c r="CT75" s="14">
        <f t="shared" si="98"/>
        <v>2</v>
      </c>
      <c r="CU75" s="118" t="str">
        <f t="shared" si="99"/>
        <v>熔炼值6500铀金29金币61200</v>
      </c>
      <c r="CV75" s="14">
        <f t="shared" si="100"/>
        <v>20</v>
      </c>
      <c r="CW75" s="115" t="s">
        <v>1031</v>
      </c>
      <c r="CX75" s="115">
        <v>6500</v>
      </c>
      <c r="CY75" s="115" t="str">
        <f>INDEX(挂机升级突破!$BX$4:$CG$4,章节关卡!CO75)</f>
        <v>铀金</v>
      </c>
      <c r="CZ75" s="115">
        <f>ROUND(INDEX(挂机升级突破!$Q$7:$Z$37,CJ75+3,章节关卡!CO75)/INDEX(挂机升级突破!$Q$5:$Z$5,章节关卡!CO75)*章节关卡!CN75,0)</f>
        <v>29</v>
      </c>
      <c r="DA75" s="115" t="s">
        <v>265</v>
      </c>
      <c r="DB75" s="115">
        <f t="shared" si="80"/>
        <v>61200</v>
      </c>
      <c r="DE75" s="118">
        <v>71</v>
      </c>
      <c r="DF75" s="14">
        <f t="shared" si="101"/>
        <v>24</v>
      </c>
      <c r="DG75" s="118">
        <f t="shared" si="102"/>
        <v>125</v>
      </c>
      <c r="DH75" s="118">
        <v>120</v>
      </c>
      <c r="DI75" s="118">
        <f t="shared" si="103"/>
        <v>21242</v>
      </c>
      <c r="DJ75" s="118">
        <v>1</v>
      </c>
      <c r="DK75" s="14">
        <f t="shared" si="106"/>
        <v>124</v>
      </c>
      <c r="DL75" s="118" t="s">
        <v>1062</v>
      </c>
      <c r="DM75" s="118">
        <v>2</v>
      </c>
      <c r="DN75" s="118" t="str">
        <f t="shared" si="104"/>
        <v>钻石30守护灵初级抽卡券3守护灵经验33000</v>
      </c>
      <c r="DO75" s="14">
        <f t="shared" si="107"/>
        <v>12409</v>
      </c>
      <c r="DP75" s="118" t="s">
        <v>1065</v>
      </c>
      <c r="DQ75" s="118">
        <v>30</v>
      </c>
      <c r="DR75" s="118" t="s">
        <v>1066</v>
      </c>
      <c r="DS75" s="118">
        <v>3</v>
      </c>
      <c r="DT75" s="118" t="s">
        <v>1067</v>
      </c>
      <c r="DU75" s="118">
        <f t="shared" si="105"/>
        <v>33000</v>
      </c>
    </row>
    <row r="76" spans="42:125" ht="16.5" x14ac:dyDescent="0.2">
      <c r="AP76" s="24">
        <v>72</v>
      </c>
      <c r="AQ76" s="14">
        <f t="shared" si="81"/>
        <v>18</v>
      </c>
      <c r="AR76" s="109">
        <f t="shared" si="82"/>
        <v>4</v>
      </c>
      <c r="AS76" s="109">
        <f t="shared" si="83"/>
        <v>37</v>
      </c>
      <c r="AT76" s="109">
        <f t="shared" si="84"/>
        <v>108</v>
      </c>
      <c r="AU76" s="109">
        <f t="shared" si="85"/>
        <v>183</v>
      </c>
      <c r="AX76" s="109">
        <v>72</v>
      </c>
      <c r="AY76" s="14">
        <f t="shared" si="69"/>
        <v>8</v>
      </c>
      <c r="AZ76" s="14">
        <f t="shared" si="86"/>
        <v>2</v>
      </c>
      <c r="BA76" s="14">
        <f t="shared" si="53"/>
        <v>280</v>
      </c>
      <c r="BB76" s="14">
        <f t="shared" si="70"/>
        <v>1350</v>
      </c>
      <c r="BC76" s="14">
        <f t="shared" si="71"/>
        <v>3150</v>
      </c>
      <c r="BF76" s="109">
        <v>72</v>
      </c>
      <c r="BG76" s="14">
        <f t="shared" si="87"/>
        <v>8</v>
      </c>
      <c r="BH76" s="14">
        <f t="shared" si="88"/>
        <v>2</v>
      </c>
      <c r="BI76" s="14">
        <f t="shared" si="72"/>
        <v>900</v>
      </c>
      <c r="BJ76" s="14">
        <f t="shared" si="73"/>
        <v>2700</v>
      </c>
      <c r="BK76" s="14">
        <f t="shared" si="74"/>
        <v>6300</v>
      </c>
      <c r="BN76" s="109">
        <v>72</v>
      </c>
      <c r="BO76" s="109">
        <f t="shared" si="89"/>
        <v>24</v>
      </c>
      <c r="BP76" s="112">
        <f t="shared" si="90"/>
        <v>125</v>
      </c>
      <c r="BQ76" s="109">
        <f t="shared" si="68"/>
        <v>3</v>
      </c>
      <c r="BR76" s="109">
        <v>360</v>
      </c>
      <c r="BS76" s="109">
        <v>540</v>
      </c>
      <c r="BT76" s="112">
        <v>5</v>
      </c>
      <c r="BU76" s="14">
        <f t="shared" si="91"/>
        <v>11243</v>
      </c>
      <c r="BV76" s="118">
        <v>1</v>
      </c>
      <c r="BW76" s="14">
        <f t="shared" si="92"/>
        <v>124</v>
      </c>
      <c r="BX76" s="118" t="s">
        <v>1052</v>
      </c>
      <c r="BY76" s="14">
        <f t="shared" si="93"/>
        <v>3</v>
      </c>
      <c r="BZ76" s="118" t="str">
        <f t="shared" si="94"/>
        <v>守护灵抽卡券3红色基础材料45金币61200</v>
      </c>
      <c r="CA76" s="14">
        <f t="shared" si="95"/>
        <v>30</v>
      </c>
      <c r="CB76" s="115" t="s">
        <v>271</v>
      </c>
      <c r="CC76" s="115">
        <v>3</v>
      </c>
      <c r="CD76" s="112" t="str">
        <f>INDEX(挂机升级突破!$BX$4:$CB$4,章节关卡!BT76)</f>
        <v>红色基础材料</v>
      </c>
      <c r="CE76" s="115">
        <f>ROUND(INDEX(挂机升级突破!$Q$7:$U$37,BO76+2,章节关卡!BT76)/INDEX(挂机升级突破!$Q$5:$U$5,章节关卡!BT76)*章节关卡!BS76,0)</f>
        <v>45</v>
      </c>
      <c r="CF76" s="109" t="s">
        <v>70</v>
      </c>
      <c r="CG76" s="109">
        <f t="shared" si="75"/>
        <v>61200</v>
      </c>
      <c r="CJ76" s="115">
        <f t="shared" si="76"/>
        <v>24</v>
      </c>
      <c r="CK76" s="115">
        <f t="shared" si="77"/>
        <v>135</v>
      </c>
      <c r="CL76" s="118">
        <v>3</v>
      </c>
      <c r="CM76" s="115">
        <f t="shared" si="78"/>
        <v>540</v>
      </c>
      <c r="CN76" s="115">
        <f t="shared" si="79"/>
        <v>1080</v>
      </c>
      <c r="CO76" s="115">
        <v>9</v>
      </c>
      <c r="CP76" s="14">
        <f t="shared" si="96"/>
        <v>12243</v>
      </c>
      <c r="CQ76" s="118">
        <v>2</v>
      </c>
      <c r="CR76" s="14">
        <f t="shared" si="97"/>
        <v>224</v>
      </c>
      <c r="CS76" s="118" t="s">
        <v>1052</v>
      </c>
      <c r="CT76" s="14">
        <f t="shared" si="98"/>
        <v>3</v>
      </c>
      <c r="CU76" s="118" t="str">
        <f t="shared" si="99"/>
        <v>守护灵抽卡券5铀金43金币91800</v>
      </c>
      <c r="CV76" s="14">
        <f t="shared" si="100"/>
        <v>30</v>
      </c>
      <c r="CW76" s="115" t="s">
        <v>1030</v>
      </c>
      <c r="CX76" s="115">
        <v>5</v>
      </c>
      <c r="CY76" s="115" t="str">
        <f>INDEX(挂机升级突破!$BX$4:$CG$4,章节关卡!CO76)</f>
        <v>铀金</v>
      </c>
      <c r="CZ76" s="115">
        <f>ROUND(INDEX(挂机升级突破!$Q$7:$Z$37,CJ76+3,章节关卡!CO76)/INDEX(挂机升级突破!$Q$5:$Z$5,章节关卡!CO76)*章节关卡!CN76,0)</f>
        <v>43</v>
      </c>
      <c r="DA76" s="115" t="s">
        <v>265</v>
      </c>
      <c r="DB76" s="115">
        <f t="shared" si="80"/>
        <v>91800</v>
      </c>
      <c r="DE76" s="118">
        <v>72</v>
      </c>
      <c r="DF76" s="14">
        <f t="shared" si="101"/>
        <v>24</v>
      </c>
      <c r="DG76" s="118">
        <f t="shared" si="102"/>
        <v>125</v>
      </c>
      <c r="DH76" s="118">
        <v>150</v>
      </c>
      <c r="DI76" s="118">
        <f t="shared" si="103"/>
        <v>21243</v>
      </c>
      <c r="DJ76" s="118">
        <v>1</v>
      </c>
      <c r="DK76" s="14">
        <f t="shared" si="106"/>
        <v>124</v>
      </c>
      <c r="DL76" s="118" t="s">
        <v>1062</v>
      </c>
      <c r="DM76" s="118">
        <v>3</v>
      </c>
      <c r="DN76" s="118" t="str">
        <f t="shared" si="104"/>
        <v>钻石50守护灵初级抽卡券5守护灵经验41250</v>
      </c>
      <c r="DO76" s="14">
        <f t="shared" si="107"/>
        <v>12409</v>
      </c>
      <c r="DP76" s="118" t="s">
        <v>1065</v>
      </c>
      <c r="DQ76" s="118">
        <v>50</v>
      </c>
      <c r="DR76" s="118" t="s">
        <v>1066</v>
      </c>
      <c r="DS76" s="118">
        <v>5</v>
      </c>
      <c r="DT76" s="118" t="s">
        <v>1067</v>
      </c>
      <c r="DU76" s="118">
        <f t="shared" si="105"/>
        <v>41250</v>
      </c>
    </row>
    <row r="77" spans="42:125" ht="16.5" x14ac:dyDescent="0.2">
      <c r="AP77" s="24">
        <v>73</v>
      </c>
      <c r="AQ77" s="14">
        <f t="shared" si="81"/>
        <v>19</v>
      </c>
      <c r="AR77" s="109">
        <f t="shared" si="82"/>
        <v>1</v>
      </c>
      <c r="AS77" s="109">
        <f t="shared" si="83"/>
        <v>40</v>
      </c>
      <c r="AT77" s="109">
        <f t="shared" si="84"/>
        <v>112</v>
      </c>
      <c r="AU77" s="109">
        <f t="shared" si="85"/>
        <v>188</v>
      </c>
      <c r="AX77" s="109">
        <v>73</v>
      </c>
      <c r="AY77" s="14">
        <f t="shared" si="69"/>
        <v>8</v>
      </c>
      <c r="AZ77" s="14">
        <f t="shared" si="86"/>
        <v>3</v>
      </c>
      <c r="BA77" s="14">
        <f t="shared" si="53"/>
        <v>280</v>
      </c>
      <c r="BB77" s="14">
        <f t="shared" si="70"/>
        <v>1350</v>
      </c>
      <c r="BC77" s="14">
        <f t="shared" si="71"/>
        <v>3150</v>
      </c>
      <c r="BF77" s="109">
        <v>73</v>
      </c>
      <c r="BG77" s="14">
        <f t="shared" si="87"/>
        <v>8</v>
      </c>
      <c r="BH77" s="14">
        <f t="shared" si="88"/>
        <v>3</v>
      </c>
      <c r="BI77" s="14">
        <f t="shared" si="72"/>
        <v>900</v>
      </c>
      <c r="BJ77" s="14">
        <f t="shared" si="73"/>
        <v>2700</v>
      </c>
      <c r="BK77" s="14">
        <f t="shared" si="74"/>
        <v>6300</v>
      </c>
      <c r="BN77" s="109">
        <v>73</v>
      </c>
      <c r="BO77" s="109">
        <f t="shared" si="89"/>
        <v>25</v>
      </c>
      <c r="BP77" s="112">
        <f t="shared" si="90"/>
        <v>130</v>
      </c>
      <c r="BQ77" s="109">
        <f t="shared" si="68"/>
        <v>1</v>
      </c>
      <c r="BR77" s="109">
        <v>120</v>
      </c>
      <c r="BS77" s="109">
        <v>180</v>
      </c>
      <c r="BT77" s="112">
        <v>5</v>
      </c>
      <c r="BU77" s="14">
        <f t="shared" si="91"/>
        <v>11251</v>
      </c>
      <c r="BV77" s="118">
        <v>1</v>
      </c>
      <c r="BW77" s="14">
        <f t="shared" si="92"/>
        <v>125</v>
      </c>
      <c r="BX77" s="118" t="s">
        <v>1052</v>
      </c>
      <c r="BY77" s="14">
        <f t="shared" si="93"/>
        <v>1</v>
      </c>
      <c r="BZ77" s="118" t="str">
        <f t="shared" si="94"/>
        <v>钻石100红色基础材料20金币21600</v>
      </c>
      <c r="CA77" s="14">
        <f t="shared" si="95"/>
        <v>10</v>
      </c>
      <c r="CB77" s="115" t="s">
        <v>22</v>
      </c>
      <c r="CC77" s="115">
        <v>100</v>
      </c>
      <c r="CD77" s="112" t="str">
        <f>INDEX(挂机升级突破!$BX$4:$CB$4,章节关卡!BT77)</f>
        <v>红色基础材料</v>
      </c>
      <c r="CE77" s="115">
        <f>ROUND(INDEX(挂机升级突破!$Q$7:$U$37,BO77+2,章节关卡!BT77)/INDEX(挂机升级突破!$Q$5:$U$5,章节关卡!BT77)*章节关卡!BS77,0)</f>
        <v>20</v>
      </c>
      <c r="CF77" s="109" t="s">
        <v>70</v>
      </c>
      <c r="CG77" s="109">
        <f t="shared" si="75"/>
        <v>21600</v>
      </c>
      <c r="CJ77" s="115">
        <f t="shared" si="76"/>
        <v>25</v>
      </c>
      <c r="CK77" s="115">
        <f t="shared" si="77"/>
        <v>140</v>
      </c>
      <c r="CL77" s="118">
        <v>1</v>
      </c>
      <c r="CM77" s="115">
        <f t="shared" si="78"/>
        <v>180</v>
      </c>
      <c r="CN77" s="115">
        <f t="shared" si="79"/>
        <v>360</v>
      </c>
      <c r="CO77" s="115">
        <v>9</v>
      </c>
      <c r="CP77" s="14">
        <f t="shared" si="96"/>
        <v>12251</v>
      </c>
      <c r="CQ77" s="118">
        <v>2</v>
      </c>
      <c r="CR77" s="14">
        <f t="shared" si="97"/>
        <v>225</v>
      </c>
      <c r="CS77" s="118" t="s">
        <v>1052</v>
      </c>
      <c r="CT77" s="14">
        <f t="shared" si="98"/>
        <v>1</v>
      </c>
      <c r="CU77" s="118" t="str">
        <f t="shared" si="99"/>
        <v>钻石100铀金18金币32400</v>
      </c>
      <c r="CV77" s="14">
        <f t="shared" si="100"/>
        <v>10</v>
      </c>
      <c r="CW77" s="115" t="s">
        <v>270</v>
      </c>
      <c r="CX77" s="115">
        <v>100</v>
      </c>
      <c r="CY77" s="115" t="str">
        <f>INDEX(挂机升级突破!$BX$4:$CG$4,章节关卡!CO77)</f>
        <v>铀金</v>
      </c>
      <c r="CZ77" s="115">
        <f>ROUND(INDEX(挂机升级突破!$Q$7:$Z$37,CJ77+3,章节关卡!CO77)/INDEX(挂机升级突破!$Q$5:$Z$5,章节关卡!CO77)*章节关卡!CN77,0)</f>
        <v>18</v>
      </c>
      <c r="DA77" s="115" t="s">
        <v>265</v>
      </c>
      <c r="DB77" s="115">
        <f t="shared" si="80"/>
        <v>32400</v>
      </c>
      <c r="DE77" s="118">
        <v>73</v>
      </c>
      <c r="DF77" s="14">
        <f t="shared" si="101"/>
        <v>25</v>
      </c>
      <c r="DG77" s="118">
        <f t="shared" si="102"/>
        <v>130</v>
      </c>
      <c r="DH77" s="118">
        <v>90</v>
      </c>
      <c r="DI77" s="118">
        <f t="shared" si="103"/>
        <v>21251</v>
      </c>
      <c r="DJ77" s="118">
        <v>1</v>
      </c>
      <c r="DK77" s="14">
        <f t="shared" si="106"/>
        <v>125</v>
      </c>
      <c r="DL77" s="118" t="s">
        <v>1062</v>
      </c>
      <c r="DM77" s="118">
        <v>1</v>
      </c>
      <c r="DN77" s="118" t="str">
        <f t="shared" si="104"/>
        <v>钻石20守护灵初级抽卡券2守护灵经验27000</v>
      </c>
      <c r="DO77" s="14">
        <f t="shared" si="107"/>
        <v>12509</v>
      </c>
      <c r="DP77" s="118" t="s">
        <v>1065</v>
      </c>
      <c r="DQ77" s="118">
        <v>20</v>
      </c>
      <c r="DR77" s="118" t="s">
        <v>1066</v>
      </c>
      <c r="DS77" s="118">
        <v>2</v>
      </c>
      <c r="DT77" s="118" t="s">
        <v>1067</v>
      </c>
      <c r="DU77" s="118">
        <f t="shared" si="105"/>
        <v>27000</v>
      </c>
    </row>
    <row r="78" spans="42:125" ht="16.5" x14ac:dyDescent="0.2">
      <c r="AP78" s="24">
        <v>74</v>
      </c>
      <c r="AQ78" s="14">
        <f t="shared" si="81"/>
        <v>19</v>
      </c>
      <c r="AR78" s="109">
        <f t="shared" si="82"/>
        <v>2</v>
      </c>
      <c r="AS78" s="109">
        <f t="shared" si="83"/>
        <v>40</v>
      </c>
      <c r="AT78" s="109">
        <f t="shared" si="84"/>
        <v>114</v>
      </c>
      <c r="AU78" s="109">
        <f t="shared" si="85"/>
        <v>191</v>
      </c>
      <c r="AX78" s="109">
        <v>74</v>
      </c>
      <c r="AY78" s="14">
        <f t="shared" si="69"/>
        <v>8</v>
      </c>
      <c r="AZ78" s="14">
        <f t="shared" si="86"/>
        <v>4</v>
      </c>
      <c r="BA78" s="14">
        <f t="shared" si="53"/>
        <v>280</v>
      </c>
      <c r="BB78" s="14">
        <f t="shared" si="70"/>
        <v>1350</v>
      </c>
      <c r="BC78" s="14">
        <f t="shared" si="71"/>
        <v>3150</v>
      </c>
      <c r="BF78" s="109">
        <v>74</v>
      </c>
      <c r="BG78" s="14">
        <f t="shared" si="87"/>
        <v>8</v>
      </c>
      <c r="BH78" s="14">
        <f t="shared" si="88"/>
        <v>4</v>
      </c>
      <c r="BI78" s="14">
        <f t="shared" si="72"/>
        <v>900</v>
      </c>
      <c r="BJ78" s="14">
        <f t="shared" si="73"/>
        <v>2700</v>
      </c>
      <c r="BK78" s="14">
        <f t="shared" si="74"/>
        <v>6300</v>
      </c>
      <c r="BN78" s="109">
        <v>74</v>
      </c>
      <c r="BO78" s="109">
        <f t="shared" si="89"/>
        <v>25</v>
      </c>
      <c r="BP78" s="112">
        <f t="shared" si="90"/>
        <v>130</v>
      </c>
      <c r="BQ78" s="109">
        <f t="shared" si="68"/>
        <v>2</v>
      </c>
      <c r="BR78" s="109">
        <v>240</v>
      </c>
      <c r="BS78" s="109">
        <v>360</v>
      </c>
      <c r="BT78" s="112">
        <v>5</v>
      </c>
      <c r="BU78" s="14">
        <f t="shared" si="91"/>
        <v>11252</v>
      </c>
      <c r="BV78" s="118">
        <v>1</v>
      </c>
      <c r="BW78" s="14">
        <f t="shared" si="92"/>
        <v>125</v>
      </c>
      <c r="BX78" s="118" t="s">
        <v>1052</v>
      </c>
      <c r="BY78" s="14">
        <f t="shared" si="93"/>
        <v>2</v>
      </c>
      <c r="BZ78" s="118" t="str">
        <f t="shared" si="94"/>
        <v>守护灵抽卡券2红色基础材料39金币43200</v>
      </c>
      <c r="CA78" s="14">
        <f t="shared" si="95"/>
        <v>20</v>
      </c>
      <c r="CB78" s="115" t="s">
        <v>271</v>
      </c>
      <c r="CC78" s="115">
        <v>2</v>
      </c>
      <c r="CD78" s="112" t="str">
        <f>INDEX(挂机升级突破!$BX$4:$CB$4,章节关卡!BT78)</f>
        <v>红色基础材料</v>
      </c>
      <c r="CE78" s="115">
        <f>ROUND(INDEX(挂机升级突破!$Q$7:$U$37,BO78+2,章节关卡!BT78)/INDEX(挂机升级突破!$Q$5:$U$5,章节关卡!BT78)*章节关卡!BS78,0)</f>
        <v>39</v>
      </c>
      <c r="CF78" s="109" t="s">
        <v>70</v>
      </c>
      <c r="CG78" s="109">
        <f t="shared" si="75"/>
        <v>43200</v>
      </c>
      <c r="CJ78" s="115">
        <f t="shared" si="76"/>
        <v>25</v>
      </c>
      <c r="CK78" s="115">
        <f t="shared" si="77"/>
        <v>140</v>
      </c>
      <c r="CL78" s="118">
        <v>2</v>
      </c>
      <c r="CM78" s="115">
        <f t="shared" si="78"/>
        <v>360</v>
      </c>
      <c r="CN78" s="115">
        <f t="shared" si="79"/>
        <v>720</v>
      </c>
      <c r="CO78" s="115">
        <v>9</v>
      </c>
      <c r="CP78" s="14">
        <f t="shared" si="96"/>
        <v>12252</v>
      </c>
      <c r="CQ78" s="118">
        <v>2</v>
      </c>
      <c r="CR78" s="14">
        <f t="shared" si="97"/>
        <v>225</v>
      </c>
      <c r="CS78" s="118" t="s">
        <v>1052</v>
      </c>
      <c r="CT78" s="14">
        <f t="shared" si="98"/>
        <v>2</v>
      </c>
      <c r="CU78" s="118" t="str">
        <f t="shared" si="99"/>
        <v>熔炼值7000铀金36金币64800</v>
      </c>
      <c r="CV78" s="14">
        <f t="shared" si="100"/>
        <v>20</v>
      </c>
      <c r="CW78" s="115" t="s">
        <v>1031</v>
      </c>
      <c r="CX78" s="115">
        <v>7000</v>
      </c>
      <c r="CY78" s="115" t="str">
        <f>INDEX(挂机升级突破!$BX$4:$CG$4,章节关卡!CO78)</f>
        <v>铀金</v>
      </c>
      <c r="CZ78" s="115">
        <f>ROUND(INDEX(挂机升级突破!$Q$7:$Z$37,CJ78+3,章节关卡!CO78)/INDEX(挂机升级突破!$Q$5:$Z$5,章节关卡!CO78)*章节关卡!CN78,0)</f>
        <v>36</v>
      </c>
      <c r="DA78" s="115" t="s">
        <v>265</v>
      </c>
      <c r="DB78" s="115">
        <f t="shared" si="80"/>
        <v>64800</v>
      </c>
      <c r="DE78" s="118">
        <v>74</v>
      </c>
      <c r="DF78" s="14">
        <f t="shared" si="101"/>
        <v>25</v>
      </c>
      <c r="DG78" s="118">
        <f t="shared" si="102"/>
        <v>130</v>
      </c>
      <c r="DH78" s="118">
        <v>120</v>
      </c>
      <c r="DI78" s="118">
        <f t="shared" si="103"/>
        <v>21252</v>
      </c>
      <c r="DJ78" s="118">
        <v>1</v>
      </c>
      <c r="DK78" s="14">
        <f t="shared" si="106"/>
        <v>125</v>
      </c>
      <c r="DL78" s="118" t="s">
        <v>1062</v>
      </c>
      <c r="DM78" s="118">
        <v>2</v>
      </c>
      <c r="DN78" s="118" t="str">
        <f t="shared" si="104"/>
        <v>钻石30守护灵初级抽卡券3守护灵经验36000</v>
      </c>
      <c r="DO78" s="14">
        <f t="shared" si="107"/>
        <v>12509</v>
      </c>
      <c r="DP78" s="118" t="s">
        <v>1065</v>
      </c>
      <c r="DQ78" s="118">
        <v>30</v>
      </c>
      <c r="DR78" s="118" t="s">
        <v>1066</v>
      </c>
      <c r="DS78" s="118">
        <v>3</v>
      </c>
      <c r="DT78" s="118" t="s">
        <v>1067</v>
      </c>
      <c r="DU78" s="118">
        <f t="shared" si="105"/>
        <v>36000</v>
      </c>
    </row>
    <row r="79" spans="42:125" ht="16.5" x14ac:dyDescent="0.2">
      <c r="AP79" s="24">
        <v>75</v>
      </c>
      <c r="AQ79" s="14">
        <f t="shared" si="81"/>
        <v>19</v>
      </c>
      <c r="AR79" s="109">
        <f t="shared" si="82"/>
        <v>3</v>
      </c>
      <c r="AS79" s="109">
        <f t="shared" si="83"/>
        <v>40</v>
      </c>
      <c r="AT79" s="109">
        <f t="shared" si="84"/>
        <v>116</v>
      </c>
      <c r="AU79" s="109">
        <f t="shared" si="85"/>
        <v>194</v>
      </c>
      <c r="AX79" s="109">
        <v>75</v>
      </c>
      <c r="AY79" s="14">
        <f t="shared" si="69"/>
        <v>8</v>
      </c>
      <c r="AZ79" s="14">
        <f t="shared" si="86"/>
        <v>5</v>
      </c>
      <c r="BA79" s="14">
        <f t="shared" ref="BA79:BA142" si="108">INDEX($S$6:$S$35,AY79)</f>
        <v>280</v>
      </c>
      <c r="BB79" s="14">
        <f t="shared" si="70"/>
        <v>1350</v>
      </c>
      <c r="BC79" s="14">
        <f t="shared" si="71"/>
        <v>3150</v>
      </c>
      <c r="BF79" s="109">
        <v>75</v>
      </c>
      <c r="BG79" s="14">
        <f t="shared" si="87"/>
        <v>8</v>
      </c>
      <c r="BH79" s="14">
        <f t="shared" si="88"/>
        <v>5</v>
      </c>
      <c r="BI79" s="14">
        <f t="shared" si="72"/>
        <v>900</v>
      </c>
      <c r="BJ79" s="14">
        <f t="shared" si="73"/>
        <v>2700</v>
      </c>
      <c r="BK79" s="14">
        <f t="shared" si="74"/>
        <v>6300</v>
      </c>
      <c r="BN79" s="109">
        <v>75</v>
      </c>
      <c r="BO79" s="109">
        <f t="shared" si="89"/>
        <v>25</v>
      </c>
      <c r="BP79" s="112">
        <f t="shared" si="90"/>
        <v>130</v>
      </c>
      <c r="BQ79" s="109">
        <f t="shared" si="68"/>
        <v>3</v>
      </c>
      <c r="BR79" s="109">
        <v>360</v>
      </c>
      <c r="BS79" s="109">
        <v>540</v>
      </c>
      <c r="BT79" s="112">
        <v>5</v>
      </c>
      <c r="BU79" s="14">
        <f t="shared" si="91"/>
        <v>11253</v>
      </c>
      <c r="BV79" s="118">
        <v>1</v>
      </c>
      <c r="BW79" s="14">
        <f t="shared" si="92"/>
        <v>125</v>
      </c>
      <c r="BX79" s="118" t="s">
        <v>1052</v>
      </c>
      <c r="BY79" s="14">
        <f t="shared" si="93"/>
        <v>3</v>
      </c>
      <c r="BZ79" s="118" t="str">
        <f t="shared" si="94"/>
        <v>守护灵抽卡券3红色基础材料59金币64800</v>
      </c>
      <c r="CA79" s="14">
        <f t="shared" si="95"/>
        <v>30</v>
      </c>
      <c r="CB79" s="115" t="s">
        <v>271</v>
      </c>
      <c r="CC79" s="115">
        <v>3</v>
      </c>
      <c r="CD79" s="112" t="str">
        <f>INDEX(挂机升级突破!$BX$4:$CB$4,章节关卡!BT79)</f>
        <v>红色基础材料</v>
      </c>
      <c r="CE79" s="115">
        <f>ROUND(INDEX(挂机升级突破!$Q$7:$U$37,BO79+2,章节关卡!BT79)/INDEX(挂机升级突破!$Q$5:$U$5,章节关卡!BT79)*章节关卡!BS79,0)</f>
        <v>59</v>
      </c>
      <c r="CF79" s="109" t="s">
        <v>70</v>
      </c>
      <c r="CG79" s="109">
        <f t="shared" si="75"/>
        <v>64800</v>
      </c>
      <c r="CJ79" s="115">
        <f t="shared" si="76"/>
        <v>25</v>
      </c>
      <c r="CK79" s="115">
        <f t="shared" si="77"/>
        <v>140</v>
      </c>
      <c r="CL79" s="118">
        <v>3</v>
      </c>
      <c r="CM79" s="115">
        <f t="shared" si="78"/>
        <v>540</v>
      </c>
      <c r="CN79" s="115">
        <f t="shared" si="79"/>
        <v>1080</v>
      </c>
      <c r="CO79" s="115">
        <v>9</v>
      </c>
      <c r="CP79" s="14">
        <f t="shared" si="96"/>
        <v>12253</v>
      </c>
      <c r="CQ79" s="118">
        <v>2</v>
      </c>
      <c r="CR79" s="14">
        <f t="shared" si="97"/>
        <v>225</v>
      </c>
      <c r="CS79" s="118" t="s">
        <v>1052</v>
      </c>
      <c r="CT79" s="14">
        <f t="shared" si="98"/>
        <v>3</v>
      </c>
      <c r="CU79" s="118" t="str">
        <f t="shared" si="99"/>
        <v>守护灵抽卡券5铀金54金币97200</v>
      </c>
      <c r="CV79" s="14">
        <f t="shared" si="100"/>
        <v>30</v>
      </c>
      <c r="CW79" s="115" t="s">
        <v>1030</v>
      </c>
      <c r="CX79" s="115">
        <v>5</v>
      </c>
      <c r="CY79" s="115" t="str">
        <f>INDEX(挂机升级突破!$BX$4:$CG$4,章节关卡!CO79)</f>
        <v>铀金</v>
      </c>
      <c r="CZ79" s="115">
        <f>ROUND(INDEX(挂机升级突破!$Q$7:$Z$37,CJ79+3,章节关卡!CO79)/INDEX(挂机升级突破!$Q$5:$Z$5,章节关卡!CO79)*章节关卡!CN79,0)</f>
        <v>54</v>
      </c>
      <c r="DA79" s="115" t="s">
        <v>265</v>
      </c>
      <c r="DB79" s="115">
        <f t="shared" si="80"/>
        <v>97200</v>
      </c>
      <c r="DE79" s="118">
        <v>75</v>
      </c>
      <c r="DF79" s="14">
        <f t="shared" si="101"/>
        <v>25</v>
      </c>
      <c r="DG79" s="118">
        <f t="shared" si="102"/>
        <v>130</v>
      </c>
      <c r="DH79" s="118">
        <v>150</v>
      </c>
      <c r="DI79" s="118">
        <f t="shared" si="103"/>
        <v>21253</v>
      </c>
      <c r="DJ79" s="118">
        <v>1</v>
      </c>
      <c r="DK79" s="14">
        <f t="shared" si="106"/>
        <v>125</v>
      </c>
      <c r="DL79" s="118" t="s">
        <v>1062</v>
      </c>
      <c r="DM79" s="118">
        <v>3</v>
      </c>
      <c r="DN79" s="118" t="str">
        <f t="shared" si="104"/>
        <v>钻石50守护灵初级抽卡券5守护灵经验45000</v>
      </c>
      <c r="DO79" s="14">
        <f t="shared" si="107"/>
        <v>12509</v>
      </c>
      <c r="DP79" s="118" t="s">
        <v>1065</v>
      </c>
      <c r="DQ79" s="118">
        <v>50</v>
      </c>
      <c r="DR79" s="118" t="s">
        <v>1066</v>
      </c>
      <c r="DS79" s="118">
        <v>5</v>
      </c>
      <c r="DT79" s="118" t="s">
        <v>1067</v>
      </c>
      <c r="DU79" s="118">
        <f t="shared" si="105"/>
        <v>45000</v>
      </c>
    </row>
    <row r="80" spans="42:125" ht="16.5" x14ac:dyDescent="0.2">
      <c r="AP80" s="24">
        <v>76</v>
      </c>
      <c r="AQ80" s="14">
        <f t="shared" si="81"/>
        <v>19</v>
      </c>
      <c r="AR80" s="109">
        <f t="shared" si="82"/>
        <v>4</v>
      </c>
      <c r="AS80" s="109">
        <f t="shared" si="83"/>
        <v>40</v>
      </c>
      <c r="AT80" s="109">
        <f t="shared" si="84"/>
        <v>118</v>
      </c>
      <c r="AU80" s="109">
        <f t="shared" si="85"/>
        <v>197</v>
      </c>
      <c r="AX80" s="109">
        <v>76</v>
      </c>
      <c r="AY80" s="14">
        <f t="shared" si="69"/>
        <v>8</v>
      </c>
      <c r="AZ80" s="14">
        <f t="shared" si="86"/>
        <v>6</v>
      </c>
      <c r="BA80" s="14">
        <f t="shared" si="108"/>
        <v>280</v>
      </c>
      <c r="BB80" s="14">
        <f t="shared" si="70"/>
        <v>1350</v>
      </c>
      <c r="BC80" s="14">
        <f t="shared" si="71"/>
        <v>3150</v>
      </c>
      <c r="BF80" s="109">
        <v>76</v>
      </c>
      <c r="BG80" s="14">
        <f t="shared" si="87"/>
        <v>8</v>
      </c>
      <c r="BH80" s="14">
        <f t="shared" si="88"/>
        <v>6</v>
      </c>
      <c r="BI80" s="14">
        <f t="shared" si="72"/>
        <v>900</v>
      </c>
      <c r="BJ80" s="14">
        <f t="shared" si="73"/>
        <v>2700</v>
      </c>
      <c r="BK80" s="14">
        <f t="shared" si="74"/>
        <v>6300</v>
      </c>
      <c r="BN80" s="109">
        <v>76</v>
      </c>
      <c r="BO80" s="109">
        <f t="shared" si="89"/>
        <v>26</v>
      </c>
      <c r="BP80" s="112">
        <f t="shared" si="90"/>
        <v>135</v>
      </c>
      <c r="BQ80" s="109">
        <f t="shared" si="68"/>
        <v>1</v>
      </c>
      <c r="BR80" s="109">
        <v>120</v>
      </c>
      <c r="BS80" s="109">
        <v>180</v>
      </c>
      <c r="BT80" s="112">
        <v>5</v>
      </c>
      <c r="BU80" s="14">
        <f t="shared" si="91"/>
        <v>11261</v>
      </c>
      <c r="BV80" s="118">
        <v>1</v>
      </c>
      <c r="BW80" s="14">
        <f t="shared" si="92"/>
        <v>126</v>
      </c>
      <c r="BX80" s="118" t="s">
        <v>1052</v>
      </c>
      <c r="BY80" s="14">
        <f t="shared" si="93"/>
        <v>1</v>
      </c>
      <c r="BZ80" s="118" t="str">
        <f t="shared" si="94"/>
        <v>钻石100红色基础材料24金币22800</v>
      </c>
      <c r="CA80" s="14">
        <f t="shared" si="95"/>
        <v>10</v>
      </c>
      <c r="CB80" s="115" t="s">
        <v>22</v>
      </c>
      <c r="CC80" s="115">
        <v>100</v>
      </c>
      <c r="CD80" s="112" t="str">
        <f>INDEX(挂机升级突破!$BX$4:$CB$4,章节关卡!BT80)</f>
        <v>红色基础材料</v>
      </c>
      <c r="CE80" s="115">
        <f>ROUND(INDEX(挂机升级突破!$Q$7:$U$37,BO80+2,章节关卡!BT80)/INDEX(挂机升级突破!$Q$5:$U$5,章节关卡!BT80)*章节关卡!BS80,0)</f>
        <v>24</v>
      </c>
      <c r="CF80" s="109" t="s">
        <v>70</v>
      </c>
      <c r="CG80" s="109">
        <f t="shared" si="75"/>
        <v>22800</v>
      </c>
      <c r="CJ80" s="115">
        <f t="shared" si="76"/>
        <v>26</v>
      </c>
      <c r="CK80" s="115">
        <f t="shared" si="77"/>
        <v>145</v>
      </c>
      <c r="CL80" s="118">
        <v>1</v>
      </c>
      <c r="CM80" s="115">
        <f t="shared" si="78"/>
        <v>180</v>
      </c>
      <c r="CN80" s="115">
        <f t="shared" si="79"/>
        <v>360</v>
      </c>
      <c r="CO80" s="115">
        <v>9</v>
      </c>
      <c r="CP80" s="14">
        <f t="shared" si="96"/>
        <v>12261</v>
      </c>
      <c r="CQ80" s="118">
        <v>2</v>
      </c>
      <c r="CR80" s="14">
        <f t="shared" si="97"/>
        <v>226</v>
      </c>
      <c r="CS80" s="118" t="s">
        <v>1052</v>
      </c>
      <c r="CT80" s="14">
        <f t="shared" si="98"/>
        <v>1</v>
      </c>
      <c r="CU80" s="118" t="str">
        <f t="shared" si="99"/>
        <v>钻石100铀金18金币34200</v>
      </c>
      <c r="CV80" s="14">
        <f t="shared" si="100"/>
        <v>10</v>
      </c>
      <c r="CW80" s="115" t="s">
        <v>270</v>
      </c>
      <c r="CX80" s="115">
        <v>100</v>
      </c>
      <c r="CY80" s="115" t="str">
        <f>INDEX(挂机升级突破!$BX$4:$CG$4,章节关卡!CO80)</f>
        <v>铀金</v>
      </c>
      <c r="CZ80" s="115">
        <f>ROUND(INDEX(挂机升级突破!$Q$7:$Z$37,CJ80+3,章节关卡!CO80)/INDEX(挂机升级突破!$Q$5:$Z$5,章节关卡!CO80)*章节关卡!CN80,0)</f>
        <v>18</v>
      </c>
      <c r="DA80" s="115" t="s">
        <v>265</v>
      </c>
      <c r="DB80" s="115">
        <f t="shared" si="80"/>
        <v>34200</v>
      </c>
      <c r="DE80" s="118">
        <v>76</v>
      </c>
      <c r="DF80" s="14">
        <f t="shared" si="101"/>
        <v>26</v>
      </c>
      <c r="DG80" s="118">
        <f t="shared" si="102"/>
        <v>135</v>
      </c>
      <c r="DH80" s="118">
        <v>90</v>
      </c>
      <c r="DI80" s="118">
        <f t="shared" si="103"/>
        <v>21261</v>
      </c>
      <c r="DJ80" s="118">
        <v>1</v>
      </c>
      <c r="DK80" s="14">
        <f t="shared" si="106"/>
        <v>126</v>
      </c>
      <c r="DL80" s="118" t="s">
        <v>1062</v>
      </c>
      <c r="DM80" s="118">
        <v>1</v>
      </c>
      <c r="DN80" s="118" t="str">
        <f t="shared" si="104"/>
        <v>钻石20守护灵初级抽卡券2守护灵经验29250</v>
      </c>
      <c r="DO80" s="14">
        <f t="shared" si="107"/>
        <v>12609</v>
      </c>
      <c r="DP80" s="118" t="s">
        <v>1065</v>
      </c>
      <c r="DQ80" s="118">
        <v>20</v>
      </c>
      <c r="DR80" s="118" t="s">
        <v>1066</v>
      </c>
      <c r="DS80" s="118">
        <v>2</v>
      </c>
      <c r="DT80" s="118" t="s">
        <v>1067</v>
      </c>
      <c r="DU80" s="118">
        <f t="shared" si="105"/>
        <v>29250</v>
      </c>
    </row>
    <row r="81" spans="42:125" ht="16.5" x14ac:dyDescent="0.2">
      <c r="AP81" s="24">
        <v>77</v>
      </c>
      <c r="AQ81" s="14">
        <f t="shared" si="81"/>
        <v>20</v>
      </c>
      <c r="AR81" s="109">
        <f t="shared" si="82"/>
        <v>1</v>
      </c>
      <c r="AS81" s="109">
        <f t="shared" si="83"/>
        <v>42</v>
      </c>
      <c r="AT81" s="109">
        <f t="shared" si="84"/>
        <v>122</v>
      </c>
      <c r="AU81" s="109">
        <f t="shared" si="85"/>
        <v>202</v>
      </c>
      <c r="AX81" s="109">
        <v>77</v>
      </c>
      <c r="AY81" s="14">
        <f t="shared" si="69"/>
        <v>8</v>
      </c>
      <c r="AZ81" s="14">
        <f t="shared" si="86"/>
        <v>7</v>
      </c>
      <c r="BA81" s="14">
        <f t="shared" si="108"/>
        <v>280</v>
      </c>
      <c r="BB81" s="14">
        <f t="shared" si="70"/>
        <v>1350</v>
      </c>
      <c r="BC81" s="14">
        <f t="shared" si="71"/>
        <v>3150</v>
      </c>
      <c r="BF81" s="109">
        <v>77</v>
      </c>
      <c r="BG81" s="14">
        <f t="shared" si="87"/>
        <v>8</v>
      </c>
      <c r="BH81" s="14">
        <f t="shared" si="88"/>
        <v>7</v>
      </c>
      <c r="BI81" s="14">
        <f t="shared" si="72"/>
        <v>900</v>
      </c>
      <c r="BJ81" s="14">
        <f t="shared" si="73"/>
        <v>2700</v>
      </c>
      <c r="BK81" s="14">
        <f t="shared" si="74"/>
        <v>6300</v>
      </c>
      <c r="BN81" s="109">
        <v>77</v>
      </c>
      <c r="BO81" s="109">
        <f t="shared" si="89"/>
        <v>26</v>
      </c>
      <c r="BP81" s="112">
        <f t="shared" si="90"/>
        <v>135</v>
      </c>
      <c r="BQ81" s="109">
        <f t="shared" si="68"/>
        <v>2</v>
      </c>
      <c r="BR81" s="109">
        <v>240</v>
      </c>
      <c r="BS81" s="109">
        <v>360</v>
      </c>
      <c r="BT81" s="112">
        <v>5</v>
      </c>
      <c r="BU81" s="14">
        <f t="shared" si="91"/>
        <v>11262</v>
      </c>
      <c r="BV81" s="118">
        <v>1</v>
      </c>
      <c r="BW81" s="14">
        <f t="shared" si="92"/>
        <v>126</v>
      </c>
      <c r="BX81" s="118" t="s">
        <v>1052</v>
      </c>
      <c r="BY81" s="14">
        <f t="shared" si="93"/>
        <v>2</v>
      </c>
      <c r="BZ81" s="118" t="str">
        <f t="shared" si="94"/>
        <v>守护灵抽卡券2红色基础材料48金币45600</v>
      </c>
      <c r="CA81" s="14">
        <f t="shared" si="95"/>
        <v>20</v>
      </c>
      <c r="CB81" s="115" t="s">
        <v>271</v>
      </c>
      <c r="CC81" s="115">
        <v>2</v>
      </c>
      <c r="CD81" s="112" t="str">
        <f>INDEX(挂机升级突破!$BX$4:$CB$4,章节关卡!BT81)</f>
        <v>红色基础材料</v>
      </c>
      <c r="CE81" s="115">
        <f>ROUND(INDEX(挂机升级突破!$Q$7:$U$37,BO81+2,章节关卡!BT81)/INDEX(挂机升级突破!$Q$5:$U$5,章节关卡!BT81)*章节关卡!BS81,0)</f>
        <v>48</v>
      </c>
      <c r="CF81" s="109" t="s">
        <v>70</v>
      </c>
      <c r="CG81" s="109">
        <f t="shared" si="75"/>
        <v>45600</v>
      </c>
      <c r="CJ81" s="115">
        <f t="shared" si="76"/>
        <v>26</v>
      </c>
      <c r="CK81" s="115">
        <f t="shared" si="77"/>
        <v>145</v>
      </c>
      <c r="CL81" s="118">
        <v>2</v>
      </c>
      <c r="CM81" s="115">
        <f t="shared" si="78"/>
        <v>360</v>
      </c>
      <c r="CN81" s="115">
        <f t="shared" si="79"/>
        <v>720</v>
      </c>
      <c r="CO81" s="115">
        <v>9</v>
      </c>
      <c r="CP81" s="14">
        <f t="shared" si="96"/>
        <v>12262</v>
      </c>
      <c r="CQ81" s="118">
        <v>2</v>
      </c>
      <c r="CR81" s="14">
        <f t="shared" si="97"/>
        <v>226</v>
      </c>
      <c r="CS81" s="118" t="s">
        <v>1052</v>
      </c>
      <c r="CT81" s="14">
        <f t="shared" si="98"/>
        <v>2</v>
      </c>
      <c r="CU81" s="118" t="str">
        <f t="shared" si="99"/>
        <v>熔炼值7500铀金36金币68400</v>
      </c>
      <c r="CV81" s="14">
        <f t="shared" si="100"/>
        <v>20</v>
      </c>
      <c r="CW81" s="115" t="s">
        <v>1031</v>
      </c>
      <c r="CX81" s="115">
        <v>7500</v>
      </c>
      <c r="CY81" s="115" t="str">
        <f>INDEX(挂机升级突破!$BX$4:$CG$4,章节关卡!CO81)</f>
        <v>铀金</v>
      </c>
      <c r="CZ81" s="115">
        <f>ROUND(INDEX(挂机升级突破!$Q$7:$Z$37,CJ81+3,章节关卡!CO81)/INDEX(挂机升级突破!$Q$5:$Z$5,章节关卡!CO81)*章节关卡!CN81,0)</f>
        <v>36</v>
      </c>
      <c r="DA81" s="115" t="s">
        <v>265</v>
      </c>
      <c r="DB81" s="115">
        <f t="shared" si="80"/>
        <v>68400</v>
      </c>
      <c r="DE81" s="118">
        <v>77</v>
      </c>
      <c r="DF81" s="14">
        <f t="shared" si="101"/>
        <v>26</v>
      </c>
      <c r="DG81" s="118">
        <f t="shared" si="102"/>
        <v>135</v>
      </c>
      <c r="DH81" s="118">
        <v>120</v>
      </c>
      <c r="DI81" s="118">
        <f t="shared" si="103"/>
        <v>21262</v>
      </c>
      <c r="DJ81" s="118">
        <v>1</v>
      </c>
      <c r="DK81" s="14">
        <f t="shared" si="106"/>
        <v>126</v>
      </c>
      <c r="DL81" s="118" t="s">
        <v>1062</v>
      </c>
      <c r="DM81" s="118">
        <v>2</v>
      </c>
      <c r="DN81" s="118" t="str">
        <f t="shared" si="104"/>
        <v>钻石30守护灵初级抽卡券3守护灵经验39000</v>
      </c>
      <c r="DO81" s="14">
        <f t="shared" si="107"/>
        <v>12609</v>
      </c>
      <c r="DP81" s="118" t="s">
        <v>1065</v>
      </c>
      <c r="DQ81" s="118">
        <v>30</v>
      </c>
      <c r="DR81" s="118" t="s">
        <v>1066</v>
      </c>
      <c r="DS81" s="118">
        <v>3</v>
      </c>
      <c r="DT81" s="118" t="s">
        <v>1067</v>
      </c>
      <c r="DU81" s="118">
        <f t="shared" si="105"/>
        <v>39000</v>
      </c>
    </row>
    <row r="82" spans="42:125" ht="16.5" x14ac:dyDescent="0.2">
      <c r="AP82" s="24">
        <v>78</v>
      </c>
      <c r="AQ82" s="14">
        <f t="shared" si="81"/>
        <v>20</v>
      </c>
      <c r="AR82" s="109">
        <f t="shared" si="82"/>
        <v>2</v>
      </c>
      <c r="AS82" s="109">
        <f t="shared" si="83"/>
        <v>42</v>
      </c>
      <c r="AT82" s="109">
        <f t="shared" si="84"/>
        <v>124</v>
      </c>
      <c r="AU82" s="109">
        <f t="shared" si="85"/>
        <v>204</v>
      </c>
      <c r="AX82" s="109">
        <v>78</v>
      </c>
      <c r="AY82" s="14">
        <f t="shared" si="69"/>
        <v>8</v>
      </c>
      <c r="AZ82" s="14">
        <f t="shared" si="86"/>
        <v>8</v>
      </c>
      <c r="BA82" s="14">
        <f t="shared" si="108"/>
        <v>280</v>
      </c>
      <c r="BB82" s="14">
        <f t="shared" si="70"/>
        <v>1350</v>
      </c>
      <c r="BC82" s="14">
        <f t="shared" si="71"/>
        <v>3150</v>
      </c>
      <c r="BF82" s="109">
        <v>78</v>
      </c>
      <c r="BG82" s="14">
        <f t="shared" si="87"/>
        <v>8</v>
      </c>
      <c r="BH82" s="14">
        <f t="shared" si="88"/>
        <v>8</v>
      </c>
      <c r="BI82" s="14">
        <f t="shared" si="72"/>
        <v>900</v>
      </c>
      <c r="BJ82" s="14">
        <f t="shared" si="73"/>
        <v>2700</v>
      </c>
      <c r="BK82" s="14">
        <f t="shared" si="74"/>
        <v>6300</v>
      </c>
      <c r="BN82" s="109">
        <v>78</v>
      </c>
      <c r="BO82" s="109">
        <f t="shared" si="89"/>
        <v>26</v>
      </c>
      <c r="BP82" s="112">
        <f t="shared" si="90"/>
        <v>135</v>
      </c>
      <c r="BQ82" s="109">
        <f t="shared" si="68"/>
        <v>3</v>
      </c>
      <c r="BR82" s="109">
        <v>360</v>
      </c>
      <c r="BS82" s="109">
        <v>540</v>
      </c>
      <c r="BT82" s="112">
        <v>5</v>
      </c>
      <c r="BU82" s="14">
        <f t="shared" si="91"/>
        <v>11263</v>
      </c>
      <c r="BV82" s="118">
        <v>1</v>
      </c>
      <c r="BW82" s="14">
        <f t="shared" si="92"/>
        <v>126</v>
      </c>
      <c r="BX82" s="118" t="s">
        <v>1052</v>
      </c>
      <c r="BY82" s="14">
        <f t="shared" si="93"/>
        <v>3</v>
      </c>
      <c r="BZ82" s="118" t="str">
        <f t="shared" si="94"/>
        <v>守护灵抽卡券3红色基础材料72金币68400</v>
      </c>
      <c r="CA82" s="14">
        <f t="shared" si="95"/>
        <v>30</v>
      </c>
      <c r="CB82" s="115" t="s">
        <v>271</v>
      </c>
      <c r="CC82" s="115">
        <v>3</v>
      </c>
      <c r="CD82" s="112" t="str">
        <f>INDEX(挂机升级突破!$BX$4:$CB$4,章节关卡!BT82)</f>
        <v>红色基础材料</v>
      </c>
      <c r="CE82" s="115">
        <f>ROUND(INDEX(挂机升级突破!$Q$7:$U$37,BO82+2,章节关卡!BT82)/INDEX(挂机升级突破!$Q$5:$U$5,章节关卡!BT82)*章节关卡!BS82,0)</f>
        <v>72</v>
      </c>
      <c r="CF82" s="109" t="s">
        <v>70</v>
      </c>
      <c r="CG82" s="109">
        <f t="shared" si="75"/>
        <v>68400</v>
      </c>
      <c r="CJ82" s="115">
        <f t="shared" si="76"/>
        <v>26</v>
      </c>
      <c r="CK82" s="115">
        <f t="shared" si="77"/>
        <v>145</v>
      </c>
      <c r="CL82" s="118">
        <v>3</v>
      </c>
      <c r="CM82" s="115">
        <f t="shared" si="78"/>
        <v>540</v>
      </c>
      <c r="CN82" s="115">
        <f t="shared" si="79"/>
        <v>1080</v>
      </c>
      <c r="CO82" s="115">
        <v>9</v>
      </c>
      <c r="CP82" s="14">
        <f t="shared" si="96"/>
        <v>12263</v>
      </c>
      <c r="CQ82" s="118">
        <v>2</v>
      </c>
      <c r="CR82" s="14">
        <f t="shared" si="97"/>
        <v>226</v>
      </c>
      <c r="CS82" s="118" t="s">
        <v>1052</v>
      </c>
      <c r="CT82" s="14">
        <f t="shared" si="98"/>
        <v>3</v>
      </c>
      <c r="CU82" s="118" t="str">
        <f t="shared" si="99"/>
        <v>守护灵抽卡券5铀金54金币102600</v>
      </c>
      <c r="CV82" s="14">
        <f t="shared" si="100"/>
        <v>30</v>
      </c>
      <c r="CW82" s="115" t="s">
        <v>1030</v>
      </c>
      <c r="CX82" s="115">
        <v>5</v>
      </c>
      <c r="CY82" s="115" t="str">
        <f>INDEX(挂机升级突破!$BX$4:$CG$4,章节关卡!CO82)</f>
        <v>铀金</v>
      </c>
      <c r="CZ82" s="115">
        <f>ROUND(INDEX(挂机升级突破!$Q$7:$Z$37,CJ82+3,章节关卡!CO82)/INDEX(挂机升级突破!$Q$5:$Z$5,章节关卡!CO82)*章节关卡!CN82,0)</f>
        <v>54</v>
      </c>
      <c r="DA82" s="115" t="s">
        <v>265</v>
      </c>
      <c r="DB82" s="115">
        <f t="shared" si="80"/>
        <v>102600</v>
      </c>
      <c r="DE82" s="118">
        <v>78</v>
      </c>
      <c r="DF82" s="14">
        <f t="shared" si="101"/>
        <v>26</v>
      </c>
      <c r="DG82" s="118">
        <f t="shared" si="102"/>
        <v>135</v>
      </c>
      <c r="DH82" s="118">
        <v>150</v>
      </c>
      <c r="DI82" s="118">
        <f t="shared" si="103"/>
        <v>21263</v>
      </c>
      <c r="DJ82" s="118">
        <v>1</v>
      </c>
      <c r="DK82" s="14">
        <f t="shared" si="106"/>
        <v>126</v>
      </c>
      <c r="DL82" s="118" t="s">
        <v>1062</v>
      </c>
      <c r="DM82" s="118">
        <v>3</v>
      </c>
      <c r="DN82" s="118" t="str">
        <f t="shared" si="104"/>
        <v>钻石50守护灵初级抽卡券5守护灵经验48750</v>
      </c>
      <c r="DO82" s="14">
        <f t="shared" si="107"/>
        <v>12609</v>
      </c>
      <c r="DP82" s="118" t="s">
        <v>1065</v>
      </c>
      <c r="DQ82" s="118">
        <v>50</v>
      </c>
      <c r="DR82" s="118" t="s">
        <v>1066</v>
      </c>
      <c r="DS82" s="118">
        <v>5</v>
      </c>
      <c r="DT82" s="118" t="s">
        <v>1067</v>
      </c>
      <c r="DU82" s="118">
        <f t="shared" si="105"/>
        <v>48750</v>
      </c>
    </row>
    <row r="83" spans="42:125" ht="16.5" x14ac:dyDescent="0.2">
      <c r="AP83" s="24">
        <v>79</v>
      </c>
      <c r="AQ83" s="14">
        <f t="shared" si="81"/>
        <v>20</v>
      </c>
      <c r="AR83" s="109">
        <f t="shared" si="82"/>
        <v>3</v>
      </c>
      <c r="AS83" s="109">
        <f t="shared" si="83"/>
        <v>42</v>
      </c>
      <c r="AT83" s="109">
        <f t="shared" si="84"/>
        <v>126</v>
      </c>
      <c r="AU83" s="109">
        <f t="shared" si="85"/>
        <v>206</v>
      </c>
      <c r="AX83" s="109">
        <v>79</v>
      </c>
      <c r="AY83" s="14">
        <f t="shared" si="69"/>
        <v>8</v>
      </c>
      <c r="AZ83" s="14">
        <f t="shared" si="86"/>
        <v>9</v>
      </c>
      <c r="BA83" s="14">
        <f t="shared" si="108"/>
        <v>280</v>
      </c>
      <c r="BB83" s="14">
        <f t="shared" si="70"/>
        <v>1350</v>
      </c>
      <c r="BC83" s="14">
        <f t="shared" si="71"/>
        <v>3150</v>
      </c>
      <c r="BF83" s="109">
        <v>79</v>
      </c>
      <c r="BG83" s="14">
        <f t="shared" si="87"/>
        <v>8</v>
      </c>
      <c r="BH83" s="14">
        <f t="shared" si="88"/>
        <v>9</v>
      </c>
      <c r="BI83" s="14">
        <f t="shared" si="72"/>
        <v>900</v>
      </c>
      <c r="BJ83" s="14">
        <f t="shared" si="73"/>
        <v>2700</v>
      </c>
      <c r="BK83" s="14">
        <f t="shared" si="74"/>
        <v>6300</v>
      </c>
      <c r="BN83" s="109">
        <v>79</v>
      </c>
      <c r="BO83" s="109">
        <f t="shared" si="89"/>
        <v>27</v>
      </c>
      <c r="BP83" s="112">
        <f t="shared" si="90"/>
        <v>140</v>
      </c>
      <c r="BQ83" s="109">
        <f t="shared" si="68"/>
        <v>1</v>
      </c>
      <c r="BR83" s="109">
        <v>120</v>
      </c>
      <c r="BS83" s="109">
        <v>180</v>
      </c>
      <c r="BT83" s="112">
        <v>5</v>
      </c>
      <c r="BU83" s="14">
        <f t="shared" si="91"/>
        <v>11271</v>
      </c>
      <c r="BV83" s="118">
        <v>1</v>
      </c>
      <c r="BW83" s="14">
        <f t="shared" si="92"/>
        <v>127</v>
      </c>
      <c r="BX83" s="118" t="s">
        <v>1052</v>
      </c>
      <c r="BY83" s="14">
        <f t="shared" si="93"/>
        <v>1</v>
      </c>
      <c r="BZ83" s="118" t="str">
        <f t="shared" si="94"/>
        <v>钻石100红色基础材料30金币24000</v>
      </c>
      <c r="CA83" s="14">
        <f t="shared" si="95"/>
        <v>10</v>
      </c>
      <c r="CB83" s="115" t="s">
        <v>22</v>
      </c>
      <c r="CC83" s="115">
        <v>100</v>
      </c>
      <c r="CD83" s="112" t="str">
        <f>INDEX(挂机升级突破!$BX$4:$CB$4,章节关卡!BT83)</f>
        <v>红色基础材料</v>
      </c>
      <c r="CE83" s="115">
        <f>ROUND(INDEX(挂机升级突破!$Q$7:$U$37,BO83+2,章节关卡!BT83)/INDEX(挂机升级突破!$Q$5:$U$5,章节关卡!BT83)*章节关卡!BS83,0)</f>
        <v>30</v>
      </c>
      <c r="CF83" s="109" t="s">
        <v>70</v>
      </c>
      <c r="CG83" s="109">
        <f t="shared" si="75"/>
        <v>24000</v>
      </c>
      <c r="CJ83" s="115">
        <f t="shared" si="76"/>
        <v>27</v>
      </c>
      <c r="CK83" s="115">
        <f t="shared" si="77"/>
        <v>150</v>
      </c>
      <c r="CL83" s="118">
        <v>1</v>
      </c>
      <c r="CM83" s="115">
        <f t="shared" si="78"/>
        <v>180</v>
      </c>
      <c r="CN83" s="115">
        <f t="shared" si="79"/>
        <v>360</v>
      </c>
      <c r="CO83" s="115">
        <v>9</v>
      </c>
      <c r="CP83" s="14">
        <f t="shared" si="96"/>
        <v>12271</v>
      </c>
      <c r="CQ83" s="118">
        <v>2</v>
      </c>
      <c r="CR83" s="14">
        <f t="shared" si="97"/>
        <v>227</v>
      </c>
      <c r="CS83" s="118" t="s">
        <v>1052</v>
      </c>
      <c r="CT83" s="14">
        <f t="shared" si="98"/>
        <v>1</v>
      </c>
      <c r="CU83" s="118" t="str">
        <f t="shared" si="99"/>
        <v>钻石100铀金18金币36000</v>
      </c>
      <c r="CV83" s="14">
        <f t="shared" si="100"/>
        <v>10</v>
      </c>
      <c r="CW83" s="115" t="s">
        <v>270</v>
      </c>
      <c r="CX83" s="115">
        <v>100</v>
      </c>
      <c r="CY83" s="115" t="str">
        <f>INDEX(挂机升级突破!$BX$4:$CG$4,章节关卡!CO83)</f>
        <v>铀金</v>
      </c>
      <c r="CZ83" s="115">
        <f>ROUND(INDEX(挂机升级突破!$Q$7:$Z$37,CJ83+3,章节关卡!CO83)/INDEX(挂机升级突破!$Q$5:$Z$5,章节关卡!CO83)*章节关卡!CN83,0)</f>
        <v>18</v>
      </c>
      <c r="DA83" s="115" t="s">
        <v>265</v>
      </c>
      <c r="DB83" s="115">
        <f t="shared" si="80"/>
        <v>36000</v>
      </c>
      <c r="DE83" s="118">
        <v>79</v>
      </c>
      <c r="DF83" s="14">
        <f t="shared" si="101"/>
        <v>27</v>
      </c>
      <c r="DG83" s="118">
        <f t="shared" si="102"/>
        <v>140</v>
      </c>
      <c r="DH83" s="118">
        <v>90</v>
      </c>
      <c r="DI83" s="118">
        <f t="shared" si="103"/>
        <v>21271</v>
      </c>
      <c r="DJ83" s="118">
        <v>1</v>
      </c>
      <c r="DK83" s="14">
        <f t="shared" si="106"/>
        <v>127</v>
      </c>
      <c r="DL83" s="118" t="s">
        <v>1062</v>
      </c>
      <c r="DM83" s="118">
        <v>1</v>
      </c>
      <c r="DN83" s="118" t="str">
        <f t="shared" si="104"/>
        <v>钻石20守护灵初级抽卡券2守护灵经验31500</v>
      </c>
      <c r="DO83" s="14">
        <f t="shared" si="107"/>
        <v>12709</v>
      </c>
      <c r="DP83" s="118" t="s">
        <v>1065</v>
      </c>
      <c r="DQ83" s="118">
        <v>20</v>
      </c>
      <c r="DR83" s="118" t="s">
        <v>1066</v>
      </c>
      <c r="DS83" s="118">
        <v>2</v>
      </c>
      <c r="DT83" s="118" t="s">
        <v>1067</v>
      </c>
      <c r="DU83" s="118">
        <f t="shared" si="105"/>
        <v>31500</v>
      </c>
    </row>
    <row r="84" spans="42:125" ht="16.5" x14ac:dyDescent="0.2">
      <c r="AP84" s="24">
        <v>80</v>
      </c>
      <c r="AQ84" s="14">
        <f t="shared" si="81"/>
        <v>20</v>
      </c>
      <c r="AR84" s="109">
        <f t="shared" si="82"/>
        <v>4</v>
      </c>
      <c r="AS84" s="109">
        <f t="shared" si="83"/>
        <v>42</v>
      </c>
      <c r="AT84" s="109">
        <f t="shared" si="84"/>
        <v>128</v>
      </c>
      <c r="AU84" s="109">
        <f t="shared" si="85"/>
        <v>208</v>
      </c>
      <c r="AX84" s="109">
        <v>80</v>
      </c>
      <c r="AY84" s="14">
        <f t="shared" si="69"/>
        <v>8</v>
      </c>
      <c r="AZ84" s="14">
        <f t="shared" si="86"/>
        <v>10</v>
      </c>
      <c r="BA84" s="14">
        <f t="shared" si="108"/>
        <v>280</v>
      </c>
      <c r="BB84" s="14">
        <f t="shared" si="70"/>
        <v>1350</v>
      </c>
      <c r="BC84" s="14">
        <f t="shared" si="71"/>
        <v>3150</v>
      </c>
      <c r="BF84" s="109">
        <v>80</v>
      </c>
      <c r="BG84" s="14">
        <f t="shared" si="87"/>
        <v>8</v>
      </c>
      <c r="BH84" s="14">
        <f t="shared" si="88"/>
        <v>10</v>
      </c>
      <c r="BI84" s="14">
        <f t="shared" si="72"/>
        <v>900</v>
      </c>
      <c r="BJ84" s="14">
        <f t="shared" si="73"/>
        <v>2700</v>
      </c>
      <c r="BK84" s="14">
        <f t="shared" si="74"/>
        <v>6300</v>
      </c>
      <c r="BN84" s="109">
        <v>80</v>
      </c>
      <c r="BO84" s="109">
        <f t="shared" si="89"/>
        <v>27</v>
      </c>
      <c r="BP84" s="112">
        <f t="shared" si="90"/>
        <v>140</v>
      </c>
      <c r="BQ84" s="109">
        <f t="shared" si="68"/>
        <v>2</v>
      </c>
      <c r="BR84" s="109">
        <v>240</v>
      </c>
      <c r="BS84" s="109">
        <v>360</v>
      </c>
      <c r="BT84" s="112">
        <v>5</v>
      </c>
      <c r="BU84" s="14">
        <f t="shared" si="91"/>
        <v>11272</v>
      </c>
      <c r="BV84" s="118">
        <v>1</v>
      </c>
      <c r="BW84" s="14">
        <f t="shared" si="92"/>
        <v>127</v>
      </c>
      <c r="BX84" s="118" t="s">
        <v>1052</v>
      </c>
      <c r="BY84" s="14">
        <f t="shared" si="93"/>
        <v>2</v>
      </c>
      <c r="BZ84" s="118" t="str">
        <f t="shared" si="94"/>
        <v>守护灵抽卡券2红色基础材料60金币48000</v>
      </c>
      <c r="CA84" s="14">
        <f t="shared" si="95"/>
        <v>20</v>
      </c>
      <c r="CB84" s="115" t="s">
        <v>271</v>
      </c>
      <c r="CC84" s="115">
        <v>2</v>
      </c>
      <c r="CD84" s="112" t="str">
        <f>INDEX(挂机升级突破!$BX$4:$CB$4,章节关卡!BT84)</f>
        <v>红色基础材料</v>
      </c>
      <c r="CE84" s="115">
        <f>ROUND(INDEX(挂机升级突破!$Q$7:$U$37,BO84+2,章节关卡!BT84)/INDEX(挂机升级突破!$Q$5:$U$5,章节关卡!BT84)*章节关卡!BS84,0)</f>
        <v>60</v>
      </c>
      <c r="CF84" s="109" t="s">
        <v>70</v>
      </c>
      <c r="CG84" s="109">
        <f t="shared" si="75"/>
        <v>48000</v>
      </c>
      <c r="CJ84" s="115">
        <f t="shared" si="76"/>
        <v>27</v>
      </c>
      <c r="CK84" s="115">
        <f t="shared" si="77"/>
        <v>150</v>
      </c>
      <c r="CL84" s="118">
        <v>2</v>
      </c>
      <c r="CM84" s="115">
        <f t="shared" si="78"/>
        <v>360</v>
      </c>
      <c r="CN84" s="115">
        <f t="shared" si="79"/>
        <v>720</v>
      </c>
      <c r="CO84" s="115">
        <v>9</v>
      </c>
      <c r="CP84" s="14">
        <f t="shared" si="96"/>
        <v>12272</v>
      </c>
      <c r="CQ84" s="118">
        <v>2</v>
      </c>
      <c r="CR84" s="14">
        <f t="shared" si="97"/>
        <v>227</v>
      </c>
      <c r="CS84" s="118" t="s">
        <v>1052</v>
      </c>
      <c r="CT84" s="14">
        <f t="shared" si="98"/>
        <v>2</v>
      </c>
      <c r="CU84" s="118" t="str">
        <f t="shared" si="99"/>
        <v>熔炼值8000铀金36金币72000</v>
      </c>
      <c r="CV84" s="14">
        <f t="shared" si="100"/>
        <v>20</v>
      </c>
      <c r="CW84" s="115" t="s">
        <v>1031</v>
      </c>
      <c r="CX84" s="115">
        <v>8000</v>
      </c>
      <c r="CY84" s="115" t="str">
        <f>INDEX(挂机升级突破!$BX$4:$CG$4,章节关卡!CO84)</f>
        <v>铀金</v>
      </c>
      <c r="CZ84" s="115">
        <f>ROUND(INDEX(挂机升级突破!$Q$7:$Z$37,CJ84+3,章节关卡!CO84)/INDEX(挂机升级突破!$Q$5:$Z$5,章节关卡!CO84)*章节关卡!CN84,0)</f>
        <v>36</v>
      </c>
      <c r="DA84" s="115" t="s">
        <v>265</v>
      </c>
      <c r="DB84" s="115">
        <f t="shared" si="80"/>
        <v>72000</v>
      </c>
      <c r="DE84" s="118">
        <v>80</v>
      </c>
      <c r="DF84" s="14">
        <f t="shared" si="101"/>
        <v>27</v>
      </c>
      <c r="DG84" s="118">
        <f t="shared" si="102"/>
        <v>140</v>
      </c>
      <c r="DH84" s="118">
        <v>120</v>
      </c>
      <c r="DI84" s="118">
        <f t="shared" si="103"/>
        <v>21272</v>
      </c>
      <c r="DJ84" s="118">
        <v>1</v>
      </c>
      <c r="DK84" s="14">
        <f t="shared" si="106"/>
        <v>127</v>
      </c>
      <c r="DL84" s="118" t="s">
        <v>1062</v>
      </c>
      <c r="DM84" s="118">
        <v>2</v>
      </c>
      <c r="DN84" s="118" t="str">
        <f t="shared" si="104"/>
        <v>钻石30守护灵初级抽卡券3守护灵经验42000</v>
      </c>
      <c r="DO84" s="14">
        <f t="shared" si="107"/>
        <v>12709</v>
      </c>
      <c r="DP84" s="118" t="s">
        <v>1065</v>
      </c>
      <c r="DQ84" s="118">
        <v>30</v>
      </c>
      <c r="DR84" s="118" t="s">
        <v>1066</v>
      </c>
      <c r="DS84" s="118">
        <v>3</v>
      </c>
      <c r="DT84" s="118" t="s">
        <v>1067</v>
      </c>
      <c r="DU84" s="118">
        <f t="shared" si="105"/>
        <v>42000</v>
      </c>
    </row>
    <row r="85" spans="42:125" ht="16.5" x14ac:dyDescent="0.2">
      <c r="AP85" s="24">
        <v>81</v>
      </c>
      <c r="AQ85" s="14">
        <f t="shared" si="81"/>
        <v>21</v>
      </c>
      <c r="AR85" s="109">
        <f t="shared" si="82"/>
        <v>1</v>
      </c>
      <c r="AS85" s="109">
        <f t="shared" si="83"/>
        <v>45</v>
      </c>
      <c r="AT85" s="109">
        <f t="shared" si="84"/>
        <v>132</v>
      </c>
      <c r="AU85" s="109">
        <f t="shared" si="85"/>
        <v>213</v>
      </c>
      <c r="AX85" s="109">
        <v>81</v>
      </c>
      <c r="AY85" s="14">
        <f t="shared" si="69"/>
        <v>9</v>
      </c>
      <c r="AZ85" s="14">
        <f t="shared" si="86"/>
        <v>1</v>
      </c>
      <c r="BA85" s="14">
        <f t="shared" si="108"/>
        <v>320</v>
      </c>
      <c r="BB85" s="14">
        <f t="shared" si="70"/>
        <v>1500</v>
      </c>
      <c r="BC85" s="14">
        <f t="shared" si="71"/>
        <v>3600</v>
      </c>
      <c r="BF85" s="109">
        <v>81</v>
      </c>
      <c r="BG85" s="14">
        <f t="shared" si="87"/>
        <v>9</v>
      </c>
      <c r="BH85" s="14">
        <f t="shared" si="88"/>
        <v>1</v>
      </c>
      <c r="BI85" s="14">
        <f t="shared" si="72"/>
        <v>1200</v>
      </c>
      <c r="BJ85" s="14">
        <f t="shared" si="73"/>
        <v>3000</v>
      </c>
      <c r="BK85" s="14">
        <f t="shared" si="74"/>
        <v>7200</v>
      </c>
      <c r="BN85" s="109">
        <v>81</v>
      </c>
      <c r="BO85" s="109">
        <f t="shared" si="89"/>
        <v>27</v>
      </c>
      <c r="BP85" s="112">
        <f t="shared" si="90"/>
        <v>140</v>
      </c>
      <c r="BQ85" s="109">
        <f t="shared" si="68"/>
        <v>3</v>
      </c>
      <c r="BR85" s="109">
        <v>360</v>
      </c>
      <c r="BS85" s="109">
        <v>540</v>
      </c>
      <c r="BT85" s="112">
        <v>5</v>
      </c>
      <c r="BU85" s="14">
        <f t="shared" si="91"/>
        <v>11273</v>
      </c>
      <c r="BV85" s="118">
        <v>1</v>
      </c>
      <c r="BW85" s="14">
        <f t="shared" si="92"/>
        <v>127</v>
      </c>
      <c r="BX85" s="118" t="s">
        <v>1052</v>
      </c>
      <c r="BY85" s="14">
        <f t="shared" si="93"/>
        <v>3</v>
      </c>
      <c r="BZ85" s="118" t="str">
        <f t="shared" si="94"/>
        <v>守护灵抽卡券3红色基础材料90金币72000</v>
      </c>
      <c r="CA85" s="14">
        <f t="shared" si="95"/>
        <v>30</v>
      </c>
      <c r="CB85" s="115" t="s">
        <v>271</v>
      </c>
      <c r="CC85" s="115">
        <v>3</v>
      </c>
      <c r="CD85" s="112" t="str">
        <f>INDEX(挂机升级突破!$BX$4:$CB$4,章节关卡!BT85)</f>
        <v>红色基础材料</v>
      </c>
      <c r="CE85" s="115">
        <f>ROUND(INDEX(挂机升级突破!$Q$7:$U$37,BO85+2,章节关卡!BT85)/INDEX(挂机升级突破!$Q$5:$U$5,章节关卡!BT85)*章节关卡!BS85,0)</f>
        <v>90</v>
      </c>
      <c r="CF85" s="109" t="s">
        <v>70</v>
      </c>
      <c r="CG85" s="109">
        <f t="shared" si="75"/>
        <v>72000</v>
      </c>
      <c r="CJ85" s="115">
        <f t="shared" si="76"/>
        <v>27</v>
      </c>
      <c r="CK85" s="115">
        <f t="shared" si="77"/>
        <v>150</v>
      </c>
      <c r="CL85" s="118">
        <v>3</v>
      </c>
      <c r="CM85" s="115">
        <f t="shared" si="78"/>
        <v>540</v>
      </c>
      <c r="CN85" s="115">
        <f t="shared" si="79"/>
        <v>1080</v>
      </c>
      <c r="CO85" s="115">
        <v>9</v>
      </c>
      <c r="CP85" s="14">
        <f t="shared" si="96"/>
        <v>12273</v>
      </c>
      <c r="CQ85" s="118">
        <v>2</v>
      </c>
      <c r="CR85" s="14">
        <f t="shared" si="97"/>
        <v>227</v>
      </c>
      <c r="CS85" s="118" t="s">
        <v>1052</v>
      </c>
      <c r="CT85" s="14">
        <f t="shared" si="98"/>
        <v>3</v>
      </c>
      <c r="CU85" s="118" t="str">
        <f t="shared" si="99"/>
        <v>守护灵抽卡券5铀金54金币108000</v>
      </c>
      <c r="CV85" s="14">
        <f t="shared" si="100"/>
        <v>30</v>
      </c>
      <c r="CW85" s="115" t="s">
        <v>1030</v>
      </c>
      <c r="CX85" s="115">
        <v>5</v>
      </c>
      <c r="CY85" s="115" t="str">
        <f>INDEX(挂机升级突破!$BX$4:$CG$4,章节关卡!CO85)</f>
        <v>铀金</v>
      </c>
      <c r="CZ85" s="115">
        <f>ROUND(INDEX(挂机升级突破!$Q$7:$Z$37,CJ85+3,章节关卡!CO85)/INDEX(挂机升级突破!$Q$5:$Z$5,章节关卡!CO85)*章节关卡!CN85,0)</f>
        <v>54</v>
      </c>
      <c r="DA85" s="115" t="s">
        <v>265</v>
      </c>
      <c r="DB85" s="115">
        <f t="shared" si="80"/>
        <v>108000</v>
      </c>
      <c r="DE85" s="118">
        <v>81</v>
      </c>
      <c r="DF85" s="14">
        <f t="shared" si="101"/>
        <v>27</v>
      </c>
      <c r="DG85" s="118">
        <f t="shared" si="102"/>
        <v>140</v>
      </c>
      <c r="DH85" s="118">
        <v>150</v>
      </c>
      <c r="DI85" s="118">
        <f t="shared" si="103"/>
        <v>21273</v>
      </c>
      <c r="DJ85" s="118">
        <v>1</v>
      </c>
      <c r="DK85" s="14">
        <f t="shared" si="106"/>
        <v>127</v>
      </c>
      <c r="DL85" s="118" t="s">
        <v>1062</v>
      </c>
      <c r="DM85" s="118">
        <v>3</v>
      </c>
      <c r="DN85" s="118" t="str">
        <f t="shared" si="104"/>
        <v>钻石50守护灵初级抽卡券5守护灵经验52500</v>
      </c>
      <c r="DO85" s="14">
        <f t="shared" si="107"/>
        <v>12709</v>
      </c>
      <c r="DP85" s="118" t="s">
        <v>1065</v>
      </c>
      <c r="DQ85" s="118">
        <v>50</v>
      </c>
      <c r="DR85" s="118" t="s">
        <v>1066</v>
      </c>
      <c r="DS85" s="118">
        <v>5</v>
      </c>
      <c r="DT85" s="118" t="s">
        <v>1067</v>
      </c>
      <c r="DU85" s="118">
        <f t="shared" si="105"/>
        <v>52500</v>
      </c>
    </row>
    <row r="86" spans="42:125" ht="16.5" x14ac:dyDescent="0.2">
      <c r="AP86" s="24">
        <v>82</v>
      </c>
      <c r="AQ86" s="14">
        <f t="shared" si="81"/>
        <v>21</v>
      </c>
      <c r="AR86" s="109">
        <f t="shared" si="82"/>
        <v>2</v>
      </c>
      <c r="AS86" s="109">
        <f t="shared" si="83"/>
        <v>45</v>
      </c>
      <c r="AT86" s="109">
        <f t="shared" si="84"/>
        <v>134</v>
      </c>
      <c r="AU86" s="109">
        <f t="shared" si="85"/>
        <v>216</v>
      </c>
      <c r="AX86" s="109">
        <v>82</v>
      </c>
      <c r="AY86" s="14">
        <f t="shared" si="69"/>
        <v>9</v>
      </c>
      <c r="AZ86" s="14">
        <f t="shared" si="86"/>
        <v>2</v>
      </c>
      <c r="BA86" s="14">
        <f t="shared" si="108"/>
        <v>320</v>
      </c>
      <c r="BB86" s="14">
        <f t="shared" si="70"/>
        <v>1500</v>
      </c>
      <c r="BC86" s="14">
        <f t="shared" si="71"/>
        <v>3600</v>
      </c>
      <c r="BF86" s="109">
        <v>82</v>
      </c>
      <c r="BG86" s="14">
        <f t="shared" si="87"/>
        <v>9</v>
      </c>
      <c r="BH86" s="14">
        <f t="shared" si="88"/>
        <v>2</v>
      </c>
      <c r="BI86" s="14">
        <f t="shared" si="72"/>
        <v>1200</v>
      </c>
      <c r="BJ86" s="14">
        <f t="shared" si="73"/>
        <v>3000</v>
      </c>
      <c r="BK86" s="14">
        <f t="shared" si="74"/>
        <v>7200</v>
      </c>
      <c r="BN86" s="109">
        <v>82</v>
      </c>
      <c r="BO86" s="109">
        <f t="shared" si="89"/>
        <v>28</v>
      </c>
      <c r="BP86" s="112">
        <f t="shared" si="90"/>
        <v>145</v>
      </c>
      <c r="BQ86" s="109">
        <f t="shared" si="68"/>
        <v>1</v>
      </c>
      <c r="BR86" s="109">
        <v>120</v>
      </c>
      <c r="BS86" s="109">
        <v>180</v>
      </c>
      <c r="BT86" s="112">
        <v>5</v>
      </c>
      <c r="BU86" s="14">
        <f t="shared" si="91"/>
        <v>11281</v>
      </c>
      <c r="BV86" s="118">
        <v>1</v>
      </c>
      <c r="BW86" s="14">
        <f t="shared" si="92"/>
        <v>128</v>
      </c>
      <c r="BX86" s="118" t="s">
        <v>1052</v>
      </c>
      <c r="BY86" s="14">
        <f t="shared" si="93"/>
        <v>1</v>
      </c>
      <c r="BZ86" s="118" t="str">
        <f t="shared" si="94"/>
        <v>钻石100红色基础材料30金币25200</v>
      </c>
      <c r="CA86" s="14">
        <f t="shared" si="95"/>
        <v>10</v>
      </c>
      <c r="CB86" s="115" t="s">
        <v>22</v>
      </c>
      <c r="CC86" s="115">
        <v>100</v>
      </c>
      <c r="CD86" s="112" t="str">
        <f>INDEX(挂机升级突破!$BX$4:$CB$4,章节关卡!BT86)</f>
        <v>红色基础材料</v>
      </c>
      <c r="CE86" s="115">
        <f>ROUND(INDEX(挂机升级突破!$Q$7:$U$37,BO86+2,章节关卡!BT86)/INDEX(挂机升级突破!$Q$5:$U$5,章节关卡!BT86)*章节关卡!BS86,0)</f>
        <v>30</v>
      </c>
      <c r="CF86" s="109" t="s">
        <v>70</v>
      </c>
      <c r="CG86" s="109">
        <f t="shared" si="75"/>
        <v>25200</v>
      </c>
      <c r="CJ86" s="115">
        <f t="shared" si="76"/>
        <v>28</v>
      </c>
      <c r="CK86" s="115">
        <f t="shared" si="77"/>
        <v>155</v>
      </c>
      <c r="CL86" s="118">
        <v>1</v>
      </c>
      <c r="CM86" s="115">
        <f t="shared" si="78"/>
        <v>180</v>
      </c>
      <c r="CN86" s="115">
        <f t="shared" si="79"/>
        <v>360</v>
      </c>
      <c r="CO86" s="115">
        <v>10</v>
      </c>
      <c r="CP86" s="14">
        <f t="shared" si="96"/>
        <v>12281</v>
      </c>
      <c r="CQ86" s="118">
        <v>2</v>
      </c>
      <c r="CR86" s="14">
        <f t="shared" si="97"/>
        <v>228</v>
      </c>
      <c r="CS86" s="118" t="s">
        <v>1052</v>
      </c>
      <c r="CT86" s="14">
        <f t="shared" si="98"/>
        <v>1</v>
      </c>
      <c r="CU86" s="118" t="str">
        <f t="shared" si="99"/>
        <v>钻石100灵玉6金币37800</v>
      </c>
      <c r="CV86" s="14">
        <f t="shared" si="100"/>
        <v>10</v>
      </c>
      <c r="CW86" s="115" t="s">
        <v>270</v>
      </c>
      <c r="CX86" s="115">
        <v>100</v>
      </c>
      <c r="CY86" s="115" t="str">
        <f>INDEX(挂机升级突破!$BX$4:$CG$4,章节关卡!CO86)</f>
        <v>灵玉</v>
      </c>
      <c r="CZ86" s="115">
        <f>ROUND(INDEX(挂机升级突破!$Q$7:$Z$37,CJ86+2,章节关卡!CO86)/INDEX(挂机升级突破!$Q$5:$Z$5,章节关卡!CO86)*章节关卡!CN86,0)</f>
        <v>6</v>
      </c>
      <c r="DA86" s="115" t="s">
        <v>265</v>
      </c>
      <c r="DB86" s="115">
        <f t="shared" si="80"/>
        <v>37800</v>
      </c>
      <c r="DE86" s="118">
        <v>82</v>
      </c>
      <c r="DF86" s="14">
        <f t="shared" si="101"/>
        <v>28</v>
      </c>
      <c r="DG86" s="118">
        <f t="shared" si="102"/>
        <v>145</v>
      </c>
      <c r="DH86" s="118">
        <v>90</v>
      </c>
      <c r="DI86" s="118">
        <f t="shared" si="103"/>
        <v>21281</v>
      </c>
      <c r="DJ86" s="118">
        <v>1</v>
      </c>
      <c r="DK86" s="14">
        <f t="shared" si="106"/>
        <v>128</v>
      </c>
      <c r="DL86" s="118" t="s">
        <v>1062</v>
      </c>
      <c r="DM86" s="118">
        <v>1</v>
      </c>
      <c r="DN86" s="118" t="str">
        <f t="shared" si="104"/>
        <v>钻石20守护灵初级抽卡券2守护灵经验33750</v>
      </c>
      <c r="DO86" s="14">
        <f t="shared" si="107"/>
        <v>12809</v>
      </c>
      <c r="DP86" s="118" t="s">
        <v>1065</v>
      </c>
      <c r="DQ86" s="118">
        <v>20</v>
      </c>
      <c r="DR86" s="118" t="s">
        <v>1066</v>
      </c>
      <c r="DS86" s="118">
        <v>2</v>
      </c>
      <c r="DT86" s="118" t="s">
        <v>1067</v>
      </c>
      <c r="DU86" s="118">
        <f t="shared" si="105"/>
        <v>33750</v>
      </c>
    </row>
    <row r="87" spans="42:125" ht="16.5" x14ac:dyDescent="0.2">
      <c r="AP87" s="24">
        <v>83</v>
      </c>
      <c r="AQ87" s="14">
        <f t="shared" si="81"/>
        <v>21</v>
      </c>
      <c r="AR87" s="109">
        <f t="shared" si="82"/>
        <v>3</v>
      </c>
      <c r="AS87" s="109">
        <f t="shared" si="83"/>
        <v>45</v>
      </c>
      <c r="AT87" s="109">
        <f t="shared" si="84"/>
        <v>136</v>
      </c>
      <c r="AU87" s="109">
        <f t="shared" si="85"/>
        <v>219</v>
      </c>
      <c r="AX87" s="109">
        <v>83</v>
      </c>
      <c r="AY87" s="14">
        <f t="shared" si="69"/>
        <v>9</v>
      </c>
      <c r="AZ87" s="14">
        <f t="shared" si="86"/>
        <v>3</v>
      </c>
      <c r="BA87" s="14">
        <f t="shared" si="108"/>
        <v>320</v>
      </c>
      <c r="BB87" s="14">
        <f t="shared" si="70"/>
        <v>1500</v>
      </c>
      <c r="BC87" s="14">
        <f t="shared" si="71"/>
        <v>3600</v>
      </c>
      <c r="BF87" s="109">
        <v>83</v>
      </c>
      <c r="BG87" s="14">
        <f t="shared" si="87"/>
        <v>9</v>
      </c>
      <c r="BH87" s="14">
        <f t="shared" si="88"/>
        <v>3</v>
      </c>
      <c r="BI87" s="14">
        <f t="shared" si="72"/>
        <v>1200</v>
      </c>
      <c r="BJ87" s="14">
        <f t="shared" si="73"/>
        <v>3000</v>
      </c>
      <c r="BK87" s="14">
        <f t="shared" si="74"/>
        <v>7200</v>
      </c>
      <c r="BN87" s="109">
        <v>83</v>
      </c>
      <c r="BO87" s="109">
        <f t="shared" si="89"/>
        <v>28</v>
      </c>
      <c r="BP87" s="112">
        <f t="shared" si="90"/>
        <v>145</v>
      </c>
      <c r="BQ87" s="109">
        <f t="shared" si="68"/>
        <v>2</v>
      </c>
      <c r="BR87" s="109">
        <v>240</v>
      </c>
      <c r="BS87" s="109">
        <v>360</v>
      </c>
      <c r="BT87" s="112">
        <v>5</v>
      </c>
      <c r="BU87" s="14">
        <f t="shared" si="91"/>
        <v>11282</v>
      </c>
      <c r="BV87" s="118">
        <v>1</v>
      </c>
      <c r="BW87" s="14">
        <f t="shared" si="92"/>
        <v>128</v>
      </c>
      <c r="BX87" s="118" t="s">
        <v>1052</v>
      </c>
      <c r="BY87" s="14">
        <f t="shared" si="93"/>
        <v>2</v>
      </c>
      <c r="BZ87" s="118" t="str">
        <f t="shared" si="94"/>
        <v>守护灵抽卡券2红色基础材料60金币50400</v>
      </c>
      <c r="CA87" s="14">
        <f t="shared" si="95"/>
        <v>20</v>
      </c>
      <c r="CB87" s="115" t="s">
        <v>271</v>
      </c>
      <c r="CC87" s="115">
        <v>2</v>
      </c>
      <c r="CD87" s="112" t="str">
        <f>INDEX(挂机升级突破!$BX$4:$CB$4,章节关卡!BT87)</f>
        <v>红色基础材料</v>
      </c>
      <c r="CE87" s="115">
        <f>ROUND(INDEX(挂机升级突破!$Q$7:$U$37,BO87+2,章节关卡!BT87)/INDEX(挂机升级突破!$Q$5:$U$5,章节关卡!BT87)*章节关卡!BS87,0)</f>
        <v>60</v>
      </c>
      <c r="CF87" s="109" t="s">
        <v>70</v>
      </c>
      <c r="CG87" s="109">
        <f t="shared" si="75"/>
        <v>50400</v>
      </c>
      <c r="CJ87" s="115">
        <f t="shared" si="76"/>
        <v>28</v>
      </c>
      <c r="CK87" s="115">
        <f t="shared" si="77"/>
        <v>155</v>
      </c>
      <c r="CL87" s="118">
        <v>2</v>
      </c>
      <c r="CM87" s="115">
        <f t="shared" si="78"/>
        <v>360</v>
      </c>
      <c r="CN87" s="115">
        <f t="shared" si="79"/>
        <v>720</v>
      </c>
      <c r="CO87" s="115">
        <v>10</v>
      </c>
      <c r="CP87" s="14">
        <f t="shared" si="96"/>
        <v>12282</v>
      </c>
      <c r="CQ87" s="118">
        <v>2</v>
      </c>
      <c r="CR87" s="14">
        <f t="shared" si="97"/>
        <v>228</v>
      </c>
      <c r="CS87" s="118" t="s">
        <v>1052</v>
      </c>
      <c r="CT87" s="14">
        <f t="shared" si="98"/>
        <v>2</v>
      </c>
      <c r="CU87" s="118" t="str">
        <f t="shared" si="99"/>
        <v>熔炼值8500灵玉12金币75600</v>
      </c>
      <c r="CV87" s="14">
        <f t="shared" si="100"/>
        <v>20</v>
      </c>
      <c r="CW87" s="115" t="s">
        <v>1031</v>
      </c>
      <c r="CX87" s="115">
        <v>8500</v>
      </c>
      <c r="CY87" s="115" t="str">
        <f>INDEX(挂机升级突破!$BX$4:$CG$4,章节关卡!CO87)</f>
        <v>灵玉</v>
      </c>
      <c r="CZ87" s="115">
        <f>ROUND(INDEX(挂机升级突破!$Q$7:$Z$37,CJ87+2,章节关卡!CO87)/INDEX(挂机升级突破!$Q$5:$Z$5,章节关卡!CO87)*章节关卡!CN87,0)</f>
        <v>12</v>
      </c>
      <c r="DA87" s="115" t="s">
        <v>265</v>
      </c>
      <c r="DB87" s="115">
        <f t="shared" si="80"/>
        <v>75600</v>
      </c>
      <c r="DE87" s="118">
        <v>83</v>
      </c>
      <c r="DF87" s="14">
        <f t="shared" si="101"/>
        <v>28</v>
      </c>
      <c r="DG87" s="118">
        <f t="shared" si="102"/>
        <v>145</v>
      </c>
      <c r="DH87" s="118">
        <v>120</v>
      </c>
      <c r="DI87" s="118">
        <f t="shared" si="103"/>
        <v>21282</v>
      </c>
      <c r="DJ87" s="118">
        <v>1</v>
      </c>
      <c r="DK87" s="14">
        <f t="shared" si="106"/>
        <v>128</v>
      </c>
      <c r="DL87" s="118" t="s">
        <v>1062</v>
      </c>
      <c r="DM87" s="118">
        <v>2</v>
      </c>
      <c r="DN87" s="118" t="str">
        <f t="shared" si="104"/>
        <v>钻石30守护灵初级抽卡券3守护灵经验45000</v>
      </c>
      <c r="DO87" s="14">
        <f t="shared" si="107"/>
        <v>12809</v>
      </c>
      <c r="DP87" s="118" t="s">
        <v>1065</v>
      </c>
      <c r="DQ87" s="118">
        <v>30</v>
      </c>
      <c r="DR87" s="118" t="s">
        <v>1066</v>
      </c>
      <c r="DS87" s="118">
        <v>3</v>
      </c>
      <c r="DT87" s="118" t="s">
        <v>1067</v>
      </c>
      <c r="DU87" s="118">
        <f t="shared" si="105"/>
        <v>45000</v>
      </c>
    </row>
    <row r="88" spans="42:125" ht="16.5" x14ac:dyDescent="0.2">
      <c r="AP88" s="24">
        <v>84</v>
      </c>
      <c r="AQ88" s="14">
        <f t="shared" si="81"/>
        <v>21</v>
      </c>
      <c r="AR88" s="109">
        <f t="shared" si="82"/>
        <v>4</v>
      </c>
      <c r="AS88" s="109">
        <f t="shared" si="83"/>
        <v>45</v>
      </c>
      <c r="AT88" s="109">
        <f t="shared" si="84"/>
        <v>138</v>
      </c>
      <c r="AU88" s="109">
        <f t="shared" si="85"/>
        <v>222</v>
      </c>
      <c r="AX88" s="109">
        <v>84</v>
      </c>
      <c r="AY88" s="14">
        <f t="shared" si="69"/>
        <v>9</v>
      </c>
      <c r="AZ88" s="14">
        <f t="shared" si="86"/>
        <v>4</v>
      </c>
      <c r="BA88" s="14">
        <f t="shared" si="108"/>
        <v>320</v>
      </c>
      <c r="BB88" s="14">
        <f t="shared" si="70"/>
        <v>1500</v>
      </c>
      <c r="BC88" s="14">
        <f t="shared" si="71"/>
        <v>3600</v>
      </c>
      <c r="BF88" s="109">
        <v>84</v>
      </c>
      <c r="BG88" s="14">
        <f t="shared" si="87"/>
        <v>9</v>
      </c>
      <c r="BH88" s="14">
        <f t="shared" si="88"/>
        <v>4</v>
      </c>
      <c r="BI88" s="14">
        <f t="shared" si="72"/>
        <v>1200</v>
      </c>
      <c r="BJ88" s="14">
        <f t="shared" si="73"/>
        <v>3000</v>
      </c>
      <c r="BK88" s="14">
        <f t="shared" si="74"/>
        <v>7200</v>
      </c>
      <c r="BN88" s="109">
        <v>84</v>
      </c>
      <c r="BO88" s="109">
        <f t="shared" si="89"/>
        <v>28</v>
      </c>
      <c r="BP88" s="112">
        <f t="shared" si="90"/>
        <v>145</v>
      </c>
      <c r="BQ88" s="109">
        <f t="shared" si="68"/>
        <v>3</v>
      </c>
      <c r="BR88" s="109">
        <v>360</v>
      </c>
      <c r="BS88" s="109">
        <v>540</v>
      </c>
      <c r="BT88" s="112">
        <v>5</v>
      </c>
      <c r="BU88" s="14">
        <f t="shared" si="91"/>
        <v>11283</v>
      </c>
      <c r="BV88" s="118">
        <v>1</v>
      </c>
      <c r="BW88" s="14">
        <f t="shared" si="92"/>
        <v>128</v>
      </c>
      <c r="BX88" s="118" t="s">
        <v>1052</v>
      </c>
      <c r="BY88" s="14">
        <f t="shared" si="93"/>
        <v>3</v>
      </c>
      <c r="BZ88" s="118" t="str">
        <f t="shared" si="94"/>
        <v>守护灵抽卡券3红色基础材料90金币75600</v>
      </c>
      <c r="CA88" s="14">
        <f t="shared" si="95"/>
        <v>30</v>
      </c>
      <c r="CB88" s="115" t="s">
        <v>271</v>
      </c>
      <c r="CC88" s="115">
        <v>3</v>
      </c>
      <c r="CD88" s="112" t="str">
        <f>INDEX(挂机升级突破!$BX$4:$CB$4,章节关卡!BT88)</f>
        <v>红色基础材料</v>
      </c>
      <c r="CE88" s="115">
        <f>ROUND(INDEX(挂机升级突破!$Q$7:$U$37,BO88+2,章节关卡!BT88)/INDEX(挂机升级突破!$Q$5:$U$5,章节关卡!BT88)*章节关卡!BS88,0)</f>
        <v>90</v>
      </c>
      <c r="CF88" s="109" t="s">
        <v>70</v>
      </c>
      <c r="CG88" s="109">
        <f t="shared" si="75"/>
        <v>75600</v>
      </c>
      <c r="CJ88" s="115">
        <f t="shared" si="76"/>
        <v>28</v>
      </c>
      <c r="CK88" s="115">
        <f t="shared" si="77"/>
        <v>155</v>
      </c>
      <c r="CL88" s="118">
        <v>3</v>
      </c>
      <c r="CM88" s="115">
        <f t="shared" si="78"/>
        <v>540</v>
      </c>
      <c r="CN88" s="115">
        <f t="shared" si="79"/>
        <v>1080</v>
      </c>
      <c r="CO88" s="115">
        <v>10</v>
      </c>
      <c r="CP88" s="14">
        <f t="shared" si="96"/>
        <v>12283</v>
      </c>
      <c r="CQ88" s="118">
        <v>2</v>
      </c>
      <c r="CR88" s="14">
        <f t="shared" si="97"/>
        <v>228</v>
      </c>
      <c r="CS88" s="118" t="s">
        <v>1052</v>
      </c>
      <c r="CT88" s="14">
        <f t="shared" si="98"/>
        <v>3</v>
      </c>
      <c r="CU88" s="118" t="str">
        <f t="shared" si="99"/>
        <v>守护灵抽卡券5灵玉18金币113400</v>
      </c>
      <c r="CV88" s="14">
        <f t="shared" si="100"/>
        <v>30</v>
      </c>
      <c r="CW88" s="115" t="s">
        <v>1030</v>
      </c>
      <c r="CX88" s="115">
        <v>5</v>
      </c>
      <c r="CY88" s="115" t="str">
        <f>INDEX(挂机升级突破!$BX$4:$CG$4,章节关卡!CO88)</f>
        <v>灵玉</v>
      </c>
      <c r="CZ88" s="115">
        <f>ROUND(INDEX(挂机升级突破!$Q$7:$Z$37,CJ88+2,章节关卡!CO88)/INDEX(挂机升级突破!$Q$5:$Z$5,章节关卡!CO88)*章节关卡!CN88,0)</f>
        <v>18</v>
      </c>
      <c r="DA88" s="115" t="s">
        <v>265</v>
      </c>
      <c r="DB88" s="115">
        <f t="shared" si="80"/>
        <v>113400</v>
      </c>
      <c r="DE88" s="118">
        <v>84</v>
      </c>
      <c r="DF88" s="14">
        <f t="shared" si="101"/>
        <v>28</v>
      </c>
      <c r="DG88" s="118">
        <f t="shared" si="102"/>
        <v>145</v>
      </c>
      <c r="DH88" s="118">
        <v>150</v>
      </c>
      <c r="DI88" s="118">
        <f t="shared" si="103"/>
        <v>21283</v>
      </c>
      <c r="DJ88" s="118">
        <v>1</v>
      </c>
      <c r="DK88" s="14">
        <f t="shared" si="106"/>
        <v>128</v>
      </c>
      <c r="DL88" s="118" t="s">
        <v>1062</v>
      </c>
      <c r="DM88" s="118">
        <v>3</v>
      </c>
      <c r="DN88" s="118" t="str">
        <f t="shared" si="104"/>
        <v>钻石50守护灵初级抽卡券5守护灵经验56250</v>
      </c>
      <c r="DO88" s="14">
        <f t="shared" si="107"/>
        <v>12809</v>
      </c>
      <c r="DP88" s="118" t="s">
        <v>1065</v>
      </c>
      <c r="DQ88" s="118">
        <v>50</v>
      </c>
      <c r="DR88" s="118" t="s">
        <v>1066</v>
      </c>
      <c r="DS88" s="118">
        <v>5</v>
      </c>
      <c r="DT88" s="118" t="s">
        <v>1067</v>
      </c>
      <c r="DU88" s="118">
        <f t="shared" si="105"/>
        <v>56250</v>
      </c>
    </row>
    <row r="89" spans="42:125" ht="16.5" x14ac:dyDescent="0.2">
      <c r="AP89" s="24">
        <v>85</v>
      </c>
      <c r="AQ89" s="14">
        <f t="shared" si="81"/>
        <v>22</v>
      </c>
      <c r="AR89" s="109">
        <f t="shared" si="82"/>
        <v>1</v>
      </c>
      <c r="AS89" s="109">
        <f t="shared" si="83"/>
        <v>47</v>
      </c>
      <c r="AT89" s="109">
        <f t="shared" si="84"/>
        <v>142</v>
      </c>
      <c r="AU89" s="109">
        <f t="shared" si="85"/>
        <v>227</v>
      </c>
      <c r="AX89" s="109">
        <v>85</v>
      </c>
      <c r="AY89" s="14">
        <f t="shared" si="69"/>
        <v>9</v>
      </c>
      <c r="AZ89" s="14">
        <f t="shared" si="86"/>
        <v>5</v>
      </c>
      <c r="BA89" s="14">
        <f t="shared" si="108"/>
        <v>320</v>
      </c>
      <c r="BB89" s="14">
        <f t="shared" si="70"/>
        <v>1500</v>
      </c>
      <c r="BC89" s="14">
        <f t="shared" si="71"/>
        <v>3600</v>
      </c>
      <c r="BF89" s="109">
        <v>85</v>
      </c>
      <c r="BG89" s="14">
        <f t="shared" si="87"/>
        <v>9</v>
      </c>
      <c r="BH89" s="14">
        <f t="shared" si="88"/>
        <v>5</v>
      </c>
      <c r="BI89" s="14">
        <f t="shared" si="72"/>
        <v>1200</v>
      </c>
      <c r="BJ89" s="14">
        <f t="shared" si="73"/>
        <v>3000</v>
      </c>
      <c r="BK89" s="14">
        <f t="shared" si="74"/>
        <v>7200</v>
      </c>
      <c r="BN89" s="109">
        <v>85</v>
      </c>
      <c r="BO89" s="109">
        <f t="shared" si="89"/>
        <v>29</v>
      </c>
      <c r="BP89" s="112">
        <f t="shared" si="90"/>
        <v>150</v>
      </c>
      <c r="BQ89" s="109">
        <f t="shared" si="68"/>
        <v>1</v>
      </c>
      <c r="BR89" s="109">
        <v>120</v>
      </c>
      <c r="BS89" s="109">
        <v>180</v>
      </c>
      <c r="BT89" s="112">
        <v>5</v>
      </c>
      <c r="BU89" s="14">
        <f t="shared" si="91"/>
        <v>11291</v>
      </c>
      <c r="BV89" s="118">
        <v>1</v>
      </c>
      <c r="BW89" s="14">
        <f t="shared" si="92"/>
        <v>129</v>
      </c>
      <c r="BX89" s="118" t="s">
        <v>1052</v>
      </c>
      <c r="BY89" s="14">
        <f t="shared" si="93"/>
        <v>1</v>
      </c>
      <c r="BZ89" s="118" t="str">
        <f t="shared" si="94"/>
        <v>钻石100红色基础材料30金币26400</v>
      </c>
      <c r="CA89" s="14">
        <f t="shared" si="95"/>
        <v>10</v>
      </c>
      <c r="CB89" s="115" t="s">
        <v>22</v>
      </c>
      <c r="CC89" s="115">
        <v>100</v>
      </c>
      <c r="CD89" s="112" t="str">
        <f>INDEX(挂机升级突破!$BX$4:$CB$4,章节关卡!BT89)</f>
        <v>红色基础材料</v>
      </c>
      <c r="CE89" s="115">
        <f>ROUND(INDEX(挂机升级突破!$Q$7:$U$37,BO89+2,章节关卡!BT89)/INDEX(挂机升级突破!$Q$5:$U$5,章节关卡!BT89)*章节关卡!BS89,0)</f>
        <v>30</v>
      </c>
      <c r="CF89" s="109" t="s">
        <v>70</v>
      </c>
      <c r="CG89" s="109">
        <f t="shared" si="75"/>
        <v>26400</v>
      </c>
      <c r="CJ89" s="115">
        <f t="shared" si="76"/>
        <v>29</v>
      </c>
      <c r="CK89" s="115">
        <f t="shared" si="77"/>
        <v>160</v>
      </c>
      <c r="CL89" s="118">
        <v>1</v>
      </c>
      <c r="CM89" s="115">
        <f t="shared" si="78"/>
        <v>180</v>
      </c>
      <c r="CN89" s="115">
        <f t="shared" si="79"/>
        <v>360</v>
      </c>
      <c r="CO89" s="115">
        <v>10</v>
      </c>
      <c r="CP89" s="14">
        <f t="shared" si="96"/>
        <v>12291</v>
      </c>
      <c r="CQ89" s="118">
        <v>2</v>
      </c>
      <c r="CR89" s="14">
        <f t="shared" si="97"/>
        <v>229</v>
      </c>
      <c r="CS89" s="118" t="s">
        <v>1052</v>
      </c>
      <c r="CT89" s="14">
        <f t="shared" si="98"/>
        <v>1</v>
      </c>
      <c r="CU89" s="118" t="str">
        <f t="shared" si="99"/>
        <v>钻石100灵玉6金币39600</v>
      </c>
      <c r="CV89" s="14">
        <f t="shared" si="100"/>
        <v>10</v>
      </c>
      <c r="CW89" s="115" t="s">
        <v>270</v>
      </c>
      <c r="CX89" s="115">
        <v>100</v>
      </c>
      <c r="CY89" s="115" t="str">
        <f>INDEX(挂机升级突破!$BX$4:$CG$4,章节关卡!CO89)</f>
        <v>灵玉</v>
      </c>
      <c r="CZ89" s="115">
        <f>ROUND(INDEX(挂机升级突破!$Q$7:$Z$37,CJ89+2,章节关卡!CO89)/INDEX(挂机升级突破!$Q$5:$Z$5,章节关卡!CO89)*章节关卡!CN89,0)</f>
        <v>6</v>
      </c>
      <c r="DA89" s="115" t="s">
        <v>265</v>
      </c>
      <c r="DB89" s="115">
        <f t="shared" si="80"/>
        <v>39600</v>
      </c>
      <c r="DE89" s="118">
        <v>85</v>
      </c>
      <c r="DF89" s="14">
        <f t="shared" si="101"/>
        <v>29</v>
      </c>
      <c r="DG89" s="118">
        <f t="shared" si="102"/>
        <v>150</v>
      </c>
      <c r="DH89" s="118">
        <v>90</v>
      </c>
      <c r="DI89" s="118">
        <f t="shared" si="103"/>
        <v>21291</v>
      </c>
      <c r="DJ89" s="118">
        <v>1</v>
      </c>
      <c r="DK89" s="14">
        <f t="shared" si="106"/>
        <v>129</v>
      </c>
      <c r="DL89" s="118" t="s">
        <v>1062</v>
      </c>
      <c r="DM89" s="118">
        <v>1</v>
      </c>
      <c r="DN89" s="118" t="str">
        <f t="shared" si="104"/>
        <v>钻石20守护灵初级抽卡券2守护灵经验36000</v>
      </c>
      <c r="DO89" s="14">
        <f t="shared" si="107"/>
        <v>12909</v>
      </c>
      <c r="DP89" s="118" t="s">
        <v>1065</v>
      </c>
      <c r="DQ89" s="118">
        <v>20</v>
      </c>
      <c r="DR89" s="118" t="s">
        <v>1066</v>
      </c>
      <c r="DS89" s="118">
        <v>2</v>
      </c>
      <c r="DT89" s="118" t="s">
        <v>1067</v>
      </c>
      <c r="DU89" s="118">
        <f t="shared" si="105"/>
        <v>36000</v>
      </c>
    </row>
    <row r="90" spans="42:125" ht="16.5" x14ac:dyDescent="0.2">
      <c r="AP90" s="24">
        <v>86</v>
      </c>
      <c r="AQ90" s="14">
        <f t="shared" si="81"/>
        <v>22</v>
      </c>
      <c r="AR90" s="109">
        <f t="shared" si="82"/>
        <v>2</v>
      </c>
      <c r="AS90" s="109">
        <f t="shared" si="83"/>
        <v>47</v>
      </c>
      <c r="AT90" s="109">
        <f t="shared" si="84"/>
        <v>144</v>
      </c>
      <c r="AU90" s="109">
        <f t="shared" si="85"/>
        <v>229</v>
      </c>
      <c r="AX90" s="109">
        <v>86</v>
      </c>
      <c r="AY90" s="14">
        <f t="shared" si="69"/>
        <v>9</v>
      </c>
      <c r="AZ90" s="14">
        <f t="shared" si="86"/>
        <v>6</v>
      </c>
      <c r="BA90" s="14">
        <f t="shared" si="108"/>
        <v>320</v>
      </c>
      <c r="BB90" s="14">
        <f t="shared" si="70"/>
        <v>1500</v>
      </c>
      <c r="BC90" s="14">
        <f t="shared" si="71"/>
        <v>3600</v>
      </c>
      <c r="BF90" s="109">
        <v>86</v>
      </c>
      <c r="BG90" s="14">
        <f t="shared" si="87"/>
        <v>9</v>
      </c>
      <c r="BH90" s="14">
        <f t="shared" si="88"/>
        <v>6</v>
      </c>
      <c r="BI90" s="14">
        <f t="shared" si="72"/>
        <v>1200</v>
      </c>
      <c r="BJ90" s="14">
        <f t="shared" si="73"/>
        <v>3000</v>
      </c>
      <c r="BK90" s="14">
        <f t="shared" si="74"/>
        <v>7200</v>
      </c>
      <c r="BN90" s="109">
        <v>86</v>
      </c>
      <c r="BO90" s="109">
        <f t="shared" si="89"/>
        <v>29</v>
      </c>
      <c r="BP90" s="112">
        <f t="shared" si="90"/>
        <v>150</v>
      </c>
      <c r="BQ90" s="109">
        <f t="shared" si="68"/>
        <v>2</v>
      </c>
      <c r="BR90" s="109">
        <v>240</v>
      </c>
      <c r="BS90" s="109">
        <v>360</v>
      </c>
      <c r="BT90" s="112">
        <v>5</v>
      </c>
      <c r="BU90" s="14">
        <f t="shared" si="91"/>
        <v>11292</v>
      </c>
      <c r="BV90" s="118">
        <v>1</v>
      </c>
      <c r="BW90" s="14">
        <f t="shared" si="92"/>
        <v>129</v>
      </c>
      <c r="BX90" s="118" t="s">
        <v>1052</v>
      </c>
      <c r="BY90" s="14">
        <f t="shared" si="93"/>
        <v>2</v>
      </c>
      <c r="BZ90" s="118" t="str">
        <f t="shared" si="94"/>
        <v>守护灵抽卡券2红色基础材料60金币52800</v>
      </c>
      <c r="CA90" s="14">
        <f t="shared" si="95"/>
        <v>20</v>
      </c>
      <c r="CB90" s="115" t="s">
        <v>271</v>
      </c>
      <c r="CC90" s="115">
        <v>2</v>
      </c>
      <c r="CD90" s="112" t="str">
        <f>INDEX(挂机升级突破!$BX$4:$CB$4,章节关卡!BT90)</f>
        <v>红色基础材料</v>
      </c>
      <c r="CE90" s="115">
        <f>ROUND(INDEX(挂机升级突破!$Q$7:$U$37,BO90+2,章节关卡!BT90)/INDEX(挂机升级突破!$Q$5:$U$5,章节关卡!BT90)*章节关卡!BS90,0)</f>
        <v>60</v>
      </c>
      <c r="CF90" s="109" t="s">
        <v>70</v>
      </c>
      <c r="CG90" s="109">
        <f t="shared" si="75"/>
        <v>52800</v>
      </c>
      <c r="CJ90" s="115">
        <f t="shared" si="76"/>
        <v>29</v>
      </c>
      <c r="CK90" s="115">
        <f t="shared" si="77"/>
        <v>160</v>
      </c>
      <c r="CL90" s="118">
        <v>2</v>
      </c>
      <c r="CM90" s="115">
        <f t="shared" si="78"/>
        <v>360</v>
      </c>
      <c r="CN90" s="115">
        <f t="shared" si="79"/>
        <v>720</v>
      </c>
      <c r="CO90" s="115">
        <v>10</v>
      </c>
      <c r="CP90" s="14">
        <f t="shared" si="96"/>
        <v>12292</v>
      </c>
      <c r="CQ90" s="118">
        <v>2</v>
      </c>
      <c r="CR90" s="14">
        <f t="shared" si="97"/>
        <v>229</v>
      </c>
      <c r="CS90" s="118" t="s">
        <v>1052</v>
      </c>
      <c r="CT90" s="14">
        <f t="shared" si="98"/>
        <v>2</v>
      </c>
      <c r="CU90" s="118" t="str">
        <f t="shared" si="99"/>
        <v>熔炼值9000灵玉12金币79200</v>
      </c>
      <c r="CV90" s="14">
        <f t="shared" si="100"/>
        <v>20</v>
      </c>
      <c r="CW90" s="115" t="s">
        <v>1031</v>
      </c>
      <c r="CX90" s="115">
        <v>9000</v>
      </c>
      <c r="CY90" s="115" t="str">
        <f>INDEX(挂机升级突破!$BX$4:$CG$4,章节关卡!CO90)</f>
        <v>灵玉</v>
      </c>
      <c r="CZ90" s="115">
        <f>ROUND(INDEX(挂机升级突破!$Q$7:$Z$37,CJ90+2,章节关卡!CO90)/INDEX(挂机升级突破!$Q$5:$Z$5,章节关卡!CO90)*章节关卡!CN90,0)</f>
        <v>12</v>
      </c>
      <c r="DA90" s="115" t="s">
        <v>265</v>
      </c>
      <c r="DB90" s="115">
        <f t="shared" si="80"/>
        <v>79200</v>
      </c>
      <c r="DE90" s="118">
        <v>86</v>
      </c>
      <c r="DF90" s="14">
        <f t="shared" si="101"/>
        <v>29</v>
      </c>
      <c r="DG90" s="118">
        <f t="shared" si="102"/>
        <v>150</v>
      </c>
      <c r="DH90" s="118">
        <v>120</v>
      </c>
      <c r="DI90" s="118">
        <f t="shared" si="103"/>
        <v>21292</v>
      </c>
      <c r="DJ90" s="118">
        <v>1</v>
      </c>
      <c r="DK90" s="14">
        <f t="shared" si="106"/>
        <v>129</v>
      </c>
      <c r="DL90" s="118" t="s">
        <v>1062</v>
      </c>
      <c r="DM90" s="118">
        <v>2</v>
      </c>
      <c r="DN90" s="118" t="str">
        <f t="shared" si="104"/>
        <v>钻石30守护灵初级抽卡券3守护灵经验48000</v>
      </c>
      <c r="DO90" s="14">
        <f t="shared" si="107"/>
        <v>12909</v>
      </c>
      <c r="DP90" s="118" t="s">
        <v>1065</v>
      </c>
      <c r="DQ90" s="118">
        <v>30</v>
      </c>
      <c r="DR90" s="118" t="s">
        <v>1066</v>
      </c>
      <c r="DS90" s="118">
        <v>3</v>
      </c>
      <c r="DT90" s="118" t="s">
        <v>1067</v>
      </c>
      <c r="DU90" s="118">
        <f t="shared" si="105"/>
        <v>48000</v>
      </c>
    </row>
    <row r="91" spans="42:125" ht="16.5" x14ac:dyDescent="0.2">
      <c r="AP91" s="24">
        <v>87</v>
      </c>
      <c r="AQ91" s="14">
        <f t="shared" si="81"/>
        <v>22</v>
      </c>
      <c r="AR91" s="109">
        <f t="shared" si="82"/>
        <v>3</v>
      </c>
      <c r="AS91" s="109">
        <f t="shared" si="83"/>
        <v>47</v>
      </c>
      <c r="AT91" s="109">
        <f t="shared" si="84"/>
        <v>146</v>
      </c>
      <c r="AU91" s="109">
        <f t="shared" si="85"/>
        <v>231</v>
      </c>
      <c r="AX91" s="109">
        <v>87</v>
      </c>
      <c r="AY91" s="14">
        <f t="shared" si="69"/>
        <v>9</v>
      </c>
      <c r="AZ91" s="14">
        <f t="shared" si="86"/>
        <v>7</v>
      </c>
      <c r="BA91" s="14">
        <f t="shared" si="108"/>
        <v>320</v>
      </c>
      <c r="BB91" s="14">
        <f t="shared" si="70"/>
        <v>1500</v>
      </c>
      <c r="BC91" s="14">
        <f t="shared" si="71"/>
        <v>3600</v>
      </c>
      <c r="BF91" s="109">
        <v>87</v>
      </c>
      <c r="BG91" s="14">
        <f t="shared" si="87"/>
        <v>9</v>
      </c>
      <c r="BH91" s="14">
        <f t="shared" si="88"/>
        <v>7</v>
      </c>
      <c r="BI91" s="14">
        <f t="shared" si="72"/>
        <v>1200</v>
      </c>
      <c r="BJ91" s="14">
        <f t="shared" si="73"/>
        <v>3000</v>
      </c>
      <c r="BK91" s="14">
        <f t="shared" si="74"/>
        <v>7200</v>
      </c>
      <c r="BN91" s="109">
        <v>87</v>
      </c>
      <c r="BO91" s="109">
        <f t="shared" si="89"/>
        <v>29</v>
      </c>
      <c r="BP91" s="112">
        <f t="shared" si="90"/>
        <v>150</v>
      </c>
      <c r="BQ91" s="109">
        <f t="shared" si="68"/>
        <v>3</v>
      </c>
      <c r="BR91" s="109">
        <v>360</v>
      </c>
      <c r="BS91" s="109">
        <v>540</v>
      </c>
      <c r="BT91" s="112">
        <v>5</v>
      </c>
      <c r="BU91" s="14">
        <f t="shared" si="91"/>
        <v>11293</v>
      </c>
      <c r="BV91" s="118">
        <v>1</v>
      </c>
      <c r="BW91" s="14">
        <f t="shared" si="92"/>
        <v>129</v>
      </c>
      <c r="BX91" s="118" t="s">
        <v>1052</v>
      </c>
      <c r="BY91" s="14">
        <f t="shared" si="93"/>
        <v>3</v>
      </c>
      <c r="BZ91" s="118" t="str">
        <f t="shared" si="94"/>
        <v>守护灵抽卡券3红色基础材料90金币79200</v>
      </c>
      <c r="CA91" s="14">
        <f t="shared" si="95"/>
        <v>30</v>
      </c>
      <c r="CB91" s="115" t="s">
        <v>271</v>
      </c>
      <c r="CC91" s="115">
        <v>3</v>
      </c>
      <c r="CD91" s="112" t="str">
        <f>INDEX(挂机升级突破!$BX$4:$CB$4,章节关卡!BT91)</f>
        <v>红色基础材料</v>
      </c>
      <c r="CE91" s="115">
        <f>ROUND(INDEX(挂机升级突破!$Q$7:$U$37,BO91+2,章节关卡!BT91)/INDEX(挂机升级突破!$Q$5:$U$5,章节关卡!BT91)*章节关卡!BS91,0)</f>
        <v>90</v>
      </c>
      <c r="CF91" s="109" t="s">
        <v>70</v>
      </c>
      <c r="CG91" s="109">
        <f t="shared" si="75"/>
        <v>79200</v>
      </c>
      <c r="CJ91" s="115">
        <f t="shared" si="76"/>
        <v>29</v>
      </c>
      <c r="CK91" s="115">
        <f t="shared" si="77"/>
        <v>160</v>
      </c>
      <c r="CL91" s="118">
        <v>3</v>
      </c>
      <c r="CM91" s="115">
        <f t="shared" si="78"/>
        <v>540</v>
      </c>
      <c r="CN91" s="115">
        <f t="shared" si="79"/>
        <v>1080</v>
      </c>
      <c r="CO91" s="115">
        <v>10</v>
      </c>
      <c r="CP91" s="14">
        <f t="shared" si="96"/>
        <v>12293</v>
      </c>
      <c r="CQ91" s="118">
        <v>2</v>
      </c>
      <c r="CR91" s="14">
        <f t="shared" si="97"/>
        <v>229</v>
      </c>
      <c r="CS91" s="118" t="s">
        <v>1052</v>
      </c>
      <c r="CT91" s="14">
        <f t="shared" si="98"/>
        <v>3</v>
      </c>
      <c r="CU91" s="118" t="str">
        <f t="shared" si="99"/>
        <v>守护灵抽卡券5灵玉18金币118800</v>
      </c>
      <c r="CV91" s="14">
        <f t="shared" si="100"/>
        <v>30</v>
      </c>
      <c r="CW91" s="115" t="s">
        <v>1030</v>
      </c>
      <c r="CX91" s="115">
        <v>5</v>
      </c>
      <c r="CY91" s="115" t="str">
        <f>INDEX(挂机升级突破!$BX$4:$CG$4,章节关卡!CO91)</f>
        <v>灵玉</v>
      </c>
      <c r="CZ91" s="115">
        <f>ROUND(INDEX(挂机升级突破!$Q$7:$Z$37,CJ91+2,章节关卡!CO91)/INDEX(挂机升级突破!$Q$5:$Z$5,章节关卡!CO91)*章节关卡!CN91,0)</f>
        <v>18</v>
      </c>
      <c r="DA91" s="115" t="s">
        <v>265</v>
      </c>
      <c r="DB91" s="115">
        <f t="shared" si="80"/>
        <v>118800</v>
      </c>
      <c r="DE91" s="118">
        <v>87</v>
      </c>
      <c r="DF91" s="14">
        <f t="shared" si="101"/>
        <v>29</v>
      </c>
      <c r="DG91" s="118">
        <f t="shared" si="102"/>
        <v>150</v>
      </c>
      <c r="DH91" s="118">
        <v>150</v>
      </c>
      <c r="DI91" s="118">
        <f t="shared" si="103"/>
        <v>21293</v>
      </c>
      <c r="DJ91" s="118">
        <v>1</v>
      </c>
      <c r="DK91" s="14">
        <f t="shared" si="106"/>
        <v>129</v>
      </c>
      <c r="DL91" s="118" t="s">
        <v>1062</v>
      </c>
      <c r="DM91" s="118">
        <v>3</v>
      </c>
      <c r="DN91" s="118" t="str">
        <f t="shared" si="104"/>
        <v>钻石50守护灵初级抽卡券5守护灵经验60000</v>
      </c>
      <c r="DO91" s="14">
        <f t="shared" si="107"/>
        <v>12909</v>
      </c>
      <c r="DP91" s="118" t="s">
        <v>1065</v>
      </c>
      <c r="DQ91" s="118">
        <v>50</v>
      </c>
      <c r="DR91" s="118" t="s">
        <v>1066</v>
      </c>
      <c r="DS91" s="118">
        <v>5</v>
      </c>
      <c r="DT91" s="118" t="s">
        <v>1067</v>
      </c>
      <c r="DU91" s="118">
        <f t="shared" si="105"/>
        <v>60000</v>
      </c>
    </row>
    <row r="92" spans="42:125" ht="16.5" x14ac:dyDescent="0.2">
      <c r="AP92" s="24">
        <v>88</v>
      </c>
      <c r="AQ92" s="14">
        <f t="shared" si="81"/>
        <v>22</v>
      </c>
      <c r="AR92" s="109">
        <f t="shared" si="82"/>
        <v>4</v>
      </c>
      <c r="AS92" s="109">
        <f t="shared" si="83"/>
        <v>47</v>
      </c>
      <c r="AT92" s="109">
        <f t="shared" si="84"/>
        <v>148</v>
      </c>
      <c r="AU92" s="109">
        <f t="shared" si="85"/>
        <v>233</v>
      </c>
      <c r="AX92" s="109">
        <v>88</v>
      </c>
      <c r="AY92" s="14">
        <f t="shared" si="69"/>
        <v>9</v>
      </c>
      <c r="AZ92" s="14">
        <f t="shared" si="86"/>
        <v>8</v>
      </c>
      <c r="BA92" s="14">
        <f t="shared" si="108"/>
        <v>320</v>
      </c>
      <c r="BB92" s="14">
        <f t="shared" si="70"/>
        <v>1500</v>
      </c>
      <c r="BC92" s="14">
        <f t="shared" si="71"/>
        <v>3600</v>
      </c>
      <c r="BF92" s="109">
        <v>88</v>
      </c>
      <c r="BG92" s="14">
        <f t="shared" si="87"/>
        <v>9</v>
      </c>
      <c r="BH92" s="14">
        <f t="shared" si="88"/>
        <v>8</v>
      </c>
      <c r="BI92" s="14">
        <f t="shared" si="72"/>
        <v>1200</v>
      </c>
      <c r="BJ92" s="14">
        <f t="shared" si="73"/>
        <v>3000</v>
      </c>
      <c r="BK92" s="14">
        <f t="shared" si="74"/>
        <v>7200</v>
      </c>
      <c r="BN92" s="109">
        <v>88</v>
      </c>
      <c r="BO92" s="109">
        <f t="shared" si="89"/>
        <v>30</v>
      </c>
      <c r="BP92" s="112">
        <f t="shared" si="90"/>
        <v>150</v>
      </c>
      <c r="BQ92" s="109">
        <f t="shared" si="68"/>
        <v>1</v>
      </c>
      <c r="BR92" s="109">
        <v>120</v>
      </c>
      <c r="BS92" s="109">
        <v>180</v>
      </c>
      <c r="BT92" s="112">
        <v>5</v>
      </c>
      <c r="BU92" s="14">
        <f t="shared" si="91"/>
        <v>11301</v>
      </c>
      <c r="BV92" s="118">
        <v>1</v>
      </c>
      <c r="BW92" s="14">
        <f t="shared" si="92"/>
        <v>130</v>
      </c>
      <c r="BX92" s="118" t="s">
        <v>1052</v>
      </c>
      <c r="BY92" s="14">
        <f t="shared" si="93"/>
        <v>1</v>
      </c>
      <c r="BZ92" s="118" t="str">
        <f t="shared" si="94"/>
        <v>钻石100灵玉6金币26400</v>
      </c>
      <c r="CA92" s="14">
        <f t="shared" si="95"/>
        <v>10</v>
      </c>
      <c r="CB92" s="115" t="s">
        <v>22</v>
      </c>
      <c r="CC92" s="115">
        <v>100</v>
      </c>
      <c r="CD92" s="112" t="s">
        <v>1034</v>
      </c>
      <c r="CE92" s="115">
        <v>6</v>
      </c>
      <c r="CF92" s="109" t="s">
        <v>70</v>
      </c>
      <c r="CG92" s="109">
        <f t="shared" si="75"/>
        <v>26400</v>
      </c>
      <c r="CJ92" s="115">
        <f t="shared" si="76"/>
        <v>30</v>
      </c>
      <c r="CK92" s="115">
        <f t="shared" si="77"/>
        <v>160</v>
      </c>
      <c r="CL92" s="118">
        <v>1</v>
      </c>
      <c r="CM92" s="115">
        <f t="shared" si="78"/>
        <v>180</v>
      </c>
      <c r="CN92" s="115">
        <f t="shared" si="79"/>
        <v>360</v>
      </c>
      <c r="CO92" s="115">
        <v>10</v>
      </c>
      <c r="CP92" s="14">
        <f t="shared" si="96"/>
        <v>12301</v>
      </c>
      <c r="CQ92" s="118">
        <v>2</v>
      </c>
      <c r="CR92" s="14">
        <f t="shared" si="97"/>
        <v>230</v>
      </c>
      <c r="CS92" s="118" t="s">
        <v>1052</v>
      </c>
      <c r="CT92" s="14">
        <f t="shared" si="98"/>
        <v>1</v>
      </c>
      <c r="CU92" s="118" t="str">
        <f t="shared" si="99"/>
        <v>钻石100灵玉6金币39600</v>
      </c>
      <c r="CV92" s="14">
        <f t="shared" si="100"/>
        <v>10</v>
      </c>
      <c r="CW92" s="115" t="s">
        <v>270</v>
      </c>
      <c r="CX92" s="115">
        <v>100</v>
      </c>
      <c r="CY92" s="115" t="str">
        <f>INDEX(挂机升级突破!$BX$4:$CG$4,章节关卡!CO92)</f>
        <v>灵玉</v>
      </c>
      <c r="CZ92" s="115">
        <f>CZ89</f>
        <v>6</v>
      </c>
      <c r="DA92" s="115" t="s">
        <v>265</v>
      </c>
      <c r="DB92" s="115">
        <f t="shared" si="80"/>
        <v>39600</v>
      </c>
      <c r="DE92" s="118">
        <v>88</v>
      </c>
      <c r="DF92" s="14">
        <f t="shared" si="101"/>
        <v>30</v>
      </c>
      <c r="DG92" s="118">
        <f t="shared" si="102"/>
        <v>150</v>
      </c>
      <c r="DH92" s="118">
        <v>90</v>
      </c>
      <c r="DI92" s="118">
        <f t="shared" si="103"/>
        <v>21301</v>
      </c>
      <c r="DJ92" s="118">
        <v>1</v>
      </c>
      <c r="DK92" s="14">
        <f t="shared" si="106"/>
        <v>130</v>
      </c>
      <c r="DL92" s="118" t="s">
        <v>1062</v>
      </c>
      <c r="DM92" s="118">
        <v>1</v>
      </c>
      <c r="DN92" s="118" t="str">
        <f t="shared" si="104"/>
        <v>钻石20守护灵初级抽卡券2守护灵经验43200</v>
      </c>
      <c r="DO92" s="14">
        <f t="shared" si="107"/>
        <v>13009</v>
      </c>
      <c r="DP92" s="118" t="s">
        <v>1065</v>
      </c>
      <c r="DQ92" s="118">
        <v>20</v>
      </c>
      <c r="DR92" s="118" t="s">
        <v>1066</v>
      </c>
      <c r="DS92" s="118">
        <v>2</v>
      </c>
      <c r="DT92" s="118" t="s">
        <v>1067</v>
      </c>
      <c r="DU92" s="118">
        <f t="shared" si="105"/>
        <v>43200</v>
      </c>
    </row>
    <row r="93" spans="42:125" ht="16.5" x14ac:dyDescent="0.2">
      <c r="AP93" s="24">
        <v>89</v>
      </c>
      <c r="AQ93" s="14">
        <f t="shared" si="81"/>
        <v>23</v>
      </c>
      <c r="AR93" s="109">
        <f t="shared" si="82"/>
        <v>1</v>
      </c>
      <c r="AS93" s="109">
        <f t="shared" si="83"/>
        <v>50</v>
      </c>
      <c r="AT93" s="109">
        <f t="shared" si="84"/>
        <v>152</v>
      </c>
      <c r="AU93" s="109">
        <f t="shared" si="85"/>
        <v>238</v>
      </c>
      <c r="AX93" s="109">
        <v>89</v>
      </c>
      <c r="AY93" s="14">
        <f t="shared" si="69"/>
        <v>9</v>
      </c>
      <c r="AZ93" s="14">
        <f t="shared" si="86"/>
        <v>9</v>
      </c>
      <c r="BA93" s="14">
        <f t="shared" si="108"/>
        <v>320</v>
      </c>
      <c r="BB93" s="14">
        <f t="shared" si="70"/>
        <v>1500</v>
      </c>
      <c r="BC93" s="14">
        <f t="shared" si="71"/>
        <v>3600</v>
      </c>
      <c r="BF93" s="109">
        <v>89</v>
      </c>
      <c r="BG93" s="14">
        <f t="shared" si="87"/>
        <v>9</v>
      </c>
      <c r="BH93" s="14">
        <f t="shared" si="88"/>
        <v>9</v>
      </c>
      <c r="BI93" s="14">
        <f t="shared" si="72"/>
        <v>1200</v>
      </c>
      <c r="BJ93" s="14">
        <f t="shared" si="73"/>
        <v>3000</v>
      </c>
      <c r="BK93" s="14">
        <f t="shared" si="74"/>
        <v>7200</v>
      </c>
      <c r="BN93" s="109">
        <v>89</v>
      </c>
      <c r="BO93" s="109">
        <f t="shared" si="89"/>
        <v>30</v>
      </c>
      <c r="BP93" s="112">
        <f t="shared" si="90"/>
        <v>150</v>
      </c>
      <c r="BQ93" s="109">
        <f t="shared" si="68"/>
        <v>2</v>
      </c>
      <c r="BR93" s="109">
        <v>240</v>
      </c>
      <c r="BS93" s="109">
        <v>360</v>
      </c>
      <c r="BT93" s="112">
        <v>5</v>
      </c>
      <c r="BU93" s="14">
        <f t="shared" si="91"/>
        <v>11302</v>
      </c>
      <c r="BV93" s="118">
        <v>1</v>
      </c>
      <c r="BW93" s="14">
        <f t="shared" si="92"/>
        <v>130</v>
      </c>
      <c r="BX93" s="118" t="s">
        <v>1052</v>
      </c>
      <c r="BY93" s="14">
        <f t="shared" si="93"/>
        <v>2</v>
      </c>
      <c r="BZ93" s="118" t="str">
        <f t="shared" si="94"/>
        <v>守护灵抽卡券2灵玉12金币52800</v>
      </c>
      <c r="CA93" s="14">
        <f t="shared" si="95"/>
        <v>20</v>
      </c>
      <c r="CB93" s="115" t="s">
        <v>271</v>
      </c>
      <c r="CC93" s="115">
        <v>2</v>
      </c>
      <c r="CD93" s="112" t="s">
        <v>1034</v>
      </c>
      <c r="CE93" s="115">
        <v>12</v>
      </c>
      <c r="CF93" s="109" t="s">
        <v>70</v>
      </c>
      <c r="CG93" s="109">
        <f t="shared" si="75"/>
        <v>52800</v>
      </c>
      <c r="CJ93" s="115">
        <f t="shared" si="76"/>
        <v>30</v>
      </c>
      <c r="CK93" s="115">
        <f t="shared" si="77"/>
        <v>160</v>
      </c>
      <c r="CL93" s="118">
        <v>2</v>
      </c>
      <c r="CM93" s="115">
        <f t="shared" si="78"/>
        <v>360</v>
      </c>
      <c r="CN93" s="115">
        <f t="shared" si="79"/>
        <v>720</v>
      </c>
      <c r="CO93" s="115">
        <v>10</v>
      </c>
      <c r="CP93" s="14">
        <f t="shared" si="96"/>
        <v>12302</v>
      </c>
      <c r="CQ93" s="118">
        <v>2</v>
      </c>
      <c r="CR93" s="14">
        <f t="shared" si="97"/>
        <v>230</v>
      </c>
      <c r="CS93" s="118" t="s">
        <v>1052</v>
      </c>
      <c r="CT93" s="14">
        <f t="shared" si="98"/>
        <v>2</v>
      </c>
      <c r="CU93" s="118" t="str">
        <f t="shared" si="99"/>
        <v>熔炼值1000灵玉12金币79200</v>
      </c>
      <c r="CV93" s="14">
        <f t="shared" si="100"/>
        <v>20</v>
      </c>
      <c r="CW93" s="115" t="s">
        <v>1031</v>
      </c>
      <c r="CX93" s="115">
        <v>1000</v>
      </c>
      <c r="CY93" s="115" t="str">
        <f>INDEX(挂机升级突破!$BX$4:$CG$4,章节关卡!CO93)</f>
        <v>灵玉</v>
      </c>
      <c r="CZ93" s="115">
        <f t="shared" ref="CZ93:CZ94" si="109">CZ90</f>
        <v>12</v>
      </c>
      <c r="DA93" s="115" t="s">
        <v>265</v>
      </c>
      <c r="DB93" s="115">
        <f t="shared" si="80"/>
        <v>79200</v>
      </c>
      <c r="DE93" s="118">
        <v>89</v>
      </c>
      <c r="DF93" s="14">
        <f t="shared" si="101"/>
        <v>30</v>
      </c>
      <c r="DG93" s="118">
        <f t="shared" si="102"/>
        <v>150</v>
      </c>
      <c r="DH93" s="118">
        <v>120</v>
      </c>
      <c r="DI93" s="118">
        <f t="shared" si="103"/>
        <v>21302</v>
      </c>
      <c r="DJ93" s="118">
        <v>1</v>
      </c>
      <c r="DK93" s="14">
        <f t="shared" si="106"/>
        <v>130</v>
      </c>
      <c r="DL93" s="118" t="s">
        <v>1062</v>
      </c>
      <c r="DM93" s="118">
        <v>2</v>
      </c>
      <c r="DN93" s="118" t="str">
        <f t="shared" si="104"/>
        <v>钻石30守护灵初级抽卡券3守护灵经验57600</v>
      </c>
      <c r="DO93" s="14">
        <f t="shared" si="107"/>
        <v>13009</v>
      </c>
      <c r="DP93" s="118" t="s">
        <v>1065</v>
      </c>
      <c r="DQ93" s="118">
        <v>30</v>
      </c>
      <c r="DR93" s="118" t="s">
        <v>1066</v>
      </c>
      <c r="DS93" s="118">
        <v>3</v>
      </c>
      <c r="DT93" s="118" t="s">
        <v>1067</v>
      </c>
      <c r="DU93" s="118">
        <f t="shared" si="105"/>
        <v>57600</v>
      </c>
    </row>
    <row r="94" spans="42:125" ht="16.5" x14ac:dyDescent="0.2">
      <c r="AP94" s="24">
        <v>90</v>
      </c>
      <c r="AQ94" s="14">
        <f t="shared" si="81"/>
        <v>23</v>
      </c>
      <c r="AR94" s="109">
        <f t="shared" si="82"/>
        <v>2</v>
      </c>
      <c r="AS94" s="109">
        <f t="shared" si="83"/>
        <v>50</v>
      </c>
      <c r="AT94" s="109">
        <f t="shared" si="84"/>
        <v>154</v>
      </c>
      <c r="AU94" s="109">
        <f t="shared" si="85"/>
        <v>241</v>
      </c>
      <c r="AX94" s="109">
        <v>90</v>
      </c>
      <c r="AY94" s="14">
        <f t="shared" si="69"/>
        <v>9</v>
      </c>
      <c r="AZ94" s="14">
        <f t="shared" si="86"/>
        <v>10</v>
      </c>
      <c r="BA94" s="14">
        <f t="shared" si="108"/>
        <v>320</v>
      </c>
      <c r="BB94" s="14">
        <f t="shared" si="70"/>
        <v>1500</v>
      </c>
      <c r="BC94" s="14">
        <f t="shared" si="71"/>
        <v>3600</v>
      </c>
      <c r="BF94" s="109">
        <v>90</v>
      </c>
      <c r="BG94" s="14">
        <f t="shared" si="87"/>
        <v>9</v>
      </c>
      <c r="BH94" s="14">
        <f t="shared" si="88"/>
        <v>10</v>
      </c>
      <c r="BI94" s="14">
        <f t="shared" si="72"/>
        <v>1200</v>
      </c>
      <c r="BJ94" s="14">
        <f t="shared" si="73"/>
        <v>3000</v>
      </c>
      <c r="BK94" s="14">
        <f t="shared" si="74"/>
        <v>7200</v>
      </c>
      <c r="BN94" s="109">
        <v>90</v>
      </c>
      <c r="BO94" s="109">
        <f t="shared" si="89"/>
        <v>30</v>
      </c>
      <c r="BP94" s="112">
        <f t="shared" si="90"/>
        <v>150</v>
      </c>
      <c r="BQ94" s="109">
        <f t="shared" si="68"/>
        <v>3</v>
      </c>
      <c r="BR94" s="109">
        <v>360</v>
      </c>
      <c r="BS94" s="109">
        <v>540</v>
      </c>
      <c r="BT94" s="112">
        <v>5</v>
      </c>
      <c r="BU94" s="14">
        <f t="shared" si="91"/>
        <v>11303</v>
      </c>
      <c r="BV94" s="118">
        <v>1</v>
      </c>
      <c r="BW94" s="14">
        <f t="shared" si="92"/>
        <v>130</v>
      </c>
      <c r="BX94" s="118" t="s">
        <v>1052</v>
      </c>
      <c r="BY94" s="14">
        <f t="shared" si="93"/>
        <v>3</v>
      </c>
      <c r="BZ94" s="118" t="str">
        <f t="shared" si="94"/>
        <v>守护灵抽卡券3灵玉18金币79200</v>
      </c>
      <c r="CA94" s="14">
        <f t="shared" si="95"/>
        <v>30</v>
      </c>
      <c r="CB94" s="115" t="s">
        <v>271</v>
      </c>
      <c r="CC94" s="115">
        <v>3</v>
      </c>
      <c r="CD94" s="112" t="s">
        <v>1034</v>
      </c>
      <c r="CE94" s="115">
        <v>18</v>
      </c>
      <c r="CF94" s="109" t="s">
        <v>70</v>
      </c>
      <c r="CG94" s="109">
        <f t="shared" si="75"/>
        <v>79200</v>
      </c>
      <c r="CJ94" s="115">
        <f t="shared" si="76"/>
        <v>30</v>
      </c>
      <c r="CK94" s="115">
        <f t="shared" si="77"/>
        <v>160</v>
      </c>
      <c r="CL94" s="118">
        <v>3</v>
      </c>
      <c r="CM94" s="115">
        <f t="shared" si="78"/>
        <v>540</v>
      </c>
      <c r="CN94" s="115">
        <f t="shared" si="79"/>
        <v>1080</v>
      </c>
      <c r="CO94" s="115">
        <v>10</v>
      </c>
      <c r="CP94" s="14">
        <f t="shared" si="96"/>
        <v>12303</v>
      </c>
      <c r="CQ94" s="118">
        <v>2</v>
      </c>
      <c r="CR94" s="14">
        <f t="shared" si="97"/>
        <v>230</v>
      </c>
      <c r="CS94" s="118" t="s">
        <v>1052</v>
      </c>
      <c r="CT94" s="14">
        <f t="shared" si="98"/>
        <v>3</v>
      </c>
      <c r="CU94" s="118" t="str">
        <f t="shared" si="99"/>
        <v>守护灵抽卡券5灵玉18金币118800</v>
      </c>
      <c r="CV94" s="14">
        <f t="shared" si="100"/>
        <v>30</v>
      </c>
      <c r="CW94" s="115" t="s">
        <v>1030</v>
      </c>
      <c r="CX94" s="115">
        <v>5</v>
      </c>
      <c r="CY94" s="115" t="str">
        <f>INDEX(挂机升级突破!$BX$4:$CG$4,章节关卡!CO94)</f>
        <v>灵玉</v>
      </c>
      <c r="CZ94" s="115">
        <f t="shared" si="109"/>
        <v>18</v>
      </c>
      <c r="DA94" s="115" t="s">
        <v>265</v>
      </c>
      <c r="DB94" s="115">
        <f t="shared" si="80"/>
        <v>118800</v>
      </c>
      <c r="DE94" s="118">
        <v>90</v>
      </c>
      <c r="DF94" s="14">
        <f t="shared" si="101"/>
        <v>30</v>
      </c>
      <c r="DG94" s="118">
        <f t="shared" si="102"/>
        <v>150</v>
      </c>
      <c r="DH94" s="118">
        <v>150</v>
      </c>
      <c r="DI94" s="118">
        <f t="shared" si="103"/>
        <v>21303</v>
      </c>
      <c r="DJ94" s="118">
        <v>1</v>
      </c>
      <c r="DK94" s="14">
        <f t="shared" si="106"/>
        <v>130</v>
      </c>
      <c r="DL94" s="118" t="s">
        <v>1062</v>
      </c>
      <c r="DM94" s="118">
        <v>3</v>
      </c>
      <c r="DN94" s="118" t="str">
        <f t="shared" si="104"/>
        <v>钻石50守护灵初级抽卡券5守护灵经验72000</v>
      </c>
      <c r="DO94" s="14">
        <f t="shared" si="107"/>
        <v>13009</v>
      </c>
      <c r="DP94" s="118" t="s">
        <v>1065</v>
      </c>
      <c r="DQ94" s="118">
        <v>50</v>
      </c>
      <c r="DR94" s="118" t="s">
        <v>1066</v>
      </c>
      <c r="DS94" s="118">
        <v>5</v>
      </c>
      <c r="DT94" s="118" t="s">
        <v>1067</v>
      </c>
      <c r="DU94" s="118">
        <f t="shared" si="105"/>
        <v>72000</v>
      </c>
    </row>
    <row r="95" spans="42:125" ht="16.5" x14ac:dyDescent="0.2">
      <c r="AP95" s="24">
        <v>91</v>
      </c>
      <c r="AQ95" s="14">
        <f t="shared" si="81"/>
        <v>23</v>
      </c>
      <c r="AR95" s="109">
        <f t="shared" si="82"/>
        <v>3</v>
      </c>
      <c r="AS95" s="109">
        <f t="shared" si="83"/>
        <v>50</v>
      </c>
      <c r="AT95" s="109">
        <f t="shared" si="84"/>
        <v>156</v>
      </c>
      <c r="AU95" s="109">
        <f t="shared" si="85"/>
        <v>244</v>
      </c>
      <c r="AX95" s="109">
        <v>91</v>
      </c>
      <c r="AY95" s="14">
        <f t="shared" si="69"/>
        <v>10</v>
      </c>
      <c r="AZ95" s="14">
        <f t="shared" si="86"/>
        <v>1</v>
      </c>
      <c r="BA95" s="14">
        <f t="shared" si="108"/>
        <v>360</v>
      </c>
      <c r="BB95" s="14">
        <f t="shared" si="70"/>
        <v>1650</v>
      </c>
      <c r="BC95" s="14">
        <f t="shared" si="71"/>
        <v>4050</v>
      </c>
      <c r="BF95" s="109">
        <v>91</v>
      </c>
      <c r="BG95" s="14">
        <f t="shared" si="87"/>
        <v>10</v>
      </c>
      <c r="BH95" s="14">
        <f t="shared" si="88"/>
        <v>1</v>
      </c>
      <c r="BI95" s="14">
        <f t="shared" si="72"/>
        <v>1500</v>
      </c>
      <c r="BJ95" s="14">
        <f t="shared" si="73"/>
        <v>3300</v>
      </c>
      <c r="BK95" s="14">
        <f t="shared" si="74"/>
        <v>8100</v>
      </c>
    </row>
    <row r="96" spans="42:125" ht="16.5" x14ac:dyDescent="0.2">
      <c r="AP96" s="24">
        <v>92</v>
      </c>
      <c r="AQ96" s="14">
        <f t="shared" si="81"/>
        <v>23</v>
      </c>
      <c r="AR96" s="109">
        <f t="shared" si="82"/>
        <v>4</v>
      </c>
      <c r="AS96" s="109">
        <f t="shared" si="83"/>
        <v>50</v>
      </c>
      <c r="AT96" s="109">
        <f t="shared" si="84"/>
        <v>158</v>
      </c>
      <c r="AU96" s="109">
        <f t="shared" si="85"/>
        <v>247</v>
      </c>
      <c r="AX96" s="109">
        <v>92</v>
      </c>
      <c r="AY96" s="14">
        <f t="shared" si="69"/>
        <v>10</v>
      </c>
      <c r="AZ96" s="14">
        <f t="shared" si="86"/>
        <v>2</v>
      </c>
      <c r="BA96" s="14">
        <f t="shared" si="108"/>
        <v>360</v>
      </c>
      <c r="BB96" s="14">
        <f t="shared" si="70"/>
        <v>1650</v>
      </c>
      <c r="BC96" s="14">
        <f t="shared" si="71"/>
        <v>4050</v>
      </c>
      <c r="BF96" s="109">
        <v>92</v>
      </c>
      <c r="BG96" s="14">
        <f t="shared" si="87"/>
        <v>10</v>
      </c>
      <c r="BH96" s="14">
        <f t="shared" si="88"/>
        <v>2</v>
      </c>
      <c r="BI96" s="14">
        <f t="shared" si="72"/>
        <v>1500</v>
      </c>
      <c r="BJ96" s="14">
        <f t="shared" si="73"/>
        <v>3300</v>
      </c>
      <c r="BK96" s="14">
        <f t="shared" si="74"/>
        <v>8100</v>
      </c>
    </row>
    <row r="97" spans="42:63" ht="16.5" x14ac:dyDescent="0.2">
      <c r="AP97" s="24">
        <v>93</v>
      </c>
      <c r="AQ97" s="14">
        <f t="shared" si="81"/>
        <v>24</v>
      </c>
      <c r="AR97" s="109">
        <f t="shared" si="82"/>
        <v>1</v>
      </c>
      <c r="AS97" s="109">
        <f t="shared" si="83"/>
        <v>55</v>
      </c>
      <c r="AT97" s="109">
        <f t="shared" si="84"/>
        <v>162</v>
      </c>
      <c r="AU97" s="109">
        <f t="shared" si="85"/>
        <v>255</v>
      </c>
      <c r="AX97" s="109">
        <v>93</v>
      </c>
      <c r="AY97" s="14">
        <f t="shared" si="69"/>
        <v>10</v>
      </c>
      <c r="AZ97" s="14">
        <f t="shared" si="86"/>
        <v>3</v>
      </c>
      <c r="BA97" s="14">
        <f t="shared" si="108"/>
        <v>360</v>
      </c>
      <c r="BB97" s="14">
        <f t="shared" si="70"/>
        <v>1650</v>
      </c>
      <c r="BC97" s="14">
        <f t="shared" si="71"/>
        <v>4050</v>
      </c>
      <c r="BF97" s="109">
        <v>93</v>
      </c>
      <c r="BG97" s="14">
        <f t="shared" si="87"/>
        <v>10</v>
      </c>
      <c r="BH97" s="14">
        <f t="shared" si="88"/>
        <v>3</v>
      </c>
      <c r="BI97" s="14">
        <f t="shared" si="72"/>
        <v>1500</v>
      </c>
      <c r="BJ97" s="14">
        <f t="shared" si="73"/>
        <v>3300</v>
      </c>
      <c r="BK97" s="14">
        <f t="shared" si="74"/>
        <v>8100</v>
      </c>
    </row>
    <row r="98" spans="42:63" ht="16.5" x14ac:dyDescent="0.2">
      <c r="AP98" s="24">
        <v>94</v>
      </c>
      <c r="AQ98" s="14">
        <f t="shared" si="81"/>
        <v>24</v>
      </c>
      <c r="AR98" s="109">
        <f t="shared" si="82"/>
        <v>2</v>
      </c>
      <c r="AS98" s="109">
        <f t="shared" si="83"/>
        <v>55</v>
      </c>
      <c r="AT98" s="109">
        <f t="shared" si="84"/>
        <v>164</v>
      </c>
      <c r="AU98" s="109">
        <f t="shared" si="85"/>
        <v>260</v>
      </c>
      <c r="AX98" s="109">
        <v>94</v>
      </c>
      <c r="AY98" s="14">
        <f t="shared" si="69"/>
        <v>10</v>
      </c>
      <c r="AZ98" s="14">
        <f t="shared" si="86"/>
        <v>4</v>
      </c>
      <c r="BA98" s="14">
        <f t="shared" si="108"/>
        <v>360</v>
      </c>
      <c r="BB98" s="14">
        <f t="shared" si="70"/>
        <v>1650</v>
      </c>
      <c r="BC98" s="14">
        <f t="shared" si="71"/>
        <v>4050</v>
      </c>
      <c r="BF98" s="109">
        <v>94</v>
      </c>
      <c r="BG98" s="14">
        <f t="shared" si="87"/>
        <v>10</v>
      </c>
      <c r="BH98" s="14">
        <f t="shared" si="88"/>
        <v>4</v>
      </c>
      <c r="BI98" s="14">
        <f t="shared" si="72"/>
        <v>1500</v>
      </c>
      <c r="BJ98" s="14">
        <f t="shared" si="73"/>
        <v>3300</v>
      </c>
      <c r="BK98" s="14">
        <f t="shared" si="74"/>
        <v>8100</v>
      </c>
    </row>
    <row r="99" spans="42:63" ht="16.5" x14ac:dyDescent="0.2">
      <c r="AP99" s="24">
        <v>95</v>
      </c>
      <c r="AQ99" s="14">
        <f t="shared" si="81"/>
        <v>24</v>
      </c>
      <c r="AR99" s="109">
        <f t="shared" si="82"/>
        <v>3</v>
      </c>
      <c r="AS99" s="109">
        <f t="shared" si="83"/>
        <v>55</v>
      </c>
      <c r="AT99" s="109">
        <f t="shared" si="84"/>
        <v>166</v>
      </c>
      <c r="AU99" s="109">
        <f t="shared" si="85"/>
        <v>265</v>
      </c>
      <c r="AX99" s="109">
        <v>95</v>
      </c>
      <c r="AY99" s="14">
        <f t="shared" si="69"/>
        <v>10</v>
      </c>
      <c r="AZ99" s="14">
        <f t="shared" si="86"/>
        <v>5</v>
      </c>
      <c r="BA99" s="14">
        <f t="shared" si="108"/>
        <v>360</v>
      </c>
      <c r="BB99" s="14">
        <f t="shared" si="70"/>
        <v>1650</v>
      </c>
      <c r="BC99" s="14">
        <f t="shared" si="71"/>
        <v>4050</v>
      </c>
      <c r="BF99" s="109">
        <v>95</v>
      </c>
      <c r="BG99" s="14">
        <f t="shared" si="87"/>
        <v>10</v>
      </c>
      <c r="BH99" s="14">
        <f t="shared" si="88"/>
        <v>5</v>
      </c>
      <c r="BI99" s="14">
        <f t="shared" si="72"/>
        <v>1500</v>
      </c>
      <c r="BJ99" s="14">
        <f t="shared" si="73"/>
        <v>3300</v>
      </c>
      <c r="BK99" s="14">
        <f t="shared" si="74"/>
        <v>8100</v>
      </c>
    </row>
    <row r="100" spans="42:63" ht="16.5" x14ac:dyDescent="0.2">
      <c r="AP100" s="24">
        <v>96</v>
      </c>
      <c r="AQ100" s="14">
        <f t="shared" si="81"/>
        <v>24</v>
      </c>
      <c r="AR100" s="109">
        <f t="shared" si="82"/>
        <v>4</v>
      </c>
      <c r="AS100" s="109">
        <f t="shared" si="83"/>
        <v>55</v>
      </c>
      <c r="AT100" s="109">
        <f t="shared" si="84"/>
        <v>168</v>
      </c>
      <c r="AU100" s="109">
        <f t="shared" si="85"/>
        <v>270</v>
      </c>
      <c r="AX100" s="109">
        <v>96</v>
      </c>
      <c r="AY100" s="14">
        <f t="shared" si="69"/>
        <v>10</v>
      </c>
      <c r="AZ100" s="14">
        <f t="shared" si="86"/>
        <v>6</v>
      </c>
      <c r="BA100" s="14">
        <f t="shared" si="108"/>
        <v>360</v>
      </c>
      <c r="BB100" s="14">
        <f t="shared" si="70"/>
        <v>1650</v>
      </c>
      <c r="BC100" s="14">
        <f t="shared" si="71"/>
        <v>4050</v>
      </c>
      <c r="BF100" s="109">
        <v>96</v>
      </c>
      <c r="BG100" s="14">
        <f t="shared" si="87"/>
        <v>10</v>
      </c>
      <c r="BH100" s="14">
        <f t="shared" si="88"/>
        <v>6</v>
      </c>
      <c r="BI100" s="14">
        <f t="shared" si="72"/>
        <v>1500</v>
      </c>
      <c r="BJ100" s="14">
        <f t="shared" si="73"/>
        <v>3300</v>
      </c>
      <c r="BK100" s="14">
        <f t="shared" si="74"/>
        <v>8100</v>
      </c>
    </row>
    <row r="101" spans="42:63" ht="16.5" x14ac:dyDescent="0.2">
      <c r="AP101" s="24">
        <v>97</v>
      </c>
      <c r="AQ101" s="14">
        <f t="shared" si="81"/>
        <v>25</v>
      </c>
      <c r="AR101" s="109">
        <f t="shared" si="82"/>
        <v>1</v>
      </c>
      <c r="AS101" s="109">
        <f t="shared" si="83"/>
        <v>60</v>
      </c>
      <c r="AT101" s="109">
        <f t="shared" si="84"/>
        <v>172</v>
      </c>
      <c r="AU101" s="109">
        <f t="shared" si="85"/>
        <v>280</v>
      </c>
      <c r="AX101" s="109">
        <v>97</v>
      </c>
      <c r="AY101" s="14">
        <f t="shared" si="69"/>
        <v>10</v>
      </c>
      <c r="AZ101" s="14">
        <f t="shared" si="86"/>
        <v>7</v>
      </c>
      <c r="BA101" s="14">
        <f t="shared" si="108"/>
        <v>360</v>
      </c>
      <c r="BB101" s="14">
        <f t="shared" si="70"/>
        <v>1650</v>
      </c>
      <c r="BC101" s="14">
        <f t="shared" si="71"/>
        <v>4050</v>
      </c>
      <c r="BF101" s="109">
        <v>97</v>
      </c>
      <c r="BG101" s="14">
        <f t="shared" si="87"/>
        <v>10</v>
      </c>
      <c r="BH101" s="14">
        <f t="shared" si="88"/>
        <v>7</v>
      </c>
      <c r="BI101" s="14">
        <f t="shared" si="72"/>
        <v>1500</v>
      </c>
      <c r="BJ101" s="14">
        <f t="shared" si="73"/>
        <v>3300</v>
      </c>
      <c r="BK101" s="14">
        <f t="shared" si="74"/>
        <v>8100</v>
      </c>
    </row>
    <row r="102" spans="42:63" ht="16.5" x14ac:dyDescent="0.2">
      <c r="AP102" s="24">
        <v>98</v>
      </c>
      <c r="AQ102" s="14">
        <f t="shared" si="81"/>
        <v>25</v>
      </c>
      <c r="AR102" s="109">
        <f t="shared" si="82"/>
        <v>2</v>
      </c>
      <c r="AS102" s="109">
        <f t="shared" si="83"/>
        <v>60</v>
      </c>
      <c r="AT102" s="109">
        <f t="shared" si="84"/>
        <v>174</v>
      </c>
      <c r="AU102" s="109">
        <f t="shared" si="85"/>
        <v>285</v>
      </c>
      <c r="AX102" s="109">
        <v>98</v>
      </c>
      <c r="AY102" s="14">
        <f t="shared" si="69"/>
        <v>10</v>
      </c>
      <c r="AZ102" s="14">
        <f t="shared" si="86"/>
        <v>8</v>
      </c>
      <c r="BA102" s="14">
        <f t="shared" si="108"/>
        <v>360</v>
      </c>
      <c r="BB102" s="14">
        <f t="shared" si="70"/>
        <v>1650</v>
      </c>
      <c r="BC102" s="14">
        <f t="shared" si="71"/>
        <v>4050</v>
      </c>
      <c r="BF102" s="109">
        <v>98</v>
      </c>
      <c r="BG102" s="14">
        <f t="shared" si="87"/>
        <v>10</v>
      </c>
      <c r="BH102" s="14">
        <f t="shared" si="88"/>
        <v>8</v>
      </c>
      <c r="BI102" s="14">
        <f t="shared" si="72"/>
        <v>1500</v>
      </c>
      <c r="BJ102" s="14">
        <f t="shared" si="73"/>
        <v>3300</v>
      </c>
      <c r="BK102" s="14">
        <f t="shared" si="74"/>
        <v>8100</v>
      </c>
    </row>
    <row r="103" spans="42:63" ht="16.5" x14ac:dyDescent="0.2">
      <c r="AP103" s="24">
        <v>99</v>
      </c>
      <c r="AQ103" s="14">
        <f t="shared" si="81"/>
        <v>25</v>
      </c>
      <c r="AR103" s="109">
        <f t="shared" si="82"/>
        <v>3</v>
      </c>
      <c r="AS103" s="109">
        <f t="shared" si="83"/>
        <v>60</v>
      </c>
      <c r="AT103" s="109">
        <f t="shared" si="84"/>
        <v>176</v>
      </c>
      <c r="AU103" s="109">
        <f t="shared" si="85"/>
        <v>290</v>
      </c>
      <c r="AX103" s="109">
        <v>99</v>
      </c>
      <c r="AY103" s="14">
        <f t="shared" si="69"/>
        <v>10</v>
      </c>
      <c r="AZ103" s="14">
        <f t="shared" si="86"/>
        <v>9</v>
      </c>
      <c r="BA103" s="14">
        <f t="shared" si="108"/>
        <v>360</v>
      </c>
      <c r="BB103" s="14">
        <f t="shared" si="70"/>
        <v>1650</v>
      </c>
      <c r="BC103" s="14">
        <f t="shared" si="71"/>
        <v>4050</v>
      </c>
      <c r="BF103" s="109">
        <v>99</v>
      </c>
      <c r="BG103" s="14">
        <f t="shared" si="87"/>
        <v>10</v>
      </c>
      <c r="BH103" s="14">
        <f t="shared" si="88"/>
        <v>9</v>
      </c>
      <c r="BI103" s="14">
        <f t="shared" si="72"/>
        <v>1500</v>
      </c>
      <c r="BJ103" s="14">
        <f t="shared" si="73"/>
        <v>3300</v>
      </c>
      <c r="BK103" s="14">
        <f t="shared" si="74"/>
        <v>8100</v>
      </c>
    </row>
    <row r="104" spans="42:63" ht="16.5" x14ac:dyDescent="0.2">
      <c r="AP104" s="24">
        <v>100</v>
      </c>
      <c r="AQ104" s="14">
        <f t="shared" si="81"/>
        <v>25</v>
      </c>
      <c r="AR104" s="109">
        <f t="shared" si="82"/>
        <v>4</v>
      </c>
      <c r="AS104" s="109">
        <f t="shared" si="83"/>
        <v>60</v>
      </c>
      <c r="AT104" s="109">
        <f t="shared" si="84"/>
        <v>178</v>
      </c>
      <c r="AU104" s="109">
        <f t="shared" si="85"/>
        <v>295</v>
      </c>
      <c r="AX104" s="109">
        <v>100</v>
      </c>
      <c r="AY104" s="14">
        <f t="shared" si="69"/>
        <v>10</v>
      </c>
      <c r="AZ104" s="14">
        <f t="shared" si="86"/>
        <v>10</v>
      </c>
      <c r="BA104" s="14">
        <f t="shared" si="108"/>
        <v>360</v>
      </c>
      <c r="BB104" s="14">
        <f t="shared" si="70"/>
        <v>1650</v>
      </c>
      <c r="BC104" s="14">
        <f t="shared" si="71"/>
        <v>4050</v>
      </c>
      <c r="BF104" s="109">
        <v>100</v>
      </c>
      <c r="BG104" s="14">
        <f t="shared" si="87"/>
        <v>10</v>
      </c>
      <c r="BH104" s="14">
        <f t="shared" si="88"/>
        <v>10</v>
      </c>
      <c r="BI104" s="14">
        <f t="shared" si="72"/>
        <v>1500</v>
      </c>
      <c r="BJ104" s="14">
        <f t="shared" si="73"/>
        <v>3300</v>
      </c>
      <c r="BK104" s="14">
        <f t="shared" si="74"/>
        <v>8100</v>
      </c>
    </row>
    <row r="105" spans="42:63" ht="16.5" x14ac:dyDescent="0.2">
      <c r="AP105" s="24">
        <v>101</v>
      </c>
      <c r="AQ105" s="14">
        <f t="shared" si="81"/>
        <v>26</v>
      </c>
      <c r="AR105" s="109">
        <f t="shared" si="82"/>
        <v>1</v>
      </c>
      <c r="AS105" s="109">
        <f t="shared" si="83"/>
        <v>65</v>
      </c>
      <c r="AT105" s="109">
        <f t="shared" si="84"/>
        <v>182</v>
      </c>
      <c r="AU105" s="109">
        <f t="shared" si="85"/>
        <v>305</v>
      </c>
      <c r="AX105" s="109">
        <v>101</v>
      </c>
      <c r="AY105" s="14">
        <f t="shared" si="69"/>
        <v>11</v>
      </c>
      <c r="AZ105" s="14">
        <f t="shared" si="86"/>
        <v>1</v>
      </c>
      <c r="BA105" s="14">
        <f t="shared" si="108"/>
        <v>400</v>
      </c>
      <c r="BB105" s="14">
        <f t="shared" si="70"/>
        <v>1800</v>
      </c>
      <c r="BC105" s="14">
        <f t="shared" si="71"/>
        <v>4500</v>
      </c>
      <c r="BF105" s="109">
        <v>101</v>
      </c>
      <c r="BG105" s="14">
        <f t="shared" si="87"/>
        <v>11</v>
      </c>
      <c r="BH105" s="14">
        <f t="shared" si="88"/>
        <v>1</v>
      </c>
      <c r="BI105" s="14">
        <f t="shared" si="72"/>
        <v>1900</v>
      </c>
      <c r="BJ105" s="14">
        <f t="shared" si="73"/>
        <v>3600</v>
      </c>
      <c r="BK105" s="14">
        <f t="shared" si="74"/>
        <v>9000</v>
      </c>
    </row>
    <row r="106" spans="42:63" ht="16.5" x14ac:dyDescent="0.2">
      <c r="AP106" s="24">
        <v>102</v>
      </c>
      <c r="AQ106" s="14">
        <f t="shared" si="81"/>
        <v>26</v>
      </c>
      <c r="AR106" s="109">
        <f t="shared" si="82"/>
        <v>2</v>
      </c>
      <c r="AS106" s="109">
        <f t="shared" si="83"/>
        <v>65</v>
      </c>
      <c r="AT106" s="109">
        <f t="shared" si="84"/>
        <v>184</v>
      </c>
      <c r="AU106" s="109">
        <f t="shared" si="85"/>
        <v>310</v>
      </c>
      <c r="AX106" s="109">
        <v>102</v>
      </c>
      <c r="AY106" s="14">
        <f t="shared" si="69"/>
        <v>11</v>
      </c>
      <c r="AZ106" s="14">
        <f t="shared" si="86"/>
        <v>2</v>
      </c>
      <c r="BA106" s="14">
        <f t="shared" si="108"/>
        <v>400</v>
      </c>
      <c r="BB106" s="14">
        <f t="shared" si="70"/>
        <v>1800</v>
      </c>
      <c r="BC106" s="14">
        <f t="shared" si="71"/>
        <v>4500</v>
      </c>
      <c r="BF106" s="109">
        <v>102</v>
      </c>
      <c r="BG106" s="14">
        <f t="shared" si="87"/>
        <v>11</v>
      </c>
      <c r="BH106" s="14">
        <f t="shared" si="88"/>
        <v>2</v>
      </c>
      <c r="BI106" s="14">
        <f t="shared" si="72"/>
        <v>1900</v>
      </c>
      <c r="BJ106" s="14">
        <f t="shared" si="73"/>
        <v>3600</v>
      </c>
      <c r="BK106" s="14">
        <f t="shared" si="74"/>
        <v>9000</v>
      </c>
    </row>
    <row r="107" spans="42:63" ht="16.5" x14ac:dyDescent="0.2">
      <c r="AP107" s="24">
        <v>103</v>
      </c>
      <c r="AQ107" s="14">
        <f t="shared" si="81"/>
        <v>26</v>
      </c>
      <c r="AR107" s="109">
        <f t="shared" si="82"/>
        <v>3</v>
      </c>
      <c r="AS107" s="109">
        <f t="shared" si="83"/>
        <v>65</v>
      </c>
      <c r="AT107" s="109">
        <f t="shared" si="84"/>
        <v>186</v>
      </c>
      <c r="AU107" s="109">
        <f t="shared" si="85"/>
        <v>315</v>
      </c>
      <c r="AX107" s="109">
        <v>103</v>
      </c>
      <c r="AY107" s="14">
        <f t="shared" si="69"/>
        <v>11</v>
      </c>
      <c r="AZ107" s="14">
        <f t="shared" si="86"/>
        <v>3</v>
      </c>
      <c r="BA107" s="14">
        <f t="shared" si="108"/>
        <v>400</v>
      </c>
      <c r="BB107" s="14">
        <f t="shared" si="70"/>
        <v>1800</v>
      </c>
      <c r="BC107" s="14">
        <f t="shared" si="71"/>
        <v>4500</v>
      </c>
      <c r="BF107" s="109">
        <v>103</v>
      </c>
      <c r="BG107" s="14">
        <f t="shared" si="87"/>
        <v>11</v>
      </c>
      <c r="BH107" s="14">
        <f t="shared" si="88"/>
        <v>3</v>
      </c>
      <c r="BI107" s="14">
        <f t="shared" si="72"/>
        <v>1900</v>
      </c>
      <c r="BJ107" s="14">
        <f t="shared" si="73"/>
        <v>3600</v>
      </c>
      <c r="BK107" s="14">
        <f t="shared" si="74"/>
        <v>9000</v>
      </c>
    </row>
    <row r="108" spans="42:63" ht="16.5" x14ac:dyDescent="0.2">
      <c r="AP108" s="24">
        <v>104</v>
      </c>
      <c r="AQ108" s="14">
        <f t="shared" si="81"/>
        <v>26</v>
      </c>
      <c r="AR108" s="109">
        <f t="shared" si="82"/>
        <v>4</v>
      </c>
      <c r="AS108" s="109">
        <f t="shared" si="83"/>
        <v>65</v>
      </c>
      <c r="AT108" s="109">
        <f t="shared" si="84"/>
        <v>188</v>
      </c>
      <c r="AU108" s="109">
        <f t="shared" si="85"/>
        <v>320</v>
      </c>
      <c r="AX108" s="109">
        <v>104</v>
      </c>
      <c r="AY108" s="14">
        <f t="shared" si="69"/>
        <v>11</v>
      </c>
      <c r="AZ108" s="14">
        <f t="shared" si="86"/>
        <v>4</v>
      </c>
      <c r="BA108" s="14">
        <f t="shared" si="108"/>
        <v>400</v>
      </c>
      <c r="BB108" s="14">
        <f t="shared" si="70"/>
        <v>1800</v>
      </c>
      <c r="BC108" s="14">
        <f t="shared" si="71"/>
        <v>4500</v>
      </c>
      <c r="BF108" s="109">
        <v>104</v>
      </c>
      <c r="BG108" s="14">
        <f t="shared" si="87"/>
        <v>11</v>
      </c>
      <c r="BH108" s="14">
        <f t="shared" si="88"/>
        <v>4</v>
      </c>
      <c r="BI108" s="14">
        <f t="shared" si="72"/>
        <v>1900</v>
      </c>
      <c r="BJ108" s="14">
        <f t="shared" si="73"/>
        <v>3600</v>
      </c>
      <c r="BK108" s="14">
        <f t="shared" si="74"/>
        <v>9000</v>
      </c>
    </row>
    <row r="109" spans="42:63" ht="16.5" x14ac:dyDescent="0.2">
      <c r="AP109" s="24">
        <v>105</v>
      </c>
      <c r="AQ109" s="14">
        <f t="shared" si="81"/>
        <v>27</v>
      </c>
      <c r="AR109" s="109">
        <f t="shared" si="82"/>
        <v>1</v>
      </c>
      <c r="AS109" s="109">
        <f t="shared" si="83"/>
        <v>70</v>
      </c>
      <c r="AT109" s="109">
        <f t="shared" si="84"/>
        <v>192</v>
      </c>
      <c r="AU109" s="109">
        <f t="shared" si="85"/>
        <v>330</v>
      </c>
      <c r="AX109" s="109">
        <v>105</v>
      </c>
      <c r="AY109" s="14">
        <f t="shared" si="69"/>
        <v>11</v>
      </c>
      <c r="AZ109" s="14">
        <f t="shared" si="86"/>
        <v>5</v>
      </c>
      <c r="BA109" s="14">
        <f t="shared" si="108"/>
        <v>400</v>
      </c>
      <c r="BB109" s="14">
        <f t="shared" si="70"/>
        <v>1800</v>
      </c>
      <c r="BC109" s="14">
        <f t="shared" si="71"/>
        <v>4500</v>
      </c>
      <c r="BF109" s="109">
        <v>105</v>
      </c>
      <c r="BG109" s="14">
        <f t="shared" si="87"/>
        <v>11</v>
      </c>
      <c r="BH109" s="14">
        <f t="shared" si="88"/>
        <v>5</v>
      </c>
      <c r="BI109" s="14">
        <f t="shared" si="72"/>
        <v>1900</v>
      </c>
      <c r="BJ109" s="14">
        <f t="shared" si="73"/>
        <v>3600</v>
      </c>
      <c r="BK109" s="14">
        <f t="shared" si="74"/>
        <v>9000</v>
      </c>
    </row>
    <row r="110" spans="42:63" ht="16.5" x14ac:dyDescent="0.2">
      <c r="AP110" s="24">
        <v>106</v>
      </c>
      <c r="AQ110" s="14">
        <f t="shared" si="81"/>
        <v>27</v>
      </c>
      <c r="AR110" s="109">
        <f t="shared" si="82"/>
        <v>2</v>
      </c>
      <c r="AS110" s="109">
        <f t="shared" si="83"/>
        <v>70</v>
      </c>
      <c r="AT110" s="109">
        <f t="shared" si="84"/>
        <v>194</v>
      </c>
      <c r="AU110" s="109">
        <f t="shared" si="85"/>
        <v>335</v>
      </c>
      <c r="AX110" s="109">
        <v>106</v>
      </c>
      <c r="AY110" s="14">
        <f t="shared" si="69"/>
        <v>11</v>
      </c>
      <c r="AZ110" s="14">
        <f t="shared" si="86"/>
        <v>6</v>
      </c>
      <c r="BA110" s="14">
        <f t="shared" si="108"/>
        <v>400</v>
      </c>
      <c r="BB110" s="14">
        <f t="shared" si="70"/>
        <v>1800</v>
      </c>
      <c r="BC110" s="14">
        <f t="shared" si="71"/>
        <v>4500</v>
      </c>
      <c r="BF110" s="109">
        <v>106</v>
      </c>
      <c r="BG110" s="14">
        <f t="shared" si="87"/>
        <v>11</v>
      </c>
      <c r="BH110" s="14">
        <f t="shared" si="88"/>
        <v>6</v>
      </c>
      <c r="BI110" s="14">
        <f t="shared" si="72"/>
        <v>1900</v>
      </c>
      <c r="BJ110" s="14">
        <f t="shared" si="73"/>
        <v>3600</v>
      </c>
      <c r="BK110" s="14">
        <f t="shared" si="74"/>
        <v>9000</v>
      </c>
    </row>
    <row r="111" spans="42:63" ht="16.5" x14ac:dyDescent="0.2">
      <c r="AP111" s="24">
        <v>107</v>
      </c>
      <c r="AQ111" s="14">
        <f t="shared" si="81"/>
        <v>27</v>
      </c>
      <c r="AR111" s="109">
        <f t="shared" si="82"/>
        <v>3</v>
      </c>
      <c r="AS111" s="109">
        <f t="shared" si="83"/>
        <v>70</v>
      </c>
      <c r="AT111" s="109">
        <f t="shared" si="84"/>
        <v>196</v>
      </c>
      <c r="AU111" s="109">
        <f t="shared" si="85"/>
        <v>340</v>
      </c>
      <c r="AX111" s="109">
        <v>107</v>
      </c>
      <c r="AY111" s="14">
        <f t="shared" si="69"/>
        <v>11</v>
      </c>
      <c r="AZ111" s="14">
        <f t="shared" si="86"/>
        <v>7</v>
      </c>
      <c r="BA111" s="14">
        <f t="shared" si="108"/>
        <v>400</v>
      </c>
      <c r="BB111" s="14">
        <f t="shared" si="70"/>
        <v>1800</v>
      </c>
      <c r="BC111" s="14">
        <f t="shared" si="71"/>
        <v>4500</v>
      </c>
      <c r="BF111" s="109">
        <v>107</v>
      </c>
      <c r="BG111" s="14">
        <f t="shared" si="87"/>
        <v>11</v>
      </c>
      <c r="BH111" s="14">
        <f t="shared" si="88"/>
        <v>7</v>
      </c>
      <c r="BI111" s="14">
        <f t="shared" si="72"/>
        <v>1900</v>
      </c>
      <c r="BJ111" s="14">
        <f t="shared" si="73"/>
        <v>3600</v>
      </c>
      <c r="BK111" s="14">
        <f t="shared" si="74"/>
        <v>9000</v>
      </c>
    </row>
    <row r="112" spans="42:63" ht="16.5" x14ac:dyDescent="0.2">
      <c r="AP112" s="24">
        <v>108</v>
      </c>
      <c r="AQ112" s="14">
        <f t="shared" si="81"/>
        <v>27</v>
      </c>
      <c r="AR112" s="109">
        <f t="shared" si="82"/>
        <v>4</v>
      </c>
      <c r="AS112" s="109">
        <f t="shared" si="83"/>
        <v>70</v>
      </c>
      <c r="AT112" s="109">
        <f t="shared" si="84"/>
        <v>198</v>
      </c>
      <c r="AU112" s="109">
        <f t="shared" si="85"/>
        <v>345</v>
      </c>
      <c r="AX112" s="109">
        <v>108</v>
      </c>
      <c r="AY112" s="14">
        <f t="shared" si="69"/>
        <v>11</v>
      </c>
      <c r="AZ112" s="14">
        <f t="shared" si="86"/>
        <v>8</v>
      </c>
      <c r="BA112" s="14">
        <f t="shared" si="108"/>
        <v>400</v>
      </c>
      <c r="BB112" s="14">
        <f t="shared" si="70"/>
        <v>1800</v>
      </c>
      <c r="BC112" s="14">
        <f t="shared" si="71"/>
        <v>4500</v>
      </c>
      <c r="BF112" s="109">
        <v>108</v>
      </c>
      <c r="BG112" s="14">
        <f t="shared" si="87"/>
        <v>11</v>
      </c>
      <c r="BH112" s="14">
        <f t="shared" si="88"/>
        <v>8</v>
      </c>
      <c r="BI112" s="14">
        <f t="shared" si="72"/>
        <v>1900</v>
      </c>
      <c r="BJ112" s="14">
        <f t="shared" si="73"/>
        <v>3600</v>
      </c>
      <c r="BK112" s="14">
        <f t="shared" si="74"/>
        <v>9000</v>
      </c>
    </row>
    <row r="113" spans="42:63" ht="16.5" x14ac:dyDescent="0.2">
      <c r="AP113" s="24">
        <v>109</v>
      </c>
      <c r="AQ113" s="14">
        <f t="shared" si="81"/>
        <v>28</v>
      </c>
      <c r="AR113" s="109">
        <f t="shared" si="82"/>
        <v>1</v>
      </c>
      <c r="AS113" s="109">
        <f t="shared" si="83"/>
        <v>75</v>
      </c>
      <c r="AT113" s="109">
        <f t="shared" si="84"/>
        <v>202</v>
      </c>
      <c r="AU113" s="109">
        <f t="shared" si="85"/>
        <v>355</v>
      </c>
      <c r="AX113" s="109">
        <v>109</v>
      </c>
      <c r="AY113" s="14">
        <f t="shared" si="69"/>
        <v>11</v>
      </c>
      <c r="AZ113" s="14">
        <f t="shared" si="86"/>
        <v>9</v>
      </c>
      <c r="BA113" s="14">
        <f t="shared" si="108"/>
        <v>400</v>
      </c>
      <c r="BB113" s="14">
        <f t="shared" si="70"/>
        <v>1800</v>
      </c>
      <c r="BC113" s="14">
        <f t="shared" si="71"/>
        <v>4500</v>
      </c>
      <c r="BF113" s="109">
        <v>109</v>
      </c>
      <c r="BG113" s="14">
        <f t="shared" si="87"/>
        <v>11</v>
      </c>
      <c r="BH113" s="14">
        <f t="shared" si="88"/>
        <v>9</v>
      </c>
      <c r="BI113" s="14">
        <f t="shared" si="72"/>
        <v>1900</v>
      </c>
      <c r="BJ113" s="14">
        <f t="shared" si="73"/>
        <v>3600</v>
      </c>
      <c r="BK113" s="14">
        <f t="shared" si="74"/>
        <v>9000</v>
      </c>
    </row>
    <row r="114" spans="42:63" ht="16.5" x14ac:dyDescent="0.2">
      <c r="AP114" s="24">
        <v>110</v>
      </c>
      <c r="AQ114" s="14">
        <f t="shared" si="81"/>
        <v>28</v>
      </c>
      <c r="AR114" s="109">
        <f t="shared" si="82"/>
        <v>2</v>
      </c>
      <c r="AS114" s="109">
        <f t="shared" si="83"/>
        <v>75</v>
      </c>
      <c r="AT114" s="109">
        <f t="shared" si="84"/>
        <v>204</v>
      </c>
      <c r="AU114" s="109">
        <f t="shared" si="85"/>
        <v>360</v>
      </c>
      <c r="AX114" s="109">
        <v>110</v>
      </c>
      <c r="AY114" s="14">
        <f t="shared" si="69"/>
        <v>11</v>
      </c>
      <c r="AZ114" s="14">
        <f t="shared" si="86"/>
        <v>10</v>
      </c>
      <c r="BA114" s="14">
        <f t="shared" si="108"/>
        <v>400</v>
      </c>
      <c r="BB114" s="14">
        <f t="shared" si="70"/>
        <v>1800</v>
      </c>
      <c r="BC114" s="14">
        <f t="shared" si="71"/>
        <v>4500</v>
      </c>
      <c r="BF114" s="109">
        <v>110</v>
      </c>
      <c r="BG114" s="14">
        <f t="shared" si="87"/>
        <v>11</v>
      </c>
      <c r="BH114" s="14">
        <f t="shared" si="88"/>
        <v>10</v>
      </c>
      <c r="BI114" s="14">
        <f t="shared" si="72"/>
        <v>1900</v>
      </c>
      <c r="BJ114" s="14">
        <f t="shared" si="73"/>
        <v>3600</v>
      </c>
      <c r="BK114" s="14">
        <f t="shared" si="74"/>
        <v>9000</v>
      </c>
    </row>
    <row r="115" spans="42:63" ht="16.5" x14ac:dyDescent="0.2">
      <c r="AP115" s="24">
        <v>111</v>
      </c>
      <c r="AQ115" s="14">
        <f t="shared" si="81"/>
        <v>28</v>
      </c>
      <c r="AR115" s="109">
        <f t="shared" si="82"/>
        <v>3</v>
      </c>
      <c r="AS115" s="109">
        <f t="shared" si="83"/>
        <v>75</v>
      </c>
      <c r="AT115" s="109">
        <f t="shared" si="84"/>
        <v>206</v>
      </c>
      <c r="AU115" s="109">
        <f t="shared" si="85"/>
        <v>365</v>
      </c>
      <c r="AX115" s="109">
        <v>111</v>
      </c>
      <c r="AY115" s="14">
        <f t="shared" si="69"/>
        <v>12</v>
      </c>
      <c r="AZ115" s="14">
        <f t="shared" si="86"/>
        <v>1</v>
      </c>
      <c r="BA115" s="14">
        <f t="shared" si="108"/>
        <v>440</v>
      </c>
      <c r="BB115" s="14">
        <f t="shared" si="70"/>
        <v>1950</v>
      </c>
      <c r="BC115" s="14">
        <f t="shared" si="71"/>
        <v>4950</v>
      </c>
      <c r="BF115" s="109">
        <v>111</v>
      </c>
      <c r="BG115" s="14">
        <f t="shared" si="87"/>
        <v>12</v>
      </c>
      <c r="BH115" s="14">
        <f t="shared" si="88"/>
        <v>1</v>
      </c>
      <c r="BI115" s="14">
        <f t="shared" si="72"/>
        <v>2650</v>
      </c>
      <c r="BJ115" s="14">
        <f t="shared" si="73"/>
        <v>3900</v>
      </c>
      <c r="BK115" s="14">
        <f t="shared" si="74"/>
        <v>9900</v>
      </c>
    </row>
    <row r="116" spans="42:63" ht="16.5" x14ac:dyDescent="0.2">
      <c r="AP116" s="24">
        <v>112</v>
      </c>
      <c r="AQ116" s="14">
        <f t="shared" si="81"/>
        <v>28</v>
      </c>
      <c r="AR116" s="109">
        <f t="shared" si="82"/>
        <v>4</v>
      </c>
      <c r="AS116" s="109">
        <f t="shared" si="83"/>
        <v>75</v>
      </c>
      <c r="AT116" s="109">
        <f t="shared" si="84"/>
        <v>208</v>
      </c>
      <c r="AU116" s="109">
        <f t="shared" si="85"/>
        <v>370</v>
      </c>
      <c r="AX116" s="109">
        <v>112</v>
      </c>
      <c r="AY116" s="14">
        <f t="shared" si="69"/>
        <v>12</v>
      </c>
      <c r="AZ116" s="14">
        <f t="shared" si="86"/>
        <v>2</v>
      </c>
      <c r="BA116" s="14">
        <f t="shared" si="108"/>
        <v>440</v>
      </c>
      <c r="BB116" s="14">
        <f t="shared" si="70"/>
        <v>1950</v>
      </c>
      <c r="BC116" s="14">
        <f t="shared" si="71"/>
        <v>4950</v>
      </c>
      <c r="BF116" s="109">
        <v>112</v>
      </c>
      <c r="BG116" s="14">
        <f t="shared" si="87"/>
        <v>12</v>
      </c>
      <c r="BH116" s="14">
        <f t="shared" si="88"/>
        <v>2</v>
      </c>
      <c r="BI116" s="14">
        <f t="shared" si="72"/>
        <v>2650</v>
      </c>
      <c r="BJ116" s="14">
        <f t="shared" si="73"/>
        <v>3900</v>
      </c>
      <c r="BK116" s="14">
        <f t="shared" si="74"/>
        <v>9900</v>
      </c>
    </row>
    <row r="117" spans="42:63" ht="16.5" x14ac:dyDescent="0.2">
      <c r="AP117" s="24">
        <v>113</v>
      </c>
      <c r="AQ117" s="14">
        <f t="shared" si="81"/>
        <v>29</v>
      </c>
      <c r="AR117" s="109">
        <f t="shared" si="82"/>
        <v>1</v>
      </c>
      <c r="AS117" s="109">
        <f t="shared" si="83"/>
        <v>80</v>
      </c>
      <c r="AT117" s="109">
        <f t="shared" si="84"/>
        <v>212</v>
      </c>
      <c r="AU117" s="109">
        <f t="shared" si="85"/>
        <v>380</v>
      </c>
      <c r="AX117" s="109">
        <v>113</v>
      </c>
      <c r="AY117" s="14">
        <f t="shared" si="69"/>
        <v>12</v>
      </c>
      <c r="AZ117" s="14">
        <f t="shared" si="86"/>
        <v>3</v>
      </c>
      <c r="BA117" s="14">
        <f t="shared" si="108"/>
        <v>440</v>
      </c>
      <c r="BB117" s="14">
        <f t="shared" si="70"/>
        <v>1950</v>
      </c>
      <c r="BC117" s="14">
        <f t="shared" si="71"/>
        <v>4950</v>
      </c>
      <c r="BF117" s="109">
        <v>113</v>
      </c>
      <c r="BG117" s="14">
        <f t="shared" si="87"/>
        <v>12</v>
      </c>
      <c r="BH117" s="14">
        <f t="shared" si="88"/>
        <v>3</v>
      </c>
      <c r="BI117" s="14">
        <f t="shared" si="72"/>
        <v>2650</v>
      </c>
      <c r="BJ117" s="14">
        <f t="shared" si="73"/>
        <v>3900</v>
      </c>
      <c r="BK117" s="14">
        <f t="shared" si="74"/>
        <v>9900</v>
      </c>
    </row>
    <row r="118" spans="42:63" ht="16.5" x14ac:dyDescent="0.2">
      <c r="AP118" s="24">
        <v>114</v>
      </c>
      <c r="AQ118" s="14">
        <f t="shared" si="81"/>
        <v>29</v>
      </c>
      <c r="AR118" s="109">
        <f t="shared" si="82"/>
        <v>2</v>
      </c>
      <c r="AS118" s="109">
        <f t="shared" si="83"/>
        <v>80</v>
      </c>
      <c r="AT118" s="109">
        <f t="shared" si="84"/>
        <v>214</v>
      </c>
      <c r="AU118" s="109">
        <f t="shared" si="85"/>
        <v>385</v>
      </c>
      <c r="AX118" s="109">
        <v>114</v>
      </c>
      <c r="AY118" s="14">
        <f t="shared" si="69"/>
        <v>12</v>
      </c>
      <c r="AZ118" s="14">
        <f t="shared" si="86"/>
        <v>4</v>
      </c>
      <c r="BA118" s="14">
        <f t="shared" si="108"/>
        <v>440</v>
      </c>
      <c r="BB118" s="14">
        <f t="shared" si="70"/>
        <v>1950</v>
      </c>
      <c r="BC118" s="14">
        <f t="shared" si="71"/>
        <v>4950</v>
      </c>
      <c r="BF118" s="109">
        <v>114</v>
      </c>
      <c r="BG118" s="14">
        <f t="shared" si="87"/>
        <v>12</v>
      </c>
      <c r="BH118" s="14">
        <f t="shared" si="88"/>
        <v>4</v>
      </c>
      <c r="BI118" s="14">
        <f t="shared" si="72"/>
        <v>2650</v>
      </c>
      <c r="BJ118" s="14">
        <f t="shared" si="73"/>
        <v>3900</v>
      </c>
      <c r="BK118" s="14">
        <f t="shared" si="74"/>
        <v>9900</v>
      </c>
    </row>
    <row r="119" spans="42:63" ht="16.5" x14ac:dyDescent="0.2">
      <c r="AP119" s="24">
        <v>115</v>
      </c>
      <c r="AQ119" s="14">
        <f t="shared" si="81"/>
        <v>29</v>
      </c>
      <c r="AR119" s="109">
        <f t="shared" si="82"/>
        <v>3</v>
      </c>
      <c r="AS119" s="109">
        <f t="shared" si="83"/>
        <v>80</v>
      </c>
      <c r="AT119" s="109">
        <f t="shared" si="84"/>
        <v>216</v>
      </c>
      <c r="AU119" s="109">
        <f t="shared" si="85"/>
        <v>390</v>
      </c>
      <c r="AX119" s="109">
        <v>115</v>
      </c>
      <c r="AY119" s="14">
        <f t="shared" si="69"/>
        <v>12</v>
      </c>
      <c r="AZ119" s="14">
        <f t="shared" si="86"/>
        <v>5</v>
      </c>
      <c r="BA119" s="14">
        <f t="shared" si="108"/>
        <v>440</v>
      </c>
      <c r="BB119" s="14">
        <f t="shared" si="70"/>
        <v>1950</v>
      </c>
      <c r="BC119" s="14">
        <f t="shared" si="71"/>
        <v>4950</v>
      </c>
      <c r="BF119" s="109">
        <v>115</v>
      </c>
      <c r="BG119" s="14">
        <f t="shared" si="87"/>
        <v>12</v>
      </c>
      <c r="BH119" s="14">
        <f t="shared" si="88"/>
        <v>5</v>
      </c>
      <c r="BI119" s="14">
        <f t="shared" si="72"/>
        <v>2650</v>
      </c>
      <c r="BJ119" s="14">
        <f t="shared" si="73"/>
        <v>3900</v>
      </c>
      <c r="BK119" s="14">
        <f t="shared" si="74"/>
        <v>9900</v>
      </c>
    </row>
    <row r="120" spans="42:63" ht="16.5" x14ac:dyDescent="0.2">
      <c r="AP120" s="24">
        <v>116</v>
      </c>
      <c r="AQ120" s="14">
        <f t="shared" si="81"/>
        <v>29</v>
      </c>
      <c r="AR120" s="109">
        <f t="shared" si="82"/>
        <v>4</v>
      </c>
      <c r="AS120" s="109">
        <f t="shared" si="83"/>
        <v>80</v>
      </c>
      <c r="AT120" s="109">
        <f t="shared" si="84"/>
        <v>218</v>
      </c>
      <c r="AU120" s="109">
        <f t="shared" si="85"/>
        <v>395</v>
      </c>
      <c r="AX120" s="109">
        <v>116</v>
      </c>
      <c r="AY120" s="14">
        <f t="shared" si="69"/>
        <v>12</v>
      </c>
      <c r="AZ120" s="14">
        <f t="shared" si="86"/>
        <v>6</v>
      </c>
      <c r="BA120" s="14">
        <f t="shared" si="108"/>
        <v>440</v>
      </c>
      <c r="BB120" s="14">
        <f t="shared" si="70"/>
        <v>1950</v>
      </c>
      <c r="BC120" s="14">
        <f t="shared" si="71"/>
        <v>4950</v>
      </c>
      <c r="BF120" s="109">
        <v>116</v>
      </c>
      <c r="BG120" s="14">
        <f t="shared" si="87"/>
        <v>12</v>
      </c>
      <c r="BH120" s="14">
        <f t="shared" si="88"/>
        <v>6</v>
      </c>
      <c r="BI120" s="14">
        <f t="shared" si="72"/>
        <v>2650</v>
      </c>
      <c r="BJ120" s="14">
        <f t="shared" si="73"/>
        <v>3900</v>
      </c>
      <c r="BK120" s="14">
        <f t="shared" si="74"/>
        <v>9900</v>
      </c>
    </row>
    <row r="121" spans="42:63" ht="16.5" x14ac:dyDescent="0.2">
      <c r="AP121" s="24">
        <v>117</v>
      </c>
      <c r="AQ121" s="14">
        <f t="shared" si="81"/>
        <v>30</v>
      </c>
      <c r="AR121" s="109">
        <f t="shared" si="82"/>
        <v>1</v>
      </c>
      <c r="AS121" s="109">
        <f t="shared" si="83"/>
        <v>80</v>
      </c>
      <c r="AT121" s="109">
        <f t="shared" si="84"/>
        <v>220</v>
      </c>
      <c r="AU121" s="109">
        <f t="shared" si="85"/>
        <v>416</v>
      </c>
      <c r="AX121" s="109">
        <v>117</v>
      </c>
      <c r="AY121" s="14">
        <f t="shared" si="69"/>
        <v>12</v>
      </c>
      <c r="AZ121" s="14">
        <f t="shared" si="86"/>
        <v>7</v>
      </c>
      <c r="BA121" s="14">
        <f t="shared" si="108"/>
        <v>440</v>
      </c>
      <c r="BB121" s="14">
        <f t="shared" si="70"/>
        <v>1950</v>
      </c>
      <c r="BC121" s="14">
        <f t="shared" si="71"/>
        <v>4950</v>
      </c>
      <c r="BF121" s="109">
        <v>117</v>
      </c>
      <c r="BG121" s="14">
        <f t="shared" si="87"/>
        <v>12</v>
      </c>
      <c r="BH121" s="14">
        <f t="shared" si="88"/>
        <v>7</v>
      </c>
      <c r="BI121" s="14">
        <f t="shared" si="72"/>
        <v>2650</v>
      </c>
      <c r="BJ121" s="14">
        <f t="shared" si="73"/>
        <v>3900</v>
      </c>
      <c r="BK121" s="14">
        <f t="shared" si="74"/>
        <v>9900</v>
      </c>
    </row>
    <row r="122" spans="42:63" ht="16.5" x14ac:dyDescent="0.2">
      <c r="AP122" s="24">
        <v>118</v>
      </c>
      <c r="AQ122" s="14">
        <f t="shared" si="81"/>
        <v>30</v>
      </c>
      <c r="AR122" s="109">
        <f t="shared" si="82"/>
        <v>2</v>
      </c>
      <c r="AS122" s="109">
        <f t="shared" si="83"/>
        <v>80</v>
      </c>
      <c r="AT122" s="109">
        <f t="shared" si="84"/>
        <v>220</v>
      </c>
      <c r="AU122" s="109">
        <f t="shared" si="85"/>
        <v>432</v>
      </c>
      <c r="AX122" s="109">
        <v>118</v>
      </c>
      <c r="AY122" s="14">
        <f t="shared" si="69"/>
        <v>12</v>
      </c>
      <c r="AZ122" s="14">
        <f t="shared" si="86"/>
        <v>8</v>
      </c>
      <c r="BA122" s="14">
        <f t="shared" si="108"/>
        <v>440</v>
      </c>
      <c r="BB122" s="14">
        <f t="shared" si="70"/>
        <v>1950</v>
      </c>
      <c r="BC122" s="14">
        <f t="shared" si="71"/>
        <v>4950</v>
      </c>
      <c r="BF122" s="109">
        <v>118</v>
      </c>
      <c r="BG122" s="14">
        <f t="shared" si="87"/>
        <v>12</v>
      </c>
      <c r="BH122" s="14">
        <f t="shared" si="88"/>
        <v>8</v>
      </c>
      <c r="BI122" s="14">
        <f t="shared" si="72"/>
        <v>2650</v>
      </c>
      <c r="BJ122" s="14">
        <f t="shared" si="73"/>
        <v>3900</v>
      </c>
      <c r="BK122" s="14">
        <f t="shared" si="74"/>
        <v>9900</v>
      </c>
    </row>
    <row r="123" spans="42:63" ht="16.5" x14ac:dyDescent="0.2">
      <c r="AP123" s="24">
        <v>119</v>
      </c>
      <c r="AQ123" s="14">
        <f t="shared" si="81"/>
        <v>30</v>
      </c>
      <c r="AR123" s="109">
        <f t="shared" si="82"/>
        <v>3</v>
      </c>
      <c r="AS123" s="109">
        <f t="shared" si="83"/>
        <v>80</v>
      </c>
      <c r="AT123" s="109">
        <f t="shared" si="84"/>
        <v>220</v>
      </c>
      <c r="AU123" s="109">
        <f t="shared" si="85"/>
        <v>448</v>
      </c>
      <c r="AX123" s="109">
        <v>119</v>
      </c>
      <c r="AY123" s="14">
        <f t="shared" si="69"/>
        <v>12</v>
      </c>
      <c r="AZ123" s="14">
        <f t="shared" si="86"/>
        <v>9</v>
      </c>
      <c r="BA123" s="14">
        <f t="shared" si="108"/>
        <v>440</v>
      </c>
      <c r="BB123" s="14">
        <f t="shared" si="70"/>
        <v>1950</v>
      </c>
      <c r="BC123" s="14">
        <f t="shared" si="71"/>
        <v>4950</v>
      </c>
      <c r="BF123" s="109">
        <v>119</v>
      </c>
      <c r="BG123" s="14">
        <f t="shared" si="87"/>
        <v>12</v>
      </c>
      <c r="BH123" s="14">
        <f t="shared" si="88"/>
        <v>9</v>
      </c>
      <c r="BI123" s="14">
        <f t="shared" si="72"/>
        <v>2650</v>
      </c>
      <c r="BJ123" s="14">
        <f t="shared" si="73"/>
        <v>3900</v>
      </c>
      <c r="BK123" s="14">
        <f t="shared" si="74"/>
        <v>9900</v>
      </c>
    </row>
    <row r="124" spans="42:63" ht="16.5" x14ac:dyDescent="0.2">
      <c r="AP124" s="24">
        <v>120</v>
      </c>
      <c r="AQ124" s="14">
        <f t="shared" si="81"/>
        <v>30</v>
      </c>
      <c r="AR124" s="109">
        <f t="shared" si="82"/>
        <v>4</v>
      </c>
      <c r="AS124" s="109">
        <f t="shared" si="83"/>
        <v>80</v>
      </c>
      <c r="AT124" s="109">
        <f t="shared" si="84"/>
        <v>220</v>
      </c>
      <c r="AU124" s="109">
        <f t="shared" si="85"/>
        <v>464</v>
      </c>
      <c r="AX124" s="109">
        <v>120</v>
      </c>
      <c r="AY124" s="14">
        <f t="shared" si="69"/>
        <v>12</v>
      </c>
      <c r="AZ124" s="14">
        <f t="shared" si="86"/>
        <v>10</v>
      </c>
      <c r="BA124" s="14">
        <f t="shared" si="108"/>
        <v>440</v>
      </c>
      <c r="BB124" s="14">
        <f t="shared" si="70"/>
        <v>1950</v>
      </c>
      <c r="BC124" s="14">
        <f t="shared" si="71"/>
        <v>4950</v>
      </c>
      <c r="BF124" s="109">
        <v>120</v>
      </c>
      <c r="BG124" s="14">
        <f t="shared" si="87"/>
        <v>12</v>
      </c>
      <c r="BH124" s="14">
        <f t="shared" si="88"/>
        <v>10</v>
      </c>
      <c r="BI124" s="14">
        <f t="shared" si="72"/>
        <v>2650</v>
      </c>
      <c r="BJ124" s="14">
        <f t="shared" si="73"/>
        <v>3900</v>
      </c>
      <c r="BK124" s="14">
        <f t="shared" si="74"/>
        <v>9900</v>
      </c>
    </row>
    <row r="125" spans="42:63" ht="16.5" x14ac:dyDescent="0.2">
      <c r="AP125" s="110"/>
      <c r="AQ125" s="110"/>
      <c r="AR125" s="110"/>
      <c r="AS125" s="110"/>
      <c r="AT125" s="110"/>
      <c r="AU125" s="110"/>
      <c r="AX125" s="109">
        <v>121</v>
      </c>
      <c r="AY125" s="14">
        <f t="shared" si="69"/>
        <v>13</v>
      </c>
      <c r="AZ125" s="14">
        <f t="shared" si="86"/>
        <v>1</v>
      </c>
      <c r="BA125" s="14">
        <f t="shared" si="108"/>
        <v>500</v>
      </c>
      <c r="BB125" s="14">
        <f t="shared" si="70"/>
        <v>2100</v>
      </c>
      <c r="BC125" s="14">
        <f t="shared" si="71"/>
        <v>5625</v>
      </c>
      <c r="BF125" s="109">
        <v>121</v>
      </c>
      <c r="BG125" s="14">
        <f t="shared" si="87"/>
        <v>13</v>
      </c>
      <c r="BH125" s="14">
        <f t="shared" si="88"/>
        <v>1</v>
      </c>
      <c r="BI125" s="14">
        <f t="shared" si="72"/>
        <v>3400</v>
      </c>
      <c r="BJ125" s="14">
        <f t="shared" si="73"/>
        <v>4200</v>
      </c>
      <c r="BK125" s="14">
        <f t="shared" si="74"/>
        <v>11250</v>
      </c>
    </row>
    <row r="126" spans="42:63" ht="16.5" x14ac:dyDescent="0.2">
      <c r="AP126" s="110"/>
      <c r="AQ126" s="110"/>
      <c r="AR126" s="110"/>
      <c r="AS126" s="110"/>
      <c r="AT126" s="110"/>
      <c r="AU126" s="110"/>
      <c r="AX126" s="109">
        <v>122</v>
      </c>
      <c r="AY126" s="14">
        <f t="shared" si="69"/>
        <v>13</v>
      </c>
      <c r="AZ126" s="14">
        <f t="shared" si="86"/>
        <v>2</v>
      </c>
      <c r="BA126" s="14">
        <f t="shared" si="108"/>
        <v>500</v>
      </c>
      <c r="BB126" s="14">
        <f t="shared" si="70"/>
        <v>2100</v>
      </c>
      <c r="BC126" s="14">
        <f t="shared" si="71"/>
        <v>5625</v>
      </c>
      <c r="BF126" s="109">
        <v>122</v>
      </c>
      <c r="BG126" s="14">
        <f t="shared" si="87"/>
        <v>13</v>
      </c>
      <c r="BH126" s="14">
        <f t="shared" si="88"/>
        <v>2</v>
      </c>
      <c r="BI126" s="14">
        <f t="shared" si="72"/>
        <v>3400</v>
      </c>
      <c r="BJ126" s="14">
        <f t="shared" si="73"/>
        <v>4200</v>
      </c>
      <c r="BK126" s="14">
        <f t="shared" si="74"/>
        <v>11250</v>
      </c>
    </row>
    <row r="127" spans="42:63" ht="16.5" x14ac:dyDescent="0.2">
      <c r="AP127" s="110"/>
      <c r="AQ127" s="110"/>
      <c r="AR127" s="110"/>
      <c r="AS127" s="110"/>
      <c r="AT127" s="110"/>
      <c r="AU127" s="110"/>
      <c r="AX127" s="109">
        <v>123</v>
      </c>
      <c r="AY127" s="14">
        <f t="shared" si="69"/>
        <v>13</v>
      </c>
      <c r="AZ127" s="14">
        <f t="shared" si="86"/>
        <v>3</v>
      </c>
      <c r="BA127" s="14">
        <f t="shared" si="108"/>
        <v>500</v>
      </c>
      <c r="BB127" s="14">
        <f t="shared" si="70"/>
        <v>2100</v>
      </c>
      <c r="BC127" s="14">
        <f t="shared" si="71"/>
        <v>5625</v>
      </c>
      <c r="BF127" s="109">
        <v>123</v>
      </c>
      <c r="BG127" s="14">
        <f t="shared" si="87"/>
        <v>13</v>
      </c>
      <c r="BH127" s="14">
        <f t="shared" si="88"/>
        <v>3</v>
      </c>
      <c r="BI127" s="14">
        <f t="shared" si="72"/>
        <v>3400</v>
      </c>
      <c r="BJ127" s="14">
        <f t="shared" si="73"/>
        <v>4200</v>
      </c>
      <c r="BK127" s="14">
        <f t="shared" si="74"/>
        <v>11250</v>
      </c>
    </row>
    <row r="128" spans="42:63" ht="16.5" x14ac:dyDescent="0.2">
      <c r="AP128" s="110"/>
      <c r="AQ128" s="110"/>
      <c r="AR128" s="110"/>
      <c r="AS128" s="110"/>
      <c r="AT128" s="110"/>
      <c r="AU128" s="110"/>
      <c r="AX128" s="109">
        <v>124</v>
      </c>
      <c r="AY128" s="14">
        <f t="shared" si="69"/>
        <v>13</v>
      </c>
      <c r="AZ128" s="14">
        <f t="shared" si="86"/>
        <v>4</v>
      </c>
      <c r="BA128" s="14">
        <f t="shared" si="108"/>
        <v>500</v>
      </c>
      <c r="BB128" s="14">
        <f t="shared" si="70"/>
        <v>2100</v>
      </c>
      <c r="BC128" s="14">
        <f t="shared" si="71"/>
        <v>5625</v>
      </c>
      <c r="BF128" s="109">
        <v>124</v>
      </c>
      <c r="BG128" s="14">
        <f t="shared" si="87"/>
        <v>13</v>
      </c>
      <c r="BH128" s="14">
        <f t="shared" si="88"/>
        <v>4</v>
      </c>
      <c r="BI128" s="14">
        <f t="shared" si="72"/>
        <v>3400</v>
      </c>
      <c r="BJ128" s="14">
        <f t="shared" si="73"/>
        <v>4200</v>
      </c>
      <c r="BK128" s="14">
        <f t="shared" si="74"/>
        <v>11250</v>
      </c>
    </row>
    <row r="129" spans="42:63" ht="16.5" x14ac:dyDescent="0.2">
      <c r="AP129" s="110"/>
      <c r="AQ129" s="110"/>
      <c r="AR129" s="110"/>
      <c r="AS129" s="110"/>
      <c r="AT129" s="110"/>
      <c r="AU129" s="110"/>
      <c r="AX129" s="109">
        <v>125</v>
      </c>
      <c r="AY129" s="14">
        <f t="shared" si="69"/>
        <v>13</v>
      </c>
      <c r="AZ129" s="14">
        <f t="shared" si="86"/>
        <v>5</v>
      </c>
      <c r="BA129" s="14">
        <f t="shared" si="108"/>
        <v>500</v>
      </c>
      <c r="BB129" s="14">
        <f t="shared" si="70"/>
        <v>2100</v>
      </c>
      <c r="BC129" s="14">
        <f t="shared" si="71"/>
        <v>5625</v>
      </c>
      <c r="BF129" s="109">
        <v>125</v>
      </c>
      <c r="BG129" s="14">
        <f t="shared" si="87"/>
        <v>13</v>
      </c>
      <c r="BH129" s="14">
        <f t="shared" si="88"/>
        <v>5</v>
      </c>
      <c r="BI129" s="14">
        <f t="shared" si="72"/>
        <v>3400</v>
      </c>
      <c r="BJ129" s="14">
        <f t="shared" si="73"/>
        <v>4200</v>
      </c>
      <c r="BK129" s="14">
        <f t="shared" si="74"/>
        <v>11250</v>
      </c>
    </row>
    <row r="130" spans="42:63" ht="16.5" x14ac:dyDescent="0.2">
      <c r="AP130" s="110"/>
      <c r="AQ130" s="110"/>
      <c r="AR130" s="110"/>
      <c r="AS130" s="110"/>
      <c r="AT130" s="110"/>
      <c r="AU130" s="110"/>
      <c r="AX130" s="109">
        <v>126</v>
      </c>
      <c r="AY130" s="14">
        <f t="shared" si="69"/>
        <v>13</v>
      </c>
      <c r="AZ130" s="14">
        <f t="shared" si="86"/>
        <v>6</v>
      </c>
      <c r="BA130" s="14">
        <f t="shared" si="108"/>
        <v>500</v>
      </c>
      <c r="BB130" s="14">
        <f t="shared" si="70"/>
        <v>2100</v>
      </c>
      <c r="BC130" s="14">
        <f t="shared" si="71"/>
        <v>5625</v>
      </c>
      <c r="BF130" s="109">
        <v>126</v>
      </c>
      <c r="BG130" s="14">
        <f t="shared" si="87"/>
        <v>13</v>
      </c>
      <c r="BH130" s="14">
        <f t="shared" si="88"/>
        <v>6</v>
      </c>
      <c r="BI130" s="14">
        <f t="shared" si="72"/>
        <v>3400</v>
      </c>
      <c r="BJ130" s="14">
        <f t="shared" si="73"/>
        <v>4200</v>
      </c>
      <c r="BK130" s="14">
        <f t="shared" si="74"/>
        <v>11250</v>
      </c>
    </row>
    <row r="131" spans="42:63" ht="16.5" x14ac:dyDescent="0.2">
      <c r="AP131" s="110"/>
      <c r="AQ131" s="110"/>
      <c r="AR131" s="110"/>
      <c r="AS131" s="110"/>
      <c r="AT131" s="110"/>
      <c r="AU131" s="110"/>
      <c r="AX131" s="109">
        <v>127</v>
      </c>
      <c r="AY131" s="14">
        <f t="shared" si="69"/>
        <v>13</v>
      </c>
      <c r="AZ131" s="14">
        <f t="shared" si="86"/>
        <v>7</v>
      </c>
      <c r="BA131" s="14">
        <f t="shared" si="108"/>
        <v>500</v>
      </c>
      <c r="BB131" s="14">
        <f t="shared" si="70"/>
        <v>2100</v>
      </c>
      <c r="BC131" s="14">
        <f t="shared" si="71"/>
        <v>5625</v>
      </c>
      <c r="BF131" s="109">
        <v>127</v>
      </c>
      <c r="BG131" s="14">
        <f t="shared" si="87"/>
        <v>13</v>
      </c>
      <c r="BH131" s="14">
        <f t="shared" si="88"/>
        <v>7</v>
      </c>
      <c r="BI131" s="14">
        <f t="shared" si="72"/>
        <v>3400</v>
      </c>
      <c r="BJ131" s="14">
        <f t="shared" si="73"/>
        <v>4200</v>
      </c>
      <c r="BK131" s="14">
        <f t="shared" si="74"/>
        <v>11250</v>
      </c>
    </row>
    <row r="132" spans="42:63" ht="16.5" x14ac:dyDescent="0.2">
      <c r="AP132" s="110"/>
      <c r="AQ132" s="110"/>
      <c r="AR132" s="110"/>
      <c r="AS132" s="110"/>
      <c r="AT132" s="110"/>
      <c r="AU132" s="110"/>
      <c r="AX132" s="109">
        <v>128</v>
      </c>
      <c r="AY132" s="14">
        <f t="shared" si="69"/>
        <v>13</v>
      </c>
      <c r="AZ132" s="14">
        <f t="shared" si="86"/>
        <v>8</v>
      </c>
      <c r="BA132" s="14">
        <f t="shared" si="108"/>
        <v>500</v>
      </c>
      <c r="BB132" s="14">
        <f t="shared" si="70"/>
        <v>2100</v>
      </c>
      <c r="BC132" s="14">
        <f t="shared" si="71"/>
        <v>5625</v>
      </c>
      <c r="BF132" s="109">
        <v>128</v>
      </c>
      <c r="BG132" s="14">
        <f t="shared" si="87"/>
        <v>13</v>
      </c>
      <c r="BH132" s="14">
        <f t="shared" si="88"/>
        <v>8</v>
      </c>
      <c r="BI132" s="14">
        <f t="shared" si="72"/>
        <v>3400</v>
      </c>
      <c r="BJ132" s="14">
        <f t="shared" si="73"/>
        <v>4200</v>
      </c>
      <c r="BK132" s="14">
        <f t="shared" si="74"/>
        <v>11250</v>
      </c>
    </row>
    <row r="133" spans="42:63" ht="16.5" x14ac:dyDescent="0.2">
      <c r="AP133" s="110"/>
      <c r="AQ133" s="110"/>
      <c r="AR133" s="110"/>
      <c r="AS133" s="110"/>
      <c r="AT133" s="110"/>
      <c r="AU133" s="110"/>
      <c r="AX133" s="109">
        <v>129</v>
      </c>
      <c r="AY133" s="14">
        <f t="shared" ref="AY133:AY196" si="110">INDEX($N$5:$N$36,MATCH(AX133-1,$Q$5:$Q$36,1))+1</f>
        <v>13</v>
      </c>
      <c r="AZ133" s="14">
        <f t="shared" si="86"/>
        <v>9</v>
      </c>
      <c r="BA133" s="14">
        <f t="shared" si="108"/>
        <v>500</v>
      </c>
      <c r="BB133" s="14">
        <f t="shared" ref="BB133:BB196" si="111">INDEX($U$6:$U$35,AY133)</f>
        <v>2100</v>
      </c>
      <c r="BC133" s="14">
        <f t="shared" ref="BC133:BC196" si="112">INDEX($W$6:$W$35,AY133)</f>
        <v>5625</v>
      </c>
      <c r="BF133" s="109">
        <v>129</v>
      </c>
      <c r="BG133" s="14">
        <f t="shared" si="87"/>
        <v>13</v>
      </c>
      <c r="BH133" s="14">
        <f t="shared" si="88"/>
        <v>9</v>
      </c>
      <c r="BI133" s="14">
        <f t="shared" ref="BI133:BI196" si="113">INDEX($AG$6:$AG$35,BG133)</f>
        <v>3400</v>
      </c>
      <c r="BJ133" s="14">
        <f t="shared" ref="BJ133:BJ196" si="114">INDEX($AI$6:$AI$35,BG133)</f>
        <v>4200</v>
      </c>
      <c r="BK133" s="14">
        <f t="shared" ref="BK133:BK196" si="115">INDEX($AK$6:$AK$35,BG133)</f>
        <v>11250</v>
      </c>
    </row>
    <row r="134" spans="42:63" ht="16.5" x14ac:dyDescent="0.2">
      <c r="AP134" s="110"/>
      <c r="AQ134" s="110"/>
      <c r="AR134" s="110"/>
      <c r="AS134" s="110"/>
      <c r="AT134" s="110"/>
      <c r="AU134" s="110"/>
      <c r="AX134" s="109">
        <v>130</v>
      </c>
      <c r="AY134" s="14">
        <f t="shared" si="110"/>
        <v>13</v>
      </c>
      <c r="AZ134" s="14">
        <f t="shared" ref="AZ134:AZ197" si="116">AX134-INDEX($Q$5:$Q$36,AY134)</f>
        <v>10</v>
      </c>
      <c r="BA134" s="14">
        <f t="shared" si="108"/>
        <v>500</v>
      </c>
      <c r="BB134" s="14">
        <f t="shared" si="111"/>
        <v>2100</v>
      </c>
      <c r="BC134" s="14">
        <f t="shared" si="112"/>
        <v>5625</v>
      </c>
      <c r="BF134" s="109">
        <v>130</v>
      </c>
      <c r="BG134" s="14">
        <f t="shared" ref="BG134:BG197" si="117">INDEX($AA$5:$AA$35,MATCH(BF134-1,$AF$5:$AF$35,1))+1</f>
        <v>13</v>
      </c>
      <c r="BH134" s="14">
        <f t="shared" ref="BH134:BH197" si="118">BF134-INDEX($AF$5:$AF$35,BG134)</f>
        <v>10</v>
      </c>
      <c r="BI134" s="14">
        <f t="shared" si="113"/>
        <v>3400</v>
      </c>
      <c r="BJ134" s="14">
        <f t="shared" si="114"/>
        <v>4200</v>
      </c>
      <c r="BK134" s="14">
        <f t="shared" si="115"/>
        <v>11250</v>
      </c>
    </row>
    <row r="135" spans="42:63" ht="16.5" x14ac:dyDescent="0.2">
      <c r="AP135" s="110"/>
      <c r="AQ135" s="110"/>
      <c r="AR135" s="110"/>
      <c r="AS135" s="110"/>
      <c r="AT135" s="110"/>
      <c r="AU135" s="110"/>
      <c r="AX135" s="109">
        <v>131</v>
      </c>
      <c r="AY135" s="14">
        <f t="shared" si="110"/>
        <v>14</v>
      </c>
      <c r="AZ135" s="14">
        <f t="shared" si="116"/>
        <v>1</v>
      </c>
      <c r="BA135" s="14">
        <f t="shared" si="108"/>
        <v>540</v>
      </c>
      <c r="BB135" s="14">
        <f t="shared" si="111"/>
        <v>2250</v>
      </c>
      <c r="BC135" s="14">
        <f t="shared" si="112"/>
        <v>6075</v>
      </c>
      <c r="BF135" s="109">
        <v>131</v>
      </c>
      <c r="BG135" s="14">
        <f t="shared" si="117"/>
        <v>14</v>
      </c>
      <c r="BH135" s="14">
        <f t="shared" si="118"/>
        <v>1</v>
      </c>
      <c r="BI135" s="14">
        <f t="shared" si="113"/>
        <v>4300</v>
      </c>
      <c r="BJ135" s="14">
        <f t="shared" si="114"/>
        <v>4500</v>
      </c>
      <c r="BK135" s="14">
        <f t="shared" si="115"/>
        <v>12150</v>
      </c>
    </row>
    <row r="136" spans="42:63" ht="16.5" x14ac:dyDescent="0.2">
      <c r="AP136" s="110"/>
      <c r="AQ136" s="110"/>
      <c r="AR136" s="110"/>
      <c r="AS136" s="110"/>
      <c r="AT136" s="110"/>
      <c r="AU136" s="110"/>
      <c r="AX136" s="109">
        <v>132</v>
      </c>
      <c r="AY136" s="14">
        <f t="shared" si="110"/>
        <v>14</v>
      </c>
      <c r="AZ136" s="14">
        <f t="shared" si="116"/>
        <v>2</v>
      </c>
      <c r="BA136" s="14">
        <f t="shared" si="108"/>
        <v>540</v>
      </c>
      <c r="BB136" s="14">
        <f t="shared" si="111"/>
        <v>2250</v>
      </c>
      <c r="BC136" s="14">
        <f t="shared" si="112"/>
        <v>6075</v>
      </c>
      <c r="BF136" s="109">
        <v>132</v>
      </c>
      <c r="BG136" s="14">
        <f t="shared" si="117"/>
        <v>14</v>
      </c>
      <c r="BH136" s="14">
        <f t="shared" si="118"/>
        <v>2</v>
      </c>
      <c r="BI136" s="14">
        <f t="shared" si="113"/>
        <v>4300</v>
      </c>
      <c r="BJ136" s="14">
        <f t="shared" si="114"/>
        <v>4500</v>
      </c>
      <c r="BK136" s="14">
        <f t="shared" si="115"/>
        <v>12150</v>
      </c>
    </row>
    <row r="137" spans="42:63" ht="16.5" x14ac:dyDescent="0.2">
      <c r="AP137" s="110"/>
      <c r="AQ137" s="110"/>
      <c r="AR137" s="110"/>
      <c r="AS137" s="110"/>
      <c r="AT137" s="110"/>
      <c r="AU137" s="110"/>
      <c r="AX137" s="109">
        <v>133</v>
      </c>
      <c r="AY137" s="14">
        <f t="shared" si="110"/>
        <v>14</v>
      </c>
      <c r="AZ137" s="14">
        <f t="shared" si="116"/>
        <v>3</v>
      </c>
      <c r="BA137" s="14">
        <f t="shared" si="108"/>
        <v>540</v>
      </c>
      <c r="BB137" s="14">
        <f t="shared" si="111"/>
        <v>2250</v>
      </c>
      <c r="BC137" s="14">
        <f t="shared" si="112"/>
        <v>6075</v>
      </c>
      <c r="BF137" s="109">
        <v>133</v>
      </c>
      <c r="BG137" s="14">
        <f t="shared" si="117"/>
        <v>14</v>
      </c>
      <c r="BH137" s="14">
        <f t="shared" si="118"/>
        <v>3</v>
      </c>
      <c r="BI137" s="14">
        <f t="shared" si="113"/>
        <v>4300</v>
      </c>
      <c r="BJ137" s="14">
        <f t="shared" si="114"/>
        <v>4500</v>
      </c>
      <c r="BK137" s="14">
        <f t="shared" si="115"/>
        <v>12150</v>
      </c>
    </row>
    <row r="138" spans="42:63" ht="16.5" x14ac:dyDescent="0.2">
      <c r="AP138" s="110"/>
      <c r="AQ138" s="110"/>
      <c r="AR138" s="110"/>
      <c r="AS138" s="110"/>
      <c r="AT138" s="110"/>
      <c r="AU138" s="110"/>
      <c r="AX138" s="109">
        <v>134</v>
      </c>
      <c r="AY138" s="14">
        <f t="shared" si="110"/>
        <v>14</v>
      </c>
      <c r="AZ138" s="14">
        <f t="shared" si="116"/>
        <v>4</v>
      </c>
      <c r="BA138" s="14">
        <f t="shared" si="108"/>
        <v>540</v>
      </c>
      <c r="BB138" s="14">
        <f t="shared" si="111"/>
        <v>2250</v>
      </c>
      <c r="BC138" s="14">
        <f t="shared" si="112"/>
        <v>6075</v>
      </c>
      <c r="BF138" s="109">
        <v>134</v>
      </c>
      <c r="BG138" s="14">
        <f t="shared" si="117"/>
        <v>14</v>
      </c>
      <c r="BH138" s="14">
        <f t="shared" si="118"/>
        <v>4</v>
      </c>
      <c r="BI138" s="14">
        <f t="shared" si="113"/>
        <v>4300</v>
      </c>
      <c r="BJ138" s="14">
        <f t="shared" si="114"/>
        <v>4500</v>
      </c>
      <c r="BK138" s="14">
        <f t="shared" si="115"/>
        <v>12150</v>
      </c>
    </row>
    <row r="139" spans="42:63" ht="16.5" x14ac:dyDescent="0.2">
      <c r="AP139" s="110"/>
      <c r="AQ139" s="110"/>
      <c r="AR139" s="110"/>
      <c r="AS139" s="110"/>
      <c r="AT139" s="110"/>
      <c r="AU139" s="110"/>
      <c r="AX139" s="109">
        <v>135</v>
      </c>
      <c r="AY139" s="14">
        <f t="shared" si="110"/>
        <v>14</v>
      </c>
      <c r="AZ139" s="14">
        <f t="shared" si="116"/>
        <v>5</v>
      </c>
      <c r="BA139" s="14">
        <f t="shared" si="108"/>
        <v>540</v>
      </c>
      <c r="BB139" s="14">
        <f t="shared" si="111"/>
        <v>2250</v>
      </c>
      <c r="BC139" s="14">
        <f t="shared" si="112"/>
        <v>6075</v>
      </c>
      <c r="BF139" s="109">
        <v>135</v>
      </c>
      <c r="BG139" s="14">
        <f t="shared" si="117"/>
        <v>14</v>
      </c>
      <c r="BH139" s="14">
        <f t="shared" si="118"/>
        <v>5</v>
      </c>
      <c r="BI139" s="14">
        <f t="shared" si="113"/>
        <v>4300</v>
      </c>
      <c r="BJ139" s="14">
        <f t="shared" si="114"/>
        <v>4500</v>
      </c>
      <c r="BK139" s="14">
        <f t="shared" si="115"/>
        <v>12150</v>
      </c>
    </row>
    <row r="140" spans="42:63" ht="16.5" x14ac:dyDescent="0.2">
      <c r="AP140" s="110"/>
      <c r="AQ140" s="110"/>
      <c r="AR140" s="110"/>
      <c r="AS140" s="110"/>
      <c r="AT140" s="110"/>
      <c r="AU140" s="110"/>
      <c r="AX140" s="109">
        <v>136</v>
      </c>
      <c r="AY140" s="14">
        <f t="shared" si="110"/>
        <v>14</v>
      </c>
      <c r="AZ140" s="14">
        <f t="shared" si="116"/>
        <v>6</v>
      </c>
      <c r="BA140" s="14">
        <f t="shared" si="108"/>
        <v>540</v>
      </c>
      <c r="BB140" s="14">
        <f t="shared" si="111"/>
        <v>2250</v>
      </c>
      <c r="BC140" s="14">
        <f t="shared" si="112"/>
        <v>6075</v>
      </c>
      <c r="BF140" s="109">
        <v>136</v>
      </c>
      <c r="BG140" s="14">
        <f t="shared" si="117"/>
        <v>14</v>
      </c>
      <c r="BH140" s="14">
        <f t="shared" si="118"/>
        <v>6</v>
      </c>
      <c r="BI140" s="14">
        <f t="shared" si="113"/>
        <v>4300</v>
      </c>
      <c r="BJ140" s="14">
        <f t="shared" si="114"/>
        <v>4500</v>
      </c>
      <c r="BK140" s="14">
        <f t="shared" si="115"/>
        <v>12150</v>
      </c>
    </row>
    <row r="141" spans="42:63" ht="16.5" x14ac:dyDescent="0.2">
      <c r="AP141" s="110"/>
      <c r="AQ141" s="110"/>
      <c r="AR141" s="110"/>
      <c r="AS141" s="110"/>
      <c r="AT141" s="110"/>
      <c r="AU141" s="110"/>
      <c r="AX141" s="109">
        <v>137</v>
      </c>
      <c r="AY141" s="14">
        <f t="shared" si="110"/>
        <v>14</v>
      </c>
      <c r="AZ141" s="14">
        <f t="shared" si="116"/>
        <v>7</v>
      </c>
      <c r="BA141" s="14">
        <f t="shared" si="108"/>
        <v>540</v>
      </c>
      <c r="BB141" s="14">
        <f t="shared" si="111"/>
        <v>2250</v>
      </c>
      <c r="BC141" s="14">
        <f t="shared" si="112"/>
        <v>6075</v>
      </c>
      <c r="BF141" s="109">
        <v>137</v>
      </c>
      <c r="BG141" s="14">
        <f t="shared" si="117"/>
        <v>14</v>
      </c>
      <c r="BH141" s="14">
        <f t="shared" si="118"/>
        <v>7</v>
      </c>
      <c r="BI141" s="14">
        <f t="shared" si="113"/>
        <v>4300</v>
      </c>
      <c r="BJ141" s="14">
        <f t="shared" si="114"/>
        <v>4500</v>
      </c>
      <c r="BK141" s="14">
        <f t="shared" si="115"/>
        <v>12150</v>
      </c>
    </row>
    <row r="142" spans="42:63" ht="16.5" x14ac:dyDescent="0.2">
      <c r="AP142" s="110"/>
      <c r="AQ142" s="110"/>
      <c r="AR142" s="110"/>
      <c r="AS142" s="110"/>
      <c r="AT142" s="110"/>
      <c r="AU142" s="110"/>
      <c r="AX142" s="109">
        <v>138</v>
      </c>
      <c r="AY142" s="14">
        <f t="shared" si="110"/>
        <v>14</v>
      </c>
      <c r="AZ142" s="14">
        <f t="shared" si="116"/>
        <v>8</v>
      </c>
      <c r="BA142" s="14">
        <f t="shared" si="108"/>
        <v>540</v>
      </c>
      <c r="BB142" s="14">
        <f t="shared" si="111"/>
        <v>2250</v>
      </c>
      <c r="BC142" s="14">
        <f t="shared" si="112"/>
        <v>6075</v>
      </c>
      <c r="BF142" s="109">
        <v>138</v>
      </c>
      <c r="BG142" s="14">
        <f t="shared" si="117"/>
        <v>14</v>
      </c>
      <c r="BH142" s="14">
        <f t="shared" si="118"/>
        <v>8</v>
      </c>
      <c r="BI142" s="14">
        <f t="shared" si="113"/>
        <v>4300</v>
      </c>
      <c r="BJ142" s="14">
        <f t="shared" si="114"/>
        <v>4500</v>
      </c>
      <c r="BK142" s="14">
        <f t="shared" si="115"/>
        <v>12150</v>
      </c>
    </row>
    <row r="143" spans="42:63" ht="16.5" x14ac:dyDescent="0.2">
      <c r="AP143" s="110"/>
      <c r="AQ143" s="110"/>
      <c r="AR143" s="110"/>
      <c r="AS143" s="110"/>
      <c r="AT143" s="110"/>
      <c r="AU143" s="110"/>
      <c r="AX143" s="109">
        <v>139</v>
      </c>
      <c r="AY143" s="14">
        <f t="shared" si="110"/>
        <v>14</v>
      </c>
      <c r="AZ143" s="14">
        <f t="shared" si="116"/>
        <v>9</v>
      </c>
      <c r="BA143" s="14">
        <f t="shared" ref="BA143:BA206" si="119">INDEX($S$6:$S$35,AY143)</f>
        <v>540</v>
      </c>
      <c r="BB143" s="14">
        <f t="shared" si="111"/>
        <v>2250</v>
      </c>
      <c r="BC143" s="14">
        <f t="shared" si="112"/>
        <v>6075</v>
      </c>
      <c r="BF143" s="109">
        <v>139</v>
      </c>
      <c r="BG143" s="14">
        <f t="shared" si="117"/>
        <v>14</v>
      </c>
      <c r="BH143" s="14">
        <f t="shared" si="118"/>
        <v>9</v>
      </c>
      <c r="BI143" s="14">
        <f t="shared" si="113"/>
        <v>4300</v>
      </c>
      <c r="BJ143" s="14">
        <f t="shared" si="114"/>
        <v>4500</v>
      </c>
      <c r="BK143" s="14">
        <f t="shared" si="115"/>
        <v>12150</v>
      </c>
    </row>
    <row r="144" spans="42:63" ht="16.5" x14ac:dyDescent="0.2">
      <c r="AP144" s="110"/>
      <c r="AQ144" s="110"/>
      <c r="AR144" s="110"/>
      <c r="AS144" s="110"/>
      <c r="AT144" s="110"/>
      <c r="AU144" s="110"/>
      <c r="AX144" s="109">
        <v>140</v>
      </c>
      <c r="AY144" s="14">
        <f t="shared" si="110"/>
        <v>14</v>
      </c>
      <c r="AZ144" s="14">
        <f t="shared" si="116"/>
        <v>10</v>
      </c>
      <c r="BA144" s="14">
        <f t="shared" si="119"/>
        <v>540</v>
      </c>
      <c r="BB144" s="14">
        <f t="shared" si="111"/>
        <v>2250</v>
      </c>
      <c r="BC144" s="14">
        <f t="shared" si="112"/>
        <v>6075</v>
      </c>
      <c r="BF144" s="109">
        <v>140</v>
      </c>
      <c r="BG144" s="14">
        <f t="shared" si="117"/>
        <v>14</v>
      </c>
      <c r="BH144" s="14">
        <f t="shared" si="118"/>
        <v>10</v>
      </c>
      <c r="BI144" s="14">
        <f t="shared" si="113"/>
        <v>4300</v>
      </c>
      <c r="BJ144" s="14">
        <f t="shared" si="114"/>
        <v>4500</v>
      </c>
      <c r="BK144" s="14">
        <f t="shared" si="115"/>
        <v>12150</v>
      </c>
    </row>
    <row r="145" spans="42:63" ht="16.5" x14ac:dyDescent="0.2">
      <c r="AP145" s="110"/>
      <c r="AQ145" s="110"/>
      <c r="AR145" s="110"/>
      <c r="AS145" s="110"/>
      <c r="AT145" s="110"/>
      <c r="AU145" s="110"/>
      <c r="AX145" s="109">
        <v>141</v>
      </c>
      <c r="AY145" s="14">
        <f t="shared" si="110"/>
        <v>15</v>
      </c>
      <c r="AZ145" s="14">
        <f t="shared" si="116"/>
        <v>1</v>
      </c>
      <c r="BA145" s="14">
        <f t="shared" si="119"/>
        <v>600</v>
      </c>
      <c r="BB145" s="14">
        <f t="shared" si="111"/>
        <v>2400</v>
      </c>
      <c r="BC145" s="14">
        <f t="shared" si="112"/>
        <v>6750</v>
      </c>
      <c r="BF145" s="109">
        <v>141</v>
      </c>
      <c r="BG145" s="14">
        <f t="shared" si="117"/>
        <v>15</v>
      </c>
      <c r="BH145" s="14">
        <f t="shared" si="118"/>
        <v>1</v>
      </c>
      <c r="BI145" s="14">
        <f t="shared" si="113"/>
        <v>5500</v>
      </c>
      <c r="BJ145" s="14">
        <f t="shared" si="114"/>
        <v>4800</v>
      </c>
      <c r="BK145" s="14">
        <f t="shared" si="115"/>
        <v>13500</v>
      </c>
    </row>
    <row r="146" spans="42:63" ht="16.5" x14ac:dyDescent="0.2">
      <c r="AP146" s="110"/>
      <c r="AQ146" s="110"/>
      <c r="AR146" s="110"/>
      <c r="AS146" s="110"/>
      <c r="AT146" s="110"/>
      <c r="AU146" s="110"/>
      <c r="AX146" s="109">
        <v>142</v>
      </c>
      <c r="AY146" s="14">
        <f t="shared" si="110"/>
        <v>15</v>
      </c>
      <c r="AZ146" s="14">
        <f t="shared" si="116"/>
        <v>2</v>
      </c>
      <c r="BA146" s="14">
        <f t="shared" si="119"/>
        <v>600</v>
      </c>
      <c r="BB146" s="14">
        <f t="shared" si="111"/>
        <v>2400</v>
      </c>
      <c r="BC146" s="14">
        <f t="shared" si="112"/>
        <v>6750</v>
      </c>
      <c r="BF146" s="109">
        <v>142</v>
      </c>
      <c r="BG146" s="14">
        <f t="shared" si="117"/>
        <v>15</v>
      </c>
      <c r="BH146" s="14">
        <f t="shared" si="118"/>
        <v>2</v>
      </c>
      <c r="BI146" s="14">
        <f t="shared" si="113"/>
        <v>5500</v>
      </c>
      <c r="BJ146" s="14">
        <f t="shared" si="114"/>
        <v>4800</v>
      </c>
      <c r="BK146" s="14">
        <f t="shared" si="115"/>
        <v>13500</v>
      </c>
    </row>
    <row r="147" spans="42:63" ht="16.5" x14ac:dyDescent="0.2">
      <c r="AP147" s="110"/>
      <c r="AQ147" s="110"/>
      <c r="AR147" s="110"/>
      <c r="AS147" s="110"/>
      <c r="AT147" s="110"/>
      <c r="AU147" s="110"/>
      <c r="AX147" s="109">
        <v>143</v>
      </c>
      <c r="AY147" s="14">
        <f t="shared" si="110"/>
        <v>15</v>
      </c>
      <c r="AZ147" s="14">
        <f t="shared" si="116"/>
        <v>3</v>
      </c>
      <c r="BA147" s="14">
        <f t="shared" si="119"/>
        <v>600</v>
      </c>
      <c r="BB147" s="14">
        <f t="shared" si="111"/>
        <v>2400</v>
      </c>
      <c r="BC147" s="14">
        <f t="shared" si="112"/>
        <v>6750</v>
      </c>
      <c r="BF147" s="109">
        <v>143</v>
      </c>
      <c r="BG147" s="14">
        <f t="shared" si="117"/>
        <v>15</v>
      </c>
      <c r="BH147" s="14">
        <f t="shared" si="118"/>
        <v>3</v>
      </c>
      <c r="BI147" s="14">
        <f t="shared" si="113"/>
        <v>5500</v>
      </c>
      <c r="BJ147" s="14">
        <f t="shared" si="114"/>
        <v>4800</v>
      </c>
      <c r="BK147" s="14">
        <f t="shared" si="115"/>
        <v>13500</v>
      </c>
    </row>
    <row r="148" spans="42:63" ht="16.5" x14ac:dyDescent="0.2">
      <c r="AP148" s="110"/>
      <c r="AQ148" s="110"/>
      <c r="AR148" s="110"/>
      <c r="AS148" s="110"/>
      <c r="AT148" s="110"/>
      <c r="AU148" s="110"/>
      <c r="AX148" s="109">
        <v>144</v>
      </c>
      <c r="AY148" s="14">
        <f t="shared" si="110"/>
        <v>15</v>
      </c>
      <c r="AZ148" s="14">
        <f t="shared" si="116"/>
        <v>4</v>
      </c>
      <c r="BA148" s="14">
        <f t="shared" si="119"/>
        <v>600</v>
      </c>
      <c r="BB148" s="14">
        <f t="shared" si="111"/>
        <v>2400</v>
      </c>
      <c r="BC148" s="14">
        <f t="shared" si="112"/>
        <v>6750</v>
      </c>
      <c r="BF148" s="109">
        <v>144</v>
      </c>
      <c r="BG148" s="14">
        <f t="shared" si="117"/>
        <v>15</v>
      </c>
      <c r="BH148" s="14">
        <f t="shared" si="118"/>
        <v>4</v>
      </c>
      <c r="BI148" s="14">
        <f t="shared" si="113"/>
        <v>5500</v>
      </c>
      <c r="BJ148" s="14">
        <f t="shared" si="114"/>
        <v>4800</v>
      </c>
      <c r="BK148" s="14">
        <f t="shared" si="115"/>
        <v>13500</v>
      </c>
    </row>
    <row r="149" spans="42:63" ht="16.5" x14ac:dyDescent="0.2">
      <c r="AP149" s="110"/>
      <c r="AQ149" s="110"/>
      <c r="AR149" s="110"/>
      <c r="AS149" s="110"/>
      <c r="AT149" s="110"/>
      <c r="AU149" s="110"/>
      <c r="AX149" s="109">
        <v>145</v>
      </c>
      <c r="AY149" s="14">
        <f t="shared" si="110"/>
        <v>15</v>
      </c>
      <c r="AZ149" s="14">
        <f t="shared" si="116"/>
        <v>5</v>
      </c>
      <c r="BA149" s="14">
        <f t="shared" si="119"/>
        <v>600</v>
      </c>
      <c r="BB149" s="14">
        <f t="shared" si="111"/>
        <v>2400</v>
      </c>
      <c r="BC149" s="14">
        <f t="shared" si="112"/>
        <v>6750</v>
      </c>
      <c r="BF149" s="109">
        <v>145</v>
      </c>
      <c r="BG149" s="14">
        <f t="shared" si="117"/>
        <v>15</v>
      </c>
      <c r="BH149" s="14">
        <f t="shared" si="118"/>
        <v>5</v>
      </c>
      <c r="BI149" s="14">
        <f t="shared" si="113"/>
        <v>5500</v>
      </c>
      <c r="BJ149" s="14">
        <f t="shared" si="114"/>
        <v>4800</v>
      </c>
      <c r="BK149" s="14">
        <f t="shared" si="115"/>
        <v>13500</v>
      </c>
    </row>
    <row r="150" spans="42:63" ht="16.5" x14ac:dyDescent="0.2">
      <c r="AP150" s="110"/>
      <c r="AQ150" s="110"/>
      <c r="AR150" s="110"/>
      <c r="AS150" s="110"/>
      <c r="AT150" s="110"/>
      <c r="AU150" s="110"/>
      <c r="AX150" s="109">
        <v>146</v>
      </c>
      <c r="AY150" s="14">
        <f t="shared" si="110"/>
        <v>15</v>
      </c>
      <c r="AZ150" s="14">
        <f t="shared" si="116"/>
        <v>6</v>
      </c>
      <c r="BA150" s="14">
        <f t="shared" si="119"/>
        <v>600</v>
      </c>
      <c r="BB150" s="14">
        <f t="shared" si="111"/>
        <v>2400</v>
      </c>
      <c r="BC150" s="14">
        <f t="shared" si="112"/>
        <v>6750</v>
      </c>
      <c r="BF150" s="109">
        <v>146</v>
      </c>
      <c r="BG150" s="14">
        <f t="shared" si="117"/>
        <v>15</v>
      </c>
      <c r="BH150" s="14">
        <f t="shared" si="118"/>
        <v>6</v>
      </c>
      <c r="BI150" s="14">
        <f t="shared" si="113"/>
        <v>5500</v>
      </c>
      <c r="BJ150" s="14">
        <f t="shared" si="114"/>
        <v>4800</v>
      </c>
      <c r="BK150" s="14">
        <f t="shared" si="115"/>
        <v>13500</v>
      </c>
    </row>
    <row r="151" spans="42:63" ht="16.5" x14ac:dyDescent="0.2">
      <c r="AP151" s="110"/>
      <c r="AQ151" s="110"/>
      <c r="AR151" s="110"/>
      <c r="AS151" s="110"/>
      <c r="AT151" s="110"/>
      <c r="AU151" s="110"/>
      <c r="AX151" s="109">
        <v>147</v>
      </c>
      <c r="AY151" s="14">
        <f t="shared" si="110"/>
        <v>15</v>
      </c>
      <c r="AZ151" s="14">
        <f t="shared" si="116"/>
        <v>7</v>
      </c>
      <c r="BA151" s="14">
        <f t="shared" si="119"/>
        <v>600</v>
      </c>
      <c r="BB151" s="14">
        <f t="shared" si="111"/>
        <v>2400</v>
      </c>
      <c r="BC151" s="14">
        <f t="shared" si="112"/>
        <v>6750</v>
      </c>
      <c r="BF151" s="109">
        <v>147</v>
      </c>
      <c r="BG151" s="14">
        <f t="shared" si="117"/>
        <v>15</v>
      </c>
      <c r="BH151" s="14">
        <f t="shared" si="118"/>
        <v>7</v>
      </c>
      <c r="BI151" s="14">
        <f t="shared" si="113"/>
        <v>5500</v>
      </c>
      <c r="BJ151" s="14">
        <f t="shared" si="114"/>
        <v>4800</v>
      </c>
      <c r="BK151" s="14">
        <f t="shared" si="115"/>
        <v>13500</v>
      </c>
    </row>
    <row r="152" spans="42:63" ht="16.5" x14ac:dyDescent="0.2">
      <c r="AP152" s="110"/>
      <c r="AQ152" s="110"/>
      <c r="AR152" s="110"/>
      <c r="AS152" s="110"/>
      <c r="AT152" s="110"/>
      <c r="AU152" s="110"/>
      <c r="AX152" s="109">
        <v>148</v>
      </c>
      <c r="AY152" s="14">
        <f t="shared" si="110"/>
        <v>15</v>
      </c>
      <c r="AZ152" s="14">
        <f t="shared" si="116"/>
        <v>8</v>
      </c>
      <c r="BA152" s="14">
        <f t="shared" si="119"/>
        <v>600</v>
      </c>
      <c r="BB152" s="14">
        <f t="shared" si="111"/>
        <v>2400</v>
      </c>
      <c r="BC152" s="14">
        <f t="shared" si="112"/>
        <v>6750</v>
      </c>
      <c r="BF152" s="109">
        <v>148</v>
      </c>
      <c r="BG152" s="14">
        <f t="shared" si="117"/>
        <v>15</v>
      </c>
      <c r="BH152" s="14">
        <f t="shared" si="118"/>
        <v>8</v>
      </c>
      <c r="BI152" s="14">
        <f t="shared" si="113"/>
        <v>5500</v>
      </c>
      <c r="BJ152" s="14">
        <f t="shared" si="114"/>
        <v>4800</v>
      </c>
      <c r="BK152" s="14">
        <f t="shared" si="115"/>
        <v>13500</v>
      </c>
    </row>
    <row r="153" spans="42:63" ht="16.5" x14ac:dyDescent="0.2">
      <c r="AP153" s="110"/>
      <c r="AQ153" s="110"/>
      <c r="AR153" s="110"/>
      <c r="AS153" s="110"/>
      <c r="AT153" s="110"/>
      <c r="AU153" s="110"/>
      <c r="AX153" s="109">
        <v>149</v>
      </c>
      <c r="AY153" s="14">
        <f t="shared" si="110"/>
        <v>15</v>
      </c>
      <c r="AZ153" s="14">
        <f t="shared" si="116"/>
        <v>9</v>
      </c>
      <c r="BA153" s="14">
        <f t="shared" si="119"/>
        <v>600</v>
      </c>
      <c r="BB153" s="14">
        <f t="shared" si="111"/>
        <v>2400</v>
      </c>
      <c r="BC153" s="14">
        <f t="shared" si="112"/>
        <v>6750</v>
      </c>
      <c r="BF153" s="109">
        <v>149</v>
      </c>
      <c r="BG153" s="14">
        <f t="shared" si="117"/>
        <v>15</v>
      </c>
      <c r="BH153" s="14">
        <f t="shared" si="118"/>
        <v>9</v>
      </c>
      <c r="BI153" s="14">
        <f t="shared" si="113"/>
        <v>5500</v>
      </c>
      <c r="BJ153" s="14">
        <f t="shared" si="114"/>
        <v>4800</v>
      </c>
      <c r="BK153" s="14">
        <f t="shared" si="115"/>
        <v>13500</v>
      </c>
    </row>
    <row r="154" spans="42:63" ht="16.5" x14ac:dyDescent="0.2">
      <c r="AP154" s="110"/>
      <c r="AQ154" s="110"/>
      <c r="AR154" s="110"/>
      <c r="AS154" s="110"/>
      <c r="AT154" s="110"/>
      <c r="AU154" s="110"/>
      <c r="AX154" s="109">
        <v>150</v>
      </c>
      <c r="AY154" s="14">
        <f t="shared" si="110"/>
        <v>15</v>
      </c>
      <c r="AZ154" s="14">
        <f t="shared" si="116"/>
        <v>10</v>
      </c>
      <c r="BA154" s="14">
        <f t="shared" si="119"/>
        <v>600</v>
      </c>
      <c r="BB154" s="14">
        <f t="shared" si="111"/>
        <v>2400</v>
      </c>
      <c r="BC154" s="14">
        <f t="shared" si="112"/>
        <v>6750</v>
      </c>
      <c r="BF154" s="109">
        <v>150</v>
      </c>
      <c r="BG154" s="14">
        <f t="shared" si="117"/>
        <v>15</v>
      </c>
      <c r="BH154" s="14">
        <f t="shared" si="118"/>
        <v>10</v>
      </c>
      <c r="BI154" s="14">
        <f t="shared" si="113"/>
        <v>5500</v>
      </c>
      <c r="BJ154" s="14">
        <f t="shared" si="114"/>
        <v>4800</v>
      </c>
      <c r="BK154" s="14">
        <f t="shared" si="115"/>
        <v>13500</v>
      </c>
    </row>
    <row r="155" spans="42:63" ht="16.5" x14ac:dyDescent="0.2">
      <c r="AP155" s="110"/>
      <c r="AQ155" s="110"/>
      <c r="AR155" s="110"/>
      <c r="AS155" s="110"/>
      <c r="AT155" s="110"/>
      <c r="AU155" s="110"/>
      <c r="AX155" s="109">
        <v>151</v>
      </c>
      <c r="AY155" s="14">
        <f t="shared" si="110"/>
        <v>16</v>
      </c>
      <c r="AZ155" s="14">
        <f t="shared" si="116"/>
        <v>1</v>
      </c>
      <c r="BA155" s="14">
        <f t="shared" si="119"/>
        <v>640</v>
      </c>
      <c r="BB155" s="14">
        <f t="shared" si="111"/>
        <v>2700</v>
      </c>
      <c r="BC155" s="14">
        <f t="shared" si="112"/>
        <v>7200</v>
      </c>
      <c r="BF155" s="109">
        <v>151</v>
      </c>
      <c r="BG155" s="14">
        <f t="shared" si="117"/>
        <v>16</v>
      </c>
      <c r="BH155" s="14">
        <f t="shared" si="118"/>
        <v>1</v>
      </c>
      <c r="BI155" s="14">
        <f t="shared" si="113"/>
        <v>6200</v>
      </c>
      <c r="BJ155" s="14">
        <f t="shared" si="114"/>
        <v>5400</v>
      </c>
      <c r="BK155" s="14">
        <f t="shared" si="115"/>
        <v>14400</v>
      </c>
    </row>
    <row r="156" spans="42:63" ht="16.5" x14ac:dyDescent="0.2">
      <c r="AP156" s="110"/>
      <c r="AQ156" s="110"/>
      <c r="AR156" s="110"/>
      <c r="AS156" s="110"/>
      <c r="AT156" s="110"/>
      <c r="AU156" s="110"/>
      <c r="AX156" s="109">
        <v>152</v>
      </c>
      <c r="AY156" s="14">
        <f t="shared" si="110"/>
        <v>16</v>
      </c>
      <c r="AZ156" s="14">
        <f t="shared" si="116"/>
        <v>2</v>
      </c>
      <c r="BA156" s="14">
        <f t="shared" si="119"/>
        <v>640</v>
      </c>
      <c r="BB156" s="14">
        <f t="shared" si="111"/>
        <v>2700</v>
      </c>
      <c r="BC156" s="14">
        <f t="shared" si="112"/>
        <v>7200</v>
      </c>
      <c r="BF156" s="109">
        <v>152</v>
      </c>
      <c r="BG156" s="14">
        <f t="shared" si="117"/>
        <v>16</v>
      </c>
      <c r="BH156" s="14">
        <f t="shared" si="118"/>
        <v>2</v>
      </c>
      <c r="BI156" s="14">
        <f t="shared" si="113"/>
        <v>6200</v>
      </c>
      <c r="BJ156" s="14">
        <f t="shared" si="114"/>
        <v>5400</v>
      </c>
      <c r="BK156" s="14">
        <f t="shared" si="115"/>
        <v>14400</v>
      </c>
    </row>
    <row r="157" spans="42:63" ht="16.5" x14ac:dyDescent="0.2">
      <c r="AP157" s="110"/>
      <c r="AQ157" s="110"/>
      <c r="AR157" s="110"/>
      <c r="AS157" s="110"/>
      <c r="AT157" s="110"/>
      <c r="AU157" s="110"/>
      <c r="AX157" s="109">
        <v>153</v>
      </c>
      <c r="AY157" s="14">
        <f t="shared" si="110"/>
        <v>16</v>
      </c>
      <c r="AZ157" s="14">
        <f t="shared" si="116"/>
        <v>3</v>
      </c>
      <c r="BA157" s="14">
        <f t="shared" si="119"/>
        <v>640</v>
      </c>
      <c r="BB157" s="14">
        <f t="shared" si="111"/>
        <v>2700</v>
      </c>
      <c r="BC157" s="14">
        <f t="shared" si="112"/>
        <v>7200</v>
      </c>
      <c r="BF157" s="109">
        <v>153</v>
      </c>
      <c r="BG157" s="14">
        <f t="shared" si="117"/>
        <v>16</v>
      </c>
      <c r="BH157" s="14">
        <f t="shared" si="118"/>
        <v>3</v>
      </c>
      <c r="BI157" s="14">
        <f t="shared" si="113"/>
        <v>6200</v>
      </c>
      <c r="BJ157" s="14">
        <f t="shared" si="114"/>
        <v>5400</v>
      </c>
      <c r="BK157" s="14">
        <f t="shared" si="115"/>
        <v>14400</v>
      </c>
    </row>
    <row r="158" spans="42:63" ht="16.5" x14ac:dyDescent="0.2">
      <c r="AP158" s="110"/>
      <c r="AQ158" s="110"/>
      <c r="AR158" s="110"/>
      <c r="AS158" s="110"/>
      <c r="AT158" s="110"/>
      <c r="AU158" s="110"/>
      <c r="AX158" s="109">
        <v>154</v>
      </c>
      <c r="AY158" s="14">
        <f t="shared" si="110"/>
        <v>16</v>
      </c>
      <c r="AZ158" s="14">
        <f t="shared" si="116"/>
        <v>4</v>
      </c>
      <c r="BA158" s="14">
        <f t="shared" si="119"/>
        <v>640</v>
      </c>
      <c r="BB158" s="14">
        <f t="shared" si="111"/>
        <v>2700</v>
      </c>
      <c r="BC158" s="14">
        <f t="shared" si="112"/>
        <v>7200</v>
      </c>
      <c r="BF158" s="109">
        <v>154</v>
      </c>
      <c r="BG158" s="14">
        <f t="shared" si="117"/>
        <v>16</v>
      </c>
      <c r="BH158" s="14">
        <f t="shared" si="118"/>
        <v>4</v>
      </c>
      <c r="BI158" s="14">
        <f t="shared" si="113"/>
        <v>6200</v>
      </c>
      <c r="BJ158" s="14">
        <f t="shared" si="114"/>
        <v>5400</v>
      </c>
      <c r="BK158" s="14">
        <f t="shared" si="115"/>
        <v>14400</v>
      </c>
    </row>
    <row r="159" spans="42:63" ht="16.5" x14ac:dyDescent="0.2">
      <c r="AP159" s="110"/>
      <c r="AQ159" s="110"/>
      <c r="AR159" s="110"/>
      <c r="AS159" s="110"/>
      <c r="AT159" s="110"/>
      <c r="AU159" s="110"/>
      <c r="AX159" s="109">
        <v>155</v>
      </c>
      <c r="AY159" s="14">
        <f t="shared" si="110"/>
        <v>16</v>
      </c>
      <c r="AZ159" s="14">
        <f t="shared" si="116"/>
        <v>5</v>
      </c>
      <c r="BA159" s="14">
        <f t="shared" si="119"/>
        <v>640</v>
      </c>
      <c r="BB159" s="14">
        <f t="shared" si="111"/>
        <v>2700</v>
      </c>
      <c r="BC159" s="14">
        <f t="shared" si="112"/>
        <v>7200</v>
      </c>
      <c r="BF159" s="109">
        <v>155</v>
      </c>
      <c r="BG159" s="14">
        <f t="shared" si="117"/>
        <v>16</v>
      </c>
      <c r="BH159" s="14">
        <f t="shared" si="118"/>
        <v>5</v>
      </c>
      <c r="BI159" s="14">
        <f t="shared" si="113"/>
        <v>6200</v>
      </c>
      <c r="BJ159" s="14">
        <f t="shared" si="114"/>
        <v>5400</v>
      </c>
      <c r="BK159" s="14">
        <f t="shared" si="115"/>
        <v>14400</v>
      </c>
    </row>
    <row r="160" spans="42:63" ht="16.5" x14ac:dyDescent="0.2">
      <c r="AP160" s="110"/>
      <c r="AQ160" s="110"/>
      <c r="AR160" s="110"/>
      <c r="AS160" s="110"/>
      <c r="AT160" s="110"/>
      <c r="AU160" s="110"/>
      <c r="AX160" s="109">
        <v>156</v>
      </c>
      <c r="AY160" s="14">
        <f t="shared" si="110"/>
        <v>16</v>
      </c>
      <c r="AZ160" s="14">
        <f t="shared" si="116"/>
        <v>6</v>
      </c>
      <c r="BA160" s="14">
        <f t="shared" si="119"/>
        <v>640</v>
      </c>
      <c r="BB160" s="14">
        <f t="shared" si="111"/>
        <v>2700</v>
      </c>
      <c r="BC160" s="14">
        <f t="shared" si="112"/>
        <v>7200</v>
      </c>
      <c r="BF160" s="109">
        <v>156</v>
      </c>
      <c r="BG160" s="14">
        <f t="shared" si="117"/>
        <v>16</v>
      </c>
      <c r="BH160" s="14">
        <f t="shared" si="118"/>
        <v>6</v>
      </c>
      <c r="BI160" s="14">
        <f t="shared" si="113"/>
        <v>6200</v>
      </c>
      <c r="BJ160" s="14">
        <f t="shared" si="114"/>
        <v>5400</v>
      </c>
      <c r="BK160" s="14">
        <f t="shared" si="115"/>
        <v>14400</v>
      </c>
    </row>
    <row r="161" spans="42:63" ht="16.5" x14ac:dyDescent="0.2">
      <c r="AP161" s="110"/>
      <c r="AQ161" s="110"/>
      <c r="AR161" s="110"/>
      <c r="AS161" s="110"/>
      <c r="AT161" s="110"/>
      <c r="AU161" s="110"/>
      <c r="AX161" s="109">
        <v>157</v>
      </c>
      <c r="AY161" s="14">
        <f t="shared" si="110"/>
        <v>16</v>
      </c>
      <c r="AZ161" s="14">
        <f t="shared" si="116"/>
        <v>7</v>
      </c>
      <c r="BA161" s="14">
        <f t="shared" si="119"/>
        <v>640</v>
      </c>
      <c r="BB161" s="14">
        <f t="shared" si="111"/>
        <v>2700</v>
      </c>
      <c r="BC161" s="14">
        <f t="shared" si="112"/>
        <v>7200</v>
      </c>
      <c r="BF161" s="109">
        <v>157</v>
      </c>
      <c r="BG161" s="14">
        <f t="shared" si="117"/>
        <v>16</v>
      </c>
      <c r="BH161" s="14">
        <f t="shared" si="118"/>
        <v>7</v>
      </c>
      <c r="BI161" s="14">
        <f t="shared" si="113"/>
        <v>6200</v>
      </c>
      <c r="BJ161" s="14">
        <f t="shared" si="114"/>
        <v>5400</v>
      </c>
      <c r="BK161" s="14">
        <f t="shared" si="115"/>
        <v>14400</v>
      </c>
    </row>
    <row r="162" spans="42:63" ht="16.5" x14ac:dyDescent="0.2">
      <c r="AP162" s="110"/>
      <c r="AQ162" s="110"/>
      <c r="AR162" s="110"/>
      <c r="AS162" s="110"/>
      <c r="AT162" s="110"/>
      <c r="AU162" s="110"/>
      <c r="AX162" s="109">
        <v>158</v>
      </c>
      <c r="AY162" s="14">
        <f t="shared" si="110"/>
        <v>16</v>
      </c>
      <c r="AZ162" s="14">
        <f t="shared" si="116"/>
        <v>8</v>
      </c>
      <c r="BA162" s="14">
        <f t="shared" si="119"/>
        <v>640</v>
      </c>
      <c r="BB162" s="14">
        <f t="shared" si="111"/>
        <v>2700</v>
      </c>
      <c r="BC162" s="14">
        <f t="shared" si="112"/>
        <v>7200</v>
      </c>
      <c r="BF162" s="109">
        <v>158</v>
      </c>
      <c r="BG162" s="14">
        <f t="shared" si="117"/>
        <v>16</v>
      </c>
      <c r="BH162" s="14">
        <f t="shared" si="118"/>
        <v>8</v>
      </c>
      <c r="BI162" s="14">
        <f t="shared" si="113"/>
        <v>6200</v>
      </c>
      <c r="BJ162" s="14">
        <f t="shared" si="114"/>
        <v>5400</v>
      </c>
      <c r="BK162" s="14">
        <f t="shared" si="115"/>
        <v>14400</v>
      </c>
    </row>
    <row r="163" spans="42:63" ht="16.5" x14ac:dyDescent="0.2">
      <c r="AP163" s="110"/>
      <c r="AQ163" s="110"/>
      <c r="AR163" s="110"/>
      <c r="AS163" s="110"/>
      <c r="AT163" s="110"/>
      <c r="AU163" s="110"/>
      <c r="AX163" s="109">
        <v>159</v>
      </c>
      <c r="AY163" s="14">
        <f t="shared" si="110"/>
        <v>16</v>
      </c>
      <c r="AZ163" s="14">
        <f t="shared" si="116"/>
        <v>9</v>
      </c>
      <c r="BA163" s="14">
        <f t="shared" si="119"/>
        <v>640</v>
      </c>
      <c r="BB163" s="14">
        <f t="shared" si="111"/>
        <v>2700</v>
      </c>
      <c r="BC163" s="14">
        <f t="shared" si="112"/>
        <v>7200</v>
      </c>
      <c r="BF163" s="109">
        <v>159</v>
      </c>
      <c r="BG163" s="14">
        <f t="shared" si="117"/>
        <v>16</v>
      </c>
      <c r="BH163" s="14">
        <f t="shared" si="118"/>
        <v>9</v>
      </c>
      <c r="BI163" s="14">
        <f t="shared" si="113"/>
        <v>6200</v>
      </c>
      <c r="BJ163" s="14">
        <f t="shared" si="114"/>
        <v>5400</v>
      </c>
      <c r="BK163" s="14">
        <f t="shared" si="115"/>
        <v>14400</v>
      </c>
    </row>
    <row r="164" spans="42:63" ht="16.5" x14ac:dyDescent="0.2">
      <c r="AP164" s="110"/>
      <c r="AQ164" s="110"/>
      <c r="AR164" s="110"/>
      <c r="AS164" s="110"/>
      <c r="AT164" s="110"/>
      <c r="AU164" s="110"/>
      <c r="AX164" s="109">
        <v>160</v>
      </c>
      <c r="AY164" s="14">
        <f t="shared" si="110"/>
        <v>16</v>
      </c>
      <c r="AZ164" s="14">
        <f t="shared" si="116"/>
        <v>10</v>
      </c>
      <c r="BA164" s="14">
        <f t="shared" si="119"/>
        <v>640</v>
      </c>
      <c r="BB164" s="14">
        <f t="shared" si="111"/>
        <v>2700</v>
      </c>
      <c r="BC164" s="14">
        <f t="shared" si="112"/>
        <v>7200</v>
      </c>
      <c r="BF164" s="109">
        <v>160</v>
      </c>
      <c r="BG164" s="14">
        <f t="shared" si="117"/>
        <v>16</v>
      </c>
      <c r="BH164" s="14">
        <f t="shared" si="118"/>
        <v>10</v>
      </c>
      <c r="BI164" s="14">
        <f t="shared" si="113"/>
        <v>6200</v>
      </c>
      <c r="BJ164" s="14">
        <f t="shared" si="114"/>
        <v>5400</v>
      </c>
      <c r="BK164" s="14">
        <f t="shared" si="115"/>
        <v>14400</v>
      </c>
    </row>
    <row r="165" spans="42:63" ht="16.5" x14ac:dyDescent="0.2">
      <c r="AP165" s="110"/>
      <c r="AQ165" s="110"/>
      <c r="AR165" s="110"/>
      <c r="AS165" s="110"/>
      <c r="AT165" s="110"/>
      <c r="AU165" s="110"/>
      <c r="AX165" s="109">
        <v>161</v>
      </c>
      <c r="AY165" s="14">
        <f t="shared" si="110"/>
        <v>17</v>
      </c>
      <c r="AZ165" s="14">
        <f t="shared" si="116"/>
        <v>1</v>
      </c>
      <c r="BA165" s="14">
        <f t="shared" si="119"/>
        <v>700</v>
      </c>
      <c r="BB165" s="14">
        <f t="shared" si="111"/>
        <v>3000</v>
      </c>
      <c r="BC165" s="14">
        <f t="shared" si="112"/>
        <v>7875</v>
      </c>
      <c r="BF165" s="109">
        <v>161</v>
      </c>
      <c r="BG165" s="14">
        <f t="shared" si="117"/>
        <v>17</v>
      </c>
      <c r="BH165" s="14">
        <f t="shared" si="118"/>
        <v>1</v>
      </c>
      <c r="BI165" s="14">
        <f t="shared" si="113"/>
        <v>7200</v>
      </c>
      <c r="BJ165" s="14">
        <f t="shared" si="114"/>
        <v>6000</v>
      </c>
      <c r="BK165" s="14">
        <f t="shared" si="115"/>
        <v>15750</v>
      </c>
    </row>
    <row r="166" spans="42:63" ht="16.5" x14ac:dyDescent="0.2">
      <c r="AP166" s="110"/>
      <c r="AQ166" s="110"/>
      <c r="AR166" s="110"/>
      <c r="AS166" s="110"/>
      <c r="AT166" s="110"/>
      <c r="AU166" s="110"/>
      <c r="AX166" s="109">
        <v>162</v>
      </c>
      <c r="AY166" s="14">
        <f t="shared" si="110"/>
        <v>17</v>
      </c>
      <c r="AZ166" s="14">
        <f t="shared" si="116"/>
        <v>2</v>
      </c>
      <c r="BA166" s="14">
        <f t="shared" si="119"/>
        <v>700</v>
      </c>
      <c r="BB166" s="14">
        <f t="shared" si="111"/>
        <v>3000</v>
      </c>
      <c r="BC166" s="14">
        <f t="shared" si="112"/>
        <v>7875</v>
      </c>
      <c r="BF166" s="109">
        <v>162</v>
      </c>
      <c r="BG166" s="14">
        <f t="shared" si="117"/>
        <v>17</v>
      </c>
      <c r="BH166" s="14">
        <f t="shared" si="118"/>
        <v>2</v>
      </c>
      <c r="BI166" s="14">
        <f t="shared" si="113"/>
        <v>7200</v>
      </c>
      <c r="BJ166" s="14">
        <f t="shared" si="114"/>
        <v>6000</v>
      </c>
      <c r="BK166" s="14">
        <f t="shared" si="115"/>
        <v>15750</v>
      </c>
    </row>
    <row r="167" spans="42:63" ht="16.5" x14ac:dyDescent="0.2">
      <c r="AP167" s="110"/>
      <c r="AQ167" s="110"/>
      <c r="AR167" s="110"/>
      <c r="AS167" s="110"/>
      <c r="AT167" s="110"/>
      <c r="AU167" s="110"/>
      <c r="AX167" s="109">
        <v>163</v>
      </c>
      <c r="AY167" s="14">
        <f t="shared" si="110"/>
        <v>17</v>
      </c>
      <c r="AZ167" s="14">
        <f t="shared" si="116"/>
        <v>3</v>
      </c>
      <c r="BA167" s="14">
        <f t="shared" si="119"/>
        <v>700</v>
      </c>
      <c r="BB167" s="14">
        <f t="shared" si="111"/>
        <v>3000</v>
      </c>
      <c r="BC167" s="14">
        <f t="shared" si="112"/>
        <v>7875</v>
      </c>
      <c r="BF167" s="109">
        <v>163</v>
      </c>
      <c r="BG167" s="14">
        <f t="shared" si="117"/>
        <v>17</v>
      </c>
      <c r="BH167" s="14">
        <f t="shared" si="118"/>
        <v>3</v>
      </c>
      <c r="BI167" s="14">
        <f t="shared" si="113"/>
        <v>7200</v>
      </c>
      <c r="BJ167" s="14">
        <f t="shared" si="114"/>
        <v>6000</v>
      </c>
      <c r="BK167" s="14">
        <f t="shared" si="115"/>
        <v>15750</v>
      </c>
    </row>
    <row r="168" spans="42:63" ht="16.5" x14ac:dyDescent="0.2">
      <c r="AP168" s="110"/>
      <c r="AQ168" s="110"/>
      <c r="AR168" s="110"/>
      <c r="AS168" s="110"/>
      <c r="AT168" s="110"/>
      <c r="AU168" s="110"/>
      <c r="AX168" s="109">
        <v>164</v>
      </c>
      <c r="AY168" s="14">
        <f t="shared" si="110"/>
        <v>17</v>
      </c>
      <c r="AZ168" s="14">
        <f t="shared" si="116"/>
        <v>4</v>
      </c>
      <c r="BA168" s="14">
        <f t="shared" si="119"/>
        <v>700</v>
      </c>
      <c r="BB168" s="14">
        <f t="shared" si="111"/>
        <v>3000</v>
      </c>
      <c r="BC168" s="14">
        <f t="shared" si="112"/>
        <v>7875</v>
      </c>
      <c r="BF168" s="109">
        <v>164</v>
      </c>
      <c r="BG168" s="14">
        <f t="shared" si="117"/>
        <v>17</v>
      </c>
      <c r="BH168" s="14">
        <f t="shared" si="118"/>
        <v>4</v>
      </c>
      <c r="BI168" s="14">
        <f t="shared" si="113"/>
        <v>7200</v>
      </c>
      <c r="BJ168" s="14">
        <f t="shared" si="114"/>
        <v>6000</v>
      </c>
      <c r="BK168" s="14">
        <f t="shared" si="115"/>
        <v>15750</v>
      </c>
    </row>
    <row r="169" spans="42:63" ht="16.5" x14ac:dyDescent="0.2">
      <c r="AP169" s="110"/>
      <c r="AQ169" s="110"/>
      <c r="AR169" s="110"/>
      <c r="AS169" s="110"/>
      <c r="AT169" s="110"/>
      <c r="AU169" s="110"/>
      <c r="AX169" s="109">
        <v>165</v>
      </c>
      <c r="AY169" s="14">
        <f t="shared" si="110"/>
        <v>17</v>
      </c>
      <c r="AZ169" s="14">
        <f t="shared" si="116"/>
        <v>5</v>
      </c>
      <c r="BA169" s="14">
        <f t="shared" si="119"/>
        <v>700</v>
      </c>
      <c r="BB169" s="14">
        <f t="shared" si="111"/>
        <v>3000</v>
      </c>
      <c r="BC169" s="14">
        <f t="shared" si="112"/>
        <v>7875</v>
      </c>
      <c r="BF169" s="109">
        <v>165</v>
      </c>
      <c r="BG169" s="14">
        <f t="shared" si="117"/>
        <v>17</v>
      </c>
      <c r="BH169" s="14">
        <f t="shared" si="118"/>
        <v>5</v>
      </c>
      <c r="BI169" s="14">
        <f t="shared" si="113"/>
        <v>7200</v>
      </c>
      <c r="BJ169" s="14">
        <f t="shared" si="114"/>
        <v>6000</v>
      </c>
      <c r="BK169" s="14">
        <f t="shared" si="115"/>
        <v>15750</v>
      </c>
    </row>
    <row r="170" spans="42:63" ht="16.5" x14ac:dyDescent="0.2">
      <c r="AP170" s="110"/>
      <c r="AQ170" s="110"/>
      <c r="AR170" s="110"/>
      <c r="AS170" s="110"/>
      <c r="AT170" s="110"/>
      <c r="AU170" s="110"/>
      <c r="AX170" s="109">
        <v>166</v>
      </c>
      <c r="AY170" s="14">
        <f t="shared" si="110"/>
        <v>17</v>
      </c>
      <c r="AZ170" s="14">
        <f t="shared" si="116"/>
        <v>6</v>
      </c>
      <c r="BA170" s="14">
        <f t="shared" si="119"/>
        <v>700</v>
      </c>
      <c r="BB170" s="14">
        <f t="shared" si="111"/>
        <v>3000</v>
      </c>
      <c r="BC170" s="14">
        <f t="shared" si="112"/>
        <v>7875</v>
      </c>
      <c r="BF170" s="109">
        <v>166</v>
      </c>
      <c r="BG170" s="14">
        <f t="shared" si="117"/>
        <v>17</v>
      </c>
      <c r="BH170" s="14">
        <f t="shared" si="118"/>
        <v>6</v>
      </c>
      <c r="BI170" s="14">
        <f t="shared" si="113"/>
        <v>7200</v>
      </c>
      <c r="BJ170" s="14">
        <f t="shared" si="114"/>
        <v>6000</v>
      </c>
      <c r="BK170" s="14">
        <f t="shared" si="115"/>
        <v>15750</v>
      </c>
    </row>
    <row r="171" spans="42:63" ht="16.5" x14ac:dyDescent="0.2">
      <c r="AP171" s="110"/>
      <c r="AQ171" s="110"/>
      <c r="AR171" s="110"/>
      <c r="AS171" s="110"/>
      <c r="AT171" s="110"/>
      <c r="AU171" s="110"/>
      <c r="AX171" s="109">
        <v>167</v>
      </c>
      <c r="AY171" s="14">
        <f t="shared" si="110"/>
        <v>17</v>
      </c>
      <c r="AZ171" s="14">
        <f t="shared" si="116"/>
        <v>7</v>
      </c>
      <c r="BA171" s="14">
        <f t="shared" si="119"/>
        <v>700</v>
      </c>
      <c r="BB171" s="14">
        <f t="shared" si="111"/>
        <v>3000</v>
      </c>
      <c r="BC171" s="14">
        <f t="shared" si="112"/>
        <v>7875</v>
      </c>
      <c r="BF171" s="109">
        <v>167</v>
      </c>
      <c r="BG171" s="14">
        <f t="shared" si="117"/>
        <v>17</v>
      </c>
      <c r="BH171" s="14">
        <f t="shared" si="118"/>
        <v>7</v>
      </c>
      <c r="BI171" s="14">
        <f t="shared" si="113"/>
        <v>7200</v>
      </c>
      <c r="BJ171" s="14">
        <f t="shared" si="114"/>
        <v>6000</v>
      </c>
      <c r="BK171" s="14">
        <f t="shared" si="115"/>
        <v>15750</v>
      </c>
    </row>
    <row r="172" spans="42:63" ht="16.5" x14ac:dyDescent="0.2">
      <c r="AP172" s="110"/>
      <c r="AQ172" s="110"/>
      <c r="AR172" s="110"/>
      <c r="AS172" s="110"/>
      <c r="AT172" s="110"/>
      <c r="AU172" s="110"/>
      <c r="AX172" s="109">
        <v>168</v>
      </c>
      <c r="AY172" s="14">
        <f t="shared" si="110"/>
        <v>17</v>
      </c>
      <c r="AZ172" s="14">
        <f t="shared" si="116"/>
        <v>8</v>
      </c>
      <c r="BA172" s="14">
        <f t="shared" si="119"/>
        <v>700</v>
      </c>
      <c r="BB172" s="14">
        <f t="shared" si="111"/>
        <v>3000</v>
      </c>
      <c r="BC172" s="14">
        <f t="shared" si="112"/>
        <v>7875</v>
      </c>
      <c r="BF172" s="109">
        <v>168</v>
      </c>
      <c r="BG172" s="14">
        <f t="shared" si="117"/>
        <v>17</v>
      </c>
      <c r="BH172" s="14">
        <f t="shared" si="118"/>
        <v>8</v>
      </c>
      <c r="BI172" s="14">
        <f t="shared" si="113"/>
        <v>7200</v>
      </c>
      <c r="BJ172" s="14">
        <f t="shared" si="114"/>
        <v>6000</v>
      </c>
      <c r="BK172" s="14">
        <f t="shared" si="115"/>
        <v>15750</v>
      </c>
    </row>
    <row r="173" spans="42:63" ht="16.5" x14ac:dyDescent="0.2">
      <c r="AP173" s="110"/>
      <c r="AQ173" s="110"/>
      <c r="AR173" s="110"/>
      <c r="AS173" s="110"/>
      <c r="AT173" s="110"/>
      <c r="AU173" s="110"/>
      <c r="AX173" s="109">
        <v>169</v>
      </c>
      <c r="AY173" s="14">
        <f t="shared" si="110"/>
        <v>17</v>
      </c>
      <c r="AZ173" s="14">
        <f t="shared" si="116"/>
        <v>9</v>
      </c>
      <c r="BA173" s="14">
        <f t="shared" si="119"/>
        <v>700</v>
      </c>
      <c r="BB173" s="14">
        <f t="shared" si="111"/>
        <v>3000</v>
      </c>
      <c r="BC173" s="14">
        <f t="shared" si="112"/>
        <v>7875</v>
      </c>
      <c r="BF173" s="109">
        <v>169</v>
      </c>
      <c r="BG173" s="14">
        <f t="shared" si="117"/>
        <v>17</v>
      </c>
      <c r="BH173" s="14">
        <f t="shared" si="118"/>
        <v>9</v>
      </c>
      <c r="BI173" s="14">
        <f t="shared" si="113"/>
        <v>7200</v>
      </c>
      <c r="BJ173" s="14">
        <f t="shared" si="114"/>
        <v>6000</v>
      </c>
      <c r="BK173" s="14">
        <f t="shared" si="115"/>
        <v>15750</v>
      </c>
    </row>
    <row r="174" spans="42:63" ht="16.5" x14ac:dyDescent="0.2">
      <c r="AP174" s="110"/>
      <c r="AQ174" s="110"/>
      <c r="AR174" s="110"/>
      <c r="AS174" s="110"/>
      <c r="AT174" s="110"/>
      <c r="AU174" s="110"/>
      <c r="AX174" s="109">
        <v>170</v>
      </c>
      <c r="AY174" s="14">
        <f t="shared" si="110"/>
        <v>17</v>
      </c>
      <c r="AZ174" s="14">
        <f t="shared" si="116"/>
        <v>10</v>
      </c>
      <c r="BA174" s="14">
        <f t="shared" si="119"/>
        <v>700</v>
      </c>
      <c r="BB174" s="14">
        <f t="shared" si="111"/>
        <v>3000</v>
      </c>
      <c r="BC174" s="14">
        <f t="shared" si="112"/>
        <v>7875</v>
      </c>
      <c r="BF174" s="109">
        <v>170</v>
      </c>
      <c r="BG174" s="14">
        <f t="shared" si="117"/>
        <v>17</v>
      </c>
      <c r="BH174" s="14">
        <f t="shared" si="118"/>
        <v>10</v>
      </c>
      <c r="BI174" s="14">
        <f t="shared" si="113"/>
        <v>7200</v>
      </c>
      <c r="BJ174" s="14">
        <f t="shared" si="114"/>
        <v>6000</v>
      </c>
      <c r="BK174" s="14">
        <f t="shared" si="115"/>
        <v>15750</v>
      </c>
    </row>
    <row r="175" spans="42:63" ht="16.5" x14ac:dyDescent="0.2">
      <c r="AP175" s="110"/>
      <c r="AQ175" s="110"/>
      <c r="AR175" s="110"/>
      <c r="AS175" s="110"/>
      <c r="AT175" s="110"/>
      <c r="AU175" s="110"/>
      <c r="AX175" s="109">
        <v>171</v>
      </c>
      <c r="AY175" s="14">
        <f t="shared" si="110"/>
        <v>18</v>
      </c>
      <c r="AZ175" s="14">
        <f t="shared" si="116"/>
        <v>1</v>
      </c>
      <c r="BA175" s="14">
        <f t="shared" si="119"/>
        <v>740</v>
      </c>
      <c r="BB175" s="14">
        <f t="shared" si="111"/>
        <v>3300</v>
      </c>
      <c r="BC175" s="14">
        <f t="shared" si="112"/>
        <v>8325</v>
      </c>
      <c r="BF175" s="109">
        <v>171</v>
      </c>
      <c r="BG175" s="14">
        <f t="shared" si="117"/>
        <v>18</v>
      </c>
      <c r="BH175" s="14">
        <f t="shared" si="118"/>
        <v>1</v>
      </c>
      <c r="BI175" s="14">
        <f t="shared" si="113"/>
        <v>7900</v>
      </c>
      <c r="BJ175" s="14">
        <f t="shared" si="114"/>
        <v>6600</v>
      </c>
      <c r="BK175" s="14">
        <f t="shared" si="115"/>
        <v>16650</v>
      </c>
    </row>
    <row r="176" spans="42:63" ht="16.5" x14ac:dyDescent="0.2">
      <c r="AP176" s="110"/>
      <c r="AQ176" s="110"/>
      <c r="AR176" s="110"/>
      <c r="AS176" s="110"/>
      <c r="AT176" s="110"/>
      <c r="AU176" s="110"/>
      <c r="AX176" s="109">
        <v>172</v>
      </c>
      <c r="AY176" s="14">
        <f t="shared" si="110"/>
        <v>18</v>
      </c>
      <c r="AZ176" s="14">
        <f t="shared" si="116"/>
        <v>2</v>
      </c>
      <c r="BA176" s="14">
        <f t="shared" si="119"/>
        <v>740</v>
      </c>
      <c r="BB176" s="14">
        <f t="shared" si="111"/>
        <v>3300</v>
      </c>
      <c r="BC176" s="14">
        <f t="shared" si="112"/>
        <v>8325</v>
      </c>
      <c r="BF176" s="109">
        <v>172</v>
      </c>
      <c r="BG176" s="14">
        <f t="shared" si="117"/>
        <v>18</v>
      </c>
      <c r="BH176" s="14">
        <f t="shared" si="118"/>
        <v>2</v>
      </c>
      <c r="BI176" s="14">
        <f t="shared" si="113"/>
        <v>7900</v>
      </c>
      <c r="BJ176" s="14">
        <f t="shared" si="114"/>
        <v>6600</v>
      </c>
      <c r="BK176" s="14">
        <f t="shared" si="115"/>
        <v>16650</v>
      </c>
    </row>
    <row r="177" spans="42:63" ht="16.5" x14ac:dyDescent="0.2">
      <c r="AP177" s="110"/>
      <c r="AQ177" s="110"/>
      <c r="AR177" s="110"/>
      <c r="AS177" s="110"/>
      <c r="AT177" s="110"/>
      <c r="AU177" s="110"/>
      <c r="AX177" s="109">
        <v>173</v>
      </c>
      <c r="AY177" s="14">
        <f t="shared" si="110"/>
        <v>18</v>
      </c>
      <c r="AZ177" s="14">
        <f t="shared" si="116"/>
        <v>3</v>
      </c>
      <c r="BA177" s="14">
        <f t="shared" si="119"/>
        <v>740</v>
      </c>
      <c r="BB177" s="14">
        <f t="shared" si="111"/>
        <v>3300</v>
      </c>
      <c r="BC177" s="14">
        <f t="shared" si="112"/>
        <v>8325</v>
      </c>
      <c r="BF177" s="109">
        <v>173</v>
      </c>
      <c r="BG177" s="14">
        <f t="shared" si="117"/>
        <v>18</v>
      </c>
      <c r="BH177" s="14">
        <f t="shared" si="118"/>
        <v>3</v>
      </c>
      <c r="BI177" s="14">
        <f t="shared" si="113"/>
        <v>7900</v>
      </c>
      <c r="BJ177" s="14">
        <f t="shared" si="114"/>
        <v>6600</v>
      </c>
      <c r="BK177" s="14">
        <f t="shared" si="115"/>
        <v>16650</v>
      </c>
    </row>
    <row r="178" spans="42:63" ht="16.5" x14ac:dyDescent="0.2">
      <c r="AP178" s="110"/>
      <c r="AQ178" s="110"/>
      <c r="AR178" s="110"/>
      <c r="AS178" s="110"/>
      <c r="AT178" s="110"/>
      <c r="AU178" s="110"/>
      <c r="AX178" s="109">
        <v>174</v>
      </c>
      <c r="AY178" s="14">
        <f t="shared" si="110"/>
        <v>18</v>
      </c>
      <c r="AZ178" s="14">
        <f t="shared" si="116"/>
        <v>4</v>
      </c>
      <c r="BA178" s="14">
        <f t="shared" si="119"/>
        <v>740</v>
      </c>
      <c r="BB178" s="14">
        <f t="shared" si="111"/>
        <v>3300</v>
      </c>
      <c r="BC178" s="14">
        <f t="shared" si="112"/>
        <v>8325</v>
      </c>
      <c r="BF178" s="109">
        <v>174</v>
      </c>
      <c r="BG178" s="14">
        <f t="shared" si="117"/>
        <v>18</v>
      </c>
      <c r="BH178" s="14">
        <f t="shared" si="118"/>
        <v>4</v>
      </c>
      <c r="BI178" s="14">
        <f t="shared" si="113"/>
        <v>7900</v>
      </c>
      <c r="BJ178" s="14">
        <f t="shared" si="114"/>
        <v>6600</v>
      </c>
      <c r="BK178" s="14">
        <f t="shared" si="115"/>
        <v>16650</v>
      </c>
    </row>
    <row r="179" spans="42:63" ht="16.5" x14ac:dyDescent="0.2">
      <c r="AP179" s="110"/>
      <c r="AQ179" s="110"/>
      <c r="AR179" s="110"/>
      <c r="AS179" s="110"/>
      <c r="AT179" s="110"/>
      <c r="AU179" s="110"/>
      <c r="AX179" s="109">
        <v>175</v>
      </c>
      <c r="AY179" s="14">
        <f t="shared" si="110"/>
        <v>18</v>
      </c>
      <c r="AZ179" s="14">
        <f t="shared" si="116"/>
        <v>5</v>
      </c>
      <c r="BA179" s="14">
        <f t="shared" si="119"/>
        <v>740</v>
      </c>
      <c r="BB179" s="14">
        <f t="shared" si="111"/>
        <v>3300</v>
      </c>
      <c r="BC179" s="14">
        <f t="shared" si="112"/>
        <v>8325</v>
      </c>
      <c r="BF179" s="109">
        <v>175</v>
      </c>
      <c r="BG179" s="14">
        <f t="shared" si="117"/>
        <v>18</v>
      </c>
      <c r="BH179" s="14">
        <f t="shared" si="118"/>
        <v>5</v>
      </c>
      <c r="BI179" s="14">
        <f t="shared" si="113"/>
        <v>7900</v>
      </c>
      <c r="BJ179" s="14">
        <f t="shared" si="114"/>
        <v>6600</v>
      </c>
      <c r="BK179" s="14">
        <f t="shared" si="115"/>
        <v>16650</v>
      </c>
    </row>
    <row r="180" spans="42:63" ht="16.5" x14ac:dyDescent="0.2">
      <c r="AP180" s="110"/>
      <c r="AQ180" s="110"/>
      <c r="AR180" s="110"/>
      <c r="AS180" s="110"/>
      <c r="AT180" s="110"/>
      <c r="AU180" s="110"/>
      <c r="AX180" s="109">
        <v>176</v>
      </c>
      <c r="AY180" s="14">
        <f t="shared" si="110"/>
        <v>18</v>
      </c>
      <c r="AZ180" s="14">
        <f t="shared" si="116"/>
        <v>6</v>
      </c>
      <c r="BA180" s="14">
        <f t="shared" si="119"/>
        <v>740</v>
      </c>
      <c r="BB180" s="14">
        <f t="shared" si="111"/>
        <v>3300</v>
      </c>
      <c r="BC180" s="14">
        <f t="shared" si="112"/>
        <v>8325</v>
      </c>
      <c r="BF180" s="109">
        <v>176</v>
      </c>
      <c r="BG180" s="14">
        <f t="shared" si="117"/>
        <v>18</v>
      </c>
      <c r="BH180" s="14">
        <f t="shared" si="118"/>
        <v>6</v>
      </c>
      <c r="BI180" s="14">
        <f t="shared" si="113"/>
        <v>7900</v>
      </c>
      <c r="BJ180" s="14">
        <f t="shared" si="114"/>
        <v>6600</v>
      </c>
      <c r="BK180" s="14">
        <f t="shared" si="115"/>
        <v>16650</v>
      </c>
    </row>
    <row r="181" spans="42:63" ht="16.5" x14ac:dyDescent="0.2">
      <c r="AP181" s="110"/>
      <c r="AQ181" s="110"/>
      <c r="AR181" s="110"/>
      <c r="AS181" s="110"/>
      <c r="AT181" s="110"/>
      <c r="AU181" s="110"/>
      <c r="AX181" s="109">
        <v>177</v>
      </c>
      <c r="AY181" s="14">
        <f t="shared" si="110"/>
        <v>18</v>
      </c>
      <c r="AZ181" s="14">
        <f t="shared" si="116"/>
        <v>7</v>
      </c>
      <c r="BA181" s="14">
        <f t="shared" si="119"/>
        <v>740</v>
      </c>
      <c r="BB181" s="14">
        <f t="shared" si="111"/>
        <v>3300</v>
      </c>
      <c r="BC181" s="14">
        <f t="shared" si="112"/>
        <v>8325</v>
      </c>
      <c r="BF181" s="109">
        <v>177</v>
      </c>
      <c r="BG181" s="14">
        <f t="shared" si="117"/>
        <v>18</v>
      </c>
      <c r="BH181" s="14">
        <f t="shared" si="118"/>
        <v>7</v>
      </c>
      <c r="BI181" s="14">
        <f t="shared" si="113"/>
        <v>7900</v>
      </c>
      <c r="BJ181" s="14">
        <f t="shared" si="114"/>
        <v>6600</v>
      </c>
      <c r="BK181" s="14">
        <f t="shared" si="115"/>
        <v>16650</v>
      </c>
    </row>
    <row r="182" spans="42:63" ht="16.5" x14ac:dyDescent="0.2">
      <c r="AP182" s="110"/>
      <c r="AQ182" s="110"/>
      <c r="AR182" s="110"/>
      <c r="AS182" s="110"/>
      <c r="AT182" s="110"/>
      <c r="AU182" s="110"/>
      <c r="AX182" s="109">
        <v>178</v>
      </c>
      <c r="AY182" s="14">
        <f t="shared" si="110"/>
        <v>18</v>
      </c>
      <c r="AZ182" s="14">
        <f t="shared" si="116"/>
        <v>8</v>
      </c>
      <c r="BA182" s="14">
        <f t="shared" si="119"/>
        <v>740</v>
      </c>
      <c r="BB182" s="14">
        <f t="shared" si="111"/>
        <v>3300</v>
      </c>
      <c r="BC182" s="14">
        <f t="shared" si="112"/>
        <v>8325</v>
      </c>
      <c r="BF182" s="109">
        <v>178</v>
      </c>
      <c r="BG182" s="14">
        <f t="shared" si="117"/>
        <v>18</v>
      </c>
      <c r="BH182" s="14">
        <f t="shared" si="118"/>
        <v>8</v>
      </c>
      <c r="BI182" s="14">
        <f t="shared" si="113"/>
        <v>7900</v>
      </c>
      <c r="BJ182" s="14">
        <f t="shared" si="114"/>
        <v>6600</v>
      </c>
      <c r="BK182" s="14">
        <f t="shared" si="115"/>
        <v>16650</v>
      </c>
    </row>
    <row r="183" spans="42:63" ht="16.5" x14ac:dyDescent="0.2">
      <c r="AP183" s="110"/>
      <c r="AQ183" s="110"/>
      <c r="AR183" s="110"/>
      <c r="AS183" s="110"/>
      <c r="AT183" s="110"/>
      <c r="AU183" s="110"/>
      <c r="AX183" s="109">
        <v>179</v>
      </c>
      <c r="AY183" s="14">
        <f t="shared" si="110"/>
        <v>18</v>
      </c>
      <c r="AZ183" s="14">
        <f t="shared" si="116"/>
        <v>9</v>
      </c>
      <c r="BA183" s="14">
        <f t="shared" si="119"/>
        <v>740</v>
      </c>
      <c r="BB183" s="14">
        <f t="shared" si="111"/>
        <v>3300</v>
      </c>
      <c r="BC183" s="14">
        <f t="shared" si="112"/>
        <v>8325</v>
      </c>
      <c r="BF183" s="109">
        <v>179</v>
      </c>
      <c r="BG183" s="14">
        <f t="shared" si="117"/>
        <v>18</v>
      </c>
      <c r="BH183" s="14">
        <f t="shared" si="118"/>
        <v>9</v>
      </c>
      <c r="BI183" s="14">
        <f t="shared" si="113"/>
        <v>7900</v>
      </c>
      <c r="BJ183" s="14">
        <f t="shared" si="114"/>
        <v>6600</v>
      </c>
      <c r="BK183" s="14">
        <f t="shared" si="115"/>
        <v>16650</v>
      </c>
    </row>
    <row r="184" spans="42:63" ht="16.5" x14ac:dyDescent="0.2">
      <c r="AP184" s="110"/>
      <c r="AQ184" s="110"/>
      <c r="AR184" s="110"/>
      <c r="AS184" s="110"/>
      <c r="AT184" s="110"/>
      <c r="AU184" s="110"/>
      <c r="AX184" s="109">
        <v>180</v>
      </c>
      <c r="AY184" s="14">
        <f t="shared" si="110"/>
        <v>18</v>
      </c>
      <c r="AZ184" s="14">
        <f t="shared" si="116"/>
        <v>10</v>
      </c>
      <c r="BA184" s="14">
        <f t="shared" si="119"/>
        <v>740</v>
      </c>
      <c r="BB184" s="14">
        <f t="shared" si="111"/>
        <v>3300</v>
      </c>
      <c r="BC184" s="14">
        <f t="shared" si="112"/>
        <v>8325</v>
      </c>
      <c r="BF184" s="109">
        <v>180</v>
      </c>
      <c r="BG184" s="14">
        <f t="shared" si="117"/>
        <v>18</v>
      </c>
      <c r="BH184" s="14">
        <f t="shared" si="118"/>
        <v>10</v>
      </c>
      <c r="BI184" s="14">
        <f t="shared" si="113"/>
        <v>7900</v>
      </c>
      <c r="BJ184" s="14">
        <f t="shared" si="114"/>
        <v>6600</v>
      </c>
      <c r="BK184" s="14">
        <f t="shared" si="115"/>
        <v>16650</v>
      </c>
    </row>
    <row r="185" spans="42:63" ht="16.5" x14ac:dyDescent="0.2">
      <c r="AP185" s="110"/>
      <c r="AQ185" s="110"/>
      <c r="AR185" s="110"/>
      <c r="AS185" s="110"/>
      <c r="AT185" s="110"/>
      <c r="AU185" s="110"/>
      <c r="AX185" s="109">
        <v>181</v>
      </c>
      <c r="AY185" s="14">
        <f t="shared" si="110"/>
        <v>19</v>
      </c>
      <c r="AZ185" s="14">
        <f t="shared" si="116"/>
        <v>1</v>
      </c>
      <c r="BA185" s="14">
        <f t="shared" si="119"/>
        <v>800</v>
      </c>
      <c r="BB185" s="14">
        <f t="shared" si="111"/>
        <v>3600</v>
      </c>
      <c r="BC185" s="14">
        <f t="shared" si="112"/>
        <v>9000</v>
      </c>
      <c r="BF185" s="109">
        <v>181</v>
      </c>
      <c r="BG185" s="14">
        <f t="shared" si="117"/>
        <v>19</v>
      </c>
      <c r="BH185" s="14">
        <f t="shared" si="118"/>
        <v>1</v>
      </c>
      <c r="BI185" s="14">
        <f t="shared" si="113"/>
        <v>8800</v>
      </c>
      <c r="BJ185" s="14">
        <f t="shared" si="114"/>
        <v>7200</v>
      </c>
      <c r="BK185" s="14">
        <f t="shared" si="115"/>
        <v>18000</v>
      </c>
    </row>
    <row r="186" spans="42:63" ht="16.5" x14ac:dyDescent="0.2">
      <c r="AP186" s="110"/>
      <c r="AQ186" s="110"/>
      <c r="AR186" s="110"/>
      <c r="AS186" s="110"/>
      <c r="AT186" s="110"/>
      <c r="AU186" s="110"/>
      <c r="AX186" s="109">
        <v>182</v>
      </c>
      <c r="AY186" s="14">
        <f t="shared" si="110"/>
        <v>19</v>
      </c>
      <c r="AZ186" s="14">
        <f t="shared" si="116"/>
        <v>2</v>
      </c>
      <c r="BA186" s="14">
        <f t="shared" si="119"/>
        <v>800</v>
      </c>
      <c r="BB186" s="14">
        <f t="shared" si="111"/>
        <v>3600</v>
      </c>
      <c r="BC186" s="14">
        <f t="shared" si="112"/>
        <v>9000</v>
      </c>
      <c r="BF186" s="109">
        <v>182</v>
      </c>
      <c r="BG186" s="14">
        <f t="shared" si="117"/>
        <v>19</v>
      </c>
      <c r="BH186" s="14">
        <f t="shared" si="118"/>
        <v>2</v>
      </c>
      <c r="BI186" s="14">
        <f t="shared" si="113"/>
        <v>8800</v>
      </c>
      <c r="BJ186" s="14">
        <f t="shared" si="114"/>
        <v>7200</v>
      </c>
      <c r="BK186" s="14">
        <f t="shared" si="115"/>
        <v>18000</v>
      </c>
    </row>
    <row r="187" spans="42:63" ht="16.5" x14ac:dyDescent="0.2">
      <c r="AP187" s="110"/>
      <c r="AQ187" s="110"/>
      <c r="AR187" s="110"/>
      <c r="AS187" s="110"/>
      <c r="AT187" s="110"/>
      <c r="AU187" s="110"/>
      <c r="AX187" s="109">
        <v>183</v>
      </c>
      <c r="AY187" s="14">
        <f t="shared" si="110"/>
        <v>19</v>
      </c>
      <c r="AZ187" s="14">
        <f t="shared" si="116"/>
        <v>3</v>
      </c>
      <c r="BA187" s="14">
        <f t="shared" si="119"/>
        <v>800</v>
      </c>
      <c r="BB187" s="14">
        <f t="shared" si="111"/>
        <v>3600</v>
      </c>
      <c r="BC187" s="14">
        <f t="shared" si="112"/>
        <v>9000</v>
      </c>
      <c r="BF187" s="109">
        <v>183</v>
      </c>
      <c r="BG187" s="14">
        <f t="shared" si="117"/>
        <v>19</v>
      </c>
      <c r="BH187" s="14">
        <f t="shared" si="118"/>
        <v>3</v>
      </c>
      <c r="BI187" s="14">
        <f t="shared" si="113"/>
        <v>8800</v>
      </c>
      <c r="BJ187" s="14">
        <f t="shared" si="114"/>
        <v>7200</v>
      </c>
      <c r="BK187" s="14">
        <f t="shared" si="115"/>
        <v>18000</v>
      </c>
    </row>
    <row r="188" spans="42:63" ht="16.5" x14ac:dyDescent="0.2">
      <c r="AP188" s="110"/>
      <c r="AQ188" s="110"/>
      <c r="AR188" s="110"/>
      <c r="AS188" s="110"/>
      <c r="AT188" s="110"/>
      <c r="AU188" s="110"/>
      <c r="AX188" s="109">
        <v>184</v>
      </c>
      <c r="AY188" s="14">
        <f t="shared" si="110"/>
        <v>19</v>
      </c>
      <c r="AZ188" s="14">
        <f t="shared" si="116"/>
        <v>4</v>
      </c>
      <c r="BA188" s="14">
        <f t="shared" si="119"/>
        <v>800</v>
      </c>
      <c r="BB188" s="14">
        <f t="shared" si="111"/>
        <v>3600</v>
      </c>
      <c r="BC188" s="14">
        <f t="shared" si="112"/>
        <v>9000</v>
      </c>
      <c r="BF188" s="109">
        <v>184</v>
      </c>
      <c r="BG188" s="14">
        <f t="shared" si="117"/>
        <v>19</v>
      </c>
      <c r="BH188" s="14">
        <f t="shared" si="118"/>
        <v>4</v>
      </c>
      <c r="BI188" s="14">
        <f t="shared" si="113"/>
        <v>8800</v>
      </c>
      <c r="BJ188" s="14">
        <f t="shared" si="114"/>
        <v>7200</v>
      </c>
      <c r="BK188" s="14">
        <f t="shared" si="115"/>
        <v>18000</v>
      </c>
    </row>
    <row r="189" spans="42:63" ht="16.5" x14ac:dyDescent="0.2">
      <c r="AP189" s="110"/>
      <c r="AQ189" s="110"/>
      <c r="AR189" s="110"/>
      <c r="AS189" s="110"/>
      <c r="AT189" s="110"/>
      <c r="AU189" s="110"/>
      <c r="AX189" s="109">
        <v>185</v>
      </c>
      <c r="AY189" s="14">
        <f t="shared" si="110"/>
        <v>19</v>
      </c>
      <c r="AZ189" s="14">
        <f t="shared" si="116"/>
        <v>5</v>
      </c>
      <c r="BA189" s="14">
        <f t="shared" si="119"/>
        <v>800</v>
      </c>
      <c r="BB189" s="14">
        <f t="shared" si="111"/>
        <v>3600</v>
      </c>
      <c r="BC189" s="14">
        <f t="shared" si="112"/>
        <v>9000</v>
      </c>
      <c r="BF189" s="109">
        <v>185</v>
      </c>
      <c r="BG189" s="14">
        <f t="shared" si="117"/>
        <v>19</v>
      </c>
      <c r="BH189" s="14">
        <f t="shared" si="118"/>
        <v>5</v>
      </c>
      <c r="BI189" s="14">
        <f t="shared" si="113"/>
        <v>8800</v>
      </c>
      <c r="BJ189" s="14">
        <f t="shared" si="114"/>
        <v>7200</v>
      </c>
      <c r="BK189" s="14">
        <f t="shared" si="115"/>
        <v>18000</v>
      </c>
    </row>
    <row r="190" spans="42:63" ht="16.5" x14ac:dyDescent="0.2">
      <c r="AP190" s="110"/>
      <c r="AQ190" s="110"/>
      <c r="AR190" s="110"/>
      <c r="AS190" s="110"/>
      <c r="AT190" s="110"/>
      <c r="AU190" s="110"/>
      <c r="AX190" s="109">
        <v>186</v>
      </c>
      <c r="AY190" s="14">
        <f t="shared" si="110"/>
        <v>19</v>
      </c>
      <c r="AZ190" s="14">
        <f t="shared" si="116"/>
        <v>6</v>
      </c>
      <c r="BA190" s="14">
        <f t="shared" si="119"/>
        <v>800</v>
      </c>
      <c r="BB190" s="14">
        <f t="shared" si="111"/>
        <v>3600</v>
      </c>
      <c r="BC190" s="14">
        <f t="shared" si="112"/>
        <v>9000</v>
      </c>
      <c r="BF190" s="109">
        <v>186</v>
      </c>
      <c r="BG190" s="14">
        <f t="shared" si="117"/>
        <v>19</v>
      </c>
      <c r="BH190" s="14">
        <f t="shared" si="118"/>
        <v>6</v>
      </c>
      <c r="BI190" s="14">
        <f t="shared" si="113"/>
        <v>8800</v>
      </c>
      <c r="BJ190" s="14">
        <f t="shared" si="114"/>
        <v>7200</v>
      </c>
      <c r="BK190" s="14">
        <f t="shared" si="115"/>
        <v>18000</v>
      </c>
    </row>
    <row r="191" spans="42:63" ht="16.5" x14ac:dyDescent="0.2">
      <c r="AP191" s="110"/>
      <c r="AQ191" s="110"/>
      <c r="AR191" s="110"/>
      <c r="AS191" s="110"/>
      <c r="AT191" s="110"/>
      <c r="AU191" s="110"/>
      <c r="AX191" s="109">
        <v>187</v>
      </c>
      <c r="AY191" s="14">
        <f t="shared" si="110"/>
        <v>19</v>
      </c>
      <c r="AZ191" s="14">
        <f t="shared" si="116"/>
        <v>7</v>
      </c>
      <c r="BA191" s="14">
        <f t="shared" si="119"/>
        <v>800</v>
      </c>
      <c r="BB191" s="14">
        <f t="shared" si="111"/>
        <v>3600</v>
      </c>
      <c r="BC191" s="14">
        <f t="shared" si="112"/>
        <v>9000</v>
      </c>
      <c r="BF191" s="109">
        <v>187</v>
      </c>
      <c r="BG191" s="14">
        <f t="shared" si="117"/>
        <v>19</v>
      </c>
      <c r="BH191" s="14">
        <f t="shared" si="118"/>
        <v>7</v>
      </c>
      <c r="BI191" s="14">
        <f t="shared" si="113"/>
        <v>8800</v>
      </c>
      <c r="BJ191" s="14">
        <f t="shared" si="114"/>
        <v>7200</v>
      </c>
      <c r="BK191" s="14">
        <f t="shared" si="115"/>
        <v>18000</v>
      </c>
    </row>
    <row r="192" spans="42:63" ht="16.5" x14ac:dyDescent="0.2">
      <c r="AP192" s="110"/>
      <c r="AQ192" s="110"/>
      <c r="AR192" s="110"/>
      <c r="AS192" s="110"/>
      <c r="AT192" s="110"/>
      <c r="AU192" s="110"/>
      <c r="AX192" s="109">
        <v>188</v>
      </c>
      <c r="AY192" s="14">
        <f t="shared" si="110"/>
        <v>19</v>
      </c>
      <c r="AZ192" s="14">
        <f t="shared" si="116"/>
        <v>8</v>
      </c>
      <c r="BA192" s="14">
        <f t="shared" si="119"/>
        <v>800</v>
      </c>
      <c r="BB192" s="14">
        <f t="shared" si="111"/>
        <v>3600</v>
      </c>
      <c r="BC192" s="14">
        <f t="shared" si="112"/>
        <v>9000</v>
      </c>
      <c r="BF192" s="109">
        <v>188</v>
      </c>
      <c r="BG192" s="14">
        <f t="shared" si="117"/>
        <v>19</v>
      </c>
      <c r="BH192" s="14">
        <f t="shared" si="118"/>
        <v>8</v>
      </c>
      <c r="BI192" s="14">
        <f t="shared" si="113"/>
        <v>8800</v>
      </c>
      <c r="BJ192" s="14">
        <f t="shared" si="114"/>
        <v>7200</v>
      </c>
      <c r="BK192" s="14">
        <f t="shared" si="115"/>
        <v>18000</v>
      </c>
    </row>
    <row r="193" spans="42:63" ht="16.5" x14ac:dyDescent="0.2">
      <c r="AP193" s="110"/>
      <c r="AQ193" s="110"/>
      <c r="AR193" s="110"/>
      <c r="AS193" s="110"/>
      <c r="AT193" s="110"/>
      <c r="AU193" s="110"/>
      <c r="AX193" s="109">
        <v>189</v>
      </c>
      <c r="AY193" s="14">
        <f t="shared" si="110"/>
        <v>19</v>
      </c>
      <c r="AZ193" s="14">
        <f t="shared" si="116"/>
        <v>9</v>
      </c>
      <c r="BA193" s="14">
        <f t="shared" si="119"/>
        <v>800</v>
      </c>
      <c r="BB193" s="14">
        <f t="shared" si="111"/>
        <v>3600</v>
      </c>
      <c r="BC193" s="14">
        <f t="shared" si="112"/>
        <v>9000</v>
      </c>
      <c r="BF193" s="109">
        <v>189</v>
      </c>
      <c r="BG193" s="14">
        <f t="shared" si="117"/>
        <v>19</v>
      </c>
      <c r="BH193" s="14">
        <f t="shared" si="118"/>
        <v>9</v>
      </c>
      <c r="BI193" s="14">
        <f t="shared" si="113"/>
        <v>8800</v>
      </c>
      <c r="BJ193" s="14">
        <f t="shared" si="114"/>
        <v>7200</v>
      </c>
      <c r="BK193" s="14">
        <f t="shared" si="115"/>
        <v>18000</v>
      </c>
    </row>
    <row r="194" spans="42:63" ht="16.5" x14ac:dyDescent="0.2">
      <c r="AP194" s="110"/>
      <c r="AQ194" s="110"/>
      <c r="AR194" s="110"/>
      <c r="AS194" s="110"/>
      <c r="AT194" s="110"/>
      <c r="AU194" s="110"/>
      <c r="AX194" s="109">
        <v>190</v>
      </c>
      <c r="AY194" s="14">
        <f t="shared" si="110"/>
        <v>19</v>
      </c>
      <c r="AZ194" s="14">
        <f t="shared" si="116"/>
        <v>10</v>
      </c>
      <c r="BA194" s="14">
        <f t="shared" si="119"/>
        <v>800</v>
      </c>
      <c r="BB194" s="14">
        <f t="shared" si="111"/>
        <v>3600</v>
      </c>
      <c r="BC194" s="14">
        <f t="shared" si="112"/>
        <v>9000</v>
      </c>
      <c r="BF194" s="109">
        <v>190</v>
      </c>
      <c r="BG194" s="14">
        <f t="shared" si="117"/>
        <v>19</v>
      </c>
      <c r="BH194" s="14">
        <f t="shared" si="118"/>
        <v>10</v>
      </c>
      <c r="BI194" s="14">
        <f t="shared" si="113"/>
        <v>8800</v>
      </c>
      <c r="BJ194" s="14">
        <f t="shared" si="114"/>
        <v>7200</v>
      </c>
      <c r="BK194" s="14">
        <f t="shared" si="115"/>
        <v>18000</v>
      </c>
    </row>
    <row r="195" spans="42:63" ht="16.5" x14ac:dyDescent="0.2">
      <c r="AP195" s="110"/>
      <c r="AQ195" s="110"/>
      <c r="AR195" s="110"/>
      <c r="AS195" s="110"/>
      <c r="AT195" s="110"/>
      <c r="AU195" s="110"/>
      <c r="AX195" s="109">
        <v>191</v>
      </c>
      <c r="AY195" s="14">
        <f t="shared" si="110"/>
        <v>20</v>
      </c>
      <c r="AZ195" s="14">
        <f t="shared" si="116"/>
        <v>1</v>
      </c>
      <c r="BA195" s="14">
        <f t="shared" si="119"/>
        <v>840</v>
      </c>
      <c r="BB195" s="14">
        <f t="shared" si="111"/>
        <v>3900</v>
      </c>
      <c r="BC195" s="14">
        <f t="shared" si="112"/>
        <v>9450</v>
      </c>
      <c r="BF195" s="109">
        <v>191</v>
      </c>
      <c r="BG195" s="14">
        <f t="shared" si="117"/>
        <v>20</v>
      </c>
      <c r="BH195" s="14">
        <f t="shared" si="118"/>
        <v>1</v>
      </c>
      <c r="BI195" s="14">
        <f t="shared" si="113"/>
        <v>9650</v>
      </c>
      <c r="BJ195" s="14">
        <f t="shared" si="114"/>
        <v>7800</v>
      </c>
      <c r="BK195" s="14">
        <f t="shared" si="115"/>
        <v>18900</v>
      </c>
    </row>
    <row r="196" spans="42:63" ht="16.5" x14ac:dyDescent="0.2">
      <c r="AP196" s="110"/>
      <c r="AQ196" s="110"/>
      <c r="AR196" s="110"/>
      <c r="AS196" s="110"/>
      <c r="AT196" s="110"/>
      <c r="AU196" s="110"/>
      <c r="AX196" s="109">
        <v>192</v>
      </c>
      <c r="AY196" s="14">
        <f t="shared" si="110"/>
        <v>20</v>
      </c>
      <c r="AZ196" s="14">
        <f t="shared" si="116"/>
        <v>2</v>
      </c>
      <c r="BA196" s="14">
        <f t="shared" si="119"/>
        <v>840</v>
      </c>
      <c r="BB196" s="14">
        <f t="shared" si="111"/>
        <v>3900</v>
      </c>
      <c r="BC196" s="14">
        <f t="shared" si="112"/>
        <v>9450</v>
      </c>
      <c r="BF196" s="109">
        <v>192</v>
      </c>
      <c r="BG196" s="14">
        <f t="shared" si="117"/>
        <v>20</v>
      </c>
      <c r="BH196" s="14">
        <f t="shared" si="118"/>
        <v>2</v>
      </c>
      <c r="BI196" s="14">
        <f t="shared" si="113"/>
        <v>9650</v>
      </c>
      <c r="BJ196" s="14">
        <f t="shared" si="114"/>
        <v>7800</v>
      </c>
      <c r="BK196" s="14">
        <f t="shared" si="115"/>
        <v>18900</v>
      </c>
    </row>
    <row r="197" spans="42:63" ht="16.5" x14ac:dyDescent="0.2">
      <c r="AP197" s="110"/>
      <c r="AQ197" s="110"/>
      <c r="AR197" s="110"/>
      <c r="AS197" s="110"/>
      <c r="AT197" s="110"/>
      <c r="AU197" s="110"/>
      <c r="AX197" s="109">
        <v>193</v>
      </c>
      <c r="AY197" s="14">
        <f t="shared" ref="AY197:AY260" si="120">INDEX($N$5:$N$36,MATCH(AX197-1,$Q$5:$Q$36,1))+1</f>
        <v>20</v>
      </c>
      <c r="AZ197" s="14">
        <f t="shared" si="116"/>
        <v>3</v>
      </c>
      <c r="BA197" s="14">
        <f t="shared" si="119"/>
        <v>840</v>
      </c>
      <c r="BB197" s="14">
        <f t="shared" ref="BB197:BB260" si="121">INDEX($U$6:$U$35,AY197)</f>
        <v>3900</v>
      </c>
      <c r="BC197" s="14">
        <f t="shared" ref="BC197:BC260" si="122">INDEX($W$6:$W$35,AY197)</f>
        <v>9450</v>
      </c>
      <c r="BF197" s="109">
        <v>193</v>
      </c>
      <c r="BG197" s="14">
        <f t="shared" si="117"/>
        <v>20</v>
      </c>
      <c r="BH197" s="14">
        <f t="shared" si="118"/>
        <v>3</v>
      </c>
      <c r="BI197" s="14">
        <f t="shared" ref="BI197:BI260" si="123">INDEX($AG$6:$AG$35,BG197)</f>
        <v>9650</v>
      </c>
      <c r="BJ197" s="14">
        <f t="shared" ref="BJ197:BJ260" si="124">INDEX($AI$6:$AI$35,BG197)</f>
        <v>7800</v>
      </c>
      <c r="BK197" s="14">
        <f t="shared" ref="BK197:BK260" si="125">INDEX($AK$6:$AK$35,BG197)</f>
        <v>18900</v>
      </c>
    </row>
    <row r="198" spans="42:63" ht="16.5" x14ac:dyDescent="0.2">
      <c r="AP198" s="110"/>
      <c r="AQ198" s="110"/>
      <c r="AR198" s="110"/>
      <c r="AS198" s="110"/>
      <c r="AT198" s="110"/>
      <c r="AU198" s="110"/>
      <c r="AX198" s="109">
        <v>194</v>
      </c>
      <c r="AY198" s="14">
        <f t="shared" si="120"/>
        <v>20</v>
      </c>
      <c r="AZ198" s="14">
        <f t="shared" ref="AZ198:AZ261" si="126">AX198-INDEX($Q$5:$Q$36,AY198)</f>
        <v>4</v>
      </c>
      <c r="BA198" s="14">
        <f t="shared" si="119"/>
        <v>840</v>
      </c>
      <c r="BB198" s="14">
        <f t="shared" si="121"/>
        <v>3900</v>
      </c>
      <c r="BC198" s="14">
        <f t="shared" si="122"/>
        <v>9450</v>
      </c>
      <c r="BF198" s="109">
        <v>194</v>
      </c>
      <c r="BG198" s="14">
        <f t="shared" ref="BG198:BG261" si="127">INDEX($AA$5:$AA$35,MATCH(BF198-1,$AF$5:$AF$35,1))+1</f>
        <v>20</v>
      </c>
      <c r="BH198" s="14">
        <f t="shared" ref="BH198:BH207" si="128">BF198-INDEX($AF$5:$AF$35,BG198)</f>
        <v>4</v>
      </c>
      <c r="BI198" s="14">
        <f t="shared" si="123"/>
        <v>9650</v>
      </c>
      <c r="BJ198" s="14">
        <f t="shared" si="124"/>
        <v>7800</v>
      </c>
      <c r="BK198" s="14">
        <f t="shared" si="125"/>
        <v>18900</v>
      </c>
    </row>
    <row r="199" spans="42:63" ht="16.5" x14ac:dyDescent="0.2">
      <c r="AP199" s="110"/>
      <c r="AQ199" s="110"/>
      <c r="AR199" s="110"/>
      <c r="AS199" s="110"/>
      <c r="AT199" s="110"/>
      <c r="AU199" s="110"/>
      <c r="AX199" s="109">
        <v>195</v>
      </c>
      <c r="AY199" s="14">
        <f t="shared" si="120"/>
        <v>20</v>
      </c>
      <c r="AZ199" s="14">
        <f t="shared" si="126"/>
        <v>5</v>
      </c>
      <c r="BA199" s="14">
        <f t="shared" si="119"/>
        <v>840</v>
      </c>
      <c r="BB199" s="14">
        <f t="shared" si="121"/>
        <v>3900</v>
      </c>
      <c r="BC199" s="14">
        <f t="shared" si="122"/>
        <v>9450</v>
      </c>
      <c r="BF199" s="109">
        <v>195</v>
      </c>
      <c r="BG199" s="14">
        <f t="shared" si="127"/>
        <v>20</v>
      </c>
      <c r="BH199" s="14">
        <f t="shared" si="128"/>
        <v>5</v>
      </c>
      <c r="BI199" s="14">
        <f t="shared" si="123"/>
        <v>9650</v>
      </c>
      <c r="BJ199" s="14">
        <f t="shared" si="124"/>
        <v>7800</v>
      </c>
      <c r="BK199" s="14">
        <f t="shared" si="125"/>
        <v>18900</v>
      </c>
    </row>
    <row r="200" spans="42:63" ht="16.5" x14ac:dyDescent="0.2">
      <c r="AP200" s="110"/>
      <c r="AQ200" s="110"/>
      <c r="AR200" s="110"/>
      <c r="AS200" s="110"/>
      <c r="AT200" s="110"/>
      <c r="AU200" s="110"/>
      <c r="AX200" s="109">
        <v>196</v>
      </c>
      <c r="AY200" s="14">
        <f t="shared" si="120"/>
        <v>20</v>
      </c>
      <c r="AZ200" s="14">
        <f t="shared" si="126"/>
        <v>6</v>
      </c>
      <c r="BA200" s="14">
        <f t="shared" si="119"/>
        <v>840</v>
      </c>
      <c r="BB200" s="14">
        <f t="shared" si="121"/>
        <v>3900</v>
      </c>
      <c r="BC200" s="14">
        <f t="shared" si="122"/>
        <v>9450</v>
      </c>
      <c r="BF200" s="109">
        <v>196</v>
      </c>
      <c r="BG200" s="14">
        <f t="shared" si="127"/>
        <v>20</v>
      </c>
      <c r="BH200" s="14">
        <f t="shared" si="128"/>
        <v>6</v>
      </c>
      <c r="BI200" s="14">
        <f t="shared" si="123"/>
        <v>9650</v>
      </c>
      <c r="BJ200" s="14">
        <f t="shared" si="124"/>
        <v>7800</v>
      </c>
      <c r="BK200" s="14">
        <f t="shared" si="125"/>
        <v>18900</v>
      </c>
    </row>
    <row r="201" spans="42:63" ht="16.5" x14ac:dyDescent="0.2">
      <c r="AP201" s="110"/>
      <c r="AQ201" s="110"/>
      <c r="AR201" s="110"/>
      <c r="AS201" s="110"/>
      <c r="AT201" s="110"/>
      <c r="AU201" s="110"/>
      <c r="AX201" s="109">
        <v>197</v>
      </c>
      <c r="AY201" s="14">
        <f t="shared" si="120"/>
        <v>20</v>
      </c>
      <c r="AZ201" s="14">
        <f t="shared" si="126"/>
        <v>7</v>
      </c>
      <c r="BA201" s="14">
        <f t="shared" si="119"/>
        <v>840</v>
      </c>
      <c r="BB201" s="14">
        <f t="shared" si="121"/>
        <v>3900</v>
      </c>
      <c r="BC201" s="14">
        <f t="shared" si="122"/>
        <v>9450</v>
      </c>
      <c r="BF201" s="109">
        <v>197</v>
      </c>
      <c r="BG201" s="14">
        <f t="shared" si="127"/>
        <v>20</v>
      </c>
      <c r="BH201" s="14">
        <f t="shared" si="128"/>
        <v>7</v>
      </c>
      <c r="BI201" s="14">
        <f t="shared" si="123"/>
        <v>9650</v>
      </c>
      <c r="BJ201" s="14">
        <f t="shared" si="124"/>
        <v>7800</v>
      </c>
      <c r="BK201" s="14">
        <f t="shared" si="125"/>
        <v>18900</v>
      </c>
    </row>
    <row r="202" spans="42:63" ht="16.5" x14ac:dyDescent="0.2">
      <c r="AP202" s="110"/>
      <c r="AQ202" s="110"/>
      <c r="AR202" s="110"/>
      <c r="AS202" s="110"/>
      <c r="AT202" s="110"/>
      <c r="AU202" s="110"/>
      <c r="AX202" s="109">
        <v>198</v>
      </c>
      <c r="AY202" s="14">
        <f t="shared" si="120"/>
        <v>20</v>
      </c>
      <c r="AZ202" s="14">
        <f t="shared" si="126"/>
        <v>8</v>
      </c>
      <c r="BA202" s="14">
        <f t="shared" si="119"/>
        <v>840</v>
      </c>
      <c r="BB202" s="14">
        <f t="shared" si="121"/>
        <v>3900</v>
      </c>
      <c r="BC202" s="14">
        <f t="shared" si="122"/>
        <v>9450</v>
      </c>
      <c r="BF202" s="109">
        <v>198</v>
      </c>
      <c r="BG202" s="14">
        <f t="shared" si="127"/>
        <v>20</v>
      </c>
      <c r="BH202" s="14">
        <f t="shared" si="128"/>
        <v>8</v>
      </c>
      <c r="BI202" s="14">
        <f t="shared" si="123"/>
        <v>9650</v>
      </c>
      <c r="BJ202" s="14">
        <f t="shared" si="124"/>
        <v>7800</v>
      </c>
      <c r="BK202" s="14">
        <f t="shared" si="125"/>
        <v>18900</v>
      </c>
    </row>
    <row r="203" spans="42:63" ht="16.5" x14ac:dyDescent="0.2">
      <c r="AP203" s="110"/>
      <c r="AQ203" s="110"/>
      <c r="AR203" s="110"/>
      <c r="AS203" s="110"/>
      <c r="AT203" s="110"/>
      <c r="AU203" s="110"/>
      <c r="AX203" s="109">
        <v>199</v>
      </c>
      <c r="AY203" s="14">
        <f t="shared" si="120"/>
        <v>20</v>
      </c>
      <c r="AZ203" s="14">
        <f t="shared" si="126"/>
        <v>9</v>
      </c>
      <c r="BA203" s="14">
        <f t="shared" si="119"/>
        <v>840</v>
      </c>
      <c r="BB203" s="14">
        <f t="shared" si="121"/>
        <v>3900</v>
      </c>
      <c r="BC203" s="14">
        <f t="shared" si="122"/>
        <v>9450</v>
      </c>
      <c r="BF203" s="109">
        <v>199</v>
      </c>
      <c r="BG203" s="14">
        <f t="shared" si="127"/>
        <v>20</v>
      </c>
      <c r="BH203" s="14">
        <f t="shared" si="128"/>
        <v>9</v>
      </c>
      <c r="BI203" s="14">
        <f t="shared" si="123"/>
        <v>9650</v>
      </c>
      <c r="BJ203" s="14">
        <f t="shared" si="124"/>
        <v>7800</v>
      </c>
      <c r="BK203" s="14">
        <f t="shared" si="125"/>
        <v>18900</v>
      </c>
    </row>
    <row r="204" spans="42:63" ht="16.5" x14ac:dyDescent="0.2">
      <c r="AP204" s="110"/>
      <c r="AQ204" s="110"/>
      <c r="AR204" s="110"/>
      <c r="AS204" s="110"/>
      <c r="AT204" s="110"/>
      <c r="AU204" s="110"/>
      <c r="AX204" s="109">
        <v>200</v>
      </c>
      <c r="AY204" s="14">
        <f t="shared" si="120"/>
        <v>20</v>
      </c>
      <c r="AZ204" s="14">
        <f t="shared" si="126"/>
        <v>10</v>
      </c>
      <c r="BA204" s="14">
        <f t="shared" si="119"/>
        <v>840</v>
      </c>
      <c r="BB204" s="14">
        <f t="shared" si="121"/>
        <v>3900</v>
      </c>
      <c r="BC204" s="14">
        <f t="shared" si="122"/>
        <v>9450</v>
      </c>
      <c r="BF204" s="109">
        <v>200</v>
      </c>
      <c r="BG204" s="14">
        <f t="shared" si="127"/>
        <v>20</v>
      </c>
      <c r="BH204" s="14">
        <f t="shared" si="128"/>
        <v>10</v>
      </c>
      <c r="BI204" s="14">
        <f t="shared" si="123"/>
        <v>9650</v>
      </c>
      <c r="BJ204" s="14">
        <f t="shared" si="124"/>
        <v>7800</v>
      </c>
      <c r="BK204" s="14">
        <f t="shared" si="125"/>
        <v>18900</v>
      </c>
    </row>
    <row r="205" spans="42:63" ht="16.5" x14ac:dyDescent="0.2">
      <c r="AP205" s="110"/>
      <c r="AQ205" s="110"/>
      <c r="AR205" s="110"/>
      <c r="AS205" s="110"/>
      <c r="AT205" s="110"/>
      <c r="AU205" s="110"/>
      <c r="AX205" s="109">
        <v>201</v>
      </c>
      <c r="AY205" s="14">
        <f t="shared" si="120"/>
        <v>21</v>
      </c>
      <c r="AZ205" s="14">
        <f t="shared" si="126"/>
        <v>1</v>
      </c>
      <c r="BA205" s="14">
        <f t="shared" si="119"/>
        <v>900</v>
      </c>
      <c r="BB205" s="14">
        <f t="shared" si="121"/>
        <v>4200</v>
      </c>
      <c r="BC205" s="14">
        <f t="shared" si="122"/>
        <v>10125</v>
      </c>
      <c r="BF205" s="109">
        <v>201</v>
      </c>
      <c r="BG205" s="14">
        <f t="shared" si="127"/>
        <v>21</v>
      </c>
      <c r="BH205" s="14">
        <f t="shared" si="128"/>
        <v>1</v>
      </c>
      <c r="BI205" s="14">
        <f t="shared" si="123"/>
        <v>10800</v>
      </c>
      <c r="BJ205" s="14">
        <f t="shared" si="124"/>
        <v>8400</v>
      </c>
      <c r="BK205" s="14">
        <f t="shared" si="125"/>
        <v>20250</v>
      </c>
    </row>
    <row r="206" spans="42:63" ht="16.5" x14ac:dyDescent="0.2">
      <c r="AP206" s="110"/>
      <c r="AQ206" s="110"/>
      <c r="AR206" s="110"/>
      <c r="AS206" s="110"/>
      <c r="AT206" s="110"/>
      <c r="AU206" s="110"/>
      <c r="AX206" s="109">
        <v>202</v>
      </c>
      <c r="AY206" s="14">
        <f t="shared" si="120"/>
        <v>21</v>
      </c>
      <c r="AZ206" s="14">
        <f t="shared" si="126"/>
        <v>2</v>
      </c>
      <c r="BA206" s="14">
        <f t="shared" si="119"/>
        <v>900</v>
      </c>
      <c r="BB206" s="14">
        <f t="shared" si="121"/>
        <v>4200</v>
      </c>
      <c r="BC206" s="14">
        <f t="shared" si="122"/>
        <v>10125</v>
      </c>
      <c r="BF206" s="109">
        <v>202</v>
      </c>
      <c r="BG206" s="14">
        <f t="shared" si="127"/>
        <v>21</v>
      </c>
      <c r="BH206" s="14">
        <f t="shared" si="128"/>
        <v>2</v>
      </c>
      <c r="BI206" s="14">
        <f t="shared" si="123"/>
        <v>10800</v>
      </c>
      <c r="BJ206" s="14">
        <f t="shared" si="124"/>
        <v>8400</v>
      </c>
      <c r="BK206" s="14">
        <f t="shared" si="125"/>
        <v>20250</v>
      </c>
    </row>
    <row r="207" spans="42:63" ht="16.5" x14ac:dyDescent="0.2">
      <c r="AP207" s="110"/>
      <c r="AQ207" s="110"/>
      <c r="AR207" s="110"/>
      <c r="AS207" s="110"/>
      <c r="AT207" s="110"/>
      <c r="AU207" s="110"/>
      <c r="AX207" s="109">
        <v>203</v>
      </c>
      <c r="AY207" s="14">
        <f t="shared" si="120"/>
        <v>21</v>
      </c>
      <c r="AZ207" s="14">
        <f t="shared" si="126"/>
        <v>3</v>
      </c>
      <c r="BA207" s="14">
        <f t="shared" ref="BA207:BA270" si="129">INDEX($S$6:$S$35,AY207)</f>
        <v>900</v>
      </c>
      <c r="BB207" s="14">
        <f t="shared" si="121"/>
        <v>4200</v>
      </c>
      <c r="BC207" s="14">
        <f t="shared" si="122"/>
        <v>10125</v>
      </c>
      <c r="BF207" s="109">
        <v>203</v>
      </c>
      <c r="BG207" s="14">
        <f t="shared" si="127"/>
        <v>21</v>
      </c>
      <c r="BH207" s="14">
        <f t="shared" si="128"/>
        <v>3</v>
      </c>
      <c r="BI207" s="14">
        <f t="shared" si="123"/>
        <v>10800</v>
      </c>
      <c r="BJ207" s="14">
        <f t="shared" si="124"/>
        <v>8400</v>
      </c>
      <c r="BK207" s="14">
        <f t="shared" si="125"/>
        <v>20250</v>
      </c>
    </row>
    <row r="208" spans="42:63" ht="16.5" x14ac:dyDescent="0.2">
      <c r="AP208" s="110"/>
      <c r="AQ208" s="110"/>
      <c r="AR208" s="110"/>
      <c r="AS208" s="110"/>
      <c r="AT208" s="110"/>
      <c r="AU208" s="110"/>
      <c r="AX208" s="109">
        <v>204</v>
      </c>
      <c r="AY208" s="14">
        <f t="shared" si="120"/>
        <v>21</v>
      </c>
      <c r="AZ208" s="14">
        <f t="shared" si="126"/>
        <v>4</v>
      </c>
      <c r="BA208" s="14">
        <f t="shared" si="129"/>
        <v>900</v>
      </c>
      <c r="BB208" s="14">
        <f t="shared" si="121"/>
        <v>4200</v>
      </c>
      <c r="BC208" s="14">
        <f t="shared" si="122"/>
        <v>10125</v>
      </c>
      <c r="BF208" s="109">
        <v>204</v>
      </c>
      <c r="BG208" s="14">
        <f t="shared" si="127"/>
        <v>21</v>
      </c>
      <c r="BH208" s="14">
        <f t="shared" ref="BH208:BH271" si="130">BF208-INDEX($AF$5:$AF$35,BG208)</f>
        <v>4</v>
      </c>
      <c r="BI208" s="14">
        <f t="shared" si="123"/>
        <v>10800</v>
      </c>
      <c r="BJ208" s="14">
        <f t="shared" si="124"/>
        <v>8400</v>
      </c>
      <c r="BK208" s="14">
        <f t="shared" si="125"/>
        <v>20250</v>
      </c>
    </row>
    <row r="209" spans="42:63" ht="16.5" x14ac:dyDescent="0.2">
      <c r="AP209" s="110"/>
      <c r="AQ209" s="110"/>
      <c r="AR209" s="110"/>
      <c r="AS209" s="110"/>
      <c r="AT209" s="110"/>
      <c r="AU209" s="110"/>
      <c r="AX209" s="109">
        <v>205</v>
      </c>
      <c r="AY209" s="14">
        <f t="shared" si="120"/>
        <v>21</v>
      </c>
      <c r="AZ209" s="14">
        <f t="shared" si="126"/>
        <v>5</v>
      </c>
      <c r="BA209" s="14">
        <f t="shared" si="129"/>
        <v>900</v>
      </c>
      <c r="BB209" s="14">
        <f t="shared" si="121"/>
        <v>4200</v>
      </c>
      <c r="BC209" s="14">
        <f t="shared" si="122"/>
        <v>10125</v>
      </c>
      <c r="BF209" s="109">
        <v>205</v>
      </c>
      <c r="BG209" s="14">
        <f t="shared" si="127"/>
        <v>21</v>
      </c>
      <c r="BH209" s="14">
        <f t="shared" si="130"/>
        <v>5</v>
      </c>
      <c r="BI209" s="14">
        <f t="shared" si="123"/>
        <v>10800</v>
      </c>
      <c r="BJ209" s="14">
        <f t="shared" si="124"/>
        <v>8400</v>
      </c>
      <c r="BK209" s="14">
        <f t="shared" si="125"/>
        <v>20250</v>
      </c>
    </row>
    <row r="210" spans="42:63" ht="16.5" x14ac:dyDescent="0.2">
      <c r="AP210" s="110"/>
      <c r="AQ210" s="110"/>
      <c r="AR210" s="110"/>
      <c r="AS210" s="110"/>
      <c r="AT210" s="110"/>
      <c r="AU210" s="110"/>
      <c r="AX210" s="109">
        <v>206</v>
      </c>
      <c r="AY210" s="14">
        <f t="shared" si="120"/>
        <v>21</v>
      </c>
      <c r="AZ210" s="14">
        <f t="shared" si="126"/>
        <v>6</v>
      </c>
      <c r="BA210" s="14">
        <f t="shared" si="129"/>
        <v>900</v>
      </c>
      <c r="BB210" s="14">
        <f t="shared" si="121"/>
        <v>4200</v>
      </c>
      <c r="BC210" s="14">
        <f t="shared" si="122"/>
        <v>10125</v>
      </c>
      <c r="BF210" s="109">
        <v>206</v>
      </c>
      <c r="BG210" s="14">
        <f t="shared" si="127"/>
        <v>21</v>
      </c>
      <c r="BH210" s="14">
        <f t="shared" si="130"/>
        <v>6</v>
      </c>
      <c r="BI210" s="14">
        <f t="shared" si="123"/>
        <v>10800</v>
      </c>
      <c r="BJ210" s="14">
        <f t="shared" si="124"/>
        <v>8400</v>
      </c>
      <c r="BK210" s="14">
        <f t="shared" si="125"/>
        <v>20250</v>
      </c>
    </row>
    <row r="211" spans="42:63" ht="16.5" x14ac:dyDescent="0.2">
      <c r="AP211" s="110"/>
      <c r="AQ211" s="110"/>
      <c r="AR211" s="110"/>
      <c r="AS211" s="110"/>
      <c r="AT211" s="110"/>
      <c r="AU211" s="110"/>
      <c r="AX211" s="109">
        <v>207</v>
      </c>
      <c r="AY211" s="14">
        <f t="shared" si="120"/>
        <v>21</v>
      </c>
      <c r="AZ211" s="14">
        <f t="shared" si="126"/>
        <v>7</v>
      </c>
      <c r="BA211" s="14">
        <f t="shared" si="129"/>
        <v>900</v>
      </c>
      <c r="BB211" s="14">
        <f t="shared" si="121"/>
        <v>4200</v>
      </c>
      <c r="BC211" s="14">
        <f t="shared" si="122"/>
        <v>10125</v>
      </c>
      <c r="BF211" s="109">
        <v>207</v>
      </c>
      <c r="BG211" s="14">
        <f t="shared" si="127"/>
        <v>21</v>
      </c>
      <c r="BH211" s="14">
        <f t="shared" si="130"/>
        <v>7</v>
      </c>
      <c r="BI211" s="14">
        <f t="shared" si="123"/>
        <v>10800</v>
      </c>
      <c r="BJ211" s="14">
        <f t="shared" si="124"/>
        <v>8400</v>
      </c>
      <c r="BK211" s="14">
        <f t="shared" si="125"/>
        <v>20250</v>
      </c>
    </row>
    <row r="212" spans="42:63" ht="16.5" x14ac:dyDescent="0.2">
      <c r="AP212" s="110"/>
      <c r="AQ212" s="110"/>
      <c r="AR212" s="110"/>
      <c r="AS212" s="110"/>
      <c r="AT212" s="110"/>
      <c r="AU212" s="110"/>
      <c r="AX212" s="109">
        <v>208</v>
      </c>
      <c r="AY212" s="14">
        <f t="shared" si="120"/>
        <v>21</v>
      </c>
      <c r="AZ212" s="14">
        <f t="shared" si="126"/>
        <v>8</v>
      </c>
      <c r="BA212" s="14">
        <f t="shared" si="129"/>
        <v>900</v>
      </c>
      <c r="BB212" s="14">
        <f t="shared" si="121"/>
        <v>4200</v>
      </c>
      <c r="BC212" s="14">
        <f t="shared" si="122"/>
        <v>10125</v>
      </c>
      <c r="BF212" s="109">
        <v>208</v>
      </c>
      <c r="BG212" s="14">
        <f t="shared" si="127"/>
        <v>21</v>
      </c>
      <c r="BH212" s="14">
        <f t="shared" si="130"/>
        <v>8</v>
      </c>
      <c r="BI212" s="14">
        <f t="shared" si="123"/>
        <v>10800</v>
      </c>
      <c r="BJ212" s="14">
        <f t="shared" si="124"/>
        <v>8400</v>
      </c>
      <c r="BK212" s="14">
        <f t="shared" si="125"/>
        <v>20250</v>
      </c>
    </row>
    <row r="213" spans="42:63" ht="16.5" x14ac:dyDescent="0.2">
      <c r="AP213" s="110"/>
      <c r="AQ213" s="110"/>
      <c r="AR213" s="110"/>
      <c r="AS213" s="110"/>
      <c r="AT213" s="110"/>
      <c r="AU213" s="110"/>
      <c r="AX213" s="109">
        <v>209</v>
      </c>
      <c r="AY213" s="14">
        <f t="shared" si="120"/>
        <v>21</v>
      </c>
      <c r="AZ213" s="14">
        <f t="shared" si="126"/>
        <v>9</v>
      </c>
      <c r="BA213" s="14">
        <f t="shared" si="129"/>
        <v>900</v>
      </c>
      <c r="BB213" s="14">
        <f t="shared" si="121"/>
        <v>4200</v>
      </c>
      <c r="BC213" s="14">
        <f t="shared" si="122"/>
        <v>10125</v>
      </c>
      <c r="BF213" s="109">
        <v>209</v>
      </c>
      <c r="BG213" s="14">
        <f t="shared" si="127"/>
        <v>21</v>
      </c>
      <c r="BH213" s="14">
        <f t="shared" si="130"/>
        <v>9</v>
      </c>
      <c r="BI213" s="14">
        <f t="shared" si="123"/>
        <v>10800</v>
      </c>
      <c r="BJ213" s="14">
        <f t="shared" si="124"/>
        <v>8400</v>
      </c>
      <c r="BK213" s="14">
        <f t="shared" si="125"/>
        <v>20250</v>
      </c>
    </row>
    <row r="214" spans="42:63" ht="16.5" x14ac:dyDescent="0.2">
      <c r="AP214" s="110"/>
      <c r="AQ214" s="110"/>
      <c r="AR214" s="110"/>
      <c r="AS214" s="110"/>
      <c r="AT214" s="110"/>
      <c r="AU214" s="110"/>
      <c r="AX214" s="109">
        <v>210</v>
      </c>
      <c r="AY214" s="14">
        <f t="shared" si="120"/>
        <v>21</v>
      </c>
      <c r="AZ214" s="14">
        <f t="shared" si="126"/>
        <v>10</v>
      </c>
      <c r="BA214" s="14">
        <f t="shared" si="129"/>
        <v>900</v>
      </c>
      <c r="BB214" s="14">
        <f t="shared" si="121"/>
        <v>4200</v>
      </c>
      <c r="BC214" s="14">
        <f t="shared" si="122"/>
        <v>10125</v>
      </c>
      <c r="BF214" s="109">
        <v>210</v>
      </c>
      <c r="BG214" s="14">
        <f t="shared" si="127"/>
        <v>21</v>
      </c>
      <c r="BH214" s="14">
        <f t="shared" si="130"/>
        <v>10</v>
      </c>
      <c r="BI214" s="14">
        <f t="shared" si="123"/>
        <v>10800</v>
      </c>
      <c r="BJ214" s="14">
        <f t="shared" si="124"/>
        <v>8400</v>
      </c>
      <c r="BK214" s="14">
        <f t="shared" si="125"/>
        <v>20250</v>
      </c>
    </row>
    <row r="215" spans="42:63" ht="16.5" x14ac:dyDescent="0.2">
      <c r="AP215" s="110"/>
      <c r="AQ215" s="110"/>
      <c r="AR215" s="110"/>
      <c r="AS215" s="110"/>
      <c r="AT215" s="110"/>
      <c r="AU215" s="110"/>
      <c r="AX215" s="109">
        <v>211</v>
      </c>
      <c r="AY215" s="14">
        <f t="shared" si="120"/>
        <v>22</v>
      </c>
      <c r="AZ215" s="14">
        <f t="shared" si="126"/>
        <v>1</v>
      </c>
      <c r="BA215" s="14">
        <f t="shared" si="129"/>
        <v>940</v>
      </c>
      <c r="BB215" s="14">
        <f t="shared" si="121"/>
        <v>4500</v>
      </c>
      <c r="BC215" s="14">
        <f t="shared" si="122"/>
        <v>10575</v>
      </c>
      <c r="BF215" s="109">
        <v>211</v>
      </c>
      <c r="BG215" s="14">
        <f t="shared" si="127"/>
        <v>22</v>
      </c>
      <c r="BH215" s="14">
        <f t="shared" si="130"/>
        <v>1</v>
      </c>
      <c r="BI215" s="14">
        <f t="shared" si="123"/>
        <v>13200</v>
      </c>
      <c r="BJ215" s="14">
        <f t="shared" si="124"/>
        <v>9000</v>
      </c>
      <c r="BK215" s="14">
        <f t="shared" si="125"/>
        <v>21150</v>
      </c>
    </row>
    <row r="216" spans="42:63" ht="16.5" x14ac:dyDescent="0.2">
      <c r="AP216" s="110"/>
      <c r="AQ216" s="110"/>
      <c r="AR216" s="110"/>
      <c r="AS216" s="110"/>
      <c r="AT216" s="110"/>
      <c r="AU216" s="110"/>
      <c r="AX216" s="109">
        <v>212</v>
      </c>
      <c r="AY216" s="14">
        <f t="shared" si="120"/>
        <v>22</v>
      </c>
      <c r="AZ216" s="14">
        <f t="shared" si="126"/>
        <v>2</v>
      </c>
      <c r="BA216" s="14">
        <f t="shared" si="129"/>
        <v>940</v>
      </c>
      <c r="BB216" s="14">
        <f t="shared" si="121"/>
        <v>4500</v>
      </c>
      <c r="BC216" s="14">
        <f t="shared" si="122"/>
        <v>10575</v>
      </c>
      <c r="BF216" s="109">
        <v>212</v>
      </c>
      <c r="BG216" s="14">
        <f t="shared" si="127"/>
        <v>22</v>
      </c>
      <c r="BH216" s="14">
        <f t="shared" si="130"/>
        <v>2</v>
      </c>
      <c r="BI216" s="14">
        <f t="shared" si="123"/>
        <v>13200</v>
      </c>
      <c r="BJ216" s="14">
        <f t="shared" si="124"/>
        <v>9000</v>
      </c>
      <c r="BK216" s="14">
        <f t="shared" si="125"/>
        <v>21150</v>
      </c>
    </row>
    <row r="217" spans="42:63" ht="16.5" x14ac:dyDescent="0.2">
      <c r="AP217" s="110"/>
      <c r="AQ217" s="110"/>
      <c r="AR217" s="110"/>
      <c r="AS217" s="110"/>
      <c r="AT217" s="110"/>
      <c r="AU217" s="110"/>
      <c r="AX217" s="109">
        <v>213</v>
      </c>
      <c r="AY217" s="14">
        <f t="shared" si="120"/>
        <v>22</v>
      </c>
      <c r="AZ217" s="14">
        <f t="shared" si="126"/>
        <v>3</v>
      </c>
      <c r="BA217" s="14">
        <f t="shared" si="129"/>
        <v>940</v>
      </c>
      <c r="BB217" s="14">
        <f t="shared" si="121"/>
        <v>4500</v>
      </c>
      <c r="BC217" s="14">
        <f t="shared" si="122"/>
        <v>10575</v>
      </c>
      <c r="BF217" s="109">
        <v>213</v>
      </c>
      <c r="BG217" s="14">
        <f t="shared" si="127"/>
        <v>22</v>
      </c>
      <c r="BH217" s="14">
        <f t="shared" si="130"/>
        <v>3</v>
      </c>
      <c r="BI217" s="14">
        <f t="shared" si="123"/>
        <v>13200</v>
      </c>
      <c r="BJ217" s="14">
        <f t="shared" si="124"/>
        <v>9000</v>
      </c>
      <c r="BK217" s="14">
        <f t="shared" si="125"/>
        <v>21150</v>
      </c>
    </row>
    <row r="218" spans="42:63" ht="16.5" x14ac:dyDescent="0.2">
      <c r="AP218" s="110"/>
      <c r="AQ218" s="110"/>
      <c r="AR218" s="110"/>
      <c r="AS218" s="110"/>
      <c r="AT218" s="110"/>
      <c r="AU218" s="110"/>
      <c r="AX218" s="109">
        <v>214</v>
      </c>
      <c r="AY218" s="14">
        <f t="shared" si="120"/>
        <v>22</v>
      </c>
      <c r="AZ218" s="14">
        <f t="shared" si="126"/>
        <v>4</v>
      </c>
      <c r="BA218" s="14">
        <f t="shared" si="129"/>
        <v>940</v>
      </c>
      <c r="BB218" s="14">
        <f t="shared" si="121"/>
        <v>4500</v>
      </c>
      <c r="BC218" s="14">
        <f t="shared" si="122"/>
        <v>10575</v>
      </c>
      <c r="BF218" s="109">
        <v>214</v>
      </c>
      <c r="BG218" s="14">
        <f t="shared" si="127"/>
        <v>22</v>
      </c>
      <c r="BH218" s="14">
        <f t="shared" si="130"/>
        <v>4</v>
      </c>
      <c r="BI218" s="14">
        <f t="shared" si="123"/>
        <v>13200</v>
      </c>
      <c r="BJ218" s="14">
        <f t="shared" si="124"/>
        <v>9000</v>
      </c>
      <c r="BK218" s="14">
        <f t="shared" si="125"/>
        <v>21150</v>
      </c>
    </row>
    <row r="219" spans="42:63" ht="16.5" x14ac:dyDescent="0.2">
      <c r="AP219" s="110"/>
      <c r="AQ219" s="110"/>
      <c r="AR219" s="110"/>
      <c r="AS219" s="110"/>
      <c r="AT219" s="110"/>
      <c r="AU219" s="110"/>
      <c r="AX219" s="109">
        <v>215</v>
      </c>
      <c r="AY219" s="14">
        <f t="shared" si="120"/>
        <v>22</v>
      </c>
      <c r="AZ219" s="14">
        <f t="shared" si="126"/>
        <v>5</v>
      </c>
      <c r="BA219" s="14">
        <f t="shared" si="129"/>
        <v>940</v>
      </c>
      <c r="BB219" s="14">
        <f t="shared" si="121"/>
        <v>4500</v>
      </c>
      <c r="BC219" s="14">
        <f t="shared" si="122"/>
        <v>10575</v>
      </c>
      <c r="BF219" s="109">
        <v>215</v>
      </c>
      <c r="BG219" s="14">
        <f t="shared" si="127"/>
        <v>22</v>
      </c>
      <c r="BH219" s="14">
        <f t="shared" si="130"/>
        <v>5</v>
      </c>
      <c r="BI219" s="14">
        <f t="shared" si="123"/>
        <v>13200</v>
      </c>
      <c r="BJ219" s="14">
        <f t="shared" si="124"/>
        <v>9000</v>
      </c>
      <c r="BK219" s="14">
        <f t="shared" si="125"/>
        <v>21150</v>
      </c>
    </row>
    <row r="220" spans="42:63" ht="16.5" x14ac:dyDescent="0.2">
      <c r="AP220" s="110"/>
      <c r="AQ220" s="110"/>
      <c r="AR220" s="110"/>
      <c r="AS220" s="110"/>
      <c r="AT220" s="110"/>
      <c r="AU220" s="110"/>
      <c r="AX220" s="109">
        <v>216</v>
      </c>
      <c r="AY220" s="14">
        <f t="shared" si="120"/>
        <v>22</v>
      </c>
      <c r="AZ220" s="14">
        <f t="shared" si="126"/>
        <v>6</v>
      </c>
      <c r="BA220" s="14">
        <f t="shared" si="129"/>
        <v>940</v>
      </c>
      <c r="BB220" s="14">
        <f t="shared" si="121"/>
        <v>4500</v>
      </c>
      <c r="BC220" s="14">
        <f t="shared" si="122"/>
        <v>10575</v>
      </c>
      <c r="BF220" s="109">
        <v>216</v>
      </c>
      <c r="BG220" s="14">
        <f t="shared" si="127"/>
        <v>22</v>
      </c>
      <c r="BH220" s="14">
        <f t="shared" si="130"/>
        <v>6</v>
      </c>
      <c r="BI220" s="14">
        <f t="shared" si="123"/>
        <v>13200</v>
      </c>
      <c r="BJ220" s="14">
        <f t="shared" si="124"/>
        <v>9000</v>
      </c>
      <c r="BK220" s="14">
        <f t="shared" si="125"/>
        <v>21150</v>
      </c>
    </row>
    <row r="221" spans="42:63" ht="16.5" x14ac:dyDescent="0.2">
      <c r="AP221" s="110"/>
      <c r="AQ221" s="110"/>
      <c r="AR221" s="110"/>
      <c r="AS221" s="110"/>
      <c r="AT221" s="110"/>
      <c r="AU221" s="110"/>
      <c r="AX221" s="109">
        <v>217</v>
      </c>
      <c r="AY221" s="14">
        <f t="shared" si="120"/>
        <v>22</v>
      </c>
      <c r="AZ221" s="14">
        <f t="shared" si="126"/>
        <v>7</v>
      </c>
      <c r="BA221" s="14">
        <f t="shared" si="129"/>
        <v>940</v>
      </c>
      <c r="BB221" s="14">
        <f t="shared" si="121"/>
        <v>4500</v>
      </c>
      <c r="BC221" s="14">
        <f t="shared" si="122"/>
        <v>10575</v>
      </c>
      <c r="BF221" s="109">
        <v>217</v>
      </c>
      <c r="BG221" s="14">
        <f t="shared" si="127"/>
        <v>22</v>
      </c>
      <c r="BH221" s="14">
        <f t="shared" si="130"/>
        <v>7</v>
      </c>
      <c r="BI221" s="14">
        <f t="shared" si="123"/>
        <v>13200</v>
      </c>
      <c r="BJ221" s="14">
        <f t="shared" si="124"/>
        <v>9000</v>
      </c>
      <c r="BK221" s="14">
        <f t="shared" si="125"/>
        <v>21150</v>
      </c>
    </row>
    <row r="222" spans="42:63" ht="16.5" x14ac:dyDescent="0.2">
      <c r="AP222" s="110"/>
      <c r="AQ222" s="110"/>
      <c r="AR222" s="110"/>
      <c r="AS222" s="110"/>
      <c r="AT222" s="110"/>
      <c r="AU222" s="110"/>
      <c r="AX222" s="109">
        <v>218</v>
      </c>
      <c r="AY222" s="14">
        <f t="shared" si="120"/>
        <v>22</v>
      </c>
      <c r="AZ222" s="14">
        <f t="shared" si="126"/>
        <v>8</v>
      </c>
      <c r="BA222" s="14">
        <f t="shared" si="129"/>
        <v>940</v>
      </c>
      <c r="BB222" s="14">
        <f t="shared" si="121"/>
        <v>4500</v>
      </c>
      <c r="BC222" s="14">
        <f t="shared" si="122"/>
        <v>10575</v>
      </c>
      <c r="BF222" s="109">
        <v>218</v>
      </c>
      <c r="BG222" s="14">
        <f t="shared" si="127"/>
        <v>22</v>
      </c>
      <c r="BH222" s="14">
        <f t="shared" si="130"/>
        <v>8</v>
      </c>
      <c r="BI222" s="14">
        <f t="shared" si="123"/>
        <v>13200</v>
      </c>
      <c r="BJ222" s="14">
        <f t="shared" si="124"/>
        <v>9000</v>
      </c>
      <c r="BK222" s="14">
        <f t="shared" si="125"/>
        <v>21150</v>
      </c>
    </row>
    <row r="223" spans="42:63" ht="16.5" x14ac:dyDescent="0.2">
      <c r="AP223" s="110"/>
      <c r="AQ223" s="110"/>
      <c r="AR223" s="110"/>
      <c r="AS223" s="110"/>
      <c r="AT223" s="110"/>
      <c r="AU223" s="110"/>
      <c r="AX223" s="109">
        <v>219</v>
      </c>
      <c r="AY223" s="14">
        <f t="shared" si="120"/>
        <v>22</v>
      </c>
      <c r="AZ223" s="14">
        <f t="shared" si="126"/>
        <v>9</v>
      </c>
      <c r="BA223" s="14">
        <f t="shared" si="129"/>
        <v>940</v>
      </c>
      <c r="BB223" s="14">
        <f t="shared" si="121"/>
        <v>4500</v>
      </c>
      <c r="BC223" s="14">
        <f t="shared" si="122"/>
        <v>10575</v>
      </c>
      <c r="BF223" s="109">
        <v>219</v>
      </c>
      <c r="BG223" s="14">
        <f t="shared" si="127"/>
        <v>22</v>
      </c>
      <c r="BH223" s="14">
        <f t="shared" si="130"/>
        <v>9</v>
      </c>
      <c r="BI223" s="14">
        <f t="shared" si="123"/>
        <v>13200</v>
      </c>
      <c r="BJ223" s="14">
        <f t="shared" si="124"/>
        <v>9000</v>
      </c>
      <c r="BK223" s="14">
        <f t="shared" si="125"/>
        <v>21150</v>
      </c>
    </row>
    <row r="224" spans="42:63" ht="16.5" x14ac:dyDescent="0.2">
      <c r="AP224" s="110"/>
      <c r="AQ224" s="110"/>
      <c r="AR224" s="110"/>
      <c r="AS224" s="110"/>
      <c r="AT224" s="110"/>
      <c r="AU224" s="110"/>
      <c r="AX224" s="109">
        <v>220</v>
      </c>
      <c r="AY224" s="14">
        <f t="shared" si="120"/>
        <v>22</v>
      </c>
      <c r="AZ224" s="14">
        <f t="shared" si="126"/>
        <v>10</v>
      </c>
      <c r="BA224" s="14">
        <f t="shared" si="129"/>
        <v>940</v>
      </c>
      <c r="BB224" s="14">
        <f t="shared" si="121"/>
        <v>4500</v>
      </c>
      <c r="BC224" s="14">
        <f t="shared" si="122"/>
        <v>10575</v>
      </c>
      <c r="BF224" s="109">
        <v>220</v>
      </c>
      <c r="BG224" s="14">
        <f t="shared" si="127"/>
        <v>22</v>
      </c>
      <c r="BH224" s="14">
        <f t="shared" si="130"/>
        <v>10</v>
      </c>
      <c r="BI224" s="14">
        <f t="shared" si="123"/>
        <v>13200</v>
      </c>
      <c r="BJ224" s="14">
        <f t="shared" si="124"/>
        <v>9000</v>
      </c>
      <c r="BK224" s="14">
        <f t="shared" si="125"/>
        <v>21150</v>
      </c>
    </row>
    <row r="225" spans="42:63" ht="16.5" x14ac:dyDescent="0.2">
      <c r="AP225" s="110"/>
      <c r="AQ225" s="110"/>
      <c r="AR225" s="110"/>
      <c r="AS225" s="110"/>
      <c r="AT225" s="110"/>
      <c r="AU225" s="110"/>
      <c r="AX225" s="109">
        <v>221</v>
      </c>
      <c r="AY225" s="14">
        <f t="shared" si="120"/>
        <v>23</v>
      </c>
      <c r="AZ225" s="14">
        <f t="shared" si="126"/>
        <v>1</v>
      </c>
      <c r="BA225" s="14">
        <f t="shared" si="129"/>
        <v>1000</v>
      </c>
      <c r="BB225" s="14">
        <f t="shared" si="121"/>
        <v>4800</v>
      </c>
      <c r="BC225" s="14">
        <f t="shared" si="122"/>
        <v>11250</v>
      </c>
      <c r="BF225" s="109">
        <v>221</v>
      </c>
      <c r="BG225" s="14">
        <f t="shared" si="127"/>
        <v>23</v>
      </c>
      <c r="BH225" s="14">
        <f t="shared" si="130"/>
        <v>1</v>
      </c>
      <c r="BI225" s="14">
        <f t="shared" si="123"/>
        <v>16200</v>
      </c>
      <c r="BJ225" s="14">
        <f t="shared" si="124"/>
        <v>9600</v>
      </c>
      <c r="BK225" s="14">
        <f t="shared" si="125"/>
        <v>22500</v>
      </c>
    </row>
    <row r="226" spans="42:63" ht="16.5" x14ac:dyDescent="0.2">
      <c r="AP226" s="110"/>
      <c r="AQ226" s="110"/>
      <c r="AR226" s="110"/>
      <c r="AS226" s="110"/>
      <c r="AT226" s="110"/>
      <c r="AU226" s="110"/>
      <c r="AX226" s="109">
        <v>222</v>
      </c>
      <c r="AY226" s="14">
        <f t="shared" si="120"/>
        <v>23</v>
      </c>
      <c r="AZ226" s="14">
        <f t="shared" si="126"/>
        <v>2</v>
      </c>
      <c r="BA226" s="14">
        <f t="shared" si="129"/>
        <v>1000</v>
      </c>
      <c r="BB226" s="14">
        <f t="shared" si="121"/>
        <v>4800</v>
      </c>
      <c r="BC226" s="14">
        <f t="shared" si="122"/>
        <v>11250</v>
      </c>
      <c r="BF226" s="109">
        <v>222</v>
      </c>
      <c r="BG226" s="14">
        <f t="shared" si="127"/>
        <v>23</v>
      </c>
      <c r="BH226" s="14">
        <f t="shared" si="130"/>
        <v>2</v>
      </c>
      <c r="BI226" s="14">
        <f t="shared" si="123"/>
        <v>16200</v>
      </c>
      <c r="BJ226" s="14">
        <f t="shared" si="124"/>
        <v>9600</v>
      </c>
      <c r="BK226" s="14">
        <f t="shared" si="125"/>
        <v>22500</v>
      </c>
    </row>
    <row r="227" spans="42:63" ht="16.5" x14ac:dyDescent="0.2">
      <c r="AP227" s="110"/>
      <c r="AQ227" s="110"/>
      <c r="AR227" s="110"/>
      <c r="AS227" s="110"/>
      <c r="AT227" s="110"/>
      <c r="AU227" s="110"/>
      <c r="AX227" s="109">
        <v>223</v>
      </c>
      <c r="AY227" s="14">
        <f t="shared" si="120"/>
        <v>23</v>
      </c>
      <c r="AZ227" s="14">
        <f t="shared" si="126"/>
        <v>3</v>
      </c>
      <c r="BA227" s="14">
        <f t="shared" si="129"/>
        <v>1000</v>
      </c>
      <c r="BB227" s="14">
        <f t="shared" si="121"/>
        <v>4800</v>
      </c>
      <c r="BC227" s="14">
        <f t="shared" si="122"/>
        <v>11250</v>
      </c>
      <c r="BF227" s="109">
        <v>223</v>
      </c>
      <c r="BG227" s="14">
        <f t="shared" si="127"/>
        <v>23</v>
      </c>
      <c r="BH227" s="14">
        <f t="shared" si="130"/>
        <v>3</v>
      </c>
      <c r="BI227" s="14">
        <f t="shared" si="123"/>
        <v>16200</v>
      </c>
      <c r="BJ227" s="14">
        <f t="shared" si="124"/>
        <v>9600</v>
      </c>
      <c r="BK227" s="14">
        <f t="shared" si="125"/>
        <v>22500</v>
      </c>
    </row>
    <row r="228" spans="42:63" ht="16.5" x14ac:dyDescent="0.2">
      <c r="AP228" s="110"/>
      <c r="AQ228" s="110"/>
      <c r="AR228" s="110"/>
      <c r="AS228" s="110"/>
      <c r="AT228" s="110"/>
      <c r="AU228" s="110"/>
      <c r="AX228" s="109">
        <v>224</v>
      </c>
      <c r="AY228" s="14">
        <f t="shared" si="120"/>
        <v>23</v>
      </c>
      <c r="AZ228" s="14">
        <f t="shared" si="126"/>
        <v>4</v>
      </c>
      <c r="BA228" s="14">
        <f t="shared" si="129"/>
        <v>1000</v>
      </c>
      <c r="BB228" s="14">
        <f t="shared" si="121"/>
        <v>4800</v>
      </c>
      <c r="BC228" s="14">
        <f t="shared" si="122"/>
        <v>11250</v>
      </c>
      <c r="BF228" s="109">
        <v>224</v>
      </c>
      <c r="BG228" s="14">
        <f t="shared" si="127"/>
        <v>23</v>
      </c>
      <c r="BH228" s="14">
        <f t="shared" si="130"/>
        <v>4</v>
      </c>
      <c r="BI228" s="14">
        <f t="shared" si="123"/>
        <v>16200</v>
      </c>
      <c r="BJ228" s="14">
        <f t="shared" si="124"/>
        <v>9600</v>
      </c>
      <c r="BK228" s="14">
        <f t="shared" si="125"/>
        <v>22500</v>
      </c>
    </row>
    <row r="229" spans="42:63" ht="16.5" x14ac:dyDescent="0.2">
      <c r="AP229" s="110"/>
      <c r="AQ229" s="110"/>
      <c r="AR229" s="110"/>
      <c r="AS229" s="110"/>
      <c r="AT229" s="110"/>
      <c r="AU229" s="110"/>
      <c r="AX229" s="109">
        <v>225</v>
      </c>
      <c r="AY229" s="14">
        <f t="shared" si="120"/>
        <v>23</v>
      </c>
      <c r="AZ229" s="14">
        <f t="shared" si="126"/>
        <v>5</v>
      </c>
      <c r="BA229" s="14">
        <f t="shared" si="129"/>
        <v>1000</v>
      </c>
      <c r="BB229" s="14">
        <f t="shared" si="121"/>
        <v>4800</v>
      </c>
      <c r="BC229" s="14">
        <f t="shared" si="122"/>
        <v>11250</v>
      </c>
      <c r="BF229" s="109">
        <v>225</v>
      </c>
      <c r="BG229" s="14">
        <f t="shared" si="127"/>
        <v>23</v>
      </c>
      <c r="BH229" s="14">
        <f t="shared" si="130"/>
        <v>5</v>
      </c>
      <c r="BI229" s="14">
        <f t="shared" si="123"/>
        <v>16200</v>
      </c>
      <c r="BJ229" s="14">
        <f t="shared" si="124"/>
        <v>9600</v>
      </c>
      <c r="BK229" s="14">
        <f t="shared" si="125"/>
        <v>22500</v>
      </c>
    </row>
    <row r="230" spans="42:63" ht="16.5" x14ac:dyDescent="0.2">
      <c r="AP230" s="110"/>
      <c r="AQ230" s="110"/>
      <c r="AR230" s="110"/>
      <c r="AS230" s="110"/>
      <c r="AT230" s="110"/>
      <c r="AU230" s="110"/>
      <c r="AX230" s="109">
        <v>226</v>
      </c>
      <c r="AY230" s="14">
        <f t="shared" si="120"/>
        <v>23</v>
      </c>
      <c r="AZ230" s="14">
        <f t="shared" si="126"/>
        <v>6</v>
      </c>
      <c r="BA230" s="14">
        <f t="shared" si="129"/>
        <v>1000</v>
      </c>
      <c r="BB230" s="14">
        <f t="shared" si="121"/>
        <v>4800</v>
      </c>
      <c r="BC230" s="14">
        <f t="shared" si="122"/>
        <v>11250</v>
      </c>
      <c r="BF230" s="109">
        <v>226</v>
      </c>
      <c r="BG230" s="14">
        <f t="shared" si="127"/>
        <v>23</v>
      </c>
      <c r="BH230" s="14">
        <f t="shared" si="130"/>
        <v>6</v>
      </c>
      <c r="BI230" s="14">
        <f t="shared" si="123"/>
        <v>16200</v>
      </c>
      <c r="BJ230" s="14">
        <f t="shared" si="124"/>
        <v>9600</v>
      </c>
      <c r="BK230" s="14">
        <f t="shared" si="125"/>
        <v>22500</v>
      </c>
    </row>
    <row r="231" spans="42:63" ht="16.5" x14ac:dyDescent="0.2">
      <c r="AP231" s="110"/>
      <c r="AQ231" s="110"/>
      <c r="AR231" s="110"/>
      <c r="AS231" s="110"/>
      <c r="AT231" s="110"/>
      <c r="AU231" s="110"/>
      <c r="AX231" s="109">
        <v>227</v>
      </c>
      <c r="AY231" s="14">
        <f t="shared" si="120"/>
        <v>23</v>
      </c>
      <c r="AZ231" s="14">
        <f t="shared" si="126"/>
        <v>7</v>
      </c>
      <c r="BA231" s="14">
        <f t="shared" si="129"/>
        <v>1000</v>
      </c>
      <c r="BB231" s="14">
        <f t="shared" si="121"/>
        <v>4800</v>
      </c>
      <c r="BC231" s="14">
        <f t="shared" si="122"/>
        <v>11250</v>
      </c>
      <c r="BF231" s="109">
        <v>227</v>
      </c>
      <c r="BG231" s="14">
        <f t="shared" si="127"/>
        <v>23</v>
      </c>
      <c r="BH231" s="14">
        <f t="shared" si="130"/>
        <v>7</v>
      </c>
      <c r="BI231" s="14">
        <f t="shared" si="123"/>
        <v>16200</v>
      </c>
      <c r="BJ231" s="14">
        <f t="shared" si="124"/>
        <v>9600</v>
      </c>
      <c r="BK231" s="14">
        <f t="shared" si="125"/>
        <v>22500</v>
      </c>
    </row>
    <row r="232" spans="42:63" ht="16.5" x14ac:dyDescent="0.2">
      <c r="AP232" s="110"/>
      <c r="AQ232" s="110"/>
      <c r="AR232" s="110"/>
      <c r="AS232" s="110"/>
      <c r="AT232" s="110"/>
      <c r="AU232" s="110"/>
      <c r="AX232" s="109">
        <v>228</v>
      </c>
      <c r="AY232" s="14">
        <f t="shared" si="120"/>
        <v>23</v>
      </c>
      <c r="AZ232" s="14">
        <f t="shared" si="126"/>
        <v>8</v>
      </c>
      <c r="BA232" s="14">
        <f t="shared" si="129"/>
        <v>1000</v>
      </c>
      <c r="BB232" s="14">
        <f t="shared" si="121"/>
        <v>4800</v>
      </c>
      <c r="BC232" s="14">
        <f t="shared" si="122"/>
        <v>11250</v>
      </c>
      <c r="BF232" s="109">
        <v>228</v>
      </c>
      <c r="BG232" s="14">
        <f t="shared" si="127"/>
        <v>23</v>
      </c>
      <c r="BH232" s="14">
        <f t="shared" si="130"/>
        <v>8</v>
      </c>
      <c r="BI232" s="14">
        <f t="shared" si="123"/>
        <v>16200</v>
      </c>
      <c r="BJ232" s="14">
        <f t="shared" si="124"/>
        <v>9600</v>
      </c>
      <c r="BK232" s="14">
        <f t="shared" si="125"/>
        <v>22500</v>
      </c>
    </row>
    <row r="233" spans="42:63" ht="16.5" x14ac:dyDescent="0.2">
      <c r="AP233" s="110"/>
      <c r="AQ233" s="110"/>
      <c r="AR233" s="110"/>
      <c r="AS233" s="110"/>
      <c r="AT233" s="110"/>
      <c r="AU233" s="110"/>
      <c r="AX233" s="109">
        <v>229</v>
      </c>
      <c r="AY233" s="14">
        <f t="shared" si="120"/>
        <v>23</v>
      </c>
      <c r="AZ233" s="14">
        <f t="shared" si="126"/>
        <v>9</v>
      </c>
      <c r="BA233" s="14">
        <f t="shared" si="129"/>
        <v>1000</v>
      </c>
      <c r="BB233" s="14">
        <f t="shared" si="121"/>
        <v>4800</v>
      </c>
      <c r="BC233" s="14">
        <f t="shared" si="122"/>
        <v>11250</v>
      </c>
      <c r="BF233" s="109">
        <v>229</v>
      </c>
      <c r="BG233" s="14">
        <f t="shared" si="127"/>
        <v>23</v>
      </c>
      <c r="BH233" s="14">
        <f t="shared" si="130"/>
        <v>9</v>
      </c>
      <c r="BI233" s="14">
        <f t="shared" si="123"/>
        <v>16200</v>
      </c>
      <c r="BJ233" s="14">
        <f t="shared" si="124"/>
        <v>9600</v>
      </c>
      <c r="BK233" s="14">
        <f t="shared" si="125"/>
        <v>22500</v>
      </c>
    </row>
    <row r="234" spans="42:63" ht="16.5" x14ac:dyDescent="0.2">
      <c r="AP234" s="110"/>
      <c r="AQ234" s="110"/>
      <c r="AR234" s="110"/>
      <c r="AS234" s="110"/>
      <c r="AT234" s="110"/>
      <c r="AU234" s="110"/>
      <c r="AX234" s="109">
        <v>230</v>
      </c>
      <c r="AY234" s="14">
        <f t="shared" si="120"/>
        <v>23</v>
      </c>
      <c r="AZ234" s="14">
        <f t="shared" si="126"/>
        <v>10</v>
      </c>
      <c r="BA234" s="14">
        <f t="shared" si="129"/>
        <v>1000</v>
      </c>
      <c r="BB234" s="14">
        <f t="shared" si="121"/>
        <v>4800</v>
      </c>
      <c r="BC234" s="14">
        <f t="shared" si="122"/>
        <v>11250</v>
      </c>
      <c r="BF234" s="109">
        <v>230</v>
      </c>
      <c r="BG234" s="14">
        <f t="shared" si="127"/>
        <v>23</v>
      </c>
      <c r="BH234" s="14">
        <f t="shared" si="130"/>
        <v>10</v>
      </c>
      <c r="BI234" s="14">
        <f t="shared" si="123"/>
        <v>16200</v>
      </c>
      <c r="BJ234" s="14">
        <f t="shared" si="124"/>
        <v>9600</v>
      </c>
      <c r="BK234" s="14">
        <f t="shared" si="125"/>
        <v>22500</v>
      </c>
    </row>
    <row r="235" spans="42:63" ht="16.5" x14ac:dyDescent="0.2">
      <c r="AP235" s="110"/>
      <c r="AQ235" s="110"/>
      <c r="AR235" s="110"/>
      <c r="AS235" s="110"/>
      <c r="AT235" s="110"/>
      <c r="AU235" s="110"/>
      <c r="AX235" s="109">
        <v>231</v>
      </c>
      <c r="AY235" s="14">
        <f t="shared" si="120"/>
        <v>24</v>
      </c>
      <c r="AZ235" s="14">
        <f t="shared" si="126"/>
        <v>1</v>
      </c>
      <c r="BA235" s="14">
        <f t="shared" si="129"/>
        <v>1100</v>
      </c>
      <c r="BB235" s="14">
        <f t="shared" si="121"/>
        <v>5100</v>
      </c>
      <c r="BC235" s="14">
        <f t="shared" si="122"/>
        <v>12375</v>
      </c>
      <c r="BF235" s="109">
        <v>231</v>
      </c>
      <c r="BG235" s="14">
        <f t="shared" si="127"/>
        <v>24</v>
      </c>
      <c r="BH235" s="14">
        <f t="shared" si="130"/>
        <v>1</v>
      </c>
      <c r="BI235" s="14">
        <f t="shared" si="123"/>
        <v>20500</v>
      </c>
      <c r="BJ235" s="14">
        <f t="shared" si="124"/>
        <v>10200</v>
      </c>
      <c r="BK235" s="14">
        <f t="shared" si="125"/>
        <v>24750</v>
      </c>
    </row>
    <row r="236" spans="42:63" ht="16.5" x14ac:dyDescent="0.2">
      <c r="AP236" s="110"/>
      <c r="AQ236" s="110"/>
      <c r="AR236" s="110"/>
      <c r="AS236" s="110"/>
      <c r="AT236" s="110"/>
      <c r="AU236" s="110"/>
      <c r="AX236" s="109">
        <v>232</v>
      </c>
      <c r="AY236" s="14">
        <f t="shared" si="120"/>
        <v>24</v>
      </c>
      <c r="AZ236" s="14">
        <f t="shared" si="126"/>
        <v>2</v>
      </c>
      <c r="BA236" s="14">
        <f t="shared" si="129"/>
        <v>1100</v>
      </c>
      <c r="BB236" s="14">
        <f t="shared" si="121"/>
        <v>5100</v>
      </c>
      <c r="BC236" s="14">
        <f t="shared" si="122"/>
        <v>12375</v>
      </c>
      <c r="BF236" s="109">
        <v>232</v>
      </c>
      <c r="BG236" s="14">
        <f t="shared" si="127"/>
        <v>24</v>
      </c>
      <c r="BH236" s="14">
        <f t="shared" si="130"/>
        <v>2</v>
      </c>
      <c r="BI236" s="14">
        <f t="shared" si="123"/>
        <v>20500</v>
      </c>
      <c r="BJ236" s="14">
        <f t="shared" si="124"/>
        <v>10200</v>
      </c>
      <c r="BK236" s="14">
        <f t="shared" si="125"/>
        <v>24750</v>
      </c>
    </row>
    <row r="237" spans="42:63" ht="16.5" x14ac:dyDescent="0.2">
      <c r="AP237" s="110"/>
      <c r="AQ237" s="110"/>
      <c r="AR237" s="110"/>
      <c r="AS237" s="110"/>
      <c r="AT237" s="110"/>
      <c r="AU237" s="110"/>
      <c r="AX237" s="109">
        <v>233</v>
      </c>
      <c r="AY237" s="14">
        <f t="shared" si="120"/>
        <v>24</v>
      </c>
      <c r="AZ237" s="14">
        <f t="shared" si="126"/>
        <v>3</v>
      </c>
      <c r="BA237" s="14">
        <f t="shared" si="129"/>
        <v>1100</v>
      </c>
      <c r="BB237" s="14">
        <f t="shared" si="121"/>
        <v>5100</v>
      </c>
      <c r="BC237" s="14">
        <f t="shared" si="122"/>
        <v>12375</v>
      </c>
      <c r="BF237" s="109">
        <v>233</v>
      </c>
      <c r="BG237" s="14">
        <f t="shared" si="127"/>
        <v>24</v>
      </c>
      <c r="BH237" s="14">
        <f t="shared" si="130"/>
        <v>3</v>
      </c>
      <c r="BI237" s="14">
        <f t="shared" si="123"/>
        <v>20500</v>
      </c>
      <c r="BJ237" s="14">
        <f t="shared" si="124"/>
        <v>10200</v>
      </c>
      <c r="BK237" s="14">
        <f t="shared" si="125"/>
        <v>24750</v>
      </c>
    </row>
    <row r="238" spans="42:63" ht="16.5" x14ac:dyDescent="0.2">
      <c r="AP238" s="110"/>
      <c r="AQ238" s="110"/>
      <c r="AR238" s="110"/>
      <c r="AS238" s="110"/>
      <c r="AT238" s="110"/>
      <c r="AU238" s="110"/>
      <c r="AX238" s="109">
        <v>234</v>
      </c>
      <c r="AY238" s="14">
        <f t="shared" si="120"/>
        <v>24</v>
      </c>
      <c r="AZ238" s="14">
        <f t="shared" si="126"/>
        <v>4</v>
      </c>
      <c r="BA238" s="14">
        <f t="shared" si="129"/>
        <v>1100</v>
      </c>
      <c r="BB238" s="14">
        <f t="shared" si="121"/>
        <v>5100</v>
      </c>
      <c r="BC238" s="14">
        <f t="shared" si="122"/>
        <v>12375</v>
      </c>
      <c r="BF238" s="109">
        <v>234</v>
      </c>
      <c r="BG238" s="14">
        <f t="shared" si="127"/>
        <v>24</v>
      </c>
      <c r="BH238" s="14">
        <f t="shared" si="130"/>
        <v>4</v>
      </c>
      <c r="BI238" s="14">
        <f t="shared" si="123"/>
        <v>20500</v>
      </c>
      <c r="BJ238" s="14">
        <f t="shared" si="124"/>
        <v>10200</v>
      </c>
      <c r="BK238" s="14">
        <f t="shared" si="125"/>
        <v>24750</v>
      </c>
    </row>
    <row r="239" spans="42:63" ht="16.5" x14ac:dyDescent="0.2">
      <c r="AP239" s="110"/>
      <c r="AQ239" s="110"/>
      <c r="AR239" s="110"/>
      <c r="AS239" s="110"/>
      <c r="AT239" s="110"/>
      <c r="AU239" s="110"/>
      <c r="AX239" s="109">
        <v>235</v>
      </c>
      <c r="AY239" s="14">
        <f t="shared" si="120"/>
        <v>24</v>
      </c>
      <c r="AZ239" s="14">
        <f t="shared" si="126"/>
        <v>5</v>
      </c>
      <c r="BA239" s="14">
        <f t="shared" si="129"/>
        <v>1100</v>
      </c>
      <c r="BB239" s="14">
        <f t="shared" si="121"/>
        <v>5100</v>
      </c>
      <c r="BC239" s="14">
        <f t="shared" si="122"/>
        <v>12375</v>
      </c>
      <c r="BF239" s="109">
        <v>235</v>
      </c>
      <c r="BG239" s="14">
        <f t="shared" si="127"/>
        <v>24</v>
      </c>
      <c r="BH239" s="14">
        <f t="shared" si="130"/>
        <v>5</v>
      </c>
      <c r="BI239" s="14">
        <f t="shared" si="123"/>
        <v>20500</v>
      </c>
      <c r="BJ239" s="14">
        <f t="shared" si="124"/>
        <v>10200</v>
      </c>
      <c r="BK239" s="14">
        <f t="shared" si="125"/>
        <v>24750</v>
      </c>
    </row>
    <row r="240" spans="42:63" ht="16.5" x14ac:dyDescent="0.2">
      <c r="AP240" s="110"/>
      <c r="AQ240" s="110"/>
      <c r="AR240" s="110"/>
      <c r="AS240" s="110"/>
      <c r="AT240" s="110"/>
      <c r="AU240" s="110"/>
      <c r="AX240" s="109">
        <v>236</v>
      </c>
      <c r="AY240" s="14">
        <f t="shared" si="120"/>
        <v>24</v>
      </c>
      <c r="AZ240" s="14">
        <f t="shared" si="126"/>
        <v>6</v>
      </c>
      <c r="BA240" s="14">
        <f t="shared" si="129"/>
        <v>1100</v>
      </c>
      <c r="BB240" s="14">
        <f t="shared" si="121"/>
        <v>5100</v>
      </c>
      <c r="BC240" s="14">
        <f t="shared" si="122"/>
        <v>12375</v>
      </c>
      <c r="BF240" s="109">
        <v>236</v>
      </c>
      <c r="BG240" s="14">
        <f t="shared" si="127"/>
        <v>24</v>
      </c>
      <c r="BH240" s="14">
        <f t="shared" si="130"/>
        <v>6</v>
      </c>
      <c r="BI240" s="14">
        <f t="shared" si="123"/>
        <v>20500</v>
      </c>
      <c r="BJ240" s="14">
        <f t="shared" si="124"/>
        <v>10200</v>
      </c>
      <c r="BK240" s="14">
        <f t="shared" si="125"/>
        <v>24750</v>
      </c>
    </row>
    <row r="241" spans="42:63" ht="16.5" x14ac:dyDescent="0.2">
      <c r="AP241" s="110"/>
      <c r="AQ241" s="110"/>
      <c r="AR241" s="110"/>
      <c r="AS241" s="110"/>
      <c r="AT241" s="110"/>
      <c r="AU241" s="110"/>
      <c r="AX241" s="109">
        <v>237</v>
      </c>
      <c r="AY241" s="14">
        <f t="shared" si="120"/>
        <v>24</v>
      </c>
      <c r="AZ241" s="14">
        <f t="shared" si="126"/>
        <v>7</v>
      </c>
      <c r="BA241" s="14">
        <f t="shared" si="129"/>
        <v>1100</v>
      </c>
      <c r="BB241" s="14">
        <f t="shared" si="121"/>
        <v>5100</v>
      </c>
      <c r="BC241" s="14">
        <f t="shared" si="122"/>
        <v>12375</v>
      </c>
      <c r="BF241" s="109">
        <v>237</v>
      </c>
      <c r="BG241" s="14">
        <f t="shared" si="127"/>
        <v>24</v>
      </c>
      <c r="BH241" s="14">
        <f t="shared" si="130"/>
        <v>7</v>
      </c>
      <c r="BI241" s="14">
        <f t="shared" si="123"/>
        <v>20500</v>
      </c>
      <c r="BJ241" s="14">
        <f t="shared" si="124"/>
        <v>10200</v>
      </c>
      <c r="BK241" s="14">
        <f t="shared" si="125"/>
        <v>24750</v>
      </c>
    </row>
    <row r="242" spans="42:63" ht="16.5" x14ac:dyDescent="0.2">
      <c r="AP242" s="110"/>
      <c r="AQ242" s="110"/>
      <c r="AR242" s="110"/>
      <c r="AS242" s="110"/>
      <c r="AT242" s="110"/>
      <c r="AU242" s="110"/>
      <c r="AX242" s="109">
        <v>238</v>
      </c>
      <c r="AY242" s="14">
        <f t="shared" si="120"/>
        <v>24</v>
      </c>
      <c r="AZ242" s="14">
        <f t="shared" si="126"/>
        <v>8</v>
      </c>
      <c r="BA242" s="14">
        <f t="shared" si="129"/>
        <v>1100</v>
      </c>
      <c r="BB242" s="14">
        <f t="shared" si="121"/>
        <v>5100</v>
      </c>
      <c r="BC242" s="14">
        <f t="shared" si="122"/>
        <v>12375</v>
      </c>
      <c r="BF242" s="109">
        <v>238</v>
      </c>
      <c r="BG242" s="14">
        <f t="shared" si="127"/>
        <v>24</v>
      </c>
      <c r="BH242" s="14">
        <f t="shared" si="130"/>
        <v>8</v>
      </c>
      <c r="BI242" s="14">
        <f t="shared" si="123"/>
        <v>20500</v>
      </c>
      <c r="BJ242" s="14">
        <f t="shared" si="124"/>
        <v>10200</v>
      </c>
      <c r="BK242" s="14">
        <f t="shared" si="125"/>
        <v>24750</v>
      </c>
    </row>
    <row r="243" spans="42:63" ht="16.5" x14ac:dyDescent="0.2">
      <c r="AP243" s="110"/>
      <c r="AQ243" s="110"/>
      <c r="AR243" s="110"/>
      <c r="AS243" s="110"/>
      <c r="AT243" s="110"/>
      <c r="AU243" s="110"/>
      <c r="AX243" s="109">
        <v>239</v>
      </c>
      <c r="AY243" s="14">
        <f t="shared" si="120"/>
        <v>24</v>
      </c>
      <c r="AZ243" s="14">
        <f t="shared" si="126"/>
        <v>9</v>
      </c>
      <c r="BA243" s="14">
        <f t="shared" si="129"/>
        <v>1100</v>
      </c>
      <c r="BB243" s="14">
        <f t="shared" si="121"/>
        <v>5100</v>
      </c>
      <c r="BC243" s="14">
        <f t="shared" si="122"/>
        <v>12375</v>
      </c>
      <c r="BF243" s="109">
        <v>239</v>
      </c>
      <c r="BG243" s="14">
        <f t="shared" si="127"/>
        <v>24</v>
      </c>
      <c r="BH243" s="14">
        <f t="shared" si="130"/>
        <v>9</v>
      </c>
      <c r="BI243" s="14">
        <f t="shared" si="123"/>
        <v>20500</v>
      </c>
      <c r="BJ243" s="14">
        <f t="shared" si="124"/>
        <v>10200</v>
      </c>
      <c r="BK243" s="14">
        <f t="shared" si="125"/>
        <v>24750</v>
      </c>
    </row>
    <row r="244" spans="42:63" ht="16.5" x14ac:dyDescent="0.2">
      <c r="AP244" s="110"/>
      <c r="AQ244" s="110"/>
      <c r="AR244" s="110"/>
      <c r="AS244" s="110"/>
      <c r="AT244" s="110"/>
      <c r="AU244" s="110"/>
      <c r="AX244" s="109">
        <v>240</v>
      </c>
      <c r="AY244" s="14">
        <f t="shared" si="120"/>
        <v>24</v>
      </c>
      <c r="AZ244" s="14">
        <f t="shared" si="126"/>
        <v>10</v>
      </c>
      <c r="BA244" s="14">
        <f t="shared" si="129"/>
        <v>1100</v>
      </c>
      <c r="BB244" s="14">
        <f t="shared" si="121"/>
        <v>5100</v>
      </c>
      <c r="BC244" s="14">
        <f t="shared" si="122"/>
        <v>12375</v>
      </c>
      <c r="BF244" s="109">
        <v>240</v>
      </c>
      <c r="BG244" s="14">
        <f t="shared" si="127"/>
        <v>24</v>
      </c>
      <c r="BH244" s="14">
        <f t="shared" si="130"/>
        <v>10</v>
      </c>
      <c r="BI244" s="14">
        <f t="shared" si="123"/>
        <v>20500</v>
      </c>
      <c r="BJ244" s="14">
        <f t="shared" si="124"/>
        <v>10200</v>
      </c>
      <c r="BK244" s="14">
        <f t="shared" si="125"/>
        <v>24750</v>
      </c>
    </row>
    <row r="245" spans="42:63" ht="16.5" x14ac:dyDescent="0.2">
      <c r="AP245" s="110"/>
      <c r="AQ245" s="110"/>
      <c r="AR245" s="110"/>
      <c r="AS245" s="110"/>
      <c r="AT245" s="110"/>
      <c r="AU245" s="110"/>
      <c r="AX245" s="109">
        <v>241</v>
      </c>
      <c r="AY245" s="14">
        <f t="shared" si="120"/>
        <v>25</v>
      </c>
      <c r="AZ245" s="14">
        <f t="shared" si="126"/>
        <v>1</v>
      </c>
      <c r="BA245" s="14">
        <f t="shared" si="129"/>
        <v>1200</v>
      </c>
      <c r="BB245" s="14">
        <f t="shared" si="121"/>
        <v>5400</v>
      </c>
      <c r="BC245" s="14">
        <f t="shared" si="122"/>
        <v>13500</v>
      </c>
      <c r="BF245" s="109">
        <v>241</v>
      </c>
      <c r="BG245" s="14">
        <f t="shared" si="127"/>
        <v>25</v>
      </c>
      <c r="BH245" s="14">
        <f t="shared" si="130"/>
        <v>1</v>
      </c>
      <c r="BI245" s="14">
        <f t="shared" si="123"/>
        <v>26250</v>
      </c>
      <c r="BJ245" s="14">
        <f t="shared" si="124"/>
        <v>10800</v>
      </c>
      <c r="BK245" s="14">
        <f t="shared" si="125"/>
        <v>27000</v>
      </c>
    </row>
    <row r="246" spans="42:63" ht="16.5" x14ac:dyDescent="0.2">
      <c r="AP246" s="110"/>
      <c r="AQ246" s="110"/>
      <c r="AR246" s="110"/>
      <c r="AS246" s="110"/>
      <c r="AT246" s="110"/>
      <c r="AU246" s="110"/>
      <c r="AX246" s="109">
        <v>242</v>
      </c>
      <c r="AY246" s="14">
        <f t="shared" si="120"/>
        <v>25</v>
      </c>
      <c r="AZ246" s="14">
        <f t="shared" si="126"/>
        <v>2</v>
      </c>
      <c r="BA246" s="14">
        <f t="shared" si="129"/>
        <v>1200</v>
      </c>
      <c r="BB246" s="14">
        <f t="shared" si="121"/>
        <v>5400</v>
      </c>
      <c r="BC246" s="14">
        <f t="shared" si="122"/>
        <v>13500</v>
      </c>
      <c r="BF246" s="109">
        <v>242</v>
      </c>
      <c r="BG246" s="14">
        <f t="shared" si="127"/>
        <v>25</v>
      </c>
      <c r="BH246" s="14">
        <f t="shared" si="130"/>
        <v>2</v>
      </c>
      <c r="BI246" s="14">
        <f t="shared" si="123"/>
        <v>26250</v>
      </c>
      <c r="BJ246" s="14">
        <f t="shared" si="124"/>
        <v>10800</v>
      </c>
      <c r="BK246" s="14">
        <f t="shared" si="125"/>
        <v>27000</v>
      </c>
    </row>
    <row r="247" spans="42:63" ht="16.5" x14ac:dyDescent="0.2">
      <c r="AP247" s="110"/>
      <c r="AQ247" s="110"/>
      <c r="AR247" s="110"/>
      <c r="AS247" s="110"/>
      <c r="AT247" s="110"/>
      <c r="AU247" s="110"/>
      <c r="AX247" s="109">
        <v>243</v>
      </c>
      <c r="AY247" s="14">
        <f t="shared" si="120"/>
        <v>25</v>
      </c>
      <c r="AZ247" s="14">
        <f t="shared" si="126"/>
        <v>3</v>
      </c>
      <c r="BA247" s="14">
        <f t="shared" si="129"/>
        <v>1200</v>
      </c>
      <c r="BB247" s="14">
        <f t="shared" si="121"/>
        <v>5400</v>
      </c>
      <c r="BC247" s="14">
        <f t="shared" si="122"/>
        <v>13500</v>
      </c>
      <c r="BF247" s="109">
        <v>243</v>
      </c>
      <c r="BG247" s="14">
        <f t="shared" si="127"/>
        <v>25</v>
      </c>
      <c r="BH247" s="14">
        <f t="shared" si="130"/>
        <v>3</v>
      </c>
      <c r="BI247" s="14">
        <f t="shared" si="123"/>
        <v>26250</v>
      </c>
      <c r="BJ247" s="14">
        <f t="shared" si="124"/>
        <v>10800</v>
      </c>
      <c r="BK247" s="14">
        <f t="shared" si="125"/>
        <v>27000</v>
      </c>
    </row>
    <row r="248" spans="42:63" ht="16.5" x14ac:dyDescent="0.2">
      <c r="AP248" s="110"/>
      <c r="AQ248" s="110"/>
      <c r="AR248" s="110"/>
      <c r="AS248" s="110"/>
      <c r="AT248" s="110"/>
      <c r="AU248" s="110"/>
      <c r="AX248" s="109">
        <v>244</v>
      </c>
      <c r="AY248" s="14">
        <f t="shared" si="120"/>
        <v>25</v>
      </c>
      <c r="AZ248" s="14">
        <f t="shared" si="126"/>
        <v>4</v>
      </c>
      <c r="BA248" s="14">
        <f t="shared" si="129"/>
        <v>1200</v>
      </c>
      <c r="BB248" s="14">
        <f t="shared" si="121"/>
        <v>5400</v>
      </c>
      <c r="BC248" s="14">
        <f t="shared" si="122"/>
        <v>13500</v>
      </c>
      <c r="BF248" s="109">
        <v>244</v>
      </c>
      <c r="BG248" s="14">
        <f t="shared" si="127"/>
        <v>25</v>
      </c>
      <c r="BH248" s="14">
        <f t="shared" si="130"/>
        <v>4</v>
      </c>
      <c r="BI248" s="14">
        <f t="shared" si="123"/>
        <v>26250</v>
      </c>
      <c r="BJ248" s="14">
        <f t="shared" si="124"/>
        <v>10800</v>
      </c>
      <c r="BK248" s="14">
        <f t="shared" si="125"/>
        <v>27000</v>
      </c>
    </row>
    <row r="249" spans="42:63" ht="16.5" x14ac:dyDescent="0.2">
      <c r="AP249" s="110"/>
      <c r="AQ249" s="110"/>
      <c r="AR249" s="110"/>
      <c r="AS249" s="110"/>
      <c r="AT249" s="110"/>
      <c r="AU249" s="110"/>
      <c r="AX249" s="109">
        <v>245</v>
      </c>
      <c r="AY249" s="14">
        <f t="shared" si="120"/>
        <v>25</v>
      </c>
      <c r="AZ249" s="14">
        <f t="shared" si="126"/>
        <v>5</v>
      </c>
      <c r="BA249" s="14">
        <f t="shared" si="129"/>
        <v>1200</v>
      </c>
      <c r="BB249" s="14">
        <f t="shared" si="121"/>
        <v>5400</v>
      </c>
      <c r="BC249" s="14">
        <f t="shared" si="122"/>
        <v>13500</v>
      </c>
      <c r="BF249" s="109">
        <v>245</v>
      </c>
      <c r="BG249" s="14">
        <f t="shared" si="127"/>
        <v>25</v>
      </c>
      <c r="BH249" s="14">
        <f t="shared" si="130"/>
        <v>5</v>
      </c>
      <c r="BI249" s="14">
        <f t="shared" si="123"/>
        <v>26250</v>
      </c>
      <c r="BJ249" s="14">
        <f t="shared" si="124"/>
        <v>10800</v>
      </c>
      <c r="BK249" s="14">
        <f t="shared" si="125"/>
        <v>27000</v>
      </c>
    </row>
    <row r="250" spans="42:63" ht="16.5" x14ac:dyDescent="0.2">
      <c r="AP250" s="110"/>
      <c r="AQ250" s="110"/>
      <c r="AR250" s="110"/>
      <c r="AS250" s="110"/>
      <c r="AT250" s="110"/>
      <c r="AU250" s="110"/>
      <c r="AX250" s="109">
        <v>246</v>
      </c>
      <c r="AY250" s="14">
        <f t="shared" si="120"/>
        <v>25</v>
      </c>
      <c r="AZ250" s="14">
        <f t="shared" si="126"/>
        <v>6</v>
      </c>
      <c r="BA250" s="14">
        <f t="shared" si="129"/>
        <v>1200</v>
      </c>
      <c r="BB250" s="14">
        <f t="shared" si="121"/>
        <v>5400</v>
      </c>
      <c r="BC250" s="14">
        <f t="shared" si="122"/>
        <v>13500</v>
      </c>
      <c r="BF250" s="109">
        <v>246</v>
      </c>
      <c r="BG250" s="14">
        <f t="shared" si="127"/>
        <v>25</v>
      </c>
      <c r="BH250" s="14">
        <f t="shared" si="130"/>
        <v>6</v>
      </c>
      <c r="BI250" s="14">
        <f t="shared" si="123"/>
        <v>26250</v>
      </c>
      <c r="BJ250" s="14">
        <f t="shared" si="124"/>
        <v>10800</v>
      </c>
      <c r="BK250" s="14">
        <f t="shared" si="125"/>
        <v>27000</v>
      </c>
    </row>
    <row r="251" spans="42:63" ht="16.5" x14ac:dyDescent="0.2">
      <c r="AP251" s="110"/>
      <c r="AQ251" s="110"/>
      <c r="AR251" s="110"/>
      <c r="AS251" s="110"/>
      <c r="AT251" s="110"/>
      <c r="AU251" s="110"/>
      <c r="AX251" s="109">
        <v>247</v>
      </c>
      <c r="AY251" s="14">
        <f t="shared" si="120"/>
        <v>25</v>
      </c>
      <c r="AZ251" s="14">
        <f t="shared" si="126"/>
        <v>7</v>
      </c>
      <c r="BA251" s="14">
        <f t="shared" si="129"/>
        <v>1200</v>
      </c>
      <c r="BB251" s="14">
        <f t="shared" si="121"/>
        <v>5400</v>
      </c>
      <c r="BC251" s="14">
        <f t="shared" si="122"/>
        <v>13500</v>
      </c>
      <c r="BF251" s="109">
        <v>247</v>
      </c>
      <c r="BG251" s="14">
        <f t="shared" si="127"/>
        <v>25</v>
      </c>
      <c r="BH251" s="14">
        <f t="shared" si="130"/>
        <v>7</v>
      </c>
      <c r="BI251" s="14">
        <f t="shared" si="123"/>
        <v>26250</v>
      </c>
      <c r="BJ251" s="14">
        <f t="shared" si="124"/>
        <v>10800</v>
      </c>
      <c r="BK251" s="14">
        <f t="shared" si="125"/>
        <v>27000</v>
      </c>
    </row>
    <row r="252" spans="42:63" ht="16.5" x14ac:dyDescent="0.2">
      <c r="AP252" s="110"/>
      <c r="AQ252" s="110"/>
      <c r="AR252" s="110"/>
      <c r="AS252" s="110"/>
      <c r="AT252" s="110"/>
      <c r="AU252" s="110"/>
      <c r="AX252" s="109">
        <v>248</v>
      </c>
      <c r="AY252" s="14">
        <f t="shared" si="120"/>
        <v>25</v>
      </c>
      <c r="AZ252" s="14">
        <f t="shared" si="126"/>
        <v>8</v>
      </c>
      <c r="BA252" s="14">
        <f t="shared" si="129"/>
        <v>1200</v>
      </c>
      <c r="BB252" s="14">
        <f t="shared" si="121"/>
        <v>5400</v>
      </c>
      <c r="BC252" s="14">
        <f t="shared" si="122"/>
        <v>13500</v>
      </c>
      <c r="BF252" s="109">
        <v>248</v>
      </c>
      <c r="BG252" s="14">
        <f t="shared" si="127"/>
        <v>25</v>
      </c>
      <c r="BH252" s="14">
        <f t="shared" si="130"/>
        <v>8</v>
      </c>
      <c r="BI252" s="14">
        <f t="shared" si="123"/>
        <v>26250</v>
      </c>
      <c r="BJ252" s="14">
        <f t="shared" si="124"/>
        <v>10800</v>
      </c>
      <c r="BK252" s="14">
        <f t="shared" si="125"/>
        <v>27000</v>
      </c>
    </row>
    <row r="253" spans="42:63" ht="16.5" x14ac:dyDescent="0.2">
      <c r="AP253" s="110"/>
      <c r="AQ253" s="110"/>
      <c r="AR253" s="110"/>
      <c r="AS253" s="110"/>
      <c r="AT253" s="110"/>
      <c r="AU253" s="110"/>
      <c r="AX253" s="109">
        <v>249</v>
      </c>
      <c r="AY253" s="14">
        <f t="shared" si="120"/>
        <v>25</v>
      </c>
      <c r="AZ253" s="14">
        <f t="shared" si="126"/>
        <v>9</v>
      </c>
      <c r="BA253" s="14">
        <f t="shared" si="129"/>
        <v>1200</v>
      </c>
      <c r="BB253" s="14">
        <f t="shared" si="121"/>
        <v>5400</v>
      </c>
      <c r="BC253" s="14">
        <f t="shared" si="122"/>
        <v>13500</v>
      </c>
      <c r="BF253" s="109">
        <v>249</v>
      </c>
      <c r="BG253" s="14">
        <f t="shared" si="127"/>
        <v>25</v>
      </c>
      <c r="BH253" s="14">
        <f t="shared" si="130"/>
        <v>9</v>
      </c>
      <c r="BI253" s="14">
        <f t="shared" si="123"/>
        <v>26250</v>
      </c>
      <c r="BJ253" s="14">
        <f t="shared" si="124"/>
        <v>10800</v>
      </c>
      <c r="BK253" s="14">
        <f t="shared" si="125"/>
        <v>27000</v>
      </c>
    </row>
    <row r="254" spans="42:63" ht="16.5" x14ac:dyDescent="0.2">
      <c r="AP254" s="110"/>
      <c r="AQ254" s="110"/>
      <c r="AR254" s="110"/>
      <c r="AS254" s="110"/>
      <c r="AT254" s="110"/>
      <c r="AU254" s="110"/>
      <c r="AX254" s="109">
        <v>250</v>
      </c>
      <c r="AY254" s="14">
        <f t="shared" si="120"/>
        <v>25</v>
      </c>
      <c r="AZ254" s="14">
        <f t="shared" si="126"/>
        <v>10</v>
      </c>
      <c r="BA254" s="14">
        <f t="shared" si="129"/>
        <v>1200</v>
      </c>
      <c r="BB254" s="14">
        <f t="shared" si="121"/>
        <v>5400</v>
      </c>
      <c r="BC254" s="14">
        <f t="shared" si="122"/>
        <v>13500</v>
      </c>
      <c r="BF254" s="109">
        <v>250</v>
      </c>
      <c r="BG254" s="14">
        <f t="shared" si="127"/>
        <v>25</v>
      </c>
      <c r="BH254" s="14">
        <f t="shared" si="130"/>
        <v>10</v>
      </c>
      <c r="BI254" s="14">
        <f t="shared" si="123"/>
        <v>26250</v>
      </c>
      <c r="BJ254" s="14">
        <f t="shared" si="124"/>
        <v>10800</v>
      </c>
      <c r="BK254" s="14">
        <f t="shared" si="125"/>
        <v>27000</v>
      </c>
    </row>
    <row r="255" spans="42:63" ht="16.5" x14ac:dyDescent="0.2">
      <c r="AP255" s="110"/>
      <c r="AQ255" s="110"/>
      <c r="AR255" s="110"/>
      <c r="AS255" s="110"/>
      <c r="AT255" s="110"/>
      <c r="AU255" s="110"/>
      <c r="AX255" s="109">
        <v>251</v>
      </c>
      <c r="AY255" s="14">
        <f t="shared" si="120"/>
        <v>26</v>
      </c>
      <c r="AZ255" s="14">
        <f t="shared" si="126"/>
        <v>1</v>
      </c>
      <c r="BA255" s="14">
        <f t="shared" si="129"/>
        <v>1300</v>
      </c>
      <c r="BB255" s="14">
        <f t="shared" si="121"/>
        <v>5700</v>
      </c>
      <c r="BC255" s="14">
        <f t="shared" si="122"/>
        <v>14625</v>
      </c>
      <c r="BF255" s="109">
        <v>251</v>
      </c>
      <c r="BG255" s="14">
        <f t="shared" si="127"/>
        <v>26</v>
      </c>
      <c r="BH255" s="14">
        <f t="shared" si="130"/>
        <v>1</v>
      </c>
      <c r="BI255" s="14">
        <f t="shared" si="123"/>
        <v>33750</v>
      </c>
      <c r="BJ255" s="14">
        <f t="shared" si="124"/>
        <v>11400</v>
      </c>
      <c r="BK255" s="14">
        <f t="shared" si="125"/>
        <v>29250</v>
      </c>
    </row>
    <row r="256" spans="42:63" ht="16.5" x14ac:dyDescent="0.2">
      <c r="AP256" s="110"/>
      <c r="AQ256" s="110"/>
      <c r="AR256" s="110"/>
      <c r="AS256" s="110"/>
      <c r="AT256" s="110"/>
      <c r="AU256" s="110"/>
      <c r="AX256" s="109">
        <v>252</v>
      </c>
      <c r="AY256" s="14">
        <f t="shared" si="120"/>
        <v>26</v>
      </c>
      <c r="AZ256" s="14">
        <f t="shared" si="126"/>
        <v>2</v>
      </c>
      <c r="BA256" s="14">
        <f t="shared" si="129"/>
        <v>1300</v>
      </c>
      <c r="BB256" s="14">
        <f t="shared" si="121"/>
        <v>5700</v>
      </c>
      <c r="BC256" s="14">
        <f t="shared" si="122"/>
        <v>14625</v>
      </c>
      <c r="BF256" s="109">
        <v>252</v>
      </c>
      <c r="BG256" s="14">
        <f t="shared" si="127"/>
        <v>26</v>
      </c>
      <c r="BH256" s="14">
        <f t="shared" si="130"/>
        <v>2</v>
      </c>
      <c r="BI256" s="14">
        <f t="shared" si="123"/>
        <v>33750</v>
      </c>
      <c r="BJ256" s="14">
        <f t="shared" si="124"/>
        <v>11400</v>
      </c>
      <c r="BK256" s="14">
        <f t="shared" si="125"/>
        <v>29250</v>
      </c>
    </row>
    <row r="257" spans="42:63" ht="16.5" x14ac:dyDescent="0.2">
      <c r="AP257" s="110"/>
      <c r="AQ257" s="110"/>
      <c r="AR257" s="110"/>
      <c r="AS257" s="110"/>
      <c r="AT257" s="110"/>
      <c r="AU257" s="110"/>
      <c r="AX257" s="109">
        <v>253</v>
      </c>
      <c r="AY257" s="14">
        <f t="shared" si="120"/>
        <v>26</v>
      </c>
      <c r="AZ257" s="14">
        <f t="shared" si="126"/>
        <v>3</v>
      </c>
      <c r="BA257" s="14">
        <f t="shared" si="129"/>
        <v>1300</v>
      </c>
      <c r="BB257" s="14">
        <f t="shared" si="121"/>
        <v>5700</v>
      </c>
      <c r="BC257" s="14">
        <f t="shared" si="122"/>
        <v>14625</v>
      </c>
      <c r="BF257" s="109">
        <v>253</v>
      </c>
      <c r="BG257" s="14">
        <f t="shared" si="127"/>
        <v>26</v>
      </c>
      <c r="BH257" s="14">
        <f t="shared" si="130"/>
        <v>3</v>
      </c>
      <c r="BI257" s="14">
        <f t="shared" si="123"/>
        <v>33750</v>
      </c>
      <c r="BJ257" s="14">
        <f t="shared" si="124"/>
        <v>11400</v>
      </c>
      <c r="BK257" s="14">
        <f t="shared" si="125"/>
        <v>29250</v>
      </c>
    </row>
    <row r="258" spans="42:63" ht="16.5" x14ac:dyDescent="0.2">
      <c r="AP258" s="110"/>
      <c r="AQ258" s="110"/>
      <c r="AR258" s="110"/>
      <c r="AS258" s="110"/>
      <c r="AT258" s="110"/>
      <c r="AU258" s="110"/>
      <c r="AX258" s="109">
        <v>254</v>
      </c>
      <c r="AY258" s="14">
        <f t="shared" si="120"/>
        <v>26</v>
      </c>
      <c r="AZ258" s="14">
        <f t="shared" si="126"/>
        <v>4</v>
      </c>
      <c r="BA258" s="14">
        <f t="shared" si="129"/>
        <v>1300</v>
      </c>
      <c r="BB258" s="14">
        <f t="shared" si="121"/>
        <v>5700</v>
      </c>
      <c r="BC258" s="14">
        <f t="shared" si="122"/>
        <v>14625</v>
      </c>
      <c r="BF258" s="109">
        <v>254</v>
      </c>
      <c r="BG258" s="14">
        <f t="shared" si="127"/>
        <v>26</v>
      </c>
      <c r="BH258" s="14">
        <f t="shared" si="130"/>
        <v>4</v>
      </c>
      <c r="BI258" s="14">
        <f t="shared" si="123"/>
        <v>33750</v>
      </c>
      <c r="BJ258" s="14">
        <f t="shared" si="124"/>
        <v>11400</v>
      </c>
      <c r="BK258" s="14">
        <f t="shared" si="125"/>
        <v>29250</v>
      </c>
    </row>
    <row r="259" spans="42:63" ht="16.5" x14ac:dyDescent="0.2">
      <c r="AP259" s="110"/>
      <c r="AQ259" s="110"/>
      <c r="AR259" s="110"/>
      <c r="AS259" s="110"/>
      <c r="AT259" s="110"/>
      <c r="AU259" s="110"/>
      <c r="AX259" s="109">
        <v>255</v>
      </c>
      <c r="AY259" s="14">
        <f t="shared" si="120"/>
        <v>26</v>
      </c>
      <c r="AZ259" s="14">
        <f t="shared" si="126"/>
        <v>5</v>
      </c>
      <c r="BA259" s="14">
        <f t="shared" si="129"/>
        <v>1300</v>
      </c>
      <c r="BB259" s="14">
        <f t="shared" si="121"/>
        <v>5700</v>
      </c>
      <c r="BC259" s="14">
        <f t="shared" si="122"/>
        <v>14625</v>
      </c>
      <c r="BF259" s="109">
        <v>255</v>
      </c>
      <c r="BG259" s="14">
        <f t="shared" si="127"/>
        <v>26</v>
      </c>
      <c r="BH259" s="14">
        <f t="shared" si="130"/>
        <v>5</v>
      </c>
      <c r="BI259" s="14">
        <f t="shared" si="123"/>
        <v>33750</v>
      </c>
      <c r="BJ259" s="14">
        <f t="shared" si="124"/>
        <v>11400</v>
      </c>
      <c r="BK259" s="14">
        <f t="shared" si="125"/>
        <v>29250</v>
      </c>
    </row>
    <row r="260" spans="42:63" ht="16.5" x14ac:dyDescent="0.2">
      <c r="AP260" s="110"/>
      <c r="AQ260" s="110"/>
      <c r="AR260" s="110"/>
      <c r="AS260" s="110"/>
      <c r="AT260" s="110"/>
      <c r="AU260" s="110"/>
      <c r="AX260" s="109">
        <v>256</v>
      </c>
      <c r="AY260" s="14">
        <f t="shared" si="120"/>
        <v>26</v>
      </c>
      <c r="AZ260" s="14">
        <f t="shared" si="126"/>
        <v>6</v>
      </c>
      <c r="BA260" s="14">
        <f t="shared" si="129"/>
        <v>1300</v>
      </c>
      <c r="BB260" s="14">
        <f t="shared" si="121"/>
        <v>5700</v>
      </c>
      <c r="BC260" s="14">
        <f t="shared" si="122"/>
        <v>14625</v>
      </c>
      <c r="BF260" s="109">
        <v>256</v>
      </c>
      <c r="BG260" s="14">
        <f t="shared" si="127"/>
        <v>26</v>
      </c>
      <c r="BH260" s="14">
        <f t="shared" si="130"/>
        <v>6</v>
      </c>
      <c r="BI260" s="14">
        <f t="shared" si="123"/>
        <v>33750</v>
      </c>
      <c r="BJ260" s="14">
        <f t="shared" si="124"/>
        <v>11400</v>
      </c>
      <c r="BK260" s="14">
        <f t="shared" si="125"/>
        <v>29250</v>
      </c>
    </row>
    <row r="261" spans="42:63" ht="16.5" x14ac:dyDescent="0.2">
      <c r="AP261" s="110"/>
      <c r="AQ261" s="110"/>
      <c r="AR261" s="110"/>
      <c r="AS261" s="110"/>
      <c r="AT261" s="110"/>
      <c r="AU261" s="110"/>
      <c r="AX261" s="109">
        <v>257</v>
      </c>
      <c r="AY261" s="14">
        <f t="shared" ref="AY261:AY304" si="131">INDEX($N$5:$N$36,MATCH(AX261-1,$Q$5:$Q$36,1))+1</f>
        <v>26</v>
      </c>
      <c r="AZ261" s="14">
        <f t="shared" si="126"/>
        <v>7</v>
      </c>
      <c r="BA261" s="14">
        <f t="shared" si="129"/>
        <v>1300</v>
      </c>
      <c r="BB261" s="14">
        <f t="shared" ref="BB261:BB304" si="132">INDEX($U$6:$U$35,AY261)</f>
        <v>5700</v>
      </c>
      <c r="BC261" s="14">
        <f t="shared" ref="BC261:BC304" si="133">INDEX($W$6:$W$35,AY261)</f>
        <v>14625</v>
      </c>
      <c r="BF261" s="109">
        <v>257</v>
      </c>
      <c r="BG261" s="14">
        <f t="shared" si="127"/>
        <v>26</v>
      </c>
      <c r="BH261" s="14">
        <f t="shared" si="130"/>
        <v>7</v>
      </c>
      <c r="BI261" s="14">
        <f t="shared" ref="BI261:BI304" si="134">INDEX($AG$6:$AG$35,BG261)</f>
        <v>33750</v>
      </c>
      <c r="BJ261" s="14">
        <f t="shared" ref="BJ261:BJ304" si="135">INDEX($AI$6:$AI$35,BG261)</f>
        <v>11400</v>
      </c>
      <c r="BK261" s="14">
        <f t="shared" ref="BK261:BK304" si="136">INDEX($AK$6:$AK$35,BG261)</f>
        <v>29250</v>
      </c>
    </row>
    <row r="262" spans="42:63" ht="16.5" x14ac:dyDescent="0.2">
      <c r="AP262" s="110"/>
      <c r="AQ262" s="110"/>
      <c r="AR262" s="110"/>
      <c r="AS262" s="110"/>
      <c r="AT262" s="110"/>
      <c r="AU262" s="110"/>
      <c r="AX262" s="109">
        <v>258</v>
      </c>
      <c r="AY262" s="14">
        <f t="shared" si="131"/>
        <v>26</v>
      </c>
      <c r="AZ262" s="14">
        <f t="shared" ref="AZ262:AZ304" si="137">AX262-INDEX($Q$5:$Q$36,AY262)</f>
        <v>8</v>
      </c>
      <c r="BA262" s="14">
        <f t="shared" si="129"/>
        <v>1300</v>
      </c>
      <c r="BB262" s="14">
        <f t="shared" si="132"/>
        <v>5700</v>
      </c>
      <c r="BC262" s="14">
        <f t="shared" si="133"/>
        <v>14625</v>
      </c>
      <c r="BF262" s="109">
        <v>258</v>
      </c>
      <c r="BG262" s="14">
        <f t="shared" ref="BG262:BG304" si="138">INDEX($AA$5:$AA$35,MATCH(BF262-1,$AF$5:$AF$35,1))+1</f>
        <v>26</v>
      </c>
      <c r="BH262" s="14">
        <f t="shared" si="130"/>
        <v>8</v>
      </c>
      <c r="BI262" s="14">
        <f t="shared" si="134"/>
        <v>33750</v>
      </c>
      <c r="BJ262" s="14">
        <f t="shared" si="135"/>
        <v>11400</v>
      </c>
      <c r="BK262" s="14">
        <f t="shared" si="136"/>
        <v>29250</v>
      </c>
    </row>
    <row r="263" spans="42:63" ht="16.5" x14ac:dyDescent="0.2">
      <c r="AP263" s="110"/>
      <c r="AQ263" s="110"/>
      <c r="AR263" s="110"/>
      <c r="AS263" s="110"/>
      <c r="AT263" s="110"/>
      <c r="AU263" s="110"/>
      <c r="AX263" s="109">
        <v>259</v>
      </c>
      <c r="AY263" s="14">
        <f t="shared" si="131"/>
        <v>26</v>
      </c>
      <c r="AZ263" s="14">
        <f t="shared" si="137"/>
        <v>9</v>
      </c>
      <c r="BA263" s="14">
        <f t="shared" si="129"/>
        <v>1300</v>
      </c>
      <c r="BB263" s="14">
        <f t="shared" si="132"/>
        <v>5700</v>
      </c>
      <c r="BC263" s="14">
        <f t="shared" si="133"/>
        <v>14625</v>
      </c>
      <c r="BF263" s="109">
        <v>259</v>
      </c>
      <c r="BG263" s="14">
        <f t="shared" si="138"/>
        <v>26</v>
      </c>
      <c r="BH263" s="14">
        <f t="shared" si="130"/>
        <v>9</v>
      </c>
      <c r="BI263" s="14">
        <f t="shared" si="134"/>
        <v>33750</v>
      </c>
      <c r="BJ263" s="14">
        <f t="shared" si="135"/>
        <v>11400</v>
      </c>
      <c r="BK263" s="14">
        <f t="shared" si="136"/>
        <v>29250</v>
      </c>
    </row>
    <row r="264" spans="42:63" ht="16.5" x14ac:dyDescent="0.2">
      <c r="AP264" s="110"/>
      <c r="AQ264" s="110"/>
      <c r="AR264" s="110"/>
      <c r="AS264" s="110"/>
      <c r="AT264" s="110"/>
      <c r="AU264" s="110"/>
      <c r="AX264" s="109">
        <v>260</v>
      </c>
      <c r="AY264" s="14">
        <f t="shared" si="131"/>
        <v>26</v>
      </c>
      <c r="AZ264" s="14">
        <f t="shared" si="137"/>
        <v>10</v>
      </c>
      <c r="BA264" s="14">
        <f t="shared" si="129"/>
        <v>1300</v>
      </c>
      <c r="BB264" s="14">
        <f t="shared" si="132"/>
        <v>5700</v>
      </c>
      <c r="BC264" s="14">
        <f t="shared" si="133"/>
        <v>14625</v>
      </c>
      <c r="BF264" s="109">
        <v>260</v>
      </c>
      <c r="BG264" s="14">
        <f t="shared" si="138"/>
        <v>26</v>
      </c>
      <c r="BH264" s="14">
        <f t="shared" si="130"/>
        <v>10</v>
      </c>
      <c r="BI264" s="14">
        <f t="shared" si="134"/>
        <v>33750</v>
      </c>
      <c r="BJ264" s="14">
        <f t="shared" si="135"/>
        <v>11400</v>
      </c>
      <c r="BK264" s="14">
        <f t="shared" si="136"/>
        <v>29250</v>
      </c>
    </row>
    <row r="265" spans="42:63" ht="16.5" x14ac:dyDescent="0.2">
      <c r="AP265" s="110"/>
      <c r="AQ265" s="110"/>
      <c r="AR265" s="110"/>
      <c r="AS265" s="110"/>
      <c r="AT265" s="110"/>
      <c r="AU265" s="110"/>
      <c r="AX265" s="109">
        <v>261</v>
      </c>
      <c r="AY265" s="14">
        <f t="shared" si="131"/>
        <v>27</v>
      </c>
      <c r="AZ265" s="14">
        <f t="shared" si="137"/>
        <v>1</v>
      </c>
      <c r="BA265" s="14">
        <f t="shared" si="129"/>
        <v>1400</v>
      </c>
      <c r="BB265" s="14">
        <f t="shared" si="132"/>
        <v>6000</v>
      </c>
      <c r="BC265" s="14">
        <f t="shared" si="133"/>
        <v>15750</v>
      </c>
      <c r="BF265" s="109">
        <v>261</v>
      </c>
      <c r="BG265" s="14">
        <f t="shared" si="138"/>
        <v>27</v>
      </c>
      <c r="BH265" s="14">
        <f t="shared" si="130"/>
        <v>1</v>
      </c>
      <c r="BI265" s="14">
        <f t="shared" si="134"/>
        <v>36000</v>
      </c>
      <c r="BJ265" s="14">
        <f t="shared" si="135"/>
        <v>12000</v>
      </c>
      <c r="BK265" s="14">
        <f t="shared" si="136"/>
        <v>31500</v>
      </c>
    </row>
    <row r="266" spans="42:63" ht="16.5" x14ac:dyDescent="0.2">
      <c r="AP266" s="110"/>
      <c r="AQ266" s="110"/>
      <c r="AR266" s="110"/>
      <c r="AS266" s="110"/>
      <c r="AT266" s="110"/>
      <c r="AU266" s="110"/>
      <c r="AX266" s="109">
        <v>262</v>
      </c>
      <c r="AY266" s="14">
        <f t="shared" si="131"/>
        <v>27</v>
      </c>
      <c r="AZ266" s="14">
        <f t="shared" si="137"/>
        <v>2</v>
      </c>
      <c r="BA266" s="14">
        <f t="shared" si="129"/>
        <v>1400</v>
      </c>
      <c r="BB266" s="14">
        <f t="shared" si="132"/>
        <v>6000</v>
      </c>
      <c r="BC266" s="14">
        <f t="shared" si="133"/>
        <v>15750</v>
      </c>
      <c r="BF266" s="109">
        <v>262</v>
      </c>
      <c r="BG266" s="14">
        <f t="shared" si="138"/>
        <v>27</v>
      </c>
      <c r="BH266" s="14">
        <f t="shared" si="130"/>
        <v>2</v>
      </c>
      <c r="BI266" s="14">
        <f t="shared" si="134"/>
        <v>36000</v>
      </c>
      <c r="BJ266" s="14">
        <f t="shared" si="135"/>
        <v>12000</v>
      </c>
      <c r="BK266" s="14">
        <f t="shared" si="136"/>
        <v>31500</v>
      </c>
    </row>
    <row r="267" spans="42:63" ht="16.5" x14ac:dyDescent="0.2">
      <c r="AP267" s="110"/>
      <c r="AQ267" s="110"/>
      <c r="AR267" s="110"/>
      <c r="AS267" s="110"/>
      <c r="AT267" s="110"/>
      <c r="AU267" s="110"/>
      <c r="AX267" s="109">
        <v>263</v>
      </c>
      <c r="AY267" s="14">
        <f t="shared" si="131"/>
        <v>27</v>
      </c>
      <c r="AZ267" s="14">
        <f t="shared" si="137"/>
        <v>3</v>
      </c>
      <c r="BA267" s="14">
        <f t="shared" si="129"/>
        <v>1400</v>
      </c>
      <c r="BB267" s="14">
        <f t="shared" si="132"/>
        <v>6000</v>
      </c>
      <c r="BC267" s="14">
        <f t="shared" si="133"/>
        <v>15750</v>
      </c>
      <c r="BF267" s="109">
        <v>263</v>
      </c>
      <c r="BG267" s="14">
        <f t="shared" si="138"/>
        <v>27</v>
      </c>
      <c r="BH267" s="14">
        <f t="shared" si="130"/>
        <v>3</v>
      </c>
      <c r="BI267" s="14">
        <f t="shared" si="134"/>
        <v>36000</v>
      </c>
      <c r="BJ267" s="14">
        <f t="shared" si="135"/>
        <v>12000</v>
      </c>
      <c r="BK267" s="14">
        <f t="shared" si="136"/>
        <v>31500</v>
      </c>
    </row>
    <row r="268" spans="42:63" ht="16.5" x14ac:dyDescent="0.2">
      <c r="AP268" s="110"/>
      <c r="AQ268" s="110"/>
      <c r="AR268" s="110"/>
      <c r="AS268" s="110"/>
      <c r="AT268" s="110"/>
      <c r="AU268" s="110"/>
      <c r="AX268" s="109">
        <v>264</v>
      </c>
      <c r="AY268" s="14">
        <f t="shared" si="131"/>
        <v>27</v>
      </c>
      <c r="AZ268" s="14">
        <f t="shared" si="137"/>
        <v>4</v>
      </c>
      <c r="BA268" s="14">
        <f t="shared" si="129"/>
        <v>1400</v>
      </c>
      <c r="BB268" s="14">
        <f t="shared" si="132"/>
        <v>6000</v>
      </c>
      <c r="BC268" s="14">
        <f t="shared" si="133"/>
        <v>15750</v>
      </c>
      <c r="BF268" s="109">
        <v>264</v>
      </c>
      <c r="BG268" s="14">
        <f t="shared" si="138"/>
        <v>27</v>
      </c>
      <c r="BH268" s="14">
        <f t="shared" si="130"/>
        <v>4</v>
      </c>
      <c r="BI268" s="14">
        <f t="shared" si="134"/>
        <v>36000</v>
      </c>
      <c r="BJ268" s="14">
        <f t="shared" si="135"/>
        <v>12000</v>
      </c>
      <c r="BK268" s="14">
        <f t="shared" si="136"/>
        <v>31500</v>
      </c>
    </row>
    <row r="269" spans="42:63" ht="16.5" x14ac:dyDescent="0.2">
      <c r="AP269" s="110"/>
      <c r="AQ269" s="110"/>
      <c r="AR269" s="110"/>
      <c r="AS269" s="110"/>
      <c r="AT269" s="110"/>
      <c r="AU269" s="110"/>
      <c r="AX269" s="109">
        <v>265</v>
      </c>
      <c r="AY269" s="14">
        <f t="shared" si="131"/>
        <v>27</v>
      </c>
      <c r="AZ269" s="14">
        <f t="shared" si="137"/>
        <v>5</v>
      </c>
      <c r="BA269" s="14">
        <f t="shared" si="129"/>
        <v>1400</v>
      </c>
      <c r="BB269" s="14">
        <f t="shared" si="132"/>
        <v>6000</v>
      </c>
      <c r="BC269" s="14">
        <f t="shared" si="133"/>
        <v>15750</v>
      </c>
      <c r="BF269" s="109">
        <v>265</v>
      </c>
      <c r="BG269" s="14">
        <f t="shared" si="138"/>
        <v>27</v>
      </c>
      <c r="BH269" s="14">
        <f t="shared" si="130"/>
        <v>5</v>
      </c>
      <c r="BI269" s="14">
        <f t="shared" si="134"/>
        <v>36000</v>
      </c>
      <c r="BJ269" s="14">
        <f t="shared" si="135"/>
        <v>12000</v>
      </c>
      <c r="BK269" s="14">
        <f t="shared" si="136"/>
        <v>31500</v>
      </c>
    </row>
    <row r="270" spans="42:63" ht="16.5" x14ac:dyDescent="0.2">
      <c r="AP270" s="110"/>
      <c r="AQ270" s="110"/>
      <c r="AR270" s="110"/>
      <c r="AS270" s="110"/>
      <c r="AT270" s="110"/>
      <c r="AU270" s="110"/>
      <c r="AX270" s="109">
        <v>266</v>
      </c>
      <c r="AY270" s="14">
        <f t="shared" si="131"/>
        <v>27</v>
      </c>
      <c r="AZ270" s="14">
        <f t="shared" si="137"/>
        <v>6</v>
      </c>
      <c r="BA270" s="14">
        <f t="shared" si="129"/>
        <v>1400</v>
      </c>
      <c r="BB270" s="14">
        <f t="shared" si="132"/>
        <v>6000</v>
      </c>
      <c r="BC270" s="14">
        <f t="shared" si="133"/>
        <v>15750</v>
      </c>
      <c r="BF270" s="109">
        <v>266</v>
      </c>
      <c r="BG270" s="14">
        <f t="shared" si="138"/>
        <v>27</v>
      </c>
      <c r="BH270" s="14">
        <f t="shared" si="130"/>
        <v>6</v>
      </c>
      <c r="BI270" s="14">
        <f t="shared" si="134"/>
        <v>36000</v>
      </c>
      <c r="BJ270" s="14">
        <f t="shared" si="135"/>
        <v>12000</v>
      </c>
      <c r="BK270" s="14">
        <f t="shared" si="136"/>
        <v>31500</v>
      </c>
    </row>
    <row r="271" spans="42:63" ht="16.5" x14ac:dyDescent="0.2">
      <c r="AP271" s="110"/>
      <c r="AQ271" s="110"/>
      <c r="AR271" s="110"/>
      <c r="AS271" s="110"/>
      <c r="AT271" s="110"/>
      <c r="AU271" s="110"/>
      <c r="AX271" s="109">
        <v>267</v>
      </c>
      <c r="AY271" s="14">
        <f t="shared" si="131"/>
        <v>27</v>
      </c>
      <c r="AZ271" s="14">
        <f t="shared" si="137"/>
        <v>7</v>
      </c>
      <c r="BA271" s="14">
        <f t="shared" ref="BA271:BA304" si="139">INDEX($S$6:$S$35,AY271)</f>
        <v>1400</v>
      </c>
      <c r="BB271" s="14">
        <f t="shared" si="132"/>
        <v>6000</v>
      </c>
      <c r="BC271" s="14">
        <f t="shared" si="133"/>
        <v>15750</v>
      </c>
      <c r="BF271" s="109">
        <v>267</v>
      </c>
      <c r="BG271" s="14">
        <f t="shared" si="138"/>
        <v>27</v>
      </c>
      <c r="BH271" s="14">
        <f t="shared" si="130"/>
        <v>7</v>
      </c>
      <c r="BI271" s="14">
        <f t="shared" si="134"/>
        <v>36000</v>
      </c>
      <c r="BJ271" s="14">
        <f t="shared" si="135"/>
        <v>12000</v>
      </c>
      <c r="BK271" s="14">
        <f t="shared" si="136"/>
        <v>31500</v>
      </c>
    </row>
    <row r="272" spans="42:63" ht="16.5" x14ac:dyDescent="0.2">
      <c r="AP272" s="110"/>
      <c r="AQ272" s="110"/>
      <c r="AR272" s="110"/>
      <c r="AS272" s="110"/>
      <c r="AT272" s="110"/>
      <c r="AU272" s="110"/>
      <c r="AX272" s="109">
        <v>268</v>
      </c>
      <c r="AY272" s="14">
        <f t="shared" si="131"/>
        <v>27</v>
      </c>
      <c r="AZ272" s="14">
        <f t="shared" si="137"/>
        <v>8</v>
      </c>
      <c r="BA272" s="14">
        <f t="shared" si="139"/>
        <v>1400</v>
      </c>
      <c r="BB272" s="14">
        <f t="shared" si="132"/>
        <v>6000</v>
      </c>
      <c r="BC272" s="14">
        <f t="shared" si="133"/>
        <v>15750</v>
      </c>
      <c r="BF272" s="109">
        <v>268</v>
      </c>
      <c r="BG272" s="14">
        <f t="shared" si="138"/>
        <v>27</v>
      </c>
      <c r="BH272" s="14">
        <f t="shared" ref="BH272:BH304" si="140">BF272-INDEX($AF$5:$AF$35,BG272)</f>
        <v>8</v>
      </c>
      <c r="BI272" s="14">
        <f t="shared" si="134"/>
        <v>36000</v>
      </c>
      <c r="BJ272" s="14">
        <f t="shared" si="135"/>
        <v>12000</v>
      </c>
      <c r="BK272" s="14">
        <f t="shared" si="136"/>
        <v>31500</v>
      </c>
    </row>
    <row r="273" spans="42:63" ht="16.5" x14ac:dyDescent="0.2">
      <c r="AP273" s="110"/>
      <c r="AQ273" s="110"/>
      <c r="AR273" s="110"/>
      <c r="AS273" s="110"/>
      <c r="AT273" s="110"/>
      <c r="AU273" s="110"/>
      <c r="AX273" s="109">
        <v>269</v>
      </c>
      <c r="AY273" s="14">
        <f t="shared" si="131"/>
        <v>27</v>
      </c>
      <c r="AZ273" s="14">
        <f t="shared" si="137"/>
        <v>9</v>
      </c>
      <c r="BA273" s="14">
        <f t="shared" si="139"/>
        <v>1400</v>
      </c>
      <c r="BB273" s="14">
        <f t="shared" si="132"/>
        <v>6000</v>
      </c>
      <c r="BC273" s="14">
        <f t="shared" si="133"/>
        <v>15750</v>
      </c>
      <c r="BF273" s="109">
        <v>269</v>
      </c>
      <c r="BG273" s="14">
        <f t="shared" si="138"/>
        <v>27</v>
      </c>
      <c r="BH273" s="14">
        <f t="shared" si="140"/>
        <v>9</v>
      </c>
      <c r="BI273" s="14">
        <f t="shared" si="134"/>
        <v>36000</v>
      </c>
      <c r="BJ273" s="14">
        <f t="shared" si="135"/>
        <v>12000</v>
      </c>
      <c r="BK273" s="14">
        <f t="shared" si="136"/>
        <v>31500</v>
      </c>
    </row>
    <row r="274" spans="42:63" ht="16.5" x14ac:dyDescent="0.2">
      <c r="AP274" s="110"/>
      <c r="AQ274" s="110"/>
      <c r="AR274" s="110"/>
      <c r="AS274" s="110"/>
      <c r="AT274" s="110"/>
      <c r="AU274" s="110"/>
      <c r="AX274" s="109">
        <v>270</v>
      </c>
      <c r="AY274" s="14">
        <f t="shared" si="131"/>
        <v>27</v>
      </c>
      <c r="AZ274" s="14">
        <f t="shared" si="137"/>
        <v>10</v>
      </c>
      <c r="BA274" s="14">
        <f t="shared" si="139"/>
        <v>1400</v>
      </c>
      <c r="BB274" s="14">
        <f t="shared" si="132"/>
        <v>6000</v>
      </c>
      <c r="BC274" s="14">
        <f t="shared" si="133"/>
        <v>15750</v>
      </c>
      <c r="BF274" s="109">
        <v>270</v>
      </c>
      <c r="BG274" s="14">
        <f t="shared" si="138"/>
        <v>27</v>
      </c>
      <c r="BH274" s="14">
        <f t="shared" si="140"/>
        <v>10</v>
      </c>
      <c r="BI274" s="14">
        <f t="shared" si="134"/>
        <v>36000</v>
      </c>
      <c r="BJ274" s="14">
        <f t="shared" si="135"/>
        <v>12000</v>
      </c>
      <c r="BK274" s="14">
        <f t="shared" si="136"/>
        <v>31500</v>
      </c>
    </row>
    <row r="275" spans="42:63" ht="16.5" x14ac:dyDescent="0.2">
      <c r="AP275" s="110"/>
      <c r="AQ275" s="110"/>
      <c r="AR275" s="110"/>
      <c r="AS275" s="110"/>
      <c r="AT275" s="110"/>
      <c r="AU275" s="110"/>
      <c r="AX275" s="109">
        <v>271</v>
      </c>
      <c r="AY275" s="14">
        <f t="shared" si="131"/>
        <v>28</v>
      </c>
      <c r="AZ275" s="14">
        <f t="shared" si="137"/>
        <v>1</v>
      </c>
      <c r="BA275" s="14">
        <f t="shared" si="139"/>
        <v>1500</v>
      </c>
      <c r="BB275" s="14">
        <f t="shared" si="132"/>
        <v>6300</v>
      </c>
      <c r="BC275" s="14">
        <f t="shared" si="133"/>
        <v>16875</v>
      </c>
      <c r="BF275" s="109">
        <v>271</v>
      </c>
      <c r="BG275" s="14">
        <f t="shared" si="138"/>
        <v>28</v>
      </c>
      <c r="BH275" s="14">
        <f t="shared" si="140"/>
        <v>1</v>
      </c>
      <c r="BI275" s="14">
        <f t="shared" si="134"/>
        <v>36000</v>
      </c>
      <c r="BJ275" s="14">
        <f t="shared" si="135"/>
        <v>12600</v>
      </c>
      <c r="BK275" s="14">
        <f t="shared" si="136"/>
        <v>33750</v>
      </c>
    </row>
    <row r="276" spans="42:63" ht="16.5" x14ac:dyDescent="0.2">
      <c r="AP276" s="110"/>
      <c r="AQ276" s="110"/>
      <c r="AR276" s="110"/>
      <c r="AS276" s="110"/>
      <c r="AT276" s="110"/>
      <c r="AU276" s="110"/>
      <c r="AX276" s="109">
        <v>272</v>
      </c>
      <c r="AY276" s="14">
        <f t="shared" si="131"/>
        <v>28</v>
      </c>
      <c r="AZ276" s="14">
        <f t="shared" si="137"/>
        <v>2</v>
      </c>
      <c r="BA276" s="14">
        <f t="shared" si="139"/>
        <v>1500</v>
      </c>
      <c r="BB276" s="14">
        <f t="shared" si="132"/>
        <v>6300</v>
      </c>
      <c r="BC276" s="14">
        <f t="shared" si="133"/>
        <v>16875</v>
      </c>
      <c r="BF276" s="109">
        <v>272</v>
      </c>
      <c r="BG276" s="14">
        <f t="shared" si="138"/>
        <v>28</v>
      </c>
      <c r="BH276" s="14">
        <f t="shared" si="140"/>
        <v>2</v>
      </c>
      <c r="BI276" s="14">
        <f t="shared" si="134"/>
        <v>36000</v>
      </c>
      <c r="BJ276" s="14">
        <f t="shared" si="135"/>
        <v>12600</v>
      </c>
      <c r="BK276" s="14">
        <f t="shared" si="136"/>
        <v>33750</v>
      </c>
    </row>
    <row r="277" spans="42:63" ht="16.5" x14ac:dyDescent="0.2">
      <c r="AP277" s="110"/>
      <c r="AQ277" s="110"/>
      <c r="AR277" s="110"/>
      <c r="AS277" s="110"/>
      <c r="AT277" s="110"/>
      <c r="AU277" s="110"/>
      <c r="AX277" s="109">
        <v>273</v>
      </c>
      <c r="AY277" s="14">
        <f t="shared" si="131"/>
        <v>28</v>
      </c>
      <c r="AZ277" s="14">
        <f t="shared" si="137"/>
        <v>3</v>
      </c>
      <c r="BA277" s="14">
        <f t="shared" si="139"/>
        <v>1500</v>
      </c>
      <c r="BB277" s="14">
        <f t="shared" si="132"/>
        <v>6300</v>
      </c>
      <c r="BC277" s="14">
        <f t="shared" si="133"/>
        <v>16875</v>
      </c>
      <c r="BF277" s="109">
        <v>273</v>
      </c>
      <c r="BG277" s="14">
        <f t="shared" si="138"/>
        <v>28</v>
      </c>
      <c r="BH277" s="14">
        <f t="shared" si="140"/>
        <v>3</v>
      </c>
      <c r="BI277" s="14">
        <f t="shared" si="134"/>
        <v>36000</v>
      </c>
      <c r="BJ277" s="14">
        <f t="shared" si="135"/>
        <v>12600</v>
      </c>
      <c r="BK277" s="14">
        <f t="shared" si="136"/>
        <v>33750</v>
      </c>
    </row>
    <row r="278" spans="42:63" ht="16.5" x14ac:dyDescent="0.2">
      <c r="AP278" s="110"/>
      <c r="AQ278" s="110"/>
      <c r="AR278" s="110"/>
      <c r="AS278" s="110"/>
      <c r="AT278" s="110"/>
      <c r="AU278" s="110"/>
      <c r="AX278" s="109">
        <v>274</v>
      </c>
      <c r="AY278" s="14">
        <f t="shared" si="131"/>
        <v>28</v>
      </c>
      <c r="AZ278" s="14">
        <f t="shared" si="137"/>
        <v>4</v>
      </c>
      <c r="BA278" s="14">
        <f t="shared" si="139"/>
        <v>1500</v>
      </c>
      <c r="BB278" s="14">
        <f t="shared" si="132"/>
        <v>6300</v>
      </c>
      <c r="BC278" s="14">
        <f t="shared" si="133"/>
        <v>16875</v>
      </c>
      <c r="BF278" s="109">
        <v>274</v>
      </c>
      <c r="BG278" s="14">
        <f t="shared" si="138"/>
        <v>28</v>
      </c>
      <c r="BH278" s="14">
        <f t="shared" si="140"/>
        <v>4</v>
      </c>
      <c r="BI278" s="14">
        <f t="shared" si="134"/>
        <v>36000</v>
      </c>
      <c r="BJ278" s="14">
        <f t="shared" si="135"/>
        <v>12600</v>
      </c>
      <c r="BK278" s="14">
        <f t="shared" si="136"/>
        <v>33750</v>
      </c>
    </row>
    <row r="279" spans="42:63" ht="16.5" x14ac:dyDescent="0.2">
      <c r="AP279" s="110"/>
      <c r="AQ279" s="110"/>
      <c r="AR279" s="110"/>
      <c r="AS279" s="110"/>
      <c r="AT279" s="110"/>
      <c r="AU279" s="110"/>
      <c r="AX279" s="109">
        <v>275</v>
      </c>
      <c r="AY279" s="14">
        <f t="shared" si="131"/>
        <v>28</v>
      </c>
      <c r="AZ279" s="14">
        <f t="shared" si="137"/>
        <v>5</v>
      </c>
      <c r="BA279" s="14">
        <f t="shared" si="139"/>
        <v>1500</v>
      </c>
      <c r="BB279" s="14">
        <f t="shared" si="132"/>
        <v>6300</v>
      </c>
      <c r="BC279" s="14">
        <f t="shared" si="133"/>
        <v>16875</v>
      </c>
      <c r="BF279" s="109">
        <v>275</v>
      </c>
      <c r="BG279" s="14">
        <f t="shared" si="138"/>
        <v>28</v>
      </c>
      <c r="BH279" s="14">
        <f t="shared" si="140"/>
        <v>5</v>
      </c>
      <c r="BI279" s="14">
        <f t="shared" si="134"/>
        <v>36000</v>
      </c>
      <c r="BJ279" s="14">
        <f t="shared" si="135"/>
        <v>12600</v>
      </c>
      <c r="BK279" s="14">
        <f t="shared" si="136"/>
        <v>33750</v>
      </c>
    </row>
    <row r="280" spans="42:63" ht="16.5" x14ac:dyDescent="0.2">
      <c r="AP280" s="110"/>
      <c r="AQ280" s="110"/>
      <c r="AR280" s="110"/>
      <c r="AS280" s="110"/>
      <c r="AT280" s="110"/>
      <c r="AU280" s="110"/>
      <c r="AX280" s="109">
        <v>276</v>
      </c>
      <c r="AY280" s="14">
        <f t="shared" si="131"/>
        <v>28</v>
      </c>
      <c r="AZ280" s="14">
        <f t="shared" si="137"/>
        <v>6</v>
      </c>
      <c r="BA280" s="14">
        <f t="shared" si="139"/>
        <v>1500</v>
      </c>
      <c r="BB280" s="14">
        <f t="shared" si="132"/>
        <v>6300</v>
      </c>
      <c r="BC280" s="14">
        <f t="shared" si="133"/>
        <v>16875</v>
      </c>
      <c r="BF280" s="109">
        <v>276</v>
      </c>
      <c r="BG280" s="14">
        <f t="shared" si="138"/>
        <v>28</v>
      </c>
      <c r="BH280" s="14">
        <f t="shared" si="140"/>
        <v>6</v>
      </c>
      <c r="BI280" s="14">
        <f t="shared" si="134"/>
        <v>36000</v>
      </c>
      <c r="BJ280" s="14">
        <f t="shared" si="135"/>
        <v>12600</v>
      </c>
      <c r="BK280" s="14">
        <f t="shared" si="136"/>
        <v>33750</v>
      </c>
    </row>
    <row r="281" spans="42:63" ht="16.5" x14ac:dyDescent="0.2">
      <c r="AP281" s="110"/>
      <c r="AQ281" s="110"/>
      <c r="AR281" s="110"/>
      <c r="AS281" s="110"/>
      <c r="AT281" s="110"/>
      <c r="AU281" s="110"/>
      <c r="AX281" s="109">
        <v>277</v>
      </c>
      <c r="AY281" s="14">
        <f t="shared" si="131"/>
        <v>28</v>
      </c>
      <c r="AZ281" s="14">
        <f t="shared" si="137"/>
        <v>7</v>
      </c>
      <c r="BA281" s="14">
        <f t="shared" si="139"/>
        <v>1500</v>
      </c>
      <c r="BB281" s="14">
        <f t="shared" si="132"/>
        <v>6300</v>
      </c>
      <c r="BC281" s="14">
        <f t="shared" si="133"/>
        <v>16875</v>
      </c>
      <c r="BF281" s="109">
        <v>277</v>
      </c>
      <c r="BG281" s="14">
        <f t="shared" si="138"/>
        <v>28</v>
      </c>
      <c r="BH281" s="14">
        <f t="shared" si="140"/>
        <v>7</v>
      </c>
      <c r="BI281" s="14">
        <f t="shared" si="134"/>
        <v>36000</v>
      </c>
      <c r="BJ281" s="14">
        <f t="shared" si="135"/>
        <v>12600</v>
      </c>
      <c r="BK281" s="14">
        <f t="shared" si="136"/>
        <v>33750</v>
      </c>
    </row>
    <row r="282" spans="42:63" ht="16.5" x14ac:dyDescent="0.2">
      <c r="AP282" s="110"/>
      <c r="AQ282" s="110"/>
      <c r="AR282" s="110"/>
      <c r="AS282" s="110"/>
      <c r="AT282" s="110"/>
      <c r="AU282" s="110"/>
      <c r="AX282" s="109">
        <v>278</v>
      </c>
      <c r="AY282" s="14">
        <f t="shared" si="131"/>
        <v>28</v>
      </c>
      <c r="AZ282" s="14">
        <f t="shared" si="137"/>
        <v>8</v>
      </c>
      <c r="BA282" s="14">
        <f t="shared" si="139"/>
        <v>1500</v>
      </c>
      <c r="BB282" s="14">
        <f t="shared" si="132"/>
        <v>6300</v>
      </c>
      <c r="BC282" s="14">
        <f t="shared" si="133"/>
        <v>16875</v>
      </c>
      <c r="BF282" s="109">
        <v>278</v>
      </c>
      <c r="BG282" s="14">
        <f t="shared" si="138"/>
        <v>28</v>
      </c>
      <c r="BH282" s="14">
        <f t="shared" si="140"/>
        <v>8</v>
      </c>
      <c r="BI282" s="14">
        <f t="shared" si="134"/>
        <v>36000</v>
      </c>
      <c r="BJ282" s="14">
        <f t="shared" si="135"/>
        <v>12600</v>
      </c>
      <c r="BK282" s="14">
        <f t="shared" si="136"/>
        <v>33750</v>
      </c>
    </row>
    <row r="283" spans="42:63" ht="16.5" x14ac:dyDescent="0.2">
      <c r="AP283" s="110"/>
      <c r="AQ283" s="110"/>
      <c r="AR283" s="110"/>
      <c r="AS283" s="110"/>
      <c r="AT283" s="110"/>
      <c r="AU283" s="110"/>
      <c r="AX283" s="109">
        <v>279</v>
      </c>
      <c r="AY283" s="14">
        <f t="shared" si="131"/>
        <v>28</v>
      </c>
      <c r="AZ283" s="14">
        <f t="shared" si="137"/>
        <v>9</v>
      </c>
      <c r="BA283" s="14">
        <f t="shared" si="139"/>
        <v>1500</v>
      </c>
      <c r="BB283" s="14">
        <f t="shared" si="132"/>
        <v>6300</v>
      </c>
      <c r="BC283" s="14">
        <f t="shared" si="133"/>
        <v>16875</v>
      </c>
      <c r="BF283" s="109">
        <v>279</v>
      </c>
      <c r="BG283" s="14">
        <f t="shared" si="138"/>
        <v>28</v>
      </c>
      <c r="BH283" s="14">
        <f t="shared" si="140"/>
        <v>9</v>
      </c>
      <c r="BI283" s="14">
        <f t="shared" si="134"/>
        <v>36000</v>
      </c>
      <c r="BJ283" s="14">
        <f t="shared" si="135"/>
        <v>12600</v>
      </c>
      <c r="BK283" s="14">
        <f t="shared" si="136"/>
        <v>33750</v>
      </c>
    </row>
    <row r="284" spans="42:63" ht="16.5" x14ac:dyDescent="0.2">
      <c r="AP284" s="110"/>
      <c r="AQ284" s="110"/>
      <c r="AR284" s="110"/>
      <c r="AS284" s="110"/>
      <c r="AT284" s="110"/>
      <c r="AU284" s="110"/>
      <c r="AX284" s="109">
        <v>280</v>
      </c>
      <c r="AY284" s="14">
        <f t="shared" si="131"/>
        <v>28</v>
      </c>
      <c r="AZ284" s="14">
        <f t="shared" si="137"/>
        <v>10</v>
      </c>
      <c r="BA284" s="14">
        <f t="shared" si="139"/>
        <v>1500</v>
      </c>
      <c r="BB284" s="14">
        <f t="shared" si="132"/>
        <v>6300</v>
      </c>
      <c r="BC284" s="14">
        <f t="shared" si="133"/>
        <v>16875</v>
      </c>
      <c r="BF284" s="109">
        <v>280</v>
      </c>
      <c r="BG284" s="14">
        <f t="shared" si="138"/>
        <v>28</v>
      </c>
      <c r="BH284" s="14">
        <f t="shared" si="140"/>
        <v>10</v>
      </c>
      <c r="BI284" s="14">
        <f t="shared" si="134"/>
        <v>36000</v>
      </c>
      <c r="BJ284" s="14">
        <f t="shared" si="135"/>
        <v>12600</v>
      </c>
      <c r="BK284" s="14">
        <f t="shared" si="136"/>
        <v>33750</v>
      </c>
    </row>
    <row r="285" spans="42:63" ht="16.5" x14ac:dyDescent="0.2">
      <c r="AP285" s="110"/>
      <c r="AQ285" s="110"/>
      <c r="AR285" s="110"/>
      <c r="AS285" s="110"/>
      <c r="AT285" s="110"/>
      <c r="AU285" s="110"/>
      <c r="AX285" s="109">
        <v>281</v>
      </c>
      <c r="AY285" s="14">
        <f t="shared" si="131"/>
        <v>29</v>
      </c>
      <c r="AZ285" s="14">
        <f t="shared" si="137"/>
        <v>1</v>
      </c>
      <c r="BA285" s="14">
        <f t="shared" si="139"/>
        <v>1600</v>
      </c>
      <c r="BB285" s="14">
        <f t="shared" si="132"/>
        <v>6600</v>
      </c>
      <c r="BC285" s="14">
        <f t="shared" si="133"/>
        <v>18000</v>
      </c>
      <c r="BF285" s="109">
        <v>281</v>
      </c>
      <c r="BG285" s="14">
        <f t="shared" si="138"/>
        <v>29</v>
      </c>
      <c r="BH285" s="14">
        <f t="shared" si="140"/>
        <v>1</v>
      </c>
      <c r="BI285" s="14">
        <f t="shared" si="134"/>
        <v>39600</v>
      </c>
      <c r="BJ285" s="14">
        <f t="shared" si="135"/>
        <v>13200</v>
      </c>
      <c r="BK285" s="14">
        <f t="shared" si="136"/>
        <v>36000</v>
      </c>
    </row>
    <row r="286" spans="42:63" ht="16.5" x14ac:dyDescent="0.2">
      <c r="AP286" s="110"/>
      <c r="AQ286" s="110"/>
      <c r="AR286" s="110"/>
      <c r="AS286" s="110"/>
      <c r="AT286" s="110"/>
      <c r="AU286" s="110"/>
      <c r="AX286" s="109">
        <v>282</v>
      </c>
      <c r="AY286" s="14">
        <f t="shared" si="131"/>
        <v>29</v>
      </c>
      <c r="AZ286" s="14">
        <f t="shared" si="137"/>
        <v>2</v>
      </c>
      <c r="BA286" s="14">
        <f t="shared" si="139"/>
        <v>1600</v>
      </c>
      <c r="BB286" s="14">
        <f t="shared" si="132"/>
        <v>6600</v>
      </c>
      <c r="BC286" s="14">
        <f t="shared" si="133"/>
        <v>18000</v>
      </c>
      <c r="BF286" s="109">
        <v>282</v>
      </c>
      <c r="BG286" s="14">
        <f t="shared" si="138"/>
        <v>29</v>
      </c>
      <c r="BH286" s="14">
        <f t="shared" si="140"/>
        <v>2</v>
      </c>
      <c r="BI286" s="14">
        <f t="shared" si="134"/>
        <v>39600</v>
      </c>
      <c r="BJ286" s="14">
        <f t="shared" si="135"/>
        <v>13200</v>
      </c>
      <c r="BK286" s="14">
        <f t="shared" si="136"/>
        <v>36000</v>
      </c>
    </row>
    <row r="287" spans="42:63" ht="16.5" x14ac:dyDescent="0.2">
      <c r="AX287" s="109">
        <v>283</v>
      </c>
      <c r="AY287" s="14">
        <f t="shared" si="131"/>
        <v>29</v>
      </c>
      <c r="AZ287" s="14">
        <f t="shared" si="137"/>
        <v>3</v>
      </c>
      <c r="BA287" s="14">
        <f t="shared" si="139"/>
        <v>1600</v>
      </c>
      <c r="BB287" s="14">
        <f t="shared" si="132"/>
        <v>6600</v>
      </c>
      <c r="BC287" s="14">
        <f t="shared" si="133"/>
        <v>18000</v>
      </c>
      <c r="BF287" s="109">
        <v>283</v>
      </c>
      <c r="BG287" s="14">
        <f t="shared" si="138"/>
        <v>29</v>
      </c>
      <c r="BH287" s="14">
        <f t="shared" si="140"/>
        <v>3</v>
      </c>
      <c r="BI287" s="14">
        <f t="shared" si="134"/>
        <v>39600</v>
      </c>
      <c r="BJ287" s="14">
        <f t="shared" si="135"/>
        <v>13200</v>
      </c>
      <c r="BK287" s="14">
        <f t="shared" si="136"/>
        <v>36000</v>
      </c>
    </row>
    <row r="288" spans="42:63" ht="16.5" x14ac:dyDescent="0.2">
      <c r="AX288" s="109">
        <v>284</v>
      </c>
      <c r="AY288" s="14">
        <f t="shared" si="131"/>
        <v>29</v>
      </c>
      <c r="AZ288" s="14">
        <f t="shared" si="137"/>
        <v>4</v>
      </c>
      <c r="BA288" s="14">
        <f t="shared" si="139"/>
        <v>1600</v>
      </c>
      <c r="BB288" s="14">
        <f t="shared" si="132"/>
        <v>6600</v>
      </c>
      <c r="BC288" s="14">
        <f t="shared" si="133"/>
        <v>18000</v>
      </c>
      <c r="BF288" s="109">
        <v>284</v>
      </c>
      <c r="BG288" s="14">
        <f t="shared" si="138"/>
        <v>29</v>
      </c>
      <c r="BH288" s="14">
        <f t="shared" si="140"/>
        <v>4</v>
      </c>
      <c r="BI288" s="14">
        <f t="shared" si="134"/>
        <v>39600</v>
      </c>
      <c r="BJ288" s="14">
        <f t="shared" si="135"/>
        <v>13200</v>
      </c>
      <c r="BK288" s="14">
        <f t="shared" si="136"/>
        <v>36000</v>
      </c>
    </row>
    <row r="289" spans="50:63" ht="16.5" x14ac:dyDescent="0.2">
      <c r="AX289" s="109">
        <v>285</v>
      </c>
      <c r="AY289" s="14">
        <f t="shared" si="131"/>
        <v>29</v>
      </c>
      <c r="AZ289" s="14">
        <f t="shared" si="137"/>
        <v>5</v>
      </c>
      <c r="BA289" s="14">
        <f t="shared" si="139"/>
        <v>1600</v>
      </c>
      <c r="BB289" s="14">
        <f t="shared" si="132"/>
        <v>6600</v>
      </c>
      <c r="BC289" s="14">
        <f t="shared" si="133"/>
        <v>18000</v>
      </c>
      <c r="BF289" s="109">
        <v>285</v>
      </c>
      <c r="BG289" s="14">
        <f t="shared" si="138"/>
        <v>29</v>
      </c>
      <c r="BH289" s="14">
        <f t="shared" si="140"/>
        <v>5</v>
      </c>
      <c r="BI289" s="14">
        <f t="shared" si="134"/>
        <v>39600</v>
      </c>
      <c r="BJ289" s="14">
        <f t="shared" si="135"/>
        <v>13200</v>
      </c>
      <c r="BK289" s="14">
        <f t="shared" si="136"/>
        <v>36000</v>
      </c>
    </row>
    <row r="290" spans="50:63" ht="16.5" x14ac:dyDescent="0.2">
      <c r="AX290" s="109">
        <v>286</v>
      </c>
      <c r="AY290" s="14">
        <f t="shared" si="131"/>
        <v>29</v>
      </c>
      <c r="AZ290" s="14">
        <f t="shared" si="137"/>
        <v>6</v>
      </c>
      <c r="BA290" s="14">
        <f t="shared" si="139"/>
        <v>1600</v>
      </c>
      <c r="BB290" s="14">
        <f t="shared" si="132"/>
        <v>6600</v>
      </c>
      <c r="BC290" s="14">
        <f t="shared" si="133"/>
        <v>18000</v>
      </c>
      <c r="BF290" s="109">
        <v>286</v>
      </c>
      <c r="BG290" s="14">
        <f t="shared" si="138"/>
        <v>29</v>
      </c>
      <c r="BH290" s="14">
        <f t="shared" si="140"/>
        <v>6</v>
      </c>
      <c r="BI290" s="14">
        <f t="shared" si="134"/>
        <v>39600</v>
      </c>
      <c r="BJ290" s="14">
        <f t="shared" si="135"/>
        <v>13200</v>
      </c>
      <c r="BK290" s="14">
        <f t="shared" si="136"/>
        <v>36000</v>
      </c>
    </row>
    <row r="291" spans="50:63" ht="16.5" x14ac:dyDescent="0.2">
      <c r="AX291" s="109">
        <v>287</v>
      </c>
      <c r="AY291" s="14">
        <f t="shared" si="131"/>
        <v>29</v>
      </c>
      <c r="AZ291" s="14">
        <f t="shared" si="137"/>
        <v>7</v>
      </c>
      <c r="BA291" s="14">
        <f t="shared" si="139"/>
        <v>1600</v>
      </c>
      <c r="BB291" s="14">
        <f t="shared" si="132"/>
        <v>6600</v>
      </c>
      <c r="BC291" s="14">
        <f t="shared" si="133"/>
        <v>18000</v>
      </c>
      <c r="BF291" s="109">
        <v>287</v>
      </c>
      <c r="BG291" s="14">
        <f t="shared" si="138"/>
        <v>29</v>
      </c>
      <c r="BH291" s="14">
        <f t="shared" si="140"/>
        <v>7</v>
      </c>
      <c r="BI291" s="14">
        <f t="shared" si="134"/>
        <v>39600</v>
      </c>
      <c r="BJ291" s="14">
        <f t="shared" si="135"/>
        <v>13200</v>
      </c>
      <c r="BK291" s="14">
        <f t="shared" si="136"/>
        <v>36000</v>
      </c>
    </row>
    <row r="292" spans="50:63" ht="16.5" x14ac:dyDescent="0.2">
      <c r="AX292" s="109">
        <v>288</v>
      </c>
      <c r="AY292" s="14">
        <f t="shared" si="131"/>
        <v>29</v>
      </c>
      <c r="AZ292" s="14">
        <f t="shared" si="137"/>
        <v>8</v>
      </c>
      <c r="BA292" s="14">
        <f t="shared" si="139"/>
        <v>1600</v>
      </c>
      <c r="BB292" s="14">
        <f t="shared" si="132"/>
        <v>6600</v>
      </c>
      <c r="BC292" s="14">
        <f t="shared" si="133"/>
        <v>18000</v>
      </c>
      <c r="BF292" s="109">
        <v>288</v>
      </c>
      <c r="BG292" s="14">
        <f t="shared" si="138"/>
        <v>29</v>
      </c>
      <c r="BH292" s="14">
        <f t="shared" si="140"/>
        <v>8</v>
      </c>
      <c r="BI292" s="14">
        <f t="shared" si="134"/>
        <v>39600</v>
      </c>
      <c r="BJ292" s="14">
        <f t="shared" si="135"/>
        <v>13200</v>
      </c>
      <c r="BK292" s="14">
        <f t="shared" si="136"/>
        <v>36000</v>
      </c>
    </row>
    <row r="293" spans="50:63" ht="16.5" x14ac:dyDescent="0.2">
      <c r="AX293" s="109">
        <v>289</v>
      </c>
      <c r="AY293" s="14">
        <f t="shared" si="131"/>
        <v>29</v>
      </c>
      <c r="AZ293" s="14">
        <f t="shared" si="137"/>
        <v>9</v>
      </c>
      <c r="BA293" s="14">
        <f t="shared" si="139"/>
        <v>1600</v>
      </c>
      <c r="BB293" s="14">
        <f t="shared" si="132"/>
        <v>6600</v>
      </c>
      <c r="BC293" s="14">
        <f t="shared" si="133"/>
        <v>18000</v>
      </c>
      <c r="BF293" s="109">
        <v>289</v>
      </c>
      <c r="BG293" s="14">
        <f t="shared" si="138"/>
        <v>29</v>
      </c>
      <c r="BH293" s="14">
        <f t="shared" si="140"/>
        <v>9</v>
      </c>
      <c r="BI293" s="14">
        <f t="shared" si="134"/>
        <v>39600</v>
      </c>
      <c r="BJ293" s="14">
        <f t="shared" si="135"/>
        <v>13200</v>
      </c>
      <c r="BK293" s="14">
        <f t="shared" si="136"/>
        <v>36000</v>
      </c>
    </row>
    <row r="294" spans="50:63" ht="16.5" x14ac:dyDescent="0.2">
      <c r="AX294" s="109">
        <v>290</v>
      </c>
      <c r="AY294" s="14">
        <f t="shared" si="131"/>
        <v>29</v>
      </c>
      <c r="AZ294" s="14">
        <f t="shared" si="137"/>
        <v>10</v>
      </c>
      <c r="BA294" s="14">
        <f t="shared" si="139"/>
        <v>1600</v>
      </c>
      <c r="BB294" s="14">
        <f t="shared" si="132"/>
        <v>6600</v>
      </c>
      <c r="BC294" s="14">
        <f t="shared" si="133"/>
        <v>18000</v>
      </c>
      <c r="BF294" s="109">
        <v>290</v>
      </c>
      <c r="BG294" s="14">
        <f t="shared" si="138"/>
        <v>29</v>
      </c>
      <c r="BH294" s="14">
        <f t="shared" si="140"/>
        <v>10</v>
      </c>
      <c r="BI294" s="14">
        <f t="shared" si="134"/>
        <v>39600</v>
      </c>
      <c r="BJ294" s="14">
        <f t="shared" si="135"/>
        <v>13200</v>
      </c>
      <c r="BK294" s="14">
        <f t="shared" si="136"/>
        <v>36000</v>
      </c>
    </row>
    <row r="295" spans="50:63" ht="16.5" x14ac:dyDescent="0.2">
      <c r="AX295" s="109">
        <v>291</v>
      </c>
      <c r="AY295" s="14">
        <f t="shared" si="131"/>
        <v>30</v>
      </c>
      <c r="AZ295" s="14">
        <f t="shared" si="137"/>
        <v>1</v>
      </c>
      <c r="BA295" s="14">
        <f t="shared" si="139"/>
        <v>1600</v>
      </c>
      <c r="BB295" s="14">
        <f t="shared" si="132"/>
        <v>6600</v>
      </c>
      <c r="BC295" s="14">
        <f t="shared" si="133"/>
        <v>21600</v>
      </c>
      <c r="BF295" s="109">
        <v>291</v>
      </c>
      <c r="BG295" s="14">
        <f t="shared" si="138"/>
        <v>30</v>
      </c>
      <c r="BH295" s="14">
        <f t="shared" si="140"/>
        <v>1</v>
      </c>
      <c r="BI295" s="14">
        <f t="shared" si="134"/>
        <v>43560</v>
      </c>
      <c r="BJ295" s="14">
        <f t="shared" si="135"/>
        <v>13200</v>
      </c>
      <c r="BK295" s="14">
        <f t="shared" si="136"/>
        <v>43200</v>
      </c>
    </row>
    <row r="296" spans="50:63" ht="16.5" x14ac:dyDescent="0.2">
      <c r="AX296" s="109">
        <v>292</v>
      </c>
      <c r="AY296" s="14">
        <f t="shared" si="131"/>
        <v>30</v>
      </c>
      <c r="AZ296" s="14">
        <f t="shared" si="137"/>
        <v>2</v>
      </c>
      <c r="BA296" s="14">
        <f t="shared" si="139"/>
        <v>1600</v>
      </c>
      <c r="BB296" s="14">
        <f t="shared" si="132"/>
        <v>6600</v>
      </c>
      <c r="BC296" s="14">
        <f t="shared" si="133"/>
        <v>21600</v>
      </c>
      <c r="BF296" s="109">
        <v>292</v>
      </c>
      <c r="BG296" s="14">
        <f t="shared" si="138"/>
        <v>30</v>
      </c>
      <c r="BH296" s="14">
        <f t="shared" si="140"/>
        <v>2</v>
      </c>
      <c r="BI296" s="14">
        <f t="shared" si="134"/>
        <v>43560</v>
      </c>
      <c r="BJ296" s="14">
        <f t="shared" si="135"/>
        <v>13200</v>
      </c>
      <c r="BK296" s="14">
        <f t="shared" si="136"/>
        <v>43200</v>
      </c>
    </row>
    <row r="297" spans="50:63" ht="16.5" x14ac:dyDescent="0.2">
      <c r="AX297" s="109">
        <v>293</v>
      </c>
      <c r="AY297" s="14">
        <f t="shared" si="131"/>
        <v>30</v>
      </c>
      <c r="AZ297" s="14">
        <f t="shared" si="137"/>
        <v>3</v>
      </c>
      <c r="BA297" s="14">
        <f t="shared" si="139"/>
        <v>1600</v>
      </c>
      <c r="BB297" s="14">
        <f t="shared" si="132"/>
        <v>6600</v>
      </c>
      <c r="BC297" s="14">
        <f t="shared" si="133"/>
        <v>21600</v>
      </c>
      <c r="BF297" s="109">
        <v>293</v>
      </c>
      <c r="BG297" s="14">
        <f t="shared" si="138"/>
        <v>30</v>
      </c>
      <c r="BH297" s="14">
        <f t="shared" si="140"/>
        <v>3</v>
      </c>
      <c r="BI297" s="14">
        <f t="shared" si="134"/>
        <v>43560</v>
      </c>
      <c r="BJ297" s="14">
        <f t="shared" si="135"/>
        <v>13200</v>
      </c>
      <c r="BK297" s="14">
        <f t="shared" si="136"/>
        <v>43200</v>
      </c>
    </row>
    <row r="298" spans="50:63" ht="16.5" x14ac:dyDescent="0.2">
      <c r="AX298" s="109">
        <v>294</v>
      </c>
      <c r="AY298" s="14">
        <f t="shared" si="131"/>
        <v>30</v>
      </c>
      <c r="AZ298" s="14">
        <f t="shared" si="137"/>
        <v>4</v>
      </c>
      <c r="BA298" s="14">
        <f t="shared" si="139"/>
        <v>1600</v>
      </c>
      <c r="BB298" s="14">
        <f t="shared" si="132"/>
        <v>6600</v>
      </c>
      <c r="BC298" s="14">
        <f t="shared" si="133"/>
        <v>21600</v>
      </c>
      <c r="BF298" s="109">
        <v>294</v>
      </c>
      <c r="BG298" s="14">
        <f t="shared" si="138"/>
        <v>30</v>
      </c>
      <c r="BH298" s="14">
        <f t="shared" si="140"/>
        <v>4</v>
      </c>
      <c r="BI298" s="14">
        <f t="shared" si="134"/>
        <v>43560</v>
      </c>
      <c r="BJ298" s="14">
        <f t="shared" si="135"/>
        <v>13200</v>
      </c>
      <c r="BK298" s="14">
        <f t="shared" si="136"/>
        <v>43200</v>
      </c>
    </row>
    <row r="299" spans="50:63" ht="16.5" x14ac:dyDescent="0.2">
      <c r="AX299" s="109">
        <v>295</v>
      </c>
      <c r="AY299" s="14">
        <f t="shared" si="131"/>
        <v>30</v>
      </c>
      <c r="AZ299" s="14">
        <f t="shared" si="137"/>
        <v>5</v>
      </c>
      <c r="BA299" s="14">
        <f t="shared" si="139"/>
        <v>1600</v>
      </c>
      <c r="BB299" s="14">
        <f t="shared" si="132"/>
        <v>6600</v>
      </c>
      <c r="BC299" s="14">
        <f t="shared" si="133"/>
        <v>21600</v>
      </c>
      <c r="BF299" s="109">
        <v>295</v>
      </c>
      <c r="BG299" s="14">
        <f t="shared" si="138"/>
        <v>30</v>
      </c>
      <c r="BH299" s="14">
        <f t="shared" si="140"/>
        <v>5</v>
      </c>
      <c r="BI299" s="14">
        <f t="shared" si="134"/>
        <v>43560</v>
      </c>
      <c r="BJ299" s="14">
        <f t="shared" si="135"/>
        <v>13200</v>
      </c>
      <c r="BK299" s="14">
        <f t="shared" si="136"/>
        <v>43200</v>
      </c>
    </row>
    <row r="300" spans="50:63" ht="16.5" x14ac:dyDescent="0.2">
      <c r="AX300" s="109">
        <v>296</v>
      </c>
      <c r="AY300" s="14">
        <f t="shared" si="131"/>
        <v>30</v>
      </c>
      <c r="AZ300" s="14">
        <f t="shared" si="137"/>
        <v>6</v>
      </c>
      <c r="BA300" s="14">
        <f t="shared" si="139"/>
        <v>1600</v>
      </c>
      <c r="BB300" s="14">
        <f t="shared" si="132"/>
        <v>6600</v>
      </c>
      <c r="BC300" s="14">
        <f t="shared" si="133"/>
        <v>21600</v>
      </c>
      <c r="BF300" s="109">
        <v>296</v>
      </c>
      <c r="BG300" s="14">
        <f t="shared" si="138"/>
        <v>30</v>
      </c>
      <c r="BH300" s="14">
        <f t="shared" si="140"/>
        <v>6</v>
      </c>
      <c r="BI300" s="14">
        <f t="shared" si="134"/>
        <v>43560</v>
      </c>
      <c r="BJ300" s="14">
        <f t="shared" si="135"/>
        <v>13200</v>
      </c>
      <c r="BK300" s="14">
        <f t="shared" si="136"/>
        <v>43200</v>
      </c>
    </row>
    <row r="301" spans="50:63" ht="16.5" x14ac:dyDescent="0.2">
      <c r="AX301" s="109">
        <v>297</v>
      </c>
      <c r="AY301" s="14">
        <f t="shared" si="131"/>
        <v>30</v>
      </c>
      <c r="AZ301" s="14">
        <f t="shared" si="137"/>
        <v>7</v>
      </c>
      <c r="BA301" s="14">
        <f t="shared" si="139"/>
        <v>1600</v>
      </c>
      <c r="BB301" s="14">
        <f t="shared" si="132"/>
        <v>6600</v>
      </c>
      <c r="BC301" s="14">
        <f t="shared" si="133"/>
        <v>21600</v>
      </c>
      <c r="BF301" s="109">
        <v>297</v>
      </c>
      <c r="BG301" s="14">
        <f t="shared" si="138"/>
        <v>30</v>
      </c>
      <c r="BH301" s="14">
        <f t="shared" si="140"/>
        <v>7</v>
      </c>
      <c r="BI301" s="14">
        <f t="shared" si="134"/>
        <v>43560</v>
      </c>
      <c r="BJ301" s="14">
        <f t="shared" si="135"/>
        <v>13200</v>
      </c>
      <c r="BK301" s="14">
        <f t="shared" si="136"/>
        <v>43200</v>
      </c>
    </row>
    <row r="302" spans="50:63" ht="16.5" x14ac:dyDescent="0.2">
      <c r="AX302" s="109">
        <v>298</v>
      </c>
      <c r="AY302" s="14">
        <f t="shared" si="131"/>
        <v>30</v>
      </c>
      <c r="AZ302" s="14">
        <f t="shared" si="137"/>
        <v>8</v>
      </c>
      <c r="BA302" s="14">
        <f t="shared" si="139"/>
        <v>1600</v>
      </c>
      <c r="BB302" s="14">
        <f t="shared" si="132"/>
        <v>6600</v>
      </c>
      <c r="BC302" s="14">
        <f t="shared" si="133"/>
        <v>21600</v>
      </c>
      <c r="BF302" s="109">
        <v>298</v>
      </c>
      <c r="BG302" s="14">
        <f t="shared" si="138"/>
        <v>30</v>
      </c>
      <c r="BH302" s="14">
        <f t="shared" si="140"/>
        <v>8</v>
      </c>
      <c r="BI302" s="14">
        <f t="shared" si="134"/>
        <v>43560</v>
      </c>
      <c r="BJ302" s="14">
        <f t="shared" si="135"/>
        <v>13200</v>
      </c>
      <c r="BK302" s="14">
        <f t="shared" si="136"/>
        <v>43200</v>
      </c>
    </row>
    <row r="303" spans="50:63" ht="16.5" x14ac:dyDescent="0.2">
      <c r="AX303" s="109">
        <v>299</v>
      </c>
      <c r="AY303" s="14">
        <f t="shared" si="131"/>
        <v>30</v>
      </c>
      <c r="AZ303" s="14">
        <f t="shared" si="137"/>
        <v>9</v>
      </c>
      <c r="BA303" s="14">
        <f t="shared" si="139"/>
        <v>1600</v>
      </c>
      <c r="BB303" s="14">
        <f t="shared" si="132"/>
        <v>6600</v>
      </c>
      <c r="BC303" s="14">
        <f t="shared" si="133"/>
        <v>21600</v>
      </c>
      <c r="BF303" s="109">
        <v>299</v>
      </c>
      <c r="BG303" s="14">
        <f t="shared" si="138"/>
        <v>30</v>
      </c>
      <c r="BH303" s="14">
        <f t="shared" si="140"/>
        <v>9</v>
      </c>
      <c r="BI303" s="14">
        <f t="shared" si="134"/>
        <v>43560</v>
      </c>
      <c r="BJ303" s="14">
        <f t="shared" si="135"/>
        <v>13200</v>
      </c>
      <c r="BK303" s="14">
        <f t="shared" si="136"/>
        <v>43200</v>
      </c>
    </row>
    <row r="304" spans="50:63" ht="16.5" x14ac:dyDescent="0.2">
      <c r="AX304" s="109">
        <v>300</v>
      </c>
      <c r="AY304" s="14">
        <f t="shared" si="131"/>
        <v>30</v>
      </c>
      <c r="AZ304" s="14">
        <f t="shared" si="137"/>
        <v>10</v>
      </c>
      <c r="BA304" s="14">
        <f t="shared" si="139"/>
        <v>1600</v>
      </c>
      <c r="BB304" s="14">
        <f t="shared" si="132"/>
        <v>6600</v>
      </c>
      <c r="BC304" s="14">
        <f t="shared" si="133"/>
        <v>21600</v>
      </c>
      <c r="BF304" s="109">
        <v>300</v>
      </c>
      <c r="BG304" s="14">
        <f t="shared" si="138"/>
        <v>30</v>
      </c>
      <c r="BH304" s="14">
        <f t="shared" si="140"/>
        <v>10</v>
      </c>
      <c r="BI304" s="14">
        <f t="shared" si="134"/>
        <v>43560</v>
      </c>
      <c r="BJ304" s="14">
        <f t="shared" si="135"/>
        <v>13200</v>
      </c>
      <c r="BK304" s="14">
        <f t="shared" si="136"/>
        <v>43200</v>
      </c>
    </row>
  </sheetData>
  <mergeCells count="9">
    <mergeCell ref="DE3:DU3"/>
    <mergeCell ref="BF3:BK3"/>
    <mergeCell ref="AP3:AU3"/>
    <mergeCell ref="A3:L3"/>
    <mergeCell ref="AX3:BC3"/>
    <mergeCell ref="AA3:AM3"/>
    <mergeCell ref="N3:Y3"/>
    <mergeCell ref="BN3:CG3"/>
    <mergeCell ref="CJ3:DB3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389"/>
  <sheetViews>
    <sheetView zoomScaleNormal="100" workbookViewId="0">
      <selection activeCell="J27" sqref="J27"/>
    </sheetView>
  </sheetViews>
  <sheetFormatPr defaultRowHeight="14.25" x14ac:dyDescent="0.2"/>
  <cols>
    <col min="1" max="3" width="10.625" customWidth="1"/>
    <col min="13" max="13" width="14.125" customWidth="1"/>
    <col min="14" max="14" width="10.375" customWidth="1"/>
    <col min="15" max="15" width="14" customWidth="1"/>
    <col min="16" max="16" width="10" customWidth="1"/>
    <col min="19" max="19" width="12.875" customWidth="1"/>
    <col min="20" max="20" width="11.125" customWidth="1"/>
    <col min="22" max="22" width="9" style="132"/>
    <col min="24" max="25" width="9" style="132"/>
    <col min="27" max="27" width="11.5" customWidth="1"/>
  </cols>
  <sheetData>
    <row r="2" spans="1:33" ht="20.25" x14ac:dyDescent="0.2">
      <c r="B2" s="135"/>
      <c r="C2" s="135"/>
      <c r="D2" s="186" t="s">
        <v>64</v>
      </c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6"/>
      <c r="R2" s="186"/>
      <c r="S2" s="186"/>
      <c r="T2" s="186"/>
    </row>
    <row r="3" spans="1:33" x14ac:dyDescent="0.2">
      <c r="R3">
        <f>SUM(R5:R13)</f>
        <v>18</v>
      </c>
    </row>
    <row r="4" spans="1:33" ht="17.25" x14ac:dyDescent="0.2">
      <c r="A4" s="12" t="s">
        <v>37</v>
      </c>
      <c r="B4" s="12" t="s">
        <v>38</v>
      </c>
      <c r="M4" s="68" t="s">
        <v>117</v>
      </c>
      <c r="N4" s="67">
        <v>1</v>
      </c>
      <c r="O4" s="68" t="s">
        <v>117</v>
      </c>
      <c r="P4" s="67">
        <v>0</v>
      </c>
      <c r="R4" s="12" t="s">
        <v>46</v>
      </c>
      <c r="S4" s="12" t="s">
        <v>44</v>
      </c>
      <c r="T4" s="12" t="s">
        <v>45</v>
      </c>
      <c r="W4" s="12" t="s">
        <v>1091</v>
      </c>
      <c r="X4" s="12" t="s">
        <v>1092</v>
      </c>
      <c r="AA4" s="12" t="s">
        <v>451</v>
      </c>
      <c r="AB4" s="12" t="s">
        <v>452</v>
      </c>
      <c r="AC4" s="12" t="s">
        <v>447</v>
      </c>
      <c r="AD4" s="12" t="s">
        <v>446</v>
      </c>
      <c r="AE4" s="12" t="s">
        <v>448</v>
      </c>
      <c r="AF4" s="12" t="s">
        <v>449</v>
      </c>
      <c r="AG4" s="12" t="s">
        <v>450</v>
      </c>
    </row>
    <row r="5" spans="1:33" ht="16.5" customHeight="1" x14ac:dyDescent="0.2">
      <c r="A5" s="17">
        <v>1</v>
      </c>
      <c r="B5" s="159">
        <v>50</v>
      </c>
      <c r="D5" s="188" t="s">
        <v>1083</v>
      </c>
      <c r="E5" s="188"/>
      <c r="F5" s="188"/>
      <c r="G5" s="188"/>
      <c r="M5" s="130" t="s">
        <v>1085</v>
      </c>
      <c r="N5" s="14">
        <f>SUMIFS(章节关卡!$BA$5:$BA$304,章节关卡!$AY$5:$AY$304,"="&amp;经验计算!N4)</f>
        <v>625</v>
      </c>
      <c r="O5" s="68" t="s">
        <v>1084</v>
      </c>
      <c r="P5" s="14">
        <f>SUMIFS(章节关卡!$BI$5:$BI$304,章节关卡!$BG$5:$BG$304,"="&amp;经验计算!P4)</f>
        <v>0</v>
      </c>
      <c r="R5" s="17">
        <v>1</v>
      </c>
      <c r="S5" s="20">
        <f>R5/R$3</f>
        <v>5.5555555555555552E-2</v>
      </c>
      <c r="T5" s="14">
        <f>INT($N$13*S5/5)*5</f>
        <v>30</v>
      </c>
      <c r="W5" s="129">
        <v>1</v>
      </c>
      <c r="X5" s="14">
        <f t="shared" ref="X5:X36" si="0">INDEX(B:B,MATCH(W5,A:A))</f>
        <v>50</v>
      </c>
      <c r="AA5" s="67">
        <v>4</v>
      </c>
      <c r="AB5" s="67">
        <v>0.05</v>
      </c>
      <c r="AC5" s="67">
        <v>1</v>
      </c>
      <c r="AD5" s="67">
        <v>0</v>
      </c>
      <c r="AE5" s="67"/>
      <c r="AF5" s="67"/>
      <c r="AG5" s="67"/>
    </row>
    <row r="6" spans="1:33" ht="16.5" x14ac:dyDescent="0.2">
      <c r="A6" s="17">
        <v>2</v>
      </c>
      <c r="B6" s="159">
        <v>55</v>
      </c>
      <c r="D6" s="188"/>
      <c r="E6" s="188"/>
      <c r="F6" s="188"/>
      <c r="G6" s="188"/>
      <c r="M6" s="68" t="s">
        <v>118</v>
      </c>
      <c r="N6" s="14">
        <f>SUMIFS(芦花古楼!$E$5:$E$104,芦花古楼!$A$5:$A$104,"&gt;"&amp;经验计算!O6,芦花古楼!$A$5:$A$104,"&lt;="&amp;经验计算!P6)</f>
        <v>0</v>
      </c>
      <c r="O6" s="67">
        <v>0</v>
      </c>
      <c r="P6" s="67">
        <v>0</v>
      </c>
      <c r="R6" s="17">
        <v>1.25</v>
      </c>
      <c r="S6" s="20">
        <f t="shared" ref="S6:S10" si="1">R6/R$3</f>
        <v>6.9444444444444448E-2</v>
      </c>
      <c r="T6" s="14">
        <f t="shared" ref="T6:T10" si="2">INT($N$13*S6/5)*5</f>
        <v>40</v>
      </c>
      <c r="W6" s="129">
        <v>2</v>
      </c>
      <c r="X6" s="14">
        <f t="shared" si="0"/>
        <v>55</v>
      </c>
      <c r="AA6" s="67">
        <v>12</v>
      </c>
      <c r="AB6" s="67">
        <v>0.25</v>
      </c>
      <c r="AC6" s="67">
        <v>2</v>
      </c>
      <c r="AD6" s="67">
        <v>0</v>
      </c>
      <c r="AE6" s="67"/>
      <c r="AF6" s="67"/>
      <c r="AG6" s="67"/>
    </row>
    <row r="7" spans="1:33" ht="16.5" x14ac:dyDescent="0.2">
      <c r="A7" s="17">
        <v>3</v>
      </c>
      <c r="B7" s="159">
        <v>60</v>
      </c>
      <c r="D7" s="188"/>
      <c r="E7" s="188"/>
      <c r="F7" s="188"/>
      <c r="G7" s="188"/>
      <c r="M7" s="68" t="s">
        <v>120</v>
      </c>
      <c r="N7" s="14">
        <f>SUMIFS(芦花古楼!$P$5:$P$104,芦花古楼!$L$5:$L$104,"&gt;"&amp;经验计算!O7,芦花古楼!$L$5:$L$104,"&lt;="&amp;经验计算!P7)</f>
        <v>0</v>
      </c>
      <c r="O7" s="67">
        <v>0</v>
      </c>
      <c r="P7" s="69">
        <v>0</v>
      </c>
      <c r="R7" s="17">
        <v>1.5</v>
      </c>
      <c r="S7" s="20">
        <f t="shared" si="1"/>
        <v>8.3333333333333329E-2</v>
      </c>
      <c r="T7" s="14">
        <f t="shared" si="2"/>
        <v>50</v>
      </c>
      <c r="W7" s="129">
        <v>3</v>
      </c>
      <c r="X7" s="14">
        <f t="shared" si="0"/>
        <v>60</v>
      </c>
      <c r="AA7" s="67">
        <v>20</v>
      </c>
      <c r="AB7" s="67">
        <v>0.6</v>
      </c>
      <c r="AC7" s="67">
        <v>3</v>
      </c>
      <c r="AD7" s="67">
        <v>5</v>
      </c>
      <c r="AE7" s="67"/>
      <c r="AF7" s="67"/>
      <c r="AG7" s="67"/>
    </row>
    <row r="8" spans="1:33" ht="16.5" x14ac:dyDescent="0.2">
      <c r="A8" s="17">
        <v>4</v>
      </c>
      <c r="B8" s="159">
        <v>65</v>
      </c>
      <c r="D8" s="188"/>
      <c r="E8" s="188"/>
      <c r="F8" s="188"/>
      <c r="G8" s="188"/>
      <c r="M8" s="68" t="s">
        <v>119</v>
      </c>
      <c r="N8" s="14">
        <f>SUMIFS(芦花古楼!$AA$5:$AA$104,芦花古楼!$W$5:$W$104,"&gt;"&amp;经验计算!O8,芦花古楼!$W$5:$W$104,"&lt;="&amp;经验计算!P8)</f>
        <v>0</v>
      </c>
      <c r="O8" s="67">
        <v>0</v>
      </c>
      <c r="P8" s="69">
        <v>0</v>
      </c>
      <c r="R8" s="17">
        <v>1.75</v>
      </c>
      <c r="S8" s="20">
        <f t="shared" si="1"/>
        <v>9.7222222222222224E-2</v>
      </c>
      <c r="T8" s="14">
        <f t="shared" si="2"/>
        <v>60</v>
      </c>
      <c r="W8" s="129">
        <v>4</v>
      </c>
      <c r="X8" s="14">
        <f t="shared" si="0"/>
        <v>65</v>
      </c>
      <c r="AA8" s="67">
        <v>28</v>
      </c>
      <c r="AB8" s="67">
        <v>1</v>
      </c>
      <c r="AC8" s="67">
        <v>4</v>
      </c>
      <c r="AD8" s="67">
        <v>10</v>
      </c>
      <c r="AE8" s="67">
        <v>5</v>
      </c>
      <c r="AF8" s="67"/>
      <c r="AG8" s="67"/>
    </row>
    <row r="9" spans="1:33" ht="16.5" x14ac:dyDescent="0.2">
      <c r="A9" s="17">
        <v>5</v>
      </c>
      <c r="B9" s="159">
        <v>70</v>
      </c>
      <c r="D9" s="188"/>
      <c r="E9" s="188"/>
      <c r="F9" s="188"/>
      <c r="G9" s="188"/>
      <c r="M9" s="68" t="s">
        <v>121</v>
      </c>
      <c r="N9" s="14">
        <f>SUMIFS(芦花古楼!$AL$5:$AL$104,芦花古楼!$AH$5:$AH$104,"&gt;"&amp;经验计算!O9,芦花古楼!$AH$5:$AH$104,"&lt;="&amp;经验计算!P9)</f>
        <v>0</v>
      </c>
      <c r="O9" s="67">
        <v>0</v>
      </c>
      <c r="P9" s="69">
        <v>0</v>
      </c>
      <c r="R9" s="17">
        <v>2</v>
      </c>
      <c r="S9" s="20">
        <f t="shared" si="1"/>
        <v>0.1111111111111111</v>
      </c>
      <c r="T9" s="14">
        <f t="shared" si="2"/>
        <v>65</v>
      </c>
      <c r="W9" s="129">
        <v>5</v>
      </c>
      <c r="X9" s="14">
        <f t="shared" si="0"/>
        <v>70</v>
      </c>
      <c r="AA9" s="67">
        <v>30</v>
      </c>
      <c r="AB9" s="67">
        <v>1.45</v>
      </c>
      <c r="AC9" s="67">
        <v>5</v>
      </c>
      <c r="AD9" s="67">
        <v>20</v>
      </c>
      <c r="AE9" s="67">
        <v>10</v>
      </c>
      <c r="AF9" s="67">
        <v>5</v>
      </c>
      <c r="AG9" s="67"/>
    </row>
    <row r="10" spans="1:33" ht="16.5" x14ac:dyDescent="0.2">
      <c r="A10" s="17">
        <v>6</v>
      </c>
      <c r="B10" s="159">
        <v>75</v>
      </c>
      <c r="D10" s="188"/>
      <c r="E10" s="188"/>
      <c r="F10" s="188"/>
      <c r="G10" s="188"/>
      <c r="M10" s="68" t="s">
        <v>50</v>
      </c>
      <c r="N10" s="14"/>
      <c r="O10" s="14">
        <f>日常任务!$D$2*经验计算!N10</f>
        <v>0</v>
      </c>
      <c r="R10" s="129">
        <v>2.25</v>
      </c>
      <c r="S10" s="20">
        <f t="shared" si="1"/>
        <v>0.125</v>
      </c>
      <c r="T10" s="14">
        <f t="shared" si="2"/>
        <v>75</v>
      </c>
      <c r="W10" s="129">
        <v>6</v>
      </c>
      <c r="X10" s="14">
        <f t="shared" si="0"/>
        <v>75</v>
      </c>
      <c r="AA10" s="67">
        <v>34</v>
      </c>
      <c r="AB10" s="67">
        <v>2</v>
      </c>
      <c r="AC10" s="67">
        <v>6</v>
      </c>
      <c r="AD10" s="67">
        <v>30</v>
      </c>
      <c r="AE10" s="67">
        <v>15</v>
      </c>
      <c r="AF10" s="67">
        <v>10</v>
      </c>
      <c r="AG10" s="67">
        <v>5</v>
      </c>
    </row>
    <row r="11" spans="1:33" ht="16.5" x14ac:dyDescent="0.2">
      <c r="A11" s="159">
        <v>7</v>
      </c>
      <c r="B11" s="159">
        <v>85</v>
      </c>
      <c r="D11" s="188"/>
      <c r="E11" s="188"/>
      <c r="F11" s="188"/>
      <c r="G11" s="188"/>
      <c r="M11" s="68" t="s">
        <v>47</v>
      </c>
      <c r="N11" s="14">
        <v>0</v>
      </c>
      <c r="O11" s="14">
        <f>INDEX(章节关卡!$F$6:$F$35,经验计算!N4)*经验计算!N11</f>
        <v>0</v>
      </c>
      <c r="R11" s="159">
        <v>2.5</v>
      </c>
      <c r="S11" s="20">
        <f t="shared" ref="S11:S13" si="3">R11/R$3</f>
        <v>0.1388888888888889</v>
      </c>
      <c r="T11" s="14">
        <f t="shared" ref="T11:T13" si="4">INT($N$13*S11/5)*5</f>
        <v>85</v>
      </c>
      <c r="W11" s="129">
        <v>7</v>
      </c>
      <c r="X11" s="14">
        <f t="shared" si="0"/>
        <v>85</v>
      </c>
      <c r="AA11" s="67">
        <v>36</v>
      </c>
      <c r="AB11" s="67">
        <v>2.6</v>
      </c>
      <c r="AC11" s="67">
        <v>7</v>
      </c>
      <c r="AD11" s="67">
        <v>40</v>
      </c>
      <c r="AE11" s="67">
        <v>20</v>
      </c>
      <c r="AF11" s="67">
        <v>15</v>
      </c>
      <c r="AG11" s="67">
        <v>10</v>
      </c>
    </row>
    <row r="12" spans="1:33" ht="16.5" x14ac:dyDescent="0.2">
      <c r="A12" s="159">
        <v>8</v>
      </c>
      <c r="B12" s="159">
        <v>95</v>
      </c>
      <c r="D12" s="188"/>
      <c r="E12" s="188"/>
      <c r="F12" s="188"/>
      <c r="G12" s="188"/>
      <c r="M12" s="68" t="s">
        <v>43</v>
      </c>
      <c r="N12" s="19">
        <v>0</v>
      </c>
      <c r="O12" s="14">
        <f>N13*N12</f>
        <v>0</v>
      </c>
      <c r="R12" s="159">
        <v>2.75</v>
      </c>
      <c r="S12" s="20">
        <f t="shared" si="3"/>
        <v>0.15277777777777779</v>
      </c>
      <c r="T12" s="14">
        <f t="shared" si="4"/>
        <v>95</v>
      </c>
      <c r="W12" s="129">
        <v>8</v>
      </c>
      <c r="X12" s="14">
        <f t="shared" si="0"/>
        <v>95</v>
      </c>
      <c r="AA12" s="67">
        <v>40</v>
      </c>
      <c r="AB12" s="67">
        <v>3.3</v>
      </c>
      <c r="AC12" s="67">
        <v>8</v>
      </c>
      <c r="AD12" s="67">
        <v>50</v>
      </c>
      <c r="AE12" s="67">
        <v>30</v>
      </c>
      <c r="AF12" s="67">
        <v>20</v>
      </c>
      <c r="AG12" s="67">
        <v>15</v>
      </c>
    </row>
    <row r="13" spans="1:33" ht="16.5" x14ac:dyDescent="0.2">
      <c r="A13" s="159">
        <v>9</v>
      </c>
      <c r="B13" s="159">
        <v>100</v>
      </c>
      <c r="D13" s="188"/>
      <c r="E13" s="188"/>
      <c r="F13" s="188"/>
      <c r="G13" s="188"/>
      <c r="M13" s="68" t="s">
        <v>42</v>
      </c>
      <c r="N13" s="14">
        <f>(N5+N6+N8+N7+N9+O10+O11+P5)/(1-N12)</f>
        <v>625</v>
      </c>
      <c r="O13" s="15"/>
      <c r="R13" s="159">
        <v>3</v>
      </c>
      <c r="S13" s="20">
        <f t="shared" si="3"/>
        <v>0.16666666666666666</v>
      </c>
      <c r="T13" s="14">
        <f t="shared" si="4"/>
        <v>100</v>
      </c>
      <c r="W13" s="129">
        <v>9</v>
      </c>
      <c r="X13" s="14">
        <f t="shared" si="0"/>
        <v>100</v>
      </c>
      <c r="AA13" s="67">
        <v>44</v>
      </c>
      <c r="AB13" s="67">
        <v>4.0999999999999996</v>
      </c>
      <c r="AC13" s="67">
        <v>9</v>
      </c>
      <c r="AD13" s="67">
        <v>60</v>
      </c>
      <c r="AE13" s="67">
        <v>40</v>
      </c>
      <c r="AF13" s="67">
        <v>25</v>
      </c>
      <c r="AG13" s="67">
        <v>20</v>
      </c>
    </row>
    <row r="14" spans="1:33" ht="16.5" x14ac:dyDescent="0.2">
      <c r="A14" s="161"/>
      <c r="B14" s="161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Q14" s="15"/>
      <c r="R14" s="15"/>
      <c r="S14" s="15"/>
      <c r="T14" s="15"/>
      <c r="W14" s="129">
        <v>10</v>
      </c>
      <c r="X14" s="14">
        <f t="shared" si="0"/>
        <v>450</v>
      </c>
      <c r="AA14" s="67">
        <v>48</v>
      </c>
      <c r="AB14" s="67">
        <v>5</v>
      </c>
      <c r="AC14" s="67">
        <v>10</v>
      </c>
      <c r="AD14" s="67">
        <v>70</v>
      </c>
      <c r="AE14" s="67">
        <v>50</v>
      </c>
      <c r="AF14" s="67">
        <v>30</v>
      </c>
      <c r="AG14" s="67">
        <v>25</v>
      </c>
    </row>
    <row r="15" spans="1:33" ht="16.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Q15" s="15"/>
      <c r="S15" s="15"/>
      <c r="T15" s="15"/>
      <c r="W15" s="129">
        <v>11</v>
      </c>
      <c r="X15" s="14">
        <f t="shared" si="0"/>
        <v>565</v>
      </c>
      <c r="AA15" s="67">
        <v>65</v>
      </c>
      <c r="AB15" s="67">
        <v>6.33</v>
      </c>
      <c r="AC15" s="67">
        <v>11</v>
      </c>
      <c r="AD15" s="67">
        <v>80</v>
      </c>
      <c r="AE15" s="67">
        <v>60</v>
      </c>
      <c r="AF15" s="67">
        <v>40</v>
      </c>
      <c r="AG15" s="67">
        <v>30</v>
      </c>
    </row>
    <row r="16" spans="1:33" ht="16.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Q16" s="15"/>
      <c r="R16" s="15">
        <f>SUM(R18:R25)</f>
        <v>7.5</v>
      </c>
      <c r="S16" s="15"/>
      <c r="T16" s="15"/>
      <c r="W16" s="129">
        <v>12</v>
      </c>
      <c r="X16" s="14">
        <f t="shared" si="0"/>
        <v>680</v>
      </c>
      <c r="AA16" s="67">
        <v>80</v>
      </c>
      <c r="AB16" s="67">
        <v>8.0299999999999994</v>
      </c>
      <c r="AC16" s="67">
        <v>12</v>
      </c>
      <c r="AD16" s="67">
        <v>90</v>
      </c>
      <c r="AE16" s="67">
        <v>70</v>
      </c>
      <c r="AF16" s="67">
        <v>50</v>
      </c>
      <c r="AG16" s="67">
        <v>40</v>
      </c>
    </row>
    <row r="17" spans="1:33" ht="17.25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24" t="s">
        <v>114</v>
      </c>
      <c r="N17" s="123">
        <v>2</v>
      </c>
      <c r="O17" s="124" t="s">
        <v>114</v>
      </c>
      <c r="P17" s="123">
        <v>1</v>
      </c>
      <c r="Q17" s="15"/>
      <c r="R17" s="12" t="s">
        <v>46</v>
      </c>
      <c r="S17" s="12" t="s">
        <v>44</v>
      </c>
      <c r="T17" s="12" t="s">
        <v>45</v>
      </c>
      <c r="W17" s="129">
        <v>13</v>
      </c>
      <c r="X17" s="14">
        <f t="shared" si="0"/>
        <v>790</v>
      </c>
      <c r="AA17" s="67">
        <v>125</v>
      </c>
      <c r="AB17" s="67">
        <v>10.85</v>
      </c>
      <c r="AC17" s="67">
        <v>13</v>
      </c>
      <c r="AD17" s="67">
        <v>100</v>
      </c>
      <c r="AE17" s="67">
        <v>80</v>
      </c>
      <c r="AF17" s="67">
        <v>60</v>
      </c>
      <c r="AG17" s="67">
        <v>50</v>
      </c>
    </row>
    <row r="18" spans="1:33" ht="16.5" customHeight="1" x14ac:dyDescent="0.2">
      <c r="A18" s="17">
        <v>10</v>
      </c>
      <c r="B18" s="159">
        <v>450</v>
      </c>
      <c r="D18" s="188" t="s">
        <v>1082</v>
      </c>
      <c r="E18" s="188"/>
      <c r="F18" s="188"/>
      <c r="G18" s="188"/>
      <c r="M18" s="130" t="s">
        <v>1085</v>
      </c>
      <c r="N18" s="14">
        <f>SUMIFS(章节关卡!$BA$5:$BA$304,章节关卡!$AY$5:$AY$304,"="&amp;经验计算!N17)</f>
        <v>1200</v>
      </c>
      <c r="O18" s="130" t="s">
        <v>1084</v>
      </c>
      <c r="P18" s="14">
        <f>SUMIFS(章节关卡!$BI$5:$BI$304,章节关卡!$BG$5:$BG$304,"="&amp;经验计算!P17)</f>
        <v>1000</v>
      </c>
      <c r="R18" s="17">
        <v>1</v>
      </c>
      <c r="S18" s="21">
        <f t="shared" ref="S18:S22" si="5">R18/$R$16</f>
        <v>0.13333333333333333</v>
      </c>
      <c r="T18" s="14">
        <f>INT($N$26*S18/5)*5</f>
        <v>450</v>
      </c>
      <c r="W18" s="129">
        <v>14</v>
      </c>
      <c r="X18" s="14">
        <f t="shared" si="0"/>
        <v>905</v>
      </c>
      <c r="AA18" s="67">
        <v>170</v>
      </c>
      <c r="AB18" s="67">
        <v>14.8</v>
      </c>
      <c r="AC18" s="67">
        <v>14</v>
      </c>
      <c r="AD18" s="67"/>
      <c r="AE18" s="67">
        <v>90</v>
      </c>
      <c r="AF18" s="67">
        <v>70</v>
      </c>
      <c r="AG18" s="67">
        <v>60</v>
      </c>
    </row>
    <row r="19" spans="1:33" ht="16.5" x14ac:dyDescent="0.2">
      <c r="A19" s="17">
        <v>11</v>
      </c>
      <c r="B19" s="159">
        <v>565</v>
      </c>
      <c r="D19" s="188"/>
      <c r="E19" s="188"/>
      <c r="F19" s="188"/>
      <c r="G19" s="188"/>
      <c r="M19" s="124" t="s">
        <v>118</v>
      </c>
      <c r="N19" s="14">
        <f>SUMIFS(芦花古楼!$E$5:$E$104,芦花古楼!$A$5:$A$104,"&gt;"&amp;经验计算!O19,芦花古楼!$A$5:$A$104,"&lt;="&amp;经验计算!P19)</f>
        <v>0</v>
      </c>
      <c r="O19" s="123">
        <v>0</v>
      </c>
      <c r="P19" s="123">
        <v>0</v>
      </c>
      <c r="R19" s="17">
        <v>1.25</v>
      </c>
      <c r="S19" s="21">
        <f t="shared" si="5"/>
        <v>0.16666666666666666</v>
      </c>
      <c r="T19" s="14">
        <f t="shared" ref="T19:T22" si="6">INT($N$26*S19/5)*5</f>
        <v>565</v>
      </c>
      <c r="W19" s="129">
        <v>15</v>
      </c>
      <c r="X19" s="14">
        <f t="shared" si="0"/>
        <v>905</v>
      </c>
      <c r="AA19" s="67">
        <v>220</v>
      </c>
      <c r="AB19" s="67">
        <v>20</v>
      </c>
      <c r="AC19" s="67">
        <v>15</v>
      </c>
      <c r="AD19" s="67"/>
      <c r="AE19" s="67">
        <v>100</v>
      </c>
      <c r="AF19" s="67">
        <v>80</v>
      </c>
      <c r="AG19" s="67">
        <v>70</v>
      </c>
    </row>
    <row r="20" spans="1:33" ht="16.5" x14ac:dyDescent="0.2">
      <c r="A20" s="159">
        <v>12</v>
      </c>
      <c r="B20" s="159">
        <v>680</v>
      </c>
      <c r="D20" s="188"/>
      <c r="E20" s="188"/>
      <c r="F20" s="188"/>
      <c r="G20" s="188"/>
      <c r="M20" s="124" t="s">
        <v>120</v>
      </c>
      <c r="N20" s="14">
        <f>SUMIFS(芦花古楼!$P$5:$P$104,芦花古楼!$L$5:$L$104,"&gt;"&amp;经验计算!O20,芦花古楼!$L$5:$L$104,"&lt;="&amp;经验计算!P20)</f>
        <v>0</v>
      </c>
      <c r="O20" s="123">
        <v>0</v>
      </c>
      <c r="P20" s="123">
        <v>0</v>
      </c>
      <c r="R20" s="129">
        <v>1.5</v>
      </c>
      <c r="S20" s="21">
        <f t="shared" si="5"/>
        <v>0.2</v>
      </c>
      <c r="T20" s="14">
        <f t="shared" si="6"/>
        <v>680</v>
      </c>
      <c r="W20" s="129">
        <v>16</v>
      </c>
      <c r="X20" s="14">
        <f t="shared" si="0"/>
        <v>950</v>
      </c>
      <c r="AA20" s="67">
        <v>300</v>
      </c>
      <c r="AB20" s="67">
        <v>27.2</v>
      </c>
      <c r="AC20" s="67">
        <v>16</v>
      </c>
      <c r="AD20" s="67"/>
      <c r="AE20" s="67"/>
      <c r="AF20" s="67">
        <v>90</v>
      </c>
      <c r="AG20" s="67">
        <v>80</v>
      </c>
    </row>
    <row r="21" spans="1:33" ht="16.5" x14ac:dyDescent="0.2">
      <c r="A21" s="159">
        <v>13</v>
      </c>
      <c r="B21" s="159">
        <v>790</v>
      </c>
      <c r="D21" s="188"/>
      <c r="E21" s="188"/>
      <c r="F21" s="188"/>
      <c r="G21" s="188"/>
      <c r="M21" s="124" t="s">
        <v>119</v>
      </c>
      <c r="N21" s="14">
        <f>SUMIFS(芦花古楼!$AA$5:$AA$104,芦花古楼!$W$5:$W$104,"&gt;"&amp;经验计算!O21,芦花古楼!$W$5:$W$104,"&lt;="&amp;经验计算!P21)</f>
        <v>0</v>
      </c>
      <c r="O21" s="123">
        <v>0</v>
      </c>
      <c r="P21" s="123">
        <v>0</v>
      </c>
      <c r="R21" s="129">
        <v>1.75</v>
      </c>
      <c r="S21" s="21">
        <f t="shared" si="5"/>
        <v>0.23333333333333334</v>
      </c>
      <c r="T21" s="14">
        <f t="shared" si="6"/>
        <v>790</v>
      </c>
      <c r="W21" s="129">
        <v>17</v>
      </c>
      <c r="X21" s="14">
        <f t="shared" si="0"/>
        <v>995</v>
      </c>
      <c r="AA21" s="67">
        <v>400</v>
      </c>
      <c r="AB21" s="67">
        <v>36.9</v>
      </c>
      <c r="AC21" s="67">
        <v>17</v>
      </c>
      <c r="AD21" s="67"/>
      <c r="AE21" s="67"/>
      <c r="AF21" s="67">
        <v>100</v>
      </c>
      <c r="AG21" s="67">
        <v>90</v>
      </c>
    </row>
    <row r="22" spans="1:33" ht="16.5" x14ac:dyDescent="0.2">
      <c r="A22" s="159">
        <v>14</v>
      </c>
      <c r="B22" s="159">
        <v>905</v>
      </c>
      <c r="D22" s="188"/>
      <c r="E22" s="188"/>
      <c r="F22" s="188"/>
      <c r="G22" s="188"/>
      <c r="M22" s="124" t="s">
        <v>121</v>
      </c>
      <c r="N22" s="14">
        <f>SUMIFS(芦花古楼!$AL$5:$AL$104,芦花古楼!$AH$5:$AH$104,"&gt;"&amp;经验计算!O22,芦花古楼!$AH$5:$AH$104,"&lt;="&amp;经验计算!P22)</f>
        <v>0</v>
      </c>
      <c r="O22" s="123">
        <v>0</v>
      </c>
      <c r="P22" s="123">
        <v>0</v>
      </c>
      <c r="R22" s="129">
        <v>2</v>
      </c>
      <c r="S22" s="21">
        <f t="shared" si="5"/>
        <v>0.26666666666666666</v>
      </c>
      <c r="T22" s="14">
        <f t="shared" si="6"/>
        <v>905</v>
      </c>
      <c r="W22" s="129">
        <v>18</v>
      </c>
      <c r="X22" s="14">
        <f t="shared" si="0"/>
        <v>1040</v>
      </c>
      <c r="AA22" s="67">
        <v>550</v>
      </c>
      <c r="AB22" s="67">
        <v>50.35</v>
      </c>
      <c r="AC22" s="67">
        <v>18</v>
      </c>
      <c r="AD22" s="67"/>
      <c r="AE22" s="67"/>
      <c r="AF22" s="67"/>
      <c r="AG22" s="67">
        <v>100</v>
      </c>
    </row>
    <row r="23" spans="1:33" ht="16.5" x14ac:dyDescent="0.2">
      <c r="A23" s="161"/>
      <c r="B23" s="161"/>
      <c r="D23" s="188"/>
      <c r="E23" s="188"/>
      <c r="F23" s="188"/>
      <c r="G23" s="188"/>
      <c r="M23" s="124" t="s">
        <v>50</v>
      </c>
      <c r="N23" s="14"/>
      <c r="O23" s="14">
        <f>日常任务!$D$2*经验计算!N23</f>
        <v>0</v>
      </c>
      <c r="P23" s="126"/>
      <c r="R23" s="161"/>
      <c r="S23" s="161"/>
      <c r="T23" s="161"/>
      <c r="W23" s="129">
        <v>19</v>
      </c>
      <c r="X23" s="14">
        <f t="shared" si="0"/>
        <v>1085</v>
      </c>
      <c r="AA23" s="67">
        <v>700</v>
      </c>
      <c r="AB23" s="67">
        <v>67.55</v>
      </c>
      <c r="AC23" s="67">
        <v>19</v>
      </c>
      <c r="AD23" s="67"/>
      <c r="AE23" s="67"/>
      <c r="AF23" s="67"/>
      <c r="AG23" s="67"/>
    </row>
    <row r="24" spans="1:33" ht="16.5" x14ac:dyDescent="0.2">
      <c r="A24" s="161"/>
      <c r="B24" s="161"/>
      <c r="C24" s="126"/>
      <c r="D24" s="126"/>
      <c r="E24" s="126"/>
      <c r="F24" s="126"/>
      <c r="G24" s="126"/>
      <c r="H24" s="126"/>
      <c r="I24" s="126"/>
      <c r="M24" s="124" t="s">
        <v>47</v>
      </c>
      <c r="N24" s="14">
        <f>INDEX(节奏总表!$N$5:$N$34,经验计算!N17)*60</f>
        <v>240</v>
      </c>
      <c r="O24" s="14">
        <f>INDEX(章节关卡!$F$6:$F$35,经验计算!N17-1)*经验计算!N24</f>
        <v>1200</v>
      </c>
      <c r="P24" s="126"/>
      <c r="R24" s="161"/>
      <c r="S24" s="161"/>
      <c r="T24" s="161"/>
      <c r="W24" s="129">
        <v>20</v>
      </c>
      <c r="X24" s="14">
        <f t="shared" si="0"/>
        <v>1130</v>
      </c>
      <c r="AA24" s="67">
        <v>910</v>
      </c>
      <c r="AB24" s="67">
        <v>90</v>
      </c>
      <c r="AC24" s="67">
        <v>20</v>
      </c>
      <c r="AD24" s="67"/>
      <c r="AE24" s="67"/>
      <c r="AF24" s="67"/>
      <c r="AG24" s="67"/>
    </row>
    <row r="25" spans="1:33" ht="16.5" x14ac:dyDescent="0.2">
      <c r="A25" s="161"/>
      <c r="B25" s="161"/>
      <c r="C25" s="126"/>
      <c r="D25" s="126"/>
      <c r="E25" s="126"/>
      <c r="F25" s="126"/>
      <c r="G25" s="126"/>
      <c r="H25" s="126"/>
      <c r="I25" s="126"/>
      <c r="M25" s="124" t="s">
        <v>43</v>
      </c>
      <c r="N25" s="19">
        <v>0</v>
      </c>
      <c r="O25" s="14">
        <f>N26*N25</f>
        <v>0</v>
      </c>
      <c r="P25" s="126"/>
      <c r="R25" s="161"/>
      <c r="S25" s="161"/>
      <c r="T25" s="161"/>
      <c r="W25" s="129">
        <v>21</v>
      </c>
      <c r="X25" s="14">
        <f t="shared" si="0"/>
        <v>1175</v>
      </c>
    </row>
    <row r="26" spans="1:33" ht="16.5" x14ac:dyDescent="0.2">
      <c r="A26" s="125"/>
      <c r="B26" s="125"/>
      <c r="C26" s="126"/>
      <c r="D26" s="126"/>
      <c r="E26" s="126"/>
      <c r="F26" s="126"/>
      <c r="G26" s="126"/>
      <c r="H26" s="126"/>
      <c r="I26" s="126"/>
      <c r="M26" s="124" t="s">
        <v>42</v>
      </c>
      <c r="N26" s="14">
        <f>(N18+N19+N21+N20+N22+O23+O24+P18)/(1-N25)</f>
        <v>3400</v>
      </c>
      <c r="O26" s="125"/>
      <c r="P26" s="126"/>
      <c r="R26" s="131"/>
      <c r="S26" s="131"/>
      <c r="T26" s="131"/>
      <c r="W26" s="129">
        <v>22</v>
      </c>
      <c r="X26" s="14">
        <f t="shared" si="0"/>
        <v>1220</v>
      </c>
    </row>
    <row r="27" spans="1:33" ht="16.5" x14ac:dyDescent="0.2">
      <c r="A27" s="125"/>
      <c r="B27" s="125"/>
      <c r="C27" s="126"/>
      <c r="D27" s="126"/>
      <c r="E27" s="126"/>
      <c r="F27" s="126"/>
      <c r="G27" s="126"/>
      <c r="H27" s="126"/>
      <c r="I27" s="126"/>
      <c r="R27" s="131"/>
      <c r="S27" s="131"/>
      <c r="T27" s="131"/>
      <c r="W27" s="129">
        <v>23</v>
      </c>
      <c r="X27" s="14">
        <f t="shared" si="0"/>
        <v>1265</v>
      </c>
    </row>
    <row r="28" spans="1:33" ht="16.5" x14ac:dyDescent="0.2">
      <c r="A28" s="15"/>
      <c r="B28" s="15"/>
      <c r="C28" s="126"/>
      <c r="D28" s="126"/>
      <c r="E28" s="126"/>
      <c r="F28" s="126"/>
      <c r="G28" s="126"/>
      <c r="H28" s="126"/>
      <c r="I28" s="126"/>
      <c r="J28" s="15"/>
      <c r="K28" s="15"/>
      <c r="L28" s="15"/>
      <c r="M28" s="15"/>
      <c r="N28" s="15"/>
      <c r="O28" s="15"/>
      <c r="Q28" s="15"/>
      <c r="R28" s="15"/>
      <c r="S28" s="15"/>
      <c r="T28" s="15"/>
      <c r="W28" s="129">
        <v>24</v>
      </c>
      <c r="X28" s="14">
        <f t="shared" si="0"/>
        <v>1310</v>
      </c>
    </row>
    <row r="29" spans="1:33" ht="16.5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Q29" s="15"/>
      <c r="R29" s="131">
        <f>SUM(R31:R40)</f>
        <v>12.25</v>
      </c>
      <c r="S29" s="15"/>
      <c r="T29" s="15"/>
      <c r="W29" s="129">
        <v>25</v>
      </c>
      <c r="X29" s="14">
        <f t="shared" si="0"/>
        <v>2515</v>
      </c>
    </row>
    <row r="30" spans="1:33" ht="17.25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24" t="s">
        <v>114</v>
      </c>
      <c r="N30" s="123">
        <v>3</v>
      </c>
      <c r="O30" s="124" t="s">
        <v>114</v>
      </c>
      <c r="P30" s="123">
        <v>2</v>
      </c>
      <c r="Q30" s="15"/>
      <c r="R30" s="12" t="s">
        <v>46</v>
      </c>
      <c r="S30" s="12" t="s">
        <v>44</v>
      </c>
      <c r="T30" s="12" t="s">
        <v>45</v>
      </c>
      <c r="W30" s="129">
        <v>26</v>
      </c>
      <c r="X30" s="14">
        <f t="shared" si="0"/>
        <v>2640</v>
      </c>
    </row>
    <row r="31" spans="1:33" ht="17.25" customHeight="1" x14ac:dyDescent="0.2">
      <c r="A31" s="17">
        <v>15</v>
      </c>
      <c r="B31" s="159">
        <v>905</v>
      </c>
      <c r="D31" s="191" t="s">
        <v>1081</v>
      </c>
      <c r="E31" s="192"/>
      <c r="F31" s="192"/>
      <c r="G31" s="193"/>
      <c r="M31" s="130" t="s">
        <v>1085</v>
      </c>
      <c r="N31" s="14">
        <f>SUMIFS(章节关卡!$BA$5:$BA$304,章节关卡!$AY$5:$AY$304,"="&amp;经验计算!N30)</f>
        <v>1400</v>
      </c>
      <c r="O31" s="130" t="s">
        <v>1084</v>
      </c>
      <c r="P31" s="14">
        <f>SUMIFS(章节关卡!$BI$5:$BI$304,章节关卡!$BG$5:$BG$304,"="&amp;经验计算!P30)</f>
        <v>2500</v>
      </c>
      <c r="R31" s="17">
        <v>1</v>
      </c>
      <c r="S31" s="21">
        <f>R31/R$29</f>
        <v>8.1632653061224483E-2</v>
      </c>
      <c r="T31" s="14">
        <f>INT($N$39*S31/5)*5</f>
        <v>905</v>
      </c>
      <c r="W31" s="129">
        <v>27</v>
      </c>
      <c r="X31" s="14">
        <f t="shared" si="0"/>
        <v>2765</v>
      </c>
    </row>
    <row r="32" spans="1:33" ht="16.5" x14ac:dyDescent="0.2">
      <c r="A32" s="17">
        <v>16</v>
      </c>
      <c r="B32" s="159">
        <v>950</v>
      </c>
      <c r="D32" s="194"/>
      <c r="E32" s="195"/>
      <c r="F32" s="195"/>
      <c r="G32" s="196"/>
      <c r="M32" s="124" t="s">
        <v>118</v>
      </c>
      <c r="N32" s="14">
        <f>SUMIFS(芦花古楼!$E$5:$E$104,芦花古楼!$A$5:$A$104,"&gt;"&amp;经验计算!O32,芦花古楼!$A$5:$A$104,"&lt;="&amp;经验计算!P32)</f>
        <v>0</v>
      </c>
      <c r="O32" s="123">
        <v>0</v>
      </c>
      <c r="P32" s="123">
        <v>0</v>
      </c>
      <c r="R32" s="17">
        <v>1.05</v>
      </c>
      <c r="S32" s="21">
        <f t="shared" ref="S32:S35" si="7">R32/R$29</f>
        <v>8.5714285714285715E-2</v>
      </c>
      <c r="T32" s="14">
        <f t="shared" ref="T32:T35" si="8">INT($N$39*S32/5)*5</f>
        <v>950</v>
      </c>
      <c r="W32" s="129">
        <v>28</v>
      </c>
      <c r="X32" s="14">
        <f t="shared" si="0"/>
        <v>2890</v>
      </c>
    </row>
    <row r="33" spans="1:24" ht="16.5" x14ac:dyDescent="0.2">
      <c r="A33" s="127">
        <v>17</v>
      </c>
      <c r="B33" s="159">
        <v>995</v>
      </c>
      <c r="D33" s="194"/>
      <c r="E33" s="195"/>
      <c r="F33" s="195"/>
      <c r="G33" s="196"/>
      <c r="M33" s="124" t="s">
        <v>120</v>
      </c>
      <c r="N33" s="14">
        <f>SUMIFS(芦花古楼!$P$5:$P$104,芦花古楼!$L$5:$L$104,"&gt;"&amp;经验计算!O33,芦花古楼!$L$5:$L$104,"&lt;="&amp;经验计算!P33)</f>
        <v>0</v>
      </c>
      <c r="O33" s="123">
        <v>0</v>
      </c>
      <c r="P33" s="123">
        <v>0</v>
      </c>
      <c r="R33" s="159">
        <v>1.1000000000000001</v>
      </c>
      <c r="S33" s="21">
        <f t="shared" si="7"/>
        <v>8.9795918367346947E-2</v>
      </c>
      <c r="T33" s="14">
        <f t="shared" si="8"/>
        <v>995</v>
      </c>
      <c r="W33" s="129">
        <v>29</v>
      </c>
      <c r="X33" s="14">
        <f t="shared" si="0"/>
        <v>3015</v>
      </c>
    </row>
    <row r="34" spans="1:24" ht="16.5" x14ac:dyDescent="0.2">
      <c r="A34" s="127">
        <v>18</v>
      </c>
      <c r="B34" s="159">
        <v>1040</v>
      </c>
      <c r="D34" s="194"/>
      <c r="E34" s="195"/>
      <c r="F34" s="195"/>
      <c r="G34" s="196"/>
      <c r="M34" s="124" t="s">
        <v>119</v>
      </c>
      <c r="N34" s="14">
        <f>SUMIFS(芦花古楼!$AA$5:$AA$104,芦花古楼!$W$5:$W$104,"&gt;"&amp;经验计算!O34,芦花古楼!$W$5:$W$104,"&lt;="&amp;经验计算!P34)</f>
        <v>0</v>
      </c>
      <c r="O34" s="123">
        <v>0</v>
      </c>
      <c r="P34" s="123">
        <v>0</v>
      </c>
      <c r="R34" s="159">
        <v>1.1499999999999999</v>
      </c>
      <c r="S34" s="21">
        <f t="shared" si="7"/>
        <v>9.3877551020408151E-2</v>
      </c>
      <c r="T34" s="14">
        <f t="shared" si="8"/>
        <v>1040</v>
      </c>
      <c r="W34" s="129">
        <v>30</v>
      </c>
      <c r="X34" s="14">
        <f t="shared" si="0"/>
        <v>3055</v>
      </c>
    </row>
    <row r="35" spans="1:24" ht="16.5" x14ac:dyDescent="0.2">
      <c r="A35" s="127">
        <v>19</v>
      </c>
      <c r="B35" s="159">
        <v>1085</v>
      </c>
      <c r="D35" s="194"/>
      <c r="E35" s="195"/>
      <c r="F35" s="195"/>
      <c r="G35" s="196"/>
      <c r="M35" s="124" t="s">
        <v>121</v>
      </c>
      <c r="N35" s="14">
        <f>SUMIFS(芦花古楼!$AL$5:$AL$104,芦花古楼!$AH$5:$AH$104,"&gt;"&amp;经验计算!O35,芦花古楼!$AH$5:$AH$104,"&lt;="&amp;经验计算!P35)</f>
        <v>0</v>
      </c>
      <c r="O35" s="123">
        <v>0</v>
      </c>
      <c r="P35" s="123">
        <v>0</v>
      </c>
      <c r="R35" s="159">
        <v>1.2</v>
      </c>
      <c r="S35" s="21">
        <f t="shared" si="7"/>
        <v>9.7959183673469383E-2</v>
      </c>
      <c r="T35" s="14">
        <f t="shared" si="8"/>
        <v>1085</v>
      </c>
      <c r="W35" s="129">
        <v>31</v>
      </c>
      <c r="X35" s="14">
        <f t="shared" si="0"/>
        <v>3210</v>
      </c>
    </row>
    <row r="36" spans="1:24" ht="16.5" x14ac:dyDescent="0.2">
      <c r="A36" s="159">
        <v>20</v>
      </c>
      <c r="B36" s="159">
        <v>1130</v>
      </c>
      <c r="D36" s="194"/>
      <c r="E36" s="195"/>
      <c r="F36" s="195"/>
      <c r="G36" s="196"/>
      <c r="M36" s="124" t="s">
        <v>50</v>
      </c>
      <c r="N36" s="14"/>
      <c r="O36" s="14">
        <f>日常任务!$D$2*经验计算!N36</f>
        <v>0</v>
      </c>
      <c r="P36" s="126"/>
      <c r="R36" s="159">
        <v>1.25</v>
      </c>
      <c r="S36" s="21">
        <f t="shared" ref="S36:S37" si="9">R36/R$29</f>
        <v>0.10204081632653061</v>
      </c>
      <c r="T36" s="14">
        <f t="shared" ref="T36:T37" si="10">INT($N$39*S36/5)*5</f>
        <v>1130</v>
      </c>
      <c r="W36" s="129">
        <v>32</v>
      </c>
      <c r="X36" s="14">
        <f t="shared" si="0"/>
        <v>3360</v>
      </c>
    </row>
    <row r="37" spans="1:24" ht="16.5" x14ac:dyDescent="0.2">
      <c r="A37" s="159">
        <v>21</v>
      </c>
      <c r="B37" s="159">
        <v>1175</v>
      </c>
      <c r="D37" s="194"/>
      <c r="E37" s="195"/>
      <c r="F37" s="195"/>
      <c r="G37" s="196"/>
      <c r="M37" s="124" t="s">
        <v>47</v>
      </c>
      <c r="N37" s="14">
        <f>INDEX(节奏总表!$N$5:$N$35,经验计算!N30)*60</f>
        <v>1200</v>
      </c>
      <c r="O37" s="14">
        <f>INDEX(章节关卡!$F$6:$F$35,经验计算!N30-1)*经验计算!N37</f>
        <v>7200</v>
      </c>
      <c r="P37" s="126"/>
      <c r="R37" s="159">
        <v>1.3</v>
      </c>
      <c r="S37" s="21">
        <f t="shared" si="9"/>
        <v>0.10612244897959185</v>
      </c>
      <c r="T37" s="14">
        <f t="shared" si="10"/>
        <v>1175</v>
      </c>
      <c r="W37" s="129">
        <v>33</v>
      </c>
      <c r="X37" s="14">
        <f t="shared" ref="X37:X68" si="11">INDEX(B:B,MATCH(W37,A:A))</f>
        <v>3515</v>
      </c>
    </row>
    <row r="38" spans="1:24" ht="16.5" x14ac:dyDescent="0.2">
      <c r="A38" s="159">
        <v>22</v>
      </c>
      <c r="B38" s="159">
        <v>1220</v>
      </c>
      <c r="D38" s="194"/>
      <c r="E38" s="195"/>
      <c r="F38" s="195"/>
      <c r="G38" s="196"/>
      <c r="M38" s="124" t="s">
        <v>43</v>
      </c>
      <c r="N38" s="19">
        <v>0</v>
      </c>
      <c r="O38" s="14">
        <f>N39*N38</f>
        <v>0</v>
      </c>
      <c r="P38" s="126"/>
      <c r="R38" s="159">
        <v>1.35</v>
      </c>
      <c r="S38" s="21">
        <f t="shared" ref="S38:S40" si="12">R38/R$29</f>
        <v>0.11020408163265306</v>
      </c>
      <c r="T38" s="14">
        <f t="shared" ref="T38:T40" si="13">INT($N$39*S38/5)*5</f>
        <v>1220</v>
      </c>
      <c r="W38" s="129">
        <v>34</v>
      </c>
      <c r="X38" s="14">
        <f t="shared" si="11"/>
        <v>3665</v>
      </c>
    </row>
    <row r="39" spans="1:24" ht="16.5" x14ac:dyDescent="0.2">
      <c r="A39" s="159">
        <v>23</v>
      </c>
      <c r="B39" s="159">
        <v>1265</v>
      </c>
      <c r="D39" s="194"/>
      <c r="E39" s="195"/>
      <c r="F39" s="195"/>
      <c r="G39" s="196"/>
      <c r="M39" s="124" t="s">
        <v>42</v>
      </c>
      <c r="N39" s="14">
        <f>(N31+N32+N34+N33+N35+O36+O37+P31)/(1-N38)</f>
        <v>11100</v>
      </c>
      <c r="O39" s="125"/>
      <c r="P39" s="126"/>
      <c r="R39" s="159">
        <v>1.4</v>
      </c>
      <c r="S39" s="21">
        <f t="shared" si="12"/>
        <v>0.11428571428571428</v>
      </c>
      <c r="T39" s="14">
        <f t="shared" si="13"/>
        <v>1265</v>
      </c>
      <c r="W39" s="129">
        <v>35</v>
      </c>
      <c r="X39" s="14">
        <f t="shared" si="11"/>
        <v>3730</v>
      </c>
    </row>
    <row r="40" spans="1:24" ht="16.5" x14ac:dyDescent="0.2">
      <c r="A40" s="159">
        <v>24</v>
      </c>
      <c r="B40" s="159">
        <v>1310</v>
      </c>
      <c r="D40" s="197"/>
      <c r="E40" s="198"/>
      <c r="F40" s="198"/>
      <c r="G40" s="199"/>
      <c r="R40" s="159">
        <v>1.45</v>
      </c>
      <c r="S40" s="21">
        <f t="shared" si="12"/>
        <v>0.1183673469387755</v>
      </c>
      <c r="T40" s="14">
        <f t="shared" si="13"/>
        <v>1310</v>
      </c>
      <c r="W40" s="129">
        <v>36</v>
      </c>
      <c r="X40" s="14">
        <f t="shared" si="11"/>
        <v>3920</v>
      </c>
    </row>
    <row r="41" spans="1:24" ht="16.5" x14ac:dyDescent="0.2">
      <c r="A41" s="15"/>
      <c r="B41" s="15"/>
      <c r="C41" s="15"/>
      <c r="D41" s="15"/>
      <c r="E41" s="15"/>
      <c r="F41" s="15"/>
      <c r="G41" s="15"/>
      <c r="H41" s="15"/>
      <c r="I41" s="189" t="s">
        <v>456</v>
      </c>
      <c r="J41" s="190"/>
      <c r="K41" s="190"/>
      <c r="L41" s="15"/>
      <c r="M41" s="15"/>
      <c r="N41" s="15"/>
      <c r="O41" s="15"/>
      <c r="Q41" s="15"/>
      <c r="R41" s="15"/>
      <c r="S41" s="15"/>
      <c r="T41" s="15"/>
      <c r="W41" s="129">
        <v>37</v>
      </c>
      <c r="X41" s="14">
        <f t="shared" si="11"/>
        <v>4105</v>
      </c>
    </row>
    <row r="42" spans="1:24" ht="16.5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Q42" s="15"/>
      <c r="R42" s="131">
        <f>SUM(R44:R51)</f>
        <v>5.5</v>
      </c>
      <c r="S42" s="15"/>
      <c r="T42" s="15"/>
      <c r="W42" s="129">
        <v>38</v>
      </c>
      <c r="X42" s="14">
        <f t="shared" si="11"/>
        <v>4290</v>
      </c>
    </row>
    <row r="43" spans="1:24" ht="17.25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24" t="s">
        <v>114</v>
      </c>
      <c r="N43" s="123">
        <v>4</v>
      </c>
      <c r="O43" s="124" t="s">
        <v>114</v>
      </c>
      <c r="P43" s="123">
        <v>3</v>
      </c>
      <c r="Q43" s="15"/>
      <c r="R43" s="12" t="s">
        <v>46</v>
      </c>
      <c r="S43" s="12" t="s">
        <v>44</v>
      </c>
      <c r="T43" s="12" t="s">
        <v>45</v>
      </c>
      <c r="W43" s="129">
        <v>39</v>
      </c>
      <c r="X43" s="14">
        <f t="shared" si="11"/>
        <v>4480</v>
      </c>
    </row>
    <row r="44" spans="1:24" ht="16.5" x14ac:dyDescent="0.2">
      <c r="A44" s="17">
        <v>25</v>
      </c>
      <c r="B44" s="17">
        <v>2515</v>
      </c>
      <c r="D44" s="191" t="s">
        <v>1080</v>
      </c>
      <c r="E44" s="192"/>
      <c r="F44" s="192"/>
      <c r="G44" s="193"/>
      <c r="M44" s="130" t="s">
        <v>1085</v>
      </c>
      <c r="N44" s="14">
        <f>SUMIFS(章节关卡!$BA$5:$BA$304,章节关卡!$AY$5:$AY$304,"="&amp;经验计算!N43)</f>
        <v>1600</v>
      </c>
      <c r="O44" s="130" t="s">
        <v>1084</v>
      </c>
      <c r="P44" s="14">
        <f>SUMIFS(章节关卡!$BI$5:$BI$304,章节关卡!$BG$5:$BG$304,"="&amp;经验计算!P43)</f>
        <v>3000</v>
      </c>
      <c r="R44" s="17">
        <v>1</v>
      </c>
      <c r="S44" s="21">
        <f>R44/R$42</f>
        <v>0.18181818181818182</v>
      </c>
      <c r="T44" s="17">
        <f>INT($N$52*S44/5)*5</f>
        <v>2515</v>
      </c>
      <c r="W44" s="129">
        <v>40</v>
      </c>
      <c r="X44" s="14">
        <f t="shared" si="11"/>
        <v>4580</v>
      </c>
    </row>
    <row r="45" spans="1:24" ht="16.5" x14ac:dyDescent="0.2">
      <c r="A45" s="17">
        <v>26</v>
      </c>
      <c r="B45" s="17">
        <v>2640</v>
      </c>
      <c r="D45" s="194"/>
      <c r="E45" s="195"/>
      <c r="F45" s="195"/>
      <c r="G45" s="196"/>
      <c r="M45" s="124" t="s">
        <v>118</v>
      </c>
      <c r="N45" s="14">
        <f>SUMIFS(芦花古楼!$E$5:$E$104,芦花古楼!$A$5:$A$104,"&gt;"&amp;经验计算!O45,芦花古楼!$A$5:$A$104,"&lt;="&amp;经验计算!P45)</f>
        <v>0</v>
      </c>
      <c r="O45" s="123">
        <v>0</v>
      </c>
      <c r="P45" s="123">
        <v>0</v>
      </c>
      <c r="R45" s="17">
        <v>1.05</v>
      </c>
      <c r="S45" s="21">
        <f t="shared" ref="S45:S48" si="14">R45/R$42</f>
        <v>0.19090909090909092</v>
      </c>
      <c r="T45" s="69">
        <f t="shared" ref="T45:T48" si="15">INT($N$52*S45/5)*5</f>
        <v>2640</v>
      </c>
      <c r="W45" s="129">
        <v>41</v>
      </c>
      <c r="X45" s="14">
        <f t="shared" si="11"/>
        <v>4810</v>
      </c>
    </row>
    <row r="46" spans="1:24" ht="16.5" x14ac:dyDescent="0.2">
      <c r="A46" s="159">
        <v>27</v>
      </c>
      <c r="B46" s="17">
        <v>2765</v>
      </c>
      <c r="D46" s="194"/>
      <c r="E46" s="195"/>
      <c r="F46" s="195"/>
      <c r="G46" s="196"/>
      <c r="M46" s="124" t="s">
        <v>120</v>
      </c>
      <c r="N46" s="14">
        <f>SUMIFS(芦花古楼!$P$5:$P$104,芦花古楼!$L$5:$L$104,"&gt;"&amp;经验计算!O46,芦花古楼!$L$5:$L$104,"&lt;="&amp;经验计算!P46)</f>
        <v>0</v>
      </c>
      <c r="O46" s="123">
        <v>0</v>
      </c>
      <c r="P46" s="123">
        <v>0</v>
      </c>
      <c r="R46" s="159">
        <v>1.1000000000000001</v>
      </c>
      <c r="S46" s="21">
        <f t="shared" si="14"/>
        <v>0.2</v>
      </c>
      <c r="T46" s="69">
        <f t="shared" si="15"/>
        <v>2765</v>
      </c>
      <c r="W46" s="129">
        <v>42</v>
      </c>
      <c r="X46" s="14">
        <f t="shared" si="11"/>
        <v>5040</v>
      </c>
    </row>
    <row r="47" spans="1:24" ht="16.5" x14ac:dyDescent="0.2">
      <c r="A47" s="159">
        <v>28</v>
      </c>
      <c r="B47" s="17">
        <v>2890</v>
      </c>
      <c r="D47" s="194"/>
      <c r="E47" s="195"/>
      <c r="F47" s="195"/>
      <c r="G47" s="196"/>
      <c r="M47" s="124" t="s">
        <v>119</v>
      </c>
      <c r="N47" s="14">
        <f>SUMIFS(芦花古楼!$AA$5:$AA$104,芦花古楼!$W$5:$W$104,"&gt;"&amp;经验计算!O47,芦花古楼!$W$5:$W$104,"&lt;="&amp;经验计算!P47)</f>
        <v>0</v>
      </c>
      <c r="O47" s="123">
        <v>0</v>
      </c>
      <c r="P47" s="123">
        <v>0</v>
      </c>
      <c r="R47" s="159">
        <v>1.1499999999999999</v>
      </c>
      <c r="S47" s="21">
        <f t="shared" si="14"/>
        <v>0.20909090909090908</v>
      </c>
      <c r="T47" s="69">
        <f t="shared" si="15"/>
        <v>2890</v>
      </c>
      <c r="W47" s="129">
        <v>43</v>
      </c>
      <c r="X47" s="14">
        <f t="shared" si="11"/>
        <v>5265</v>
      </c>
    </row>
    <row r="48" spans="1:24" ht="16.5" x14ac:dyDescent="0.2">
      <c r="A48" s="159">
        <v>29</v>
      </c>
      <c r="B48" s="17">
        <v>3015</v>
      </c>
      <c r="D48" s="194"/>
      <c r="E48" s="195"/>
      <c r="F48" s="195"/>
      <c r="G48" s="196"/>
      <c r="M48" s="124" t="s">
        <v>121</v>
      </c>
      <c r="N48" s="14">
        <f>SUMIFS(芦花古楼!$AL$5:$AL$104,芦花古楼!$AH$5:$AH$104,"&gt;"&amp;经验计算!O48,芦花古楼!$AH$5:$AH$104,"&lt;="&amp;经验计算!P48)</f>
        <v>0</v>
      </c>
      <c r="O48" s="123">
        <v>0</v>
      </c>
      <c r="P48" s="123">
        <v>0</v>
      </c>
      <c r="R48" s="159">
        <v>1.2</v>
      </c>
      <c r="S48" s="21">
        <f t="shared" si="14"/>
        <v>0.21818181818181817</v>
      </c>
      <c r="T48" s="69">
        <f t="shared" si="15"/>
        <v>3015</v>
      </c>
      <c r="W48" s="129">
        <v>44</v>
      </c>
      <c r="X48" s="14">
        <f t="shared" si="11"/>
        <v>5495</v>
      </c>
    </row>
    <row r="49" spans="1:25" ht="16.5" x14ac:dyDescent="0.2">
      <c r="A49" s="161"/>
      <c r="B49" s="161"/>
      <c r="D49" s="194"/>
      <c r="E49" s="195"/>
      <c r="F49" s="195"/>
      <c r="G49" s="196"/>
      <c r="M49" s="124" t="s">
        <v>50</v>
      </c>
      <c r="N49" s="14"/>
      <c r="O49" s="14">
        <f>日常任务!$D$2*经验计算!N49</f>
        <v>0</v>
      </c>
      <c r="P49" s="126"/>
      <c r="R49" s="161"/>
      <c r="S49" s="161"/>
      <c r="T49" s="161"/>
      <c r="W49" s="129">
        <v>45</v>
      </c>
      <c r="X49" s="14">
        <f t="shared" si="11"/>
        <v>5705</v>
      </c>
    </row>
    <row r="50" spans="1:25" ht="16.5" x14ac:dyDescent="0.2">
      <c r="A50" s="161"/>
      <c r="B50" s="161"/>
      <c r="D50" s="194"/>
      <c r="E50" s="195"/>
      <c r="F50" s="195"/>
      <c r="G50" s="196"/>
      <c r="M50" s="124" t="s">
        <v>47</v>
      </c>
      <c r="N50" s="14">
        <f>INDEX(节奏总表!$N$5:$N$35,经验计算!N43)*60</f>
        <v>1320</v>
      </c>
      <c r="O50" s="14">
        <f>INDEX(章节关卡!$F$6:$F$35,经验计算!N43-1)*经验计算!N50</f>
        <v>9240</v>
      </c>
      <c r="P50" s="126"/>
      <c r="R50" s="161"/>
      <c r="S50" s="161"/>
      <c r="T50" s="161"/>
      <c r="W50" s="129">
        <v>46</v>
      </c>
      <c r="X50" s="14">
        <f t="shared" si="11"/>
        <v>5990</v>
      </c>
    </row>
    <row r="51" spans="1:25" ht="16.5" x14ac:dyDescent="0.2">
      <c r="A51" s="161"/>
      <c r="B51" s="161"/>
      <c r="D51" s="194"/>
      <c r="E51" s="195"/>
      <c r="F51" s="195"/>
      <c r="G51" s="196"/>
      <c r="M51" s="124" t="s">
        <v>43</v>
      </c>
      <c r="N51" s="19">
        <v>0</v>
      </c>
      <c r="O51" s="14">
        <f>N52*N51</f>
        <v>0</v>
      </c>
      <c r="P51" s="126"/>
      <c r="R51" s="161"/>
      <c r="S51" s="161"/>
      <c r="T51" s="161"/>
      <c r="W51" s="129">
        <v>47</v>
      </c>
      <c r="X51" s="14">
        <f t="shared" si="11"/>
        <v>6280</v>
      </c>
    </row>
    <row r="52" spans="1:25" ht="16.5" x14ac:dyDescent="0.2">
      <c r="A52" s="161"/>
      <c r="B52" s="161"/>
      <c r="D52" s="194"/>
      <c r="E52" s="195"/>
      <c r="F52" s="195"/>
      <c r="G52" s="196"/>
      <c r="M52" s="124" t="s">
        <v>42</v>
      </c>
      <c r="N52" s="14">
        <f>(N44+N45+N47+N46+N48+O49+O50+P44)/(1-N51)</f>
        <v>13840</v>
      </c>
      <c r="O52" s="125"/>
      <c r="P52" s="126"/>
      <c r="R52" s="131"/>
      <c r="S52" s="131"/>
      <c r="T52" s="131"/>
      <c r="W52" s="129">
        <v>48</v>
      </c>
      <c r="X52" s="14">
        <f t="shared" si="11"/>
        <v>6565</v>
      </c>
    </row>
    <row r="53" spans="1:25" ht="16.5" x14ac:dyDescent="0.2">
      <c r="A53" s="128"/>
      <c r="B53" s="128"/>
      <c r="D53" s="197"/>
      <c r="E53" s="198"/>
      <c r="F53" s="198"/>
      <c r="G53" s="199"/>
      <c r="R53" s="131"/>
      <c r="S53" s="131"/>
      <c r="T53" s="131"/>
      <c r="W53" s="129">
        <v>49</v>
      </c>
      <c r="X53" s="14">
        <f t="shared" si="11"/>
        <v>6850</v>
      </c>
    </row>
    <row r="54" spans="1:25" ht="16.5" x14ac:dyDescent="0.2">
      <c r="A54" s="15"/>
      <c r="B54" s="15"/>
      <c r="C54" s="15"/>
      <c r="D54" s="15"/>
      <c r="E54" s="15"/>
      <c r="F54" s="15"/>
      <c r="G54" s="15"/>
      <c r="H54" s="15"/>
      <c r="I54" s="189" t="s">
        <v>460</v>
      </c>
      <c r="J54" s="190"/>
      <c r="K54" s="190"/>
      <c r="L54" s="15"/>
      <c r="M54" s="15"/>
      <c r="N54" s="15"/>
      <c r="O54" s="15"/>
      <c r="Q54" s="15"/>
      <c r="R54" s="15"/>
      <c r="S54" s="15"/>
      <c r="T54" s="15"/>
      <c r="U54" s="15"/>
      <c r="V54" s="131"/>
      <c r="W54" s="129">
        <v>50</v>
      </c>
      <c r="X54" s="14">
        <f t="shared" si="11"/>
        <v>7410</v>
      </c>
      <c r="Y54" s="131"/>
    </row>
    <row r="55" spans="1:25" ht="16.5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Q55" s="15"/>
      <c r="R55" s="131">
        <f>SUM(R57:R61)</f>
        <v>5.5</v>
      </c>
      <c r="S55" s="15"/>
      <c r="T55" s="15"/>
      <c r="U55" s="15"/>
      <c r="V55" s="131"/>
      <c r="W55" s="129">
        <v>51</v>
      </c>
      <c r="X55" s="14">
        <f t="shared" si="11"/>
        <v>7780</v>
      </c>
      <c r="Y55" s="131"/>
    </row>
    <row r="56" spans="1:25" ht="17.25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24" t="s">
        <v>114</v>
      </c>
      <c r="N56" s="123">
        <v>5</v>
      </c>
      <c r="O56" s="124" t="s">
        <v>114</v>
      </c>
      <c r="P56" s="123">
        <v>4</v>
      </c>
      <c r="Q56" s="15"/>
      <c r="R56" s="12" t="s">
        <v>46</v>
      </c>
      <c r="S56" s="12" t="s">
        <v>44</v>
      </c>
      <c r="T56" s="12" t="s">
        <v>45</v>
      </c>
      <c r="U56" s="15"/>
      <c r="V56" s="131"/>
      <c r="W56" s="129">
        <v>52</v>
      </c>
      <c r="X56" s="14">
        <f t="shared" si="11"/>
        <v>8150</v>
      </c>
      <c r="Y56" s="131"/>
    </row>
    <row r="57" spans="1:25" ht="16.5" customHeight="1" x14ac:dyDescent="0.2">
      <c r="A57" s="17">
        <v>30</v>
      </c>
      <c r="B57" s="17">
        <v>3055</v>
      </c>
      <c r="D57" s="191" t="s">
        <v>458</v>
      </c>
      <c r="E57" s="192"/>
      <c r="F57" s="192"/>
      <c r="G57" s="193"/>
      <c r="M57" s="130" t="s">
        <v>1085</v>
      </c>
      <c r="N57" s="14">
        <f>SUMIFS(章节关卡!$BA$5:$BA$304,章节关卡!$AY$5:$AY$304,"="&amp;经验计算!N56)</f>
        <v>1800</v>
      </c>
      <c r="O57" s="130" t="s">
        <v>1084</v>
      </c>
      <c r="P57" s="14">
        <f>SUMIFS(章节关卡!$BI$5:$BI$304,章节关卡!$BG$5:$BG$304,"="&amp;经验计算!P56)</f>
        <v>3500</v>
      </c>
      <c r="R57" s="129">
        <v>1</v>
      </c>
      <c r="S57" s="21">
        <f>R57/$R$55</f>
        <v>0.18181818181818182</v>
      </c>
      <c r="T57" s="24">
        <f t="shared" ref="T57:T61" si="16">INT($N$65*S57/5)*5</f>
        <v>3055</v>
      </c>
      <c r="W57" s="129">
        <v>53</v>
      </c>
      <c r="X57" s="14">
        <f t="shared" si="11"/>
        <v>8520</v>
      </c>
    </row>
    <row r="58" spans="1:25" ht="16.5" x14ac:dyDescent="0.2">
      <c r="A58" s="17">
        <v>31</v>
      </c>
      <c r="B58" s="17">
        <v>3210</v>
      </c>
      <c r="D58" s="194"/>
      <c r="E58" s="195"/>
      <c r="F58" s="195"/>
      <c r="G58" s="196"/>
      <c r="M58" s="124" t="s">
        <v>118</v>
      </c>
      <c r="N58" s="14">
        <f>SUMIFS(芦花古楼!$E$5:$E$104,芦花古楼!$A$5:$A$104,"&gt;"&amp;经验计算!O58,芦花古楼!$A$5:$A$104,"&lt;="&amp;经验计算!P58)</f>
        <v>0</v>
      </c>
      <c r="O58" s="123">
        <v>0</v>
      </c>
      <c r="P58" s="123">
        <v>0</v>
      </c>
      <c r="R58" s="129">
        <v>1.05</v>
      </c>
      <c r="S58" s="21">
        <f t="shared" ref="S58:S61" si="17">R58/$R$55</f>
        <v>0.19090909090909092</v>
      </c>
      <c r="T58" s="24">
        <f t="shared" si="16"/>
        <v>3210</v>
      </c>
      <c r="W58" s="129">
        <v>54</v>
      </c>
      <c r="X58" s="14">
        <f t="shared" si="11"/>
        <v>8890</v>
      </c>
    </row>
    <row r="59" spans="1:25" ht="16.5" x14ac:dyDescent="0.2">
      <c r="A59" s="159">
        <v>32</v>
      </c>
      <c r="B59" s="17">
        <v>3360</v>
      </c>
      <c r="D59" s="194"/>
      <c r="E59" s="195"/>
      <c r="F59" s="195"/>
      <c r="G59" s="196"/>
      <c r="M59" s="124" t="s">
        <v>120</v>
      </c>
      <c r="N59" s="14">
        <f>SUMIFS(芦花古楼!$P$5:$P$104,芦花古楼!$L$5:$L$104,"&gt;"&amp;经验计算!O59,芦花古楼!$L$5:$L$104,"&lt;="&amp;经验计算!P59)</f>
        <v>0</v>
      </c>
      <c r="O59" s="123">
        <v>0</v>
      </c>
      <c r="P59" s="123">
        <v>0</v>
      </c>
      <c r="R59" s="129">
        <v>1.1000000000000001</v>
      </c>
      <c r="S59" s="21">
        <f t="shared" si="17"/>
        <v>0.2</v>
      </c>
      <c r="T59" s="24">
        <f t="shared" si="16"/>
        <v>3360</v>
      </c>
      <c r="W59" s="129">
        <v>55</v>
      </c>
      <c r="X59" s="14">
        <f t="shared" si="11"/>
        <v>9815</v>
      </c>
    </row>
    <row r="60" spans="1:25" ht="16.5" x14ac:dyDescent="0.2">
      <c r="A60" s="159">
        <v>33</v>
      </c>
      <c r="B60" s="17">
        <v>3515</v>
      </c>
      <c r="D60" s="194"/>
      <c r="E60" s="195"/>
      <c r="F60" s="195"/>
      <c r="G60" s="196"/>
      <c r="M60" s="124" t="s">
        <v>119</v>
      </c>
      <c r="N60" s="14">
        <f>SUMIFS(芦花古楼!$AA$5:$AA$104,芦花古楼!$W$5:$W$104,"&gt;"&amp;经验计算!O60,芦花古楼!$W$5:$W$104,"&lt;="&amp;经验计算!P60)</f>
        <v>0</v>
      </c>
      <c r="O60" s="123">
        <v>0</v>
      </c>
      <c r="P60" s="123">
        <v>0</v>
      </c>
      <c r="R60" s="129">
        <v>1.1499999999999999</v>
      </c>
      <c r="S60" s="21">
        <f t="shared" si="17"/>
        <v>0.20909090909090908</v>
      </c>
      <c r="T60" s="24">
        <f t="shared" si="16"/>
        <v>3515</v>
      </c>
      <c r="W60" s="129">
        <v>56</v>
      </c>
      <c r="X60" s="14">
        <f t="shared" si="11"/>
        <v>10305</v>
      </c>
    </row>
    <row r="61" spans="1:25" ht="16.5" x14ac:dyDescent="0.2">
      <c r="A61" s="159">
        <v>34</v>
      </c>
      <c r="B61" s="17">
        <v>3665</v>
      </c>
      <c r="D61" s="194"/>
      <c r="E61" s="195"/>
      <c r="F61" s="195"/>
      <c r="G61" s="196"/>
      <c r="M61" s="124" t="s">
        <v>121</v>
      </c>
      <c r="N61" s="14">
        <f>SUMIFS(芦花古楼!$AL$5:$AL$104,芦花古楼!$AH$5:$AH$104,"&gt;"&amp;经验计算!O61,芦花古楼!$AH$5:$AH$104,"&lt;="&amp;经验计算!P61)</f>
        <v>0</v>
      </c>
      <c r="O61" s="123">
        <v>0</v>
      </c>
      <c r="P61" s="123">
        <v>0</v>
      </c>
      <c r="R61" s="129">
        <v>1.2</v>
      </c>
      <c r="S61" s="21">
        <f t="shared" si="17"/>
        <v>0.21818181818181817</v>
      </c>
      <c r="T61" s="24">
        <f t="shared" si="16"/>
        <v>3665</v>
      </c>
      <c r="W61" s="129">
        <v>57</v>
      </c>
      <c r="X61" s="14">
        <f t="shared" si="11"/>
        <v>10800</v>
      </c>
    </row>
    <row r="62" spans="1:25" ht="16.5" x14ac:dyDescent="0.2">
      <c r="A62" s="128"/>
      <c r="B62" s="128"/>
      <c r="D62" s="194"/>
      <c r="E62" s="195"/>
      <c r="F62" s="195"/>
      <c r="G62" s="196"/>
      <c r="M62" s="124" t="s">
        <v>50</v>
      </c>
      <c r="N62" s="14"/>
      <c r="O62" s="14">
        <f>日常任务!$D$2*经验计算!N62</f>
        <v>0</v>
      </c>
      <c r="P62" s="126"/>
      <c r="R62" s="131"/>
      <c r="S62" s="131"/>
      <c r="T62" s="131"/>
      <c r="W62" s="129">
        <v>58</v>
      </c>
      <c r="X62" s="14">
        <f t="shared" si="11"/>
        <v>11290</v>
      </c>
    </row>
    <row r="63" spans="1:25" ht="16.5" x14ac:dyDescent="0.2">
      <c r="A63" s="128"/>
      <c r="B63" s="128"/>
      <c r="C63" s="15"/>
      <c r="D63" s="194"/>
      <c r="E63" s="195"/>
      <c r="F63" s="195"/>
      <c r="G63" s="196"/>
      <c r="H63" s="15"/>
      <c r="I63" s="15"/>
      <c r="J63" s="15"/>
      <c r="K63" s="15"/>
      <c r="L63" s="15"/>
      <c r="M63" s="124" t="s">
        <v>47</v>
      </c>
      <c r="N63" s="14">
        <f>INDEX(节奏总表!$N$5:$N$35,经验计算!N56)*60</f>
        <v>1440</v>
      </c>
      <c r="O63" s="14">
        <f>INDEX(章节关卡!$F$6:$F$35,经验计算!N56-1)*经验计算!N63</f>
        <v>11520</v>
      </c>
      <c r="P63" s="126"/>
      <c r="Q63" s="15"/>
      <c r="R63" s="131"/>
      <c r="S63" s="131"/>
      <c r="T63" s="131"/>
      <c r="U63" s="15"/>
      <c r="V63" s="131"/>
      <c r="W63" s="129">
        <v>59</v>
      </c>
      <c r="X63" s="14">
        <f t="shared" si="11"/>
        <v>11780</v>
      </c>
      <c r="Y63" s="131"/>
    </row>
    <row r="64" spans="1:25" ht="16.5" x14ac:dyDescent="0.2">
      <c r="A64" s="128"/>
      <c r="B64" s="128"/>
      <c r="C64" s="15"/>
      <c r="D64" s="194"/>
      <c r="E64" s="195"/>
      <c r="F64" s="195"/>
      <c r="G64" s="196"/>
      <c r="H64" s="15"/>
      <c r="I64" s="15"/>
      <c r="J64" s="15"/>
      <c r="K64" s="15"/>
      <c r="L64" s="15"/>
      <c r="M64" s="124" t="s">
        <v>43</v>
      </c>
      <c r="N64" s="19">
        <v>0</v>
      </c>
      <c r="O64" s="14">
        <f>N65*N64</f>
        <v>0</v>
      </c>
      <c r="P64" s="126"/>
      <c r="Q64" s="15"/>
      <c r="R64" s="131"/>
      <c r="S64" s="131"/>
      <c r="T64" s="131"/>
      <c r="U64" s="15"/>
      <c r="V64" s="131"/>
      <c r="W64" s="129">
        <v>60</v>
      </c>
      <c r="X64" s="14">
        <f t="shared" si="11"/>
        <v>12290</v>
      </c>
      <c r="Y64" s="131"/>
    </row>
    <row r="65" spans="1:25" ht="16.5" x14ac:dyDescent="0.2">
      <c r="A65" s="128"/>
      <c r="B65" s="128"/>
      <c r="C65" s="15"/>
      <c r="D65" s="194"/>
      <c r="E65" s="195"/>
      <c r="F65" s="195"/>
      <c r="G65" s="196"/>
      <c r="H65" s="15"/>
      <c r="I65" s="15"/>
      <c r="J65" s="15"/>
      <c r="K65" s="15"/>
      <c r="L65" s="15"/>
      <c r="M65" s="124" t="s">
        <v>42</v>
      </c>
      <c r="N65" s="14">
        <f>(N57+N58+N60+N59+N61+O62+O63+P57)/(1-N64)</f>
        <v>16820</v>
      </c>
      <c r="O65" s="125"/>
      <c r="P65" s="126"/>
      <c r="Q65" s="15"/>
      <c r="R65" s="131"/>
      <c r="S65" s="131"/>
      <c r="T65" s="131"/>
      <c r="U65" s="15"/>
      <c r="V65" s="131"/>
      <c r="W65" s="129">
        <v>61</v>
      </c>
      <c r="X65" s="14">
        <f t="shared" si="11"/>
        <v>12905</v>
      </c>
      <c r="Y65" s="131"/>
    </row>
    <row r="66" spans="1:25" ht="16.5" x14ac:dyDescent="0.2">
      <c r="A66" s="128"/>
      <c r="B66" s="128"/>
      <c r="D66" s="197"/>
      <c r="E66" s="198"/>
      <c r="F66" s="198"/>
      <c r="G66" s="199"/>
      <c r="H66" s="15"/>
      <c r="I66" s="15"/>
      <c r="J66" s="15"/>
      <c r="K66" s="15"/>
      <c r="L66" s="15"/>
      <c r="R66" s="131"/>
      <c r="S66" s="131"/>
      <c r="T66" s="131"/>
      <c r="W66" s="129">
        <v>62</v>
      </c>
      <c r="X66" s="14">
        <f t="shared" si="11"/>
        <v>13520</v>
      </c>
    </row>
    <row r="67" spans="1:25" ht="16.5" x14ac:dyDescent="0.2">
      <c r="A67" s="128"/>
      <c r="B67" s="128"/>
      <c r="D67" s="15"/>
      <c r="E67" s="15"/>
      <c r="F67" s="15"/>
      <c r="G67" s="15"/>
      <c r="H67" s="15"/>
      <c r="I67" s="15"/>
      <c r="J67" s="15"/>
      <c r="K67" s="15"/>
      <c r="L67" s="15"/>
      <c r="W67" s="129">
        <v>63</v>
      </c>
      <c r="X67" s="14">
        <f t="shared" si="11"/>
        <v>14130</v>
      </c>
    </row>
    <row r="68" spans="1:25" ht="16.5" x14ac:dyDescent="0.2">
      <c r="D68" s="15"/>
      <c r="E68" s="15"/>
      <c r="F68" s="15"/>
      <c r="G68" s="15"/>
      <c r="H68" s="15"/>
      <c r="I68" s="15"/>
      <c r="J68" s="15"/>
      <c r="K68" s="15"/>
      <c r="L68" s="15"/>
      <c r="W68" s="129">
        <v>64</v>
      </c>
      <c r="X68" s="14">
        <f t="shared" si="11"/>
        <v>14745</v>
      </c>
    </row>
    <row r="69" spans="1:25" ht="16.5" x14ac:dyDescent="0.2">
      <c r="D69" s="15"/>
      <c r="E69" s="15"/>
      <c r="F69" s="15"/>
      <c r="G69" s="15"/>
      <c r="H69" s="15"/>
      <c r="I69" s="15"/>
      <c r="J69" s="15"/>
      <c r="K69" s="15"/>
      <c r="L69" s="15"/>
      <c r="R69" s="131">
        <f>SUM(R71:R75)</f>
        <v>5.5</v>
      </c>
      <c r="S69" s="15"/>
      <c r="T69" s="15"/>
      <c r="W69" s="129">
        <v>65</v>
      </c>
      <c r="X69" s="14">
        <f t="shared" ref="X69:X100" si="18">INDEX(B:B,MATCH(W69,A:A))</f>
        <v>15380</v>
      </c>
    </row>
    <row r="70" spans="1:25" ht="17.25" x14ac:dyDescent="0.2">
      <c r="A70" s="15"/>
      <c r="B70" s="15"/>
      <c r="D70" s="15"/>
      <c r="E70" s="15"/>
      <c r="F70" s="15"/>
      <c r="G70" s="15"/>
      <c r="H70" s="15"/>
      <c r="I70" s="15"/>
      <c r="J70" s="15"/>
      <c r="K70" s="15"/>
      <c r="L70" s="15"/>
      <c r="M70" s="124" t="s">
        <v>114</v>
      </c>
      <c r="N70" s="123">
        <v>6</v>
      </c>
      <c r="O70" s="124" t="s">
        <v>114</v>
      </c>
      <c r="P70" s="123">
        <v>5</v>
      </c>
      <c r="R70" s="12" t="s">
        <v>46</v>
      </c>
      <c r="S70" s="12" t="s">
        <v>44</v>
      </c>
      <c r="T70" s="12" t="s">
        <v>45</v>
      </c>
      <c r="W70" s="129">
        <v>66</v>
      </c>
      <c r="X70" s="14">
        <f t="shared" si="18"/>
        <v>16150</v>
      </c>
    </row>
    <row r="71" spans="1:25" ht="16.5" x14ac:dyDescent="0.2">
      <c r="A71" s="17">
        <v>35</v>
      </c>
      <c r="B71" s="17">
        <v>3730</v>
      </c>
      <c r="D71" s="188" t="s">
        <v>459</v>
      </c>
      <c r="E71" s="188"/>
      <c r="F71" s="188"/>
      <c r="G71" s="188"/>
      <c r="M71" s="130" t="s">
        <v>1085</v>
      </c>
      <c r="N71" s="14">
        <f>SUMIFS(章节关卡!$BA$5:$BA$304,章节关卡!$AY$5:$AY$304,"="&amp;经验计算!N70)</f>
        <v>2000</v>
      </c>
      <c r="O71" s="130" t="s">
        <v>1084</v>
      </c>
      <c r="P71" s="14">
        <f>SUMIFS(章节关卡!$BI$5:$BI$304,章节关卡!$BG$5:$BG$304,"="&amp;经验计算!P70)</f>
        <v>4500</v>
      </c>
      <c r="R71" s="129">
        <v>1</v>
      </c>
      <c r="S71" s="21">
        <f>R71/$R$69</f>
        <v>0.18181818181818182</v>
      </c>
      <c r="T71" s="24">
        <f>INT($N$79*S71/5)*5</f>
        <v>3730</v>
      </c>
      <c r="W71" s="129">
        <v>67</v>
      </c>
      <c r="X71" s="14">
        <f t="shared" si="18"/>
        <v>16920</v>
      </c>
    </row>
    <row r="72" spans="1:25" ht="16.5" x14ac:dyDescent="0.2">
      <c r="A72" s="17">
        <v>36</v>
      </c>
      <c r="B72" s="17">
        <v>3920</v>
      </c>
      <c r="D72" s="188"/>
      <c r="E72" s="188"/>
      <c r="F72" s="188"/>
      <c r="G72" s="188"/>
      <c r="M72" s="124" t="s">
        <v>118</v>
      </c>
      <c r="N72" s="14">
        <f>SUMIFS(芦花古楼!$E$5:$E$104,芦花古楼!$A$5:$A$104,"&gt;"&amp;经验计算!O72,芦花古楼!$A$5:$A$104,"&lt;="&amp;经验计算!P72)</f>
        <v>0</v>
      </c>
      <c r="O72" s="123">
        <v>0</v>
      </c>
      <c r="P72" s="123">
        <v>0</v>
      </c>
      <c r="R72" s="129">
        <v>1.05</v>
      </c>
      <c r="S72" s="21">
        <f t="shared" ref="S72:S75" si="19">R72/$R$69</f>
        <v>0.19090909090909092</v>
      </c>
      <c r="T72" s="67">
        <f t="shared" ref="T72:T75" si="20">INT($N$79*S72/5)*5</f>
        <v>3920</v>
      </c>
      <c r="W72" s="129">
        <v>68</v>
      </c>
      <c r="X72" s="14">
        <f t="shared" si="18"/>
        <v>17685</v>
      </c>
    </row>
    <row r="73" spans="1:25" ht="16.5" x14ac:dyDescent="0.2">
      <c r="A73" s="159">
        <v>37</v>
      </c>
      <c r="B73" s="17">
        <v>4105</v>
      </c>
      <c r="D73" s="188"/>
      <c r="E73" s="188"/>
      <c r="F73" s="188"/>
      <c r="G73" s="188"/>
      <c r="M73" s="124" t="s">
        <v>120</v>
      </c>
      <c r="N73" s="14">
        <f>SUMIFS(芦花古楼!$P$5:$P$104,芦花古楼!$L$5:$L$104,"&gt;"&amp;经验计算!O73,芦花古楼!$L$5:$L$104,"&lt;="&amp;经验计算!P73)</f>
        <v>0</v>
      </c>
      <c r="O73" s="123">
        <v>0</v>
      </c>
      <c r="P73" s="123">
        <v>0</v>
      </c>
      <c r="R73" s="129">
        <v>1.1000000000000001</v>
      </c>
      <c r="S73" s="21">
        <f t="shared" si="19"/>
        <v>0.2</v>
      </c>
      <c r="T73" s="67">
        <f t="shared" si="20"/>
        <v>4105</v>
      </c>
      <c r="W73" s="129">
        <v>69</v>
      </c>
      <c r="X73" s="14">
        <f t="shared" si="18"/>
        <v>18455</v>
      </c>
    </row>
    <row r="74" spans="1:25" ht="16.5" x14ac:dyDescent="0.2">
      <c r="A74" s="159">
        <v>38</v>
      </c>
      <c r="B74" s="17">
        <v>4290</v>
      </c>
      <c r="D74" s="188"/>
      <c r="E74" s="188"/>
      <c r="F74" s="188"/>
      <c r="G74" s="188"/>
      <c r="M74" s="124" t="s">
        <v>119</v>
      </c>
      <c r="N74" s="14">
        <f>SUMIFS(芦花古楼!$AA$5:$AA$104,芦花古楼!$W$5:$W$104,"&gt;"&amp;经验计算!O74,芦花古楼!$W$5:$W$104,"&lt;="&amp;经验计算!P74)</f>
        <v>0</v>
      </c>
      <c r="O74" s="123">
        <v>0</v>
      </c>
      <c r="P74" s="123">
        <v>0</v>
      </c>
      <c r="R74" s="129">
        <v>1.1499999999999999</v>
      </c>
      <c r="S74" s="21">
        <f t="shared" si="19"/>
        <v>0.20909090909090908</v>
      </c>
      <c r="T74" s="67">
        <f t="shared" si="20"/>
        <v>4290</v>
      </c>
      <c r="W74" s="129">
        <v>70</v>
      </c>
      <c r="X74" s="14">
        <f t="shared" si="18"/>
        <v>21325</v>
      </c>
    </row>
    <row r="75" spans="1:25" ht="16.5" x14ac:dyDescent="0.2">
      <c r="A75" s="159">
        <v>39</v>
      </c>
      <c r="B75" s="17">
        <v>4480</v>
      </c>
      <c r="D75" s="188"/>
      <c r="E75" s="188"/>
      <c r="F75" s="188"/>
      <c r="G75" s="188"/>
      <c r="M75" s="124" t="s">
        <v>121</v>
      </c>
      <c r="N75" s="14">
        <f>SUMIFS(芦花古楼!$AL$5:$AL$104,芦花古楼!$AH$5:$AH$104,"&gt;"&amp;经验计算!O75,芦花古楼!$AH$5:$AH$104,"&lt;="&amp;经验计算!P75)</f>
        <v>0</v>
      </c>
      <c r="O75" s="123">
        <v>0</v>
      </c>
      <c r="P75" s="123">
        <v>0</v>
      </c>
      <c r="R75" s="129">
        <v>1.2</v>
      </c>
      <c r="S75" s="21">
        <f t="shared" si="19"/>
        <v>0.21818181818181817</v>
      </c>
      <c r="T75" s="67">
        <f t="shared" si="20"/>
        <v>4480</v>
      </c>
      <c r="W75" s="129">
        <v>71</v>
      </c>
      <c r="X75" s="14">
        <f t="shared" si="18"/>
        <v>22390</v>
      </c>
    </row>
    <row r="76" spans="1:25" ht="16.5" x14ac:dyDescent="0.2">
      <c r="A76" s="128"/>
      <c r="B76" s="128"/>
      <c r="D76" s="188"/>
      <c r="E76" s="188"/>
      <c r="F76" s="188"/>
      <c r="G76" s="188"/>
      <c r="M76" s="124" t="s">
        <v>50</v>
      </c>
      <c r="N76" s="14"/>
      <c r="O76" s="14">
        <f>日常任务!$D$2*经验计算!N76</f>
        <v>0</v>
      </c>
      <c r="P76" s="126"/>
      <c r="R76" s="131"/>
      <c r="S76" s="131"/>
      <c r="T76" s="131"/>
      <c r="W76" s="129">
        <v>72</v>
      </c>
      <c r="X76" s="14">
        <f t="shared" si="18"/>
        <v>23460</v>
      </c>
    </row>
    <row r="77" spans="1:25" ht="16.5" x14ac:dyDescent="0.2">
      <c r="A77" s="128"/>
      <c r="B77" s="128"/>
      <c r="D77" s="188"/>
      <c r="E77" s="188"/>
      <c r="F77" s="188"/>
      <c r="G77" s="188"/>
      <c r="M77" s="124" t="s">
        <v>47</v>
      </c>
      <c r="N77" s="14">
        <f>INDEX(节奏总表!$N$5:$N$35,经验计算!N70)*60</f>
        <v>1560</v>
      </c>
      <c r="O77" s="14">
        <f>INDEX(章节关卡!$F$6:$F$35,经验计算!N70-1)*经验计算!N77</f>
        <v>14040</v>
      </c>
      <c r="P77" s="126"/>
      <c r="R77" s="131"/>
      <c r="S77" s="131"/>
      <c r="T77" s="131"/>
      <c r="W77" s="129">
        <v>73</v>
      </c>
      <c r="X77" s="14">
        <f t="shared" si="18"/>
        <v>24525</v>
      </c>
    </row>
    <row r="78" spans="1:25" ht="16.5" x14ac:dyDescent="0.2">
      <c r="A78" s="128"/>
      <c r="B78" s="128"/>
      <c r="D78" s="188"/>
      <c r="E78" s="188"/>
      <c r="F78" s="188"/>
      <c r="G78" s="188"/>
      <c r="M78" s="124" t="s">
        <v>43</v>
      </c>
      <c r="N78" s="19">
        <v>0</v>
      </c>
      <c r="O78" s="14">
        <f>N79*N78</f>
        <v>0</v>
      </c>
      <c r="P78" s="126"/>
      <c r="R78" s="131"/>
      <c r="S78" s="131"/>
      <c r="T78" s="131"/>
      <c r="W78" s="129">
        <v>74</v>
      </c>
      <c r="X78" s="14">
        <f t="shared" si="18"/>
        <v>25590</v>
      </c>
    </row>
    <row r="79" spans="1:25" ht="16.5" x14ac:dyDescent="0.2">
      <c r="A79" s="128"/>
      <c r="B79" s="128"/>
      <c r="D79" s="188"/>
      <c r="E79" s="188"/>
      <c r="F79" s="188"/>
      <c r="G79" s="188"/>
      <c r="M79" s="124" t="s">
        <v>42</v>
      </c>
      <c r="N79" s="14">
        <f>(N71+N72+N74+N73+N75+O76+O77+P71)/(1-N78)</f>
        <v>20540</v>
      </c>
      <c r="O79" s="125"/>
      <c r="P79" s="126"/>
      <c r="R79" s="131"/>
      <c r="S79" s="131"/>
      <c r="T79" s="131"/>
      <c r="W79" s="129">
        <v>75</v>
      </c>
      <c r="X79" s="14">
        <f t="shared" si="18"/>
        <v>27890</v>
      </c>
    </row>
    <row r="80" spans="1:25" ht="16.5" x14ac:dyDescent="0.2">
      <c r="A80" s="128"/>
      <c r="B80" s="128"/>
      <c r="D80" s="188"/>
      <c r="E80" s="188"/>
      <c r="F80" s="188"/>
      <c r="G80" s="188"/>
      <c r="R80" s="131"/>
      <c r="S80" s="131"/>
      <c r="T80" s="131"/>
      <c r="W80" s="129">
        <v>76</v>
      </c>
      <c r="X80" s="14">
        <f t="shared" si="18"/>
        <v>29285</v>
      </c>
    </row>
    <row r="81" spans="1:25" ht="16.5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31"/>
      <c r="W81" s="129">
        <v>77</v>
      </c>
      <c r="X81" s="14">
        <f t="shared" si="18"/>
        <v>30680</v>
      </c>
      <c r="Y81" s="131"/>
    </row>
    <row r="82" spans="1:25" ht="16.5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31"/>
      <c r="W82" s="129">
        <v>78</v>
      </c>
      <c r="X82" s="14">
        <f t="shared" si="18"/>
        <v>32070</v>
      </c>
      <c r="Y82" s="131"/>
    </row>
    <row r="83" spans="1:25" ht="16.5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31">
        <f>SUM(R85:R89)</f>
        <v>5.5</v>
      </c>
      <c r="S83" s="15"/>
      <c r="T83" s="15"/>
      <c r="U83" s="15"/>
      <c r="V83" s="131"/>
      <c r="W83" s="129">
        <v>79</v>
      </c>
      <c r="X83" s="14">
        <f t="shared" si="18"/>
        <v>33465</v>
      </c>
      <c r="Y83" s="131"/>
    </row>
    <row r="84" spans="1:25" ht="17.25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24" t="s">
        <v>114</v>
      </c>
      <c r="N84" s="123">
        <v>7</v>
      </c>
      <c r="O84" s="124" t="s">
        <v>114</v>
      </c>
      <c r="P84" s="123">
        <v>6</v>
      </c>
      <c r="Q84" s="15"/>
      <c r="R84" s="12" t="s">
        <v>46</v>
      </c>
      <c r="S84" s="12" t="s">
        <v>44</v>
      </c>
      <c r="T84" s="12" t="s">
        <v>45</v>
      </c>
      <c r="U84" s="15"/>
      <c r="V84" s="131"/>
      <c r="W84" s="129">
        <v>80</v>
      </c>
      <c r="X84" s="14">
        <f t="shared" si="18"/>
        <v>35415</v>
      </c>
      <c r="Y84" s="131"/>
    </row>
    <row r="85" spans="1:25" ht="16.5" x14ac:dyDescent="0.2">
      <c r="A85" s="17">
        <v>40</v>
      </c>
      <c r="B85" s="17">
        <v>4580</v>
      </c>
      <c r="D85" s="188" t="s">
        <v>457</v>
      </c>
      <c r="E85" s="188"/>
      <c r="F85" s="188"/>
      <c r="G85" s="188"/>
      <c r="M85" s="130" t="s">
        <v>1085</v>
      </c>
      <c r="N85" s="14">
        <f>SUMIFS(章节关卡!$BA$5:$BA$304,章节关卡!$AY$5:$AY$304,"="&amp;经验计算!N84)</f>
        <v>2400</v>
      </c>
      <c r="O85" s="130" t="s">
        <v>1084</v>
      </c>
      <c r="P85" s="14">
        <f>SUMIFS(章节关卡!$BI$5:$BI$304,章节关卡!$BG$5:$BG$304,"="&amp;经验计算!P84)</f>
        <v>6000</v>
      </c>
      <c r="R85" s="129">
        <v>1</v>
      </c>
      <c r="S85" s="21">
        <f>R85/$R$83</f>
        <v>0.18181818181818182</v>
      </c>
      <c r="T85" s="24">
        <f>INT($N$93*S85/5)*5</f>
        <v>4580</v>
      </c>
      <c r="W85" s="129">
        <v>81</v>
      </c>
      <c r="X85" s="14">
        <f t="shared" si="18"/>
        <v>37185</v>
      </c>
    </row>
    <row r="86" spans="1:25" ht="16.5" x14ac:dyDescent="0.2">
      <c r="A86" s="17">
        <v>41</v>
      </c>
      <c r="B86" s="17">
        <v>4810</v>
      </c>
      <c r="D86" s="188"/>
      <c r="E86" s="188"/>
      <c r="F86" s="188"/>
      <c r="G86" s="188"/>
      <c r="M86" s="124" t="s">
        <v>118</v>
      </c>
      <c r="N86" s="14">
        <f>SUMIFS(芦花古楼!$E$5:$E$104,芦花古楼!$A$5:$A$104,"&gt;"&amp;经验计算!O86,芦花古楼!$A$5:$A$104,"&lt;="&amp;经验计算!P86)</f>
        <v>0</v>
      </c>
      <c r="O86" s="123">
        <v>0</v>
      </c>
      <c r="P86" s="123">
        <v>0</v>
      </c>
      <c r="R86" s="129">
        <v>1.05</v>
      </c>
      <c r="S86" s="21">
        <f t="shared" ref="S86:S89" si="21">R86/$R$83</f>
        <v>0.19090909090909092</v>
      </c>
      <c r="T86" s="69">
        <f t="shared" ref="T86:T89" si="22">INT($N$93*S86/5)*5</f>
        <v>4810</v>
      </c>
      <c r="W86" s="129">
        <v>82</v>
      </c>
      <c r="X86" s="14">
        <f t="shared" si="18"/>
        <v>38960</v>
      </c>
    </row>
    <row r="87" spans="1:25" ht="16.5" x14ac:dyDescent="0.2">
      <c r="A87" s="159">
        <v>42</v>
      </c>
      <c r="B87" s="17">
        <v>5040</v>
      </c>
      <c r="D87" s="188"/>
      <c r="E87" s="188"/>
      <c r="F87" s="188"/>
      <c r="G87" s="188"/>
      <c r="M87" s="124" t="s">
        <v>120</v>
      </c>
      <c r="N87" s="14">
        <f>SUMIFS(芦花古楼!$P$5:$P$104,芦花古楼!$L$5:$L$104,"&gt;"&amp;经验计算!O87,芦花古楼!$L$5:$L$104,"&lt;="&amp;经验计算!P87)</f>
        <v>0</v>
      </c>
      <c r="O87" s="123">
        <v>0</v>
      </c>
      <c r="P87" s="123">
        <v>0</v>
      </c>
      <c r="R87" s="129">
        <v>1.1000000000000001</v>
      </c>
      <c r="S87" s="21">
        <f t="shared" si="21"/>
        <v>0.2</v>
      </c>
      <c r="T87" s="69">
        <f t="shared" si="22"/>
        <v>5040</v>
      </c>
      <c r="W87" s="129">
        <v>83</v>
      </c>
      <c r="X87" s="14">
        <f t="shared" si="18"/>
        <v>40730</v>
      </c>
    </row>
    <row r="88" spans="1:25" ht="16.5" x14ac:dyDescent="0.2">
      <c r="A88" s="159">
        <v>43</v>
      </c>
      <c r="B88" s="17">
        <v>5265</v>
      </c>
      <c r="D88" s="188"/>
      <c r="E88" s="188"/>
      <c r="F88" s="188"/>
      <c r="G88" s="188"/>
      <c r="M88" s="124" t="s">
        <v>119</v>
      </c>
      <c r="N88" s="14">
        <f>SUMIFS(芦花古楼!$AA$5:$AA$104,芦花古楼!$W$5:$W$104,"&gt;"&amp;经验计算!O88,芦花古楼!$W$5:$W$104,"&lt;="&amp;经验计算!P88)</f>
        <v>0</v>
      </c>
      <c r="O88" s="123">
        <v>0</v>
      </c>
      <c r="P88" s="123">
        <v>0</v>
      </c>
      <c r="R88" s="129">
        <v>1.1499999999999999</v>
      </c>
      <c r="S88" s="21">
        <f t="shared" si="21"/>
        <v>0.20909090909090908</v>
      </c>
      <c r="T88" s="69">
        <f t="shared" si="22"/>
        <v>5265</v>
      </c>
      <c r="W88" s="129">
        <v>84</v>
      </c>
      <c r="X88" s="14">
        <f t="shared" si="18"/>
        <v>42500</v>
      </c>
    </row>
    <row r="89" spans="1:25" ht="16.5" x14ac:dyDescent="0.2">
      <c r="A89" s="159">
        <v>44</v>
      </c>
      <c r="B89" s="17">
        <v>5495</v>
      </c>
      <c r="D89" s="188"/>
      <c r="E89" s="188"/>
      <c r="F89" s="188"/>
      <c r="G89" s="188"/>
      <c r="M89" s="124" t="s">
        <v>121</v>
      </c>
      <c r="N89" s="14">
        <f>SUMIFS(芦花古楼!$AL$5:$AL$104,芦花古楼!$AH$5:$AH$104,"&gt;"&amp;经验计算!O89,芦花古楼!$AH$5:$AH$104,"&lt;="&amp;经验计算!P89)</f>
        <v>0</v>
      </c>
      <c r="O89" s="123">
        <v>0</v>
      </c>
      <c r="P89" s="123">
        <v>0</v>
      </c>
      <c r="R89" s="129">
        <v>1.2</v>
      </c>
      <c r="S89" s="21">
        <f t="shared" si="21"/>
        <v>0.21818181818181817</v>
      </c>
      <c r="T89" s="69">
        <f t="shared" si="22"/>
        <v>5495</v>
      </c>
      <c r="W89" s="129">
        <v>85</v>
      </c>
      <c r="X89" s="14">
        <f t="shared" si="18"/>
        <v>45525</v>
      </c>
    </row>
    <row r="90" spans="1:25" ht="16.5" x14ac:dyDescent="0.2">
      <c r="A90" s="128"/>
      <c r="B90" s="128"/>
      <c r="D90" s="188"/>
      <c r="E90" s="188"/>
      <c r="F90" s="188"/>
      <c r="G90" s="188"/>
      <c r="M90" s="124" t="s">
        <v>50</v>
      </c>
      <c r="N90" s="14"/>
      <c r="O90" s="14">
        <f>日常任务!$D$2*经验计算!N90</f>
        <v>0</v>
      </c>
      <c r="P90" s="126"/>
      <c r="R90" s="131"/>
      <c r="S90" s="131"/>
      <c r="T90" s="131"/>
      <c r="W90" s="129">
        <v>86</v>
      </c>
      <c r="X90" s="14">
        <f t="shared" si="18"/>
        <v>47800</v>
      </c>
    </row>
    <row r="91" spans="1:25" ht="16.5" x14ac:dyDescent="0.2">
      <c r="A91" s="128"/>
      <c r="B91" s="128"/>
      <c r="D91" s="188"/>
      <c r="E91" s="188"/>
      <c r="F91" s="188"/>
      <c r="G91" s="188"/>
      <c r="M91" s="124" t="s">
        <v>47</v>
      </c>
      <c r="N91" s="14">
        <f>INDEX(节奏总表!$N$5:$N$35,经验计算!N84)*60</f>
        <v>1680</v>
      </c>
      <c r="O91" s="14">
        <f>INDEX(章节关卡!$F$6:$F$35,经验计算!N84-1)*经验计算!N91</f>
        <v>16800</v>
      </c>
      <c r="P91" s="126"/>
      <c r="R91" s="131"/>
      <c r="S91" s="131"/>
      <c r="T91" s="131"/>
      <c r="W91" s="129">
        <v>87</v>
      </c>
      <c r="X91" s="14">
        <f t="shared" si="18"/>
        <v>50080</v>
      </c>
    </row>
    <row r="92" spans="1:25" ht="16.5" x14ac:dyDescent="0.2">
      <c r="A92" s="128"/>
      <c r="B92" s="128"/>
      <c r="D92" s="188"/>
      <c r="E92" s="188"/>
      <c r="F92" s="188"/>
      <c r="G92" s="188"/>
      <c r="M92" s="124" t="s">
        <v>43</v>
      </c>
      <c r="N92" s="19">
        <v>0</v>
      </c>
      <c r="O92" s="14">
        <f>N93*N92</f>
        <v>0</v>
      </c>
      <c r="P92" s="126"/>
      <c r="R92" s="131"/>
      <c r="S92" s="131"/>
      <c r="T92" s="131"/>
      <c r="W92" s="129">
        <v>88</v>
      </c>
      <c r="X92" s="14">
        <f t="shared" si="18"/>
        <v>52355</v>
      </c>
    </row>
    <row r="93" spans="1:25" ht="16.5" x14ac:dyDescent="0.2">
      <c r="A93" s="128"/>
      <c r="B93" s="128"/>
      <c r="D93" s="188"/>
      <c r="E93" s="188"/>
      <c r="F93" s="188"/>
      <c r="G93" s="188"/>
      <c r="M93" s="124" t="s">
        <v>42</v>
      </c>
      <c r="N93" s="14">
        <f>(N85+N86+N88+N87+N89+O90+O91+P85)/(1-N92)</f>
        <v>25200</v>
      </c>
      <c r="O93" s="125"/>
      <c r="P93" s="126"/>
      <c r="R93" s="131"/>
      <c r="S93" s="131"/>
      <c r="T93" s="131"/>
      <c r="W93" s="129">
        <v>89</v>
      </c>
      <c r="X93" s="14">
        <f t="shared" si="18"/>
        <v>54630</v>
      </c>
    </row>
    <row r="94" spans="1:25" ht="16.5" x14ac:dyDescent="0.2">
      <c r="A94" s="128"/>
      <c r="B94" s="128"/>
      <c r="D94" s="188"/>
      <c r="E94" s="188"/>
      <c r="F94" s="188"/>
      <c r="G94" s="188"/>
      <c r="R94" s="131"/>
      <c r="S94" s="131"/>
      <c r="T94" s="131"/>
      <c r="W94" s="129">
        <v>90</v>
      </c>
      <c r="X94" s="14">
        <f t="shared" si="18"/>
        <v>51640</v>
      </c>
    </row>
    <row r="95" spans="1:25" ht="16.5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W95" s="129">
        <v>91</v>
      </c>
      <c r="X95" s="14">
        <f t="shared" si="18"/>
        <v>54225</v>
      </c>
    </row>
    <row r="96" spans="1:25" ht="16.5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31">
        <f>SUM(R98:R102)</f>
        <v>5.5</v>
      </c>
      <c r="S96" s="15"/>
      <c r="T96" s="15"/>
      <c r="W96" s="129">
        <v>92</v>
      </c>
      <c r="X96" s="14">
        <f t="shared" si="18"/>
        <v>56805</v>
      </c>
    </row>
    <row r="97" spans="1:25" ht="17.25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24" t="s">
        <v>114</v>
      </c>
      <c r="N97" s="123">
        <v>8</v>
      </c>
      <c r="O97" s="124" t="s">
        <v>114</v>
      </c>
      <c r="P97" s="123">
        <v>7</v>
      </c>
      <c r="Q97" s="15"/>
      <c r="R97" s="12" t="s">
        <v>46</v>
      </c>
      <c r="S97" s="12" t="s">
        <v>44</v>
      </c>
      <c r="T97" s="12" t="s">
        <v>45</v>
      </c>
      <c r="W97" s="129">
        <v>93</v>
      </c>
      <c r="X97" s="14">
        <f t="shared" si="18"/>
        <v>59390</v>
      </c>
    </row>
    <row r="98" spans="1:25" ht="16.5" x14ac:dyDescent="0.2">
      <c r="A98" s="159">
        <v>45</v>
      </c>
      <c r="B98" s="17">
        <v>5705</v>
      </c>
      <c r="D98" s="188"/>
      <c r="E98" s="188"/>
      <c r="F98" s="188"/>
      <c r="G98" s="188"/>
      <c r="M98" s="130" t="s">
        <v>1085</v>
      </c>
      <c r="N98" s="14">
        <f>SUMIFS(章节关卡!$BA$5:$BA$304,章节关卡!$AY$5:$AY$304,"="&amp;经验计算!N97)</f>
        <v>2800</v>
      </c>
      <c r="O98" s="130" t="s">
        <v>1084</v>
      </c>
      <c r="P98" s="14">
        <f>SUMIFS(章节关卡!$BI$5:$BI$304,章节关卡!$BG$5:$BG$304,"="&amp;经验计算!P97)</f>
        <v>7000</v>
      </c>
      <c r="R98" s="129">
        <v>1</v>
      </c>
      <c r="S98" s="21">
        <f>R98/$R$96</f>
        <v>0.18181818181818182</v>
      </c>
      <c r="T98" s="24">
        <f>INT($N$106*S98/5)*5</f>
        <v>5705</v>
      </c>
      <c r="W98" s="129">
        <v>94</v>
      </c>
      <c r="X98" s="14">
        <f t="shared" si="18"/>
        <v>61970</v>
      </c>
    </row>
    <row r="99" spans="1:25" ht="16.5" x14ac:dyDescent="0.2">
      <c r="A99" s="159">
        <v>46</v>
      </c>
      <c r="B99" s="17">
        <v>5990</v>
      </c>
      <c r="D99" s="188"/>
      <c r="E99" s="188"/>
      <c r="F99" s="188"/>
      <c r="G99" s="188"/>
      <c r="M99" s="124" t="s">
        <v>118</v>
      </c>
      <c r="N99" s="14">
        <f>SUMIFS(芦花古楼!$E$5:$E$104,芦花古楼!$A$5:$A$104,"&gt;"&amp;经验计算!O99,芦花古楼!$A$5:$A$104,"&lt;="&amp;经验计算!P99)</f>
        <v>0</v>
      </c>
      <c r="O99" s="123">
        <v>0</v>
      </c>
      <c r="P99" s="123">
        <v>0</v>
      </c>
      <c r="R99" s="129">
        <v>1.05</v>
      </c>
      <c r="S99" s="21">
        <f t="shared" ref="S99:S102" si="23">R99/$R$96</f>
        <v>0.19090909090909092</v>
      </c>
      <c r="T99" s="69">
        <f t="shared" ref="T99:T102" si="24">INT($N$106*S99/5)*5</f>
        <v>5990</v>
      </c>
      <c r="W99" s="129">
        <v>95</v>
      </c>
      <c r="X99" s="14">
        <f t="shared" si="18"/>
        <v>60250</v>
      </c>
    </row>
    <row r="100" spans="1:25" ht="16.5" x14ac:dyDescent="0.2">
      <c r="A100" s="159">
        <v>47</v>
      </c>
      <c r="B100" s="17">
        <v>6280</v>
      </c>
      <c r="D100" s="188"/>
      <c r="E100" s="188"/>
      <c r="F100" s="188"/>
      <c r="G100" s="188"/>
      <c r="M100" s="124" t="s">
        <v>120</v>
      </c>
      <c r="N100" s="14">
        <f>SUMIFS(芦花古楼!$P$5:$P$104,芦花古楼!$L$5:$L$104,"&gt;"&amp;经验计算!O100,芦花古楼!$L$5:$L$104,"&lt;="&amp;经验计算!P100)</f>
        <v>0</v>
      </c>
      <c r="O100" s="123">
        <v>0</v>
      </c>
      <c r="P100" s="123">
        <v>0</v>
      </c>
      <c r="R100" s="129">
        <v>1.1000000000000001</v>
      </c>
      <c r="S100" s="21">
        <f t="shared" si="23"/>
        <v>0.2</v>
      </c>
      <c r="T100" s="69">
        <f t="shared" si="24"/>
        <v>6280</v>
      </c>
      <c r="W100" s="129">
        <v>96</v>
      </c>
      <c r="X100" s="14">
        <f t="shared" si="18"/>
        <v>63265</v>
      </c>
    </row>
    <row r="101" spans="1:25" ht="16.5" x14ac:dyDescent="0.2">
      <c r="A101" s="159">
        <v>48</v>
      </c>
      <c r="B101" s="17">
        <v>6565</v>
      </c>
      <c r="D101" s="188"/>
      <c r="E101" s="188"/>
      <c r="F101" s="188"/>
      <c r="G101" s="188"/>
      <c r="M101" s="124" t="s">
        <v>119</v>
      </c>
      <c r="N101" s="14">
        <f>SUMIFS(芦花古楼!$AA$5:$AA$104,芦花古楼!$W$5:$W$104,"&gt;"&amp;经验计算!O101,芦花古楼!$W$5:$W$104,"&lt;="&amp;经验计算!P101)</f>
        <v>0</v>
      </c>
      <c r="O101" s="123">
        <v>0</v>
      </c>
      <c r="P101" s="123">
        <v>0</v>
      </c>
      <c r="R101" s="129">
        <v>1.1499999999999999</v>
      </c>
      <c r="S101" s="21">
        <f t="shared" si="23"/>
        <v>0.20909090909090908</v>
      </c>
      <c r="T101" s="69">
        <f t="shared" si="24"/>
        <v>6565</v>
      </c>
      <c r="W101" s="129">
        <v>97</v>
      </c>
      <c r="X101" s="14">
        <f t="shared" ref="X101:X132" si="25">INDEX(B:B,MATCH(W101,A:A))</f>
        <v>66280</v>
      </c>
    </row>
    <row r="102" spans="1:25" ht="16.5" x14ac:dyDescent="0.2">
      <c r="A102" s="159">
        <v>49</v>
      </c>
      <c r="B102" s="17">
        <v>6850</v>
      </c>
      <c r="D102" s="188"/>
      <c r="E102" s="188"/>
      <c r="F102" s="188"/>
      <c r="G102" s="188"/>
      <c r="M102" s="124" t="s">
        <v>121</v>
      </c>
      <c r="N102" s="14">
        <f>SUMIFS(芦花古楼!$AL$5:$AL$104,芦花古楼!$AH$5:$AH$104,"&gt;"&amp;经验计算!O102,芦花古楼!$AH$5:$AH$104,"&lt;="&amp;经验计算!P102)</f>
        <v>0</v>
      </c>
      <c r="O102" s="123">
        <v>0</v>
      </c>
      <c r="P102" s="123">
        <v>0</v>
      </c>
      <c r="R102" s="129">
        <v>1.2</v>
      </c>
      <c r="S102" s="21">
        <f t="shared" si="23"/>
        <v>0.21818181818181817</v>
      </c>
      <c r="T102" s="69">
        <f t="shared" si="24"/>
        <v>6850</v>
      </c>
      <c r="W102" s="129">
        <v>98</v>
      </c>
      <c r="X102" s="14">
        <f t="shared" si="25"/>
        <v>69290</v>
      </c>
    </row>
    <row r="103" spans="1:25" ht="16.5" x14ac:dyDescent="0.2">
      <c r="A103" s="128"/>
      <c r="B103" s="128"/>
      <c r="D103" s="188"/>
      <c r="E103" s="188"/>
      <c r="F103" s="188"/>
      <c r="G103" s="188"/>
      <c r="M103" s="124" t="s">
        <v>50</v>
      </c>
      <c r="N103" s="14"/>
      <c r="O103" s="14">
        <f>日常任务!$D$2*经验计算!N103</f>
        <v>0</v>
      </c>
      <c r="P103" s="126"/>
      <c r="R103" s="131"/>
      <c r="S103" s="131"/>
      <c r="T103" s="131"/>
      <c r="W103" s="129">
        <v>99</v>
      </c>
      <c r="X103" s="14">
        <f t="shared" si="25"/>
        <v>72305</v>
      </c>
    </row>
    <row r="104" spans="1:25" ht="16.5" x14ac:dyDescent="0.2">
      <c r="A104" s="128"/>
      <c r="B104" s="128"/>
      <c r="D104" s="188"/>
      <c r="E104" s="188"/>
      <c r="F104" s="188"/>
      <c r="G104" s="188"/>
      <c r="M104" s="124" t="s">
        <v>47</v>
      </c>
      <c r="N104" s="14">
        <f>INDEX(节奏总表!$N$5:$N$35,经验计算!N97)*60</f>
        <v>1800</v>
      </c>
      <c r="O104" s="14">
        <f>INDEX(章节关卡!$F$6:$F$35,经验计算!N97-1)*经验计算!N104</f>
        <v>21600</v>
      </c>
      <c r="P104" s="126"/>
      <c r="R104" s="131"/>
      <c r="S104" s="131"/>
      <c r="T104" s="131"/>
      <c r="W104" s="129">
        <v>100</v>
      </c>
      <c r="X104" s="14">
        <f t="shared" si="25"/>
        <v>66270</v>
      </c>
    </row>
    <row r="105" spans="1:25" ht="16.5" x14ac:dyDescent="0.2">
      <c r="A105" s="128"/>
      <c r="B105" s="128"/>
      <c r="D105" s="188"/>
      <c r="E105" s="188"/>
      <c r="F105" s="188"/>
      <c r="G105" s="188"/>
      <c r="M105" s="124" t="s">
        <v>43</v>
      </c>
      <c r="N105" s="19">
        <v>0</v>
      </c>
      <c r="O105" s="14">
        <f>N106*N105</f>
        <v>0</v>
      </c>
      <c r="P105" s="126"/>
      <c r="R105" s="131"/>
      <c r="S105" s="131"/>
      <c r="T105" s="131"/>
      <c r="W105" s="129">
        <v>101</v>
      </c>
      <c r="X105" s="14">
        <f t="shared" si="25"/>
        <v>69585</v>
      </c>
    </row>
    <row r="106" spans="1:25" ht="16.5" x14ac:dyDescent="0.2">
      <c r="A106" s="128"/>
      <c r="B106" s="128"/>
      <c r="D106" s="188"/>
      <c r="E106" s="188"/>
      <c r="F106" s="188"/>
      <c r="G106" s="188"/>
      <c r="M106" s="124" t="s">
        <v>42</v>
      </c>
      <c r="N106" s="14">
        <f>(N98+N99+N101+N100+N102+O103+O104+P98)/(1-N105)</f>
        <v>31400</v>
      </c>
      <c r="O106" s="125"/>
      <c r="P106" s="126"/>
      <c r="R106" s="131"/>
      <c r="S106" s="131"/>
      <c r="T106" s="131"/>
      <c r="W106" s="129">
        <v>102</v>
      </c>
      <c r="X106" s="14">
        <f t="shared" si="25"/>
        <v>72900</v>
      </c>
    </row>
    <row r="107" spans="1:25" ht="16.5" x14ac:dyDescent="0.2">
      <c r="A107" s="128"/>
      <c r="B107" s="128"/>
      <c r="D107" s="188"/>
      <c r="E107" s="188"/>
      <c r="F107" s="188"/>
      <c r="G107" s="188"/>
      <c r="R107" s="131"/>
      <c r="S107" s="131"/>
      <c r="T107" s="131"/>
      <c r="W107" s="129">
        <v>103</v>
      </c>
      <c r="X107" s="14">
        <f t="shared" si="25"/>
        <v>76210</v>
      </c>
    </row>
    <row r="108" spans="1:25" s="15" customFormat="1" ht="16.5" x14ac:dyDescent="0.2">
      <c r="V108" s="131"/>
      <c r="W108" s="129">
        <v>104</v>
      </c>
      <c r="X108" s="14">
        <f t="shared" si="25"/>
        <v>79525</v>
      </c>
      <c r="Y108" s="131"/>
    </row>
    <row r="109" spans="1:25" s="15" customFormat="1" ht="16.5" x14ac:dyDescent="0.2">
      <c r="R109" s="131">
        <f>SUM(R111:R115)</f>
        <v>5.5</v>
      </c>
      <c r="V109" s="131"/>
      <c r="W109" s="129">
        <v>105</v>
      </c>
      <c r="X109" s="14">
        <f t="shared" si="25"/>
        <v>74250</v>
      </c>
      <c r="Y109" s="131"/>
    </row>
    <row r="110" spans="1:25" s="15" customFormat="1" ht="17.25" x14ac:dyDescent="0.2">
      <c r="M110" s="124" t="s">
        <v>114</v>
      </c>
      <c r="N110" s="123">
        <v>9</v>
      </c>
      <c r="O110" s="124" t="s">
        <v>114</v>
      </c>
      <c r="P110" s="123">
        <v>8</v>
      </c>
      <c r="R110" s="12" t="s">
        <v>46</v>
      </c>
      <c r="S110" s="12" t="s">
        <v>44</v>
      </c>
      <c r="T110" s="12" t="s">
        <v>45</v>
      </c>
      <c r="V110" s="131"/>
      <c r="W110" s="129">
        <v>106</v>
      </c>
      <c r="X110" s="14">
        <f t="shared" si="25"/>
        <v>77965</v>
      </c>
      <c r="Y110" s="131"/>
    </row>
    <row r="111" spans="1:25" ht="15.75" customHeight="1" x14ac:dyDescent="0.2">
      <c r="A111" s="159">
        <v>50</v>
      </c>
      <c r="B111" s="17">
        <v>7410</v>
      </c>
      <c r="D111" s="188"/>
      <c r="E111" s="188"/>
      <c r="F111" s="188"/>
      <c r="G111" s="188"/>
      <c r="M111" s="130" t="s">
        <v>1085</v>
      </c>
      <c r="N111" s="14">
        <f>SUMIFS(章节关卡!$BA$5:$BA$304,章节关卡!$AY$5:$AY$304,"="&amp;经验计算!N110)</f>
        <v>3200</v>
      </c>
      <c r="O111" s="130" t="s">
        <v>1084</v>
      </c>
      <c r="P111" s="14">
        <f>SUMIFS(章节关卡!$BI$5:$BI$304,章节关卡!$BG$5:$BG$304,"="&amp;经验计算!P110)</f>
        <v>9000</v>
      </c>
      <c r="R111" s="129">
        <v>1</v>
      </c>
      <c r="S111" s="21">
        <f>R111/$R$109</f>
        <v>0.18181818181818182</v>
      </c>
      <c r="T111" s="24">
        <f>INT($N$119*S111/5)*5</f>
        <v>7410</v>
      </c>
      <c r="W111" s="129">
        <v>107</v>
      </c>
      <c r="X111" s="14">
        <f t="shared" si="25"/>
        <v>81680</v>
      </c>
    </row>
    <row r="112" spans="1:25" ht="16.5" x14ac:dyDescent="0.2">
      <c r="A112" s="159">
        <v>51</v>
      </c>
      <c r="B112" s="17">
        <v>7780</v>
      </c>
      <c r="D112" s="188"/>
      <c r="E112" s="188"/>
      <c r="F112" s="188"/>
      <c r="G112" s="188"/>
      <c r="M112" s="124" t="s">
        <v>118</v>
      </c>
      <c r="N112" s="14">
        <f>SUMIFS(芦花古楼!$E$5:$E$104,芦花古楼!$A$5:$A$104,"&gt;"&amp;经验计算!O112,芦花古楼!$A$5:$A$104,"&lt;="&amp;经验计算!P112)</f>
        <v>0</v>
      </c>
      <c r="O112" s="123">
        <v>0</v>
      </c>
      <c r="P112" s="123">
        <v>0</v>
      </c>
      <c r="R112" s="129">
        <v>1.05</v>
      </c>
      <c r="S112" s="21">
        <f t="shared" ref="S112:S115" si="26">R112/$R$109</f>
        <v>0.19090909090909092</v>
      </c>
      <c r="T112" s="69">
        <f t="shared" ref="T112:T115" si="27">INT($N$119*S112/5)*5</f>
        <v>7780</v>
      </c>
      <c r="W112" s="129">
        <v>108</v>
      </c>
      <c r="X112" s="14">
        <f t="shared" si="25"/>
        <v>85390</v>
      </c>
    </row>
    <row r="113" spans="1:25" ht="16.5" x14ac:dyDescent="0.2">
      <c r="A113" s="159">
        <v>52</v>
      </c>
      <c r="B113" s="17">
        <v>8150</v>
      </c>
      <c r="D113" s="188"/>
      <c r="E113" s="188"/>
      <c r="F113" s="188"/>
      <c r="G113" s="188"/>
      <c r="M113" s="124" t="s">
        <v>120</v>
      </c>
      <c r="N113" s="14">
        <f>SUMIFS(芦花古楼!$P$5:$P$104,芦花古楼!$L$5:$L$104,"&gt;"&amp;经验计算!O113,芦花古楼!$L$5:$L$104,"&lt;="&amp;经验计算!P113)</f>
        <v>0</v>
      </c>
      <c r="O113" s="123">
        <v>0</v>
      </c>
      <c r="P113" s="123">
        <v>0</v>
      </c>
      <c r="R113" s="129">
        <v>1.1000000000000001</v>
      </c>
      <c r="S113" s="21">
        <f t="shared" si="26"/>
        <v>0.2</v>
      </c>
      <c r="T113" s="69">
        <f t="shared" si="27"/>
        <v>8150</v>
      </c>
      <c r="W113" s="129">
        <v>109</v>
      </c>
      <c r="X113" s="14">
        <f t="shared" si="25"/>
        <v>89105</v>
      </c>
    </row>
    <row r="114" spans="1:25" ht="16.5" x14ac:dyDescent="0.2">
      <c r="A114" s="159">
        <v>53</v>
      </c>
      <c r="B114" s="17">
        <v>8520</v>
      </c>
      <c r="D114" s="188"/>
      <c r="E114" s="188"/>
      <c r="F114" s="188"/>
      <c r="G114" s="188"/>
      <c r="M114" s="124" t="s">
        <v>119</v>
      </c>
      <c r="N114" s="14">
        <f>SUMIFS(芦花古楼!$AA$5:$AA$104,芦花古楼!$W$5:$W$104,"&gt;"&amp;经验计算!O114,芦花古楼!$W$5:$W$104,"&lt;="&amp;经验计算!P114)</f>
        <v>0</v>
      </c>
      <c r="O114" s="123">
        <v>0</v>
      </c>
      <c r="P114" s="123">
        <v>0</v>
      </c>
      <c r="R114" s="129">
        <v>1.1499999999999999</v>
      </c>
      <c r="S114" s="21">
        <f t="shared" si="26"/>
        <v>0.20909090909090908</v>
      </c>
      <c r="T114" s="69">
        <f t="shared" si="27"/>
        <v>8520</v>
      </c>
      <c r="W114" s="129">
        <v>110</v>
      </c>
      <c r="X114" s="14">
        <f t="shared" si="25"/>
        <v>81950</v>
      </c>
    </row>
    <row r="115" spans="1:25" ht="16.5" x14ac:dyDescent="0.2">
      <c r="A115" s="159">
        <v>54</v>
      </c>
      <c r="B115" s="17">
        <v>8890</v>
      </c>
      <c r="D115" s="188"/>
      <c r="E115" s="188"/>
      <c r="F115" s="188"/>
      <c r="G115" s="188"/>
      <c r="M115" s="124" t="s">
        <v>121</v>
      </c>
      <c r="N115" s="14">
        <f>SUMIFS(芦花古楼!$AL$5:$AL$104,芦花古楼!$AH$5:$AH$104,"&gt;"&amp;经验计算!O115,芦花古楼!$AH$5:$AH$104,"&lt;="&amp;经验计算!P115)</f>
        <v>0</v>
      </c>
      <c r="O115" s="123">
        <v>0</v>
      </c>
      <c r="P115" s="123">
        <v>0</v>
      </c>
      <c r="R115" s="129">
        <v>1.2</v>
      </c>
      <c r="S115" s="21">
        <f t="shared" si="26"/>
        <v>0.21818181818181817</v>
      </c>
      <c r="T115" s="69">
        <f t="shared" si="27"/>
        <v>8890</v>
      </c>
      <c r="W115" s="129">
        <v>111</v>
      </c>
      <c r="X115" s="14">
        <f t="shared" si="25"/>
        <v>86050</v>
      </c>
    </row>
    <row r="116" spans="1:25" ht="16.5" x14ac:dyDescent="0.2">
      <c r="A116" s="128"/>
      <c r="B116" s="128"/>
      <c r="D116" s="188"/>
      <c r="E116" s="188"/>
      <c r="F116" s="188"/>
      <c r="G116" s="188"/>
      <c r="M116" s="124" t="s">
        <v>50</v>
      </c>
      <c r="N116" s="14"/>
      <c r="O116" s="14">
        <f>日常任务!$D$2*经验计算!N116</f>
        <v>0</v>
      </c>
      <c r="P116" s="126"/>
      <c r="R116" s="131"/>
      <c r="S116" s="131"/>
      <c r="T116" s="131"/>
      <c r="W116" s="129">
        <v>112</v>
      </c>
      <c r="X116" s="14">
        <f t="shared" si="25"/>
        <v>90145</v>
      </c>
    </row>
    <row r="117" spans="1:25" ht="16.5" x14ac:dyDescent="0.2">
      <c r="A117" s="128"/>
      <c r="B117" s="128"/>
      <c r="D117" s="188"/>
      <c r="E117" s="188"/>
      <c r="F117" s="188"/>
      <c r="G117" s="188"/>
      <c r="M117" s="124" t="s">
        <v>47</v>
      </c>
      <c r="N117" s="14">
        <f>INDEX(节奏总表!$N$5:$N$35,经验计算!N110)*60</f>
        <v>2040</v>
      </c>
      <c r="O117" s="14">
        <f>INDEX(章节关卡!$F$6:$F$35,经验计算!N110-1)*经验计算!N117</f>
        <v>28560</v>
      </c>
      <c r="P117" s="126"/>
      <c r="R117" s="131"/>
      <c r="S117" s="131"/>
      <c r="T117" s="131"/>
      <c r="W117" s="129">
        <v>113</v>
      </c>
      <c r="X117" s="14">
        <f t="shared" si="25"/>
        <v>94245</v>
      </c>
    </row>
    <row r="118" spans="1:25" ht="16.5" x14ac:dyDescent="0.2">
      <c r="A118" s="128"/>
      <c r="B118" s="128"/>
      <c r="D118" s="188"/>
      <c r="E118" s="188"/>
      <c r="F118" s="188"/>
      <c r="G118" s="188"/>
      <c r="M118" s="124" t="s">
        <v>43</v>
      </c>
      <c r="N118" s="19">
        <v>0</v>
      </c>
      <c r="O118" s="14">
        <f>N119*N118</f>
        <v>0</v>
      </c>
      <c r="P118" s="126"/>
      <c r="R118" s="131"/>
      <c r="S118" s="131"/>
      <c r="T118" s="131"/>
      <c r="W118" s="129">
        <v>114</v>
      </c>
      <c r="X118" s="14">
        <f t="shared" si="25"/>
        <v>98340</v>
      </c>
    </row>
    <row r="119" spans="1:25" ht="16.5" x14ac:dyDescent="0.2">
      <c r="A119" s="128"/>
      <c r="B119" s="128"/>
      <c r="D119" s="188"/>
      <c r="E119" s="188"/>
      <c r="F119" s="188"/>
      <c r="G119" s="188"/>
      <c r="M119" s="124" t="s">
        <v>42</v>
      </c>
      <c r="N119" s="14">
        <f>(N111+N112+N114+N113+N115+O116+O117+P111)/(1-N118)</f>
        <v>40760</v>
      </c>
      <c r="O119" s="125"/>
      <c r="P119" s="126"/>
      <c r="R119" s="131"/>
      <c r="S119" s="131"/>
      <c r="T119" s="131"/>
      <c r="W119" s="129">
        <v>115</v>
      </c>
      <c r="X119" s="14">
        <f t="shared" si="25"/>
        <v>92035</v>
      </c>
    </row>
    <row r="120" spans="1:25" ht="16.5" x14ac:dyDescent="0.2">
      <c r="A120" s="128"/>
      <c r="B120" s="128"/>
      <c r="D120" s="188"/>
      <c r="E120" s="188"/>
      <c r="F120" s="188"/>
      <c r="G120" s="188"/>
      <c r="R120" s="131"/>
      <c r="S120" s="131"/>
      <c r="T120" s="131"/>
      <c r="W120" s="129">
        <v>116</v>
      </c>
      <c r="X120" s="14">
        <f t="shared" si="25"/>
        <v>96635</v>
      </c>
    </row>
    <row r="121" spans="1:25" ht="16.5" x14ac:dyDescent="0.2">
      <c r="A121" s="128"/>
      <c r="B121" s="128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31"/>
      <c r="W121" s="129">
        <v>117</v>
      </c>
      <c r="X121" s="14">
        <f t="shared" si="25"/>
        <v>101240</v>
      </c>
      <c r="Y121" s="131"/>
    </row>
    <row r="122" spans="1:25" ht="16.5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31">
        <f>SUM(R124:R128)</f>
        <v>5.5</v>
      </c>
      <c r="S122" s="15"/>
      <c r="T122" s="15"/>
      <c r="U122" s="15"/>
      <c r="V122" s="131"/>
      <c r="W122" s="129">
        <v>118</v>
      </c>
      <c r="X122" s="14">
        <f t="shared" si="25"/>
        <v>105840</v>
      </c>
      <c r="Y122" s="131"/>
    </row>
    <row r="123" spans="1:25" ht="17.25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24" t="s">
        <v>114</v>
      </c>
      <c r="N123" s="123">
        <v>10</v>
      </c>
      <c r="O123" s="124" t="s">
        <v>114</v>
      </c>
      <c r="P123" s="123">
        <v>9</v>
      </c>
      <c r="Q123" s="15"/>
      <c r="R123" s="12" t="s">
        <v>46</v>
      </c>
      <c r="S123" s="12" t="s">
        <v>44</v>
      </c>
      <c r="T123" s="12" t="s">
        <v>45</v>
      </c>
      <c r="U123" s="15"/>
      <c r="V123" s="131"/>
      <c r="W123" s="129">
        <v>119</v>
      </c>
      <c r="X123" s="14">
        <f t="shared" si="25"/>
        <v>110440</v>
      </c>
      <c r="Y123" s="131"/>
    </row>
    <row r="124" spans="1:25" ht="16.5" x14ac:dyDescent="0.2">
      <c r="A124" s="159">
        <v>55</v>
      </c>
      <c r="B124" s="17">
        <v>9815</v>
      </c>
      <c r="D124" s="188"/>
      <c r="E124" s="188"/>
      <c r="F124" s="188"/>
      <c r="G124" s="188"/>
      <c r="M124" s="130" t="s">
        <v>1085</v>
      </c>
      <c r="N124" s="14">
        <f>SUMIFS(章节关卡!$BA$5:$BA$304,章节关卡!$AY$5:$AY$304,"="&amp;经验计算!N123)</f>
        <v>3600</v>
      </c>
      <c r="O124" s="130" t="s">
        <v>1084</v>
      </c>
      <c r="P124" s="14">
        <f>SUMIFS(章节关卡!$BI$5:$BI$304,章节关卡!$BG$5:$BG$304,"="&amp;经验计算!P123)</f>
        <v>12000</v>
      </c>
      <c r="R124" s="129">
        <v>1</v>
      </c>
      <c r="S124" s="21">
        <f>R124/$R$122</f>
        <v>0.18181818181818182</v>
      </c>
      <c r="T124" s="24">
        <f>INT($N$132*S124/5)*5</f>
        <v>9815</v>
      </c>
      <c r="W124" s="129">
        <v>120</v>
      </c>
      <c r="X124" s="14">
        <f t="shared" si="25"/>
        <v>107850</v>
      </c>
    </row>
    <row r="125" spans="1:25" ht="16.5" x14ac:dyDescent="0.2">
      <c r="A125" s="159">
        <v>56</v>
      </c>
      <c r="B125" s="17">
        <v>10305</v>
      </c>
      <c r="D125" s="188"/>
      <c r="E125" s="188"/>
      <c r="F125" s="188"/>
      <c r="G125" s="188"/>
      <c r="M125" s="124" t="s">
        <v>118</v>
      </c>
      <c r="N125" s="14">
        <f>SUMIFS(芦花古楼!$E$5:$E$104,芦花古楼!$A$5:$A$104,"&gt;"&amp;经验计算!O125,芦花古楼!$A$5:$A$104,"&lt;="&amp;经验计算!P125)</f>
        <v>0</v>
      </c>
      <c r="O125" s="123">
        <v>0</v>
      </c>
      <c r="P125" s="123">
        <v>0</v>
      </c>
      <c r="R125" s="129">
        <v>1.05</v>
      </c>
      <c r="S125" s="21">
        <f t="shared" ref="S125:S128" si="28">R125/$R$122</f>
        <v>0.19090909090909092</v>
      </c>
      <c r="T125" s="69">
        <f t="shared" ref="T125:T128" si="29">INT($N$132*S125/5)*5</f>
        <v>10305</v>
      </c>
      <c r="W125" s="129">
        <v>121</v>
      </c>
      <c r="X125" s="14">
        <f t="shared" si="25"/>
        <v>113245</v>
      </c>
    </row>
    <row r="126" spans="1:25" ht="16.5" x14ac:dyDescent="0.2">
      <c r="A126" s="159">
        <v>57</v>
      </c>
      <c r="B126" s="17">
        <v>10800</v>
      </c>
      <c r="D126" s="188"/>
      <c r="E126" s="188"/>
      <c r="F126" s="188"/>
      <c r="G126" s="188"/>
      <c r="M126" s="124" t="s">
        <v>120</v>
      </c>
      <c r="N126" s="14">
        <f>SUMIFS(芦花古楼!$P$5:$P$104,芦花古楼!$L$5:$L$104,"&gt;"&amp;经验计算!O126,芦花古楼!$L$5:$L$104,"&lt;="&amp;经验计算!P126)</f>
        <v>0</v>
      </c>
      <c r="O126" s="123">
        <v>0</v>
      </c>
      <c r="P126" s="123">
        <v>0</v>
      </c>
      <c r="R126" s="129">
        <v>1.1000000000000001</v>
      </c>
      <c r="S126" s="21">
        <f t="shared" si="28"/>
        <v>0.2</v>
      </c>
      <c r="T126" s="69">
        <f t="shared" si="29"/>
        <v>10800</v>
      </c>
      <c r="W126" s="129">
        <v>122</v>
      </c>
      <c r="X126" s="14">
        <f t="shared" si="25"/>
        <v>118640</v>
      </c>
    </row>
    <row r="127" spans="1:25" ht="16.5" x14ac:dyDescent="0.2">
      <c r="A127" s="159">
        <v>58</v>
      </c>
      <c r="B127" s="17">
        <v>11290</v>
      </c>
      <c r="D127" s="188"/>
      <c r="E127" s="188"/>
      <c r="F127" s="188"/>
      <c r="G127" s="188"/>
      <c r="M127" s="124" t="s">
        <v>119</v>
      </c>
      <c r="N127" s="14">
        <f>SUMIFS(芦花古楼!$AA$5:$AA$104,芦花古楼!$W$5:$W$104,"&gt;"&amp;经验计算!O127,芦花古楼!$W$5:$W$104,"&lt;="&amp;经验计算!P127)</f>
        <v>0</v>
      </c>
      <c r="O127" s="123">
        <v>0</v>
      </c>
      <c r="P127" s="123">
        <v>0</v>
      </c>
      <c r="R127" s="129">
        <v>1.1499999999999999</v>
      </c>
      <c r="S127" s="21">
        <f t="shared" si="28"/>
        <v>0.20909090909090908</v>
      </c>
      <c r="T127" s="69">
        <f t="shared" si="29"/>
        <v>11290</v>
      </c>
      <c r="W127" s="129">
        <v>123</v>
      </c>
      <c r="X127" s="14">
        <f t="shared" si="25"/>
        <v>124030</v>
      </c>
    </row>
    <row r="128" spans="1:25" ht="16.5" x14ac:dyDescent="0.2">
      <c r="A128" s="159">
        <v>59</v>
      </c>
      <c r="B128" s="17">
        <v>11780</v>
      </c>
      <c r="D128" s="188"/>
      <c r="E128" s="188"/>
      <c r="F128" s="188"/>
      <c r="G128" s="188"/>
      <c r="M128" s="124" t="s">
        <v>121</v>
      </c>
      <c r="N128" s="14">
        <f>SUMIFS(芦花古楼!$AL$5:$AL$104,芦花古楼!$AH$5:$AH$104,"&gt;"&amp;经验计算!O128,芦花古楼!$AH$5:$AH$104,"&lt;="&amp;经验计算!P128)</f>
        <v>0</v>
      </c>
      <c r="O128" s="123">
        <v>0</v>
      </c>
      <c r="P128" s="123">
        <v>0</v>
      </c>
      <c r="R128" s="129">
        <v>1.2</v>
      </c>
      <c r="S128" s="21">
        <f t="shared" si="28"/>
        <v>0.21818181818181817</v>
      </c>
      <c r="T128" s="69">
        <f t="shared" si="29"/>
        <v>11780</v>
      </c>
      <c r="W128" s="129">
        <v>124</v>
      </c>
      <c r="X128" s="14">
        <f t="shared" si="25"/>
        <v>129425</v>
      </c>
    </row>
    <row r="129" spans="1:25" ht="16.5" x14ac:dyDescent="0.2">
      <c r="A129" s="128"/>
      <c r="B129" s="128"/>
      <c r="D129" s="188"/>
      <c r="E129" s="188"/>
      <c r="F129" s="188"/>
      <c r="G129" s="188"/>
      <c r="M129" s="124" t="s">
        <v>50</v>
      </c>
      <c r="N129" s="14"/>
      <c r="O129" s="14">
        <f>日常任务!$D$2*经验计算!N129</f>
        <v>0</v>
      </c>
      <c r="P129" s="126"/>
      <c r="R129" s="131"/>
      <c r="S129" s="131"/>
      <c r="T129" s="131"/>
      <c r="W129" s="129">
        <v>125</v>
      </c>
      <c r="X129" s="14">
        <f t="shared" si="25"/>
        <v>129635</v>
      </c>
    </row>
    <row r="130" spans="1:25" ht="16.5" x14ac:dyDescent="0.2">
      <c r="A130" s="128"/>
      <c r="B130" s="128"/>
      <c r="D130" s="188"/>
      <c r="E130" s="188"/>
      <c r="F130" s="188"/>
      <c r="G130" s="188"/>
      <c r="M130" s="124" t="s">
        <v>47</v>
      </c>
      <c r="N130" s="14">
        <f>INDEX(节奏总表!$N$5:$N$35,经验计算!N123)*60</f>
        <v>2400</v>
      </c>
      <c r="O130" s="14">
        <f>INDEX(章节关卡!$F$6:$F$35,经验计算!N123-1)*经验计算!N130</f>
        <v>38400</v>
      </c>
      <c r="P130" s="126"/>
      <c r="R130" s="131"/>
      <c r="S130" s="131"/>
      <c r="T130" s="131"/>
      <c r="W130" s="129">
        <v>126</v>
      </c>
      <c r="X130" s="14">
        <f t="shared" si="25"/>
        <v>136115</v>
      </c>
    </row>
    <row r="131" spans="1:25" ht="16.5" x14ac:dyDescent="0.2">
      <c r="A131" s="128"/>
      <c r="B131" s="128"/>
      <c r="D131" s="188"/>
      <c r="E131" s="188"/>
      <c r="F131" s="188"/>
      <c r="G131" s="188"/>
      <c r="M131" s="124" t="s">
        <v>43</v>
      </c>
      <c r="N131" s="19">
        <v>0</v>
      </c>
      <c r="O131" s="14">
        <f>N132*N131</f>
        <v>0</v>
      </c>
      <c r="P131" s="126"/>
      <c r="R131" s="131"/>
      <c r="S131" s="131"/>
      <c r="T131" s="131"/>
      <c r="W131" s="129">
        <v>127</v>
      </c>
      <c r="X131" s="14">
        <f t="shared" si="25"/>
        <v>142600</v>
      </c>
    </row>
    <row r="132" spans="1:25" ht="16.5" x14ac:dyDescent="0.2">
      <c r="A132" s="128"/>
      <c r="B132" s="128"/>
      <c r="D132" s="188"/>
      <c r="E132" s="188"/>
      <c r="F132" s="188"/>
      <c r="G132" s="188"/>
      <c r="M132" s="124" t="s">
        <v>42</v>
      </c>
      <c r="N132" s="14">
        <f>(N124+N125+N127+N126+N128+O129+O130+P124)/(1-N131)</f>
        <v>54000</v>
      </c>
      <c r="O132" s="125"/>
      <c r="P132" s="126"/>
      <c r="R132" s="131"/>
      <c r="S132" s="131"/>
      <c r="T132" s="131"/>
      <c r="W132" s="129">
        <v>128</v>
      </c>
      <c r="X132" s="14">
        <f t="shared" si="25"/>
        <v>149080</v>
      </c>
    </row>
    <row r="133" spans="1:25" ht="16.5" x14ac:dyDescent="0.2">
      <c r="A133" s="128"/>
      <c r="B133" s="128"/>
      <c r="D133" s="188"/>
      <c r="E133" s="188"/>
      <c r="F133" s="188"/>
      <c r="G133" s="188"/>
      <c r="R133" s="131"/>
      <c r="S133" s="131"/>
      <c r="T133" s="131"/>
      <c r="W133" s="129">
        <v>129</v>
      </c>
      <c r="X133" s="14">
        <f t="shared" ref="X133:X154" si="30">INDEX(B:B,MATCH(W133,A:A))</f>
        <v>155560</v>
      </c>
    </row>
    <row r="134" spans="1:25" ht="16.5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31"/>
      <c r="W134" s="129">
        <v>130</v>
      </c>
      <c r="X134" s="14">
        <f t="shared" si="30"/>
        <v>165450</v>
      </c>
      <c r="Y134" s="131"/>
    </row>
    <row r="135" spans="1:25" ht="16.5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31"/>
      <c r="W135" s="129">
        <v>131</v>
      </c>
      <c r="X135" s="14">
        <f t="shared" si="30"/>
        <v>173725</v>
      </c>
      <c r="Y135" s="131"/>
    </row>
    <row r="136" spans="1:25" ht="16.5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31">
        <f>SUM(R138:R142)</f>
        <v>5.5</v>
      </c>
      <c r="S136" s="15"/>
      <c r="T136" s="15"/>
      <c r="U136" s="15"/>
      <c r="V136" s="131"/>
      <c r="W136" s="129">
        <v>132</v>
      </c>
      <c r="X136" s="14">
        <f t="shared" si="30"/>
        <v>182000</v>
      </c>
      <c r="Y136" s="131"/>
    </row>
    <row r="137" spans="1:25" ht="17.25" x14ac:dyDescent="0.2">
      <c r="A137" s="159">
        <v>60</v>
      </c>
      <c r="B137" s="17">
        <v>12290</v>
      </c>
      <c r="D137" s="188"/>
      <c r="E137" s="188"/>
      <c r="F137" s="188"/>
      <c r="G137" s="188"/>
      <c r="M137" s="124" t="s">
        <v>114</v>
      </c>
      <c r="N137" s="123">
        <v>11</v>
      </c>
      <c r="O137" s="124" t="s">
        <v>114</v>
      </c>
      <c r="P137" s="123">
        <v>10</v>
      </c>
      <c r="Q137" s="15"/>
      <c r="R137" s="12" t="s">
        <v>46</v>
      </c>
      <c r="S137" s="12" t="s">
        <v>44</v>
      </c>
      <c r="T137" s="12" t="s">
        <v>45</v>
      </c>
      <c r="W137" s="129">
        <v>133</v>
      </c>
      <c r="X137" s="14">
        <f t="shared" si="30"/>
        <v>190270</v>
      </c>
    </row>
    <row r="138" spans="1:25" ht="16.5" x14ac:dyDescent="0.2">
      <c r="A138" s="159">
        <v>61</v>
      </c>
      <c r="B138" s="17">
        <v>12905</v>
      </c>
      <c r="D138" s="188"/>
      <c r="E138" s="188"/>
      <c r="F138" s="188"/>
      <c r="G138" s="188"/>
      <c r="M138" s="130" t="s">
        <v>1085</v>
      </c>
      <c r="N138" s="14">
        <f>SUMIFS(章节关卡!$BA$5:$BA$304,章节关卡!$AY$5:$AY$304,"="&amp;经验计算!N137)</f>
        <v>4000</v>
      </c>
      <c r="O138" s="130" t="s">
        <v>1084</v>
      </c>
      <c r="P138" s="14">
        <f>SUMIFS(章节关卡!$BI$5:$BI$304,章节关卡!$BG$5:$BG$304,"="&amp;经验计算!P137)</f>
        <v>15000</v>
      </c>
      <c r="R138" s="129">
        <v>1</v>
      </c>
      <c r="S138" s="21">
        <f>R138/$R$122</f>
        <v>0.18181818181818182</v>
      </c>
      <c r="T138" s="42">
        <f>INT($N$146*S138/5)*5</f>
        <v>12290</v>
      </c>
      <c r="W138" s="129">
        <v>134</v>
      </c>
      <c r="X138" s="14">
        <f t="shared" si="30"/>
        <v>198545</v>
      </c>
    </row>
    <row r="139" spans="1:25" ht="16.5" x14ac:dyDescent="0.2">
      <c r="A139" s="159">
        <v>62</v>
      </c>
      <c r="B139" s="17">
        <v>13520</v>
      </c>
      <c r="D139" s="188"/>
      <c r="E139" s="188"/>
      <c r="F139" s="188"/>
      <c r="G139" s="188"/>
      <c r="M139" s="124" t="s">
        <v>118</v>
      </c>
      <c r="N139" s="14">
        <f>SUMIFS(芦花古楼!$E$5:$E$104,芦花古楼!$A$5:$A$104,"&gt;"&amp;经验计算!O139,芦花古楼!$A$5:$A$104,"&lt;="&amp;经验计算!P139)</f>
        <v>0</v>
      </c>
      <c r="O139" s="123">
        <v>0</v>
      </c>
      <c r="P139" s="123">
        <v>0</v>
      </c>
      <c r="R139" s="129">
        <v>1.05</v>
      </c>
      <c r="S139" s="21">
        <f t="shared" ref="S139:S142" si="31">R139/$R$122</f>
        <v>0.19090909090909092</v>
      </c>
      <c r="T139" s="69">
        <f t="shared" ref="T139:T142" si="32">INT($N$146*S139/5)*5</f>
        <v>12905</v>
      </c>
      <c r="W139" s="129">
        <v>135</v>
      </c>
      <c r="X139" s="14">
        <f t="shared" si="30"/>
        <v>213725</v>
      </c>
    </row>
    <row r="140" spans="1:25" ht="16.5" x14ac:dyDescent="0.2">
      <c r="A140" s="159">
        <v>63</v>
      </c>
      <c r="B140" s="17">
        <v>14130</v>
      </c>
      <c r="D140" s="188"/>
      <c r="E140" s="188"/>
      <c r="F140" s="188"/>
      <c r="G140" s="188"/>
      <c r="M140" s="124" t="s">
        <v>120</v>
      </c>
      <c r="N140" s="14">
        <f>SUMIFS(芦花古楼!$P$5:$P$104,芦花古楼!$L$5:$L$104,"&gt;"&amp;经验计算!O140,芦花古楼!$L$5:$L$104,"&lt;="&amp;经验计算!P140)</f>
        <v>0</v>
      </c>
      <c r="O140" s="123">
        <v>0</v>
      </c>
      <c r="P140" s="123">
        <v>0</v>
      </c>
      <c r="R140" s="129">
        <v>1.1000000000000001</v>
      </c>
      <c r="S140" s="21">
        <f t="shared" si="31"/>
        <v>0.2</v>
      </c>
      <c r="T140" s="69">
        <f t="shared" si="32"/>
        <v>13520</v>
      </c>
      <c r="W140" s="129">
        <v>136</v>
      </c>
      <c r="X140" s="14">
        <f t="shared" si="30"/>
        <v>224410</v>
      </c>
    </row>
    <row r="141" spans="1:25" ht="16.5" x14ac:dyDescent="0.2">
      <c r="A141" s="159">
        <v>64</v>
      </c>
      <c r="B141" s="17">
        <v>14745</v>
      </c>
      <c r="D141" s="188"/>
      <c r="E141" s="188"/>
      <c r="F141" s="188"/>
      <c r="G141" s="188"/>
      <c r="M141" s="124" t="s">
        <v>119</v>
      </c>
      <c r="N141" s="14">
        <f>SUMIFS(芦花古楼!$AA$5:$AA$104,芦花古楼!$W$5:$W$104,"&gt;"&amp;经验计算!O141,芦花古楼!$W$5:$W$104,"&lt;="&amp;经验计算!P141)</f>
        <v>0</v>
      </c>
      <c r="O141" s="123">
        <v>0</v>
      </c>
      <c r="P141" s="123">
        <v>0</v>
      </c>
      <c r="R141" s="129">
        <v>1.1499999999999999</v>
      </c>
      <c r="S141" s="21">
        <f t="shared" si="31"/>
        <v>0.20909090909090908</v>
      </c>
      <c r="T141" s="69">
        <f t="shared" si="32"/>
        <v>14130</v>
      </c>
      <c r="W141" s="129">
        <v>137</v>
      </c>
      <c r="X141" s="14">
        <f t="shared" si="30"/>
        <v>235100</v>
      </c>
    </row>
    <row r="142" spans="1:25" ht="16.5" x14ac:dyDescent="0.2">
      <c r="A142" s="128"/>
      <c r="B142" s="128"/>
      <c r="D142" s="188"/>
      <c r="E142" s="188"/>
      <c r="F142" s="188"/>
      <c r="G142" s="188"/>
      <c r="M142" s="124" t="s">
        <v>121</v>
      </c>
      <c r="N142" s="14">
        <f>SUMIFS(芦花古楼!$AL$5:$AL$104,芦花古楼!$AH$5:$AH$104,"&gt;"&amp;经验计算!O142,芦花古楼!$AH$5:$AH$104,"&lt;="&amp;经验计算!P142)</f>
        <v>0</v>
      </c>
      <c r="O142" s="123">
        <v>0</v>
      </c>
      <c r="P142" s="123">
        <v>0</v>
      </c>
      <c r="R142" s="129">
        <v>1.2</v>
      </c>
      <c r="S142" s="21">
        <f t="shared" si="31"/>
        <v>0.21818181818181817</v>
      </c>
      <c r="T142" s="69">
        <f t="shared" si="32"/>
        <v>14745</v>
      </c>
      <c r="W142" s="129">
        <v>138</v>
      </c>
      <c r="X142" s="14">
        <f t="shared" si="30"/>
        <v>245785</v>
      </c>
    </row>
    <row r="143" spans="1:25" ht="16.5" x14ac:dyDescent="0.2">
      <c r="A143" s="128"/>
      <c r="B143" s="128"/>
      <c r="D143" s="188"/>
      <c r="E143" s="188"/>
      <c r="F143" s="188"/>
      <c r="G143" s="188"/>
      <c r="M143" s="124" t="s">
        <v>50</v>
      </c>
      <c r="N143" s="14"/>
      <c r="O143" s="14">
        <f>日常任务!$D$2*经验计算!N143</f>
        <v>0</v>
      </c>
      <c r="P143" s="126"/>
      <c r="R143" s="131"/>
      <c r="S143" s="131"/>
      <c r="T143" s="131"/>
      <c r="W143" s="129">
        <v>139</v>
      </c>
      <c r="X143" s="14">
        <f t="shared" si="30"/>
        <v>256470</v>
      </c>
    </row>
    <row r="144" spans="1:25" ht="16.5" x14ac:dyDescent="0.2">
      <c r="A144" s="128"/>
      <c r="B144" s="128"/>
      <c r="D144" s="188"/>
      <c r="E144" s="188"/>
      <c r="F144" s="188"/>
      <c r="G144" s="188"/>
      <c r="M144" s="124" t="s">
        <v>47</v>
      </c>
      <c r="N144" s="14">
        <f>INDEX(节奏总表!$N$5:$N$35,经验计算!N137)*60</f>
        <v>2700</v>
      </c>
      <c r="O144" s="14">
        <f>INDEX(章节关卡!$F$6:$F$35,经验计算!N137-1)*经验计算!N144</f>
        <v>48600</v>
      </c>
      <c r="P144" s="126"/>
      <c r="R144" s="131"/>
      <c r="S144" s="131"/>
      <c r="T144" s="131"/>
      <c r="W144" s="129">
        <v>140</v>
      </c>
      <c r="X144" s="14">
        <f t="shared" si="30"/>
        <v>276635</v>
      </c>
    </row>
    <row r="145" spans="1:25" ht="16.5" x14ac:dyDescent="0.2">
      <c r="A145" s="128"/>
      <c r="B145" s="128"/>
      <c r="D145" s="188"/>
      <c r="E145" s="188"/>
      <c r="F145" s="188"/>
      <c r="G145" s="188"/>
      <c r="M145" s="124" t="s">
        <v>43</v>
      </c>
      <c r="N145" s="19">
        <v>0</v>
      </c>
      <c r="O145" s="14">
        <f>N146*N145</f>
        <v>0</v>
      </c>
      <c r="P145" s="126"/>
      <c r="R145" s="131"/>
      <c r="S145" s="131"/>
      <c r="T145" s="131"/>
      <c r="W145" s="129">
        <v>141</v>
      </c>
      <c r="X145" s="14">
        <f t="shared" si="30"/>
        <v>290465</v>
      </c>
    </row>
    <row r="146" spans="1:25" ht="16.5" x14ac:dyDescent="0.2">
      <c r="A146" s="128"/>
      <c r="B146" s="128"/>
      <c r="D146" s="188"/>
      <c r="E146" s="188"/>
      <c r="F146" s="188"/>
      <c r="G146" s="188"/>
      <c r="M146" s="124" t="s">
        <v>42</v>
      </c>
      <c r="N146" s="14">
        <f>(N138+N139+N141+N140+N142+O143+O144+P138)/(1-N145)</f>
        <v>67600</v>
      </c>
      <c r="O146" s="125"/>
      <c r="P146" s="126"/>
      <c r="R146" s="131"/>
      <c r="S146" s="131"/>
      <c r="T146" s="131"/>
      <c r="W146" s="129">
        <v>142</v>
      </c>
      <c r="X146" s="14">
        <f t="shared" si="30"/>
        <v>304300</v>
      </c>
    </row>
    <row r="147" spans="1:25" s="15" customFormat="1" ht="16.5" x14ac:dyDescent="0.2">
      <c r="A147" s="128"/>
      <c r="B147" s="128"/>
      <c r="M147"/>
      <c r="N147"/>
      <c r="O147"/>
      <c r="P147"/>
      <c r="Q147"/>
      <c r="R147" s="131"/>
      <c r="S147" s="131"/>
      <c r="T147" s="131"/>
      <c r="V147" s="131"/>
      <c r="W147" s="129">
        <v>143</v>
      </c>
      <c r="X147" s="14">
        <f t="shared" si="30"/>
        <v>318130</v>
      </c>
      <c r="Y147" s="131"/>
    </row>
    <row r="148" spans="1:25" s="15" customFormat="1" ht="16.5" x14ac:dyDescent="0.2">
      <c r="V148" s="131"/>
      <c r="W148" s="129">
        <v>144</v>
      </c>
      <c r="X148" s="14">
        <f t="shared" si="30"/>
        <v>331960</v>
      </c>
      <c r="Y148" s="131"/>
    </row>
    <row r="149" spans="1:25" s="15" customFormat="1" ht="16.5" x14ac:dyDescent="0.2">
      <c r="V149" s="131"/>
      <c r="W149" s="129">
        <v>145</v>
      </c>
      <c r="X149" s="14">
        <f t="shared" si="30"/>
        <v>327815</v>
      </c>
      <c r="Y149" s="131"/>
    </row>
    <row r="150" spans="1:25" s="15" customFormat="1" ht="16.5" x14ac:dyDescent="0.2">
      <c r="R150" s="131">
        <f>SUM(R152:R156)</f>
        <v>5.5</v>
      </c>
      <c r="V150" s="131"/>
      <c r="W150" s="129">
        <v>146</v>
      </c>
      <c r="X150" s="14">
        <f t="shared" si="30"/>
        <v>344205</v>
      </c>
      <c r="Y150" s="131"/>
    </row>
    <row r="151" spans="1:25" ht="17.25" x14ac:dyDescent="0.2">
      <c r="A151" s="159">
        <v>65</v>
      </c>
      <c r="B151" s="17">
        <v>15380</v>
      </c>
      <c r="D151" s="188"/>
      <c r="E151" s="188"/>
      <c r="F151" s="188"/>
      <c r="G151" s="188"/>
      <c r="M151" s="124" t="s">
        <v>114</v>
      </c>
      <c r="N151" s="123">
        <v>12</v>
      </c>
      <c r="O151" s="124" t="s">
        <v>114</v>
      </c>
      <c r="P151" s="123">
        <v>11</v>
      </c>
      <c r="Q151" s="15"/>
      <c r="R151" s="12" t="s">
        <v>46</v>
      </c>
      <c r="S151" s="12" t="s">
        <v>44</v>
      </c>
      <c r="T151" s="12" t="s">
        <v>45</v>
      </c>
      <c r="W151" s="129">
        <v>147</v>
      </c>
      <c r="X151" s="14">
        <f t="shared" si="30"/>
        <v>360600</v>
      </c>
    </row>
    <row r="152" spans="1:25" ht="16.5" x14ac:dyDescent="0.2">
      <c r="A152" s="159">
        <v>66</v>
      </c>
      <c r="B152" s="17">
        <v>16150</v>
      </c>
      <c r="D152" s="188"/>
      <c r="E152" s="188"/>
      <c r="F152" s="188"/>
      <c r="G152" s="188"/>
      <c r="M152" s="130" t="s">
        <v>1085</v>
      </c>
      <c r="N152" s="14">
        <f>SUMIFS(章节关卡!$BA$5:$BA$304,章节关卡!$AY$5:$AY$304,"="&amp;经验计算!N151)</f>
        <v>4400</v>
      </c>
      <c r="O152" s="130" t="s">
        <v>1084</v>
      </c>
      <c r="P152" s="14">
        <f>SUMIFS(章节关卡!$BI$5:$BI$304,章节关卡!$BG$5:$BG$304,"="&amp;经验计算!P151)</f>
        <v>19000</v>
      </c>
      <c r="R152" s="129">
        <v>1</v>
      </c>
      <c r="S152" s="21">
        <f>R152/$R$122</f>
        <v>0.18181818181818182</v>
      </c>
      <c r="T152" s="42">
        <f>INT($N$160*S152/5)*5</f>
        <v>15380</v>
      </c>
      <c r="W152" s="129">
        <v>148</v>
      </c>
      <c r="X152" s="14">
        <f t="shared" si="30"/>
        <v>376990</v>
      </c>
    </row>
    <row r="153" spans="1:25" ht="16.5" x14ac:dyDescent="0.2">
      <c r="A153" s="159">
        <v>67</v>
      </c>
      <c r="B153" s="17">
        <v>16920</v>
      </c>
      <c r="D153" s="188"/>
      <c r="E153" s="188"/>
      <c r="F153" s="188"/>
      <c r="G153" s="188"/>
      <c r="M153" s="124" t="s">
        <v>118</v>
      </c>
      <c r="N153" s="14">
        <f>SUMIFS(芦花古楼!$E$5:$E$104,芦花古楼!$A$5:$A$104,"&gt;"&amp;经验计算!O153,芦花古楼!$A$5:$A$104,"&lt;="&amp;经验计算!P153)</f>
        <v>0</v>
      </c>
      <c r="O153" s="123">
        <v>0</v>
      </c>
      <c r="P153" s="123">
        <v>0</v>
      </c>
      <c r="R153" s="129">
        <v>1.05</v>
      </c>
      <c r="S153" s="21">
        <f t="shared" ref="S153:S156" si="33">R153/$R$122</f>
        <v>0.19090909090909092</v>
      </c>
      <c r="T153" s="69">
        <f t="shared" ref="T153:T156" si="34">INT($N$160*S153/5)*5</f>
        <v>16150</v>
      </c>
      <c r="W153" s="129">
        <v>149</v>
      </c>
      <c r="X153" s="14">
        <f t="shared" si="30"/>
        <v>393380</v>
      </c>
    </row>
    <row r="154" spans="1:25" ht="16.5" x14ac:dyDescent="0.2">
      <c r="A154" s="159">
        <v>68</v>
      </c>
      <c r="B154" s="17">
        <v>17685</v>
      </c>
      <c r="D154" s="188"/>
      <c r="E154" s="188"/>
      <c r="F154" s="188"/>
      <c r="G154" s="188"/>
      <c r="M154" s="124" t="s">
        <v>120</v>
      </c>
      <c r="N154" s="14">
        <f>SUMIFS(芦花古楼!$P$5:$P$104,芦花古楼!$L$5:$L$104,"&gt;"&amp;经验计算!O154,芦花古楼!$L$5:$L$104,"&lt;="&amp;经验计算!P154)</f>
        <v>0</v>
      </c>
      <c r="O154" s="123">
        <v>0</v>
      </c>
      <c r="P154" s="123">
        <v>0</v>
      </c>
      <c r="R154" s="129">
        <v>1.1000000000000001</v>
      </c>
      <c r="S154" s="21">
        <f t="shared" si="33"/>
        <v>0.2</v>
      </c>
      <c r="T154" s="69">
        <f t="shared" si="34"/>
        <v>16920</v>
      </c>
      <c r="W154" s="129">
        <v>150</v>
      </c>
      <c r="X154" s="14">
        <f t="shared" si="30"/>
        <v>409770</v>
      </c>
    </row>
    <row r="155" spans="1:25" ht="16.5" x14ac:dyDescent="0.2">
      <c r="A155" s="159">
        <v>69</v>
      </c>
      <c r="B155" s="17">
        <v>18455</v>
      </c>
      <c r="D155" s="188"/>
      <c r="E155" s="188"/>
      <c r="F155" s="188"/>
      <c r="G155" s="188"/>
      <c r="M155" s="124" t="s">
        <v>119</v>
      </c>
      <c r="N155" s="14">
        <f>SUMIFS(芦花古楼!$AA$5:$AA$104,芦花古楼!$W$5:$W$104,"&gt;"&amp;经验计算!O155,芦花古楼!$W$5:$W$104,"&lt;="&amp;经验计算!P155)</f>
        <v>0</v>
      </c>
      <c r="O155" s="123">
        <v>0</v>
      </c>
      <c r="P155" s="123">
        <v>0</v>
      </c>
      <c r="R155" s="129">
        <v>1.1499999999999999</v>
      </c>
      <c r="S155" s="21">
        <f t="shared" si="33"/>
        <v>0.20909090909090908</v>
      </c>
      <c r="T155" s="69">
        <f t="shared" si="34"/>
        <v>17685</v>
      </c>
    </row>
    <row r="156" spans="1:25" ht="16.5" x14ac:dyDescent="0.2">
      <c r="A156" s="128"/>
      <c r="B156" s="128"/>
      <c r="D156" s="188"/>
      <c r="E156" s="188"/>
      <c r="F156" s="188"/>
      <c r="G156" s="188"/>
      <c r="M156" s="124" t="s">
        <v>121</v>
      </c>
      <c r="N156" s="14">
        <f>SUMIFS(芦花古楼!$AL$5:$AL$104,芦花古楼!$AH$5:$AH$104,"&gt;"&amp;经验计算!O156,芦花古楼!$AH$5:$AH$104,"&lt;="&amp;经验计算!P156)</f>
        <v>0</v>
      </c>
      <c r="O156" s="123">
        <v>0</v>
      </c>
      <c r="P156" s="123">
        <v>0</v>
      </c>
      <c r="R156" s="129">
        <v>1.2</v>
      </c>
      <c r="S156" s="21">
        <f t="shared" si="33"/>
        <v>0.21818181818181817</v>
      </c>
      <c r="T156" s="69">
        <f t="shared" si="34"/>
        <v>18455</v>
      </c>
    </row>
    <row r="157" spans="1:25" ht="16.5" x14ac:dyDescent="0.2">
      <c r="A157" s="128"/>
      <c r="B157" s="128"/>
      <c r="D157" s="188"/>
      <c r="E157" s="188"/>
      <c r="F157" s="188"/>
      <c r="G157" s="188"/>
      <c r="M157" s="124" t="s">
        <v>50</v>
      </c>
      <c r="N157" s="14"/>
      <c r="O157" s="14">
        <f>日常任务!$D$2*经验计算!N157</f>
        <v>0</v>
      </c>
      <c r="P157" s="126"/>
      <c r="R157" s="131"/>
      <c r="S157" s="131"/>
      <c r="T157" s="131"/>
    </row>
    <row r="158" spans="1:25" ht="16.5" x14ac:dyDescent="0.2">
      <c r="A158" s="128"/>
      <c r="B158" s="128"/>
      <c r="D158" s="188"/>
      <c r="E158" s="188"/>
      <c r="F158" s="188"/>
      <c r="G158" s="188"/>
      <c r="M158" s="124" t="s">
        <v>47</v>
      </c>
      <c r="N158" s="14">
        <f>INDEX(节奏总表!$N$5:$N$35,经验计算!N151)*60</f>
        <v>3060</v>
      </c>
      <c r="O158" s="14">
        <f>INDEX(章节关卡!$F$6:$F$35,经验计算!N151-1)*经验计算!N158</f>
        <v>61200</v>
      </c>
      <c r="P158" s="126"/>
      <c r="R158" s="131"/>
      <c r="S158" s="131"/>
      <c r="T158" s="131"/>
    </row>
    <row r="159" spans="1:25" ht="16.5" x14ac:dyDescent="0.2">
      <c r="A159" s="128"/>
      <c r="B159" s="128"/>
      <c r="D159" s="188"/>
      <c r="E159" s="188"/>
      <c r="F159" s="188"/>
      <c r="G159" s="188"/>
      <c r="M159" s="124" t="s">
        <v>43</v>
      </c>
      <c r="N159" s="19">
        <v>0</v>
      </c>
      <c r="O159" s="14">
        <f>N160*N159</f>
        <v>0</v>
      </c>
      <c r="P159" s="126"/>
      <c r="R159" s="131"/>
      <c r="S159" s="131"/>
      <c r="T159" s="131"/>
    </row>
    <row r="160" spans="1:25" ht="16.5" x14ac:dyDescent="0.2">
      <c r="A160" s="128"/>
      <c r="B160" s="128"/>
      <c r="D160" s="188"/>
      <c r="E160" s="188"/>
      <c r="F160" s="188"/>
      <c r="G160" s="188"/>
      <c r="M160" s="124" t="s">
        <v>42</v>
      </c>
      <c r="N160" s="14">
        <f>(N152+N153+N155+N154+N156+O157+O158+P152)/(1-N159)</f>
        <v>84600</v>
      </c>
      <c r="O160" s="125"/>
      <c r="P160" s="126"/>
      <c r="R160" s="131"/>
      <c r="S160" s="131"/>
      <c r="T160" s="131"/>
    </row>
    <row r="161" spans="1:25" s="15" customFormat="1" x14ac:dyDescent="0.2">
      <c r="M161"/>
      <c r="N161"/>
      <c r="O161"/>
      <c r="P161"/>
      <c r="Q161"/>
      <c r="R161" s="131"/>
      <c r="S161" s="131"/>
      <c r="T161" s="131"/>
      <c r="V161" s="131"/>
      <c r="X161" s="131"/>
      <c r="Y161" s="131"/>
    </row>
    <row r="162" spans="1:25" s="15" customFormat="1" x14ac:dyDescent="0.2">
      <c r="V162" s="131"/>
      <c r="X162" s="131"/>
      <c r="Y162" s="131"/>
    </row>
    <row r="163" spans="1:25" s="15" customFormat="1" x14ac:dyDescent="0.2">
      <c r="V163" s="131"/>
      <c r="X163" s="131"/>
      <c r="Y163" s="131"/>
    </row>
    <row r="164" spans="1:25" s="15" customFormat="1" x14ac:dyDescent="0.2">
      <c r="R164" s="131">
        <f>SUM(R166:R170)</f>
        <v>5.5</v>
      </c>
      <c r="V164" s="131"/>
      <c r="X164" s="131"/>
      <c r="Y164" s="131"/>
    </row>
    <row r="165" spans="1:25" ht="17.25" x14ac:dyDescent="0.2">
      <c r="A165" s="159">
        <v>70</v>
      </c>
      <c r="B165" s="17">
        <v>21325</v>
      </c>
      <c r="D165" s="188"/>
      <c r="E165" s="188"/>
      <c r="F165" s="188"/>
      <c r="G165" s="188"/>
      <c r="M165" s="124" t="s">
        <v>114</v>
      </c>
      <c r="N165" s="123">
        <v>13</v>
      </c>
      <c r="O165" s="124" t="s">
        <v>114</v>
      </c>
      <c r="P165" s="123">
        <v>12</v>
      </c>
      <c r="Q165" s="15"/>
      <c r="R165" s="12" t="s">
        <v>46</v>
      </c>
      <c r="S165" s="12" t="s">
        <v>44</v>
      </c>
      <c r="T165" s="12" t="s">
        <v>45</v>
      </c>
    </row>
    <row r="166" spans="1:25" ht="16.5" x14ac:dyDescent="0.2">
      <c r="A166" s="159">
        <v>71</v>
      </c>
      <c r="B166" s="17">
        <v>22390</v>
      </c>
      <c r="D166" s="188"/>
      <c r="E166" s="188"/>
      <c r="F166" s="188"/>
      <c r="G166" s="188"/>
      <c r="M166" s="130" t="s">
        <v>1085</v>
      </c>
      <c r="N166" s="14">
        <f>SUMIFS(章节关卡!$BA$5:$BA$304,章节关卡!$AY$5:$AY$304,"="&amp;经验计算!N165)</f>
        <v>5000</v>
      </c>
      <c r="O166" s="130" t="s">
        <v>1084</v>
      </c>
      <c r="P166" s="14">
        <f>SUMIFS(章节关卡!$BI$5:$BI$304,章节关卡!$BG$5:$BG$304,"="&amp;经验计算!P165)</f>
        <v>26500</v>
      </c>
      <c r="R166" s="129">
        <v>1</v>
      </c>
      <c r="S166" s="21">
        <f>R166/$R$122</f>
        <v>0.18181818181818182</v>
      </c>
      <c r="T166" s="42">
        <f>INT($N$174*S166/5)*5</f>
        <v>21325</v>
      </c>
    </row>
    <row r="167" spans="1:25" ht="16.5" x14ac:dyDescent="0.2">
      <c r="A167" s="159">
        <v>72</v>
      </c>
      <c r="B167" s="17">
        <v>23460</v>
      </c>
      <c r="D167" s="188"/>
      <c r="E167" s="188"/>
      <c r="F167" s="188"/>
      <c r="G167" s="188"/>
      <c r="M167" s="124" t="s">
        <v>118</v>
      </c>
      <c r="N167" s="14">
        <f>SUMIFS(芦花古楼!$E$5:$E$104,芦花古楼!$A$5:$A$104,"&gt;"&amp;经验计算!O167,芦花古楼!$A$5:$A$104,"&lt;="&amp;经验计算!P167)</f>
        <v>0</v>
      </c>
      <c r="O167" s="123">
        <v>0</v>
      </c>
      <c r="P167" s="123">
        <v>0</v>
      </c>
      <c r="R167" s="129">
        <v>1.05</v>
      </c>
      <c r="S167" s="21">
        <f t="shared" ref="S167:S170" si="35">R167/$R$122</f>
        <v>0.19090909090909092</v>
      </c>
      <c r="T167" s="69">
        <f t="shared" ref="T167:T170" si="36">INT($N$174*S167/5)*5</f>
        <v>22390</v>
      </c>
    </row>
    <row r="168" spans="1:25" ht="16.5" x14ac:dyDescent="0.2">
      <c r="A168" s="159">
        <v>73</v>
      </c>
      <c r="B168" s="17">
        <v>24525</v>
      </c>
      <c r="D168" s="188"/>
      <c r="E168" s="188"/>
      <c r="F168" s="188"/>
      <c r="G168" s="188"/>
      <c r="M168" s="124" t="s">
        <v>120</v>
      </c>
      <c r="N168" s="14">
        <f>SUMIFS(芦花古楼!$P$5:$P$104,芦花古楼!$L$5:$L$104,"&gt;"&amp;经验计算!O168,芦花古楼!$L$5:$L$104,"&lt;="&amp;经验计算!P168)</f>
        <v>0</v>
      </c>
      <c r="O168" s="123">
        <v>0</v>
      </c>
      <c r="P168" s="123">
        <v>0</v>
      </c>
      <c r="R168" s="129">
        <v>1.1000000000000001</v>
      </c>
      <c r="S168" s="21">
        <f t="shared" si="35"/>
        <v>0.2</v>
      </c>
      <c r="T168" s="69">
        <f t="shared" si="36"/>
        <v>23460</v>
      </c>
    </row>
    <row r="169" spans="1:25" ht="16.5" x14ac:dyDescent="0.2">
      <c r="A169" s="159">
        <v>74</v>
      </c>
      <c r="B169" s="17">
        <v>25590</v>
      </c>
      <c r="D169" s="188"/>
      <c r="E169" s="188"/>
      <c r="F169" s="188"/>
      <c r="G169" s="188"/>
      <c r="M169" s="124" t="s">
        <v>119</v>
      </c>
      <c r="N169" s="14">
        <f>SUMIFS(芦花古楼!$AA$5:$AA$104,芦花古楼!$W$5:$W$104,"&gt;"&amp;经验计算!O169,芦花古楼!$W$5:$W$104,"&lt;="&amp;经验计算!P169)</f>
        <v>0</v>
      </c>
      <c r="O169" s="123">
        <v>0</v>
      </c>
      <c r="P169" s="123">
        <v>0</v>
      </c>
      <c r="R169" s="129">
        <v>1.1499999999999999</v>
      </c>
      <c r="S169" s="21">
        <f t="shared" si="35"/>
        <v>0.20909090909090908</v>
      </c>
      <c r="T169" s="69">
        <f t="shared" si="36"/>
        <v>24525</v>
      </c>
    </row>
    <row r="170" spans="1:25" ht="16.5" x14ac:dyDescent="0.2">
      <c r="A170" s="128"/>
      <c r="B170" s="128"/>
      <c r="D170" s="188"/>
      <c r="E170" s="188"/>
      <c r="F170" s="188"/>
      <c r="G170" s="188"/>
      <c r="M170" s="124" t="s">
        <v>121</v>
      </c>
      <c r="N170" s="14">
        <f>SUMIFS(芦花古楼!$AL$5:$AL$104,芦花古楼!$AH$5:$AH$104,"&gt;"&amp;经验计算!O170,芦花古楼!$AH$5:$AH$104,"&lt;="&amp;经验计算!P170)</f>
        <v>0</v>
      </c>
      <c r="O170" s="123">
        <v>0</v>
      </c>
      <c r="P170" s="123">
        <v>0</v>
      </c>
      <c r="R170" s="129">
        <v>1.2</v>
      </c>
      <c r="S170" s="21">
        <f t="shared" si="35"/>
        <v>0.21818181818181817</v>
      </c>
      <c r="T170" s="69">
        <f t="shared" si="36"/>
        <v>25590</v>
      </c>
    </row>
    <row r="171" spans="1:25" ht="16.5" x14ac:dyDescent="0.2">
      <c r="A171" s="128"/>
      <c r="B171" s="128"/>
      <c r="D171" s="188"/>
      <c r="E171" s="188"/>
      <c r="F171" s="188"/>
      <c r="G171" s="188"/>
      <c r="M171" s="124" t="s">
        <v>50</v>
      </c>
      <c r="N171" s="14"/>
      <c r="O171" s="14">
        <f>日常任务!$D$2*经验计算!N171</f>
        <v>0</v>
      </c>
      <c r="P171" s="126"/>
      <c r="R171" s="131"/>
      <c r="S171" s="131"/>
      <c r="T171" s="131"/>
    </row>
    <row r="172" spans="1:25" ht="16.5" x14ac:dyDescent="0.2">
      <c r="A172" s="128"/>
      <c r="B172" s="128"/>
      <c r="D172" s="188"/>
      <c r="E172" s="188"/>
      <c r="F172" s="188"/>
      <c r="G172" s="188"/>
      <c r="M172" s="124" t="s">
        <v>47</v>
      </c>
      <c r="N172" s="14">
        <f>INDEX(节奏总表!$N$5:$N$35,经验计算!N165)*60</f>
        <v>3900</v>
      </c>
      <c r="O172" s="14">
        <f>INDEX(章节关卡!$F$6:$F$35,经验计算!N165-1)*经验计算!N172</f>
        <v>85800</v>
      </c>
      <c r="P172" s="126"/>
      <c r="R172" s="131"/>
      <c r="S172" s="131"/>
      <c r="T172" s="131"/>
    </row>
    <row r="173" spans="1:25" ht="16.5" x14ac:dyDescent="0.2">
      <c r="A173" s="128"/>
      <c r="B173" s="128"/>
      <c r="D173" s="188"/>
      <c r="E173" s="188"/>
      <c r="F173" s="188"/>
      <c r="G173" s="188"/>
      <c r="M173" s="124" t="s">
        <v>43</v>
      </c>
      <c r="N173" s="19">
        <v>0</v>
      </c>
      <c r="O173" s="14">
        <f>N174*N173</f>
        <v>0</v>
      </c>
      <c r="P173" s="126"/>
      <c r="R173" s="131"/>
      <c r="S173" s="131"/>
      <c r="T173" s="131"/>
    </row>
    <row r="174" spans="1:25" ht="16.5" x14ac:dyDescent="0.2">
      <c r="A174" s="128"/>
      <c r="B174" s="128"/>
      <c r="D174" s="188"/>
      <c r="E174" s="188"/>
      <c r="F174" s="188"/>
      <c r="G174" s="188"/>
      <c r="M174" s="124" t="s">
        <v>42</v>
      </c>
      <c r="N174" s="14">
        <f>(N166+N167+N169+N168+N170+O171+O172+P166)/(1-N173)</f>
        <v>117300</v>
      </c>
      <c r="O174" s="125"/>
      <c r="P174" s="126"/>
      <c r="R174" s="131"/>
      <c r="S174" s="131"/>
      <c r="T174" s="131"/>
    </row>
    <row r="175" spans="1:25" s="15" customFormat="1" x14ac:dyDescent="0.2">
      <c r="M175"/>
      <c r="N175"/>
      <c r="O175"/>
      <c r="P175"/>
      <c r="Q175"/>
      <c r="R175" s="131"/>
      <c r="S175" s="131"/>
      <c r="T175" s="131"/>
      <c r="V175" s="131"/>
      <c r="X175" s="131"/>
      <c r="Y175" s="131"/>
    </row>
    <row r="176" spans="1:25" s="15" customFormat="1" x14ac:dyDescent="0.2">
      <c r="V176" s="131"/>
      <c r="X176" s="131"/>
      <c r="Y176" s="131"/>
    </row>
    <row r="177" spans="1:25" s="15" customFormat="1" x14ac:dyDescent="0.2">
      <c r="V177" s="131"/>
      <c r="X177" s="131"/>
      <c r="Y177" s="131"/>
    </row>
    <row r="178" spans="1:25" s="15" customFormat="1" x14ac:dyDescent="0.2">
      <c r="R178" s="131">
        <f>SUM(R180:R184)</f>
        <v>5.5</v>
      </c>
      <c r="V178" s="131"/>
      <c r="X178" s="131"/>
      <c r="Y178" s="131"/>
    </row>
    <row r="179" spans="1:25" ht="17.25" x14ac:dyDescent="0.2">
      <c r="A179" s="159">
        <v>75</v>
      </c>
      <c r="B179" s="17">
        <v>27890</v>
      </c>
      <c r="D179" s="188"/>
      <c r="E179" s="188"/>
      <c r="F179" s="188"/>
      <c r="G179" s="188"/>
      <c r="M179" s="124" t="s">
        <v>114</v>
      </c>
      <c r="N179" s="123">
        <v>14</v>
      </c>
      <c r="O179" s="124" t="s">
        <v>114</v>
      </c>
      <c r="P179" s="123">
        <v>13</v>
      </c>
      <c r="Q179" s="15"/>
      <c r="R179" s="12" t="s">
        <v>46</v>
      </c>
      <c r="S179" s="12" t="s">
        <v>44</v>
      </c>
      <c r="T179" s="12" t="s">
        <v>45</v>
      </c>
    </row>
    <row r="180" spans="1:25" ht="16.5" x14ac:dyDescent="0.2">
      <c r="A180" s="159">
        <v>76</v>
      </c>
      <c r="B180" s="17">
        <v>29285</v>
      </c>
      <c r="D180" s="188"/>
      <c r="E180" s="188"/>
      <c r="F180" s="188"/>
      <c r="G180" s="188"/>
      <c r="M180" s="130" t="s">
        <v>1085</v>
      </c>
      <c r="N180" s="14">
        <f>SUMIFS(章节关卡!$BA$5:$BA$304,章节关卡!$AY$5:$AY$304,"="&amp;经验计算!N179)</f>
        <v>5400</v>
      </c>
      <c r="O180" s="130" t="s">
        <v>1089</v>
      </c>
      <c r="P180" s="14">
        <f>SUMIFS(章节关卡!$BI$5:$BI$304,章节关卡!$BG$5:$BG$304,"="&amp;经验计算!P179)</f>
        <v>34000</v>
      </c>
      <c r="R180" s="129">
        <v>1</v>
      </c>
      <c r="S180" s="21">
        <f>R180/$R$122</f>
        <v>0.18181818181818182</v>
      </c>
      <c r="T180" s="42">
        <f>INT($N$188*S180/5)*5</f>
        <v>27890</v>
      </c>
    </row>
    <row r="181" spans="1:25" ht="16.5" x14ac:dyDescent="0.2">
      <c r="A181" s="159">
        <v>77</v>
      </c>
      <c r="B181" s="17">
        <v>30680</v>
      </c>
      <c r="D181" s="188"/>
      <c r="E181" s="188"/>
      <c r="F181" s="188"/>
      <c r="G181" s="188"/>
      <c r="M181" s="124" t="s">
        <v>118</v>
      </c>
      <c r="N181" s="14">
        <f>SUMIFS(芦花古楼!$E$5:$E$104,芦花古楼!$A$5:$A$104,"&gt;"&amp;经验计算!O181,芦花古楼!$A$5:$A$104,"&lt;="&amp;经验计算!P181)</f>
        <v>0</v>
      </c>
      <c r="O181" s="123">
        <v>0</v>
      </c>
      <c r="P181" s="123">
        <v>0</v>
      </c>
      <c r="R181" s="129">
        <v>1.05</v>
      </c>
      <c r="S181" s="21">
        <f t="shared" ref="S181:S184" si="37">R181/$R$122</f>
        <v>0.19090909090909092</v>
      </c>
      <c r="T181" s="69">
        <f t="shared" ref="T181:T184" si="38">INT($N$188*S181/5)*5</f>
        <v>29285</v>
      </c>
    </row>
    <row r="182" spans="1:25" ht="16.5" x14ac:dyDescent="0.2">
      <c r="A182" s="159">
        <v>78</v>
      </c>
      <c r="B182" s="17">
        <v>32070</v>
      </c>
      <c r="D182" s="188"/>
      <c r="E182" s="188"/>
      <c r="F182" s="188"/>
      <c r="G182" s="188"/>
      <c r="M182" s="124" t="s">
        <v>120</v>
      </c>
      <c r="N182" s="14">
        <f>SUMIFS(芦花古楼!$P$5:$P$104,芦花古楼!$L$5:$L$104,"&gt;"&amp;经验计算!O182,芦花古楼!$L$5:$L$104,"&lt;="&amp;经验计算!P182)</f>
        <v>0</v>
      </c>
      <c r="O182" s="123">
        <v>0</v>
      </c>
      <c r="P182" s="123">
        <v>0</v>
      </c>
      <c r="R182" s="129">
        <v>1.1000000000000001</v>
      </c>
      <c r="S182" s="21">
        <f t="shared" si="37"/>
        <v>0.2</v>
      </c>
      <c r="T182" s="69">
        <f t="shared" si="38"/>
        <v>30680</v>
      </c>
    </row>
    <row r="183" spans="1:25" ht="16.5" x14ac:dyDescent="0.2">
      <c r="A183" s="159">
        <v>79</v>
      </c>
      <c r="B183" s="17">
        <v>33465</v>
      </c>
      <c r="D183" s="188"/>
      <c r="E183" s="188"/>
      <c r="F183" s="188"/>
      <c r="G183" s="188"/>
      <c r="M183" s="124" t="s">
        <v>119</v>
      </c>
      <c r="N183" s="14">
        <f>SUMIFS(芦花古楼!$AA$5:$AA$104,芦花古楼!$W$5:$W$104,"&gt;"&amp;经验计算!O183,芦花古楼!$W$5:$W$104,"&lt;="&amp;经验计算!P183)</f>
        <v>0</v>
      </c>
      <c r="O183" s="123">
        <v>0</v>
      </c>
      <c r="P183" s="123">
        <v>0</v>
      </c>
      <c r="R183" s="129">
        <v>1.1499999999999999</v>
      </c>
      <c r="S183" s="21">
        <f t="shared" si="37"/>
        <v>0.20909090909090908</v>
      </c>
      <c r="T183" s="69">
        <f t="shared" si="38"/>
        <v>32070</v>
      </c>
    </row>
    <row r="184" spans="1:25" ht="16.5" x14ac:dyDescent="0.2">
      <c r="A184" s="128"/>
      <c r="B184" s="128"/>
      <c r="D184" s="188"/>
      <c r="E184" s="188"/>
      <c r="F184" s="188"/>
      <c r="G184" s="188"/>
      <c r="M184" s="124" t="s">
        <v>121</v>
      </c>
      <c r="N184" s="14">
        <f>SUMIFS(芦花古楼!$AL$5:$AL$104,芦花古楼!$AH$5:$AH$104,"&gt;"&amp;经验计算!O184,芦花古楼!$AH$5:$AH$104,"&lt;="&amp;经验计算!P184)</f>
        <v>0</v>
      </c>
      <c r="O184" s="123">
        <v>0</v>
      </c>
      <c r="P184" s="123">
        <v>0</v>
      </c>
      <c r="R184" s="129">
        <v>1.2</v>
      </c>
      <c r="S184" s="21">
        <f t="shared" si="37"/>
        <v>0.21818181818181817</v>
      </c>
      <c r="T184" s="69">
        <f t="shared" si="38"/>
        <v>33465</v>
      </c>
    </row>
    <row r="185" spans="1:25" ht="16.5" x14ac:dyDescent="0.2">
      <c r="A185" s="128"/>
      <c r="B185" s="128"/>
      <c r="D185" s="188"/>
      <c r="E185" s="188"/>
      <c r="F185" s="188"/>
      <c r="G185" s="188"/>
      <c r="M185" s="124" t="s">
        <v>50</v>
      </c>
      <c r="N185" s="14"/>
      <c r="O185" s="14">
        <f>日常任务!$D$2*经验计算!N185</f>
        <v>0</v>
      </c>
      <c r="P185" s="126"/>
      <c r="R185" s="131"/>
      <c r="S185" s="131"/>
      <c r="T185" s="131"/>
    </row>
    <row r="186" spans="1:25" ht="16.5" x14ac:dyDescent="0.2">
      <c r="A186" s="128"/>
      <c r="B186" s="128"/>
      <c r="D186" s="188"/>
      <c r="E186" s="188"/>
      <c r="F186" s="188"/>
      <c r="G186" s="188"/>
      <c r="M186" s="124" t="s">
        <v>47</v>
      </c>
      <c r="N186" s="14">
        <f>INDEX(节奏总表!$N$5:$N$35,经验计算!N179)*60</f>
        <v>4560</v>
      </c>
      <c r="O186" s="14">
        <f>INDEX(章节关卡!$F$6:$F$35,经验计算!N179-1)*经验计算!N186</f>
        <v>114000</v>
      </c>
      <c r="P186" s="126"/>
      <c r="R186" s="131"/>
      <c r="S186" s="131"/>
      <c r="T186" s="131"/>
    </row>
    <row r="187" spans="1:25" ht="16.5" x14ac:dyDescent="0.2">
      <c r="A187" s="128"/>
      <c r="B187" s="128"/>
      <c r="D187" s="188"/>
      <c r="E187" s="188"/>
      <c r="F187" s="188"/>
      <c r="G187" s="188"/>
      <c r="M187" s="124" t="s">
        <v>43</v>
      </c>
      <c r="N187" s="19">
        <v>0</v>
      </c>
      <c r="O187" s="14">
        <f>N188*N187</f>
        <v>0</v>
      </c>
      <c r="P187" s="126"/>
      <c r="R187" s="131"/>
      <c r="S187" s="131"/>
      <c r="T187" s="131"/>
    </row>
    <row r="188" spans="1:25" ht="16.5" x14ac:dyDescent="0.2">
      <c r="A188" s="128"/>
      <c r="B188" s="128"/>
      <c r="D188" s="188"/>
      <c r="E188" s="188"/>
      <c r="F188" s="188"/>
      <c r="G188" s="188"/>
      <c r="M188" s="124" t="s">
        <v>42</v>
      </c>
      <c r="N188" s="14">
        <f>(N180+N181+N183+N182+N184+O185+O186+P180)/(1-N187)</f>
        <v>153400</v>
      </c>
      <c r="O188" s="125"/>
      <c r="P188" s="126"/>
      <c r="R188" s="131"/>
      <c r="S188" s="131"/>
      <c r="T188" s="131"/>
    </row>
    <row r="189" spans="1:25" s="15" customFormat="1" x14ac:dyDescent="0.2">
      <c r="M189"/>
      <c r="N189"/>
      <c r="O189"/>
      <c r="P189"/>
      <c r="Q189"/>
      <c r="R189" s="131"/>
      <c r="S189" s="131"/>
      <c r="T189" s="131"/>
      <c r="V189" s="131"/>
      <c r="X189" s="131"/>
      <c r="Y189" s="131"/>
    </row>
    <row r="190" spans="1:25" s="15" customFormat="1" x14ac:dyDescent="0.2">
      <c r="V190" s="131"/>
      <c r="X190" s="131"/>
      <c r="Y190" s="131"/>
    </row>
    <row r="191" spans="1:25" s="15" customFormat="1" x14ac:dyDescent="0.2">
      <c r="V191" s="131"/>
      <c r="X191" s="131"/>
      <c r="Y191" s="131"/>
    </row>
    <row r="192" spans="1:25" s="15" customFormat="1" x14ac:dyDescent="0.2">
      <c r="R192" s="131">
        <f>SUM(R194:R198)</f>
        <v>5.5</v>
      </c>
      <c r="V192" s="131"/>
      <c r="X192" s="131"/>
      <c r="Y192" s="131"/>
    </row>
    <row r="193" spans="1:20" ht="17.25" x14ac:dyDescent="0.2">
      <c r="A193" s="159">
        <v>80</v>
      </c>
      <c r="B193" s="17">
        <v>35415</v>
      </c>
      <c r="D193" s="188"/>
      <c r="E193" s="188"/>
      <c r="F193" s="188"/>
      <c r="G193" s="188"/>
      <c r="M193" s="124" t="s">
        <v>114</v>
      </c>
      <c r="N193" s="123">
        <v>15</v>
      </c>
      <c r="O193" s="124" t="s">
        <v>114</v>
      </c>
      <c r="P193" s="123">
        <v>14</v>
      </c>
      <c r="Q193" s="15"/>
      <c r="R193" s="12" t="s">
        <v>46</v>
      </c>
      <c r="S193" s="12" t="s">
        <v>44</v>
      </c>
      <c r="T193" s="12" t="s">
        <v>45</v>
      </c>
    </row>
    <row r="194" spans="1:20" ht="16.5" x14ac:dyDescent="0.2">
      <c r="A194" s="159">
        <v>81</v>
      </c>
      <c r="B194" s="17">
        <v>37185</v>
      </c>
      <c r="D194" s="188"/>
      <c r="E194" s="188"/>
      <c r="F194" s="188"/>
      <c r="G194" s="188"/>
      <c r="M194" s="130" t="s">
        <v>1085</v>
      </c>
      <c r="N194" s="14">
        <f>SUMIFS(章节关卡!$BA$5:$BA$304,章节关卡!$AY$5:$AY$304,"="&amp;经验计算!N193)</f>
        <v>6000</v>
      </c>
      <c r="O194" s="130" t="s">
        <v>1089</v>
      </c>
      <c r="P194" s="14">
        <f>SUMIFS(章节关卡!$BI$5:$BI$304,章节关卡!$BG$5:$BG$304,"="&amp;经验计算!P193)</f>
        <v>43000</v>
      </c>
      <c r="R194" s="129">
        <v>1</v>
      </c>
      <c r="S194" s="21">
        <f>R194/$R$122</f>
        <v>0.18181818181818182</v>
      </c>
      <c r="T194" s="42">
        <f>INT($N$202*S194/5)*5</f>
        <v>35415</v>
      </c>
    </row>
    <row r="195" spans="1:20" ht="16.5" x14ac:dyDescent="0.2">
      <c r="A195" s="159">
        <v>82</v>
      </c>
      <c r="B195" s="17">
        <v>38960</v>
      </c>
      <c r="D195" s="188"/>
      <c r="E195" s="188"/>
      <c r="F195" s="188"/>
      <c r="G195" s="188"/>
      <c r="M195" s="124" t="s">
        <v>118</v>
      </c>
      <c r="N195" s="14">
        <f>SUMIFS(芦花古楼!$E$5:$E$104,芦花古楼!$A$5:$A$104,"&gt;"&amp;经验计算!O195,芦花古楼!$A$5:$A$104,"&lt;="&amp;经验计算!P195)</f>
        <v>0</v>
      </c>
      <c r="O195" s="123">
        <v>0</v>
      </c>
      <c r="P195" s="123">
        <v>0</v>
      </c>
      <c r="R195" s="129">
        <v>1.05</v>
      </c>
      <c r="S195" s="21">
        <f t="shared" ref="S195:S198" si="39">R195/$R$122</f>
        <v>0.19090909090909092</v>
      </c>
      <c r="T195" s="69">
        <f t="shared" ref="T195:T198" si="40">INT($N$202*S195/5)*5</f>
        <v>37185</v>
      </c>
    </row>
    <row r="196" spans="1:20" ht="16.5" x14ac:dyDescent="0.2">
      <c r="A196" s="159">
        <v>83</v>
      </c>
      <c r="B196" s="17">
        <v>40730</v>
      </c>
      <c r="D196" s="188"/>
      <c r="E196" s="188"/>
      <c r="F196" s="188"/>
      <c r="G196" s="188"/>
      <c r="M196" s="124" t="s">
        <v>120</v>
      </c>
      <c r="N196" s="14">
        <f>SUMIFS(芦花古楼!$P$5:$P$104,芦花古楼!$L$5:$L$104,"&gt;"&amp;经验计算!O196,芦花古楼!$L$5:$L$104,"&lt;="&amp;经验计算!P196)</f>
        <v>0</v>
      </c>
      <c r="O196" s="123">
        <v>0</v>
      </c>
      <c r="P196" s="123">
        <v>0</v>
      </c>
      <c r="R196" s="129">
        <v>1.1000000000000001</v>
      </c>
      <c r="S196" s="21">
        <f t="shared" si="39"/>
        <v>0.2</v>
      </c>
      <c r="T196" s="69">
        <f t="shared" si="40"/>
        <v>38960</v>
      </c>
    </row>
    <row r="197" spans="1:20" ht="16.5" x14ac:dyDescent="0.2">
      <c r="A197" s="159">
        <v>84</v>
      </c>
      <c r="B197" s="17">
        <v>42500</v>
      </c>
      <c r="D197" s="188"/>
      <c r="E197" s="188"/>
      <c r="F197" s="188"/>
      <c r="G197" s="188"/>
      <c r="M197" s="124" t="s">
        <v>119</v>
      </c>
      <c r="N197" s="14">
        <f>SUMIFS(芦花古楼!$AA$5:$AA$104,芦花古楼!$W$5:$W$104,"&gt;"&amp;经验计算!O197,芦花古楼!$W$5:$W$104,"&lt;="&amp;经验计算!P197)</f>
        <v>0</v>
      </c>
      <c r="O197" s="123">
        <v>0</v>
      </c>
      <c r="P197" s="123">
        <v>0</v>
      </c>
      <c r="R197" s="129">
        <v>1.1499999999999999</v>
      </c>
      <c r="S197" s="21">
        <f t="shared" si="39"/>
        <v>0.20909090909090908</v>
      </c>
      <c r="T197" s="69">
        <f t="shared" si="40"/>
        <v>40730</v>
      </c>
    </row>
    <row r="198" spans="1:20" ht="16.5" x14ac:dyDescent="0.2">
      <c r="A198" s="128"/>
      <c r="B198" s="128"/>
      <c r="D198" s="188"/>
      <c r="E198" s="188"/>
      <c r="F198" s="188"/>
      <c r="G198" s="188"/>
      <c r="M198" s="124" t="s">
        <v>121</v>
      </c>
      <c r="N198" s="14">
        <f>SUMIFS(芦花古楼!$AL$5:$AL$104,芦花古楼!$AH$5:$AH$104,"&gt;"&amp;经验计算!O198,芦花古楼!$AH$5:$AH$104,"&lt;="&amp;经验计算!P198)</f>
        <v>0</v>
      </c>
      <c r="O198" s="123">
        <v>0</v>
      </c>
      <c r="P198" s="123">
        <v>0</v>
      </c>
      <c r="R198" s="129">
        <v>1.2</v>
      </c>
      <c r="S198" s="21">
        <f t="shared" si="39"/>
        <v>0.21818181818181817</v>
      </c>
      <c r="T198" s="69">
        <f t="shared" si="40"/>
        <v>42500</v>
      </c>
    </row>
    <row r="199" spans="1:20" ht="16.5" x14ac:dyDescent="0.2">
      <c r="A199" s="128"/>
      <c r="B199" s="128"/>
      <c r="D199" s="188"/>
      <c r="E199" s="188"/>
      <c r="F199" s="188"/>
      <c r="G199" s="188"/>
      <c r="M199" s="124" t="s">
        <v>50</v>
      </c>
      <c r="N199" s="14"/>
      <c r="O199" s="14">
        <f>日常任务!$D$2*经验计算!N199</f>
        <v>0</v>
      </c>
      <c r="P199" s="126"/>
      <c r="R199" s="131"/>
      <c r="S199" s="131"/>
      <c r="T199" s="131"/>
    </row>
    <row r="200" spans="1:20" ht="16.5" x14ac:dyDescent="0.2">
      <c r="A200" s="128"/>
      <c r="B200" s="128"/>
      <c r="D200" s="188"/>
      <c r="E200" s="188"/>
      <c r="F200" s="188"/>
      <c r="G200" s="188"/>
      <c r="M200" s="124" t="s">
        <v>47</v>
      </c>
      <c r="N200" s="14">
        <f>INDEX(节奏总表!$N$5:$N$35,经验计算!N193)*60</f>
        <v>5400</v>
      </c>
      <c r="O200" s="14">
        <f>INDEX(章节关卡!$F$6:$F$35,经验计算!N193-1)*经验计算!N200</f>
        <v>145800</v>
      </c>
      <c r="P200" s="126"/>
      <c r="R200" s="131"/>
      <c r="S200" s="131"/>
      <c r="T200" s="131"/>
    </row>
    <row r="201" spans="1:20" ht="16.5" x14ac:dyDescent="0.2">
      <c r="A201" s="128"/>
      <c r="B201" s="128"/>
      <c r="D201" s="188"/>
      <c r="E201" s="188"/>
      <c r="F201" s="188"/>
      <c r="G201" s="188"/>
      <c r="M201" s="124" t="s">
        <v>43</v>
      </c>
      <c r="N201" s="19">
        <v>0</v>
      </c>
      <c r="O201" s="14">
        <f>N202*N201</f>
        <v>0</v>
      </c>
      <c r="P201" s="126"/>
      <c r="R201" s="131"/>
      <c r="S201" s="131"/>
      <c r="T201" s="131"/>
    </row>
    <row r="202" spans="1:20" ht="16.5" x14ac:dyDescent="0.2">
      <c r="A202" s="128"/>
      <c r="B202" s="128"/>
      <c r="D202" s="188"/>
      <c r="E202" s="188"/>
      <c r="F202" s="188"/>
      <c r="G202" s="188"/>
      <c r="M202" s="124" t="s">
        <v>42</v>
      </c>
      <c r="N202" s="14">
        <f>(N194+N195+N197+N196+N198+O199+O200+P194)/(1-N201)</f>
        <v>194800</v>
      </c>
      <c r="O202" s="125"/>
      <c r="P202" s="126"/>
      <c r="R202" s="131"/>
      <c r="S202" s="131"/>
      <c r="T202" s="131"/>
    </row>
    <row r="203" spans="1:20" x14ac:dyDescent="0.2">
      <c r="A203" s="128"/>
      <c r="B203" s="128"/>
      <c r="R203" s="131"/>
      <c r="S203" s="131"/>
      <c r="T203" s="131"/>
    </row>
    <row r="204" spans="1:20" x14ac:dyDescent="0.2">
      <c r="A204" s="128"/>
      <c r="B204" s="128"/>
    </row>
    <row r="207" spans="1:20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31">
        <f>SUM(R209:R213)</f>
        <v>5.5</v>
      </c>
      <c r="S207" s="15"/>
      <c r="T207" s="15"/>
    </row>
    <row r="208" spans="1:20" ht="17.25" x14ac:dyDescent="0.2">
      <c r="A208" s="159">
        <v>85</v>
      </c>
      <c r="B208" s="67">
        <v>45525</v>
      </c>
      <c r="D208" s="188"/>
      <c r="E208" s="188"/>
      <c r="F208" s="188"/>
      <c r="G208" s="188"/>
      <c r="M208" s="68" t="s">
        <v>117</v>
      </c>
      <c r="N208" s="67">
        <v>16</v>
      </c>
      <c r="O208" s="68" t="s">
        <v>117</v>
      </c>
      <c r="P208" s="67">
        <v>15</v>
      </c>
      <c r="Q208" s="15"/>
      <c r="R208" s="12" t="s">
        <v>46</v>
      </c>
      <c r="S208" s="12" t="s">
        <v>44</v>
      </c>
      <c r="T208" s="12" t="s">
        <v>45</v>
      </c>
    </row>
    <row r="209" spans="1:20" ht="16.5" x14ac:dyDescent="0.2">
      <c r="A209" s="159">
        <v>86</v>
      </c>
      <c r="B209" s="67">
        <v>47800</v>
      </c>
      <c r="D209" s="188"/>
      <c r="E209" s="188"/>
      <c r="F209" s="188"/>
      <c r="G209" s="188"/>
      <c r="M209" s="68" t="s">
        <v>1085</v>
      </c>
      <c r="N209" s="14">
        <f>SUMIFS(章节关卡!$BA$5:$BA$304,章节关卡!$AY$5:$AY$304,"="&amp;经验计算!N208)</f>
        <v>6400</v>
      </c>
      <c r="O209" s="68" t="s">
        <v>1089</v>
      </c>
      <c r="P209" s="14">
        <f>SUMIFS(章节关卡!$BI$5:$BI$304,章节关卡!$BG$5:$BG$304,"="&amp;经验计算!P208)</f>
        <v>55000</v>
      </c>
      <c r="R209" s="129">
        <v>1</v>
      </c>
      <c r="S209" s="21">
        <f>R209/$R$122</f>
        <v>0.18181818181818182</v>
      </c>
      <c r="T209" s="67">
        <f>INT($N$217*S209/5)*5</f>
        <v>45525</v>
      </c>
    </row>
    <row r="210" spans="1:20" ht="16.5" x14ac:dyDescent="0.2">
      <c r="A210" s="159">
        <v>87</v>
      </c>
      <c r="B210" s="67">
        <v>50080</v>
      </c>
      <c r="D210" s="188"/>
      <c r="E210" s="188"/>
      <c r="F210" s="188"/>
      <c r="G210" s="188"/>
      <c r="M210" s="68" t="s">
        <v>118</v>
      </c>
      <c r="N210" s="14">
        <f>SUMIFS(芦花古楼!$E$5:$E$104,芦花古楼!$A$5:$A$104,"&gt;"&amp;经验计算!O210,芦花古楼!$A$5:$A$104,"&lt;="&amp;经验计算!P210)</f>
        <v>0</v>
      </c>
      <c r="O210" s="67">
        <v>100</v>
      </c>
      <c r="P210" s="67">
        <v>100</v>
      </c>
      <c r="R210" s="129">
        <v>1.05</v>
      </c>
      <c r="S210" s="21">
        <f t="shared" ref="S210:S213" si="41">R210/$R$122</f>
        <v>0.19090909090909092</v>
      </c>
      <c r="T210" s="69">
        <f t="shared" ref="T210:T213" si="42">INT($N$217*S210/5)*5</f>
        <v>47800</v>
      </c>
    </row>
    <row r="211" spans="1:20" ht="16.5" x14ac:dyDescent="0.2">
      <c r="A211" s="159">
        <v>88</v>
      </c>
      <c r="B211" s="67">
        <v>52355</v>
      </c>
      <c r="D211" s="188"/>
      <c r="E211" s="188"/>
      <c r="F211" s="188"/>
      <c r="G211" s="188"/>
      <c r="M211" s="68" t="s">
        <v>120</v>
      </c>
      <c r="N211" s="14">
        <f>SUMIFS(芦花古楼!$P$5:$P$104,芦花古楼!$L$5:$L$104,"&gt;"&amp;经验计算!O211,芦花古楼!$L$5:$L$104,"&lt;="&amp;经验计算!P211)</f>
        <v>0</v>
      </c>
      <c r="O211" s="67">
        <v>100</v>
      </c>
      <c r="P211" s="67">
        <v>100</v>
      </c>
      <c r="R211" s="129">
        <v>1.1000000000000001</v>
      </c>
      <c r="S211" s="21">
        <f t="shared" si="41"/>
        <v>0.2</v>
      </c>
      <c r="T211" s="69">
        <f t="shared" si="42"/>
        <v>50080</v>
      </c>
    </row>
    <row r="212" spans="1:20" ht="16.5" x14ac:dyDescent="0.2">
      <c r="A212" s="159">
        <v>89</v>
      </c>
      <c r="B212" s="67">
        <v>54630</v>
      </c>
      <c r="D212" s="188"/>
      <c r="E212" s="188"/>
      <c r="F212" s="188"/>
      <c r="G212" s="188"/>
      <c r="M212" s="68" t="s">
        <v>119</v>
      </c>
      <c r="N212" s="14">
        <f>SUMIFS(芦花古楼!$AA$5:$AA$104,芦花古楼!$W$5:$W$104,"&gt;"&amp;经验计算!O212,芦花古楼!$W$5:$W$104,"&lt;="&amp;经验计算!P212)</f>
        <v>0</v>
      </c>
      <c r="O212" s="67">
        <v>80</v>
      </c>
      <c r="P212" s="67">
        <v>90</v>
      </c>
      <c r="R212" s="129">
        <v>1.1499999999999999</v>
      </c>
      <c r="S212" s="21">
        <f t="shared" si="41"/>
        <v>0.20909090909090908</v>
      </c>
      <c r="T212" s="69">
        <f t="shared" si="42"/>
        <v>52355</v>
      </c>
    </row>
    <row r="213" spans="1:20" ht="16.5" x14ac:dyDescent="0.2">
      <c r="A213" s="128"/>
      <c r="B213" s="128"/>
      <c r="D213" s="188"/>
      <c r="E213" s="188"/>
      <c r="F213" s="188"/>
      <c r="G213" s="188"/>
      <c r="M213" s="68" t="s">
        <v>121</v>
      </c>
      <c r="N213" s="14">
        <f>SUMIFS(芦花古楼!$AL$5:$AL$104,芦花古楼!$AH$5:$AH$104,"&gt;"&amp;经验计算!O213,芦花古楼!$AH$5:$AH$104,"&lt;="&amp;经验计算!P213)</f>
        <v>0</v>
      </c>
      <c r="O213" s="67">
        <v>70</v>
      </c>
      <c r="P213" s="67">
        <v>80</v>
      </c>
      <c r="R213" s="129">
        <v>1.2</v>
      </c>
      <c r="S213" s="21">
        <f t="shared" si="41"/>
        <v>0.21818181818181817</v>
      </c>
      <c r="T213" s="69">
        <f t="shared" si="42"/>
        <v>54630</v>
      </c>
    </row>
    <row r="214" spans="1:20" ht="16.5" x14ac:dyDescent="0.2">
      <c r="A214" s="128"/>
      <c r="B214" s="128"/>
      <c r="D214" s="188"/>
      <c r="E214" s="188"/>
      <c r="F214" s="188"/>
      <c r="G214" s="188"/>
      <c r="M214" s="68" t="s">
        <v>50</v>
      </c>
      <c r="N214" s="14"/>
      <c r="O214" s="14">
        <f>日常任务!D154*经验计算!N214</f>
        <v>0</v>
      </c>
      <c r="R214" s="131"/>
      <c r="S214" s="131"/>
      <c r="T214" s="131"/>
    </row>
    <row r="215" spans="1:20" ht="16.5" x14ac:dyDescent="0.2">
      <c r="A215" s="128"/>
      <c r="B215" s="128"/>
      <c r="D215" s="188"/>
      <c r="E215" s="188"/>
      <c r="F215" s="188"/>
      <c r="G215" s="188"/>
      <c r="M215" s="68" t="s">
        <v>47</v>
      </c>
      <c r="N215" s="14">
        <f>INDEX(节奏总表!$N$5:$N$35,经验计算!N208)*60</f>
        <v>6300</v>
      </c>
      <c r="O215" s="14">
        <f>INDEX(章节关卡!$F$6:$F$35,经验计算!N208-1)*经验计算!N215</f>
        <v>189000</v>
      </c>
      <c r="R215" s="131"/>
      <c r="S215" s="131"/>
      <c r="T215" s="131"/>
    </row>
    <row r="216" spans="1:20" ht="16.5" x14ac:dyDescent="0.2">
      <c r="A216" s="128"/>
      <c r="B216" s="128"/>
      <c r="D216" s="188"/>
      <c r="E216" s="188"/>
      <c r="F216" s="188"/>
      <c r="G216" s="188"/>
      <c r="M216" s="68" t="s">
        <v>43</v>
      </c>
      <c r="N216" s="19">
        <v>0</v>
      </c>
      <c r="O216" s="14">
        <f>N217*N216</f>
        <v>0</v>
      </c>
      <c r="R216" s="131"/>
      <c r="S216" s="131"/>
      <c r="T216" s="131"/>
    </row>
    <row r="217" spans="1:20" ht="16.5" x14ac:dyDescent="0.2">
      <c r="A217" s="128"/>
      <c r="B217" s="128"/>
      <c r="D217" s="188"/>
      <c r="E217" s="188"/>
      <c r="F217" s="188"/>
      <c r="G217" s="188"/>
      <c r="M217" s="68" t="s">
        <v>42</v>
      </c>
      <c r="N217" s="14">
        <f>(N209+N210+N212+N211+N213+O214+O215+P209)/(1-N216)</f>
        <v>250400</v>
      </c>
      <c r="O217" s="15"/>
      <c r="R217" s="131"/>
      <c r="S217" s="131"/>
      <c r="T217" s="131"/>
    </row>
    <row r="218" spans="1:20" x14ac:dyDescent="0.2">
      <c r="A218" s="128"/>
      <c r="B218" s="128"/>
      <c r="R218" s="131"/>
      <c r="S218" s="131"/>
      <c r="T218" s="131"/>
    </row>
    <row r="219" spans="1:20" x14ac:dyDescent="0.2">
      <c r="A219" s="128"/>
      <c r="B219" s="128"/>
    </row>
    <row r="221" spans="1:20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31">
        <f>SUM(R223:R227)</f>
        <v>5.5</v>
      </c>
      <c r="S221" s="15"/>
      <c r="T221" s="15"/>
    </row>
    <row r="222" spans="1:20" ht="17.25" x14ac:dyDescent="0.2">
      <c r="A222" s="159">
        <v>90</v>
      </c>
      <c r="B222" s="67">
        <v>51640</v>
      </c>
      <c r="D222" s="188"/>
      <c r="E222" s="188"/>
      <c r="F222" s="188"/>
      <c r="G222" s="188"/>
      <c r="M222" s="68" t="s">
        <v>117</v>
      </c>
      <c r="N222" s="67">
        <v>17</v>
      </c>
      <c r="O222" s="68" t="s">
        <v>117</v>
      </c>
      <c r="P222" s="67">
        <v>16</v>
      </c>
      <c r="Q222" s="15"/>
      <c r="R222" s="12" t="s">
        <v>46</v>
      </c>
      <c r="S222" s="12" t="s">
        <v>44</v>
      </c>
      <c r="T222" s="12" t="s">
        <v>45</v>
      </c>
    </row>
    <row r="223" spans="1:20" ht="16.5" x14ac:dyDescent="0.2">
      <c r="A223" s="159">
        <v>91</v>
      </c>
      <c r="B223" s="67">
        <v>54225</v>
      </c>
      <c r="D223" s="188"/>
      <c r="E223" s="188"/>
      <c r="F223" s="188"/>
      <c r="G223" s="188"/>
      <c r="M223" s="68" t="s">
        <v>1087</v>
      </c>
      <c r="N223" s="14">
        <f>SUMIFS(章节关卡!$BA$5:$BA$304,章节关卡!$AY$5:$AY$304,"="&amp;经验计算!N222)</f>
        <v>7000</v>
      </c>
      <c r="O223" s="68" t="s">
        <v>1089</v>
      </c>
      <c r="P223" s="14">
        <f>SUMIFS(章节关卡!$BI$5:$BI$304,章节关卡!$BG$5:$BG$304,"="&amp;经验计算!P222)</f>
        <v>62000</v>
      </c>
      <c r="R223" s="129">
        <v>1</v>
      </c>
      <c r="S223" s="21">
        <f>R223/$R$122</f>
        <v>0.18181818181818182</v>
      </c>
      <c r="T223" s="67">
        <f>INT($N$231*S223/5)*5</f>
        <v>51640</v>
      </c>
    </row>
    <row r="224" spans="1:20" ht="16.5" x14ac:dyDescent="0.2">
      <c r="A224" s="159">
        <v>92</v>
      </c>
      <c r="B224" s="67">
        <v>56805</v>
      </c>
      <c r="D224" s="188"/>
      <c r="E224" s="188"/>
      <c r="F224" s="188"/>
      <c r="G224" s="188"/>
      <c r="M224" s="68" t="s">
        <v>118</v>
      </c>
      <c r="N224" s="14">
        <f>SUMIFS(芦花古楼!$E$5:$E$104,芦花古楼!$A$5:$A$104,"&gt;"&amp;经验计算!O224,芦花古楼!$A$5:$A$104,"&lt;="&amp;经验计算!P224)</f>
        <v>0</v>
      </c>
      <c r="O224" s="67">
        <v>100</v>
      </c>
      <c r="P224" s="67">
        <v>100</v>
      </c>
      <c r="R224" s="129">
        <v>1.05</v>
      </c>
      <c r="S224" s="21">
        <f t="shared" ref="S224:S227" si="43">R224/$R$122</f>
        <v>0.19090909090909092</v>
      </c>
      <c r="T224" s="69">
        <f t="shared" ref="T224:T227" si="44">INT($N$231*S224/5)*5</f>
        <v>54225</v>
      </c>
    </row>
    <row r="225" spans="1:20" ht="16.5" x14ac:dyDescent="0.2">
      <c r="A225" s="159">
        <v>93</v>
      </c>
      <c r="B225" s="67">
        <v>59390</v>
      </c>
      <c r="D225" s="188"/>
      <c r="E225" s="188"/>
      <c r="F225" s="188"/>
      <c r="G225" s="188"/>
      <c r="M225" s="68" t="s">
        <v>120</v>
      </c>
      <c r="N225" s="14">
        <f>SUMIFS(芦花古楼!$P$5:$P$104,芦花古楼!$L$5:$L$104,"&gt;"&amp;经验计算!O225,芦花古楼!$L$5:$L$104,"&lt;="&amp;经验计算!P225)</f>
        <v>0</v>
      </c>
      <c r="O225" s="69">
        <v>100</v>
      </c>
      <c r="P225" s="69">
        <v>100</v>
      </c>
      <c r="R225" s="129">
        <v>1.1000000000000001</v>
      </c>
      <c r="S225" s="21">
        <f t="shared" si="43"/>
        <v>0.2</v>
      </c>
      <c r="T225" s="69">
        <f t="shared" si="44"/>
        <v>56805</v>
      </c>
    </row>
    <row r="226" spans="1:20" ht="16.5" x14ac:dyDescent="0.2">
      <c r="A226" s="159">
        <v>94</v>
      </c>
      <c r="B226" s="67">
        <v>61970</v>
      </c>
      <c r="D226" s="188"/>
      <c r="E226" s="188"/>
      <c r="F226" s="188"/>
      <c r="G226" s="188"/>
      <c r="M226" s="68" t="s">
        <v>119</v>
      </c>
      <c r="N226" s="14">
        <f>SUMIFS(芦花古楼!$AA$5:$AA$104,芦花古楼!$W$5:$W$104,"&gt;"&amp;经验计算!O226,芦花古楼!$W$5:$W$104,"&lt;="&amp;经验计算!P226)</f>
        <v>0</v>
      </c>
      <c r="O226" s="67">
        <v>90</v>
      </c>
      <c r="P226" s="67">
        <v>100</v>
      </c>
      <c r="R226" s="129">
        <v>1.1499999999999999</v>
      </c>
      <c r="S226" s="21">
        <f t="shared" si="43"/>
        <v>0.20909090909090908</v>
      </c>
      <c r="T226" s="69">
        <f t="shared" si="44"/>
        <v>59390</v>
      </c>
    </row>
    <row r="227" spans="1:20" ht="16.5" x14ac:dyDescent="0.2">
      <c r="A227" s="128"/>
      <c r="B227" s="128"/>
      <c r="D227" s="188"/>
      <c r="E227" s="188"/>
      <c r="F227" s="188"/>
      <c r="G227" s="188"/>
      <c r="M227" s="68" t="s">
        <v>121</v>
      </c>
      <c r="N227" s="14">
        <f>SUMIFS(芦花古楼!$AL$5:$AL$104,芦花古楼!$AH$5:$AH$104,"&gt;"&amp;经验计算!O227,芦花古楼!$AH$5:$AH$104,"&lt;="&amp;经验计算!P227)</f>
        <v>0</v>
      </c>
      <c r="O227" s="67">
        <v>80</v>
      </c>
      <c r="P227" s="67">
        <v>90</v>
      </c>
      <c r="R227" s="129">
        <v>1.2</v>
      </c>
      <c r="S227" s="21">
        <f t="shared" si="43"/>
        <v>0.21818181818181817</v>
      </c>
      <c r="T227" s="69">
        <f t="shared" si="44"/>
        <v>61970</v>
      </c>
    </row>
    <row r="228" spans="1:20" ht="16.5" x14ac:dyDescent="0.2">
      <c r="A228" s="128"/>
      <c r="B228" s="128"/>
      <c r="D228" s="188"/>
      <c r="E228" s="188"/>
      <c r="F228" s="188"/>
      <c r="G228" s="188"/>
      <c r="M228" s="68" t="s">
        <v>50</v>
      </c>
      <c r="N228" s="14"/>
      <c r="O228" s="14">
        <f>日常任务!D169*经验计算!N228</f>
        <v>0</v>
      </c>
      <c r="R228" s="131"/>
      <c r="S228" s="131"/>
      <c r="T228" s="131"/>
    </row>
    <row r="229" spans="1:20" ht="16.5" x14ac:dyDescent="0.2">
      <c r="A229" s="128"/>
      <c r="B229" s="128"/>
      <c r="D229" s="188"/>
      <c r="E229" s="188"/>
      <c r="F229" s="188"/>
      <c r="G229" s="188"/>
      <c r="M229" s="68" t="s">
        <v>47</v>
      </c>
      <c r="N229" s="14">
        <f>INDEX(节奏总表!$N$5:$N$35,经验计算!N222)*60</f>
        <v>6720</v>
      </c>
      <c r="O229" s="14">
        <f>INDEX(章节关卡!$F$6:$F$35,经验计算!N222-1)*经验计算!N229</f>
        <v>215040</v>
      </c>
      <c r="R229" s="131"/>
      <c r="S229" s="131"/>
      <c r="T229" s="131"/>
    </row>
    <row r="230" spans="1:20" ht="16.5" x14ac:dyDescent="0.2">
      <c r="A230" s="128"/>
      <c r="B230" s="128"/>
      <c r="D230" s="188"/>
      <c r="E230" s="188"/>
      <c r="F230" s="188"/>
      <c r="G230" s="188"/>
      <c r="M230" s="68" t="s">
        <v>43</v>
      </c>
      <c r="N230" s="19">
        <v>0</v>
      </c>
      <c r="O230" s="14">
        <f>N231*N230</f>
        <v>0</v>
      </c>
      <c r="R230" s="131"/>
      <c r="S230" s="131"/>
      <c r="T230" s="131"/>
    </row>
    <row r="231" spans="1:20" ht="16.5" x14ac:dyDescent="0.2">
      <c r="A231" s="128"/>
      <c r="B231" s="128"/>
      <c r="D231" s="188"/>
      <c r="E231" s="188"/>
      <c r="F231" s="188"/>
      <c r="G231" s="188"/>
      <c r="M231" s="68" t="s">
        <v>42</v>
      </c>
      <c r="N231" s="14">
        <f>(N223+N224+N226+N225+N227+O228+O229+P223)/(1-N230)</f>
        <v>284040</v>
      </c>
      <c r="O231" s="15"/>
      <c r="R231" s="131"/>
      <c r="S231" s="131"/>
      <c r="T231" s="131"/>
    </row>
    <row r="232" spans="1:20" x14ac:dyDescent="0.2">
      <c r="A232" s="128"/>
      <c r="B232" s="128"/>
      <c r="R232" s="131"/>
      <c r="S232" s="131"/>
      <c r="T232" s="131"/>
    </row>
    <row r="235" spans="1:20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31">
        <f>SUM(R237:R241)</f>
        <v>5.5</v>
      </c>
      <c r="S235" s="15"/>
      <c r="T235" s="15"/>
    </row>
    <row r="236" spans="1:20" ht="17.25" x14ac:dyDescent="0.2">
      <c r="A236" s="159">
        <v>95</v>
      </c>
      <c r="B236" s="67">
        <v>60250</v>
      </c>
      <c r="D236" s="188"/>
      <c r="E236" s="188"/>
      <c r="F236" s="188"/>
      <c r="G236" s="188"/>
      <c r="M236" s="68" t="s">
        <v>117</v>
      </c>
      <c r="N236" s="67">
        <v>18</v>
      </c>
      <c r="O236" s="68" t="s">
        <v>117</v>
      </c>
      <c r="P236" s="67">
        <v>17</v>
      </c>
      <c r="Q236" s="15"/>
      <c r="R236" s="12" t="s">
        <v>46</v>
      </c>
      <c r="S236" s="12" t="s">
        <v>44</v>
      </c>
      <c r="T236" s="12" t="s">
        <v>45</v>
      </c>
    </row>
    <row r="237" spans="1:20" ht="16.5" x14ac:dyDescent="0.2">
      <c r="A237" s="159">
        <v>96</v>
      </c>
      <c r="B237" s="67">
        <v>63265</v>
      </c>
      <c r="D237" s="188"/>
      <c r="E237" s="188"/>
      <c r="F237" s="188"/>
      <c r="G237" s="188"/>
      <c r="M237" s="68" t="s">
        <v>1085</v>
      </c>
      <c r="N237" s="14">
        <f>SUMIFS(章节关卡!$BA$5:$BA$304,章节关卡!$AY$5:$AY$304,"="&amp;经验计算!N236)</f>
        <v>7400</v>
      </c>
      <c r="O237" s="68" t="s">
        <v>1089</v>
      </c>
      <c r="P237" s="14">
        <f>SUMIFS(章节关卡!$BI$5:$BI$304,章节关卡!$BG$5:$BG$304,"="&amp;经验计算!P236)</f>
        <v>72000</v>
      </c>
      <c r="R237" s="129">
        <v>1</v>
      </c>
      <c r="S237" s="21">
        <f>R237/$R$122</f>
        <v>0.18181818181818182</v>
      </c>
      <c r="T237" s="67">
        <f>INT($N$245*S237/5)*5</f>
        <v>60250</v>
      </c>
    </row>
    <row r="238" spans="1:20" ht="16.5" x14ac:dyDescent="0.2">
      <c r="A238" s="159">
        <v>97</v>
      </c>
      <c r="B238" s="67">
        <v>66280</v>
      </c>
      <c r="D238" s="188"/>
      <c r="E238" s="188"/>
      <c r="F238" s="188"/>
      <c r="G238" s="188"/>
      <c r="M238" s="68" t="s">
        <v>118</v>
      </c>
      <c r="N238" s="14">
        <f>SUMIFS(芦花古楼!$E$5:$E$104,芦花古楼!$A$5:$A$104,"&gt;"&amp;经验计算!O238,芦花古楼!$A$5:$A$104,"&lt;="&amp;经验计算!P238)</f>
        <v>0</v>
      </c>
      <c r="O238" s="67">
        <v>100</v>
      </c>
      <c r="P238" s="67">
        <v>100</v>
      </c>
      <c r="R238" s="129">
        <v>1.05</v>
      </c>
      <c r="S238" s="21">
        <f t="shared" ref="S238:S241" si="45">R238/$R$122</f>
        <v>0.19090909090909092</v>
      </c>
      <c r="T238" s="69">
        <f t="shared" ref="T238:T241" si="46">INT($N$245*S238/5)*5</f>
        <v>63265</v>
      </c>
    </row>
    <row r="239" spans="1:20" ht="16.5" x14ac:dyDescent="0.2">
      <c r="A239" s="159">
        <v>98</v>
      </c>
      <c r="B239" s="67">
        <v>69290</v>
      </c>
      <c r="D239" s="188"/>
      <c r="E239" s="188"/>
      <c r="F239" s="188"/>
      <c r="G239" s="188"/>
      <c r="M239" s="68" t="s">
        <v>120</v>
      </c>
      <c r="N239" s="14">
        <f>SUMIFS(芦花古楼!$P$5:$P$104,芦花古楼!$L$5:$L$104,"&gt;"&amp;经验计算!O239,芦花古楼!$L$5:$L$104,"&lt;="&amp;经验计算!P239)</f>
        <v>0</v>
      </c>
      <c r="O239" s="69">
        <v>100</v>
      </c>
      <c r="P239" s="69">
        <v>100</v>
      </c>
      <c r="R239" s="129">
        <v>1.1000000000000001</v>
      </c>
      <c r="S239" s="21">
        <f t="shared" si="45"/>
        <v>0.2</v>
      </c>
      <c r="T239" s="69">
        <f t="shared" si="46"/>
        <v>66280</v>
      </c>
    </row>
    <row r="240" spans="1:20" ht="16.5" x14ac:dyDescent="0.2">
      <c r="A240" s="159">
        <v>99</v>
      </c>
      <c r="B240" s="67">
        <v>72305</v>
      </c>
      <c r="D240" s="188"/>
      <c r="E240" s="188"/>
      <c r="F240" s="188"/>
      <c r="G240" s="188"/>
      <c r="M240" s="68" t="s">
        <v>119</v>
      </c>
      <c r="N240" s="14">
        <f>SUMIFS(芦花古楼!$AA$5:$AA$104,芦花古楼!$W$5:$W$104,"&gt;"&amp;经验计算!O240,芦花古楼!$W$5:$W$104,"&lt;="&amp;经验计算!P240)</f>
        <v>0</v>
      </c>
      <c r="O240" s="67">
        <v>100</v>
      </c>
      <c r="P240" s="67">
        <v>100</v>
      </c>
      <c r="R240" s="129">
        <v>1.1499999999999999</v>
      </c>
      <c r="S240" s="21">
        <f t="shared" si="45"/>
        <v>0.20909090909090908</v>
      </c>
      <c r="T240" s="69">
        <f t="shared" si="46"/>
        <v>69290</v>
      </c>
    </row>
    <row r="241" spans="1:20" ht="16.5" x14ac:dyDescent="0.2">
      <c r="A241" s="131"/>
      <c r="B241" s="131"/>
      <c r="D241" s="188"/>
      <c r="E241" s="188"/>
      <c r="F241" s="188"/>
      <c r="G241" s="188"/>
      <c r="M241" s="68" t="s">
        <v>121</v>
      </c>
      <c r="N241" s="14">
        <f>SUMIFS(芦花古楼!$AL$5:$AL$104,芦花古楼!$AH$5:$AH$104,"&gt;"&amp;经验计算!O241,芦花古楼!$AH$5:$AH$104,"&lt;="&amp;经验计算!P241)</f>
        <v>0</v>
      </c>
      <c r="O241" s="67">
        <v>90</v>
      </c>
      <c r="P241" s="67">
        <v>100</v>
      </c>
      <c r="R241" s="129">
        <v>1.2</v>
      </c>
      <c r="S241" s="21">
        <f t="shared" si="45"/>
        <v>0.21818181818181817</v>
      </c>
      <c r="T241" s="69">
        <f t="shared" si="46"/>
        <v>72305</v>
      </c>
    </row>
    <row r="242" spans="1:20" ht="16.5" x14ac:dyDescent="0.2">
      <c r="A242" s="131"/>
      <c r="B242" s="131"/>
      <c r="D242" s="188"/>
      <c r="E242" s="188"/>
      <c r="F242" s="188"/>
      <c r="G242" s="188"/>
      <c r="M242" s="68" t="s">
        <v>50</v>
      </c>
      <c r="N242" s="14"/>
      <c r="O242" s="14">
        <f>日常任务!D183*经验计算!N242</f>
        <v>0</v>
      </c>
      <c r="R242" s="131"/>
      <c r="S242" s="131"/>
      <c r="T242" s="131"/>
    </row>
    <row r="243" spans="1:20" ht="16.5" x14ac:dyDescent="0.2">
      <c r="A243" s="131"/>
      <c r="B243" s="131"/>
      <c r="D243" s="188"/>
      <c r="E243" s="188"/>
      <c r="F243" s="188"/>
      <c r="G243" s="188"/>
      <c r="M243" s="68" t="s">
        <v>47</v>
      </c>
      <c r="N243" s="14">
        <f>INDEX(节奏总表!$N$5:$N$35,经验计算!N236)*60</f>
        <v>7200</v>
      </c>
      <c r="O243" s="14">
        <f>INDEX(章节关卡!$F$6:$F$35,经验计算!N236-1)*经验计算!N243</f>
        <v>252000</v>
      </c>
      <c r="R243" s="131"/>
      <c r="S243" s="131"/>
      <c r="T243" s="131"/>
    </row>
    <row r="244" spans="1:20" ht="16.5" x14ac:dyDescent="0.2">
      <c r="A244" s="131"/>
      <c r="B244" s="131"/>
      <c r="D244" s="188"/>
      <c r="E244" s="188"/>
      <c r="F244" s="188"/>
      <c r="G244" s="188"/>
      <c r="M244" s="68" t="s">
        <v>43</v>
      </c>
      <c r="N244" s="19">
        <v>0</v>
      </c>
      <c r="O244" s="14">
        <f>N245*N244</f>
        <v>0</v>
      </c>
      <c r="R244" s="131"/>
      <c r="S244" s="131"/>
      <c r="T244" s="131"/>
    </row>
    <row r="245" spans="1:20" ht="16.5" x14ac:dyDescent="0.2">
      <c r="A245" s="131"/>
      <c r="B245" s="131"/>
      <c r="D245" s="188"/>
      <c r="E245" s="188"/>
      <c r="F245" s="188"/>
      <c r="G245" s="188"/>
      <c r="M245" s="68" t="s">
        <v>42</v>
      </c>
      <c r="N245" s="14">
        <f>(N237+N238+N240+N239+N241+O242+O243+P237)/(1-N244)</f>
        <v>331400</v>
      </c>
      <c r="O245" s="15"/>
      <c r="R245" s="131"/>
      <c r="S245" s="131"/>
      <c r="T245" s="131"/>
    </row>
    <row r="246" spans="1:20" x14ac:dyDescent="0.2">
      <c r="A246" s="131"/>
      <c r="B246" s="131"/>
      <c r="R246" s="131"/>
      <c r="S246" s="131"/>
      <c r="T246" s="131"/>
    </row>
    <row r="249" spans="1:20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31">
        <f>SUM(R251:R255)</f>
        <v>5.5</v>
      </c>
      <c r="S249" s="15"/>
      <c r="T249" s="15"/>
    </row>
    <row r="250" spans="1:20" ht="17.25" x14ac:dyDescent="0.2">
      <c r="A250" s="159">
        <v>100</v>
      </c>
      <c r="B250" s="67">
        <v>66270</v>
      </c>
      <c r="D250" s="188"/>
      <c r="E250" s="188"/>
      <c r="F250" s="188"/>
      <c r="G250" s="188"/>
      <c r="M250" s="68" t="s">
        <v>117</v>
      </c>
      <c r="N250" s="67">
        <v>19</v>
      </c>
      <c r="O250" s="68" t="s">
        <v>117</v>
      </c>
      <c r="P250" s="67">
        <v>18</v>
      </c>
      <c r="Q250" s="15"/>
      <c r="R250" s="12" t="s">
        <v>46</v>
      </c>
      <c r="S250" s="12" t="s">
        <v>44</v>
      </c>
      <c r="T250" s="12" t="s">
        <v>45</v>
      </c>
    </row>
    <row r="251" spans="1:20" ht="16.5" x14ac:dyDescent="0.2">
      <c r="A251" s="159">
        <v>101</v>
      </c>
      <c r="B251" s="67">
        <v>69585</v>
      </c>
      <c r="D251" s="188"/>
      <c r="E251" s="188"/>
      <c r="F251" s="188"/>
      <c r="G251" s="188"/>
      <c r="M251" s="68" t="s">
        <v>1087</v>
      </c>
      <c r="N251" s="14">
        <f>SUMIFS(章节关卡!$BA$5:$BA$304,章节关卡!$AY$5:$AY$304,"="&amp;经验计算!N250)</f>
        <v>8000</v>
      </c>
      <c r="O251" s="68" t="s">
        <v>1088</v>
      </c>
      <c r="P251" s="14">
        <f>SUMIFS(章节关卡!$BI$5:$BI$304,章节关卡!$BG$5:$BG$304,"="&amp;经验计算!P250)</f>
        <v>79000</v>
      </c>
      <c r="R251" s="129">
        <v>1</v>
      </c>
      <c r="S251" s="21">
        <f>R251/$R$122</f>
        <v>0.18181818181818182</v>
      </c>
      <c r="T251" s="67">
        <f>INT($N$259*S251/5)*5</f>
        <v>66270</v>
      </c>
    </row>
    <row r="252" spans="1:20" ht="16.5" x14ac:dyDescent="0.2">
      <c r="A252" s="159">
        <v>102</v>
      </c>
      <c r="B252" s="67">
        <v>72900</v>
      </c>
      <c r="D252" s="188"/>
      <c r="E252" s="188"/>
      <c r="F252" s="188"/>
      <c r="G252" s="188"/>
      <c r="M252" s="68" t="s">
        <v>118</v>
      </c>
      <c r="N252" s="14">
        <f>SUMIFS(芦花古楼!$E$5:$E$104,芦花古楼!$A$5:$A$104,"&gt;"&amp;经验计算!O252,芦花古楼!$A$5:$A$104,"&lt;="&amp;经验计算!P252)</f>
        <v>0</v>
      </c>
      <c r="O252" s="67">
        <v>100</v>
      </c>
      <c r="P252" s="67">
        <v>100</v>
      </c>
      <c r="R252" s="129">
        <v>1.05</v>
      </c>
      <c r="S252" s="21">
        <f t="shared" ref="S252:S255" si="47">R252/$R$122</f>
        <v>0.19090909090909092</v>
      </c>
      <c r="T252" s="69">
        <f t="shared" ref="T252:T255" si="48">INT($N$259*S252/5)*5</f>
        <v>69585</v>
      </c>
    </row>
    <row r="253" spans="1:20" ht="16.5" x14ac:dyDescent="0.2">
      <c r="A253" s="159">
        <v>103</v>
      </c>
      <c r="B253" s="67">
        <v>76210</v>
      </c>
      <c r="D253" s="188"/>
      <c r="E253" s="188"/>
      <c r="F253" s="188"/>
      <c r="G253" s="188"/>
      <c r="M253" s="68" t="s">
        <v>120</v>
      </c>
      <c r="N253" s="14">
        <f>SUMIFS(芦花古楼!$P$5:$P$104,芦花古楼!$L$5:$L$104,"&gt;"&amp;经验计算!O253,芦花古楼!$L$5:$L$104,"&lt;="&amp;经验计算!P253)</f>
        <v>0</v>
      </c>
      <c r="O253" s="69">
        <v>100</v>
      </c>
      <c r="P253" s="69">
        <v>100</v>
      </c>
      <c r="R253" s="129">
        <v>1.1000000000000001</v>
      </c>
      <c r="S253" s="21">
        <f t="shared" si="47"/>
        <v>0.2</v>
      </c>
      <c r="T253" s="69">
        <f t="shared" si="48"/>
        <v>72900</v>
      </c>
    </row>
    <row r="254" spans="1:20" ht="16.5" x14ac:dyDescent="0.2">
      <c r="A254" s="159">
        <v>104</v>
      </c>
      <c r="B254" s="67">
        <v>79525</v>
      </c>
      <c r="D254" s="188"/>
      <c r="E254" s="188"/>
      <c r="F254" s="188"/>
      <c r="G254" s="188"/>
      <c r="M254" s="68" t="s">
        <v>119</v>
      </c>
      <c r="N254" s="14">
        <f>SUMIFS(芦花古楼!$AA$5:$AA$104,芦花古楼!$W$5:$W$104,"&gt;"&amp;经验计算!O254,芦花古楼!$W$5:$W$104,"&lt;="&amp;经验计算!P254)</f>
        <v>0</v>
      </c>
      <c r="O254" s="67">
        <v>100</v>
      </c>
      <c r="P254" s="67">
        <v>100</v>
      </c>
      <c r="R254" s="129">
        <v>1.1499999999999999</v>
      </c>
      <c r="S254" s="21">
        <f t="shared" si="47"/>
        <v>0.20909090909090908</v>
      </c>
      <c r="T254" s="69">
        <f t="shared" si="48"/>
        <v>76210</v>
      </c>
    </row>
    <row r="255" spans="1:20" ht="16.5" x14ac:dyDescent="0.2">
      <c r="A255" s="131"/>
      <c r="B255" s="131"/>
      <c r="D255" s="188"/>
      <c r="E255" s="188"/>
      <c r="F255" s="188"/>
      <c r="G255" s="188"/>
      <c r="M255" s="68" t="s">
        <v>121</v>
      </c>
      <c r="N255" s="14">
        <f>SUMIFS(芦花古楼!$AL$5:$AL$104,芦花古楼!$AH$5:$AH$104,"&gt;"&amp;经验计算!O255,芦花古楼!$AH$5:$AH$104,"&lt;="&amp;经验计算!P255)</f>
        <v>0</v>
      </c>
      <c r="O255" s="67">
        <v>100</v>
      </c>
      <c r="P255" s="67">
        <v>100</v>
      </c>
      <c r="R255" s="129">
        <v>1.2</v>
      </c>
      <c r="S255" s="21">
        <f t="shared" si="47"/>
        <v>0.21818181818181817</v>
      </c>
      <c r="T255" s="69">
        <f t="shared" si="48"/>
        <v>79525</v>
      </c>
    </row>
    <row r="256" spans="1:20" ht="16.5" x14ac:dyDescent="0.2">
      <c r="A256" s="131"/>
      <c r="B256" s="131"/>
      <c r="D256" s="188"/>
      <c r="E256" s="188"/>
      <c r="F256" s="188"/>
      <c r="G256" s="188"/>
      <c r="M256" s="68" t="s">
        <v>50</v>
      </c>
      <c r="N256" s="14"/>
      <c r="O256" s="14">
        <f>日常任务!D197*经验计算!N256</f>
        <v>0</v>
      </c>
      <c r="R256" s="131"/>
      <c r="S256" s="131"/>
      <c r="T256" s="131"/>
    </row>
    <row r="257" spans="1:20" ht="16.5" x14ac:dyDescent="0.2">
      <c r="A257" s="131"/>
      <c r="B257" s="131"/>
      <c r="D257" s="188"/>
      <c r="E257" s="188"/>
      <c r="F257" s="188"/>
      <c r="G257" s="188"/>
      <c r="M257" s="68" t="s">
        <v>47</v>
      </c>
      <c r="N257" s="14">
        <f>INDEX(节奏总表!$N$5:$N$35,经验计算!N250)*60</f>
        <v>7500</v>
      </c>
      <c r="O257" s="14">
        <f>INDEX(章节关卡!$F$6:$F$35,经验计算!N250-1)*经验计算!N257</f>
        <v>277500</v>
      </c>
      <c r="R257" s="131"/>
      <c r="S257" s="131"/>
      <c r="T257" s="131"/>
    </row>
    <row r="258" spans="1:20" ht="16.5" x14ac:dyDescent="0.2">
      <c r="A258" s="131"/>
      <c r="B258" s="131"/>
      <c r="D258" s="188"/>
      <c r="E258" s="188"/>
      <c r="F258" s="188"/>
      <c r="G258" s="188"/>
      <c r="M258" s="68" t="s">
        <v>43</v>
      </c>
      <c r="N258" s="19">
        <v>0</v>
      </c>
      <c r="O258" s="14">
        <f>N259*N258</f>
        <v>0</v>
      </c>
      <c r="R258" s="131"/>
      <c r="S258" s="131"/>
      <c r="T258" s="131"/>
    </row>
    <row r="259" spans="1:20" ht="16.5" x14ac:dyDescent="0.2">
      <c r="A259" s="131"/>
      <c r="B259" s="131"/>
      <c r="D259" s="188"/>
      <c r="E259" s="188"/>
      <c r="F259" s="188"/>
      <c r="G259" s="188"/>
      <c r="M259" s="68" t="s">
        <v>42</v>
      </c>
      <c r="N259" s="14">
        <f>(N251+N252+N254+N253+N255+O256+O257+P251)/(1-N258)</f>
        <v>364500</v>
      </c>
      <c r="O259" s="15"/>
      <c r="R259" s="131"/>
      <c r="S259" s="131"/>
      <c r="T259" s="131"/>
    </row>
    <row r="260" spans="1:20" x14ac:dyDescent="0.2">
      <c r="A260" s="131"/>
      <c r="B260" s="131"/>
      <c r="R260" s="131"/>
      <c r="S260" s="131"/>
      <c r="T260" s="131"/>
    </row>
    <row r="263" spans="1:20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31">
        <f>SUM(R265:R269)</f>
        <v>5.5</v>
      </c>
      <c r="S263" s="15"/>
      <c r="T263" s="15"/>
    </row>
    <row r="264" spans="1:20" ht="17.25" x14ac:dyDescent="0.2">
      <c r="A264" s="159">
        <v>105</v>
      </c>
      <c r="B264" s="67">
        <v>74250</v>
      </c>
      <c r="D264" s="188"/>
      <c r="E264" s="188"/>
      <c r="F264" s="188"/>
      <c r="G264" s="188"/>
      <c r="M264" s="68" t="s">
        <v>117</v>
      </c>
      <c r="N264" s="67">
        <v>20</v>
      </c>
      <c r="O264" s="68" t="s">
        <v>117</v>
      </c>
      <c r="P264" s="67">
        <v>19</v>
      </c>
      <c r="Q264" s="15"/>
      <c r="R264" s="12" t="s">
        <v>46</v>
      </c>
      <c r="S264" s="12" t="s">
        <v>44</v>
      </c>
      <c r="T264" s="12" t="s">
        <v>45</v>
      </c>
    </row>
    <row r="265" spans="1:20" ht="16.5" x14ac:dyDescent="0.2">
      <c r="A265" s="159">
        <v>106</v>
      </c>
      <c r="B265" s="67">
        <v>77965</v>
      </c>
      <c r="D265" s="188"/>
      <c r="E265" s="188"/>
      <c r="F265" s="188"/>
      <c r="G265" s="188"/>
      <c r="M265" s="68" t="s">
        <v>1085</v>
      </c>
      <c r="N265" s="14">
        <f>SUMIFS(章节关卡!$BA$5:$BA$304,章节关卡!$AY$5:$AY$304,"="&amp;经验计算!N264)</f>
        <v>8400</v>
      </c>
      <c r="O265" s="68" t="s">
        <v>1086</v>
      </c>
      <c r="P265" s="14">
        <f>SUMIFS(章节关卡!$BI$5:$BI$304,章节关卡!$BG$5:$BG$304,"="&amp;经验计算!P264)</f>
        <v>88000</v>
      </c>
      <c r="R265" s="129">
        <v>1</v>
      </c>
      <c r="S265" s="21">
        <f>R265/$R$122</f>
        <v>0.18181818181818182</v>
      </c>
      <c r="T265" s="67">
        <f>INT($N$273*S265/5)*5</f>
        <v>74250</v>
      </c>
    </row>
    <row r="266" spans="1:20" ht="16.5" x14ac:dyDescent="0.2">
      <c r="A266" s="159">
        <v>107</v>
      </c>
      <c r="B266" s="67">
        <v>81680</v>
      </c>
      <c r="D266" s="188"/>
      <c r="E266" s="188"/>
      <c r="F266" s="188"/>
      <c r="G266" s="188"/>
      <c r="M266" s="68" t="s">
        <v>118</v>
      </c>
      <c r="N266" s="14">
        <f>SUMIFS(芦花古楼!$E$5:$E$104,芦花古楼!$A$5:$A$104,"&gt;"&amp;经验计算!O266,芦花古楼!$A$5:$A$104,"&lt;="&amp;经验计算!P266)</f>
        <v>0</v>
      </c>
      <c r="O266" s="67">
        <v>100</v>
      </c>
      <c r="P266" s="67">
        <v>100</v>
      </c>
      <c r="R266" s="129">
        <v>1.05</v>
      </c>
      <c r="S266" s="21">
        <f t="shared" ref="S266:S269" si="49">R266/$R$122</f>
        <v>0.19090909090909092</v>
      </c>
      <c r="T266" s="69">
        <f t="shared" ref="T266:T269" si="50">INT($N$273*S266/5)*5</f>
        <v>77965</v>
      </c>
    </row>
    <row r="267" spans="1:20" ht="16.5" x14ac:dyDescent="0.2">
      <c r="A267" s="159">
        <v>108</v>
      </c>
      <c r="B267" s="67">
        <v>85390</v>
      </c>
      <c r="D267" s="188"/>
      <c r="E267" s="188"/>
      <c r="F267" s="188"/>
      <c r="G267" s="188"/>
      <c r="M267" s="68" t="s">
        <v>120</v>
      </c>
      <c r="N267" s="14">
        <f>SUMIFS(芦花古楼!$P$5:$P$104,芦花古楼!$L$5:$L$104,"&gt;"&amp;经验计算!O267,芦花古楼!$L$5:$L$104,"&lt;="&amp;经验计算!P267)</f>
        <v>0</v>
      </c>
      <c r="O267" s="69">
        <v>100</v>
      </c>
      <c r="P267" s="69">
        <v>100</v>
      </c>
      <c r="R267" s="129">
        <v>1.1000000000000001</v>
      </c>
      <c r="S267" s="21">
        <f t="shared" si="49"/>
        <v>0.2</v>
      </c>
      <c r="T267" s="69">
        <f t="shared" si="50"/>
        <v>81680</v>
      </c>
    </row>
    <row r="268" spans="1:20" ht="16.5" x14ac:dyDescent="0.2">
      <c r="A268" s="159">
        <v>109</v>
      </c>
      <c r="B268" s="67">
        <v>89105</v>
      </c>
      <c r="D268" s="188"/>
      <c r="E268" s="188"/>
      <c r="F268" s="188"/>
      <c r="G268" s="188"/>
      <c r="M268" s="68" t="s">
        <v>119</v>
      </c>
      <c r="N268" s="14">
        <f>SUMIFS(芦花古楼!$AA$5:$AA$104,芦花古楼!$W$5:$W$104,"&gt;"&amp;经验计算!O268,芦花古楼!$W$5:$W$104,"&lt;="&amp;经验计算!P268)</f>
        <v>0</v>
      </c>
      <c r="O268" s="67">
        <v>100</v>
      </c>
      <c r="P268" s="67">
        <v>100</v>
      </c>
      <c r="R268" s="129">
        <v>1.1499999999999999</v>
      </c>
      <c r="S268" s="21">
        <f t="shared" si="49"/>
        <v>0.20909090909090908</v>
      </c>
      <c r="T268" s="69">
        <f t="shared" si="50"/>
        <v>85390</v>
      </c>
    </row>
    <row r="269" spans="1:20" ht="16.5" x14ac:dyDescent="0.2">
      <c r="A269" s="131"/>
      <c r="B269" s="131"/>
      <c r="D269" s="188"/>
      <c r="E269" s="188"/>
      <c r="F269" s="188"/>
      <c r="G269" s="188"/>
      <c r="M269" s="68" t="s">
        <v>121</v>
      </c>
      <c r="N269" s="14">
        <f>SUMIFS(芦花古楼!$AL$5:$AL$104,芦花古楼!$AH$5:$AH$104,"&gt;"&amp;经验计算!O269,芦花古楼!$AH$5:$AH$104,"&lt;="&amp;经验计算!P269)</f>
        <v>0</v>
      </c>
      <c r="O269" s="67">
        <v>100</v>
      </c>
      <c r="P269" s="67">
        <v>100</v>
      </c>
      <c r="R269" s="129">
        <v>1.2</v>
      </c>
      <c r="S269" s="21">
        <f t="shared" si="49"/>
        <v>0.21818181818181817</v>
      </c>
      <c r="T269" s="69">
        <f t="shared" si="50"/>
        <v>89105</v>
      </c>
    </row>
    <row r="270" spans="1:20" ht="16.5" x14ac:dyDescent="0.2">
      <c r="A270" s="131"/>
      <c r="B270" s="131"/>
      <c r="D270" s="188"/>
      <c r="E270" s="188"/>
      <c r="F270" s="188"/>
      <c r="G270" s="188"/>
      <c r="M270" s="68" t="s">
        <v>50</v>
      </c>
      <c r="N270" s="14"/>
      <c r="O270" s="14">
        <f>日常任务!D211*经验计算!N270</f>
        <v>0</v>
      </c>
      <c r="R270" s="131"/>
      <c r="S270" s="131"/>
      <c r="T270" s="131"/>
    </row>
    <row r="271" spans="1:20" ht="16.5" x14ac:dyDescent="0.2">
      <c r="A271" s="131"/>
      <c r="B271" s="131"/>
      <c r="D271" s="188"/>
      <c r="E271" s="188"/>
      <c r="F271" s="188"/>
      <c r="G271" s="188"/>
      <c r="M271" s="68" t="s">
        <v>47</v>
      </c>
      <c r="N271" s="14">
        <f>INDEX(节奏总表!$N$5:$N$35,经验计算!N264)*60</f>
        <v>7800</v>
      </c>
      <c r="O271" s="14">
        <f>INDEX(章节关卡!$F$6:$F$35,经验计算!N264-1)*经验计算!N271</f>
        <v>312000</v>
      </c>
      <c r="R271" s="131"/>
      <c r="S271" s="131"/>
      <c r="T271" s="131"/>
    </row>
    <row r="272" spans="1:20" ht="16.5" x14ac:dyDescent="0.2">
      <c r="A272" s="131"/>
      <c r="B272" s="131"/>
      <c r="D272" s="188"/>
      <c r="E272" s="188"/>
      <c r="F272" s="188"/>
      <c r="G272" s="188"/>
      <c r="M272" s="68" t="s">
        <v>43</v>
      </c>
      <c r="N272" s="19">
        <v>0</v>
      </c>
      <c r="O272" s="14">
        <f>N273*N272</f>
        <v>0</v>
      </c>
      <c r="R272" s="131"/>
      <c r="S272" s="131"/>
      <c r="T272" s="131"/>
    </row>
    <row r="273" spans="1:20" ht="16.5" x14ac:dyDescent="0.2">
      <c r="A273" s="131"/>
      <c r="B273" s="131"/>
      <c r="D273" s="188"/>
      <c r="E273" s="188"/>
      <c r="F273" s="188"/>
      <c r="G273" s="188"/>
      <c r="M273" s="68" t="s">
        <v>42</v>
      </c>
      <c r="N273" s="14">
        <f>(N265+N266+N268+N267+N269+O270+O271+P265)/(1-N272)</f>
        <v>408400</v>
      </c>
      <c r="O273" s="15"/>
      <c r="R273" s="131"/>
      <c r="S273" s="131"/>
      <c r="T273" s="131"/>
    </row>
    <row r="274" spans="1:20" x14ac:dyDescent="0.2">
      <c r="A274" s="131"/>
      <c r="B274" s="131"/>
      <c r="R274" s="131"/>
      <c r="S274" s="131"/>
      <c r="T274" s="131"/>
    </row>
    <row r="275" spans="1:20" x14ac:dyDescent="0.2">
      <c r="A275" s="132"/>
      <c r="B275" s="132"/>
      <c r="C275" s="132"/>
      <c r="D275" s="132"/>
      <c r="E275" s="132"/>
      <c r="F275" s="132"/>
      <c r="G275" s="132"/>
      <c r="H275" s="132"/>
      <c r="I275" s="132"/>
      <c r="J275" s="132"/>
      <c r="K275" s="132"/>
      <c r="L275" s="132"/>
      <c r="M275" s="132"/>
      <c r="N275" s="132"/>
      <c r="O275" s="132"/>
      <c r="P275" s="132"/>
      <c r="Q275" s="132"/>
      <c r="R275" s="132"/>
      <c r="S275" s="132"/>
      <c r="T275" s="132"/>
    </row>
    <row r="276" spans="1:20" x14ac:dyDescent="0.2">
      <c r="A276" s="132"/>
      <c r="B276" s="132"/>
      <c r="C276" s="132"/>
      <c r="D276" s="132"/>
      <c r="E276" s="132"/>
      <c r="F276" s="132"/>
      <c r="G276" s="132"/>
      <c r="H276" s="132"/>
      <c r="I276" s="132"/>
      <c r="J276" s="132"/>
      <c r="K276" s="132"/>
      <c r="L276" s="132"/>
      <c r="M276" s="132"/>
      <c r="N276" s="132"/>
      <c r="O276" s="132"/>
      <c r="P276" s="132"/>
      <c r="Q276" s="132"/>
      <c r="R276" s="132"/>
      <c r="S276" s="132"/>
      <c r="T276" s="132"/>
    </row>
    <row r="277" spans="1:20" x14ac:dyDescent="0.2">
      <c r="A277" s="131"/>
      <c r="B277" s="131"/>
      <c r="C277" s="131"/>
      <c r="D277" s="131"/>
      <c r="E277" s="131"/>
      <c r="F277" s="131"/>
      <c r="G277" s="131"/>
      <c r="H277" s="131"/>
      <c r="I277" s="131"/>
      <c r="J277" s="131"/>
      <c r="K277" s="131"/>
      <c r="L277" s="131"/>
      <c r="M277" s="131"/>
      <c r="N277" s="131"/>
      <c r="O277" s="131"/>
      <c r="P277" s="131"/>
      <c r="Q277" s="131"/>
      <c r="R277" s="131">
        <f>SUM(R279:R283)</f>
        <v>5.5</v>
      </c>
      <c r="S277" s="131"/>
      <c r="T277" s="131"/>
    </row>
    <row r="278" spans="1:20" ht="17.25" x14ac:dyDescent="0.2">
      <c r="A278" s="159">
        <v>110</v>
      </c>
      <c r="B278" s="129">
        <v>81950</v>
      </c>
      <c r="C278" s="132"/>
      <c r="D278" s="188"/>
      <c r="E278" s="188"/>
      <c r="F278" s="188"/>
      <c r="G278" s="188"/>
      <c r="H278" s="132"/>
      <c r="I278" s="132"/>
      <c r="J278" s="132"/>
      <c r="K278" s="132"/>
      <c r="L278" s="132"/>
      <c r="M278" s="130" t="s">
        <v>117</v>
      </c>
      <c r="N278" s="129">
        <v>21</v>
      </c>
      <c r="O278" s="130" t="s">
        <v>117</v>
      </c>
      <c r="P278" s="129">
        <v>20</v>
      </c>
      <c r="Q278" s="131"/>
      <c r="R278" s="12" t="s">
        <v>46</v>
      </c>
      <c r="S278" s="12" t="s">
        <v>44</v>
      </c>
      <c r="T278" s="12" t="s">
        <v>45</v>
      </c>
    </row>
    <row r="279" spans="1:20" ht="16.5" x14ac:dyDescent="0.2">
      <c r="A279" s="159">
        <v>111</v>
      </c>
      <c r="B279" s="129">
        <v>86050</v>
      </c>
      <c r="C279" s="132"/>
      <c r="D279" s="188"/>
      <c r="E279" s="188"/>
      <c r="F279" s="188"/>
      <c r="G279" s="188"/>
      <c r="H279" s="132"/>
      <c r="I279" s="132"/>
      <c r="J279" s="132"/>
      <c r="K279" s="132"/>
      <c r="L279" s="132"/>
      <c r="M279" s="130" t="s">
        <v>81</v>
      </c>
      <c r="N279" s="14">
        <f>SUMIFS(章节关卡!$BA$5:$BA$304,章节关卡!$AY$5:$AY$304,"="&amp;经验计算!N278)</f>
        <v>9000</v>
      </c>
      <c r="O279" s="130" t="s">
        <v>122</v>
      </c>
      <c r="P279" s="14">
        <f>SUMIFS(章节关卡!$BI$5:$BI$304,章节关卡!$BG$5:$BG$304,"="&amp;经验计算!P278)</f>
        <v>96500</v>
      </c>
      <c r="Q279" s="132"/>
      <c r="R279" s="129">
        <v>1</v>
      </c>
      <c r="S279" s="21">
        <f>R279/$R$122</f>
        <v>0.18181818181818182</v>
      </c>
      <c r="T279" s="129">
        <f>INT($N$287*S279/5)*5</f>
        <v>81950</v>
      </c>
    </row>
    <row r="280" spans="1:20" ht="16.5" x14ac:dyDescent="0.2">
      <c r="A280" s="159">
        <v>112</v>
      </c>
      <c r="B280" s="129">
        <v>90145</v>
      </c>
      <c r="C280" s="132"/>
      <c r="D280" s="188"/>
      <c r="E280" s="188"/>
      <c r="F280" s="188"/>
      <c r="G280" s="188"/>
      <c r="H280" s="132"/>
      <c r="I280" s="132"/>
      <c r="J280" s="132"/>
      <c r="K280" s="132"/>
      <c r="L280" s="132"/>
      <c r="M280" s="130" t="s">
        <v>118</v>
      </c>
      <c r="N280" s="14">
        <f>SUMIFS(芦花古楼!$E$5:$E$104,芦花古楼!$A$5:$A$104,"&gt;"&amp;经验计算!O280,芦花古楼!$A$5:$A$104,"&lt;="&amp;经验计算!P280)</f>
        <v>0</v>
      </c>
      <c r="O280" s="129">
        <v>100</v>
      </c>
      <c r="P280" s="129">
        <v>100</v>
      </c>
      <c r="Q280" s="132"/>
      <c r="R280" s="129">
        <v>1.05</v>
      </c>
      <c r="S280" s="21">
        <f t="shared" ref="S280:S283" si="51">R280/$R$122</f>
        <v>0.19090909090909092</v>
      </c>
      <c r="T280" s="129">
        <f t="shared" ref="T280:T283" si="52">INT($N$287*S280/5)*5</f>
        <v>86050</v>
      </c>
    </row>
    <row r="281" spans="1:20" ht="16.5" x14ac:dyDescent="0.2">
      <c r="A281" s="159">
        <v>113</v>
      </c>
      <c r="B281" s="129">
        <v>94245</v>
      </c>
      <c r="C281" s="132"/>
      <c r="D281" s="188"/>
      <c r="E281" s="188"/>
      <c r="F281" s="188"/>
      <c r="G281" s="188"/>
      <c r="H281" s="132"/>
      <c r="I281" s="132"/>
      <c r="J281" s="132"/>
      <c r="K281" s="132"/>
      <c r="L281" s="132"/>
      <c r="M281" s="130" t="s">
        <v>120</v>
      </c>
      <c r="N281" s="14">
        <f>SUMIFS(芦花古楼!$P$5:$P$104,芦花古楼!$L$5:$L$104,"&gt;"&amp;经验计算!O281,芦花古楼!$L$5:$L$104,"&lt;="&amp;经验计算!P281)</f>
        <v>0</v>
      </c>
      <c r="O281" s="129">
        <v>100</v>
      </c>
      <c r="P281" s="129">
        <v>100</v>
      </c>
      <c r="Q281" s="132"/>
      <c r="R281" s="129">
        <v>1.1000000000000001</v>
      </c>
      <c r="S281" s="21">
        <f t="shared" si="51"/>
        <v>0.2</v>
      </c>
      <c r="T281" s="129">
        <f t="shared" si="52"/>
        <v>90145</v>
      </c>
    </row>
    <row r="282" spans="1:20" ht="16.5" x14ac:dyDescent="0.2">
      <c r="A282" s="159">
        <v>114</v>
      </c>
      <c r="B282" s="129">
        <v>98340</v>
      </c>
      <c r="C282" s="132"/>
      <c r="D282" s="188"/>
      <c r="E282" s="188"/>
      <c r="F282" s="188"/>
      <c r="G282" s="188"/>
      <c r="H282" s="132"/>
      <c r="I282" s="132"/>
      <c r="J282" s="132"/>
      <c r="K282" s="132"/>
      <c r="L282" s="132"/>
      <c r="M282" s="130" t="s">
        <v>119</v>
      </c>
      <c r="N282" s="14">
        <f>SUMIFS(芦花古楼!$AA$5:$AA$104,芦花古楼!$W$5:$W$104,"&gt;"&amp;经验计算!O282,芦花古楼!$W$5:$W$104,"&lt;="&amp;经验计算!P282)</f>
        <v>0</v>
      </c>
      <c r="O282" s="129">
        <v>100</v>
      </c>
      <c r="P282" s="129">
        <v>100</v>
      </c>
      <c r="Q282" s="132"/>
      <c r="R282" s="129">
        <v>1.1499999999999999</v>
      </c>
      <c r="S282" s="21">
        <f t="shared" si="51"/>
        <v>0.20909090909090908</v>
      </c>
      <c r="T282" s="129">
        <f t="shared" si="52"/>
        <v>94245</v>
      </c>
    </row>
    <row r="283" spans="1:20" ht="16.5" x14ac:dyDescent="0.2">
      <c r="A283" s="131"/>
      <c r="B283" s="131"/>
      <c r="C283" s="132"/>
      <c r="D283" s="188"/>
      <c r="E283" s="188"/>
      <c r="F283" s="188"/>
      <c r="G283" s="188"/>
      <c r="H283" s="132"/>
      <c r="I283" s="132"/>
      <c r="J283" s="132"/>
      <c r="K283" s="132"/>
      <c r="L283" s="132"/>
      <c r="M283" s="130" t="s">
        <v>121</v>
      </c>
      <c r="N283" s="14">
        <f>SUMIFS(芦花古楼!$AL$5:$AL$104,芦花古楼!$AH$5:$AH$104,"&gt;"&amp;经验计算!O283,芦花古楼!$AH$5:$AH$104,"&lt;="&amp;经验计算!P283)</f>
        <v>0</v>
      </c>
      <c r="O283" s="129">
        <v>100</v>
      </c>
      <c r="P283" s="129">
        <v>100</v>
      </c>
      <c r="Q283" s="132"/>
      <c r="R283" s="129">
        <v>1.2</v>
      </c>
      <c r="S283" s="21">
        <f t="shared" si="51"/>
        <v>0.21818181818181817</v>
      </c>
      <c r="T283" s="129">
        <f t="shared" si="52"/>
        <v>98340</v>
      </c>
    </row>
    <row r="284" spans="1:20" ht="16.5" x14ac:dyDescent="0.2">
      <c r="A284" s="131"/>
      <c r="B284" s="131"/>
      <c r="C284" s="132"/>
      <c r="D284" s="188"/>
      <c r="E284" s="188"/>
      <c r="F284" s="188"/>
      <c r="G284" s="188"/>
      <c r="H284" s="132"/>
      <c r="I284" s="132"/>
      <c r="J284" s="132"/>
      <c r="K284" s="132"/>
      <c r="L284" s="132"/>
      <c r="M284" s="130" t="s">
        <v>50</v>
      </c>
      <c r="N284" s="14"/>
      <c r="O284" s="14">
        <f>日常任务!D225*经验计算!N284</f>
        <v>0</v>
      </c>
      <c r="P284" s="132"/>
      <c r="Q284" s="132"/>
      <c r="R284" s="131"/>
      <c r="S284" s="131"/>
      <c r="T284" s="131"/>
    </row>
    <row r="285" spans="1:20" ht="16.5" x14ac:dyDescent="0.2">
      <c r="A285" s="131"/>
      <c r="B285" s="131"/>
      <c r="C285" s="132"/>
      <c r="D285" s="188"/>
      <c r="E285" s="188"/>
      <c r="F285" s="188"/>
      <c r="G285" s="188"/>
      <c r="H285" s="132"/>
      <c r="I285" s="132"/>
      <c r="J285" s="132"/>
      <c r="K285" s="132"/>
      <c r="L285" s="132"/>
      <c r="M285" s="130" t="s">
        <v>47</v>
      </c>
      <c r="N285" s="14">
        <f>INDEX(节奏总表!$N$5:$N$35,经验计算!N278)*60</f>
        <v>8220</v>
      </c>
      <c r="O285" s="14">
        <f>INDEX(章节关卡!$F$6:$F$35,经验计算!N278-1)*经验计算!N285</f>
        <v>345240</v>
      </c>
      <c r="P285" s="132"/>
      <c r="Q285" s="132"/>
      <c r="R285" s="131"/>
      <c r="S285" s="131"/>
      <c r="T285" s="131"/>
    </row>
    <row r="286" spans="1:20" ht="16.5" x14ac:dyDescent="0.2">
      <c r="A286" s="131"/>
      <c r="B286" s="131"/>
      <c r="C286" s="132"/>
      <c r="D286" s="188"/>
      <c r="E286" s="188"/>
      <c r="F286" s="188"/>
      <c r="G286" s="188"/>
      <c r="H286" s="132"/>
      <c r="I286" s="132"/>
      <c r="J286" s="132"/>
      <c r="K286" s="132"/>
      <c r="L286" s="132"/>
      <c r="M286" s="130" t="s">
        <v>43</v>
      </c>
      <c r="N286" s="19">
        <v>0</v>
      </c>
      <c r="O286" s="14">
        <f>N287*N286</f>
        <v>0</v>
      </c>
      <c r="P286" s="132"/>
      <c r="Q286" s="132"/>
      <c r="R286" s="131"/>
      <c r="S286" s="131"/>
      <c r="T286" s="131"/>
    </row>
    <row r="287" spans="1:20" ht="16.5" x14ac:dyDescent="0.2">
      <c r="A287" s="131"/>
      <c r="B287" s="131"/>
      <c r="C287" s="132"/>
      <c r="D287" s="188"/>
      <c r="E287" s="188"/>
      <c r="F287" s="188"/>
      <c r="G287" s="188"/>
      <c r="H287" s="132"/>
      <c r="I287" s="132"/>
      <c r="J287" s="132"/>
      <c r="K287" s="132"/>
      <c r="L287" s="132"/>
      <c r="M287" s="130" t="s">
        <v>42</v>
      </c>
      <c r="N287" s="14">
        <f>(N279+N280+N282+N281+N283+O284+O285+P279)/(1-N286)</f>
        <v>450740</v>
      </c>
      <c r="O287" s="131"/>
      <c r="P287" s="132"/>
      <c r="Q287" s="132"/>
      <c r="R287" s="131"/>
      <c r="S287" s="131"/>
      <c r="T287" s="131"/>
    </row>
    <row r="288" spans="1:20" x14ac:dyDescent="0.2">
      <c r="A288" s="131"/>
      <c r="B288" s="131"/>
      <c r="C288" s="132"/>
      <c r="D288" s="132"/>
      <c r="E288" s="132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1"/>
      <c r="S288" s="131"/>
      <c r="T288" s="131"/>
    </row>
    <row r="289" spans="1:20" x14ac:dyDescent="0.2">
      <c r="A289" s="132"/>
      <c r="B289" s="132"/>
      <c r="C289" s="132"/>
      <c r="D289" s="132"/>
      <c r="E289" s="132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/>
      <c r="S289" s="132"/>
      <c r="T289" s="132"/>
    </row>
    <row r="290" spans="1:20" x14ac:dyDescent="0.2">
      <c r="A290" s="132"/>
      <c r="B290" s="132"/>
      <c r="C290" s="132"/>
      <c r="D290" s="132"/>
      <c r="E290" s="132"/>
      <c r="F290" s="132"/>
      <c r="G290" s="132"/>
      <c r="H290" s="132"/>
      <c r="I290" s="132"/>
      <c r="J290" s="132"/>
      <c r="K290" s="132"/>
      <c r="L290" s="132"/>
      <c r="M290" s="132"/>
      <c r="N290" s="132"/>
      <c r="O290" s="132"/>
      <c r="P290" s="132"/>
      <c r="Q290" s="132"/>
      <c r="R290" s="132"/>
      <c r="S290" s="132"/>
      <c r="T290" s="132"/>
    </row>
    <row r="291" spans="1:20" x14ac:dyDescent="0.2">
      <c r="A291" s="131"/>
      <c r="B291" s="131"/>
      <c r="C291" s="131"/>
      <c r="D291" s="131"/>
      <c r="E291" s="131"/>
      <c r="F291" s="131"/>
      <c r="G291" s="131"/>
      <c r="H291" s="131"/>
      <c r="I291" s="131"/>
      <c r="J291" s="131"/>
      <c r="K291" s="131"/>
      <c r="L291" s="131"/>
      <c r="M291" s="131"/>
      <c r="N291" s="131"/>
      <c r="O291" s="131"/>
      <c r="P291" s="131"/>
      <c r="Q291" s="131"/>
      <c r="R291" s="131">
        <f>SUM(R293:R297)</f>
        <v>5.5</v>
      </c>
      <c r="S291" s="131"/>
      <c r="T291" s="131"/>
    </row>
    <row r="292" spans="1:20" ht="17.25" x14ac:dyDescent="0.2">
      <c r="A292" s="159">
        <v>115</v>
      </c>
      <c r="B292" s="129">
        <v>92035</v>
      </c>
      <c r="C292" s="132"/>
      <c r="D292" s="188"/>
      <c r="E292" s="188"/>
      <c r="F292" s="188"/>
      <c r="G292" s="188"/>
      <c r="H292" s="132"/>
      <c r="I292" s="132"/>
      <c r="J292" s="132"/>
      <c r="K292" s="132"/>
      <c r="L292" s="132"/>
      <c r="M292" s="130" t="s">
        <v>117</v>
      </c>
      <c r="N292" s="129">
        <v>22</v>
      </c>
      <c r="O292" s="130" t="s">
        <v>117</v>
      </c>
      <c r="P292" s="129">
        <v>21</v>
      </c>
      <c r="Q292" s="131"/>
      <c r="R292" s="12" t="s">
        <v>46</v>
      </c>
      <c r="S292" s="12" t="s">
        <v>44</v>
      </c>
      <c r="T292" s="12" t="s">
        <v>45</v>
      </c>
    </row>
    <row r="293" spans="1:20" ht="16.5" x14ac:dyDescent="0.2">
      <c r="A293" s="159">
        <v>116</v>
      </c>
      <c r="B293" s="129">
        <v>96635</v>
      </c>
      <c r="C293" s="132"/>
      <c r="D293" s="188"/>
      <c r="E293" s="188"/>
      <c r="F293" s="188"/>
      <c r="G293" s="188"/>
      <c r="H293" s="132"/>
      <c r="I293" s="132"/>
      <c r="J293" s="132"/>
      <c r="K293" s="132"/>
      <c r="L293" s="132"/>
      <c r="M293" s="130" t="s">
        <v>81</v>
      </c>
      <c r="N293" s="14">
        <f>SUMIFS(章节关卡!$BA$5:$BA$304,章节关卡!$AY$5:$AY$304,"="&amp;经验计算!N292)</f>
        <v>9400</v>
      </c>
      <c r="O293" s="130" t="s">
        <v>122</v>
      </c>
      <c r="P293" s="14">
        <f>SUMIFS(章节关卡!$BI$5:$BI$304,章节关卡!$BG$5:$BG$304,"="&amp;经验计算!P292)</f>
        <v>108000</v>
      </c>
      <c r="Q293" s="132"/>
      <c r="R293" s="129">
        <v>1</v>
      </c>
      <c r="S293" s="21">
        <f>R293/$R$122</f>
        <v>0.18181818181818182</v>
      </c>
      <c r="T293" s="129">
        <f>INT($N$301*S293/5)*5</f>
        <v>92035</v>
      </c>
    </row>
    <row r="294" spans="1:20" ht="16.5" x14ac:dyDescent="0.2">
      <c r="A294" s="159">
        <v>117</v>
      </c>
      <c r="B294" s="129">
        <v>101240</v>
      </c>
      <c r="C294" s="132"/>
      <c r="D294" s="188"/>
      <c r="E294" s="188"/>
      <c r="F294" s="188"/>
      <c r="G294" s="188"/>
      <c r="H294" s="132"/>
      <c r="I294" s="132"/>
      <c r="J294" s="132"/>
      <c r="K294" s="132"/>
      <c r="L294" s="132"/>
      <c r="M294" s="130" t="s">
        <v>118</v>
      </c>
      <c r="N294" s="14">
        <f>SUMIFS(芦花古楼!$E$5:$E$104,芦花古楼!$A$5:$A$104,"&gt;"&amp;经验计算!O294,芦花古楼!$A$5:$A$104,"&lt;="&amp;经验计算!P294)</f>
        <v>0</v>
      </c>
      <c r="O294" s="129">
        <v>100</v>
      </c>
      <c r="P294" s="129">
        <v>100</v>
      </c>
      <c r="Q294" s="132"/>
      <c r="R294" s="129">
        <v>1.05</v>
      </c>
      <c r="S294" s="21">
        <f t="shared" ref="S294:S297" si="53">R294/$R$122</f>
        <v>0.19090909090909092</v>
      </c>
      <c r="T294" s="129">
        <f t="shared" ref="T294:T297" si="54">INT($N$301*S294/5)*5</f>
        <v>96635</v>
      </c>
    </row>
    <row r="295" spans="1:20" ht="16.5" x14ac:dyDescent="0.2">
      <c r="A295" s="159">
        <v>118</v>
      </c>
      <c r="B295" s="129">
        <v>105840</v>
      </c>
      <c r="C295" s="132"/>
      <c r="D295" s="188"/>
      <c r="E295" s="188"/>
      <c r="F295" s="188"/>
      <c r="G295" s="188"/>
      <c r="H295" s="132"/>
      <c r="I295" s="132"/>
      <c r="J295" s="132"/>
      <c r="K295" s="132"/>
      <c r="L295" s="132"/>
      <c r="M295" s="130" t="s">
        <v>120</v>
      </c>
      <c r="N295" s="14">
        <f>SUMIFS(芦花古楼!$P$5:$P$104,芦花古楼!$L$5:$L$104,"&gt;"&amp;经验计算!O295,芦花古楼!$L$5:$L$104,"&lt;="&amp;经验计算!P295)</f>
        <v>0</v>
      </c>
      <c r="O295" s="129">
        <v>100</v>
      </c>
      <c r="P295" s="129">
        <v>100</v>
      </c>
      <c r="Q295" s="132"/>
      <c r="R295" s="129">
        <v>1.1000000000000001</v>
      </c>
      <c r="S295" s="21">
        <f t="shared" si="53"/>
        <v>0.2</v>
      </c>
      <c r="T295" s="129">
        <f t="shared" si="54"/>
        <v>101240</v>
      </c>
    </row>
    <row r="296" spans="1:20" ht="16.5" x14ac:dyDescent="0.2">
      <c r="A296" s="159">
        <v>119</v>
      </c>
      <c r="B296" s="129">
        <v>110440</v>
      </c>
      <c r="C296" s="132"/>
      <c r="D296" s="188"/>
      <c r="E296" s="188"/>
      <c r="F296" s="188"/>
      <c r="G296" s="188"/>
      <c r="H296" s="132"/>
      <c r="I296" s="132"/>
      <c r="J296" s="132"/>
      <c r="K296" s="132"/>
      <c r="L296" s="132"/>
      <c r="M296" s="130" t="s">
        <v>119</v>
      </c>
      <c r="N296" s="14">
        <f>SUMIFS(芦花古楼!$AA$5:$AA$104,芦花古楼!$W$5:$W$104,"&gt;"&amp;经验计算!O296,芦花古楼!$W$5:$W$104,"&lt;="&amp;经验计算!P296)</f>
        <v>0</v>
      </c>
      <c r="O296" s="129">
        <v>100</v>
      </c>
      <c r="P296" s="129">
        <v>100</v>
      </c>
      <c r="Q296" s="132"/>
      <c r="R296" s="129">
        <v>1.1499999999999999</v>
      </c>
      <c r="S296" s="21">
        <f t="shared" si="53"/>
        <v>0.20909090909090908</v>
      </c>
      <c r="T296" s="129">
        <f t="shared" si="54"/>
        <v>105840</v>
      </c>
    </row>
    <row r="297" spans="1:20" ht="16.5" x14ac:dyDescent="0.2">
      <c r="A297" s="161"/>
      <c r="B297" s="131"/>
      <c r="C297" s="132"/>
      <c r="D297" s="188"/>
      <c r="E297" s="188"/>
      <c r="F297" s="188"/>
      <c r="G297" s="188"/>
      <c r="H297" s="132"/>
      <c r="I297" s="132"/>
      <c r="J297" s="132"/>
      <c r="K297" s="132"/>
      <c r="L297" s="132"/>
      <c r="M297" s="130" t="s">
        <v>121</v>
      </c>
      <c r="N297" s="14">
        <f>SUMIFS(芦花古楼!$AL$5:$AL$104,芦花古楼!$AH$5:$AH$104,"&gt;"&amp;经验计算!O297,芦花古楼!$AH$5:$AH$104,"&lt;="&amp;经验计算!P297)</f>
        <v>0</v>
      </c>
      <c r="O297" s="129">
        <v>100</v>
      </c>
      <c r="P297" s="129">
        <v>100</v>
      </c>
      <c r="Q297" s="132"/>
      <c r="R297" s="129">
        <v>1.2</v>
      </c>
      <c r="S297" s="21">
        <f t="shared" si="53"/>
        <v>0.21818181818181817</v>
      </c>
      <c r="T297" s="129">
        <f t="shared" si="54"/>
        <v>110440</v>
      </c>
    </row>
    <row r="298" spans="1:20" ht="16.5" x14ac:dyDescent="0.2">
      <c r="A298" s="161"/>
      <c r="B298" s="131"/>
      <c r="C298" s="132"/>
      <c r="D298" s="188"/>
      <c r="E298" s="188"/>
      <c r="F298" s="188"/>
      <c r="G298" s="188"/>
      <c r="H298" s="132"/>
      <c r="I298" s="132"/>
      <c r="J298" s="132"/>
      <c r="K298" s="132"/>
      <c r="L298" s="132"/>
      <c r="M298" s="130" t="s">
        <v>50</v>
      </c>
      <c r="N298" s="14"/>
      <c r="O298" s="14">
        <f>日常任务!D239*经验计算!N298</f>
        <v>0</v>
      </c>
      <c r="P298" s="132"/>
      <c r="Q298" s="132"/>
      <c r="R298" s="131"/>
      <c r="S298" s="131"/>
      <c r="T298" s="131"/>
    </row>
    <row r="299" spans="1:20" ht="16.5" x14ac:dyDescent="0.2">
      <c r="A299" s="161"/>
      <c r="B299" s="131"/>
      <c r="C299" s="132"/>
      <c r="D299" s="188"/>
      <c r="E299" s="188"/>
      <c r="F299" s="188"/>
      <c r="G299" s="188"/>
      <c r="H299" s="132"/>
      <c r="I299" s="132"/>
      <c r="J299" s="132"/>
      <c r="K299" s="132"/>
      <c r="L299" s="132"/>
      <c r="M299" s="130" t="s">
        <v>47</v>
      </c>
      <c r="N299" s="14">
        <f>INDEX(节奏总表!$N$5:$N$35,经验计算!N292)*60</f>
        <v>8640</v>
      </c>
      <c r="O299" s="14">
        <f>INDEX(章节关卡!$F$6:$F$35,经验计算!N292-1)*经验计算!N299</f>
        <v>388800</v>
      </c>
      <c r="P299" s="132"/>
      <c r="Q299" s="132"/>
      <c r="R299" s="131"/>
      <c r="S299" s="131"/>
      <c r="T299" s="131"/>
    </row>
    <row r="300" spans="1:20" ht="16.5" x14ac:dyDescent="0.2">
      <c r="A300" s="161"/>
      <c r="B300" s="131"/>
      <c r="C300" s="132"/>
      <c r="D300" s="188"/>
      <c r="E300" s="188"/>
      <c r="F300" s="188"/>
      <c r="G300" s="188"/>
      <c r="H300" s="132"/>
      <c r="I300" s="132"/>
      <c r="J300" s="132"/>
      <c r="K300" s="132"/>
      <c r="L300" s="132"/>
      <c r="M300" s="130" t="s">
        <v>43</v>
      </c>
      <c r="N300" s="19">
        <v>0</v>
      </c>
      <c r="O300" s="14">
        <f>N301*N300</f>
        <v>0</v>
      </c>
      <c r="P300" s="132"/>
      <c r="Q300" s="132"/>
      <c r="R300" s="131"/>
      <c r="S300" s="131"/>
      <c r="T300" s="131"/>
    </row>
    <row r="301" spans="1:20" ht="16.5" x14ac:dyDescent="0.2">
      <c r="A301" s="161"/>
      <c r="B301" s="131"/>
      <c r="C301" s="132"/>
      <c r="D301" s="188"/>
      <c r="E301" s="188"/>
      <c r="F301" s="188"/>
      <c r="G301" s="188"/>
      <c r="H301" s="132"/>
      <c r="I301" s="132"/>
      <c r="J301" s="132"/>
      <c r="K301" s="132"/>
      <c r="L301" s="132"/>
      <c r="M301" s="130" t="s">
        <v>42</v>
      </c>
      <c r="N301" s="14">
        <f>(N293+N294+N296+N295+N297+O298+O299+P293)/(1-N300)</f>
        <v>506200</v>
      </c>
      <c r="O301" s="131"/>
      <c r="P301" s="132"/>
      <c r="Q301" s="132"/>
      <c r="R301" s="131"/>
      <c r="S301" s="131"/>
      <c r="T301" s="131"/>
    </row>
    <row r="302" spans="1:20" x14ac:dyDescent="0.2">
      <c r="A302" s="161"/>
      <c r="B302" s="131"/>
      <c r="C302" s="132"/>
      <c r="D302" s="132"/>
      <c r="E302" s="132"/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1"/>
      <c r="S302" s="131"/>
      <c r="T302" s="131"/>
    </row>
    <row r="303" spans="1:20" x14ac:dyDescent="0.2">
      <c r="A303" s="162"/>
      <c r="B303" s="132"/>
      <c r="C303" s="132"/>
      <c r="D303" s="132"/>
      <c r="E303" s="132"/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</row>
    <row r="304" spans="1:20" x14ac:dyDescent="0.2">
      <c r="A304" s="162"/>
      <c r="B304" s="132"/>
      <c r="C304" s="132"/>
      <c r="D304" s="132"/>
      <c r="E304" s="132"/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</row>
    <row r="305" spans="1:20" x14ac:dyDescent="0.2">
      <c r="A305" s="161"/>
      <c r="B305" s="131"/>
      <c r="C305" s="131"/>
      <c r="D305" s="131"/>
      <c r="E305" s="131"/>
      <c r="F305" s="131"/>
      <c r="G305" s="131"/>
      <c r="H305" s="131"/>
      <c r="I305" s="131"/>
      <c r="J305" s="131"/>
      <c r="K305" s="131"/>
      <c r="L305" s="131"/>
      <c r="M305" s="131"/>
      <c r="N305" s="131"/>
      <c r="O305" s="131"/>
      <c r="P305" s="131"/>
      <c r="Q305" s="131"/>
      <c r="R305" s="131">
        <f>SUM(R307:R311)</f>
        <v>5.5</v>
      </c>
      <c r="S305" s="131"/>
      <c r="T305" s="131"/>
    </row>
    <row r="306" spans="1:20" ht="17.25" x14ac:dyDescent="0.2">
      <c r="A306" s="159">
        <v>120</v>
      </c>
      <c r="B306" s="129">
        <v>107850</v>
      </c>
      <c r="C306" s="132"/>
      <c r="D306" s="188"/>
      <c r="E306" s="188"/>
      <c r="F306" s="188"/>
      <c r="G306" s="188"/>
      <c r="H306" s="132"/>
      <c r="I306" s="132"/>
      <c r="J306" s="132"/>
      <c r="K306" s="132"/>
      <c r="L306" s="132"/>
      <c r="M306" s="130" t="s">
        <v>117</v>
      </c>
      <c r="N306" s="129">
        <v>23</v>
      </c>
      <c r="O306" s="130" t="s">
        <v>117</v>
      </c>
      <c r="P306" s="129">
        <v>22</v>
      </c>
      <c r="Q306" s="131"/>
      <c r="R306" s="12" t="s">
        <v>46</v>
      </c>
      <c r="S306" s="12" t="s">
        <v>44</v>
      </c>
      <c r="T306" s="12" t="s">
        <v>45</v>
      </c>
    </row>
    <row r="307" spans="1:20" ht="16.5" x14ac:dyDescent="0.2">
      <c r="A307" s="159">
        <v>121</v>
      </c>
      <c r="B307" s="129">
        <v>113245</v>
      </c>
      <c r="C307" s="132"/>
      <c r="D307" s="188"/>
      <c r="E307" s="188"/>
      <c r="F307" s="188"/>
      <c r="G307" s="188"/>
      <c r="H307" s="132"/>
      <c r="I307" s="132"/>
      <c r="J307" s="132"/>
      <c r="K307" s="132"/>
      <c r="L307" s="132"/>
      <c r="M307" s="130" t="s">
        <v>81</v>
      </c>
      <c r="N307" s="14">
        <f>SUMIFS(章节关卡!$BA$5:$BA$304,章节关卡!$AY$5:$AY$304,"="&amp;经验计算!N306)</f>
        <v>10000</v>
      </c>
      <c r="O307" s="130" t="s">
        <v>122</v>
      </c>
      <c r="P307" s="14">
        <f>SUMIFS(章节关卡!$BI$5:$BI$304,章节关卡!$BG$5:$BG$304,"="&amp;经验计算!P306)</f>
        <v>132000</v>
      </c>
      <c r="Q307" s="132"/>
      <c r="R307" s="129">
        <v>1</v>
      </c>
      <c r="S307" s="21">
        <f>R307/$R$122</f>
        <v>0.18181818181818182</v>
      </c>
      <c r="T307" s="129">
        <f>INT($N$315*S307/5)*5</f>
        <v>107850</v>
      </c>
    </row>
    <row r="308" spans="1:20" ht="16.5" x14ac:dyDescent="0.2">
      <c r="A308" s="159">
        <v>122</v>
      </c>
      <c r="B308" s="129">
        <v>118640</v>
      </c>
      <c r="C308" s="132"/>
      <c r="D308" s="188"/>
      <c r="E308" s="188"/>
      <c r="F308" s="188"/>
      <c r="G308" s="188"/>
      <c r="H308" s="132"/>
      <c r="I308" s="132"/>
      <c r="J308" s="132"/>
      <c r="K308" s="132"/>
      <c r="L308" s="132"/>
      <c r="M308" s="130" t="s">
        <v>118</v>
      </c>
      <c r="N308" s="14">
        <f>SUMIFS(芦花古楼!$E$5:$E$104,芦花古楼!$A$5:$A$104,"&gt;"&amp;经验计算!O308,芦花古楼!$A$5:$A$104,"&lt;="&amp;经验计算!P308)</f>
        <v>0</v>
      </c>
      <c r="O308" s="129">
        <v>100</v>
      </c>
      <c r="P308" s="129">
        <v>100</v>
      </c>
      <c r="Q308" s="132"/>
      <c r="R308" s="129">
        <v>1.05</v>
      </c>
      <c r="S308" s="21">
        <f t="shared" ref="S308:S311" si="55">R308/$R$122</f>
        <v>0.19090909090909092</v>
      </c>
      <c r="T308" s="129">
        <f t="shared" ref="T308:T311" si="56">INT($N$315*S308/5)*5</f>
        <v>113245</v>
      </c>
    </row>
    <row r="309" spans="1:20" ht="16.5" x14ac:dyDescent="0.2">
      <c r="A309" s="159">
        <v>123</v>
      </c>
      <c r="B309" s="129">
        <v>124030</v>
      </c>
      <c r="C309" s="132"/>
      <c r="D309" s="188"/>
      <c r="E309" s="188"/>
      <c r="F309" s="188"/>
      <c r="G309" s="188"/>
      <c r="H309" s="132"/>
      <c r="I309" s="132"/>
      <c r="J309" s="132"/>
      <c r="K309" s="132"/>
      <c r="L309" s="132"/>
      <c r="M309" s="130" t="s">
        <v>120</v>
      </c>
      <c r="N309" s="14">
        <f>SUMIFS(芦花古楼!$P$5:$P$104,芦花古楼!$L$5:$L$104,"&gt;"&amp;经验计算!O309,芦花古楼!$L$5:$L$104,"&lt;="&amp;经验计算!P309)</f>
        <v>0</v>
      </c>
      <c r="O309" s="129">
        <v>100</v>
      </c>
      <c r="P309" s="129">
        <v>100</v>
      </c>
      <c r="Q309" s="132"/>
      <c r="R309" s="129">
        <v>1.1000000000000001</v>
      </c>
      <c r="S309" s="21">
        <f t="shared" si="55"/>
        <v>0.2</v>
      </c>
      <c r="T309" s="129">
        <f t="shared" si="56"/>
        <v>118640</v>
      </c>
    </row>
    <row r="310" spans="1:20" ht="16.5" x14ac:dyDescent="0.2">
      <c r="A310" s="159">
        <v>124</v>
      </c>
      <c r="B310" s="129">
        <v>129425</v>
      </c>
      <c r="C310" s="132"/>
      <c r="D310" s="188"/>
      <c r="E310" s="188"/>
      <c r="F310" s="188"/>
      <c r="G310" s="188"/>
      <c r="H310" s="132"/>
      <c r="I310" s="132"/>
      <c r="J310" s="132"/>
      <c r="K310" s="132"/>
      <c r="L310" s="132"/>
      <c r="M310" s="130" t="s">
        <v>119</v>
      </c>
      <c r="N310" s="14">
        <f>SUMIFS(芦花古楼!$AA$5:$AA$104,芦花古楼!$W$5:$W$104,"&gt;"&amp;经验计算!O310,芦花古楼!$W$5:$W$104,"&lt;="&amp;经验计算!P310)</f>
        <v>0</v>
      </c>
      <c r="O310" s="129">
        <v>100</v>
      </c>
      <c r="P310" s="129">
        <v>100</v>
      </c>
      <c r="Q310" s="132"/>
      <c r="R310" s="129">
        <v>1.1499999999999999</v>
      </c>
      <c r="S310" s="21">
        <f t="shared" si="55"/>
        <v>0.20909090909090908</v>
      </c>
      <c r="T310" s="129">
        <f t="shared" si="56"/>
        <v>124030</v>
      </c>
    </row>
    <row r="311" spans="1:20" ht="16.5" x14ac:dyDescent="0.2">
      <c r="A311" s="161"/>
      <c r="B311" s="131"/>
      <c r="C311" s="132"/>
      <c r="D311" s="188"/>
      <c r="E311" s="188"/>
      <c r="F311" s="188"/>
      <c r="G311" s="188"/>
      <c r="H311" s="132"/>
      <c r="I311" s="132"/>
      <c r="J311" s="132"/>
      <c r="K311" s="132"/>
      <c r="L311" s="132"/>
      <c r="M311" s="130" t="s">
        <v>121</v>
      </c>
      <c r="N311" s="14">
        <f>SUMIFS(芦花古楼!$AL$5:$AL$104,芦花古楼!$AH$5:$AH$104,"&gt;"&amp;经验计算!O311,芦花古楼!$AH$5:$AH$104,"&lt;="&amp;经验计算!P311)</f>
        <v>0</v>
      </c>
      <c r="O311" s="129">
        <v>100</v>
      </c>
      <c r="P311" s="129">
        <v>100</v>
      </c>
      <c r="Q311" s="132"/>
      <c r="R311" s="129">
        <v>1.2</v>
      </c>
      <c r="S311" s="21">
        <f t="shared" si="55"/>
        <v>0.21818181818181817</v>
      </c>
      <c r="T311" s="129">
        <f t="shared" si="56"/>
        <v>129425</v>
      </c>
    </row>
    <row r="312" spans="1:20" ht="16.5" x14ac:dyDescent="0.2">
      <c r="A312" s="161"/>
      <c r="B312" s="131"/>
      <c r="C312" s="132"/>
      <c r="D312" s="188"/>
      <c r="E312" s="188"/>
      <c r="F312" s="188"/>
      <c r="G312" s="188"/>
      <c r="H312" s="132"/>
      <c r="I312" s="132"/>
      <c r="J312" s="132"/>
      <c r="K312" s="132"/>
      <c r="L312" s="132"/>
      <c r="M312" s="130" t="s">
        <v>50</v>
      </c>
      <c r="N312" s="14"/>
      <c r="O312" s="14">
        <f>日常任务!D253*经验计算!N312</f>
        <v>0</v>
      </c>
      <c r="P312" s="132"/>
      <c r="Q312" s="132"/>
      <c r="R312" s="131"/>
      <c r="S312" s="131"/>
      <c r="T312" s="131"/>
    </row>
    <row r="313" spans="1:20" ht="16.5" x14ac:dyDescent="0.2">
      <c r="A313" s="161"/>
      <c r="B313" s="131"/>
      <c r="C313" s="132"/>
      <c r="D313" s="188"/>
      <c r="E313" s="188"/>
      <c r="F313" s="188"/>
      <c r="G313" s="188"/>
      <c r="H313" s="132"/>
      <c r="I313" s="132"/>
      <c r="J313" s="132"/>
      <c r="K313" s="132"/>
      <c r="L313" s="132"/>
      <c r="M313" s="130" t="s">
        <v>47</v>
      </c>
      <c r="N313" s="14">
        <f>INDEX(节奏总表!$N$5:$N$35,经验计算!N306)*60</f>
        <v>9600</v>
      </c>
      <c r="O313" s="14">
        <f>INDEX(章节关卡!$F$6:$F$35,经验计算!N306-1)*经验计算!N313</f>
        <v>451200</v>
      </c>
      <c r="P313" s="132"/>
      <c r="Q313" s="132"/>
      <c r="R313" s="131"/>
      <c r="S313" s="131"/>
      <c r="T313" s="131"/>
    </row>
    <row r="314" spans="1:20" ht="16.5" x14ac:dyDescent="0.2">
      <c r="A314" s="161"/>
      <c r="B314" s="131"/>
      <c r="C314" s="132"/>
      <c r="D314" s="188"/>
      <c r="E314" s="188"/>
      <c r="F314" s="188"/>
      <c r="G314" s="188"/>
      <c r="H314" s="132"/>
      <c r="I314" s="132"/>
      <c r="J314" s="132"/>
      <c r="K314" s="132"/>
      <c r="L314" s="132"/>
      <c r="M314" s="130" t="s">
        <v>43</v>
      </c>
      <c r="N314" s="19">
        <v>0</v>
      </c>
      <c r="O314" s="14">
        <f>N315*N314</f>
        <v>0</v>
      </c>
      <c r="P314" s="132"/>
      <c r="Q314" s="132"/>
      <c r="R314" s="131"/>
      <c r="S314" s="131"/>
      <c r="T314" s="131"/>
    </row>
    <row r="315" spans="1:20" ht="16.5" x14ac:dyDescent="0.2">
      <c r="A315" s="161"/>
      <c r="B315" s="131"/>
      <c r="C315" s="132"/>
      <c r="D315" s="188"/>
      <c r="E315" s="188"/>
      <c r="F315" s="188"/>
      <c r="G315" s="188"/>
      <c r="H315" s="132"/>
      <c r="I315" s="132"/>
      <c r="J315" s="132"/>
      <c r="K315" s="132"/>
      <c r="L315" s="132"/>
      <c r="M315" s="130" t="s">
        <v>42</v>
      </c>
      <c r="N315" s="14">
        <f>(N307+N308+N310+N309+N311+O312+O313+P307)/(1-N314)</f>
        <v>593200</v>
      </c>
      <c r="O315" s="131"/>
      <c r="P315" s="132"/>
      <c r="Q315" s="132"/>
      <c r="R315" s="131"/>
      <c r="S315" s="131"/>
      <c r="T315" s="131"/>
    </row>
    <row r="316" spans="1:20" x14ac:dyDescent="0.2">
      <c r="A316" s="161"/>
      <c r="B316" s="131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1"/>
      <c r="S316" s="131"/>
      <c r="T316" s="131"/>
    </row>
    <row r="317" spans="1:20" x14ac:dyDescent="0.2">
      <c r="A317" s="162"/>
      <c r="B317" s="132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</row>
    <row r="318" spans="1:20" x14ac:dyDescent="0.2">
      <c r="A318" s="162"/>
      <c r="B318" s="132"/>
      <c r="C318" s="132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</row>
    <row r="319" spans="1:20" x14ac:dyDescent="0.2">
      <c r="A319" s="161"/>
      <c r="B319" s="131"/>
      <c r="C319" s="131"/>
      <c r="D319" s="131"/>
      <c r="E319" s="131"/>
      <c r="F319" s="131"/>
      <c r="G319" s="131"/>
      <c r="H319" s="131"/>
      <c r="I319" s="131"/>
      <c r="J319" s="131"/>
      <c r="K319" s="131"/>
      <c r="L319" s="131"/>
      <c r="M319" s="131"/>
      <c r="N319" s="131"/>
      <c r="O319" s="131"/>
      <c r="P319" s="131"/>
      <c r="Q319" s="131"/>
      <c r="R319" s="131">
        <f>SUM(R321:R325)</f>
        <v>5.5</v>
      </c>
      <c r="S319" s="131"/>
      <c r="T319" s="131"/>
    </row>
    <row r="320" spans="1:20" ht="17.25" x14ac:dyDescent="0.2">
      <c r="A320" s="159">
        <v>125</v>
      </c>
      <c r="B320" s="129">
        <v>129635</v>
      </c>
      <c r="C320" s="132"/>
      <c r="D320" s="188"/>
      <c r="E320" s="188"/>
      <c r="F320" s="188"/>
      <c r="G320" s="188"/>
      <c r="H320" s="132"/>
      <c r="I320" s="132"/>
      <c r="J320" s="132"/>
      <c r="K320" s="132"/>
      <c r="L320" s="132"/>
      <c r="M320" s="130" t="s">
        <v>117</v>
      </c>
      <c r="N320" s="129">
        <v>24</v>
      </c>
      <c r="O320" s="130" t="s">
        <v>117</v>
      </c>
      <c r="P320" s="129">
        <v>23</v>
      </c>
      <c r="Q320" s="131"/>
      <c r="R320" s="12" t="s">
        <v>46</v>
      </c>
      <c r="S320" s="12" t="s">
        <v>44</v>
      </c>
      <c r="T320" s="12" t="s">
        <v>45</v>
      </c>
    </row>
    <row r="321" spans="1:20" ht="16.5" x14ac:dyDescent="0.2">
      <c r="A321" s="159">
        <v>126</v>
      </c>
      <c r="B321" s="129">
        <v>136115</v>
      </c>
      <c r="C321" s="132"/>
      <c r="D321" s="188"/>
      <c r="E321" s="188"/>
      <c r="F321" s="188"/>
      <c r="G321" s="188"/>
      <c r="H321" s="132"/>
      <c r="I321" s="132"/>
      <c r="J321" s="132"/>
      <c r="K321" s="132"/>
      <c r="L321" s="132"/>
      <c r="M321" s="130" t="s">
        <v>81</v>
      </c>
      <c r="N321" s="14">
        <f>SUMIFS(章节关卡!$BA$5:$BA$304,章节关卡!$AY$5:$AY$304,"="&amp;经验计算!N320)</f>
        <v>11000</v>
      </c>
      <c r="O321" s="130" t="s">
        <v>122</v>
      </c>
      <c r="P321" s="14">
        <f>SUMIFS(章节关卡!$BI$5:$BI$304,章节关卡!$BG$5:$BG$304,"="&amp;经验计算!P320)</f>
        <v>162000</v>
      </c>
      <c r="Q321" s="132"/>
      <c r="R321" s="129">
        <v>1</v>
      </c>
      <c r="S321" s="21">
        <f>R321/$R$122</f>
        <v>0.18181818181818182</v>
      </c>
      <c r="T321" s="129">
        <f>INT($N$329*S321/5)*5</f>
        <v>129635</v>
      </c>
    </row>
    <row r="322" spans="1:20" ht="16.5" x14ac:dyDescent="0.2">
      <c r="A322" s="159">
        <v>127</v>
      </c>
      <c r="B322" s="129">
        <v>142600</v>
      </c>
      <c r="C322" s="132"/>
      <c r="D322" s="188"/>
      <c r="E322" s="188"/>
      <c r="F322" s="188"/>
      <c r="G322" s="188"/>
      <c r="H322" s="132"/>
      <c r="I322" s="132"/>
      <c r="J322" s="132"/>
      <c r="K322" s="132"/>
      <c r="L322" s="132"/>
      <c r="M322" s="130" t="s">
        <v>118</v>
      </c>
      <c r="N322" s="14">
        <f>SUMIFS(芦花古楼!$E$5:$E$104,芦花古楼!$A$5:$A$104,"&gt;"&amp;经验计算!O322,芦花古楼!$A$5:$A$104,"&lt;="&amp;经验计算!P322)</f>
        <v>0</v>
      </c>
      <c r="O322" s="129">
        <v>100</v>
      </c>
      <c r="P322" s="129">
        <v>100</v>
      </c>
      <c r="Q322" s="132"/>
      <c r="R322" s="129">
        <v>1.05</v>
      </c>
      <c r="S322" s="21">
        <f t="shared" ref="S322:S325" si="57">R322/$R$122</f>
        <v>0.19090909090909092</v>
      </c>
      <c r="T322" s="129">
        <f t="shared" ref="T322:T325" si="58">INT($N$329*S322/5)*5</f>
        <v>136115</v>
      </c>
    </row>
    <row r="323" spans="1:20" ht="16.5" x14ac:dyDescent="0.2">
      <c r="A323" s="159">
        <v>128</v>
      </c>
      <c r="B323" s="129">
        <v>149080</v>
      </c>
      <c r="C323" s="132"/>
      <c r="D323" s="188"/>
      <c r="E323" s="188"/>
      <c r="F323" s="188"/>
      <c r="G323" s="188"/>
      <c r="H323" s="132"/>
      <c r="I323" s="132"/>
      <c r="J323" s="132"/>
      <c r="K323" s="132"/>
      <c r="L323" s="132"/>
      <c r="M323" s="130" t="s">
        <v>120</v>
      </c>
      <c r="N323" s="14">
        <f>SUMIFS(芦花古楼!$P$5:$P$104,芦花古楼!$L$5:$L$104,"&gt;"&amp;经验计算!O323,芦花古楼!$L$5:$L$104,"&lt;="&amp;经验计算!P323)</f>
        <v>0</v>
      </c>
      <c r="O323" s="129">
        <v>100</v>
      </c>
      <c r="P323" s="129">
        <v>100</v>
      </c>
      <c r="Q323" s="132"/>
      <c r="R323" s="129">
        <v>1.1000000000000001</v>
      </c>
      <c r="S323" s="21">
        <f t="shared" si="57"/>
        <v>0.2</v>
      </c>
      <c r="T323" s="129">
        <f t="shared" si="58"/>
        <v>142600</v>
      </c>
    </row>
    <row r="324" spans="1:20" ht="16.5" x14ac:dyDescent="0.2">
      <c r="A324" s="159">
        <v>129</v>
      </c>
      <c r="B324" s="129">
        <v>155560</v>
      </c>
      <c r="C324" s="132"/>
      <c r="D324" s="188"/>
      <c r="E324" s="188"/>
      <c r="F324" s="188"/>
      <c r="G324" s="188"/>
      <c r="H324" s="132"/>
      <c r="I324" s="132"/>
      <c r="J324" s="132"/>
      <c r="K324" s="132"/>
      <c r="L324" s="132"/>
      <c r="M324" s="130" t="s">
        <v>119</v>
      </c>
      <c r="N324" s="14">
        <f>SUMIFS(芦花古楼!$AA$5:$AA$104,芦花古楼!$W$5:$W$104,"&gt;"&amp;经验计算!O324,芦花古楼!$W$5:$W$104,"&lt;="&amp;经验计算!P324)</f>
        <v>0</v>
      </c>
      <c r="O324" s="129">
        <v>100</v>
      </c>
      <c r="P324" s="129">
        <v>100</v>
      </c>
      <c r="Q324" s="132"/>
      <c r="R324" s="129">
        <v>1.1499999999999999</v>
      </c>
      <c r="S324" s="21">
        <f t="shared" si="57"/>
        <v>0.20909090909090908</v>
      </c>
      <c r="T324" s="129">
        <f t="shared" si="58"/>
        <v>149080</v>
      </c>
    </row>
    <row r="325" spans="1:20" ht="16.5" x14ac:dyDescent="0.2">
      <c r="A325" s="161"/>
      <c r="B325" s="131"/>
      <c r="C325" s="132"/>
      <c r="D325" s="188"/>
      <c r="E325" s="188"/>
      <c r="F325" s="188"/>
      <c r="G325" s="188"/>
      <c r="H325" s="132"/>
      <c r="I325" s="132"/>
      <c r="J325" s="132"/>
      <c r="K325" s="132"/>
      <c r="L325" s="132"/>
      <c r="M325" s="130" t="s">
        <v>121</v>
      </c>
      <c r="N325" s="14">
        <f>SUMIFS(芦花古楼!$AL$5:$AL$104,芦花古楼!$AH$5:$AH$104,"&gt;"&amp;经验计算!O325,芦花古楼!$AH$5:$AH$104,"&lt;="&amp;经验计算!P325)</f>
        <v>0</v>
      </c>
      <c r="O325" s="129">
        <v>100</v>
      </c>
      <c r="P325" s="129">
        <v>100</v>
      </c>
      <c r="Q325" s="132"/>
      <c r="R325" s="129">
        <v>1.2</v>
      </c>
      <c r="S325" s="21">
        <f t="shared" si="57"/>
        <v>0.21818181818181817</v>
      </c>
      <c r="T325" s="129">
        <f t="shared" si="58"/>
        <v>155560</v>
      </c>
    </row>
    <row r="326" spans="1:20" ht="16.5" x14ac:dyDescent="0.2">
      <c r="A326" s="161"/>
      <c r="B326" s="131"/>
      <c r="C326" s="132"/>
      <c r="D326" s="188"/>
      <c r="E326" s="188"/>
      <c r="F326" s="188"/>
      <c r="G326" s="188"/>
      <c r="H326" s="132"/>
      <c r="I326" s="132"/>
      <c r="J326" s="132"/>
      <c r="K326" s="132"/>
      <c r="L326" s="132"/>
      <c r="M326" s="130" t="s">
        <v>50</v>
      </c>
      <c r="N326" s="14"/>
      <c r="O326" s="14">
        <f>日常任务!D267*经验计算!N326</f>
        <v>0</v>
      </c>
      <c r="P326" s="132"/>
      <c r="Q326" s="132"/>
      <c r="R326" s="131"/>
      <c r="S326" s="131"/>
      <c r="T326" s="131"/>
    </row>
    <row r="327" spans="1:20" ht="16.5" x14ac:dyDescent="0.2">
      <c r="A327" s="161"/>
      <c r="B327" s="131"/>
      <c r="C327" s="132"/>
      <c r="D327" s="188"/>
      <c r="E327" s="188"/>
      <c r="F327" s="188"/>
      <c r="G327" s="188"/>
      <c r="H327" s="132"/>
      <c r="I327" s="132"/>
      <c r="J327" s="132"/>
      <c r="K327" s="132"/>
      <c r="L327" s="132"/>
      <c r="M327" s="130" t="s">
        <v>47</v>
      </c>
      <c r="N327" s="14">
        <f>INDEX(节奏总表!$N$5:$N$35,经验计算!N320)*60</f>
        <v>10800</v>
      </c>
      <c r="O327" s="14">
        <f>INDEX(章节关卡!$F$6:$F$35,经验计算!N320-1)*经验计算!N327</f>
        <v>540000</v>
      </c>
      <c r="P327" s="132"/>
      <c r="Q327" s="132"/>
      <c r="R327" s="131"/>
      <c r="S327" s="131"/>
      <c r="T327" s="131"/>
    </row>
    <row r="328" spans="1:20" ht="16.5" x14ac:dyDescent="0.2">
      <c r="A328" s="161"/>
      <c r="B328" s="131"/>
      <c r="C328" s="132"/>
      <c r="D328" s="188"/>
      <c r="E328" s="188"/>
      <c r="F328" s="188"/>
      <c r="G328" s="188"/>
      <c r="H328" s="132"/>
      <c r="I328" s="132"/>
      <c r="J328" s="132"/>
      <c r="K328" s="132"/>
      <c r="L328" s="132"/>
      <c r="M328" s="130" t="s">
        <v>43</v>
      </c>
      <c r="N328" s="19">
        <v>0</v>
      </c>
      <c r="O328" s="14">
        <f>N329*N328</f>
        <v>0</v>
      </c>
      <c r="P328" s="132"/>
      <c r="Q328" s="132"/>
      <c r="R328" s="131"/>
      <c r="S328" s="131"/>
      <c r="T328" s="131"/>
    </row>
    <row r="329" spans="1:20" ht="16.5" x14ac:dyDescent="0.2">
      <c r="A329" s="161"/>
      <c r="B329" s="131"/>
      <c r="C329" s="132"/>
      <c r="D329" s="188"/>
      <c r="E329" s="188"/>
      <c r="F329" s="188"/>
      <c r="G329" s="188"/>
      <c r="H329" s="132"/>
      <c r="I329" s="132"/>
      <c r="J329" s="132"/>
      <c r="K329" s="132"/>
      <c r="L329" s="132"/>
      <c r="M329" s="130" t="s">
        <v>42</v>
      </c>
      <c r="N329" s="14">
        <f>(N321+N322+N324+N323+N325+O326+O327+P321)/(1-N328)</f>
        <v>713000</v>
      </c>
      <c r="O329" s="131"/>
      <c r="P329" s="132"/>
      <c r="Q329" s="132"/>
      <c r="R329" s="131"/>
      <c r="S329" s="131"/>
      <c r="T329" s="131"/>
    </row>
    <row r="330" spans="1:20" x14ac:dyDescent="0.2">
      <c r="A330" s="161"/>
      <c r="B330" s="131"/>
      <c r="C330" s="132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1"/>
      <c r="S330" s="131"/>
      <c r="T330" s="131"/>
    </row>
    <row r="331" spans="1:20" x14ac:dyDescent="0.2">
      <c r="A331" s="162"/>
      <c r="B331" s="132"/>
      <c r="C331" s="132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</row>
    <row r="332" spans="1:20" x14ac:dyDescent="0.2">
      <c r="A332" s="162"/>
      <c r="B332" s="132"/>
      <c r="C332" s="132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</row>
    <row r="333" spans="1:20" x14ac:dyDescent="0.2">
      <c r="A333" s="161"/>
      <c r="B333" s="131"/>
      <c r="C333" s="131"/>
      <c r="D333" s="131"/>
      <c r="E333" s="131"/>
      <c r="F333" s="131"/>
      <c r="G333" s="131"/>
      <c r="H333" s="131"/>
      <c r="I333" s="131"/>
      <c r="J333" s="131"/>
      <c r="K333" s="131"/>
      <c r="L333" s="131"/>
      <c r="M333" s="131"/>
      <c r="N333" s="131"/>
      <c r="O333" s="131"/>
      <c r="P333" s="131"/>
      <c r="Q333" s="131"/>
      <c r="R333" s="131">
        <f>SUM(R335:R339)</f>
        <v>5.5</v>
      </c>
      <c r="S333" s="131"/>
      <c r="T333" s="131"/>
    </row>
    <row r="334" spans="1:20" ht="17.25" x14ac:dyDescent="0.2">
      <c r="A334" s="159">
        <v>130</v>
      </c>
      <c r="B334" s="129">
        <v>165450</v>
      </c>
      <c r="C334" s="132"/>
      <c r="D334" s="188"/>
      <c r="E334" s="188"/>
      <c r="F334" s="188"/>
      <c r="G334" s="188"/>
      <c r="H334" s="132"/>
      <c r="I334" s="132"/>
      <c r="J334" s="132"/>
      <c r="K334" s="132"/>
      <c r="L334" s="132"/>
      <c r="M334" s="130" t="s">
        <v>117</v>
      </c>
      <c r="N334" s="129">
        <v>25</v>
      </c>
      <c r="O334" s="130" t="s">
        <v>117</v>
      </c>
      <c r="P334" s="129">
        <v>24</v>
      </c>
      <c r="Q334" s="131"/>
      <c r="R334" s="12" t="s">
        <v>46</v>
      </c>
      <c r="S334" s="12" t="s">
        <v>44</v>
      </c>
      <c r="T334" s="12" t="s">
        <v>45</v>
      </c>
    </row>
    <row r="335" spans="1:20" ht="16.5" x14ac:dyDescent="0.2">
      <c r="A335" s="159">
        <v>131</v>
      </c>
      <c r="B335" s="129">
        <v>173725</v>
      </c>
      <c r="C335" s="132"/>
      <c r="D335" s="188"/>
      <c r="E335" s="188"/>
      <c r="F335" s="188"/>
      <c r="G335" s="188"/>
      <c r="H335" s="132"/>
      <c r="I335" s="132"/>
      <c r="J335" s="132"/>
      <c r="K335" s="132"/>
      <c r="L335" s="132"/>
      <c r="M335" s="130" t="s">
        <v>81</v>
      </c>
      <c r="N335" s="14">
        <f>SUMIFS(章节关卡!$BA$5:$BA$304,章节关卡!$AY$5:$AY$304,"="&amp;经验计算!N334)</f>
        <v>12000</v>
      </c>
      <c r="O335" s="130" t="s">
        <v>122</v>
      </c>
      <c r="P335" s="14">
        <f>SUMIFS(章节关卡!$BI$5:$BI$304,章节关卡!$BG$5:$BG$304,"="&amp;经验计算!P334)</f>
        <v>205000</v>
      </c>
      <c r="Q335" s="132"/>
      <c r="R335" s="129">
        <v>1</v>
      </c>
      <c r="S335" s="21">
        <f>R335/$R$122</f>
        <v>0.18181818181818182</v>
      </c>
      <c r="T335" s="129">
        <f>INT($N$343*S335/5)*5</f>
        <v>165450</v>
      </c>
    </row>
    <row r="336" spans="1:20" ht="16.5" x14ac:dyDescent="0.2">
      <c r="A336" s="159">
        <v>132</v>
      </c>
      <c r="B336" s="129">
        <v>182000</v>
      </c>
      <c r="C336" s="132"/>
      <c r="D336" s="188"/>
      <c r="E336" s="188"/>
      <c r="F336" s="188"/>
      <c r="G336" s="188"/>
      <c r="H336" s="132"/>
      <c r="I336" s="132"/>
      <c r="J336" s="132"/>
      <c r="K336" s="132"/>
      <c r="L336" s="132"/>
      <c r="M336" s="130" t="s">
        <v>118</v>
      </c>
      <c r="N336" s="14">
        <f>SUMIFS(芦花古楼!$E$5:$E$104,芦花古楼!$A$5:$A$104,"&gt;"&amp;经验计算!O336,芦花古楼!$A$5:$A$104,"&lt;="&amp;经验计算!P336)</f>
        <v>0</v>
      </c>
      <c r="O336" s="129">
        <v>100</v>
      </c>
      <c r="P336" s="129">
        <v>100</v>
      </c>
      <c r="Q336" s="132"/>
      <c r="R336" s="129">
        <v>1.05</v>
      </c>
      <c r="S336" s="21">
        <f t="shared" ref="S336:S339" si="59">R336/$R$122</f>
        <v>0.19090909090909092</v>
      </c>
      <c r="T336" s="129">
        <f t="shared" ref="T336:T339" si="60">INT($N$343*S336/5)*5</f>
        <v>173725</v>
      </c>
    </row>
    <row r="337" spans="1:20" ht="16.5" x14ac:dyDescent="0.2">
      <c r="A337" s="159">
        <v>133</v>
      </c>
      <c r="B337" s="129">
        <v>190270</v>
      </c>
      <c r="C337" s="132"/>
      <c r="D337" s="188"/>
      <c r="E337" s="188"/>
      <c r="F337" s="188"/>
      <c r="G337" s="188"/>
      <c r="H337" s="132"/>
      <c r="I337" s="132"/>
      <c r="J337" s="132"/>
      <c r="K337" s="132"/>
      <c r="L337" s="132"/>
      <c r="M337" s="130" t="s">
        <v>120</v>
      </c>
      <c r="N337" s="14">
        <f>SUMIFS(芦花古楼!$P$5:$P$104,芦花古楼!$L$5:$L$104,"&gt;"&amp;经验计算!O337,芦花古楼!$L$5:$L$104,"&lt;="&amp;经验计算!P337)</f>
        <v>0</v>
      </c>
      <c r="O337" s="129">
        <v>100</v>
      </c>
      <c r="P337" s="129">
        <v>100</v>
      </c>
      <c r="Q337" s="132"/>
      <c r="R337" s="129">
        <v>1.1000000000000001</v>
      </c>
      <c r="S337" s="21">
        <f t="shared" si="59"/>
        <v>0.2</v>
      </c>
      <c r="T337" s="129">
        <f t="shared" si="60"/>
        <v>182000</v>
      </c>
    </row>
    <row r="338" spans="1:20" ht="16.5" x14ac:dyDescent="0.2">
      <c r="A338" s="159">
        <v>134</v>
      </c>
      <c r="B338" s="129">
        <v>198545</v>
      </c>
      <c r="C338" s="132"/>
      <c r="D338" s="188"/>
      <c r="E338" s="188"/>
      <c r="F338" s="188"/>
      <c r="G338" s="188"/>
      <c r="H338" s="132"/>
      <c r="I338" s="132"/>
      <c r="J338" s="132"/>
      <c r="K338" s="132"/>
      <c r="L338" s="132"/>
      <c r="M338" s="130" t="s">
        <v>119</v>
      </c>
      <c r="N338" s="14">
        <f>SUMIFS(芦花古楼!$AA$5:$AA$104,芦花古楼!$W$5:$W$104,"&gt;"&amp;经验计算!O338,芦花古楼!$W$5:$W$104,"&lt;="&amp;经验计算!P338)</f>
        <v>0</v>
      </c>
      <c r="O338" s="129">
        <v>100</v>
      </c>
      <c r="P338" s="129">
        <v>100</v>
      </c>
      <c r="Q338" s="132"/>
      <c r="R338" s="129">
        <v>1.1499999999999999</v>
      </c>
      <c r="S338" s="21">
        <f t="shared" si="59"/>
        <v>0.20909090909090908</v>
      </c>
      <c r="T338" s="129">
        <f t="shared" si="60"/>
        <v>190270</v>
      </c>
    </row>
    <row r="339" spans="1:20" ht="16.5" x14ac:dyDescent="0.2">
      <c r="A339" s="161"/>
      <c r="B339" s="131"/>
      <c r="C339" s="132"/>
      <c r="D339" s="188"/>
      <c r="E339" s="188"/>
      <c r="F339" s="188"/>
      <c r="G339" s="188"/>
      <c r="H339" s="132"/>
      <c r="I339" s="132"/>
      <c r="J339" s="132"/>
      <c r="K339" s="132"/>
      <c r="L339" s="132"/>
      <c r="M339" s="130" t="s">
        <v>121</v>
      </c>
      <c r="N339" s="14">
        <f>SUMIFS(芦花古楼!$AL$5:$AL$104,芦花古楼!$AH$5:$AH$104,"&gt;"&amp;经验计算!O339,芦花古楼!$AH$5:$AH$104,"&lt;="&amp;经验计算!P339)</f>
        <v>0</v>
      </c>
      <c r="O339" s="129">
        <v>100</v>
      </c>
      <c r="P339" s="129">
        <v>100</v>
      </c>
      <c r="Q339" s="132"/>
      <c r="R339" s="129">
        <v>1.2</v>
      </c>
      <c r="S339" s="21">
        <f t="shared" si="59"/>
        <v>0.21818181818181817</v>
      </c>
      <c r="T339" s="129">
        <f t="shared" si="60"/>
        <v>198545</v>
      </c>
    </row>
    <row r="340" spans="1:20" ht="16.5" x14ac:dyDescent="0.2">
      <c r="A340" s="161"/>
      <c r="B340" s="131"/>
      <c r="C340" s="132"/>
      <c r="D340" s="188"/>
      <c r="E340" s="188"/>
      <c r="F340" s="188"/>
      <c r="G340" s="188"/>
      <c r="H340" s="132"/>
      <c r="I340" s="132"/>
      <c r="J340" s="132"/>
      <c r="K340" s="132"/>
      <c r="L340" s="132"/>
      <c r="M340" s="130" t="s">
        <v>50</v>
      </c>
      <c r="N340" s="14"/>
      <c r="O340" s="14">
        <f>日常任务!D281*经验计算!N340</f>
        <v>0</v>
      </c>
      <c r="P340" s="132"/>
      <c r="Q340" s="132"/>
      <c r="R340" s="131"/>
      <c r="S340" s="131"/>
      <c r="T340" s="131"/>
    </row>
    <row r="341" spans="1:20" ht="16.5" x14ac:dyDescent="0.2">
      <c r="A341" s="161"/>
      <c r="B341" s="131"/>
      <c r="C341" s="132"/>
      <c r="D341" s="188"/>
      <c r="E341" s="188"/>
      <c r="F341" s="188"/>
      <c r="G341" s="188"/>
      <c r="H341" s="132"/>
      <c r="I341" s="132"/>
      <c r="J341" s="132"/>
      <c r="K341" s="132"/>
      <c r="L341" s="132"/>
      <c r="M341" s="130" t="s">
        <v>47</v>
      </c>
      <c r="N341" s="14">
        <f>INDEX(节奏总表!$N$5:$N$35,经验计算!N334)*60</f>
        <v>12600</v>
      </c>
      <c r="O341" s="14">
        <f>INDEX(章节关卡!$F$6:$F$35,经验计算!N334-1)*经验计算!N341</f>
        <v>693000</v>
      </c>
      <c r="P341" s="132"/>
      <c r="Q341" s="132"/>
      <c r="R341" s="131"/>
      <c r="S341" s="131"/>
      <c r="T341" s="131"/>
    </row>
    <row r="342" spans="1:20" ht="16.5" x14ac:dyDescent="0.2">
      <c r="A342" s="161"/>
      <c r="B342" s="131"/>
      <c r="C342" s="132"/>
      <c r="D342" s="188"/>
      <c r="E342" s="188"/>
      <c r="F342" s="188"/>
      <c r="G342" s="188"/>
      <c r="H342" s="132"/>
      <c r="I342" s="132"/>
      <c r="J342" s="132"/>
      <c r="K342" s="132"/>
      <c r="L342" s="132"/>
      <c r="M342" s="130" t="s">
        <v>43</v>
      </c>
      <c r="N342" s="19">
        <v>0</v>
      </c>
      <c r="O342" s="14">
        <f>N343*N342</f>
        <v>0</v>
      </c>
      <c r="P342" s="132"/>
      <c r="Q342" s="132"/>
      <c r="R342" s="131"/>
      <c r="S342" s="131"/>
      <c r="T342" s="131"/>
    </row>
    <row r="343" spans="1:20" ht="16.5" x14ac:dyDescent="0.2">
      <c r="A343" s="161"/>
      <c r="B343" s="131"/>
      <c r="C343" s="132"/>
      <c r="D343" s="188"/>
      <c r="E343" s="188"/>
      <c r="F343" s="188"/>
      <c r="G343" s="188"/>
      <c r="H343" s="132"/>
      <c r="I343" s="132"/>
      <c r="J343" s="132"/>
      <c r="K343" s="132"/>
      <c r="L343" s="132"/>
      <c r="M343" s="130" t="s">
        <v>42</v>
      </c>
      <c r="N343" s="14">
        <f>(N335+N336+N338+N337+N339+O340+O341+P335)/(1-N342)</f>
        <v>910000</v>
      </c>
      <c r="O343" s="131"/>
      <c r="P343" s="132"/>
      <c r="Q343" s="132"/>
      <c r="R343" s="131"/>
      <c r="S343" s="131"/>
      <c r="T343" s="131"/>
    </row>
    <row r="344" spans="1:20" x14ac:dyDescent="0.2">
      <c r="A344" s="161"/>
      <c r="B344" s="131"/>
      <c r="C344" s="132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1"/>
      <c r="S344" s="131"/>
      <c r="T344" s="131"/>
    </row>
    <row r="345" spans="1:20" x14ac:dyDescent="0.2">
      <c r="A345" s="162"/>
      <c r="B345" s="132"/>
      <c r="C345" s="132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</row>
    <row r="346" spans="1:20" x14ac:dyDescent="0.2">
      <c r="A346" s="162"/>
      <c r="B346" s="132"/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</row>
    <row r="347" spans="1:20" x14ac:dyDescent="0.2">
      <c r="A347" s="161"/>
      <c r="B347" s="131"/>
      <c r="C347" s="131"/>
      <c r="D347" s="131"/>
      <c r="E347" s="131"/>
      <c r="F347" s="131"/>
      <c r="G347" s="131"/>
      <c r="H347" s="131"/>
      <c r="I347" s="131"/>
      <c r="J347" s="131"/>
      <c r="K347" s="131"/>
      <c r="L347" s="131"/>
      <c r="M347" s="131"/>
      <c r="N347" s="131"/>
      <c r="O347" s="131"/>
      <c r="P347" s="131"/>
      <c r="Q347" s="131"/>
      <c r="R347" s="131">
        <f>SUM(R349:R353)</f>
        <v>5.5</v>
      </c>
      <c r="S347" s="131"/>
      <c r="T347" s="131"/>
    </row>
    <row r="348" spans="1:20" ht="17.25" x14ac:dyDescent="0.2">
      <c r="A348" s="159">
        <v>135</v>
      </c>
      <c r="B348" s="129">
        <v>213725</v>
      </c>
      <c r="C348" s="132"/>
      <c r="D348" s="188"/>
      <c r="E348" s="188"/>
      <c r="F348" s="188"/>
      <c r="G348" s="188"/>
      <c r="H348" s="132"/>
      <c r="I348" s="132"/>
      <c r="J348" s="132"/>
      <c r="K348" s="132"/>
      <c r="L348" s="132"/>
      <c r="M348" s="130" t="s">
        <v>117</v>
      </c>
      <c r="N348" s="129">
        <v>26</v>
      </c>
      <c r="O348" s="130" t="s">
        <v>117</v>
      </c>
      <c r="P348" s="129">
        <v>25</v>
      </c>
      <c r="Q348" s="131"/>
      <c r="R348" s="12" t="s">
        <v>46</v>
      </c>
      <c r="S348" s="12" t="s">
        <v>44</v>
      </c>
      <c r="T348" s="12" t="s">
        <v>45</v>
      </c>
    </row>
    <row r="349" spans="1:20" ht="16.5" x14ac:dyDescent="0.2">
      <c r="A349" s="159">
        <v>136</v>
      </c>
      <c r="B349" s="129">
        <v>224410</v>
      </c>
      <c r="C349" s="132"/>
      <c r="D349" s="188"/>
      <c r="E349" s="188"/>
      <c r="F349" s="188"/>
      <c r="G349" s="188"/>
      <c r="H349" s="132"/>
      <c r="I349" s="132"/>
      <c r="J349" s="132"/>
      <c r="K349" s="132"/>
      <c r="L349" s="132"/>
      <c r="M349" s="130" t="s">
        <v>81</v>
      </c>
      <c r="N349" s="14">
        <f>SUMIFS(章节关卡!$BA$5:$BA$304,章节关卡!$AY$5:$AY$304,"="&amp;经验计算!N348)</f>
        <v>13000</v>
      </c>
      <c r="O349" s="130" t="s">
        <v>122</v>
      </c>
      <c r="P349" s="14">
        <f>SUMIFS(章节关卡!$BI$5:$BI$304,章节关卡!$BG$5:$BG$304,"="&amp;经验计算!P348)</f>
        <v>262500</v>
      </c>
      <c r="Q349" s="132"/>
      <c r="R349" s="129">
        <v>1</v>
      </c>
      <c r="S349" s="21">
        <f>R349/$R$122</f>
        <v>0.18181818181818182</v>
      </c>
      <c r="T349" s="129">
        <f>INT($N$357*S349/5)*5</f>
        <v>213725</v>
      </c>
    </row>
    <row r="350" spans="1:20" ht="16.5" x14ac:dyDescent="0.2">
      <c r="A350" s="159">
        <v>137</v>
      </c>
      <c r="B350" s="129">
        <v>235100</v>
      </c>
      <c r="C350" s="132"/>
      <c r="D350" s="188"/>
      <c r="E350" s="188"/>
      <c r="F350" s="188"/>
      <c r="G350" s="188"/>
      <c r="H350" s="132"/>
      <c r="I350" s="132"/>
      <c r="J350" s="132"/>
      <c r="K350" s="132"/>
      <c r="L350" s="132"/>
      <c r="M350" s="130" t="s">
        <v>118</v>
      </c>
      <c r="N350" s="14">
        <f>SUMIFS(芦花古楼!$E$5:$E$104,芦花古楼!$A$5:$A$104,"&gt;"&amp;经验计算!O350,芦花古楼!$A$5:$A$104,"&lt;="&amp;经验计算!P350)</f>
        <v>0</v>
      </c>
      <c r="O350" s="129">
        <v>100</v>
      </c>
      <c r="P350" s="129">
        <v>100</v>
      </c>
      <c r="Q350" s="132"/>
      <c r="R350" s="129">
        <v>1.05</v>
      </c>
      <c r="S350" s="21">
        <f t="shared" ref="S350:S353" si="61">R350/$R$122</f>
        <v>0.19090909090909092</v>
      </c>
      <c r="T350" s="129">
        <f t="shared" ref="T350:T353" si="62">INT($N$357*S350/5)*5</f>
        <v>224410</v>
      </c>
    </row>
    <row r="351" spans="1:20" ht="16.5" x14ac:dyDescent="0.2">
      <c r="A351" s="159">
        <v>138</v>
      </c>
      <c r="B351" s="129">
        <v>245785</v>
      </c>
      <c r="C351" s="132"/>
      <c r="D351" s="188"/>
      <c r="E351" s="188"/>
      <c r="F351" s="188"/>
      <c r="G351" s="188"/>
      <c r="H351" s="132"/>
      <c r="I351" s="132"/>
      <c r="J351" s="132"/>
      <c r="K351" s="132"/>
      <c r="L351" s="132"/>
      <c r="M351" s="130" t="s">
        <v>120</v>
      </c>
      <c r="N351" s="14">
        <f>SUMIFS(芦花古楼!$P$5:$P$104,芦花古楼!$L$5:$L$104,"&gt;"&amp;经验计算!O351,芦花古楼!$L$5:$L$104,"&lt;="&amp;经验计算!P351)</f>
        <v>0</v>
      </c>
      <c r="O351" s="129">
        <v>100</v>
      </c>
      <c r="P351" s="129">
        <v>100</v>
      </c>
      <c r="Q351" s="132"/>
      <c r="R351" s="129">
        <v>1.1000000000000001</v>
      </c>
      <c r="S351" s="21">
        <f t="shared" si="61"/>
        <v>0.2</v>
      </c>
      <c r="T351" s="129">
        <f t="shared" si="62"/>
        <v>235100</v>
      </c>
    </row>
    <row r="352" spans="1:20" ht="16.5" x14ac:dyDescent="0.2">
      <c r="A352" s="159">
        <v>139</v>
      </c>
      <c r="B352" s="129">
        <v>256470</v>
      </c>
      <c r="C352" s="132"/>
      <c r="D352" s="188"/>
      <c r="E352" s="188"/>
      <c r="F352" s="188"/>
      <c r="G352" s="188"/>
      <c r="H352" s="132"/>
      <c r="I352" s="132"/>
      <c r="J352" s="132"/>
      <c r="K352" s="132"/>
      <c r="L352" s="132"/>
      <c r="M352" s="130" t="s">
        <v>119</v>
      </c>
      <c r="N352" s="14">
        <f>SUMIFS(芦花古楼!$AA$5:$AA$104,芦花古楼!$W$5:$W$104,"&gt;"&amp;经验计算!O352,芦花古楼!$W$5:$W$104,"&lt;="&amp;经验计算!P352)</f>
        <v>0</v>
      </c>
      <c r="O352" s="129">
        <v>100</v>
      </c>
      <c r="P352" s="129">
        <v>100</v>
      </c>
      <c r="Q352" s="132"/>
      <c r="R352" s="129">
        <v>1.1499999999999999</v>
      </c>
      <c r="S352" s="21">
        <f t="shared" si="61"/>
        <v>0.20909090909090908</v>
      </c>
      <c r="T352" s="129">
        <f t="shared" si="62"/>
        <v>245785</v>
      </c>
    </row>
    <row r="353" spans="1:20" ht="16.5" x14ac:dyDescent="0.2">
      <c r="A353" s="161"/>
      <c r="B353" s="131"/>
      <c r="C353" s="132"/>
      <c r="D353" s="188"/>
      <c r="E353" s="188"/>
      <c r="F353" s="188"/>
      <c r="G353" s="188"/>
      <c r="H353" s="132"/>
      <c r="I353" s="132"/>
      <c r="J353" s="132"/>
      <c r="K353" s="132"/>
      <c r="L353" s="132"/>
      <c r="M353" s="130" t="s">
        <v>121</v>
      </c>
      <c r="N353" s="14">
        <f>SUMIFS(芦花古楼!$AL$5:$AL$104,芦花古楼!$AH$5:$AH$104,"&gt;"&amp;经验计算!O353,芦花古楼!$AH$5:$AH$104,"&lt;="&amp;经验计算!P353)</f>
        <v>0</v>
      </c>
      <c r="O353" s="129">
        <v>100</v>
      </c>
      <c r="P353" s="129">
        <v>100</v>
      </c>
      <c r="Q353" s="132"/>
      <c r="R353" s="129">
        <v>1.2</v>
      </c>
      <c r="S353" s="21">
        <f t="shared" si="61"/>
        <v>0.21818181818181817</v>
      </c>
      <c r="T353" s="129">
        <f t="shared" si="62"/>
        <v>256470</v>
      </c>
    </row>
    <row r="354" spans="1:20" ht="16.5" x14ac:dyDescent="0.2">
      <c r="A354" s="161"/>
      <c r="B354" s="131"/>
      <c r="C354" s="132"/>
      <c r="D354" s="188"/>
      <c r="E354" s="188"/>
      <c r="F354" s="188"/>
      <c r="G354" s="188"/>
      <c r="H354" s="132"/>
      <c r="I354" s="132"/>
      <c r="J354" s="132"/>
      <c r="K354" s="132"/>
      <c r="L354" s="132"/>
      <c r="M354" s="130" t="s">
        <v>50</v>
      </c>
      <c r="N354" s="14"/>
      <c r="O354" s="14">
        <f>日常任务!D295*经验计算!N354</f>
        <v>0</v>
      </c>
      <c r="P354" s="132"/>
      <c r="Q354" s="132"/>
      <c r="R354" s="131"/>
      <c r="S354" s="131"/>
      <c r="T354" s="131"/>
    </row>
    <row r="355" spans="1:20" ht="16.5" x14ac:dyDescent="0.2">
      <c r="A355" s="161"/>
      <c r="B355" s="131"/>
      <c r="C355" s="132"/>
      <c r="D355" s="188"/>
      <c r="E355" s="188"/>
      <c r="F355" s="188"/>
      <c r="G355" s="188"/>
      <c r="H355" s="132"/>
      <c r="I355" s="132"/>
      <c r="J355" s="132"/>
      <c r="K355" s="132"/>
      <c r="L355" s="132"/>
      <c r="M355" s="130" t="s">
        <v>47</v>
      </c>
      <c r="N355" s="14">
        <f>INDEX(节奏总表!$N$5:$N$35,经验计算!N348)*60</f>
        <v>15000</v>
      </c>
      <c r="O355" s="14">
        <f>INDEX(章节关卡!$F$6:$F$35,经验计算!N348-1)*经验计算!N355</f>
        <v>900000</v>
      </c>
      <c r="P355" s="132"/>
      <c r="Q355" s="132"/>
      <c r="R355" s="131"/>
      <c r="S355" s="131"/>
      <c r="T355" s="131"/>
    </row>
    <row r="356" spans="1:20" ht="16.5" x14ac:dyDescent="0.2">
      <c r="A356" s="161"/>
      <c r="B356" s="131"/>
      <c r="C356" s="132"/>
      <c r="D356" s="188"/>
      <c r="E356" s="188"/>
      <c r="F356" s="188"/>
      <c r="G356" s="188"/>
      <c r="H356" s="132"/>
      <c r="I356" s="132"/>
      <c r="J356" s="132"/>
      <c r="K356" s="132"/>
      <c r="L356" s="132"/>
      <c r="M356" s="130" t="s">
        <v>43</v>
      </c>
      <c r="N356" s="19">
        <v>0</v>
      </c>
      <c r="O356" s="14">
        <f>N357*N356</f>
        <v>0</v>
      </c>
      <c r="P356" s="132"/>
      <c r="Q356" s="132"/>
      <c r="R356" s="131"/>
      <c r="S356" s="131"/>
      <c r="T356" s="131"/>
    </row>
    <row r="357" spans="1:20" ht="16.5" x14ac:dyDescent="0.2">
      <c r="A357" s="161"/>
      <c r="B357" s="131"/>
      <c r="C357" s="132"/>
      <c r="D357" s="188"/>
      <c r="E357" s="188"/>
      <c r="F357" s="188"/>
      <c r="G357" s="188"/>
      <c r="H357" s="132"/>
      <c r="I357" s="132"/>
      <c r="J357" s="132"/>
      <c r="K357" s="132"/>
      <c r="L357" s="132"/>
      <c r="M357" s="130" t="s">
        <v>42</v>
      </c>
      <c r="N357" s="14">
        <f>(N349+N350+N352+N351+N353+O354+O355+P349)/(1-N356)</f>
        <v>1175500</v>
      </c>
      <c r="O357" s="131"/>
      <c r="P357" s="132"/>
      <c r="Q357" s="132"/>
      <c r="R357" s="131"/>
      <c r="S357" s="131"/>
      <c r="T357" s="131"/>
    </row>
    <row r="358" spans="1:20" x14ac:dyDescent="0.2">
      <c r="A358" s="161"/>
      <c r="B358" s="131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1"/>
      <c r="S358" s="131"/>
      <c r="T358" s="131"/>
    </row>
    <row r="359" spans="1:20" x14ac:dyDescent="0.2">
      <c r="A359" s="162"/>
      <c r="B359" s="132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</row>
    <row r="360" spans="1:20" x14ac:dyDescent="0.2">
      <c r="A360" s="162"/>
      <c r="B360" s="132"/>
      <c r="C360" s="132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</row>
    <row r="361" spans="1:20" x14ac:dyDescent="0.2">
      <c r="A361" s="162"/>
      <c r="B361" s="131"/>
      <c r="C361" s="131"/>
      <c r="D361" s="131"/>
      <c r="E361" s="131"/>
      <c r="F361" s="131"/>
      <c r="G361" s="131"/>
      <c r="H361" s="131"/>
      <c r="I361" s="131"/>
      <c r="J361" s="131"/>
      <c r="K361" s="131"/>
      <c r="L361" s="131"/>
      <c r="M361" s="131"/>
      <c r="N361" s="131"/>
      <c r="O361" s="131"/>
      <c r="P361" s="131"/>
      <c r="Q361" s="131"/>
      <c r="R361" s="131">
        <f>SUM(R363:R367)</f>
        <v>5.5</v>
      </c>
      <c r="S361" s="131"/>
      <c r="T361" s="131"/>
    </row>
    <row r="362" spans="1:20" ht="17.25" x14ac:dyDescent="0.2">
      <c r="A362" s="159">
        <v>140</v>
      </c>
      <c r="B362" s="129">
        <v>276635</v>
      </c>
      <c r="C362" s="132"/>
      <c r="D362" s="188"/>
      <c r="E362" s="188"/>
      <c r="F362" s="188"/>
      <c r="G362" s="188"/>
      <c r="H362" s="132"/>
      <c r="I362" s="132"/>
      <c r="J362" s="132"/>
      <c r="K362" s="132"/>
      <c r="L362" s="132"/>
      <c r="M362" s="130" t="s">
        <v>117</v>
      </c>
      <c r="N362" s="129">
        <v>27</v>
      </c>
      <c r="O362" s="130" t="s">
        <v>117</v>
      </c>
      <c r="P362" s="129">
        <v>26</v>
      </c>
      <c r="Q362" s="131"/>
      <c r="R362" s="12" t="s">
        <v>46</v>
      </c>
      <c r="S362" s="12" t="s">
        <v>44</v>
      </c>
      <c r="T362" s="12" t="s">
        <v>45</v>
      </c>
    </row>
    <row r="363" spans="1:20" ht="16.5" x14ac:dyDescent="0.2">
      <c r="A363" s="159">
        <v>141</v>
      </c>
      <c r="B363" s="129">
        <v>290465</v>
      </c>
      <c r="C363" s="132"/>
      <c r="D363" s="188"/>
      <c r="E363" s="188"/>
      <c r="F363" s="188"/>
      <c r="G363" s="188"/>
      <c r="H363" s="132"/>
      <c r="I363" s="132"/>
      <c r="J363" s="132"/>
      <c r="K363" s="132"/>
      <c r="L363" s="132"/>
      <c r="M363" s="130" t="s">
        <v>81</v>
      </c>
      <c r="N363" s="14">
        <f>SUMIFS(章节关卡!$BA$5:$BA$304,章节关卡!$AY$5:$AY$304,"="&amp;经验计算!N362)</f>
        <v>14000</v>
      </c>
      <c r="O363" s="130" t="s">
        <v>122</v>
      </c>
      <c r="P363" s="14">
        <f>SUMIFS(章节关卡!$BI$5:$BI$304,章节关卡!$BG$5:$BG$304,"="&amp;经验计算!P362)</f>
        <v>337500</v>
      </c>
      <c r="Q363" s="132"/>
      <c r="R363" s="129">
        <v>1</v>
      </c>
      <c r="S363" s="21">
        <f>R363/$R$122</f>
        <v>0.18181818181818182</v>
      </c>
      <c r="T363" s="129">
        <f>INT($N$371*S363/5)*5</f>
        <v>276635</v>
      </c>
    </row>
    <row r="364" spans="1:20" ht="16.5" x14ac:dyDescent="0.2">
      <c r="A364" s="159">
        <v>142</v>
      </c>
      <c r="B364" s="129">
        <v>304300</v>
      </c>
      <c r="C364" s="132"/>
      <c r="D364" s="188"/>
      <c r="E364" s="188"/>
      <c r="F364" s="188"/>
      <c r="G364" s="188"/>
      <c r="H364" s="132"/>
      <c r="I364" s="132"/>
      <c r="J364" s="132"/>
      <c r="K364" s="132"/>
      <c r="L364" s="132"/>
      <c r="M364" s="130" t="s">
        <v>118</v>
      </c>
      <c r="N364" s="14">
        <f>SUMIFS(芦花古楼!$E$5:$E$104,芦花古楼!$A$5:$A$104,"&gt;"&amp;经验计算!O364,芦花古楼!$A$5:$A$104,"&lt;="&amp;经验计算!P364)</f>
        <v>0</v>
      </c>
      <c r="O364" s="129">
        <v>100</v>
      </c>
      <c r="P364" s="129">
        <v>100</v>
      </c>
      <c r="Q364" s="132"/>
      <c r="R364" s="129">
        <v>1.05</v>
      </c>
      <c r="S364" s="21">
        <f t="shared" ref="S364:S367" si="63">R364/$R$122</f>
        <v>0.19090909090909092</v>
      </c>
      <c r="T364" s="129">
        <f t="shared" ref="T364:T367" si="64">INT($N$371*S364/5)*5</f>
        <v>290465</v>
      </c>
    </row>
    <row r="365" spans="1:20" ht="16.5" x14ac:dyDescent="0.2">
      <c r="A365" s="159">
        <v>143</v>
      </c>
      <c r="B365" s="129">
        <v>318130</v>
      </c>
      <c r="C365" s="132"/>
      <c r="D365" s="188"/>
      <c r="E365" s="188"/>
      <c r="F365" s="188"/>
      <c r="G365" s="188"/>
      <c r="H365" s="132"/>
      <c r="I365" s="132"/>
      <c r="J365" s="132"/>
      <c r="K365" s="132"/>
      <c r="L365" s="132"/>
      <c r="M365" s="130" t="s">
        <v>120</v>
      </c>
      <c r="N365" s="14">
        <f>SUMIFS(芦花古楼!$P$5:$P$104,芦花古楼!$L$5:$L$104,"&gt;"&amp;经验计算!O365,芦花古楼!$L$5:$L$104,"&lt;="&amp;经验计算!P365)</f>
        <v>0</v>
      </c>
      <c r="O365" s="129">
        <v>100</v>
      </c>
      <c r="P365" s="129">
        <v>100</v>
      </c>
      <c r="Q365" s="132"/>
      <c r="R365" s="129">
        <v>1.1000000000000001</v>
      </c>
      <c r="S365" s="21">
        <f t="shared" si="63"/>
        <v>0.2</v>
      </c>
      <c r="T365" s="129">
        <f t="shared" si="64"/>
        <v>304300</v>
      </c>
    </row>
    <row r="366" spans="1:20" ht="16.5" x14ac:dyDescent="0.2">
      <c r="A366" s="159">
        <v>144</v>
      </c>
      <c r="B366" s="129">
        <v>331960</v>
      </c>
      <c r="C366" s="132"/>
      <c r="D366" s="188"/>
      <c r="E366" s="188"/>
      <c r="F366" s="188"/>
      <c r="G366" s="188"/>
      <c r="H366" s="132"/>
      <c r="I366" s="132"/>
      <c r="J366" s="132"/>
      <c r="K366" s="132"/>
      <c r="L366" s="132"/>
      <c r="M366" s="130" t="s">
        <v>119</v>
      </c>
      <c r="N366" s="14">
        <f>SUMIFS(芦花古楼!$AA$5:$AA$104,芦花古楼!$W$5:$W$104,"&gt;"&amp;经验计算!O366,芦花古楼!$W$5:$W$104,"&lt;="&amp;经验计算!P366)</f>
        <v>0</v>
      </c>
      <c r="O366" s="129">
        <v>100</v>
      </c>
      <c r="P366" s="129">
        <v>100</v>
      </c>
      <c r="Q366" s="132"/>
      <c r="R366" s="129">
        <v>1.1499999999999999</v>
      </c>
      <c r="S366" s="21">
        <f t="shared" si="63"/>
        <v>0.20909090909090908</v>
      </c>
      <c r="T366" s="129">
        <f t="shared" si="64"/>
        <v>318130</v>
      </c>
    </row>
    <row r="367" spans="1:20" ht="16.5" x14ac:dyDescent="0.2">
      <c r="B367" s="131"/>
      <c r="C367" s="132"/>
      <c r="D367" s="188"/>
      <c r="E367" s="188"/>
      <c r="F367" s="188"/>
      <c r="G367" s="188"/>
      <c r="H367" s="132"/>
      <c r="I367" s="132"/>
      <c r="J367" s="132"/>
      <c r="K367" s="132"/>
      <c r="L367" s="132"/>
      <c r="M367" s="130" t="s">
        <v>121</v>
      </c>
      <c r="N367" s="14">
        <f>SUMIFS(芦花古楼!$AL$5:$AL$104,芦花古楼!$AH$5:$AH$104,"&gt;"&amp;经验计算!O367,芦花古楼!$AH$5:$AH$104,"&lt;="&amp;经验计算!P367)</f>
        <v>0</v>
      </c>
      <c r="O367" s="129">
        <v>100</v>
      </c>
      <c r="P367" s="129">
        <v>100</v>
      </c>
      <c r="Q367" s="132"/>
      <c r="R367" s="129">
        <v>1.2</v>
      </c>
      <c r="S367" s="21">
        <f t="shared" si="63"/>
        <v>0.21818181818181817</v>
      </c>
      <c r="T367" s="129">
        <f t="shared" si="64"/>
        <v>331960</v>
      </c>
    </row>
    <row r="368" spans="1:20" ht="16.5" x14ac:dyDescent="0.2">
      <c r="A368" s="161"/>
      <c r="B368" s="131"/>
      <c r="C368" s="132"/>
      <c r="D368" s="188"/>
      <c r="E368" s="188"/>
      <c r="F368" s="188"/>
      <c r="G368" s="188"/>
      <c r="H368" s="132"/>
      <c r="I368" s="132"/>
      <c r="J368" s="132"/>
      <c r="K368" s="132"/>
      <c r="L368" s="132"/>
      <c r="M368" s="130" t="s">
        <v>50</v>
      </c>
      <c r="N368" s="14"/>
      <c r="O368" s="14">
        <f>日常任务!D309*经验计算!N368</f>
        <v>0</v>
      </c>
      <c r="P368" s="132"/>
      <c r="Q368" s="132"/>
      <c r="R368" s="131"/>
      <c r="S368" s="131"/>
      <c r="T368" s="131"/>
    </row>
    <row r="369" spans="1:20" ht="16.5" x14ac:dyDescent="0.2">
      <c r="A369" s="161"/>
      <c r="B369" s="131"/>
      <c r="C369" s="132"/>
      <c r="D369" s="188"/>
      <c r="E369" s="188"/>
      <c r="F369" s="188"/>
      <c r="G369" s="188"/>
      <c r="H369" s="132"/>
      <c r="I369" s="132"/>
      <c r="J369" s="132"/>
      <c r="K369" s="132"/>
      <c r="L369" s="132"/>
      <c r="M369" s="130" t="s">
        <v>47</v>
      </c>
      <c r="N369" s="14">
        <f>INDEX(节奏总表!$N$5:$N$35,经验计算!N362)*60</f>
        <v>18000</v>
      </c>
      <c r="O369" s="14">
        <f>INDEX(章节关卡!$F$6:$F$35,经验计算!N362-1)*经验计算!N369</f>
        <v>1170000</v>
      </c>
      <c r="P369" s="132"/>
      <c r="Q369" s="132"/>
      <c r="R369" s="131"/>
      <c r="S369" s="131"/>
      <c r="T369" s="131"/>
    </row>
    <row r="370" spans="1:20" ht="16.5" x14ac:dyDescent="0.2">
      <c r="A370" s="161"/>
      <c r="B370" s="131"/>
      <c r="C370" s="132"/>
      <c r="D370" s="188"/>
      <c r="E370" s="188"/>
      <c r="F370" s="188"/>
      <c r="G370" s="188"/>
      <c r="H370" s="132"/>
      <c r="I370" s="132"/>
      <c r="J370" s="132"/>
      <c r="K370" s="132"/>
      <c r="L370" s="132"/>
      <c r="M370" s="130" t="s">
        <v>43</v>
      </c>
      <c r="N370" s="19">
        <v>0</v>
      </c>
      <c r="O370" s="14">
        <f>N371*N370</f>
        <v>0</v>
      </c>
      <c r="P370" s="132"/>
      <c r="Q370" s="132"/>
      <c r="R370" s="131"/>
      <c r="S370" s="131"/>
      <c r="T370" s="131"/>
    </row>
    <row r="371" spans="1:20" ht="16.5" x14ac:dyDescent="0.2">
      <c r="A371" s="161"/>
      <c r="B371" s="131"/>
      <c r="C371" s="132"/>
      <c r="D371" s="188"/>
      <c r="E371" s="188"/>
      <c r="F371" s="188"/>
      <c r="G371" s="188"/>
      <c r="H371" s="132"/>
      <c r="I371" s="132"/>
      <c r="J371" s="132"/>
      <c r="K371" s="132"/>
      <c r="L371" s="132"/>
      <c r="M371" s="130" t="s">
        <v>42</v>
      </c>
      <c r="N371" s="14">
        <f>(N363+N364+N366+N365+N367+O368+O369+P363)/(1-N370)</f>
        <v>1521500</v>
      </c>
      <c r="O371" s="131"/>
      <c r="P371" s="132"/>
      <c r="Q371" s="132"/>
      <c r="R371" s="131"/>
      <c r="S371" s="131"/>
      <c r="T371" s="131"/>
    </row>
    <row r="372" spans="1:20" x14ac:dyDescent="0.2">
      <c r="A372" s="161"/>
      <c r="B372" s="131"/>
      <c r="C372" s="132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1"/>
      <c r="S372" s="131"/>
      <c r="T372" s="131"/>
    </row>
    <row r="373" spans="1:20" x14ac:dyDescent="0.2">
      <c r="A373" s="161"/>
    </row>
    <row r="374" spans="1:20" x14ac:dyDescent="0.2">
      <c r="A374" s="162"/>
      <c r="B374" s="132"/>
      <c r="C374" s="132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</row>
    <row r="375" spans="1:20" x14ac:dyDescent="0.2">
      <c r="A375" s="162"/>
      <c r="B375" s="132"/>
      <c r="C375" s="132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</row>
    <row r="376" spans="1:20" x14ac:dyDescent="0.2">
      <c r="A376" s="162"/>
      <c r="B376" s="131"/>
      <c r="C376" s="131"/>
      <c r="D376" s="131"/>
      <c r="E376" s="131"/>
      <c r="F376" s="131"/>
      <c r="G376" s="131"/>
      <c r="H376" s="131"/>
      <c r="I376" s="131"/>
      <c r="J376" s="131"/>
      <c r="K376" s="131"/>
      <c r="L376" s="131"/>
      <c r="M376" s="131"/>
      <c r="N376" s="131"/>
      <c r="O376" s="131"/>
      <c r="P376" s="131"/>
      <c r="Q376" s="131"/>
      <c r="R376" s="131">
        <f>SUM(R378:R382)</f>
        <v>5.5</v>
      </c>
      <c r="S376" s="131"/>
      <c r="T376" s="131"/>
    </row>
    <row r="377" spans="1:20" ht="17.25" x14ac:dyDescent="0.2">
      <c r="A377" s="159">
        <v>145</v>
      </c>
      <c r="B377" s="129">
        <v>327815</v>
      </c>
      <c r="C377" s="132"/>
      <c r="D377" s="188"/>
      <c r="E377" s="188"/>
      <c r="F377" s="188"/>
      <c r="G377" s="188"/>
      <c r="H377" s="132"/>
      <c r="I377" s="132"/>
      <c r="J377" s="132"/>
      <c r="K377" s="132"/>
      <c r="L377" s="132"/>
      <c r="M377" s="130" t="s">
        <v>117</v>
      </c>
      <c r="N377" s="129">
        <v>28</v>
      </c>
      <c r="O377" s="130" t="s">
        <v>117</v>
      </c>
      <c r="P377" s="129">
        <v>27</v>
      </c>
      <c r="Q377" s="131"/>
      <c r="R377" s="12" t="s">
        <v>46</v>
      </c>
      <c r="S377" s="12" t="s">
        <v>44</v>
      </c>
      <c r="T377" s="12" t="s">
        <v>45</v>
      </c>
    </row>
    <row r="378" spans="1:20" ht="16.5" x14ac:dyDescent="0.2">
      <c r="A378" s="159">
        <v>146</v>
      </c>
      <c r="B378" s="129">
        <v>344205</v>
      </c>
      <c r="C378" s="132"/>
      <c r="D378" s="188"/>
      <c r="E378" s="188"/>
      <c r="F378" s="188"/>
      <c r="G378" s="188"/>
      <c r="H378" s="132"/>
      <c r="I378" s="132"/>
      <c r="J378" s="132"/>
      <c r="K378" s="132"/>
      <c r="L378" s="132"/>
      <c r="M378" s="130" t="s">
        <v>81</v>
      </c>
      <c r="N378" s="14">
        <f>SUMIFS(章节关卡!$BA$5:$BA$304,章节关卡!$AY$5:$AY$304,"="&amp;经验计算!N377)</f>
        <v>15000</v>
      </c>
      <c r="O378" s="130" t="s">
        <v>122</v>
      </c>
      <c r="P378" s="14">
        <f>SUMIFS(章节关卡!$BI$5:$BI$304,章节关卡!$BG$5:$BG$304,"="&amp;经验计算!P377)</f>
        <v>360000</v>
      </c>
      <c r="Q378" s="132"/>
      <c r="R378" s="129">
        <v>1</v>
      </c>
      <c r="S378" s="21">
        <f>R378/$R$122</f>
        <v>0.18181818181818182</v>
      </c>
      <c r="T378" s="129">
        <f>INT($N$386*S378/5)*5</f>
        <v>327815</v>
      </c>
    </row>
    <row r="379" spans="1:20" ht="16.5" x14ac:dyDescent="0.2">
      <c r="A379" s="159">
        <v>147</v>
      </c>
      <c r="B379" s="129">
        <v>360600</v>
      </c>
      <c r="C379" s="132"/>
      <c r="D379" s="188"/>
      <c r="E379" s="188"/>
      <c r="F379" s="188"/>
      <c r="G379" s="188"/>
      <c r="H379" s="132"/>
      <c r="I379" s="132"/>
      <c r="J379" s="132"/>
      <c r="K379" s="132"/>
      <c r="L379" s="132"/>
      <c r="M379" s="130" t="s">
        <v>118</v>
      </c>
      <c r="N379" s="14">
        <f>SUMIFS(芦花古楼!$E$5:$E$104,芦花古楼!$A$5:$A$104,"&gt;"&amp;经验计算!O379,芦花古楼!$A$5:$A$104,"&lt;="&amp;经验计算!P379)</f>
        <v>0</v>
      </c>
      <c r="O379" s="129">
        <v>100</v>
      </c>
      <c r="P379" s="129">
        <v>100</v>
      </c>
      <c r="Q379" s="132"/>
      <c r="R379" s="129">
        <v>1.05</v>
      </c>
      <c r="S379" s="21">
        <f t="shared" ref="S379:S382" si="65">R379/$R$122</f>
        <v>0.19090909090909092</v>
      </c>
      <c r="T379" s="129">
        <f t="shared" ref="T379:T382" si="66">INT($N$386*S379/5)*5</f>
        <v>344205</v>
      </c>
    </row>
    <row r="380" spans="1:20" ht="16.5" x14ac:dyDescent="0.2">
      <c r="A380" s="159">
        <v>148</v>
      </c>
      <c r="B380" s="129">
        <v>376990</v>
      </c>
      <c r="C380" s="132"/>
      <c r="D380" s="188"/>
      <c r="E380" s="188"/>
      <c r="F380" s="188"/>
      <c r="G380" s="188"/>
      <c r="H380" s="132"/>
      <c r="I380" s="132"/>
      <c r="J380" s="132"/>
      <c r="K380" s="132"/>
      <c r="L380" s="132"/>
      <c r="M380" s="130" t="s">
        <v>120</v>
      </c>
      <c r="N380" s="14">
        <f>SUMIFS(芦花古楼!$P$5:$P$104,芦花古楼!$L$5:$L$104,"&gt;"&amp;经验计算!O380,芦花古楼!$L$5:$L$104,"&lt;="&amp;经验计算!P380)</f>
        <v>0</v>
      </c>
      <c r="O380" s="129">
        <v>100</v>
      </c>
      <c r="P380" s="129">
        <v>100</v>
      </c>
      <c r="Q380" s="132"/>
      <c r="R380" s="129">
        <v>1.1000000000000001</v>
      </c>
      <c r="S380" s="21">
        <f t="shared" si="65"/>
        <v>0.2</v>
      </c>
      <c r="T380" s="129">
        <f t="shared" si="66"/>
        <v>360600</v>
      </c>
    </row>
    <row r="381" spans="1:20" ht="16.5" x14ac:dyDescent="0.2">
      <c r="A381" s="159">
        <v>149</v>
      </c>
      <c r="B381" s="129">
        <v>393380</v>
      </c>
      <c r="C381" s="132"/>
      <c r="D381" s="188"/>
      <c r="E381" s="188"/>
      <c r="F381" s="188"/>
      <c r="G381" s="188"/>
      <c r="H381" s="132"/>
      <c r="I381" s="132"/>
      <c r="J381" s="132"/>
      <c r="K381" s="132"/>
      <c r="L381" s="132"/>
      <c r="M381" s="130" t="s">
        <v>119</v>
      </c>
      <c r="N381" s="14">
        <f>SUMIFS(芦花古楼!$AA$5:$AA$104,芦花古楼!$W$5:$W$104,"&gt;"&amp;经验计算!O381,芦花古楼!$W$5:$W$104,"&lt;="&amp;经验计算!P381)</f>
        <v>0</v>
      </c>
      <c r="O381" s="129">
        <v>100</v>
      </c>
      <c r="P381" s="129">
        <v>100</v>
      </c>
      <c r="Q381" s="132"/>
      <c r="R381" s="129">
        <v>1.1499999999999999</v>
      </c>
      <c r="S381" s="21">
        <f t="shared" si="65"/>
        <v>0.20909090909090908</v>
      </c>
      <c r="T381" s="129">
        <f t="shared" si="66"/>
        <v>376990</v>
      </c>
    </row>
    <row r="382" spans="1:20" ht="16.5" x14ac:dyDescent="0.2">
      <c r="A382" s="159">
        <v>150</v>
      </c>
      <c r="B382" s="159">
        <v>409770</v>
      </c>
      <c r="C382" s="132"/>
      <c r="D382" s="188"/>
      <c r="E382" s="188"/>
      <c r="F382" s="188"/>
      <c r="G382" s="188"/>
      <c r="H382" s="132"/>
      <c r="I382" s="132"/>
      <c r="J382" s="132"/>
      <c r="K382" s="132"/>
      <c r="L382" s="132"/>
      <c r="M382" s="130" t="s">
        <v>121</v>
      </c>
      <c r="N382" s="14">
        <f>SUMIFS(芦花古楼!$AL$5:$AL$104,芦花古楼!$AH$5:$AH$104,"&gt;"&amp;经验计算!O382,芦花古楼!$AH$5:$AH$104,"&lt;="&amp;经验计算!P382)</f>
        <v>0</v>
      </c>
      <c r="O382" s="129">
        <v>100</v>
      </c>
      <c r="P382" s="129">
        <v>100</v>
      </c>
      <c r="Q382" s="132"/>
      <c r="R382" s="129">
        <v>1.2</v>
      </c>
      <c r="S382" s="21">
        <f t="shared" si="65"/>
        <v>0.21818181818181817</v>
      </c>
      <c r="T382" s="129">
        <f t="shared" si="66"/>
        <v>393380</v>
      </c>
    </row>
    <row r="383" spans="1:20" ht="16.5" x14ac:dyDescent="0.2">
      <c r="B383" s="131"/>
      <c r="C383" s="132"/>
      <c r="D383" s="188"/>
      <c r="E383" s="188"/>
      <c r="F383" s="188"/>
      <c r="G383" s="188"/>
      <c r="H383" s="132"/>
      <c r="I383" s="132"/>
      <c r="J383" s="132"/>
      <c r="K383" s="132"/>
      <c r="L383" s="132"/>
      <c r="M383" s="130" t="s">
        <v>50</v>
      </c>
      <c r="N383" s="14"/>
      <c r="O383" s="14">
        <f>日常任务!D324*经验计算!N383</f>
        <v>0</v>
      </c>
      <c r="P383" s="132"/>
      <c r="Q383" s="132"/>
      <c r="R383" s="131"/>
      <c r="S383" s="131"/>
      <c r="T383" s="131"/>
    </row>
    <row r="384" spans="1:20" ht="16.5" x14ac:dyDescent="0.2">
      <c r="A384" s="131"/>
      <c r="B384" s="131"/>
      <c r="C384" s="132"/>
      <c r="D384" s="188"/>
      <c r="E384" s="188"/>
      <c r="F384" s="188"/>
      <c r="G384" s="188"/>
      <c r="H384" s="132"/>
      <c r="I384" s="132"/>
      <c r="J384" s="132"/>
      <c r="K384" s="132"/>
      <c r="L384" s="132"/>
      <c r="M384" s="130" t="s">
        <v>47</v>
      </c>
      <c r="N384" s="14">
        <f>INDEX(节奏总表!$N$5:$N$35,经验计算!N377)*60</f>
        <v>20400</v>
      </c>
      <c r="O384" s="14">
        <f>INDEX(章节关卡!$F$6:$F$35,经验计算!N377-1)*经验计算!N384</f>
        <v>1428000</v>
      </c>
      <c r="P384" s="132"/>
      <c r="Q384" s="132"/>
      <c r="R384" s="131"/>
      <c r="S384" s="131"/>
      <c r="T384" s="131"/>
    </row>
    <row r="385" spans="1:20" ht="16.5" x14ac:dyDescent="0.2">
      <c r="A385" s="131"/>
      <c r="B385" s="131"/>
      <c r="C385" s="132"/>
      <c r="D385" s="188"/>
      <c r="E385" s="188"/>
      <c r="F385" s="188"/>
      <c r="G385" s="188"/>
      <c r="H385" s="132"/>
      <c r="I385" s="132"/>
      <c r="J385" s="132"/>
      <c r="K385" s="132"/>
      <c r="L385" s="132"/>
      <c r="M385" s="130" t="s">
        <v>43</v>
      </c>
      <c r="N385" s="19">
        <v>0</v>
      </c>
      <c r="O385" s="14">
        <f>N386*N385</f>
        <v>0</v>
      </c>
      <c r="P385" s="132"/>
      <c r="Q385" s="132"/>
      <c r="R385" s="131"/>
      <c r="S385" s="131"/>
      <c r="T385" s="131"/>
    </row>
    <row r="386" spans="1:20" ht="16.5" x14ac:dyDescent="0.2">
      <c r="A386" s="131"/>
      <c r="B386" s="131"/>
      <c r="C386" s="132"/>
      <c r="D386" s="188"/>
      <c r="E386" s="188"/>
      <c r="F386" s="188"/>
      <c r="G386" s="188"/>
      <c r="H386" s="132"/>
      <c r="I386" s="132"/>
      <c r="J386" s="132"/>
      <c r="K386" s="132"/>
      <c r="L386" s="132"/>
      <c r="M386" s="130" t="s">
        <v>42</v>
      </c>
      <c r="N386" s="14">
        <f>(N378+N379+N381+N380+N382+O383+O384+P378)/(1-N385)</f>
        <v>1803000</v>
      </c>
      <c r="O386" s="131"/>
      <c r="P386" s="132"/>
      <c r="Q386" s="132"/>
      <c r="R386" s="131"/>
      <c r="S386" s="131"/>
      <c r="T386" s="131"/>
    </row>
    <row r="387" spans="1:20" x14ac:dyDescent="0.2">
      <c r="A387" s="131"/>
      <c r="B387" s="131"/>
      <c r="C387" s="132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1"/>
      <c r="S387" s="131"/>
      <c r="T387" s="131"/>
    </row>
    <row r="388" spans="1:20" x14ac:dyDescent="0.2">
      <c r="A388" s="132"/>
      <c r="B388" s="132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</row>
    <row r="389" spans="1:20" x14ac:dyDescent="0.2">
      <c r="A389" s="131"/>
      <c r="B389" s="131"/>
      <c r="C389" s="132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1"/>
      <c r="S389" s="131"/>
      <c r="T389" s="131"/>
    </row>
  </sheetData>
  <mergeCells count="31">
    <mergeCell ref="D208:G217"/>
    <mergeCell ref="D222:G231"/>
    <mergeCell ref="D236:G245"/>
    <mergeCell ref="D250:G259"/>
    <mergeCell ref="D264:G273"/>
    <mergeCell ref="D5:G13"/>
    <mergeCell ref="D31:G40"/>
    <mergeCell ref="D44:G53"/>
    <mergeCell ref="I41:K41"/>
    <mergeCell ref="D18:G23"/>
    <mergeCell ref="D124:G133"/>
    <mergeCell ref="D57:G66"/>
    <mergeCell ref="D71:G80"/>
    <mergeCell ref="D85:G94"/>
    <mergeCell ref="D98:G107"/>
    <mergeCell ref="D348:G357"/>
    <mergeCell ref="D362:G371"/>
    <mergeCell ref="D377:G386"/>
    <mergeCell ref="D2:T2"/>
    <mergeCell ref="D278:G287"/>
    <mergeCell ref="D292:G301"/>
    <mergeCell ref="D306:G315"/>
    <mergeCell ref="D320:G329"/>
    <mergeCell ref="D334:G343"/>
    <mergeCell ref="I54:K54"/>
    <mergeCell ref="D137:G146"/>
    <mergeCell ref="D151:G160"/>
    <mergeCell ref="D165:G174"/>
    <mergeCell ref="D179:G188"/>
    <mergeCell ref="D193:G202"/>
    <mergeCell ref="D111:G120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H505"/>
  <sheetViews>
    <sheetView zoomScaleNormal="100" workbookViewId="0">
      <selection activeCell="CR108" sqref="CR108"/>
    </sheetView>
  </sheetViews>
  <sheetFormatPr defaultRowHeight="14.25" x14ac:dyDescent="0.2"/>
  <cols>
    <col min="59" max="59" width="9.625" bestFit="1" customWidth="1"/>
    <col min="63" max="64" width="10" customWidth="1"/>
    <col min="72" max="72" width="9" customWidth="1"/>
    <col min="83" max="83" width="10.5" customWidth="1"/>
    <col min="99" max="99" width="16.5" customWidth="1"/>
  </cols>
  <sheetData>
    <row r="3" spans="1:112" ht="16.5" customHeight="1" x14ac:dyDescent="0.2">
      <c r="A3" s="187" t="s">
        <v>65</v>
      </c>
      <c r="B3" s="187"/>
      <c r="C3" s="187"/>
      <c r="D3" s="187"/>
      <c r="E3" s="187"/>
      <c r="F3" s="187"/>
      <c r="G3" s="187"/>
      <c r="H3" s="187"/>
      <c r="I3" s="187"/>
      <c r="L3" s="187" t="s">
        <v>66</v>
      </c>
      <c r="M3" s="187"/>
      <c r="N3" s="187"/>
      <c r="O3" s="187"/>
      <c r="P3" s="187"/>
      <c r="Q3" s="187"/>
      <c r="R3" s="187"/>
      <c r="S3" s="187"/>
      <c r="T3" s="187"/>
      <c r="W3" s="187" t="s">
        <v>67</v>
      </c>
      <c r="X3" s="187"/>
      <c r="Y3" s="187"/>
      <c r="Z3" s="187"/>
      <c r="AA3" s="187"/>
      <c r="AB3" s="187"/>
      <c r="AC3" s="187"/>
      <c r="AD3" s="187"/>
      <c r="AE3" s="187"/>
      <c r="AH3" s="187" t="s">
        <v>68</v>
      </c>
      <c r="AI3" s="187"/>
      <c r="AJ3" s="187"/>
      <c r="AK3" s="187"/>
      <c r="AL3" s="187"/>
      <c r="AM3" s="187"/>
      <c r="AN3" s="187"/>
      <c r="AO3" s="187"/>
      <c r="AP3" s="187"/>
      <c r="AS3" s="201" t="s">
        <v>65</v>
      </c>
      <c r="AT3" s="202"/>
      <c r="AV3" s="201" t="s">
        <v>66</v>
      </c>
      <c r="AW3" s="202"/>
      <c r="AY3" s="201" t="s">
        <v>71</v>
      </c>
      <c r="AZ3" s="202"/>
      <c r="BB3" s="201" t="s">
        <v>72</v>
      </c>
      <c r="BC3" s="202"/>
      <c r="BL3">
        <v>2</v>
      </c>
      <c r="BQ3" s="200" t="s">
        <v>80</v>
      </c>
      <c r="BR3" s="200"/>
      <c r="BS3" s="14">
        <f>SUM(BG6:BH105)</f>
        <v>64405</v>
      </c>
    </row>
    <row r="4" spans="1:112" ht="30" x14ac:dyDescent="0.2">
      <c r="A4" s="12" t="s">
        <v>48</v>
      </c>
      <c r="B4" s="12" t="s">
        <v>114</v>
      </c>
      <c r="C4" s="12" t="s">
        <v>115</v>
      </c>
      <c r="D4" s="12" t="s">
        <v>742</v>
      </c>
      <c r="E4" s="12" t="s">
        <v>49</v>
      </c>
      <c r="F4" s="12" t="s">
        <v>69</v>
      </c>
      <c r="G4" s="12" t="s">
        <v>69</v>
      </c>
      <c r="H4" s="12" t="s">
        <v>70</v>
      </c>
      <c r="I4" s="12" t="s">
        <v>283</v>
      </c>
      <c r="L4" s="12" t="s">
        <v>48</v>
      </c>
      <c r="M4" s="12" t="s">
        <v>116</v>
      </c>
      <c r="N4" s="12" t="s">
        <v>100</v>
      </c>
      <c r="O4" s="12" t="s">
        <v>742</v>
      </c>
      <c r="P4" s="12" t="s">
        <v>49</v>
      </c>
      <c r="Q4" s="12" t="s">
        <v>69</v>
      </c>
      <c r="R4" s="12" t="s">
        <v>69</v>
      </c>
      <c r="S4" s="12" t="s">
        <v>70</v>
      </c>
      <c r="T4" s="12" t="s">
        <v>283</v>
      </c>
      <c r="W4" s="12" t="s">
        <v>48</v>
      </c>
      <c r="X4" s="12" t="s">
        <v>116</v>
      </c>
      <c r="Y4" s="12" t="s">
        <v>100</v>
      </c>
      <c r="Z4" s="12" t="s">
        <v>742</v>
      </c>
      <c r="AA4" s="12" t="s">
        <v>49</v>
      </c>
      <c r="AB4" s="12" t="s">
        <v>69</v>
      </c>
      <c r="AC4" s="12" t="s">
        <v>69</v>
      </c>
      <c r="AD4" s="12" t="s">
        <v>70</v>
      </c>
      <c r="AE4" s="12" t="s">
        <v>283</v>
      </c>
      <c r="AH4" s="12" t="s">
        <v>48</v>
      </c>
      <c r="AI4" s="12" t="s">
        <v>116</v>
      </c>
      <c r="AJ4" s="12" t="s">
        <v>100</v>
      </c>
      <c r="AK4" s="12" t="s">
        <v>742</v>
      </c>
      <c r="AL4" s="12" t="s">
        <v>49</v>
      </c>
      <c r="AM4" s="12" t="s">
        <v>69</v>
      </c>
      <c r="AN4" s="12" t="s">
        <v>69</v>
      </c>
      <c r="AO4" s="12" t="s">
        <v>70</v>
      </c>
      <c r="AP4" s="12" t="s">
        <v>283</v>
      </c>
      <c r="AS4" s="12" t="s">
        <v>73</v>
      </c>
      <c r="AT4" s="12" t="s">
        <v>74</v>
      </c>
      <c r="AV4" s="12" t="s">
        <v>73</v>
      </c>
      <c r="AW4" s="12" t="s">
        <v>74</v>
      </c>
      <c r="AY4" s="12" t="s">
        <v>73</v>
      </c>
      <c r="AZ4" s="12" t="s">
        <v>74</v>
      </c>
      <c r="BB4" s="12" t="s">
        <v>73</v>
      </c>
      <c r="BC4" s="12" t="s">
        <v>74</v>
      </c>
      <c r="BF4" s="12" t="s">
        <v>75</v>
      </c>
      <c r="BG4" s="12" t="s">
        <v>377</v>
      </c>
      <c r="BH4" s="12" t="s">
        <v>78</v>
      </c>
      <c r="BI4" s="12" t="s">
        <v>79</v>
      </c>
      <c r="BJ4" s="12" t="s">
        <v>379</v>
      </c>
      <c r="BK4" s="12" t="s">
        <v>378</v>
      </c>
      <c r="BL4" s="12" t="s">
        <v>380</v>
      </c>
      <c r="BN4" s="23" t="s">
        <v>76</v>
      </c>
      <c r="BO4" s="23" t="s">
        <v>77</v>
      </c>
      <c r="BU4" s="23" t="s">
        <v>313</v>
      </c>
      <c r="BV4" s="23" t="s">
        <v>315</v>
      </c>
      <c r="BW4" s="23" t="s">
        <v>316</v>
      </c>
      <c r="BX4" s="23" t="s">
        <v>317</v>
      </c>
      <c r="BY4" s="23" t="s">
        <v>318</v>
      </c>
      <c r="BZ4" s="23" t="s">
        <v>319</v>
      </c>
      <c r="CA4" s="23" t="s">
        <v>320</v>
      </c>
      <c r="CC4" s="23" t="s">
        <v>312</v>
      </c>
      <c r="CD4" s="23" t="s">
        <v>314</v>
      </c>
      <c r="CE4" s="23" t="s">
        <v>370</v>
      </c>
      <c r="CF4" s="23" t="s">
        <v>371</v>
      </c>
      <c r="CJ4" s="40" t="s">
        <v>232</v>
      </c>
      <c r="CK4" s="40" t="s">
        <v>233</v>
      </c>
      <c r="CL4" s="40" t="s">
        <v>234</v>
      </c>
      <c r="CM4" s="40" t="s">
        <v>235</v>
      </c>
      <c r="CN4" s="40" t="s">
        <v>254</v>
      </c>
      <c r="CO4" s="40" t="s">
        <v>255</v>
      </c>
      <c r="CP4" s="40" t="s">
        <v>256</v>
      </c>
      <c r="CQ4" s="40" t="s">
        <v>236</v>
      </c>
      <c r="CR4" s="40" t="s">
        <v>237</v>
      </c>
      <c r="CS4" s="40" t="s">
        <v>238</v>
      </c>
      <c r="CT4" s="40" t="s">
        <v>239</v>
      </c>
      <c r="CU4" s="40" t="s">
        <v>240</v>
      </c>
      <c r="CV4" s="40" t="s">
        <v>241</v>
      </c>
      <c r="CW4" s="40" t="s">
        <v>242</v>
      </c>
      <c r="CX4" s="40" t="s">
        <v>243</v>
      </c>
      <c r="CY4" s="40" t="s">
        <v>244</v>
      </c>
      <c r="CZ4" s="40" t="s">
        <v>245</v>
      </c>
      <c r="DA4" s="40" t="s">
        <v>246</v>
      </c>
      <c r="DB4" s="40" t="s">
        <v>247</v>
      </c>
      <c r="DC4" s="40" t="s">
        <v>248</v>
      </c>
      <c r="DD4" s="40" t="s">
        <v>249</v>
      </c>
      <c r="DE4" s="40" t="s">
        <v>250</v>
      </c>
      <c r="DF4" s="40" t="s">
        <v>251</v>
      </c>
      <c r="DG4" s="40" t="s">
        <v>252</v>
      </c>
      <c r="DH4" s="40" t="s">
        <v>253</v>
      </c>
    </row>
    <row r="5" spans="1:112" ht="16.5" x14ac:dyDescent="0.2">
      <c r="A5" s="17">
        <v>1</v>
      </c>
      <c r="B5" s="24">
        <v>1</v>
      </c>
      <c r="C5" s="24">
        <v>0</v>
      </c>
      <c r="D5" s="87"/>
      <c r="E5" s="17">
        <f>INDEX(章节关卡!$F$6:$F$34,芦花古楼!B5)*芦花古楼!C5</f>
        <v>0</v>
      </c>
      <c r="F5" s="22">
        <f t="shared" ref="F5:F36" si="0">INT((A5-1)/5+1)*5</f>
        <v>5</v>
      </c>
      <c r="G5" s="18">
        <f t="shared" ref="G5:G36" si="1">INT(A5/5)*5+20</f>
        <v>20</v>
      </c>
      <c r="H5" s="14">
        <f>INDEX(章节关卡!$H$6:$H$34,芦花古楼!B5)*芦花古楼!C5</f>
        <v>0</v>
      </c>
      <c r="I5" s="14">
        <v>50</v>
      </c>
      <c r="L5" s="17">
        <v>1</v>
      </c>
      <c r="M5" s="24">
        <f>INT((L5-1)/5)+4</f>
        <v>4</v>
      </c>
      <c r="N5" s="24">
        <v>0</v>
      </c>
      <c r="O5" s="87"/>
      <c r="P5" s="24">
        <f>INDEX(章节关卡!$F$6:$F$34,芦花古楼!M5)*芦花古楼!N5</f>
        <v>0</v>
      </c>
      <c r="Q5" s="22">
        <f>INT((L5-1)/5+2)*5</f>
        <v>10</v>
      </c>
      <c r="R5" s="22">
        <f>INT(L5/5)*5+20</f>
        <v>20</v>
      </c>
      <c r="S5" s="14">
        <f>INDEX(章节关卡!$H$6:$H$34,芦花古楼!M5)*芦花古楼!N5</f>
        <v>0</v>
      </c>
      <c r="T5" s="14">
        <v>50</v>
      </c>
      <c r="W5" s="17">
        <v>1</v>
      </c>
      <c r="X5" s="24">
        <v>4</v>
      </c>
      <c r="Y5" s="24">
        <v>0</v>
      </c>
      <c r="Z5" s="87"/>
      <c r="AA5" s="24">
        <f>INDEX(章节关卡!$F$6:$F$34,芦花古楼!X5)*芦花古楼!Y5</f>
        <v>0</v>
      </c>
      <c r="AB5" s="22">
        <f t="shared" ref="AB5:AB36" si="2">INT((W5-1)/5+3)*5</f>
        <v>15</v>
      </c>
      <c r="AC5" s="22">
        <f t="shared" ref="AC5:AC36" si="3">INT(W5/5)*5+20</f>
        <v>20</v>
      </c>
      <c r="AD5" s="14">
        <f>INDEX(章节关卡!$H$6:$H$34,芦花古楼!X5)*芦花古楼!Y5</f>
        <v>0</v>
      </c>
      <c r="AE5" s="14">
        <v>50</v>
      </c>
      <c r="AH5" s="17">
        <v>1</v>
      </c>
      <c r="AI5" s="46">
        <v>4</v>
      </c>
      <c r="AJ5" s="24">
        <v>0</v>
      </c>
      <c r="AK5" s="87"/>
      <c r="AL5" s="24">
        <f>INDEX(章节关卡!$F$6:$F$34,芦花古楼!AI5)*芦花古楼!AJ5</f>
        <v>0</v>
      </c>
      <c r="AM5" s="22">
        <f>INT((AH5-1)/5+4)*5</f>
        <v>20</v>
      </c>
      <c r="AN5" s="22">
        <f>INT(AH5/5)*5+20</f>
        <v>20</v>
      </c>
      <c r="AO5" s="14">
        <f>INDEX(章节关卡!$H$6:$H$34,芦花古楼!AI5)*芦花古楼!AJ5</f>
        <v>0</v>
      </c>
      <c r="AP5" s="14">
        <v>50</v>
      </c>
      <c r="AS5" s="18">
        <v>0</v>
      </c>
      <c r="AT5" s="18">
        <v>0</v>
      </c>
      <c r="AV5" s="18">
        <v>0</v>
      </c>
      <c r="AW5" s="18">
        <v>0</v>
      </c>
      <c r="AY5" s="18">
        <v>0</v>
      </c>
      <c r="AZ5" s="18">
        <v>0</v>
      </c>
      <c r="BB5" s="18">
        <v>0</v>
      </c>
      <c r="BC5" s="18">
        <v>0</v>
      </c>
      <c r="BF5" s="18">
        <v>0</v>
      </c>
      <c r="BG5" s="18"/>
      <c r="BN5" s="18">
        <v>1</v>
      </c>
      <c r="BO5" s="18">
        <v>1</v>
      </c>
      <c r="BU5" s="52">
        <v>0</v>
      </c>
      <c r="BV5" s="52">
        <v>0</v>
      </c>
      <c r="BW5" s="52">
        <v>0</v>
      </c>
      <c r="BX5" s="52">
        <v>0</v>
      </c>
      <c r="BY5" s="52">
        <v>0</v>
      </c>
      <c r="BZ5" s="52">
        <v>0</v>
      </c>
      <c r="CA5" s="52">
        <v>0</v>
      </c>
      <c r="CC5" s="52">
        <v>1</v>
      </c>
      <c r="CD5" s="52">
        <v>101</v>
      </c>
      <c r="CE5" s="52" t="s">
        <v>363</v>
      </c>
      <c r="CF5" s="52">
        <v>1</v>
      </c>
      <c r="CJ5" s="39">
        <v>1</v>
      </c>
      <c r="CK5" s="39">
        <v>1</v>
      </c>
      <c r="CL5" s="41" t="s">
        <v>257</v>
      </c>
      <c r="CM5" s="39">
        <v>1</v>
      </c>
      <c r="CN5" s="39"/>
      <c r="CO5" s="39"/>
      <c r="CP5" s="39"/>
      <c r="CQ5" s="39" t="s">
        <v>372</v>
      </c>
      <c r="CR5" s="39">
        <v>600</v>
      </c>
      <c r="CS5" s="39" t="s">
        <v>373</v>
      </c>
      <c r="CT5" s="39">
        <v>5</v>
      </c>
      <c r="CU5" s="39"/>
      <c r="CV5" s="39"/>
      <c r="CW5" s="39" t="s">
        <v>373</v>
      </c>
      <c r="CX5" s="39">
        <v>20</v>
      </c>
      <c r="CY5" s="39"/>
      <c r="CZ5" s="39"/>
      <c r="DA5" s="39"/>
      <c r="DB5" s="39"/>
      <c r="DC5" s="39"/>
      <c r="DD5" s="39"/>
      <c r="DE5" s="39"/>
      <c r="DF5" s="39"/>
      <c r="DG5" s="39"/>
      <c r="DH5" s="39"/>
    </row>
    <row r="6" spans="1:112" ht="16.5" x14ac:dyDescent="0.2">
      <c r="A6" s="17">
        <v>2</v>
      </c>
      <c r="B6" s="24">
        <v>1</v>
      </c>
      <c r="C6" s="123">
        <v>0</v>
      </c>
      <c r="D6" s="87"/>
      <c r="E6" s="78">
        <f>INDEX(章节关卡!$F$6:$F$34,芦花古楼!B6)*芦花古楼!C6</f>
        <v>0</v>
      </c>
      <c r="F6" s="22">
        <f t="shared" si="0"/>
        <v>5</v>
      </c>
      <c r="G6" s="22">
        <f t="shared" si="1"/>
        <v>20</v>
      </c>
      <c r="H6" s="14">
        <f>INDEX(章节关卡!$H$6:$H$34,芦花古楼!B6)*芦花古楼!C6</f>
        <v>0</v>
      </c>
      <c r="I6" s="14">
        <v>50</v>
      </c>
      <c r="L6" s="17">
        <v>2</v>
      </c>
      <c r="M6" s="78">
        <f t="shared" ref="M6:M69" si="4">INT((L6-1)/5)+4</f>
        <v>4</v>
      </c>
      <c r="N6" s="123">
        <v>0</v>
      </c>
      <c r="O6" s="87"/>
      <c r="P6" s="78">
        <f>INDEX(章节关卡!$F$6:$F$34,芦花古楼!M6)*芦花古楼!N6</f>
        <v>0</v>
      </c>
      <c r="Q6" s="22">
        <f t="shared" ref="Q6:Q69" si="5">INT((L6-1)/5+2)*5</f>
        <v>10</v>
      </c>
      <c r="R6" s="22">
        <f t="shared" ref="R6:R69" si="6">INT(L6/5)*5+20</f>
        <v>20</v>
      </c>
      <c r="S6" s="14">
        <f>INDEX(章节关卡!$H$6:$H$34,芦花古楼!M6)*芦花古楼!N6</f>
        <v>0</v>
      </c>
      <c r="T6" s="14">
        <v>50</v>
      </c>
      <c r="W6" s="17">
        <v>2</v>
      </c>
      <c r="X6" s="24">
        <v>4</v>
      </c>
      <c r="Y6" s="123">
        <v>0</v>
      </c>
      <c r="Z6" s="87"/>
      <c r="AA6" s="87">
        <f>INDEX(章节关卡!$F$6:$F$34,芦花古楼!X6)*芦花古楼!Y6</f>
        <v>0</v>
      </c>
      <c r="AB6" s="22">
        <f t="shared" si="2"/>
        <v>15</v>
      </c>
      <c r="AC6" s="22">
        <f t="shared" si="3"/>
        <v>20</v>
      </c>
      <c r="AD6" s="14">
        <f>INDEX(章节关卡!$H$6:$H$34,芦花古楼!X6)*芦花古楼!Y6</f>
        <v>0</v>
      </c>
      <c r="AE6" s="14">
        <v>50</v>
      </c>
      <c r="AH6" s="17">
        <v>2</v>
      </c>
      <c r="AI6" s="46">
        <v>4</v>
      </c>
      <c r="AJ6" s="123">
        <v>0</v>
      </c>
      <c r="AK6" s="87"/>
      <c r="AL6" s="87">
        <f>INDEX(章节关卡!$F$6:$F$34,芦花古楼!AI6)*芦花古楼!AJ6</f>
        <v>0</v>
      </c>
      <c r="AM6" s="22">
        <f t="shared" ref="AM6:AM69" si="7">INT((AH6-1)/5+4)*5</f>
        <v>20</v>
      </c>
      <c r="AN6" s="22">
        <f t="shared" ref="AN6:AN69" si="8">INT(AH6/5)*5+20</f>
        <v>20</v>
      </c>
      <c r="AO6" s="14">
        <f>INDEX(章节关卡!$H$6:$H$34,芦花古楼!AI6)*芦花古楼!AJ6</f>
        <v>0</v>
      </c>
      <c r="AP6" s="14">
        <v>50</v>
      </c>
      <c r="AS6" s="18">
        <v>1</v>
      </c>
      <c r="AT6" s="18">
        <v>3</v>
      </c>
      <c r="AV6" s="18">
        <v>1</v>
      </c>
      <c r="AW6" s="18">
        <v>4</v>
      </c>
      <c r="AY6" s="18">
        <v>1</v>
      </c>
      <c r="AZ6" s="18">
        <v>4</v>
      </c>
      <c r="BB6" s="18">
        <v>1</v>
      </c>
      <c r="BC6" s="18">
        <v>4</v>
      </c>
      <c r="BF6" s="18">
        <v>1</v>
      </c>
      <c r="BG6" s="14">
        <f t="shared" ref="BG6:BG37" si="9">SUMIFS($F$5:$F$104,$AT$6:$AT$105,"="&amp;BF6)+SUMIFS($Q$5:$Q$104,$AW$6:$AW$105,"="&amp;BF6)+SUMIFS($AB$5:$AB$104,$AZ$6:$AZ$105,"="&amp;BF6)+SUMIFS($AM$5:$AM$104,$BC$6:$BC$105,"="&amp;BF6)</f>
        <v>0</v>
      </c>
      <c r="BH6" s="14">
        <f t="shared" ref="BH6:BH37" si="10">INDEX($G$5:$G$104,MATCH(BF6,$AT$5:$AT$105,1)-1)+INDEX($R$5:$R$104,MATCH(BF6,$AW$5:$AW$105,1)-1)+INDEX($AC$5:$AC$104,MATCH(BF6,$AZ$5:$AZ$105,1)-1)+INDEX($AN$5:$AN$104,MATCH(BF6,$BC$5:$BC$105,1)-1)</f>
        <v>80</v>
      </c>
      <c r="BI6" s="14">
        <f t="shared" ref="BI6:BI37" si="11">SUMIFS($H$5:$H$104,$AT$6:$AT$105,"="&amp;BF6)+SUMIFS($S$5:$S$104,$AW$6:$AW$105,"="&amp;BF6)+SUMIFS($AD$5:$AD$104,$AZ$6:$AZ$105,"="&amp;BF6)+SUMIFS($AO$5:$AO$104,$BC$6:$BC$105,"="&amp;BF6)</f>
        <v>0</v>
      </c>
      <c r="BJ6" s="14">
        <f>INDEX($I$5:$I$104,MATCH(BF6,$AT$5:$AT$105,1)-1)+INDEX($T$5:$T$104,MATCH(BF6,$AW$5:$AW$105,1)-1)+INDEX($AE$5:$AE$104,MATCH(BF6,$AZ$5:$AZ$105,1)-1)+INDEX($AP$5:$AP$104,MATCH(BF6,$BC$5:$BC$105,1)-1)</f>
        <v>200</v>
      </c>
      <c r="BK6" s="14">
        <f>BG6+BH5</f>
        <v>0</v>
      </c>
      <c r="BL6" s="14">
        <f>BK6*BL$3</f>
        <v>0</v>
      </c>
      <c r="BN6" s="18">
        <v>2</v>
      </c>
      <c r="BO6" s="18">
        <v>1</v>
      </c>
      <c r="BU6" s="52">
        <v>1</v>
      </c>
      <c r="BV6" s="52">
        <v>101</v>
      </c>
      <c r="BW6" s="52">
        <v>1606003</v>
      </c>
      <c r="BX6" s="52" t="s">
        <v>321</v>
      </c>
      <c r="BY6" s="52">
        <v>1</v>
      </c>
      <c r="BZ6" s="52">
        <v>15</v>
      </c>
      <c r="CA6" s="52">
        <f>SUM(BZ$5:BZ6)</f>
        <v>15</v>
      </c>
      <c r="CC6" s="52">
        <v>2</v>
      </c>
      <c r="CD6" s="52">
        <v>102</v>
      </c>
      <c r="CE6" s="52" t="s">
        <v>364</v>
      </c>
      <c r="CF6" s="52">
        <v>1</v>
      </c>
      <c r="CJ6" s="52">
        <v>2</v>
      </c>
      <c r="CK6" s="52">
        <v>1</v>
      </c>
      <c r="CL6" s="52" t="s">
        <v>257</v>
      </c>
      <c r="CM6" s="52">
        <v>2</v>
      </c>
      <c r="CN6" s="52"/>
      <c r="CO6" s="52"/>
      <c r="CP6" s="52"/>
      <c r="CQ6" s="52" t="s">
        <v>372</v>
      </c>
      <c r="CR6" s="52">
        <v>600</v>
      </c>
      <c r="CS6" s="52" t="s">
        <v>373</v>
      </c>
      <c r="CT6" s="52">
        <v>5</v>
      </c>
      <c r="CU6" s="52" t="s">
        <v>374</v>
      </c>
      <c r="CV6" s="52">
        <v>1</v>
      </c>
      <c r="CW6" s="52" t="s">
        <v>373</v>
      </c>
      <c r="CX6" s="52">
        <v>20</v>
      </c>
      <c r="CY6" s="52"/>
      <c r="CZ6" s="52"/>
      <c r="DA6" s="52"/>
      <c r="DB6" s="52"/>
      <c r="DC6" s="52"/>
      <c r="DD6" s="52"/>
      <c r="DE6" s="52"/>
      <c r="DF6" s="52"/>
      <c r="DG6" s="52"/>
      <c r="DH6" s="52"/>
    </row>
    <row r="7" spans="1:112" ht="16.5" x14ac:dyDescent="0.2">
      <c r="A7" s="17">
        <v>3</v>
      </c>
      <c r="B7" s="24">
        <v>2</v>
      </c>
      <c r="C7" s="123">
        <v>0</v>
      </c>
      <c r="D7" s="87"/>
      <c r="E7" s="78">
        <f>INDEX(章节关卡!$F$6:$F$34,芦花古楼!B7)*芦花古楼!C7</f>
        <v>0</v>
      </c>
      <c r="F7" s="22">
        <f t="shared" si="0"/>
        <v>5</v>
      </c>
      <c r="G7" s="22">
        <f t="shared" si="1"/>
        <v>20</v>
      </c>
      <c r="H7" s="14">
        <f>INDEX(章节关卡!$H$6:$H$34,芦花古楼!B7)*芦花古楼!C7</f>
        <v>0</v>
      </c>
      <c r="I7" s="14">
        <v>50</v>
      </c>
      <c r="L7" s="17">
        <v>3</v>
      </c>
      <c r="M7" s="78">
        <f t="shared" si="4"/>
        <v>4</v>
      </c>
      <c r="N7" s="123">
        <v>0</v>
      </c>
      <c r="O7" s="87"/>
      <c r="P7" s="78">
        <f>INDEX(章节关卡!$F$6:$F$34,芦花古楼!M7)*芦花古楼!N7</f>
        <v>0</v>
      </c>
      <c r="Q7" s="22">
        <f t="shared" si="5"/>
        <v>10</v>
      </c>
      <c r="R7" s="22">
        <f t="shared" si="6"/>
        <v>20</v>
      </c>
      <c r="S7" s="14">
        <f>INDEX(章节关卡!$H$6:$H$34,芦花古楼!M7)*芦花古楼!N7</f>
        <v>0</v>
      </c>
      <c r="T7" s="14">
        <v>50</v>
      </c>
      <c r="W7" s="17">
        <v>3</v>
      </c>
      <c r="X7" s="24">
        <v>4</v>
      </c>
      <c r="Y7" s="123">
        <v>0</v>
      </c>
      <c r="Z7" s="87"/>
      <c r="AA7" s="87">
        <f>INDEX(章节关卡!$F$6:$F$34,芦花古楼!X7)*芦花古楼!Y7</f>
        <v>0</v>
      </c>
      <c r="AB7" s="22">
        <f t="shared" si="2"/>
        <v>15</v>
      </c>
      <c r="AC7" s="22">
        <f t="shared" si="3"/>
        <v>20</v>
      </c>
      <c r="AD7" s="14">
        <f>INDEX(章节关卡!$H$6:$H$34,芦花古楼!X7)*芦花古楼!Y7</f>
        <v>0</v>
      </c>
      <c r="AE7" s="14">
        <v>50</v>
      </c>
      <c r="AH7" s="17">
        <v>3</v>
      </c>
      <c r="AI7" s="46">
        <v>4</v>
      </c>
      <c r="AJ7" s="123">
        <v>0</v>
      </c>
      <c r="AK7" s="87"/>
      <c r="AL7" s="87">
        <f>INDEX(章节关卡!$F$6:$F$34,芦花古楼!AI7)*芦花古楼!AJ7</f>
        <v>0</v>
      </c>
      <c r="AM7" s="22">
        <f t="shared" si="7"/>
        <v>20</v>
      </c>
      <c r="AN7" s="22">
        <f t="shared" si="8"/>
        <v>20</v>
      </c>
      <c r="AO7" s="14">
        <f>INDEX(章节关卡!$H$6:$H$34,芦花古楼!AI7)*芦花古楼!AJ7</f>
        <v>0</v>
      </c>
      <c r="AP7" s="14">
        <v>50</v>
      </c>
      <c r="AS7" s="18">
        <v>2</v>
      </c>
      <c r="AT7" s="87">
        <v>3</v>
      </c>
      <c r="AV7" s="18">
        <v>2</v>
      </c>
      <c r="AW7" s="87">
        <v>4</v>
      </c>
      <c r="AY7" s="18">
        <v>2</v>
      </c>
      <c r="AZ7" s="18">
        <v>4</v>
      </c>
      <c r="BB7" s="18">
        <v>2</v>
      </c>
      <c r="BC7" s="18">
        <v>4</v>
      </c>
      <c r="BF7" s="18">
        <v>2</v>
      </c>
      <c r="BG7" s="14">
        <f t="shared" si="9"/>
        <v>0</v>
      </c>
      <c r="BH7" s="14">
        <f t="shared" si="10"/>
        <v>80</v>
      </c>
      <c r="BI7" s="14">
        <f t="shared" si="11"/>
        <v>0</v>
      </c>
      <c r="BJ7" s="14">
        <f t="shared" ref="BJ7:BJ70" si="12">INDEX($I$5:$I$104,MATCH(BF7,$AT$5:$AT$105,1)-1)+INDEX($T$5:$T$104,MATCH(BF7,$AW$5:$AW$105,1)-1)+INDEX($AE$5:$AE$104,MATCH(BF7,$AZ$5:$AZ$105,1)-1)+INDEX($AP$5:$AP$104,MATCH(BF7,$BC$5:$BC$105,1)-1)</f>
        <v>200</v>
      </c>
      <c r="BK7" s="14">
        <f t="shared" ref="BK7:BK70" si="13">BG7+BH6</f>
        <v>80</v>
      </c>
      <c r="BL7" s="14">
        <f t="shared" ref="BL7:BL70" si="14">BK7*BL$3</f>
        <v>160</v>
      </c>
      <c r="BN7" s="18">
        <v>3</v>
      </c>
      <c r="BO7" s="18">
        <v>2</v>
      </c>
      <c r="BU7" s="52">
        <v>2</v>
      </c>
      <c r="BV7" s="52">
        <v>101</v>
      </c>
      <c r="BW7" s="52">
        <v>1606004</v>
      </c>
      <c r="BX7" s="52" t="s">
        <v>322</v>
      </c>
      <c r="BY7" s="52">
        <v>1</v>
      </c>
      <c r="BZ7" s="52">
        <v>15</v>
      </c>
      <c r="CA7" s="52">
        <f>SUM(BZ$5:BZ7)</f>
        <v>30</v>
      </c>
      <c r="CC7" s="52">
        <v>3</v>
      </c>
      <c r="CD7" s="52">
        <v>201</v>
      </c>
      <c r="CE7" s="52" t="s">
        <v>365</v>
      </c>
      <c r="CF7" s="52">
        <v>2</v>
      </c>
      <c r="CJ7" s="52">
        <v>3</v>
      </c>
      <c r="CK7" s="52">
        <v>1</v>
      </c>
      <c r="CL7" s="52" t="s">
        <v>257</v>
      </c>
      <c r="CM7" s="52">
        <v>3</v>
      </c>
      <c r="CN7" s="52"/>
      <c r="CO7" s="52"/>
      <c r="CP7" s="52"/>
      <c r="CQ7" s="52" t="s">
        <v>372</v>
      </c>
      <c r="CR7" s="52">
        <v>900</v>
      </c>
      <c r="CS7" s="52" t="s">
        <v>373</v>
      </c>
      <c r="CT7" s="52">
        <v>5</v>
      </c>
      <c r="CU7" s="52"/>
      <c r="CV7" s="52"/>
      <c r="CW7" s="52" t="s">
        <v>373</v>
      </c>
      <c r="CX7" s="52">
        <v>20</v>
      </c>
      <c r="CY7" s="52"/>
      <c r="CZ7" s="52"/>
      <c r="DA7" s="52"/>
      <c r="DB7" s="52"/>
      <c r="DC7" s="52"/>
      <c r="DD7" s="52"/>
      <c r="DE7" s="52"/>
      <c r="DF7" s="52"/>
      <c r="DG7" s="52"/>
      <c r="DH7" s="52"/>
    </row>
    <row r="8" spans="1:112" ht="16.5" x14ac:dyDescent="0.2">
      <c r="A8" s="17">
        <v>4</v>
      </c>
      <c r="B8" s="24">
        <v>2</v>
      </c>
      <c r="C8" s="123">
        <v>0</v>
      </c>
      <c r="D8" s="87"/>
      <c r="E8" s="78">
        <f>INDEX(章节关卡!$F$6:$F$34,芦花古楼!B8)*芦花古楼!C8</f>
        <v>0</v>
      </c>
      <c r="F8" s="22">
        <f t="shared" si="0"/>
        <v>5</v>
      </c>
      <c r="G8" s="22">
        <f t="shared" si="1"/>
        <v>20</v>
      </c>
      <c r="H8" s="14">
        <f>INDEX(章节关卡!$H$6:$H$34,芦花古楼!B8)*芦花古楼!C8</f>
        <v>0</v>
      </c>
      <c r="I8" s="14">
        <v>50</v>
      </c>
      <c r="L8" s="17">
        <v>4</v>
      </c>
      <c r="M8" s="78">
        <f t="shared" si="4"/>
        <v>4</v>
      </c>
      <c r="N8" s="123">
        <v>0</v>
      </c>
      <c r="O8" s="87"/>
      <c r="P8" s="78">
        <f>INDEX(章节关卡!$F$6:$F$34,芦花古楼!M8)*芦花古楼!N8</f>
        <v>0</v>
      </c>
      <c r="Q8" s="22">
        <f t="shared" si="5"/>
        <v>10</v>
      </c>
      <c r="R8" s="22">
        <f t="shared" si="6"/>
        <v>20</v>
      </c>
      <c r="S8" s="14">
        <f>INDEX(章节关卡!$H$6:$H$34,芦花古楼!M8)*芦花古楼!N8</f>
        <v>0</v>
      </c>
      <c r="T8" s="14">
        <v>50</v>
      </c>
      <c r="W8" s="17">
        <v>4</v>
      </c>
      <c r="X8" s="24">
        <v>4</v>
      </c>
      <c r="Y8" s="123">
        <v>0</v>
      </c>
      <c r="Z8" s="87"/>
      <c r="AA8" s="87">
        <f>INDEX(章节关卡!$F$6:$F$34,芦花古楼!X8)*芦花古楼!Y8</f>
        <v>0</v>
      </c>
      <c r="AB8" s="22">
        <f t="shared" si="2"/>
        <v>15</v>
      </c>
      <c r="AC8" s="22">
        <f t="shared" si="3"/>
        <v>20</v>
      </c>
      <c r="AD8" s="14">
        <f>INDEX(章节关卡!$H$6:$H$34,芦花古楼!X8)*芦花古楼!Y8</f>
        <v>0</v>
      </c>
      <c r="AE8" s="14">
        <v>50</v>
      </c>
      <c r="AH8" s="17">
        <v>4</v>
      </c>
      <c r="AI8" s="46">
        <v>4</v>
      </c>
      <c r="AJ8" s="123">
        <v>0</v>
      </c>
      <c r="AK8" s="87"/>
      <c r="AL8" s="87">
        <f>INDEX(章节关卡!$F$6:$F$34,芦花古楼!AI8)*芦花古楼!AJ8</f>
        <v>0</v>
      </c>
      <c r="AM8" s="22">
        <f t="shared" si="7"/>
        <v>20</v>
      </c>
      <c r="AN8" s="22">
        <f t="shared" si="8"/>
        <v>20</v>
      </c>
      <c r="AO8" s="14">
        <f>INDEX(章节关卡!$H$6:$H$34,芦花古楼!AI8)*芦花古楼!AJ8</f>
        <v>0</v>
      </c>
      <c r="AP8" s="14">
        <v>50</v>
      </c>
      <c r="AS8" s="18">
        <v>3</v>
      </c>
      <c r="AT8" s="87">
        <v>3</v>
      </c>
      <c r="AV8" s="18">
        <v>3</v>
      </c>
      <c r="AW8" s="87">
        <v>4</v>
      </c>
      <c r="AY8" s="18">
        <v>3</v>
      </c>
      <c r="AZ8" s="18">
        <v>4</v>
      </c>
      <c r="BB8" s="18">
        <v>3</v>
      </c>
      <c r="BC8" s="18">
        <v>4</v>
      </c>
      <c r="BF8" s="18">
        <v>3</v>
      </c>
      <c r="BG8" s="14">
        <f t="shared" si="9"/>
        <v>75</v>
      </c>
      <c r="BH8" s="14">
        <f t="shared" si="10"/>
        <v>90</v>
      </c>
      <c r="BI8" s="14">
        <f t="shared" si="11"/>
        <v>0</v>
      </c>
      <c r="BJ8" s="14">
        <f t="shared" si="12"/>
        <v>200</v>
      </c>
      <c r="BK8" s="14">
        <f t="shared" si="13"/>
        <v>155</v>
      </c>
      <c r="BL8" s="14">
        <f t="shared" si="14"/>
        <v>310</v>
      </c>
      <c r="BN8" s="18">
        <v>4</v>
      </c>
      <c r="BO8" s="18">
        <v>3</v>
      </c>
      <c r="BU8" s="52">
        <v>3</v>
      </c>
      <c r="BV8" s="52">
        <v>101</v>
      </c>
      <c r="BW8" s="52">
        <v>1606005</v>
      </c>
      <c r="BX8" s="52" t="s">
        <v>323</v>
      </c>
      <c r="BY8" s="52">
        <v>2</v>
      </c>
      <c r="BZ8" s="52">
        <v>15</v>
      </c>
      <c r="CA8" s="52">
        <f>SUM(BZ$5:BZ8)</f>
        <v>45</v>
      </c>
      <c r="CC8" s="52">
        <v>4</v>
      </c>
      <c r="CD8" s="52">
        <v>202</v>
      </c>
      <c r="CE8" s="52" t="s">
        <v>366</v>
      </c>
      <c r="CF8" s="52">
        <v>2</v>
      </c>
      <c r="CJ8" s="52">
        <v>4</v>
      </c>
      <c r="CK8" s="52">
        <v>1</v>
      </c>
      <c r="CL8" s="52" t="s">
        <v>257</v>
      </c>
      <c r="CM8" s="52">
        <v>4</v>
      </c>
      <c r="CN8" s="52"/>
      <c r="CO8" s="52"/>
      <c r="CP8" s="52"/>
      <c r="CQ8" s="52" t="s">
        <v>372</v>
      </c>
      <c r="CR8" s="52">
        <v>900</v>
      </c>
      <c r="CS8" s="52" t="s">
        <v>373</v>
      </c>
      <c r="CT8" s="52">
        <v>5</v>
      </c>
      <c r="CU8" s="52" t="s">
        <v>272</v>
      </c>
      <c r="CV8" s="52">
        <v>1</v>
      </c>
      <c r="CW8" s="52" t="s">
        <v>373</v>
      </c>
      <c r="CX8" s="52">
        <v>20</v>
      </c>
      <c r="CY8" s="52"/>
      <c r="CZ8" s="52"/>
      <c r="DA8" s="52"/>
      <c r="DB8" s="52"/>
      <c r="DC8" s="52"/>
      <c r="DD8" s="52"/>
      <c r="DE8" s="52"/>
      <c r="DF8" s="52"/>
      <c r="DG8" s="52"/>
      <c r="DH8" s="52"/>
    </row>
    <row r="9" spans="1:112" ht="16.5" x14ac:dyDescent="0.2">
      <c r="A9" s="17">
        <v>5</v>
      </c>
      <c r="B9" s="24">
        <v>3</v>
      </c>
      <c r="C9" s="123">
        <v>0</v>
      </c>
      <c r="D9" s="87"/>
      <c r="E9" s="78">
        <f>INDEX(章节关卡!$F$6:$F$34,芦花古楼!B9)*芦花古楼!C9</f>
        <v>0</v>
      </c>
      <c r="F9" s="22">
        <f t="shared" si="0"/>
        <v>5</v>
      </c>
      <c r="G9" s="22">
        <f t="shared" si="1"/>
        <v>25</v>
      </c>
      <c r="H9" s="14">
        <f>INDEX(章节关卡!$H$6:$H$34,芦花古楼!B9)*芦花古楼!C9</f>
        <v>0</v>
      </c>
      <c r="I9" s="14">
        <v>50</v>
      </c>
      <c r="L9" s="17">
        <v>5</v>
      </c>
      <c r="M9" s="78">
        <f t="shared" si="4"/>
        <v>4</v>
      </c>
      <c r="N9" s="123">
        <v>0</v>
      </c>
      <c r="O9" s="87"/>
      <c r="P9" s="78">
        <f>INDEX(章节关卡!$F$6:$F$34,芦花古楼!M9)*芦花古楼!N9</f>
        <v>0</v>
      </c>
      <c r="Q9" s="22">
        <f t="shared" si="5"/>
        <v>10</v>
      </c>
      <c r="R9" s="22">
        <f t="shared" si="6"/>
        <v>25</v>
      </c>
      <c r="S9" s="14">
        <f>INDEX(章节关卡!$H$6:$H$34,芦花古楼!M9)*芦花古楼!N9</f>
        <v>0</v>
      </c>
      <c r="T9" s="14">
        <v>50</v>
      </c>
      <c r="W9" s="17">
        <v>5</v>
      </c>
      <c r="X9" s="46">
        <v>4</v>
      </c>
      <c r="Y9" s="123">
        <v>0</v>
      </c>
      <c r="Z9" s="87"/>
      <c r="AA9" s="87">
        <f>INDEX(章节关卡!$F$6:$F$34,芦花古楼!X9)*芦花古楼!Y9</f>
        <v>0</v>
      </c>
      <c r="AB9" s="22">
        <f t="shared" si="2"/>
        <v>15</v>
      </c>
      <c r="AC9" s="22">
        <f t="shared" si="3"/>
        <v>25</v>
      </c>
      <c r="AD9" s="14">
        <f>INDEX(章节关卡!$H$6:$H$34,芦花古楼!X9)*芦花古楼!Y9</f>
        <v>0</v>
      </c>
      <c r="AE9" s="14">
        <v>50</v>
      </c>
      <c r="AH9" s="17">
        <v>5</v>
      </c>
      <c r="AI9" s="46">
        <v>4</v>
      </c>
      <c r="AJ9" s="123">
        <v>0</v>
      </c>
      <c r="AK9" s="87"/>
      <c r="AL9" s="87">
        <f>INDEX(章节关卡!$F$6:$F$34,芦花古楼!AI9)*芦花古楼!AJ9</f>
        <v>0</v>
      </c>
      <c r="AM9" s="22">
        <f t="shared" si="7"/>
        <v>20</v>
      </c>
      <c r="AN9" s="22">
        <f t="shared" si="8"/>
        <v>25</v>
      </c>
      <c r="AO9" s="14">
        <f>INDEX(章节关卡!$H$6:$H$34,芦花古楼!AI9)*芦花古楼!AJ9</f>
        <v>0</v>
      </c>
      <c r="AP9" s="14">
        <v>50</v>
      </c>
      <c r="AS9" s="18">
        <v>4</v>
      </c>
      <c r="AT9" s="87">
        <v>3</v>
      </c>
      <c r="AV9" s="18">
        <v>4</v>
      </c>
      <c r="AW9" s="87">
        <v>4</v>
      </c>
      <c r="AY9" s="18">
        <v>4</v>
      </c>
      <c r="AZ9" s="18">
        <v>4</v>
      </c>
      <c r="BB9" s="18">
        <v>4</v>
      </c>
      <c r="BC9" s="18">
        <v>4</v>
      </c>
      <c r="BF9" s="18">
        <v>4</v>
      </c>
      <c r="BG9" s="14">
        <f t="shared" si="9"/>
        <v>300</v>
      </c>
      <c r="BH9" s="14">
        <f t="shared" si="10"/>
        <v>110</v>
      </c>
      <c r="BI9" s="14">
        <f t="shared" si="11"/>
        <v>0</v>
      </c>
      <c r="BJ9" s="14">
        <f t="shared" si="12"/>
        <v>200</v>
      </c>
      <c r="BK9" s="14">
        <f t="shared" si="13"/>
        <v>390</v>
      </c>
      <c r="BL9" s="14">
        <f t="shared" si="14"/>
        <v>780</v>
      </c>
      <c r="BN9" s="18">
        <v>5</v>
      </c>
      <c r="BO9" s="18">
        <v>3</v>
      </c>
      <c r="BU9" s="52">
        <v>4</v>
      </c>
      <c r="BV9" s="52">
        <v>102</v>
      </c>
      <c r="BW9" s="52">
        <v>1606006</v>
      </c>
      <c r="BX9" s="52" t="s">
        <v>324</v>
      </c>
      <c r="BY9" s="52">
        <v>1</v>
      </c>
      <c r="BZ9" s="52">
        <v>15</v>
      </c>
      <c r="CA9" s="52">
        <f>SUM(BZ$5:BZ9)</f>
        <v>60</v>
      </c>
      <c r="CC9" s="52">
        <v>5</v>
      </c>
      <c r="CD9" s="52">
        <v>301</v>
      </c>
      <c r="CE9" s="52" t="s">
        <v>367</v>
      </c>
      <c r="CF9" s="52">
        <v>3</v>
      </c>
      <c r="CJ9" s="52">
        <v>5</v>
      </c>
      <c r="CK9" s="52">
        <v>1</v>
      </c>
      <c r="CL9" s="52" t="s">
        <v>257</v>
      </c>
      <c r="CM9" s="52">
        <v>5</v>
      </c>
      <c r="CN9" s="52"/>
      <c r="CO9" s="52"/>
      <c r="CP9" s="52"/>
      <c r="CQ9" s="52" t="s">
        <v>372</v>
      </c>
      <c r="CR9" s="52">
        <v>1200</v>
      </c>
      <c r="CS9" s="52" t="s">
        <v>373</v>
      </c>
      <c r="CT9" s="52">
        <v>5</v>
      </c>
      <c r="CU9" s="52"/>
      <c r="CV9" s="52"/>
      <c r="CW9" s="52" t="s">
        <v>373</v>
      </c>
      <c r="CX9" s="52">
        <v>25</v>
      </c>
      <c r="CY9" s="52"/>
      <c r="CZ9" s="52"/>
      <c r="DA9" s="52"/>
      <c r="DB9" s="52"/>
      <c r="DC9" s="52"/>
      <c r="DD9" s="52"/>
      <c r="DE9" s="52"/>
      <c r="DF9" s="52"/>
      <c r="DG9" s="52"/>
      <c r="DH9" s="52"/>
    </row>
    <row r="10" spans="1:112" ht="16.5" x14ac:dyDescent="0.2">
      <c r="A10" s="17">
        <v>6</v>
      </c>
      <c r="B10" s="24">
        <v>3</v>
      </c>
      <c r="C10" s="123">
        <v>0</v>
      </c>
      <c r="D10" s="87"/>
      <c r="E10" s="78">
        <f>INDEX(章节关卡!$F$6:$F$34,芦花古楼!B10)*芦花古楼!C10</f>
        <v>0</v>
      </c>
      <c r="F10" s="22">
        <f t="shared" si="0"/>
        <v>10</v>
      </c>
      <c r="G10" s="22">
        <f t="shared" si="1"/>
        <v>25</v>
      </c>
      <c r="H10" s="14">
        <f>INDEX(章节关卡!$H$6:$H$34,芦花古楼!B10)*芦花古楼!C10</f>
        <v>0</v>
      </c>
      <c r="I10" s="14">
        <v>50</v>
      </c>
      <c r="L10" s="17">
        <v>6</v>
      </c>
      <c r="M10" s="78">
        <f t="shared" si="4"/>
        <v>5</v>
      </c>
      <c r="N10" s="123">
        <v>0</v>
      </c>
      <c r="O10" s="87"/>
      <c r="P10" s="78">
        <f>INDEX(章节关卡!$F$6:$F$34,芦花古楼!M10)*芦花古楼!N10</f>
        <v>0</v>
      </c>
      <c r="Q10" s="22">
        <f t="shared" si="5"/>
        <v>15</v>
      </c>
      <c r="R10" s="22">
        <f t="shared" si="6"/>
        <v>25</v>
      </c>
      <c r="S10" s="14">
        <f>INDEX(章节关卡!$H$6:$H$34,芦花古楼!M10)*芦花古楼!N10</f>
        <v>0</v>
      </c>
      <c r="T10" s="14">
        <v>50</v>
      </c>
      <c r="W10" s="17">
        <v>6</v>
      </c>
      <c r="X10" s="24">
        <v>5</v>
      </c>
      <c r="Y10" s="123">
        <v>0</v>
      </c>
      <c r="Z10" s="87"/>
      <c r="AA10" s="87">
        <f>INDEX(章节关卡!$F$6:$F$34,芦花古楼!X10)*芦花古楼!Y10</f>
        <v>0</v>
      </c>
      <c r="AB10" s="22">
        <f t="shared" si="2"/>
        <v>20</v>
      </c>
      <c r="AC10" s="22">
        <f t="shared" si="3"/>
        <v>25</v>
      </c>
      <c r="AD10" s="14">
        <f>INDEX(章节关卡!$H$6:$H$34,芦花古楼!X10)*芦花古楼!Y10</f>
        <v>0</v>
      </c>
      <c r="AE10" s="14">
        <v>50</v>
      </c>
      <c r="AH10" s="17">
        <v>6</v>
      </c>
      <c r="AI10" s="46">
        <v>5</v>
      </c>
      <c r="AJ10" s="123">
        <v>0</v>
      </c>
      <c r="AK10" s="87"/>
      <c r="AL10" s="87">
        <f>INDEX(章节关卡!$F$6:$F$34,芦花古楼!AI10)*芦花古楼!AJ10</f>
        <v>0</v>
      </c>
      <c r="AM10" s="22">
        <f t="shared" si="7"/>
        <v>25</v>
      </c>
      <c r="AN10" s="22">
        <f t="shared" si="8"/>
        <v>25</v>
      </c>
      <c r="AO10" s="14">
        <f>INDEX(章节关卡!$H$6:$H$34,芦花古楼!AI10)*芦花古楼!AJ10</f>
        <v>0</v>
      </c>
      <c r="AP10" s="14">
        <v>50</v>
      </c>
      <c r="AS10" s="18">
        <v>5</v>
      </c>
      <c r="AT10" s="87">
        <v>3</v>
      </c>
      <c r="AV10" s="18">
        <v>5</v>
      </c>
      <c r="AW10" s="87">
        <v>4</v>
      </c>
      <c r="AY10" s="18">
        <v>5</v>
      </c>
      <c r="AZ10" s="18">
        <v>4</v>
      </c>
      <c r="BB10" s="18">
        <v>5</v>
      </c>
      <c r="BC10" s="18">
        <v>4</v>
      </c>
      <c r="BF10" s="18">
        <v>5</v>
      </c>
      <c r="BG10" s="14">
        <f t="shared" si="9"/>
        <v>400</v>
      </c>
      <c r="BH10" s="14">
        <f t="shared" si="10"/>
        <v>130</v>
      </c>
      <c r="BI10" s="14">
        <f t="shared" si="11"/>
        <v>0</v>
      </c>
      <c r="BJ10" s="14">
        <f t="shared" si="12"/>
        <v>250</v>
      </c>
      <c r="BK10" s="14">
        <f t="shared" si="13"/>
        <v>510</v>
      </c>
      <c r="BL10" s="14">
        <f t="shared" si="14"/>
        <v>1020</v>
      </c>
      <c r="BN10" s="18">
        <v>6</v>
      </c>
      <c r="BO10" s="22">
        <v>4</v>
      </c>
      <c r="BU10" s="52">
        <v>5</v>
      </c>
      <c r="BV10" s="52">
        <v>102</v>
      </c>
      <c r="BW10" s="52">
        <v>1606007</v>
      </c>
      <c r="BX10" s="52" t="s">
        <v>325</v>
      </c>
      <c r="BY10" s="52">
        <v>1</v>
      </c>
      <c r="BZ10" s="52">
        <v>15</v>
      </c>
      <c r="CA10" s="52">
        <f>SUM(BZ$5:BZ10)</f>
        <v>75</v>
      </c>
      <c r="CC10" s="52">
        <v>6</v>
      </c>
      <c r="CD10" s="52">
        <v>302</v>
      </c>
      <c r="CE10" s="52" t="s">
        <v>368</v>
      </c>
      <c r="CF10" s="52">
        <v>3</v>
      </c>
      <c r="CJ10" s="52">
        <v>6</v>
      </c>
      <c r="CK10" s="52">
        <v>1</v>
      </c>
      <c r="CL10" s="52" t="s">
        <v>257</v>
      </c>
      <c r="CM10" s="52">
        <v>6</v>
      </c>
      <c r="CN10" s="52"/>
      <c r="CO10" s="52"/>
      <c r="CP10" s="52"/>
      <c r="CQ10" s="52" t="s">
        <v>372</v>
      </c>
      <c r="CR10" s="52">
        <v>1200</v>
      </c>
      <c r="CS10" s="52" t="s">
        <v>373</v>
      </c>
      <c r="CT10" s="52">
        <v>10</v>
      </c>
      <c r="CU10" s="52"/>
      <c r="CV10" s="52"/>
      <c r="CW10" s="52" t="s">
        <v>373</v>
      </c>
      <c r="CX10" s="52">
        <v>25</v>
      </c>
      <c r="CY10" s="52"/>
      <c r="CZ10" s="52"/>
      <c r="DA10" s="52"/>
      <c r="DB10" s="52"/>
      <c r="DC10" s="52"/>
      <c r="DD10" s="52"/>
      <c r="DE10" s="52"/>
      <c r="DF10" s="52"/>
      <c r="DG10" s="52"/>
      <c r="DH10" s="52"/>
    </row>
    <row r="11" spans="1:112" ht="16.5" x14ac:dyDescent="0.2">
      <c r="A11" s="17">
        <v>7</v>
      </c>
      <c r="B11" s="24">
        <v>3</v>
      </c>
      <c r="C11" s="123">
        <v>0</v>
      </c>
      <c r="D11" s="87"/>
      <c r="E11" s="78">
        <f>INDEX(章节关卡!$F$6:$F$34,芦花古楼!B11)*芦花古楼!C11</f>
        <v>0</v>
      </c>
      <c r="F11" s="22">
        <f t="shared" si="0"/>
        <v>10</v>
      </c>
      <c r="G11" s="22">
        <f t="shared" si="1"/>
        <v>25</v>
      </c>
      <c r="H11" s="14">
        <f>INDEX(章节关卡!$H$6:$H$34,芦花古楼!B11)*芦花古楼!C11</f>
        <v>0</v>
      </c>
      <c r="I11" s="14">
        <v>50</v>
      </c>
      <c r="L11" s="17">
        <v>7</v>
      </c>
      <c r="M11" s="78">
        <f t="shared" si="4"/>
        <v>5</v>
      </c>
      <c r="N11" s="123">
        <v>0</v>
      </c>
      <c r="O11" s="87"/>
      <c r="P11" s="78">
        <f>INDEX(章节关卡!$F$6:$F$34,芦花古楼!M11)*芦花古楼!N11</f>
        <v>0</v>
      </c>
      <c r="Q11" s="22">
        <f t="shared" si="5"/>
        <v>15</v>
      </c>
      <c r="R11" s="22">
        <f t="shared" si="6"/>
        <v>25</v>
      </c>
      <c r="S11" s="14">
        <f>INDEX(章节关卡!$H$6:$H$34,芦花古楼!M11)*芦花古楼!N11</f>
        <v>0</v>
      </c>
      <c r="T11" s="14">
        <v>50</v>
      </c>
      <c r="W11" s="17">
        <v>7</v>
      </c>
      <c r="X11" s="46">
        <v>5</v>
      </c>
      <c r="Y11" s="123">
        <v>0</v>
      </c>
      <c r="Z11" s="87"/>
      <c r="AA11" s="87">
        <f>INDEX(章节关卡!$F$6:$F$34,芦花古楼!X11)*芦花古楼!Y11</f>
        <v>0</v>
      </c>
      <c r="AB11" s="22">
        <f t="shared" si="2"/>
        <v>20</v>
      </c>
      <c r="AC11" s="22">
        <f t="shared" si="3"/>
        <v>25</v>
      </c>
      <c r="AD11" s="14">
        <f>INDEX(章节关卡!$H$6:$H$34,芦花古楼!X11)*芦花古楼!Y11</f>
        <v>0</v>
      </c>
      <c r="AE11" s="14">
        <v>50</v>
      </c>
      <c r="AH11" s="17">
        <v>7</v>
      </c>
      <c r="AI11" s="46">
        <v>5</v>
      </c>
      <c r="AJ11" s="123">
        <v>0</v>
      </c>
      <c r="AK11" s="87"/>
      <c r="AL11" s="87">
        <f>INDEX(章节关卡!$F$6:$F$34,芦花古楼!AI11)*芦花古楼!AJ11</f>
        <v>0</v>
      </c>
      <c r="AM11" s="22">
        <f t="shared" si="7"/>
        <v>25</v>
      </c>
      <c r="AN11" s="22">
        <f t="shared" si="8"/>
        <v>25</v>
      </c>
      <c r="AO11" s="14">
        <f>INDEX(章节关卡!$H$6:$H$34,芦花古楼!AI11)*芦花古楼!AJ11</f>
        <v>0</v>
      </c>
      <c r="AP11" s="14">
        <v>50</v>
      </c>
      <c r="AS11" s="18">
        <v>6</v>
      </c>
      <c r="AT11" s="87">
        <v>3</v>
      </c>
      <c r="AV11" s="18">
        <v>6</v>
      </c>
      <c r="AW11" s="18">
        <v>5</v>
      </c>
      <c r="AY11" s="18">
        <v>6</v>
      </c>
      <c r="AZ11" s="18">
        <v>5</v>
      </c>
      <c r="BB11" s="18">
        <v>6</v>
      </c>
      <c r="BC11" s="18">
        <v>5</v>
      </c>
      <c r="BF11" s="18">
        <v>6</v>
      </c>
      <c r="BG11" s="14">
        <f t="shared" si="9"/>
        <v>500</v>
      </c>
      <c r="BH11" s="14">
        <f t="shared" si="10"/>
        <v>150</v>
      </c>
      <c r="BI11" s="14">
        <f t="shared" si="11"/>
        <v>0</v>
      </c>
      <c r="BJ11" s="14">
        <f t="shared" si="12"/>
        <v>250</v>
      </c>
      <c r="BK11" s="14">
        <f t="shared" si="13"/>
        <v>630</v>
      </c>
      <c r="BL11" s="14">
        <f t="shared" si="14"/>
        <v>1260</v>
      </c>
      <c r="BN11" s="18">
        <v>7</v>
      </c>
      <c r="BO11" s="22">
        <v>4</v>
      </c>
      <c r="BU11" s="52">
        <v>6</v>
      </c>
      <c r="BV11" s="52">
        <v>102</v>
      </c>
      <c r="BW11" s="52">
        <v>1606008</v>
      </c>
      <c r="BX11" s="52" t="s">
        <v>326</v>
      </c>
      <c r="BY11" s="52">
        <v>1</v>
      </c>
      <c r="BZ11" s="52">
        <v>15</v>
      </c>
      <c r="CA11" s="52">
        <f>SUM(BZ$5:BZ11)</f>
        <v>90</v>
      </c>
      <c r="CC11" s="52">
        <v>7</v>
      </c>
      <c r="CD11" s="52">
        <v>303</v>
      </c>
      <c r="CE11" s="52" t="s">
        <v>369</v>
      </c>
      <c r="CF11" s="52">
        <v>3</v>
      </c>
      <c r="CJ11" s="52">
        <v>7</v>
      </c>
      <c r="CK11" s="52">
        <v>1</v>
      </c>
      <c r="CL11" s="52" t="s">
        <v>257</v>
      </c>
      <c r="CM11" s="52">
        <v>7</v>
      </c>
      <c r="CN11" s="52"/>
      <c r="CO11" s="52"/>
      <c r="CP11" s="52"/>
      <c r="CQ11" s="52" t="s">
        <v>372</v>
      </c>
      <c r="CR11" s="52">
        <v>1200</v>
      </c>
      <c r="CS11" s="52" t="s">
        <v>373</v>
      </c>
      <c r="CT11" s="52">
        <v>10</v>
      </c>
      <c r="CU11" s="52" t="s">
        <v>374</v>
      </c>
      <c r="CV11" s="52">
        <v>1</v>
      </c>
      <c r="CW11" s="52" t="s">
        <v>373</v>
      </c>
      <c r="CX11" s="52">
        <v>25</v>
      </c>
      <c r="CY11" s="52"/>
      <c r="CZ11" s="52"/>
      <c r="DA11" s="52"/>
      <c r="DB11" s="52"/>
      <c r="DC11" s="52"/>
      <c r="DD11" s="52"/>
      <c r="DE11" s="52"/>
      <c r="DF11" s="52"/>
      <c r="DG11" s="52"/>
      <c r="DH11" s="52"/>
    </row>
    <row r="12" spans="1:112" ht="16.5" x14ac:dyDescent="0.2">
      <c r="A12" s="17">
        <v>8</v>
      </c>
      <c r="B12" s="24">
        <v>4</v>
      </c>
      <c r="C12" s="123">
        <v>0</v>
      </c>
      <c r="D12" s="87"/>
      <c r="E12" s="78">
        <f>INDEX(章节关卡!$F$6:$F$34,芦花古楼!B12)*芦花古楼!C12</f>
        <v>0</v>
      </c>
      <c r="F12" s="22">
        <f t="shared" si="0"/>
        <v>10</v>
      </c>
      <c r="G12" s="22">
        <f t="shared" si="1"/>
        <v>25</v>
      </c>
      <c r="H12" s="14">
        <f>INDEX(章节关卡!$H$6:$H$34,芦花古楼!B12)*芦花古楼!C12</f>
        <v>0</v>
      </c>
      <c r="I12" s="14">
        <v>50</v>
      </c>
      <c r="L12" s="17">
        <v>8</v>
      </c>
      <c r="M12" s="78">
        <f t="shared" si="4"/>
        <v>5</v>
      </c>
      <c r="N12" s="123">
        <v>0</v>
      </c>
      <c r="O12" s="87"/>
      <c r="P12" s="78">
        <f>INDEX(章节关卡!$F$6:$F$34,芦花古楼!M12)*芦花古楼!N12</f>
        <v>0</v>
      </c>
      <c r="Q12" s="22">
        <f t="shared" si="5"/>
        <v>15</v>
      </c>
      <c r="R12" s="22">
        <f t="shared" si="6"/>
        <v>25</v>
      </c>
      <c r="S12" s="14">
        <f>INDEX(章节关卡!$H$6:$H$34,芦花古楼!M12)*芦花古楼!N12</f>
        <v>0</v>
      </c>
      <c r="T12" s="14">
        <v>50</v>
      </c>
      <c r="W12" s="17">
        <v>8</v>
      </c>
      <c r="X12" s="46">
        <v>5</v>
      </c>
      <c r="Y12" s="123">
        <v>0</v>
      </c>
      <c r="Z12" s="87"/>
      <c r="AA12" s="87">
        <f>INDEX(章节关卡!$F$6:$F$34,芦花古楼!X12)*芦花古楼!Y12</f>
        <v>0</v>
      </c>
      <c r="AB12" s="22">
        <f t="shared" si="2"/>
        <v>20</v>
      </c>
      <c r="AC12" s="22">
        <f t="shared" si="3"/>
        <v>25</v>
      </c>
      <c r="AD12" s="14">
        <f>INDEX(章节关卡!$H$6:$H$34,芦花古楼!X12)*芦花古楼!Y12</f>
        <v>0</v>
      </c>
      <c r="AE12" s="14">
        <v>50</v>
      </c>
      <c r="AH12" s="17">
        <v>8</v>
      </c>
      <c r="AI12" s="46">
        <v>5</v>
      </c>
      <c r="AJ12" s="123">
        <v>0</v>
      </c>
      <c r="AK12" s="87"/>
      <c r="AL12" s="87">
        <f>INDEX(章节关卡!$F$6:$F$34,芦花古楼!AI12)*芦花古楼!AJ12</f>
        <v>0</v>
      </c>
      <c r="AM12" s="22">
        <f t="shared" si="7"/>
        <v>25</v>
      </c>
      <c r="AN12" s="22">
        <f t="shared" si="8"/>
        <v>25</v>
      </c>
      <c r="AO12" s="14">
        <f>INDEX(章节关卡!$H$6:$H$34,芦花古楼!AI12)*芦花古楼!AJ12</f>
        <v>0</v>
      </c>
      <c r="AP12" s="14">
        <v>50</v>
      </c>
      <c r="AS12" s="18">
        <v>7</v>
      </c>
      <c r="AT12" s="87">
        <v>3</v>
      </c>
      <c r="AV12" s="18">
        <v>7</v>
      </c>
      <c r="AW12" s="87">
        <v>5</v>
      </c>
      <c r="AY12" s="18">
        <v>7</v>
      </c>
      <c r="AZ12" s="18">
        <v>5</v>
      </c>
      <c r="BB12" s="18">
        <v>7</v>
      </c>
      <c r="BC12" s="18">
        <v>5</v>
      </c>
      <c r="BF12" s="18">
        <v>7</v>
      </c>
      <c r="BG12" s="14">
        <f t="shared" si="9"/>
        <v>600</v>
      </c>
      <c r="BH12" s="14">
        <f t="shared" si="10"/>
        <v>170</v>
      </c>
      <c r="BI12" s="14">
        <f t="shared" si="11"/>
        <v>0</v>
      </c>
      <c r="BJ12" s="14">
        <f t="shared" si="12"/>
        <v>400</v>
      </c>
      <c r="BK12" s="14">
        <f t="shared" si="13"/>
        <v>750</v>
      </c>
      <c r="BL12" s="14">
        <f t="shared" si="14"/>
        <v>1500</v>
      </c>
      <c r="BN12" s="18">
        <v>8</v>
      </c>
      <c r="BO12" s="22">
        <v>4</v>
      </c>
      <c r="BU12" s="52">
        <v>7</v>
      </c>
      <c r="BV12" s="52">
        <v>102</v>
      </c>
      <c r="BW12" s="52">
        <v>1606009</v>
      </c>
      <c r="BX12" s="52" t="s">
        <v>327</v>
      </c>
      <c r="BY12" s="52">
        <v>2</v>
      </c>
      <c r="BZ12" s="52">
        <v>15</v>
      </c>
      <c r="CA12" s="52">
        <f>SUM(BZ$5:BZ12)</f>
        <v>105</v>
      </c>
      <c r="CJ12" s="52">
        <v>8</v>
      </c>
      <c r="CK12" s="52">
        <v>1</v>
      </c>
      <c r="CL12" s="52" t="s">
        <v>257</v>
      </c>
      <c r="CM12" s="52">
        <v>8</v>
      </c>
      <c r="CN12" s="52"/>
      <c r="CO12" s="52"/>
      <c r="CP12" s="52"/>
      <c r="CQ12" s="52" t="s">
        <v>372</v>
      </c>
      <c r="CR12" s="52">
        <v>1500</v>
      </c>
      <c r="CS12" s="52" t="s">
        <v>373</v>
      </c>
      <c r="CT12" s="52">
        <v>10</v>
      </c>
      <c r="CU12" s="52"/>
      <c r="CV12" s="52"/>
      <c r="CW12" s="52" t="s">
        <v>373</v>
      </c>
      <c r="CX12" s="52">
        <v>25</v>
      </c>
      <c r="CY12" s="52"/>
      <c r="CZ12" s="52"/>
      <c r="DA12" s="52"/>
      <c r="DB12" s="52"/>
      <c r="DC12" s="52"/>
      <c r="DD12" s="52"/>
      <c r="DE12" s="52"/>
      <c r="DF12" s="52"/>
      <c r="DG12" s="52"/>
      <c r="DH12" s="52"/>
    </row>
    <row r="13" spans="1:112" ht="16.5" x14ac:dyDescent="0.2">
      <c r="A13" s="17">
        <v>9</v>
      </c>
      <c r="B13" s="24">
        <v>4</v>
      </c>
      <c r="C13" s="123">
        <v>0</v>
      </c>
      <c r="D13" s="87"/>
      <c r="E13" s="78">
        <f>INDEX(章节关卡!$F$6:$F$34,芦花古楼!B13)*芦花古楼!C13</f>
        <v>0</v>
      </c>
      <c r="F13" s="22">
        <f t="shared" si="0"/>
        <v>10</v>
      </c>
      <c r="G13" s="22">
        <f t="shared" si="1"/>
        <v>25</v>
      </c>
      <c r="H13" s="14">
        <f>INDEX(章节关卡!$H$6:$H$34,芦花古楼!B13)*芦花古楼!C13</f>
        <v>0</v>
      </c>
      <c r="I13" s="14">
        <v>50</v>
      </c>
      <c r="L13" s="17">
        <v>9</v>
      </c>
      <c r="M13" s="78">
        <f t="shared" si="4"/>
        <v>5</v>
      </c>
      <c r="N13" s="123">
        <v>0</v>
      </c>
      <c r="O13" s="87"/>
      <c r="P13" s="78">
        <f>INDEX(章节关卡!$F$6:$F$34,芦花古楼!M13)*芦花古楼!N13</f>
        <v>0</v>
      </c>
      <c r="Q13" s="22">
        <f t="shared" si="5"/>
        <v>15</v>
      </c>
      <c r="R13" s="22">
        <f t="shared" si="6"/>
        <v>25</v>
      </c>
      <c r="S13" s="14">
        <f>INDEX(章节关卡!$H$6:$H$34,芦花古楼!M13)*芦花古楼!N13</f>
        <v>0</v>
      </c>
      <c r="T13" s="14">
        <v>50</v>
      </c>
      <c r="W13" s="17">
        <v>9</v>
      </c>
      <c r="X13" s="46">
        <v>5</v>
      </c>
      <c r="Y13" s="123">
        <v>0</v>
      </c>
      <c r="Z13" s="87"/>
      <c r="AA13" s="87">
        <f>INDEX(章节关卡!$F$6:$F$34,芦花古楼!X13)*芦花古楼!Y13</f>
        <v>0</v>
      </c>
      <c r="AB13" s="22">
        <f t="shared" si="2"/>
        <v>20</v>
      </c>
      <c r="AC13" s="22">
        <f t="shared" si="3"/>
        <v>25</v>
      </c>
      <c r="AD13" s="14">
        <f>INDEX(章节关卡!$H$6:$H$34,芦花古楼!X13)*芦花古楼!Y13</f>
        <v>0</v>
      </c>
      <c r="AE13" s="14">
        <v>50</v>
      </c>
      <c r="AH13" s="17">
        <v>9</v>
      </c>
      <c r="AI13" s="46">
        <v>5</v>
      </c>
      <c r="AJ13" s="123">
        <v>0</v>
      </c>
      <c r="AK13" s="87"/>
      <c r="AL13" s="87">
        <f>INDEX(章节关卡!$F$6:$F$34,芦花古楼!AI13)*芦花古楼!AJ13</f>
        <v>0</v>
      </c>
      <c r="AM13" s="22">
        <f t="shared" si="7"/>
        <v>25</v>
      </c>
      <c r="AN13" s="22">
        <f t="shared" si="8"/>
        <v>25</v>
      </c>
      <c r="AO13" s="14">
        <f>INDEX(章节关卡!$H$6:$H$34,芦花古楼!AI13)*芦花古楼!AJ13</f>
        <v>0</v>
      </c>
      <c r="AP13" s="14">
        <v>50</v>
      </c>
      <c r="AS13" s="18">
        <v>8</v>
      </c>
      <c r="AT13" s="87">
        <v>3</v>
      </c>
      <c r="AV13" s="18">
        <v>8</v>
      </c>
      <c r="AW13" s="87">
        <v>5</v>
      </c>
      <c r="AY13" s="18">
        <v>8</v>
      </c>
      <c r="AZ13" s="18">
        <v>5</v>
      </c>
      <c r="BB13" s="18">
        <v>8</v>
      </c>
      <c r="BC13" s="18">
        <v>5</v>
      </c>
      <c r="BF13" s="18">
        <v>8</v>
      </c>
      <c r="BG13" s="14">
        <f t="shared" si="9"/>
        <v>630</v>
      </c>
      <c r="BH13" s="14">
        <f t="shared" si="10"/>
        <v>185</v>
      </c>
      <c r="BI13" s="14">
        <f t="shared" si="11"/>
        <v>0</v>
      </c>
      <c r="BJ13" s="14">
        <f t="shared" si="12"/>
        <v>400</v>
      </c>
      <c r="BK13" s="14">
        <f t="shared" si="13"/>
        <v>800</v>
      </c>
      <c r="BL13" s="14">
        <f t="shared" si="14"/>
        <v>1600</v>
      </c>
      <c r="BN13" s="18">
        <v>9</v>
      </c>
      <c r="BO13" s="22">
        <v>4</v>
      </c>
      <c r="BU13" s="52">
        <v>8</v>
      </c>
      <c r="BV13" s="52">
        <v>102</v>
      </c>
      <c r="BW13" s="52">
        <v>1606010</v>
      </c>
      <c r="BX13" s="52" t="s">
        <v>328</v>
      </c>
      <c r="BY13" s="52">
        <v>3</v>
      </c>
      <c r="BZ13" s="52">
        <v>15</v>
      </c>
      <c r="CA13" s="52">
        <f>SUM(BZ$5:BZ13)</f>
        <v>120</v>
      </c>
      <c r="CJ13" s="52">
        <v>9</v>
      </c>
      <c r="CK13" s="52">
        <v>1</v>
      </c>
      <c r="CL13" s="52" t="s">
        <v>257</v>
      </c>
      <c r="CM13" s="52">
        <v>9</v>
      </c>
      <c r="CN13" s="52"/>
      <c r="CO13" s="52"/>
      <c r="CP13" s="52"/>
      <c r="CQ13" s="52" t="s">
        <v>372</v>
      </c>
      <c r="CR13" s="52">
        <v>1500</v>
      </c>
      <c r="CS13" s="52" t="s">
        <v>373</v>
      </c>
      <c r="CT13" s="52">
        <v>10</v>
      </c>
      <c r="CU13" s="52"/>
      <c r="CV13" s="52"/>
      <c r="CW13" s="52" t="s">
        <v>373</v>
      </c>
      <c r="CX13" s="52">
        <v>25</v>
      </c>
      <c r="CY13" s="52"/>
      <c r="CZ13" s="52"/>
      <c r="DA13" s="52"/>
      <c r="DB13" s="52"/>
      <c r="DC13" s="52"/>
      <c r="DD13" s="52"/>
      <c r="DE13" s="52"/>
      <c r="DF13" s="52"/>
      <c r="DG13" s="52"/>
      <c r="DH13" s="52"/>
    </row>
    <row r="14" spans="1:112" ht="16.5" x14ac:dyDescent="0.2">
      <c r="A14" s="17">
        <v>10</v>
      </c>
      <c r="B14" s="24">
        <v>4</v>
      </c>
      <c r="C14" s="123">
        <v>0</v>
      </c>
      <c r="D14" s="87"/>
      <c r="E14" s="78">
        <f>INDEX(章节关卡!$F$6:$F$34,芦花古楼!B14)*芦花古楼!C14</f>
        <v>0</v>
      </c>
      <c r="F14" s="22">
        <f t="shared" si="0"/>
        <v>10</v>
      </c>
      <c r="G14" s="22">
        <f t="shared" si="1"/>
        <v>30</v>
      </c>
      <c r="H14" s="14">
        <f>INDEX(章节关卡!$H$6:$H$34,芦花古楼!B14)*芦花古楼!C14</f>
        <v>0</v>
      </c>
      <c r="I14" s="14">
        <v>50</v>
      </c>
      <c r="L14" s="17">
        <v>10</v>
      </c>
      <c r="M14" s="78">
        <f t="shared" si="4"/>
        <v>5</v>
      </c>
      <c r="N14" s="123">
        <v>0</v>
      </c>
      <c r="O14" s="87"/>
      <c r="P14" s="78">
        <f>INDEX(章节关卡!$F$6:$F$34,芦花古楼!M14)*芦花古楼!N14</f>
        <v>0</v>
      </c>
      <c r="Q14" s="22">
        <f t="shared" si="5"/>
        <v>15</v>
      </c>
      <c r="R14" s="22">
        <f t="shared" si="6"/>
        <v>30</v>
      </c>
      <c r="S14" s="14">
        <f>INDEX(章节关卡!$H$6:$H$34,芦花古楼!M14)*芦花古楼!N14</f>
        <v>0</v>
      </c>
      <c r="T14" s="14">
        <v>50</v>
      </c>
      <c r="W14" s="17">
        <v>10</v>
      </c>
      <c r="X14" s="46">
        <v>5</v>
      </c>
      <c r="Y14" s="123">
        <v>0</v>
      </c>
      <c r="Z14" s="87"/>
      <c r="AA14" s="87">
        <f>INDEX(章节关卡!$F$6:$F$34,芦花古楼!X14)*芦花古楼!Y14</f>
        <v>0</v>
      </c>
      <c r="AB14" s="22">
        <f t="shared" si="2"/>
        <v>20</v>
      </c>
      <c r="AC14" s="22">
        <f t="shared" si="3"/>
        <v>30</v>
      </c>
      <c r="AD14" s="14">
        <f>INDEX(章节关卡!$H$6:$H$34,芦花古楼!X14)*芦花古楼!Y14</f>
        <v>0</v>
      </c>
      <c r="AE14" s="14">
        <v>50</v>
      </c>
      <c r="AH14" s="17">
        <v>10</v>
      </c>
      <c r="AI14" s="46">
        <v>5</v>
      </c>
      <c r="AJ14" s="123">
        <v>0</v>
      </c>
      <c r="AK14" s="87"/>
      <c r="AL14" s="87">
        <f>INDEX(章节关卡!$F$6:$F$34,芦花古楼!AI14)*芦花古楼!AJ14</f>
        <v>0</v>
      </c>
      <c r="AM14" s="22">
        <f t="shared" si="7"/>
        <v>25</v>
      </c>
      <c r="AN14" s="22">
        <f t="shared" si="8"/>
        <v>30</v>
      </c>
      <c r="AO14" s="14">
        <f>INDEX(章节关卡!$H$6:$H$34,芦花古楼!AI14)*芦花古楼!AJ14</f>
        <v>0</v>
      </c>
      <c r="AP14" s="14">
        <v>50</v>
      </c>
      <c r="AS14" s="18">
        <v>9</v>
      </c>
      <c r="AT14" s="87">
        <v>3</v>
      </c>
      <c r="AV14" s="18">
        <v>9</v>
      </c>
      <c r="AW14" s="87">
        <v>5</v>
      </c>
      <c r="AY14" s="18">
        <v>9</v>
      </c>
      <c r="AZ14" s="18">
        <v>5</v>
      </c>
      <c r="BB14" s="18">
        <v>9</v>
      </c>
      <c r="BC14" s="18">
        <v>5</v>
      </c>
      <c r="BF14" s="18">
        <v>9</v>
      </c>
      <c r="BG14" s="14">
        <f t="shared" si="9"/>
        <v>710</v>
      </c>
      <c r="BH14" s="14">
        <f t="shared" si="10"/>
        <v>205</v>
      </c>
      <c r="BI14" s="14">
        <f t="shared" si="11"/>
        <v>0</v>
      </c>
      <c r="BJ14" s="14">
        <f t="shared" si="12"/>
        <v>400</v>
      </c>
      <c r="BK14" s="14">
        <f t="shared" si="13"/>
        <v>895</v>
      </c>
      <c r="BL14" s="14">
        <f t="shared" si="14"/>
        <v>1790</v>
      </c>
      <c r="BN14" s="18">
        <v>10</v>
      </c>
      <c r="BO14" s="18">
        <v>7</v>
      </c>
      <c r="BU14" s="52">
        <v>9</v>
      </c>
      <c r="BV14" s="52">
        <v>103</v>
      </c>
      <c r="BW14" s="52">
        <v>1606011</v>
      </c>
      <c r="BX14" s="52" t="s">
        <v>329</v>
      </c>
      <c r="BY14" s="52">
        <v>1</v>
      </c>
      <c r="BZ14" s="52">
        <v>21</v>
      </c>
      <c r="CA14" s="52">
        <f>SUM(BZ$5:BZ14)</f>
        <v>141</v>
      </c>
      <c r="CJ14" s="52">
        <v>10</v>
      </c>
      <c r="CK14" s="52">
        <v>1</v>
      </c>
      <c r="CL14" s="52" t="s">
        <v>257</v>
      </c>
      <c r="CM14" s="52">
        <v>10</v>
      </c>
      <c r="CN14" s="52"/>
      <c r="CO14" s="52"/>
      <c r="CP14" s="52"/>
      <c r="CQ14" s="52" t="s">
        <v>372</v>
      </c>
      <c r="CR14" s="52">
        <v>1500</v>
      </c>
      <c r="CS14" s="52" t="s">
        <v>373</v>
      </c>
      <c r="CT14" s="52">
        <v>10</v>
      </c>
      <c r="CU14" s="52" t="s">
        <v>272</v>
      </c>
      <c r="CV14" s="52">
        <v>1</v>
      </c>
      <c r="CW14" s="52" t="s">
        <v>373</v>
      </c>
      <c r="CX14" s="52">
        <v>30</v>
      </c>
      <c r="CY14" s="52"/>
      <c r="CZ14" s="52"/>
      <c r="DA14" s="52"/>
      <c r="DB14" s="52"/>
      <c r="DC14" s="52"/>
      <c r="DD14" s="52"/>
      <c r="DE14" s="52"/>
      <c r="DF14" s="52"/>
      <c r="DG14" s="52"/>
      <c r="DH14" s="52"/>
    </row>
    <row r="15" spans="1:112" ht="16.5" x14ac:dyDescent="0.2">
      <c r="A15" s="17">
        <v>11</v>
      </c>
      <c r="B15" s="24">
        <v>5</v>
      </c>
      <c r="C15" s="123">
        <v>0</v>
      </c>
      <c r="D15" s="87"/>
      <c r="E15" s="78">
        <f>INDEX(章节关卡!$F$6:$F$34,芦花古楼!B15)*芦花古楼!C15</f>
        <v>0</v>
      </c>
      <c r="F15" s="22">
        <f t="shared" si="0"/>
        <v>15</v>
      </c>
      <c r="G15" s="22">
        <f t="shared" si="1"/>
        <v>30</v>
      </c>
      <c r="H15" s="14">
        <f>INDEX(章节关卡!$H$6:$H$34,芦花古楼!B15)*芦花古楼!C15</f>
        <v>0</v>
      </c>
      <c r="I15" s="14">
        <v>50</v>
      </c>
      <c r="L15" s="17">
        <v>11</v>
      </c>
      <c r="M15" s="78">
        <f t="shared" si="4"/>
        <v>6</v>
      </c>
      <c r="N15" s="123">
        <v>0</v>
      </c>
      <c r="O15" s="87"/>
      <c r="P15" s="78">
        <f>INDEX(章节关卡!$F$6:$F$34,芦花古楼!M15)*芦花古楼!N15</f>
        <v>0</v>
      </c>
      <c r="Q15" s="22">
        <f t="shared" si="5"/>
        <v>20</v>
      </c>
      <c r="R15" s="22">
        <f t="shared" si="6"/>
        <v>30</v>
      </c>
      <c r="S15" s="14">
        <f>INDEX(章节关卡!$H$6:$H$34,芦花古楼!M15)*芦花古楼!N15</f>
        <v>0</v>
      </c>
      <c r="T15" s="14">
        <v>50</v>
      </c>
      <c r="W15" s="17">
        <v>11</v>
      </c>
      <c r="X15" s="24">
        <v>6</v>
      </c>
      <c r="Y15" s="123">
        <v>0</v>
      </c>
      <c r="Z15" s="87"/>
      <c r="AA15" s="87">
        <f>INDEX(章节关卡!$F$6:$F$34,芦花古楼!X15)*芦花古楼!Y15</f>
        <v>0</v>
      </c>
      <c r="AB15" s="22">
        <f t="shared" si="2"/>
        <v>25</v>
      </c>
      <c r="AC15" s="22">
        <f t="shared" si="3"/>
        <v>30</v>
      </c>
      <c r="AD15" s="14">
        <f>INDEX(章节关卡!$H$6:$H$34,芦花古楼!X15)*芦花古楼!Y15</f>
        <v>0</v>
      </c>
      <c r="AE15" s="14">
        <v>50</v>
      </c>
      <c r="AH15" s="17">
        <v>11</v>
      </c>
      <c r="AI15" s="46">
        <v>6</v>
      </c>
      <c r="AJ15" s="123">
        <v>0</v>
      </c>
      <c r="AK15" s="87"/>
      <c r="AL15" s="87">
        <f>INDEX(章节关卡!$F$6:$F$34,芦花古楼!AI15)*芦花古楼!AJ15</f>
        <v>0</v>
      </c>
      <c r="AM15" s="22">
        <f t="shared" si="7"/>
        <v>30</v>
      </c>
      <c r="AN15" s="22">
        <f t="shared" si="8"/>
        <v>30</v>
      </c>
      <c r="AO15" s="14">
        <f>INDEX(章节关卡!$H$6:$H$34,芦花古楼!AI15)*芦花古楼!AJ15</f>
        <v>0</v>
      </c>
      <c r="AP15" s="14">
        <v>50</v>
      </c>
      <c r="AS15" s="18">
        <v>10</v>
      </c>
      <c r="AT15" s="87">
        <v>3</v>
      </c>
      <c r="AV15" s="18">
        <v>10</v>
      </c>
      <c r="AW15" s="87">
        <v>5</v>
      </c>
      <c r="AY15" s="18">
        <v>10</v>
      </c>
      <c r="AZ15" s="18">
        <v>5</v>
      </c>
      <c r="BB15" s="18">
        <v>10</v>
      </c>
      <c r="BC15" s="18">
        <v>5</v>
      </c>
      <c r="BF15" s="18">
        <v>10</v>
      </c>
      <c r="BG15" s="14">
        <f t="shared" si="9"/>
        <v>525</v>
      </c>
      <c r="BH15" s="14">
        <f t="shared" si="10"/>
        <v>205</v>
      </c>
      <c r="BI15" s="14">
        <f t="shared" si="11"/>
        <v>0</v>
      </c>
      <c r="BJ15" s="14">
        <f t="shared" si="12"/>
        <v>400</v>
      </c>
      <c r="BK15" s="14">
        <f t="shared" si="13"/>
        <v>730</v>
      </c>
      <c r="BL15" s="14">
        <f t="shared" si="14"/>
        <v>1460</v>
      </c>
      <c r="BN15" s="18">
        <v>11</v>
      </c>
      <c r="BO15" s="22">
        <v>7</v>
      </c>
      <c r="BU15" s="52">
        <v>10</v>
      </c>
      <c r="BV15" s="52">
        <v>103</v>
      </c>
      <c r="BW15" s="52">
        <v>1606012</v>
      </c>
      <c r="BX15" s="52" t="s">
        <v>330</v>
      </c>
      <c r="BY15" s="52">
        <v>2</v>
      </c>
      <c r="BZ15" s="52">
        <v>21</v>
      </c>
      <c r="CA15" s="52">
        <f>SUM(BZ$5:BZ15)</f>
        <v>162</v>
      </c>
      <c r="CJ15" s="52">
        <v>11</v>
      </c>
      <c r="CK15" s="52">
        <v>1</v>
      </c>
      <c r="CL15" s="52" t="s">
        <v>257</v>
      </c>
      <c r="CM15" s="52">
        <v>11</v>
      </c>
      <c r="CN15" s="52"/>
      <c r="CO15" s="52"/>
      <c r="CP15" s="52"/>
      <c r="CQ15" s="52" t="s">
        <v>372</v>
      </c>
      <c r="CR15" s="52">
        <v>1920</v>
      </c>
      <c r="CS15" s="52" t="s">
        <v>373</v>
      </c>
      <c r="CT15" s="52">
        <v>15</v>
      </c>
      <c r="CU15" s="52"/>
      <c r="CV15" s="52"/>
      <c r="CW15" s="52" t="s">
        <v>373</v>
      </c>
      <c r="CX15" s="52">
        <v>30</v>
      </c>
      <c r="CY15" s="52"/>
      <c r="CZ15" s="52"/>
      <c r="DA15" s="52"/>
      <c r="DB15" s="52"/>
      <c r="DC15" s="52"/>
      <c r="DD15" s="52"/>
      <c r="DE15" s="52"/>
      <c r="DF15" s="52"/>
      <c r="DG15" s="52"/>
      <c r="DH15" s="52"/>
    </row>
    <row r="16" spans="1:112" ht="16.5" x14ac:dyDescent="0.2">
      <c r="A16" s="17">
        <v>12</v>
      </c>
      <c r="B16" s="24">
        <v>5</v>
      </c>
      <c r="C16" s="123">
        <v>0</v>
      </c>
      <c r="D16" s="87"/>
      <c r="E16" s="78">
        <f>INDEX(章节关卡!$F$6:$F$34,芦花古楼!B16)*芦花古楼!C16</f>
        <v>0</v>
      </c>
      <c r="F16" s="22">
        <f t="shared" si="0"/>
        <v>15</v>
      </c>
      <c r="G16" s="22">
        <f t="shared" si="1"/>
        <v>30</v>
      </c>
      <c r="H16" s="14">
        <f>INDEX(章节关卡!$H$6:$H$34,芦花古楼!B16)*芦花古楼!C16</f>
        <v>0</v>
      </c>
      <c r="I16" s="14">
        <v>50</v>
      </c>
      <c r="L16" s="17">
        <v>12</v>
      </c>
      <c r="M16" s="78">
        <f t="shared" si="4"/>
        <v>6</v>
      </c>
      <c r="N16" s="123">
        <v>0</v>
      </c>
      <c r="O16" s="87"/>
      <c r="P16" s="78">
        <f>INDEX(章节关卡!$F$6:$F$34,芦花古楼!M16)*芦花古楼!N16</f>
        <v>0</v>
      </c>
      <c r="Q16" s="22">
        <f t="shared" si="5"/>
        <v>20</v>
      </c>
      <c r="R16" s="22">
        <f t="shared" si="6"/>
        <v>30</v>
      </c>
      <c r="S16" s="14">
        <f>INDEX(章节关卡!$H$6:$H$34,芦花古楼!M16)*芦花古楼!N16</f>
        <v>0</v>
      </c>
      <c r="T16" s="14">
        <v>50</v>
      </c>
      <c r="W16" s="17">
        <v>12</v>
      </c>
      <c r="X16" s="24">
        <v>6</v>
      </c>
      <c r="Y16" s="123">
        <v>0</v>
      </c>
      <c r="Z16" s="87"/>
      <c r="AA16" s="87">
        <f>INDEX(章节关卡!$F$6:$F$34,芦花古楼!X16)*芦花古楼!Y16</f>
        <v>0</v>
      </c>
      <c r="AB16" s="22">
        <f t="shared" si="2"/>
        <v>25</v>
      </c>
      <c r="AC16" s="22">
        <f t="shared" si="3"/>
        <v>30</v>
      </c>
      <c r="AD16" s="14">
        <f>INDEX(章节关卡!$H$6:$H$34,芦花古楼!X16)*芦花古楼!Y16</f>
        <v>0</v>
      </c>
      <c r="AE16" s="14">
        <v>50</v>
      </c>
      <c r="AH16" s="17">
        <v>12</v>
      </c>
      <c r="AI16" s="46">
        <v>6</v>
      </c>
      <c r="AJ16" s="123">
        <v>0</v>
      </c>
      <c r="AK16" s="87"/>
      <c r="AL16" s="87">
        <f>INDEX(章节关卡!$F$6:$F$34,芦花古楼!AI16)*芦花古楼!AJ16</f>
        <v>0</v>
      </c>
      <c r="AM16" s="22">
        <f t="shared" si="7"/>
        <v>30</v>
      </c>
      <c r="AN16" s="22">
        <f t="shared" si="8"/>
        <v>30</v>
      </c>
      <c r="AO16" s="14">
        <f>INDEX(章节关卡!$H$6:$H$34,芦花古楼!AI16)*芦花古楼!AJ16</f>
        <v>0</v>
      </c>
      <c r="AP16" s="14">
        <v>50</v>
      </c>
      <c r="AS16" s="18">
        <v>11</v>
      </c>
      <c r="AT16" s="18">
        <v>4</v>
      </c>
      <c r="AV16" s="18">
        <v>11</v>
      </c>
      <c r="AW16" s="18">
        <v>6</v>
      </c>
      <c r="AY16" s="18">
        <v>11</v>
      </c>
      <c r="AZ16" s="18">
        <v>6</v>
      </c>
      <c r="BB16" s="18">
        <v>11</v>
      </c>
      <c r="BC16" s="18">
        <v>6</v>
      </c>
      <c r="BF16" s="18">
        <v>11</v>
      </c>
      <c r="BG16" s="14">
        <f t="shared" si="9"/>
        <v>550</v>
      </c>
      <c r="BH16" s="14">
        <f t="shared" si="10"/>
        <v>225</v>
      </c>
      <c r="BI16" s="14">
        <f t="shared" si="11"/>
        <v>0</v>
      </c>
      <c r="BJ16" s="14">
        <f t="shared" si="12"/>
        <v>450</v>
      </c>
      <c r="BK16" s="14">
        <f t="shared" si="13"/>
        <v>755</v>
      </c>
      <c r="BL16" s="14">
        <f t="shared" si="14"/>
        <v>1510</v>
      </c>
      <c r="BN16" s="18">
        <v>12</v>
      </c>
      <c r="BO16" s="22">
        <v>7</v>
      </c>
      <c r="BU16" s="52">
        <v>11</v>
      </c>
      <c r="BV16" s="52">
        <v>103</v>
      </c>
      <c r="BW16" s="52">
        <v>1606013</v>
      </c>
      <c r="BX16" s="52" t="s">
        <v>331</v>
      </c>
      <c r="BY16" s="52">
        <v>2</v>
      </c>
      <c r="BZ16" s="52">
        <v>21</v>
      </c>
      <c r="CA16" s="52">
        <f>SUM(BZ$5:BZ16)</f>
        <v>183</v>
      </c>
      <c r="CJ16" s="52">
        <v>12</v>
      </c>
      <c r="CK16" s="52">
        <v>1</v>
      </c>
      <c r="CL16" s="52" t="s">
        <v>257</v>
      </c>
      <c r="CM16" s="52">
        <v>12</v>
      </c>
      <c r="CN16" s="52"/>
      <c r="CO16" s="52"/>
      <c r="CP16" s="52"/>
      <c r="CQ16" s="52" t="s">
        <v>372</v>
      </c>
      <c r="CR16" s="52">
        <v>1920</v>
      </c>
      <c r="CS16" s="52" t="s">
        <v>373</v>
      </c>
      <c r="CT16" s="52">
        <v>15</v>
      </c>
      <c r="CU16" s="52"/>
      <c r="CV16" s="52"/>
      <c r="CW16" s="52" t="s">
        <v>373</v>
      </c>
      <c r="CX16" s="52">
        <v>30</v>
      </c>
      <c r="CY16" s="52"/>
      <c r="CZ16" s="52"/>
      <c r="DA16" s="52"/>
      <c r="DB16" s="52"/>
      <c r="DC16" s="52"/>
      <c r="DD16" s="52"/>
      <c r="DE16" s="52"/>
      <c r="DF16" s="52"/>
      <c r="DG16" s="52"/>
      <c r="DH16" s="52"/>
    </row>
    <row r="17" spans="1:112" ht="16.5" x14ac:dyDescent="0.2">
      <c r="A17" s="17">
        <v>13</v>
      </c>
      <c r="B17" s="24">
        <v>5</v>
      </c>
      <c r="C17" s="123">
        <v>0</v>
      </c>
      <c r="D17" s="87"/>
      <c r="E17" s="78">
        <f>INDEX(章节关卡!$F$6:$F$34,芦花古楼!B17)*芦花古楼!C17</f>
        <v>0</v>
      </c>
      <c r="F17" s="22">
        <f t="shared" si="0"/>
        <v>15</v>
      </c>
      <c r="G17" s="22">
        <f t="shared" si="1"/>
        <v>30</v>
      </c>
      <c r="H17" s="14">
        <f>INDEX(章节关卡!$H$6:$H$34,芦花古楼!B17)*芦花古楼!C17</f>
        <v>0</v>
      </c>
      <c r="I17" s="14">
        <v>50</v>
      </c>
      <c r="L17" s="17">
        <v>13</v>
      </c>
      <c r="M17" s="78">
        <f t="shared" si="4"/>
        <v>6</v>
      </c>
      <c r="N17" s="123">
        <v>0</v>
      </c>
      <c r="O17" s="87"/>
      <c r="P17" s="78">
        <f>INDEX(章节关卡!$F$6:$F$34,芦花古楼!M17)*芦花古楼!N17</f>
        <v>0</v>
      </c>
      <c r="Q17" s="22">
        <f t="shared" si="5"/>
        <v>20</v>
      </c>
      <c r="R17" s="22">
        <f t="shared" si="6"/>
        <v>30</v>
      </c>
      <c r="S17" s="14">
        <f>INDEX(章节关卡!$H$6:$H$34,芦花古楼!M17)*芦花古楼!N17</f>
        <v>0</v>
      </c>
      <c r="T17" s="14">
        <v>50</v>
      </c>
      <c r="W17" s="17">
        <v>13</v>
      </c>
      <c r="X17" s="24">
        <v>6</v>
      </c>
      <c r="Y17" s="123">
        <v>0</v>
      </c>
      <c r="Z17" s="87"/>
      <c r="AA17" s="87">
        <f>INDEX(章节关卡!$F$6:$F$34,芦花古楼!X17)*芦花古楼!Y17</f>
        <v>0</v>
      </c>
      <c r="AB17" s="22">
        <f t="shared" si="2"/>
        <v>25</v>
      </c>
      <c r="AC17" s="22">
        <f t="shared" si="3"/>
        <v>30</v>
      </c>
      <c r="AD17" s="14">
        <f>INDEX(章节关卡!$H$6:$H$34,芦花古楼!X17)*芦花古楼!Y17</f>
        <v>0</v>
      </c>
      <c r="AE17" s="14">
        <v>50</v>
      </c>
      <c r="AH17" s="17">
        <v>13</v>
      </c>
      <c r="AI17" s="46">
        <v>6</v>
      </c>
      <c r="AJ17" s="123">
        <v>0</v>
      </c>
      <c r="AK17" s="87"/>
      <c r="AL17" s="87">
        <f>INDEX(章节关卡!$F$6:$F$34,芦花古楼!AI17)*芦花古楼!AJ17</f>
        <v>0</v>
      </c>
      <c r="AM17" s="22">
        <f t="shared" si="7"/>
        <v>30</v>
      </c>
      <c r="AN17" s="22">
        <f t="shared" si="8"/>
        <v>30</v>
      </c>
      <c r="AO17" s="14">
        <f>INDEX(章节关卡!$H$6:$H$34,芦花古楼!AI17)*芦花古楼!AJ17</f>
        <v>0</v>
      </c>
      <c r="AP17" s="14">
        <v>50</v>
      </c>
      <c r="AS17" s="18">
        <v>12</v>
      </c>
      <c r="AT17" s="87">
        <v>4</v>
      </c>
      <c r="AV17" s="18">
        <v>12</v>
      </c>
      <c r="AW17" s="87">
        <v>6</v>
      </c>
      <c r="AY17" s="18">
        <v>12</v>
      </c>
      <c r="AZ17" s="18">
        <v>6</v>
      </c>
      <c r="BB17" s="18">
        <v>12</v>
      </c>
      <c r="BC17" s="18">
        <v>6</v>
      </c>
      <c r="BF17" s="18">
        <v>12</v>
      </c>
      <c r="BG17" s="14">
        <f t="shared" si="9"/>
        <v>585</v>
      </c>
      <c r="BH17" s="14">
        <f t="shared" si="10"/>
        <v>230</v>
      </c>
      <c r="BI17" s="14">
        <f t="shared" si="11"/>
        <v>0</v>
      </c>
      <c r="BJ17" s="14">
        <f t="shared" si="12"/>
        <v>450</v>
      </c>
      <c r="BK17" s="14">
        <f t="shared" si="13"/>
        <v>810</v>
      </c>
      <c r="BL17" s="14">
        <f t="shared" si="14"/>
        <v>1620</v>
      </c>
      <c r="BN17" s="18">
        <v>13</v>
      </c>
      <c r="BO17" s="22">
        <v>7</v>
      </c>
      <c r="BU17" s="52">
        <v>12</v>
      </c>
      <c r="BV17" s="52">
        <v>103</v>
      </c>
      <c r="BW17" s="52">
        <v>1606014</v>
      </c>
      <c r="BX17" s="52" t="s">
        <v>332</v>
      </c>
      <c r="BY17" s="52">
        <v>3</v>
      </c>
      <c r="BZ17" s="52">
        <v>21</v>
      </c>
      <c r="CA17" s="52">
        <f>SUM(BZ$5:BZ17)</f>
        <v>204</v>
      </c>
      <c r="CJ17" s="52">
        <v>13</v>
      </c>
      <c r="CK17" s="52">
        <v>1</v>
      </c>
      <c r="CL17" s="52" t="s">
        <v>257</v>
      </c>
      <c r="CM17" s="52">
        <v>13</v>
      </c>
      <c r="CN17" s="52"/>
      <c r="CO17" s="52"/>
      <c r="CP17" s="52"/>
      <c r="CQ17" s="52" t="s">
        <v>372</v>
      </c>
      <c r="CR17" s="52">
        <v>1920</v>
      </c>
      <c r="CS17" s="52" t="s">
        <v>373</v>
      </c>
      <c r="CT17" s="52">
        <v>15</v>
      </c>
      <c r="CU17" s="52"/>
      <c r="CV17" s="52"/>
      <c r="CW17" s="52" t="s">
        <v>373</v>
      </c>
      <c r="CX17" s="52">
        <v>30</v>
      </c>
      <c r="CY17" s="52"/>
      <c r="CZ17" s="52"/>
      <c r="DA17" s="52"/>
      <c r="DB17" s="52"/>
      <c r="DC17" s="52"/>
      <c r="DD17" s="52"/>
      <c r="DE17" s="52"/>
      <c r="DF17" s="52"/>
      <c r="DG17" s="52"/>
      <c r="DH17" s="52"/>
    </row>
    <row r="18" spans="1:112" ht="16.5" x14ac:dyDescent="0.2">
      <c r="A18" s="17">
        <v>14</v>
      </c>
      <c r="B18" s="24">
        <v>5</v>
      </c>
      <c r="C18" s="123">
        <v>0</v>
      </c>
      <c r="D18" s="87"/>
      <c r="E18" s="78">
        <f>INDEX(章节关卡!$F$6:$F$34,芦花古楼!B18)*芦花古楼!C18</f>
        <v>0</v>
      </c>
      <c r="F18" s="22">
        <f t="shared" si="0"/>
        <v>15</v>
      </c>
      <c r="G18" s="22">
        <f t="shared" si="1"/>
        <v>30</v>
      </c>
      <c r="H18" s="14">
        <f>INDEX(章节关卡!$H$6:$H$34,芦花古楼!B18)*芦花古楼!C18</f>
        <v>0</v>
      </c>
      <c r="I18" s="14">
        <v>50</v>
      </c>
      <c r="L18" s="17">
        <v>14</v>
      </c>
      <c r="M18" s="78">
        <f t="shared" si="4"/>
        <v>6</v>
      </c>
      <c r="N18" s="123">
        <v>0</v>
      </c>
      <c r="O18" s="87"/>
      <c r="P18" s="78">
        <f>INDEX(章节关卡!$F$6:$F$34,芦花古楼!M18)*芦花古楼!N18</f>
        <v>0</v>
      </c>
      <c r="Q18" s="22">
        <f t="shared" si="5"/>
        <v>20</v>
      </c>
      <c r="R18" s="22">
        <f t="shared" si="6"/>
        <v>30</v>
      </c>
      <c r="S18" s="14">
        <f>INDEX(章节关卡!$H$6:$H$34,芦花古楼!M18)*芦花古楼!N18</f>
        <v>0</v>
      </c>
      <c r="T18" s="14">
        <v>50</v>
      </c>
      <c r="W18" s="17">
        <v>14</v>
      </c>
      <c r="X18" s="24">
        <v>6</v>
      </c>
      <c r="Y18" s="123">
        <v>0</v>
      </c>
      <c r="Z18" s="87"/>
      <c r="AA18" s="87">
        <f>INDEX(章节关卡!$F$6:$F$34,芦花古楼!X18)*芦花古楼!Y18</f>
        <v>0</v>
      </c>
      <c r="AB18" s="22">
        <f t="shared" si="2"/>
        <v>25</v>
      </c>
      <c r="AC18" s="22">
        <f t="shared" si="3"/>
        <v>30</v>
      </c>
      <c r="AD18" s="14">
        <f>INDEX(章节关卡!$H$6:$H$34,芦花古楼!X18)*芦花古楼!Y18</f>
        <v>0</v>
      </c>
      <c r="AE18" s="14">
        <v>50</v>
      </c>
      <c r="AH18" s="17">
        <v>14</v>
      </c>
      <c r="AI18" s="46">
        <v>6</v>
      </c>
      <c r="AJ18" s="123">
        <v>0</v>
      </c>
      <c r="AK18" s="87"/>
      <c r="AL18" s="87">
        <f>INDEX(章节关卡!$F$6:$F$34,芦花古楼!AI18)*芦花古楼!AJ18</f>
        <v>0</v>
      </c>
      <c r="AM18" s="22">
        <f t="shared" si="7"/>
        <v>30</v>
      </c>
      <c r="AN18" s="22">
        <f t="shared" si="8"/>
        <v>30</v>
      </c>
      <c r="AO18" s="14">
        <f>INDEX(章节关卡!$H$6:$H$34,芦花古楼!AI18)*芦花古楼!AJ18</f>
        <v>0</v>
      </c>
      <c r="AP18" s="14">
        <v>50</v>
      </c>
      <c r="AS18" s="18">
        <v>13</v>
      </c>
      <c r="AT18" s="87">
        <v>4</v>
      </c>
      <c r="AV18" s="18">
        <v>13</v>
      </c>
      <c r="AW18" s="87">
        <v>6</v>
      </c>
      <c r="AY18" s="18">
        <v>13</v>
      </c>
      <c r="AZ18" s="18">
        <v>6</v>
      </c>
      <c r="BB18" s="18">
        <v>13</v>
      </c>
      <c r="BC18" s="18">
        <v>6</v>
      </c>
      <c r="BF18" s="18">
        <v>13</v>
      </c>
      <c r="BG18" s="14">
        <f t="shared" si="9"/>
        <v>630</v>
      </c>
      <c r="BH18" s="14">
        <f t="shared" si="10"/>
        <v>245</v>
      </c>
      <c r="BI18" s="14">
        <f t="shared" si="11"/>
        <v>0</v>
      </c>
      <c r="BJ18" s="14">
        <f t="shared" si="12"/>
        <v>600</v>
      </c>
      <c r="BK18" s="14">
        <f t="shared" si="13"/>
        <v>860</v>
      </c>
      <c r="BL18" s="14">
        <f t="shared" si="14"/>
        <v>1720</v>
      </c>
      <c r="BN18" s="18">
        <v>14</v>
      </c>
      <c r="BO18" s="22">
        <v>7</v>
      </c>
      <c r="BU18" s="52">
        <v>13</v>
      </c>
      <c r="BV18" s="52">
        <v>103</v>
      </c>
      <c r="BW18" s="52">
        <v>1606015</v>
      </c>
      <c r="BX18" s="52" t="s">
        <v>333</v>
      </c>
      <c r="BY18" s="52">
        <v>3</v>
      </c>
      <c r="BZ18" s="52">
        <v>21</v>
      </c>
      <c r="CA18" s="52">
        <f>SUM(BZ$5:BZ18)</f>
        <v>225</v>
      </c>
      <c r="CJ18" s="52">
        <v>14</v>
      </c>
      <c r="CK18" s="52">
        <v>1</v>
      </c>
      <c r="CL18" s="52" t="s">
        <v>257</v>
      </c>
      <c r="CM18" s="52">
        <v>14</v>
      </c>
      <c r="CN18" s="52"/>
      <c r="CO18" s="52"/>
      <c r="CP18" s="52"/>
      <c r="CQ18" s="52" t="s">
        <v>372</v>
      </c>
      <c r="CR18" s="52">
        <v>1920</v>
      </c>
      <c r="CS18" s="52" t="s">
        <v>373</v>
      </c>
      <c r="CT18" s="52">
        <v>15</v>
      </c>
      <c r="CU18" s="52"/>
      <c r="CV18" s="52"/>
      <c r="CW18" s="52" t="s">
        <v>373</v>
      </c>
      <c r="CX18" s="52">
        <v>30</v>
      </c>
      <c r="CY18" s="52"/>
      <c r="CZ18" s="52"/>
      <c r="DA18" s="52"/>
      <c r="DB18" s="52"/>
      <c r="DC18" s="52"/>
      <c r="DD18" s="52"/>
      <c r="DE18" s="52"/>
      <c r="DF18" s="52"/>
      <c r="DG18" s="52"/>
      <c r="DH18" s="52"/>
    </row>
    <row r="19" spans="1:112" ht="16.5" x14ac:dyDescent="0.2">
      <c r="A19" s="17">
        <v>15</v>
      </c>
      <c r="B19" s="24">
        <v>5</v>
      </c>
      <c r="C19" s="123">
        <v>0</v>
      </c>
      <c r="D19" s="87"/>
      <c r="E19" s="78">
        <f>INDEX(章节关卡!$F$6:$F$34,芦花古楼!B19)*芦花古楼!C19</f>
        <v>0</v>
      </c>
      <c r="F19" s="22">
        <f t="shared" si="0"/>
        <v>15</v>
      </c>
      <c r="G19" s="22">
        <f t="shared" si="1"/>
        <v>35</v>
      </c>
      <c r="H19" s="14">
        <f>INDEX(章节关卡!$H$6:$H$34,芦花古楼!B19)*芦花古楼!C19</f>
        <v>0</v>
      </c>
      <c r="I19" s="14">
        <v>50</v>
      </c>
      <c r="L19" s="17">
        <v>15</v>
      </c>
      <c r="M19" s="78">
        <f t="shared" si="4"/>
        <v>6</v>
      </c>
      <c r="N19" s="123">
        <v>0</v>
      </c>
      <c r="O19" s="87"/>
      <c r="P19" s="78">
        <f>INDEX(章节关卡!$F$6:$F$34,芦花古楼!M19)*芦花古楼!N19</f>
        <v>0</v>
      </c>
      <c r="Q19" s="22">
        <f t="shared" si="5"/>
        <v>20</v>
      </c>
      <c r="R19" s="22">
        <f t="shared" si="6"/>
        <v>35</v>
      </c>
      <c r="S19" s="14">
        <f>INDEX(章节关卡!$H$6:$H$34,芦花古楼!M19)*芦花古楼!N19</f>
        <v>0</v>
      </c>
      <c r="T19" s="14">
        <v>50</v>
      </c>
      <c r="W19" s="17">
        <v>15</v>
      </c>
      <c r="X19" s="24">
        <v>6</v>
      </c>
      <c r="Y19" s="123">
        <v>0</v>
      </c>
      <c r="Z19" s="87"/>
      <c r="AA19" s="87">
        <f>INDEX(章节关卡!$F$6:$F$34,芦花古楼!X19)*芦花古楼!Y19</f>
        <v>0</v>
      </c>
      <c r="AB19" s="22">
        <f t="shared" si="2"/>
        <v>25</v>
      </c>
      <c r="AC19" s="22">
        <f t="shared" si="3"/>
        <v>35</v>
      </c>
      <c r="AD19" s="14">
        <f>INDEX(章节关卡!$H$6:$H$34,芦花古楼!X19)*芦花古楼!Y19</f>
        <v>0</v>
      </c>
      <c r="AE19" s="14">
        <v>50</v>
      </c>
      <c r="AH19" s="17">
        <v>15</v>
      </c>
      <c r="AI19" s="46">
        <v>6</v>
      </c>
      <c r="AJ19" s="123">
        <v>0</v>
      </c>
      <c r="AK19" s="87"/>
      <c r="AL19" s="87">
        <f>INDEX(章节关卡!$F$6:$F$34,芦花古楼!AI19)*芦花古楼!AJ19</f>
        <v>0</v>
      </c>
      <c r="AM19" s="22">
        <f t="shared" si="7"/>
        <v>30</v>
      </c>
      <c r="AN19" s="22">
        <f t="shared" si="8"/>
        <v>35</v>
      </c>
      <c r="AO19" s="14">
        <f>INDEX(章节关卡!$H$6:$H$34,芦花古楼!AI19)*芦花古楼!AJ19</f>
        <v>0</v>
      </c>
      <c r="AP19" s="14">
        <v>50</v>
      </c>
      <c r="AS19" s="18">
        <v>14</v>
      </c>
      <c r="AT19" s="87">
        <v>4</v>
      </c>
      <c r="AV19" s="18">
        <v>14</v>
      </c>
      <c r="AW19" s="87">
        <v>6</v>
      </c>
      <c r="AY19" s="18">
        <v>14</v>
      </c>
      <c r="AZ19" s="18">
        <v>6</v>
      </c>
      <c r="BB19" s="18">
        <v>14</v>
      </c>
      <c r="BC19" s="18">
        <v>6</v>
      </c>
      <c r="BF19" s="18">
        <v>14</v>
      </c>
      <c r="BG19" s="14">
        <f t="shared" si="9"/>
        <v>650</v>
      </c>
      <c r="BH19" s="14">
        <f t="shared" si="10"/>
        <v>265</v>
      </c>
      <c r="BI19" s="14">
        <f t="shared" si="11"/>
        <v>0</v>
      </c>
      <c r="BJ19" s="14">
        <f t="shared" si="12"/>
        <v>600</v>
      </c>
      <c r="BK19" s="14">
        <f t="shared" si="13"/>
        <v>895</v>
      </c>
      <c r="BL19" s="14">
        <f t="shared" si="14"/>
        <v>1790</v>
      </c>
      <c r="BN19" s="18">
        <v>15</v>
      </c>
      <c r="BO19" s="18">
        <v>10</v>
      </c>
      <c r="BU19" s="52">
        <v>14</v>
      </c>
      <c r="BV19" s="52">
        <v>103</v>
      </c>
      <c r="BW19" s="52">
        <v>1606016</v>
      </c>
      <c r="BX19" s="52" t="s">
        <v>334</v>
      </c>
      <c r="BY19" s="52">
        <v>4</v>
      </c>
      <c r="BZ19" s="52">
        <v>21</v>
      </c>
      <c r="CA19" s="52">
        <f>SUM(BZ$5:BZ19)</f>
        <v>246</v>
      </c>
      <c r="CJ19" s="52">
        <v>15</v>
      </c>
      <c r="CK19" s="52">
        <v>1</v>
      </c>
      <c r="CL19" s="52" t="s">
        <v>257</v>
      </c>
      <c r="CM19" s="52">
        <v>15</v>
      </c>
      <c r="CN19" s="52"/>
      <c r="CO19" s="52"/>
      <c r="CP19" s="52"/>
      <c r="CQ19" s="52" t="s">
        <v>372</v>
      </c>
      <c r="CR19" s="52">
        <v>1920</v>
      </c>
      <c r="CS19" s="52" t="s">
        <v>373</v>
      </c>
      <c r="CT19" s="52">
        <v>15</v>
      </c>
      <c r="CU19" s="52" t="s">
        <v>374</v>
      </c>
      <c r="CV19" s="52">
        <v>2</v>
      </c>
      <c r="CW19" s="52" t="s">
        <v>373</v>
      </c>
      <c r="CX19" s="52">
        <v>35</v>
      </c>
      <c r="CY19" s="52"/>
      <c r="CZ19" s="52"/>
      <c r="DA19" s="52"/>
      <c r="DB19" s="52"/>
      <c r="DC19" s="52"/>
      <c r="DD19" s="52"/>
      <c r="DE19" s="52"/>
      <c r="DF19" s="52"/>
      <c r="DG19" s="52"/>
      <c r="DH19" s="52"/>
    </row>
    <row r="20" spans="1:112" ht="16.5" x14ac:dyDescent="0.2">
      <c r="A20" s="17">
        <v>16</v>
      </c>
      <c r="B20" s="46">
        <v>6</v>
      </c>
      <c r="C20" s="123">
        <v>0</v>
      </c>
      <c r="D20" s="87"/>
      <c r="E20" s="78">
        <f>INDEX(章节关卡!$F$6:$F$34,芦花古楼!B20)*芦花古楼!C20</f>
        <v>0</v>
      </c>
      <c r="F20" s="22">
        <f t="shared" si="0"/>
        <v>20</v>
      </c>
      <c r="G20" s="22">
        <f t="shared" si="1"/>
        <v>35</v>
      </c>
      <c r="H20" s="14">
        <f>INDEX(章节关卡!$H$6:$H$34,芦花古楼!B20)*芦花古楼!C20</f>
        <v>0</v>
      </c>
      <c r="I20" s="14">
        <v>50</v>
      </c>
      <c r="L20" s="17">
        <v>16</v>
      </c>
      <c r="M20" s="78">
        <f t="shared" si="4"/>
        <v>7</v>
      </c>
      <c r="N20" s="123">
        <v>0</v>
      </c>
      <c r="O20" s="87"/>
      <c r="P20" s="78">
        <f>INDEX(章节关卡!$F$6:$F$34,芦花古楼!M20)*芦花古楼!N20</f>
        <v>0</v>
      </c>
      <c r="Q20" s="22">
        <f t="shared" si="5"/>
        <v>25</v>
      </c>
      <c r="R20" s="22">
        <f t="shared" si="6"/>
        <v>35</v>
      </c>
      <c r="S20" s="14">
        <f>INDEX(章节关卡!$H$6:$H$34,芦花古楼!M20)*芦花古楼!N20</f>
        <v>0</v>
      </c>
      <c r="T20" s="14">
        <v>50</v>
      </c>
      <c r="W20" s="17">
        <v>16</v>
      </c>
      <c r="X20" s="24">
        <v>7</v>
      </c>
      <c r="Y20" s="123">
        <v>0</v>
      </c>
      <c r="Z20" s="87"/>
      <c r="AA20" s="87">
        <f>INDEX(章节关卡!$F$6:$F$34,芦花古楼!X20)*芦花古楼!Y20</f>
        <v>0</v>
      </c>
      <c r="AB20" s="22">
        <f t="shared" si="2"/>
        <v>30</v>
      </c>
      <c r="AC20" s="22">
        <f t="shared" si="3"/>
        <v>35</v>
      </c>
      <c r="AD20" s="14">
        <f>INDEX(章节关卡!$H$6:$H$34,芦花古楼!X20)*芦花古楼!Y20</f>
        <v>0</v>
      </c>
      <c r="AE20" s="14">
        <v>50</v>
      </c>
      <c r="AH20" s="17">
        <v>16</v>
      </c>
      <c r="AI20" s="46">
        <v>7</v>
      </c>
      <c r="AJ20" s="123">
        <v>0</v>
      </c>
      <c r="AK20" s="87"/>
      <c r="AL20" s="87">
        <f>INDEX(章节关卡!$F$6:$F$34,芦花古楼!AI20)*芦花古楼!AJ20</f>
        <v>0</v>
      </c>
      <c r="AM20" s="22">
        <f t="shared" si="7"/>
        <v>35</v>
      </c>
      <c r="AN20" s="22">
        <f t="shared" si="8"/>
        <v>35</v>
      </c>
      <c r="AO20" s="14">
        <f>INDEX(章节关卡!$H$6:$H$34,芦花古楼!AI20)*芦花古楼!AJ20</f>
        <v>0</v>
      </c>
      <c r="AP20" s="14">
        <v>50</v>
      </c>
      <c r="AS20" s="18">
        <v>15</v>
      </c>
      <c r="AT20" s="87">
        <v>4</v>
      </c>
      <c r="AV20" s="18">
        <v>15</v>
      </c>
      <c r="AW20" s="87">
        <v>6</v>
      </c>
      <c r="AY20" s="18">
        <v>15</v>
      </c>
      <c r="AZ20" s="18">
        <v>6</v>
      </c>
      <c r="BB20" s="18">
        <v>15</v>
      </c>
      <c r="BC20" s="18">
        <v>6</v>
      </c>
      <c r="BF20" s="18">
        <v>15</v>
      </c>
      <c r="BG20" s="14">
        <f t="shared" si="9"/>
        <v>705</v>
      </c>
      <c r="BH20" s="14">
        <f t="shared" si="10"/>
        <v>265</v>
      </c>
      <c r="BI20" s="14">
        <f t="shared" si="11"/>
        <v>0</v>
      </c>
      <c r="BJ20" s="14">
        <f t="shared" si="12"/>
        <v>600</v>
      </c>
      <c r="BK20" s="14">
        <f t="shared" si="13"/>
        <v>970</v>
      </c>
      <c r="BL20" s="14">
        <f t="shared" si="14"/>
        <v>1940</v>
      </c>
      <c r="BN20" s="18">
        <v>16</v>
      </c>
      <c r="BO20" s="22">
        <v>10</v>
      </c>
      <c r="BU20" s="52">
        <v>15</v>
      </c>
      <c r="BV20" s="52">
        <v>104</v>
      </c>
      <c r="BW20" s="52">
        <v>1606017</v>
      </c>
      <c r="BX20" s="52" t="s">
        <v>335</v>
      </c>
      <c r="BY20" s="52">
        <v>1</v>
      </c>
      <c r="BZ20" s="52">
        <v>21</v>
      </c>
      <c r="CA20" s="52">
        <f>SUM(BZ$5:BZ20)</f>
        <v>267</v>
      </c>
      <c r="CJ20" s="52">
        <v>16</v>
      </c>
      <c r="CK20" s="52">
        <v>1</v>
      </c>
      <c r="CL20" s="52" t="s">
        <v>257</v>
      </c>
      <c r="CM20" s="52">
        <v>16</v>
      </c>
      <c r="CN20" s="52"/>
      <c r="CO20" s="52"/>
      <c r="CP20" s="52"/>
      <c r="CQ20" s="52" t="s">
        <v>372</v>
      </c>
      <c r="CR20" s="52">
        <v>1920</v>
      </c>
      <c r="CS20" s="52" t="s">
        <v>373</v>
      </c>
      <c r="CT20" s="52">
        <v>20</v>
      </c>
      <c r="CU20" s="52"/>
      <c r="CV20" s="52"/>
      <c r="CW20" s="52" t="s">
        <v>373</v>
      </c>
      <c r="CX20" s="52">
        <v>35</v>
      </c>
      <c r="CY20" s="52"/>
      <c r="CZ20" s="52"/>
      <c r="DA20" s="52"/>
      <c r="DB20" s="52"/>
      <c r="DC20" s="52"/>
      <c r="DD20" s="52"/>
      <c r="DE20" s="52"/>
      <c r="DF20" s="52"/>
      <c r="DG20" s="52"/>
      <c r="DH20" s="52"/>
    </row>
    <row r="21" spans="1:112" ht="16.5" x14ac:dyDescent="0.2">
      <c r="A21" s="17">
        <v>17</v>
      </c>
      <c r="B21" s="78">
        <v>6</v>
      </c>
      <c r="C21" s="123">
        <v>0</v>
      </c>
      <c r="D21" s="87"/>
      <c r="E21" s="78">
        <f>INDEX(章节关卡!$F$6:$F$34,芦花古楼!B21)*芦花古楼!C21</f>
        <v>0</v>
      </c>
      <c r="F21" s="22">
        <f t="shared" si="0"/>
        <v>20</v>
      </c>
      <c r="G21" s="22">
        <f t="shared" si="1"/>
        <v>35</v>
      </c>
      <c r="H21" s="14">
        <f>INDEX(章节关卡!$H$6:$H$34,芦花古楼!B21)*芦花古楼!C21</f>
        <v>0</v>
      </c>
      <c r="I21" s="14">
        <v>50</v>
      </c>
      <c r="L21" s="17">
        <v>17</v>
      </c>
      <c r="M21" s="78">
        <f t="shared" si="4"/>
        <v>7</v>
      </c>
      <c r="N21" s="123">
        <v>0</v>
      </c>
      <c r="O21" s="87"/>
      <c r="P21" s="78">
        <f>INDEX(章节关卡!$F$6:$F$34,芦花古楼!M21)*芦花古楼!N21</f>
        <v>0</v>
      </c>
      <c r="Q21" s="22">
        <f t="shared" si="5"/>
        <v>25</v>
      </c>
      <c r="R21" s="22">
        <f t="shared" si="6"/>
        <v>35</v>
      </c>
      <c r="S21" s="14">
        <f>INDEX(章节关卡!$H$6:$H$34,芦花古楼!M21)*芦花古楼!N21</f>
        <v>0</v>
      </c>
      <c r="T21" s="14">
        <v>50</v>
      </c>
      <c r="W21" s="17">
        <v>17</v>
      </c>
      <c r="X21" s="46">
        <v>7</v>
      </c>
      <c r="Y21" s="123">
        <v>0</v>
      </c>
      <c r="Z21" s="87"/>
      <c r="AA21" s="87">
        <f>INDEX(章节关卡!$F$6:$F$34,芦花古楼!X21)*芦花古楼!Y21</f>
        <v>0</v>
      </c>
      <c r="AB21" s="22">
        <f t="shared" si="2"/>
        <v>30</v>
      </c>
      <c r="AC21" s="22">
        <f t="shared" si="3"/>
        <v>35</v>
      </c>
      <c r="AD21" s="14">
        <f>INDEX(章节关卡!$H$6:$H$34,芦花古楼!X21)*芦花古楼!Y21</f>
        <v>0</v>
      </c>
      <c r="AE21" s="14">
        <v>50</v>
      </c>
      <c r="AH21" s="17">
        <v>17</v>
      </c>
      <c r="AI21" s="46">
        <v>7</v>
      </c>
      <c r="AJ21" s="123">
        <v>0</v>
      </c>
      <c r="AK21" s="87"/>
      <c r="AL21" s="87">
        <f>INDEX(章节关卡!$F$6:$F$34,芦花古楼!AI21)*芦花古楼!AJ21</f>
        <v>0</v>
      </c>
      <c r="AM21" s="22">
        <f t="shared" si="7"/>
        <v>35</v>
      </c>
      <c r="AN21" s="22">
        <f t="shared" si="8"/>
        <v>35</v>
      </c>
      <c r="AO21" s="14">
        <f>INDEX(章节关卡!$H$6:$H$34,芦花古楼!AI21)*芦花古楼!AJ21</f>
        <v>0</v>
      </c>
      <c r="AP21" s="14">
        <v>50</v>
      </c>
      <c r="AS21" s="18">
        <v>16</v>
      </c>
      <c r="AT21" s="18">
        <v>5</v>
      </c>
      <c r="AV21" s="18">
        <v>16</v>
      </c>
      <c r="AW21" s="87">
        <v>7</v>
      </c>
      <c r="AY21" s="18">
        <v>16</v>
      </c>
      <c r="AZ21" s="18">
        <v>7</v>
      </c>
      <c r="BB21" s="18">
        <v>16</v>
      </c>
      <c r="BC21" s="18">
        <v>7</v>
      </c>
      <c r="BF21" s="18">
        <v>16</v>
      </c>
      <c r="BG21" s="14">
        <f t="shared" si="9"/>
        <v>475</v>
      </c>
      <c r="BH21" s="14">
        <f t="shared" si="10"/>
        <v>285</v>
      </c>
      <c r="BI21" s="14">
        <f t="shared" si="11"/>
        <v>0</v>
      </c>
      <c r="BJ21" s="14">
        <f t="shared" si="12"/>
        <v>600</v>
      </c>
      <c r="BK21" s="14">
        <f t="shared" si="13"/>
        <v>740</v>
      </c>
      <c r="BL21" s="14">
        <f t="shared" si="14"/>
        <v>1480</v>
      </c>
      <c r="BN21" s="18">
        <v>17</v>
      </c>
      <c r="BO21" s="22">
        <v>10</v>
      </c>
      <c r="BU21" s="52">
        <v>16</v>
      </c>
      <c r="BV21" s="52">
        <v>104</v>
      </c>
      <c r="BW21" s="52">
        <v>1606018</v>
      </c>
      <c r="BX21" s="52" t="s">
        <v>336</v>
      </c>
      <c r="BY21" s="52">
        <v>1</v>
      </c>
      <c r="BZ21" s="52">
        <v>21</v>
      </c>
      <c r="CA21" s="52">
        <f>SUM(BZ$5:BZ21)</f>
        <v>288</v>
      </c>
      <c r="CJ21" s="52">
        <v>17</v>
      </c>
      <c r="CK21" s="52">
        <v>1</v>
      </c>
      <c r="CL21" s="52" t="s">
        <v>257</v>
      </c>
      <c r="CM21" s="52">
        <v>17</v>
      </c>
      <c r="CN21" s="52"/>
      <c r="CO21" s="52"/>
      <c r="CP21" s="52"/>
      <c r="CQ21" s="52" t="s">
        <v>372</v>
      </c>
      <c r="CR21" s="52">
        <v>1920</v>
      </c>
      <c r="CS21" s="52" t="s">
        <v>373</v>
      </c>
      <c r="CT21" s="52">
        <v>20</v>
      </c>
      <c r="CU21" s="52"/>
      <c r="CV21" s="52"/>
      <c r="CW21" s="52" t="s">
        <v>373</v>
      </c>
      <c r="CX21" s="52">
        <v>35</v>
      </c>
      <c r="CY21" s="52"/>
      <c r="CZ21" s="52"/>
      <c r="DA21" s="52"/>
      <c r="DB21" s="52"/>
      <c r="DC21" s="52"/>
      <c r="DD21" s="52"/>
      <c r="DE21" s="52"/>
      <c r="DF21" s="52"/>
      <c r="DG21" s="52"/>
      <c r="DH21" s="52"/>
    </row>
    <row r="22" spans="1:112" ht="16.5" x14ac:dyDescent="0.2">
      <c r="A22" s="17">
        <v>18</v>
      </c>
      <c r="B22" s="78">
        <v>6</v>
      </c>
      <c r="C22" s="123">
        <v>0</v>
      </c>
      <c r="D22" s="87"/>
      <c r="E22" s="78">
        <f>INDEX(章节关卡!$F$6:$F$34,芦花古楼!B22)*芦花古楼!C22</f>
        <v>0</v>
      </c>
      <c r="F22" s="22">
        <f t="shared" si="0"/>
        <v>20</v>
      </c>
      <c r="G22" s="22">
        <f t="shared" si="1"/>
        <v>35</v>
      </c>
      <c r="H22" s="14">
        <f>INDEX(章节关卡!$H$6:$H$34,芦花古楼!B22)*芦花古楼!C22</f>
        <v>0</v>
      </c>
      <c r="I22" s="14">
        <v>50</v>
      </c>
      <c r="L22" s="17">
        <v>18</v>
      </c>
      <c r="M22" s="78">
        <f t="shared" si="4"/>
        <v>7</v>
      </c>
      <c r="N22" s="123">
        <v>0</v>
      </c>
      <c r="O22" s="87"/>
      <c r="P22" s="78">
        <f>INDEX(章节关卡!$F$6:$F$34,芦花古楼!M22)*芦花古楼!N22</f>
        <v>0</v>
      </c>
      <c r="Q22" s="22">
        <f t="shared" si="5"/>
        <v>25</v>
      </c>
      <c r="R22" s="22">
        <f t="shared" si="6"/>
        <v>35</v>
      </c>
      <c r="S22" s="14">
        <f>INDEX(章节关卡!$H$6:$H$34,芦花古楼!M22)*芦花古楼!N22</f>
        <v>0</v>
      </c>
      <c r="T22" s="14">
        <v>50</v>
      </c>
      <c r="W22" s="17">
        <v>18</v>
      </c>
      <c r="X22" s="46">
        <v>7</v>
      </c>
      <c r="Y22" s="123">
        <v>0</v>
      </c>
      <c r="Z22" s="87"/>
      <c r="AA22" s="87">
        <f>INDEX(章节关卡!$F$6:$F$34,芦花古楼!X22)*芦花古楼!Y22</f>
        <v>0</v>
      </c>
      <c r="AB22" s="22">
        <f t="shared" si="2"/>
        <v>30</v>
      </c>
      <c r="AC22" s="22">
        <f t="shared" si="3"/>
        <v>35</v>
      </c>
      <c r="AD22" s="14">
        <f>INDEX(章节关卡!$H$6:$H$34,芦花古楼!X22)*芦花古楼!Y22</f>
        <v>0</v>
      </c>
      <c r="AE22" s="14">
        <v>50</v>
      </c>
      <c r="AH22" s="17">
        <v>18</v>
      </c>
      <c r="AI22" s="46">
        <v>7</v>
      </c>
      <c r="AJ22" s="123">
        <v>0</v>
      </c>
      <c r="AK22" s="87"/>
      <c r="AL22" s="87">
        <f>INDEX(章节关卡!$F$6:$F$34,芦花古楼!AI22)*芦花古楼!AJ22</f>
        <v>0</v>
      </c>
      <c r="AM22" s="22">
        <f t="shared" si="7"/>
        <v>35</v>
      </c>
      <c r="AN22" s="22">
        <f t="shared" si="8"/>
        <v>35</v>
      </c>
      <c r="AO22" s="14">
        <f>INDEX(章节关卡!$H$6:$H$34,芦花古楼!AI22)*芦花古楼!AJ22</f>
        <v>0</v>
      </c>
      <c r="AP22" s="14">
        <v>50</v>
      </c>
      <c r="AS22" s="18">
        <v>17</v>
      </c>
      <c r="AT22" s="87">
        <v>5</v>
      </c>
      <c r="AV22" s="18">
        <v>17</v>
      </c>
      <c r="AW22" s="87">
        <v>7</v>
      </c>
      <c r="AY22" s="18">
        <v>17</v>
      </c>
      <c r="AZ22" s="18">
        <v>7</v>
      </c>
      <c r="BB22" s="18">
        <v>17</v>
      </c>
      <c r="BC22" s="18">
        <v>7</v>
      </c>
      <c r="BF22" s="18">
        <v>17</v>
      </c>
      <c r="BG22" s="14">
        <f t="shared" si="9"/>
        <v>510</v>
      </c>
      <c r="BH22" s="14">
        <f t="shared" si="10"/>
        <v>285</v>
      </c>
      <c r="BI22" s="14">
        <f t="shared" si="11"/>
        <v>0</v>
      </c>
      <c r="BJ22" s="14">
        <f t="shared" si="12"/>
        <v>600</v>
      </c>
      <c r="BK22" s="14">
        <f t="shared" si="13"/>
        <v>795</v>
      </c>
      <c r="BL22" s="14">
        <f t="shared" si="14"/>
        <v>1590</v>
      </c>
      <c r="BN22" s="18">
        <v>18</v>
      </c>
      <c r="BO22" s="22">
        <v>10</v>
      </c>
      <c r="BU22" s="52">
        <v>17</v>
      </c>
      <c r="BV22" s="52">
        <v>104</v>
      </c>
      <c r="BW22" s="52">
        <v>1606019</v>
      </c>
      <c r="BX22" s="52" t="s">
        <v>337</v>
      </c>
      <c r="BY22" s="52">
        <v>2</v>
      </c>
      <c r="BZ22" s="52">
        <v>21</v>
      </c>
      <c r="CA22" s="52">
        <f>SUM(BZ$5:BZ22)</f>
        <v>309</v>
      </c>
      <c r="CJ22" s="52">
        <v>18</v>
      </c>
      <c r="CK22" s="52">
        <v>1</v>
      </c>
      <c r="CL22" s="52" t="s">
        <v>257</v>
      </c>
      <c r="CM22" s="52">
        <v>18</v>
      </c>
      <c r="CN22" s="52"/>
      <c r="CO22" s="52"/>
      <c r="CP22" s="52"/>
      <c r="CQ22" s="52" t="s">
        <v>372</v>
      </c>
      <c r="CR22" s="52">
        <v>1920</v>
      </c>
      <c r="CS22" s="52" t="s">
        <v>373</v>
      </c>
      <c r="CT22" s="52">
        <v>20</v>
      </c>
      <c r="CU22" s="52"/>
      <c r="CV22" s="52"/>
      <c r="CW22" s="52" t="s">
        <v>373</v>
      </c>
      <c r="CX22" s="52">
        <v>35</v>
      </c>
      <c r="CY22" s="52"/>
      <c r="CZ22" s="52"/>
      <c r="DA22" s="52"/>
      <c r="DB22" s="52"/>
      <c r="DC22" s="52"/>
      <c r="DD22" s="52"/>
      <c r="DE22" s="52"/>
      <c r="DF22" s="52"/>
      <c r="DG22" s="52"/>
      <c r="DH22" s="52"/>
    </row>
    <row r="23" spans="1:112" ht="16.5" x14ac:dyDescent="0.2">
      <c r="A23" s="17">
        <v>19</v>
      </c>
      <c r="B23" s="78">
        <v>6</v>
      </c>
      <c r="C23" s="123">
        <v>0</v>
      </c>
      <c r="D23" s="87"/>
      <c r="E23" s="78">
        <f>INDEX(章节关卡!$F$6:$F$34,芦花古楼!B23)*芦花古楼!C23</f>
        <v>0</v>
      </c>
      <c r="F23" s="22">
        <f t="shared" si="0"/>
        <v>20</v>
      </c>
      <c r="G23" s="22">
        <f t="shared" si="1"/>
        <v>35</v>
      </c>
      <c r="H23" s="14">
        <f>INDEX(章节关卡!$H$6:$H$34,芦花古楼!B23)*芦花古楼!C23</f>
        <v>0</v>
      </c>
      <c r="I23" s="14">
        <v>50</v>
      </c>
      <c r="L23" s="17">
        <v>19</v>
      </c>
      <c r="M23" s="78">
        <f t="shared" si="4"/>
        <v>7</v>
      </c>
      <c r="N23" s="123">
        <v>0</v>
      </c>
      <c r="O23" s="87"/>
      <c r="P23" s="78">
        <f>INDEX(章节关卡!$F$6:$F$34,芦花古楼!M23)*芦花古楼!N23</f>
        <v>0</v>
      </c>
      <c r="Q23" s="22">
        <f t="shared" si="5"/>
        <v>25</v>
      </c>
      <c r="R23" s="22">
        <f t="shared" si="6"/>
        <v>35</v>
      </c>
      <c r="S23" s="14">
        <f>INDEX(章节关卡!$H$6:$H$34,芦花古楼!M23)*芦花古楼!N23</f>
        <v>0</v>
      </c>
      <c r="T23" s="14">
        <v>50</v>
      </c>
      <c r="W23" s="17">
        <v>19</v>
      </c>
      <c r="X23" s="46">
        <v>7</v>
      </c>
      <c r="Y23" s="123">
        <v>0</v>
      </c>
      <c r="Z23" s="87"/>
      <c r="AA23" s="87">
        <f>INDEX(章节关卡!$F$6:$F$34,芦花古楼!X23)*芦花古楼!Y23</f>
        <v>0</v>
      </c>
      <c r="AB23" s="22">
        <f t="shared" si="2"/>
        <v>30</v>
      </c>
      <c r="AC23" s="22">
        <f t="shared" si="3"/>
        <v>35</v>
      </c>
      <c r="AD23" s="14">
        <f>INDEX(章节关卡!$H$6:$H$34,芦花古楼!X23)*芦花古楼!Y23</f>
        <v>0</v>
      </c>
      <c r="AE23" s="14">
        <v>50</v>
      </c>
      <c r="AH23" s="17">
        <v>19</v>
      </c>
      <c r="AI23" s="46">
        <v>7</v>
      </c>
      <c r="AJ23" s="123">
        <v>0</v>
      </c>
      <c r="AK23" s="87"/>
      <c r="AL23" s="87">
        <f>INDEX(章节关卡!$F$6:$F$34,芦花古楼!AI23)*芦花古楼!AJ23</f>
        <v>0</v>
      </c>
      <c r="AM23" s="22">
        <f t="shared" si="7"/>
        <v>35</v>
      </c>
      <c r="AN23" s="22">
        <f t="shared" si="8"/>
        <v>35</v>
      </c>
      <c r="AO23" s="14">
        <f>INDEX(章节关卡!$H$6:$H$34,芦花古楼!AI23)*芦花古楼!AJ23</f>
        <v>0</v>
      </c>
      <c r="AP23" s="14">
        <v>50</v>
      </c>
      <c r="AS23" s="18">
        <v>18</v>
      </c>
      <c r="AT23" s="87">
        <v>5</v>
      </c>
      <c r="AV23" s="18">
        <v>18</v>
      </c>
      <c r="AW23" s="87">
        <v>7</v>
      </c>
      <c r="AY23" s="18">
        <v>18</v>
      </c>
      <c r="AZ23" s="18">
        <v>7</v>
      </c>
      <c r="BB23" s="18">
        <v>18</v>
      </c>
      <c r="BC23" s="18">
        <v>7</v>
      </c>
      <c r="BF23" s="18">
        <v>18</v>
      </c>
      <c r="BG23" s="14">
        <f t="shared" si="9"/>
        <v>510</v>
      </c>
      <c r="BH23" s="14">
        <f t="shared" si="10"/>
        <v>290</v>
      </c>
      <c r="BI23" s="14">
        <f t="shared" si="11"/>
        <v>0</v>
      </c>
      <c r="BJ23" s="14">
        <f t="shared" si="12"/>
        <v>650</v>
      </c>
      <c r="BK23" s="14">
        <f t="shared" si="13"/>
        <v>795</v>
      </c>
      <c r="BL23" s="14">
        <f t="shared" si="14"/>
        <v>1590</v>
      </c>
      <c r="BN23" s="18">
        <v>19</v>
      </c>
      <c r="BO23" s="22">
        <v>10</v>
      </c>
      <c r="BU23" s="52">
        <v>18</v>
      </c>
      <c r="BV23" s="52">
        <v>104</v>
      </c>
      <c r="BW23" s="52">
        <v>1606020</v>
      </c>
      <c r="BX23" s="52" t="s">
        <v>338</v>
      </c>
      <c r="BY23" s="52">
        <v>2</v>
      </c>
      <c r="BZ23" s="52">
        <v>21</v>
      </c>
      <c r="CA23" s="52">
        <f>SUM(BZ$5:BZ23)</f>
        <v>330</v>
      </c>
      <c r="CJ23" s="52">
        <v>19</v>
      </c>
      <c r="CK23" s="52">
        <v>1</v>
      </c>
      <c r="CL23" s="52" t="s">
        <v>257</v>
      </c>
      <c r="CM23" s="52">
        <v>19</v>
      </c>
      <c r="CN23" s="52"/>
      <c r="CO23" s="52"/>
      <c r="CP23" s="52"/>
      <c r="CQ23" s="52" t="s">
        <v>372</v>
      </c>
      <c r="CR23" s="52">
        <v>1920</v>
      </c>
      <c r="CS23" s="52" t="s">
        <v>373</v>
      </c>
      <c r="CT23" s="52">
        <v>20</v>
      </c>
      <c r="CU23" s="52"/>
      <c r="CV23" s="52"/>
      <c r="CW23" s="52" t="s">
        <v>373</v>
      </c>
      <c r="CX23" s="52">
        <v>35</v>
      </c>
      <c r="CY23" s="52"/>
      <c r="CZ23" s="52"/>
      <c r="DA23" s="52"/>
      <c r="DB23" s="52"/>
      <c r="DC23" s="52"/>
      <c r="DD23" s="52"/>
      <c r="DE23" s="52"/>
      <c r="DF23" s="52"/>
      <c r="DG23" s="52"/>
      <c r="DH23" s="52"/>
    </row>
    <row r="24" spans="1:112" ht="16.5" x14ac:dyDescent="0.2">
      <c r="A24" s="17">
        <v>20</v>
      </c>
      <c r="B24" s="78">
        <v>6</v>
      </c>
      <c r="C24" s="123">
        <v>0</v>
      </c>
      <c r="D24" s="87"/>
      <c r="E24" s="78">
        <f>INDEX(章节关卡!$F$6:$F$34,芦花古楼!B24)*芦花古楼!C24</f>
        <v>0</v>
      </c>
      <c r="F24" s="22">
        <f t="shared" si="0"/>
        <v>20</v>
      </c>
      <c r="G24" s="22">
        <f t="shared" si="1"/>
        <v>40</v>
      </c>
      <c r="H24" s="14">
        <f>INDEX(章节关卡!$H$6:$H$34,芦花古楼!B24)*芦花古楼!C24</f>
        <v>0</v>
      </c>
      <c r="I24" s="14">
        <v>100</v>
      </c>
      <c r="L24" s="17">
        <v>20</v>
      </c>
      <c r="M24" s="78">
        <f t="shared" si="4"/>
        <v>7</v>
      </c>
      <c r="N24" s="123">
        <v>0</v>
      </c>
      <c r="O24" s="87"/>
      <c r="P24" s="78">
        <f>INDEX(章节关卡!$F$6:$F$34,芦花古楼!M24)*芦花古楼!N24</f>
        <v>0</v>
      </c>
      <c r="Q24" s="22">
        <f t="shared" si="5"/>
        <v>25</v>
      </c>
      <c r="R24" s="22">
        <f t="shared" si="6"/>
        <v>40</v>
      </c>
      <c r="S24" s="14">
        <f>INDEX(章节关卡!$H$6:$H$34,芦花古楼!M24)*芦花古楼!N24</f>
        <v>0</v>
      </c>
      <c r="T24" s="14">
        <v>100</v>
      </c>
      <c r="W24" s="17">
        <v>20</v>
      </c>
      <c r="X24" s="24">
        <v>7</v>
      </c>
      <c r="Y24" s="123">
        <v>0</v>
      </c>
      <c r="Z24" s="87"/>
      <c r="AA24" s="87">
        <f>INDEX(章节关卡!$F$6:$F$34,芦花古楼!X24)*芦花古楼!Y24</f>
        <v>0</v>
      </c>
      <c r="AB24" s="22">
        <f t="shared" si="2"/>
        <v>30</v>
      </c>
      <c r="AC24" s="22">
        <f t="shared" si="3"/>
        <v>40</v>
      </c>
      <c r="AD24" s="14">
        <f>INDEX(章节关卡!$H$6:$H$34,芦花古楼!X24)*芦花古楼!Y24</f>
        <v>0</v>
      </c>
      <c r="AE24" s="14">
        <v>100</v>
      </c>
      <c r="AH24" s="17">
        <v>20</v>
      </c>
      <c r="AI24" s="46">
        <v>7</v>
      </c>
      <c r="AJ24" s="123">
        <v>0</v>
      </c>
      <c r="AK24" s="87"/>
      <c r="AL24" s="87">
        <f>INDEX(章节关卡!$F$6:$F$34,芦花古楼!AI24)*芦花古楼!AJ24</f>
        <v>0</v>
      </c>
      <c r="AM24" s="22">
        <f t="shared" si="7"/>
        <v>35</v>
      </c>
      <c r="AN24" s="22">
        <f t="shared" si="8"/>
        <v>40</v>
      </c>
      <c r="AO24" s="14">
        <f>INDEX(章节关卡!$H$6:$H$34,芦花古楼!AI24)*芦花古楼!AJ24</f>
        <v>0</v>
      </c>
      <c r="AP24" s="14">
        <v>100</v>
      </c>
      <c r="AS24" s="18">
        <v>19</v>
      </c>
      <c r="AT24" s="87">
        <v>5</v>
      </c>
      <c r="AV24" s="18">
        <v>19</v>
      </c>
      <c r="AW24" s="87">
        <v>7</v>
      </c>
      <c r="AY24" s="18">
        <v>19</v>
      </c>
      <c r="AZ24" s="18">
        <v>7</v>
      </c>
      <c r="BB24" s="18">
        <v>19</v>
      </c>
      <c r="BC24" s="18">
        <v>7</v>
      </c>
      <c r="BF24" s="18">
        <v>19</v>
      </c>
      <c r="BG24" s="14">
        <f t="shared" si="9"/>
        <v>535</v>
      </c>
      <c r="BH24" s="14">
        <f t="shared" si="10"/>
        <v>305</v>
      </c>
      <c r="BI24" s="14">
        <f t="shared" si="11"/>
        <v>0</v>
      </c>
      <c r="BJ24" s="14">
        <f t="shared" si="12"/>
        <v>650</v>
      </c>
      <c r="BK24" s="14">
        <f t="shared" si="13"/>
        <v>825</v>
      </c>
      <c r="BL24" s="14">
        <f t="shared" si="14"/>
        <v>1650</v>
      </c>
      <c r="BN24" s="18">
        <v>20</v>
      </c>
      <c r="BO24" s="22">
        <v>20</v>
      </c>
      <c r="BU24" s="52">
        <v>19</v>
      </c>
      <c r="BV24" s="52">
        <v>104</v>
      </c>
      <c r="BW24" s="52">
        <v>1606021</v>
      </c>
      <c r="BX24" s="52" t="s">
        <v>339</v>
      </c>
      <c r="BY24" s="52">
        <v>2</v>
      </c>
      <c r="BZ24" s="52">
        <v>21</v>
      </c>
      <c r="CA24" s="52">
        <f>SUM(BZ$5:BZ24)</f>
        <v>351</v>
      </c>
      <c r="CJ24" s="52">
        <v>20</v>
      </c>
      <c r="CK24" s="52">
        <v>1</v>
      </c>
      <c r="CL24" s="52" t="s">
        <v>257</v>
      </c>
      <c r="CM24" s="52">
        <v>20</v>
      </c>
      <c r="CN24" s="52"/>
      <c r="CO24" s="52"/>
      <c r="CP24" s="52"/>
      <c r="CQ24" s="52" t="s">
        <v>372</v>
      </c>
      <c r="CR24" s="52">
        <v>1920</v>
      </c>
      <c r="CS24" s="52" t="s">
        <v>373</v>
      </c>
      <c r="CT24" s="52">
        <v>20</v>
      </c>
      <c r="CU24" s="52" t="s">
        <v>272</v>
      </c>
      <c r="CV24" s="52">
        <v>2</v>
      </c>
      <c r="CW24" s="52" t="s">
        <v>373</v>
      </c>
      <c r="CX24" s="52">
        <v>40</v>
      </c>
      <c r="CY24" s="52"/>
      <c r="CZ24" s="52"/>
      <c r="DA24" s="52"/>
      <c r="DB24" s="52"/>
      <c r="DC24" s="52"/>
      <c r="DD24" s="52"/>
      <c r="DE24" s="52"/>
      <c r="DF24" s="52"/>
      <c r="DG24" s="52"/>
      <c r="DH24" s="52"/>
    </row>
    <row r="25" spans="1:112" ht="16.5" x14ac:dyDescent="0.2">
      <c r="A25" s="17">
        <v>21</v>
      </c>
      <c r="B25" s="24">
        <v>7</v>
      </c>
      <c r="C25" s="123">
        <v>0</v>
      </c>
      <c r="D25" s="87"/>
      <c r="E25" s="78">
        <f>INDEX(章节关卡!$F$6:$F$34,芦花古楼!B25)*芦花古楼!C25</f>
        <v>0</v>
      </c>
      <c r="F25" s="22">
        <f t="shared" si="0"/>
        <v>25</v>
      </c>
      <c r="G25" s="22">
        <f t="shared" si="1"/>
        <v>40</v>
      </c>
      <c r="H25" s="14">
        <f>INDEX(章节关卡!$H$6:$H$34,芦花古楼!B25)*芦花古楼!C25</f>
        <v>0</v>
      </c>
      <c r="I25" s="14">
        <v>100</v>
      </c>
      <c r="L25" s="17">
        <v>21</v>
      </c>
      <c r="M25" s="78">
        <f t="shared" si="4"/>
        <v>8</v>
      </c>
      <c r="N25" s="123">
        <v>0</v>
      </c>
      <c r="O25" s="87"/>
      <c r="P25" s="78">
        <f>INDEX(章节关卡!$F$6:$F$34,芦花古楼!M25)*芦花古楼!N25</f>
        <v>0</v>
      </c>
      <c r="Q25" s="22">
        <f t="shared" si="5"/>
        <v>30</v>
      </c>
      <c r="R25" s="22">
        <f t="shared" si="6"/>
        <v>40</v>
      </c>
      <c r="S25" s="14">
        <f>INDEX(章节关卡!$H$6:$H$34,芦花古楼!M25)*芦花古楼!N25</f>
        <v>0</v>
      </c>
      <c r="T25" s="14">
        <v>100</v>
      </c>
      <c r="W25" s="17">
        <v>21</v>
      </c>
      <c r="X25" s="46">
        <v>8</v>
      </c>
      <c r="Y25" s="123">
        <v>0</v>
      </c>
      <c r="Z25" s="87"/>
      <c r="AA25" s="87">
        <f>INDEX(章节关卡!$F$6:$F$34,芦花古楼!X25)*芦花古楼!Y25</f>
        <v>0</v>
      </c>
      <c r="AB25" s="22">
        <f t="shared" si="2"/>
        <v>35</v>
      </c>
      <c r="AC25" s="22">
        <f t="shared" si="3"/>
        <v>40</v>
      </c>
      <c r="AD25" s="14">
        <f>INDEX(章节关卡!$H$6:$H$34,芦花古楼!X25)*芦花古楼!Y25</f>
        <v>0</v>
      </c>
      <c r="AE25" s="14">
        <v>100</v>
      </c>
      <c r="AH25" s="17">
        <v>21</v>
      </c>
      <c r="AI25" s="46">
        <v>8</v>
      </c>
      <c r="AJ25" s="123">
        <v>0</v>
      </c>
      <c r="AK25" s="87"/>
      <c r="AL25" s="87">
        <f>INDEX(章节关卡!$F$6:$F$34,芦花古楼!AI25)*芦花古楼!AJ25</f>
        <v>0</v>
      </c>
      <c r="AM25" s="22">
        <f t="shared" si="7"/>
        <v>40</v>
      </c>
      <c r="AN25" s="22">
        <f t="shared" si="8"/>
        <v>40</v>
      </c>
      <c r="AO25" s="14">
        <f>INDEX(章节关卡!$H$6:$H$34,芦花古楼!AI25)*芦花古楼!AJ25</f>
        <v>0</v>
      </c>
      <c r="AP25" s="14">
        <v>100</v>
      </c>
      <c r="AS25" s="18">
        <v>20</v>
      </c>
      <c r="AT25" s="87">
        <v>5</v>
      </c>
      <c r="AV25" s="18">
        <v>20</v>
      </c>
      <c r="AW25" s="87">
        <v>7</v>
      </c>
      <c r="AY25" s="18">
        <v>20</v>
      </c>
      <c r="AZ25" s="18">
        <v>7</v>
      </c>
      <c r="BB25" s="18">
        <v>20</v>
      </c>
      <c r="BC25" s="18">
        <v>7</v>
      </c>
      <c r="BF25" s="18">
        <v>20</v>
      </c>
      <c r="BG25" s="14">
        <f t="shared" si="9"/>
        <v>550</v>
      </c>
      <c r="BH25" s="14">
        <f t="shared" si="10"/>
        <v>305</v>
      </c>
      <c r="BI25" s="14">
        <f t="shared" si="11"/>
        <v>0</v>
      </c>
      <c r="BJ25" s="14">
        <f t="shared" si="12"/>
        <v>650</v>
      </c>
      <c r="BK25" s="14">
        <f t="shared" si="13"/>
        <v>855</v>
      </c>
      <c r="BL25" s="14">
        <f t="shared" si="14"/>
        <v>1710</v>
      </c>
      <c r="BN25" s="18">
        <v>21</v>
      </c>
      <c r="BO25" s="22">
        <v>20</v>
      </c>
      <c r="BU25" s="52">
        <v>20</v>
      </c>
      <c r="BV25" s="52">
        <v>104</v>
      </c>
      <c r="BW25" s="52">
        <v>1606022</v>
      </c>
      <c r="BX25" s="52" t="s">
        <v>340</v>
      </c>
      <c r="BY25" s="52">
        <v>3</v>
      </c>
      <c r="BZ25" s="52">
        <v>21</v>
      </c>
      <c r="CA25" s="52">
        <f>SUM(BZ$5:BZ25)</f>
        <v>372</v>
      </c>
      <c r="CJ25" s="52">
        <v>21</v>
      </c>
      <c r="CK25" s="52">
        <v>1</v>
      </c>
      <c r="CL25" s="52" t="s">
        <v>257</v>
      </c>
      <c r="CM25" s="52">
        <v>21</v>
      </c>
      <c r="CN25" s="52"/>
      <c r="CO25" s="52"/>
      <c r="CP25" s="52"/>
      <c r="CQ25" s="52" t="s">
        <v>372</v>
      </c>
      <c r="CR25" s="52">
        <v>2400</v>
      </c>
      <c r="CS25" s="52" t="s">
        <v>373</v>
      </c>
      <c r="CT25" s="52">
        <v>25</v>
      </c>
      <c r="CU25" s="52"/>
      <c r="CV25" s="52"/>
      <c r="CW25" s="52" t="s">
        <v>373</v>
      </c>
      <c r="CX25" s="52">
        <v>40</v>
      </c>
      <c r="CY25" s="52"/>
      <c r="CZ25" s="52"/>
      <c r="DA25" s="52"/>
      <c r="DB25" s="52"/>
      <c r="DC25" s="52"/>
      <c r="DD25" s="52"/>
      <c r="DE25" s="52"/>
      <c r="DF25" s="52"/>
      <c r="DG25" s="52"/>
      <c r="DH25" s="52"/>
    </row>
    <row r="26" spans="1:112" ht="16.5" x14ac:dyDescent="0.2">
      <c r="A26" s="17">
        <v>22</v>
      </c>
      <c r="B26" s="78">
        <v>7</v>
      </c>
      <c r="C26" s="123">
        <v>0</v>
      </c>
      <c r="D26" s="87"/>
      <c r="E26" s="78">
        <f>INDEX(章节关卡!$F$6:$F$34,芦花古楼!B26)*芦花古楼!C26</f>
        <v>0</v>
      </c>
      <c r="F26" s="22">
        <f t="shared" si="0"/>
        <v>25</v>
      </c>
      <c r="G26" s="22">
        <f t="shared" si="1"/>
        <v>40</v>
      </c>
      <c r="H26" s="14">
        <f>INDEX(章节关卡!$H$6:$H$34,芦花古楼!B26)*芦花古楼!C26</f>
        <v>0</v>
      </c>
      <c r="I26" s="14">
        <v>100</v>
      </c>
      <c r="L26" s="17">
        <v>22</v>
      </c>
      <c r="M26" s="78">
        <f t="shared" si="4"/>
        <v>8</v>
      </c>
      <c r="N26" s="123">
        <v>0</v>
      </c>
      <c r="O26" s="87"/>
      <c r="P26" s="78">
        <f>INDEX(章节关卡!$F$6:$F$34,芦花古楼!M26)*芦花古楼!N26</f>
        <v>0</v>
      </c>
      <c r="Q26" s="22">
        <f t="shared" si="5"/>
        <v>30</v>
      </c>
      <c r="R26" s="22">
        <f t="shared" si="6"/>
        <v>40</v>
      </c>
      <c r="S26" s="14">
        <f>INDEX(章节关卡!$H$6:$H$34,芦花古楼!M26)*芦花古楼!N26</f>
        <v>0</v>
      </c>
      <c r="T26" s="14">
        <v>100</v>
      </c>
      <c r="W26" s="17">
        <v>22</v>
      </c>
      <c r="X26" s="46">
        <v>8</v>
      </c>
      <c r="Y26" s="123">
        <v>0</v>
      </c>
      <c r="Z26" s="87"/>
      <c r="AA26" s="87">
        <f>INDEX(章节关卡!$F$6:$F$34,芦花古楼!X26)*芦花古楼!Y26</f>
        <v>0</v>
      </c>
      <c r="AB26" s="22">
        <f t="shared" si="2"/>
        <v>35</v>
      </c>
      <c r="AC26" s="22">
        <f t="shared" si="3"/>
        <v>40</v>
      </c>
      <c r="AD26" s="14">
        <f>INDEX(章节关卡!$H$6:$H$34,芦花古楼!X26)*芦花古楼!Y26</f>
        <v>0</v>
      </c>
      <c r="AE26" s="14">
        <v>100</v>
      </c>
      <c r="AH26" s="17">
        <v>22</v>
      </c>
      <c r="AI26" s="46">
        <v>8</v>
      </c>
      <c r="AJ26" s="123">
        <v>0</v>
      </c>
      <c r="AK26" s="87"/>
      <c r="AL26" s="87">
        <f>INDEX(章节关卡!$F$6:$F$34,芦花古楼!AI26)*芦花古楼!AJ26</f>
        <v>0</v>
      </c>
      <c r="AM26" s="22">
        <f t="shared" si="7"/>
        <v>40</v>
      </c>
      <c r="AN26" s="22">
        <f t="shared" si="8"/>
        <v>40</v>
      </c>
      <c r="AO26" s="14">
        <f>INDEX(章节关卡!$H$6:$H$34,芦花古楼!AI26)*芦花古楼!AJ26</f>
        <v>0</v>
      </c>
      <c r="AP26" s="14">
        <v>100</v>
      </c>
      <c r="AS26" s="18">
        <v>21</v>
      </c>
      <c r="AT26" s="18">
        <v>6</v>
      </c>
      <c r="AV26" s="18">
        <v>21</v>
      </c>
      <c r="AW26" s="87">
        <v>8</v>
      </c>
      <c r="AY26" s="18">
        <v>21</v>
      </c>
      <c r="AZ26" s="18">
        <v>8</v>
      </c>
      <c r="BB26" s="18">
        <v>21</v>
      </c>
      <c r="BC26" s="18">
        <v>8</v>
      </c>
      <c r="BF26" s="18">
        <v>21</v>
      </c>
      <c r="BG26" s="14">
        <f t="shared" si="9"/>
        <v>555</v>
      </c>
      <c r="BH26" s="14">
        <f t="shared" si="10"/>
        <v>325</v>
      </c>
      <c r="BI26" s="14">
        <f t="shared" si="11"/>
        <v>0</v>
      </c>
      <c r="BJ26" s="14">
        <f t="shared" si="12"/>
        <v>800</v>
      </c>
      <c r="BK26" s="14">
        <f t="shared" si="13"/>
        <v>860</v>
      </c>
      <c r="BL26" s="14">
        <f t="shared" si="14"/>
        <v>1720</v>
      </c>
      <c r="BN26" s="18">
        <v>22</v>
      </c>
      <c r="BO26" s="22">
        <v>20</v>
      </c>
      <c r="BU26" s="52">
        <v>21</v>
      </c>
      <c r="BV26" s="52">
        <v>105</v>
      </c>
      <c r="BW26" s="52">
        <v>1606023</v>
      </c>
      <c r="BX26" s="52" t="s">
        <v>341</v>
      </c>
      <c r="BY26" s="52">
        <v>1</v>
      </c>
      <c r="BZ26" s="52">
        <v>21</v>
      </c>
      <c r="CA26" s="52">
        <f>SUM(BZ$5:BZ26)</f>
        <v>393</v>
      </c>
      <c r="CJ26" s="52">
        <v>22</v>
      </c>
      <c r="CK26" s="52">
        <v>1</v>
      </c>
      <c r="CL26" s="52" t="s">
        <v>257</v>
      </c>
      <c r="CM26" s="52">
        <v>22</v>
      </c>
      <c r="CN26" s="52"/>
      <c r="CO26" s="52"/>
      <c r="CP26" s="52"/>
      <c r="CQ26" s="52" t="s">
        <v>372</v>
      </c>
      <c r="CR26" s="52">
        <v>2400</v>
      </c>
      <c r="CS26" s="52" t="s">
        <v>373</v>
      </c>
      <c r="CT26" s="52">
        <v>25</v>
      </c>
      <c r="CU26" s="52"/>
      <c r="CV26" s="52"/>
      <c r="CW26" s="52" t="s">
        <v>373</v>
      </c>
      <c r="CX26" s="52">
        <v>40</v>
      </c>
      <c r="CY26" s="52"/>
      <c r="CZ26" s="52"/>
      <c r="DA26" s="52"/>
      <c r="DB26" s="52"/>
      <c r="DC26" s="52"/>
      <c r="DD26" s="52"/>
      <c r="DE26" s="52"/>
      <c r="DF26" s="52"/>
      <c r="DG26" s="52"/>
      <c r="DH26" s="52"/>
    </row>
    <row r="27" spans="1:112" ht="16.5" x14ac:dyDescent="0.2">
      <c r="A27" s="17">
        <v>23</v>
      </c>
      <c r="B27" s="78">
        <v>7</v>
      </c>
      <c r="C27" s="123">
        <v>0</v>
      </c>
      <c r="D27" s="87"/>
      <c r="E27" s="78">
        <f>INDEX(章节关卡!$F$6:$F$34,芦花古楼!B27)*芦花古楼!C27</f>
        <v>0</v>
      </c>
      <c r="F27" s="22">
        <f t="shared" si="0"/>
        <v>25</v>
      </c>
      <c r="G27" s="22">
        <f t="shared" si="1"/>
        <v>40</v>
      </c>
      <c r="H27" s="14">
        <f>INDEX(章节关卡!$H$6:$H$34,芦花古楼!B27)*芦花古楼!C27</f>
        <v>0</v>
      </c>
      <c r="I27" s="14">
        <v>100</v>
      </c>
      <c r="L27" s="17">
        <v>23</v>
      </c>
      <c r="M27" s="78">
        <f t="shared" si="4"/>
        <v>8</v>
      </c>
      <c r="N27" s="123">
        <v>0</v>
      </c>
      <c r="O27" s="87"/>
      <c r="P27" s="78">
        <f>INDEX(章节关卡!$F$6:$F$34,芦花古楼!M27)*芦花古楼!N27</f>
        <v>0</v>
      </c>
      <c r="Q27" s="22">
        <f t="shared" si="5"/>
        <v>30</v>
      </c>
      <c r="R27" s="22">
        <f t="shared" si="6"/>
        <v>40</v>
      </c>
      <c r="S27" s="14">
        <f>INDEX(章节关卡!$H$6:$H$34,芦花古楼!M27)*芦花古楼!N27</f>
        <v>0</v>
      </c>
      <c r="T27" s="14">
        <v>100</v>
      </c>
      <c r="W27" s="17">
        <v>23</v>
      </c>
      <c r="X27" s="46">
        <v>8</v>
      </c>
      <c r="Y27" s="123">
        <v>0</v>
      </c>
      <c r="Z27" s="87"/>
      <c r="AA27" s="87">
        <f>INDEX(章节关卡!$F$6:$F$34,芦花古楼!X27)*芦花古楼!Y27</f>
        <v>0</v>
      </c>
      <c r="AB27" s="22">
        <f t="shared" si="2"/>
        <v>35</v>
      </c>
      <c r="AC27" s="22">
        <f t="shared" si="3"/>
        <v>40</v>
      </c>
      <c r="AD27" s="14">
        <f>INDEX(章节关卡!$H$6:$H$34,芦花古楼!X27)*芦花古楼!Y27</f>
        <v>0</v>
      </c>
      <c r="AE27" s="14">
        <v>100</v>
      </c>
      <c r="AH27" s="17">
        <v>23</v>
      </c>
      <c r="AI27" s="46">
        <v>8</v>
      </c>
      <c r="AJ27" s="123">
        <v>0</v>
      </c>
      <c r="AK27" s="87"/>
      <c r="AL27" s="87">
        <f>INDEX(章节关卡!$F$6:$F$34,芦花古楼!AI27)*芦花古楼!AJ27</f>
        <v>0</v>
      </c>
      <c r="AM27" s="22">
        <f t="shared" si="7"/>
        <v>40</v>
      </c>
      <c r="AN27" s="22">
        <f t="shared" si="8"/>
        <v>40</v>
      </c>
      <c r="AO27" s="14">
        <f>INDEX(章节关卡!$H$6:$H$34,芦花古楼!AI27)*芦花古楼!AJ27</f>
        <v>0</v>
      </c>
      <c r="AP27" s="14">
        <v>100</v>
      </c>
      <c r="AS27" s="18">
        <v>22</v>
      </c>
      <c r="AT27" s="87">
        <v>6</v>
      </c>
      <c r="AV27" s="18">
        <v>22</v>
      </c>
      <c r="AW27" s="87">
        <v>8</v>
      </c>
      <c r="AY27" s="18">
        <v>22</v>
      </c>
      <c r="AZ27" s="18">
        <v>8</v>
      </c>
      <c r="BB27" s="18">
        <v>22</v>
      </c>
      <c r="BC27" s="18">
        <v>8</v>
      </c>
      <c r="BF27" s="18">
        <v>22</v>
      </c>
      <c r="BG27" s="14">
        <f t="shared" si="9"/>
        <v>590</v>
      </c>
      <c r="BH27" s="14">
        <f t="shared" si="10"/>
        <v>325</v>
      </c>
      <c r="BI27" s="14">
        <f t="shared" si="11"/>
        <v>0</v>
      </c>
      <c r="BJ27" s="14">
        <f t="shared" si="12"/>
        <v>800</v>
      </c>
      <c r="BK27" s="14">
        <f t="shared" si="13"/>
        <v>915</v>
      </c>
      <c r="BL27" s="14">
        <f t="shared" si="14"/>
        <v>1830</v>
      </c>
      <c r="BN27" s="18">
        <v>23</v>
      </c>
      <c r="BO27" s="22">
        <v>20</v>
      </c>
      <c r="BU27" s="52">
        <v>22</v>
      </c>
      <c r="BV27" s="52">
        <v>105</v>
      </c>
      <c r="BW27" s="52">
        <v>1606024</v>
      </c>
      <c r="BX27" s="52" t="s">
        <v>342</v>
      </c>
      <c r="BY27" s="52">
        <v>1</v>
      </c>
      <c r="BZ27" s="52">
        <v>21</v>
      </c>
      <c r="CA27" s="52">
        <f>SUM(BZ$5:BZ27)</f>
        <v>414</v>
      </c>
      <c r="CJ27" s="52">
        <v>23</v>
      </c>
      <c r="CK27" s="52">
        <v>1</v>
      </c>
      <c r="CL27" s="52" t="s">
        <v>257</v>
      </c>
      <c r="CM27" s="52">
        <v>23</v>
      </c>
      <c r="CN27" s="52"/>
      <c r="CO27" s="52"/>
      <c r="CP27" s="52"/>
      <c r="CQ27" s="52" t="s">
        <v>372</v>
      </c>
      <c r="CR27" s="52">
        <v>2400</v>
      </c>
      <c r="CS27" s="52" t="s">
        <v>373</v>
      </c>
      <c r="CT27" s="52">
        <v>25</v>
      </c>
      <c r="CU27" s="52"/>
      <c r="CV27" s="52"/>
      <c r="CW27" s="52" t="s">
        <v>373</v>
      </c>
      <c r="CX27" s="52">
        <v>40</v>
      </c>
      <c r="CY27" s="52"/>
      <c r="CZ27" s="52"/>
      <c r="DA27" s="52"/>
      <c r="DB27" s="52"/>
      <c r="DC27" s="52"/>
      <c r="DD27" s="52"/>
      <c r="DE27" s="52"/>
      <c r="DF27" s="52"/>
      <c r="DG27" s="52"/>
      <c r="DH27" s="52"/>
    </row>
    <row r="28" spans="1:112" ht="16.5" x14ac:dyDescent="0.2">
      <c r="A28" s="17">
        <v>24</v>
      </c>
      <c r="B28" s="78">
        <v>7</v>
      </c>
      <c r="C28" s="123">
        <v>0</v>
      </c>
      <c r="D28" s="87"/>
      <c r="E28" s="78">
        <f>INDEX(章节关卡!$F$6:$F$34,芦花古楼!B28)*芦花古楼!C28</f>
        <v>0</v>
      </c>
      <c r="F28" s="22">
        <f t="shared" si="0"/>
        <v>25</v>
      </c>
      <c r="G28" s="22">
        <f t="shared" si="1"/>
        <v>40</v>
      </c>
      <c r="H28" s="14">
        <f>INDEX(章节关卡!$H$6:$H$34,芦花古楼!B28)*芦花古楼!C28</f>
        <v>0</v>
      </c>
      <c r="I28" s="14">
        <v>100</v>
      </c>
      <c r="L28" s="17">
        <v>24</v>
      </c>
      <c r="M28" s="78">
        <f t="shared" si="4"/>
        <v>8</v>
      </c>
      <c r="N28" s="123">
        <v>0</v>
      </c>
      <c r="O28" s="87"/>
      <c r="P28" s="78">
        <f>INDEX(章节关卡!$F$6:$F$34,芦花古楼!M28)*芦花古楼!N28</f>
        <v>0</v>
      </c>
      <c r="Q28" s="22">
        <f t="shared" si="5"/>
        <v>30</v>
      </c>
      <c r="R28" s="22">
        <f t="shared" si="6"/>
        <v>40</v>
      </c>
      <c r="S28" s="14">
        <f>INDEX(章节关卡!$H$6:$H$34,芦花古楼!M28)*芦花古楼!N28</f>
        <v>0</v>
      </c>
      <c r="T28" s="14">
        <v>100</v>
      </c>
      <c r="W28" s="17">
        <v>24</v>
      </c>
      <c r="X28" s="46">
        <v>8</v>
      </c>
      <c r="Y28" s="123">
        <v>0</v>
      </c>
      <c r="Z28" s="87"/>
      <c r="AA28" s="87">
        <f>INDEX(章节关卡!$F$6:$F$34,芦花古楼!X28)*芦花古楼!Y28</f>
        <v>0</v>
      </c>
      <c r="AB28" s="22">
        <f t="shared" si="2"/>
        <v>35</v>
      </c>
      <c r="AC28" s="22">
        <f t="shared" si="3"/>
        <v>40</v>
      </c>
      <c r="AD28" s="14">
        <f>INDEX(章节关卡!$H$6:$H$34,芦花古楼!X28)*芦花古楼!Y28</f>
        <v>0</v>
      </c>
      <c r="AE28" s="14">
        <v>100</v>
      </c>
      <c r="AH28" s="17">
        <v>24</v>
      </c>
      <c r="AI28" s="46">
        <v>8</v>
      </c>
      <c r="AJ28" s="123">
        <v>0</v>
      </c>
      <c r="AK28" s="87"/>
      <c r="AL28" s="87">
        <f>INDEX(章节关卡!$F$6:$F$34,芦花古楼!AI28)*芦花古楼!AJ28</f>
        <v>0</v>
      </c>
      <c r="AM28" s="22">
        <f t="shared" si="7"/>
        <v>40</v>
      </c>
      <c r="AN28" s="22">
        <f t="shared" si="8"/>
        <v>40</v>
      </c>
      <c r="AO28" s="14">
        <f>INDEX(章节关卡!$H$6:$H$34,芦花古楼!AI28)*芦花古楼!AJ28</f>
        <v>0</v>
      </c>
      <c r="AP28" s="14">
        <v>100</v>
      </c>
      <c r="AS28" s="18">
        <v>23</v>
      </c>
      <c r="AT28" s="87">
        <v>6</v>
      </c>
      <c r="AV28" s="18">
        <v>23</v>
      </c>
      <c r="AW28" s="87">
        <v>8</v>
      </c>
      <c r="AY28" s="18">
        <v>23</v>
      </c>
      <c r="AZ28" s="18">
        <v>8</v>
      </c>
      <c r="BB28" s="18">
        <v>23</v>
      </c>
      <c r="BC28" s="18">
        <v>8</v>
      </c>
      <c r="BF28" s="18">
        <v>23</v>
      </c>
      <c r="BG28" s="14">
        <f t="shared" si="9"/>
        <v>590</v>
      </c>
      <c r="BH28" s="14">
        <f t="shared" si="10"/>
        <v>330</v>
      </c>
      <c r="BI28" s="14">
        <f t="shared" si="11"/>
        <v>0</v>
      </c>
      <c r="BJ28" s="14">
        <f t="shared" si="12"/>
        <v>800</v>
      </c>
      <c r="BK28" s="14">
        <f t="shared" si="13"/>
        <v>915</v>
      </c>
      <c r="BL28" s="14">
        <f t="shared" si="14"/>
        <v>1830</v>
      </c>
      <c r="BN28" s="18">
        <v>24</v>
      </c>
      <c r="BO28" s="22">
        <v>20</v>
      </c>
      <c r="BU28" s="52">
        <v>23</v>
      </c>
      <c r="BV28" s="52">
        <v>105</v>
      </c>
      <c r="BW28" s="52">
        <v>1606025</v>
      </c>
      <c r="BX28" s="52" t="s">
        <v>343</v>
      </c>
      <c r="BY28" s="52">
        <v>2</v>
      </c>
      <c r="BZ28" s="52">
        <v>21</v>
      </c>
      <c r="CA28" s="52">
        <f>SUM(BZ$5:BZ28)</f>
        <v>435</v>
      </c>
      <c r="CJ28" s="52">
        <v>24</v>
      </c>
      <c r="CK28" s="52">
        <v>1</v>
      </c>
      <c r="CL28" s="52" t="s">
        <v>257</v>
      </c>
      <c r="CM28" s="52">
        <v>24</v>
      </c>
      <c r="CN28" s="52"/>
      <c r="CO28" s="52"/>
      <c r="CP28" s="52"/>
      <c r="CQ28" s="52" t="s">
        <v>372</v>
      </c>
      <c r="CR28" s="52">
        <v>2400</v>
      </c>
      <c r="CS28" s="52" t="s">
        <v>373</v>
      </c>
      <c r="CT28" s="52">
        <v>25</v>
      </c>
      <c r="CU28" s="52"/>
      <c r="CV28" s="52"/>
      <c r="CW28" s="52" t="s">
        <v>373</v>
      </c>
      <c r="CX28" s="52">
        <v>40</v>
      </c>
      <c r="CY28" s="52"/>
      <c r="CZ28" s="52"/>
      <c r="DA28" s="52"/>
      <c r="DB28" s="52"/>
      <c r="DC28" s="52"/>
      <c r="DD28" s="52"/>
      <c r="DE28" s="52"/>
      <c r="DF28" s="52"/>
      <c r="DG28" s="52"/>
      <c r="DH28" s="52"/>
    </row>
    <row r="29" spans="1:112" ht="16.5" x14ac:dyDescent="0.2">
      <c r="A29" s="17">
        <v>25</v>
      </c>
      <c r="B29" s="78">
        <v>7</v>
      </c>
      <c r="C29" s="123">
        <v>0</v>
      </c>
      <c r="D29" s="87"/>
      <c r="E29" s="78">
        <f>INDEX(章节关卡!$F$6:$F$34,芦花古楼!B29)*芦花古楼!C29</f>
        <v>0</v>
      </c>
      <c r="F29" s="22">
        <f t="shared" si="0"/>
        <v>25</v>
      </c>
      <c r="G29" s="22">
        <f t="shared" si="1"/>
        <v>45</v>
      </c>
      <c r="H29" s="14">
        <f>INDEX(章节关卡!$H$6:$H$34,芦花古楼!B29)*芦花古楼!C29</f>
        <v>0</v>
      </c>
      <c r="I29" s="14">
        <v>100</v>
      </c>
      <c r="L29" s="17">
        <v>25</v>
      </c>
      <c r="M29" s="78">
        <f t="shared" si="4"/>
        <v>8</v>
      </c>
      <c r="N29" s="123">
        <v>0</v>
      </c>
      <c r="O29" s="87"/>
      <c r="P29" s="78">
        <f>INDEX(章节关卡!$F$6:$F$34,芦花古楼!M29)*芦花古楼!N29</f>
        <v>0</v>
      </c>
      <c r="Q29" s="22">
        <f t="shared" si="5"/>
        <v>30</v>
      </c>
      <c r="R29" s="22">
        <f t="shared" si="6"/>
        <v>45</v>
      </c>
      <c r="S29" s="14">
        <f>INDEX(章节关卡!$H$6:$H$34,芦花古楼!M29)*芦花古楼!N29</f>
        <v>0</v>
      </c>
      <c r="T29" s="14">
        <v>100</v>
      </c>
      <c r="W29" s="17">
        <v>25</v>
      </c>
      <c r="X29" s="46">
        <v>8</v>
      </c>
      <c r="Y29" s="123">
        <v>0</v>
      </c>
      <c r="Z29" s="87"/>
      <c r="AA29" s="87">
        <f>INDEX(章节关卡!$F$6:$F$34,芦花古楼!X29)*芦花古楼!Y29</f>
        <v>0</v>
      </c>
      <c r="AB29" s="22">
        <f t="shared" si="2"/>
        <v>35</v>
      </c>
      <c r="AC29" s="22">
        <f t="shared" si="3"/>
        <v>45</v>
      </c>
      <c r="AD29" s="14">
        <f>INDEX(章节关卡!$H$6:$H$34,芦花古楼!X29)*芦花古楼!Y29</f>
        <v>0</v>
      </c>
      <c r="AE29" s="14">
        <v>100</v>
      </c>
      <c r="AH29" s="17">
        <v>25</v>
      </c>
      <c r="AI29" s="46">
        <v>8</v>
      </c>
      <c r="AJ29" s="123">
        <v>0</v>
      </c>
      <c r="AK29" s="87"/>
      <c r="AL29" s="87">
        <f>INDEX(章节关卡!$F$6:$F$34,芦花古楼!AI29)*芦花古楼!AJ29</f>
        <v>0</v>
      </c>
      <c r="AM29" s="22">
        <f t="shared" si="7"/>
        <v>40</v>
      </c>
      <c r="AN29" s="22">
        <f t="shared" si="8"/>
        <v>45</v>
      </c>
      <c r="AO29" s="14">
        <f>INDEX(章节关卡!$H$6:$H$34,芦花古楼!AI29)*芦花古楼!AJ29</f>
        <v>0</v>
      </c>
      <c r="AP29" s="14">
        <v>100</v>
      </c>
      <c r="AS29" s="18">
        <v>24</v>
      </c>
      <c r="AT29" s="87">
        <v>6</v>
      </c>
      <c r="AV29" s="18">
        <v>24</v>
      </c>
      <c r="AW29" s="87">
        <v>8</v>
      </c>
      <c r="AY29" s="18">
        <v>24</v>
      </c>
      <c r="AZ29" s="18">
        <v>8</v>
      </c>
      <c r="BB29" s="18">
        <v>24</v>
      </c>
      <c r="BC29" s="18">
        <v>8</v>
      </c>
      <c r="BF29" s="18">
        <v>24</v>
      </c>
      <c r="BG29" s="14">
        <f t="shared" si="9"/>
        <v>615</v>
      </c>
      <c r="BH29" s="14">
        <f t="shared" si="10"/>
        <v>345</v>
      </c>
      <c r="BI29" s="14">
        <f t="shared" si="11"/>
        <v>0</v>
      </c>
      <c r="BJ29" s="14">
        <f t="shared" si="12"/>
        <v>800</v>
      </c>
      <c r="BK29" s="14">
        <f t="shared" si="13"/>
        <v>945</v>
      </c>
      <c r="BL29" s="14">
        <f t="shared" si="14"/>
        <v>1890</v>
      </c>
      <c r="BN29" s="18">
        <v>25</v>
      </c>
      <c r="BO29" s="22">
        <v>20</v>
      </c>
      <c r="BU29" s="52">
        <v>24</v>
      </c>
      <c r="BV29" s="52">
        <v>105</v>
      </c>
      <c r="BW29" s="52">
        <v>1606026</v>
      </c>
      <c r="BX29" s="52" t="s">
        <v>344</v>
      </c>
      <c r="BY29" s="52">
        <v>2</v>
      </c>
      <c r="BZ29" s="52">
        <v>21</v>
      </c>
      <c r="CA29" s="52">
        <f>SUM(BZ$5:BZ29)</f>
        <v>456</v>
      </c>
      <c r="CJ29" s="52">
        <v>25</v>
      </c>
      <c r="CK29" s="52">
        <v>1</v>
      </c>
      <c r="CL29" s="52" t="s">
        <v>257</v>
      </c>
      <c r="CM29" s="52">
        <v>25</v>
      </c>
      <c r="CN29" s="52"/>
      <c r="CO29" s="52"/>
      <c r="CP29" s="52"/>
      <c r="CQ29" s="52" t="s">
        <v>372</v>
      </c>
      <c r="CR29" s="52">
        <v>2400</v>
      </c>
      <c r="CS29" s="52" t="s">
        <v>373</v>
      </c>
      <c r="CT29" s="52">
        <v>25</v>
      </c>
      <c r="CU29" s="52" t="s">
        <v>374</v>
      </c>
      <c r="CV29" s="52">
        <v>2</v>
      </c>
      <c r="CW29" s="52" t="s">
        <v>373</v>
      </c>
      <c r="CX29" s="52">
        <v>45</v>
      </c>
      <c r="CY29" s="52"/>
      <c r="CZ29" s="52"/>
      <c r="DA29" s="52"/>
      <c r="DB29" s="52"/>
      <c r="DC29" s="52"/>
      <c r="DD29" s="52"/>
      <c r="DE29" s="52"/>
      <c r="DF29" s="52"/>
      <c r="DG29" s="52"/>
      <c r="DH29" s="52"/>
    </row>
    <row r="30" spans="1:112" ht="16.5" x14ac:dyDescent="0.2">
      <c r="A30" s="17">
        <v>26</v>
      </c>
      <c r="B30" s="46">
        <v>8</v>
      </c>
      <c r="C30" s="123">
        <v>0</v>
      </c>
      <c r="D30" s="87"/>
      <c r="E30" s="78">
        <f>INDEX(章节关卡!$F$6:$F$34,芦花古楼!B30)*芦花古楼!C30</f>
        <v>0</v>
      </c>
      <c r="F30" s="22">
        <f t="shared" si="0"/>
        <v>30</v>
      </c>
      <c r="G30" s="22">
        <f t="shared" si="1"/>
        <v>45</v>
      </c>
      <c r="H30" s="14">
        <f>INDEX(章节关卡!$H$6:$H$34,芦花古楼!B30)*芦花古楼!C30</f>
        <v>0</v>
      </c>
      <c r="I30" s="14">
        <v>100</v>
      </c>
      <c r="L30" s="17">
        <v>26</v>
      </c>
      <c r="M30" s="78">
        <f t="shared" si="4"/>
        <v>9</v>
      </c>
      <c r="N30" s="123">
        <v>0</v>
      </c>
      <c r="O30" s="87"/>
      <c r="P30" s="78">
        <f>INDEX(章节关卡!$F$6:$F$34,芦花古楼!M30)*芦花古楼!N30</f>
        <v>0</v>
      </c>
      <c r="Q30" s="22">
        <f t="shared" si="5"/>
        <v>35</v>
      </c>
      <c r="R30" s="22">
        <f t="shared" si="6"/>
        <v>45</v>
      </c>
      <c r="S30" s="14">
        <f>INDEX(章节关卡!$H$6:$H$34,芦花古楼!M30)*芦花古楼!N30</f>
        <v>0</v>
      </c>
      <c r="T30" s="14">
        <v>100</v>
      </c>
      <c r="W30" s="17">
        <v>26</v>
      </c>
      <c r="X30" s="46">
        <v>9</v>
      </c>
      <c r="Y30" s="123">
        <v>0</v>
      </c>
      <c r="Z30" s="87"/>
      <c r="AA30" s="87">
        <f>INDEX(章节关卡!$F$6:$F$34,芦花古楼!X30)*芦花古楼!Y30</f>
        <v>0</v>
      </c>
      <c r="AB30" s="22">
        <f t="shared" si="2"/>
        <v>40</v>
      </c>
      <c r="AC30" s="22">
        <f t="shared" si="3"/>
        <v>45</v>
      </c>
      <c r="AD30" s="14">
        <f>INDEX(章节关卡!$H$6:$H$34,芦花古楼!X30)*芦花古楼!Y30</f>
        <v>0</v>
      </c>
      <c r="AE30" s="14">
        <v>100</v>
      </c>
      <c r="AH30" s="17">
        <v>26</v>
      </c>
      <c r="AI30" s="46">
        <v>9</v>
      </c>
      <c r="AJ30" s="123">
        <v>0</v>
      </c>
      <c r="AK30" s="87"/>
      <c r="AL30" s="87">
        <f>INDEX(章节关卡!$F$6:$F$34,芦花古楼!AI30)*芦花古楼!AJ30</f>
        <v>0</v>
      </c>
      <c r="AM30" s="22">
        <f t="shared" si="7"/>
        <v>45</v>
      </c>
      <c r="AN30" s="22">
        <f t="shared" si="8"/>
        <v>45</v>
      </c>
      <c r="AO30" s="14">
        <f>INDEX(章节关卡!$H$6:$H$34,芦花古楼!AI30)*芦花古楼!AJ30</f>
        <v>0</v>
      </c>
      <c r="AP30" s="14">
        <v>100</v>
      </c>
      <c r="AS30" s="18">
        <v>25</v>
      </c>
      <c r="AT30" s="87">
        <v>6</v>
      </c>
      <c r="AV30" s="18">
        <v>25</v>
      </c>
      <c r="AW30" s="87">
        <v>8</v>
      </c>
      <c r="AY30" s="18">
        <v>25</v>
      </c>
      <c r="AZ30" s="18">
        <v>8</v>
      </c>
      <c r="BB30" s="18">
        <v>25</v>
      </c>
      <c r="BC30" s="18">
        <v>8</v>
      </c>
      <c r="BF30" s="18">
        <v>25</v>
      </c>
      <c r="BG30" s="14">
        <f t="shared" si="9"/>
        <v>630</v>
      </c>
      <c r="BH30" s="14">
        <f t="shared" si="10"/>
        <v>345</v>
      </c>
      <c r="BI30" s="14">
        <f t="shared" si="11"/>
        <v>0</v>
      </c>
      <c r="BJ30" s="14">
        <f t="shared" si="12"/>
        <v>800</v>
      </c>
      <c r="BK30" s="14">
        <f t="shared" si="13"/>
        <v>975</v>
      </c>
      <c r="BL30" s="14">
        <f t="shared" si="14"/>
        <v>1950</v>
      </c>
      <c r="BN30" s="18">
        <v>26</v>
      </c>
      <c r="BO30" s="22">
        <v>20</v>
      </c>
      <c r="BU30" s="52">
        <v>25</v>
      </c>
      <c r="BV30" s="52">
        <v>105</v>
      </c>
      <c r="BW30" s="52">
        <v>1606027</v>
      </c>
      <c r="BX30" s="52" t="s">
        <v>345</v>
      </c>
      <c r="BY30" s="52">
        <v>2</v>
      </c>
      <c r="BZ30" s="52">
        <v>21</v>
      </c>
      <c r="CA30" s="52">
        <f>SUM(BZ$5:BZ30)</f>
        <v>477</v>
      </c>
      <c r="CJ30" s="52">
        <v>26</v>
      </c>
      <c r="CK30" s="52">
        <v>1</v>
      </c>
      <c r="CL30" s="52" t="s">
        <v>257</v>
      </c>
      <c r="CM30" s="52">
        <v>26</v>
      </c>
      <c r="CN30" s="52"/>
      <c r="CO30" s="52"/>
      <c r="CP30" s="52"/>
      <c r="CQ30" s="52" t="s">
        <v>372</v>
      </c>
      <c r="CR30" s="52">
        <v>2400</v>
      </c>
      <c r="CS30" s="52" t="s">
        <v>373</v>
      </c>
      <c r="CT30" s="52">
        <v>30</v>
      </c>
      <c r="CU30" s="52"/>
      <c r="CV30" s="52"/>
      <c r="CW30" s="52" t="s">
        <v>373</v>
      </c>
      <c r="CX30" s="52">
        <v>45</v>
      </c>
      <c r="CY30" s="52"/>
      <c r="CZ30" s="52"/>
      <c r="DA30" s="52"/>
      <c r="DB30" s="52"/>
      <c r="DC30" s="52"/>
      <c r="DD30" s="52"/>
      <c r="DE30" s="52"/>
      <c r="DF30" s="52"/>
      <c r="DG30" s="52"/>
      <c r="DH30" s="52"/>
    </row>
    <row r="31" spans="1:112" ht="16.5" x14ac:dyDescent="0.2">
      <c r="A31" s="17">
        <v>27</v>
      </c>
      <c r="B31" s="78">
        <v>8</v>
      </c>
      <c r="C31" s="123">
        <v>0</v>
      </c>
      <c r="D31" s="87"/>
      <c r="E31" s="78">
        <f>INDEX(章节关卡!$F$6:$F$34,芦花古楼!B31)*芦花古楼!C31</f>
        <v>0</v>
      </c>
      <c r="F31" s="22">
        <f t="shared" si="0"/>
        <v>30</v>
      </c>
      <c r="G31" s="22">
        <f t="shared" si="1"/>
        <v>45</v>
      </c>
      <c r="H31" s="14">
        <f>INDEX(章节关卡!$H$6:$H$34,芦花古楼!B31)*芦花古楼!C31</f>
        <v>0</v>
      </c>
      <c r="I31" s="14">
        <v>100</v>
      </c>
      <c r="L31" s="17">
        <v>27</v>
      </c>
      <c r="M31" s="78">
        <f t="shared" si="4"/>
        <v>9</v>
      </c>
      <c r="N31" s="123">
        <v>0</v>
      </c>
      <c r="O31" s="87"/>
      <c r="P31" s="78">
        <f>INDEX(章节关卡!$F$6:$F$34,芦花古楼!M31)*芦花古楼!N31</f>
        <v>0</v>
      </c>
      <c r="Q31" s="22">
        <f t="shared" si="5"/>
        <v>35</v>
      </c>
      <c r="R31" s="22">
        <f t="shared" si="6"/>
        <v>45</v>
      </c>
      <c r="S31" s="14">
        <f>INDEX(章节关卡!$H$6:$H$34,芦花古楼!M31)*芦花古楼!N31</f>
        <v>0</v>
      </c>
      <c r="T31" s="14">
        <v>100</v>
      </c>
      <c r="W31" s="17">
        <v>27</v>
      </c>
      <c r="X31" s="46">
        <v>9</v>
      </c>
      <c r="Y31" s="123">
        <v>0</v>
      </c>
      <c r="Z31" s="87"/>
      <c r="AA31" s="87">
        <f>INDEX(章节关卡!$F$6:$F$34,芦花古楼!X31)*芦花古楼!Y31</f>
        <v>0</v>
      </c>
      <c r="AB31" s="22">
        <f t="shared" si="2"/>
        <v>40</v>
      </c>
      <c r="AC31" s="22">
        <f t="shared" si="3"/>
        <v>45</v>
      </c>
      <c r="AD31" s="14">
        <f>INDEX(章节关卡!$H$6:$H$34,芦花古楼!X31)*芦花古楼!Y31</f>
        <v>0</v>
      </c>
      <c r="AE31" s="14">
        <v>100</v>
      </c>
      <c r="AH31" s="17">
        <v>27</v>
      </c>
      <c r="AI31" s="46">
        <v>9</v>
      </c>
      <c r="AJ31" s="123">
        <v>0</v>
      </c>
      <c r="AK31" s="87"/>
      <c r="AL31" s="87">
        <f>INDEX(章节关卡!$F$6:$F$34,芦花古楼!AI31)*芦花古楼!AJ31</f>
        <v>0</v>
      </c>
      <c r="AM31" s="22">
        <f t="shared" si="7"/>
        <v>45</v>
      </c>
      <c r="AN31" s="22">
        <f t="shared" si="8"/>
        <v>45</v>
      </c>
      <c r="AO31" s="14">
        <f>INDEX(章节关卡!$H$6:$H$34,芦花古楼!AI31)*芦花古楼!AJ31</f>
        <v>0</v>
      </c>
      <c r="AP31" s="14">
        <v>100</v>
      </c>
      <c r="AS31" s="18">
        <v>26</v>
      </c>
      <c r="AT31" s="18">
        <v>7</v>
      </c>
      <c r="AV31" s="18">
        <v>26</v>
      </c>
      <c r="AW31" s="87">
        <v>9</v>
      </c>
      <c r="AY31" s="18">
        <v>26</v>
      </c>
      <c r="AZ31" s="18">
        <v>9</v>
      </c>
      <c r="BB31" s="18">
        <v>26</v>
      </c>
      <c r="BC31" s="18">
        <v>9</v>
      </c>
      <c r="BF31" s="18">
        <v>26</v>
      </c>
      <c r="BG31" s="14">
        <f t="shared" si="9"/>
        <v>635</v>
      </c>
      <c r="BH31" s="14">
        <f t="shared" si="10"/>
        <v>365</v>
      </c>
      <c r="BI31" s="14">
        <f t="shared" si="11"/>
        <v>0</v>
      </c>
      <c r="BJ31" s="14">
        <f t="shared" si="12"/>
        <v>800</v>
      </c>
      <c r="BK31" s="14">
        <f t="shared" si="13"/>
        <v>980</v>
      </c>
      <c r="BL31" s="14">
        <f t="shared" si="14"/>
        <v>1960</v>
      </c>
      <c r="BN31" s="18">
        <v>27</v>
      </c>
      <c r="BO31" s="22">
        <v>20</v>
      </c>
      <c r="BU31" s="52">
        <v>26</v>
      </c>
      <c r="BV31" s="52">
        <v>105</v>
      </c>
      <c r="BW31" s="52">
        <v>1606028</v>
      </c>
      <c r="BX31" s="52" t="s">
        <v>346</v>
      </c>
      <c r="BY31" s="52">
        <v>3</v>
      </c>
      <c r="BZ31" s="52">
        <v>21</v>
      </c>
      <c r="CA31" s="52">
        <f>SUM(BZ$5:BZ31)</f>
        <v>498</v>
      </c>
      <c r="CJ31" s="52">
        <v>27</v>
      </c>
      <c r="CK31" s="52">
        <v>1</v>
      </c>
      <c r="CL31" s="52" t="s">
        <v>257</v>
      </c>
      <c r="CM31" s="52">
        <v>27</v>
      </c>
      <c r="CN31" s="52"/>
      <c r="CO31" s="52"/>
      <c r="CP31" s="52"/>
      <c r="CQ31" s="52" t="s">
        <v>372</v>
      </c>
      <c r="CR31" s="52">
        <v>2400</v>
      </c>
      <c r="CS31" s="52" t="s">
        <v>373</v>
      </c>
      <c r="CT31" s="52">
        <v>30</v>
      </c>
      <c r="CU31" s="52"/>
      <c r="CV31" s="52"/>
      <c r="CW31" s="52" t="s">
        <v>373</v>
      </c>
      <c r="CX31" s="52">
        <v>45</v>
      </c>
      <c r="CY31" s="52"/>
      <c r="CZ31" s="52"/>
      <c r="DA31" s="52"/>
      <c r="DB31" s="52"/>
      <c r="DC31" s="52"/>
      <c r="DD31" s="52"/>
      <c r="DE31" s="52"/>
      <c r="DF31" s="52"/>
      <c r="DG31" s="52"/>
      <c r="DH31" s="52"/>
    </row>
    <row r="32" spans="1:112" ht="16.5" x14ac:dyDescent="0.2">
      <c r="A32" s="17">
        <v>28</v>
      </c>
      <c r="B32" s="78">
        <v>8</v>
      </c>
      <c r="C32" s="123">
        <v>0</v>
      </c>
      <c r="D32" s="87"/>
      <c r="E32" s="78">
        <f>INDEX(章节关卡!$F$6:$F$34,芦花古楼!B32)*芦花古楼!C32</f>
        <v>0</v>
      </c>
      <c r="F32" s="22">
        <f t="shared" si="0"/>
        <v>30</v>
      </c>
      <c r="G32" s="22">
        <f t="shared" si="1"/>
        <v>45</v>
      </c>
      <c r="H32" s="14">
        <f>INDEX(章节关卡!$H$6:$H$34,芦花古楼!B32)*芦花古楼!C32</f>
        <v>0</v>
      </c>
      <c r="I32" s="14">
        <v>100</v>
      </c>
      <c r="L32" s="17">
        <v>28</v>
      </c>
      <c r="M32" s="78">
        <f t="shared" si="4"/>
        <v>9</v>
      </c>
      <c r="N32" s="123">
        <v>0</v>
      </c>
      <c r="O32" s="87"/>
      <c r="P32" s="78">
        <f>INDEX(章节关卡!$F$6:$F$34,芦花古楼!M32)*芦花古楼!N32</f>
        <v>0</v>
      </c>
      <c r="Q32" s="22">
        <f t="shared" si="5"/>
        <v>35</v>
      </c>
      <c r="R32" s="22">
        <f t="shared" si="6"/>
        <v>45</v>
      </c>
      <c r="S32" s="14">
        <f>INDEX(章节关卡!$H$6:$H$34,芦花古楼!M32)*芦花古楼!N32</f>
        <v>0</v>
      </c>
      <c r="T32" s="14">
        <v>100</v>
      </c>
      <c r="W32" s="17">
        <v>28</v>
      </c>
      <c r="X32" s="46">
        <v>9</v>
      </c>
      <c r="Y32" s="123">
        <v>0</v>
      </c>
      <c r="Z32" s="87"/>
      <c r="AA32" s="87">
        <f>INDEX(章节关卡!$F$6:$F$34,芦花古楼!X32)*芦花古楼!Y32</f>
        <v>0</v>
      </c>
      <c r="AB32" s="22">
        <f t="shared" si="2"/>
        <v>40</v>
      </c>
      <c r="AC32" s="22">
        <f t="shared" si="3"/>
        <v>45</v>
      </c>
      <c r="AD32" s="14">
        <f>INDEX(章节关卡!$H$6:$H$34,芦花古楼!X32)*芦花古楼!Y32</f>
        <v>0</v>
      </c>
      <c r="AE32" s="14">
        <v>100</v>
      </c>
      <c r="AH32" s="17">
        <v>28</v>
      </c>
      <c r="AI32" s="46">
        <v>9</v>
      </c>
      <c r="AJ32" s="123">
        <v>0</v>
      </c>
      <c r="AK32" s="87"/>
      <c r="AL32" s="87">
        <f>INDEX(章节关卡!$F$6:$F$34,芦花古楼!AI32)*芦花古楼!AJ32</f>
        <v>0</v>
      </c>
      <c r="AM32" s="22">
        <f t="shared" si="7"/>
        <v>45</v>
      </c>
      <c r="AN32" s="22">
        <f t="shared" si="8"/>
        <v>45</v>
      </c>
      <c r="AO32" s="14">
        <f>INDEX(章节关卡!$H$6:$H$34,芦花古楼!AI32)*芦花古楼!AJ32</f>
        <v>0</v>
      </c>
      <c r="AP32" s="14">
        <v>100</v>
      </c>
      <c r="AS32" s="18">
        <v>27</v>
      </c>
      <c r="AT32" s="87">
        <v>7</v>
      </c>
      <c r="AV32" s="18">
        <v>27</v>
      </c>
      <c r="AW32" s="87">
        <v>9</v>
      </c>
      <c r="AY32" s="18">
        <v>27</v>
      </c>
      <c r="AZ32" s="18">
        <v>9</v>
      </c>
      <c r="BB32" s="18">
        <v>27</v>
      </c>
      <c r="BC32" s="18">
        <v>9</v>
      </c>
      <c r="BF32" s="18">
        <v>27</v>
      </c>
      <c r="BG32" s="14">
        <f t="shared" si="9"/>
        <v>670</v>
      </c>
      <c r="BH32" s="14">
        <f t="shared" si="10"/>
        <v>365</v>
      </c>
      <c r="BI32" s="14">
        <f t="shared" si="11"/>
        <v>0</v>
      </c>
      <c r="BJ32" s="14">
        <f t="shared" si="12"/>
        <v>800</v>
      </c>
      <c r="BK32" s="14">
        <f t="shared" si="13"/>
        <v>1035</v>
      </c>
      <c r="BL32" s="14">
        <f t="shared" si="14"/>
        <v>2070</v>
      </c>
      <c r="BN32" s="18">
        <v>28</v>
      </c>
      <c r="BO32" s="22">
        <v>20</v>
      </c>
      <c r="BU32" s="52">
        <v>27</v>
      </c>
      <c r="BV32" s="52">
        <v>106</v>
      </c>
      <c r="BW32" s="52">
        <v>1606029</v>
      </c>
      <c r="BX32" s="52" t="s">
        <v>347</v>
      </c>
      <c r="BY32" s="52">
        <v>2</v>
      </c>
      <c r="BZ32" s="52">
        <v>21</v>
      </c>
      <c r="CA32" s="52">
        <f>SUM(BZ$5:BZ32)</f>
        <v>519</v>
      </c>
      <c r="CJ32" s="52">
        <v>28</v>
      </c>
      <c r="CK32" s="52">
        <v>1</v>
      </c>
      <c r="CL32" s="52" t="s">
        <v>257</v>
      </c>
      <c r="CM32" s="52">
        <v>28</v>
      </c>
      <c r="CN32" s="52"/>
      <c r="CO32" s="52"/>
      <c r="CP32" s="52"/>
      <c r="CQ32" s="52" t="s">
        <v>372</v>
      </c>
      <c r="CR32" s="52">
        <v>2400</v>
      </c>
      <c r="CS32" s="52" t="s">
        <v>373</v>
      </c>
      <c r="CT32" s="52">
        <v>30</v>
      </c>
      <c r="CU32" s="52"/>
      <c r="CV32" s="52"/>
      <c r="CW32" s="52" t="s">
        <v>373</v>
      </c>
      <c r="CX32" s="52">
        <v>45</v>
      </c>
      <c r="CY32" s="52"/>
      <c r="CZ32" s="52"/>
      <c r="DA32" s="52"/>
      <c r="DB32" s="52"/>
      <c r="DC32" s="52"/>
      <c r="DD32" s="52"/>
      <c r="DE32" s="52"/>
      <c r="DF32" s="52"/>
      <c r="DG32" s="52"/>
      <c r="DH32" s="52"/>
    </row>
    <row r="33" spans="1:112" ht="16.5" x14ac:dyDescent="0.2">
      <c r="A33" s="17">
        <v>29</v>
      </c>
      <c r="B33" s="78">
        <v>8</v>
      </c>
      <c r="C33" s="123">
        <v>0</v>
      </c>
      <c r="D33" s="87"/>
      <c r="E33" s="78">
        <f>INDEX(章节关卡!$F$6:$F$34,芦花古楼!B33)*芦花古楼!C33</f>
        <v>0</v>
      </c>
      <c r="F33" s="22">
        <f t="shared" si="0"/>
        <v>30</v>
      </c>
      <c r="G33" s="22">
        <f t="shared" si="1"/>
        <v>45</v>
      </c>
      <c r="H33" s="14">
        <f>INDEX(章节关卡!$H$6:$H$34,芦花古楼!B33)*芦花古楼!C33</f>
        <v>0</v>
      </c>
      <c r="I33" s="14">
        <v>100</v>
      </c>
      <c r="L33" s="17">
        <v>29</v>
      </c>
      <c r="M33" s="78">
        <f t="shared" si="4"/>
        <v>9</v>
      </c>
      <c r="N33" s="123">
        <v>0</v>
      </c>
      <c r="O33" s="87"/>
      <c r="P33" s="78">
        <f>INDEX(章节关卡!$F$6:$F$34,芦花古楼!M33)*芦花古楼!N33</f>
        <v>0</v>
      </c>
      <c r="Q33" s="22">
        <f t="shared" si="5"/>
        <v>35</v>
      </c>
      <c r="R33" s="22">
        <f t="shared" si="6"/>
        <v>45</v>
      </c>
      <c r="S33" s="14">
        <f>INDEX(章节关卡!$H$6:$H$34,芦花古楼!M33)*芦花古楼!N33</f>
        <v>0</v>
      </c>
      <c r="T33" s="14">
        <v>100</v>
      </c>
      <c r="W33" s="17">
        <v>29</v>
      </c>
      <c r="X33" s="46">
        <v>9</v>
      </c>
      <c r="Y33" s="123">
        <v>0</v>
      </c>
      <c r="Z33" s="87"/>
      <c r="AA33" s="87">
        <f>INDEX(章节关卡!$F$6:$F$34,芦花古楼!X33)*芦花古楼!Y33</f>
        <v>0</v>
      </c>
      <c r="AB33" s="22">
        <f t="shared" si="2"/>
        <v>40</v>
      </c>
      <c r="AC33" s="22">
        <f t="shared" si="3"/>
        <v>45</v>
      </c>
      <c r="AD33" s="14">
        <f>INDEX(章节关卡!$H$6:$H$34,芦花古楼!X33)*芦花古楼!Y33</f>
        <v>0</v>
      </c>
      <c r="AE33" s="14">
        <v>100</v>
      </c>
      <c r="AH33" s="17">
        <v>29</v>
      </c>
      <c r="AI33" s="46">
        <v>9</v>
      </c>
      <c r="AJ33" s="123">
        <v>0</v>
      </c>
      <c r="AK33" s="87"/>
      <c r="AL33" s="87">
        <f>INDEX(章节关卡!$F$6:$F$34,芦花古楼!AI33)*芦花古楼!AJ33</f>
        <v>0</v>
      </c>
      <c r="AM33" s="22">
        <f t="shared" si="7"/>
        <v>45</v>
      </c>
      <c r="AN33" s="22">
        <f t="shared" si="8"/>
        <v>45</v>
      </c>
      <c r="AO33" s="14">
        <f>INDEX(章节关卡!$H$6:$H$34,芦花古楼!AI33)*芦花古楼!AJ33</f>
        <v>0</v>
      </c>
      <c r="AP33" s="14">
        <v>100</v>
      </c>
      <c r="AS33" s="18">
        <v>28</v>
      </c>
      <c r="AT33" s="87">
        <v>7</v>
      </c>
      <c r="AV33" s="18">
        <v>28</v>
      </c>
      <c r="AW33" s="87">
        <v>9</v>
      </c>
      <c r="AY33" s="18">
        <v>28</v>
      </c>
      <c r="AZ33" s="18">
        <v>9</v>
      </c>
      <c r="BB33" s="18">
        <v>28</v>
      </c>
      <c r="BC33" s="18">
        <v>9</v>
      </c>
      <c r="BF33" s="18">
        <v>28</v>
      </c>
      <c r="BG33" s="14">
        <f t="shared" si="9"/>
        <v>670</v>
      </c>
      <c r="BH33" s="14">
        <f t="shared" si="10"/>
        <v>370</v>
      </c>
      <c r="BI33" s="14">
        <f t="shared" si="11"/>
        <v>0</v>
      </c>
      <c r="BJ33" s="14">
        <f t="shared" si="12"/>
        <v>850</v>
      </c>
      <c r="BK33" s="14">
        <f t="shared" si="13"/>
        <v>1035</v>
      </c>
      <c r="BL33" s="14">
        <f t="shared" si="14"/>
        <v>2070</v>
      </c>
      <c r="BN33" s="18">
        <v>29</v>
      </c>
      <c r="BO33" s="22">
        <v>20</v>
      </c>
      <c r="BU33" s="52">
        <v>28</v>
      </c>
      <c r="BV33" s="52">
        <v>106</v>
      </c>
      <c r="BW33" s="52">
        <v>1606030</v>
      </c>
      <c r="BX33" s="52" t="s">
        <v>348</v>
      </c>
      <c r="BY33" s="52">
        <v>2</v>
      </c>
      <c r="BZ33" s="52">
        <v>21</v>
      </c>
      <c r="CA33" s="52">
        <f>SUM(BZ$5:BZ33)</f>
        <v>540</v>
      </c>
      <c r="CJ33" s="52">
        <v>29</v>
      </c>
      <c r="CK33" s="52">
        <v>1</v>
      </c>
      <c r="CL33" s="52" t="s">
        <v>257</v>
      </c>
      <c r="CM33" s="52">
        <v>29</v>
      </c>
      <c r="CN33" s="52"/>
      <c r="CO33" s="52"/>
      <c r="CP33" s="52"/>
      <c r="CQ33" s="52" t="s">
        <v>372</v>
      </c>
      <c r="CR33" s="52">
        <v>2400</v>
      </c>
      <c r="CS33" s="52" t="s">
        <v>373</v>
      </c>
      <c r="CT33" s="52">
        <v>30</v>
      </c>
      <c r="CU33" s="52"/>
      <c r="CV33" s="52"/>
      <c r="CW33" s="52" t="s">
        <v>373</v>
      </c>
      <c r="CX33" s="52">
        <v>45</v>
      </c>
      <c r="CY33" s="52"/>
      <c r="CZ33" s="52"/>
      <c r="DA33" s="52"/>
      <c r="DB33" s="52"/>
      <c r="DC33" s="52"/>
      <c r="DD33" s="52"/>
      <c r="DE33" s="52"/>
      <c r="DF33" s="52"/>
      <c r="DG33" s="52"/>
      <c r="DH33" s="52"/>
    </row>
    <row r="34" spans="1:112" ht="16.5" x14ac:dyDescent="0.2">
      <c r="A34" s="17">
        <v>30</v>
      </c>
      <c r="B34" s="78">
        <v>8</v>
      </c>
      <c r="C34" s="123">
        <v>0</v>
      </c>
      <c r="D34" s="87"/>
      <c r="E34" s="78">
        <f>INDEX(章节关卡!$F$6:$F$34,芦花古楼!B34)*芦花古楼!C34</f>
        <v>0</v>
      </c>
      <c r="F34" s="22">
        <f t="shared" si="0"/>
        <v>30</v>
      </c>
      <c r="G34" s="22">
        <f t="shared" si="1"/>
        <v>50</v>
      </c>
      <c r="H34" s="14">
        <f>INDEX(章节关卡!$H$6:$H$34,芦花古楼!B34)*芦花古楼!C34</f>
        <v>0</v>
      </c>
      <c r="I34" s="14">
        <v>100</v>
      </c>
      <c r="L34" s="17">
        <v>30</v>
      </c>
      <c r="M34" s="78">
        <f t="shared" si="4"/>
        <v>9</v>
      </c>
      <c r="N34" s="123">
        <v>0</v>
      </c>
      <c r="O34" s="87"/>
      <c r="P34" s="78">
        <f>INDEX(章节关卡!$F$6:$F$34,芦花古楼!M34)*芦花古楼!N34</f>
        <v>0</v>
      </c>
      <c r="Q34" s="22">
        <f t="shared" si="5"/>
        <v>35</v>
      </c>
      <c r="R34" s="22">
        <f t="shared" si="6"/>
        <v>50</v>
      </c>
      <c r="S34" s="14">
        <f>INDEX(章节关卡!$H$6:$H$34,芦花古楼!M34)*芦花古楼!N34</f>
        <v>0</v>
      </c>
      <c r="T34" s="14">
        <v>100</v>
      </c>
      <c r="W34" s="17">
        <v>30</v>
      </c>
      <c r="X34" s="24">
        <v>9</v>
      </c>
      <c r="Y34" s="123">
        <v>0</v>
      </c>
      <c r="Z34" s="87"/>
      <c r="AA34" s="87">
        <f>INDEX(章节关卡!$F$6:$F$34,芦花古楼!X34)*芦花古楼!Y34</f>
        <v>0</v>
      </c>
      <c r="AB34" s="22">
        <f t="shared" si="2"/>
        <v>40</v>
      </c>
      <c r="AC34" s="22">
        <f t="shared" si="3"/>
        <v>50</v>
      </c>
      <c r="AD34" s="14">
        <f>INDEX(章节关卡!$H$6:$H$34,芦花古楼!X34)*芦花古楼!Y34</f>
        <v>0</v>
      </c>
      <c r="AE34" s="14">
        <v>100</v>
      </c>
      <c r="AH34" s="17">
        <v>30</v>
      </c>
      <c r="AI34" s="46">
        <v>9</v>
      </c>
      <c r="AJ34" s="123">
        <v>0</v>
      </c>
      <c r="AK34" s="87"/>
      <c r="AL34" s="87">
        <f>INDEX(章节关卡!$F$6:$F$34,芦花古楼!AI34)*芦花古楼!AJ34</f>
        <v>0</v>
      </c>
      <c r="AM34" s="22">
        <f t="shared" si="7"/>
        <v>45</v>
      </c>
      <c r="AN34" s="22">
        <f t="shared" si="8"/>
        <v>50</v>
      </c>
      <c r="AO34" s="14">
        <f>INDEX(章节关卡!$H$6:$H$34,芦花古楼!AI34)*芦花古楼!AJ34</f>
        <v>0</v>
      </c>
      <c r="AP34" s="14">
        <v>100</v>
      </c>
      <c r="AS34" s="18">
        <v>29</v>
      </c>
      <c r="AT34" s="87">
        <v>7</v>
      </c>
      <c r="AV34" s="18">
        <v>29</v>
      </c>
      <c r="AW34" s="87">
        <v>9</v>
      </c>
      <c r="AY34" s="18">
        <v>29</v>
      </c>
      <c r="AZ34" s="18">
        <v>9</v>
      </c>
      <c r="BB34" s="18">
        <v>29</v>
      </c>
      <c r="BC34" s="18">
        <v>9</v>
      </c>
      <c r="BF34" s="18">
        <v>29</v>
      </c>
      <c r="BG34" s="14">
        <f t="shared" si="9"/>
        <v>695</v>
      </c>
      <c r="BH34" s="14">
        <f t="shared" si="10"/>
        <v>385</v>
      </c>
      <c r="BI34" s="14">
        <f t="shared" si="11"/>
        <v>0</v>
      </c>
      <c r="BJ34" s="14">
        <f t="shared" si="12"/>
        <v>850</v>
      </c>
      <c r="BK34" s="14">
        <f t="shared" si="13"/>
        <v>1065</v>
      </c>
      <c r="BL34" s="14">
        <f t="shared" si="14"/>
        <v>2130</v>
      </c>
      <c r="BN34" s="18">
        <v>30</v>
      </c>
      <c r="BO34" s="18">
        <v>30</v>
      </c>
      <c r="BU34" s="52">
        <v>29</v>
      </c>
      <c r="BV34" s="52">
        <v>106</v>
      </c>
      <c r="BW34" s="52">
        <v>1606031</v>
      </c>
      <c r="BX34" s="52" t="s">
        <v>349</v>
      </c>
      <c r="BY34" s="52">
        <v>2</v>
      </c>
      <c r="BZ34" s="52">
        <v>21</v>
      </c>
      <c r="CA34" s="52">
        <f>SUM(BZ$5:BZ34)</f>
        <v>561</v>
      </c>
      <c r="CJ34" s="52">
        <v>30</v>
      </c>
      <c r="CK34" s="52">
        <v>1</v>
      </c>
      <c r="CL34" s="52" t="s">
        <v>257</v>
      </c>
      <c r="CM34" s="52">
        <v>30</v>
      </c>
      <c r="CN34" s="52"/>
      <c r="CO34" s="52"/>
      <c r="CP34" s="52"/>
      <c r="CQ34" s="52" t="s">
        <v>372</v>
      </c>
      <c r="CR34" s="52">
        <v>2400</v>
      </c>
      <c r="CS34" s="52" t="s">
        <v>373</v>
      </c>
      <c r="CT34" s="52">
        <v>30</v>
      </c>
      <c r="CU34" s="52" t="s">
        <v>272</v>
      </c>
      <c r="CV34" s="52">
        <v>2</v>
      </c>
      <c r="CW34" s="52" t="s">
        <v>373</v>
      </c>
      <c r="CX34" s="52">
        <v>50</v>
      </c>
      <c r="CY34" s="52"/>
      <c r="CZ34" s="52"/>
      <c r="DA34" s="52"/>
      <c r="DB34" s="52"/>
      <c r="DC34" s="52"/>
      <c r="DD34" s="52"/>
      <c r="DE34" s="52"/>
      <c r="DF34" s="52"/>
      <c r="DG34" s="52"/>
      <c r="DH34" s="52"/>
    </row>
    <row r="35" spans="1:112" ht="16.5" x14ac:dyDescent="0.2">
      <c r="A35" s="17">
        <v>31</v>
      </c>
      <c r="B35" s="46">
        <v>9</v>
      </c>
      <c r="C35" s="123">
        <v>0</v>
      </c>
      <c r="D35" s="87"/>
      <c r="E35" s="78">
        <f>INDEX(章节关卡!$F$6:$F$34,芦花古楼!B35)*芦花古楼!C35</f>
        <v>0</v>
      </c>
      <c r="F35" s="22">
        <f t="shared" si="0"/>
        <v>35</v>
      </c>
      <c r="G35" s="22">
        <f t="shared" si="1"/>
        <v>50</v>
      </c>
      <c r="H35" s="14">
        <f>INDEX(章节关卡!$H$6:$H$34,芦花古楼!B35)*芦花古楼!C35</f>
        <v>0</v>
      </c>
      <c r="I35" s="14">
        <v>100</v>
      </c>
      <c r="L35" s="17">
        <v>31</v>
      </c>
      <c r="M35" s="78">
        <f t="shared" si="4"/>
        <v>10</v>
      </c>
      <c r="N35" s="123">
        <v>0</v>
      </c>
      <c r="O35" s="87"/>
      <c r="P35" s="78">
        <f>INDEX(章节关卡!$F$6:$F$34,芦花古楼!M35)*芦花古楼!N35</f>
        <v>0</v>
      </c>
      <c r="Q35" s="22">
        <f t="shared" si="5"/>
        <v>40</v>
      </c>
      <c r="R35" s="22">
        <f t="shared" si="6"/>
        <v>50</v>
      </c>
      <c r="S35" s="14">
        <f>INDEX(章节关卡!$H$6:$H$34,芦花古楼!M35)*芦花古楼!N35</f>
        <v>0</v>
      </c>
      <c r="T35" s="14">
        <v>100</v>
      </c>
      <c r="W35" s="17">
        <v>31</v>
      </c>
      <c r="X35" s="46">
        <v>10</v>
      </c>
      <c r="Y35" s="123">
        <v>0</v>
      </c>
      <c r="Z35" s="87"/>
      <c r="AA35" s="87">
        <f>INDEX(章节关卡!$F$6:$F$34,芦花古楼!X35)*芦花古楼!Y35</f>
        <v>0</v>
      </c>
      <c r="AB35" s="22">
        <f t="shared" si="2"/>
        <v>45</v>
      </c>
      <c r="AC35" s="22">
        <f t="shared" si="3"/>
        <v>50</v>
      </c>
      <c r="AD35" s="14">
        <f>INDEX(章节关卡!$H$6:$H$34,芦花古楼!X35)*芦花古楼!Y35</f>
        <v>0</v>
      </c>
      <c r="AE35" s="14">
        <v>100</v>
      </c>
      <c r="AH35" s="17">
        <v>31</v>
      </c>
      <c r="AI35" s="46">
        <v>10</v>
      </c>
      <c r="AJ35" s="123">
        <v>0</v>
      </c>
      <c r="AK35" s="87"/>
      <c r="AL35" s="87">
        <f>INDEX(章节关卡!$F$6:$F$34,芦花古楼!AI35)*芦花古楼!AJ35</f>
        <v>0</v>
      </c>
      <c r="AM35" s="22">
        <f t="shared" si="7"/>
        <v>50</v>
      </c>
      <c r="AN35" s="22">
        <f t="shared" si="8"/>
        <v>50</v>
      </c>
      <c r="AO35" s="14">
        <f>INDEX(章节关卡!$H$6:$H$34,芦花古楼!AI35)*芦花古楼!AJ35</f>
        <v>0</v>
      </c>
      <c r="AP35" s="14">
        <v>100</v>
      </c>
      <c r="AS35" s="18">
        <v>30</v>
      </c>
      <c r="AT35" s="87">
        <v>7</v>
      </c>
      <c r="AV35" s="18">
        <v>30</v>
      </c>
      <c r="AW35" s="87">
        <v>9</v>
      </c>
      <c r="AY35" s="18">
        <v>30</v>
      </c>
      <c r="AZ35" s="18">
        <v>9</v>
      </c>
      <c r="BB35" s="18">
        <v>30</v>
      </c>
      <c r="BC35" s="18">
        <v>9</v>
      </c>
      <c r="BF35" s="18">
        <v>30</v>
      </c>
      <c r="BG35" s="14">
        <f t="shared" si="9"/>
        <v>710</v>
      </c>
      <c r="BH35" s="14">
        <f t="shared" si="10"/>
        <v>385</v>
      </c>
      <c r="BI35" s="14">
        <f t="shared" si="11"/>
        <v>0</v>
      </c>
      <c r="BJ35" s="14">
        <f t="shared" si="12"/>
        <v>850</v>
      </c>
      <c r="BK35" s="14">
        <f t="shared" si="13"/>
        <v>1095</v>
      </c>
      <c r="BL35" s="14">
        <f t="shared" si="14"/>
        <v>2190</v>
      </c>
      <c r="BN35" s="18">
        <v>31</v>
      </c>
      <c r="BO35" s="22">
        <v>30</v>
      </c>
      <c r="BU35" s="52">
        <v>30</v>
      </c>
      <c r="BV35" s="52">
        <v>106</v>
      </c>
      <c r="BW35" s="52">
        <v>1606032</v>
      </c>
      <c r="BX35" s="52" t="s">
        <v>350</v>
      </c>
      <c r="BY35" s="52">
        <v>3</v>
      </c>
      <c r="BZ35" s="52">
        <v>21</v>
      </c>
      <c r="CA35" s="52">
        <f>SUM(BZ$5:BZ35)</f>
        <v>582</v>
      </c>
      <c r="CJ35" s="52">
        <v>31</v>
      </c>
      <c r="CK35" s="52">
        <v>1</v>
      </c>
      <c r="CL35" s="52" t="s">
        <v>257</v>
      </c>
      <c r="CM35" s="52">
        <v>31</v>
      </c>
      <c r="CN35" s="52"/>
      <c r="CO35" s="52"/>
      <c r="CP35" s="52"/>
      <c r="CQ35" s="52" t="s">
        <v>372</v>
      </c>
      <c r="CR35" s="52">
        <v>2400</v>
      </c>
      <c r="CS35" s="52" t="s">
        <v>373</v>
      </c>
      <c r="CT35" s="52">
        <v>35</v>
      </c>
      <c r="CU35" s="52"/>
      <c r="CV35" s="52"/>
      <c r="CW35" s="52" t="s">
        <v>373</v>
      </c>
      <c r="CX35" s="52">
        <v>50</v>
      </c>
      <c r="CY35" s="52"/>
      <c r="CZ35" s="52"/>
      <c r="DA35" s="52"/>
      <c r="DB35" s="52"/>
      <c r="DC35" s="52"/>
      <c r="DD35" s="52"/>
      <c r="DE35" s="52"/>
      <c r="DF35" s="52"/>
      <c r="DG35" s="52"/>
      <c r="DH35" s="52"/>
    </row>
    <row r="36" spans="1:112" ht="16.5" x14ac:dyDescent="0.2">
      <c r="A36" s="17">
        <v>32</v>
      </c>
      <c r="B36" s="78">
        <v>9</v>
      </c>
      <c r="C36" s="123">
        <v>0</v>
      </c>
      <c r="D36" s="87"/>
      <c r="E36" s="78">
        <f>INDEX(章节关卡!$F$6:$F$34,芦花古楼!B36)*芦花古楼!C36</f>
        <v>0</v>
      </c>
      <c r="F36" s="22">
        <f t="shared" si="0"/>
        <v>35</v>
      </c>
      <c r="G36" s="22">
        <f t="shared" si="1"/>
        <v>50</v>
      </c>
      <c r="H36" s="14">
        <f>INDEX(章节关卡!$H$6:$H$34,芦花古楼!B36)*芦花古楼!C36</f>
        <v>0</v>
      </c>
      <c r="I36" s="14">
        <v>100</v>
      </c>
      <c r="L36" s="17">
        <v>32</v>
      </c>
      <c r="M36" s="78">
        <f t="shared" si="4"/>
        <v>10</v>
      </c>
      <c r="N36" s="123">
        <v>0</v>
      </c>
      <c r="O36" s="87"/>
      <c r="P36" s="78">
        <f>INDEX(章节关卡!$F$6:$F$34,芦花古楼!M36)*芦花古楼!N36</f>
        <v>0</v>
      </c>
      <c r="Q36" s="22">
        <f t="shared" si="5"/>
        <v>40</v>
      </c>
      <c r="R36" s="22">
        <f t="shared" si="6"/>
        <v>50</v>
      </c>
      <c r="S36" s="14">
        <f>INDEX(章节关卡!$H$6:$H$34,芦花古楼!M36)*芦花古楼!N36</f>
        <v>0</v>
      </c>
      <c r="T36" s="14">
        <v>100</v>
      </c>
      <c r="W36" s="17">
        <v>32</v>
      </c>
      <c r="X36" s="46">
        <v>10</v>
      </c>
      <c r="Y36" s="123">
        <v>0</v>
      </c>
      <c r="Z36" s="87"/>
      <c r="AA36" s="87">
        <f>INDEX(章节关卡!$F$6:$F$34,芦花古楼!X36)*芦花古楼!Y36</f>
        <v>0</v>
      </c>
      <c r="AB36" s="22">
        <f t="shared" si="2"/>
        <v>45</v>
      </c>
      <c r="AC36" s="22">
        <f t="shared" si="3"/>
        <v>50</v>
      </c>
      <c r="AD36" s="14">
        <f>INDEX(章节关卡!$H$6:$H$34,芦花古楼!X36)*芦花古楼!Y36</f>
        <v>0</v>
      </c>
      <c r="AE36" s="14">
        <v>100</v>
      </c>
      <c r="AH36" s="17">
        <v>32</v>
      </c>
      <c r="AI36" s="46">
        <v>10</v>
      </c>
      <c r="AJ36" s="123">
        <v>0</v>
      </c>
      <c r="AK36" s="87"/>
      <c r="AL36" s="87">
        <f>INDEX(章节关卡!$F$6:$F$34,芦花古楼!AI36)*芦花古楼!AJ36</f>
        <v>0</v>
      </c>
      <c r="AM36" s="22">
        <f t="shared" si="7"/>
        <v>50</v>
      </c>
      <c r="AN36" s="22">
        <f t="shared" si="8"/>
        <v>50</v>
      </c>
      <c r="AO36" s="14">
        <f>INDEX(章节关卡!$H$6:$H$34,芦花古楼!AI36)*芦花古楼!AJ36</f>
        <v>0</v>
      </c>
      <c r="AP36" s="14">
        <v>100</v>
      </c>
      <c r="AS36" s="18">
        <v>31</v>
      </c>
      <c r="AT36" s="18">
        <v>8</v>
      </c>
      <c r="AV36" s="18">
        <v>31</v>
      </c>
      <c r="AW36" s="87">
        <v>10</v>
      </c>
      <c r="AY36" s="18">
        <v>31</v>
      </c>
      <c r="AZ36" s="18">
        <v>10</v>
      </c>
      <c r="BB36" s="18">
        <v>31</v>
      </c>
      <c r="BC36" s="18">
        <v>10</v>
      </c>
      <c r="BF36" s="18">
        <v>31</v>
      </c>
      <c r="BG36" s="14">
        <f t="shared" si="9"/>
        <v>625</v>
      </c>
      <c r="BH36" s="14">
        <f t="shared" si="10"/>
        <v>405</v>
      </c>
      <c r="BI36" s="14">
        <f t="shared" si="11"/>
        <v>0</v>
      </c>
      <c r="BJ36" s="14">
        <f t="shared" si="12"/>
        <v>1000</v>
      </c>
      <c r="BK36" s="14">
        <f t="shared" si="13"/>
        <v>1010</v>
      </c>
      <c r="BL36" s="14">
        <f t="shared" si="14"/>
        <v>2020</v>
      </c>
      <c r="BN36" s="18">
        <v>32</v>
      </c>
      <c r="BO36" s="22">
        <v>30</v>
      </c>
      <c r="BU36" s="52">
        <v>31</v>
      </c>
      <c r="BV36" s="52">
        <v>106</v>
      </c>
      <c r="BW36" s="52">
        <v>1606033</v>
      </c>
      <c r="BX36" s="52" t="s">
        <v>351</v>
      </c>
      <c r="BY36" s="52">
        <v>3</v>
      </c>
      <c r="BZ36" s="52">
        <v>21</v>
      </c>
      <c r="CA36" s="52">
        <f>SUM(BZ$5:BZ36)</f>
        <v>603</v>
      </c>
      <c r="CJ36" s="52">
        <v>32</v>
      </c>
      <c r="CK36" s="52">
        <v>1</v>
      </c>
      <c r="CL36" s="52" t="s">
        <v>257</v>
      </c>
      <c r="CM36" s="52">
        <v>32</v>
      </c>
      <c r="CN36" s="52"/>
      <c r="CO36" s="52"/>
      <c r="CP36" s="52"/>
      <c r="CQ36" s="52" t="s">
        <v>372</v>
      </c>
      <c r="CR36" s="52">
        <v>2400</v>
      </c>
      <c r="CS36" s="52" t="s">
        <v>373</v>
      </c>
      <c r="CT36" s="52">
        <v>35</v>
      </c>
      <c r="CU36" s="52"/>
      <c r="CV36" s="52"/>
      <c r="CW36" s="52" t="s">
        <v>373</v>
      </c>
      <c r="CX36" s="52">
        <v>50</v>
      </c>
      <c r="CY36" s="52"/>
      <c r="CZ36" s="52"/>
      <c r="DA36" s="52"/>
      <c r="DB36" s="52"/>
      <c r="DC36" s="52"/>
      <c r="DD36" s="52"/>
      <c r="DE36" s="52"/>
      <c r="DF36" s="52"/>
      <c r="DG36" s="52"/>
      <c r="DH36" s="52"/>
    </row>
    <row r="37" spans="1:112" ht="16.5" x14ac:dyDescent="0.2">
      <c r="A37" s="17">
        <v>33</v>
      </c>
      <c r="B37" s="78">
        <v>9</v>
      </c>
      <c r="C37" s="123">
        <v>0</v>
      </c>
      <c r="D37" s="87"/>
      <c r="E37" s="78">
        <f>INDEX(章节关卡!$F$6:$F$34,芦花古楼!B37)*芦花古楼!C37</f>
        <v>0</v>
      </c>
      <c r="F37" s="22">
        <f t="shared" ref="F37:F68" si="15">INT((A37-1)/5+1)*5</f>
        <v>35</v>
      </c>
      <c r="G37" s="22">
        <f t="shared" ref="G37:G68" si="16">INT(A37/5)*5+20</f>
        <v>50</v>
      </c>
      <c r="H37" s="14">
        <f>INDEX(章节关卡!$H$6:$H$34,芦花古楼!B37)*芦花古楼!C37</f>
        <v>0</v>
      </c>
      <c r="I37" s="14">
        <v>100</v>
      </c>
      <c r="L37" s="17">
        <v>33</v>
      </c>
      <c r="M37" s="78">
        <f t="shared" si="4"/>
        <v>10</v>
      </c>
      <c r="N37" s="123">
        <v>0</v>
      </c>
      <c r="O37" s="87"/>
      <c r="P37" s="78">
        <f>INDEX(章节关卡!$F$6:$F$34,芦花古楼!M37)*芦花古楼!N37</f>
        <v>0</v>
      </c>
      <c r="Q37" s="22">
        <f t="shared" si="5"/>
        <v>40</v>
      </c>
      <c r="R37" s="22">
        <f t="shared" si="6"/>
        <v>50</v>
      </c>
      <c r="S37" s="14">
        <f>INDEX(章节关卡!$H$6:$H$34,芦花古楼!M37)*芦花古楼!N37</f>
        <v>0</v>
      </c>
      <c r="T37" s="14">
        <v>100</v>
      </c>
      <c r="W37" s="17">
        <v>33</v>
      </c>
      <c r="X37" s="46">
        <v>10</v>
      </c>
      <c r="Y37" s="123">
        <v>0</v>
      </c>
      <c r="Z37" s="87"/>
      <c r="AA37" s="87">
        <f>INDEX(章节关卡!$F$6:$F$34,芦花古楼!X37)*芦花古楼!Y37</f>
        <v>0</v>
      </c>
      <c r="AB37" s="22">
        <f t="shared" ref="AB37:AB68" si="17">INT((W37-1)/5+3)*5</f>
        <v>45</v>
      </c>
      <c r="AC37" s="22">
        <f t="shared" ref="AC37:AC68" si="18">INT(W37/5)*5+20</f>
        <v>50</v>
      </c>
      <c r="AD37" s="14">
        <f>INDEX(章节关卡!$H$6:$H$34,芦花古楼!X37)*芦花古楼!Y37</f>
        <v>0</v>
      </c>
      <c r="AE37" s="14">
        <v>100</v>
      </c>
      <c r="AH37" s="17">
        <v>33</v>
      </c>
      <c r="AI37" s="46">
        <v>10</v>
      </c>
      <c r="AJ37" s="123">
        <v>0</v>
      </c>
      <c r="AK37" s="87"/>
      <c r="AL37" s="87">
        <f>INDEX(章节关卡!$F$6:$F$34,芦花古楼!AI37)*芦花古楼!AJ37</f>
        <v>0</v>
      </c>
      <c r="AM37" s="22">
        <f t="shared" si="7"/>
        <v>50</v>
      </c>
      <c r="AN37" s="22">
        <f t="shared" si="8"/>
        <v>50</v>
      </c>
      <c r="AO37" s="14">
        <f>INDEX(章节关卡!$H$6:$H$34,芦花古楼!AI37)*芦花古楼!AJ37</f>
        <v>0</v>
      </c>
      <c r="AP37" s="14">
        <v>100</v>
      </c>
      <c r="AS37" s="18">
        <v>32</v>
      </c>
      <c r="AT37" s="87">
        <v>8</v>
      </c>
      <c r="AV37" s="18">
        <v>32</v>
      </c>
      <c r="AW37" s="87">
        <v>10</v>
      </c>
      <c r="AY37" s="18">
        <v>32</v>
      </c>
      <c r="AZ37" s="18">
        <v>10</v>
      </c>
      <c r="BB37" s="18">
        <v>32</v>
      </c>
      <c r="BC37" s="18">
        <v>10</v>
      </c>
      <c r="BF37" s="18">
        <v>32</v>
      </c>
      <c r="BG37" s="14">
        <f t="shared" si="9"/>
        <v>660</v>
      </c>
      <c r="BH37" s="14">
        <f t="shared" si="10"/>
        <v>405</v>
      </c>
      <c r="BI37" s="14">
        <f t="shared" si="11"/>
        <v>0</v>
      </c>
      <c r="BJ37" s="14">
        <f t="shared" si="12"/>
        <v>1000</v>
      </c>
      <c r="BK37" s="14">
        <f t="shared" si="13"/>
        <v>1065</v>
      </c>
      <c r="BL37" s="14">
        <f t="shared" si="14"/>
        <v>2130</v>
      </c>
      <c r="BN37" s="18">
        <v>33</v>
      </c>
      <c r="BO37" s="22">
        <v>30</v>
      </c>
      <c r="BU37" s="52">
        <v>32</v>
      </c>
      <c r="BV37" s="52">
        <v>106</v>
      </c>
      <c r="BW37" s="52">
        <v>1606034</v>
      </c>
      <c r="BX37" s="52" t="s">
        <v>352</v>
      </c>
      <c r="BY37" s="52">
        <v>3</v>
      </c>
      <c r="BZ37" s="52">
        <v>21</v>
      </c>
      <c r="CA37" s="52">
        <f>SUM(BZ$5:BZ37)</f>
        <v>624</v>
      </c>
      <c r="CJ37" s="52">
        <v>33</v>
      </c>
      <c r="CK37" s="52">
        <v>1</v>
      </c>
      <c r="CL37" s="52" t="s">
        <v>257</v>
      </c>
      <c r="CM37" s="52">
        <v>33</v>
      </c>
      <c r="CN37" s="52"/>
      <c r="CO37" s="52"/>
      <c r="CP37" s="52"/>
      <c r="CQ37" s="52" t="s">
        <v>372</v>
      </c>
      <c r="CR37" s="52">
        <v>2400</v>
      </c>
      <c r="CS37" s="52" t="s">
        <v>373</v>
      </c>
      <c r="CT37" s="52">
        <v>35</v>
      </c>
      <c r="CU37" s="52"/>
      <c r="CV37" s="52"/>
      <c r="CW37" s="52" t="s">
        <v>373</v>
      </c>
      <c r="CX37" s="52">
        <v>50</v>
      </c>
      <c r="CY37" s="52"/>
      <c r="CZ37" s="52"/>
      <c r="DA37" s="52"/>
      <c r="DB37" s="52"/>
      <c r="DC37" s="52"/>
      <c r="DD37" s="52"/>
      <c r="DE37" s="52"/>
      <c r="DF37" s="52"/>
      <c r="DG37" s="52"/>
      <c r="DH37" s="52"/>
    </row>
    <row r="38" spans="1:112" ht="16.5" x14ac:dyDescent="0.2">
      <c r="A38" s="17">
        <v>34</v>
      </c>
      <c r="B38" s="78">
        <v>9</v>
      </c>
      <c r="C38" s="123">
        <v>0</v>
      </c>
      <c r="D38" s="87"/>
      <c r="E38" s="78">
        <f>INDEX(章节关卡!$F$6:$F$34,芦花古楼!B38)*芦花古楼!C38</f>
        <v>0</v>
      </c>
      <c r="F38" s="22">
        <f t="shared" si="15"/>
        <v>35</v>
      </c>
      <c r="G38" s="22">
        <f t="shared" si="16"/>
        <v>50</v>
      </c>
      <c r="H38" s="14">
        <f>INDEX(章节关卡!$H$6:$H$34,芦花古楼!B38)*芦花古楼!C38</f>
        <v>0</v>
      </c>
      <c r="I38" s="14">
        <v>100</v>
      </c>
      <c r="L38" s="17">
        <v>34</v>
      </c>
      <c r="M38" s="78">
        <f t="shared" si="4"/>
        <v>10</v>
      </c>
      <c r="N38" s="123">
        <v>0</v>
      </c>
      <c r="O38" s="87"/>
      <c r="P38" s="78">
        <f>INDEX(章节关卡!$F$6:$F$34,芦花古楼!M38)*芦花古楼!N38</f>
        <v>0</v>
      </c>
      <c r="Q38" s="22">
        <f t="shared" si="5"/>
        <v>40</v>
      </c>
      <c r="R38" s="22">
        <f t="shared" si="6"/>
        <v>50</v>
      </c>
      <c r="S38" s="14">
        <f>INDEX(章节关卡!$H$6:$H$34,芦花古楼!M38)*芦花古楼!N38</f>
        <v>0</v>
      </c>
      <c r="T38" s="14">
        <v>100</v>
      </c>
      <c r="W38" s="17">
        <v>34</v>
      </c>
      <c r="X38" s="46">
        <v>10</v>
      </c>
      <c r="Y38" s="123">
        <v>0</v>
      </c>
      <c r="Z38" s="87"/>
      <c r="AA38" s="87">
        <f>INDEX(章节关卡!$F$6:$F$34,芦花古楼!X38)*芦花古楼!Y38</f>
        <v>0</v>
      </c>
      <c r="AB38" s="22">
        <f t="shared" si="17"/>
        <v>45</v>
      </c>
      <c r="AC38" s="22">
        <f t="shared" si="18"/>
        <v>50</v>
      </c>
      <c r="AD38" s="14">
        <f>INDEX(章节关卡!$H$6:$H$34,芦花古楼!X38)*芦花古楼!Y38</f>
        <v>0</v>
      </c>
      <c r="AE38" s="14">
        <v>100</v>
      </c>
      <c r="AH38" s="17">
        <v>34</v>
      </c>
      <c r="AI38" s="46">
        <v>10</v>
      </c>
      <c r="AJ38" s="123">
        <v>0</v>
      </c>
      <c r="AK38" s="87"/>
      <c r="AL38" s="87">
        <f>INDEX(章节关卡!$F$6:$F$34,芦花古楼!AI38)*芦花古楼!AJ38</f>
        <v>0</v>
      </c>
      <c r="AM38" s="22">
        <f t="shared" si="7"/>
        <v>50</v>
      </c>
      <c r="AN38" s="22">
        <f t="shared" si="8"/>
        <v>50</v>
      </c>
      <c r="AO38" s="14">
        <f>INDEX(章节关卡!$H$6:$H$34,芦花古楼!AI38)*芦花古楼!AJ38</f>
        <v>0</v>
      </c>
      <c r="AP38" s="14">
        <v>100</v>
      </c>
      <c r="AS38" s="18">
        <v>33</v>
      </c>
      <c r="AT38" s="87">
        <v>8</v>
      </c>
      <c r="AV38" s="18">
        <v>33</v>
      </c>
      <c r="AW38" s="87">
        <v>10</v>
      </c>
      <c r="AY38" s="18">
        <v>33</v>
      </c>
      <c r="AZ38" s="18">
        <v>10</v>
      </c>
      <c r="BB38" s="18">
        <v>33</v>
      </c>
      <c r="BC38" s="18">
        <v>10</v>
      </c>
      <c r="BF38" s="18">
        <v>33</v>
      </c>
      <c r="BG38" s="14">
        <f t="shared" ref="BG38:BG69" si="19">SUMIFS($F$5:$F$104,$AT$6:$AT$105,"="&amp;BF38)+SUMIFS($Q$5:$Q$104,$AW$6:$AW$105,"="&amp;BF38)+SUMIFS($AB$5:$AB$104,$AZ$6:$AZ$105,"="&amp;BF38)+SUMIFS($AM$5:$AM$104,$BC$6:$BC$105,"="&amp;BF38)</f>
        <v>375</v>
      </c>
      <c r="BH38" s="14">
        <f t="shared" ref="BH38:BH69" si="20">INDEX($G$5:$G$104,MATCH(BF38,$AT$5:$AT$105,1)-1)+INDEX($R$5:$R$104,MATCH(BF38,$AW$5:$AW$105,1)-1)+INDEX($AC$5:$AC$104,MATCH(BF38,$AZ$5:$AZ$105,1)-1)+INDEX($AN$5:$AN$104,MATCH(BF38,$BC$5:$BC$105,1)-1)</f>
        <v>405</v>
      </c>
      <c r="BI38" s="14">
        <f t="shared" ref="BI38:BI69" si="21">SUMIFS($H$5:$H$104,$AT$6:$AT$105,"="&amp;BF38)+SUMIFS($S$5:$S$104,$AW$6:$AW$105,"="&amp;BF38)+SUMIFS($AD$5:$AD$104,$AZ$6:$AZ$105,"="&amp;BF38)+SUMIFS($AO$5:$AO$104,$BC$6:$BC$105,"="&amp;BF38)</f>
        <v>0</v>
      </c>
      <c r="BJ38" s="14">
        <f t="shared" si="12"/>
        <v>1000</v>
      </c>
      <c r="BK38" s="14">
        <f t="shared" si="13"/>
        <v>780</v>
      </c>
      <c r="BL38" s="14">
        <f t="shared" si="14"/>
        <v>1560</v>
      </c>
      <c r="BN38" s="18">
        <v>34</v>
      </c>
      <c r="BO38" s="22">
        <v>30</v>
      </c>
      <c r="BU38" s="52">
        <v>33</v>
      </c>
      <c r="BV38" s="52">
        <v>106</v>
      </c>
      <c r="BW38" s="52">
        <v>1606035</v>
      </c>
      <c r="BX38" s="52" t="s">
        <v>353</v>
      </c>
      <c r="BY38" s="52">
        <v>4</v>
      </c>
      <c r="BZ38" s="52">
        <v>21</v>
      </c>
      <c r="CA38" s="52">
        <f>SUM(BZ$5:BZ38)</f>
        <v>645</v>
      </c>
      <c r="CJ38" s="52">
        <v>34</v>
      </c>
      <c r="CK38" s="52">
        <v>1</v>
      </c>
      <c r="CL38" s="52" t="s">
        <v>257</v>
      </c>
      <c r="CM38" s="52">
        <v>34</v>
      </c>
      <c r="CN38" s="52"/>
      <c r="CO38" s="52"/>
      <c r="CP38" s="52"/>
      <c r="CQ38" s="52" t="s">
        <v>372</v>
      </c>
      <c r="CR38" s="52">
        <v>2400</v>
      </c>
      <c r="CS38" s="52" t="s">
        <v>373</v>
      </c>
      <c r="CT38" s="52">
        <v>35</v>
      </c>
      <c r="CU38" s="52"/>
      <c r="CV38" s="52"/>
      <c r="CW38" s="52" t="s">
        <v>373</v>
      </c>
      <c r="CX38" s="52">
        <v>50</v>
      </c>
      <c r="CY38" s="52"/>
      <c r="CZ38" s="52"/>
      <c r="DA38" s="52"/>
      <c r="DB38" s="52"/>
      <c r="DC38" s="52"/>
      <c r="DD38" s="52"/>
      <c r="DE38" s="52"/>
      <c r="DF38" s="52"/>
      <c r="DG38" s="52"/>
      <c r="DH38" s="52"/>
    </row>
    <row r="39" spans="1:112" ht="16.5" x14ac:dyDescent="0.2">
      <c r="A39" s="17">
        <v>35</v>
      </c>
      <c r="B39" s="78">
        <v>9</v>
      </c>
      <c r="C39" s="123">
        <v>0</v>
      </c>
      <c r="D39" s="87"/>
      <c r="E39" s="78">
        <f>INDEX(章节关卡!$F$6:$F$34,芦花古楼!B39)*芦花古楼!C39</f>
        <v>0</v>
      </c>
      <c r="F39" s="22">
        <f t="shared" si="15"/>
        <v>35</v>
      </c>
      <c r="G39" s="22">
        <f t="shared" si="16"/>
        <v>55</v>
      </c>
      <c r="H39" s="14">
        <f>INDEX(章节关卡!$H$6:$H$34,芦花古楼!B39)*芦花古楼!C39</f>
        <v>0</v>
      </c>
      <c r="I39" s="14">
        <v>100</v>
      </c>
      <c r="L39" s="17">
        <v>35</v>
      </c>
      <c r="M39" s="78">
        <f t="shared" si="4"/>
        <v>10</v>
      </c>
      <c r="N39" s="123">
        <v>0</v>
      </c>
      <c r="O39" s="87"/>
      <c r="P39" s="78">
        <f>INDEX(章节关卡!$F$6:$F$34,芦花古楼!M39)*芦花古楼!N39</f>
        <v>0</v>
      </c>
      <c r="Q39" s="22">
        <f t="shared" si="5"/>
        <v>40</v>
      </c>
      <c r="R39" s="22">
        <f t="shared" si="6"/>
        <v>55</v>
      </c>
      <c r="S39" s="14">
        <f>INDEX(章节关卡!$H$6:$H$34,芦花古楼!M39)*芦花古楼!N39</f>
        <v>0</v>
      </c>
      <c r="T39" s="14">
        <v>100</v>
      </c>
      <c r="W39" s="17">
        <v>35</v>
      </c>
      <c r="X39" s="46">
        <v>10</v>
      </c>
      <c r="Y39" s="123">
        <v>0</v>
      </c>
      <c r="Z39" s="87"/>
      <c r="AA39" s="87">
        <f>INDEX(章节关卡!$F$6:$F$34,芦花古楼!X39)*芦花古楼!Y39</f>
        <v>0</v>
      </c>
      <c r="AB39" s="22">
        <f t="shared" si="17"/>
        <v>45</v>
      </c>
      <c r="AC39" s="22">
        <f t="shared" si="18"/>
        <v>55</v>
      </c>
      <c r="AD39" s="14">
        <f>INDEX(章节关卡!$H$6:$H$34,芦花古楼!X39)*芦花古楼!Y39</f>
        <v>0</v>
      </c>
      <c r="AE39" s="14">
        <v>100</v>
      </c>
      <c r="AH39" s="17">
        <v>35</v>
      </c>
      <c r="AI39" s="46">
        <v>10</v>
      </c>
      <c r="AJ39" s="123">
        <v>0</v>
      </c>
      <c r="AK39" s="87"/>
      <c r="AL39" s="87">
        <f>INDEX(章节关卡!$F$6:$F$34,芦花古楼!AI39)*芦花古楼!AJ39</f>
        <v>0</v>
      </c>
      <c r="AM39" s="22">
        <f t="shared" si="7"/>
        <v>50</v>
      </c>
      <c r="AN39" s="22">
        <f t="shared" si="8"/>
        <v>55</v>
      </c>
      <c r="AO39" s="14">
        <f>INDEX(章节关卡!$H$6:$H$34,芦花古楼!AI39)*芦花古楼!AJ39</f>
        <v>0</v>
      </c>
      <c r="AP39" s="14">
        <v>100</v>
      </c>
      <c r="AS39" s="18">
        <v>34</v>
      </c>
      <c r="AT39" s="87">
        <v>9</v>
      </c>
      <c r="AV39" s="18">
        <v>34</v>
      </c>
      <c r="AW39" s="87">
        <v>11</v>
      </c>
      <c r="AY39" s="18">
        <v>34</v>
      </c>
      <c r="AZ39" s="18">
        <v>11</v>
      </c>
      <c r="BB39" s="18">
        <v>34</v>
      </c>
      <c r="BC39" s="18">
        <v>11</v>
      </c>
      <c r="BF39" s="18">
        <v>34</v>
      </c>
      <c r="BG39" s="14">
        <f t="shared" si="19"/>
        <v>375</v>
      </c>
      <c r="BH39" s="14">
        <f t="shared" si="20"/>
        <v>405</v>
      </c>
      <c r="BI39" s="14">
        <f t="shared" si="21"/>
        <v>0</v>
      </c>
      <c r="BJ39" s="14">
        <f t="shared" si="12"/>
        <v>1000</v>
      </c>
      <c r="BK39" s="14">
        <f t="shared" si="13"/>
        <v>780</v>
      </c>
      <c r="BL39" s="14">
        <f t="shared" si="14"/>
        <v>1560</v>
      </c>
      <c r="BN39" s="18">
        <v>35</v>
      </c>
      <c r="BO39" s="22">
        <v>30</v>
      </c>
      <c r="BU39" s="52">
        <v>34</v>
      </c>
      <c r="BV39" s="52">
        <v>106</v>
      </c>
      <c r="BW39" s="52">
        <v>1606036</v>
      </c>
      <c r="BX39" s="52" t="s">
        <v>354</v>
      </c>
      <c r="BY39" s="52">
        <v>4</v>
      </c>
      <c r="BZ39" s="52">
        <v>21</v>
      </c>
      <c r="CA39" s="52">
        <f>SUM(BZ$5:BZ39)</f>
        <v>666</v>
      </c>
      <c r="CJ39" s="52">
        <v>35</v>
      </c>
      <c r="CK39" s="52">
        <v>1</v>
      </c>
      <c r="CL39" s="52" t="s">
        <v>257</v>
      </c>
      <c r="CM39" s="52">
        <v>35</v>
      </c>
      <c r="CN39" s="52"/>
      <c r="CO39" s="52"/>
      <c r="CP39" s="52"/>
      <c r="CQ39" s="52" t="s">
        <v>372</v>
      </c>
      <c r="CR39" s="52">
        <v>3000</v>
      </c>
      <c r="CS39" s="52" t="s">
        <v>373</v>
      </c>
      <c r="CT39" s="52">
        <v>35</v>
      </c>
      <c r="CU39" s="52" t="s">
        <v>374</v>
      </c>
      <c r="CV39" s="52">
        <v>2</v>
      </c>
      <c r="CW39" s="52" t="s">
        <v>373</v>
      </c>
      <c r="CX39" s="52">
        <v>55</v>
      </c>
      <c r="CY39" s="52"/>
      <c r="CZ39" s="52"/>
      <c r="DA39" s="52"/>
      <c r="DB39" s="52"/>
      <c r="DC39" s="52"/>
      <c r="DD39" s="52"/>
      <c r="DE39" s="52"/>
      <c r="DF39" s="52"/>
      <c r="DG39" s="52"/>
      <c r="DH39" s="52"/>
    </row>
    <row r="40" spans="1:112" ht="16.5" x14ac:dyDescent="0.2">
      <c r="A40" s="17">
        <v>36</v>
      </c>
      <c r="B40" s="24">
        <v>10</v>
      </c>
      <c r="C40" s="123">
        <v>0</v>
      </c>
      <c r="D40" s="87"/>
      <c r="E40" s="78">
        <f>INDEX(章节关卡!$F$6:$F$34,芦花古楼!B40)*芦花古楼!C40</f>
        <v>0</v>
      </c>
      <c r="F40" s="22">
        <f t="shared" si="15"/>
        <v>40</v>
      </c>
      <c r="G40" s="22">
        <f t="shared" si="16"/>
        <v>55</v>
      </c>
      <c r="H40" s="14">
        <f>INDEX(章节关卡!$H$6:$H$34,芦花古楼!B40)*芦花古楼!C40</f>
        <v>0</v>
      </c>
      <c r="I40" s="14">
        <v>100</v>
      </c>
      <c r="L40" s="17">
        <v>36</v>
      </c>
      <c r="M40" s="78">
        <f t="shared" si="4"/>
        <v>11</v>
      </c>
      <c r="N40" s="123">
        <v>0</v>
      </c>
      <c r="O40" s="87"/>
      <c r="P40" s="78">
        <f>INDEX(章节关卡!$F$6:$F$34,芦花古楼!M40)*芦花古楼!N40</f>
        <v>0</v>
      </c>
      <c r="Q40" s="22">
        <f t="shared" si="5"/>
        <v>45</v>
      </c>
      <c r="R40" s="22">
        <f t="shared" si="6"/>
        <v>55</v>
      </c>
      <c r="S40" s="14">
        <f>INDEX(章节关卡!$H$6:$H$34,芦花古楼!M40)*芦花古楼!N40</f>
        <v>0</v>
      </c>
      <c r="T40" s="14">
        <v>100</v>
      </c>
      <c r="W40" s="17">
        <v>36</v>
      </c>
      <c r="X40" s="46">
        <v>11</v>
      </c>
      <c r="Y40" s="123">
        <v>0</v>
      </c>
      <c r="Z40" s="87"/>
      <c r="AA40" s="87">
        <f>INDEX(章节关卡!$F$6:$F$34,芦花古楼!X40)*芦花古楼!Y40</f>
        <v>0</v>
      </c>
      <c r="AB40" s="22">
        <f t="shared" si="17"/>
        <v>50</v>
      </c>
      <c r="AC40" s="22">
        <f t="shared" si="18"/>
        <v>55</v>
      </c>
      <c r="AD40" s="14">
        <f>INDEX(章节关卡!$H$6:$H$34,芦花古楼!X40)*芦花古楼!Y40</f>
        <v>0</v>
      </c>
      <c r="AE40" s="14">
        <v>100</v>
      </c>
      <c r="AH40" s="17">
        <v>36</v>
      </c>
      <c r="AI40" s="46">
        <v>11</v>
      </c>
      <c r="AJ40" s="123">
        <v>0</v>
      </c>
      <c r="AK40" s="87"/>
      <c r="AL40" s="87">
        <f>INDEX(章节关卡!$F$6:$F$34,芦花古楼!AI40)*芦花古楼!AJ40</f>
        <v>0</v>
      </c>
      <c r="AM40" s="22">
        <f t="shared" si="7"/>
        <v>55</v>
      </c>
      <c r="AN40" s="22">
        <f t="shared" si="8"/>
        <v>55</v>
      </c>
      <c r="AO40" s="14">
        <f>INDEX(章节关卡!$H$6:$H$34,芦花古楼!AI40)*芦花古楼!AJ40</f>
        <v>0</v>
      </c>
      <c r="AP40" s="14">
        <v>100</v>
      </c>
      <c r="AS40" s="18">
        <v>35</v>
      </c>
      <c r="AT40" s="87">
        <v>9</v>
      </c>
      <c r="AV40" s="18">
        <v>35</v>
      </c>
      <c r="AW40" s="87">
        <v>11</v>
      </c>
      <c r="AY40" s="18">
        <v>35</v>
      </c>
      <c r="AZ40" s="18">
        <v>11</v>
      </c>
      <c r="BB40" s="18">
        <v>35</v>
      </c>
      <c r="BC40" s="18">
        <v>11</v>
      </c>
      <c r="BF40" s="18">
        <v>35</v>
      </c>
      <c r="BG40" s="14">
        <f t="shared" si="19"/>
        <v>375</v>
      </c>
      <c r="BH40" s="14">
        <f t="shared" si="20"/>
        <v>420</v>
      </c>
      <c r="BI40" s="14">
        <f t="shared" si="21"/>
        <v>0</v>
      </c>
      <c r="BJ40" s="14">
        <f t="shared" si="12"/>
        <v>1000</v>
      </c>
      <c r="BK40" s="14">
        <f t="shared" si="13"/>
        <v>780</v>
      </c>
      <c r="BL40" s="14">
        <f t="shared" si="14"/>
        <v>1560</v>
      </c>
      <c r="BN40" s="18">
        <v>36</v>
      </c>
      <c r="BO40" s="22">
        <v>30</v>
      </c>
      <c r="BU40" s="52">
        <v>35</v>
      </c>
      <c r="BV40" s="52">
        <v>107</v>
      </c>
      <c r="BW40" s="52">
        <v>1606037</v>
      </c>
      <c r="BX40" s="52" t="s">
        <v>355</v>
      </c>
      <c r="BY40" s="52">
        <v>2</v>
      </c>
      <c r="BZ40" s="52">
        <v>21</v>
      </c>
      <c r="CA40" s="52">
        <f>SUM(BZ$5:BZ40)</f>
        <v>687</v>
      </c>
      <c r="CJ40" s="52">
        <v>36</v>
      </c>
      <c r="CK40" s="52">
        <v>1</v>
      </c>
      <c r="CL40" s="52" t="s">
        <v>257</v>
      </c>
      <c r="CM40" s="52">
        <v>36</v>
      </c>
      <c r="CN40" s="52"/>
      <c r="CO40" s="52"/>
      <c r="CP40" s="52"/>
      <c r="CQ40" s="52" t="s">
        <v>372</v>
      </c>
      <c r="CR40" s="52">
        <v>3000</v>
      </c>
      <c r="CS40" s="52" t="s">
        <v>373</v>
      </c>
      <c r="CT40" s="52">
        <v>40</v>
      </c>
      <c r="CU40" s="52"/>
      <c r="CV40" s="52"/>
      <c r="CW40" s="52" t="s">
        <v>373</v>
      </c>
      <c r="CX40" s="52">
        <v>55</v>
      </c>
      <c r="CY40" s="52"/>
      <c r="CZ40" s="52"/>
      <c r="DA40" s="52"/>
      <c r="DB40" s="52"/>
      <c r="DC40" s="52"/>
      <c r="DD40" s="52"/>
      <c r="DE40" s="52"/>
      <c r="DF40" s="52"/>
      <c r="DG40" s="52"/>
      <c r="DH40" s="52"/>
    </row>
    <row r="41" spans="1:112" ht="16.5" x14ac:dyDescent="0.2">
      <c r="A41" s="17">
        <v>37</v>
      </c>
      <c r="B41" s="78">
        <v>10</v>
      </c>
      <c r="C41" s="123">
        <v>0</v>
      </c>
      <c r="D41" s="87"/>
      <c r="E41" s="78">
        <f>INDEX(章节关卡!$F$6:$F$34,芦花古楼!B41)*芦花古楼!C41</f>
        <v>0</v>
      </c>
      <c r="F41" s="22">
        <f t="shared" si="15"/>
        <v>40</v>
      </c>
      <c r="G41" s="22">
        <f t="shared" si="16"/>
        <v>55</v>
      </c>
      <c r="H41" s="14">
        <f>INDEX(章节关卡!$H$6:$H$34,芦花古楼!B41)*芦花古楼!C41</f>
        <v>0</v>
      </c>
      <c r="I41" s="14">
        <v>100</v>
      </c>
      <c r="L41" s="17">
        <v>37</v>
      </c>
      <c r="M41" s="78">
        <f t="shared" si="4"/>
        <v>11</v>
      </c>
      <c r="N41" s="123">
        <v>0</v>
      </c>
      <c r="O41" s="87"/>
      <c r="P41" s="78">
        <f>INDEX(章节关卡!$F$6:$F$34,芦花古楼!M41)*芦花古楼!N41</f>
        <v>0</v>
      </c>
      <c r="Q41" s="22">
        <f t="shared" si="5"/>
        <v>45</v>
      </c>
      <c r="R41" s="22">
        <f t="shared" si="6"/>
        <v>55</v>
      </c>
      <c r="S41" s="14">
        <f>INDEX(章节关卡!$H$6:$H$34,芦花古楼!M41)*芦花古楼!N41</f>
        <v>0</v>
      </c>
      <c r="T41" s="14">
        <v>100</v>
      </c>
      <c r="W41" s="17">
        <v>37</v>
      </c>
      <c r="X41" s="46">
        <v>11</v>
      </c>
      <c r="Y41" s="123">
        <v>0</v>
      </c>
      <c r="Z41" s="87"/>
      <c r="AA41" s="87">
        <f>INDEX(章节关卡!$F$6:$F$34,芦花古楼!X41)*芦花古楼!Y41</f>
        <v>0</v>
      </c>
      <c r="AB41" s="22">
        <f t="shared" si="17"/>
        <v>50</v>
      </c>
      <c r="AC41" s="22">
        <f t="shared" si="18"/>
        <v>55</v>
      </c>
      <c r="AD41" s="14">
        <f>INDEX(章节关卡!$H$6:$H$34,芦花古楼!X41)*芦花古楼!Y41</f>
        <v>0</v>
      </c>
      <c r="AE41" s="14">
        <v>100</v>
      </c>
      <c r="AH41" s="17">
        <v>37</v>
      </c>
      <c r="AI41" s="46">
        <v>11</v>
      </c>
      <c r="AJ41" s="123">
        <v>0</v>
      </c>
      <c r="AK41" s="87"/>
      <c r="AL41" s="87">
        <f>INDEX(章节关卡!$F$6:$F$34,芦花古楼!AI41)*芦花古楼!AJ41</f>
        <v>0</v>
      </c>
      <c r="AM41" s="22">
        <f t="shared" si="7"/>
        <v>55</v>
      </c>
      <c r="AN41" s="22">
        <f t="shared" si="8"/>
        <v>55</v>
      </c>
      <c r="AO41" s="14">
        <f>INDEX(章节关卡!$H$6:$H$34,芦花古楼!AI41)*芦花古楼!AJ41</f>
        <v>0</v>
      </c>
      <c r="AP41" s="14">
        <v>100</v>
      </c>
      <c r="AS41" s="18">
        <v>36</v>
      </c>
      <c r="AT41" s="87">
        <v>9</v>
      </c>
      <c r="AV41" s="18">
        <v>36</v>
      </c>
      <c r="AW41" s="87">
        <v>11</v>
      </c>
      <c r="AY41" s="18">
        <v>36</v>
      </c>
      <c r="AZ41" s="18">
        <v>11</v>
      </c>
      <c r="BB41" s="18">
        <v>36</v>
      </c>
      <c r="BC41" s="18">
        <v>11</v>
      </c>
      <c r="BF41" s="18">
        <v>36</v>
      </c>
      <c r="BG41" s="14">
        <f t="shared" si="19"/>
        <v>390</v>
      </c>
      <c r="BH41" s="14">
        <f t="shared" si="20"/>
        <v>425</v>
      </c>
      <c r="BI41" s="14">
        <f t="shared" si="21"/>
        <v>0</v>
      </c>
      <c r="BJ41" s="14">
        <f t="shared" si="12"/>
        <v>1050</v>
      </c>
      <c r="BK41" s="14">
        <f t="shared" si="13"/>
        <v>810</v>
      </c>
      <c r="BL41" s="14">
        <f t="shared" si="14"/>
        <v>1620</v>
      </c>
      <c r="BN41" s="18">
        <v>37</v>
      </c>
      <c r="BO41" s="22">
        <v>30</v>
      </c>
      <c r="BU41" s="52">
        <v>36</v>
      </c>
      <c r="BV41" s="52">
        <v>107</v>
      </c>
      <c r="BW41" s="52">
        <v>1606038</v>
      </c>
      <c r="BX41" s="52" t="s">
        <v>356</v>
      </c>
      <c r="BY41" s="52">
        <v>2</v>
      </c>
      <c r="BZ41" s="52">
        <v>21</v>
      </c>
      <c r="CA41" s="52">
        <f>SUM(BZ$5:BZ41)</f>
        <v>708</v>
      </c>
      <c r="CJ41" s="52">
        <v>37</v>
      </c>
      <c r="CK41" s="52">
        <v>1</v>
      </c>
      <c r="CL41" s="52" t="s">
        <v>257</v>
      </c>
      <c r="CM41" s="52">
        <v>37</v>
      </c>
      <c r="CN41" s="52"/>
      <c r="CO41" s="52"/>
      <c r="CP41" s="52"/>
      <c r="CQ41" s="52" t="s">
        <v>372</v>
      </c>
      <c r="CR41" s="52">
        <v>3000</v>
      </c>
      <c r="CS41" s="52" t="s">
        <v>373</v>
      </c>
      <c r="CT41" s="52">
        <v>40</v>
      </c>
      <c r="CU41" s="52"/>
      <c r="CV41" s="52"/>
      <c r="CW41" s="52" t="s">
        <v>373</v>
      </c>
      <c r="CX41" s="52">
        <v>55</v>
      </c>
      <c r="CY41" s="52"/>
      <c r="CZ41" s="52"/>
      <c r="DA41" s="52"/>
      <c r="DB41" s="52"/>
      <c r="DC41" s="52"/>
      <c r="DD41" s="52"/>
      <c r="DE41" s="52"/>
      <c r="DF41" s="52"/>
      <c r="DG41" s="52"/>
      <c r="DH41" s="52"/>
    </row>
    <row r="42" spans="1:112" ht="16.5" x14ac:dyDescent="0.2">
      <c r="A42" s="17">
        <v>38</v>
      </c>
      <c r="B42" s="78">
        <v>10</v>
      </c>
      <c r="C42" s="123">
        <v>0</v>
      </c>
      <c r="D42" s="87"/>
      <c r="E42" s="78">
        <f>INDEX(章节关卡!$F$6:$F$34,芦花古楼!B42)*芦花古楼!C42</f>
        <v>0</v>
      </c>
      <c r="F42" s="22">
        <f t="shared" si="15"/>
        <v>40</v>
      </c>
      <c r="G42" s="22">
        <f t="shared" si="16"/>
        <v>55</v>
      </c>
      <c r="H42" s="14">
        <f>INDEX(章节关卡!$H$6:$H$34,芦花古楼!B42)*芦花古楼!C42</f>
        <v>0</v>
      </c>
      <c r="I42" s="14">
        <v>100</v>
      </c>
      <c r="L42" s="17">
        <v>38</v>
      </c>
      <c r="M42" s="78">
        <f t="shared" si="4"/>
        <v>11</v>
      </c>
      <c r="N42" s="123">
        <v>0</v>
      </c>
      <c r="O42" s="87"/>
      <c r="P42" s="78">
        <f>INDEX(章节关卡!$F$6:$F$34,芦花古楼!M42)*芦花古楼!N42</f>
        <v>0</v>
      </c>
      <c r="Q42" s="22">
        <f t="shared" si="5"/>
        <v>45</v>
      </c>
      <c r="R42" s="22">
        <f t="shared" si="6"/>
        <v>55</v>
      </c>
      <c r="S42" s="14">
        <f>INDEX(章节关卡!$H$6:$H$34,芦花古楼!M42)*芦花古楼!N42</f>
        <v>0</v>
      </c>
      <c r="T42" s="14">
        <v>100</v>
      </c>
      <c r="W42" s="17">
        <v>38</v>
      </c>
      <c r="X42" s="46">
        <v>11</v>
      </c>
      <c r="Y42" s="123">
        <v>0</v>
      </c>
      <c r="Z42" s="87"/>
      <c r="AA42" s="87">
        <f>INDEX(章节关卡!$F$6:$F$34,芦花古楼!X42)*芦花古楼!Y42</f>
        <v>0</v>
      </c>
      <c r="AB42" s="22">
        <f t="shared" si="17"/>
        <v>50</v>
      </c>
      <c r="AC42" s="22">
        <f t="shared" si="18"/>
        <v>55</v>
      </c>
      <c r="AD42" s="14">
        <f>INDEX(章节关卡!$H$6:$H$34,芦花古楼!X42)*芦花古楼!Y42</f>
        <v>0</v>
      </c>
      <c r="AE42" s="14">
        <v>100</v>
      </c>
      <c r="AH42" s="17">
        <v>38</v>
      </c>
      <c r="AI42" s="46">
        <v>11</v>
      </c>
      <c r="AJ42" s="123">
        <v>0</v>
      </c>
      <c r="AK42" s="87"/>
      <c r="AL42" s="87">
        <f>INDEX(章节关卡!$F$6:$F$34,芦花古楼!AI42)*芦花古楼!AJ42</f>
        <v>0</v>
      </c>
      <c r="AM42" s="22">
        <f t="shared" si="7"/>
        <v>55</v>
      </c>
      <c r="AN42" s="22">
        <f t="shared" si="8"/>
        <v>55</v>
      </c>
      <c r="AO42" s="14">
        <f>INDEX(章节关卡!$H$6:$H$34,芦花古楼!AI42)*芦花古楼!AJ42</f>
        <v>0</v>
      </c>
      <c r="AP42" s="14">
        <v>100</v>
      </c>
      <c r="AS42" s="18">
        <v>37</v>
      </c>
      <c r="AT42" s="87">
        <v>10</v>
      </c>
      <c r="AV42" s="18">
        <v>37</v>
      </c>
      <c r="AW42" s="87">
        <v>12</v>
      </c>
      <c r="AY42" s="18">
        <v>37</v>
      </c>
      <c r="AZ42" s="18">
        <v>12</v>
      </c>
      <c r="BB42" s="18">
        <v>37</v>
      </c>
      <c r="BC42" s="18">
        <v>12</v>
      </c>
      <c r="BF42" s="18">
        <v>37</v>
      </c>
      <c r="BG42" s="14">
        <f t="shared" si="19"/>
        <v>395</v>
      </c>
      <c r="BH42" s="14">
        <f t="shared" si="20"/>
        <v>425</v>
      </c>
      <c r="BI42" s="14">
        <f t="shared" si="21"/>
        <v>0</v>
      </c>
      <c r="BJ42" s="14">
        <f t="shared" si="12"/>
        <v>1050</v>
      </c>
      <c r="BK42" s="14">
        <f t="shared" si="13"/>
        <v>820</v>
      </c>
      <c r="BL42" s="14">
        <f t="shared" si="14"/>
        <v>1640</v>
      </c>
      <c r="BN42" s="18">
        <v>38</v>
      </c>
      <c r="BO42" s="22">
        <v>30</v>
      </c>
      <c r="BU42" s="52">
        <v>37</v>
      </c>
      <c r="BV42" s="52">
        <v>107</v>
      </c>
      <c r="BW42" s="52">
        <v>1606039</v>
      </c>
      <c r="BX42" s="52" t="s">
        <v>357</v>
      </c>
      <c r="BY42" s="52">
        <v>2</v>
      </c>
      <c r="BZ42" s="52">
        <v>21</v>
      </c>
      <c r="CA42" s="52">
        <f>SUM(BZ$5:BZ42)</f>
        <v>729</v>
      </c>
      <c r="CJ42" s="52">
        <v>38</v>
      </c>
      <c r="CK42" s="52">
        <v>1</v>
      </c>
      <c r="CL42" s="52" t="s">
        <v>257</v>
      </c>
      <c r="CM42" s="52">
        <v>38</v>
      </c>
      <c r="CN42" s="52"/>
      <c r="CO42" s="52"/>
      <c r="CP42" s="52"/>
      <c r="CQ42" s="52" t="s">
        <v>372</v>
      </c>
      <c r="CR42" s="52">
        <v>3000</v>
      </c>
      <c r="CS42" s="52" t="s">
        <v>373</v>
      </c>
      <c r="CT42" s="52">
        <v>40</v>
      </c>
      <c r="CU42" s="52"/>
      <c r="CV42" s="52"/>
      <c r="CW42" s="52" t="s">
        <v>373</v>
      </c>
      <c r="CX42" s="52">
        <v>55</v>
      </c>
      <c r="CY42" s="52"/>
      <c r="CZ42" s="52"/>
      <c r="DA42" s="52"/>
      <c r="DB42" s="52"/>
      <c r="DC42" s="52"/>
      <c r="DD42" s="52"/>
      <c r="DE42" s="52"/>
      <c r="DF42" s="52"/>
      <c r="DG42" s="52"/>
      <c r="DH42" s="52"/>
    </row>
    <row r="43" spans="1:112" ht="16.5" x14ac:dyDescent="0.2">
      <c r="A43" s="17">
        <v>39</v>
      </c>
      <c r="B43" s="78">
        <v>10</v>
      </c>
      <c r="C43" s="123">
        <v>0</v>
      </c>
      <c r="D43" s="87"/>
      <c r="E43" s="78">
        <f>INDEX(章节关卡!$F$6:$F$34,芦花古楼!B43)*芦花古楼!C43</f>
        <v>0</v>
      </c>
      <c r="F43" s="22">
        <f t="shared" si="15"/>
        <v>40</v>
      </c>
      <c r="G43" s="22">
        <f t="shared" si="16"/>
        <v>55</v>
      </c>
      <c r="H43" s="14">
        <f>INDEX(章节关卡!$H$6:$H$34,芦花古楼!B43)*芦花古楼!C43</f>
        <v>0</v>
      </c>
      <c r="I43" s="14">
        <v>100</v>
      </c>
      <c r="L43" s="17">
        <v>39</v>
      </c>
      <c r="M43" s="78">
        <f t="shared" si="4"/>
        <v>11</v>
      </c>
      <c r="N43" s="123">
        <v>0</v>
      </c>
      <c r="O43" s="87"/>
      <c r="P43" s="78">
        <f>INDEX(章节关卡!$F$6:$F$34,芦花古楼!M43)*芦花古楼!N43</f>
        <v>0</v>
      </c>
      <c r="Q43" s="22">
        <f t="shared" si="5"/>
        <v>45</v>
      </c>
      <c r="R43" s="22">
        <f t="shared" si="6"/>
        <v>55</v>
      </c>
      <c r="S43" s="14">
        <f>INDEX(章节关卡!$H$6:$H$34,芦花古楼!M43)*芦花古楼!N43</f>
        <v>0</v>
      </c>
      <c r="T43" s="14">
        <v>100</v>
      </c>
      <c r="W43" s="17">
        <v>39</v>
      </c>
      <c r="X43" s="46">
        <v>11</v>
      </c>
      <c r="Y43" s="123">
        <v>0</v>
      </c>
      <c r="Z43" s="87"/>
      <c r="AA43" s="87">
        <f>INDEX(章节关卡!$F$6:$F$34,芦花古楼!X43)*芦花古楼!Y43</f>
        <v>0</v>
      </c>
      <c r="AB43" s="22">
        <f t="shared" si="17"/>
        <v>50</v>
      </c>
      <c r="AC43" s="22">
        <f t="shared" si="18"/>
        <v>55</v>
      </c>
      <c r="AD43" s="14">
        <f>INDEX(章节关卡!$H$6:$H$34,芦花古楼!X43)*芦花古楼!Y43</f>
        <v>0</v>
      </c>
      <c r="AE43" s="14">
        <v>100</v>
      </c>
      <c r="AH43" s="17">
        <v>39</v>
      </c>
      <c r="AI43" s="46">
        <v>11</v>
      </c>
      <c r="AJ43" s="123">
        <v>0</v>
      </c>
      <c r="AK43" s="87"/>
      <c r="AL43" s="87">
        <f>INDEX(章节关卡!$F$6:$F$34,芦花古楼!AI43)*芦花古楼!AJ43</f>
        <v>0</v>
      </c>
      <c r="AM43" s="22">
        <f t="shared" si="7"/>
        <v>55</v>
      </c>
      <c r="AN43" s="22">
        <f t="shared" si="8"/>
        <v>55</v>
      </c>
      <c r="AO43" s="14">
        <f>INDEX(章节关卡!$H$6:$H$34,芦花古楼!AI43)*芦花古楼!AJ43</f>
        <v>0</v>
      </c>
      <c r="AP43" s="14">
        <v>100</v>
      </c>
      <c r="AS43" s="18">
        <v>38</v>
      </c>
      <c r="AT43" s="87">
        <v>10</v>
      </c>
      <c r="AV43" s="18">
        <v>38</v>
      </c>
      <c r="AW43" s="87">
        <v>12</v>
      </c>
      <c r="AY43" s="18">
        <v>38</v>
      </c>
      <c r="AZ43" s="18">
        <v>12</v>
      </c>
      <c r="BB43" s="18">
        <v>38</v>
      </c>
      <c r="BC43" s="18">
        <v>12</v>
      </c>
      <c r="BF43" s="18">
        <v>38</v>
      </c>
      <c r="BG43" s="14">
        <f t="shared" si="19"/>
        <v>395</v>
      </c>
      <c r="BH43" s="14">
        <f t="shared" si="20"/>
        <v>425</v>
      </c>
      <c r="BI43" s="14">
        <f t="shared" si="21"/>
        <v>0</v>
      </c>
      <c r="BJ43" s="14">
        <f t="shared" si="12"/>
        <v>1050</v>
      </c>
      <c r="BK43" s="14">
        <f t="shared" si="13"/>
        <v>820</v>
      </c>
      <c r="BL43" s="14">
        <f t="shared" si="14"/>
        <v>1640</v>
      </c>
      <c r="BN43" s="18">
        <v>39</v>
      </c>
      <c r="BO43" s="22">
        <v>30</v>
      </c>
      <c r="BU43" s="52">
        <v>38</v>
      </c>
      <c r="BV43" s="52">
        <v>107</v>
      </c>
      <c r="BW43" s="52">
        <v>1606040</v>
      </c>
      <c r="BX43" s="52" t="s">
        <v>358</v>
      </c>
      <c r="BY43" s="52">
        <v>3</v>
      </c>
      <c r="BZ43" s="52">
        <v>21</v>
      </c>
      <c r="CA43" s="52">
        <f>SUM(BZ$5:BZ43)</f>
        <v>750</v>
      </c>
      <c r="CJ43" s="52">
        <v>39</v>
      </c>
      <c r="CK43" s="52">
        <v>1</v>
      </c>
      <c r="CL43" s="52" t="s">
        <v>257</v>
      </c>
      <c r="CM43" s="52">
        <v>39</v>
      </c>
      <c r="CN43" s="52"/>
      <c r="CO43" s="52"/>
      <c r="CP43" s="52"/>
      <c r="CQ43" s="52" t="s">
        <v>372</v>
      </c>
      <c r="CR43" s="52">
        <v>3000</v>
      </c>
      <c r="CS43" s="52" t="s">
        <v>373</v>
      </c>
      <c r="CT43" s="52">
        <v>40</v>
      </c>
      <c r="CU43" s="52"/>
      <c r="CV43" s="52"/>
      <c r="CW43" s="52" t="s">
        <v>373</v>
      </c>
      <c r="CX43" s="52">
        <v>55</v>
      </c>
      <c r="CY43" s="52"/>
      <c r="CZ43" s="52"/>
      <c r="DA43" s="52"/>
      <c r="DB43" s="52"/>
      <c r="DC43" s="52"/>
      <c r="DD43" s="52"/>
      <c r="DE43" s="52"/>
      <c r="DF43" s="52"/>
      <c r="DG43" s="52"/>
      <c r="DH43" s="52"/>
    </row>
    <row r="44" spans="1:112" ht="16.5" x14ac:dyDescent="0.2">
      <c r="A44" s="17">
        <v>40</v>
      </c>
      <c r="B44" s="78">
        <v>10</v>
      </c>
      <c r="C44" s="123">
        <v>0</v>
      </c>
      <c r="D44" s="87"/>
      <c r="E44" s="78">
        <f>INDEX(章节关卡!$F$6:$F$34,芦花古楼!B44)*芦花古楼!C44</f>
        <v>0</v>
      </c>
      <c r="F44" s="22">
        <f t="shared" si="15"/>
        <v>40</v>
      </c>
      <c r="G44" s="22">
        <f t="shared" si="16"/>
        <v>60</v>
      </c>
      <c r="H44" s="14">
        <f>INDEX(章节关卡!$H$6:$H$34,芦花古楼!B44)*芦花古楼!C44</f>
        <v>0</v>
      </c>
      <c r="I44" s="14">
        <v>150</v>
      </c>
      <c r="L44" s="17">
        <v>40</v>
      </c>
      <c r="M44" s="78">
        <f t="shared" si="4"/>
        <v>11</v>
      </c>
      <c r="N44" s="123">
        <v>0</v>
      </c>
      <c r="O44" s="87"/>
      <c r="P44" s="78">
        <f>INDEX(章节关卡!$F$6:$F$34,芦花古楼!M44)*芦花古楼!N44</f>
        <v>0</v>
      </c>
      <c r="Q44" s="22">
        <f t="shared" si="5"/>
        <v>45</v>
      </c>
      <c r="R44" s="22">
        <f t="shared" si="6"/>
        <v>60</v>
      </c>
      <c r="S44" s="14">
        <f>INDEX(章节关卡!$H$6:$H$34,芦花古楼!M44)*芦花古楼!N44</f>
        <v>0</v>
      </c>
      <c r="T44" s="14">
        <v>150</v>
      </c>
      <c r="W44" s="17">
        <v>40</v>
      </c>
      <c r="X44" s="24">
        <v>11</v>
      </c>
      <c r="Y44" s="123">
        <v>0</v>
      </c>
      <c r="Z44" s="87"/>
      <c r="AA44" s="87">
        <f>INDEX(章节关卡!$F$6:$F$34,芦花古楼!X44)*芦花古楼!Y44</f>
        <v>0</v>
      </c>
      <c r="AB44" s="22">
        <f t="shared" si="17"/>
        <v>50</v>
      </c>
      <c r="AC44" s="22">
        <f t="shared" si="18"/>
        <v>60</v>
      </c>
      <c r="AD44" s="14">
        <f>INDEX(章节关卡!$H$6:$H$34,芦花古楼!X44)*芦花古楼!Y44</f>
        <v>0</v>
      </c>
      <c r="AE44" s="14">
        <v>150</v>
      </c>
      <c r="AH44" s="17">
        <v>40</v>
      </c>
      <c r="AI44" s="46">
        <v>11</v>
      </c>
      <c r="AJ44" s="123">
        <v>0</v>
      </c>
      <c r="AK44" s="87"/>
      <c r="AL44" s="87">
        <f>INDEX(章节关卡!$F$6:$F$34,芦花古楼!AI44)*芦花古楼!AJ44</f>
        <v>0</v>
      </c>
      <c r="AM44" s="22">
        <f t="shared" si="7"/>
        <v>55</v>
      </c>
      <c r="AN44" s="22">
        <f t="shared" si="8"/>
        <v>60</v>
      </c>
      <c r="AO44" s="14">
        <f>INDEX(章节关卡!$H$6:$H$34,芦花古楼!AI44)*芦花古楼!AJ44</f>
        <v>0</v>
      </c>
      <c r="AP44" s="14">
        <v>150</v>
      </c>
      <c r="AS44" s="18">
        <v>39</v>
      </c>
      <c r="AT44" s="87">
        <v>10</v>
      </c>
      <c r="AV44" s="18">
        <v>39</v>
      </c>
      <c r="AW44" s="87">
        <v>12</v>
      </c>
      <c r="AY44" s="18">
        <v>39</v>
      </c>
      <c r="AZ44" s="18">
        <v>12</v>
      </c>
      <c r="BB44" s="18">
        <v>39</v>
      </c>
      <c r="BC44" s="18">
        <v>12</v>
      </c>
      <c r="BF44" s="18">
        <v>39</v>
      </c>
      <c r="BG44" s="14">
        <f t="shared" si="19"/>
        <v>395</v>
      </c>
      <c r="BH44" s="14">
        <f t="shared" si="20"/>
        <v>425</v>
      </c>
      <c r="BI44" s="14">
        <f t="shared" si="21"/>
        <v>0</v>
      </c>
      <c r="BJ44" s="14">
        <f t="shared" si="12"/>
        <v>1050</v>
      </c>
      <c r="BK44" s="14">
        <f t="shared" si="13"/>
        <v>820</v>
      </c>
      <c r="BL44" s="14">
        <f t="shared" si="14"/>
        <v>1640</v>
      </c>
      <c r="BN44" s="18">
        <v>40</v>
      </c>
      <c r="BO44" s="18">
        <v>50</v>
      </c>
      <c r="BU44" s="52">
        <v>39</v>
      </c>
      <c r="BV44" s="52">
        <v>107</v>
      </c>
      <c r="BW44" s="52">
        <v>1606041</v>
      </c>
      <c r="BX44" s="52" t="s">
        <v>359</v>
      </c>
      <c r="BY44" s="52">
        <v>3</v>
      </c>
      <c r="BZ44" s="52">
        <v>21</v>
      </c>
      <c r="CA44" s="52">
        <f>SUM(BZ$5:BZ44)</f>
        <v>771</v>
      </c>
      <c r="CJ44" s="52">
        <v>40</v>
      </c>
      <c r="CK44" s="52">
        <v>1</v>
      </c>
      <c r="CL44" s="52" t="s">
        <v>257</v>
      </c>
      <c r="CM44" s="52">
        <v>40</v>
      </c>
      <c r="CN44" s="52"/>
      <c r="CO44" s="52"/>
      <c r="CP44" s="52"/>
      <c r="CQ44" s="52" t="s">
        <v>372</v>
      </c>
      <c r="CR44" s="52">
        <v>3000</v>
      </c>
      <c r="CS44" s="52" t="s">
        <v>373</v>
      </c>
      <c r="CT44" s="52">
        <v>40</v>
      </c>
      <c r="CU44" s="52" t="s">
        <v>272</v>
      </c>
      <c r="CV44" s="52">
        <v>2</v>
      </c>
      <c r="CW44" s="52" t="s">
        <v>373</v>
      </c>
      <c r="CX44" s="52">
        <v>60</v>
      </c>
      <c r="CY44" s="52"/>
      <c r="CZ44" s="52"/>
      <c r="DA44" s="52"/>
      <c r="DB44" s="52"/>
      <c r="DC44" s="52"/>
      <c r="DD44" s="52"/>
      <c r="DE44" s="52"/>
      <c r="DF44" s="52"/>
      <c r="DG44" s="52"/>
      <c r="DH44" s="52"/>
    </row>
    <row r="45" spans="1:112" ht="16.5" x14ac:dyDescent="0.2">
      <c r="A45" s="17">
        <v>41</v>
      </c>
      <c r="B45" s="46">
        <v>11</v>
      </c>
      <c r="C45" s="123">
        <v>0</v>
      </c>
      <c r="D45" s="87"/>
      <c r="E45" s="78">
        <f>INDEX(章节关卡!$F$6:$F$34,芦花古楼!B45)*芦花古楼!C45</f>
        <v>0</v>
      </c>
      <c r="F45" s="22">
        <f t="shared" si="15"/>
        <v>45</v>
      </c>
      <c r="G45" s="22">
        <f t="shared" si="16"/>
        <v>60</v>
      </c>
      <c r="H45" s="14">
        <f>INDEX(章节关卡!$H$6:$H$34,芦花古楼!B45)*芦花古楼!C45</f>
        <v>0</v>
      </c>
      <c r="I45" s="14">
        <v>150</v>
      </c>
      <c r="L45" s="17">
        <v>41</v>
      </c>
      <c r="M45" s="78">
        <f t="shared" si="4"/>
        <v>12</v>
      </c>
      <c r="N45" s="123">
        <v>0</v>
      </c>
      <c r="O45" s="87"/>
      <c r="P45" s="78">
        <f>INDEX(章节关卡!$F$6:$F$34,芦花古楼!M45)*芦花古楼!N45</f>
        <v>0</v>
      </c>
      <c r="Q45" s="22">
        <f t="shared" si="5"/>
        <v>50</v>
      </c>
      <c r="R45" s="22">
        <f t="shared" si="6"/>
        <v>60</v>
      </c>
      <c r="S45" s="14">
        <f>INDEX(章节关卡!$H$6:$H$34,芦花古楼!M45)*芦花古楼!N45</f>
        <v>0</v>
      </c>
      <c r="T45" s="14">
        <v>150</v>
      </c>
      <c r="W45" s="17">
        <v>41</v>
      </c>
      <c r="X45" s="24">
        <v>12</v>
      </c>
      <c r="Y45" s="123">
        <v>0</v>
      </c>
      <c r="Z45" s="87"/>
      <c r="AA45" s="87">
        <f>INDEX(章节关卡!$F$6:$F$34,芦花古楼!X45)*芦花古楼!Y45</f>
        <v>0</v>
      </c>
      <c r="AB45" s="22">
        <f t="shared" si="17"/>
        <v>55</v>
      </c>
      <c r="AC45" s="22">
        <f t="shared" si="18"/>
        <v>60</v>
      </c>
      <c r="AD45" s="14">
        <f>INDEX(章节关卡!$H$6:$H$34,芦花古楼!X45)*芦花古楼!Y45</f>
        <v>0</v>
      </c>
      <c r="AE45" s="14">
        <v>150</v>
      </c>
      <c r="AH45" s="17">
        <v>41</v>
      </c>
      <c r="AI45" s="46">
        <v>12</v>
      </c>
      <c r="AJ45" s="123">
        <v>0</v>
      </c>
      <c r="AK45" s="87"/>
      <c r="AL45" s="87">
        <f>INDEX(章节关卡!$F$6:$F$34,芦花古楼!AI45)*芦花古楼!AJ45</f>
        <v>0</v>
      </c>
      <c r="AM45" s="22">
        <f t="shared" si="7"/>
        <v>60</v>
      </c>
      <c r="AN45" s="22">
        <f t="shared" si="8"/>
        <v>60</v>
      </c>
      <c r="AO45" s="14">
        <f>INDEX(章节关卡!$H$6:$H$34,芦花古楼!AI45)*芦花古楼!AJ45</f>
        <v>0</v>
      </c>
      <c r="AP45" s="14">
        <v>150</v>
      </c>
      <c r="AS45" s="18">
        <v>40</v>
      </c>
      <c r="AT45" s="87">
        <v>11</v>
      </c>
      <c r="AV45" s="18">
        <v>40</v>
      </c>
      <c r="AW45" s="87">
        <v>13</v>
      </c>
      <c r="AY45" s="18">
        <v>40</v>
      </c>
      <c r="AZ45" s="18">
        <v>13</v>
      </c>
      <c r="BB45" s="18">
        <v>40</v>
      </c>
      <c r="BC45" s="18">
        <v>13</v>
      </c>
      <c r="BF45" s="18">
        <v>40</v>
      </c>
      <c r="BG45" s="14">
        <f t="shared" si="19"/>
        <v>395</v>
      </c>
      <c r="BH45" s="14">
        <f t="shared" si="20"/>
        <v>440</v>
      </c>
      <c r="BI45" s="14">
        <f t="shared" si="21"/>
        <v>0</v>
      </c>
      <c r="BJ45" s="14">
        <f t="shared" si="12"/>
        <v>1200</v>
      </c>
      <c r="BK45" s="14">
        <f t="shared" si="13"/>
        <v>820</v>
      </c>
      <c r="BL45" s="14">
        <f t="shared" si="14"/>
        <v>1640</v>
      </c>
      <c r="BU45" s="52">
        <v>40</v>
      </c>
      <c r="BV45" s="52">
        <v>107</v>
      </c>
      <c r="BW45" s="52">
        <v>1606042</v>
      </c>
      <c r="BX45" s="52" t="s">
        <v>360</v>
      </c>
      <c r="BY45" s="52">
        <v>3</v>
      </c>
      <c r="BZ45" s="52">
        <v>21</v>
      </c>
      <c r="CA45" s="52">
        <f>SUM(BZ$5:BZ45)</f>
        <v>792</v>
      </c>
      <c r="CJ45" s="52">
        <v>41</v>
      </c>
      <c r="CK45" s="52">
        <v>1</v>
      </c>
      <c r="CL45" s="52" t="s">
        <v>257</v>
      </c>
      <c r="CM45" s="52">
        <v>41</v>
      </c>
      <c r="CN45" s="52"/>
      <c r="CO45" s="52"/>
      <c r="CP45" s="52"/>
      <c r="CQ45" s="52" t="s">
        <v>372</v>
      </c>
      <c r="CR45" s="52">
        <v>3000</v>
      </c>
      <c r="CS45" s="52" t="s">
        <v>373</v>
      </c>
      <c r="CT45" s="52">
        <v>45</v>
      </c>
      <c r="CU45" s="52"/>
      <c r="CV45" s="52"/>
      <c r="CW45" s="52" t="s">
        <v>373</v>
      </c>
      <c r="CX45" s="52">
        <v>60</v>
      </c>
      <c r="CY45" s="52"/>
      <c r="CZ45" s="52"/>
      <c r="DA45" s="52"/>
      <c r="DB45" s="52"/>
      <c r="DC45" s="52"/>
      <c r="DD45" s="52"/>
      <c r="DE45" s="52"/>
      <c r="DF45" s="52"/>
      <c r="DG45" s="52"/>
      <c r="DH45" s="52"/>
    </row>
    <row r="46" spans="1:112" ht="16.5" x14ac:dyDescent="0.2">
      <c r="A46" s="17">
        <v>42</v>
      </c>
      <c r="B46" s="78">
        <v>11</v>
      </c>
      <c r="C46" s="123">
        <v>0</v>
      </c>
      <c r="D46" s="87"/>
      <c r="E46" s="78">
        <f>INDEX(章节关卡!$F$6:$F$34,芦花古楼!B46)*芦花古楼!C46</f>
        <v>0</v>
      </c>
      <c r="F46" s="22">
        <f t="shared" si="15"/>
        <v>45</v>
      </c>
      <c r="G46" s="22">
        <f t="shared" si="16"/>
        <v>60</v>
      </c>
      <c r="H46" s="14">
        <f>INDEX(章节关卡!$H$6:$H$34,芦花古楼!B46)*芦花古楼!C46</f>
        <v>0</v>
      </c>
      <c r="I46" s="14">
        <v>150</v>
      </c>
      <c r="L46" s="17">
        <v>42</v>
      </c>
      <c r="M46" s="78">
        <f t="shared" si="4"/>
        <v>12</v>
      </c>
      <c r="N46" s="123">
        <v>0</v>
      </c>
      <c r="O46" s="87"/>
      <c r="P46" s="78">
        <f>INDEX(章节关卡!$F$6:$F$34,芦花古楼!M46)*芦花古楼!N46</f>
        <v>0</v>
      </c>
      <c r="Q46" s="22">
        <f t="shared" si="5"/>
        <v>50</v>
      </c>
      <c r="R46" s="22">
        <f t="shared" si="6"/>
        <v>60</v>
      </c>
      <c r="S46" s="14">
        <f>INDEX(章节关卡!$H$6:$H$34,芦花古楼!M46)*芦花古楼!N46</f>
        <v>0</v>
      </c>
      <c r="T46" s="14">
        <v>150</v>
      </c>
      <c r="W46" s="17">
        <v>42</v>
      </c>
      <c r="X46" s="24">
        <v>12</v>
      </c>
      <c r="Y46" s="123">
        <v>0</v>
      </c>
      <c r="Z46" s="87"/>
      <c r="AA46" s="87">
        <f>INDEX(章节关卡!$F$6:$F$34,芦花古楼!X46)*芦花古楼!Y46</f>
        <v>0</v>
      </c>
      <c r="AB46" s="22">
        <f t="shared" si="17"/>
        <v>55</v>
      </c>
      <c r="AC46" s="22">
        <f t="shared" si="18"/>
        <v>60</v>
      </c>
      <c r="AD46" s="14">
        <f>INDEX(章节关卡!$H$6:$H$34,芦花古楼!X46)*芦花古楼!Y46</f>
        <v>0</v>
      </c>
      <c r="AE46" s="14">
        <v>150</v>
      </c>
      <c r="AH46" s="17">
        <v>42</v>
      </c>
      <c r="AI46" s="46">
        <v>12</v>
      </c>
      <c r="AJ46" s="123">
        <v>0</v>
      </c>
      <c r="AK46" s="87"/>
      <c r="AL46" s="87">
        <f>INDEX(章节关卡!$F$6:$F$34,芦花古楼!AI46)*芦花古楼!AJ46</f>
        <v>0</v>
      </c>
      <c r="AM46" s="22">
        <f t="shared" si="7"/>
        <v>60</v>
      </c>
      <c r="AN46" s="22">
        <f t="shared" si="8"/>
        <v>60</v>
      </c>
      <c r="AO46" s="14">
        <f>INDEX(章节关卡!$H$6:$H$34,芦花古楼!AI46)*芦花古楼!AJ46</f>
        <v>0</v>
      </c>
      <c r="AP46" s="14">
        <v>150</v>
      </c>
      <c r="AS46" s="18">
        <v>41</v>
      </c>
      <c r="AT46" s="87">
        <v>11</v>
      </c>
      <c r="AV46" s="18">
        <v>41</v>
      </c>
      <c r="AW46" s="87">
        <v>13</v>
      </c>
      <c r="AY46" s="18">
        <v>41</v>
      </c>
      <c r="AZ46" s="18">
        <v>13</v>
      </c>
      <c r="BB46" s="18">
        <v>41</v>
      </c>
      <c r="BC46" s="18">
        <v>13</v>
      </c>
      <c r="BF46" s="18">
        <v>41</v>
      </c>
      <c r="BG46" s="14">
        <f t="shared" si="19"/>
        <v>410</v>
      </c>
      <c r="BH46" s="14">
        <f t="shared" si="20"/>
        <v>445</v>
      </c>
      <c r="BI46" s="14">
        <f t="shared" si="21"/>
        <v>0</v>
      </c>
      <c r="BJ46" s="14">
        <f t="shared" si="12"/>
        <v>1200</v>
      </c>
      <c r="BK46" s="14">
        <f t="shared" si="13"/>
        <v>850</v>
      </c>
      <c r="BL46" s="14">
        <f t="shared" si="14"/>
        <v>1700</v>
      </c>
      <c r="BU46" s="52">
        <v>41</v>
      </c>
      <c r="BV46" s="52">
        <v>107</v>
      </c>
      <c r="BW46" s="52">
        <v>1606043</v>
      </c>
      <c r="BX46" s="52" t="s">
        <v>361</v>
      </c>
      <c r="BY46" s="52">
        <v>4</v>
      </c>
      <c r="BZ46" s="52">
        <v>21</v>
      </c>
      <c r="CA46" s="52">
        <f>SUM(BZ$5:BZ46)</f>
        <v>813</v>
      </c>
      <c r="CJ46" s="52">
        <v>42</v>
      </c>
      <c r="CK46" s="52">
        <v>1</v>
      </c>
      <c r="CL46" s="52" t="s">
        <v>257</v>
      </c>
      <c r="CM46" s="52">
        <v>42</v>
      </c>
      <c r="CN46" s="52"/>
      <c r="CO46" s="52"/>
      <c r="CP46" s="52"/>
      <c r="CQ46" s="52" t="s">
        <v>372</v>
      </c>
      <c r="CR46" s="52">
        <v>3000</v>
      </c>
      <c r="CS46" s="52" t="s">
        <v>373</v>
      </c>
      <c r="CT46" s="52">
        <v>45</v>
      </c>
      <c r="CU46" s="52"/>
      <c r="CV46" s="52"/>
      <c r="CW46" s="52" t="s">
        <v>373</v>
      </c>
      <c r="CX46" s="52">
        <v>60</v>
      </c>
      <c r="CY46" s="52"/>
      <c r="CZ46" s="52"/>
      <c r="DA46" s="52"/>
      <c r="DB46" s="52"/>
      <c r="DC46" s="52"/>
      <c r="DD46" s="52"/>
      <c r="DE46" s="52"/>
      <c r="DF46" s="52"/>
      <c r="DG46" s="52"/>
      <c r="DH46" s="52"/>
    </row>
    <row r="47" spans="1:112" ht="16.5" x14ac:dyDescent="0.2">
      <c r="A47" s="17">
        <v>43</v>
      </c>
      <c r="B47" s="78">
        <v>11</v>
      </c>
      <c r="C47" s="123">
        <v>0</v>
      </c>
      <c r="D47" s="87"/>
      <c r="E47" s="78">
        <f>INDEX(章节关卡!$F$6:$F$34,芦花古楼!B47)*芦花古楼!C47</f>
        <v>0</v>
      </c>
      <c r="F47" s="22">
        <f t="shared" si="15"/>
        <v>45</v>
      </c>
      <c r="G47" s="22">
        <f t="shared" si="16"/>
        <v>60</v>
      </c>
      <c r="H47" s="14">
        <f>INDEX(章节关卡!$H$6:$H$34,芦花古楼!B47)*芦花古楼!C47</f>
        <v>0</v>
      </c>
      <c r="I47" s="14">
        <v>150</v>
      </c>
      <c r="L47" s="17">
        <v>43</v>
      </c>
      <c r="M47" s="78">
        <f t="shared" si="4"/>
        <v>12</v>
      </c>
      <c r="N47" s="123">
        <v>0</v>
      </c>
      <c r="O47" s="87"/>
      <c r="P47" s="78">
        <f>INDEX(章节关卡!$F$6:$F$34,芦花古楼!M47)*芦花古楼!N47</f>
        <v>0</v>
      </c>
      <c r="Q47" s="22">
        <f t="shared" si="5"/>
        <v>50</v>
      </c>
      <c r="R47" s="22">
        <f t="shared" si="6"/>
        <v>60</v>
      </c>
      <c r="S47" s="14">
        <f>INDEX(章节关卡!$H$6:$H$34,芦花古楼!M47)*芦花古楼!N47</f>
        <v>0</v>
      </c>
      <c r="T47" s="14">
        <v>150</v>
      </c>
      <c r="W47" s="17">
        <v>43</v>
      </c>
      <c r="X47" s="24">
        <v>12</v>
      </c>
      <c r="Y47" s="123">
        <v>0</v>
      </c>
      <c r="Z47" s="87"/>
      <c r="AA47" s="87">
        <f>INDEX(章节关卡!$F$6:$F$34,芦花古楼!X47)*芦花古楼!Y47</f>
        <v>0</v>
      </c>
      <c r="AB47" s="22">
        <f t="shared" si="17"/>
        <v>55</v>
      </c>
      <c r="AC47" s="22">
        <f t="shared" si="18"/>
        <v>60</v>
      </c>
      <c r="AD47" s="14">
        <f>INDEX(章节关卡!$H$6:$H$34,芦花古楼!X47)*芦花古楼!Y47</f>
        <v>0</v>
      </c>
      <c r="AE47" s="14">
        <v>150</v>
      </c>
      <c r="AH47" s="17">
        <v>43</v>
      </c>
      <c r="AI47" s="46">
        <v>12</v>
      </c>
      <c r="AJ47" s="123">
        <v>0</v>
      </c>
      <c r="AK47" s="87"/>
      <c r="AL47" s="87">
        <f>INDEX(章节关卡!$F$6:$F$34,芦花古楼!AI47)*芦花古楼!AJ47</f>
        <v>0</v>
      </c>
      <c r="AM47" s="22">
        <f t="shared" si="7"/>
        <v>60</v>
      </c>
      <c r="AN47" s="22">
        <f t="shared" si="8"/>
        <v>60</v>
      </c>
      <c r="AO47" s="14">
        <f>INDEX(章节关卡!$H$6:$H$34,芦花古楼!AI47)*芦花古楼!AJ47</f>
        <v>0</v>
      </c>
      <c r="AP47" s="14">
        <v>150</v>
      </c>
      <c r="AS47" s="18">
        <v>42</v>
      </c>
      <c r="AT47" s="87">
        <v>11</v>
      </c>
      <c r="AV47" s="18">
        <v>42</v>
      </c>
      <c r="AW47" s="87">
        <v>13</v>
      </c>
      <c r="AY47" s="18">
        <v>42</v>
      </c>
      <c r="AZ47" s="18">
        <v>13</v>
      </c>
      <c r="BB47" s="18">
        <v>42</v>
      </c>
      <c r="BC47" s="18">
        <v>13</v>
      </c>
      <c r="BF47" s="18">
        <v>42</v>
      </c>
      <c r="BG47" s="14">
        <f t="shared" si="19"/>
        <v>415</v>
      </c>
      <c r="BH47" s="14">
        <f t="shared" si="20"/>
        <v>445</v>
      </c>
      <c r="BI47" s="14">
        <f t="shared" si="21"/>
        <v>0</v>
      </c>
      <c r="BJ47" s="14">
        <f t="shared" si="12"/>
        <v>1200</v>
      </c>
      <c r="BK47" s="14">
        <f t="shared" si="13"/>
        <v>860</v>
      </c>
      <c r="BL47" s="14">
        <f t="shared" si="14"/>
        <v>1720</v>
      </c>
      <c r="BU47" s="52">
        <v>42</v>
      </c>
      <c r="BV47" s="52">
        <v>107</v>
      </c>
      <c r="BW47" s="52">
        <v>1606044</v>
      </c>
      <c r="BX47" s="52" t="s">
        <v>362</v>
      </c>
      <c r="BY47" s="52">
        <v>4</v>
      </c>
      <c r="BZ47" s="52">
        <v>21</v>
      </c>
      <c r="CA47" s="52">
        <f>SUM(BZ$5:BZ47)</f>
        <v>834</v>
      </c>
      <c r="CJ47" s="52">
        <v>43</v>
      </c>
      <c r="CK47" s="52">
        <v>1</v>
      </c>
      <c r="CL47" s="52" t="s">
        <v>257</v>
      </c>
      <c r="CM47" s="52">
        <v>43</v>
      </c>
      <c r="CN47" s="52"/>
      <c r="CO47" s="52"/>
      <c r="CP47" s="52"/>
      <c r="CQ47" s="52" t="s">
        <v>372</v>
      </c>
      <c r="CR47" s="52">
        <v>3000</v>
      </c>
      <c r="CS47" s="52" t="s">
        <v>373</v>
      </c>
      <c r="CT47" s="52">
        <v>45</v>
      </c>
      <c r="CU47" s="52"/>
      <c r="CV47" s="52"/>
      <c r="CW47" s="52" t="s">
        <v>373</v>
      </c>
      <c r="CX47" s="52">
        <v>60</v>
      </c>
      <c r="CY47" s="52"/>
      <c r="CZ47" s="52"/>
      <c r="DA47" s="52"/>
      <c r="DB47" s="52"/>
      <c r="DC47" s="52"/>
      <c r="DD47" s="52"/>
      <c r="DE47" s="52"/>
      <c r="DF47" s="52"/>
      <c r="DG47" s="52"/>
      <c r="DH47" s="52"/>
    </row>
    <row r="48" spans="1:112" ht="16.5" x14ac:dyDescent="0.2">
      <c r="A48" s="17">
        <v>44</v>
      </c>
      <c r="B48" s="78">
        <v>11</v>
      </c>
      <c r="C48" s="123">
        <v>0</v>
      </c>
      <c r="D48" s="87"/>
      <c r="E48" s="78">
        <f>INDEX(章节关卡!$F$6:$F$34,芦花古楼!B48)*芦花古楼!C48</f>
        <v>0</v>
      </c>
      <c r="F48" s="22">
        <f t="shared" si="15"/>
        <v>45</v>
      </c>
      <c r="G48" s="22">
        <f t="shared" si="16"/>
        <v>60</v>
      </c>
      <c r="H48" s="14">
        <f>INDEX(章节关卡!$H$6:$H$34,芦花古楼!B48)*芦花古楼!C48</f>
        <v>0</v>
      </c>
      <c r="I48" s="14">
        <v>150</v>
      </c>
      <c r="L48" s="17">
        <v>44</v>
      </c>
      <c r="M48" s="78">
        <f t="shared" si="4"/>
        <v>12</v>
      </c>
      <c r="N48" s="123">
        <v>0</v>
      </c>
      <c r="O48" s="87"/>
      <c r="P48" s="78">
        <f>INDEX(章节关卡!$F$6:$F$34,芦花古楼!M48)*芦花古楼!N48</f>
        <v>0</v>
      </c>
      <c r="Q48" s="22">
        <f t="shared" si="5"/>
        <v>50</v>
      </c>
      <c r="R48" s="22">
        <f t="shared" si="6"/>
        <v>60</v>
      </c>
      <c r="S48" s="14">
        <f>INDEX(章节关卡!$H$6:$H$34,芦花古楼!M48)*芦花古楼!N48</f>
        <v>0</v>
      </c>
      <c r="T48" s="14">
        <v>150</v>
      </c>
      <c r="W48" s="17">
        <v>44</v>
      </c>
      <c r="X48" s="24">
        <v>12</v>
      </c>
      <c r="Y48" s="123">
        <v>0</v>
      </c>
      <c r="Z48" s="87"/>
      <c r="AA48" s="87">
        <f>INDEX(章节关卡!$F$6:$F$34,芦花古楼!X48)*芦花古楼!Y48</f>
        <v>0</v>
      </c>
      <c r="AB48" s="22">
        <f t="shared" si="17"/>
        <v>55</v>
      </c>
      <c r="AC48" s="22">
        <f t="shared" si="18"/>
        <v>60</v>
      </c>
      <c r="AD48" s="14">
        <f>INDEX(章节关卡!$H$6:$H$34,芦花古楼!X48)*芦花古楼!Y48</f>
        <v>0</v>
      </c>
      <c r="AE48" s="14">
        <v>150</v>
      </c>
      <c r="AH48" s="17">
        <v>44</v>
      </c>
      <c r="AI48" s="46">
        <v>12</v>
      </c>
      <c r="AJ48" s="123">
        <v>0</v>
      </c>
      <c r="AK48" s="87"/>
      <c r="AL48" s="87">
        <f>INDEX(章节关卡!$F$6:$F$34,芦花古楼!AI48)*芦花古楼!AJ48</f>
        <v>0</v>
      </c>
      <c r="AM48" s="22">
        <f t="shared" si="7"/>
        <v>60</v>
      </c>
      <c r="AN48" s="22">
        <f t="shared" si="8"/>
        <v>60</v>
      </c>
      <c r="AO48" s="14">
        <f>INDEX(章节关卡!$H$6:$H$34,芦花古楼!AI48)*芦花古楼!AJ48</f>
        <v>0</v>
      </c>
      <c r="AP48" s="14">
        <v>150</v>
      </c>
      <c r="AS48" s="18">
        <v>43</v>
      </c>
      <c r="AT48" s="87">
        <v>12</v>
      </c>
      <c r="AV48" s="18">
        <v>43</v>
      </c>
      <c r="AW48" s="87">
        <v>14</v>
      </c>
      <c r="AY48" s="18">
        <v>43</v>
      </c>
      <c r="AZ48" s="18">
        <v>14</v>
      </c>
      <c r="BB48" s="18">
        <v>43</v>
      </c>
      <c r="BC48" s="18">
        <v>14</v>
      </c>
      <c r="BF48" s="18">
        <v>43</v>
      </c>
      <c r="BG48" s="14">
        <f t="shared" si="19"/>
        <v>415</v>
      </c>
      <c r="BH48" s="14">
        <f t="shared" si="20"/>
        <v>445</v>
      </c>
      <c r="BI48" s="14">
        <f t="shared" si="21"/>
        <v>0</v>
      </c>
      <c r="BJ48" s="14">
        <f t="shared" si="12"/>
        <v>1200</v>
      </c>
      <c r="BK48" s="14">
        <f t="shared" si="13"/>
        <v>860</v>
      </c>
      <c r="BL48" s="14">
        <f t="shared" si="14"/>
        <v>1720</v>
      </c>
      <c r="CJ48" s="52">
        <v>44</v>
      </c>
      <c r="CK48" s="52">
        <v>1</v>
      </c>
      <c r="CL48" s="52" t="s">
        <v>257</v>
      </c>
      <c r="CM48" s="52">
        <v>44</v>
      </c>
      <c r="CN48" s="52"/>
      <c r="CO48" s="52"/>
      <c r="CP48" s="52"/>
      <c r="CQ48" s="52" t="s">
        <v>372</v>
      </c>
      <c r="CR48" s="52">
        <v>3000</v>
      </c>
      <c r="CS48" s="52" t="s">
        <v>373</v>
      </c>
      <c r="CT48" s="52">
        <v>45</v>
      </c>
      <c r="CU48" s="52"/>
      <c r="CV48" s="52"/>
      <c r="CW48" s="52" t="s">
        <v>373</v>
      </c>
      <c r="CX48" s="52">
        <v>60</v>
      </c>
      <c r="CY48" s="52"/>
      <c r="CZ48" s="52"/>
      <c r="DA48" s="52"/>
      <c r="DB48" s="52"/>
      <c r="DC48" s="52"/>
      <c r="DD48" s="52"/>
      <c r="DE48" s="52"/>
      <c r="DF48" s="52"/>
      <c r="DG48" s="52"/>
      <c r="DH48" s="52"/>
    </row>
    <row r="49" spans="1:112" ht="16.5" x14ac:dyDescent="0.2">
      <c r="A49" s="17">
        <v>45</v>
      </c>
      <c r="B49" s="78">
        <v>11</v>
      </c>
      <c r="C49" s="123">
        <v>0</v>
      </c>
      <c r="D49" s="87"/>
      <c r="E49" s="78">
        <f>INDEX(章节关卡!$F$6:$F$34,芦花古楼!B49)*芦花古楼!C49</f>
        <v>0</v>
      </c>
      <c r="F49" s="22">
        <f t="shared" si="15"/>
        <v>45</v>
      </c>
      <c r="G49" s="22">
        <f t="shared" si="16"/>
        <v>65</v>
      </c>
      <c r="H49" s="14">
        <f>INDEX(章节关卡!$H$6:$H$34,芦花古楼!B49)*芦花古楼!C49</f>
        <v>0</v>
      </c>
      <c r="I49" s="14">
        <v>150</v>
      </c>
      <c r="L49" s="17">
        <v>45</v>
      </c>
      <c r="M49" s="78">
        <f t="shared" si="4"/>
        <v>12</v>
      </c>
      <c r="N49" s="123">
        <v>0</v>
      </c>
      <c r="O49" s="87"/>
      <c r="P49" s="78">
        <f>INDEX(章节关卡!$F$6:$F$34,芦花古楼!M49)*芦花古楼!N49</f>
        <v>0</v>
      </c>
      <c r="Q49" s="22">
        <f t="shared" si="5"/>
        <v>50</v>
      </c>
      <c r="R49" s="22">
        <f t="shared" si="6"/>
        <v>65</v>
      </c>
      <c r="S49" s="14">
        <f>INDEX(章节关卡!$H$6:$H$34,芦花古楼!M49)*芦花古楼!N49</f>
        <v>0</v>
      </c>
      <c r="T49" s="14">
        <v>150</v>
      </c>
      <c r="W49" s="17">
        <v>45</v>
      </c>
      <c r="X49" s="24">
        <v>12</v>
      </c>
      <c r="Y49" s="123">
        <v>0</v>
      </c>
      <c r="Z49" s="87"/>
      <c r="AA49" s="87">
        <f>INDEX(章节关卡!$F$6:$F$34,芦花古楼!X49)*芦花古楼!Y49</f>
        <v>0</v>
      </c>
      <c r="AB49" s="22">
        <f t="shared" si="17"/>
        <v>55</v>
      </c>
      <c r="AC49" s="22">
        <f t="shared" si="18"/>
        <v>65</v>
      </c>
      <c r="AD49" s="14">
        <f>INDEX(章节关卡!$H$6:$H$34,芦花古楼!X49)*芦花古楼!Y49</f>
        <v>0</v>
      </c>
      <c r="AE49" s="14">
        <v>150</v>
      </c>
      <c r="AH49" s="17">
        <v>45</v>
      </c>
      <c r="AI49" s="46">
        <v>12</v>
      </c>
      <c r="AJ49" s="123">
        <v>0</v>
      </c>
      <c r="AK49" s="87"/>
      <c r="AL49" s="87">
        <f>INDEX(章节关卡!$F$6:$F$34,芦花古楼!AI49)*芦花古楼!AJ49</f>
        <v>0</v>
      </c>
      <c r="AM49" s="22">
        <f t="shared" si="7"/>
        <v>60</v>
      </c>
      <c r="AN49" s="22">
        <f t="shared" si="8"/>
        <v>65</v>
      </c>
      <c r="AO49" s="14">
        <f>INDEX(章节关卡!$H$6:$H$34,芦花古楼!AI49)*芦花古楼!AJ49</f>
        <v>0</v>
      </c>
      <c r="AP49" s="14">
        <v>150</v>
      </c>
      <c r="AS49" s="18">
        <v>44</v>
      </c>
      <c r="AT49" s="87">
        <v>12</v>
      </c>
      <c r="AV49" s="18">
        <v>44</v>
      </c>
      <c r="AW49" s="87">
        <v>14</v>
      </c>
      <c r="AY49" s="18">
        <v>44</v>
      </c>
      <c r="AZ49" s="18">
        <v>14</v>
      </c>
      <c r="BB49" s="18">
        <v>44</v>
      </c>
      <c r="BC49" s="18">
        <v>14</v>
      </c>
      <c r="BF49" s="18">
        <v>44</v>
      </c>
      <c r="BG49" s="14">
        <f t="shared" si="19"/>
        <v>415</v>
      </c>
      <c r="BH49" s="14">
        <f t="shared" si="20"/>
        <v>445</v>
      </c>
      <c r="BI49" s="14">
        <f t="shared" si="21"/>
        <v>0</v>
      </c>
      <c r="BJ49" s="14">
        <f t="shared" si="12"/>
        <v>1200</v>
      </c>
      <c r="BK49" s="14">
        <f t="shared" si="13"/>
        <v>860</v>
      </c>
      <c r="BL49" s="14">
        <f t="shared" si="14"/>
        <v>1720</v>
      </c>
      <c r="CJ49" s="52">
        <v>45</v>
      </c>
      <c r="CK49" s="52">
        <v>1</v>
      </c>
      <c r="CL49" s="52" t="s">
        <v>257</v>
      </c>
      <c r="CM49" s="52">
        <v>45</v>
      </c>
      <c r="CN49" s="52"/>
      <c r="CO49" s="52"/>
      <c r="CP49" s="52"/>
      <c r="CQ49" s="52" t="s">
        <v>372</v>
      </c>
      <c r="CR49" s="52">
        <v>3000</v>
      </c>
      <c r="CS49" s="52" t="s">
        <v>373</v>
      </c>
      <c r="CT49" s="52">
        <v>45</v>
      </c>
      <c r="CU49" s="52" t="s">
        <v>374</v>
      </c>
      <c r="CV49" s="52">
        <v>2</v>
      </c>
      <c r="CW49" s="52" t="s">
        <v>373</v>
      </c>
      <c r="CX49" s="52">
        <v>65</v>
      </c>
      <c r="CY49" s="52"/>
      <c r="CZ49" s="52"/>
      <c r="DA49" s="52"/>
      <c r="DB49" s="52"/>
      <c r="DC49" s="52"/>
      <c r="DD49" s="52"/>
      <c r="DE49" s="52"/>
      <c r="DF49" s="52"/>
      <c r="DG49" s="52"/>
      <c r="DH49" s="52"/>
    </row>
    <row r="50" spans="1:112" ht="16.5" x14ac:dyDescent="0.2">
      <c r="A50" s="17">
        <v>46</v>
      </c>
      <c r="B50" s="46">
        <v>12</v>
      </c>
      <c r="C50" s="123">
        <v>0</v>
      </c>
      <c r="D50" s="87"/>
      <c r="E50" s="78">
        <f>INDEX(章节关卡!$F$6:$F$34,芦花古楼!B50)*芦花古楼!C50</f>
        <v>0</v>
      </c>
      <c r="F50" s="22">
        <f t="shared" si="15"/>
        <v>50</v>
      </c>
      <c r="G50" s="22">
        <f t="shared" si="16"/>
        <v>65</v>
      </c>
      <c r="H50" s="14">
        <f>INDEX(章节关卡!$H$6:$H$34,芦花古楼!B50)*芦花古楼!C50</f>
        <v>0</v>
      </c>
      <c r="I50" s="14">
        <v>150</v>
      </c>
      <c r="L50" s="17">
        <v>46</v>
      </c>
      <c r="M50" s="78">
        <f t="shared" si="4"/>
        <v>13</v>
      </c>
      <c r="N50" s="123">
        <v>0</v>
      </c>
      <c r="O50" s="87"/>
      <c r="P50" s="78">
        <f>INDEX(章节关卡!$F$6:$F$34,芦花古楼!M50)*芦花古楼!N50</f>
        <v>0</v>
      </c>
      <c r="Q50" s="22">
        <f t="shared" si="5"/>
        <v>55</v>
      </c>
      <c r="R50" s="22">
        <f t="shared" si="6"/>
        <v>65</v>
      </c>
      <c r="S50" s="14">
        <f>INDEX(章节关卡!$H$6:$H$34,芦花古楼!M50)*芦花古楼!N50</f>
        <v>0</v>
      </c>
      <c r="T50" s="14">
        <v>150</v>
      </c>
      <c r="W50" s="17">
        <v>46</v>
      </c>
      <c r="X50" s="46">
        <v>13</v>
      </c>
      <c r="Y50" s="123">
        <v>0</v>
      </c>
      <c r="Z50" s="87"/>
      <c r="AA50" s="87">
        <f>INDEX(章节关卡!$F$6:$F$34,芦花古楼!X50)*芦花古楼!Y50</f>
        <v>0</v>
      </c>
      <c r="AB50" s="22">
        <f t="shared" si="17"/>
        <v>60</v>
      </c>
      <c r="AC50" s="22">
        <f t="shared" si="18"/>
        <v>65</v>
      </c>
      <c r="AD50" s="14">
        <f>INDEX(章节关卡!$H$6:$H$34,芦花古楼!X50)*芦花古楼!Y50</f>
        <v>0</v>
      </c>
      <c r="AE50" s="14">
        <v>150</v>
      </c>
      <c r="AH50" s="17">
        <v>46</v>
      </c>
      <c r="AI50" s="46">
        <v>13</v>
      </c>
      <c r="AJ50" s="123">
        <v>0</v>
      </c>
      <c r="AK50" s="87"/>
      <c r="AL50" s="87">
        <f>INDEX(章节关卡!$F$6:$F$34,芦花古楼!AI50)*芦花古楼!AJ50</f>
        <v>0</v>
      </c>
      <c r="AM50" s="22">
        <f t="shared" si="7"/>
        <v>65</v>
      </c>
      <c r="AN50" s="22">
        <f t="shared" si="8"/>
        <v>65</v>
      </c>
      <c r="AO50" s="14">
        <f>INDEX(章节关卡!$H$6:$H$34,芦花古楼!AI50)*芦花古楼!AJ50</f>
        <v>0</v>
      </c>
      <c r="AP50" s="14">
        <v>150</v>
      </c>
      <c r="AS50" s="18">
        <v>45</v>
      </c>
      <c r="AT50" s="87">
        <v>12</v>
      </c>
      <c r="AV50" s="18">
        <v>45</v>
      </c>
      <c r="AW50" s="87">
        <v>14</v>
      </c>
      <c r="AY50" s="18">
        <v>45</v>
      </c>
      <c r="AZ50" s="18">
        <v>14</v>
      </c>
      <c r="BB50" s="18">
        <v>45</v>
      </c>
      <c r="BC50" s="18">
        <v>14</v>
      </c>
      <c r="BF50" s="18">
        <v>45</v>
      </c>
      <c r="BG50" s="14">
        <f t="shared" si="19"/>
        <v>415</v>
      </c>
      <c r="BH50" s="14">
        <f t="shared" si="20"/>
        <v>460</v>
      </c>
      <c r="BI50" s="14">
        <f t="shared" si="21"/>
        <v>0</v>
      </c>
      <c r="BJ50" s="14">
        <f t="shared" si="12"/>
        <v>1200</v>
      </c>
      <c r="BK50" s="14">
        <f t="shared" si="13"/>
        <v>860</v>
      </c>
      <c r="BL50" s="14">
        <f t="shared" si="14"/>
        <v>1720</v>
      </c>
      <c r="CJ50" s="52">
        <v>46</v>
      </c>
      <c r="CK50" s="52">
        <v>1</v>
      </c>
      <c r="CL50" s="52" t="s">
        <v>257</v>
      </c>
      <c r="CM50" s="52">
        <v>46</v>
      </c>
      <c r="CN50" s="52"/>
      <c r="CO50" s="52"/>
      <c r="CP50" s="52"/>
      <c r="CQ50" s="52" t="s">
        <v>372</v>
      </c>
      <c r="CR50" s="52">
        <v>3000</v>
      </c>
      <c r="CS50" s="52" t="s">
        <v>373</v>
      </c>
      <c r="CT50" s="52">
        <v>50</v>
      </c>
      <c r="CU50" s="52"/>
      <c r="CV50" s="52"/>
      <c r="CW50" s="52" t="s">
        <v>373</v>
      </c>
      <c r="CX50" s="52">
        <v>65</v>
      </c>
      <c r="CY50" s="52"/>
      <c r="CZ50" s="52"/>
      <c r="DA50" s="52"/>
      <c r="DB50" s="52"/>
      <c r="DC50" s="52"/>
      <c r="DD50" s="52"/>
      <c r="DE50" s="52"/>
      <c r="DF50" s="52"/>
      <c r="DG50" s="52"/>
      <c r="DH50" s="52"/>
    </row>
    <row r="51" spans="1:112" ht="16.5" x14ac:dyDescent="0.2">
      <c r="A51" s="17">
        <v>47</v>
      </c>
      <c r="B51" s="78">
        <v>12</v>
      </c>
      <c r="C51" s="123">
        <v>0</v>
      </c>
      <c r="D51" s="87"/>
      <c r="E51" s="78">
        <f>INDEX(章节关卡!$F$6:$F$34,芦花古楼!B51)*芦花古楼!C51</f>
        <v>0</v>
      </c>
      <c r="F51" s="22">
        <f t="shared" si="15"/>
        <v>50</v>
      </c>
      <c r="G51" s="22">
        <f t="shared" si="16"/>
        <v>65</v>
      </c>
      <c r="H51" s="14">
        <f>INDEX(章节关卡!$H$6:$H$34,芦花古楼!B51)*芦花古楼!C51</f>
        <v>0</v>
      </c>
      <c r="I51" s="14">
        <v>150</v>
      </c>
      <c r="L51" s="17">
        <v>47</v>
      </c>
      <c r="M51" s="78">
        <f t="shared" si="4"/>
        <v>13</v>
      </c>
      <c r="N51" s="123">
        <v>0</v>
      </c>
      <c r="O51" s="87"/>
      <c r="P51" s="78">
        <f>INDEX(章节关卡!$F$6:$F$34,芦花古楼!M51)*芦花古楼!N51</f>
        <v>0</v>
      </c>
      <c r="Q51" s="22">
        <f t="shared" si="5"/>
        <v>55</v>
      </c>
      <c r="R51" s="22">
        <f t="shared" si="6"/>
        <v>65</v>
      </c>
      <c r="S51" s="14">
        <f>INDEX(章节关卡!$H$6:$H$34,芦花古楼!M51)*芦花古楼!N51</f>
        <v>0</v>
      </c>
      <c r="T51" s="14">
        <v>150</v>
      </c>
      <c r="W51" s="17">
        <v>47</v>
      </c>
      <c r="X51" s="46">
        <v>13</v>
      </c>
      <c r="Y51" s="123">
        <v>0</v>
      </c>
      <c r="Z51" s="87"/>
      <c r="AA51" s="87">
        <f>INDEX(章节关卡!$F$6:$F$34,芦花古楼!X51)*芦花古楼!Y51</f>
        <v>0</v>
      </c>
      <c r="AB51" s="22">
        <f t="shared" si="17"/>
        <v>60</v>
      </c>
      <c r="AC51" s="22">
        <f t="shared" si="18"/>
        <v>65</v>
      </c>
      <c r="AD51" s="14">
        <f>INDEX(章节关卡!$H$6:$H$34,芦花古楼!X51)*芦花古楼!Y51</f>
        <v>0</v>
      </c>
      <c r="AE51" s="14">
        <v>150</v>
      </c>
      <c r="AH51" s="17">
        <v>47</v>
      </c>
      <c r="AI51" s="46">
        <v>13</v>
      </c>
      <c r="AJ51" s="123">
        <v>0</v>
      </c>
      <c r="AK51" s="87"/>
      <c r="AL51" s="87">
        <f>INDEX(章节关卡!$F$6:$F$34,芦花古楼!AI51)*芦花古楼!AJ51</f>
        <v>0</v>
      </c>
      <c r="AM51" s="22">
        <f t="shared" si="7"/>
        <v>65</v>
      </c>
      <c r="AN51" s="22">
        <f t="shared" si="8"/>
        <v>65</v>
      </c>
      <c r="AO51" s="14">
        <f>INDEX(章节关卡!$H$6:$H$34,芦花古楼!AI51)*芦花古楼!AJ51</f>
        <v>0</v>
      </c>
      <c r="AP51" s="14">
        <v>150</v>
      </c>
      <c r="AS51" s="18">
        <v>46</v>
      </c>
      <c r="AT51" s="18">
        <v>13</v>
      </c>
      <c r="AV51" s="18">
        <v>46</v>
      </c>
      <c r="AW51" s="87">
        <v>15</v>
      </c>
      <c r="AY51" s="18">
        <v>46</v>
      </c>
      <c r="AZ51" s="18">
        <v>15</v>
      </c>
      <c r="BB51" s="18">
        <v>46</v>
      </c>
      <c r="BC51" s="18">
        <v>15</v>
      </c>
      <c r="BF51" s="18">
        <v>46</v>
      </c>
      <c r="BG51" s="14">
        <f t="shared" si="19"/>
        <v>430</v>
      </c>
      <c r="BH51" s="14">
        <f t="shared" si="20"/>
        <v>465</v>
      </c>
      <c r="BI51" s="14">
        <f t="shared" si="21"/>
        <v>0</v>
      </c>
      <c r="BJ51" s="14">
        <f t="shared" si="12"/>
        <v>1200</v>
      </c>
      <c r="BK51" s="14">
        <f t="shared" si="13"/>
        <v>890</v>
      </c>
      <c r="BL51" s="14">
        <f t="shared" si="14"/>
        <v>1780</v>
      </c>
      <c r="CJ51" s="52">
        <v>47</v>
      </c>
      <c r="CK51" s="52">
        <v>1</v>
      </c>
      <c r="CL51" s="52" t="s">
        <v>257</v>
      </c>
      <c r="CM51" s="52">
        <v>47</v>
      </c>
      <c r="CN51" s="52"/>
      <c r="CO51" s="52"/>
      <c r="CP51" s="52"/>
      <c r="CQ51" s="52" t="s">
        <v>372</v>
      </c>
      <c r="CR51" s="52">
        <v>3000</v>
      </c>
      <c r="CS51" s="52" t="s">
        <v>373</v>
      </c>
      <c r="CT51" s="52">
        <v>50</v>
      </c>
      <c r="CU51" s="52"/>
      <c r="CV51" s="52"/>
      <c r="CW51" s="52" t="s">
        <v>373</v>
      </c>
      <c r="CX51" s="52">
        <v>65</v>
      </c>
      <c r="CY51" s="52"/>
      <c r="CZ51" s="52"/>
      <c r="DA51" s="52"/>
      <c r="DB51" s="52"/>
      <c r="DC51" s="52"/>
      <c r="DD51" s="52"/>
      <c r="DE51" s="52"/>
      <c r="DF51" s="52"/>
      <c r="DG51" s="52"/>
      <c r="DH51" s="52"/>
    </row>
    <row r="52" spans="1:112" ht="16.5" x14ac:dyDescent="0.2">
      <c r="A52" s="17">
        <v>48</v>
      </c>
      <c r="B52" s="78">
        <v>12</v>
      </c>
      <c r="C52" s="123">
        <v>0</v>
      </c>
      <c r="D52" s="87"/>
      <c r="E52" s="78">
        <f>INDEX(章节关卡!$F$6:$F$34,芦花古楼!B52)*芦花古楼!C52</f>
        <v>0</v>
      </c>
      <c r="F52" s="22">
        <f t="shared" si="15"/>
        <v>50</v>
      </c>
      <c r="G52" s="22">
        <f t="shared" si="16"/>
        <v>65</v>
      </c>
      <c r="H52" s="14">
        <f>INDEX(章节关卡!$H$6:$H$34,芦花古楼!B52)*芦花古楼!C52</f>
        <v>0</v>
      </c>
      <c r="I52" s="14">
        <v>150</v>
      </c>
      <c r="L52" s="17">
        <v>48</v>
      </c>
      <c r="M52" s="78">
        <f t="shared" si="4"/>
        <v>13</v>
      </c>
      <c r="N52" s="123">
        <v>0</v>
      </c>
      <c r="O52" s="87"/>
      <c r="P52" s="78">
        <f>INDEX(章节关卡!$F$6:$F$34,芦花古楼!M52)*芦花古楼!N52</f>
        <v>0</v>
      </c>
      <c r="Q52" s="22">
        <f t="shared" si="5"/>
        <v>55</v>
      </c>
      <c r="R52" s="22">
        <f t="shared" si="6"/>
        <v>65</v>
      </c>
      <c r="S52" s="14">
        <f>INDEX(章节关卡!$H$6:$H$34,芦花古楼!M52)*芦花古楼!N52</f>
        <v>0</v>
      </c>
      <c r="T52" s="14">
        <v>150</v>
      </c>
      <c r="W52" s="17">
        <v>48</v>
      </c>
      <c r="X52" s="46">
        <v>13</v>
      </c>
      <c r="Y52" s="123">
        <v>0</v>
      </c>
      <c r="Z52" s="87"/>
      <c r="AA52" s="87">
        <f>INDEX(章节关卡!$F$6:$F$34,芦花古楼!X52)*芦花古楼!Y52</f>
        <v>0</v>
      </c>
      <c r="AB52" s="22">
        <f t="shared" si="17"/>
        <v>60</v>
      </c>
      <c r="AC52" s="22">
        <f t="shared" si="18"/>
        <v>65</v>
      </c>
      <c r="AD52" s="14">
        <f>INDEX(章节关卡!$H$6:$H$34,芦花古楼!X52)*芦花古楼!Y52</f>
        <v>0</v>
      </c>
      <c r="AE52" s="14">
        <v>150</v>
      </c>
      <c r="AH52" s="17">
        <v>48</v>
      </c>
      <c r="AI52" s="46">
        <v>13</v>
      </c>
      <c r="AJ52" s="123">
        <v>0</v>
      </c>
      <c r="AK52" s="87"/>
      <c r="AL52" s="87">
        <f>INDEX(章节关卡!$F$6:$F$34,芦花古楼!AI52)*芦花古楼!AJ52</f>
        <v>0</v>
      </c>
      <c r="AM52" s="22">
        <f t="shared" si="7"/>
        <v>65</v>
      </c>
      <c r="AN52" s="22">
        <f t="shared" si="8"/>
        <v>65</v>
      </c>
      <c r="AO52" s="14">
        <f>INDEX(章节关卡!$H$6:$H$34,芦花古楼!AI52)*芦花古楼!AJ52</f>
        <v>0</v>
      </c>
      <c r="AP52" s="14">
        <v>150</v>
      </c>
      <c r="AS52" s="18">
        <v>47</v>
      </c>
      <c r="AT52" s="87">
        <v>13</v>
      </c>
      <c r="AV52" s="18">
        <v>47</v>
      </c>
      <c r="AW52" s="87">
        <v>15</v>
      </c>
      <c r="AY52" s="18">
        <v>47</v>
      </c>
      <c r="AZ52" s="18">
        <v>15</v>
      </c>
      <c r="BB52" s="18">
        <v>47</v>
      </c>
      <c r="BC52" s="18">
        <v>15</v>
      </c>
      <c r="BF52" s="18">
        <v>47</v>
      </c>
      <c r="BG52" s="14">
        <f t="shared" si="19"/>
        <v>330</v>
      </c>
      <c r="BH52" s="14">
        <f t="shared" si="20"/>
        <v>465</v>
      </c>
      <c r="BI52" s="14">
        <f t="shared" si="21"/>
        <v>0</v>
      </c>
      <c r="BJ52" s="14">
        <f t="shared" si="12"/>
        <v>1200</v>
      </c>
      <c r="BK52" s="14">
        <f t="shared" si="13"/>
        <v>795</v>
      </c>
      <c r="BL52" s="14">
        <f t="shared" si="14"/>
        <v>1590</v>
      </c>
      <c r="CJ52" s="52">
        <v>48</v>
      </c>
      <c r="CK52" s="52">
        <v>1</v>
      </c>
      <c r="CL52" s="52" t="s">
        <v>257</v>
      </c>
      <c r="CM52" s="52">
        <v>48</v>
      </c>
      <c r="CN52" s="52"/>
      <c r="CO52" s="52"/>
      <c r="CP52" s="52"/>
      <c r="CQ52" s="52" t="s">
        <v>372</v>
      </c>
      <c r="CR52" s="52">
        <v>3000</v>
      </c>
      <c r="CS52" s="52" t="s">
        <v>373</v>
      </c>
      <c r="CT52" s="52">
        <v>50</v>
      </c>
      <c r="CU52" s="52"/>
      <c r="CV52" s="52"/>
      <c r="CW52" s="52" t="s">
        <v>373</v>
      </c>
      <c r="CX52" s="52">
        <v>65</v>
      </c>
      <c r="CY52" s="52"/>
      <c r="CZ52" s="52"/>
      <c r="DA52" s="52"/>
      <c r="DB52" s="52"/>
      <c r="DC52" s="52"/>
      <c r="DD52" s="52"/>
      <c r="DE52" s="52"/>
      <c r="DF52" s="52"/>
      <c r="DG52" s="52"/>
      <c r="DH52" s="52"/>
    </row>
    <row r="53" spans="1:112" ht="16.5" x14ac:dyDescent="0.2">
      <c r="A53" s="17">
        <v>49</v>
      </c>
      <c r="B53" s="78">
        <v>12</v>
      </c>
      <c r="C53" s="123">
        <v>0</v>
      </c>
      <c r="D53" s="87"/>
      <c r="E53" s="78">
        <f>INDEX(章节关卡!$F$6:$F$34,芦花古楼!B53)*芦花古楼!C53</f>
        <v>0</v>
      </c>
      <c r="F53" s="22">
        <f t="shared" si="15"/>
        <v>50</v>
      </c>
      <c r="G53" s="22">
        <f t="shared" si="16"/>
        <v>65</v>
      </c>
      <c r="H53" s="14">
        <f>INDEX(章节关卡!$H$6:$H$34,芦花古楼!B53)*芦花古楼!C53</f>
        <v>0</v>
      </c>
      <c r="I53" s="14">
        <v>150</v>
      </c>
      <c r="L53" s="17">
        <v>49</v>
      </c>
      <c r="M53" s="78">
        <f t="shared" si="4"/>
        <v>13</v>
      </c>
      <c r="N53" s="123">
        <v>0</v>
      </c>
      <c r="O53" s="87"/>
      <c r="P53" s="78">
        <f>INDEX(章节关卡!$F$6:$F$34,芦花古楼!M53)*芦花古楼!N53</f>
        <v>0</v>
      </c>
      <c r="Q53" s="22">
        <f t="shared" si="5"/>
        <v>55</v>
      </c>
      <c r="R53" s="22">
        <f t="shared" si="6"/>
        <v>65</v>
      </c>
      <c r="S53" s="14">
        <f>INDEX(章节关卡!$H$6:$H$34,芦花古楼!M53)*芦花古楼!N53</f>
        <v>0</v>
      </c>
      <c r="T53" s="14">
        <v>150</v>
      </c>
      <c r="W53" s="17">
        <v>49</v>
      </c>
      <c r="X53" s="46">
        <v>13</v>
      </c>
      <c r="Y53" s="123">
        <v>0</v>
      </c>
      <c r="Z53" s="87"/>
      <c r="AA53" s="87">
        <f>INDEX(章节关卡!$F$6:$F$34,芦花古楼!X53)*芦花古楼!Y53</f>
        <v>0</v>
      </c>
      <c r="AB53" s="22">
        <f t="shared" si="17"/>
        <v>60</v>
      </c>
      <c r="AC53" s="22">
        <f t="shared" si="18"/>
        <v>65</v>
      </c>
      <c r="AD53" s="14">
        <f>INDEX(章节关卡!$H$6:$H$34,芦花古楼!X53)*芦花古楼!Y53</f>
        <v>0</v>
      </c>
      <c r="AE53" s="14">
        <v>150</v>
      </c>
      <c r="AH53" s="17">
        <v>49</v>
      </c>
      <c r="AI53" s="46">
        <v>13</v>
      </c>
      <c r="AJ53" s="123">
        <v>0</v>
      </c>
      <c r="AK53" s="87"/>
      <c r="AL53" s="87">
        <f>INDEX(章节关卡!$F$6:$F$34,芦花古楼!AI53)*芦花古楼!AJ53</f>
        <v>0</v>
      </c>
      <c r="AM53" s="22">
        <f t="shared" si="7"/>
        <v>65</v>
      </c>
      <c r="AN53" s="22">
        <f t="shared" si="8"/>
        <v>65</v>
      </c>
      <c r="AO53" s="14">
        <f>INDEX(章节关卡!$H$6:$H$34,芦花古楼!AI53)*芦花古楼!AJ53</f>
        <v>0</v>
      </c>
      <c r="AP53" s="14">
        <v>150</v>
      </c>
      <c r="AS53" s="18">
        <v>48</v>
      </c>
      <c r="AT53" s="87">
        <v>13</v>
      </c>
      <c r="AV53" s="18">
        <v>48</v>
      </c>
      <c r="AW53" s="87">
        <v>15</v>
      </c>
      <c r="AY53" s="18">
        <v>48</v>
      </c>
      <c r="AZ53" s="18">
        <v>15</v>
      </c>
      <c r="BB53" s="18">
        <v>48</v>
      </c>
      <c r="BC53" s="18">
        <v>15</v>
      </c>
      <c r="BF53" s="18">
        <v>48</v>
      </c>
      <c r="BG53" s="14">
        <f t="shared" si="19"/>
        <v>330</v>
      </c>
      <c r="BH53" s="14">
        <f t="shared" si="20"/>
        <v>465</v>
      </c>
      <c r="BI53" s="14">
        <f t="shared" si="21"/>
        <v>0</v>
      </c>
      <c r="BJ53" s="14">
        <f t="shared" si="12"/>
        <v>1200</v>
      </c>
      <c r="BK53" s="14">
        <f t="shared" si="13"/>
        <v>795</v>
      </c>
      <c r="BL53" s="14">
        <f t="shared" si="14"/>
        <v>1590</v>
      </c>
      <c r="CJ53" s="52">
        <v>49</v>
      </c>
      <c r="CK53" s="52">
        <v>1</v>
      </c>
      <c r="CL53" s="52" t="s">
        <v>257</v>
      </c>
      <c r="CM53" s="52">
        <v>49</v>
      </c>
      <c r="CN53" s="52"/>
      <c r="CO53" s="52"/>
      <c r="CP53" s="52"/>
      <c r="CQ53" s="52" t="s">
        <v>372</v>
      </c>
      <c r="CR53" s="52">
        <v>3000</v>
      </c>
      <c r="CS53" s="52" t="s">
        <v>373</v>
      </c>
      <c r="CT53" s="52">
        <v>50</v>
      </c>
      <c r="CU53" s="52"/>
      <c r="CV53" s="52"/>
      <c r="CW53" s="52" t="s">
        <v>373</v>
      </c>
      <c r="CX53" s="52">
        <v>65</v>
      </c>
      <c r="CY53" s="52"/>
      <c r="CZ53" s="52"/>
      <c r="DA53" s="52"/>
      <c r="DB53" s="52"/>
      <c r="DC53" s="52"/>
      <c r="DD53" s="52"/>
      <c r="DE53" s="52"/>
      <c r="DF53" s="52"/>
      <c r="DG53" s="52"/>
      <c r="DH53" s="52"/>
    </row>
    <row r="54" spans="1:112" ht="16.5" x14ac:dyDescent="0.2">
      <c r="A54" s="17">
        <v>50</v>
      </c>
      <c r="B54" s="78">
        <v>12</v>
      </c>
      <c r="C54" s="123">
        <v>0</v>
      </c>
      <c r="D54" s="87"/>
      <c r="E54" s="78">
        <f>INDEX(章节关卡!$F$6:$F$34,芦花古楼!B54)*芦花古楼!C54</f>
        <v>0</v>
      </c>
      <c r="F54" s="22">
        <f t="shared" si="15"/>
        <v>50</v>
      </c>
      <c r="G54" s="22">
        <f t="shared" si="16"/>
        <v>70</v>
      </c>
      <c r="H54" s="14">
        <f>INDEX(章节关卡!$H$6:$H$34,芦花古楼!B54)*芦花古楼!C54</f>
        <v>0</v>
      </c>
      <c r="I54" s="14">
        <v>150</v>
      </c>
      <c r="L54" s="17">
        <v>50</v>
      </c>
      <c r="M54" s="78">
        <f t="shared" si="4"/>
        <v>13</v>
      </c>
      <c r="N54" s="123">
        <v>0</v>
      </c>
      <c r="O54" s="87"/>
      <c r="P54" s="78">
        <f>INDEX(章节关卡!$F$6:$F$34,芦花古楼!M54)*芦花古楼!N54</f>
        <v>0</v>
      </c>
      <c r="Q54" s="22">
        <f t="shared" si="5"/>
        <v>55</v>
      </c>
      <c r="R54" s="22">
        <f t="shared" si="6"/>
        <v>70</v>
      </c>
      <c r="S54" s="14">
        <f>INDEX(章节关卡!$H$6:$H$34,芦花古楼!M54)*芦花古楼!N54</f>
        <v>0</v>
      </c>
      <c r="T54" s="14">
        <v>150</v>
      </c>
      <c r="W54" s="17">
        <v>50</v>
      </c>
      <c r="X54" s="46">
        <v>13</v>
      </c>
      <c r="Y54" s="123">
        <v>0</v>
      </c>
      <c r="Z54" s="87"/>
      <c r="AA54" s="87">
        <f>INDEX(章节关卡!$F$6:$F$34,芦花古楼!X54)*芦花古楼!Y54</f>
        <v>0</v>
      </c>
      <c r="AB54" s="22">
        <f t="shared" si="17"/>
        <v>60</v>
      </c>
      <c r="AC54" s="22">
        <f t="shared" si="18"/>
        <v>70</v>
      </c>
      <c r="AD54" s="14">
        <f>INDEX(章节关卡!$H$6:$H$34,芦花古楼!X54)*芦花古楼!Y54</f>
        <v>0</v>
      </c>
      <c r="AE54" s="14">
        <v>150</v>
      </c>
      <c r="AH54" s="17">
        <v>50</v>
      </c>
      <c r="AI54" s="46">
        <v>13</v>
      </c>
      <c r="AJ54" s="123">
        <v>0</v>
      </c>
      <c r="AK54" s="87"/>
      <c r="AL54" s="87">
        <f>INDEX(章节关卡!$F$6:$F$34,芦花古楼!AI54)*芦花古楼!AJ54</f>
        <v>0</v>
      </c>
      <c r="AM54" s="22">
        <f t="shared" si="7"/>
        <v>65</v>
      </c>
      <c r="AN54" s="22">
        <f t="shared" si="8"/>
        <v>70</v>
      </c>
      <c r="AO54" s="14">
        <f>INDEX(章节关卡!$H$6:$H$34,芦花古楼!AI54)*芦花古楼!AJ54</f>
        <v>0</v>
      </c>
      <c r="AP54" s="14">
        <v>150</v>
      </c>
      <c r="AS54" s="18">
        <v>49</v>
      </c>
      <c r="AT54" s="87">
        <v>14</v>
      </c>
      <c r="AV54" s="18">
        <v>49</v>
      </c>
      <c r="AW54" s="87">
        <v>16</v>
      </c>
      <c r="AY54" s="18">
        <v>49</v>
      </c>
      <c r="AZ54" s="18">
        <v>16</v>
      </c>
      <c r="BB54" s="18">
        <v>49</v>
      </c>
      <c r="BC54" s="18">
        <v>16</v>
      </c>
      <c r="BF54" s="18">
        <v>49</v>
      </c>
      <c r="BG54" s="14">
        <f t="shared" si="19"/>
        <v>330</v>
      </c>
      <c r="BH54" s="14">
        <f t="shared" si="20"/>
        <v>465</v>
      </c>
      <c r="BI54" s="14">
        <f t="shared" si="21"/>
        <v>0</v>
      </c>
      <c r="BJ54" s="14">
        <f t="shared" si="12"/>
        <v>1200</v>
      </c>
      <c r="BK54" s="14">
        <f t="shared" si="13"/>
        <v>795</v>
      </c>
      <c r="BL54" s="14">
        <f t="shared" si="14"/>
        <v>1590</v>
      </c>
      <c r="CJ54" s="52">
        <v>50</v>
      </c>
      <c r="CK54" s="52">
        <v>1</v>
      </c>
      <c r="CL54" s="52" t="s">
        <v>257</v>
      </c>
      <c r="CM54" s="52">
        <v>50</v>
      </c>
      <c r="CN54" s="52"/>
      <c r="CO54" s="52"/>
      <c r="CP54" s="52"/>
      <c r="CQ54" s="52" t="s">
        <v>372</v>
      </c>
      <c r="CR54" s="52">
        <v>3600</v>
      </c>
      <c r="CS54" s="52" t="s">
        <v>373</v>
      </c>
      <c r="CT54" s="52">
        <v>50</v>
      </c>
      <c r="CU54" s="52" t="s">
        <v>272</v>
      </c>
      <c r="CV54" s="52">
        <v>2</v>
      </c>
      <c r="CW54" s="52" t="s">
        <v>373</v>
      </c>
      <c r="CX54" s="52">
        <v>70</v>
      </c>
      <c r="CY54" s="52"/>
      <c r="CZ54" s="52"/>
      <c r="DA54" s="52"/>
      <c r="DB54" s="52"/>
      <c r="DC54" s="52"/>
      <c r="DD54" s="52"/>
      <c r="DE54" s="52"/>
      <c r="DF54" s="52"/>
      <c r="DG54" s="52"/>
      <c r="DH54" s="52"/>
    </row>
    <row r="55" spans="1:112" ht="16.5" x14ac:dyDescent="0.2">
      <c r="A55" s="17">
        <v>51</v>
      </c>
      <c r="B55" s="46">
        <v>13</v>
      </c>
      <c r="C55" s="123">
        <v>0</v>
      </c>
      <c r="D55" s="87"/>
      <c r="E55" s="78">
        <f>INDEX(章节关卡!$F$6:$F$34,芦花古楼!B55)*芦花古楼!C55</f>
        <v>0</v>
      </c>
      <c r="F55" s="22">
        <f t="shared" si="15"/>
        <v>55</v>
      </c>
      <c r="G55" s="22">
        <f t="shared" si="16"/>
        <v>70</v>
      </c>
      <c r="H55" s="14">
        <f>INDEX(章节关卡!$H$6:$H$34,芦花古楼!B55)*芦花古楼!C55</f>
        <v>0</v>
      </c>
      <c r="I55" s="14">
        <v>150</v>
      </c>
      <c r="L55" s="17">
        <v>51</v>
      </c>
      <c r="M55" s="78">
        <f t="shared" si="4"/>
        <v>14</v>
      </c>
      <c r="N55" s="123">
        <v>0</v>
      </c>
      <c r="O55" s="87"/>
      <c r="P55" s="78">
        <f>INDEX(章节关卡!$F$6:$F$34,芦花古楼!M55)*芦花古楼!N55</f>
        <v>0</v>
      </c>
      <c r="Q55" s="22">
        <f t="shared" si="5"/>
        <v>60</v>
      </c>
      <c r="R55" s="22">
        <f t="shared" si="6"/>
        <v>70</v>
      </c>
      <c r="S55" s="14">
        <f>INDEX(章节关卡!$H$6:$H$34,芦花古楼!M55)*芦花古楼!N55</f>
        <v>0</v>
      </c>
      <c r="T55" s="14">
        <v>150</v>
      </c>
      <c r="W55" s="17">
        <v>51</v>
      </c>
      <c r="X55" s="46">
        <v>14</v>
      </c>
      <c r="Y55" s="123">
        <v>0</v>
      </c>
      <c r="Z55" s="87"/>
      <c r="AA55" s="87">
        <f>INDEX(章节关卡!$F$6:$F$34,芦花古楼!X55)*芦花古楼!Y55</f>
        <v>0</v>
      </c>
      <c r="AB55" s="22">
        <f t="shared" si="17"/>
        <v>65</v>
      </c>
      <c r="AC55" s="22">
        <f t="shared" si="18"/>
        <v>70</v>
      </c>
      <c r="AD55" s="14">
        <f>INDEX(章节关卡!$H$6:$H$34,芦花古楼!X55)*芦花古楼!Y55</f>
        <v>0</v>
      </c>
      <c r="AE55" s="14">
        <v>150</v>
      </c>
      <c r="AH55" s="17">
        <v>51</v>
      </c>
      <c r="AI55" s="46">
        <v>14</v>
      </c>
      <c r="AJ55" s="123">
        <v>0</v>
      </c>
      <c r="AK55" s="87"/>
      <c r="AL55" s="87">
        <f>INDEX(章节关卡!$F$6:$F$34,芦花古楼!AI55)*芦花古楼!AJ55</f>
        <v>0</v>
      </c>
      <c r="AM55" s="22">
        <f t="shared" si="7"/>
        <v>70</v>
      </c>
      <c r="AN55" s="22">
        <f t="shared" si="8"/>
        <v>70</v>
      </c>
      <c r="AO55" s="14">
        <f>INDEX(章节关卡!$H$6:$H$34,芦花古楼!AI55)*芦花古楼!AJ55</f>
        <v>0</v>
      </c>
      <c r="AP55" s="14">
        <v>150</v>
      </c>
      <c r="AS55" s="18">
        <v>50</v>
      </c>
      <c r="AT55" s="87">
        <v>14</v>
      </c>
      <c r="AV55" s="18">
        <v>50</v>
      </c>
      <c r="AW55" s="87">
        <v>16</v>
      </c>
      <c r="AY55" s="18">
        <v>50</v>
      </c>
      <c r="AZ55" s="18">
        <v>16</v>
      </c>
      <c r="BB55" s="18">
        <v>50</v>
      </c>
      <c r="BC55" s="18">
        <v>16</v>
      </c>
      <c r="BF55" s="18">
        <v>50</v>
      </c>
      <c r="BG55" s="14">
        <f t="shared" si="19"/>
        <v>330</v>
      </c>
      <c r="BH55" s="14">
        <f t="shared" si="20"/>
        <v>480</v>
      </c>
      <c r="BI55" s="14">
        <f t="shared" si="21"/>
        <v>0</v>
      </c>
      <c r="BJ55" s="14">
        <f t="shared" si="12"/>
        <v>1200</v>
      </c>
      <c r="BK55" s="14">
        <f t="shared" si="13"/>
        <v>795</v>
      </c>
      <c r="BL55" s="14">
        <f t="shared" si="14"/>
        <v>1590</v>
      </c>
      <c r="CJ55" s="52">
        <v>51</v>
      </c>
      <c r="CK55" s="52">
        <v>1</v>
      </c>
      <c r="CL55" s="52" t="s">
        <v>257</v>
      </c>
      <c r="CM55" s="52">
        <v>51</v>
      </c>
      <c r="CN55" s="52"/>
      <c r="CO55" s="52"/>
      <c r="CP55" s="52"/>
      <c r="CQ55" s="52" t="s">
        <v>372</v>
      </c>
      <c r="CR55" s="52">
        <v>3600</v>
      </c>
      <c r="CS55" s="52" t="s">
        <v>373</v>
      </c>
      <c r="CT55" s="52">
        <v>55</v>
      </c>
      <c r="CU55" s="52"/>
      <c r="CV55" s="52"/>
      <c r="CW55" s="52" t="s">
        <v>373</v>
      </c>
      <c r="CX55" s="52">
        <v>70</v>
      </c>
      <c r="CY55" s="52"/>
      <c r="CZ55" s="52"/>
      <c r="DA55" s="52"/>
      <c r="DB55" s="52"/>
      <c r="DC55" s="52"/>
      <c r="DD55" s="52"/>
      <c r="DE55" s="52"/>
      <c r="DF55" s="52"/>
      <c r="DG55" s="52"/>
      <c r="DH55" s="52"/>
    </row>
    <row r="56" spans="1:112" ht="16.5" x14ac:dyDescent="0.2">
      <c r="A56" s="17">
        <v>52</v>
      </c>
      <c r="B56" s="78">
        <v>13</v>
      </c>
      <c r="C56" s="123">
        <v>0</v>
      </c>
      <c r="D56" s="87"/>
      <c r="E56" s="78">
        <f>INDEX(章节关卡!$F$6:$F$34,芦花古楼!B56)*芦花古楼!C56</f>
        <v>0</v>
      </c>
      <c r="F56" s="22">
        <f t="shared" si="15"/>
        <v>55</v>
      </c>
      <c r="G56" s="22">
        <f t="shared" si="16"/>
        <v>70</v>
      </c>
      <c r="H56" s="14">
        <f>INDEX(章节关卡!$H$6:$H$34,芦花古楼!B56)*芦花古楼!C56</f>
        <v>0</v>
      </c>
      <c r="I56" s="14">
        <v>150</v>
      </c>
      <c r="L56" s="17">
        <v>52</v>
      </c>
      <c r="M56" s="78">
        <f t="shared" si="4"/>
        <v>14</v>
      </c>
      <c r="N56" s="123">
        <v>0</v>
      </c>
      <c r="O56" s="87"/>
      <c r="P56" s="78">
        <f>INDEX(章节关卡!$F$6:$F$34,芦花古楼!M56)*芦花古楼!N56</f>
        <v>0</v>
      </c>
      <c r="Q56" s="22">
        <f t="shared" si="5"/>
        <v>60</v>
      </c>
      <c r="R56" s="22">
        <f t="shared" si="6"/>
        <v>70</v>
      </c>
      <c r="S56" s="14">
        <f>INDEX(章节关卡!$H$6:$H$34,芦花古楼!M56)*芦花古楼!N56</f>
        <v>0</v>
      </c>
      <c r="T56" s="14">
        <v>150</v>
      </c>
      <c r="W56" s="17">
        <v>52</v>
      </c>
      <c r="X56" s="46">
        <v>14</v>
      </c>
      <c r="Y56" s="123">
        <v>0</v>
      </c>
      <c r="Z56" s="87"/>
      <c r="AA56" s="87">
        <f>INDEX(章节关卡!$F$6:$F$34,芦花古楼!X56)*芦花古楼!Y56</f>
        <v>0</v>
      </c>
      <c r="AB56" s="22">
        <f t="shared" si="17"/>
        <v>65</v>
      </c>
      <c r="AC56" s="22">
        <f t="shared" si="18"/>
        <v>70</v>
      </c>
      <c r="AD56" s="14">
        <f>INDEX(章节关卡!$H$6:$H$34,芦花古楼!X56)*芦花古楼!Y56</f>
        <v>0</v>
      </c>
      <c r="AE56" s="14">
        <v>150</v>
      </c>
      <c r="AH56" s="17">
        <v>52</v>
      </c>
      <c r="AI56" s="46">
        <v>14</v>
      </c>
      <c r="AJ56" s="123">
        <v>0</v>
      </c>
      <c r="AK56" s="87"/>
      <c r="AL56" s="87">
        <f>INDEX(章节关卡!$F$6:$F$34,芦花古楼!AI56)*芦花古楼!AJ56</f>
        <v>0</v>
      </c>
      <c r="AM56" s="22">
        <f t="shared" si="7"/>
        <v>70</v>
      </c>
      <c r="AN56" s="22">
        <f t="shared" si="8"/>
        <v>70</v>
      </c>
      <c r="AO56" s="14">
        <f>INDEX(章节关卡!$H$6:$H$34,芦花古楼!AI56)*芦花古楼!AJ56</f>
        <v>0</v>
      </c>
      <c r="AP56" s="14">
        <v>150</v>
      </c>
      <c r="AS56" s="18">
        <v>51</v>
      </c>
      <c r="AT56" s="87">
        <v>14</v>
      </c>
      <c r="AV56" s="18">
        <v>51</v>
      </c>
      <c r="AW56" s="87">
        <v>17</v>
      </c>
      <c r="AY56" s="18">
        <v>51</v>
      </c>
      <c r="AZ56" s="18">
        <v>17</v>
      </c>
      <c r="BB56" s="18">
        <v>51</v>
      </c>
      <c r="BC56" s="18">
        <v>17</v>
      </c>
      <c r="BF56" s="18">
        <v>51</v>
      </c>
      <c r="BG56" s="14">
        <f t="shared" si="19"/>
        <v>0</v>
      </c>
      <c r="BH56" s="14">
        <f t="shared" si="20"/>
        <v>480</v>
      </c>
      <c r="BI56" s="14">
        <f t="shared" si="21"/>
        <v>0</v>
      </c>
      <c r="BJ56" s="14">
        <f t="shared" si="12"/>
        <v>1200</v>
      </c>
      <c r="BK56" s="14">
        <f t="shared" si="13"/>
        <v>480</v>
      </c>
      <c r="BL56" s="14">
        <f t="shared" si="14"/>
        <v>960</v>
      </c>
      <c r="CJ56" s="52">
        <v>52</v>
      </c>
      <c r="CK56" s="52">
        <v>1</v>
      </c>
      <c r="CL56" s="52" t="s">
        <v>257</v>
      </c>
      <c r="CM56" s="52">
        <v>52</v>
      </c>
      <c r="CN56" s="52"/>
      <c r="CO56" s="52"/>
      <c r="CP56" s="52"/>
      <c r="CQ56" s="52" t="s">
        <v>372</v>
      </c>
      <c r="CR56" s="52">
        <v>3600</v>
      </c>
      <c r="CS56" s="52" t="s">
        <v>373</v>
      </c>
      <c r="CT56" s="52">
        <v>55</v>
      </c>
      <c r="CU56" s="52"/>
      <c r="CV56" s="52"/>
      <c r="CW56" s="52" t="s">
        <v>373</v>
      </c>
      <c r="CX56" s="52">
        <v>70</v>
      </c>
      <c r="CY56" s="52"/>
      <c r="CZ56" s="52"/>
      <c r="DA56" s="52"/>
      <c r="DB56" s="52"/>
      <c r="DC56" s="52"/>
      <c r="DD56" s="52"/>
      <c r="DE56" s="52"/>
      <c r="DF56" s="52"/>
      <c r="DG56" s="52"/>
      <c r="DH56" s="52"/>
    </row>
    <row r="57" spans="1:112" ht="16.5" x14ac:dyDescent="0.2">
      <c r="A57" s="17">
        <v>53</v>
      </c>
      <c r="B57" s="78">
        <v>13</v>
      </c>
      <c r="C57" s="123">
        <v>0</v>
      </c>
      <c r="D57" s="87"/>
      <c r="E57" s="78">
        <f>INDEX(章节关卡!$F$6:$F$34,芦花古楼!B57)*芦花古楼!C57</f>
        <v>0</v>
      </c>
      <c r="F57" s="22">
        <f t="shared" si="15"/>
        <v>55</v>
      </c>
      <c r="G57" s="22">
        <f t="shared" si="16"/>
        <v>70</v>
      </c>
      <c r="H57" s="14">
        <f>INDEX(章节关卡!$H$6:$H$34,芦花古楼!B57)*芦花古楼!C57</f>
        <v>0</v>
      </c>
      <c r="I57" s="14">
        <v>150</v>
      </c>
      <c r="L57" s="17">
        <v>53</v>
      </c>
      <c r="M57" s="78">
        <f t="shared" si="4"/>
        <v>14</v>
      </c>
      <c r="N57" s="123">
        <v>0</v>
      </c>
      <c r="O57" s="87"/>
      <c r="P57" s="78">
        <f>INDEX(章节关卡!$F$6:$F$34,芦花古楼!M57)*芦花古楼!N57</f>
        <v>0</v>
      </c>
      <c r="Q57" s="22">
        <f t="shared" si="5"/>
        <v>60</v>
      </c>
      <c r="R57" s="22">
        <f t="shared" si="6"/>
        <v>70</v>
      </c>
      <c r="S57" s="14">
        <f>INDEX(章节关卡!$H$6:$H$34,芦花古楼!M57)*芦花古楼!N57</f>
        <v>0</v>
      </c>
      <c r="T57" s="14">
        <v>150</v>
      </c>
      <c r="W57" s="17">
        <v>53</v>
      </c>
      <c r="X57" s="46">
        <v>14</v>
      </c>
      <c r="Y57" s="123">
        <v>0</v>
      </c>
      <c r="Z57" s="87"/>
      <c r="AA57" s="87">
        <f>INDEX(章节关卡!$F$6:$F$34,芦花古楼!X57)*芦花古楼!Y57</f>
        <v>0</v>
      </c>
      <c r="AB57" s="22">
        <f t="shared" si="17"/>
        <v>65</v>
      </c>
      <c r="AC57" s="22">
        <f t="shared" si="18"/>
        <v>70</v>
      </c>
      <c r="AD57" s="14">
        <f>INDEX(章节关卡!$H$6:$H$34,芦花古楼!X57)*芦花古楼!Y57</f>
        <v>0</v>
      </c>
      <c r="AE57" s="14">
        <v>150</v>
      </c>
      <c r="AH57" s="17">
        <v>53</v>
      </c>
      <c r="AI57" s="46">
        <v>14</v>
      </c>
      <c r="AJ57" s="123">
        <v>0</v>
      </c>
      <c r="AK57" s="87"/>
      <c r="AL57" s="87">
        <f>INDEX(章节关卡!$F$6:$F$34,芦花古楼!AI57)*芦花古楼!AJ57</f>
        <v>0</v>
      </c>
      <c r="AM57" s="22">
        <f t="shared" si="7"/>
        <v>70</v>
      </c>
      <c r="AN57" s="22">
        <f t="shared" si="8"/>
        <v>70</v>
      </c>
      <c r="AO57" s="14">
        <f>INDEX(章节关卡!$H$6:$H$34,芦花古楼!AI57)*芦花古楼!AJ57</f>
        <v>0</v>
      </c>
      <c r="AP57" s="14">
        <v>150</v>
      </c>
      <c r="AS57" s="18">
        <v>52</v>
      </c>
      <c r="AT57" s="18">
        <v>15</v>
      </c>
      <c r="AV57" s="18">
        <v>52</v>
      </c>
      <c r="AW57" s="87">
        <v>17</v>
      </c>
      <c r="AY57" s="18">
        <v>52</v>
      </c>
      <c r="AZ57" s="18">
        <v>17</v>
      </c>
      <c r="BB57" s="18">
        <v>52</v>
      </c>
      <c r="BC57" s="18">
        <v>17</v>
      </c>
      <c r="BF57" s="18">
        <v>52</v>
      </c>
      <c r="BG57" s="14">
        <f t="shared" si="19"/>
        <v>0</v>
      </c>
      <c r="BH57" s="14">
        <f t="shared" si="20"/>
        <v>480</v>
      </c>
      <c r="BI57" s="14">
        <f t="shared" si="21"/>
        <v>0</v>
      </c>
      <c r="BJ57" s="14">
        <f t="shared" si="12"/>
        <v>1200</v>
      </c>
      <c r="BK57" s="14">
        <f t="shared" si="13"/>
        <v>480</v>
      </c>
      <c r="BL57" s="14">
        <f t="shared" si="14"/>
        <v>960</v>
      </c>
      <c r="CJ57" s="52">
        <v>53</v>
      </c>
      <c r="CK57" s="52">
        <v>1</v>
      </c>
      <c r="CL57" s="52" t="s">
        <v>257</v>
      </c>
      <c r="CM57" s="52">
        <v>53</v>
      </c>
      <c r="CN57" s="52"/>
      <c r="CO57" s="52"/>
      <c r="CP57" s="52"/>
      <c r="CQ57" s="52" t="s">
        <v>372</v>
      </c>
      <c r="CR57" s="52">
        <v>3600</v>
      </c>
      <c r="CS57" s="52" t="s">
        <v>373</v>
      </c>
      <c r="CT57" s="52">
        <v>55</v>
      </c>
      <c r="CU57" s="52"/>
      <c r="CV57" s="52"/>
      <c r="CW57" s="52" t="s">
        <v>373</v>
      </c>
      <c r="CX57" s="52">
        <v>70</v>
      </c>
      <c r="CY57" s="52"/>
      <c r="CZ57" s="52"/>
      <c r="DA57" s="52"/>
      <c r="DB57" s="52"/>
      <c r="DC57" s="52"/>
      <c r="DD57" s="52"/>
      <c r="DE57" s="52"/>
      <c r="DF57" s="52"/>
      <c r="DG57" s="52"/>
      <c r="DH57" s="52"/>
    </row>
    <row r="58" spans="1:112" ht="16.5" x14ac:dyDescent="0.2">
      <c r="A58" s="17">
        <v>54</v>
      </c>
      <c r="B58" s="78">
        <v>13</v>
      </c>
      <c r="C58" s="123">
        <v>0</v>
      </c>
      <c r="D58" s="87"/>
      <c r="E58" s="78">
        <f>INDEX(章节关卡!$F$6:$F$34,芦花古楼!B58)*芦花古楼!C58</f>
        <v>0</v>
      </c>
      <c r="F58" s="22">
        <f t="shared" si="15"/>
        <v>55</v>
      </c>
      <c r="G58" s="22">
        <f t="shared" si="16"/>
        <v>70</v>
      </c>
      <c r="H58" s="14">
        <f>INDEX(章节关卡!$H$6:$H$34,芦花古楼!B58)*芦花古楼!C58</f>
        <v>0</v>
      </c>
      <c r="I58" s="14">
        <v>150</v>
      </c>
      <c r="L58" s="17">
        <v>54</v>
      </c>
      <c r="M58" s="78">
        <f t="shared" si="4"/>
        <v>14</v>
      </c>
      <c r="N58" s="123">
        <v>0</v>
      </c>
      <c r="O58" s="87"/>
      <c r="P58" s="78">
        <f>INDEX(章节关卡!$F$6:$F$34,芦花古楼!M58)*芦花古楼!N58</f>
        <v>0</v>
      </c>
      <c r="Q58" s="22">
        <f t="shared" si="5"/>
        <v>60</v>
      </c>
      <c r="R58" s="22">
        <f t="shared" si="6"/>
        <v>70</v>
      </c>
      <c r="S58" s="14">
        <f>INDEX(章节关卡!$H$6:$H$34,芦花古楼!M58)*芦花古楼!N58</f>
        <v>0</v>
      </c>
      <c r="T58" s="14">
        <v>150</v>
      </c>
      <c r="W58" s="17">
        <v>54</v>
      </c>
      <c r="X58" s="46">
        <v>14</v>
      </c>
      <c r="Y58" s="123">
        <v>0</v>
      </c>
      <c r="Z58" s="87"/>
      <c r="AA58" s="87">
        <f>INDEX(章节关卡!$F$6:$F$34,芦花古楼!X58)*芦花古楼!Y58</f>
        <v>0</v>
      </c>
      <c r="AB58" s="22">
        <f t="shared" si="17"/>
        <v>65</v>
      </c>
      <c r="AC58" s="22">
        <f t="shared" si="18"/>
        <v>70</v>
      </c>
      <c r="AD58" s="14">
        <f>INDEX(章节关卡!$H$6:$H$34,芦花古楼!X58)*芦花古楼!Y58</f>
        <v>0</v>
      </c>
      <c r="AE58" s="14">
        <v>150</v>
      </c>
      <c r="AH58" s="17">
        <v>54</v>
      </c>
      <c r="AI58" s="46">
        <v>14</v>
      </c>
      <c r="AJ58" s="123">
        <v>0</v>
      </c>
      <c r="AK58" s="87"/>
      <c r="AL58" s="87">
        <f>INDEX(章节关卡!$F$6:$F$34,芦花古楼!AI58)*芦花古楼!AJ58</f>
        <v>0</v>
      </c>
      <c r="AM58" s="22">
        <f t="shared" si="7"/>
        <v>70</v>
      </c>
      <c r="AN58" s="22">
        <f t="shared" si="8"/>
        <v>70</v>
      </c>
      <c r="AO58" s="14">
        <f>INDEX(章节关卡!$H$6:$H$34,芦花古楼!AI58)*芦花古楼!AJ58</f>
        <v>0</v>
      </c>
      <c r="AP58" s="14">
        <v>150</v>
      </c>
      <c r="AS58" s="18">
        <v>53</v>
      </c>
      <c r="AT58" s="18">
        <v>15</v>
      </c>
      <c r="AV58" s="18">
        <v>53</v>
      </c>
      <c r="AW58" s="87">
        <v>18</v>
      </c>
      <c r="AY58" s="18">
        <v>53</v>
      </c>
      <c r="AZ58" s="18">
        <v>18</v>
      </c>
      <c r="BB58" s="18">
        <v>53</v>
      </c>
      <c r="BC58" s="18">
        <v>18</v>
      </c>
      <c r="BF58" s="18">
        <v>53</v>
      </c>
      <c r="BG58" s="14">
        <f t="shared" si="19"/>
        <v>0</v>
      </c>
      <c r="BH58" s="14">
        <f t="shared" si="20"/>
        <v>480</v>
      </c>
      <c r="BI58" s="14">
        <f t="shared" si="21"/>
        <v>0</v>
      </c>
      <c r="BJ58" s="14">
        <f t="shared" si="12"/>
        <v>1200</v>
      </c>
      <c r="BK58" s="14">
        <f t="shared" si="13"/>
        <v>480</v>
      </c>
      <c r="BL58" s="14">
        <f t="shared" si="14"/>
        <v>960</v>
      </c>
      <c r="CJ58" s="52">
        <v>54</v>
      </c>
      <c r="CK58" s="52">
        <v>1</v>
      </c>
      <c r="CL58" s="52" t="s">
        <v>257</v>
      </c>
      <c r="CM58" s="52">
        <v>54</v>
      </c>
      <c r="CN58" s="52"/>
      <c r="CO58" s="52"/>
      <c r="CP58" s="52"/>
      <c r="CQ58" s="52" t="s">
        <v>372</v>
      </c>
      <c r="CR58" s="52">
        <v>3600</v>
      </c>
      <c r="CS58" s="52" t="s">
        <v>373</v>
      </c>
      <c r="CT58" s="52">
        <v>55</v>
      </c>
      <c r="CU58" s="52"/>
      <c r="CV58" s="52"/>
      <c r="CW58" s="52" t="s">
        <v>373</v>
      </c>
      <c r="CX58" s="52">
        <v>70</v>
      </c>
      <c r="CY58" s="52"/>
      <c r="CZ58" s="52"/>
      <c r="DA58" s="52"/>
      <c r="DB58" s="52"/>
      <c r="DC58" s="52"/>
      <c r="DD58" s="52"/>
      <c r="DE58" s="52"/>
      <c r="DF58" s="52"/>
      <c r="DG58" s="52"/>
      <c r="DH58" s="52"/>
    </row>
    <row r="59" spans="1:112" ht="16.5" x14ac:dyDescent="0.2">
      <c r="A59" s="17">
        <v>55</v>
      </c>
      <c r="B59" s="78">
        <v>13</v>
      </c>
      <c r="C59" s="123">
        <v>0</v>
      </c>
      <c r="D59" s="87"/>
      <c r="E59" s="78">
        <f>INDEX(章节关卡!$F$6:$F$34,芦花古楼!B59)*芦花古楼!C59</f>
        <v>0</v>
      </c>
      <c r="F59" s="22">
        <f t="shared" si="15"/>
        <v>55</v>
      </c>
      <c r="G59" s="22">
        <f t="shared" si="16"/>
        <v>75</v>
      </c>
      <c r="H59" s="14">
        <f>INDEX(章节关卡!$H$6:$H$34,芦花古楼!B59)*芦花古楼!C59</f>
        <v>0</v>
      </c>
      <c r="I59" s="14">
        <v>150</v>
      </c>
      <c r="L59" s="17">
        <v>55</v>
      </c>
      <c r="M59" s="78">
        <f t="shared" si="4"/>
        <v>14</v>
      </c>
      <c r="N59" s="123">
        <v>0</v>
      </c>
      <c r="O59" s="87"/>
      <c r="P59" s="78">
        <f>INDEX(章节关卡!$F$6:$F$34,芦花古楼!M59)*芦花古楼!N59</f>
        <v>0</v>
      </c>
      <c r="Q59" s="22">
        <f t="shared" si="5"/>
        <v>60</v>
      </c>
      <c r="R59" s="22">
        <f t="shared" si="6"/>
        <v>75</v>
      </c>
      <c r="S59" s="14">
        <f>INDEX(章节关卡!$H$6:$H$34,芦花古楼!M59)*芦花古楼!N59</f>
        <v>0</v>
      </c>
      <c r="T59" s="14">
        <v>150</v>
      </c>
      <c r="W59" s="17">
        <v>55</v>
      </c>
      <c r="X59" s="46">
        <v>14</v>
      </c>
      <c r="Y59" s="123">
        <v>0</v>
      </c>
      <c r="Z59" s="87"/>
      <c r="AA59" s="87">
        <f>INDEX(章节关卡!$F$6:$F$34,芦花古楼!X59)*芦花古楼!Y59</f>
        <v>0</v>
      </c>
      <c r="AB59" s="22">
        <f t="shared" si="17"/>
        <v>65</v>
      </c>
      <c r="AC59" s="22">
        <f t="shared" si="18"/>
        <v>75</v>
      </c>
      <c r="AD59" s="14">
        <f>INDEX(章节关卡!$H$6:$H$34,芦花古楼!X59)*芦花古楼!Y59</f>
        <v>0</v>
      </c>
      <c r="AE59" s="14">
        <v>150</v>
      </c>
      <c r="AH59" s="17">
        <v>55</v>
      </c>
      <c r="AI59" s="46">
        <v>14</v>
      </c>
      <c r="AJ59" s="123">
        <v>0</v>
      </c>
      <c r="AK59" s="87"/>
      <c r="AL59" s="87">
        <f>INDEX(章节关卡!$F$6:$F$34,芦花古楼!AI59)*芦花古楼!AJ59</f>
        <v>0</v>
      </c>
      <c r="AM59" s="22">
        <f t="shared" si="7"/>
        <v>70</v>
      </c>
      <c r="AN59" s="22">
        <f t="shared" si="8"/>
        <v>75</v>
      </c>
      <c r="AO59" s="14">
        <f>INDEX(章节关卡!$H$6:$H$34,芦花古楼!AI59)*芦花古楼!AJ59</f>
        <v>0</v>
      </c>
      <c r="AP59" s="14">
        <v>150</v>
      </c>
      <c r="AS59" s="18">
        <v>54</v>
      </c>
      <c r="AT59" s="18">
        <v>15</v>
      </c>
      <c r="AV59" s="18">
        <v>54</v>
      </c>
      <c r="AW59" s="87">
        <v>18</v>
      </c>
      <c r="AY59" s="18">
        <v>54</v>
      </c>
      <c r="AZ59" s="18">
        <v>18</v>
      </c>
      <c r="BB59" s="18">
        <v>54</v>
      </c>
      <c r="BC59" s="18">
        <v>18</v>
      </c>
      <c r="BF59" s="18">
        <v>54</v>
      </c>
      <c r="BG59" s="14">
        <f t="shared" si="19"/>
        <v>0</v>
      </c>
      <c r="BH59" s="14">
        <f t="shared" si="20"/>
        <v>480</v>
      </c>
      <c r="BI59" s="14">
        <f t="shared" si="21"/>
        <v>0</v>
      </c>
      <c r="BJ59" s="14">
        <f t="shared" si="12"/>
        <v>1200</v>
      </c>
      <c r="BK59" s="14">
        <f t="shared" si="13"/>
        <v>480</v>
      </c>
      <c r="BL59" s="14">
        <f t="shared" si="14"/>
        <v>960</v>
      </c>
      <c r="CJ59" s="52">
        <v>55</v>
      </c>
      <c r="CK59" s="52">
        <v>1</v>
      </c>
      <c r="CL59" s="52" t="s">
        <v>257</v>
      </c>
      <c r="CM59" s="52">
        <v>55</v>
      </c>
      <c r="CN59" s="52"/>
      <c r="CO59" s="52"/>
      <c r="CP59" s="52"/>
      <c r="CQ59" s="52" t="s">
        <v>372</v>
      </c>
      <c r="CR59" s="52">
        <v>3600</v>
      </c>
      <c r="CS59" s="52" t="s">
        <v>373</v>
      </c>
      <c r="CT59" s="52">
        <v>55</v>
      </c>
      <c r="CU59" s="52" t="s">
        <v>374</v>
      </c>
      <c r="CV59" s="52">
        <v>2</v>
      </c>
      <c r="CW59" s="52" t="s">
        <v>373</v>
      </c>
      <c r="CX59" s="52">
        <v>75</v>
      </c>
      <c r="CY59" s="52"/>
      <c r="CZ59" s="52"/>
      <c r="DA59" s="52"/>
      <c r="DB59" s="52"/>
      <c r="DC59" s="52"/>
      <c r="DD59" s="52"/>
      <c r="DE59" s="52"/>
      <c r="DF59" s="52"/>
      <c r="DG59" s="52"/>
      <c r="DH59" s="52"/>
    </row>
    <row r="60" spans="1:112" ht="16.5" x14ac:dyDescent="0.2">
      <c r="A60" s="17">
        <v>56</v>
      </c>
      <c r="B60" s="46">
        <v>14</v>
      </c>
      <c r="C60" s="123">
        <v>0</v>
      </c>
      <c r="D60" s="87"/>
      <c r="E60" s="78">
        <f>INDEX(章节关卡!$F$6:$F$34,芦花古楼!B60)*芦花古楼!C60</f>
        <v>0</v>
      </c>
      <c r="F60" s="22">
        <f t="shared" si="15"/>
        <v>60</v>
      </c>
      <c r="G60" s="22">
        <f t="shared" si="16"/>
        <v>75</v>
      </c>
      <c r="H60" s="14">
        <f>INDEX(章节关卡!$H$6:$H$34,芦花古楼!B60)*芦花古楼!C60</f>
        <v>0</v>
      </c>
      <c r="I60" s="14">
        <v>150</v>
      </c>
      <c r="L60" s="17">
        <v>56</v>
      </c>
      <c r="M60" s="78">
        <f t="shared" si="4"/>
        <v>15</v>
      </c>
      <c r="N60" s="123">
        <v>0</v>
      </c>
      <c r="O60" s="87"/>
      <c r="P60" s="78">
        <f>INDEX(章节关卡!$F$6:$F$34,芦花古楼!M60)*芦花古楼!N60</f>
        <v>0</v>
      </c>
      <c r="Q60" s="22">
        <f t="shared" si="5"/>
        <v>65</v>
      </c>
      <c r="R60" s="22">
        <f t="shared" si="6"/>
        <v>75</v>
      </c>
      <c r="S60" s="14">
        <f>INDEX(章节关卡!$H$6:$H$34,芦花古楼!M60)*芦花古楼!N60</f>
        <v>0</v>
      </c>
      <c r="T60" s="14">
        <v>150</v>
      </c>
      <c r="W60" s="17">
        <v>56</v>
      </c>
      <c r="X60" s="46">
        <v>15</v>
      </c>
      <c r="Y60" s="123">
        <v>0</v>
      </c>
      <c r="Z60" s="87"/>
      <c r="AA60" s="87">
        <f>INDEX(章节关卡!$F$6:$F$34,芦花古楼!X60)*芦花古楼!Y60</f>
        <v>0</v>
      </c>
      <c r="AB60" s="22">
        <f t="shared" si="17"/>
        <v>70</v>
      </c>
      <c r="AC60" s="22">
        <f t="shared" si="18"/>
        <v>75</v>
      </c>
      <c r="AD60" s="14">
        <f>INDEX(章节关卡!$H$6:$H$34,芦花古楼!X60)*芦花古楼!Y60</f>
        <v>0</v>
      </c>
      <c r="AE60" s="14">
        <v>150</v>
      </c>
      <c r="AH60" s="17">
        <v>56</v>
      </c>
      <c r="AI60" s="46">
        <v>15</v>
      </c>
      <c r="AJ60" s="123">
        <v>0</v>
      </c>
      <c r="AK60" s="87"/>
      <c r="AL60" s="87">
        <f>INDEX(章节关卡!$F$6:$F$34,芦花古楼!AI60)*芦花古楼!AJ60</f>
        <v>0</v>
      </c>
      <c r="AM60" s="22">
        <f t="shared" si="7"/>
        <v>75</v>
      </c>
      <c r="AN60" s="22">
        <f t="shared" si="8"/>
        <v>75</v>
      </c>
      <c r="AO60" s="14">
        <f>INDEX(章节关卡!$H$6:$H$34,芦花古楼!AI60)*芦花古楼!AJ60</f>
        <v>0</v>
      </c>
      <c r="AP60" s="14">
        <v>150</v>
      </c>
      <c r="AS60" s="18">
        <v>55</v>
      </c>
      <c r="AT60" s="18">
        <v>16</v>
      </c>
      <c r="AV60" s="18">
        <v>55</v>
      </c>
      <c r="AW60" s="87">
        <v>19</v>
      </c>
      <c r="AY60" s="18">
        <v>55</v>
      </c>
      <c r="AZ60" s="18">
        <v>19</v>
      </c>
      <c r="BB60" s="18">
        <v>55</v>
      </c>
      <c r="BC60" s="18">
        <v>19</v>
      </c>
      <c r="BF60" s="18">
        <v>55</v>
      </c>
      <c r="BG60" s="14">
        <f t="shared" si="19"/>
        <v>0</v>
      </c>
      <c r="BH60" s="14">
        <f t="shared" si="20"/>
        <v>480</v>
      </c>
      <c r="BI60" s="14">
        <f t="shared" si="21"/>
        <v>0</v>
      </c>
      <c r="BJ60" s="14">
        <f t="shared" si="12"/>
        <v>1200</v>
      </c>
      <c r="BK60" s="14">
        <f t="shared" si="13"/>
        <v>480</v>
      </c>
      <c r="BL60" s="14">
        <f t="shared" si="14"/>
        <v>960</v>
      </c>
      <c r="CJ60" s="52">
        <v>56</v>
      </c>
      <c r="CK60" s="52">
        <v>1</v>
      </c>
      <c r="CL60" s="52" t="s">
        <v>257</v>
      </c>
      <c r="CM60" s="52">
        <v>56</v>
      </c>
      <c r="CN60" s="52"/>
      <c r="CO60" s="52"/>
      <c r="CP60" s="52"/>
      <c r="CQ60" s="52" t="s">
        <v>372</v>
      </c>
      <c r="CR60" s="52">
        <v>3600</v>
      </c>
      <c r="CS60" s="52" t="s">
        <v>373</v>
      </c>
      <c r="CT60" s="52">
        <v>60</v>
      </c>
      <c r="CU60" s="52"/>
      <c r="CV60" s="52"/>
      <c r="CW60" s="52" t="s">
        <v>373</v>
      </c>
      <c r="CX60" s="52">
        <v>75</v>
      </c>
      <c r="CY60" s="52"/>
      <c r="CZ60" s="52"/>
      <c r="DA60" s="52"/>
      <c r="DB60" s="52"/>
      <c r="DC60" s="52"/>
      <c r="DD60" s="52"/>
      <c r="DE60" s="52"/>
      <c r="DF60" s="52"/>
      <c r="DG60" s="52"/>
      <c r="DH60" s="52"/>
    </row>
    <row r="61" spans="1:112" ht="16.5" x14ac:dyDescent="0.2">
      <c r="A61" s="17">
        <v>57</v>
      </c>
      <c r="B61" s="78">
        <v>14</v>
      </c>
      <c r="C61" s="123">
        <v>0</v>
      </c>
      <c r="D61" s="87"/>
      <c r="E61" s="78">
        <f>INDEX(章节关卡!$F$6:$F$34,芦花古楼!B61)*芦花古楼!C61</f>
        <v>0</v>
      </c>
      <c r="F61" s="22">
        <f t="shared" si="15"/>
        <v>60</v>
      </c>
      <c r="G61" s="22">
        <f t="shared" si="16"/>
        <v>75</v>
      </c>
      <c r="H61" s="14">
        <f>INDEX(章节关卡!$H$6:$H$34,芦花古楼!B61)*芦花古楼!C61</f>
        <v>0</v>
      </c>
      <c r="I61" s="14">
        <v>150</v>
      </c>
      <c r="L61" s="17">
        <v>57</v>
      </c>
      <c r="M61" s="78">
        <f t="shared" si="4"/>
        <v>15</v>
      </c>
      <c r="N61" s="123">
        <v>0</v>
      </c>
      <c r="O61" s="87"/>
      <c r="P61" s="78">
        <f>INDEX(章节关卡!$F$6:$F$34,芦花古楼!M61)*芦花古楼!N61</f>
        <v>0</v>
      </c>
      <c r="Q61" s="22">
        <f t="shared" si="5"/>
        <v>65</v>
      </c>
      <c r="R61" s="22">
        <f t="shared" si="6"/>
        <v>75</v>
      </c>
      <c r="S61" s="14">
        <f>INDEX(章节关卡!$H$6:$H$34,芦花古楼!M61)*芦花古楼!N61</f>
        <v>0</v>
      </c>
      <c r="T61" s="14">
        <v>150</v>
      </c>
      <c r="W61" s="17">
        <v>57</v>
      </c>
      <c r="X61" s="46">
        <v>15</v>
      </c>
      <c r="Y61" s="123">
        <v>0</v>
      </c>
      <c r="Z61" s="87"/>
      <c r="AA61" s="87">
        <f>INDEX(章节关卡!$F$6:$F$34,芦花古楼!X61)*芦花古楼!Y61</f>
        <v>0</v>
      </c>
      <c r="AB61" s="22">
        <f t="shared" si="17"/>
        <v>70</v>
      </c>
      <c r="AC61" s="22">
        <f t="shared" si="18"/>
        <v>75</v>
      </c>
      <c r="AD61" s="14">
        <f>INDEX(章节关卡!$H$6:$H$34,芦花古楼!X61)*芦花古楼!Y61</f>
        <v>0</v>
      </c>
      <c r="AE61" s="14">
        <v>150</v>
      </c>
      <c r="AH61" s="17">
        <v>57</v>
      </c>
      <c r="AI61" s="46">
        <v>15</v>
      </c>
      <c r="AJ61" s="123">
        <v>0</v>
      </c>
      <c r="AK61" s="87"/>
      <c r="AL61" s="87">
        <f>INDEX(章节关卡!$F$6:$F$34,芦花古楼!AI61)*芦花古楼!AJ61</f>
        <v>0</v>
      </c>
      <c r="AM61" s="22">
        <f t="shared" si="7"/>
        <v>75</v>
      </c>
      <c r="AN61" s="22">
        <f t="shared" si="8"/>
        <v>75</v>
      </c>
      <c r="AO61" s="14">
        <f>INDEX(章节关卡!$H$6:$H$34,芦花古楼!AI61)*芦花古楼!AJ61</f>
        <v>0</v>
      </c>
      <c r="AP61" s="14">
        <v>150</v>
      </c>
      <c r="AS61" s="18">
        <v>56</v>
      </c>
      <c r="AT61" s="18">
        <v>16</v>
      </c>
      <c r="AV61" s="18">
        <v>56</v>
      </c>
      <c r="AW61" s="87">
        <v>19</v>
      </c>
      <c r="AY61" s="18">
        <v>56</v>
      </c>
      <c r="AZ61" s="18">
        <v>19</v>
      </c>
      <c r="BB61" s="18">
        <v>56</v>
      </c>
      <c r="BC61" s="18">
        <v>19</v>
      </c>
      <c r="BF61" s="18">
        <v>56</v>
      </c>
      <c r="BG61" s="14">
        <f t="shared" si="19"/>
        <v>0</v>
      </c>
      <c r="BH61" s="14">
        <f t="shared" si="20"/>
        <v>480</v>
      </c>
      <c r="BI61" s="14">
        <f t="shared" si="21"/>
        <v>0</v>
      </c>
      <c r="BJ61" s="14">
        <f t="shared" si="12"/>
        <v>1200</v>
      </c>
      <c r="BK61" s="14">
        <f t="shared" si="13"/>
        <v>480</v>
      </c>
      <c r="BL61" s="14">
        <f t="shared" si="14"/>
        <v>960</v>
      </c>
      <c r="CJ61" s="52">
        <v>57</v>
      </c>
      <c r="CK61" s="52">
        <v>1</v>
      </c>
      <c r="CL61" s="52" t="s">
        <v>257</v>
      </c>
      <c r="CM61" s="52">
        <v>57</v>
      </c>
      <c r="CN61" s="52"/>
      <c r="CO61" s="52"/>
      <c r="CP61" s="52"/>
      <c r="CQ61" s="52" t="s">
        <v>372</v>
      </c>
      <c r="CR61" s="52">
        <v>3600</v>
      </c>
      <c r="CS61" s="52" t="s">
        <v>373</v>
      </c>
      <c r="CT61" s="52">
        <v>60</v>
      </c>
      <c r="CU61" s="52"/>
      <c r="CV61" s="52"/>
      <c r="CW61" s="52" t="s">
        <v>373</v>
      </c>
      <c r="CX61" s="52">
        <v>75</v>
      </c>
      <c r="CY61" s="52"/>
      <c r="CZ61" s="52"/>
      <c r="DA61" s="52"/>
      <c r="DB61" s="52"/>
      <c r="DC61" s="52"/>
      <c r="DD61" s="52"/>
      <c r="DE61" s="52"/>
      <c r="DF61" s="52"/>
      <c r="DG61" s="52"/>
      <c r="DH61" s="52"/>
    </row>
    <row r="62" spans="1:112" ht="16.5" x14ac:dyDescent="0.2">
      <c r="A62" s="17">
        <v>58</v>
      </c>
      <c r="B62" s="78">
        <v>14</v>
      </c>
      <c r="C62" s="123">
        <v>0</v>
      </c>
      <c r="D62" s="87"/>
      <c r="E62" s="78">
        <f>INDEX(章节关卡!$F$6:$F$34,芦花古楼!B62)*芦花古楼!C62</f>
        <v>0</v>
      </c>
      <c r="F62" s="22">
        <f t="shared" si="15"/>
        <v>60</v>
      </c>
      <c r="G62" s="22">
        <f t="shared" si="16"/>
        <v>75</v>
      </c>
      <c r="H62" s="14">
        <f>INDEX(章节关卡!$H$6:$H$34,芦花古楼!B62)*芦花古楼!C62</f>
        <v>0</v>
      </c>
      <c r="I62" s="14">
        <v>150</v>
      </c>
      <c r="L62" s="17">
        <v>58</v>
      </c>
      <c r="M62" s="78">
        <f t="shared" si="4"/>
        <v>15</v>
      </c>
      <c r="N62" s="123">
        <v>0</v>
      </c>
      <c r="O62" s="87"/>
      <c r="P62" s="78">
        <f>INDEX(章节关卡!$F$6:$F$34,芦花古楼!M62)*芦花古楼!N62</f>
        <v>0</v>
      </c>
      <c r="Q62" s="22">
        <f t="shared" si="5"/>
        <v>65</v>
      </c>
      <c r="R62" s="22">
        <f t="shared" si="6"/>
        <v>75</v>
      </c>
      <c r="S62" s="14">
        <f>INDEX(章节关卡!$H$6:$H$34,芦花古楼!M62)*芦花古楼!N62</f>
        <v>0</v>
      </c>
      <c r="T62" s="14">
        <v>150</v>
      </c>
      <c r="W62" s="17">
        <v>58</v>
      </c>
      <c r="X62" s="46">
        <v>15</v>
      </c>
      <c r="Y62" s="123">
        <v>0</v>
      </c>
      <c r="Z62" s="87"/>
      <c r="AA62" s="87">
        <f>INDEX(章节关卡!$F$6:$F$34,芦花古楼!X62)*芦花古楼!Y62</f>
        <v>0</v>
      </c>
      <c r="AB62" s="22">
        <f t="shared" si="17"/>
        <v>70</v>
      </c>
      <c r="AC62" s="22">
        <f t="shared" si="18"/>
        <v>75</v>
      </c>
      <c r="AD62" s="14">
        <f>INDEX(章节关卡!$H$6:$H$34,芦花古楼!X62)*芦花古楼!Y62</f>
        <v>0</v>
      </c>
      <c r="AE62" s="14">
        <v>150</v>
      </c>
      <c r="AH62" s="17">
        <v>58</v>
      </c>
      <c r="AI62" s="46">
        <v>15</v>
      </c>
      <c r="AJ62" s="123">
        <v>0</v>
      </c>
      <c r="AK62" s="87"/>
      <c r="AL62" s="87">
        <f>INDEX(章节关卡!$F$6:$F$34,芦花古楼!AI62)*芦花古楼!AJ62</f>
        <v>0</v>
      </c>
      <c r="AM62" s="22">
        <f t="shared" si="7"/>
        <v>75</v>
      </c>
      <c r="AN62" s="22">
        <f t="shared" si="8"/>
        <v>75</v>
      </c>
      <c r="AO62" s="14">
        <f>INDEX(章节关卡!$H$6:$H$34,芦花古楼!AI62)*芦花古楼!AJ62</f>
        <v>0</v>
      </c>
      <c r="AP62" s="14">
        <v>150</v>
      </c>
      <c r="AS62" s="18">
        <v>57</v>
      </c>
      <c r="AT62" s="87">
        <v>17</v>
      </c>
      <c r="AV62" s="18">
        <v>57</v>
      </c>
      <c r="AW62" s="87">
        <v>20</v>
      </c>
      <c r="AY62" s="18">
        <v>57</v>
      </c>
      <c r="AZ62" s="18">
        <v>20</v>
      </c>
      <c r="BB62" s="18">
        <v>57</v>
      </c>
      <c r="BC62" s="18">
        <v>20</v>
      </c>
      <c r="BF62" s="18">
        <v>57</v>
      </c>
      <c r="BG62" s="14">
        <f t="shared" si="19"/>
        <v>0</v>
      </c>
      <c r="BH62" s="14">
        <f t="shared" si="20"/>
        <v>480</v>
      </c>
      <c r="BI62" s="14">
        <f t="shared" si="21"/>
        <v>0</v>
      </c>
      <c r="BJ62" s="14">
        <f t="shared" si="12"/>
        <v>1200</v>
      </c>
      <c r="BK62" s="14">
        <f t="shared" si="13"/>
        <v>480</v>
      </c>
      <c r="BL62" s="14">
        <f t="shared" si="14"/>
        <v>960</v>
      </c>
      <c r="CJ62" s="52">
        <v>58</v>
      </c>
      <c r="CK62" s="52">
        <v>1</v>
      </c>
      <c r="CL62" s="52" t="s">
        <v>257</v>
      </c>
      <c r="CM62" s="52">
        <v>58</v>
      </c>
      <c r="CN62" s="52"/>
      <c r="CO62" s="52"/>
      <c r="CP62" s="52"/>
      <c r="CQ62" s="52" t="s">
        <v>372</v>
      </c>
      <c r="CR62" s="52">
        <v>3600</v>
      </c>
      <c r="CS62" s="52" t="s">
        <v>373</v>
      </c>
      <c r="CT62" s="52">
        <v>60</v>
      </c>
      <c r="CU62" s="52"/>
      <c r="CV62" s="52"/>
      <c r="CW62" s="52" t="s">
        <v>373</v>
      </c>
      <c r="CX62" s="52">
        <v>75</v>
      </c>
      <c r="CY62" s="52"/>
      <c r="CZ62" s="52"/>
      <c r="DA62" s="52"/>
      <c r="DB62" s="52"/>
      <c r="DC62" s="52"/>
      <c r="DD62" s="52"/>
      <c r="DE62" s="52"/>
      <c r="DF62" s="52"/>
      <c r="DG62" s="52"/>
      <c r="DH62" s="52"/>
    </row>
    <row r="63" spans="1:112" ht="16.5" x14ac:dyDescent="0.2">
      <c r="A63" s="17">
        <v>59</v>
      </c>
      <c r="B63" s="78">
        <v>14</v>
      </c>
      <c r="C63" s="123">
        <v>0</v>
      </c>
      <c r="D63" s="87"/>
      <c r="E63" s="78">
        <f>INDEX(章节关卡!$F$6:$F$34,芦花古楼!B63)*芦花古楼!C63</f>
        <v>0</v>
      </c>
      <c r="F63" s="22">
        <f t="shared" si="15"/>
        <v>60</v>
      </c>
      <c r="G63" s="22">
        <f t="shared" si="16"/>
        <v>75</v>
      </c>
      <c r="H63" s="14">
        <f>INDEX(章节关卡!$H$6:$H$34,芦花古楼!B63)*芦花古楼!C63</f>
        <v>0</v>
      </c>
      <c r="I63" s="14">
        <v>150</v>
      </c>
      <c r="L63" s="17">
        <v>59</v>
      </c>
      <c r="M63" s="78">
        <f t="shared" si="4"/>
        <v>15</v>
      </c>
      <c r="N63" s="123">
        <v>0</v>
      </c>
      <c r="O63" s="87"/>
      <c r="P63" s="78">
        <f>INDEX(章节关卡!$F$6:$F$34,芦花古楼!M63)*芦花古楼!N63</f>
        <v>0</v>
      </c>
      <c r="Q63" s="22">
        <f t="shared" si="5"/>
        <v>65</v>
      </c>
      <c r="R63" s="22">
        <f t="shared" si="6"/>
        <v>75</v>
      </c>
      <c r="S63" s="14">
        <f>INDEX(章节关卡!$H$6:$H$34,芦花古楼!M63)*芦花古楼!N63</f>
        <v>0</v>
      </c>
      <c r="T63" s="14">
        <v>150</v>
      </c>
      <c r="W63" s="17">
        <v>59</v>
      </c>
      <c r="X63" s="46">
        <v>15</v>
      </c>
      <c r="Y63" s="123">
        <v>0</v>
      </c>
      <c r="Z63" s="87"/>
      <c r="AA63" s="87">
        <f>INDEX(章节关卡!$F$6:$F$34,芦花古楼!X63)*芦花古楼!Y63</f>
        <v>0</v>
      </c>
      <c r="AB63" s="22">
        <f t="shared" si="17"/>
        <v>70</v>
      </c>
      <c r="AC63" s="22">
        <f t="shared" si="18"/>
        <v>75</v>
      </c>
      <c r="AD63" s="14">
        <f>INDEX(章节关卡!$H$6:$H$34,芦花古楼!X63)*芦花古楼!Y63</f>
        <v>0</v>
      </c>
      <c r="AE63" s="14">
        <v>150</v>
      </c>
      <c r="AH63" s="17">
        <v>59</v>
      </c>
      <c r="AI63" s="46">
        <v>15</v>
      </c>
      <c r="AJ63" s="123">
        <v>0</v>
      </c>
      <c r="AK63" s="87"/>
      <c r="AL63" s="87">
        <f>INDEX(章节关卡!$F$6:$F$34,芦花古楼!AI63)*芦花古楼!AJ63</f>
        <v>0</v>
      </c>
      <c r="AM63" s="22">
        <f t="shared" si="7"/>
        <v>75</v>
      </c>
      <c r="AN63" s="22">
        <f t="shared" si="8"/>
        <v>75</v>
      </c>
      <c r="AO63" s="14">
        <f>INDEX(章节关卡!$H$6:$H$34,芦花古楼!AI63)*芦花古楼!AJ63</f>
        <v>0</v>
      </c>
      <c r="AP63" s="14">
        <v>150</v>
      </c>
      <c r="AS63" s="18">
        <v>58</v>
      </c>
      <c r="AT63" s="18">
        <v>17</v>
      </c>
      <c r="AV63" s="18">
        <v>58</v>
      </c>
      <c r="AW63" s="87">
        <v>20</v>
      </c>
      <c r="AY63" s="18">
        <v>58</v>
      </c>
      <c r="AZ63" s="18">
        <v>20</v>
      </c>
      <c r="BB63" s="18">
        <v>58</v>
      </c>
      <c r="BC63" s="18">
        <v>20</v>
      </c>
      <c r="BF63" s="18">
        <v>58</v>
      </c>
      <c r="BG63" s="14">
        <f t="shared" si="19"/>
        <v>0</v>
      </c>
      <c r="BH63" s="14">
        <f t="shared" si="20"/>
        <v>480</v>
      </c>
      <c r="BI63" s="14">
        <f t="shared" si="21"/>
        <v>0</v>
      </c>
      <c r="BJ63" s="14">
        <f t="shared" si="12"/>
        <v>1200</v>
      </c>
      <c r="BK63" s="14">
        <f t="shared" si="13"/>
        <v>480</v>
      </c>
      <c r="BL63" s="14">
        <f t="shared" si="14"/>
        <v>960</v>
      </c>
      <c r="CJ63" s="52">
        <v>59</v>
      </c>
      <c r="CK63" s="52">
        <v>1</v>
      </c>
      <c r="CL63" s="52" t="s">
        <v>257</v>
      </c>
      <c r="CM63" s="52">
        <v>59</v>
      </c>
      <c r="CN63" s="52"/>
      <c r="CO63" s="52"/>
      <c r="CP63" s="52"/>
      <c r="CQ63" s="52" t="s">
        <v>372</v>
      </c>
      <c r="CR63" s="52">
        <v>3600</v>
      </c>
      <c r="CS63" s="52" t="s">
        <v>373</v>
      </c>
      <c r="CT63" s="52">
        <v>60</v>
      </c>
      <c r="CU63" s="52"/>
      <c r="CV63" s="52"/>
      <c r="CW63" s="52" t="s">
        <v>373</v>
      </c>
      <c r="CX63" s="52">
        <v>75</v>
      </c>
      <c r="CY63" s="52"/>
      <c r="CZ63" s="52"/>
      <c r="DA63" s="52"/>
      <c r="DB63" s="52"/>
      <c r="DC63" s="52"/>
      <c r="DD63" s="52"/>
      <c r="DE63" s="52"/>
      <c r="DF63" s="52"/>
      <c r="DG63" s="52"/>
      <c r="DH63" s="52"/>
    </row>
    <row r="64" spans="1:112" ht="16.5" x14ac:dyDescent="0.2">
      <c r="A64" s="17">
        <v>60</v>
      </c>
      <c r="B64" s="78">
        <v>14</v>
      </c>
      <c r="C64" s="123">
        <v>0</v>
      </c>
      <c r="D64" s="87"/>
      <c r="E64" s="78">
        <f>INDEX(章节关卡!$F$6:$F$34,芦花古楼!B64)*芦花古楼!C64</f>
        <v>0</v>
      </c>
      <c r="F64" s="22">
        <f t="shared" si="15"/>
        <v>60</v>
      </c>
      <c r="G64" s="22">
        <f t="shared" si="16"/>
        <v>80</v>
      </c>
      <c r="H64" s="14">
        <f>INDEX(章节关卡!$H$6:$H$34,芦花古楼!B64)*芦花古楼!C64</f>
        <v>0</v>
      </c>
      <c r="I64" s="14">
        <v>200</v>
      </c>
      <c r="L64" s="17">
        <v>60</v>
      </c>
      <c r="M64" s="78">
        <f t="shared" si="4"/>
        <v>15</v>
      </c>
      <c r="N64" s="123">
        <v>0</v>
      </c>
      <c r="O64" s="87"/>
      <c r="P64" s="78">
        <f>INDEX(章节关卡!$F$6:$F$34,芦花古楼!M64)*芦花古楼!N64</f>
        <v>0</v>
      </c>
      <c r="Q64" s="22">
        <f t="shared" si="5"/>
        <v>65</v>
      </c>
      <c r="R64" s="22">
        <f t="shared" si="6"/>
        <v>80</v>
      </c>
      <c r="S64" s="14">
        <f>INDEX(章节关卡!$H$6:$H$34,芦花古楼!M64)*芦花古楼!N64</f>
        <v>0</v>
      </c>
      <c r="T64" s="14">
        <v>200</v>
      </c>
      <c r="W64" s="17">
        <v>60</v>
      </c>
      <c r="X64" s="24">
        <v>15</v>
      </c>
      <c r="Y64" s="123">
        <v>0</v>
      </c>
      <c r="Z64" s="87"/>
      <c r="AA64" s="87">
        <f>INDEX(章节关卡!$F$6:$F$34,芦花古楼!X64)*芦花古楼!Y64</f>
        <v>0</v>
      </c>
      <c r="AB64" s="22">
        <f t="shared" si="17"/>
        <v>70</v>
      </c>
      <c r="AC64" s="22">
        <f t="shared" si="18"/>
        <v>80</v>
      </c>
      <c r="AD64" s="14">
        <f>INDEX(章节关卡!$H$6:$H$34,芦花古楼!X64)*芦花古楼!Y64</f>
        <v>0</v>
      </c>
      <c r="AE64" s="14">
        <v>200</v>
      </c>
      <c r="AH64" s="17">
        <v>60</v>
      </c>
      <c r="AI64" s="46">
        <v>15</v>
      </c>
      <c r="AJ64" s="123">
        <v>0</v>
      </c>
      <c r="AK64" s="87"/>
      <c r="AL64" s="87">
        <f>INDEX(章节关卡!$F$6:$F$34,芦花古楼!AI64)*芦花古楼!AJ64</f>
        <v>0</v>
      </c>
      <c r="AM64" s="22">
        <f t="shared" si="7"/>
        <v>75</v>
      </c>
      <c r="AN64" s="22">
        <f t="shared" si="8"/>
        <v>80</v>
      </c>
      <c r="AO64" s="14">
        <f>INDEX(章节关卡!$H$6:$H$34,芦花古楼!AI64)*芦花古楼!AJ64</f>
        <v>0</v>
      </c>
      <c r="AP64" s="14">
        <v>200</v>
      </c>
      <c r="AS64" s="18">
        <v>59</v>
      </c>
      <c r="AT64" s="87">
        <v>18</v>
      </c>
      <c r="AV64" s="18">
        <v>59</v>
      </c>
      <c r="AW64" s="87">
        <v>21</v>
      </c>
      <c r="AY64" s="18">
        <v>59</v>
      </c>
      <c r="AZ64" s="18">
        <v>21</v>
      </c>
      <c r="BB64" s="18">
        <v>59</v>
      </c>
      <c r="BC64" s="18">
        <v>21</v>
      </c>
      <c r="BF64" s="18">
        <v>59</v>
      </c>
      <c r="BG64" s="14">
        <f t="shared" si="19"/>
        <v>0</v>
      </c>
      <c r="BH64" s="14">
        <f t="shared" si="20"/>
        <v>480</v>
      </c>
      <c r="BI64" s="14">
        <f t="shared" si="21"/>
        <v>0</v>
      </c>
      <c r="BJ64" s="14">
        <f t="shared" si="12"/>
        <v>1200</v>
      </c>
      <c r="BK64" s="14">
        <f t="shared" si="13"/>
        <v>480</v>
      </c>
      <c r="BL64" s="14">
        <f t="shared" si="14"/>
        <v>960</v>
      </c>
      <c r="CJ64" s="52">
        <v>60</v>
      </c>
      <c r="CK64" s="52">
        <v>1</v>
      </c>
      <c r="CL64" s="52" t="s">
        <v>257</v>
      </c>
      <c r="CM64" s="52">
        <v>60</v>
      </c>
      <c r="CN64" s="52"/>
      <c r="CO64" s="52"/>
      <c r="CP64" s="52"/>
      <c r="CQ64" s="52" t="s">
        <v>372</v>
      </c>
      <c r="CR64" s="52">
        <v>3600</v>
      </c>
      <c r="CS64" s="52" t="s">
        <v>373</v>
      </c>
      <c r="CT64" s="52">
        <v>60</v>
      </c>
      <c r="CU64" s="52" t="s">
        <v>272</v>
      </c>
      <c r="CV64" s="52">
        <v>2</v>
      </c>
      <c r="CW64" s="52" t="s">
        <v>373</v>
      </c>
      <c r="CX64" s="52">
        <v>80</v>
      </c>
      <c r="CY64" s="52"/>
      <c r="CZ64" s="52"/>
      <c r="DA64" s="52"/>
      <c r="DB64" s="52"/>
      <c r="DC64" s="52"/>
      <c r="DD64" s="52"/>
      <c r="DE64" s="52"/>
      <c r="DF64" s="52"/>
      <c r="DG64" s="52"/>
      <c r="DH64" s="52"/>
    </row>
    <row r="65" spans="1:112" ht="16.5" x14ac:dyDescent="0.2">
      <c r="A65" s="17">
        <v>61</v>
      </c>
      <c r="B65" s="46">
        <v>15</v>
      </c>
      <c r="C65" s="123">
        <v>0</v>
      </c>
      <c r="D65" s="87"/>
      <c r="E65" s="78">
        <f>INDEX(章节关卡!$F$6:$F$34,芦花古楼!B65)*芦花古楼!C65</f>
        <v>0</v>
      </c>
      <c r="F65" s="22">
        <f t="shared" si="15"/>
        <v>65</v>
      </c>
      <c r="G65" s="22">
        <f t="shared" si="16"/>
        <v>80</v>
      </c>
      <c r="H65" s="14">
        <f>INDEX(章节关卡!$H$6:$H$34,芦花古楼!B65)*芦花古楼!C65</f>
        <v>0</v>
      </c>
      <c r="I65" s="14">
        <v>200</v>
      </c>
      <c r="L65" s="17">
        <v>61</v>
      </c>
      <c r="M65" s="78">
        <f t="shared" si="4"/>
        <v>16</v>
      </c>
      <c r="N65" s="123">
        <v>0</v>
      </c>
      <c r="O65" s="87"/>
      <c r="P65" s="78">
        <f>INDEX(章节关卡!$F$6:$F$34,芦花古楼!M65)*芦花古楼!N65</f>
        <v>0</v>
      </c>
      <c r="Q65" s="22">
        <f t="shared" si="5"/>
        <v>70</v>
      </c>
      <c r="R65" s="22">
        <f t="shared" si="6"/>
        <v>80</v>
      </c>
      <c r="S65" s="14">
        <f>INDEX(章节关卡!$H$6:$H$34,芦花古楼!M65)*芦花古楼!N65</f>
        <v>0</v>
      </c>
      <c r="T65" s="14">
        <v>200</v>
      </c>
      <c r="W65" s="17">
        <v>61</v>
      </c>
      <c r="X65" s="24">
        <v>16</v>
      </c>
      <c r="Y65" s="123">
        <v>0</v>
      </c>
      <c r="Z65" s="87"/>
      <c r="AA65" s="87">
        <f>INDEX(章节关卡!$F$6:$F$34,芦花古楼!X65)*芦花古楼!Y65</f>
        <v>0</v>
      </c>
      <c r="AB65" s="22">
        <f t="shared" si="17"/>
        <v>75</v>
      </c>
      <c r="AC65" s="22">
        <f t="shared" si="18"/>
        <v>80</v>
      </c>
      <c r="AD65" s="14">
        <f>INDEX(章节关卡!$H$6:$H$34,芦花古楼!X65)*芦花古楼!Y65</f>
        <v>0</v>
      </c>
      <c r="AE65" s="14">
        <v>200</v>
      </c>
      <c r="AH65" s="17">
        <v>61</v>
      </c>
      <c r="AI65" s="46">
        <v>16</v>
      </c>
      <c r="AJ65" s="123">
        <v>0</v>
      </c>
      <c r="AK65" s="87"/>
      <c r="AL65" s="87">
        <f>INDEX(章节关卡!$F$6:$F$34,芦花古楼!AI65)*芦花古楼!AJ65</f>
        <v>0</v>
      </c>
      <c r="AM65" s="22">
        <f t="shared" si="7"/>
        <v>80</v>
      </c>
      <c r="AN65" s="22">
        <f t="shared" si="8"/>
        <v>80</v>
      </c>
      <c r="AO65" s="14">
        <f>INDEX(章节关卡!$H$6:$H$34,芦花古楼!AI65)*芦花古楼!AJ65</f>
        <v>0</v>
      </c>
      <c r="AP65" s="14">
        <v>200</v>
      </c>
      <c r="AS65" s="18">
        <v>60</v>
      </c>
      <c r="AT65" s="87">
        <v>18</v>
      </c>
      <c r="AV65" s="18">
        <v>60</v>
      </c>
      <c r="AW65" s="87">
        <v>21</v>
      </c>
      <c r="AY65" s="18">
        <v>60</v>
      </c>
      <c r="AZ65" s="18">
        <v>21</v>
      </c>
      <c r="BB65" s="18">
        <v>60</v>
      </c>
      <c r="BC65" s="18">
        <v>21</v>
      </c>
      <c r="BF65" s="18">
        <v>60</v>
      </c>
      <c r="BG65" s="14">
        <f t="shared" si="19"/>
        <v>0</v>
      </c>
      <c r="BH65" s="14">
        <f t="shared" si="20"/>
        <v>480</v>
      </c>
      <c r="BI65" s="14">
        <f t="shared" si="21"/>
        <v>0</v>
      </c>
      <c r="BJ65" s="14">
        <f t="shared" si="12"/>
        <v>1200</v>
      </c>
      <c r="BK65" s="14">
        <f t="shared" si="13"/>
        <v>480</v>
      </c>
      <c r="BL65" s="14">
        <f t="shared" si="14"/>
        <v>960</v>
      </c>
      <c r="CJ65" s="52">
        <v>61</v>
      </c>
      <c r="CK65" s="52">
        <v>1</v>
      </c>
      <c r="CL65" s="52" t="s">
        <v>257</v>
      </c>
      <c r="CM65" s="52">
        <v>61</v>
      </c>
      <c r="CN65" s="52"/>
      <c r="CO65" s="52"/>
      <c r="CP65" s="52"/>
      <c r="CQ65" s="52" t="s">
        <v>372</v>
      </c>
      <c r="CR65" s="52">
        <v>3600</v>
      </c>
      <c r="CS65" s="52" t="s">
        <v>373</v>
      </c>
      <c r="CT65" s="52">
        <v>65</v>
      </c>
      <c r="CU65" s="52"/>
      <c r="CV65" s="52"/>
      <c r="CW65" s="52" t="s">
        <v>373</v>
      </c>
      <c r="CX65" s="52">
        <v>80</v>
      </c>
      <c r="CY65" s="52"/>
      <c r="CZ65" s="52"/>
      <c r="DA65" s="52"/>
      <c r="DB65" s="52"/>
      <c r="DC65" s="52"/>
      <c r="DD65" s="52"/>
      <c r="DE65" s="52"/>
      <c r="DF65" s="52"/>
      <c r="DG65" s="52"/>
      <c r="DH65" s="52"/>
    </row>
    <row r="66" spans="1:112" ht="16.5" x14ac:dyDescent="0.2">
      <c r="A66" s="17">
        <v>62</v>
      </c>
      <c r="B66" s="78">
        <v>15</v>
      </c>
      <c r="C66" s="123">
        <v>0</v>
      </c>
      <c r="D66" s="87"/>
      <c r="E66" s="78">
        <f>INDEX(章节关卡!$F$6:$F$34,芦花古楼!B66)*芦花古楼!C66</f>
        <v>0</v>
      </c>
      <c r="F66" s="22">
        <f t="shared" si="15"/>
        <v>65</v>
      </c>
      <c r="G66" s="22">
        <f t="shared" si="16"/>
        <v>80</v>
      </c>
      <c r="H66" s="14">
        <f>INDEX(章节关卡!$H$6:$H$34,芦花古楼!B66)*芦花古楼!C66</f>
        <v>0</v>
      </c>
      <c r="I66" s="14">
        <v>200</v>
      </c>
      <c r="L66" s="17">
        <v>62</v>
      </c>
      <c r="M66" s="78">
        <f t="shared" si="4"/>
        <v>16</v>
      </c>
      <c r="N66" s="123">
        <v>0</v>
      </c>
      <c r="O66" s="87"/>
      <c r="P66" s="78">
        <f>INDEX(章节关卡!$F$6:$F$34,芦花古楼!M66)*芦花古楼!N66</f>
        <v>0</v>
      </c>
      <c r="Q66" s="22">
        <f t="shared" si="5"/>
        <v>70</v>
      </c>
      <c r="R66" s="22">
        <f t="shared" si="6"/>
        <v>80</v>
      </c>
      <c r="S66" s="14">
        <f>INDEX(章节关卡!$H$6:$H$34,芦花古楼!M66)*芦花古楼!N66</f>
        <v>0</v>
      </c>
      <c r="T66" s="14">
        <v>200</v>
      </c>
      <c r="W66" s="17">
        <v>62</v>
      </c>
      <c r="X66" s="24">
        <v>16</v>
      </c>
      <c r="Y66" s="123">
        <v>0</v>
      </c>
      <c r="Z66" s="87"/>
      <c r="AA66" s="87">
        <f>INDEX(章节关卡!$F$6:$F$34,芦花古楼!X66)*芦花古楼!Y66</f>
        <v>0</v>
      </c>
      <c r="AB66" s="22">
        <f t="shared" si="17"/>
        <v>75</v>
      </c>
      <c r="AC66" s="22">
        <f t="shared" si="18"/>
        <v>80</v>
      </c>
      <c r="AD66" s="14">
        <f>INDEX(章节关卡!$H$6:$H$34,芦花古楼!X66)*芦花古楼!Y66</f>
        <v>0</v>
      </c>
      <c r="AE66" s="14">
        <v>200</v>
      </c>
      <c r="AH66" s="17">
        <v>62</v>
      </c>
      <c r="AI66" s="46">
        <v>16</v>
      </c>
      <c r="AJ66" s="123">
        <v>0</v>
      </c>
      <c r="AK66" s="87"/>
      <c r="AL66" s="87">
        <f>INDEX(章节关卡!$F$6:$F$34,芦花古楼!AI66)*芦花古楼!AJ66</f>
        <v>0</v>
      </c>
      <c r="AM66" s="22">
        <f t="shared" si="7"/>
        <v>80</v>
      </c>
      <c r="AN66" s="22">
        <f t="shared" si="8"/>
        <v>80</v>
      </c>
      <c r="AO66" s="14">
        <f>INDEX(章节关卡!$H$6:$H$34,芦花古楼!AI66)*芦花古楼!AJ66</f>
        <v>0</v>
      </c>
      <c r="AP66" s="14">
        <v>200</v>
      </c>
      <c r="AS66" s="18">
        <v>61</v>
      </c>
      <c r="AT66" s="18">
        <v>19</v>
      </c>
      <c r="AV66" s="18">
        <v>61</v>
      </c>
      <c r="AW66" s="87">
        <v>22</v>
      </c>
      <c r="AY66" s="18">
        <v>61</v>
      </c>
      <c r="AZ66" s="18">
        <v>22</v>
      </c>
      <c r="BB66" s="18">
        <v>61</v>
      </c>
      <c r="BC66" s="18">
        <v>22</v>
      </c>
      <c r="BF66" s="18">
        <v>61</v>
      </c>
      <c r="BG66" s="14">
        <f t="shared" si="19"/>
        <v>0</v>
      </c>
      <c r="BH66" s="14">
        <f t="shared" si="20"/>
        <v>480</v>
      </c>
      <c r="BI66" s="14">
        <f t="shared" si="21"/>
        <v>0</v>
      </c>
      <c r="BJ66" s="14">
        <f t="shared" si="12"/>
        <v>1200</v>
      </c>
      <c r="BK66" s="14">
        <f t="shared" si="13"/>
        <v>480</v>
      </c>
      <c r="BL66" s="14">
        <f t="shared" si="14"/>
        <v>960</v>
      </c>
      <c r="CJ66" s="52">
        <v>62</v>
      </c>
      <c r="CK66" s="52">
        <v>1</v>
      </c>
      <c r="CL66" s="52" t="s">
        <v>257</v>
      </c>
      <c r="CM66" s="52">
        <v>62</v>
      </c>
      <c r="CN66" s="52"/>
      <c r="CO66" s="52"/>
      <c r="CP66" s="52"/>
      <c r="CQ66" s="52" t="s">
        <v>372</v>
      </c>
      <c r="CR66" s="52">
        <v>3600</v>
      </c>
      <c r="CS66" s="52" t="s">
        <v>373</v>
      </c>
      <c r="CT66" s="52">
        <v>65</v>
      </c>
      <c r="CU66" s="52"/>
      <c r="CV66" s="52"/>
      <c r="CW66" s="52" t="s">
        <v>373</v>
      </c>
      <c r="CX66" s="52">
        <v>80</v>
      </c>
      <c r="CY66" s="52"/>
      <c r="CZ66" s="52"/>
      <c r="DA66" s="52"/>
      <c r="DB66" s="52"/>
      <c r="DC66" s="52"/>
      <c r="DD66" s="52"/>
      <c r="DE66" s="52"/>
      <c r="DF66" s="52"/>
      <c r="DG66" s="52"/>
      <c r="DH66" s="52"/>
    </row>
    <row r="67" spans="1:112" ht="16.5" x14ac:dyDescent="0.2">
      <c r="A67" s="17">
        <v>63</v>
      </c>
      <c r="B67" s="78">
        <v>15</v>
      </c>
      <c r="C67" s="123">
        <v>0</v>
      </c>
      <c r="D67" s="87"/>
      <c r="E67" s="78">
        <f>INDEX(章节关卡!$F$6:$F$34,芦花古楼!B67)*芦花古楼!C67</f>
        <v>0</v>
      </c>
      <c r="F67" s="22">
        <f t="shared" si="15"/>
        <v>65</v>
      </c>
      <c r="G67" s="22">
        <f t="shared" si="16"/>
        <v>80</v>
      </c>
      <c r="H67" s="14">
        <f>INDEX(章节关卡!$H$6:$H$34,芦花古楼!B67)*芦花古楼!C67</f>
        <v>0</v>
      </c>
      <c r="I67" s="14">
        <v>200</v>
      </c>
      <c r="L67" s="17">
        <v>63</v>
      </c>
      <c r="M67" s="78">
        <f t="shared" si="4"/>
        <v>16</v>
      </c>
      <c r="N67" s="123">
        <v>0</v>
      </c>
      <c r="O67" s="87"/>
      <c r="P67" s="78">
        <f>INDEX(章节关卡!$F$6:$F$34,芦花古楼!M67)*芦花古楼!N67</f>
        <v>0</v>
      </c>
      <c r="Q67" s="22">
        <f t="shared" si="5"/>
        <v>70</v>
      </c>
      <c r="R67" s="22">
        <f t="shared" si="6"/>
        <v>80</v>
      </c>
      <c r="S67" s="14">
        <f>INDEX(章节关卡!$H$6:$H$34,芦花古楼!M67)*芦花古楼!N67</f>
        <v>0</v>
      </c>
      <c r="T67" s="14">
        <v>200</v>
      </c>
      <c r="W67" s="17">
        <v>63</v>
      </c>
      <c r="X67" s="24">
        <v>16</v>
      </c>
      <c r="Y67" s="123">
        <v>0</v>
      </c>
      <c r="Z67" s="87"/>
      <c r="AA67" s="87">
        <f>INDEX(章节关卡!$F$6:$F$34,芦花古楼!X67)*芦花古楼!Y67</f>
        <v>0</v>
      </c>
      <c r="AB67" s="22">
        <f t="shared" si="17"/>
        <v>75</v>
      </c>
      <c r="AC67" s="22">
        <f t="shared" si="18"/>
        <v>80</v>
      </c>
      <c r="AD67" s="14">
        <f>INDEX(章节关卡!$H$6:$H$34,芦花古楼!X67)*芦花古楼!Y67</f>
        <v>0</v>
      </c>
      <c r="AE67" s="14">
        <v>200</v>
      </c>
      <c r="AH67" s="17">
        <v>63</v>
      </c>
      <c r="AI67" s="46">
        <v>16</v>
      </c>
      <c r="AJ67" s="123">
        <v>0</v>
      </c>
      <c r="AK67" s="87"/>
      <c r="AL67" s="87">
        <f>INDEX(章节关卡!$F$6:$F$34,芦花古楼!AI67)*芦花古楼!AJ67</f>
        <v>0</v>
      </c>
      <c r="AM67" s="22">
        <f t="shared" si="7"/>
        <v>80</v>
      </c>
      <c r="AN67" s="22">
        <f t="shared" si="8"/>
        <v>80</v>
      </c>
      <c r="AO67" s="14">
        <f>INDEX(章节关卡!$H$6:$H$34,芦花古楼!AI67)*芦花古楼!AJ67</f>
        <v>0</v>
      </c>
      <c r="AP67" s="14">
        <v>200</v>
      </c>
      <c r="AS67" s="18">
        <v>62</v>
      </c>
      <c r="AT67" s="87">
        <v>19</v>
      </c>
      <c r="AV67" s="18">
        <v>62</v>
      </c>
      <c r="AW67" s="87">
        <v>22</v>
      </c>
      <c r="AY67" s="18">
        <v>62</v>
      </c>
      <c r="AZ67" s="18">
        <v>22</v>
      </c>
      <c r="BB67" s="18">
        <v>62</v>
      </c>
      <c r="BC67" s="18">
        <v>22</v>
      </c>
      <c r="BF67" s="18">
        <v>62</v>
      </c>
      <c r="BG67" s="14">
        <f t="shared" si="19"/>
        <v>0</v>
      </c>
      <c r="BH67" s="14">
        <f t="shared" si="20"/>
        <v>480</v>
      </c>
      <c r="BI67" s="14">
        <f t="shared" si="21"/>
        <v>0</v>
      </c>
      <c r="BJ67" s="14">
        <f t="shared" si="12"/>
        <v>1200</v>
      </c>
      <c r="BK67" s="14">
        <f t="shared" si="13"/>
        <v>480</v>
      </c>
      <c r="BL67" s="14">
        <f t="shared" si="14"/>
        <v>960</v>
      </c>
      <c r="CJ67" s="52">
        <v>63</v>
      </c>
      <c r="CK67" s="52">
        <v>1</v>
      </c>
      <c r="CL67" s="52" t="s">
        <v>257</v>
      </c>
      <c r="CM67" s="52">
        <v>63</v>
      </c>
      <c r="CN67" s="52"/>
      <c r="CO67" s="52"/>
      <c r="CP67" s="52"/>
      <c r="CQ67" s="52" t="s">
        <v>372</v>
      </c>
      <c r="CR67" s="52">
        <v>3600</v>
      </c>
      <c r="CS67" s="52" t="s">
        <v>373</v>
      </c>
      <c r="CT67" s="52">
        <v>65</v>
      </c>
      <c r="CU67" s="52"/>
      <c r="CV67" s="52"/>
      <c r="CW67" s="52" t="s">
        <v>373</v>
      </c>
      <c r="CX67" s="52">
        <v>80</v>
      </c>
      <c r="CY67" s="52"/>
      <c r="CZ67" s="52"/>
      <c r="DA67" s="52"/>
      <c r="DB67" s="52"/>
      <c r="DC67" s="52"/>
      <c r="DD67" s="52"/>
      <c r="DE67" s="52"/>
      <c r="DF67" s="52"/>
      <c r="DG67" s="52"/>
      <c r="DH67" s="52"/>
    </row>
    <row r="68" spans="1:112" ht="16.5" x14ac:dyDescent="0.2">
      <c r="A68" s="17">
        <v>64</v>
      </c>
      <c r="B68" s="78">
        <v>15</v>
      </c>
      <c r="C68" s="123">
        <v>0</v>
      </c>
      <c r="D68" s="87"/>
      <c r="E68" s="78">
        <f>INDEX(章节关卡!$F$6:$F$34,芦花古楼!B68)*芦花古楼!C68</f>
        <v>0</v>
      </c>
      <c r="F68" s="22">
        <f t="shared" si="15"/>
        <v>65</v>
      </c>
      <c r="G68" s="22">
        <f t="shared" si="16"/>
        <v>80</v>
      </c>
      <c r="H68" s="14">
        <f>INDEX(章节关卡!$H$6:$H$34,芦花古楼!B68)*芦花古楼!C68</f>
        <v>0</v>
      </c>
      <c r="I68" s="14">
        <v>200</v>
      </c>
      <c r="L68" s="17">
        <v>64</v>
      </c>
      <c r="M68" s="78">
        <f t="shared" si="4"/>
        <v>16</v>
      </c>
      <c r="N68" s="123">
        <v>0</v>
      </c>
      <c r="O68" s="87"/>
      <c r="P68" s="78">
        <f>INDEX(章节关卡!$F$6:$F$34,芦花古楼!M68)*芦花古楼!N68</f>
        <v>0</v>
      </c>
      <c r="Q68" s="22">
        <f t="shared" si="5"/>
        <v>70</v>
      </c>
      <c r="R68" s="22">
        <f t="shared" si="6"/>
        <v>80</v>
      </c>
      <c r="S68" s="14">
        <f>INDEX(章节关卡!$H$6:$H$34,芦花古楼!M68)*芦花古楼!N68</f>
        <v>0</v>
      </c>
      <c r="T68" s="14">
        <v>200</v>
      </c>
      <c r="W68" s="17">
        <v>64</v>
      </c>
      <c r="X68" s="24">
        <v>16</v>
      </c>
      <c r="Y68" s="123">
        <v>0</v>
      </c>
      <c r="Z68" s="87"/>
      <c r="AA68" s="87">
        <f>INDEX(章节关卡!$F$6:$F$34,芦花古楼!X68)*芦花古楼!Y68</f>
        <v>0</v>
      </c>
      <c r="AB68" s="22">
        <f t="shared" si="17"/>
        <v>75</v>
      </c>
      <c r="AC68" s="22">
        <f t="shared" si="18"/>
        <v>80</v>
      </c>
      <c r="AD68" s="14">
        <f>INDEX(章节关卡!$H$6:$H$34,芦花古楼!X68)*芦花古楼!Y68</f>
        <v>0</v>
      </c>
      <c r="AE68" s="14">
        <v>200</v>
      </c>
      <c r="AH68" s="17">
        <v>64</v>
      </c>
      <c r="AI68" s="46">
        <v>16</v>
      </c>
      <c r="AJ68" s="123">
        <v>0</v>
      </c>
      <c r="AK68" s="87"/>
      <c r="AL68" s="87">
        <f>INDEX(章节关卡!$F$6:$F$34,芦花古楼!AI68)*芦花古楼!AJ68</f>
        <v>0</v>
      </c>
      <c r="AM68" s="22">
        <f t="shared" si="7"/>
        <v>80</v>
      </c>
      <c r="AN68" s="22">
        <f t="shared" si="8"/>
        <v>80</v>
      </c>
      <c r="AO68" s="14">
        <f>INDEX(章节关卡!$H$6:$H$34,芦花古楼!AI68)*芦花古楼!AJ68</f>
        <v>0</v>
      </c>
      <c r="AP68" s="14">
        <v>200</v>
      </c>
      <c r="AS68" s="18">
        <v>63</v>
      </c>
      <c r="AT68" s="87">
        <v>20</v>
      </c>
      <c r="AV68" s="18">
        <v>63</v>
      </c>
      <c r="AW68" s="87">
        <v>23</v>
      </c>
      <c r="AY68" s="18">
        <v>63</v>
      </c>
      <c r="AZ68" s="18">
        <v>23</v>
      </c>
      <c r="BB68" s="18">
        <v>63</v>
      </c>
      <c r="BC68" s="18">
        <v>23</v>
      </c>
      <c r="BF68" s="18">
        <v>63</v>
      </c>
      <c r="BG68" s="14">
        <f t="shared" si="19"/>
        <v>0</v>
      </c>
      <c r="BH68" s="14">
        <f t="shared" si="20"/>
        <v>480</v>
      </c>
      <c r="BI68" s="14">
        <f t="shared" si="21"/>
        <v>0</v>
      </c>
      <c r="BJ68" s="14">
        <f t="shared" si="12"/>
        <v>1200</v>
      </c>
      <c r="BK68" s="14">
        <f t="shared" si="13"/>
        <v>480</v>
      </c>
      <c r="BL68" s="14">
        <f t="shared" si="14"/>
        <v>960</v>
      </c>
      <c r="CJ68" s="52">
        <v>64</v>
      </c>
      <c r="CK68" s="52">
        <v>1</v>
      </c>
      <c r="CL68" s="52" t="s">
        <v>257</v>
      </c>
      <c r="CM68" s="52">
        <v>64</v>
      </c>
      <c r="CN68" s="52"/>
      <c r="CO68" s="52"/>
      <c r="CP68" s="52"/>
      <c r="CQ68" s="52" t="s">
        <v>372</v>
      </c>
      <c r="CR68" s="52">
        <v>3600</v>
      </c>
      <c r="CS68" s="52" t="s">
        <v>373</v>
      </c>
      <c r="CT68" s="52">
        <v>65</v>
      </c>
      <c r="CU68" s="52"/>
      <c r="CV68" s="52"/>
      <c r="CW68" s="52" t="s">
        <v>373</v>
      </c>
      <c r="CX68" s="52">
        <v>80</v>
      </c>
      <c r="CY68" s="52"/>
      <c r="CZ68" s="52"/>
      <c r="DA68" s="52"/>
      <c r="DB68" s="52"/>
      <c r="DC68" s="52"/>
      <c r="DD68" s="52"/>
      <c r="DE68" s="52"/>
      <c r="DF68" s="52"/>
      <c r="DG68" s="52"/>
      <c r="DH68" s="52"/>
    </row>
    <row r="69" spans="1:112" ht="16.5" x14ac:dyDescent="0.2">
      <c r="A69" s="17">
        <v>65</v>
      </c>
      <c r="B69" s="78">
        <v>15</v>
      </c>
      <c r="C69" s="123">
        <v>0</v>
      </c>
      <c r="D69" s="87"/>
      <c r="E69" s="78">
        <f>INDEX(章节关卡!$F$6:$F$34,芦花古楼!B69)*芦花古楼!C69</f>
        <v>0</v>
      </c>
      <c r="F69" s="22">
        <f t="shared" ref="F69:F104" si="22">INT((A69-1)/5+1)*5</f>
        <v>65</v>
      </c>
      <c r="G69" s="22">
        <f t="shared" ref="G69:G104" si="23">INT(A69/5)*5+20</f>
        <v>85</v>
      </c>
      <c r="H69" s="14">
        <f>INDEX(章节关卡!$H$6:$H$34,芦花古楼!B69)*芦花古楼!C69</f>
        <v>0</v>
      </c>
      <c r="I69" s="14">
        <v>200</v>
      </c>
      <c r="L69" s="17">
        <v>65</v>
      </c>
      <c r="M69" s="78">
        <f t="shared" si="4"/>
        <v>16</v>
      </c>
      <c r="N69" s="123">
        <v>0</v>
      </c>
      <c r="O69" s="87"/>
      <c r="P69" s="78">
        <f>INDEX(章节关卡!$F$6:$F$34,芦花古楼!M69)*芦花古楼!N69</f>
        <v>0</v>
      </c>
      <c r="Q69" s="22">
        <f t="shared" si="5"/>
        <v>70</v>
      </c>
      <c r="R69" s="22">
        <f t="shared" si="6"/>
        <v>85</v>
      </c>
      <c r="S69" s="14">
        <f>INDEX(章节关卡!$H$6:$H$34,芦花古楼!M69)*芦花古楼!N69</f>
        <v>0</v>
      </c>
      <c r="T69" s="14">
        <v>200</v>
      </c>
      <c r="W69" s="17">
        <v>65</v>
      </c>
      <c r="X69" s="24">
        <v>16</v>
      </c>
      <c r="Y69" s="123">
        <v>0</v>
      </c>
      <c r="Z69" s="87"/>
      <c r="AA69" s="87">
        <f>INDEX(章节关卡!$F$6:$F$34,芦花古楼!X69)*芦花古楼!Y69</f>
        <v>0</v>
      </c>
      <c r="AB69" s="22">
        <f t="shared" ref="AB69:AB104" si="24">INT((W69-1)/5+3)*5</f>
        <v>75</v>
      </c>
      <c r="AC69" s="22">
        <f t="shared" ref="AC69:AC104" si="25">INT(W69/5)*5+20</f>
        <v>85</v>
      </c>
      <c r="AD69" s="14">
        <f>INDEX(章节关卡!$H$6:$H$34,芦花古楼!X69)*芦花古楼!Y69</f>
        <v>0</v>
      </c>
      <c r="AE69" s="14">
        <v>200</v>
      </c>
      <c r="AH69" s="17">
        <v>65</v>
      </c>
      <c r="AI69" s="46">
        <v>16</v>
      </c>
      <c r="AJ69" s="123">
        <v>0</v>
      </c>
      <c r="AK69" s="87"/>
      <c r="AL69" s="87">
        <f>INDEX(章节关卡!$F$6:$F$34,芦花古楼!AI69)*芦花古楼!AJ69</f>
        <v>0</v>
      </c>
      <c r="AM69" s="22">
        <f t="shared" si="7"/>
        <v>80</v>
      </c>
      <c r="AN69" s="22">
        <f t="shared" si="8"/>
        <v>85</v>
      </c>
      <c r="AO69" s="14">
        <f>INDEX(章节关卡!$H$6:$H$34,芦花古楼!AI69)*芦花古楼!AJ69</f>
        <v>0</v>
      </c>
      <c r="AP69" s="14">
        <v>200</v>
      </c>
      <c r="AS69" s="18">
        <v>64</v>
      </c>
      <c r="AT69" s="87">
        <v>20</v>
      </c>
      <c r="AV69" s="18">
        <v>64</v>
      </c>
      <c r="AW69" s="87">
        <v>23</v>
      </c>
      <c r="AY69" s="18">
        <v>64</v>
      </c>
      <c r="AZ69" s="18">
        <v>23</v>
      </c>
      <c r="BB69" s="18">
        <v>64</v>
      </c>
      <c r="BC69" s="18">
        <v>23</v>
      </c>
      <c r="BF69" s="18">
        <v>64</v>
      </c>
      <c r="BG69" s="14">
        <f t="shared" si="19"/>
        <v>0</v>
      </c>
      <c r="BH69" s="14">
        <f t="shared" si="20"/>
        <v>480</v>
      </c>
      <c r="BI69" s="14">
        <f t="shared" si="21"/>
        <v>0</v>
      </c>
      <c r="BJ69" s="14">
        <f t="shared" si="12"/>
        <v>1200</v>
      </c>
      <c r="BK69" s="14">
        <f t="shared" si="13"/>
        <v>480</v>
      </c>
      <c r="BL69" s="14">
        <f t="shared" si="14"/>
        <v>960</v>
      </c>
      <c r="CJ69" s="52">
        <v>65</v>
      </c>
      <c r="CK69" s="52">
        <v>1</v>
      </c>
      <c r="CL69" s="52" t="s">
        <v>257</v>
      </c>
      <c r="CM69" s="52">
        <v>65</v>
      </c>
      <c r="CN69" s="52"/>
      <c r="CO69" s="52"/>
      <c r="CP69" s="52"/>
      <c r="CQ69" s="52" t="s">
        <v>372</v>
      </c>
      <c r="CR69" s="52">
        <v>4320</v>
      </c>
      <c r="CS69" s="52" t="s">
        <v>373</v>
      </c>
      <c r="CT69" s="52">
        <v>65</v>
      </c>
      <c r="CU69" s="52" t="s">
        <v>374</v>
      </c>
      <c r="CV69" s="52">
        <v>2</v>
      </c>
      <c r="CW69" s="52" t="s">
        <v>373</v>
      </c>
      <c r="CX69" s="52">
        <v>85</v>
      </c>
      <c r="CY69" s="52"/>
      <c r="CZ69" s="52"/>
      <c r="DA69" s="52"/>
      <c r="DB69" s="52"/>
      <c r="DC69" s="52"/>
      <c r="DD69" s="52"/>
      <c r="DE69" s="52"/>
      <c r="DF69" s="52"/>
      <c r="DG69" s="52"/>
      <c r="DH69" s="52"/>
    </row>
    <row r="70" spans="1:112" ht="16.5" x14ac:dyDescent="0.2">
      <c r="A70" s="17">
        <v>66</v>
      </c>
      <c r="B70" s="46">
        <v>16</v>
      </c>
      <c r="C70" s="123">
        <v>0</v>
      </c>
      <c r="D70" s="87"/>
      <c r="E70" s="78">
        <f>INDEX(章节关卡!$F$6:$F$34,芦花古楼!B70)*芦花古楼!C70</f>
        <v>0</v>
      </c>
      <c r="F70" s="22">
        <f t="shared" si="22"/>
        <v>70</v>
      </c>
      <c r="G70" s="22">
        <f t="shared" si="23"/>
        <v>85</v>
      </c>
      <c r="H70" s="14">
        <f>INDEX(章节关卡!$H$6:$H$34,芦花古楼!B70)*芦花古楼!C70</f>
        <v>0</v>
      </c>
      <c r="I70" s="14">
        <v>200</v>
      </c>
      <c r="L70" s="17">
        <v>66</v>
      </c>
      <c r="M70" s="78">
        <f t="shared" ref="M70:M104" si="26">INT((L70-1)/5)+4</f>
        <v>17</v>
      </c>
      <c r="N70" s="123">
        <v>0</v>
      </c>
      <c r="O70" s="87"/>
      <c r="P70" s="78">
        <f>INDEX(章节关卡!$F$6:$F$34,芦花古楼!M70)*芦花古楼!N70</f>
        <v>0</v>
      </c>
      <c r="Q70" s="22">
        <f t="shared" ref="Q70:Q104" si="27">INT((L70-1)/5+2)*5</f>
        <v>75</v>
      </c>
      <c r="R70" s="22">
        <f t="shared" ref="R70:R104" si="28">INT(L70/5)*5+20</f>
        <v>85</v>
      </c>
      <c r="S70" s="14">
        <f>INDEX(章节关卡!$H$6:$H$34,芦花古楼!M70)*芦花古楼!N70</f>
        <v>0</v>
      </c>
      <c r="T70" s="14">
        <v>200</v>
      </c>
      <c r="W70" s="17">
        <v>66</v>
      </c>
      <c r="X70" s="24">
        <v>17</v>
      </c>
      <c r="Y70" s="123">
        <v>0</v>
      </c>
      <c r="Z70" s="87"/>
      <c r="AA70" s="87">
        <f>INDEX(章节关卡!$F$6:$F$34,芦花古楼!X70)*芦花古楼!Y70</f>
        <v>0</v>
      </c>
      <c r="AB70" s="22">
        <f t="shared" si="24"/>
        <v>80</v>
      </c>
      <c r="AC70" s="22">
        <f t="shared" si="25"/>
        <v>85</v>
      </c>
      <c r="AD70" s="14">
        <f>INDEX(章节关卡!$H$6:$H$34,芦花古楼!X70)*芦花古楼!Y70</f>
        <v>0</v>
      </c>
      <c r="AE70" s="14">
        <v>200</v>
      </c>
      <c r="AH70" s="17">
        <v>66</v>
      </c>
      <c r="AI70" s="46">
        <v>17</v>
      </c>
      <c r="AJ70" s="123">
        <v>0</v>
      </c>
      <c r="AK70" s="87"/>
      <c r="AL70" s="87">
        <f>INDEX(章节关卡!$F$6:$F$34,芦花古楼!AI70)*芦花古楼!AJ70</f>
        <v>0</v>
      </c>
      <c r="AM70" s="22">
        <f t="shared" ref="AM70:AM104" si="29">INT((AH70-1)/5+4)*5</f>
        <v>85</v>
      </c>
      <c r="AN70" s="22">
        <f t="shared" ref="AN70:AN104" si="30">INT(AH70/5)*5+20</f>
        <v>85</v>
      </c>
      <c r="AO70" s="14">
        <f>INDEX(章节关卡!$H$6:$H$34,芦花古楼!AI70)*芦花古楼!AJ70</f>
        <v>0</v>
      </c>
      <c r="AP70" s="14">
        <v>200</v>
      </c>
      <c r="AS70" s="18">
        <v>65</v>
      </c>
      <c r="AT70" s="87">
        <v>21</v>
      </c>
      <c r="AV70" s="18">
        <v>65</v>
      </c>
      <c r="AW70" s="87">
        <v>24</v>
      </c>
      <c r="AY70" s="18">
        <v>65</v>
      </c>
      <c r="AZ70" s="18">
        <v>24</v>
      </c>
      <c r="BB70" s="18">
        <v>65</v>
      </c>
      <c r="BC70" s="18">
        <v>24</v>
      </c>
      <c r="BF70" s="18">
        <v>65</v>
      </c>
      <c r="BG70" s="14">
        <f t="shared" ref="BG70:BG101" si="31">SUMIFS($F$5:$F$104,$AT$6:$AT$105,"="&amp;BF70)+SUMIFS($Q$5:$Q$104,$AW$6:$AW$105,"="&amp;BF70)+SUMIFS($AB$5:$AB$104,$AZ$6:$AZ$105,"="&amp;BF70)+SUMIFS($AM$5:$AM$104,$BC$6:$BC$105,"="&amp;BF70)</f>
        <v>0</v>
      </c>
      <c r="BH70" s="14">
        <f t="shared" ref="BH70:BH105" si="32">INDEX($G$5:$G$104,MATCH(BF70,$AT$5:$AT$105,1)-1)+INDEX($R$5:$R$104,MATCH(BF70,$AW$5:$AW$105,1)-1)+INDEX($AC$5:$AC$104,MATCH(BF70,$AZ$5:$AZ$105,1)-1)+INDEX($AN$5:$AN$104,MATCH(BF70,$BC$5:$BC$105,1)-1)</f>
        <v>480</v>
      </c>
      <c r="BI70" s="14">
        <f t="shared" ref="BI70:BI105" si="33">SUMIFS($H$5:$H$104,$AT$6:$AT$105,"="&amp;BF70)+SUMIFS($S$5:$S$104,$AW$6:$AW$105,"="&amp;BF70)+SUMIFS($AD$5:$AD$104,$AZ$6:$AZ$105,"="&amp;BF70)+SUMIFS($AO$5:$AO$104,$BC$6:$BC$105,"="&amp;BF70)</f>
        <v>0</v>
      </c>
      <c r="BJ70" s="14">
        <f t="shared" si="12"/>
        <v>1200</v>
      </c>
      <c r="BK70" s="14">
        <f t="shared" si="13"/>
        <v>480</v>
      </c>
      <c r="BL70" s="14">
        <f t="shared" si="14"/>
        <v>960</v>
      </c>
      <c r="CJ70" s="52">
        <v>66</v>
      </c>
      <c r="CK70" s="52">
        <v>1</v>
      </c>
      <c r="CL70" s="52" t="s">
        <v>257</v>
      </c>
      <c r="CM70" s="52">
        <v>66</v>
      </c>
      <c r="CN70" s="52"/>
      <c r="CO70" s="52"/>
      <c r="CP70" s="52"/>
      <c r="CQ70" s="52" t="s">
        <v>372</v>
      </c>
      <c r="CR70" s="52">
        <v>4320</v>
      </c>
      <c r="CS70" s="52" t="s">
        <v>373</v>
      </c>
      <c r="CT70" s="52">
        <v>70</v>
      </c>
      <c r="CU70" s="52"/>
      <c r="CV70" s="52"/>
      <c r="CW70" s="52" t="s">
        <v>373</v>
      </c>
      <c r="CX70" s="52">
        <v>85</v>
      </c>
      <c r="CY70" s="52"/>
      <c r="CZ70" s="52"/>
      <c r="DA70" s="52"/>
      <c r="DB70" s="52"/>
      <c r="DC70" s="52"/>
      <c r="DD70" s="52"/>
      <c r="DE70" s="52"/>
      <c r="DF70" s="52"/>
      <c r="DG70" s="52"/>
      <c r="DH70" s="52"/>
    </row>
    <row r="71" spans="1:112" ht="16.5" x14ac:dyDescent="0.2">
      <c r="A71" s="17">
        <v>67</v>
      </c>
      <c r="B71" s="78">
        <v>16</v>
      </c>
      <c r="C71" s="123">
        <v>0</v>
      </c>
      <c r="D71" s="87"/>
      <c r="E71" s="78">
        <f>INDEX(章节关卡!$F$6:$F$34,芦花古楼!B71)*芦花古楼!C71</f>
        <v>0</v>
      </c>
      <c r="F71" s="22">
        <f t="shared" si="22"/>
        <v>70</v>
      </c>
      <c r="G71" s="22">
        <f t="shared" si="23"/>
        <v>85</v>
      </c>
      <c r="H71" s="14">
        <f>INDEX(章节关卡!$H$6:$H$34,芦花古楼!B71)*芦花古楼!C71</f>
        <v>0</v>
      </c>
      <c r="I71" s="14">
        <v>200</v>
      </c>
      <c r="L71" s="17">
        <v>67</v>
      </c>
      <c r="M71" s="78">
        <f t="shared" si="26"/>
        <v>17</v>
      </c>
      <c r="N71" s="123">
        <v>0</v>
      </c>
      <c r="O71" s="87"/>
      <c r="P71" s="78">
        <f>INDEX(章节关卡!$F$6:$F$34,芦花古楼!M71)*芦花古楼!N71</f>
        <v>0</v>
      </c>
      <c r="Q71" s="22">
        <f t="shared" si="27"/>
        <v>75</v>
      </c>
      <c r="R71" s="22">
        <f t="shared" si="28"/>
        <v>85</v>
      </c>
      <c r="S71" s="14">
        <f>INDEX(章节关卡!$H$6:$H$34,芦花古楼!M71)*芦花古楼!N71</f>
        <v>0</v>
      </c>
      <c r="T71" s="14">
        <v>200</v>
      </c>
      <c r="W71" s="17">
        <v>67</v>
      </c>
      <c r="X71" s="24">
        <v>17</v>
      </c>
      <c r="Y71" s="123">
        <v>0</v>
      </c>
      <c r="Z71" s="87"/>
      <c r="AA71" s="87">
        <f>INDEX(章节关卡!$F$6:$F$34,芦花古楼!X71)*芦花古楼!Y71</f>
        <v>0</v>
      </c>
      <c r="AB71" s="22">
        <f t="shared" si="24"/>
        <v>80</v>
      </c>
      <c r="AC71" s="22">
        <f t="shared" si="25"/>
        <v>85</v>
      </c>
      <c r="AD71" s="14">
        <f>INDEX(章节关卡!$H$6:$H$34,芦花古楼!X71)*芦花古楼!Y71</f>
        <v>0</v>
      </c>
      <c r="AE71" s="14">
        <v>200</v>
      </c>
      <c r="AH71" s="17">
        <v>67</v>
      </c>
      <c r="AI71" s="46">
        <v>17</v>
      </c>
      <c r="AJ71" s="123">
        <v>0</v>
      </c>
      <c r="AK71" s="87"/>
      <c r="AL71" s="87">
        <f>INDEX(章节关卡!$F$6:$F$34,芦花古楼!AI71)*芦花古楼!AJ71</f>
        <v>0</v>
      </c>
      <c r="AM71" s="22">
        <f t="shared" si="29"/>
        <v>85</v>
      </c>
      <c r="AN71" s="22">
        <f t="shared" si="30"/>
        <v>85</v>
      </c>
      <c r="AO71" s="14">
        <f>INDEX(章节关卡!$H$6:$H$34,芦花古楼!AI71)*芦花古楼!AJ71</f>
        <v>0</v>
      </c>
      <c r="AP71" s="14">
        <v>200</v>
      </c>
      <c r="AS71" s="18">
        <v>66</v>
      </c>
      <c r="AT71" s="87">
        <v>21</v>
      </c>
      <c r="AV71" s="18">
        <v>66</v>
      </c>
      <c r="AW71" s="87">
        <v>24</v>
      </c>
      <c r="AY71" s="18">
        <v>66</v>
      </c>
      <c r="AZ71" s="18">
        <v>24</v>
      </c>
      <c r="BB71" s="18">
        <v>66</v>
      </c>
      <c r="BC71" s="18">
        <v>24</v>
      </c>
      <c r="BF71" s="18">
        <v>66</v>
      </c>
      <c r="BG71" s="14">
        <f t="shared" si="31"/>
        <v>0</v>
      </c>
      <c r="BH71" s="14">
        <f t="shared" si="32"/>
        <v>480</v>
      </c>
      <c r="BI71" s="14">
        <f t="shared" si="33"/>
        <v>0</v>
      </c>
      <c r="BJ71" s="14">
        <f t="shared" ref="BJ71:BJ105" si="34">INDEX($I$5:$I$104,MATCH(BF71,$AT$5:$AT$105,1)-1)+INDEX($T$5:$T$104,MATCH(BF71,$AW$5:$AW$105,1)-1)+INDEX($AE$5:$AE$104,MATCH(BF71,$AZ$5:$AZ$105,1)-1)+INDEX($AP$5:$AP$104,MATCH(BF71,$BC$5:$BC$105,1)-1)</f>
        <v>1200</v>
      </c>
      <c r="BK71" s="14">
        <f t="shared" ref="BK71:BK134" si="35">BG71+BH70</f>
        <v>480</v>
      </c>
      <c r="BL71" s="14">
        <f t="shared" ref="BL71:BL134" si="36">BK71*BL$3</f>
        <v>960</v>
      </c>
      <c r="CJ71" s="52">
        <v>67</v>
      </c>
      <c r="CK71" s="52">
        <v>1</v>
      </c>
      <c r="CL71" s="52" t="s">
        <v>257</v>
      </c>
      <c r="CM71" s="52">
        <v>67</v>
      </c>
      <c r="CN71" s="52"/>
      <c r="CO71" s="52"/>
      <c r="CP71" s="52"/>
      <c r="CQ71" s="52" t="s">
        <v>372</v>
      </c>
      <c r="CR71" s="52">
        <v>4320</v>
      </c>
      <c r="CS71" s="52" t="s">
        <v>373</v>
      </c>
      <c r="CT71" s="52">
        <v>70</v>
      </c>
      <c r="CU71" s="52"/>
      <c r="CV71" s="52"/>
      <c r="CW71" s="52" t="s">
        <v>373</v>
      </c>
      <c r="CX71" s="52">
        <v>85</v>
      </c>
      <c r="CY71" s="52"/>
      <c r="CZ71" s="52"/>
      <c r="DA71" s="52"/>
      <c r="DB71" s="52"/>
      <c r="DC71" s="52"/>
      <c r="DD71" s="52"/>
      <c r="DE71" s="52"/>
      <c r="DF71" s="52"/>
      <c r="DG71" s="52"/>
      <c r="DH71" s="52"/>
    </row>
    <row r="72" spans="1:112" ht="16.5" x14ac:dyDescent="0.2">
      <c r="A72" s="17">
        <v>68</v>
      </c>
      <c r="B72" s="78">
        <v>16</v>
      </c>
      <c r="C72" s="123">
        <v>0</v>
      </c>
      <c r="D72" s="87"/>
      <c r="E72" s="78">
        <f>INDEX(章节关卡!$F$6:$F$34,芦花古楼!B72)*芦花古楼!C72</f>
        <v>0</v>
      </c>
      <c r="F72" s="22">
        <f t="shared" si="22"/>
        <v>70</v>
      </c>
      <c r="G72" s="22">
        <f t="shared" si="23"/>
        <v>85</v>
      </c>
      <c r="H72" s="14">
        <f>INDEX(章节关卡!$H$6:$H$34,芦花古楼!B72)*芦花古楼!C72</f>
        <v>0</v>
      </c>
      <c r="I72" s="14">
        <v>200</v>
      </c>
      <c r="L72" s="17">
        <v>68</v>
      </c>
      <c r="M72" s="78">
        <f t="shared" si="26"/>
        <v>17</v>
      </c>
      <c r="N72" s="123">
        <v>0</v>
      </c>
      <c r="O72" s="87"/>
      <c r="P72" s="78">
        <f>INDEX(章节关卡!$F$6:$F$34,芦花古楼!M72)*芦花古楼!N72</f>
        <v>0</v>
      </c>
      <c r="Q72" s="22">
        <f t="shared" si="27"/>
        <v>75</v>
      </c>
      <c r="R72" s="22">
        <f t="shared" si="28"/>
        <v>85</v>
      </c>
      <c r="S72" s="14">
        <f>INDEX(章节关卡!$H$6:$H$34,芦花古楼!M72)*芦花古楼!N72</f>
        <v>0</v>
      </c>
      <c r="T72" s="14">
        <v>200</v>
      </c>
      <c r="W72" s="17">
        <v>68</v>
      </c>
      <c r="X72" s="24">
        <v>17</v>
      </c>
      <c r="Y72" s="123">
        <v>0</v>
      </c>
      <c r="Z72" s="87"/>
      <c r="AA72" s="87">
        <f>INDEX(章节关卡!$F$6:$F$34,芦花古楼!X72)*芦花古楼!Y72</f>
        <v>0</v>
      </c>
      <c r="AB72" s="22">
        <f t="shared" si="24"/>
        <v>80</v>
      </c>
      <c r="AC72" s="22">
        <f t="shared" si="25"/>
        <v>85</v>
      </c>
      <c r="AD72" s="14">
        <f>INDEX(章节关卡!$H$6:$H$34,芦花古楼!X72)*芦花古楼!Y72</f>
        <v>0</v>
      </c>
      <c r="AE72" s="14">
        <v>200</v>
      </c>
      <c r="AH72" s="17">
        <v>68</v>
      </c>
      <c r="AI72" s="46">
        <v>17</v>
      </c>
      <c r="AJ72" s="123">
        <v>0</v>
      </c>
      <c r="AK72" s="87"/>
      <c r="AL72" s="87">
        <f>INDEX(章节关卡!$F$6:$F$34,芦花古楼!AI72)*芦花古楼!AJ72</f>
        <v>0</v>
      </c>
      <c r="AM72" s="22">
        <f t="shared" si="29"/>
        <v>85</v>
      </c>
      <c r="AN72" s="22">
        <f t="shared" si="30"/>
        <v>85</v>
      </c>
      <c r="AO72" s="14">
        <f>INDEX(章节关卡!$H$6:$H$34,芦花古楼!AI72)*芦花古楼!AJ72</f>
        <v>0</v>
      </c>
      <c r="AP72" s="14">
        <v>200</v>
      </c>
      <c r="AS72" s="18">
        <v>67</v>
      </c>
      <c r="AT72" s="18">
        <v>22</v>
      </c>
      <c r="AV72" s="18">
        <v>67</v>
      </c>
      <c r="AW72" s="87">
        <v>25</v>
      </c>
      <c r="AY72" s="18">
        <v>67</v>
      </c>
      <c r="AZ72" s="18">
        <v>25</v>
      </c>
      <c r="BB72" s="18">
        <v>67</v>
      </c>
      <c r="BC72" s="18">
        <v>25</v>
      </c>
      <c r="BF72" s="18">
        <v>67</v>
      </c>
      <c r="BG72" s="14">
        <f t="shared" si="31"/>
        <v>0</v>
      </c>
      <c r="BH72" s="14">
        <f t="shared" si="32"/>
        <v>480</v>
      </c>
      <c r="BI72" s="14">
        <f t="shared" si="33"/>
        <v>0</v>
      </c>
      <c r="BJ72" s="14">
        <f t="shared" si="34"/>
        <v>1200</v>
      </c>
      <c r="BK72" s="14">
        <f t="shared" si="35"/>
        <v>480</v>
      </c>
      <c r="BL72" s="14">
        <f t="shared" si="36"/>
        <v>960</v>
      </c>
      <c r="CJ72" s="52">
        <v>68</v>
      </c>
      <c r="CK72" s="52">
        <v>1</v>
      </c>
      <c r="CL72" s="52" t="s">
        <v>257</v>
      </c>
      <c r="CM72" s="52">
        <v>68</v>
      </c>
      <c r="CN72" s="52"/>
      <c r="CO72" s="52"/>
      <c r="CP72" s="52"/>
      <c r="CQ72" s="52" t="s">
        <v>372</v>
      </c>
      <c r="CR72" s="52">
        <v>4320</v>
      </c>
      <c r="CS72" s="52" t="s">
        <v>373</v>
      </c>
      <c r="CT72" s="52">
        <v>70</v>
      </c>
      <c r="CU72" s="52"/>
      <c r="CV72" s="52"/>
      <c r="CW72" s="52" t="s">
        <v>373</v>
      </c>
      <c r="CX72" s="52">
        <v>85</v>
      </c>
      <c r="CY72" s="52"/>
      <c r="CZ72" s="52"/>
      <c r="DA72" s="52"/>
      <c r="DB72" s="52"/>
      <c r="DC72" s="52"/>
      <c r="DD72" s="52"/>
      <c r="DE72" s="52"/>
      <c r="DF72" s="52"/>
      <c r="DG72" s="52"/>
      <c r="DH72" s="52"/>
    </row>
    <row r="73" spans="1:112" ht="16.5" x14ac:dyDescent="0.2">
      <c r="A73" s="17">
        <v>69</v>
      </c>
      <c r="B73" s="78">
        <v>16</v>
      </c>
      <c r="C73" s="123">
        <v>0</v>
      </c>
      <c r="D73" s="87"/>
      <c r="E73" s="78">
        <f>INDEX(章节关卡!$F$6:$F$34,芦花古楼!B73)*芦花古楼!C73</f>
        <v>0</v>
      </c>
      <c r="F73" s="22">
        <f t="shared" si="22"/>
        <v>70</v>
      </c>
      <c r="G73" s="22">
        <f t="shared" si="23"/>
        <v>85</v>
      </c>
      <c r="H73" s="14">
        <f>INDEX(章节关卡!$H$6:$H$34,芦花古楼!B73)*芦花古楼!C73</f>
        <v>0</v>
      </c>
      <c r="I73" s="14">
        <v>200</v>
      </c>
      <c r="L73" s="17">
        <v>69</v>
      </c>
      <c r="M73" s="78">
        <f t="shared" si="26"/>
        <v>17</v>
      </c>
      <c r="N73" s="123">
        <v>0</v>
      </c>
      <c r="O73" s="87"/>
      <c r="P73" s="78">
        <f>INDEX(章节关卡!$F$6:$F$34,芦花古楼!M73)*芦花古楼!N73</f>
        <v>0</v>
      </c>
      <c r="Q73" s="22">
        <f t="shared" si="27"/>
        <v>75</v>
      </c>
      <c r="R73" s="22">
        <f t="shared" si="28"/>
        <v>85</v>
      </c>
      <c r="S73" s="14">
        <f>INDEX(章节关卡!$H$6:$H$34,芦花古楼!M73)*芦花古楼!N73</f>
        <v>0</v>
      </c>
      <c r="T73" s="14">
        <v>200</v>
      </c>
      <c r="W73" s="17">
        <v>69</v>
      </c>
      <c r="X73" s="24">
        <v>17</v>
      </c>
      <c r="Y73" s="123">
        <v>0</v>
      </c>
      <c r="Z73" s="87"/>
      <c r="AA73" s="87">
        <f>INDEX(章节关卡!$F$6:$F$34,芦花古楼!X73)*芦花古楼!Y73</f>
        <v>0</v>
      </c>
      <c r="AB73" s="22">
        <f t="shared" si="24"/>
        <v>80</v>
      </c>
      <c r="AC73" s="22">
        <f t="shared" si="25"/>
        <v>85</v>
      </c>
      <c r="AD73" s="14">
        <f>INDEX(章节关卡!$H$6:$H$34,芦花古楼!X73)*芦花古楼!Y73</f>
        <v>0</v>
      </c>
      <c r="AE73" s="14">
        <v>200</v>
      </c>
      <c r="AH73" s="17">
        <v>69</v>
      </c>
      <c r="AI73" s="46">
        <v>17</v>
      </c>
      <c r="AJ73" s="123">
        <v>0</v>
      </c>
      <c r="AK73" s="87"/>
      <c r="AL73" s="87">
        <f>INDEX(章节关卡!$F$6:$F$34,芦花古楼!AI73)*芦花古楼!AJ73</f>
        <v>0</v>
      </c>
      <c r="AM73" s="22">
        <f t="shared" si="29"/>
        <v>85</v>
      </c>
      <c r="AN73" s="22">
        <f t="shared" si="30"/>
        <v>85</v>
      </c>
      <c r="AO73" s="14">
        <f>INDEX(章节关卡!$H$6:$H$34,芦花古楼!AI73)*芦花古楼!AJ73</f>
        <v>0</v>
      </c>
      <c r="AP73" s="14">
        <v>200</v>
      </c>
      <c r="AS73" s="18">
        <v>68</v>
      </c>
      <c r="AT73" s="87">
        <v>22</v>
      </c>
      <c r="AV73" s="18">
        <v>68</v>
      </c>
      <c r="AW73" s="87">
        <v>25</v>
      </c>
      <c r="AY73" s="18">
        <v>68</v>
      </c>
      <c r="AZ73" s="18">
        <v>25</v>
      </c>
      <c r="BB73" s="18">
        <v>68</v>
      </c>
      <c r="BC73" s="18">
        <v>25</v>
      </c>
      <c r="BF73" s="18">
        <v>68</v>
      </c>
      <c r="BG73" s="14">
        <f t="shared" si="31"/>
        <v>0</v>
      </c>
      <c r="BH73" s="14">
        <f t="shared" si="32"/>
        <v>480</v>
      </c>
      <c r="BI73" s="14">
        <f t="shared" si="33"/>
        <v>0</v>
      </c>
      <c r="BJ73" s="14">
        <f t="shared" si="34"/>
        <v>1200</v>
      </c>
      <c r="BK73" s="14">
        <f t="shared" si="35"/>
        <v>480</v>
      </c>
      <c r="BL73" s="14">
        <f t="shared" si="36"/>
        <v>960</v>
      </c>
      <c r="CJ73" s="52">
        <v>69</v>
      </c>
      <c r="CK73" s="52">
        <v>1</v>
      </c>
      <c r="CL73" s="52" t="s">
        <v>257</v>
      </c>
      <c r="CM73" s="52">
        <v>69</v>
      </c>
      <c r="CN73" s="52"/>
      <c r="CO73" s="52"/>
      <c r="CP73" s="52"/>
      <c r="CQ73" s="52" t="s">
        <v>372</v>
      </c>
      <c r="CR73" s="52">
        <v>4320</v>
      </c>
      <c r="CS73" s="52" t="s">
        <v>373</v>
      </c>
      <c r="CT73" s="52">
        <v>70</v>
      </c>
      <c r="CU73" s="52"/>
      <c r="CV73" s="52"/>
      <c r="CW73" s="52" t="s">
        <v>373</v>
      </c>
      <c r="CX73" s="52">
        <v>85</v>
      </c>
      <c r="CY73" s="52"/>
      <c r="CZ73" s="52"/>
      <c r="DA73" s="52"/>
      <c r="DB73" s="52"/>
      <c r="DC73" s="52"/>
      <c r="DD73" s="52"/>
      <c r="DE73" s="52"/>
      <c r="DF73" s="52"/>
      <c r="DG73" s="52"/>
      <c r="DH73" s="52"/>
    </row>
    <row r="74" spans="1:112" ht="16.5" x14ac:dyDescent="0.2">
      <c r="A74" s="17">
        <v>70</v>
      </c>
      <c r="B74" s="78">
        <v>16</v>
      </c>
      <c r="C74" s="123">
        <v>0</v>
      </c>
      <c r="D74" s="87"/>
      <c r="E74" s="78">
        <f>INDEX(章节关卡!$F$6:$F$34,芦花古楼!B74)*芦花古楼!C74</f>
        <v>0</v>
      </c>
      <c r="F74" s="22">
        <f t="shared" si="22"/>
        <v>70</v>
      </c>
      <c r="G74" s="22">
        <f t="shared" si="23"/>
        <v>90</v>
      </c>
      <c r="H74" s="14">
        <f>INDEX(章节关卡!$H$6:$H$34,芦花古楼!B74)*芦花古楼!C74</f>
        <v>0</v>
      </c>
      <c r="I74" s="14">
        <v>200</v>
      </c>
      <c r="L74" s="17">
        <v>70</v>
      </c>
      <c r="M74" s="78">
        <f t="shared" si="26"/>
        <v>17</v>
      </c>
      <c r="N74" s="123">
        <v>0</v>
      </c>
      <c r="O74" s="87"/>
      <c r="P74" s="78">
        <f>INDEX(章节关卡!$F$6:$F$34,芦花古楼!M74)*芦花古楼!N74</f>
        <v>0</v>
      </c>
      <c r="Q74" s="22">
        <f t="shared" si="27"/>
        <v>75</v>
      </c>
      <c r="R74" s="22">
        <f t="shared" si="28"/>
        <v>90</v>
      </c>
      <c r="S74" s="14">
        <f>INDEX(章节关卡!$H$6:$H$34,芦花古楼!M74)*芦花古楼!N74</f>
        <v>0</v>
      </c>
      <c r="T74" s="14">
        <v>200</v>
      </c>
      <c r="W74" s="17">
        <v>70</v>
      </c>
      <c r="X74" s="46">
        <v>17</v>
      </c>
      <c r="Y74" s="123">
        <v>0</v>
      </c>
      <c r="Z74" s="87"/>
      <c r="AA74" s="87">
        <f>INDEX(章节关卡!$F$6:$F$34,芦花古楼!X74)*芦花古楼!Y74</f>
        <v>0</v>
      </c>
      <c r="AB74" s="22">
        <f t="shared" si="24"/>
        <v>80</v>
      </c>
      <c r="AC74" s="22">
        <f t="shared" si="25"/>
        <v>90</v>
      </c>
      <c r="AD74" s="14">
        <f>INDEX(章节关卡!$H$6:$H$34,芦花古楼!X74)*芦花古楼!Y74</f>
        <v>0</v>
      </c>
      <c r="AE74" s="14">
        <v>200</v>
      </c>
      <c r="AH74" s="17">
        <v>70</v>
      </c>
      <c r="AI74" s="46">
        <v>17</v>
      </c>
      <c r="AJ74" s="123">
        <v>0</v>
      </c>
      <c r="AK74" s="87"/>
      <c r="AL74" s="87">
        <f>INDEX(章节关卡!$F$6:$F$34,芦花古楼!AI74)*芦花古楼!AJ74</f>
        <v>0</v>
      </c>
      <c r="AM74" s="22">
        <f t="shared" si="29"/>
        <v>85</v>
      </c>
      <c r="AN74" s="22">
        <f t="shared" si="30"/>
        <v>90</v>
      </c>
      <c r="AO74" s="14">
        <f>INDEX(章节关卡!$H$6:$H$34,芦花古楼!AI74)*芦花古楼!AJ74</f>
        <v>0</v>
      </c>
      <c r="AP74" s="14">
        <v>200</v>
      </c>
      <c r="AS74" s="18">
        <v>69</v>
      </c>
      <c r="AT74" s="87">
        <v>23</v>
      </c>
      <c r="AV74" s="18">
        <v>69</v>
      </c>
      <c r="AW74" s="87">
        <v>26</v>
      </c>
      <c r="AY74" s="18">
        <v>69</v>
      </c>
      <c r="AZ74" s="18">
        <v>26</v>
      </c>
      <c r="BB74" s="18">
        <v>69</v>
      </c>
      <c r="BC74" s="18">
        <v>26</v>
      </c>
      <c r="BF74" s="18">
        <v>69</v>
      </c>
      <c r="BG74" s="14">
        <f t="shared" si="31"/>
        <v>0</v>
      </c>
      <c r="BH74" s="14">
        <f t="shared" si="32"/>
        <v>480</v>
      </c>
      <c r="BI74" s="14">
        <f t="shared" si="33"/>
        <v>0</v>
      </c>
      <c r="BJ74" s="14">
        <f t="shared" si="34"/>
        <v>1200</v>
      </c>
      <c r="BK74" s="14">
        <f t="shared" si="35"/>
        <v>480</v>
      </c>
      <c r="BL74" s="14">
        <f t="shared" si="36"/>
        <v>960</v>
      </c>
      <c r="CJ74" s="52">
        <v>70</v>
      </c>
      <c r="CK74" s="52">
        <v>1</v>
      </c>
      <c r="CL74" s="52" t="s">
        <v>257</v>
      </c>
      <c r="CM74" s="52">
        <v>70</v>
      </c>
      <c r="CN74" s="52"/>
      <c r="CO74" s="52"/>
      <c r="CP74" s="52"/>
      <c r="CQ74" s="52" t="s">
        <v>372</v>
      </c>
      <c r="CR74" s="52">
        <v>4320</v>
      </c>
      <c r="CS74" s="52" t="s">
        <v>373</v>
      </c>
      <c r="CT74" s="52">
        <v>70</v>
      </c>
      <c r="CU74" s="52" t="s">
        <v>272</v>
      </c>
      <c r="CV74" s="52">
        <v>2</v>
      </c>
      <c r="CW74" s="52" t="s">
        <v>373</v>
      </c>
      <c r="CX74" s="52">
        <v>90</v>
      </c>
      <c r="CY74" s="52"/>
      <c r="CZ74" s="52"/>
      <c r="DA74" s="52"/>
      <c r="DB74" s="52"/>
      <c r="DC74" s="52"/>
      <c r="DD74" s="52"/>
      <c r="DE74" s="52"/>
      <c r="DF74" s="52"/>
      <c r="DG74" s="52"/>
      <c r="DH74" s="52"/>
    </row>
    <row r="75" spans="1:112" ht="16.5" x14ac:dyDescent="0.2">
      <c r="A75" s="22">
        <v>71</v>
      </c>
      <c r="B75" s="46">
        <v>17</v>
      </c>
      <c r="C75" s="123">
        <v>0</v>
      </c>
      <c r="D75" s="87"/>
      <c r="E75" s="78">
        <f>INDEX(章节关卡!$F$6:$F$34,芦花古楼!B75)*芦花古楼!C75</f>
        <v>0</v>
      </c>
      <c r="F75" s="22">
        <f t="shared" si="22"/>
        <v>75</v>
      </c>
      <c r="G75" s="22">
        <f t="shared" si="23"/>
        <v>90</v>
      </c>
      <c r="H75" s="14">
        <f>INDEX(章节关卡!$H$6:$H$34,芦花古楼!B75)*芦花古楼!C75</f>
        <v>0</v>
      </c>
      <c r="I75" s="14">
        <v>200</v>
      </c>
      <c r="L75" s="22">
        <v>71</v>
      </c>
      <c r="M75" s="78">
        <f t="shared" si="26"/>
        <v>18</v>
      </c>
      <c r="N75" s="123">
        <v>0</v>
      </c>
      <c r="O75" s="87"/>
      <c r="P75" s="78">
        <f>INDEX(章节关卡!$F$6:$F$34,芦花古楼!M75)*芦花古楼!N75</f>
        <v>0</v>
      </c>
      <c r="Q75" s="22">
        <f t="shared" si="27"/>
        <v>80</v>
      </c>
      <c r="R75" s="22">
        <f t="shared" si="28"/>
        <v>90</v>
      </c>
      <c r="S75" s="14">
        <f>INDEX(章节关卡!$H$6:$H$34,芦花古楼!M75)*芦花古楼!N75</f>
        <v>0</v>
      </c>
      <c r="T75" s="14">
        <v>200</v>
      </c>
      <c r="W75" s="22">
        <v>71</v>
      </c>
      <c r="X75" s="46">
        <v>18</v>
      </c>
      <c r="Y75" s="123">
        <v>0</v>
      </c>
      <c r="Z75" s="87"/>
      <c r="AA75" s="87">
        <f>INDEX(章节关卡!$F$6:$F$34,芦花古楼!X75)*芦花古楼!Y75</f>
        <v>0</v>
      </c>
      <c r="AB75" s="22">
        <f t="shared" si="24"/>
        <v>85</v>
      </c>
      <c r="AC75" s="22">
        <f t="shared" si="25"/>
        <v>90</v>
      </c>
      <c r="AD75" s="14">
        <f>INDEX(章节关卡!$H$6:$H$34,芦花古楼!X75)*芦花古楼!Y75</f>
        <v>0</v>
      </c>
      <c r="AE75" s="14">
        <v>200</v>
      </c>
      <c r="AH75" s="22">
        <v>71</v>
      </c>
      <c r="AI75" s="46">
        <v>18</v>
      </c>
      <c r="AJ75" s="123">
        <v>0</v>
      </c>
      <c r="AK75" s="87"/>
      <c r="AL75" s="87">
        <f>INDEX(章节关卡!$F$6:$F$34,芦花古楼!AI75)*芦花古楼!AJ75</f>
        <v>0</v>
      </c>
      <c r="AM75" s="22">
        <f t="shared" si="29"/>
        <v>90</v>
      </c>
      <c r="AN75" s="22">
        <f t="shared" si="30"/>
        <v>90</v>
      </c>
      <c r="AO75" s="14">
        <f>INDEX(章节关卡!$H$6:$H$34,芦花古楼!AI75)*芦花古楼!AJ75</f>
        <v>0</v>
      </c>
      <c r="AP75" s="14">
        <v>200</v>
      </c>
      <c r="AS75" s="18">
        <v>70</v>
      </c>
      <c r="AT75" s="87">
        <v>23</v>
      </c>
      <c r="AV75" s="18">
        <v>70</v>
      </c>
      <c r="AW75" s="87">
        <v>26</v>
      </c>
      <c r="AY75" s="18">
        <v>70</v>
      </c>
      <c r="AZ75" s="18">
        <v>26</v>
      </c>
      <c r="BB75" s="18">
        <v>70</v>
      </c>
      <c r="BC75" s="18">
        <v>26</v>
      </c>
      <c r="BF75" s="18">
        <v>70</v>
      </c>
      <c r="BG75" s="14">
        <f t="shared" si="31"/>
        <v>0</v>
      </c>
      <c r="BH75" s="14">
        <f t="shared" si="32"/>
        <v>480</v>
      </c>
      <c r="BI75" s="14">
        <f t="shared" si="33"/>
        <v>0</v>
      </c>
      <c r="BJ75" s="14">
        <f t="shared" si="34"/>
        <v>1200</v>
      </c>
      <c r="BK75" s="14">
        <f t="shared" si="35"/>
        <v>480</v>
      </c>
      <c r="BL75" s="14">
        <f t="shared" si="36"/>
        <v>960</v>
      </c>
      <c r="CJ75" s="52">
        <v>71</v>
      </c>
      <c r="CK75" s="52">
        <v>1</v>
      </c>
      <c r="CL75" s="52" t="s">
        <v>257</v>
      </c>
      <c r="CM75" s="52">
        <v>71</v>
      </c>
      <c r="CN75" s="52"/>
      <c r="CO75" s="52"/>
      <c r="CP75" s="52"/>
      <c r="CQ75" s="52" t="s">
        <v>372</v>
      </c>
      <c r="CR75" s="52">
        <v>4320</v>
      </c>
      <c r="CS75" s="52" t="s">
        <v>373</v>
      </c>
      <c r="CT75" s="52">
        <v>75</v>
      </c>
      <c r="CU75" s="52"/>
      <c r="CV75" s="52"/>
      <c r="CW75" s="52" t="s">
        <v>373</v>
      </c>
      <c r="CX75" s="52">
        <v>90</v>
      </c>
      <c r="CY75" s="52"/>
      <c r="CZ75" s="52"/>
      <c r="DA75" s="52"/>
      <c r="DB75" s="52"/>
      <c r="DC75" s="52"/>
      <c r="DD75" s="52"/>
      <c r="DE75" s="52"/>
      <c r="DF75" s="52"/>
      <c r="DG75" s="52"/>
      <c r="DH75" s="52"/>
    </row>
    <row r="76" spans="1:112" ht="16.5" x14ac:dyDescent="0.2">
      <c r="A76" s="22">
        <v>72</v>
      </c>
      <c r="B76" s="78">
        <v>17</v>
      </c>
      <c r="C76" s="123">
        <v>0</v>
      </c>
      <c r="D76" s="87"/>
      <c r="E76" s="78">
        <f>INDEX(章节关卡!$F$6:$F$34,芦花古楼!B76)*芦花古楼!C76</f>
        <v>0</v>
      </c>
      <c r="F76" s="22">
        <f t="shared" si="22"/>
        <v>75</v>
      </c>
      <c r="G76" s="22">
        <f t="shared" si="23"/>
        <v>90</v>
      </c>
      <c r="H76" s="14">
        <f>INDEX(章节关卡!$H$6:$H$34,芦花古楼!B76)*芦花古楼!C76</f>
        <v>0</v>
      </c>
      <c r="I76" s="14">
        <v>200</v>
      </c>
      <c r="L76" s="22">
        <v>72</v>
      </c>
      <c r="M76" s="78">
        <f t="shared" si="26"/>
        <v>18</v>
      </c>
      <c r="N76" s="123">
        <v>0</v>
      </c>
      <c r="O76" s="87"/>
      <c r="P76" s="78">
        <f>INDEX(章节关卡!$F$6:$F$34,芦花古楼!M76)*芦花古楼!N76</f>
        <v>0</v>
      </c>
      <c r="Q76" s="22">
        <f t="shared" si="27"/>
        <v>80</v>
      </c>
      <c r="R76" s="22">
        <f t="shared" si="28"/>
        <v>90</v>
      </c>
      <c r="S76" s="14">
        <f>INDEX(章节关卡!$H$6:$H$34,芦花古楼!M76)*芦花古楼!N76</f>
        <v>0</v>
      </c>
      <c r="T76" s="14">
        <v>200</v>
      </c>
      <c r="W76" s="22">
        <v>72</v>
      </c>
      <c r="X76" s="46">
        <v>18</v>
      </c>
      <c r="Y76" s="123">
        <v>0</v>
      </c>
      <c r="Z76" s="87"/>
      <c r="AA76" s="87">
        <f>INDEX(章节关卡!$F$6:$F$34,芦花古楼!X76)*芦花古楼!Y76</f>
        <v>0</v>
      </c>
      <c r="AB76" s="22">
        <f t="shared" si="24"/>
        <v>85</v>
      </c>
      <c r="AC76" s="22">
        <f t="shared" si="25"/>
        <v>90</v>
      </c>
      <c r="AD76" s="14">
        <f>INDEX(章节关卡!$H$6:$H$34,芦花古楼!X76)*芦花古楼!Y76</f>
        <v>0</v>
      </c>
      <c r="AE76" s="14">
        <v>200</v>
      </c>
      <c r="AH76" s="22">
        <v>72</v>
      </c>
      <c r="AI76" s="46">
        <v>18</v>
      </c>
      <c r="AJ76" s="123">
        <v>0</v>
      </c>
      <c r="AK76" s="87"/>
      <c r="AL76" s="87">
        <f>INDEX(章节关卡!$F$6:$F$34,芦花古楼!AI76)*芦花古楼!AJ76</f>
        <v>0</v>
      </c>
      <c r="AM76" s="22">
        <f t="shared" si="29"/>
        <v>90</v>
      </c>
      <c r="AN76" s="22">
        <f t="shared" si="30"/>
        <v>90</v>
      </c>
      <c r="AO76" s="14">
        <f>INDEX(章节关卡!$H$6:$H$34,芦花古楼!AI76)*芦花古楼!AJ76</f>
        <v>0</v>
      </c>
      <c r="AP76" s="14">
        <v>200</v>
      </c>
      <c r="AS76" s="18">
        <v>71</v>
      </c>
      <c r="AT76" s="87">
        <v>24</v>
      </c>
      <c r="AV76" s="18">
        <v>71</v>
      </c>
      <c r="AW76" s="87">
        <v>27</v>
      </c>
      <c r="AY76" s="18">
        <v>71</v>
      </c>
      <c r="AZ76" s="18">
        <v>27</v>
      </c>
      <c r="BB76" s="18">
        <v>71</v>
      </c>
      <c r="BC76" s="18">
        <v>27</v>
      </c>
      <c r="BF76" s="18">
        <v>71</v>
      </c>
      <c r="BG76" s="14">
        <f t="shared" si="31"/>
        <v>0</v>
      </c>
      <c r="BH76" s="14">
        <f t="shared" si="32"/>
        <v>480</v>
      </c>
      <c r="BI76" s="14">
        <f t="shared" si="33"/>
        <v>0</v>
      </c>
      <c r="BJ76" s="14">
        <f t="shared" si="34"/>
        <v>1200</v>
      </c>
      <c r="BK76" s="14">
        <f t="shared" si="35"/>
        <v>480</v>
      </c>
      <c r="BL76" s="14">
        <f t="shared" si="36"/>
        <v>960</v>
      </c>
      <c r="CJ76" s="52">
        <v>72</v>
      </c>
      <c r="CK76" s="52">
        <v>1</v>
      </c>
      <c r="CL76" s="52" t="s">
        <v>257</v>
      </c>
      <c r="CM76" s="52">
        <v>72</v>
      </c>
      <c r="CN76" s="52"/>
      <c r="CO76" s="52"/>
      <c r="CP76" s="52"/>
      <c r="CQ76" s="52" t="s">
        <v>372</v>
      </c>
      <c r="CR76" s="52">
        <v>4320</v>
      </c>
      <c r="CS76" s="52" t="s">
        <v>373</v>
      </c>
      <c r="CT76" s="52">
        <v>75</v>
      </c>
      <c r="CU76" s="52"/>
      <c r="CV76" s="52"/>
      <c r="CW76" s="52" t="s">
        <v>373</v>
      </c>
      <c r="CX76" s="52">
        <v>90</v>
      </c>
      <c r="CY76" s="52"/>
      <c r="CZ76" s="52"/>
      <c r="DA76" s="52"/>
      <c r="DB76" s="52"/>
      <c r="DC76" s="52"/>
      <c r="DD76" s="52"/>
      <c r="DE76" s="52"/>
      <c r="DF76" s="52"/>
      <c r="DG76" s="52"/>
      <c r="DH76" s="52"/>
    </row>
    <row r="77" spans="1:112" ht="16.5" x14ac:dyDescent="0.2">
      <c r="A77" s="22">
        <v>73</v>
      </c>
      <c r="B77" s="78">
        <v>17</v>
      </c>
      <c r="C77" s="123">
        <v>0</v>
      </c>
      <c r="D77" s="87"/>
      <c r="E77" s="78">
        <f>INDEX(章节关卡!$F$6:$F$34,芦花古楼!B77)*芦花古楼!C77</f>
        <v>0</v>
      </c>
      <c r="F77" s="22">
        <f t="shared" si="22"/>
        <v>75</v>
      </c>
      <c r="G77" s="22">
        <f t="shared" si="23"/>
        <v>90</v>
      </c>
      <c r="H77" s="14">
        <f>INDEX(章节关卡!$H$6:$H$34,芦花古楼!B77)*芦花古楼!C77</f>
        <v>0</v>
      </c>
      <c r="I77" s="14">
        <v>200</v>
      </c>
      <c r="L77" s="22">
        <v>73</v>
      </c>
      <c r="M77" s="78">
        <f t="shared" si="26"/>
        <v>18</v>
      </c>
      <c r="N77" s="123">
        <v>0</v>
      </c>
      <c r="O77" s="87"/>
      <c r="P77" s="78">
        <f>INDEX(章节关卡!$F$6:$F$34,芦花古楼!M77)*芦花古楼!N77</f>
        <v>0</v>
      </c>
      <c r="Q77" s="22">
        <f t="shared" si="27"/>
        <v>80</v>
      </c>
      <c r="R77" s="22">
        <f t="shared" si="28"/>
        <v>90</v>
      </c>
      <c r="S77" s="14">
        <f>INDEX(章节关卡!$H$6:$H$34,芦花古楼!M77)*芦花古楼!N77</f>
        <v>0</v>
      </c>
      <c r="T77" s="14">
        <v>200</v>
      </c>
      <c r="W77" s="22">
        <v>73</v>
      </c>
      <c r="X77" s="46">
        <v>18</v>
      </c>
      <c r="Y77" s="123">
        <v>0</v>
      </c>
      <c r="Z77" s="87"/>
      <c r="AA77" s="87">
        <f>INDEX(章节关卡!$F$6:$F$34,芦花古楼!X77)*芦花古楼!Y77</f>
        <v>0</v>
      </c>
      <c r="AB77" s="22">
        <f t="shared" si="24"/>
        <v>85</v>
      </c>
      <c r="AC77" s="22">
        <f t="shared" si="25"/>
        <v>90</v>
      </c>
      <c r="AD77" s="14">
        <f>INDEX(章节关卡!$H$6:$H$34,芦花古楼!X77)*芦花古楼!Y77</f>
        <v>0</v>
      </c>
      <c r="AE77" s="14">
        <v>200</v>
      </c>
      <c r="AH77" s="22">
        <v>73</v>
      </c>
      <c r="AI77" s="46">
        <v>18</v>
      </c>
      <c r="AJ77" s="123">
        <v>0</v>
      </c>
      <c r="AK77" s="87"/>
      <c r="AL77" s="87">
        <f>INDEX(章节关卡!$F$6:$F$34,芦花古楼!AI77)*芦花古楼!AJ77</f>
        <v>0</v>
      </c>
      <c r="AM77" s="22">
        <f t="shared" si="29"/>
        <v>90</v>
      </c>
      <c r="AN77" s="22">
        <f t="shared" si="30"/>
        <v>90</v>
      </c>
      <c r="AO77" s="14">
        <f>INDEX(章节关卡!$H$6:$H$34,芦花古楼!AI77)*芦花古楼!AJ77</f>
        <v>0</v>
      </c>
      <c r="AP77" s="14">
        <v>200</v>
      </c>
      <c r="AS77" s="18">
        <v>72</v>
      </c>
      <c r="AT77" s="87">
        <v>24</v>
      </c>
      <c r="AV77" s="18">
        <v>72</v>
      </c>
      <c r="AW77" s="87">
        <v>27</v>
      </c>
      <c r="AY77" s="18">
        <v>72</v>
      </c>
      <c r="AZ77" s="18">
        <v>27</v>
      </c>
      <c r="BB77" s="18">
        <v>72</v>
      </c>
      <c r="BC77" s="18">
        <v>27</v>
      </c>
      <c r="BF77" s="18">
        <v>72</v>
      </c>
      <c r="BG77" s="14">
        <f t="shared" si="31"/>
        <v>0</v>
      </c>
      <c r="BH77" s="14">
        <f t="shared" si="32"/>
        <v>480</v>
      </c>
      <c r="BI77" s="14">
        <f t="shared" si="33"/>
        <v>0</v>
      </c>
      <c r="BJ77" s="14">
        <f t="shared" si="34"/>
        <v>1200</v>
      </c>
      <c r="BK77" s="14">
        <f t="shared" si="35"/>
        <v>480</v>
      </c>
      <c r="BL77" s="14">
        <f t="shared" si="36"/>
        <v>960</v>
      </c>
      <c r="CJ77" s="52">
        <v>73</v>
      </c>
      <c r="CK77" s="52">
        <v>1</v>
      </c>
      <c r="CL77" s="52" t="s">
        <v>257</v>
      </c>
      <c r="CM77" s="52">
        <v>73</v>
      </c>
      <c r="CN77" s="52"/>
      <c r="CO77" s="52"/>
      <c r="CP77" s="52"/>
      <c r="CQ77" s="52" t="s">
        <v>372</v>
      </c>
      <c r="CR77" s="52">
        <v>4320</v>
      </c>
      <c r="CS77" s="52" t="s">
        <v>373</v>
      </c>
      <c r="CT77" s="52">
        <v>75</v>
      </c>
      <c r="CU77" s="52"/>
      <c r="CV77" s="52"/>
      <c r="CW77" s="52" t="s">
        <v>373</v>
      </c>
      <c r="CX77" s="52">
        <v>90</v>
      </c>
      <c r="CY77" s="52"/>
      <c r="CZ77" s="52"/>
      <c r="DA77" s="52"/>
      <c r="DB77" s="52"/>
      <c r="DC77" s="52"/>
      <c r="DD77" s="52"/>
      <c r="DE77" s="52"/>
      <c r="DF77" s="52"/>
      <c r="DG77" s="52"/>
      <c r="DH77" s="52"/>
    </row>
    <row r="78" spans="1:112" ht="16.5" x14ac:dyDescent="0.2">
      <c r="A78" s="22">
        <v>74</v>
      </c>
      <c r="B78" s="78">
        <v>17</v>
      </c>
      <c r="C78" s="123">
        <v>0</v>
      </c>
      <c r="D78" s="87"/>
      <c r="E78" s="78">
        <f>INDEX(章节关卡!$F$6:$F$34,芦花古楼!B78)*芦花古楼!C78</f>
        <v>0</v>
      </c>
      <c r="F78" s="22">
        <f t="shared" si="22"/>
        <v>75</v>
      </c>
      <c r="G78" s="22">
        <f t="shared" si="23"/>
        <v>90</v>
      </c>
      <c r="H78" s="14">
        <f>INDEX(章节关卡!$H$6:$H$34,芦花古楼!B78)*芦花古楼!C78</f>
        <v>0</v>
      </c>
      <c r="I78" s="14">
        <v>200</v>
      </c>
      <c r="L78" s="22">
        <v>74</v>
      </c>
      <c r="M78" s="78">
        <f t="shared" si="26"/>
        <v>18</v>
      </c>
      <c r="N78" s="123">
        <v>0</v>
      </c>
      <c r="O78" s="87"/>
      <c r="P78" s="78">
        <f>INDEX(章节关卡!$F$6:$F$34,芦花古楼!M78)*芦花古楼!N78</f>
        <v>0</v>
      </c>
      <c r="Q78" s="22">
        <f t="shared" si="27"/>
        <v>80</v>
      </c>
      <c r="R78" s="22">
        <f t="shared" si="28"/>
        <v>90</v>
      </c>
      <c r="S78" s="14">
        <f>INDEX(章节关卡!$H$6:$H$34,芦花古楼!M78)*芦花古楼!N78</f>
        <v>0</v>
      </c>
      <c r="T78" s="14">
        <v>200</v>
      </c>
      <c r="W78" s="22">
        <v>74</v>
      </c>
      <c r="X78" s="46">
        <v>18</v>
      </c>
      <c r="Y78" s="123">
        <v>0</v>
      </c>
      <c r="Z78" s="87"/>
      <c r="AA78" s="87">
        <f>INDEX(章节关卡!$F$6:$F$34,芦花古楼!X78)*芦花古楼!Y78</f>
        <v>0</v>
      </c>
      <c r="AB78" s="22">
        <f t="shared" si="24"/>
        <v>85</v>
      </c>
      <c r="AC78" s="22">
        <f t="shared" si="25"/>
        <v>90</v>
      </c>
      <c r="AD78" s="14">
        <f>INDEX(章节关卡!$H$6:$H$34,芦花古楼!X78)*芦花古楼!Y78</f>
        <v>0</v>
      </c>
      <c r="AE78" s="14">
        <v>200</v>
      </c>
      <c r="AH78" s="22">
        <v>74</v>
      </c>
      <c r="AI78" s="46">
        <v>18</v>
      </c>
      <c r="AJ78" s="123">
        <v>0</v>
      </c>
      <c r="AK78" s="87"/>
      <c r="AL78" s="87">
        <f>INDEX(章节关卡!$F$6:$F$34,芦花古楼!AI78)*芦花古楼!AJ78</f>
        <v>0</v>
      </c>
      <c r="AM78" s="22">
        <f t="shared" si="29"/>
        <v>90</v>
      </c>
      <c r="AN78" s="22">
        <f t="shared" si="30"/>
        <v>90</v>
      </c>
      <c r="AO78" s="14">
        <f>INDEX(章节关卡!$H$6:$H$34,芦花古楼!AI78)*芦花古楼!AJ78</f>
        <v>0</v>
      </c>
      <c r="AP78" s="14">
        <v>200</v>
      </c>
      <c r="AS78" s="18">
        <v>73</v>
      </c>
      <c r="AT78" s="18">
        <v>25</v>
      </c>
      <c r="AV78" s="18">
        <v>73</v>
      </c>
      <c r="AW78" s="87">
        <v>28</v>
      </c>
      <c r="AY78" s="18">
        <v>73</v>
      </c>
      <c r="AZ78" s="18">
        <v>28</v>
      </c>
      <c r="BB78" s="18">
        <v>73</v>
      </c>
      <c r="BC78" s="18">
        <v>28</v>
      </c>
      <c r="BF78" s="18">
        <v>73</v>
      </c>
      <c r="BG78" s="14">
        <f t="shared" si="31"/>
        <v>0</v>
      </c>
      <c r="BH78" s="14">
        <f t="shared" si="32"/>
        <v>480</v>
      </c>
      <c r="BI78" s="14">
        <f t="shared" si="33"/>
        <v>0</v>
      </c>
      <c r="BJ78" s="14">
        <f t="shared" si="34"/>
        <v>1200</v>
      </c>
      <c r="BK78" s="14">
        <f t="shared" si="35"/>
        <v>480</v>
      </c>
      <c r="BL78" s="14">
        <f t="shared" si="36"/>
        <v>960</v>
      </c>
      <c r="CJ78" s="52">
        <v>74</v>
      </c>
      <c r="CK78" s="52">
        <v>1</v>
      </c>
      <c r="CL78" s="52" t="s">
        <v>257</v>
      </c>
      <c r="CM78" s="52">
        <v>74</v>
      </c>
      <c r="CN78" s="52"/>
      <c r="CO78" s="52"/>
      <c r="CP78" s="52"/>
      <c r="CQ78" s="52" t="s">
        <v>372</v>
      </c>
      <c r="CR78" s="52">
        <v>4320</v>
      </c>
      <c r="CS78" s="52" t="s">
        <v>373</v>
      </c>
      <c r="CT78" s="52">
        <v>75</v>
      </c>
      <c r="CU78" s="52"/>
      <c r="CV78" s="52"/>
      <c r="CW78" s="52" t="s">
        <v>373</v>
      </c>
      <c r="CX78" s="52">
        <v>90</v>
      </c>
      <c r="CY78" s="52"/>
      <c r="CZ78" s="52"/>
      <c r="DA78" s="52"/>
      <c r="DB78" s="52"/>
      <c r="DC78" s="52"/>
      <c r="DD78" s="52"/>
      <c r="DE78" s="52"/>
      <c r="DF78" s="52"/>
      <c r="DG78" s="52"/>
      <c r="DH78" s="52"/>
    </row>
    <row r="79" spans="1:112" ht="16.5" x14ac:dyDescent="0.2">
      <c r="A79" s="22">
        <v>75</v>
      </c>
      <c r="B79" s="78">
        <v>17</v>
      </c>
      <c r="C79" s="123">
        <v>0</v>
      </c>
      <c r="D79" s="87"/>
      <c r="E79" s="78">
        <f>INDEX(章节关卡!$F$6:$F$34,芦花古楼!B79)*芦花古楼!C79</f>
        <v>0</v>
      </c>
      <c r="F79" s="22">
        <f t="shared" si="22"/>
        <v>75</v>
      </c>
      <c r="G79" s="22">
        <f t="shared" si="23"/>
        <v>95</v>
      </c>
      <c r="H79" s="14">
        <f>INDEX(章节关卡!$H$6:$H$34,芦花古楼!B79)*芦花古楼!C79</f>
        <v>0</v>
      </c>
      <c r="I79" s="14">
        <v>200</v>
      </c>
      <c r="L79" s="22">
        <v>75</v>
      </c>
      <c r="M79" s="78">
        <f t="shared" si="26"/>
        <v>18</v>
      </c>
      <c r="N79" s="123">
        <v>0</v>
      </c>
      <c r="O79" s="87"/>
      <c r="P79" s="78">
        <f>INDEX(章节关卡!$F$6:$F$34,芦花古楼!M79)*芦花古楼!N79</f>
        <v>0</v>
      </c>
      <c r="Q79" s="22">
        <f t="shared" si="27"/>
        <v>80</v>
      </c>
      <c r="R79" s="22">
        <f t="shared" si="28"/>
        <v>95</v>
      </c>
      <c r="S79" s="14">
        <f>INDEX(章节关卡!$H$6:$H$34,芦花古楼!M79)*芦花古楼!N79</f>
        <v>0</v>
      </c>
      <c r="T79" s="14">
        <v>200</v>
      </c>
      <c r="W79" s="22">
        <v>75</v>
      </c>
      <c r="X79" s="46">
        <v>18</v>
      </c>
      <c r="Y79" s="123">
        <v>0</v>
      </c>
      <c r="Z79" s="87"/>
      <c r="AA79" s="87">
        <f>INDEX(章节关卡!$F$6:$F$34,芦花古楼!X79)*芦花古楼!Y79</f>
        <v>0</v>
      </c>
      <c r="AB79" s="22">
        <f t="shared" si="24"/>
        <v>85</v>
      </c>
      <c r="AC79" s="22">
        <f t="shared" si="25"/>
        <v>95</v>
      </c>
      <c r="AD79" s="14">
        <f>INDEX(章节关卡!$H$6:$H$34,芦花古楼!X79)*芦花古楼!Y79</f>
        <v>0</v>
      </c>
      <c r="AE79" s="14">
        <v>200</v>
      </c>
      <c r="AH79" s="22">
        <v>75</v>
      </c>
      <c r="AI79" s="46">
        <v>18</v>
      </c>
      <c r="AJ79" s="123">
        <v>0</v>
      </c>
      <c r="AK79" s="87"/>
      <c r="AL79" s="87">
        <f>INDEX(章节关卡!$F$6:$F$34,芦花古楼!AI79)*芦花古楼!AJ79</f>
        <v>0</v>
      </c>
      <c r="AM79" s="22">
        <f t="shared" si="29"/>
        <v>90</v>
      </c>
      <c r="AN79" s="22">
        <f t="shared" si="30"/>
        <v>95</v>
      </c>
      <c r="AO79" s="14">
        <f>INDEX(章节关卡!$H$6:$H$34,芦花古楼!AI79)*芦花古楼!AJ79</f>
        <v>0</v>
      </c>
      <c r="AP79" s="14">
        <v>200</v>
      </c>
      <c r="AS79" s="18">
        <v>74</v>
      </c>
      <c r="AT79" s="87">
        <v>25</v>
      </c>
      <c r="AV79" s="18">
        <v>74</v>
      </c>
      <c r="AW79" s="87">
        <v>28</v>
      </c>
      <c r="AY79" s="18">
        <v>74</v>
      </c>
      <c r="AZ79" s="18">
        <v>28</v>
      </c>
      <c r="BB79" s="18">
        <v>74</v>
      </c>
      <c r="BC79" s="18">
        <v>28</v>
      </c>
      <c r="BF79" s="18">
        <v>74</v>
      </c>
      <c r="BG79" s="14">
        <f t="shared" si="31"/>
        <v>0</v>
      </c>
      <c r="BH79" s="14">
        <f t="shared" si="32"/>
        <v>480</v>
      </c>
      <c r="BI79" s="14">
        <f t="shared" si="33"/>
        <v>0</v>
      </c>
      <c r="BJ79" s="14">
        <f t="shared" si="34"/>
        <v>1200</v>
      </c>
      <c r="BK79" s="14">
        <f t="shared" si="35"/>
        <v>480</v>
      </c>
      <c r="BL79" s="14">
        <f t="shared" si="36"/>
        <v>960</v>
      </c>
      <c r="CJ79" s="52">
        <v>75</v>
      </c>
      <c r="CK79" s="52">
        <v>1</v>
      </c>
      <c r="CL79" s="52" t="s">
        <v>257</v>
      </c>
      <c r="CM79" s="52">
        <v>75</v>
      </c>
      <c r="CN79" s="52"/>
      <c r="CO79" s="52"/>
      <c r="CP79" s="52"/>
      <c r="CQ79" s="52" t="s">
        <v>372</v>
      </c>
      <c r="CR79" s="52">
        <v>4320</v>
      </c>
      <c r="CS79" s="52" t="s">
        <v>373</v>
      </c>
      <c r="CT79" s="52">
        <v>75</v>
      </c>
      <c r="CU79" s="52" t="s">
        <v>374</v>
      </c>
      <c r="CV79" s="52">
        <v>2</v>
      </c>
      <c r="CW79" s="52" t="s">
        <v>373</v>
      </c>
      <c r="CX79" s="52">
        <v>95</v>
      </c>
      <c r="CY79" s="52"/>
      <c r="CZ79" s="52"/>
      <c r="DA79" s="52"/>
      <c r="DB79" s="52"/>
      <c r="DC79" s="52"/>
      <c r="DD79" s="52"/>
      <c r="DE79" s="52"/>
      <c r="DF79" s="52"/>
      <c r="DG79" s="52"/>
      <c r="DH79" s="52"/>
    </row>
    <row r="80" spans="1:112" ht="16.5" x14ac:dyDescent="0.2">
      <c r="A80" s="22">
        <v>76</v>
      </c>
      <c r="B80" s="46">
        <v>18</v>
      </c>
      <c r="C80" s="123">
        <v>0</v>
      </c>
      <c r="D80" s="87"/>
      <c r="E80" s="78">
        <f>INDEX(章节关卡!$F$6:$F$34,芦花古楼!B80)*芦花古楼!C80</f>
        <v>0</v>
      </c>
      <c r="F80" s="22">
        <f t="shared" si="22"/>
        <v>80</v>
      </c>
      <c r="G80" s="22">
        <f t="shared" si="23"/>
        <v>95</v>
      </c>
      <c r="H80" s="14">
        <f>INDEX(章节关卡!$H$6:$H$34,芦花古楼!B80)*芦花古楼!C80</f>
        <v>0</v>
      </c>
      <c r="I80" s="14">
        <v>200</v>
      </c>
      <c r="L80" s="22">
        <v>76</v>
      </c>
      <c r="M80" s="78">
        <f t="shared" si="26"/>
        <v>19</v>
      </c>
      <c r="N80" s="123">
        <v>0</v>
      </c>
      <c r="O80" s="87"/>
      <c r="P80" s="78">
        <f>INDEX(章节关卡!$F$6:$F$34,芦花古楼!M80)*芦花古楼!N80</f>
        <v>0</v>
      </c>
      <c r="Q80" s="22">
        <f t="shared" si="27"/>
        <v>85</v>
      </c>
      <c r="R80" s="22">
        <f t="shared" si="28"/>
        <v>95</v>
      </c>
      <c r="S80" s="14">
        <f>INDEX(章节关卡!$H$6:$H$34,芦花古楼!M80)*芦花古楼!N80</f>
        <v>0</v>
      </c>
      <c r="T80" s="14">
        <v>200</v>
      </c>
      <c r="W80" s="22">
        <v>76</v>
      </c>
      <c r="X80" s="46">
        <v>19</v>
      </c>
      <c r="Y80" s="123">
        <v>0</v>
      </c>
      <c r="Z80" s="87"/>
      <c r="AA80" s="87">
        <f>INDEX(章节关卡!$F$6:$F$34,芦花古楼!X80)*芦花古楼!Y80</f>
        <v>0</v>
      </c>
      <c r="AB80" s="22">
        <f t="shared" si="24"/>
        <v>90</v>
      </c>
      <c r="AC80" s="22">
        <f t="shared" si="25"/>
        <v>95</v>
      </c>
      <c r="AD80" s="14">
        <f>INDEX(章节关卡!$H$6:$H$34,芦花古楼!X80)*芦花古楼!Y80</f>
        <v>0</v>
      </c>
      <c r="AE80" s="14">
        <v>200</v>
      </c>
      <c r="AH80" s="22">
        <v>76</v>
      </c>
      <c r="AI80" s="46">
        <v>19</v>
      </c>
      <c r="AJ80" s="123">
        <v>0</v>
      </c>
      <c r="AK80" s="87"/>
      <c r="AL80" s="87">
        <f>INDEX(章节关卡!$F$6:$F$34,芦花古楼!AI80)*芦花古楼!AJ80</f>
        <v>0</v>
      </c>
      <c r="AM80" s="22">
        <f t="shared" si="29"/>
        <v>95</v>
      </c>
      <c r="AN80" s="22">
        <f t="shared" si="30"/>
        <v>95</v>
      </c>
      <c r="AO80" s="14">
        <f>INDEX(章节关卡!$H$6:$H$34,芦花古楼!AI80)*芦花古楼!AJ80</f>
        <v>0</v>
      </c>
      <c r="AP80" s="14">
        <v>200</v>
      </c>
      <c r="AS80" s="18">
        <v>75</v>
      </c>
      <c r="AT80" s="87">
        <v>26</v>
      </c>
      <c r="AV80" s="18">
        <v>75</v>
      </c>
      <c r="AW80" s="87">
        <v>29</v>
      </c>
      <c r="AY80" s="18">
        <v>75</v>
      </c>
      <c r="AZ80" s="18">
        <v>29</v>
      </c>
      <c r="BB80" s="18">
        <v>75</v>
      </c>
      <c r="BC80" s="18">
        <v>29</v>
      </c>
      <c r="BF80" s="18">
        <v>75</v>
      </c>
      <c r="BG80" s="14">
        <f t="shared" si="31"/>
        <v>0</v>
      </c>
      <c r="BH80" s="14">
        <f t="shared" si="32"/>
        <v>480</v>
      </c>
      <c r="BI80" s="14">
        <f t="shared" si="33"/>
        <v>0</v>
      </c>
      <c r="BJ80" s="14">
        <f t="shared" si="34"/>
        <v>1200</v>
      </c>
      <c r="BK80" s="14">
        <f t="shared" si="35"/>
        <v>480</v>
      </c>
      <c r="BL80" s="14">
        <f t="shared" si="36"/>
        <v>960</v>
      </c>
      <c r="CJ80" s="52">
        <v>76</v>
      </c>
      <c r="CK80" s="52">
        <v>1</v>
      </c>
      <c r="CL80" s="52" t="s">
        <v>257</v>
      </c>
      <c r="CM80" s="52">
        <v>76</v>
      </c>
      <c r="CN80" s="52"/>
      <c r="CO80" s="52"/>
      <c r="CP80" s="52"/>
      <c r="CQ80" s="52" t="s">
        <v>372</v>
      </c>
      <c r="CR80" s="52">
        <v>4320</v>
      </c>
      <c r="CS80" s="52" t="s">
        <v>373</v>
      </c>
      <c r="CT80" s="52">
        <v>80</v>
      </c>
      <c r="CU80" s="52"/>
      <c r="CV80" s="52"/>
      <c r="CW80" s="52" t="s">
        <v>373</v>
      </c>
      <c r="CX80" s="52">
        <v>95</v>
      </c>
      <c r="CY80" s="52"/>
      <c r="CZ80" s="52"/>
      <c r="DA80" s="52"/>
      <c r="DB80" s="52"/>
      <c r="DC80" s="52"/>
      <c r="DD80" s="52"/>
      <c r="DE80" s="52"/>
      <c r="DF80" s="52"/>
      <c r="DG80" s="52"/>
      <c r="DH80" s="52"/>
    </row>
    <row r="81" spans="1:112" ht="16.5" x14ac:dyDescent="0.2">
      <c r="A81" s="22">
        <v>77</v>
      </c>
      <c r="B81" s="78">
        <v>18</v>
      </c>
      <c r="C81" s="123">
        <v>0</v>
      </c>
      <c r="D81" s="87"/>
      <c r="E81" s="78">
        <f>INDEX(章节关卡!$F$6:$F$34,芦花古楼!B81)*芦花古楼!C81</f>
        <v>0</v>
      </c>
      <c r="F81" s="22">
        <f t="shared" si="22"/>
        <v>80</v>
      </c>
      <c r="G81" s="22">
        <f t="shared" si="23"/>
        <v>95</v>
      </c>
      <c r="H81" s="14">
        <f>INDEX(章节关卡!$H$6:$H$34,芦花古楼!B81)*芦花古楼!C81</f>
        <v>0</v>
      </c>
      <c r="I81" s="14">
        <v>200</v>
      </c>
      <c r="L81" s="22">
        <v>77</v>
      </c>
      <c r="M81" s="78">
        <f t="shared" si="26"/>
        <v>19</v>
      </c>
      <c r="N81" s="123">
        <v>0</v>
      </c>
      <c r="O81" s="87"/>
      <c r="P81" s="78">
        <f>INDEX(章节关卡!$F$6:$F$34,芦花古楼!M81)*芦花古楼!N81</f>
        <v>0</v>
      </c>
      <c r="Q81" s="22">
        <f t="shared" si="27"/>
        <v>85</v>
      </c>
      <c r="R81" s="22">
        <f t="shared" si="28"/>
        <v>95</v>
      </c>
      <c r="S81" s="14">
        <f>INDEX(章节关卡!$H$6:$H$34,芦花古楼!M81)*芦花古楼!N81</f>
        <v>0</v>
      </c>
      <c r="T81" s="14">
        <v>200</v>
      </c>
      <c r="W81" s="22">
        <v>77</v>
      </c>
      <c r="X81" s="46">
        <v>19</v>
      </c>
      <c r="Y81" s="123">
        <v>0</v>
      </c>
      <c r="Z81" s="87"/>
      <c r="AA81" s="87">
        <f>INDEX(章节关卡!$F$6:$F$34,芦花古楼!X81)*芦花古楼!Y81</f>
        <v>0</v>
      </c>
      <c r="AB81" s="22">
        <f t="shared" si="24"/>
        <v>90</v>
      </c>
      <c r="AC81" s="22">
        <f t="shared" si="25"/>
        <v>95</v>
      </c>
      <c r="AD81" s="14">
        <f>INDEX(章节关卡!$H$6:$H$34,芦花古楼!X81)*芦花古楼!Y81</f>
        <v>0</v>
      </c>
      <c r="AE81" s="14">
        <v>200</v>
      </c>
      <c r="AH81" s="22">
        <v>77</v>
      </c>
      <c r="AI81" s="46">
        <v>19</v>
      </c>
      <c r="AJ81" s="123">
        <v>0</v>
      </c>
      <c r="AK81" s="87"/>
      <c r="AL81" s="87">
        <f>INDEX(章节关卡!$F$6:$F$34,芦花古楼!AI81)*芦花古楼!AJ81</f>
        <v>0</v>
      </c>
      <c r="AM81" s="22">
        <f t="shared" si="29"/>
        <v>95</v>
      </c>
      <c r="AN81" s="22">
        <f t="shared" si="30"/>
        <v>95</v>
      </c>
      <c r="AO81" s="14">
        <f>INDEX(章节关卡!$H$6:$H$34,芦花古楼!AI81)*芦花古楼!AJ81</f>
        <v>0</v>
      </c>
      <c r="AP81" s="14">
        <v>200</v>
      </c>
      <c r="AS81" s="18">
        <v>76</v>
      </c>
      <c r="AT81" s="87">
        <v>26</v>
      </c>
      <c r="AV81" s="18">
        <v>76</v>
      </c>
      <c r="AW81" s="87">
        <v>29</v>
      </c>
      <c r="AY81" s="18">
        <v>76</v>
      </c>
      <c r="AZ81" s="18">
        <v>29</v>
      </c>
      <c r="BB81" s="18">
        <v>76</v>
      </c>
      <c r="BC81" s="18">
        <v>29</v>
      </c>
      <c r="BF81" s="18">
        <v>76</v>
      </c>
      <c r="BG81" s="14">
        <f t="shared" si="31"/>
        <v>0</v>
      </c>
      <c r="BH81" s="14">
        <f t="shared" si="32"/>
        <v>480</v>
      </c>
      <c r="BI81" s="14">
        <f t="shared" si="33"/>
        <v>0</v>
      </c>
      <c r="BJ81" s="14">
        <f t="shared" si="34"/>
        <v>1200</v>
      </c>
      <c r="BK81" s="14">
        <f t="shared" si="35"/>
        <v>480</v>
      </c>
      <c r="BL81" s="14">
        <f t="shared" si="36"/>
        <v>960</v>
      </c>
      <c r="CJ81" s="52">
        <v>77</v>
      </c>
      <c r="CK81" s="52">
        <v>1</v>
      </c>
      <c r="CL81" s="52" t="s">
        <v>257</v>
      </c>
      <c r="CM81" s="52">
        <v>77</v>
      </c>
      <c r="CN81" s="52"/>
      <c r="CO81" s="52"/>
      <c r="CP81" s="52"/>
      <c r="CQ81" s="52" t="s">
        <v>372</v>
      </c>
      <c r="CR81" s="52">
        <v>4320</v>
      </c>
      <c r="CS81" s="52" t="s">
        <v>373</v>
      </c>
      <c r="CT81" s="52">
        <v>80</v>
      </c>
      <c r="CU81" s="52"/>
      <c r="CV81" s="52"/>
      <c r="CW81" s="52" t="s">
        <v>373</v>
      </c>
      <c r="CX81" s="52">
        <v>95</v>
      </c>
      <c r="CY81" s="52"/>
      <c r="CZ81" s="52"/>
      <c r="DA81" s="52"/>
      <c r="DB81" s="52"/>
      <c r="DC81" s="52"/>
      <c r="DD81" s="52"/>
      <c r="DE81" s="52"/>
      <c r="DF81" s="52"/>
      <c r="DG81" s="52"/>
      <c r="DH81" s="52"/>
    </row>
    <row r="82" spans="1:112" ht="16.5" x14ac:dyDescent="0.2">
      <c r="A82" s="22">
        <v>78</v>
      </c>
      <c r="B82" s="78">
        <v>18</v>
      </c>
      <c r="C82" s="123">
        <v>0</v>
      </c>
      <c r="D82" s="87"/>
      <c r="E82" s="78">
        <f>INDEX(章节关卡!$F$6:$F$34,芦花古楼!B82)*芦花古楼!C82</f>
        <v>0</v>
      </c>
      <c r="F82" s="22">
        <f t="shared" si="22"/>
        <v>80</v>
      </c>
      <c r="G82" s="22">
        <f t="shared" si="23"/>
        <v>95</v>
      </c>
      <c r="H82" s="14">
        <f>INDEX(章节关卡!$H$6:$H$34,芦花古楼!B82)*芦花古楼!C82</f>
        <v>0</v>
      </c>
      <c r="I82" s="14">
        <v>200</v>
      </c>
      <c r="L82" s="22">
        <v>78</v>
      </c>
      <c r="M82" s="78">
        <f t="shared" si="26"/>
        <v>19</v>
      </c>
      <c r="N82" s="123">
        <v>0</v>
      </c>
      <c r="O82" s="87"/>
      <c r="P82" s="78">
        <f>INDEX(章节关卡!$F$6:$F$34,芦花古楼!M82)*芦花古楼!N82</f>
        <v>0</v>
      </c>
      <c r="Q82" s="22">
        <f t="shared" si="27"/>
        <v>85</v>
      </c>
      <c r="R82" s="22">
        <f t="shared" si="28"/>
        <v>95</v>
      </c>
      <c r="S82" s="14">
        <f>INDEX(章节关卡!$H$6:$H$34,芦花古楼!M82)*芦花古楼!N82</f>
        <v>0</v>
      </c>
      <c r="T82" s="14">
        <v>200</v>
      </c>
      <c r="W82" s="22">
        <v>78</v>
      </c>
      <c r="X82" s="46">
        <v>19</v>
      </c>
      <c r="Y82" s="123">
        <v>0</v>
      </c>
      <c r="Z82" s="87"/>
      <c r="AA82" s="87">
        <f>INDEX(章节关卡!$F$6:$F$34,芦花古楼!X82)*芦花古楼!Y82</f>
        <v>0</v>
      </c>
      <c r="AB82" s="22">
        <f t="shared" si="24"/>
        <v>90</v>
      </c>
      <c r="AC82" s="22">
        <f t="shared" si="25"/>
        <v>95</v>
      </c>
      <c r="AD82" s="14">
        <f>INDEX(章节关卡!$H$6:$H$34,芦花古楼!X82)*芦花古楼!Y82</f>
        <v>0</v>
      </c>
      <c r="AE82" s="14">
        <v>200</v>
      </c>
      <c r="AH82" s="22">
        <v>78</v>
      </c>
      <c r="AI82" s="46">
        <v>19</v>
      </c>
      <c r="AJ82" s="123">
        <v>0</v>
      </c>
      <c r="AK82" s="87"/>
      <c r="AL82" s="87">
        <f>INDEX(章节关卡!$F$6:$F$34,芦花古楼!AI82)*芦花古楼!AJ82</f>
        <v>0</v>
      </c>
      <c r="AM82" s="22">
        <f t="shared" si="29"/>
        <v>95</v>
      </c>
      <c r="AN82" s="22">
        <f t="shared" si="30"/>
        <v>95</v>
      </c>
      <c r="AO82" s="14">
        <f>INDEX(章节关卡!$H$6:$H$34,芦花古楼!AI82)*芦花古楼!AJ82</f>
        <v>0</v>
      </c>
      <c r="AP82" s="14">
        <v>200</v>
      </c>
      <c r="AS82" s="18">
        <v>77</v>
      </c>
      <c r="AT82" s="87">
        <v>27</v>
      </c>
      <c r="AV82" s="18">
        <v>77</v>
      </c>
      <c r="AW82" s="87">
        <v>30</v>
      </c>
      <c r="AY82" s="18">
        <v>77</v>
      </c>
      <c r="AZ82" s="18">
        <v>30</v>
      </c>
      <c r="BB82" s="18">
        <v>77</v>
      </c>
      <c r="BC82" s="18">
        <v>30</v>
      </c>
      <c r="BF82" s="18">
        <v>77</v>
      </c>
      <c r="BG82" s="14">
        <f t="shared" si="31"/>
        <v>0</v>
      </c>
      <c r="BH82" s="14">
        <f t="shared" si="32"/>
        <v>480</v>
      </c>
      <c r="BI82" s="14">
        <f t="shared" si="33"/>
        <v>0</v>
      </c>
      <c r="BJ82" s="14">
        <f t="shared" si="34"/>
        <v>1200</v>
      </c>
      <c r="BK82" s="14">
        <f t="shared" si="35"/>
        <v>480</v>
      </c>
      <c r="BL82" s="14">
        <f t="shared" si="36"/>
        <v>960</v>
      </c>
      <c r="CJ82" s="52">
        <v>78</v>
      </c>
      <c r="CK82" s="52">
        <v>1</v>
      </c>
      <c r="CL82" s="52" t="s">
        <v>257</v>
      </c>
      <c r="CM82" s="52">
        <v>78</v>
      </c>
      <c r="CN82" s="52"/>
      <c r="CO82" s="52"/>
      <c r="CP82" s="52"/>
      <c r="CQ82" s="52" t="s">
        <v>372</v>
      </c>
      <c r="CR82" s="52">
        <v>4320</v>
      </c>
      <c r="CS82" s="52" t="s">
        <v>373</v>
      </c>
      <c r="CT82" s="52">
        <v>80</v>
      </c>
      <c r="CU82" s="52"/>
      <c r="CV82" s="52"/>
      <c r="CW82" s="52" t="s">
        <v>373</v>
      </c>
      <c r="CX82" s="52">
        <v>95</v>
      </c>
      <c r="CY82" s="52"/>
      <c r="CZ82" s="52"/>
      <c r="DA82" s="52"/>
      <c r="DB82" s="52"/>
      <c r="DC82" s="52"/>
      <c r="DD82" s="52"/>
      <c r="DE82" s="52"/>
      <c r="DF82" s="52"/>
      <c r="DG82" s="52"/>
      <c r="DH82" s="52"/>
    </row>
    <row r="83" spans="1:112" ht="16.5" x14ac:dyDescent="0.2">
      <c r="A83" s="22">
        <v>79</v>
      </c>
      <c r="B83" s="78">
        <v>18</v>
      </c>
      <c r="C83" s="123">
        <v>0</v>
      </c>
      <c r="D83" s="87"/>
      <c r="E83" s="78">
        <f>INDEX(章节关卡!$F$6:$F$34,芦花古楼!B83)*芦花古楼!C83</f>
        <v>0</v>
      </c>
      <c r="F83" s="22">
        <f t="shared" si="22"/>
        <v>80</v>
      </c>
      <c r="G83" s="22">
        <f t="shared" si="23"/>
        <v>95</v>
      </c>
      <c r="H83" s="14">
        <f>INDEX(章节关卡!$H$6:$H$34,芦花古楼!B83)*芦花古楼!C83</f>
        <v>0</v>
      </c>
      <c r="I83" s="14">
        <v>200</v>
      </c>
      <c r="L83" s="22">
        <v>79</v>
      </c>
      <c r="M83" s="78">
        <f t="shared" si="26"/>
        <v>19</v>
      </c>
      <c r="N83" s="123">
        <v>0</v>
      </c>
      <c r="O83" s="87"/>
      <c r="P83" s="78">
        <f>INDEX(章节关卡!$F$6:$F$34,芦花古楼!M83)*芦花古楼!N83</f>
        <v>0</v>
      </c>
      <c r="Q83" s="22">
        <f t="shared" si="27"/>
        <v>85</v>
      </c>
      <c r="R83" s="22">
        <f t="shared" si="28"/>
        <v>95</v>
      </c>
      <c r="S83" s="14">
        <f>INDEX(章节关卡!$H$6:$H$34,芦花古楼!M83)*芦花古楼!N83</f>
        <v>0</v>
      </c>
      <c r="T83" s="14">
        <v>200</v>
      </c>
      <c r="W83" s="22">
        <v>79</v>
      </c>
      <c r="X83" s="46">
        <v>19</v>
      </c>
      <c r="Y83" s="123">
        <v>0</v>
      </c>
      <c r="Z83" s="87"/>
      <c r="AA83" s="87">
        <f>INDEX(章节关卡!$F$6:$F$34,芦花古楼!X83)*芦花古楼!Y83</f>
        <v>0</v>
      </c>
      <c r="AB83" s="22">
        <f t="shared" si="24"/>
        <v>90</v>
      </c>
      <c r="AC83" s="22">
        <f t="shared" si="25"/>
        <v>95</v>
      </c>
      <c r="AD83" s="14">
        <f>INDEX(章节关卡!$H$6:$H$34,芦花古楼!X83)*芦花古楼!Y83</f>
        <v>0</v>
      </c>
      <c r="AE83" s="14">
        <v>200</v>
      </c>
      <c r="AH83" s="22">
        <v>79</v>
      </c>
      <c r="AI83" s="46">
        <v>19</v>
      </c>
      <c r="AJ83" s="123">
        <v>0</v>
      </c>
      <c r="AK83" s="87"/>
      <c r="AL83" s="87">
        <f>INDEX(章节关卡!$F$6:$F$34,芦花古楼!AI83)*芦花古楼!AJ83</f>
        <v>0</v>
      </c>
      <c r="AM83" s="22">
        <f t="shared" si="29"/>
        <v>95</v>
      </c>
      <c r="AN83" s="22">
        <f t="shared" si="30"/>
        <v>95</v>
      </c>
      <c r="AO83" s="14">
        <f>INDEX(章节关卡!$H$6:$H$34,芦花古楼!AI83)*芦花古楼!AJ83</f>
        <v>0</v>
      </c>
      <c r="AP83" s="14">
        <v>200</v>
      </c>
      <c r="AS83" s="18">
        <v>78</v>
      </c>
      <c r="AT83" s="87">
        <v>27</v>
      </c>
      <c r="AV83" s="18">
        <v>78</v>
      </c>
      <c r="AW83" s="87">
        <v>30</v>
      </c>
      <c r="AY83" s="18">
        <v>78</v>
      </c>
      <c r="AZ83" s="18">
        <v>30</v>
      </c>
      <c r="BB83" s="18">
        <v>78</v>
      </c>
      <c r="BC83" s="18">
        <v>30</v>
      </c>
      <c r="BF83" s="18">
        <v>78</v>
      </c>
      <c r="BG83" s="14">
        <f t="shared" si="31"/>
        <v>0</v>
      </c>
      <c r="BH83" s="14">
        <f t="shared" si="32"/>
        <v>480</v>
      </c>
      <c r="BI83" s="14">
        <f t="shared" si="33"/>
        <v>0</v>
      </c>
      <c r="BJ83" s="14">
        <f t="shared" si="34"/>
        <v>1200</v>
      </c>
      <c r="BK83" s="14">
        <f t="shared" si="35"/>
        <v>480</v>
      </c>
      <c r="BL83" s="14">
        <f t="shared" si="36"/>
        <v>960</v>
      </c>
      <c r="CJ83" s="52">
        <v>79</v>
      </c>
      <c r="CK83" s="52">
        <v>1</v>
      </c>
      <c r="CL83" s="52" t="s">
        <v>257</v>
      </c>
      <c r="CM83" s="52">
        <v>79</v>
      </c>
      <c r="CN83" s="52"/>
      <c r="CO83" s="52"/>
      <c r="CP83" s="52"/>
      <c r="CQ83" s="52" t="s">
        <v>372</v>
      </c>
      <c r="CR83" s="52">
        <v>4320</v>
      </c>
      <c r="CS83" s="52" t="s">
        <v>373</v>
      </c>
      <c r="CT83" s="52">
        <v>80</v>
      </c>
      <c r="CU83" s="52"/>
      <c r="CV83" s="52"/>
      <c r="CW83" s="52" t="s">
        <v>373</v>
      </c>
      <c r="CX83" s="52">
        <v>95</v>
      </c>
      <c r="CY83" s="52"/>
      <c r="CZ83" s="52"/>
      <c r="DA83" s="52"/>
      <c r="DB83" s="52"/>
      <c r="DC83" s="52"/>
      <c r="DD83" s="52"/>
      <c r="DE83" s="52"/>
      <c r="DF83" s="52"/>
      <c r="DG83" s="52"/>
      <c r="DH83" s="52"/>
    </row>
    <row r="84" spans="1:112" ht="16.5" x14ac:dyDescent="0.2">
      <c r="A84" s="22">
        <v>80</v>
      </c>
      <c r="B84" s="78">
        <v>18</v>
      </c>
      <c r="C84" s="123">
        <v>0</v>
      </c>
      <c r="D84" s="87"/>
      <c r="E84" s="78">
        <f>INDEX(章节关卡!$F$6:$F$34,芦花古楼!B84)*芦花古楼!C84</f>
        <v>0</v>
      </c>
      <c r="F84" s="22">
        <f t="shared" si="22"/>
        <v>80</v>
      </c>
      <c r="G84" s="22">
        <f t="shared" si="23"/>
        <v>100</v>
      </c>
      <c r="H84" s="14">
        <f>INDEX(章节关卡!$H$6:$H$34,芦花古楼!B84)*芦花古楼!C84</f>
        <v>0</v>
      </c>
      <c r="I84" s="14">
        <v>250</v>
      </c>
      <c r="L84" s="22">
        <v>80</v>
      </c>
      <c r="M84" s="78">
        <f t="shared" si="26"/>
        <v>19</v>
      </c>
      <c r="N84" s="123">
        <v>0</v>
      </c>
      <c r="O84" s="87"/>
      <c r="P84" s="78">
        <f>INDEX(章节关卡!$F$6:$F$34,芦花古楼!M84)*芦花古楼!N84</f>
        <v>0</v>
      </c>
      <c r="Q84" s="22">
        <f t="shared" si="27"/>
        <v>85</v>
      </c>
      <c r="R84" s="22">
        <f t="shared" si="28"/>
        <v>100</v>
      </c>
      <c r="S84" s="14">
        <f>INDEX(章节关卡!$H$6:$H$34,芦花古楼!M84)*芦花古楼!N84</f>
        <v>0</v>
      </c>
      <c r="T84" s="14">
        <v>250</v>
      </c>
      <c r="W84" s="22">
        <v>80</v>
      </c>
      <c r="X84" s="24">
        <v>19</v>
      </c>
      <c r="Y84" s="123">
        <v>0</v>
      </c>
      <c r="Z84" s="87"/>
      <c r="AA84" s="87">
        <f>INDEX(章节关卡!$F$6:$F$34,芦花古楼!X84)*芦花古楼!Y84</f>
        <v>0</v>
      </c>
      <c r="AB84" s="22">
        <f t="shared" si="24"/>
        <v>90</v>
      </c>
      <c r="AC84" s="22">
        <f t="shared" si="25"/>
        <v>100</v>
      </c>
      <c r="AD84" s="14">
        <f>INDEX(章节关卡!$H$6:$H$34,芦花古楼!X84)*芦花古楼!Y84</f>
        <v>0</v>
      </c>
      <c r="AE84" s="14">
        <v>250</v>
      </c>
      <c r="AH84" s="22">
        <v>80</v>
      </c>
      <c r="AI84" s="46">
        <v>19</v>
      </c>
      <c r="AJ84" s="123">
        <v>0</v>
      </c>
      <c r="AK84" s="87"/>
      <c r="AL84" s="87">
        <f>INDEX(章节关卡!$F$6:$F$34,芦花古楼!AI84)*芦花古楼!AJ84</f>
        <v>0</v>
      </c>
      <c r="AM84" s="22">
        <f t="shared" si="29"/>
        <v>95</v>
      </c>
      <c r="AN84" s="22">
        <f t="shared" si="30"/>
        <v>100</v>
      </c>
      <c r="AO84" s="14">
        <f>INDEX(章节关卡!$H$6:$H$34,芦花古楼!AI84)*芦花古楼!AJ84</f>
        <v>0</v>
      </c>
      <c r="AP84" s="14">
        <v>250</v>
      </c>
      <c r="AS84" s="18">
        <v>79</v>
      </c>
      <c r="AT84" s="18">
        <v>28</v>
      </c>
      <c r="AV84" s="18">
        <v>79</v>
      </c>
      <c r="AW84" s="87">
        <v>31</v>
      </c>
      <c r="AY84" s="18">
        <v>79</v>
      </c>
      <c r="AZ84" s="18">
        <v>31</v>
      </c>
      <c r="BB84" s="18">
        <v>79</v>
      </c>
      <c r="BC84" s="18">
        <v>31</v>
      </c>
      <c r="BF84" s="18">
        <v>79</v>
      </c>
      <c r="BG84" s="14">
        <f t="shared" si="31"/>
        <v>0</v>
      </c>
      <c r="BH84" s="14">
        <f t="shared" si="32"/>
        <v>480</v>
      </c>
      <c r="BI84" s="14">
        <f t="shared" si="33"/>
        <v>0</v>
      </c>
      <c r="BJ84" s="14">
        <f t="shared" si="34"/>
        <v>1200</v>
      </c>
      <c r="BK84" s="14">
        <f t="shared" si="35"/>
        <v>480</v>
      </c>
      <c r="BL84" s="14">
        <f t="shared" si="36"/>
        <v>960</v>
      </c>
      <c r="CJ84" s="52">
        <v>80</v>
      </c>
      <c r="CK84" s="52">
        <v>1</v>
      </c>
      <c r="CL84" s="52" t="s">
        <v>257</v>
      </c>
      <c r="CM84" s="52">
        <v>80</v>
      </c>
      <c r="CN84" s="52"/>
      <c r="CO84" s="52"/>
      <c r="CP84" s="52"/>
      <c r="CQ84" s="52" t="s">
        <v>372</v>
      </c>
      <c r="CR84" s="52">
        <v>5400</v>
      </c>
      <c r="CS84" s="52" t="s">
        <v>373</v>
      </c>
      <c r="CT84" s="52">
        <v>80</v>
      </c>
      <c r="CU84" s="52" t="s">
        <v>272</v>
      </c>
      <c r="CV84" s="52">
        <v>2</v>
      </c>
      <c r="CW84" s="52" t="s">
        <v>373</v>
      </c>
      <c r="CX84" s="52">
        <v>100</v>
      </c>
      <c r="CY84" s="52"/>
      <c r="CZ84" s="52"/>
      <c r="DA84" s="52"/>
      <c r="DB84" s="52"/>
      <c r="DC84" s="52"/>
      <c r="DD84" s="52"/>
      <c r="DE84" s="52"/>
      <c r="DF84" s="52"/>
      <c r="DG84" s="52"/>
      <c r="DH84" s="52"/>
    </row>
    <row r="85" spans="1:112" ht="16.5" x14ac:dyDescent="0.2">
      <c r="A85" s="22">
        <v>81</v>
      </c>
      <c r="B85" s="46">
        <v>19</v>
      </c>
      <c r="C85" s="123">
        <v>0</v>
      </c>
      <c r="D85" s="87"/>
      <c r="E85" s="78">
        <f>INDEX(章节关卡!$F$6:$F$34,芦花古楼!B85)*芦花古楼!C85</f>
        <v>0</v>
      </c>
      <c r="F85" s="22">
        <f t="shared" si="22"/>
        <v>85</v>
      </c>
      <c r="G85" s="22">
        <f t="shared" si="23"/>
        <v>100</v>
      </c>
      <c r="H85" s="14">
        <f>INDEX(章节关卡!$H$6:$H$34,芦花古楼!B85)*芦花古楼!C85</f>
        <v>0</v>
      </c>
      <c r="I85" s="14">
        <v>250</v>
      </c>
      <c r="L85" s="22">
        <v>81</v>
      </c>
      <c r="M85" s="78">
        <f t="shared" si="26"/>
        <v>20</v>
      </c>
      <c r="N85" s="123">
        <v>0</v>
      </c>
      <c r="O85" s="87"/>
      <c r="P85" s="78">
        <f>INDEX(章节关卡!$F$6:$F$34,芦花古楼!M85)*芦花古楼!N85</f>
        <v>0</v>
      </c>
      <c r="Q85" s="22">
        <f t="shared" si="27"/>
        <v>90</v>
      </c>
      <c r="R85" s="22">
        <f t="shared" si="28"/>
        <v>100</v>
      </c>
      <c r="S85" s="14">
        <f>INDEX(章节关卡!$H$6:$H$34,芦花古楼!M85)*芦花古楼!N85</f>
        <v>0</v>
      </c>
      <c r="T85" s="14">
        <v>250</v>
      </c>
      <c r="W85" s="22">
        <v>81</v>
      </c>
      <c r="X85" s="46">
        <v>20</v>
      </c>
      <c r="Y85" s="123">
        <v>0</v>
      </c>
      <c r="Z85" s="87"/>
      <c r="AA85" s="87">
        <f>INDEX(章节关卡!$F$6:$F$34,芦花古楼!X85)*芦花古楼!Y85</f>
        <v>0</v>
      </c>
      <c r="AB85" s="22">
        <f t="shared" si="24"/>
        <v>95</v>
      </c>
      <c r="AC85" s="22">
        <f t="shared" si="25"/>
        <v>100</v>
      </c>
      <c r="AD85" s="14">
        <f>INDEX(章节关卡!$H$6:$H$34,芦花古楼!X85)*芦花古楼!Y85</f>
        <v>0</v>
      </c>
      <c r="AE85" s="14">
        <v>250</v>
      </c>
      <c r="AH85" s="22">
        <v>81</v>
      </c>
      <c r="AI85" s="46">
        <v>20</v>
      </c>
      <c r="AJ85" s="123">
        <v>0</v>
      </c>
      <c r="AK85" s="87"/>
      <c r="AL85" s="87">
        <f>INDEX(章节关卡!$F$6:$F$34,芦花古楼!AI85)*芦花古楼!AJ85</f>
        <v>0</v>
      </c>
      <c r="AM85" s="22">
        <f t="shared" si="29"/>
        <v>100</v>
      </c>
      <c r="AN85" s="22">
        <f t="shared" si="30"/>
        <v>100</v>
      </c>
      <c r="AO85" s="14">
        <f>INDEX(章节关卡!$H$6:$H$34,芦花古楼!AI85)*芦花古楼!AJ85</f>
        <v>0</v>
      </c>
      <c r="AP85" s="14">
        <v>250</v>
      </c>
      <c r="AS85" s="18">
        <v>80</v>
      </c>
      <c r="AT85" s="87">
        <v>28</v>
      </c>
      <c r="AV85" s="18">
        <v>80</v>
      </c>
      <c r="AW85" s="87">
        <v>31</v>
      </c>
      <c r="AY85" s="18">
        <v>80</v>
      </c>
      <c r="AZ85" s="18">
        <v>31</v>
      </c>
      <c r="BB85" s="18">
        <v>80</v>
      </c>
      <c r="BC85" s="18">
        <v>31</v>
      </c>
      <c r="BF85" s="18">
        <v>80</v>
      </c>
      <c r="BG85" s="14">
        <f t="shared" si="31"/>
        <v>0</v>
      </c>
      <c r="BH85" s="14">
        <f t="shared" si="32"/>
        <v>480</v>
      </c>
      <c r="BI85" s="14">
        <f t="shared" si="33"/>
        <v>0</v>
      </c>
      <c r="BJ85" s="14">
        <f t="shared" si="34"/>
        <v>1200</v>
      </c>
      <c r="BK85" s="14">
        <f t="shared" si="35"/>
        <v>480</v>
      </c>
      <c r="BL85" s="14">
        <f t="shared" si="36"/>
        <v>960</v>
      </c>
      <c r="CJ85" s="52">
        <v>81</v>
      </c>
      <c r="CK85" s="52">
        <v>1</v>
      </c>
      <c r="CL85" s="52" t="s">
        <v>257</v>
      </c>
      <c r="CM85" s="52">
        <v>81</v>
      </c>
      <c r="CN85" s="52"/>
      <c r="CO85" s="52"/>
      <c r="CP85" s="52"/>
      <c r="CQ85" s="52" t="s">
        <v>372</v>
      </c>
      <c r="CR85" s="52">
        <v>5400</v>
      </c>
      <c r="CS85" s="52" t="s">
        <v>373</v>
      </c>
      <c r="CT85" s="52">
        <v>85</v>
      </c>
      <c r="CU85" s="52"/>
      <c r="CV85" s="52"/>
      <c r="CW85" s="52" t="s">
        <v>373</v>
      </c>
      <c r="CX85" s="52">
        <v>100</v>
      </c>
      <c r="CY85" s="52"/>
      <c r="CZ85" s="52"/>
      <c r="DA85" s="52"/>
      <c r="DB85" s="52"/>
      <c r="DC85" s="52"/>
      <c r="DD85" s="52"/>
      <c r="DE85" s="52"/>
      <c r="DF85" s="52"/>
      <c r="DG85" s="52"/>
      <c r="DH85" s="52"/>
    </row>
    <row r="86" spans="1:112" ht="16.5" x14ac:dyDescent="0.2">
      <c r="A86" s="22">
        <v>82</v>
      </c>
      <c r="B86" s="78">
        <v>19</v>
      </c>
      <c r="C86" s="123">
        <v>0</v>
      </c>
      <c r="D86" s="87"/>
      <c r="E86" s="78">
        <f>INDEX(章节关卡!$F$6:$F$34,芦花古楼!B86)*芦花古楼!C86</f>
        <v>0</v>
      </c>
      <c r="F86" s="22">
        <f t="shared" si="22"/>
        <v>85</v>
      </c>
      <c r="G86" s="22">
        <f t="shared" si="23"/>
        <v>100</v>
      </c>
      <c r="H86" s="14">
        <f>INDEX(章节关卡!$H$6:$H$34,芦花古楼!B86)*芦花古楼!C86</f>
        <v>0</v>
      </c>
      <c r="I86" s="14">
        <v>250</v>
      </c>
      <c r="L86" s="22">
        <v>82</v>
      </c>
      <c r="M86" s="78">
        <f t="shared" si="26"/>
        <v>20</v>
      </c>
      <c r="N86" s="123">
        <v>0</v>
      </c>
      <c r="O86" s="87"/>
      <c r="P86" s="78">
        <f>INDEX(章节关卡!$F$6:$F$34,芦花古楼!M86)*芦花古楼!N86</f>
        <v>0</v>
      </c>
      <c r="Q86" s="22">
        <f t="shared" si="27"/>
        <v>90</v>
      </c>
      <c r="R86" s="22">
        <f t="shared" si="28"/>
        <v>100</v>
      </c>
      <c r="S86" s="14">
        <f>INDEX(章节关卡!$H$6:$H$34,芦花古楼!M86)*芦花古楼!N86</f>
        <v>0</v>
      </c>
      <c r="T86" s="14">
        <v>250</v>
      </c>
      <c r="W86" s="22">
        <v>82</v>
      </c>
      <c r="X86" s="46">
        <v>20</v>
      </c>
      <c r="Y86" s="123">
        <v>0</v>
      </c>
      <c r="Z86" s="87"/>
      <c r="AA86" s="87">
        <f>INDEX(章节关卡!$F$6:$F$34,芦花古楼!X86)*芦花古楼!Y86</f>
        <v>0</v>
      </c>
      <c r="AB86" s="22">
        <f t="shared" si="24"/>
        <v>95</v>
      </c>
      <c r="AC86" s="22">
        <f t="shared" si="25"/>
        <v>100</v>
      </c>
      <c r="AD86" s="14">
        <f>INDEX(章节关卡!$H$6:$H$34,芦花古楼!X86)*芦花古楼!Y86</f>
        <v>0</v>
      </c>
      <c r="AE86" s="14">
        <v>250</v>
      </c>
      <c r="AH86" s="22">
        <v>82</v>
      </c>
      <c r="AI86" s="46">
        <v>20</v>
      </c>
      <c r="AJ86" s="123">
        <v>0</v>
      </c>
      <c r="AK86" s="87"/>
      <c r="AL86" s="87">
        <f>INDEX(章节关卡!$F$6:$F$34,芦花古楼!AI86)*芦花古楼!AJ86</f>
        <v>0</v>
      </c>
      <c r="AM86" s="22">
        <f t="shared" si="29"/>
        <v>100</v>
      </c>
      <c r="AN86" s="22">
        <f t="shared" si="30"/>
        <v>100</v>
      </c>
      <c r="AO86" s="14">
        <f>INDEX(章节关卡!$H$6:$H$34,芦花古楼!AI86)*芦花古楼!AJ86</f>
        <v>0</v>
      </c>
      <c r="AP86" s="14">
        <v>250</v>
      </c>
      <c r="AS86" s="18">
        <v>81</v>
      </c>
      <c r="AT86" s="87">
        <v>29</v>
      </c>
      <c r="AV86" s="18">
        <v>81</v>
      </c>
      <c r="AW86" s="87">
        <v>32</v>
      </c>
      <c r="AY86" s="18">
        <v>81</v>
      </c>
      <c r="AZ86" s="18">
        <v>32</v>
      </c>
      <c r="BB86" s="18">
        <v>81</v>
      </c>
      <c r="BC86" s="18">
        <v>32</v>
      </c>
      <c r="BF86" s="18">
        <v>81</v>
      </c>
      <c r="BG86" s="14">
        <f t="shared" si="31"/>
        <v>0</v>
      </c>
      <c r="BH86" s="14">
        <f t="shared" si="32"/>
        <v>480</v>
      </c>
      <c r="BI86" s="14">
        <f t="shared" si="33"/>
        <v>0</v>
      </c>
      <c r="BJ86" s="14">
        <f t="shared" si="34"/>
        <v>1200</v>
      </c>
      <c r="BK86" s="14">
        <f t="shared" si="35"/>
        <v>480</v>
      </c>
      <c r="BL86" s="14">
        <f t="shared" si="36"/>
        <v>960</v>
      </c>
      <c r="CJ86" s="52">
        <v>82</v>
      </c>
      <c r="CK86" s="52">
        <v>1</v>
      </c>
      <c r="CL86" s="52" t="s">
        <v>257</v>
      </c>
      <c r="CM86" s="52">
        <v>82</v>
      </c>
      <c r="CN86" s="52"/>
      <c r="CO86" s="52"/>
      <c r="CP86" s="52"/>
      <c r="CQ86" s="52" t="s">
        <v>372</v>
      </c>
      <c r="CR86" s="52">
        <v>5400</v>
      </c>
      <c r="CS86" s="52" t="s">
        <v>373</v>
      </c>
      <c r="CT86" s="52">
        <v>85</v>
      </c>
      <c r="CU86" s="52"/>
      <c r="CV86" s="52"/>
      <c r="CW86" s="52" t="s">
        <v>373</v>
      </c>
      <c r="CX86" s="52">
        <v>100</v>
      </c>
      <c r="CY86" s="52"/>
      <c r="CZ86" s="52"/>
      <c r="DA86" s="52"/>
      <c r="DB86" s="52"/>
      <c r="DC86" s="52"/>
      <c r="DD86" s="52"/>
      <c r="DE86" s="52"/>
      <c r="DF86" s="52"/>
      <c r="DG86" s="52"/>
      <c r="DH86" s="52"/>
    </row>
    <row r="87" spans="1:112" ht="16.5" x14ac:dyDescent="0.2">
      <c r="A87" s="22">
        <v>83</v>
      </c>
      <c r="B87" s="78">
        <v>19</v>
      </c>
      <c r="C87" s="123">
        <v>0</v>
      </c>
      <c r="D87" s="87"/>
      <c r="E87" s="78">
        <f>INDEX(章节关卡!$F$6:$F$34,芦花古楼!B87)*芦花古楼!C87</f>
        <v>0</v>
      </c>
      <c r="F87" s="22">
        <f t="shared" si="22"/>
        <v>85</v>
      </c>
      <c r="G87" s="22">
        <f t="shared" si="23"/>
        <v>100</v>
      </c>
      <c r="H87" s="14">
        <f>INDEX(章节关卡!$H$6:$H$34,芦花古楼!B87)*芦花古楼!C87</f>
        <v>0</v>
      </c>
      <c r="I87" s="14">
        <v>250</v>
      </c>
      <c r="L87" s="22">
        <v>83</v>
      </c>
      <c r="M87" s="78">
        <f t="shared" si="26"/>
        <v>20</v>
      </c>
      <c r="N87" s="123">
        <v>0</v>
      </c>
      <c r="O87" s="87"/>
      <c r="P87" s="78">
        <f>INDEX(章节关卡!$F$6:$F$34,芦花古楼!M87)*芦花古楼!N87</f>
        <v>0</v>
      </c>
      <c r="Q87" s="22">
        <f t="shared" si="27"/>
        <v>90</v>
      </c>
      <c r="R87" s="22">
        <f t="shared" si="28"/>
        <v>100</v>
      </c>
      <c r="S87" s="14">
        <f>INDEX(章节关卡!$H$6:$H$34,芦花古楼!M87)*芦花古楼!N87</f>
        <v>0</v>
      </c>
      <c r="T87" s="14">
        <v>250</v>
      </c>
      <c r="W87" s="22">
        <v>83</v>
      </c>
      <c r="X87" s="46">
        <v>20</v>
      </c>
      <c r="Y87" s="123">
        <v>0</v>
      </c>
      <c r="Z87" s="87"/>
      <c r="AA87" s="87">
        <f>INDEX(章节关卡!$F$6:$F$34,芦花古楼!X87)*芦花古楼!Y87</f>
        <v>0</v>
      </c>
      <c r="AB87" s="22">
        <f t="shared" si="24"/>
        <v>95</v>
      </c>
      <c r="AC87" s="22">
        <f t="shared" si="25"/>
        <v>100</v>
      </c>
      <c r="AD87" s="14">
        <f>INDEX(章节关卡!$H$6:$H$34,芦花古楼!X87)*芦花古楼!Y87</f>
        <v>0</v>
      </c>
      <c r="AE87" s="14">
        <v>250</v>
      </c>
      <c r="AH87" s="22">
        <v>83</v>
      </c>
      <c r="AI87" s="46">
        <v>20</v>
      </c>
      <c r="AJ87" s="123">
        <v>0</v>
      </c>
      <c r="AK87" s="87"/>
      <c r="AL87" s="87">
        <f>INDEX(章节关卡!$F$6:$F$34,芦花古楼!AI87)*芦花古楼!AJ87</f>
        <v>0</v>
      </c>
      <c r="AM87" s="22">
        <f t="shared" si="29"/>
        <v>100</v>
      </c>
      <c r="AN87" s="22">
        <f t="shared" si="30"/>
        <v>100</v>
      </c>
      <c r="AO87" s="14">
        <f>INDEX(章节关卡!$H$6:$H$34,芦花古楼!AI87)*芦花古楼!AJ87</f>
        <v>0</v>
      </c>
      <c r="AP87" s="14">
        <v>250</v>
      </c>
      <c r="AS87" s="18">
        <v>82</v>
      </c>
      <c r="AT87" s="87">
        <v>29</v>
      </c>
      <c r="AV87" s="18">
        <v>82</v>
      </c>
      <c r="AW87" s="87">
        <v>32</v>
      </c>
      <c r="AY87" s="18">
        <v>82</v>
      </c>
      <c r="AZ87" s="18">
        <v>32</v>
      </c>
      <c r="BB87" s="18">
        <v>82</v>
      </c>
      <c r="BC87" s="18">
        <v>32</v>
      </c>
      <c r="BF87" s="18">
        <v>82</v>
      </c>
      <c r="BG87" s="14">
        <f t="shared" si="31"/>
        <v>0</v>
      </c>
      <c r="BH87" s="14">
        <f t="shared" si="32"/>
        <v>480</v>
      </c>
      <c r="BI87" s="14">
        <f t="shared" si="33"/>
        <v>0</v>
      </c>
      <c r="BJ87" s="14">
        <f t="shared" si="34"/>
        <v>1200</v>
      </c>
      <c r="BK87" s="14">
        <f t="shared" si="35"/>
        <v>480</v>
      </c>
      <c r="BL87" s="14">
        <f t="shared" si="36"/>
        <v>960</v>
      </c>
      <c r="CJ87" s="52">
        <v>83</v>
      </c>
      <c r="CK87" s="52">
        <v>1</v>
      </c>
      <c r="CL87" s="52" t="s">
        <v>257</v>
      </c>
      <c r="CM87" s="52">
        <v>83</v>
      </c>
      <c r="CN87" s="52"/>
      <c r="CO87" s="52"/>
      <c r="CP87" s="52"/>
      <c r="CQ87" s="52" t="s">
        <v>372</v>
      </c>
      <c r="CR87" s="52">
        <v>5400</v>
      </c>
      <c r="CS87" s="52" t="s">
        <v>373</v>
      </c>
      <c r="CT87" s="52">
        <v>85</v>
      </c>
      <c r="CU87" s="52"/>
      <c r="CV87" s="52"/>
      <c r="CW87" s="52" t="s">
        <v>373</v>
      </c>
      <c r="CX87" s="52">
        <v>100</v>
      </c>
      <c r="CY87" s="52"/>
      <c r="CZ87" s="52"/>
      <c r="DA87" s="52"/>
      <c r="DB87" s="52"/>
      <c r="DC87" s="52"/>
      <c r="DD87" s="52"/>
      <c r="DE87" s="52"/>
      <c r="DF87" s="52"/>
      <c r="DG87" s="52"/>
      <c r="DH87" s="52"/>
    </row>
    <row r="88" spans="1:112" ht="16.5" x14ac:dyDescent="0.2">
      <c r="A88" s="22">
        <v>84</v>
      </c>
      <c r="B88" s="78">
        <v>19</v>
      </c>
      <c r="C88" s="123">
        <v>0</v>
      </c>
      <c r="D88" s="87"/>
      <c r="E88" s="78">
        <f>INDEX(章节关卡!$F$6:$F$34,芦花古楼!B88)*芦花古楼!C88</f>
        <v>0</v>
      </c>
      <c r="F88" s="22">
        <f t="shared" si="22"/>
        <v>85</v>
      </c>
      <c r="G88" s="22">
        <f t="shared" si="23"/>
        <v>100</v>
      </c>
      <c r="H88" s="14">
        <f>INDEX(章节关卡!$H$6:$H$34,芦花古楼!B88)*芦花古楼!C88</f>
        <v>0</v>
      </c>
      <c r="I88" s="14">
        <v>250</v>
      </c>
      <c r="L88" s="22">
        <v>84</v>
      </c>
      <c r="M88" s="78">
        <f t="shared" si="26"/>
        <v>20</v>
      </c>
      <c r="N88" s="123">
        <v>0</v>
      </c>
      <c r="O88" s="87"/>
      <c r="P88" s="78">
        <f>INDEX(章节关卡!$F$6:$F$34,芦花古楼!M88)*芦花古楼!N88</f>
        <v>0</v>
      </c>
      <c r="Q88" s="22">
        <f t="shared" si="27"/>
        <v>90</v>
      </c>
      <c r="R88" s="22">
        <f t="shared" si="28"/>
        <v>100</v>
      </c>
      <c r="S88" s="14">
        <f>INDEX(章节关卡!$H$6:$H$34,芦花古楼!M88)*芦花古楼!N88</f>
        <v>0</v>
      </c>
      <c r="T88" s="14">
        <v>250</v>
      </c>
      <c r="W88" s="22">
        <v>84</v>
      </c>
      <c r="X88" s="46">
        <v>20</v>
      </c>
      <c r="Y88" s="123">
        <v>0</v>
      </c>
      <c r="Z88" s="87"/>
      <c r="AA88" s="87">
        <f>INDEX(章节关卡!$F$6:$F$34,芦花古楼!X88)*芦花古楼!Y88</f>
        <v>0</v>
      </c>
      <c r="AB88" s="22">
        <f t="shared" si="24"/>
        <v>95</v>
      </c>
      <c r="AC88" s="22">
        <f t="shared" si="25"/>
        <v>100</v>
      </c>
      <c r="AD88" s="14">
        <f>INDEX(章节关卡!$H$6:$H$34,芦花古楼!X88)*芦花古楼!Y88</f>
        <v>0</v>
      </c>
      <c r="AE88" s="14">
        <v>250</v>
      </c>
      <c r="AH88" s="22">
        <v>84</v>
      </c>
      <c r="AI88" s="46">
        <v>20</v>
      </c>
      <c r="AJ88" s="123">
        <v>0</v>
      </c>
      <c r="AK88" s="87"/>
      <c r="AL88" s="87">
        <f>INDEX(章节关卡!$F$6:$F$34,芦花古楼!AI88)*芦花古楼!AJ88</f>
        <v>0</v>
      </c>
      <c r="AM88" s="22">
        <f t="shared" si="29"/>
        <v>100</v>
      </c>
      <c r="AN88" s="22">
        <f t="shared" si="30"/>
        <v>100</v>
      </c>
      <c r="AO88" s="14">
        <f>INDEX(章节关卡!$H$6:$H$34,芦花古楼!AI88)*芦花古楼!AJ88</f>
        <v>0</v>
      </c>
      <c r="AP88" s="14">
        <v>250</v>
      </c>
      <c r="AS88" s="18">
        <v>83</v>
      </c>
      <c r="AT88" s="87">
        <v>30</v>
      </c>
      <c r="AV88" s="18">
        <v>83</v>
      </c>
      <c r="AW88" s="87">
        <v>33</v>
      </c>
      <c r="AY88" s="18">
        <v>83</v>
      </c>
      <c r="AZ88" s="18">
        <v>33</v>
      </c>
      <c r="BB88" s="18">
        <v>83</v>
      </c>
      <c r="BC88" s="18">
        <v>33</v>
      </c>
      <c r="BF88" s="18">
        <v>83</v>
      </c>
      <c r="BG88" s="14">
        <f t="shared" si="31"/>
        <v>0</v>
      </c>
      <c r="BH88" s="14">
        <f t="shared" si="32"/>
        <v>480</v>
      </c>
      <c r="BI88" s="14">
        <f t="shared" si="33"/>
        <v>0</v>
      </c>
      <c r="BJ88" s="14">
        <f t="shared" si="34"/>
        <v>1200</v>
      </c>
      <c r="BK88" s="14">
        <f t="shared" si="35"/>
        <v>480</v>
      </c>
      <c r="BL88" s="14">
        <f t="shared" si="36"/>
        <v>960</v>
      </c>
      <c r="CJ88" s="52">
        <v>84</v>
      </c>
      <c r="CK88" s="52">
        <v>1</v>
      </c>
      <c r="CL88" s="52" t="s">
        <v>257</v>
      </c>
      <c r="CM88" s="52">
        <v>84</v>
      </c>
      <c r="CN88" s="52"/>
      <c r="CO88" s="52"/>
      <c r="CP88" s="52"/>
      <c r="CQ88" s="52" t="s">
        <v>372</v>
      </c>
      <c r="CR88" s="52">
        <v>5400</v>
      </c>
      <c r="CS88" s="52" t="s">
        <v>373</v>
      </c>
      <c r="CT88" s="52">
        <v>85</v>
      </c>
      <c r="CU88" s="52"/>
      <c r="CV88" s="52"/>
      <c r="CW88" s="52" t="s">
        <v>373</v>
      </c>
      <c r="CX88" s="52">
        <v>100</v>
      </c>
      <c r="CY88" s="52"/>
      <c r="CZ88" s="52"/>
      <c r="DA88" s="52"/>
      <c r="DB88" s="52"/>
      <c r="DC88" s="52"/>
      <c r="DD88" s="52"/>
      <c r="DE88" s="52"/>
      <c r="DF88" s="52"/>
      <c r="DG88" s="52"/>
      <c r="DH88" s="52"/>
    </row>
    <row r="89" spans="1:112" ht="16.5" x14ac:dyDescent="0.2">
      <c r="A89" s="22">
        <v>85</v>
      </c>
      <c r="B89" s="78">
        <v>19</v>
      </c>
      <c r="C89" s="123">
        <v>0</v>
      </c>
      <c r="D89" s="87"/>
      <c r="E89" s="78">
        <f>INDEX(章节关卡!$F$6:$F$34,芦花古楼!B89)*芦花古楼!C89</f>
        <v>0</v>
      </c>
      <c r="F89" s="22">
        <f t="shared" si="22"/>
        <v>85</v>
      </c>
      <c r="G89" s="22">
        <f t="shared" si="23"/>
        <v>105</v>
      </c>
      <c r="H89" s="14">
        <f>INDEX(章节关卡!$H$6:$H$34,芦花古楼!B89)*芦花古楼!C89</f>
        <v>0</v>
      </c>
      <c r="I89" s="14">
        <v>250</v>
      </c>
      <c r="L89" s="22">
        <v>85</v>
      </c>
      <c r="M89" s="78">
        <f t="shared" si="26"/>
        <v>20</v>
      </c>
      <c r="N89" s="123">
        <v>0</v>
      </c>
      <c r="O89" s="87"/>
      <c r="P89" s="78">
        <f>INDEX(章节关卡!$F$6:$F$34,芦花古楼!M89)*芦花古楼!N89</f>
        <v>0</v>
      </c>
      <c r="Q89" s="22">
        <f t="shared" si="27"/>
        <v>90</v>
      </c>
      <c r="R89" s="22">
        <f t="shared" si="28"/>
        <v>105</v>
      </c>
      <c r="S89" s="14">
        <f>INDEX(章节关卡!$H$6:$H$34,芦花古楼!M89)*芦花古楼!N89</f>
        <v>0</v>
      </c>
      <c r="T89" s="14">
        <v>250</v>
      </c>
      <c r="W89" s="22">
        <v>85</v>
      </c>
      <c r="X89" s="46">
        <v>20</v>
      </c>
      <c r="Y89" s="123">
        <v>0</v>
      </c>
      <c r="Z89" s="87"/>
      <c r="AA89" s="87">
        <f>INDEX(章节关卡!$F$6:$F$34,芦花古楼!X89)*芦花古楼!Y89</f>
        <v>0</v>
      </c>
      <c r="AB89" s="22">
        <f t="shared" si="24"/>
        <v>95</v>
      </c>
      <c r="AC89" s="22">
        <f t="shared" si="25"/>
        <v>105</v>
      </c>
      <c r="AD89" s="14">
        <f>INDEX(章节关卡!$H$6:$H$34,芦花古楼!X89)*芦花古楼!Y89</f>
        <v>0</v>
      </c>
      <c r="AE89" s="14">
        <v>250</v>
      </c>
      <c r="AH89" s="22">
        <v>85</v>
      </c>
      <c r="AI89" s="46">
        <v>20</v>
      </c>
      <c r="AJ89" s="123">
        <v>0</v>
      </c>
      <c r="AK89" s="87"/>
      <c r="AL89" s="87">
        <f>INDEX(章节关卡!$F$6:$F$34,芦花古楼!AI89)*芦花古楼!AJ89</f>
        <v>0</v>
      </c>
      <c r="AM89" s="22">
        <f t="shared" si="29"/>
        <v>100</v>
      </c>
      <c r="AN89" s="22">
        <f t="shared" si="30"/>
        <v>105</v>
      </c>
      <c r="AO89" s="14">
        <f>INDEX(章节关卡!$H$6:$H$34,芦花古楼!AI89)*芦花古楼!AJ89</f>
        <v>0</v>
      </c>
      <c r="AP89" s="14">
        <v>250</v>
      </c>
      <c r="AS89" s="18">
        <v>84</v>
      </c>
      <c r="AT89" s="87">
        <v>30</v>
      </c>
      <c r="AV89" s="18">
        <v>84</v>
      </c>
      <c r="AW89" s="87">
        <v>34</v>
      </c>
      <c r="AY89" s="18">
        <v>84</v>
      </c>
      <c r="AZ89" s="18">
        <v>34</v>
      </c>
      <c r="BB89" s="18">
        <v>84</v>
      </c>
      <c r="BC89" s="18">
        <v>34</v>
      </c>
      <c r="BF89" s="18">
        <v>84</v>
      </c>
      <c r="BG89" s="14">
        <f t="shared" si="31"/>
        <v>0</v>
      </c>
      <c r="BH89" s="14">
        <f t="shared" si="32"/>
        <v>480</v>
      </c>
      <c r="BI89" s="14">
        <f t="shared" si="33"/>
        <v>0</v>
      </c>
      <c r="BJ89" s="14">
        <f t="shared" si="34"/>
        <v>1200</v>
      </c>
      <c r="BK89" s="14">
        <f t="shared" si="35"/>
        <v>480</v>
      </c>
      <c r="BL89" s="14">
        <f t="shared" si="36"/>
        <v>960</v>
      </c>
      <c r="CJ89" s="52">
        <v>85</v>
      </c>
      <c r="CK89" s="52">
        <v>1</v>
      </c>
      <c r="CL89" s="52" t="s">
        <v>257</v>
      </c>
      <c r="CM89" s="52">
        <v>85</v>
      </c>
      <c r="CN89" s="52"/>
      <c r="CO89" s="52"/>
      <c r="CP89" s="52"/>
      <c r="CQ89" s="52" t="s">
        <v>372</v>
      </c>
      <c r="CR89" s="52">
        <v>5400</v>
      </c>
      <c r="CS89" s="52" t="s">
        <v>373</v>
      </c>
      <c r="CT89" s="52">
        <v>85</v>
      </c>
      <c r="CU89" s="52" t="s">
        <v>374</v>
      </c>
      <c r="CV89" s="52">
        <v>2</v>
      </c>
      <c r="CW89" s="52" t="s">
        <v>373</v>
      </c>
      <c r="CX89" s="52">
        <v>105</v>
      </c>
      <c r="CY89" s="52"/>
      <c r="CZ89" s="52"/>
      <c r="DA89" s="52"/>
      <c r="DB89" s="52"/>
      <c r="DC89" s="52"/>
      <c r="DD89" s="52"/>
      <c r="DE89" s="52"/>
      <c r="DF89" s="52"/>
      <c r="DG89" s="52"/>
      <c r="DH89" s="52"/>
    </row>
    <row r="90" spans="1:112" ht="16.5" x14ac:dyDescent="0.2">
      <c r="A90" s="22">
        <v>86</v>
      </c>
      <c r="B90" s="46">
        <v>20</v>
      </c>
      <c r="C90" s="123">
        <v>0</v>
      </c>
      <c r="D90" s="87"/>
      <c r="E90" s="78">
        <f>INDEX(章节关卡!$F$6:$F$34,芦花古楼!B90)*芦花古楼!C90</f>
        <v>0</v>
      </c>
      <c r="F90" s="22">
        <f t="shared" si="22"/>
        <v>90</v>
      </c>
      <c r="G90" s="22">
        <f t="shared" si="23"/>
        <v>105</v>
      </c>
      <c r="H90" s="14">
        <f>INDEX(章节关卡!$H$6:$H$34,芦花古楼!B90)*芦花古楼!C90</f>
        <v>0</v>
      </c>
      <c r="I90" s="14">
        <v>250</v>
      </c>
      <c r="L90" s="22">
        <v>86</v>
      </c>
      <c r="M90" s="78">
        <f t="shared" si="26"/>
        <v>21</v>
      </c>
      <c r="N90" s="123">
        <v>0</v>
      </c>
      <c r="O90" s="87"/>
      <c r="P90" s="78">
        <f>INDEX(章节关卡!$F$6:$F$34,芦花古楼!M90)*芦花古楼!N90</f>
        <v>0</v>
      </c>
      <c r="Q90" s="22">
        <f t="shared" si="27"/>
        <v>95</v>
      </c>
      <c r="R90" s="22">
        <f t="shared" si="28"/>
        <v>105</v>
      </c>
      <c r="S90" s="14">
        <f>INDEX(章节关卡!$H$6:$H$34,芦花古楼!M90)*芦花古楼!N90</f>
        <v>0</v>
      </c>
      <c r="T90" s="14">
        <v>250</v>
      </c>
      <c r="W90" s="22">
        <v>86</v>
      </c>
      <c r="X90" s="46">
        <v>21</v>
      </c>
      <c r="Y90" s="123">
        <v>0</v>
      </c>
      <c r="Z90" s="87"/>
      <c r="AA90" s="87">
        <f>INDEX(章节关卡!$F$6:$F$34,芦花古楼!X90)*芦花古楼!Y90</f>
        <v>0</v>
      </c>
      <c r="AB90" s="22">
        <f t="shared" si="24"/>
        <v>100</v>
      </c>
      <c r="AC90" s="22">
        <f t="shared" si="25"/>
        <v>105</v>
      </c>
      <c r="AD90" s="14">
        <f>INDEX(章节关卡!$H$6:$H$34,芦花古楼!X90)*芦花古楼!Y90</f>
        <v>0</v>
      </c>
      <c r="AE90" s="14">
        <v>250</v>
      </c>
      <c r="AH90" s="22">
        <v>86</v>
      </c>
      <c r="AI90" s="46">
        <v>21</v>
      </c>
      <c r="AJ90" s="123">
        <v>0</v>
      </c>
      <c r="AK90" s="87"/>
      <c r="AL90" s="87">
        <f>INDEX(章节关卡!$F$6:$F$34,芦花古楼!AI90)*芦花古楼!AJ90</f>
        <v>0</v>
      </c>
      <c r="AM90" s="22">
        <f t="shared" si="29"/>
        <v>105</v>
      </c>
      <c r="AN90" s="22">
        <f t="shared" si="30"/>
        <v>105</v>
      </c>
      <c r="AO90" s="14">
        <f>INDEX(章节关卡!$H$6:$H$34,芦花古楼!AI90)*芦花古楼!AJ90</f>
        <v>0</v>
      </c>
      <c r="AP90" s="14">
        <v>250</v>
      </c>
      <c r="AS90" s="18">
        <v>85</v>
      </c>
      <c r="AT90" s="18">
        <v>31</v>
      </c>
      <c r="AV90" s="18">
        <v>85</v>
      </c>
      <c r="AW90" s="87">
        <v>35</v>
      </c>
      <c r="AY90" s="18">
        <v>85</v>
      </c>
      <c r="AZ90" s="18">
        <v>35</v>
      </c>
      <c r="BB90" s="18">
        <v>85</v>
      </c>
      <c r="BC90" s="18">
        <v>35</v>
      </c>
      <c r="BF90" s="18">
        <v>85</v>
      </c>
      <c r="BG90" s="14">
        <f t="shared" si="31"/>
        <v>0</v>
      </c>
      <c r="BH90" s="14">
        <f t="shared" si="32"/>
        <v>480</v>
      </c>
      <c r="BI90" s="14">
        <f t="shared" si="33"/>
        <v>0</v>
      </c>
      <c r="BJ90" s="14">
        <f t="shared" si="34"/>
        <v>1200</v>
      </c>
      <c r="BK90" s="14">
        <f t="shared" si="35"/>
        <v>480</v>
      </c>
      <c r="BL90" s="14">
        <f t="shared" si="36"/>
        <v>960</v>
      </c>
      <c r="CJ90" s="52">
        <v>86</v>
      </c>
      <c r="CK90" s="52">
        <v>1</v>
      </c>
      <c r="CL90" s="52" t="s">
        <v>257</v>
      </c>
      <c r="CM90" s="52">
        <v>86</v>
      </c>
      <c r="CN90" s="52"/>
      <c r="CO90" s="52"/>
      <c r="CP90" s="52"/>
      <c r="CQ90" s="52" t="s">
        <v>372</v>
      </c>
      <c r="CR90" s="52">
        <v>5400</v>
      </c>
      <c r="CS90" s="52" t="s">
        <v>373</v>
      </c>
      <c r="CT90" s="52">
        <v>90</v>
      </c>
      <c r="CU90" s="52"/>
      <c r="CV90" s="52"/>
      <c r="CW90" s="52" t="s">
        <v>373</v>
      </c>
      <c r="CX90" s="52">
        <v>105</v>
      </c>
      <c r="CY90" s="52"/>
      <c r="CZ90" s="52"/>
      <c r="DA90" s="52"/>
      <c r="DB90" s="52"/>
      <c r="DC90" s="52"/>
      <c r="DD90" s="52"/>
      <c r="DE90" s="52"/>
      <c r="DF90" s="52"/>
      <c r="DG90" s="52"/>
      <c r="DH90" s="52"/>
    </row>
    <row r="91" spans="1:112" ht="16.5" x14ac:dyDescent="0.2">
      <c r="A91" s="22">
        <v>87</v>
      </c>
      <c r="B91" s="78">
        <v>20</v>
      </c>
      <c r="C91" s="123">
        <v>0</v>
      </c>
      <c r="D91" s="87"/>
      <c r="E91" s="78">
        <f>INDEX(章节关卡!$F$6:$F$34,芦花古楼!B91)*芦花古楼!C91</f>
        <v>0</v>
      </c>
      <c r="F91" s="22">
        <f t="shared" si="22"/>
        <v>90</v>
      </c>
      <c r="G91" s="22">
        <f t="shared" si="23"/>
        <v>105</v>
      </c>
      <c r="H91" s="14">
        <f>INDEX(章节关卡!$H$6:$H$34,芦花古楼!B91)*芦花古楼!C91</f>
        <v>0</v>
      </c>
      <c r="I91" s="14">
        <v>250</v>
      </c>
      <c r="L91" s="22">
        <v>87</v>
      </c>
      <c r="M91" s="78">
        <f t="shared" si="26"/>
        <v>21</v>
      </c>
      <c r="N91" s="123">
        <v>0</v>
      </c>
      <c r="O91" s="87"/>
      <c r="P91" s="78">
        <f>INDEX(章节关卡!$F$6:$F$34,芦花古楼!M91)*芦花古楼!N91</f>
        <v>0</v>
      </c>
      <c r="Q91" s="22">
        <f t="shared" si="27"/>
        <v>95</v>
      </c>
      <c r="R91" s="22">
        <f t="shared" si="28"/>
        <v>105</v>
      </c>
      <c r="S91" s="14">
        <f>INDEX(章节关卡!$H$6:$H$34,芦花古楼!M91)*芦花古楼!N91</f>
        <v>0</v>
      </c>
      <c r="T91" s="14">
        <v>250</v>
      </c>
      <c r="W91" s="22">
        <v>87</v>
      </c>
      <c r="X91" s="46">
        <v>21</v>
      </c>
      <c r="Y91" s="123">
        <v>0</v>
      </c>
      <c r="Z91" s="87"/>
      <c r="AA91" s="87">
        <f>INDEX(章节关卡!$F$6:$F$34,芦花古楼!X91)*芦花古楼!Y91</f>
        <v>0</v>
      </c>
      <c r="AB91" s="22">
        <f t="shared" si="24"/>
        <v>100</v>
      </c>
      <c r="AC91" s="22">
        <f t="shared" si="25"/>
        <v>105</v>
      </c>
      <c r="AD91" s="14">
        <f>INDEX(章节关卡!$H$6:$H$34,芦花古楼!X91)*芦花古楼!Y91</f>
        <v>0</v>
      </c>
      <c r="AE91" s="14">
        <v>250</v>
      </c>
      <c r="AH91" s="22">
        <v>87</v>
      </c>
      <c r="AI91" s="46">
        <v>21</v>
      </c>
      <c r="AJ91" s="123">
        <v>0</v>
      </c>
      <c r="AK91" s="87"/>
      <c r="AL91" s="87">
        <f>INDEX(章节关卡!$F$6:$F$34,芦花古楼!AI91)*芦花古楼!AJ91</f>
        <v>0</v>
      </c>
      <c r="AM91" s="22">
        <f t="shared" si="29"/>
        <v>105</v>
      </c>
      <c r="AN91" s="22">
        <f t="shared" si="30"/>
        <v>105</v>
      </c>
      <c r="AO91" s="14">
        <f>INDEX(章节关卡!$H$6:$H$34,芦花古楼!AI91)*芦花古楼!AJ91</f>
        <v>0</v>
      </c>
      <c r="AP91" s="14">
        <v>250</v>
      </c>
      <c r="AS91" s="18">
        <v>86</v>
      </c>
      <c r="AT91" s="87">
        <v>32</v>
      </c>
      <c r="AV91" s="18">
        <v>86</v>
      </c>
      <c r="AW91" s="87">
        <v>36</v>
      </c>
      <c r="AY91" s="18">
        <v>86</v>
      </c>
      <c r="AZ91" s="18">
        <v>36</v>
      </c>
      <c r="BB91" s="18">
        <v>86</v>
      </c>
      <c r="BC91" s="18">
        <v>36</v>
      </c>
      <c r="BF91" s="18">
        <v>86</v>
      </c>
      <c r="BG91" s="14">
        <f t="shared" si="31"/>
        <v>0</v>
      </c>
      <c r="BH91" s="14">
        <f t="shared" si="32"/>
        <v>480</v>
      </c>
      <c r="BI91" s="14">
        <f t="shared" si="33"/>
        <v>0</v>
      </c>
      <c r="BJ91" s="14">
        <f t="shared" si="34"/>
        <v>1200</v>
      </c>
      <c r="BK91" s="14">
        <f t="shared" si="35"/>
        <v>480</v>
      </c>
      <c r="BL91" s="14">
        <f t="shared" si="36"/>
        <v>960</v>
      </c>
      <c r="CJ91" s="52">
        <v>87</v>
      </c>
      <c r="CK91" s="52">
        <v>1</v>
      </c>
      <c r="CL91" s="52" t="s">
        <v>257</v>
      </c>
      <c r="CM91" s="52">
        <v>87</v>
      </c>
      <c r="CN91" s="52"/>
      <c r="CO91" s="52"/>
      <c r="CP91" s="52"/>
      <c r="CQ91" s="52" t="s">
        <v>372</v>
      </c>
      <c r="CR91" s="52">
        <v>5400</v>
      </c>
      <c r="CS91" s="52" t="s">
        <v>373</v>
      </c>
      <c r="CT91" s="52">
        <v>90</v>
      </c>
      <c r="CU91" s="52"/>
      <c r="CV91" s="52"/>
      <c r="CW91" s="52" t="s">
        <v>373</v>
      </c>
      <c r="CX91" s="52">
        <v>105</v>
      </c>
      <c r="CY91" s="52"/>
      <c r="CZ91" s="52"/>
      <c r="DA91" s="52"/>
      <c r="DB91" s="52"/>
      <c r="DC91" s="52"/>
      <c r="DD91" s="52"/>
      <c r="DE91" s="52"/>
      <c r="DF91" s="52"/>
      <c r="DG91" s="52"/>
      <c r="DH91" s="52"/>
    </row>
    <row r="92" spans="1:112" ht="16.5" x14ac:dyDescent="0.2">
      <c r="A92" s="22">
        <v>88</v>
      </c>
      <c r="B92" s="78">
        <v>20</v>
      </c>
      <c r="C92" s="123">
        <v>0</v>
      </c>
      <c r="D92" s="87"/>
      <c r="E92" s="78">
        <f>INDEX(章节关卡!$F$6:$F$34,芦花古楼!B92)*芦花古楼!C92</f>
        <v>0</v>
      </c>
      <c r="F92" s="22">
        <f t="shared" si="22"/>
        <v>90</v>
      </c>
      <c r="G92" s="22">
        <f t="shared" si="23"/>
        <v>105</v>
      </c>
      <c r="H92" s="14">
        <f>INDEX(章节关卡!$H$6:$H$34,芦花古楼!B92)*芦花古楼!C92</f>
        <v>0</v>
      </c>
      <c r="I92" s="14">
        <v>250</v>
      </c>
      <c r="L92" s="22">
        <v>88</v>
      </c>
      <c r="M92" s="78">
        <f t="shared" si="26"/>
        <v>21</v>
      </c>
      <c r="N92" s="123">
        <v>0</v>
      </c>
      <c r="O92" s="87"/>
      <c r="P92" s="78">
        <f>INDEX(章节关卡!$F$6:$F$34,芦花古楼!M92)*芦花古楼!N92</f>
        <v>0</v>
      </c>
      <c r="Q92" s="22">
        <f t="shared" si="27"/>
        <v>95</v>
      </c>
      <c r="R92" s="22">
        <f t="shared" si="28"/>
        <v>105</v>
      </c>
      <c r="S92" s="14">
        <f>INDEX(章节关卡!$H$6:$H$34,芦花古楼!M92)*芦花古楼!N92</f>
        <v>0</v>
      </c>
      <c r="T92" s="14">
        <v>250</v>
      </c>
      <c r="W92" s="22">
        <v>88</v>
      </c>
      <c r="X92" s="46">
        <v>21</v>
      </c>
      <c r="Y92" s="123">
        <v>0</v>
      </c>
      <c r="Z92" s="87"/>
      <c r="AA92" s="87">
        <f>INDEX(章节关卡!$F$6:$F$34,芦花古楼!X92)*芦花古楼!Y92</f>
        <v>0</v>
      </c>
      <c r="AB92" s="22">
        <f t="shared" si="24"/>
        <v>100</v>
      </c>
      <c r="AC92" s="22">
        <f t="shared" si="25"/>
        <v>105</v>
      </c>
      <c r="AD92" s="14">
        <f>INDEX(章节关卡!$H$6:$H$34,芦花古楼!X92)*芦花古楼!Y92</f>
        <v>0</v>
      </c>
      <c r="AE92" s="14">
        <v>250</v>
      </c>
      <c r="AH92" s="22">
        <v>88</v>
      </c>
      <c r="AI92" s="46">
        <v>21</v>
      </c>
      <c r="AJ92" s="123">
        <v>0</v>
      </c>
      <c r="AK92" s="87"/>
      <c r="AL92" s="87">
        <f>INDEX(章节关卡!$F$6:$F$34,芦花古楼!AI92)*芦花古楼!AJ92</f>
        <v>0</v>
      </c>
      <c r="AM92" s="22">
        <f t="shared" si="29"/>
        <v>105</v>
      </c>
      <c r="AN92" s="22">
        <f t="shared" si="30"/>
        <v>105</v>
      </c>
      <c r="AO92" s="14">
        <f>INDEX(章节关卡!$H$6:$H$34,芦花古楼!AI92)*芦花古楼!AJ92</f>
        <v>0</v>
      </c>
      <c r="AP92" s="14">
        <v>250</v>
      </c>
      <c r="AS92" s="18">
        <v>87</v>
      </c>
      <c r="AT92" s="87">
        <v>33</v>
      </c>
      <c r="AV92" s="18">
        <v>87</v>
      </c>
      <c r="AW92" s="87">
        <v>37</v>
      </c>
      <c r="AY92" s="18">
        <v>87</v>
      </c>
      <c r="AZ92" s="18">
        <v>37</v>
      </c>
      <c r="BB92" s="18">
        <v>87</v>
      </c>
      <c r="BC92" s="18">
        <v>37</v>
      </c>
      <c r="BF92" s="18">
        <v>87</v>
      </c>
      <c r="BG92" s="14">
        <f t="shared" si="31"/>
        <v>0</v>
      </c>
      <c r="BH92" s="14">
        <f t="shared" si="32"/>
        <v>480</v>
      </c>
      <c r="BI92" s="14">
        <f t="shared" si="33"/>
        <v>0</v>
      </c>
      <c r="BJ92" s="14">
        <f t="shared" si="34"/>
        <v>1200</v>
      </c>
      <c r="BK92" s="14">
        <f t="shared" si="35"/>
        <v>480</v>
      </c>
      <c r="BL92" s="14">
        <f t="shared" si="36"/>
        <v>960</v>
      </c>
      <c r="CJ92" s="52">
        <v>88</v>
      </c>
      <c r="CK92" s="52">
        <v>1</v>
      </c>
      <c r="CL92" s="52" t="s">
        <v>257</v>
      </c>
      <c r="CM92" s="52">
        <v>88</v>
      </c>
      <c r="CN92" s="52"/>
      <c r="CO92" s="52"/>
      <c r="CP92" s="52"/>
      <c r="CQ92" s="52" t="s">
        <v>372</v>
      </c>
      <c r="CR92" s="52">
        <v>5400</v>
      </c>
      <c r="CS92" s="52" t="s">
        <v>373</v>
      </c>
      <c r="CT92" s="52">
        <v>90</v>
      </c>
      <c r="CU92" s="52"/>
      <c r="CV92" s="52"/>
      <c r="CW92" s="52" t="s">
        <v>373</v>
      </c>
      <c r="CX92" s="52">
        <v>105</v>
      </c>
      <c r="CY92" s="52"/>
      <c r="CZ92" s="52"/>
      <c r="DA92" s="52"/>
      <c r="DB92" s="52"/>
      <c r="DC92" s="52"/>
      <c r="DD92" s="52"/>
      <c r="DE92" s="52"/>
      <c r="DF92" s="52"/>
      <c r="DG92" s="52"/>
      <c r="DH92" s="52"/>
    </row>
    <row r="93" spans="1:112" ht="16.5" x14ac:dyDescent="0.2">
      <c r="A93" s="22">
        <v>89</v>
      </c>
      <c r="B93" s="78">
        <v>20</v>
      </c>
      <c r="C93" s="123">
        <v>0</v>
      </c>
      <c r="D93" s="87"/>
      <c r="E93" s="78">
        <f>INDEX(章节关卡!$F$6:$F$34,芦花古楼!B93)*芦花古楼!C93</f>
        <v>0</v>
      </c>
      <c r="F93" s="22">
        <f t="shared" si="22"/>
        <v>90</v>
      </c>
      <c r="G93" s="22">
        <f t="shared" si="23"/>
        <v>105</v>
      </c>
      <c r="H93" s="14">
        <f>INDEX(章节关卡!$H$6:$H$34,芦花古楼!B93)*芦花古楼!C93</f>
        <v>0</v>
      </c>
      <c r="I93" s="14">
        <v>250</v>
      </c>
      <c r="L93" s="22">
        <v>89</v>
      </c>
      <c r="M93" s="78">
        <f t="shared" si="26"/>
        <v>21</v>
      </c>
      <c r="N93" s="123">
        <v>0</v>
      </c>
      <c r="O93" s="87"/>
      <c r="P93" s="78">
        <f>INDEX(章节关卡!$F$6:$F$34,芦花古楼!M93)*芦花古楼!N93</f>
        <v>0</v>
      </c>
      <c r="Q93" s="22">
        <f t="shared" si="27"/>
        <v>95</v>
      </c>
      <c r="R93" s="22">
        <f t="shared" si="28"/>
        <v>105</v>
      </c>
      <c r="S93" s="14">
        <f>INDEX(章节关卡!$H$6:$H$34,芦花古楼!M93)*芦花古楼!N93</f>
        <v>0</v>
      </c>
      <c r="T93" s="14">
        <v>250</v>
      </c>
      <c r="W93" s="22">
        <v>89</v>
      </c>
      <c r="X93" s="46">
        <v>21</v>
      </c>
      <c r="Y93" s="123">
        <v>0</v>
      </c>
      <c r="Z93" s="87"/>
      <c r="AA93" s="87">
        <f>INDEX(章节关卡!$F$6:$F$34,芦花古楼!X93)*芦花古楼!Y93</f>
        <v>0</v>
      </c>
      <c r="AB93" s="22">
        <f t="shared" si="24"/>
        <v>100</v>
      </c>
      <c r="AC93" s="22">
        <f t="shared" si="25"/>
        <v>105</v>
      </c>
      <c r="AD93" s="14">
        <f>INDEX(章节关卡!$H$6:$H$34,芦花古楼!X93)*芦花古楼!Y93</f>
        <v>0</v>
      </c>
      <c r="AE93" s="14">
        <v>250</v>
      </c>
      <c r="AH93" s="22">
        <v>89</v>
      </c>
      <c r="AI93" s="46">
        <v>21</v>
      </c>
      <c r="AJ93" s="123">
        <v>0</v>
      </c>
      <c r="AK93" s="87"/>
      <c r="AL93" s="87">
        <f>INDEX(章节关卡!$F$6:$F$34,芦花古楼!AI93)*芦花古楼!AJ93</f>
        <v>0</v>
      </c>
      <c r="AM93" s="22">
        <f t="shared" si="29"/>
        <v>105</v>
      </c>
      <c r="AN93" s="22">
        <f t="shared" si="30"/>
        <v>105</v>
      </c>
      <c r="AO93" s="14">
        <f>INDEX(章节关卡!$H$6:$H$34,芦花古楼!AI93)*芦花古楼!AJ93</f>
        <v>0</v>
      </c>
      <c r="AP93" s="14">
        <v>250</v>
      </c>
      <c r="AS93" s="18">
        <v>88</v>
      </c>
      <c r="AT93" s="87">
        <v>34</v>
      </c>
      <c r="AV93" s="18">
        <v>88</v>
      </c>
      <c r="AW93" s="87">
        <v>38</v>
      </c>
      <c r="AY93" s="18">
        <v>88</v>
      </c>
      <c r="AZ93" s="18">
        <v>38</v>
      </c>
      <c r="BB93" s="18">
        <v>88</v>
      </c>
      <c r="BC93" s="18">
        <v>38</v>
      </c>
      <c r="BF93" s="18">
        <v>88</v>
      </c>
      <c r="BG93" s="14">
        <f t="shared" si="31"/>
        <v>0</v>
      </c>
      <c r="BH93" s="14">
        <f t="shared" si="32"/>
        <v>480</v>
      </c>
      <c r="BI93" s="14">
        <f t="shared" si="33"/>
        <v>0</v>
      </c>
      <c r="BJ93" s="14">
        <f t="shared" si="34"/>
        <v>1200</v>
      </c>
      <c r="BK93" s="14">
        <f t="shared" si="35"/>
        <v>480</v>
      </c>
      <c r="BL93" s="14">
        <f t="shared" si="36"/>
        <v>960</v>
      </c>
      <c r="CJ93" s="52">
        <v>89</v>
      </c>
      <c r="CK93" s="52">
        <v>1</v>
      </c>
      <c r="CL93" s="52" t="s">
        <v>257</v>
      </c>
      <c r="CM93" s="52">
        <v>89</v>
      </c>
      <c r="CN93" s="52"/>
      <c r="CO93" s="52"/>
      <c r="CP93" s="52"/>
      <c r="CQ93" s="52" t="s">
        <v>372</v>
      </c>
      <c r="CR93" s="52">
        <v>5400</v>
      </c>
      <c r="CS93" s="52" t="s">
        <v>373</v>
      </c>
      <c r="CT93" s="52">
        <v>90</v>
      </c>
      <c r="CU93" s="52"/>
      <c r="CV93" s="52"/>
      <c r="CW93" s="52" t="s">
        <v>373</v>
      </c>
      <c r="CX93" s="52">
        <v>105</v>
      </c>
      <c r="CY93" s="52"/>
      <c r="CZ93" s="52"/>
      <c r="DA93" s="52"/>
      <c r="DB93" s="52"/>
      <c r="DC93" s="52"/>
      <c r="DD93" s="52"/>
      <c r="DE93" s="52"/>
      <c r="DF93" s="52"/>
      <c r="DG93" s="52"/>
      <c r="DH93" s="52"/>
    </row>
    <row r="94" spans="1:112" ht="16.5" x14ac:dyDescent="0.2">
      <c r="A94" s="22">
        <v>90</v>
      </c>
      <c r="B94" s="78">
        <v>20</v>
      </c>
      <c r="C94" s="123">
        <v>0</v>
      </c>
      <c r="D94" s="87"/>
      <c r="E94" s="78">
        <f>INDEX(章节关卡!$F$6:$F$34,芦花古楼!B94)*芦花古楼!C94</f>
        <v>0</v>
      </c>
      <c r="F94" s="22">
        <f t="shared" si="22"/>
        <v>90</v>
      </c>
      <c r="G94" s="22">
        <f t="shared" si="23"/>
        <v>110</v>
      </c>
      <c r="H94" s="14">
        <f>INDEX(章节关卡!$H$6:$H$34,芦花古楼!B94)*芦花古楼!C94</f>
        <v>0</v>
      </c>
      <c r="I94" s="14">
        <v>300</v>
      </c>
      <c r="L94" s="22">
        <v>90</v>
      </c>
      <c r="M94" s="78">
        <f t="shared" si="26"/>
        <v>21</v>
      </c>
      <c r="N94" s="123">
        <v>0</v>
      </c>
      <c r="O94" s="87"/>
      <c r="P94" s="78">
        <f>INDEX(章节关卡!$F$6:$F$34,芦花古楼!M94)*芦花古楼!N94</f>
        <v>0</v>
      </c>
      <c r="Q94" s="22">
        <f t="shared" si="27"/>
        <v>95</v>
      </c>
      <c r="R94" s="22">
        <f t="shared" si="28"/>
        <v>110</v>
      </c>
      <c r="S94" s="14">
        <f>INDEX(章节关卡!$H$6:$H$34,芦花古楼!M94)*芦花古楼!N94</f>
        <v>0</v>
      </c>
      <c r="T94" s="14">
        <v>300</v>
      </c>
      <c r="W94" s="22">
        <v>90</v>
      </c>
      <c r="X94" s="24">
        <v>21</v>
      </c>
      <c r="Y94" s="123">
        <v>0</v>
      </c>
      <c r="Z94" s="87"/>
      <c r="AA94" s="87">
        <f>INDEX(章节关卡!$F$6:$F$34,芦花古楼!X94)*芦花古楼!Y94</f>
        <v>0</v>
      </c>
      <c r="AB94" s="22">
        <f t="shared" si="24"/>
        <v>100</v>
      </c>
      <c r="AC94" s="22">
        <f t="shared" si="25"/>
        <v>110</v>
      </c>
      <c r="AD94" s="14">
        <f>INDEX(章节关卡!$H$6:$H$34,芦花古楼!X94)*芦花古楼!Y94</f>
        <v>0</v>
      </c>
      <c r="AE94" s="14">
        <v>300</v>
      </c>
      <c r="AH94" s="22">
        <v>90</v>
      </c>
      <c r="AI94" s="46">
        <v>21</v>
      </c>
      <c r="AJ94" s="123">
        <v>0</v>
      </c>
      <c r="AK94" s="87"/>
      <c r="AL94" s="87">
        <f>INDEX(章节关卡!$F$6:$F$34,芦花古楼!AI94)*芦花古楼!AJ94</f>
        <v>0</v>
      </c>
      <c r="AM94" s="22">
        <f t="shared" si="29"/>
        <v>105</v>
      </c>
      <c r="AN94" s="22">
        <f t="shared" si="30"/>
        <v>110</v>
      </c>
      <c r="AO94" s="14">
        <f>INDEX(章节关卡!$H$6:$H$34,芦花古楼!AI94)*芦花古楼!AJ94</f>
        <v>0</v>
      </c>
      <c r="AP94" s="14">
        <v>300</v>
      </c>
      <c r="AS94" s="18">
        <v>89</v>
      </c>
      <c r="AT94" s="87">
        <v>35</v>
      </c>
      <c r="AV94" s="18">
        <v>89</v>
      </c>
      <c r="AW94" s="87">
        <v>39</v>
      </c>
      <c r="AY94" s="18">
        <v>89</v>
      </c>
      <c r="AZ94" s="18">
        <v>39</v>
      </c>
      <c r="BB94" s="18">
        <v>89</v>
      </c>
      <c r="BC94" s="18">
        <v>39</v>
      </c>
      <c r="BF94" s="18">
        <v>89</v>
      </c>
      <c r="BG94" s="14">
        <f t="shared" si="31"/>
        <v>0</v>
      </c>
      <c r="BH94" s="14">
        <f t="shared" si="32"/>
        <v>480</v>
      </c>
      <c r="BI94" s="14">
        <f t="shared" si="33"/>
        <v>0</v>
      </c>
      <c r="BJ94" s="14">
        <f t="shared" si="34"/>
        <v>1200</v>
      </c>
      <c r="BK94" s="14">
        <f t="shared" si="35"/>
        <v>480</v>
      </c>
      <c r="BL94" s="14">
        <f t="shared" si="36"/>
        <v>960</v>
      </c>
      <c r="CJ94" s="52">
        <v>90</v>
      </c>
      <c r="CK94" s="52">
        <v>1</v>
      </c>
      <c r="CL94" s="52" t="s">
        <v>257</v>
      </c>
      <c r="CM94" s="52">
        <v>90</v>
      </c>
      <c r="CN94" s="52"/>
      <c r="CO94" s="52"/>
      <c r="CP94" s="52"/>
      <c r="CQ94" s="52" t="s">
        <v>372</v>
      </c>
      <c r="CR94" s="52">
        <v>5400</v>
      </c>
      <c r="CS94" s="52" t="s">
        <v>373</v>
      </c>
      <c r="CT94" s="52">
        <v>90</v>
      </c>
      <c r="CU94" s="52" t="s">
        <v>272</v>
      </c>
      <c r="CV94" s="52">
        <v>2</v>
      </c>
      <c r="CW94" s="52" t="s">
        <v>373</v>
      </c>
      <c r="CX94" s="52">
        <v>110</v>
      </c>
      <c r="CY94" s="52"/>
      <c r="CZ94" s="52"/>
      <c r="DA94" s="52"/>
      <c r="DB94" s="52"/>
      <c r="DC94" s="52"/>
      <c r="DD94" s="52"/>
      <c r="DE94" s="52"/>
      <c r="DF94" s="52"/>
      <c r="DG94" s="52"/>
      <c r="DH94" s="52"/>
    </row>
    <row r="95" spans="1:112" ht="16.5" x14ac:dyDescent="0.2">
      <c r="A95" s="22">
        <v>91</v>
      </c>
      <c r="B95" s="46">
        <v>21</v>
      </c>
      <c r="C95" s="123">
        <v>0</v>
      </c>
      <c r="D95" s="87"/>
      <c r="E95" s="78">
        <f>INDEX(章节关卡!$F$6:$F$34,芦花古楼!B95)*芦花古楼!C95</f>
        <v>0</v>
      </c>
      <c r="F95" s="22">
        <f t="shared" si="22"/>
        <v>95</v>
      </c>
      <c r="G95" s="22">
        <f t="shared" si="23"/>
        <v>110</v>
      </c>
      <c r="H95" s="14">
        <f>INDEX(章节关卡!$H$6:$H$34,芦花古楼!B95)*芦花古楼!C95</f>
        <v>0</v>
      </c>
      <c r="I95" s="14">
        <v>300</v>
      </c>
      <c r="L95" s="22">
        <v>91</v>
      </c>
      <c r="M95" s="78">
        <f t="shared" si="26"/>
        <v>22</v>
      </c>
      <c r="N95" s="123">
        <v>0</v>
      </c>
      <c r="O95" s="87"/>
      <c r="P95" s="78">
        <f>INDEX(章节关卡!$F$6:$F$34,芦花古楼!M95)*芦花古楼!N95</f>
        <v>0</v>
      </c>
      <c r="Q95" s="22">
        <f t="shared" si="27"/>
        <v>100</v>
      </c>
      <c r="R95" s="22">
        <f t="shared" si="28"/>
        <v>110</v>
      </c>
      <c r="S95" s="14">
        <f>INDEX(章节关卡!$H$6:$H$34,芦花古楼!M95)*芦花古楼!N95</f>
        <v>0</v>
      </c>
      <c r="T95" s="14">
        <v>300</v>
      </c>
      <c r="W95" s="22">
        <v>91</v>
      </c>
      <c r="X95" s="46">
        <v>22</v>
      </c>
      <c r="Y95" s="123">
        <v>0</v>
      </c>
      <c r="Z95" s="87"/>
      <c r="AA95" s="87">
        <f>INDEX(章节关卡!$F$6:$F$34,芦花古楼!X95)*芦花古楼!Y95</f>
        <v>0</v>
      </c>
      <c r="AB95" s="22">
        <f t="shared" si="24"/>
        <v>105</v>
      </c>
      <c r="AC95" s="22">
        <f t="shared" si="25"/>
        <v>110</v>
      </c>
      <c r="AD95" s="14">
        <f>INDEX(章节关卡!$H$6:$H$34,芦花古楼!X95)*芦花古楼!Y95</f>
        <v>0</v>
      </c>
      <c r="AE95" s="14">
        <v>300</v>
      </c>
      <c r="AH95" s="22">
        <v>91</v>
      </c>
      <c r="AI95" s="46">
        <v>22</v>
      </c>
      <c r="AJ95" s="123">
        <v>0</v>
      </c>
      <c r="AK95" s="87"/>
      <c r="AL95" s="87">
        <f>INDEX(章节关卡!$F$6:$F$34,芦花古楼!AI95)*芦花古楼!AJ95</f>
        <v>0</v>
      </c>
      <c r="AM95" s="22">
        <f t="shared" si="29"/>
        <v>110</v>
      </c>
      <c r="AN95" s="22">
        <f t="shared" si="30"/>
        <v>110</v>
      </c>
      <c r="AO95" s="14">
        <f>INDEX(章节关卡!$H$6:$H$34,芦花古楼!AI95)*芦花古楼!AJ95</f>
        <v>0</v>
      </c>
      <c r="AP95" s="14">
        <v>300</v>
      </c>
      <c r="AS95" s="18">
        <v>90</v>
      </c>
      <c r="AT95" s="87">
        <v>36</v>
      </c>
      <c r="AV95" s="18">
        <v>90</v>
      </c>
      <c r="AW95" s="87">
        <v>40</v>
      </c>
      <c r="AY95" s="18">
        <v>90</v>
      </c>
      <c r="AZ95" s="18">
        <v>40</v>
      </c>
      <c r="BB95" s="18">
        <v>90</v>
      </c>
      <c r="BC95" s="18">
        <v>40</v>
      </c>
      <c r="BF95" s="18">
        <v>90</v>
      </c>
      <c r="BG95" s="14">
        <f t="shared" si="31"/>
        <v>0</v>
      </c>
      <c r="BH95" s="14">
        <f t="shared" si="32"/>
        <v>480</v>
      </c>
      <c r="BI95" s="14">
        <f t="shared" si="33"/>
        <v>0</v>
      </c>
      <c r="BJ95" s="14">
        <f t="shared" si="34"/>
        <v>1200</v>
      </c>
      <c r="BK95" s="14">
        <f t="shared" si="35"/>
        <v>480</v>
      </c>
      <c r="BL95" s="14">
        <f t="shared" si="36"/>
        <v>960</v>
      </c>
      <c r="CJ95" s="52">
        <v>91</v>
      </c>
      <c r="CK95" s="52">
        <v>1</v>
      </c>
      <c r="CL95" s="52" t="s">
        <v>257</v>
      </c>
      <c r="CM95" s="52">
        <v>91</v>
      </c>
      <c r="CN95" s="52"/>
      <c r="CO95" s="52"/>
      <c r="CP95" s="52"/>
      <c r="CQ95" s="52" t="s">
        <v>372</v>
      </c>
      <c r="CR95" s="52">
        <v>5400</v>
      </c>
      <c r="CS95" s="52" t="s">
        <v>373</v>
      </c>
      <c r="CT95" s="52">
        <v>95</v>
      </c>
      <c r="CU95" s="52"/>
      <c r="CV95" s="52"/>
      <c r="CW95" s="52" t="s">
        <v>373</v>
      </c>
      <c r="CX95" s="52">
        <v>110</v>
      </c>
      <c r="CY95" s="52"/>
      <c r="CZ95" s="52"/>
      <c r="DA95" s="52"/>
      <c r="DB95" s="52"/>
      <c r="DC95" s="52"/>
      <c r="DD95" s="52"/>
      <c r="DE95" s="52"/>
      <c r="DF95" s="52"/>
      <c r="DG95" s="52"/>
      <c r="DH95" s="52"/>
    </row>
    <row r="96" spans="1:112" ht="16.5" x14ac:dyDescent="0.2">
      <c r="A96" s="22">
        <v>92</v>
      </c>
      <c r="B96" s="78">
        <v>21</v>
      </c>
      <c r="C96" s="123">
        <v>0</v>
      </c>
      <c r="D96" s="87"/>
      <c r="E96" s="78">
        <f>INDEX(章节关卡!$F$6:$F$34,芦花古楼!B96)*芦花古楼!C96</f>
        <v>0</v>
      </c>
      <c r="F96" s="22">
        <f t="shared" si="22"/>
        <v>95</v>
      </c>
      <c r="G96" s="22">
        <f t="shared" si="23"/>
        <v>110</v>
      </c>
      <c r="H96" s="14">
        <f>INDEX(章节关卡!$H$6:$H$34,芦花古楼!B96)*芦花古楼!C96</f>
        <v>0</v>
      </c>
      <c r="I96" s="14">
        <v>300</v>
      </c>
      <c r="L96" s="22">
        <v>92</v>
      </c>
      <c r="M96" s="78">
        <f t="shared" si="26"/>
        <v>22</v>
      </c>
      <c r="N96" s="123">
        <v>0</v>
      </c>
      <c r="O96" s="87"/>
      <c r="P96" s="78">
        <f>INDEX(章节关卡!$F$6:$F$34,芦花古楼!M96)*芦花古楼!N96</f>
        <v>0</v>
      </c>
      <c r="Q96" s="22">
        <f t="shared" si="27"/>
        <v>100</v>
      </c>
      <c r="R96" s="22">
        <f t="shared" si="28"/>
        <v>110</v>
      </c>
      <c r="S96" s="14">
        <f>INDEX(章节关卡!$H$6:$H$34,芦花古楼!M96)*芦花古楼!N96</f>
        <v>0</v>
      </c>
      <c r="T96" s="14">
        <v>300</v>
      </c>
      <c r="W96" s="22">
        <v>92</v>
      </c>
      <c r="X96" s="46">
        <v>22</v>
      </c>
      <c r="Y96" s="123">
        <v>0</v>
      </c>
      <c r="Z96" s="87"/>
      <c r="AA96" s="87">
        <f>INDEX(章节关卡!$F$6:$F$34,芦花古楼!X96)*芦花古楼!Y96</f>
        <v>0</v>
      </c>
      <c r="AB96" s="22">
        <f t="shared" si="24"/>
        <v>105</v>
      </c>
      <c r="AC96" s="22">
        <f t="shared" si="25"/>
        <v>110</v>
      </c>
      <c r="AD96" s="14">
        <f>INDEX(章节关卡!$H$6:$H$34,芦花古楼!X96)*芦花古楼!Y96</f>
        <v>0</v>
      </c>
      <c r="AE96" s="14">
        <v>300</v>
      </c>
      <c r="AH96" s="22">
        <v>92</v>
      </c>
      <c r="AI96" s="46">
        <v>22</v>
      </c>
      <c r="AJ96" s="123">
        <v>0</v>
      </c>
      <c r="AK96" s="87"/>
      <c r="AL96" s="87">
        <f>INDEX(章节关卡!$F$6:$F$34,芦花古楼!AI96)*芦花古楼!AJ96</f>
        <v>0</v>
      </c>
      <c r="AM96" s="22">
        <f t="shared" si="29"/>
        <v>110</v>
      </c>
      <c r="AN96" s="22">
        <f t="shared" si="30"/>
        <v>110</v>
      </c>
      <c r="AO96" s="14">
        <f>INDEX(章节关卡!$H$6:$H$34,芦花古楼!AI96)*芦花古楼!AJ96</f>
        <v>0</v>
      </c>
      <c r="AP96" s="14">
        <v>300</v>
      </c>
      <c r="AS96" s="18">
        <v>91</v>
      </c>
      <c r="AT96" s="87">
        <v>37</v>
      </c>
      <c r="AV96" s="18">
        <v>91</v>
      </c>
      <c r="AW96" s="87">
        <v>41</v>
      </c>
      <c r="AY96" s="18">
        <v>91</v>
      </c>
      <c r="AZ96" s="18">
        <v>41</v>
      </c>
      <c r="BB96" s="18">
        <v>91</v>
      </c>
      <c r="BC96" s="18">
        <v>41</v>
      </c>
      <c r="BF96" s="18">
        <v>91</v>
      </c>
      <c r="BG96" s="14">
        <f t="shared" si="31"/>
        <v>0</v>
      </c>
      <c r="BH96" s="14">
        <f t="shared" si="32"/>
        <v>480</v>
      </c>
      <c r="BI96" s="14">
        <f t="shared" si="33"/>
        <v>0</v>
      </c>
      <c r="BJ96" s="14">
        <f t="shared" si="34"/>
        <v>1200</v>
      </c>
      <c r="BK96" s="14">
        <f t="shared" si="35"/>
        <v>480</v>
      </c>
      <c r="BL96" s="14">
        <f t="shared" si="36"/>
        <v>960</v>
      </c>
      <c r="CJ96" s="52">
        <v>92</v>
      </c>
      <c r="CK96" s="52">
        <v>1</v>
      </c>
      <c r="CL96" s="52" t="s">
        <v>257</v>
      </c>
      <c r="CM96" s="52">
        <v>92</v>
      </c>
      <c r="CN96" s="52"/>
      <c r="CO96" s="52"/>
      <c r="CP96" s="52"/>
      <c r="CQ96" s="52" t="s">
        <v>372</v>
      </c>
      <c r="CR96" s="52">
        <v>5400</v>
      </c>
      <c r="CS96" s="52" t="s">
        <v>373</v>
      </c>
      <c r="CT96" s="52">
        <v>95</v>
      </c>
      <c r="CU96" s="52"/>
      <c r="CV96" s="52"/>
      <c r="CW96" s="52" t="s">
        <v>373</v>
      </c>
      <c r="CX96" s="52">
        <v>110</v>
      </c>
      <c r="CY96" s="52"/>
      <c r="CZ96" s="52"/>
      <c r="DA96" s="52"/>
      <c r="DB96" s="52"/>
      <c r="DC96" s="52"/>
      <c r="DD96" s="52"/>
      <c r="DE96" s="52"/>
      <c r="DF96" s="52"/>
      <c r="DG96" s="52"/>
      <c r="DH96" s="52"/>
    </row>
    <row r="97" spans="1:112" ht="16.5" x14ac:dyDescent="0.2">
      <c r="A97" s="22">
        <v>93</v>
      </c>
      <c r="B97" s="78">
        <v>21</v>
      </c>
      <c r="C97" s="123">
        <v>0</v>
      </c>
      <c r="D97" s="87"/>
      <c r="E97" s="78">
        <f>INDEX(章节关卡!$F$6:$F$34,芦花古楼!B97)*芦花古楼!C97</f>
        <v>0</v>
      </c>
      <c r="F97" s="22">
        <f t="shared" si="22"/>
        <v>95</v>
      </c>
      <c r="G97" s="22">
        <f t="shared" si="23"/>
        <v>110</v>
      </c>
      <c r="H97" s="14">
        <f>INDEX(章节关卡!$H$6:$H$34,芦花古楼!B97)*芦花古楼!C97</f>
        <v>0</v>
      </c>
      <c r="I97" s="14">
        <v>300</v>
      </c>
      <c r="L97" s="22">
        <v>93</v>
      </c>
      <c r="M97" s="78">
        <f t="shared" si="26"/>
        <v>22</v>
      </c>
      <c r="N97" s="123">
        <v>0</v>
      </c>
      <c r="O97" s="87"/>
      <c r="P97" s="78">
        <f>INDEX(章节关卡!$F$6:$F$34,芦花古楼!M97)*芦花古楼!N97</f>
        <v>0</v>
      </c>
      <c r="Q97" s="22">
        <f t="shared" si="27"/>
        <v>100</v>
      </c>
      <c r="R97" s="22">
        <f t="shared" si="28"/>
        <v>110</v>
      </c>
      <c r="S97" s="14">
        <f>INDEX(章节关卡!$H$6:$H$34,芦花古楼!M97)*芦花古楼!N97</f>
        <v>0</v>
      </c>
      <c r="T97" s="14">
        <v>300</v>
      </c>
      <c r="W97" s="22">
        <v>93</v>
      </c>
      <c r="X97" s="46">
        <v>22</v>
      </c>
      <c r="Y97" s="123">
        <v>0</v>
      </c>
      <c r="Z97" s="87"/>
      <c r="AA97" s="87">
        <f>INDEX(章节关卡!$F$6:$F$34,芦花古楼!X97)*芦花古楼!Y97</f>
        <v>0</v>
      </c>
      <c r="AB97" s="22">
        <f t="shared" si="24"/>
        <v>105</v>
      </c>
      <c r="AC97" s="22">
        <f t="shared" si="25"/>
        <v>110</v>
      </c>
      <c r="AD97" s="14">
        <f>INDEX(章节关卡!$H$6:$H$34,芦花古楼!X97)*芦花古楼!Y97</f>
        <v>0</v>
      </c>
      <c r="AE97" s="14">
        <v>300</v>
      </c>
      <c r="AH97" s="22">
        <v>93</v>
      </c>
      <c r="AI97" s="46">
        <v>22</v>
      </c>
      <c r="AJ97" s="123">
        <v>0</v>
      </c>
      <c r="AK97" s="87"/>
      <c r="AL97" s="87">
        <f>INDEX(章节关卡!$F$6:$F$34,芦花古楼!AI97)*芦花古楼!AJ97</f>
        <v>0</v>
      </c>
      <c r="AM97" s="22">
        <f t="shared" si="29"/>
        <v>110</v>
      </c>
      <c r="AN97" s="22">
        <f t="shared" si="30"/>
        <v>110</v>
      </c>
      <c r="AO97" s="14">
        <f>INDEX(章节关卡!$H$6:$H$34,芦花古楼!AI97)*芦花古楼!AJ97</f>
        <v>0</v>
      </c>
      <c r="AP97" s="14">
        <v>300</v>
      </c>
      <c r="AS97" s="18">
        <v>92</v>
      </c>
      <c r="AT97" s="87">
        <v>38</v>
      </c>
      <c r="AV97" s="18">
        <v>92</v>
      </c>
      <c r="AW97" s="87">
        <v>42</v>
      </c>
      <c r="AY97" s="18">
        <v>92</v>
      </c>
      <c r="AZ97" s="18">
        <v>42</v>
      </c>
      <c r="BB97" s="18">
        <v>92</v>
      </c>
      <c r="BC97" s="18">
        <v>42</v>
      </c>
      <c r="BF97" s="18">
        <v>92</v>
      </c>
      <c r="BG97" s="14">
        <f t="shared" si="31"/>
        <v>0</v>
      </c>
      <c r="BH97" s="14">
        <f t="shared" si="32"/>
        <v>480</v>
      </c>
      <c r="BI97" s="14">
        <f t="shared" si="33"/>
        <v>0</v>
      </c>
      <c r="BJ97" s="14">
        <f t="shared" si="34"/>
        <v>1200</v>
      </c>
      <c r="BK97" s="14">
        <f t="shared" si="35"/>
        <v>480</v>
      </c>
      <c r="BL97" s="14">
        <f t="shared" si="36"/>
        <v>960</v>
      </c>
      <c r="CJ97" s="52">
        <v>93</v>
      </c>
      <c r="CK97" s="52">
        <v>1</v>
      </c>
      <c r="CL97" s="52" t="s">
        <v>257</v>
      </c>
      <c r="CM97" s="52">
        <v>93</v>
      </c>
      <c r="CN97" s="52"/>
      <c r="CO97" s="52"/>
      <c r="CP97" s="52"/>
      <c r="CQ97" s="52" t="s">
        <v>372</v>
      </c>
      <c r="CR97" s="52">
        <v>5400</v>
      </c>
      <c r="CS97" s="52" t="s">
        <v>373</v>
      </c>
      <c r="CT97" s="52">
        <v>95</v>
      </c>
      <c r="CU97" s="52"/>
      <c r="CV97" s="52"/>
      <c r="CW97" s="52" t="s">
        <v>373</v>
      </c>
      <c r="CX97" s="52">
        <v>110</v>
      </c>
      <c r="CY97" s="52"/>
      <c r="CZ97" s="52"/>
      <c r="DA97" s="52"/>
      <c r="DB97" s="52"/>
      <c r="DC97" s="52"/>
      <c r="DD97" s="52"/>
      <c r="DE97" s="52"/>
      <c r="DF97" s="52"/>
      <c r="DG97" s="52"/>
      <c r="DH97" s="52"/>
    </row>
    <row r="98" spans="1:112" ht="16.5" x14ac:dyDescent="0.2">
      <c r="A98" s="22">
        <v>94</v>
      </c>
      <c r="B98" s="78">
        <v>21</v>
      </c>
      <c r="C98" s="123">
        <v>0</v>
      </c>
      <c r="D98" s="87"/>
      <c r="E98" s="78">
        <f>INDEX(章节关卡!$F$6:$F$34,芦花古楼!B98)*芦花古楼!C98</f>
        <v>0</v>
      </c>
      <c r="F98" s="22">
        <f t="shared" si="22"/>
        <v>95</v>
      </c>
      <c r="G98" s="22">
        <f t="shared" si="23"/>
        <v>110</v>
      </c>
      <c r="H98" s="14">
        <f>INDEX(章节关卡!$H$6:$H$34,芦花古楼!B98)*芦花古楼!C98</f>
        <v>0</v>
      </c>
      <c r="I98" s="14">
        <v>300</v>
      </c>
      <c r="L98" s="22">
        <v>94</v>
      </c>
      <c r="M98" s="78">
        <f t="shared" si="26"/>
        <v>22</v>
      </c>
      <c r="N98" s="123">
        <v>0</v>
      </c>
      <c r="O98" s="87"/>
      <c r="P98" s="78">
        <f>INDEX(章节关卡!$F$6:$F$34,芦花古楼!M98)*芦花古楼!N98</f>
        <v>0</v>
      </c>
      <c r="Q98" s="22">
        <f t="shared" si="27"/>
        <v>100</v>
      </c>
      <c r="R98" s="22">
        <f t="shared" si="28"/>
        <v>110</v>
      </c>
      <c r="S98" s="14">
        <f>INDEX(章节关卡!$H$6:$H$34,芦花古楼!M98)*芦花古楼!N98</f>
        <v>0</v>
      </c>
      <c r="T98" s="14">
        <v>300</v>
      </c>
      <c r="W98" s="22">
        <v>94</v>
      </c>
      <c r="X98" s="46">
        <v>22</v>
      </c>
      <c r="Y98" s="123">
        <v>0</v>
      </c>
      <c r="Z98" s="87"/>
      <c r="AA98" s="87">
        <f>INDEX(章节关卡!$F$6:$F$34,芦花古楼!X98)*芦花古楼!Y98</f>
        <v>0</v>
      </c>
      <c r="AB98" s="22">
        <f t="shared" si="24"/>
        <v>105</v>
      </c>
      <c r="AC98" s="22">
        <f t="shared" si="25"/>
        <v>110</v>
      </c>
      <c r="AD98" s="14">
        <f>INDEX(章节关卡!$H$6:$H$34,芦花古楼!X98)*芦花古楼!Y98</f>
        <v>0</v>
      </c>
      <c r="AE98" s="14">
        <v>300</v>
      </c>
      <c r="AH98" s="22">
        <v>94</v>
      </c>
      <c r="AI98" s="46">
        <v>22</v>
      </c>
      <c r="AJ98" s="123">
        <v>0</v>
      </c>
      <c r="AK98" s="87"/>
      <c r="AL98" s="87">
        <f>INDEX(章节关卡!$F$6:$F$34,芦花古楼!AI98)*芦花古楼!AJ98</f>
        <v>0</v>
      </c>
      <c r="AM98" s="22">
        <f t="shared" si="29"/>
        <v>110</v>
      </c>
      <c r="AN98" s="22">
        <f t="shared" si="30"/>
        <v>110</v>
      </c>
      <c r="AO98" s="14">
        <f>INDEX(章节关卡!$H$6:$H$34,芦花古楼!AI98)*芦花古楼!AJ98</f>
        <v>0</v>
      </c>
      <c r="AP98" s="14">
        <v>300</v>
      </c>
      <c r="AS98" s="18">
        <v>93</v>
      </c>
      <c r="AT98" s="87">
        <v>39</v>
      </c>
      <c r="AV98" s="18">
        <v>93</v>
      </c>
      <c r="AW98" s="87">
        <v>43</v>
      </c>
      <c r="AY98" s="18">
        <v>93</v>
      </c>
      <c r="AZ98" s="18">
        <v>43</v>
      </c>
      <c r="BB98" s="18">
        <v>93</v>
      </c>
      <c r="BC98" s="18">
        <v>43</v>
      </c>
      <c r="BF98" s="18">
        <v>93</v>
      </c>
      <c r="BG98" s="14">
        <f t="shared" si="31"/>
        <v>0</v>
      </c>
      <c r="BH98" s="14">
        <f t="shared" si="32"/>
        <v>480</v>
      </c>
      <c r="BI98" s="14">
        <f t="shared" si="33"/>
        <v>0</v>
      </c>
      <c r="BJ98" s="14">
        <f t="shared" si="34"/>
        <v>1200</v>
      </c>
      <c r="BK98" s="14">
        <f t="shared" si="35"/>
        <v>480</v>
      </c>
      <c r="BL98" s="14">
        <f t="shared" si="36"/>
        <v>960</v>
      </c>
      <c r="CJ98" s="52">
        <v>94</v>
      </c>
      <c r="CK98" s="52">
        <v>1</v>
      </c>
      <c r="CL98" s="52" t="s">
        <v>257</v>
      </c>
      <c r="CM98" s="52">
        <v>94</v>
      </c>
      <c r="CN98" s="52"/>
      <c r="CO98" s="52"/>
      <c r="CP98" s="52"/>
      <c r="CQ98" s="52" t="s">
        <v>372</v>
      </c>
      <c r="CR98" s="52">
        <v>5400</v>
      </c>
      <c r="CS98" s="52" t="s">
        <v>373</v>
      </c>
      <c r="CT98" s="52">
        <v>95</v>
      </c>
      <c r="CU98" s="52"/>
      <c r="CV98" s="52"/>
      <c r="CW98" s="52" t="s">
        <v>373</v>
      </c>
      <c r="CX98" s="52">
        <v>110</v>
      </c>
      <c r="CY98" s="52"/>
      <c r="CZ98" s="52"/>
      <c r="DA98" s="52"/>
      <c r="DB98" s="52"/>
      <c r="DC98" s="52"/>
      <c r="DD98" s="52"/>
      <c r="DE98" s="52"/>
      <c r="DF98" s="52"/>
      <c r="DG98" s="52"/>
      <c r="DH98" s="52"/>
    </row>
    <row r="99" spans="1:112" ht="16.5" x14ac:dyDescent="0.2">
      <c r="A99" s="22">
        <v>95</v>
      </c>
      <c r="B99" s="78">
        <v>21</v>
      </c>
      <c r="C99" s="123">
        <v>0</v>
      </c>
      <c r="D99" s="87"/>
      <c r="E99" s="78">
        <f>INDEX(章节关卡!$F$6:$F$34,芦花古楼!B99)*芦花古楼!C99</f>
        <v>0</v>
      </c>
      <c r="F99" s="22">
        <f t="shared" si="22"/>
        <v>95</v>
      </c>
      <c r="G99" s="22">
        <f t="shared" si="23"/>
        <v>115</v>
      </c>
      <c r="H99" s="14">
        <f>INDEX(章节关卡!$H$6:$H$34,芦花古楼!B99)*芦花古楼!C99</f>
        <v>0</v>
      </c>
      <c r="I99" s="14">
        <v>300</v>
      </c>
      <c r="L99" s="22">
        <v>95</v>
      </c>
      <c r="M99" s="78">
        <f t="shared" si="26"/>
        <v>22</v>
      </c>
      <c r="N99" s="123">
        <v>0</v>
      </c>
      <c r="O99" s="87"/>
      <c r="P99" s="78">
        <f>INDEX(章节关卡!$F$6:$F$34,芦花古楼!M99)*芦花古楼!N99</f>
        <v>0</v>
      </c>
      <c r="Q99" s="22">
        <f t="shared" si="27"/>
        <v>100</v>
      </c>
      <c r="R99" s="22">
        <f t="shared" si="28"/>
        <v>115</v>
      </c>
      <c r="S99" s="14">
        <f>INDEX(章节关卡!$H$6:$H$34,芦花古楼!M99)*芦花古楼!N99</f>
        <v>0</v>
      </c>
      <c r="T99" s="14">
        <v>300</v>
      </c>
      <c r="W99" s="22">
        <v>95</v>
      </c>
      <c r="X99" s="46">
        <v>22</v>
      </c>
      <c r="Y99" s="123">
        <v>0</v>
      </c>
      <c r="Z99" s="87"/>
      <c r="AA99" s="87">
        <f>INDEX(章节关卡!$F$6:$F$34,芦花古楼!X99)*芦花古楼!Y99</f>
        <v>0</v>
      </c>
      <c r="AB99" s="22">
        <f t="shared" si="24"/>
        <v>105</v>
      </c>
      <c r="AC99" s="22">
        <f t="shared" si="25"/>
        <v>115</v>
      </c>
      <c r="AD99" s="14">
        <f>INDEX(章节关卡!$H$6:$H$34,芦花古楼!X99)*芦花古楼!Y99</f>
        <v>0</v>
      </c>
      <c r="AE99" s="14">
        <v>300</v>
      </c>
      <c r="AH99" s="22">
        <v>95</v>
      </c>
      <c r="AI99" s="46">
        <v>22</v>
      </c>
      <c r="AJ99" s="123">
        <v>0</v>
      </c>
      <c r="AK99" s="87"/>
      <c r="AL99" s="87">
        <f>INDEX(章节关卡!$F$6:$F$34,芦花古楼!AI99)*芦花古楼!AJ99</f>
        <v>0</v>
      </c>
      <c r="AM99" s="22">
        <f t="shared" si="29"/>
        <v>110</v>
      </c>
      <c r="AN99" s="22">
        <f t="shared" si="30"/>
        <v>115</v>
      </c>
      <c r="AO99" s="14">
        <f>INDEX(章节关卡!$H$6:$H$34,芦花古楼!AI99)*芦花古楼!AJ99</f>
        <v>0</v>
      </c>
      <c r="AP99" s="14">
        <v>300</v>
      </c>
      <c r="AS99" s="18">
        <v>94</v>
      </c>
      <c r="AT99" s="87">
        <v>40</v>
      </c>
      <c r="AV99" s="18">
        <v>94</v>
      </c>
      <c r="AW99" s="87">
        <v>44</v>
      </c>
      <c r="AY99" s="18">
        <v>94</v>
      </c>
      <c r="AZ99" s="18">
        <v>44</v>
      </c>
      <c r="BB99" s="18">
        <v>94</v>
      </c>
      <c r="BC99" s="18">
        <v>44</v>
      </c>
      <c r="BF99" s="18">
        <v>94</v>
      </c>
      <c r="BG99" s="14">
        <f t="shared" si="31"/>
        <v>0</v>
      </c>
      <c r="BH99" s="14">
        <f t="shared" si="32"/>
        <v>480</v>
      </c>
      <c r="BI99" s="14">
        <f t="shared" si="33"/>
        <v>0</v>
      </c>
      <c r="BJ99" s="14">
        <f t="shared" si="34"/>
        <v>1200</v>
      </c>
      <c r="BK99" s="14">
        <f t="shared" si="35"/>
        <v>480</v>
      </c>
      <c r="BL99" s="14">
        <f t="shared" si="36"/>
        <v>960</v>
      </c>
      <c r="CJ99" s="52">
        <v>95</v>
      </c>
      <c r="CK99" s="52">
        <v>1</v>
      </c>
      <c r="CL99" s="52" t="s">
        <v>257</v>
      </c>
      <c r="CM99" s="52">
        <v>95</v>
      </c>
      <c r="CN99" s="52"/>
      <c r="CO99" s="52"/>
      <c r="CP99" s="52"/>
      <c r="CQ99" s="52" t="s">
        <v>372</v>
      </c>
      <c r="CR99" s="52">
        <v>5400</v>
      </c>
      <c r="CS99" s="52" t="s">
        <v>373</v>
      </c>
      <c r="CT99" s="52">
        <v>95</v>
      </c>
      <c r="CU99" s="52" t="s">
        <v>374</v>
      </c>
      <c r="CV99" s="52">
        <v>2</v>
      </c>
      <c r="CW99" s="52" t="s">
        <v>373</v>
      </c>
      <c r="CX99" s="52">
        <v>115</v>
      </c>
      <c r="CY99" s="52"/>
      <c r="CZ99" s="52"/>
      <c r="DA99" s="52"/>
      <c r="DB99" s="52"/>
      <c r="DC99" s="52"/>
      <c r="DD99" s="52"/>
      <c r="DE99" s="52"/>
      <c r="DF99" s="52"/>
      <c r="DG99" s="52"/>
      <c r="DH99" s="52"/>
    </row>
    <row r="100" spans="1:112" ht="16.5" x14ac:dyDescent="0.2">
      <c r="A100" s="22">
        <v>96</v>
      </c>
      <c r="B100" s="24">
        <v>22</v>
      </c>
      <c r="C100" s="123">
        <v>0</v>
      </c>
      <c r="D100" s="87"/>
      <c r="E100" s="78">
        <f>INDEX(章节关卡!$F$6:$F$34,芦花古楼!B100)*芦花古楼!C100</f>
        <v>0</v>
      </c>
      <c r="F100" s="22">
        <f t="shared" si="22"/>
        <v>100</v>
      </c>
      <c r="G100" s="22">
        <f t="shared" si="23"/>
        <v>115</v>
      </c>
      <c r="H100" s="14">
        <f>INDEX(章节关卡!$H$6:$H$34,芦花古楼!B100)*芦花古楼!C100</f>
        <v>0</v>
      </c>
      <c r="I100" s="14">
        <v>300</v>
      </c>
      <c r="L100" s="22">
        <v>96</v>
      </c>
      <c r="M100" s="78">
        <f t="shared" si="26"/>
        <v>23</v>
      </c>
      <c r="N100" s="123">
        <v>0</v>
      </c>
      <c r="O100" s="87"/>
      <c r="P100" s="78">
        <f>INDEX(章节关卡!$F$6:$F$34,芦花古楼!M100)*芦花古楼!N100</f>
        <v>0</v>
      </c>
      <c r="Q100" s="22">
        <f t="shared" si="27"/>
        <v>105</v>
      </c>
      <c r="R100" s="22">
        <f t="shared" si="28"/>
        <v>115</v>
      </c>
      <c r="S100" s="14">
        <f>INDEX(章节关卡!$H$6:$H$34,芦花古楼!M100)*芦花古楼!N100</f>
        <v>0</v>
      </c>
      <c r="T100" s="14">
        <v>300</v>
      </c>
      <c r="W100" s="22">
        <v>96</v>
      </c>
      <c r="X100" s="24">
        <v>23</v>
      </c>
      <c r="Y100" s="123">
        <v>0</v>
      </c>
      <c r="Z100" s="87"/>
      <c r="AA100" s="87">
        <f>INDEX(章节关卡!$F$6:$F$34,芦花古楼!X100)*芦花古楼!Y100</f>
        <v>0</v>
      </c>
      <c r="AB100" s="22">
        <f t="shared" si="24"/>
        <v>110</v>
      </c>
      <c r="AC100" s="22">
        <f t="shared" si="25"/>
        <v>115</v>
      </c>
      <c r="AD100" s="14">
        <f>INDEX(章节关卡!$H$6:$H$34,芦花古楼!X100)*芦花古楼!Y100</f>
        <v>0</v>
      </c>
      <c r="AE100" s="14">
        <v>300</v>
      </c>
      <c r="AH100" s="22">
        <v>96</v>
      </c>
      <c r="AI100" s="46">
        <v>23</v>
      </c>
      <c r="AJ100" s="123">
        <v>0</v>
      </c>
      <c r="AK100" s="87"/>
      <c r="AL100" s="87">
        <f>INDEX(章节关卡!$F$6:$F$34,芦花古楼!AI100)*芦花古楼!AJ100</f>
        <v>0</v>
      </c>
      <c r="AM100" s="22">
        <f t="shared" si="29"/>
        <v>115</v>
      </c>
      <c r="AN100" s="22">
        <f t="shared" si="30"/>
        <v>115</v>
      </c>
      <c r="AO100" s="14">
        <f>INDEX(章节关卡!$H$6:$H$34,芦花古楼!AI100)*芦花古楼!AJ100</f>
        <v>0</v>
      </c>
      <c r="AP100" s="14">
        <v>300</v>
      </c>
      <c r="AS100" s="18">
        <v>95</v>
      </c>
      <c r="AT100" s="87">
        <v>41</v>
      </c>
      <c r="AV100" s="18">
        <v>95</v>
      </c>
      <c r="AW100" s="87">
        <v>45</v>
      </c>
      <c r="AY100" s="18">
        <v>95</v>
      </c>
      <c r="AZ100" s="18">
        <v>45</v>
      </c>
      <c r="BB100" s="18">
        <v>95</v>
      </c>
      <c r="BC100" s="18">
        <v>45</v>
      </c>
      <c r="BF100" s="18">
        <v>95</v>
      </c>
      <c r="BG100" s="14">
        <f t="shared" si="31"/>
        <v>0</v>
      </c>
      <c r="BH100" s="14">
        <f t="shared" si="32"/>
        <v>480</v>
      </c>
      <c r="BI100" s="14">
        <f t="shared" si="33"/>
        <v>0</v>
      </c>
      <c r="BJ100" s="14">
        <f t="shared" si="34"/>
        <v>1200</v>
      </c>
      <c r="BK100" s="14">
        <f t="shared" si="35"/>
        <v>480</v>
      </c>
      <c r="BL100" s="14">
        <f t="shared" si="36"/>
        <v>960</v>
      </c>
      <c r="CJ100" s="52">
        <v>96</v>
      </c>
      <c r="CK100" s="52">
        <v>1</v>
      </c>
      <c r="CL100" s="52" t="s">
        <v>257</v>
      </c>
      <c r="CM100" s="52">
        <v>96</v>
      </c>
      <c r="CN100" s="52"/>
      <c r="CO100" s="52"/>
      <c r="CP100" s="52"/>
      <c r="CQ100" s="52" t="s">
        <v>372</v>
      </c>
      <c r="CR100" s="52">
        <v>6600</v>
      </c>
      <c r="CS100" s="52" t="s">
        <v>373</v>
      </c>
      <c r="CT100" s="52">
        <v>100</v>
      </c>
      <c r="CU100" s="52"/>
      <c r="CV100" s="52"/>
      <c r="CW100" s="52" t="s">
        <v>373</v>
      </c>
      <c r="CX100" s="52">
        <v>115</v>
      </c>
      <c r="CY100" s="52"/>
      <c r="CZ100" s="52"/>
      <c r="DA100" s="52"/>
      <c r="DB100" s="52"/>
      <c r="DC100" s="52"/>
      <c r="DD100" s="52"/>
      <c r="DE100" s="52"/>
      <c r="DF100" s="52"/>
      <c r="DG100" s="52"/>
      <c r="DH100" s="52"/>
    </row>
    <row r="101" spans="1:112" ht="16.5" x14ac:dyDescent="0.2">
      <c r="A101" s="22">
        <v>97</v>
      </c>
      <c r="B101" s="78">
        <v>22</v>
      </c>
      <c r="C101" s="123">
        <v>0</v>
      </c>
      <c r="D101" s="87"/>
      <c r="E101" s="78">
        <f>INDEX(章节关卡!$F$6:$F$34,芦花古楼!B101)*芦花古楼!C101</f>
        <v>0</v>
      </c>
      <c r="F101" s="22">
        <f t="shared" si="22"/>
        <v>100</v>
      </c>
      <c r="G101" s="22">
        <f t="shared" si="23"/>
        <v>115</v>
      </c>
      <c r="H101" s="14">
        <f>INDEX(章节关卡!$H$6:$H$34,芦花古楼!B101)*芦花古楼!C101</f>
        <v>0</v>
      </c>
      <c r="I101" s="14">
        <v>300</v>
      </c>
      <c r="L101" s="22">
        <v>97</v>
      </c>
      <c r="M101" s="78">
        <f t="shared" si="26"/>
        <v>23</v>
      </c>
      <c r="N101" s="123">
        <v>0</v>
      </c>
      <c r="O101" s="87"/>
      <c r="P101" s="78">
        <f>INDEX(章节关卡!$F$6:$F$34,芦花古楼!M101)*芦花古楼!N101</f>
        <v>0</v>
      </c>
      <c r="Q101" s="22">
        <f t="shared" si="27"/>
        <v>105</v>
      </c>
      <c r="R101" s="22">
        <f t="shared" si="28"/>
        <v>115</v>
      </c>
      <c r="S101" s="14">
        <f>INDEX(章节关卡!$H$6:$H$34,芦花古楼!M101)*芦花古楼!N101</f>
        <v>0</v>
      </c>
      <c r="T101" s="14">
        <v>300</v>
      </c>
      <c r="W101" s="22">
        <v>97</v>
      </c>
      <c r="X101" s="24">
        <v>23</v>
      </c>
      <c r="Y101" s="123">
        <v>0</v>
      </c>
      <c r="Z101" s="87"/>
      <c r="AA101" s="87">
        <f>INDEX(章节关卡!$F$6:$F$34,芦花古楼!X101)*芦花古楼!Y101</f>
        <v>0</v>
      </c>
      <c r="AB101" s="22">
        <f t="shared" si="24"/>
        <v>110</v>
      </c>
      <c r="AC101" s="22">
        <f t="shared" si="25"/>
        <v>115</v>
      </c>
      <c r="AD101" s="14">
        <f>INDEX(章节关卡!$H$6:$H$34,芦花古楼!X101)*芦花古楼!Y101</f>
        <v>0</v>
      </c>
      <c r="AE101" s="14">
        <v>300</v>
      </c>
      <c r="AH101" s="22">
        <v>97</v>
      </c>
      <c r="AI101" s="46">
        <v>23</v>
      </c>
      <c r="AJ101" s="123">
        <v>0</v>
      </c>
      <c r="AK101" s="87"/>
      <c r="AL101" s="87">
        <f>INDEX(章节关卡!$F$6:$F$34,芦花古楼!AI101)*芦花古楼!AJ101</f>
        <v>0</v>
      </c>
      <c r="AM101" s="22">
        <f t="shared" si="29"/>
        <v>115</v>
      </c>
      <c r="AN101" s="22">
        <f t="shared" si="30"/>
        <v>115</v>
      </c>
      <c r="AO101" s="14">
        <f>INDEX(章节关卡!$H$6:$H$34,芦花古楼!AI101)*芦花古楼!AJ101</f>
        <v>0</v>
      </c>
      <c r="AP101" s="14">
        <v>300</v>
      </c>
      <c r="AS101" s="18">
        <v>96</v>
      </c>
      <c r="AT101" s="87">
        <v>42</v>
      </c>
      <c r="AV101" s="18">
        <v>96</v>
      </c>
      <c r="AW101" s="87">
        <v>46</v>
      </c>
      <c r="AY101" s="18">
        <v>96</v>
      </c>
      <c r="AZ101" s="18">
        <v>46</v>
      </c>
      <c r="BB101" s="18">
        <v>96</v>
      </c>
      <c r="BC101" s="18">
        <v>46</v>
      </c>
      <c r="BF101" s="18">
        <v>96</v>
      </c>
      <c r="BG101" s="14">
        <f t="shared" si="31"/>
        <v>0</v>
      </c>
      <c r="BH101" s="14">
        <f t="shared" si="32"/>
        <v>480</v>
      </c>
      <c r="BI101" s="14">
        <f t="shared" si="33"/>
        <v>0</v>
      </c>
      <c r="BJ101" s="14">
        <f t="shared" si="34"/>
        <v>1200</v>
      </c>
      <c r="BK101" s="14">
        <f t="shared" si="35"/>
        <v>480</v>
      </c>
      <c r="BL101" s="14">
        <f t="shared" si="36"/>
        <v>960</v>
      </c>
      <c r="CJ101" s="52">
        <v>97</v>
      </c>
      <c r="CK101" s="52">
        <v>1</v>
      </c>
      <c r="CL101" s="52" t="s">
        <v>257</v>
      </c>
      <c r="CM101" s="52">
        <v>97</v>
      </c>
      <c r="CN101" s="52"/>
      <c r="CO101" s="52"/>
      <c r="CP101" s="52"/>
      <c r="CQ101" s="52" t="s">
        <v>372</v>
      </c>
      <c r="CR101" s="52">
        <v>6600</v>
      </c>
      <c r="CS101" s="52" t="s">
        <v>373</v>
      </c>
      <c r="CT101" s="52">
        <v>100</v>
      </c>
      <c r="CU101" s="52"/>
      <c r="CV101" s="52"/>
      <c r="CW101" s="52" t="s">
        <v>373</v>
      </c>
      <c r="CX101" s="52">
        <v>115</v>
      </c>
      <c r="CY101" s="52"/>
      <c r="CZ101" s="52"/>
      <c r="DA101" s="52"/>
      <c r="DB101" s="52"/>
      <c r="DC101" s="52"/>
      <c r="DD101" s="52"/>
      <c r="DE101" s="52"/>
      <c r="DF101" s="52"/>
      <c r="DG101" s="52"/>
      <c r="DH101" s="52"/>
    </row>
    <row r="102" spans="1:112" ht="16.5" x14ac:dyDescent="0.2">
      <c r="A102" s="22">
        <v>98</v>
      </c>
      <c r="B102" s="78">
        <v>22</v>
      </c>
      <c r="C102" s="123">
        <v>0</v>
      </c>
      <c r="D102" s="87"/>
      <c r="E102" s="78">
        <f>INDEX(章节关卡!$F$6:$F$34,芦花古楼!B102)*芦花古楼!C102</f>
        <v>0</v>
      </c>
      <c r="F102" s="22">
        <f t="shared" si="22"/>
        <v>100</v>
      </c>
      <c r="G102" s="22">
        <f t="shared" si="23"/>
        <v>115</v>
      </c>
      <c r="H102" s="14">
        <f>INDEX(章节关卡!$H$6:$H$34,芦花古楼!B102)*芦花古楼!C102</f>
        <v>0</v>
      </c>
      <c r="I102" s="14">
        <v>300</v>
      </c>
      <c r="L102" s="22">
        <v>98</v>
      </c>
      <c r="M102" s="78">
        <f t="shared" si="26"/>
        <v>23</v>
      </c>
      <c r="N102" s="123">
        <v>0</v>
      </c>
      <c r="O102" s="87"/>
      <c r="P102" s="78">
        <f>INDEX(章节关卡!$F$6:$F$34,芦花古楼!M102)*芦花古楼!N102</f>
        <v>0</v>
      </c>
      <c r="Q102" s="22">
        <f t="shared" si="27"/>
        <v>105</v>
      </c>
      <c r="R102" s="22">
        <f t="shared" si="28"/>
        <v>115</v>
      </c>
      <c r="S102" s="14">
        <f>INDEX(章节关卡!$H$6:$H$34,芦花古楼!M102)*芦花古楼!N102</f>
        <v>0</v>
      </c>
      <c r="T102" s="14">
        <v>300</v>
      </c>
      <c r="W102" s="22">
        <v>98</v>
      </c>
      <c r="X102" s="24">
        <v>23</v>
      </c>
      <c r="Y102" s="123">
        <v>0</v>
      </c>
      <c r="Z102" s="87"/>
      <c r="AA102" s="87">
        <f>INDEX(章节关卡!$F$6:$F$34,芦花古楼!X102)*芦花古楼!Y102</f>
        <v>0</v>
      </c>
      <c r="AB102" s="22">
        <f t="shared" si="24"/>
        <v>110</v>
      </c>
      <c r="AC102" s="22">
        <f t="shared" si="25"/>
        <v>115</v>
      </c>
      <c r="AD102" s="14">
        <f>INDEX(章节关卡!$H$6:$H$34,芦花古楼!X102)*芦花古楼!Y102</f>
        <v>0</v>
      </c>
      <c r="AE102" s="14">
        <v>300</v>
      </c>
      <c r="AH102" s="22">
        <v>98</v>
      </c>
      <c r="AI102" s="46">
        <v>23</v>
      </c>
      <c r="AJ102" s="123">
        <v>0</v>
      </c>
      <c r="AK102" s="87"/>
      <c r="AL102" s="87">
        <f>INDEX(章节关卡!$F$6:$F$34,芦花古楼!AI102)*芦花古楼!AJ102</f>
        <v>0</v>
      </c>
      <c r="AM102" s="22">
        <f t="shared" si="29"/>
        <v>115</v>
      </c>
      <c r="AN102" s="22">
        <f t="shared" si="30"/>
        <v>115</v>
      </c>
      <c r="AO102" s="14">
        <f>INDEX(章节关卡!$H$6:$H$34,芦花古楼!AI102)*芦花古楼!AJ102</f>
        <v>0</v>
      </c>
      <c r="AP102" s="14">
        <v>300</v>
      </c>
      <c r="AS102" s="18">
        <v>97</v>
      </c>
      <c r="AT102" s="87">
        <v>43</v>
      </c>
      <c r="AV102" s="18">
        <v>97</v>
      </c>
      <c r="AW102" s="87">
        <v>47</v>
      </c>
      <c r="AY102" s="18">
        <v>97</v>
      </c>
      <c r="AZ102" s="18">
        <v>47</v>
      </c>
      <c r="BB102" s="18">
        <v>97</v>
      </c>
      <c r="BC102" s="18">
        <v>47</v>
      </c>
      <c r="BF102" s="18">
        <v>97</v>
      </c>
      <c r="BG102" s="14">
        <f>SUMIFS($F$5:$F$104,$AT$6:$AT$105,"="&amp;BF102)+SUMIFS($Q$5:$Q$104,$AW$6:$AW$105,"="&amp;BF102)+SUMIFS($AB$5:$AB$104,$AZ$6:$AZ$105,"="&amp;BF102)+SUMIFS($AM$5:$AM$104,$BC$6:$BC$105,"="&amp;BF102)</f>
        <v>0</v>
      </c>
      <c r="BH102" s="14">
        <f t="shared" si="32"/>
        <v>480</v>
      </c>
      <c r="BI102" s="14">
        <f t="shared" si="33"/>
        <v>0</v>
      </c>
      <c r="BJ102" s="14">
        <f t="shared" si="34"/>
        <v>1200</v>
      </c>
      <c r="BK102" s="14">
        <f t="shared" si="35"/>
        <v>480</v>
      </c>
      <c r="BL102" s="14">
        <f t="shared" si="36"/>
        <v>960</v>
      </c>
      <c r="CJ102" s="52">
        <v>98</v>
      </c>
      <c r="CK102" s="52">
        <v>1</v>
      </c>
      <c r="CL102" s="52" t="s">
        <v>257</v>
      </c>
      <c r="CM102" s="52">
        <v>98</v>
      </c>
      <c r="CN102" s="52"/>
      <c r="CO102" s="52"/>
      <c r="CP102" s="52"/>
      <c r="CQ102" s="52" t="s">
        <v>372</v>
      </c>
      <c r="CR102" s="52">
        <v>6600</v>
      </c>
      <c r="CS102" s="52" t="s">
        <v>373</v>
      </c>
      <c r="CT102" s="52">
        <v>100</v>
      </c>
      <c r="CU102" s="52"/>
      <c r="CV102" s="52"/>
      <c r="CW102" s="52" t="s">
        <v>373</v>
      </c>
      <c r="CX102" s="52">
        <v>115</v>
      </c>
      <c r="CY102" s="52"/>
      <c r="CZ102" s="52"/>
      <c r="DA102" s="52"/>
      <c r="DB102" s="52"/>
      <c r="DC102" s="52"/>
      <c r="DD102" s="52"/>
      <c r="DE102" s="52"/>
      <c r="DF102" s="52"/>
      <c r="DG102" s="52"/>
      <c r="DH102" s="52"/>
    </row>
    <row r="103" spans="1:112" ht="16.5" x14ac:dyDescent="0.2">
      <c r="A103" s="22">
        <v>99</v>
      </c>
      <c r="B103" s="78">
        <v>22</v>
      </c>
      <c r="C103" s="123">
        <v>0</v>
      </c>
      <c r="D103" s="87"/>
      <c r="E103" s="78">
        <f>INDEX(章节关卡!$F$6:$F$34,芦花古楼!B103)*芦花古楼!C103</f>
        <v>0</v>
      </c>
      <c r="F103" s="22">
        <f t="shared" si="22"/>
        <v>100</v>
      </c>
      <c r="G103" s="22">
        <f t="shared" si="23"/>
        <v>115</v>
      </c>
      <c r="H103" s="14">
        <f>INDEX(章节关卡!$H$6:$H$34,芦花古楼!B103)*芦花古楼!C103</f>
        <v>0</v>
      </c>
      <c r="I103" s="14">
        <v>300</v>
      </c>
      <c r="L103" s="22">
        <v>99</v>
      </c>
      <c r="M103" s="78">
        <f t="shared" si="26"/>
        <v>23</v>
      </c>
      <c r="N103" s="123">
        <v>0</v>
      </c>
      <c r="O103" s="87"/>
      <c r="P103" s="78">
        <f>INDEX(章节关卡!$F$6:$F$34,芦花古楼!M103)*芦花古楼!N103</f>
        <v>0</v>
      </c>
      <c r="Q103" s="22">
        <f t="shared" si="27"/>
        <v>105</v>
      </c>
      <c r="R103" s="22">
        <f t="shared" si="28"/>
        <v>115</v>
      </c>
      <c r="S103" s="14">
        <f>INDEX(章节关卡!$H$6:$H$34,芦花古楼!M103)*芦花古楼!N103</f>
        <v>0</v>
      </c>
      <c r="T103" s="14">
        <v>300</v>
      </c>
      <c r="W103" s="22">
        <v>99</v>
      </c>
      <c r="X103" s="24">
        <v>23</v>
      </c>
      <c r="Y103" s="123">
        <v>0</v>
      </c>
      <c r="Z103" s="87"/>
      <c r="AA103" s="87">
        <f>INDEX(章节关卡!$F$6:$F$34,芦花古楼!X103)*芦花古楼!Y103</f>
        <v>0</v>
      </c>
      <c r="AB103" s="22">
        <f t="shared" si="24"/>
        <v>110</v>
      </c>
      <c r="AC103" s="22">
        <f t="shared" si="25"/>
        <v>115</v>
      </c>
      <c r="AD103" s="14">
        <f>INDEX(章节关卡!$H$6:$H$34,芦花古楼!X103)*芦花古楼!Y103</f>
        <v>0</v>
      </c>
      <c r="AE103" s="14">
        <v>300</v>
      </c>
      <c r="AH103" s="22">
        <v>99</v>
      </c>
      <c r="AI103" s="46">
        <v>23</v>
      </c>
      <c r="AJ103" s="123">
        <v>0</v>
      </c>
      <c r="AK103" s="87"/>
      <c r="AL103" s="87">
        <f>INDEX(章节关卡!$F$6:$F$34,芦花古楼!AI103)*芦花古楼!AJ103</f>
        <v>0</v>
      </c>
      <c r="AM103" s="22">
        <f t="shared" si="29"/>
        <v>115</v>
      </c>
      <c r="AN103" s="22">
        <f t="shared" si="30"/>
        <v>115</v>
      </c>
      <c r="AO103" s="14">
        <f>INDEX(章节关卡!$H$6:$H$34,芦花古楼!AI103)*芦花古楼!AJ103</f>
        <v>0</v>
      </c>
      <c r="AP103" s="14">
        <v>300</v>
      </c>
      <c r="AS103" s="18">
        <v>98</v>
      </c>
      <c r="AT103" s="87">
        <v>44</v>
      </c>
      <c r="AV103" s="18">
        <v>98</v>
      </c>
      <c r="AW103" s="87">
        <v>48</v>
      </c>
      <c r="AY103" s="18">
        <v>98</v>
      </c>
      <c r="AZ103" s="18">
        <v>48</v>
      </c>
      <c r="BB103" s="18">
        <v>98</v>
      </c>
      <c r="BC103" s="18">
        <v>48</v>
      </c>
      <c r="BF103" s="18">
        <v>98</v>
      </c>
      <c r="BG103" s="14">
        <f>SUMIFS($F$5:$F$104,$AT$6:$AT$105,"="&amp;BF103)+SUMIFS($Q$5:$Q$104,$AW$6:$AW$105,"="&amp;BF103)+SUMIFS($AB$5:$AB$104,$AZ$6:$AZ$105,"="&amp;BF103)+SUMIFS($AM$5:$AM$104,$BC$6:$BC$105,"="&amp;BF103)</f>
        <v>0</v>
      </c>
      <c r="BH103" s="14">
        <f t="shared" si="32"/>
        <v>480</v>
      </c>
      <c r="BI103" s="14">
        <f t="shared" si="33"/>
        <v>0</v>
      </c>
      <c r="BJ103" s="14">
        <f t="shared" si="34"/>
        <v>1200</v>
      </c>
      <c r="BK103" s="14">
        <f t="shared" si="35"/>
        <v>480</v>
      </c>
      <c r="BL103" s="14">
        <f t="shared" si="36"/>
        <v>960</v>
      </c>
      <c r="CJ103" s="52">
        <v>99</v>
      </c>
      <c r="CK103" s="52">
        <v>1</v>
      </c>
      <c r="CL103" s="52" t="s">
        <v>257</v>
      </c>
      <c r="CM103" s="52">
        <v>99</v>
      </c>
      <c r="CN103" s="52"/>
      <c r="CO103" s="52"/>
      <c r="CP103" s="52"/>
      <c r="CQ103" s="52" t="s">
        <v>372</v>
      </c>
      <c r="CR103" s="52">
        <v>6600</v>
      </c>
      <c r="CS103" s="52" t="s">
        <v>373</v>
      </c>
      <c r="CT103" s="52">
        <v>100</v>
      </c>
      <c r="CU103" s="52"/>
      <c r="CV103" s="52"/>
      <c r="CW103" s="52" t="s">
        <v>373</v>
      </c>
      <c r="CX103" s="52">
        <v>115</v>
      </c>
      <c r="CY103" s="52"/>
      <c r="CZ103" s="52"/>
      <c r="DA103" s="52"/>
      <c r="DB103" s="52"/>
      <c r="DC103" s="52"/>
      <c r="DD103" s="52"/>
      <c r="DE103" s="52"/>
      <c r="DF103" s="52"/>
      <c r="DG103" s="52"/>
      <c r="DH103" s="52"/>
    </row>
    <row r="104" spans="1:112" ht="16.5" x14ac:dyDescent="0.2">
      <c r="A104" s="22">
        <v>100</v>
      </c>
      <c r="B104" s="78">
        <v>22</v>
      </c>
      <c r="C104" s="123">
        <v>0</v>
      </c>
      <c r="D104" s="87"/>
      <c r="E104" s="78">
        <f>INDEX(章节关卡!$F$6:$F$34,芦花古楼!B104)*芦花古楼!C104</f>
        <v>0</v>
      </c>
      <c r="F104" s="22">
        <f t="shared" si="22"/>
        <v>100</v>
      </c>
      <c r="G104" s="22">
        <f t="shared" si="23"/>
        <v>120</v>
      </c>
      <c r="H104" s="14">
        <f>INDEX(章节关卡!$H$6:$H$34,芦花古楼!B104)*芦花古楼!C104</f>
        <v>0</v>
      </c>
      <c r="I104" s="14">
        <v>300</v>
      </c>
      <c r="L104" s="22">
        <v>100</v>
      </c>
      <c r="M104" s="78">
        <f t="shared" si="26"/>
        <v>23</v>
      </c>
      <c r="N104" s="123">
        <v>0</v>
      </c>
      <c r="O104" s="87"/>
      <c r="P104" s="78">
        <f>INDEX(章节关卡!$F$6:$F$34,芦花古楼!M104)*芦花古楼!N104</f>
        <v>0</v>
      </c>
      <c r="Q104" s="22">
        <f t="shared" si="27"/>
        <v>105</v>
      </c>
      <c r="R104" s="22">
        <f t="shared" si="28"/>
        <v>120</v>
      </c>
      <c r="S104" s="14">
        <f>INDEX(章节关卡!$H$6:$H$34,芦花古楼!M104)*芦花古楼!N104</f>
        <v>0</v>
      </c>
      <c r="T104" s="14">
        <v>300</v>
      </c>
      <c r="W104" s="22">
        <v>100</v>
      </c>
      <c r="X104" s="24">
        <v>23</v>
      </c>
      <c r="Y104" s="123">
        <v>0</v>
      </c>
      <c r="Z104" s="87"/>
      <c r="AA104" s="87">
        <f>INDEX(章节关卡!$F$6:$F$34,芦花古楼!X104)*芦花古楼!Y104</f>
        <v>0</v>
      </c>
      <c r="AB104" s="22">
        <f t="shared" si="24"/>
        <v>110</v>
      </c>
      <c r="AC104" s="22">
        <f t="shared" si="25"/>
        <v>120</v>
      </c>
      <c r="AD104" s="14">
        <f>INDEX(章节关卡!$H$6:$H$34,芦花古楼!X104)*芦花古楼!Y104</f>
        <v>0</v>
      </c>
      <c r="AE104" s="14">
        <v>300</v>
      </c>
      <c r="AH104" s="22">
        <v>100</v>
      </c>
      <c r="AI104" s="46">
        <v>23</v>
      </c>
      <c r="AJ104" s="123">
        <v>0</v>
      </c>
      <c r="AK104" s="87"/>
      <c r="AL104" s="87">
        <f>INDEX(章节关卡!$F$6:$F$34,芦花古楼!AI104)*芦花古楼!AJ104</f>
        <v>0</v>
      </c>
      <c r="AM104" s="22">
        <f t="shared" si="29"/>
        <v>115</v>
      </c>
      <c r="AN104" s="22">
        <f t="shared" si="30"/>
        <v>120</v>
      </c>
      <c r="AO104" s="14">
        <f>INDEX(章节关卡!$H$6:$H$34,芦花古楼!AI104)*芦花古楼!AJ104</f>
        <v>0</v>
      </c>
      <c r="AP104" s="14">
        <v>300</v>
      </c>
      <c r="AS104" s="18">
        <v>99</v>
      </c>
      <c r="AT104" s="87">
        <v>45</v>
      </c>
      <c r="AV104" s="18">
        <v>99</v>
      </c>
      <c r="AW104" s="87">
        <v>49</v>
      </c>
      <c r="AY104" s="18">
        <v>99</v>
      </c>
      <c r="AZ104" s="18">
        <v>49</v>
      </c>
      <c r="BB104" s="18">
        <v>99</v>
      </c>
      <c r="BC104" s="18">
        <v>49</v>
      </c>
      <c r="BF104" s="18">
        <v>99</v>
      </c>
      <c r="BG104" s="14">
        <f>SUMIFS($F$5:$F$104,$AT$6:$AT$105,"="&amp;BF104)+SUMIFS($Q$5:$Q$104,$AW$6:$AW$105,"="&amp;BF104)+SUMIFS($AB$5:$AB$104,$AZ$6:$AZ$105,"="&amp;BF104)+SUMIFS($AM$5:$AM$104,$BC$6:$BC$105,"="&amp;BF104)</f>
        <v>0</v>
      </c>
      <c r="BH104" s="14">
        <f t="shared" si="32"/>
        <v>480</v>
      </c>
      <c r="BI104" s="14">
        <f t="shared" si="33"/>
        <v>0</v>
      </c>
      <c r="BJ104" s="14">
        <f t="shared" si="34"/>
        <v>1200</v>
      </c>
      <c r="BK104" s="14">
        <f t="shared" si="35"/>
        <v>480</v>
      </c>
      <c r="BL104" s="14">
        <f t="shared" si="36"/>
        <v>960</v>
      </c>
      <c r="CJ104" s="52">
        <v>100</v>
      </c>
      <c r="CK104" s="52">
        <v>1</v>
      </c>
      <c r="CL104" s="52" t="s">
        <v>257</v>
      </c>
      <c r="CM104" s="52">
        <v>100</v>
      </c>
      <c r="CN104" s="52"/>
      <c r="CO104" s="52"/>
      <c r="CP104" s="52"/>
      <c r="CQ104" s="52" t="s">
        <v>372</v>
      </c>
      <c r="CR104" s="52">
        <v>6600</v>
      </c>
      <c r="CS104" s="52" t="s">
        <v>373</v>
      </c>
      <c r="CT104" s="52">
        <v>100</v>
      </c>
      <c r="CU104" s="52" t="s">
        <v>272</v>
      </c>
      <c r="CV104" s="52">
        <v>2</v>
      </c>
      <c r="CW104" s="52" t="s">
        <v>373</v>
      </c>
      <c r="CX104" s="52">
        <v>120</v>
      </c>
      <c r="CY104" s="52"/>
      <c r="CZ104" s="52"/>
      <c r="DA104" s="52"/>
      <c r="DB104" s="52"/>
      <c r="DC104" s="52"/>
      <c r="DD104" s="52"/>
      <c r="DE104" s="52"/>
      <c r="DF104" s="52"/>
      <c r="DG104" s="52"/>
      <c r="DH104" s="52"/>
    </row>
    <row r="105" spans="1:112" ht="16.5" x14ac:dyDescent="0.2">
      <c r="AS105" s="18">
        <v>100</v>
      </c>
      <c r="AT105" s="87">
        <v>46</v>
      </c>
      <c r="AV105" s="18">
        <v>100</v>
      </c>
      <c r="AW105" s="87">
        <v>50</v>
      </c>
      <c r="AY105" s="18">
        <v>100</v>
      </c>
      <c r="AZ105" s="18">
        <v>50</v>
      </c>
      <c r="BB105" s="18">
        <v>100</v>
      </c>
      <c r="BC105" s="18">
        <v>50</v>
      </c>
      <c r="BF105" s="18">
        <v>100</v>
      </c>
      <c r="BG105" s="14">
        <f>SUMIFS($F$5:$F$104,$AT$6:$AT$105,"="&amp;BF105)+SUMIFS($Q$5:$Q$104,$AW$6:$AW$105,"="&amp;BF105)+SUMIFS($AB$5:$AB$104,$AZ$6:$AZ$105,"="&amp;BF105)+SUMIFS($AM$5:$AM$104,$BC$6:$BC$105,"="&amp;BF105)</f>
        <v>0</v>
      </c>
      <c r="BH105" s="14">
        <f t="shared" si="32"/>
        <v>480</v>
      </c>
      <c r="BI105" s="14">
        <f t="shared" si="33"/>
        <v>0</v>
      </c>
      <c r="BJ105" s="14">
        <f t="shared" si="34"/>
        <v>1200</v>
      </c>
      <c r="BK105" s="14">
        <f t="shared" si="35"/>
        <v>480</v>
      </c>
      <c r="BL105" s="14">
        <f t="shared" si="36"/>
        <v>960</v>
      </c>
      <c r="CJ105" s="52">
        <v>101</v>
      </c>
      <c r="CK105" s="52">
        <v>2</v>
      </c>
      <c r="CL105" s="52" t="s">
        <v>257</v>
      </c>
      <c r="CM105" s="52">
        <v>1</v>
      </c>
      <c r="CN105" s="52"/>
      <c r="CO105" s="52"/>
      <c r="CP105" s="52"/>
      <c r="CQ105" s="52" t="s">
        <v>372</v>
      </c>
      <c r="CR105" s="52">
        <v>3000</v>
      </c>
      <c r="CS105" s="52" t="s">
        <v>373</v>
      </c>
      <c r="CT105" s="52">
        <v>10</v>
      </c>
      <c r="CU105" s="52"/>
      <c r="CV105" s="52"/>
      <c r="CW105" s="52" t="s">
        <v>373</v>
      </c>
      <c r="CX105" s="52">
        <v>20</v>
      </c>
      <c r="CY105" s="52"/>
      <c r="CZ105" s="52"/>
      <c r="DA105" s="52"/>
      <c r="DB105" s="52"/>
      <c r="DC105" s="52"/>
      <c r="DD105" s="52"/>
      <c r="DE105" s="52"/>
      <c r="DF105" s="52"/>
      <c r="DG105" s="52"/>
      <c r="DH105" s="52"/>
    </row>
    <row r="106" spans="1:112" ht="16.5" x14ac:dyDescent="0.2">
      <c r="BF106" s="52">
        <v>101</v>
      </c>
      <c r="BG106" s="14">
        <f t="shared" ref="BG106:BG169" si="37">SUMIFS($F$5:$F$104,$AT$6:$AT$105,"="&amp;BF106)+SUMIFS($Q$5:$Q$104,$AW$6:$AW$105,"="&amp;BF106)+SUMIFS($AB$5:$AB$104,$AZ$6:$AZ$105,"="&amp;BF106)+SUMIFS($AM$5:$AM$104,$BC$6:$BC$105,"="&amp;BF106)</f>
        <v>0</v>
      </c>
      <c r="BH106" s="14">
        <f t="shared" ref="BH106:BH169" si="38">INDEX($G$5:$G$104,MATCH(BF106,$AT$5:$AT$105,1)-1)+INDEX($R$5:$R$104,MATCH(BF106,$AW$5:$AW$105,1)-1)+INDEX($AC$5:$AC$104,MATCH(BF106,$AZ$5:$AZ$105,1)-1)+INDEX($AN$5:$AN$104,MATCH(BF106,$BC$5:$BC$105,1)-1)</f>
        <v>480</v>
      </c>
      <c r="BI106" s="14">
        <f t="shared" ref="BI106:BI169" si="39">SUMIFS($H$5:$H$104,$AT$6:$AT$105,"="&amp;BF106)+SUMIFS($S$5:$S$104,$AW$6:$AW$105,"="&amp;BF106)+SUMIFS($AD$5:$AD$104,$AZ$6:$AZ$105,"="&amp;BF106)+SUMIFS($AO$5:$AO$104,$BC$6:$BC$105,"="&amp;BF106)</f>
        <v>0</v>
      </c>
      <c r="BJ106" s="14">
        <f t="shared" ref="BJ106:BJ169" si="40">INDEX($I$5:$I$104,MATCH(BF106,$AT$5:$AT$105,1)-1)+INDEX($T$5:$T$104,MATCH(BF106,$AW$5:$AW$105,1)-1)+INDEX($AE$5:$AE$104,MATCH(BF106,$AZ$5:$AZ$105,1)-1)+INDEX($AP$5:$AP$104,MATCH(BF106,$BC$5:$BC$105,1)-1)</f>
        <v>1200</v>
      </c>
      <c r="BK106" s="14">
        <f t="shared" si="35"/>
        <v>480</v>
      </c>
      <c r="BL106" s="14">
        <f t="shared" si="36"/>
        <v>960</v>
      </c>
      <c r="CJ106" s="52">
        <v>102</v>
      </c>
      <c r="CK106" s="52">
        <v>2</v>
      </c>
      <c r="CL106" s="52" t="s">
        <v>257</v>
      </c>
      <c r="CM106" s="52">
        <v>2</v>
      </c>
      <c r="CN106" s="52"/>
      <c r="CO106" s="52"/>
      <c r="CP106" s="52"/>
      <c r="CQ106" s="52" t="s">
        <v>372</v>
      </c>
      <c r="CR106" s="52">
        <v>3000</v>
      </c>
      <c r="CS106" s="52" t="s">
        <v>373</v>
      </c>
      <c r="CT106" s="52">
        <v>10</v>
      </c>
      <c r="CU106" s="52" t="s">
        <v>273</v>
      </c>
      <c r="CV106" s="52">
        <v>1</v>
      </c>
      <c r="CW106" s="52" t="s">
        <v>373</v>
      </c>
      <c r="CX106" s="52">
        <v>20</v>
      </c>
      <c r="CY106" s="52"/>
      <c r="CZ106" s="52"/>
      <c r="DA106" s="52"/>
      <c r="DB106" s="52"/>
      <c r="DC106" s="52"/>
      <c r="DD106" s="52"/>
      <c r="DE106" s="52"/>
      <c r="DF106" s="52"/>
      <c r="DG106" s="52"/>
      <c r="DH106" s="52"/>
    </row>
    <row r="107" spans="1:112" ht="16.5" x14ac:dyDescent="0.2">
      <c r="BF107" s="52">
        <v>102</v>
      </c>
      <c r="BG107" s="14">
        <f t="shared" si="37"/>
        <v>0</v>
      </c>
      <c r="BH107" s="14">
        <f t="shared" si="38"/>
        <v>480</v>
      </c>
      <c r="BI107" s="14">
        <f t="shared" si="39"/>
        <v>0</v>
      </c>
      <c r="BJ107" s="14">
        <f t="shared" si="40"/>
        <v>1200</v>
      </c>
      <c r="BK107" s="14">
        <f t="shared" si="35"/>
        <v>480</v>
      </c>
      <c r="BL107" s="14">
        <f t="shared" si="36"/>
        <v>960</v>
      </c>
      <c r="CJ107" s="52">
        <v>103</v>
      </c>
      <c r="CK107" s="52">
        <v>2</v>
      </c>
      <c r="CL107" s="52" t="s">
        <v>257</v>
      </c>
      <c r="CM107" s="52">
        <v>3</v>
      </c>
      <c r="CN107" s="52"/>
      <c r="CO107" s="52"/>
      <c r="CP107" s="52"/>
      <c r="CQ107" s="52" t="s">
        <v>372</v>
      </c>
      <c r="CR107" s="52">
        <v>3000</v>
      </c>
      <c r="CS107" s="52" t="s">
        <v>373</v>
      </c>
      <c r="CT107" s="52">
        <v>10</v>
      </c>
      <c r="CU107" s="52"/>
      <c r="CV107" s="52"/>
      <c r="CW107" s="52" t="s">
        <v>373</v>
      </c>
      <c r="CX107" s="52">
        <v>20</v>
      </c>
      <c r="CY107" s="52"/>
      <c r="CZ107" s="52"/>
      <c r="DA107" s="52"/>
      <c r="DB107" s="52"/>
      <c r="DC107" s="52"/>
      <c r="DD107" s="52"/>
      <c r="DE107" s="52"/>
      <c r="DF107" s="52"/>
      <c r="DG107" s="52"/>
      <c r="DH107" s="52"/>
    </row>
    <row r="108" spans="1:112" ht="16.5" x14ac:dyDescent="0.2">
      <c r="BF108" s="52">
        <v>103</v>
      </c>
      <c r="BG108" s="14">
        <f t="shared" si="37"/>
        <v>0</v>
      </c>
      <c r="BH108" s="14">
        <f t="shared" si="38"/>
        <v>480</v>
      </c>
      <c r="BI108" s="14">
        <f t="shared" si="39"/>
        <v>0</v>
      </c>
      <c r="BJ108" s="14">
        <f t="shared" si="40"/>
        <v>1200</v>
      </c>
      <c r="BK108" s="14">
        <f t="shared" si="35"/>
        <v>480</v>
      </c>
      <c r="BL108" s="14">
        <f t="shared" si="36"/>
        <v>960</v>
      </c>
      <c r="CJ108" s="52">
        <v>104</v>
      </c>
      <c r="CK108" s="52">
        <v>2</v>
      </c>
      <c r="CL108" s="52" t="s">
        <v>257</v>
      </c>
      <c r="CM108" s="52">
        <v>4</v>
      </c>
      <c r="CN108" s="52"/>
      <c r="CO108" s="52"/>
      <c r="CP108" s="52"/>
      <c r="CQ108" s="52" t="s">
        <v>372</v>
      </c>
      <c r="CR108" s="52">
        <v>3000</v>
      </c>
      <c r="CS108" s="52" t="s">
        <v>373</v>
      </c>
      <c r="CT108" s="52">
        <v>10</v>
      </c>
      <c r="CU108" s="52" t="s">
        <v>274</v>
      </c>
      <c r="CV108" s="52">
        <v>1</v>
      </c>
      <c r="CW108" s="52" t="s">
        <v>373</v>
      </c>
      <c r="CX108" s="52">
        <v>20</v>
      </c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</row>
    <row r="109" spans="1:112" ht="16.5" x14ac:dyDescent="0.2">
      <c r="BF109" s="52">
        <v>104</v>
      </c>
      <c r="BG109" s="14">
        <f t="shared" si="37"/>
        <v>0</v>
      </c>
      <c r="BH109" s="14">
        <f t="shared" si="38"/>
        <v>480</v>
      </c>
      <c r="BI109" s="14">
        <f t="shared" si="39"/>
        <v>0</v>
      </c>
      <c r="BJ109" s="14">
        <f t="shared" si="40"/>
        <v>1200</v>
      </c>
      <c r="BK109" s="14">
        <f t="shared" si="35"/>
        <v>480</v>
      </c>
      <c r="BL109" s="14">
        <f t="shared" si="36"/>
        <v>960</v>
      </c>
      <c r="CJ109" s="52">
        <v>105</v>
      </c>
      <c r="CK109" s="52">
        <v>2</v>
      </c>
      <c r="CL109" s="52" t="s">
        <v>257</v>
      </c>
      <c r="CM109" s="52">
        <v>5</v>
      </c>
      <c r="CN109" s="52"/>
      <c r="CO109" s="52"/>
      <c r="CP109" s="52"/>
      <c r="CQ109" s="52" t="s">
        <v>372</v>
      </c>
      <c r="CR109" s="52">
        <v>3840</v>
      </c>
      <c r="CS109" s="52" t="s">
        <v>373</v>
      </c>
      <c r="CT109" s="52">
        <v>10</v>
      </c>
      <c r="CU109" s="52"/>
      <c r="CV109" s="52"/>
      <c r="CW109" s="52" t="s">
        <v>373</v>
      </c>
      <c r="CX109" s="52">
        <v>25</v>
      </c>
      <c r="CY109" s="52"/>
      <c r="CZ109" s="52"/>
      <c r="DA109" s="52"/>
      <c r="DB109" s="52"/>
      <c r="DC109" s="52"/>
      <c r="DD109" s="52"/>
      <c r="DE109" s="52"/>
      <c r="DF109" s="52"/>
      <c r="DG109" s="52"/>
      <c r="DH109" s="52"/>
    </row>
    <row r="110" spans="1:112" ht="16.5" x14ac:dyDescent="0.2">
      <c r="BF110" s="52">
        <v>105</v>
      </c>
      <c r="BG110" s="14">
        <f t="shared" si="37"/>
        <v>0</v>
      </c>
      <c r="BH110" s="14">
        <f t="shared" si="38"/>
        <v>480</v>
      </c>
      <c r="BI110" s="14">
        <f t="shared" si="39"/>
        <v>0</v>
      </c>
      <c r="BJ110" s="14">
        <f t="shared" si="40"/>
        <v>1200</v>
      </c>
      <c r="BK110" s="14">
        <f t="shared" si="35"/>
        <v>480</v>
      </c>
      <c r="BL110" s="14">
        <f t="shared" si="36"/>
        <v>960</v>
      </c>
      <c r="CJ110" s="52">
        <v>106</v>
      </c>
      <c r="CK110" s="52">
        <v>2</v>
      </c>
      <c r="CL110" s="52" t="s">
        <v>257</v>
      </c>
      <c r="CM110" s="52">
        <v>6</v>
      </c>
      <c r="CN110" s="52"/>
      <c r="CO110" s="52"/>
      <c r="CP110" s="52"/>
      <c r="CQ110" s="52" t="s">
        <v>372</v>
      </c>
      <c r="CR110" s="52">
        <v>3840</v>
      </c>
      <c r="CS110" s="52" t="s">
        <v>373</v>
      </c>
      <c r="CT110" s="52">
        <v>15</v>
      </c>
      <c r="CU110" s="52"/>
      <c r="CV110" s="52"/>
      <c r="CW110" s="52" t="s">
        <v>373</v>
      </c>
      <c r="CX110" s="52">
        <v>25</v>
      </c>
      <c r="CY110" s="52"/>
      <c r="CZ110" s="52"/>
      <c r="DA110" s="52"/>
      <c r="DB110" s="52"/>
      <c r="DC110" s="52"/>
      <c r="DD110" s="52"/>
      <c r="DE110" s="52"/>
      <c r="DF110" s="52"/>
      <c r="DG110" s="52"/>
      <c r="DH110" s="52"/>
    </row>
    <row r="111" spans="1:112" ht="16.5" x14ac:dyDescent="0.2">
      <c r="BF111" s="52">
        <v>106</v>
      </c>
      <c r="BG111" s="14">
        <f t="shared" si="37"/>
        <v>0</v>
      </c>
      <c r="BH111" s="14">
        <f t="shared" si="38"/>
        <v>480</v>
      </c>
      <c r="BI111" s="14">
        <f t="shared" si="39"/>
        <v>0</v>
      </c>
      <c r="BJ111" s="14">
        <f t="shared" si="40"/>
        <v>1200</v>
      </c>
      <c r="BK111" s="14">
        <f t="shared" si="35"/>
        <v>480</v>
      </c>
      <c r="BL111" s="14">
        <f t="shared" si="36"/>
        <v>960</v>
      </c>
      <c r="CJ111" s="52">
        <v>107</v>
      </c>
      <c r="CK111" s="52">
        <v>2</v>
      </c>
      <c r="CL111" s="52" t="s">
        <v>257</v>
      </c>
      <c r="CM111" s="52">
        <v>7</v>
      </c>
      <c r="CN111" s="52"/>
      <c r="CO111" s="52"/>
      <c r="CP111" s="52"/>
      <c r="CQ111" s="52" t="s">
        <v>372</v>
      </c>
      <c r="CR111" s="52">
        <v>3840</v>
      </c>
      <c r="CS111" s="52" t="s">
        <v>373</v>
      </c>
      <c r="CT111" s="52">
        <v>15</v>
      </c>
      <c r="CU111" s="52" t="s">
        <v>273</v>
      </c>
      <c r="CV111" s="52">
        <v>1</v>
      </c>
      <c r="CW111" s="52" t="s">
        <v>373</v>
      </c>
      <c r="CX111" s="52">
        <v>25</v>
      </c>
      <c r="CY111" s="52"/>
      <c r="CZ111" s="52"/>
      <c r="DA111" s="52"/>
      <c r="DB111" s="52"/>
      <c r="DC111" s="52"/>
      <c r="DD111" s="52"/>
      <c r="DE111" s="52"/>
      <c r="DF111" s="52"/>
      <c r="DG111" s="52"/>
      <c r="DH111" s="52"/>
    </row>
    <row r="112" spans="1:112" ht="16.5" x14ac:dyDescent="0.2">
      <c r="BF112" s="52">
        <v>107</v>
      </c>
      <c r="BG112" s="14">
        <f t="shared" si="37"/>
        <v>0</v>
      </c>
      <c r="BH112" s="14">
        <f t="shared" si="38"/>
        <v>480</v>
      </c>
      <c r="BI112" s="14">
        <f t="shared" si="39"/>
        <v>0</v>
      </c>
      <c r="BJ112" s="14">
        <f t="shared" si="40"/>
        <v>1200</v>
      </c>
      <c r="BK112" s="14">
        <f t="shared" si="35"/>
        <v>480</v>
      </c>
      <c r="BL112" s="14">
        <f t="shared" si="36"/>
        <v>960</v>
      </c>
      <c r="CJ112" s="52">
        <v>108</v>
      </c>
      <c r="CK112" s="52">
        <v>2</v>
      </c>
      <c r="CL112" s="52" t="s">
        <v>257</v>
      </c>
      <c r="CM112" s="52">
        <v>8</v>
      </c>
      <c r="CN112" s="52"/>
      <c r="CO112" s="52"/>
      <c r="CP112" s="52"/>
      <c r="CQ112" s="52" t="s">
        <v>372</v>
      </c>
      <c r="CR112" s="52">
        <v>3840</v>
      </c>
      <c r="CS112" s="52" t="s">
        <v>373</v>
      </c>
      <c r="CT112" s="52">
        <v>15</v>
      </c>
      <c r="CU112" s="52"/>
      <c r="CV112" s="52"/>
      <c r="CW112" s="52" t="s">
        <v>373</v>
      </c>
      <c r="CX112" s="52">
        <v>25</v>
      </c>
      <c r="CY112" s="52"/>
      <c r="CZ112" s="52"/>
      <c r="DA112" s="52"/>
      <c r="DB112" s="52"/>
      <c r="DC112" s="52"/>
      <c r="DD112" s="52"/>
      <c r="DE112" s="52"/>
      <c r="DF112" s="52"/>
      <c r="DG112" s="52"/>
      <c r="DH112" s="52"/>
    </row>
    <row r="113" spans="58:112" ht="16.5" x14ac:dyDescent="0.2">
      <c r="BF113" s="52">
        <v>108</v>
      </c>
      <c r="BG113" s="14">
        <f t="shared" si="37"/>
        <v>0</v>
      </c>
      <c r="BH113" s="14">
        <f t="shared" si="38"/>
        <v>480</v>
      </c>
      <c r="BI113" s="14">
        <f t="shared" si="39"/>
        <v>0</v>
      </c>
      <c r="BJ113" s="14">
        <f t="shared" si="40"/>
        <v>1200</v>
      </c>
      <c r="BK113" s="14">
        <f t="shared" si="35"/>
        <v>480</v>
      </c>
      <c r="BL113" s="14">
        <f t="shared" si="36"/>
        <v>960</v>
      </c>
      <c r="CJ113" s="52">
        <v>109</v>
      </c>
      <c r="CK113" s="52">
        <v>2</v>
      </c>
      <c r="CL113" s="52" t="s">
        <v>257</v>
      </c>
      <c r="CM113" s="52">
        <v>9</v>
      </c>
      <c r="CN113" s="52"/>
      <c r="CO113" s="52"/>
      <c r="CP113" s="52"/>
      <c r="CQ113" s="52" t="s">
        <v>372</v>
      </c>
      <c r="CR113" s="52">
        <v>3840</v>
      </c>
      <c r="CS113" s="52" t="s">
        <v>373</v>
      </c>
      <c r="CT113" s="52">
        <v>15</v>
      </c>
      <c r="CU113" s="52"/>
      <c r="CV113" s="52"/>
      <c r="CW113" s="52" t="s">
        <v>373</v>
      </c>
      <c r="CX113" s="52">
        <v>25</v>
      </c>
      <c r="CY113" s="52"/>
      <c r="CZ113" s="52"/>
      <c r="DA113" s="52"/>
      <c r="DB113" s="52"/>
      <c r="DC113" s="52"/>
      <c r="DD113" s="52"/>
      <c r="DE113" s="52"/>
      <c r="DF113" s="52"/>
      <c r="DG113" s="52"/>
      <c r="DH113" s="52"/>
    </row>
    <row r="114" spans="58:112" ht="16.5" x14ac:dyDescent="0.2">
      <c r="BF114" s="52">
        <v>109</v>
      </c>
      <c r="BG114" s="14">
        <f t="shared" si="37"/>
        <v>0</v>
      </c>
      <c r="BH114" s="14">
        <f t="shared" si="38"/>
        <v>480</v>
      </c>
      <c r="BI114" s="14">
        <f t="shared" si="39"/>
        <v>0</v>
      </c>
      <c r="BJ114" s="14">
        <f t="shared" si="40"/>
        <v>1200</v>
      </c>
      <c r="BK114" s="14">
        <f t="shared" si="35"/>
        <v>480</v>
      </c>
      <c r="BL114" s="14">
        <f t="shared" si="36"/>
        <v>960</v>
      </c>
      <c r="CJ114" s="52">
        <v>110</v>
      </c>
      <c r="CK114" s="52">
        <v>2</v>
      </c>
      <c r="CL114" s="52" t="s">
        <v>257</v>
      </c>
      <c r="CM114" s="52">
        <v>10</v>
      </c>
      <c r="CN114" s="52"/>
      <c r="CO114" s="52"/>
      <c r="CP114" s="52"/>
      <c r="CQ114" s="52" t="s">
        <v>372</v>
      </c>
      <c r="CR114" s="52">
        <v>3840</v>
      </c>
      <c r="CS114" s="52" t="s">
        <v>373</v>
      </c>
      <c r="CT114" s="52">
        <v>15</v>
      </c>
      <c r="CU114" s="52" t="s">
        <v>274</v>
      </c>
      <c r="CV114" s="52">
        <v>1</v>
      </c>
      <c r="CW114" s="52" t="s">
        <v>373</v>
      </c>
      <c r="CX114" s="52">
        <v>30</v>
      </c>
      <c r="CY114" s="52"/>
      <c r="CZ114" s="52"/>
      <c r="DA114" s="52"/>
      <c r="DB114" s="52"/>
      <c r="DC114" s="52"/>
      <c r="DD114" s="52"/>
      <c r="DE114" s="52"/>
      <c r="DF114" s="52"/>
      <c r="DG114" s="52"/>
      <c r="DH114" s="52"/>
    </row>
    <row r="115" spans="58:112" ht="16.5" x14ac:dyDescent="0.2">
      <c r="BF115" s="52">
        <v>110</v>
      </c>
      <c r="BG115" s="14">
        <f t="shared" si="37"/>
        <v>0</v>
      </c>
      <c r="BH115" s="14">
        <f t="shared" si="38"/>
        <v>480</v>
      </c>
      <c r="BI115" s="14">
        <f t="shared" si="39"/>
        <v>0</v>
      </c>
      <c r="BJ115" s="14">
        <f t="shared" si="40"/>
        <v>1200</v>
      </c>
      <c r="BK115" s="14">
        <f t="shared" si="35"/>
        <v>480</v>
      </c>
      <c r="BL115" s="14">
        <f t="shared" si="36"/>
        <v>960</v>
      </c>
      <c r="CJ115" s="52">
        <v>111</v>
      </c>
      <c r="CK115" s="52">
        <v>2</v>
      </c>
      <c r="CL115" s="52" t="s">
        <v>257</v>
      </c>
      <c r="CM115" s="52">
        <v>11</v>
      </c>
      <c r="CN115" s="52"/>
      <c r="CO115" s="52"/>
      <c r="CP115" s="52"/>
      <c r="CQ115" s="52" t="s">
        <v>372</v>
      </c>
      <c r="CR115" s="52">
        <v>4800</v>
      </c>
      <c r="CS115" s="52" t="s">
        <v>373</v>
      </c>
      <c r="CT115" s="52">
        <v>20</v>
      </c>
      <c r="CU115" s="52"/>
      <c r="CV115" s="52"/>
      <c r="CW115" s="52" t="s">
        <v>373</v>
      </c>
      <c r="CX115" s="52">
        <v>30</v>
      </c>
      <c r="CY115" s="52"/>
      <c r="CZ115" s="52"/>
      <c r="DA115" s="52"/>
      <c r="DB115" s="52"/>
      <c r="DC115" s="52"/>
      <c r="DD115" s="52"/>
      <c r="DE115" s="52"/>
      <c r="DF115" s="52"/>
      <c r="DG115" s="52"/>
      <c r="DH115" s="52"/>
    </row>
    <row r="116" spans="58:112" ht="16.5" x14ac:dyDescent="0.2">
      <c r="BF116" s="52">
        <v>111</v>
      </c>
      <c r="BG116" s="14">
        <f t="shared" si="37"/>
        <v>0</v>
      </c>
      <c r="BH116" s="14">
        <f t="shared" si="38"/>
        <v>480</v>
      </c>
      <c r="BI116" s="14">
        <f t="shared" si="39"/>
        <v>0</v>
      </c>
      <c r="BJ116" s="14">
        <f t="shared" si="40"/>
        <v>1200</v>
      </c>
      <c r="BK116" s="14">
        <f t="shared" si="35"/>
        <v>480</v>
      </c>
      <c r="BL116" s="14">
        <f t="shared" si="36"/>
        <v>960</v>
      </c>
      <c r="CJ116" s="52">
        <v>112</v>
      </c>
      <c r="CK116" s="52">
        <v>2</v>
      </c>
      <c r="CL116" s="52" t="s">
        <v>257</v>
      </c>
      <c r="CM116" s="52">
        <v>12</v>
      </c>
      <c r="CN116" s="52"/>
      <c r="CO116" s="52"/>
      <c r="CP116" s="52"/>
      <c r="CQ116" s="52" t="s">
        <v>372</v>
      </c>
      <c r="CR116" s="52">
        <v>4800</v>
      </c>
      <c r="CS116" s="52" t="s">
        <v>373</v>
      </c>
      <c r="CT116" s="52">
        <v>20</v>
      </c>
      <c r="CU116" s="52"/>
      <c r="CV116" s="52"/>
      <c r="CW116" s="52" t="s">
        <v>373</v>
      </c>
      <c r="CX116" s="52">
        <v>30</v>
      </c>
      <c r="CY116" s="52"/>
      <c r="CZ116" s="52"/>
      <c r="DA116" s="52"/>
      <c r="DB116" s="52"/>
      <c r="DC116" s="52"/>
      <c r="DD116" s="52"/>
      <c r="DE116" s="52"/>
      <c r="DF116" s="52"/>
      <c r="DG116" s="52"/>
      <c r="DH116" s="52"/>
    </row>
    <row r="117" spans="58:112" ht="16.5" x14ac:dyDescent="0.2">
      <c r="BF117" s="52">
        <v>112</v>
      </c>
      <c r="BG117" s="14">
        <f t="shared" si="37"/>
        <v>0</v>
      </c>
      <c r="BH117" s="14">
        <f t="shared" si="38"/>
        <v>480</v>
      </c>
      <c r="BI117" s="14">
        <f t="shared" si="39"/>
        <v>0</v>
      </c>
      <c r="BJ117" s="14">
        <f t="shared" si="40"/>
        <v>1200</v>
      </c>
      <c r="BK117" s="14">
        <f t="shared" si="35"/>
        <v>480</v>
      </c>
      <c r="BL117" s="14">
        <f t="shared" si="36"/>
        <v>960</v>
      </c>
      <c r="CJ117" s="52">
        <v>113</v>
      </c>
      <c r="CK117" s="52">
        <v>2</v>
      </c>
      <c r="CL117" s="52" t="s">
        <v>257</v>
      </c>
      <c r="CM117" s="52">
        <v>13</v>
      </c>
      <c r="CN117" s="52"/>
      <c r="CO117" s="52"/>
      <c r="CP117" s="52"/>
      <c r="CQ117" s="52" t="s">
        <v>372</v>
      </c>
      <c r="CR117" s="52">
        <v>4800</v>
      </c>
      <c r="CS117" s="52" t="s">
        <v>373</v>
      </c>
      <c r="CT117" s="52">
        <v>20</v>
      </c>
      <c r="CU117" s="52"/>
      <c r="CV117" s="52"/>
      <c r="CW117" s="52" t="s">
        <v>373</v>
      </c>
      <c r="CX117" s="52">
        <v>30</v>
      </c>
      <c r="CY117" s="52"/>
      <c r="CZ117" s="52"/>
      <c r="DA117" s="52"/>
      <c r="DB117" s="52"/>
      <c r="DC117" s="52"/>
      <c r="DD117" s="52"/>
      <c r="DE117" s="52"/>
      <c r="DF117" s="52"/>
      <c r="DG117" s="52"/>
      <c r="DH117" s="52"/>
    </row>
    <row r="118" spans="58:112" ht="16.5" x14ac:dyDescent="0.2">
      <c r="BF118" s="52">
        <v>113</v>
      </c>
      <c r="BG118" s="14">
        <f t="shared" si="37"/>
        <v>0</v>
      </c>
      <c r="BH118" s="14">
        <f t="shared" si="38"/>
        <v>480</v>
      </c>
      <c r="BI118" s="14">
        <f t="shared" si="39"/>
        <v>0</v>
      </c>
      <c r="BJ118" s="14">
        <f t="shared" si="40"/>
        <v>1200</v>
      </c>
      <c r="BK118" s="14">
        <f t="shared" si="35"/>
        <v>480</v>
      </c>
      <c r="BL118" s="14">
        <f t="shared" si="36"/>
        <v>960</v>
      </c>
      <c r="CJ118" s="52">
        <v>114</v>
      </c>
      <c r="CK118" s="52">
        <v>2</v>
      </c>
      <c r="CL118" s="52" t="s">
        <v>257</v>
      </c>
      <c r="CM118" s="52">
        <v>14</v>
      </c>
      <c r="CN118" s="52"/>
      <c r="CO118" s="52"/>
      <c r="CP118" s="52"/>
      <c r="CQ118" s="52" t="s">
        <v>372</v>
      </c>
      <c r="CR118" s="52">
        <v>4800</v>
      </c>
      <c r="CS118" s="52" t="s">
        <v>373</v>
      </c>
      <c r="CT118" s="52">
        <v>20</v>
      </c>
      <c r="CU118" s="52"/>
      <c r="CV118" s="52"/>
      <c r="CW118" s="52" t="s">
        <v>373</v>
      </c>
      <c r="CX118" s="52">
        <v>30</v>
      </c>
      <c r="CY118" s="52"/>
      <c r="CZ118" s="52"/>
      <c r="DA118" s="52"/>
      <c r="DB118" s="52"/>
      <c r="DC118" s="52"/>
      <c r="DD118" s="52"/>
      <c r="DE118" s="52"/>
      <c r="DF118" s="52"/>
      <c r="DG118" s="52"/>
      <c r="DH118" s="52"/>
    </row>
    <row r="119" spans="58:112" ht="16.5" x14ac:dyDescent="0.2">
      <c r="BF119" s="52">
        <v>114</v>
      </c>
      <c r="BG119" s="14">
        <f t="shared" si="37"/>
        <v>0</v>
      </c>
      <c r="BH119" s="14">
        <f t="shared" si="38"/>
        <v>480</v>
      </c>
      <c r="BI119" s="14">
        <f t="shared" si="39"/>
        <v>0</v>
      </c>
      <c r="BJ119" s="14">
        <f t="shared" si="40"/>
        <v>1200</v>
      </c>
      <c r="BK119" s="14">
        <f t="shared" si="35"/>
        <v>480</v>
      </c>
      <c r="BL119" s="14">
        <f t="shared" si="36"/>
        <v>960</v>
      </c>
      <c r="CJ119" s="52">
        <v>115</v>
      </c>
      <c r="CK119" s="52">
        <v>2</v>
      </c>
      <c r="CL119" s="52" t="s">
        <v>257</v>
      </c>
      <c r="CM119" s="52">
        <v>15</v>
      </c>
      <c r="CN119" s="52"/>
      <c r="CO119" s="52"/>
      <c r="CP119" s="52"/>
      <c r="CQ119" s="52" t="s">
        <v>372</v>
      </c>
      <c r="CR119" s="52">
        <v>4800</v>
      </c>
      <c r="CS119" s="52" t="s">
        <v>373</v>
      </c>
      <c r="CT119" s="52">
        <v>20</v>
      </c>
      <c r="CU119" s="52" t="s">
        <v>273</v>
      </c>
      <c r="CV119" s="52">
        <v>2</v>
      </c>
      <c r="CW119" s="52" t="s">
        <v>373</v>
      </c>
      <c r="CX119" s="52">
        <v>35</v>
      </c>
      <c r="CY119" s="52"/>
      <c r="CZ119" s="52"/>
      <c r="DA119" s="52"/>
      <c r="DB119" s="52"/>
      <c r="DC119" s="52"/>
      <c r="DD119" s="52"/>
      <c r="DE119" s="52"/>
      <c r="DF119" s="52"/>
      <c r="DG119" s="52"/>
      <c r="DH119" s="52"/>
    </row>
    <row r="120" spans="58:112" ht="16.5" x14ac:dyDescent="0.2">
      <c r="BF120" s="52">
        <v>115</v>
      </c>
      <c r="BG120" s="14">
        <f t="shared" si="37"/>
        <v>0</v>
      </c>
      <c r="BH120" s="14">
        <f t="shared" si="38"/>
        <v>480</v>
      </c>
      <c r="BI120" s="14">
        <f t="shared" si="39"/>
        <v>0</v>
      </c>
      <c r="BJ120" s="14">
        <f t="shared" si="40"/>
        <v>1200</v>
      </c>
      <c r="BK120" s="14">
        <f t="shared" si="35"/>
        <v>480</v>
      </c>
      <c r="BL120" s="14">
        <f t="shared" si="36"/>
        <v>960</v>
      </c>
      <c r="CJ120" s="52">
        <v>116</v>
      </c>
      <c r="CK120" s="52">
        <v>2</v>
      </c>
      <c r="CL120" s="52" t="s">
        <v>257</v>
      </c>
      <c r="CM120" s="52">
        <v>16</v>
      </c>
      <c r="CN120" s="52"/>
      <c r="CO120" s="52"/>
      <c r="CP120" s="52"/>
      <c r="CQ120" s="52" t="s">
        <v>372</v>
      </c>
      <c r="CR120" s="52">
        <v>4800</v>
      </c>
      <c r="CS120" s="52" t="s">
        <v>373</v>
      </c>
      <c r="CT120" s="52">
        <v>25</v>
      </c>
      <c r="CU120" s="52"/>
      <c r="CV120" s="52"/>
      <c r="CW120" s="52" t="s">
        <v>373</v>
      </c>
      <c r="CX120" s="52">
        <v>35</v>
      </c>
      <c r="CY120" s="52"/>
      <c r="CZ120" s="52"/>
      <c r="DA120" s="52"/>
      <c r="DB120" s="52"/>
      <c r="DC120" s="52"/>
      <c r="DD120" s="52"/>
      <c r="DE120" s="52"/>
      <c r="DF120" s="52"/>
      <c r="DG120" s="52"/>
      <c r="DH120" s="52"/>
    </row>
    <row r="121" spans="58:112" ht="16.5" x14ac:dyDescent="0.2">
      <c r="BF121" s="52">
        <v>116</v>
      </c>
      <c r="BG121" s="14">
        <f t="shared" si="37"/>
        <v>0</v>
      </c>
      <c r="BH121" s="14">
        <f t="shared" si="38"/>
        <v>480</v>
      </c>
      <c r="BI121" s="14">
        <f t="shared" si="39"/>
        <v>0</v>
      </c>
      <c r="BJ121" s="14">
        <f t="shared" si="40"/>
        <v>1200</v>
      </c>
      <c r="BK121" s="14">
        <f t="shared" si="35"/>
        <v>480</v>
      </c>
      <c r="BL121" s="14">
        <f t="shared" si="36"/>
        <v>960</v>
      </c>
      <c r="CJ121" s="52">
        <v>117</v>
      </c>
      <c r="CK121" s="52">
        <v>2</v>
      </c>
      <c r="CL121" s="52" t="s">
        <v>257</v>
      </c>
      <c r="CM121" s="52">
        <v>17</v>
      </c>
      <c r="CN121" s="52"/>
      <c r="CO121" s="52"/>
      <c r="CP121" s="52"/>
      <c r="CQ121" s="52" t="s">
        <v>372</v>
      </c>
      <c r="CR121" s="52">
        <v>4800</v>
      </c>
      <c r="CS121" s="52" t="s">
        <v>373</v>
      </c>
      <c r="CT121" s="52">
        <v>25</v>
      </c>
      <c r="CU121" s="52"/>
      <c r="CV121" s="52"/>
      <c r="CW121" s="52" t="s">
        <v>373</v>
      </c>
      <c r="CX121" s="52">
        <v>35</v>
      </c>
      <c r="CY121" s="52"/>
      <c r="CZ121" s="52"/>
      <c r="DA121" s="52"/>
      <c r="DB121" s="52"/>
      <c r="DC121" s="52"/>
      <c r="DD121" s="52"/>
      <c r="DE121" s="52"/>
      <c r="DF121" s="52"/>
      <c r="DG121" s="52"/>
      <c r="DH121" s="52"/>
    </row>
    <row r="122" spans="58:112" ht="16.5" x14ac:dyDescent="0.2">
      <c r="BF122" s="52">
        <v>117</v>
      </c>
      <c r="BG122" s="14">
        <f t="shared" si="37"/>
        <v>0</v>
      </c>
      <c r="BH122" s="14">
        <f t="shared" si="38"/>
        <v>480</v>
      </c>
      <c r="BI122" s="14">
        <f t="shared" si="39"/>
        <v>0</v>
      </c>
      <c r="BJ122" s="14">
        <f t="shared" si="40"/>
        <v>1200</v>
      </c>
      <c r="BK122" s="14">
        <f t="shared" si="35"/>
        <v>480</v>
      </c>
      <c r="BL122" s="14">
        <f t="shared" si="36"/>
        <v>960</v>
      </c>
      <c r="CJ122" s="52">
        <v>118</v>
      </c>
      <c r="CK122" s="52">
        <v>2</v>
      </c>
      <c r="CL122" s="52" t="s">
        <v>257</v>
      </c>
      <c r="CM122" s="52">
        <v>18</v>
      </c>
      <c r="CN122" s="52"/>
      <c r="CO122" s="52"/>
      <c r="CP122" s="52"/>
      <c r="CQ122" s="52" t="s">
        <v>372</v>
      </c>
      <c r="CR122" s="52">
        <v>4800</v>
      </c>
      <c r="CS122" s="52" t="s">
        <v>373</v>
      </c>
      <c r="CT122" s="52">
        <v>25</v>
      </c>
      <c r="CU122" s="52"/>
      <c r="CV122" s="52"/>
      <c r="CW122" s="52" t="s">
        <v>373</v>
      </c>
      <c r="CX122" s="52">
        <v>35</v>
      </c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</row>
    <row r="123" spans="58:112" ht="16.5" x14ac:dyDescent="0.2">
      <c r="BF123" s="52">
        <v>118</v>
      </c>
      <c r="BG123" s="14">
        <f t="shared" si="37"/>
        <v>0</v>
      </c>
      <c r="BH123" s="14">
        <f t="shared" si="38"/>
        <v>480</v>
      </c>
      <c r="BI123" s="14">
        <f t="shared" si="39"/>
        <v>0</v>
      </c>
      <c r="BJ123" s="14">
        <f t="shared" si="40"/>
        <v>1200</v>
      </c>
      <c r="BK123" s="14">
        <f t="shared" si="35"/>
        <v>480</v>
      </c>
      <c r="BL123" s="14">
        <f t="shared" si="36"/>
        <v>960</v>
      </c>
      <c r="CJ123" s="52">
        <v>119</v>
      </c>
      <c r="CK123" s="52">
        <v>2</v>
      </c>
      <c r="CL123" s="52" t="s">
        <v>257</v>
      </c>
      <c r="CM123" s="52">
        <v>19</v>
      </c>
      <c r="CN123" s="52"/>
      <c r="CO123" s="52"/>
      <c r="CP123" s="52"/>
      <c r="CQ123" s="52" t="s">
        <v>372</v>
      </c>
      <c r="CR123" s="52">
        <v>4800</v>
      </c>
      <c r="CS123" s="52" t="s">
        <v>373</v>
      </c>
      <c r="CT123" s="52">
        <v>25</v>
      </c>
      <c r="CU123" s="52"/>
      <c r="CV123" s="52"/>
      <c r="CW123" s="52" t="s">
        <v>373</v>
      </c>
      <c r="CX123" s="52">
        <v>35</v>
      </c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</row>
    <row r="124" spans="58:112" ht="16.5" x14ac:dyDescent="0.2">
      <c r="BF124" s="52">
        <v>119</v>
      </c>
      <c r="BG124" s="14">
        <f t="shared" si="37"/>
        <v>0</v>
      </c>
      <c r="BH124" s="14">
        <f t="shared" si="38"/>
        <v>480</v>
      </c>
      <c r="BI124" s="14">
        <f t="shared" si="39"/>
        <v>0</v>
      </c>
      <c r="BJ124" s="14">
        <f t="shared" si="40"/>
        <v>1200</v>
      </c>
      <c r="BK124" s="14">
        <f t="shared" si="35"/>
        <v>480</v>
      </c>
      <c r="BL124" s="14">
        <f t="shared" si="36"/>
        <v>960</v>
      </c>
      <c r="CJ124" s="52">
        <v>120</v>
      </c>
      <c r="CK124" s="52">
        <v>2</v>
      </c>
      <c r="CL124" s="52" t="s">
        <v>257</v>
      </c>
      <c r="CM124" s="52">
        <v>20</v>
      </c>
      <c r="CN124" s="52"/>
      <c r="CO124" s="52"/>
      <c r="CP124" s="52"/>
      <c r="CQ124" s="52" t="s">
        <v>372</v>
      </c>
      <c r="CR124" s="52">
        <v>6000</v>
      </c>
      <c r="CS124" s="52" t="s">
        <v>373</v>
      </c>
      <c r="CT124" s="52">
        <v>25</v>
      </c>
      <c r="CU124" s="52" t="s">
        <v>274</v>
      </c>
      <c r="CV124" s="52">
        <v>2</v>
      </c>
      <c r="CW124" s="52" t="s">
        <v>373</v>
      </c>
      <c r="CX124" s="52">
        <v>40</v>
      </c>
      <c r="CY124" s="52"/>
      <c r="CZ124" s="52"/>
      <c r="DA124" s="52"/>
      <c r="DB124" s="52"/>
      <c r="DC124" s="52"/>
      <c r="DD124" s="52"/>
      <c r="DE124" s="52"/>
      <c r="DF124" s="52"/>
      <c r="DG124" s="52"/>
      <c r="DH124" s="52"/>
    </row>
    <row r="125" spans="58:112" ht="16.5" x14ac:dyDescent="0.2">
      <c r="BF125" s="52">
        <v>120</v>
      </c>
      <c r="BG125" s="14">
        <f t="shared" si="37"/>
        <v>0</v>
      </c>
      <c r="BH125" s="14">
        <f t="shared" si="38"/>
        <v>480</v>
      </c>
      <c r="BI125" s="14">
        <f t="shared" si="39"/>
        <v>0</v>
      </c>
      <c r="BJ125" s="14">
        <f t="shared" si="40"/>
        <v>1200</v>
      </c>
      <c r="BK125" s="14">
        <f t="shared" si="35"/>
        <v>480</v>
      </c>
      <c r="BL125" s="14">
        <f t="shared" si="36"/>
        <v>960</v>
      </c>
      <c r="CJ125" s="52">
        <v>121</v>
      </c>
      <c r="CK125" s="52">
        <v>2</v>
      </c>
      <c r="CL125" s="52" t="s">
        <v>257</v>
      </c>
      <c r="CM125" s="52">
        <v>21</v>
      </c>
      <c r="CN125" s="52"/>
      <c r="CO125" s="52"/>
      <c r="CP125" s="52"/>
      <c r="CQ125" s="52" t="s">
        <v>372</v>
      </c>
      <c r="CR125" s="52">
        <v>6000</v>
      </c>
      <c r="CS125" s="52" t="s">
        <v>373</v>
      </c>
      <c r="CT125" s="52">
        <v>30</v>
      </c>
      <c r="CU125" s="52"/>
      <c r="CV125" s="52"/>
      <c r="CW125" s="52" t="s">
        <v>373</v>
      </c>
      <c r="CX125" s="52">
        <v>40</v>
      </c>
      <c r="CY125" s="52"/>
      <c r="CZ125" s="52"/>
      <c r="DA125" s="52"/>
      <c r="DB125" s="52"/>
      <c r="DC125" s="52"/>
      <c r="DD125" s="52"/>
      <c r="DE125" s="52"/>
      <c r="DF125" s="52"/>
      <c r="DG125" s="52"/>
      <c r="DH125" s="52"/>
    </row>
    <row r="126" spans="58:112" ht="16.5" x14ac:dyDescent="0.2">
      <c r="BF126" s="52">
        <v>121</v>
      </c>
      <c r="BG126" s="14">
        <f t="shared" si="37"/>
        <v>0</v>
      </c>
      <c r="BH126" s="14">
        <f t="shared" si="38"/>
        <v>480</v>
      </c>
      <c r="BI126" s="14">
        <f t="shared" si="39"/>
        <v>0</v>
      </c>
      <c r="BJ126" s="14">
        <f t="shared" si="40"/>
        <v>1200</v>
      </c>
      <c r="BK126" s="14">
        <f t="shared" si="35"/>
        <v>480</v>
      </c>
      <c r="BL126" s="14">
        <f t="shared" si="36"/>
        <v>960</v>
      </c>
      <c r="CJ126" s="52">
        <v>122</v>
      </c>
      <c r="CK126" s="52">
        <v>2</v>
      </c>
      <c r="CL126" s="52" t="s">
        <v>257</v>
      </c>
      <c r="CM126" s="52">
        <v>22</v>
      </c>
      <c r="CN126" s="52"/>
      <c r="CO126" s="52"/>
      <c r="CP126" s="52"/>
      <c r="CQ126" s="52" t="s">
        <v>372</v>
      </c>
      <c r="CR126" s="52">
        <v>6000</v>
      </c>
      <c r="CS126" s="52" t="s">
        <v>373</v>
      </c>
      <c r="CT126" s="52">
        <v>30</v>
      </c>
      <c r="CU126" s="52"/>
      <c r="CV126" s="52"/>
      <c r="CW126" s="52" t="s">
        <v>373</v>
      </c>
      <c r="CX126" s="52">
        <v>40</v>
      </c>
      <c r="CY126" s="52"/>
      <c r="CZ126" s="52"/>
      <c r="DA126" s="52"/>
      <c r="DB126" s="52"/>
      <c r="DC126" s="52"/>
      <c r="DD126" s="52"/>
      <c r="DE126" s="52"/>
      <c r="DF126" s="52"/>
      <c r="DG126" s="52"/>
      <c r="DH126" s="52"/>
    </row>
    <row r="127" spans="58:112" ht="16.5" x14ac:dyDescent="0.2">
      <c r="BF127" s="52">
        <v>122</v>
      </c>
      <c r="BG127" s="14">
        <f t="shared" si="37"/>
        <v>0</v>
      </c>
      <c r="BH127" s="14">
        <f t="shared" si="38"/>
        <v>480</v>
      </c>
      <c r="BI127" s="14">
        <f t="shared" si="39"/>
        <v>0</v>
      </c>
      <c r="BJ127" s="14">
        <f t="shared" si="40"/>
        <v>1200</v>
      </c>
      <c r="BK127" s="14">
        <f t="shared" si="35"/>
        <v>480</v>
      </c>
      <c r="BL127" s="14">
        <f t="shared" si="36"/>
        <v>960</v>
      </c>
      <c r="CJ127" s="52">
        <v>123</v>
      </c>
      <c r="CK127" s="52">
        <v>2</v>
      </c>
      <c r="CL127" s="52" t="s">
        <v>257</v>
      </c>
      <c r="CM127" s="52">
        <v>23</v>
      </c>
      <c r="CN127" s="52"/>
      <c r="CO127" s="52"/>
      <c r="CP127" s="52"/>
      <c r="CQ127" s="52" t="s">
        <v>372</v>
      </c>
      <c r="CR127" s="52">
        <v>6000</v>
      </c>
      <c r="CS127" s="52" t="s">
        <v>373</v>
      </c>
      <c r="CT127" s="52">
        <v>30</v>
      </c>
      <c r="CU127" s="52"/>
      <c r="CV127" s="52"/>
      <c r="CW127" s="52" t="s">
        <v>373</v>
      </c>
      <c r="CX127" s="52">
        <v>40</v>
      </c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</row>
    <row r="128" spans="58:112" ht="16.5" x14ac:dyDescent="0.2">
      <c r="BF128" s="52">
        <v>123</v>
      </c>
      <c r="BG128" s="14">
        <f t="shared" si="37"/>
        <v>0</v>
      </c>
      <c r="BH128" s="14">
        <f t="shared" si="38"/>
        <v>480</v>
      </c>
      <c r="BI128" s="14">
        <f t="shared" si="39"/>
        <v>0</v>
      </c>
      <c r="BJ128" s="14">
        <f t="shared" si="40"/>
        <v>1200</v>
      </c>
      <c r="BK128" s="14">
        <f t="shared" si="35"/>
        <v>480</v>
      </c>
      <c r="BL128" s="14">
        <f t="shared" si="36"/>
        <v>960</v>
      </c>
      <c r="CJ128" s="52">
        <v>124</v>
      </c>
      <c r="CK128" s="52">
        <v>2</v>
      </c>
      <c r="CL128" s="52" t="s">
        <v>257</v>
      </c>
      <c r="CM128" s="52">
        <v>24</v>
      </c>
      <c r="CN128" s="52"/>
      <c r="CO128" s="52"/>
      <c r="CP128" s="52"/>
      <c r="CQ128" s="52" t="s">
        <v>372</v>
      </c>
      <c r="CR128" s="52">
        <v>6000</v>
      </c>
      <c r="CS128" s="52" t="s">
        <v>373</v>
      </c>
      <c r="CT128" s="52">
        <v>30</v>
      </c>
      <c r="CU128" s="52"/>
      <c r="CV128" s="52"/>
      <c r="CW128" s="52" t="s">
        <v>373</v>
      </c>
      <c r="CX128" s="52">
        <v>40</v>
      </c>
      <c r="CY128" s="52"/>
      <c r="CZ128" s="52"/>
      <c r="DA128" s="52"/>
      <c r="DB128" s="52"/>
      <c r="DC128" s="52"/>
      <c r="DD128" s="52"/>
      <c r="DE128" s="52"/>
      <c r="DF128" s="52"/>
      <c r="DG128" s="52"/>
      <c r="DH128" s="52"/>
    </row>
    <row r="129" spans="58:112" ht="16.5" x14ac:dyDescent="0.2">
      <c r="BF129" s="52">
        <v>124</v>
      </c>
      <c r="BG129" s="14">
        <f t="shared" si="37"/>
        <v>0</v>
      </c>
      <c r="BH129" s="14">
        <f t="shared" si="38"/>
        <v>480</v>
      </c>
      <c r="BI129" s="14">
        <f t="shared" si="39"/>
        <v>0</v>
      </c>
      <c r="BJ129" s="14">
        <f t="shared" si="40"/>
        <v>1200</v>
      </c>
      <c r="BK129" s="14">
        <f t="shared" si="35"/>
        <v>480</v>
      </c>
      <c r="BL129" s="14">
        <f t="shared" si="36"/>
        <v>960</v>
      </c>
      <c r="CJ129" s="52">
        <v>125</v>
      </c>
      <c r="CK129" s="52">
        <v>2</v>
      </c>
      <c r="CL129" s="52" t="s">
        <v>257</v>
      </c>
      <c r="CM129" s="52">
        <v>25</v>
      </c>
      <c r="CN129" s="52"/>
      <c r="CO129" s="52"/>
      <c r="CP129" s="52"/>
      <c r="CQ129" s="52" t="s">
        <v>372</v>
      </c>
      <c r="CR129" s="52">
        <v>6000</v>
      </c>
      <c r="CS129" s="52" t="s">
        <v>373</v>
      </c>
      <c r="CT129" s="52">
        <v>30</v>
      </c>
      <c r="CU129" s="52" t="s">
        <v>273</v>
      </c>
      <c r="CV129" s="52">
        <v>2</v>
      </c>
      <c r="CW129" s="52" t="s">
        <v>373</v>
      </c>
      <c r="CX129" s="52">
        <v>45</v>
      </c>
      <c r="CY129" s="52"/>
      <c r="CZ129" s="52"/>
      <c r="DA129" s="52"/>
      <c r="DB129" s="52"/>
      <c r="DC129" s="52"/>
      <c r="DD129" s="52"/>
      <c r="DE129" s="52"/>
      <c r="DF129" s="52"/>
      <c r="DG129" s="52"/>
      <c r="DH129" s="52"/>
    </row>
    <row r="130" spans="58:112" ht="16.5" x14ac:dyDescent="0.2">
      <c r="BF130" s="52">
        <v>125</v>
      </c>
      <c r="BG130" s="14">
        <f t="shared" si="37"/>
        <v>0</v>
      </c>
      <c r="BH130" s="14">
        <f t="shared" si="38"/>
        <v>480</v>
      </c>
      <c r="BI130" s="14">
        <f t="shared" si="39"/>
        <v>0</v>
      </c>
      <c r="BJ130" s="14">
        <f t="shared" si="40"/>
        <v>1200</v>
      </c>
      <c r="BK130" s="14">
        <f t="shared" si="35"/>
        <v>480</v>
      </c>
      <c r="BL130" s="14">
        <f t="shared" si="36"/>
        <v>960</v>
      </c>
      <c r="CJ130" s="52">
        <v>126</v>
      </c>
      <c r="CK130" s="52">
        <v>2</v>
      </c>
      <c r="CL130" s="52" t="s">
        <v>257</v>
      </c>
      <c r="CM130" s="52">
        <v>26</v>
      </c>
      <c r="CN130" s="52"/>
      <c r="CO130" s="52"/>
      <c r="CP130" s="52"/>
      <c r="CQ130" s="52" t="s">
        <v>372</v>
      </c>
      <c r="CR130" s="52">
        <v>6000</v>
      </c>
      <c r="CS130" s="52" t="s">
        <v>373</v>
      </c>
      <c r="CT130" s="52">
        <v>35</v>
      </c>
      <c r="CU130" s="52"/>
      <c r="CV130" s="52"/>
      <c r="CW130" s="52" t="s">
        <v>373</v>
      </c>
      <c r="CX130" s="52">
        <v>45</v>
      </c>
      <c r="CY130" s="52"/>
      <c r="CZ130" s="52"/>
      <c r="DA130" s="52"/>
      <c r="DB130" s="52"/>
      <c r="DC130" s="52"/>
      <c r="DD130" s="52"/>
      <c r="DE130" s="52"/>
      <c r="DF130" s="52"/>
      <c r="DG130" s="52"/>
      <c r="DH130" s="52"/>
    </row>
    <row r="131" spans="58:112" ht="16.5" x14ac:dyDescent="0.2">
      <c r="BF131" s="52">
        <v>126</v>
      </c>
      <c r="BG131" s="14">
        <f t="shared" si="37"/>
        <v>0</v>
      </c>
      <c r="BH131" s="14">
        <f t="shared" si="38"/>
        <v>480</v>
      </c>
      <c r="BI131" s="14">
        <f t="shared" si="39"/>
        <v>0</v>
      </c>
      <c r="BJ131" s="14">
        <f t="shared" si="40"/>
        <v>1200</v>
      </c>
      <c r="BK131" s="14">
        <f t="shared" si="35"/>
        <v>480</v>
      </c>
      <c r="BL131" s="14">
        <f t="shared" si="36"/>
        <v>960</v>
      </c>
      <c r="CJ131" s="52">
        <v>127</v>
      </c>
      <c r="CK131" s="52">
        <v>2</v>
      </c>
      <c r="CL131" s="52" t="s">
        <v>257</v>
      </c>
      <c r="CM131" s="52">
        <v>27</v>
      </c>
      <c r="CN131" s="52"/>
      <c r="CO131" s="52"/>
      <c r="CP131" s="52"/>
      <c r="CQ131" s="52" t="s">
        <v>372</v>
      </c>
      <c r="CR131" s="52">
        <v>6000</v>
      </c>
      <c r="CS131" s="52" t="s">
        <v>373</v>
      </c>
      <c r="CT131" s="52">
        <v>35</v>
      </c>
      <c r="CU131" s="52"/>
      <c r="CV131" s="52"/>
      <c r="CW131" s="52" t="s">
        <v>373</v>
      </c>
      <c r="CX131" s="52">
        <v>45</v>
      </c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</row>
    <row r="132" spans="58:112" ht="16.5" x14ac:dyDescent="0.2">
      <c r="BF132" s="52">
        <v>127</v>
      </c>
      <c r="BG132" s="14">
        <f t="shared" si="37"/>
        <v>0</v>
      </c>
      <c r="BH132" s="14">
        <f t="shared" si="38"/>
        <v>480</v>
      </c>
      <c r="BI132" s="14">
        <f t="shared" si="39"/>
        <v>0</v>
      </c>
      <c r="BJ132" s="14">
        <f t="shared" si="40"/>
        <v>1200</v>
      </c>
      <c r="BK132" s="14">
        <f t="shared" si="35"/>
        <v>480</v>
      </c>
      <c r="BL132" s="14">
        <f t="shared" si="36"/>
        <v>960</v>
      </c>
      <c r="CJ132" s="52">
        <v>128</v>
      </c>
      <c r="CK132" s="52">
        <v>2</v>
      </c>
      <c r="CL132" s="52" t="s">
        <v>257</v>
      </c>
      <c r="CM132" s="52">
        <v>28</v>
      </c>
      <c r="CN132" s="52"/>
      <c r="CO132" s="52"/>
      <c r="CP132" s="52"/>
      <c r="CQ132" s="52" t="s">
        <v>372</v>
      </c>
      <c r="CR132" s="52">
        <v>6000</v>
      </c>
      <c r="CS132" s="52" t="s">
        <v>373</v>
      </c>
      <c r="CT132" s="52">
        <v>35</v>
      </c>
      <c r="CU132" s="52"/>
      <c r="CV132" s="52"/>
      <c r="CW132" s="52" t="s">
        <v>373</v>
      </c>
      <c r="CX132" s="52">
        <v>45</v>
      </c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</row>
    <row r="133" spans="58:112" ht="16.5" x14ac:dyDescent="0.2">
      <c r="BF133" s="52">
        <v>128</v>
      </c>
      <c r="BG133" s="14">
        <f t="shared" si="37"/>
        <v>0</v>
      </c>
      <c r="BH133" s="14">
        <f t="shared" si="38"/>
        <v>480</v>
      </c>
      <c r="BI133" s="14">
        <f t="shared" si="39"/>
        <v>0</v>
      </c>
      <c r="BJ133" s="14">
        <f t="shared" si="40"/>
        <v>1200</v>
      </c>
      <c r="BK133" s="14">
        <f t="shared" si="35"/>
        <v>480</v>
      </c>
      <c r="BL133" s="14">
        <f t="shared" si="36"/>
        <v>960</v>
      </c>
      <c r="CJ133" s="52">
        <v>129</v>
      </c>
      <c r="CK133" s="52">
        <v>2</v>
      </c>
      <c r="CL133" s="52" t="s">
        <v>257</v>
      </c>
      <c r="CM133" s="52">
        <v>29</v>
      </c>
      <c r="CN133" s="52"/>
      <c r="CO133" s="52"/>
      <c r="CP133" s="52"/>
      <c r="CQ133" s="52" t="s">
        <v>372</v>
      </c>
      <c r="CR133" s="52">
        <v>6000</v>
      </c>
      <c r="CS133" s="52" t="s">
        <v>373</v>
      </c>
      <c r="CT133" s="52">
        <v>35</v>
      </c>
      <c r="CU133" s="52"/>
      <c r="CV133" s="52"/>
      <c r="CW133" s="52" t="s">
        <v>373</v>
      </c>
      <c r="CX133" s="52">
        <v>45</v>
      </c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</row>
    <row r="134" spans="58:112" ht="16.5" x14ac:dyDescent="0.2">
      <c r="BF134" s="52">
        <v>129</v>
      </c>
      <c r="BG134" s="14">
        <f t="shared" si="37"/>
        <v>0</v>
      </c>
      <c r="BH134" s="14">
        <f t="shared" si="38"/>
        <v>480</v>
      </c>
      <c r="BI134" s="14">
        <f t="shared" si="39"/>
        <v>0</v>
      </c>
      <c r="BJ134" s="14">
        <f t="shared" si="40"/>
        <v>1200</v>
      </c>
      <c r="BK134" s="14">
        <f t="shared" si="35"/>
        <v>480</v>
      </c>
      <c r="BL134" s="14">
        <f t="shared" si="36"/>
        <v>960</v>
      </c>
      <c r="CJ134" s="52">
        <v>130</v>
      </c>
      <c r="CK134" s="52">
        <v>2</v>
      </c>
      <c r="CL134" s="52" t="s">
        <v>257</v>
      </c>
      <c r="CM134" s="52">
        <v>30</v>
      </c>
      <c r="CN134" s="52"/>
      <c r="CO134" s="52"/>
      <c r="CP134" s="52"/>
      <c r="CQ134" s="52" t="s">
        <v>372</v>
      </c>
      <c r="CR134" s="52">
        <v>7200</v>
      </c>
      <c r="CS134" s="52" t="s">
        <v>373</v>
      </c>
      <c r="CT134" s="52">
        <v>35</v>
      </c>
      <c r="CU134" s="52" t="s">
        <v>273</v>
      </c>
      <c r="CV134" s="52">
        <v>2</v>
      </c>
      <c r="CW134" s="52" t="s">
        <v>373</v>
      </c>
      <c r="CX134" s="52">
        <v>50</v>
      </c>
      <c r="CY134" s="52"/>
      <c r="CZ134" s="52"/>
      <c r="DA134" s="52"/>
      <c r="DB134" s="52"/>
      <c r="DC134" s="52"/>
      <c r="DD134" s="52"/>
      <c r="DE134" s="52"/>
      <c r="DF134" s="52"/>
      <c r="DG134" s="52"/>
      <c r="DH134" s="52"/>
    </row>
    <row r="135" spans="58:112" ht="16.5" x14ac:dyDescent="0.2">
      <c r="BF135" s="52">
        <v>130</v>
      </c>
      <c r="BG135" s="14">
        <f t="shared" si="37"/>
        <v>0</v>
      </c>
      <c r="BH135" s="14">
        <f t="shared" si="38"/>
        <v>480</v>
      </c>
      <c r="BI135" s="14">
        <f t="shared" si="39"/>
        <v>0</v>
      </c>
      <c r="BJ135" s="14">
        <f t="shared" si="40"/>
        <v>1200</v>
      </c>
      <c r="BK135" s="14">
        <f t="shared" ref="BK135:BK198" si="41">BG135+BH134</f>
        <v>480</v>
      </c>
      <c r="BL135" s="14">
        <f t="shared" ref="BL135:BL198" si="42">BK135*BL$3</f>
        <v>960</v>
      </c>
      <c r="CJ135" s="52">
        <v>131</v>
      </c>
      <c r="CK135" s="52">
        <v>2</v>
      </c>
      <c r="CL135" s="52" t="s">
        <v>257</v>
      </c>
      <c r="CM135" s="52">
        <v>31</v>
      </c>
      <c r="CN135" s="52"/>
      <c r="CO135" s="52"/>
      <c r="CP135" s="52"/>
      <c r="CQ135" s="52" t="s">
        <v>372</v>
      </c>
      <c r="CR135" s="52">
        <v>7200</v>
      </c>
      <c r="CS135" s="52" t="s">
        <v>373</v>
      </c>
      <c r="CT135" s="52">
        <v>40</v>
      </c>
      <c r="CU135" s="52"/>
      <c r="CV135" s="52"/>
      <c r="CW135" s="52" t="s">
        <v>373</v>
      </c>
      <c r="CX135" s="52">
        <v>50</v>
      </c>
      <c r="CY135" s="52"/>
      <c r="CZ135" s="52"/>
      <c r="DA135" s="52"/>
      <c r="DB135" s="52"/>
      <c r="DC135" s="52"/>
      <c r="DD135" s="52"/>
      <c r="DE135" s="52"/>
      <c r="DF135" s="52"/>
      <c r="DG135" s="52"/>
      <c r="DH135" s="52"/>
    </row>
    <row r="136" spans="58:112" ht="16.5" x14ac:dyDescent="0.2">
      <c r="BF136" s="52">
        <v>131</v>
      </c>
      <c r="BG136" s="14">
        <f t="shared" si="37"/>
        <v>0</v>
      </c>
      <c r="BH136" s="14">
        <f t="shared" si="38"/>
        <v>480</v>
      </c>
      <c r="BI136" s="14">
        <f t="shared" si="39"/>
        <v>0</v>
      </c>
      <c r="BJ136" s="14">
        <f t="shared" si="40"/>
        <v>1200</v>
      </c>
      <c r="BK136" s="14">
        <f t="shared" si="41"/>
        <v>480</v>
      </c>
      <c r="BL136" s="14">
        <f t="shared" si="42"/>
        <v>960</v>
      </c>
      <c r="CJ136" s="52">
        <v>132</v>
      </c>
      <c r="CK136" s="52">
        <v>2</v>
      </c>
      <c r="CL136" s="52" t="s">
        <v>257</v>
      </c>
      <c r="CM136" s="52">
        <v>32</v>
      </c>
      <c r="CN136" s="52"/>
      <c r="CO136" s="52"/>
      <c r="CP136" s="52"/>
      <c r="CQ136" s="52" t="s">
        <v>372</v>
      </c>
      <c r="CR136" s="52">
        <v>7200</v>
      </c>
      <c r="CS136" s="52" t="s">
        <v>373</v>
      </c>
      <c r="CT136" s="52">
        <v>40</v>
      </c>
      <c r="CU136" s="52"/>
      <c r="CV136" s="52"/>
      <c r="CW136" s="52" t="s">
        <v>373</v>
      </c>
      <c r="CX136" s="52">
        <v>50</v>
      </c>
      <c r="CY136" s="52"/>
      <c r="CZ136" s="52"/>
      <c r="DA136" s="52"/>
      <c r="DB136" s="52"/>
      <c r="DC136" s="52"/>
      <c r="DD136" s="52"/>
      <c r="DE136" s="52"/>
      <c r="DF136" s="52"/>
      <c r="DG136" s="52"/>
      <c r="DH136" s="52"/>
    </row>
    <row r="137" spans="58:112" ht="16.5" x14ac:dyDescent="0.2">
      <c r="BF137" s="52">
        <v>132</v>
      </c>
      <c r="BG137" s="14">
        <f t="shared" si="37"/>
        <v>0</v>
      </c>
      <c r="BH137" s="14">
        <f t="shared" si="38"/>
        <v>480</v>
      </c>
      <c r="BI137" s="14">
        <f t="shared" si="39"/>
        <v>0</v>
      </c>
      <c r="BJ137" s="14">
        <f t="shared" si="40"/>
        <v>1200</v>
      </c>
      <c r="BK137" s="14">
        <f t="shared" si="41"/>
        <v>480</v>
      </c>
      <c r="BL137" s="14">
        <f t="shared" si="42"/>
        <v>960</v>
      </c>
      <c r="CJ137" s="52">
        <v>133</v>
      </c>
      <c r="CK137" s="52">
        <v>2</v>
      </c>
      <c r="CL137" s="52" t="s">
        <v>257</v>
      </c>
      <c r="CM137" s="52">
        <v>33</v>
      </c>
      <c r="CN137" s="52"/>
      <c r="CO137" s="52"/>
      <c r="CP137" s="52"/>
      <c r="CQ137" s="52" t="s">
        <v>372</v>
      </c>
      <c r="CR137" s="52">
        <v>7200</v>
      </c>
      <c r="CS137" s="52" t="s">
        <v>373</v>
      </c>
      <c r="CT137" s="52">
        <v>40</v>
      </c>
      <c r="CU137" s="52"/>
      <c r="CV137" s="52"/>
      <c r="CW137" s="52" t="s">
        <v>373</v>
      </c>
      <c r="CX137" s="52">
        <v>50</v>
      </c>
      <c r="CY137" s="52"/>
      <c r="CZ137" s="52"/>
      <c r="DA137" s="52"/>
      <c r="DB137" s="52"/>
      <c r="DC137" s="52"/>
      <c r="DD137" s="52"/>
      <c r="DE137" s="52"/>
      <c r="DF137" s="52"/>
      <c r="DG137" s="52"/>
      <c r="DH137" s="52"/>
    </row>
    <row r="138" spans="58:112" ht="16.5" x14ac:dyDescent="0.2">
      <c r="BF138" s="52">
        <v>133</v>
      </c>
      <c r="BG138" s="14">
        <f t="shared" si="37"/>
        <v>0</v>
      </c>
      <c r="BH138" s="14">
        <f t="shared" si="38"/>
        <v>480</v>
      </c>
      <c r="BI138" s="14">
        <f t="shared" si="39"/>
        <v>0</v>
      </c>
      <c r="BJ138" s="14">
        <f t="shared" si="40"/>
        <v>1200</v>
      </c>
      <c r="BK138" s="14">
        <f t="shared" si="41"/>
        <v>480</v>
      </c>
      <c r="BL138" s="14">
        <f t="shared" si="42"/>
        <v>960</v>
      </c>
      <c r="CJ138" s="52">
        <v>134</v>
      </c>
      <c r="CK138" s="52">
        <v>2</v>
      </c>
      <c r="CL138" s="52" t="s">
        <v>257</v>
      </c>
      <c r="CM138" s="52">
        <v>34</v>
      </c>
      <c r="CN138" s="52"/>
      <c r="CO138" s="52"/>
      <c r="CP138" s="52"/>
      <c r="CQ138" s="52" t="s">
        <v>372</v>
      </c>
      <c r="CR138" s="52">
        <v>7200</v>
      </c>
      <c r="CS138" s="52" t="s">
        <v>373</v>
      </c>
      <c r="CT138" s="52">
        <v>40</v>
      </c>
      <c r="CU138" s="52"/>
      <c r="CV138" s="52"/>
      <c r="CW138" s="52" t="s">
        <v>373</v>
      </c>
      <c r="CX138" s="52">
        <v>50</v>
      </c>
      <c r="CY138" s="52"/>
      <c r="CZ138" s="52"/>
      <c r="DA138" s="52"/>
      <c r="DB138" s="52"/>
      <c r="DC138" s="52"/>
      <c r="DD138" s="52"/>
      <c r="DE138" s="52"/>
      <c r="DF138" s="52"/>
      <c r="DG138" s="52"/>
      <c r="DH138" s="52"/>
    </row>
    <row r="139" spans="58:112" ht="16.5" x14ac:dyDescent="0.2">
      <c r="BF139" s="52">
        <v>134</v>
      </c>
      <c r="BG139" s="14">
        <f t="shared" si="37"/>
        <v>0</v>
      </c>
      <c r="BH139" s="14">
        <f t="shared" si="38"/>
        <v>480</v>
      </c>
      <c r="BI139" s="14">
        <f t="shared" si="39"/>
        <v>0</v>
      </c>
      <c r="BJ139" s="14">
        <f t="shared" si="40"/>
        <v>1200</v>
      </c>
      <c r="BK139" s="14">
        <f t="shared" si="41"/>
        <v>480</v>
      </c>
      <c r="BL139" s="14">
        <f t="shared" si="42"/>
        <v>960</v>
      </c>
      <c r="CJ139" s="52">
        <v>135</v>
      </c>
      <c r="CK139" s="52">
        <v>2</v>
      </c>
      <c r="CL139" s="52" t="s">
        <v>257</v>
      </c>
      <c r="CM139" s="52">
        <v>35</v>
      </c>
      <c r="CN139" s="52"/>
      <c r="CO139" s="52"/>
      <c r="CP139" s="52"/>
      <c r="CQ139" s="52" t="s">
        <v>372</v>
      </c>
      <c r="CR139" s="52">
        <v>7200</v>
      </c>
      <c r="CS139" s="52" t="s">
        <v>373</v>
      </c>
      <c r="CT139" s="52">
        <v>40</v>
      </c>
      <c r="CU139" s="52" t="s">
        <v>274</v>
      </c>
      <c r="CV139" s="52">
        <v>2</v>
      </c>
      <c r="CW139" s="52" t="s">
        <v>373</v>
      </c>
      <c r="CX139" s="52">
        <v>55</v>
      </c>
      <c r="CY139" s="52"/>
      <c r="CZ139" s="52"/>
      <c r="DA139" s="52"/>
      <c r="DB139" s="52"/>
      <c r="DC139" s="52"/>
      <c r="DD139" s="52"/>
      <c r="DE139" s="52"/>
      <c r="DF139" s="52"/>
      <c r="DG139" s="52"/>
      <c r="DH139" s="52"/>
    </row>
    <row r="140" spans="58:112" ht="16.5" x14ac:dyDescent="0.2">
      <c r="BF140" s="52">
        <v>135</v>
      </c>
      <c r="BG140" s="14">
        <f t="shared" si="37"/>
        <v>0</v>
      </c>
      <c r="BH140" s="14">
        <f t="shared" si="38"/>
        <v>480</v>
      </c>
      <c r="BI140" s="14">
        <f t="shared" si="39"/>
        <v>0</v>
      </c>
      <c r="BJ140" s="14">
        <f t="shared" si="40"/>
        <v>1200</v>
      </c>
      <c r="BK140" s="14">
        <f t="shared" si="41"/>
        <v>480</v>
      </c>
      <c r="BL140" s="14">
        <f t="shared" si="42"/>
        <v>960</v>
      </c>
      <c r="CJ140" s="52">
        <v>136</v>
      </c>
      <c r="CK140" s="52">
        <v>2</v>
      </c>
      <c r="CL140" s="52" t="s">
        <v>257</v>
      </c>
      <c r="CM140" s="52">
        <v>36</v>
      </c>
      <c r="CN140" s="52"/>
      <c r="CO140" s="52"/>
      <c r="CP140" s="52"/>
      <c r="CQ140" s="52" t="s">
        <v>372</v>
      </c>
      <c r="CR140" s="52">
        <v>7200</v>
      </c>
      <c r="CS140" s="52" t="s">
        <v>373</v>
      </c>
      <c r="CT140" s="52">
        <v>45</v>
      </c>
      <c r="CU140" s="52"/>
      <c r="CV140" s="52"/>
      <c r="CW140" s="52" t="s">
        <v>373</v>
      </c>
      <c r="CX140" s="52">
        <v>55</v>
      </c>
      <c r="CY140" s="52"/>
      <c r="CZ140" s="52"/>
      <c r="DA140" s="52"/>
      <c r="DB140" s="52"/>
      <c r="DC140" s="52"/>
      <c r="DD140" s="52"/>
      <c r="DE140" s="52"/>
      <c r="DF140" s="52"/>
      <c r="DG140" s="52"/>
      <c r="DH140" s="52"/>
    </row>
    <row r="141" spans="58:112" ht="16.5" x14ac:dyDescent="0.2">
      <c r="BF141" s="52">
        <v>136</v>
      </c>
      <c r="BG141" s="14">
        <f t="shared" si="37"/>
        <v>0</v>
      </c>
      <c r="BH141" s="14">
        <f t="shared" si="38"/>
        <v>480</v>
      </c>
      <c r="BI141" s="14">
        <f t="shared" si="39"/>
        <v>0</v>
      </c>
      <c r="BJ141" s="14">
        <f t="shared" si="40"/>
        <v>1200</v>
      </c>
      <c r="BK141" s="14">
        <f t="shared" si="41"/>
        <v>480</v>
      </c>
      <c r="BL141" s="14">
        <f t="shared" si="42"/>
        <v>960</v>
      </c>
      <c r="CJ141" s="52">
        <v>137</v>
      </c>
      <c r="CK141" s="52">
        <v>2</v>
      </c>
      <c r="CL141" s="52" t="s">
        <v>257</v>
      </c>
      <c r="CM141" s="52">
        <v>37</v>
      </c>
      <c r="CN141" s="52"/>
      <c r="CO141" s="52"/>
      <c r="CP141" s="52"/>
      <c r="CQ141" s="52" t="s">
        <v>372</v>
      </c>
      <c r="CR141" s="52">
        <v>7200</v>
      </c>
      <c r="CS141" s="52" t="s">
        <v>373</v>
      </c>
      <c r="CT141" s="52">
        <v>45</v>
      </c>
      <c r="CU141" s="52"/>
      <c r="CV141" s="52"/>
      <c r="CW141" s="52" t="s">
        <v>373</v>
      </c>
      <c r="CX141" s="52">
        <v>55</v>
      </c>
      <c r="CY141" s="52"/>
      <c r="CZ141" s="52"/>
      <c r="DA141" s="52"/>
      <c r="DB141" s="52"/>
      <c r="DC141" s="52"/>
      <c r="DD141" s="52"/>
      <c r="DE141" s="52"/>
      <c r="DF141" s="52"/>
      <c r="DG141" s="52"/>
      <c r="DH141" s="52"/>
    </row>
    <row r="142" spans="58:112" ht="16.5" x14ac:dyDescent="0.2">
      <c r="BF142" s="52">
        <v>137</v>
      </c>
      <c r="BG142" s="14">
        <f t="shared" si="37"/>
        <v>0</v>
      </c>
      <c r="BH142" s="14">
        <f t="shared" si="38"/>
        <v>480</v>
      </c>
      <c r="BI142" s="14">
        <f t="shared" si="39"/>
        <v>0</v>
      </c>
      <c r="BJ142" s="14">
        <f t="shared" si="40"/>
        <v>1200</v>
      </c>
      <c r="BK142" s="14">
        <f t="shared" si="41"/>
        <v>480</v>
      </c>
      <c r="BL142" s="14">
        <f t="shared" si="42"/>
        <v>960</v>
      </c>
      <c r="CJ142" s="52">
        <v>138</v>
      </c>
      <c r="CK142" s="52">
        <v>2</v>
      </c>
      <c r="CL142" s="52" t="s">
        <v>257</v>
      </c>
      <c r="CM142" s="52">
        <v>38</v>
      </c>
      <c r="CN142" s="52"/>
      <c r="CO142" s="52"/>
      <c r="CP142" s="52"/>
      <c r="CQ142" s="52" t="s">
        <v>372</v>
      </c>
      <c r="CR142" s="52">
        <v>7200</v>
      </c>
      <c r="CS142" s="52" t="s">
        <v>373</v>
      </c>
      <c r="CT142" s="52">
        <v>45</v>
      </c>
      <c r="CU142" s="52"/>
      <c r="CV142" s="52"/>
      <c r="CW142" s="52" t="s">
        <v>373</v>
      </c>
      <c r="CX142" s="52">
        <v>55</v>
      </c>
      <c r="CY142" s="52"/>
      <c r="CZ142" s="52"/>
      <c r="DA142" s="52"/>
      <c r="DB142" s="52"/>
      <c r="DC142" s="52"/>
      <c r="DD142" s="52"/>
      <c r="DE142" s="52"/>
      <c r="DF142" s="52"/>
      <c r="DG142" s="52"/>
      <c r="DH142" s="52"/>
    </row>
    <row r="143" spans="58:112" ht="16.5" x14ac:dyDescent="0.2">
      <c r="BF143" s="52">
        <v>138</v>
      </c>
      <c r="BG143" s="14">
        <f t="shared" si="37"/>
        <v>0</v>
      </c>
      <c r="BH143" s="14">
        <f t="shared" si="38"/>
        <v>480</v>
      </c>
      <c r="BI143" s="14">
        <f t="shared" si="39"/>
        <v>0</v>
      </c>
      <c r="BJ143" s="14">
        <f t="shared" si="40"/>
        <v>1200</v>
      </c>
      <c r="BK143" s="14">
        <f t="shared" si="41"/>
        <v>480</v>
      </c>
      <c r="BL143" s="14">
        <f t="shared" si="42"/>
        <v>960</v>
      </c>
      <c r="CJ143" s="52">
        <v>139</v>
      </c>
      <c r="CK143" s="52">
        <v>2</v>
      </c>
      <c r="CL143" s="52" t="s">
        <v>257</v>
      </c>
      <c r="CM143" s="52">
        <v>39</v>
      </c>
      <c r="CN143" s="52"/>
      <c r="CO143" s="52"/>
      <c r="CP143" s="52"/>
      <c r="CQ143" s="52" t="s">
        <v>372</v>
      </c>
      <c r="CR143" s="52">
        <v>7200</v>
      </c>
      <c r="CS143" s="52" t="s">
        <v>373</v>
      </c>
      <c r="CT143" s="52">
        <v>45</v>
      </c>
      <c r="CU143" s="52"/>
      <c r="CV143" s="52"/>
      <c r="CW143" s="52" t="s">
        <v>373</v>
      </c>
      <c r="CX143" s="52">
        <v>55</v>
      </c>
      <c r="CY143" s="52"/>
      <c r="CZ143" s="52"/>
      <c r="DA143" s="52"/>
      <c r="DB143" s="52"/>
      <c r="DC143" s="52"/>
      <c r="DD143" s="52"/>
      <c r="DE143" s="52"/>
      <c r="DF143" s="52"/>
      <c r="DG143" s="52"/>
      <c r="DH143" s="52"/>
    </row>
    <row r="144" spans="58:112" ht="16.5" x14ac:dyDescent="0.2">
      <c r="BF144" s="52">
        <v>139</v>
      </c>
      <c r="BG144" s="14">
        <f t="shared" si="37"/>
        <v>0</v>
      </c>
      <c r="BH144" s="14">
        <f t="shared" si="38"/>
        <v>480</v>
      </c>
      <c r="BI144" s="14">
        <f t="shared" si="39"/>
        <v>0</v>
      </c>
      <c r="BJ144" s="14">
        <f t="shared" si="40"/>
        <v>1200</v>
      </c>
      <c r="BK144" s="14">
        <f t="shared" si="41"/>
        <v>480</v>
      </c>
      <c r="BL144" s="14">
        <f t="shared" si="42"/>
        <v>960</v>
      </c>
      <c r="CJ144" s="52">
        <v>140</v>
      </c>
      <c r="CK144" s="52">
        <v>2</v>
      </c>
      <c r="CL144" s="52" t="s">
        <v>257</v>
      </c>
      <c r="CM144" s="52">
        <v>40</v>
      </c>
      <c r="CN144" s="52"/>
      <c r="CO144" s="52"/>
      <c r="CP144" s="52"/>
      <c r="CQ144" s="52" t="s">
        <v>372</v>
      </c>
      <c r="CR144" s="52">
        <v>8640</v>
      </c>
      <c r="CS144" s="52" t="s">
        <v>373</v>
      </c>
      <c r="CT144" s="52">
        <v>45</v>
      </c>
      <c r="CU144" s="52" t="s">
        <v>273</v>
      </c>
      <c r="CV144" s="52">
        <v>2</v>
      </c>
      <c r="CW144" s="52" t="s">
        <v>373</v>
      </c>
      <c r="CX144" s="52">
        <v>60</v>
      </c>
      <c r="CY144" s="52"/>
      <c r="CZ144" s="52"/>
      <c r="DA144" s="52"/>
      <c r="DB144" s="52"/>
      <c r="DC144" s="52"/>
      <c r="DD144" s="52"/>
      <c r="DE144" s="52"/>
      <c r="DF144" s="52"/>
      <c r="DG144" s="52"/>
      <c r="DH144" s="52"/>
    </row>
    <row r="145" spans="58:112" ht="16.5" x14ac:dyDescent="0.2">
      <c r="BF145" s="52">
        <v>140</v>
      </c>
      <c r="BG145" s="14">
        <f t="shared" si="37"/>
        <v>0</v>
      </c>
      <c r="BH145" s="14">
        <f t="shared" si="38"/>
        <v>480</v>
      </c>
      <c r="BI145" s="14">
        <f t="shared" si="39"/>
        <v>0</v>
      </c>
      <c r="BJ145" s="14">
        <f t="shared" si="40"/>
        <v>1200</v>
      </c>
      <c r="BK145" s="14">
        <f t="shared" si="41"/>
        <v>480</v>
      </c>
      <c r="BL145" s="14">
        <f t="shared" si="42"/>
        <v>960</v>
      </c>
      <c r="CJ145" s="52">
        <v>141</v>
      </c>
      <c r="CK145" s="52">
        <v>2</v>
      </c>
      <c r="CL145" s="52" t="s">
        <v>257</v>
      </c>
      <c r="CM145" s="52">
        <v>41</v>
      </c>
      <c r="CN145" s="52"/>
      <c r="CO145" s="52"/>
      <c r="CP145" s="52"/>
      <c r="CQ145" s="52" t="s">
        <v>372</v>
      </c>
      <c r="CR145" s="52">
        <v>8640</v>
      </c>
      <c r="CS145" s="52" t="s">
        <v>373</v>
      </c>
      <c r="CT145" s="52">
        <v>50</v>
      </c>
      <c r="CU145" s="52"/>
      <c r="CV145" s="52"/>
      <c r="CW145" s="52" t="s">
        <v>373</v>
      </c>
      <c r="CX145" s="52">
        <v>60</v>
      </c>
      <c r="CY145" s="52"/>
      <c r="CZ145" s="52"/>
      <c r="DA145" s="52"/>
      <c r="DB145" s="52"/>
      <c r="DC145" s="52"/>
      <c r="DD145" s="52"/>
      <c r="DE145" s="52"/>
      <c r="DF145" s="52"/>
      <c r="DG145" s="52"/>
      <c r="DH145" s="52"/>
    </row>
    <row r="146" spans="58:112" ht="16.5" x14ac:dyDescent="0.2">
      <c r="BF146" s="52">
        <v>141</v>
      </c>
      <c r="BG146" s="14">
        <f t="shared" si="37"/>
        <v>0</v>
      </c>
      <c r="BH146" s="14">
        <f t="shared" si="38"/>
        <v>480</v>
      </c>
      <c r="BI146" s="14">
        <f t="shared" si="39"/>
        <v>0</v>
      </c>
      <c r="BJ146" s="14">
        <f t="shared" si="40"/>
        <v>1200</v>
      </c>
      <c r="BK146" s="14">
        <f t="shared" si="41"/>
        <v>480</v>
      </c>
      <c r="BL146" s="14">
        <f t="shared" si="42"/>
        <v>960</v>
      </c>
      <c r="CJ146" s="52">
        <v>142</v>
      </c>
      <c r="CK146" s="52">
        <v>2</v>
      </c>
      <c r="CL146" s="52" t="s">
        <v>257</v>
      </c>
      <c r="CM146" s="52">
        <v>42</v>
      </c>
      <c r="CN146" s="52"/>
      <c r="CO146" s="52"/>
      <c r="CP146" s="52"/>
      <c r="CQ146" s="52" t="s">
        <v>372</v>
      </c>
      <c r="CR146" s="52">
        <v>8640</v>
      </c>
      <c r="CS146" s="52" t="s">
        <v>373</v>
      </c>
      <c r="CT146" s="52">
        <v>50</v>
      </c>
      <c r="CU146" s="52"/>
      <c r="CV146" s="52"/>
      <c r="CW146" s="52" t="s">
        <v>373</v>
      </c>
      <c r="CX146" s="52">
        <v>60</v>
      </c>
      <c r="CY146" s="52"/>
      <c r="CZ146" s="52"/>
      <c r="DA146" s="52"/>
      <c r="DB146" s="52"/>
      <c r="DC146" s="52"/>
      <c r="DD146" s="52"/>
      <c r="DE146" s="52"/>
      <c r="DF146" s="52"/>
      <c r="DG146" s="52"/>
      <c r="DH146" s="52"/>
    </row>
    <row r="147" spans="58:112" ht="16.5" x14ac:dyDescent="0.2">
      <c r="BF147" s="52">
        <v>142</v>
      </c>
      <c r="BG147" s="14">
        <f t="shared" si="37"/>
        <v>0</v>
      </c>
      <c r="BH147" s="14">
        <f t="shared" si="38"/>
        <v>480</v>
      </c>
      <c r="BI147" s="14">
        <f t="shared" si="39"/>
        <v>0</v>
      </c>
      <c r="BJ147" s="14">
        <f t="shared" si="40"/>
        <v>1200</v>
      </c>
      <c r="BK147" s="14">
        <f t="shared" si="41"/>
        <v>480</v>
      </c>
      <c r="BL147" s="14">
        <f t="shared" si="42"/>
        <v>960</v>
      </c>
      <c r="CJ147" s="52">
        <v>143</v>
      </c>
      <c r="CK147" s="52">
        <v>2</v>
      </c>
      <c r="CL147" s="52" t="s">
        <v>257</v>
      </c>
      <c r="CM147" s="52">
        <v>43</v>
      </c>
      <c r="CN147" s="52"/>
      <c r="CO147" s="52"/>
      <c r="CP147" s="52"/>
      <c r="CQ147" s="52" t="s">
        <v>372</v>
      </c>
      <c r="CR147" s="52">
        <v>8640</v>
      </c>
      <c r="CS147" s="52" t="s">
        <v>373</v>
      </c>
      <c r="CT147" s="52">
        <v>50</v>
      </c>
      <c r="CU147" s="52"/>
      <c r="CV147" s="52"/>
      <c r="CW147" s="52" t="s">
        <v>373</v>
      </c>
      <c r="CX147" s="52">
        <v>60</v>
      </c>
      <c r="CY147" s="52"/>
      <c r="CZ147" s="52"/>
      <c r="DA147" s="52"/>
      <c r="DB147" s="52"/>
      <c r="DC147" s="52"/>
      <c r="DD147" s="52"/>
      <c r="DE147" s="52"/>
      <c r="DF147" s="52"/>
      <c r="DG147" s="52"/>
      <c r="DH147" s="52"/>
    </row>
    <row r="148" spans="58:112" ht="16.5" x14ac:dyDescent="0.2">
      <c r="BF148" s="52">
        <v>143</v>
      </c>
      <c r="BG148" s="14">
        <f t="shared" si="37"/>
        <v>0</v>
      </c>
      <c r="BH148" s="14">
        <f t="shared" si="38"/>
        <v>480</v>
      </c>
      <c r="BI148" s="14">
        <f t="shared" si="39"/>
        <v>0</v>
      </c>
      <c r="BJ148" s="14">
        <f t="shared" si="40"/>
        <v>1200</v>
      </c>
      <c r="BK148" s="14">
        <f t="shared" si="41"/>
        <v>480</v>
      </c>
      <c r="BL148" s="14">
        <f t="shared" si="42"/>
        <v>960</v>
      </c>
      <c r="CJ148" s="52">
        <v>144</v>
      </c>
      <c r="CK148" s="52">
        <v>2</v>
      </c>
      <c r="CL148" s="52" t="s">
        <v>257</v>
      </c>
      <c r="CM148" s="52">
        <v>44</v>
      </c>
      <c r="CN148" s="52"/>
      <c r="CO148" s="52"/>
      <c r="CP148" s="52"/>
      <c r="CQ148" s="52" t="s">
        <v>372</v>
      </c>
      <c r="CR148" s="52">
        <v>8640</v>
      </c>
      <c r="CS148" s="52" t="s">
        <v>373</v>
      </c>
      <c r="CT148" s="52">
        <v>50</v>
      </c>
      <c r="CU148" s="52"/>
      <c r="CV148" s="52"/>
      <c r="CW148" s="52" t="s">
        <v>373</v>
      </c>
      <c r="CX148" s="52">
        <v>60</v>
      </c>
      <c r="CY148" s="52"/>
      <c r="CZ148" s="52"/>
      <c r="DA148" s="52"/>
      <c r="DB148" s="52"/>
      <c r="DC148" s="52"/>
      <c r="DD148" s="52"/>
      <c r="DE148" s="52"/>
      <c r="DF148" s="52"/>
      <c r="DG148" s="52"/>
      <c r="DH148" s="52"/>
    </row>
    <row r="149" spans="58:112" ht="16.5" x14ac:dyDescent="0.2">
      <c r="BF149" s="52">
        <v>144</v>
      </c>
      <c r="BG149" s="14">
        <f t="shared" si="37"/>
        <v>0</v>
      </c>
      <c r="BH149" s="14">
        <f t="shared" si="38"/>
        <v>480</v>
      </c>
      <c r="BI149" s="14">
        <f t="shared" si="39"/>
        <v>0</v>
      </c>
      <c r="BJ149" s="14">
        <f t="shared" si="40"/>
        <v>1200</v>
      </c>
      <c r="BK149" s="14">
        <f t="shared" si="41"/>
        <v>480</v>
      </c>
      <c r="BL149" s="14">
        <f t="shared" si="42"/>
        <v>960</v>
      </c>
      <c r="CJ149" s="52">
        <v>145</v>
      </c>
      <c r="CK149" s="52">
        <v>2</v>
      </c>
      <c r="CL149" s="52" t="s">
        <v>257</v>
      </c>
      <c r="CM149" s="52">
        <v>45</v>
      </c>
      <c r="CN149" s="52"/>
      <c r="CO149" s="52"/>
      <c r="CP149" s="52"/>
      <c r="CQ149" s="52" t="s">
        <v>372</v>
      </c>
      <c r="CR149" s="52">
        <v>8640</v>
      </c>
      <c r="CS149" s="52" t="s">
        <v>373</v>
      </c>
      <c r="CT149" s="52">
        <v>50</v>
      </c>
      <c r="CU149" s="52" t="s">
        <v>274</v>
      </c>
      <c r="CV149" s="52">
        <v>2</v>
      </c>
      <c r="CW149" s="52" t="s">
        <v>373</v>
      </c>
      <c r="CX149" s="52">
        <v>65</v>
      </c>
      <c r="CY149" s="52"/>
      <c r="CZ149" s="52"/>
      <c r="DA149" s="52"/>
      <c r="DB149" s="52"/>
      <c r="DC149" s="52"/>
      <c r="DD149" s="52"/>
      <c r="DE149" s="52"/>
      <c r="DF149" s="52"/>
      <c r="DG149" s="52"/>
      <c r="DH149" s="52"/>
    </row>
    <row r="150" spans="58:112" ht="16.5" x14ac:dyDescent="0.2">
      <c r="BF150" s="52">
        <v>145</v>
      </c>
      <c r="BG150" s="14">
        <f t="shared" si="37"/>
        <v>0</v>
      </c>
      <c r="BH150" s="14">
        <f t="shared" si="38"/>
        <v>480</v>
      </c>
      <c r="BI150" s="14">
        <f t="shared" si="39"/>
        <v>0</v>
      </c>
      <c r="BJ150" s="14">
        <f t="shared" si="40"/>
        <v>1200</v>
      </c>
      <c r="BK150" s="14">
        <f t="shared" si="41"/>
        <v>480</v>
      </c>
      <c r="BL150" s="14">
        <f t="shared" si="42"/>
        <v>960</v>
      </c>
      <c r="CJ150" s="52">
        <v>146</v>
      </c>
      <c r="CK150" s="52">
        <v>2</v>
      </c>
      <c r="CL150" s="52" t="s">
        <v>257</v>
      </c>
      <c r="CM150" s="52">
        <v>46</v>
      </c>
      <c r="CN150" s="52"/>
      <c r="CO150" s="52"/>
      <c r="CP150" s="52"/>
      <c r="CQ150" s="52" t="s">
        <v>372</v>
      </c>
      <c r="CR150" s="52">
        <v>8640</v>
      </c>
      <c r="CS150" s="52" t="s">
        <v>373</v>
      </c>
      <c r="CT150" s="52">
        <v>55</v>
      </c>
      <c r="CU150" s="52"/>
      <c r="CV150" s="52"/>
      <c r="CW150" s="52" t="s">
        <v>373</v>
      </c>
      <c r="CX150" s="52">
        <v>65</v>
      </c>
      <c r="CY150" s="52"/>
      <c r="CZ150" s="52"/>
      <c r="DA150" s="52"/>
      <c r="DB150" s="52"/>
      <c r="DC150" s="52"/>
      <c r="DD150" s="52"/>
      <c r="DE150" s="52"/>
      <c r="DF150" s="52"/>
      <c r="DG150" s="52"/>
      <c r="DH150" s="52"/>
    </row>
    <row r="151" spans="58:112" ht="16.5" x14ac:dyDescent="0.2">
      <c r="BF151" s="52">
        <v>146</v>
      </c>
      <c r="BG151" s="14">
        <f t="shared" si="37"/>
        <v>0</v>
      </c>
      <c r="BH151" s="14">
        <f t="shared" si="38"/>
        <v>480</v>
      </c>
      <c r="BI151" s="14">
        <f t="shared" si="39"/>
        <v>0</v>
      </c>
      <c r="BJ151" s="14">
        <f t="shared" si="40"/>
        <v>1200</v>
      </c>
      <c r="BK151" s="14">
        <f t="shared" si="41"/>
        <v>480</v>
      </c>
      <c r="BL151" s="14">
        <f t="shared" si="42"/>
        <v>960</v>
      </c>
      <c r="CJ151" s="52">
        <v>147</v>
      </c>
      <c r="CK151" s="52">
        <v>2</v>
      </c>
      <c r="CL151" s="52" t="s">
        <v>257</v>
      </c>
      <c r="CM151" s="52">
        <v>47</v>
      </c>
      <c r="CN151" s="52"/>
      <c r="CO151" s="52"/>
      <c r="CP151" s="52"/>
      <c r="CQ151" s="52" t="s">
        <v>372</v>
      </c>
      <c r="CR151" s="52">
        <v>8640</v>
      </c>
      <c r="CS151" s="52" t="s">
        <v>373</v>
      </c>
      <c r="CT151" s="52">
        <v>55</v>
      </c>
      <c r="CU151" s="52"/>
      <c r="CV151" s="52"/>
      <c r="CW151" s="52" t="s">
        <v>373</v>
      </c>
      <c r="CX151" s="52">
        <v>65</v>
      </c>
      <c r="CY151" s="52"/>
      <c r="CZ151" s="52"/>
      <c r="DA151" s="52"/>
      <c r="DB151" s="52"/>
      <c r="DC151" s="52"/>
      <c r="DD151" s="52"/>
      <c r="DE151" s="52"/>
      <c r="DF151" s="52"/>
      <c r="DG151" s="52"/>
      <c r="DH151" s="52"/>
    </row>
    <row r="152" spans="58:112" ht="16.5" x14ac:dyDescent="0.2">
      <c r="BF152" s="52">
        <v>147</v>
      </c>
      <c r="BG152" s="14">
        <f t="shared" si="37"/>
        <v>0</v>
      </c>
      <c r="BH152" s="14">
        <f t="shared" si="38"/>
        <v>480</v>
      </c>
      <c r="BI152" s="14">
        <f t="shared" si="39"/>
        <v>0</v>
      </c>
      <c r="BJ152" s="14">
        <f t="shared" si="40"/>
        <v>1200</v>
      </c>
      <c r="BK152" s="14">
        <f t="shared" si="41"/>
        <v>480</v>
      </c>
      <c r="BL152" s="14">
        <f t="shared" si="42"/>
        <v>960</v>
      </c>
      <c r="CJ152" s="52">
        <v>148</v>
      </c>
      <c r="CK152" s="52">
        <v>2</v>
      </c>
      <c r="CL152" s="52" t="s">
        <v>257</v>
      </c>
      <c r="CM152" s="52">
        <v>48</v>
      </c>
      <c r="CN152" s="52"/>
      <c r="CO152" s="52"/>
      <c r="CP152" s="52"/>
      <c r="CQ152" s="52" t="s">
        <v>372</v>
      </c>
      <c r="CR152" s="52">
        <v>8640</v>
      </c>
      <c r="CS152" s="52" t="s">
        <v>373</v>
      </c>
      <c r="CT152" s="52">
        <v>55</v>
      </c>
      <c r="CU152" s="52"/>
      <c r="CV152" s="52"/>
      <c r="CW152" s="52" t="s">
        <v>373</v>
      </c>
      <c r="CX152" s="52">
        <v>65</v>
      </c>
      <c r="CY152" s="52"/>
      <c r="CZ152" s="52"/>
      <c r="DA152" s="52"/>
      <c r="DB152" s="52"/>
      <c r="DC152" s="52"/>
      <c r="DD152" s="52"/>
      <c r="DE152" s="52"/>
      <c r="DF152" s="52"/>
      <c r="DG152" s="52"/>
      <c r="DH152" s="52"/>
    </row>
    <row r="153" spans="58:112" ht="16.5" x14ac:dyDescent="0.2">
      <c r="BF153" s="52">
        <v>148</v>
      </c>
      <c r="BG153" s="14">
        <f t="shared" si="37"/>
        <v>0</v>
      </c>
      <c r="BH153" s="14">
        <f t="shared" si="38"/>
        <v>480</v>
      </c>
      <c r="BI153" s="14">
        <f t="shared" si="39"/>
        <v>0</v>
      </c>
      <c r="BJ153" s="14">
        <f t="shared" si="40"/>
        <v>1200</v>
      </c>
      <c r="BK153" s="14">
        <f t="shared" si="41"/>
        <v>480</v>
      </c>
      <c r="BL153" s="14">
        <f t="shared" si="42"/>
        <v>960</v>
      </c>
      <c r="CJ153" s="52">
        <v>149</v>
      </c>
      <c r="CK153" s="52">
        <v>2</v>
      </c>
      <c r="CL153" s="52" t="s">
        <v>257</v>
      </c>
      <c r="CM153" s="52">
        <v>49</v>
      </c>
      <c r="CN153" s="52"/>
      <c r="CO153" s="52"/>
      <c r="CP153" s="52"/>
      <c r="CQ153" s="52" t="s">
        <v>372</v>
      </c>
      <c r="CR153" s="52">
        <v>8640</v>
      </c>
      <c r="CS153" s="52" t="s">
        <v>373</v>
      </c>
      <c r="CT153" s="52">
        <v>55</v>
      </c>
      <c r="CU153" s="52"/>
      <c r="CV153" s="52"/>
      <c r="CW153" s="52" t="s">
        <v>373</v>
      </c>
      <c r="CX153" s="52">
        <v>65</v>
      </c>
      <c r="CY153" s="52"/>
      <c r="CZ153" s="52"/>
      <c r="DA153" s="52"/>
      <c r="DB153" s="52"/>
      <c r="DC153" s="52"/>
      <c r="DD153" s="52"/>
      <c r="DE153" s="52"/>
      <c r="DF153" s="52"/>
      <c r="DG153" s="52"/>
      <c r="DH153" s="52"/>
    </row>
    <row r="154" spans="58:112" ht="16.5" x14ac:dyDescent="0.2">
      <c r="BF154" s="52">
        <v>149</v>
      </c>
      <c r="BG154" s="14">
        <f t="shared" si="37"/>
        <v>0</v>
      </c>
      <c r="BH154" s="14">
        <f t="shared" si="38"/>
        <v>480</v>
      </c>
      <c r="BI154" s="14">
        <f t="shared" si="39"/>
        <v>0</v>
      </c>
      <c r="BJ154" s="14">
        <f t="shared" si="40"/>
        <v>1200</v>
      </c>
      <c r="BK154" s="14">
        <f t="shared" si="41"/>
        <v>480</v>
      </c>
      <c r="BL154" s="14">
        <f t="shared" si="42"/>
        <v>960</v>
      </c>
      <c r="CJ154" s="52">
        <v>150</v>
      </c>
      <c r="CK154" s="52">
        <v>2</v>
      </c>
      <c r="CL154" s="52" t="s">
        <v>257</v>
      </c>
      <c r="CM154" s="52">
        <v>50</v>
      </c>
      <c r="CN154" s="52"/>
      <c r="CO154" s="52"/>
      <c r="CP154" s="52"/>
      <c r="CQ154" s="52" t="s">
        <v>372</v>
      </c>
      <c r="CR154" s="52">
        <v>8640</v>
      </c>
      <c r="CS154" s="52" t="s">
        <v>373</v>
      </c>
      <c r="CT154" s="52">
        <v>55</v>
      </c>
      <c r="CU154" s="52" t="s">
        <v>273</v>
      </c>
      <c r="CV154" s="52">
        <v>2</v>
      </c>
      <c r="CW154" s="52" t="s">
        <v>373</v>
      </c>
      <c r="CX154" s="52">
        <v>70</v>
      </c>
      <c r="CY154" s="52"/>
      <c r="CZ154" s="52"/>
      <c r="DA154" s="52"/>
      <c r="DB154" s="52"/>
      <c r="DC154" s="52"/>
      <c r="DD154" s="52"/>
      <c r="DE154" s="52"/>
      <c r="DF154" s="52"/>
      <c r="DG154" s="52"/>
      <c r="DH154" s="52"/>
    </row>
    <row r="155" spans="58:112" ht="16.5" x14ac:dyDescent="0.2">
      <c r="BF155" s="52">
        <v>150</v>
      </c>
      <c r="BG155" s="14">
        <f t="shared" si="37"/>
        <v>0</v>
      </c>
      <c r="BH155" s="14">
        <f t="shared" si="38"/>
        <v>480</v>
      </c>
      <c r="BI155" s="14">
        <f t="shared" si="39"/>
        <v>0</v>
      </c>
      <c r="BJ155" s="14">
        <f t="shared" si="40"/>
        <v>1200</v>
      </c>
      <c r="BK155" s="14">
        <f t="shared" si="41"/>
        <v>480</v>
      </c>
      <c r="BL155" s="14">
        <f t="shared" si="42"/>
        <v>960</v>
      </c>
      <c r="CJ155" s="52">
        <v>151</v>
      </c>
      <c r="CK155" s="52">
        <v>2</v>
      </c>
      <c r="CL155" s="52" t="s">
        <v>257</v>
      </c>
      <c r="CM155" s="52">
        <v>51</v>
      </c>
      <c r="CN155" s="52"/>
      <c r="CO155" s="52"/>
      <c r="CP155" s="52"/>
      <c r="CQ155" s="52" t="s">
        <v>372</v>
      </c>
      <c r="CR155" s="52">
        <v>8640</v>
      </c>
      <c r="CS155" s="52" t="s">
        <v>373</v>
      </c>
      <c r="CT155" s="52">
        <v>60</v>
      </c>
      <c r="CU155" s="52"/>
      <c r="CV155" s="52"/>
      <c r="CW155" s="52" t="s">
        <v>373</v>
      </c>
      <c r="CX155" s="52">
        <v>70</v>
      </c>
      <c r="CY155" s="52"/>
      <c r="CZ155" s="52"/>
      <c r="DA155" s="52"/>
      <c r="DB155" s="52"/>
      <c r="DC155" s="52"/>
      <c r="DD155" s="52"/>
      <c r="DE155" s="52"/>
      <c r="DF155" s="52"/>
      <c r="DG155" s="52"/>
      <c r="DH155" s="52"/>
    </row>
    <row r="156" spans="58:112" ht="16.5" x14ac:dyDescent="0.2">
      <c r="BF156" s="52">
        <v>151</v>
      </c>
      <c r="BG156" s="14">
        <f t="shared" si="37"/>
        <v>0</v>
      </c>
      <c r="BH156" s="14">
        <f t="shared" si="38"/>
        <v>480</v>
      </c>
      <c r="BI156" s="14">
        <f t="shared" si="39"/>
        <v>0</v>
      </c>
      <c r="BJ156" s="14">
        <f t="shared" si="40"/>
        <v>1200</v>
      </c>
      <c r="BK156" s="14">
        <f t="shared" si="41"/>
        <v>480</v>
      </c>
      <c r="BL156" s="14">
        <f t="shared" si="42"/>
        <v>960</v>
      </c>
      <c r="CJ156" s="52">
        <v>152</v>
      </c>
      <c r="CK156" s="52">
        <v>2</v>
      </c>
      <c r="CL156" s="52" t="s">
        <v>257</v>
      </c>
      <c r="CM156" s="52">
        <v>52</v>
      </c>
      <c r="CN156" s="52"/>
      <c r="CO156" s="52"/>
      <c r="CP156" s="52"/>
      <c r="CQ156" s="52" t="s">
        <v>372</v>
      </c>
      <c r="CR156" s="52">
        <v>8640</v>
      </c>
      <c r="CS156" s="52" t="s">
        <v>373</v>
      </c>
      <c r="CT156" s="52">
        <v>60</v>
      </c>
      <c r="CU156" s="52"/>
      <c r="CV156" s="52"/>
      <c r="CW156" s="52" t="s">
        <v>373</v>
      </c>
      <c r="CX156" s="52">
        <v>70</v>
      </c>
      <c r="CY156" s="52"/>
      <c r="CZ156" s="52"/>
      <c r="DA156" s="52"/>
      <c r="DB156" s="52"/>
      <c r="DC156" s="52"/>
      <c r="DD156" s="52"/>
      <c r="DE156" s="52"/>
      <c r="DF156" s="52"/>
      <c r="DG156" s="52"/>
      <c r="DH156" s="52"/>
    </row>
    <row r="157" spans="58:112" ht="16.5" x14ac:dyDescent="0.2">
      <c r="BF157" s="52">
        <v>152</v>
      </c>
      <c r="BG157" s="14">
        <f t="shared" si="37"/>
        <v>0</v>
      </c>
      <c r="BH157" s="14">
        <f t="shared" si="38"/>
        <v>480</v>
      </c>
      <c r="BI157" s="14">
        <f t="shared" si="39"/>
        <v>0</v>
      </c>
      <c r="BJ157" s="14">
        <f t="shared" si="40"/>
        <v>1200</v>
      </c>
      <c r="BK157" s="14">
        <f t="shared" si="41"/>
        <v>480</v>
      </c>
      <c r="BL157" s="14">
        <f t="shared" si="42"/>
        <v>960</v>
      </c>
      <c r="CJ157" s="52">
        <v>153</v>
      </c>
      <c r="CK157" s="52">
        <v>2</v>
      </c>
      <c r="CL157" s="52" t="s">
        <v>257</v>
      </c>
      <c r="CM157" s="52">
        <v>53</v>
      </c>
      <c r="CN157" s="52"/>
      <c r="CO157" s="52"/>
      <c r="CP157" s="52"/>
      <c r="CQ157" s="52" t="s">
        <v>372</v>
      </c>
      <c r="CR157" s="52">
        <v>8640</v>
      </c>
      <c r="CS157" s="52" t="s">
        <v>373</v>
      </c>
      <c r="CT157" s="52">
        <v>60</v>
      </c>
      <c r="CU157" s="52"/>
      <c r="CV157" s="52"/>
      <c r="CW157" s="52" t="s">
        <v>373</v>
      </c>
      <c r="CX157" s="52">
        <v>70</v>
      </c>
      <c r="CY157" s="52"/>
      <c r="CZ157" s="52"/>
      <c r="DA157" s="52"/>
      <c r="DB157" s="52"/>
      <c r="DC157" s="52"/>
      <c r="DD157" s="52"/>
      <c r="DE157" s="52"/>
      <c r="DF157" s="52"/>
      <c r="DG157" s="52"/>
      <c r="DH157" s="52"/>
    </row>
    <row r="158" spans="58:112" ht="16.5" x14ac:dyDescent="0.2">
      <c r="BF158" s="52">
        <v>153</v>
      </c>
      <c r="BG158" s="14">
        <f t="shared" si="37"/>
        <v>0</v>
      </c>
      <c r="BH158" s="14">
        <f t="shared" si="38"/>
        <v>480</v>
      </c>
      <c r="BI158" s="14">
        <f t="shared" si="39"/>
        <v>0</v>
      </c>
      <c r="BJ158" s="14">
        <f t="shared" si="40"/>
        <v>1200</v>
      </c>
      <c r="BK158" s="14">
        <f t="shared" si="41"/>
        <v>480</v>
      </c>
      <c r="BL158" s="14">
        <f t="shared" si="42"/>
        <v>960</v>
      </c>
      <c r="CJ158" s="52">
        <v>154</v>
      </c>
      <c r="CK158" s="52">
        <v>2</v>
      </c>
      <c r="CL158" s="52" t="s">
        <v>257</v>
      </c>
      <c r="CM158" s="52">
        <v>54</v>
      </c>
      <c r="CN158" s="52"/>
      <c r="CO158" s="52"/>
      <c r="CP158" s="52"/>
      <c r="CQ158" s="52" t="s">
        <v>372</v>
      </c>
      <c r="CR158" s="52">
        <v>8640</v>
      </c>
      <c r="CS158" s="52" t="s">
        <v>373</v>
      </c>
      <c r="CT158" s="52">
        <v>60</v>
      </c>
      <c r="CU158" s="52"/>
      <c r="CV158" s="52"/>
      <c r="CW158" s="52" t="s">
        <v>373</v>
      </c>
      <c r="CX158" s="52">
        <v>70</v>
      </c>
      <c r="CY158" s="52"/>
      <c r="CZ158" s="52"/>
      <c r="DA158" s="52"/>
      <c r="DB158" s="52"/>
      <c r="DC158" s="52"/>
      <c r="DD158" s="52"/>
      <c r="DE158" s="52"/>
      <c r="DF158" s="52"/>
      <c r="DG158" s="52"/>
      <c r="DH158" s="52"/>
    </row>
    <row r="159" spans="58:112" ht="16.5" x14ac:dyDescent="0.2">
      <c r="BF159" s="52">
        <v>154</v>
      </c>
      <c r="BG159" s="14">
        <f t="shared" si="37"/>
        <v>0</v>
      </c>
      <c r="BH159" s="14">
        <f t="shared" si="38"/>
        <v>480</v>
      </c>
      <c r="BI159" s="14">
        <f t="shared" si="39"/>
        <v>0</v>
      </c>
      <c r="BJ159" s="14">
        <f t="shared" si="40"/>
        <v>1200</v>
      </c>
      <c r="BK159" s="14">
        <f t="shared" si="41"/>
        <v>480</v>
      </c>
      <c r="BL159" s="14">
        <f t="shared" si="42"/>
        <v>960</v>
      </c>
      <c r="CJ159" s="52">
        <v>155</v>
      </c>
      <c r="CK159" s="52">
        <v>2</v>
      </c>
      <c r="CL159" s="52" t="s">
        <v>257</v>
      </c>
      <c r="CM159" s="52">
        <v>55</v>
      </c>
      <c r="CN159" s="52"/>
      <c r="CO159" s="52"/>
      <c r="CP159" s="52"/>
      <c r="CQ159" s="52" t="s">
        <v>372</v>
      </c>
      <c r="CR159" s="52">
        <v>10800</v>
      </c>
      <c r="CS159" s="52" t="s">
        <v>373</v>
      </c>
      <c r="CT159" s="52">
        <v>60</v>
      </c>
      <c r="CU159" s="52" t="s">
        <v>274</v>
      </c>
      <c r="CV159" s="52">
        <v>2</v>
      </c>
      <c r="CW159" s="52" t="s">
        <v>373</v>
      </c>
      <c r="CX159" s="52">
        <v>75</v>
      </c>
      <c r="CY159" s="52"/>
      <c r="CZ159" s="52"/>
      <c r="DA159" s="52"/>
      <c r="DB159" s="52"/>
      <c r="DC159" s="52"/>
      <c r="DD159" s="52"/>
      <c r="DE159" s="52"/>
      <c r="DF159" s="52"/>
      <c r="DG159" s="52"/>
      <c r="DH159" s="52"/>
    </row>
    <row r="160" spans="58:112" ht="16.5" x14ac:dyDescent="0.2">
      <c r="BF160" s="52">
        <v>155</v>
      </c>
      <c r="BG160" s="14">
        <f t="shared" si="37"/>
        <v>0</v>
      </c>
      <c r="BH160" s="14">
        <f t="shared" si="38"/>
        <v>480</v>
      </c>
      <c r="BI160" s="14">
        <f t="shared" si="39"/>
        <v>0</v>
      </c>
      <c r="BJ160" s="14">
        <f t="shared" si="40"/>
        <v>1200</v>
      </c>
      <c r="BK160" s="14">
        <f t="shared" si="41"/>
        <v>480</v>
      </c>
      <c r="BL160" s="14">
        <f t="shared" si="42"/>
        <v>960</v>
      </c>
      <c r="CJ160" s="52">
        <v>156</v>
      </c>
      <c r="CK160" s="52">
        <v>2</v>
      </c>
      <c r="CL160" s="52" t="s">
        <v>257</v>
      </c>
      <c r="CM160" s="52">
        <v>56</v>
      </c>
      <c r="CN160" s="52"/>
      <c r="CO160" s="52"/>
      <c r="CP160" s="52"/>
      <c r="CQ160" s="52" t="s">
        <v>372</v>
      </c>
      <c r="CR160" s="52">
        <v>10800</v>
      </c>
      <c r="CS160" s="52" t="s">
        <v>373</v>
      </c>
      <c r="CT160" s="52">
        <v>65</v>
      </c>
      <c r="CU160" s="52"/>
      <c r="CV160" s="52"/>
      <c r="CW160" s="52" t="s">
        <v>373</v>
      </c>
      <c r="CX160" s="52">
        <v>75</v>
      </c>
      <c r="CY160" s="52"/>
      <c r="CZ160" s="52"/>
      <c r="DA160" s="52"/>
      <c r="DB160" s="52"/>
      <c r="DC160" s="52"/>
      <c r="DD160" s="52"/>
      <c r="DE160" s="52"/>
      <c r="DF160" s="52"/>
      <c r="DG160" s="52"/>
      <c r="DH160" s="52"/>
    </row>
    <row r="161" spans="58:112" ht="16.5" x14ac:dyDescent="0.2">
      <c r="BF161" s="52">
        <v>156</v>
      </c>
      <c r="BG161" s="14">
        <f t="shared" si="37"/>
        <v>0</v>
      </c>
      <c r="BH161" s="14">
        <f t="shared" si="38"/>
        <v>480</v>
      </c>
      <c r="BI161" s="14">
        <f t="shared" si="39"/>
        <v>0</v>
      </c>
      <c r="BJ161" s="14">
        <f t="shared" si="40"/>
        <v>1200</v>
      </c>
      <c r="BK161" s="14">
        <f t="shared" si="41"/>
        <v>480</v>
      </c>
      <c r="BL161" s="14">
        <f t="shared" si="42"/>
        <v>960</v>
      </c>
      <c r="CJ161" s="52">
        <v>157</v>
      </c>
      <c r="CK161" s="52">
        <v>2</v>
      </c>
      <c r="CL161" s="52" t="s">
        <v>257</v>
      </c>
      <c r="CM161" s="52">
        <v>57</v>
      </c>
      <c r="CN161" s="52"/>
      <c r="CO161" s="52"/>
      <c r="CP161" s="52"/>
      <c r="CQ161" s="52" t="s">
        <v>372</v>
      </c>
      <c r="CR161" s="52">
        <v>10800</v>
      </c>
      <c r="CS161" s="52" t="s">
        <v>373</v>
      </c>
      <c r="CT161" s="52">
        <v>65</v>
      </c>
      <c r="CU161" s="52"/>
      <c r="CV161" s="52"/>
      <c r="CW161" s="52" t="s">
        <v>373</v>
      </c>
      <c r="CX161" s="52">
        <v>75</v>
      </c>
      <c r="CY161" s="52"/>
      <c r="CZ161" s="52"/>
      <c r="DA161" s="52"/>
      <c r="DB161" s="52"/>
      <c r="DC161" s="52"/>
      <c r="DD161" s="52"/>
      <c r="DE161" s="52"/>
      <c r="DF161" s="52"/>
      <c r="DG161" s="52"/>
      <c r="DH161" s="52"/>
    </row>
    <row r="162" spans="58:112" ht="16.5" x14ac:dyDescent="0.2">
      <c r="BF162" s="52">
        <v>157</v>
      </c>
      <c r="BG162" s="14">
        <f t="shared" si="37"/>
        <v>0</v>
      </c>
      <c r="BH162" s="14">
        <f t="shared" si="38"/>
        <v>480</v>
      </c>
      <c r="BI162" s="14">
        <f t="shared" si="39"/>
        <v>0</v>
      </c>
      <c r="BJ162" s="14">
        <f t="shared" si="40"/>
        <v>1200</v>
      </c>
      <c r="BK162" s="14">
        <f t="shared" si="41"/>
        <v>480</v>
      </c>
      <c r="BL162" s="14">
        <f t="shared" si="42"/>
        <v>960</v>
      </c>
      <c r="CJ162" s="52">
        <v>158</v>
      </c>
      <c r="CK162" s="52">
        <v>2</v>
      </c>
      <c r="CL162" s="52" t="s">
        <v>257</v>
      </c>
      <c r="CM162" s="52">
        <v>58</v>
      </c>
      <c r="CN162" s="52"/>
      <c r="CO162" s="52"/>
      <c r="CP162" s="52"/>
      <c r="CQ162" s="52" t="s">
        <v>372</v>
      </c>
      <c r="CR162" s="52">
        <v>10800</v>
      </c>
      <c r="CS162" s="52" t="s">
        <v>373</v>
      </c>
      <c r="CT162" s="52">
        <v>65</v>
      </c>
      <c r="CU162" s="52"/>
      <c r="CV162" s="52"/>
      <c r="CW162" s="52" t="s">
        <v>373</v>
      </c>
      <c r="CX162" s="52">
        <v>75</v>
      </c>
      <c r="CY162" s="52"/>
      <c r="CZ162" s="52"/>
      <c r="DA162" s="52"/>
      <c r="DB162" s="52"/>
      <c r="DC162" s="52"/>
      <c r="DD162" s="52"/>
      <c r="DE162" s="52"/>
      <c r="DF162" s="52"/>
      <c r="DG162" s="52"/>
      <c r="DH162" s="52"/>
    </row>
    <row r="163" spans="58:112" ht="16.5" x14ac:dyDescent="0.2">
      <c r="BF163" s="52">
        <v>158</v>
      </c>
      <c r="BG163" s="14">
        <f t="shared" si="37"/>
        <v>0</v>
      </c>
      <c r="BH163" s="14">
        <f t="shared" si="38"/>
        <v>480</v>
      </c>
      <c r="BI163" s="14">
        <f t="shared" si="39"/>
        <v>0</v>
      </c>
      <c r="BJ163" s="14">
        <f t="shared" si="40"/>
        <v>1200</v>
      </c>
      <c r="BK163" s="14">
        <f t="shared" si="41"/>
        <v>480</v>
      </c>
      <c r="BL163" s="14">
        <f t="shared" si="42"/>
        <v>960</v>
      </c>
      <c r="CJ163" s="52">
        <v>159</v>
      </c>
      <c r="CK163" s="52">
        <v>2</v>
      </c>
      <c r="CL163" s="52" t="s">
        <v>257</v>
      </c>
      <c r="CM163" s="52">
        <v>59</v>
      </c>
      <c r="CN163" s="52"/>
      <c r="CO163" s="52"/>
      <c r="CP163" s="52"/>
      <c r="CQ163" s="52" t="s">
        <v>372</v>
      </c>
      <c r="CR163" s="52">
        <v>10800</v>
      </c>
      <c r="CS163" s="52" t="s">
        <v>373</v>
      </c>
      <c r="CT163" s="52">
        <v>65</v>
      </c>
      <c r="CU163" s="52"/>
      <c r="CV163" s="52"/>
      <c r="CW163" s="52" t="s">
        <v>373</v>
      </c>
      <c r="CX163" s="52">
        <v>75</v>
      </c>
      <c r="CY163" s="52"/>
      <c r="CZ163" s="52"/>
      <c r="DA163" s="52"/>
      <c r="DB163" s="52"/>
      <c r="DC163" s="52"/>
      <c r="DD163" s="52"/>
      <c r="DE163" s="52"/>
      <c r="DF163" s="52"/>
      <c r="DG163" s="52"/>
      <c r="DH163" s="52"/>
    </row>
    <row r="164" spans="58:112" ht="16.5" x14ac:dyDescent="0.2">
      <c r="BF164" s="52">
        <v>159</v>
      </c>
      <c r="BG164" s="14">
        <f t="shared" si="37"/>
        <v>0</v>
      </c>
      <c r="BH164" s="14">
        <f t="shared" si="38"/>
        <v>480</v>
      </c>
      <c r="BI164" s="14">
        <f t="shared" si="39"/>
        <v>0</v>
      </c>
      <c r="BJ164" s="14">
        <f t="shared" si="40"/>
        <v>1200</v>
      </c>
      <c r="BK164" s="14">
        <f t="shared" si="41"/>
        <v>480</v>
      </c>
      <c r="BL164" s="14">
        <f t="shared" si="42"/>
        <v>960</v>
      </c>
      <c r="CJ164" s="52">
        <v>160</v>
      </c>
      <c r="CK164" s="52">
        <v>2</v>
      </c>
      <c r="CL164" s="52" t="s">
        <v>257</v>
      </c>
      <c r="CM164" s="52">
        <v>60</v>
      </c>
      <c r="CN164" s="52"/>
      <c r="CO164" s="52"/>
      <c r="CP164" s="52"/>
      <c r="CQ164" s="52" t="s">
        <v>372</v>
      </c>
      <c r="CR164" s="52">
        <v>10800</v>
      </c>
      <c r="CS164" s="52" t="s">
        <v>373</v>
      </c>
      <c r="CT164" s="52">
        <v>65</v>
      </c>
      <c r="CU164" s="52" t="s">
        <v>273</v>
      </c>
      <c r="CV164" s="52">
        <v>2</v>
      </c>
      <c r="CW164" s="52" t="s">
        <v>373</v>
      </c>
      <c r="CX164" s="52">
        <v>80</v>
      </c>
      <c r="CY164" s="52"/>
      <c r="CZ164" s="52"/>
      <c r="DA164" s="52"/>
      <c r="DB164" s="52"/>
      <c r="DC164" s="52"/>
      <c r="DD164" s="52"/>
      <c r="DE164" s="52"/>
      <c r="DF164" s="52"/>
      <c r="DG164" s="52"/>
      <c r="DH164" s="52"/>
    </row>
    <row r="165" spans="58:112" ht="16.5" x14ac:dyDescent="0.2">
      <c r="BF165" s="52">
        <v>160</v>
      </c>
      <c r="BG165" s="14">
        <f t="shared" si="37"/>
        <v>0</v>
      </c>
      <c r="BH165" s="14">
        <f t="shared" si="38"/>
        <v>480</v>
      </c>
      <c r="BI165" s="14">
        <f t="shared" si="39"/>
        <v>0</v>
      </c>
      <c r="BJ165" s="14">
        <f t="shared" si="40"/>
        <v>1200</v>
      </c>
      <c r="BK165" s="14">
        <f t="shared" si="41"/>
        <v>480</v>
      </c>
      <c r="BL165" s="14">
        <f t="shared" si="42"/>
        <v>960</v>
      </c>
      <c r="CJ165" s="52">
        <v>161</v>
      </c>
      <c r="CK165" s="52">
        <v>2</v>
      </c>
      <c r="CL165" s="52" t="s">
        <v>257</v>
      </c>
      <c r="CM165" s="52">
        <v>61</v>
      </c>
      <c r="CN165" s="52"/>
      <c r="CO165" s="52"/>
      <c r="CP165" s="52"/>
      <c r="CQ165" s="52" t="s">
        <v>372</v>
      </c>
      <c r="CR165" s="52">
        <v>10800</v>
      </c>
      <c r="CS165" s="52" t="s">
        <v>373</v>
      </c>
      <c r="CT165" s="52">
        <v>70</v>
      </c>
      <c r="CU165" s="52"/>
      <c r="CV165" s="52"/>
      <c r="CW165" s="52" t="s">
        <v>373</v>
      </c>
      <c r="CX165" s="52">
        <v>80</v>
      </c>
      <c r="CY165" s="52"/>
      <c r="CZ165" s="52"/>
      <c r="DA165" s="52"/>
      <c r="DB165" s="52"/>
      <c r="DC165" s="52"/>
      <c r="DD165" s="52"/>
      <c r="DE165" s="52"/>
      <c r="DF165" s="52"/>
      <c r="DG165" s="52"/>
      <c r="DH165" s="52"/>
    </row>
    <row r="166" spans="58:112" ht="16.5" x14ac:dyDescent="0.2">
      <c r="BF166" s="52">
        <v>161</v>
      </c>
      <c r="BG166" s="14">
        <f t="shared" si="37"/>
        <v>0</v>
      </c>
      <c r="BH166" s="14">
        <f t="shared" si="38"/>
        <v>480</v>
      </c>
      <c r="BI166" s="14">
        <f t="shared" si="39"/>
        <v>0</v>
      </c>
      <c r="BJ166" s="14">
        <f t="shared" si="40"/>
        <v>1200</v>
      </c>
      <c r="BK166" s="14">
        <f t="shared" si="41"/>
        <v>480</v>
      </c>
      <c r="BL166" s="14">
        <f t="shared" si="42"/>
        <v>960</v>
      </c>
      <c r="CJ166" s="52">
        <v>162</v>
      </c>
      <c r="CK166" s="52">
        <v>2</v>
      </c>
      <c r="CL166" s="52" t="s">
        <v>257</v>
      </c>
      <c r="CM166" s="52">
        <v>62</v>
      </c>
      <c r="CN166" s="52"/>
      <c r="CO166" s="52"/>
      <c r="CP166" s="52"/>
      <c r="CQ166" s="52" t="s">
        <v>372</v>
      </c>
      <c r="CR166" s="52">
        <v>10800</v>
      </c>
      <c r="CS166" s="52" t="s">
        <v>373</v>
      </c>
      <c r="CT166" s="52">
        <v>70</v>
      </c>
      <c r="CU166" s="52"/>
      <c r="CV166" s="52"/>
      <c r="CW166" s="52" t="s">
        <v>373</v>
      </c>
      <c r="CX166" s="52">
        <v>80</v>
      </c>
      <c r="CY166" s="52"/>
      <c r="CZ166" s="52"/>
      <c r="DA166" s="52"/>
      <c r="DB166" s="52"/>
      <c r="DC166" s="52"/>
      <c r="DD166" s="52"/>
      <c r="DE166" s="52"/>
      <c r="DF166" s="52"/>
      <c r="DG166" s="52"/>
      <c r="DH166" s="52"/>
    </row>
    <row r="167" spans="58:112" ht="16.5" x14ac:dyDescent="0.2">
      <c r="BF167" s="52">
        <v>162</v>
      </c>
      <c r="BG167" s="14">
        <f t="shared" si="37"/>
        <v>0</v>
      </c>
      <c r="BH167" s="14">
        <f t="shared" si="38"/>
        <v>480</v>
      </c>
      <c r="BI167" s="14">
        <f t="shared" si="39"/>
        <v>0</v>
      </c>
      <c r="BJ167" s="14">
        <f t="shared" si="40"/>
        <v>1200</v>
      </c>
      <c r="BK167" s="14">
        <f t="shared" si="41"/>
        <v>480</v>
      </c>
      <c r="BL167" s="14">
        <f t="shared" si="42"/>
        <v>960</v>
      </c>
      <c r="CJ167" s="52">
        <v>163</v>
      </c>
      <c r="CK167" s="52">
        <v>2</v>
      </c>
      <c r="CL167" s="52" t="s">
        <v>257</v>
      </c>
      <c r="CM167" s="52">
        <v>63</v>
      </c>
      <c r="CN167" s="52"/>
      <c r="CO167" s="52"/>
      <c r="CP167" s="52"/>
      <c r="CQ167" s="52" t="s">
        <v>372</v>
      </c>
      <c r="CR167" s="52">
        <v>10800</v>
      </c>
      <c r="CS167" s="52" t="s">
        <v>373</v>
      </c>
      <c r="CT167" s="52">
        <v>70</v>
      </c>
      <c r="CU167" s="52"/>
      <c r="CV167" s="52"/>
      <c r="CW167" s="52" t="s">
        <v>373</v>
      </c>
      <c r="CX167" s="52">
        <v>80</v>
      </c>
      <c r="CY167" s="52"/>
      <c r="CZ167" s="52"/>
      <c r="DA167" s="52"/>
      <c r="DB167" s="52"/>
      <c r="DC167" s="52"/>
      <c r="DD167" s="52"/>
      <c r="DE167" s="52"/>
      <c r="DF167" s="52"/>
      <c r="DG167" s="52"/>
      <c r="DH167" s="52"/>
    </row>
    <row r="168" spans="58:112" ht="16.5" x14ac:dyDescent="0.2">
      <c r="BF168" s="52">
        <v>163</v>
      </c>
      <c r="BG168" s="14">
        <f t="shared" si="37"/>
        <v>0</v>
      </c>
      <c r="BH168" s="14">
        <f t="shared" si="38"/>
        <v>480</v>
      </c>
      <c r="BI168" s="14">
        <f t="shared" si="39"/>
        <v>0</v>
      </c>
      <c r="BJ168" s="14">
        <f t="shared" si="40"/>
        <v>1200</v>
      </c>
      <c r="BK168" s="14">
        <f t="shared" si="41"/>
        <v>480</v>
      </c>
      <c r="BL168" s="14">
        <f t="shared" si="42"/>
        <v>960</v>
      </c>
      <c r="CJ168" s="52">
        <v>164</v>
      </c>
      <c r="CK168" s="52">
        <v>2</v>
      </c>
      <c r="CL168" s="52" t="s">
        <v>257</v>
      </c>
      <c r="CM168" s="52">
        <v>64</v>
      </c>
      <c r="CN168" s="52"/>
      <c r="CO168" s="52"/>
      <c r="CP168" s="52"/>
      <c r="CQ168" s="52" t="s">
        <v>372</v>
      </c>
      <c r="CR168" s="52">
        <v>10800</v>
      </c>
      <c r="CS168" s="52" t="s">
        <v>373</v>
      </c>
      <c r="CT168" s="52">
        <v>70</v>
      </c>
      <c r="CU168" s="52"/>
      <c r="CV168" s="52"/>
      <c r="CW168" s="52" t="s">
        <v>373</v>
      </c>
      <c r="CX168" s="52">
        <v>80</v>
      </c>
      <c r="CY168" s="52"/>
      <c r="CZ168" s="52"/>
      <c r="DA168" s="52"/>
      <c r="DB168" s="52"/>
      <c r="DC168" s="52"/>
      <c r="DD168" s="52"/>
      <c r="DE168" s="52"/>
      <c r="DF168" s="52"/>
      <c r="DG168" s="52"/>
      <c r="DH168" s="52"/>
    </row>
    <row r="169" spans="58:112" ht="16.5" x14ac:dyDescent="0.2">
      <c r="BF169" s="52">
        <v>164</v>
      </c>
      <c r="BG169" s="14">
        <f t="shared" si="37"/>
        <v>0</v>
      </c>
      <c r="BH169" s="14">
        <f t="shared" si="38"/>
        <v>480</v>
      </c>
      <c r="BI169" s="14">
        <f t="shared" si="39"/>
        <v>0</v>
      </c>
      <c r="BJ169" s="14">
        <f t="shared" si="40"/>
        <v>1200</v>
      </c>
      <c r="BK169" s="14">
        <f t="shared" si="41"/>
        <v>480</v>
      </c>
      <c r="BL169" s="14">
        <f t="shared" si="42"/>
        <v>960</v>
      </c>
      <c r="CJ169" s="52">
        <v>165</v>
      </c>
      <c r="CK169" s="52">
        <v>2</v>
      </c>
      <c r="CL169" s="52" t="s">
        <v>257</v>
      </c>
      <c r="CM169" s="52">
        <v>65</v>
      </c>
      <c r="CN169" s="52"/>
      <c r="CO169" s="52"/>
      <c r="CP169" s="52"/>
      <c r="CQ169" s="52" t="s">
        <v>372</v>
      </c>
      <c r="CR169" s="52">
        <v>10800</v>
      </c>
      <c r="CS169" s="52" t="s">
        <v>373</v>
      </c>
      <c r="CT169" s="52">
        <v>70</v>
      </c>
      <c r="CU169" s="52" t="s">
        <v>274</v>
      </c>
      <c r="CV169" s="52">
        <v>2</v>
      </c>
      <c r="CW169" s="52" t="s">
        <v>373</v>
      </c>
      <c r="CX169" s="52">
        <v>85</v>
      </c>
      <c r="CY169" s="52"/>
      <c r="CZ169" s="52"/>
      <c r="DA169" s="52"/>
      <c r="DB169" s="52"/>
      <c r="DC169" s="52"/>
      <c r="DD169" s="52"/>
      <c r="DE169" s="52"/>
      <c r="DF169" s="52"/>
      <c r="DG169" s="52"/>
      <c r="DH169" s="52"/>
    </row>
    <row r="170" spans="58:112" ht="16.5" x14ac:dyDescent="0.2">
      <c r="BF170" s="52">
        <v>165</v>
      </c>
      <c r="BG170" s="14">
        <f t="shared" ref="BG170:BG233" si="43">SUMIFS($F$5:$F$104,$AT$6:$AT$105,"="&amp;BF170)+SUMIFS($Q$5:$Q$104,$AW$6:$AW$105,"="&amp;BF170)+SUMIFS($AB$5:$AB$104,$AZ$6:$AZ$105,"="&amp;BF170)+SUMIFS($AM$5:$AM$104,$BC$6:$BC$105,"="&amp;BF170)</f>
        <v>0</v>
      </c>
      <c r="BH170" s="14">
        <f t="shared" ref="BH170:BH233" si="44">INDEX($G$5:$G$104,MATCH(BF170,$AT$5:$AT$105,1)-1)+INDEX($R$5:$R$104,MATCH(BF170,$AW$5:$AW$105,1)-1)+INDEX($AC$5:$AC$104,MATCH(BF170,$AZ$5:$AZ$105,1)-1)+INDEX($AN$5:$AN$104,MATCH(BF170,$BC$5:$BC$105,1)-1)</f>
        <v>480</v>
      </c>
      <c r="BI170" s="14">
        <f t="shared" ref="BI170:BI233" si="45">SUMIFS($H$5:$H$104,$AT$6:$AT$105,"="&amp;BF170)+SUMIFS($S$5:$S$104,$AW$6:$AW$105,"="&amp;BF170)+SUMIFS($AD$5:$AD$104,$AZ$6:$AZ$105,"="&amp;BF170)+SUMIFS($AO$5:$AO$104,$BC$6:$BC$105,"="&amp;BF170)</f>
        <v>0</v>
      </c>
      <c r="BJ170" s="14">
        <f t="shared" ref="BJ170:BJ233" si="46">INDEX($I$5:$I$104,MATCH(BF170,$AT$5:$AT$105,1)-1)+INDEX($T$5:$T$104,MATCH(BF170,$AW$5:$AW$105,1)-1)+INDEX($AE$5:$AE$104,MATCH(BF170,$AZ$5:$AZ$105,1)-1)+INDEX($AP$5:$AP$104,MATCH(BF170,$BC$5:$BC$105,1)-1)</f>
        <v>1200</v>
      </c>
      <c r="BK170" s="14">
        <f t="shared" si="41"/>
        <v>480</v>
      </c>
      <c r="BL170" s="14">
        <f t="shared" si="42"/>
        <v>960</v>
      </c>
      <c r="CJ170" s="52">
        <v>166</v>
      </c>
      <c r="CK170" s="52">
        <v>2</v>
      </c>
      <c r="CL170" s="52" t="s">
        <v>257</v>
      </c>
      <c r="CM170" s="52">
        <v>66</v>
      </c>
      <c r="CN170" s="52"/>
      <c r="CO170" s="52"/>
      <c r="CP170" s="52"/>
      <c r="CQ170" s="52" t="s">
        <v>372</v>
      </c>
      <c r="CR170" s="52">
        <v>10800</v>
      </c>
      <c r="CS170" s="52" t="s">
        <v>373</v>
      </c>
      <c r="CT170" s="52">
        <v>75</v>
      </c>
      <c r="CU170" s="52"/>
      <c r="CV170" s="52"/>
      <c r="CW170" s="52" t="s">
        <v>373</v>
      </c>
      <c r="CX170" s="52">
        <v>85</v>
      </c>
      <c r="CY170" s="52"/>
      <c r="CZ170" s="52"/>
      <c r="DA170" s="52"/>
      <c r="DB170" s="52"/>
      <c r="DC170" s="52"/>
      <c r="DD170" s="52"/>
      <c r="DE170" s="52"/>
      <c r="DF170" s="52"/>
      <c r="DG170" s="52"/>
      <c r="DH170" s="52"/>
    </row>
    <row r="171" spans="58:112" ht="16.5" x14ac:dyDescent="0.2">
      <c r="BF171" s="52">
        <v>166</v>
      </c>
      <c r="BG171" s="14">
        <f t="shared" si="43"/>
        <v>0</v>
      </c>
      <c r="BH171" s="14">
        <f t="shared" si="44"/>
        <v>480</v>
      </c>
      <c r="BI171" s="14">
        <f t="shared" si="45"/>
        <v>0</v>
      </c>
      <c r="BJ171" s="14">
        <f t="shared" si="46"/>
        <v>1200</v>
      </c>
      <c r="BK171" s="14">
        <f t="shared" si="41"/>
        <v>480</v>
      </c>
      <c r="BL171" s="14">
        <f t="shared" si="42"/>
        <v>960</v>
      </c>
      <c r="CJ171" s="52">
        <v>167</v>
      </c>
      <c r="CK171" s="52">
        <v>2</v>
      </c>
      <c r="CL171" s="52" t="s">
        <v>257</v>
      </c>
      <c r="CM171" s="52">
        <v>67</v>
      </c>
      <c r="CN171" s="52"/>
      <c r="CO171" s="52"/>
      <c r="CP171" s="52"/>
      <c r="CQ171" s="52" t="s">
        <v>372</v>
      </c>
      <c r="CR171" s="52">
        <v>10800</v>
      </c>
      <c r="CS171" s="52" t="s">
        <v>373</v>
      </c>
      <c r="CT171" s="52">
        <v>75</v>
      </c>
      <c r="CU171" s="52"/>
      <c r="CV171" s="52"/>
      <c r="CW171" s="52" t="s">
        <v>373</v>
      </c>
      <c r="CX171" s="52">
        <v>85</v>
      </c>
      <c r="CY171" s="52"/>
      <c r="CZ171" s="52"/>
      <c r="DA171" s="52"/>
      <c r="DB171" s="52"/>
      <c r="DC171" s="52"/>
      <c r="DD171" s="52"/>
      <c r="DE171" s="52"/>
      <c r="DF171" s="52"/>
      <c r="DG171" s="52"/>
      <c r="DH171" s="52"/>
    </row>
    <row r="172" spans="58:112" ht="16.5" x14ac:dyDescent="0.2">
      <c r="BF172" s="52">
        <v>167</v>
      </c>
      <c r="BG172" s="14">
        <f t="shared" si="43"/>
        <v>0</v>
      </c>
      <c r="BH172" s="14">
        <f t="shared" si="44"/>
        <v>480</v>
      </c>
      <c r="BI172" s="14">
        <f t="shared" si="45"/>
        <v>0</v>
      </c>
      <c r="BJ172" s="14">
        <f t="shared" si="46"/>
        <v>1200</v>
      </c>
      <c r="BK172" s="14">
        <f t="shared" si="41"/>
        <v>480</v>
      </c>
      <c r="BL172" s="14">
        <f t="shared" si="42"/>
        <v>960</v>
      </c>
      <c r="CJ172" s="52">
        <v>168</v>
      </c>
      <c r="CK172" s="52">
        <v>2</v>
      </c>
      <c r="CL172" s="52" t="s">
        <v>257</v>
      </c>
      <c r="CM172" s="52">
        <v>68</v>
      </c>
      <c r="CN172" s="52"/>
      <c r="CO172" s="52"/>
      <c r="CP172" s="52"/>
      <c r="CQ172" s="52" t="s">
        <v>372</v>
      </c>
      <c r="CR172" s="52">
        <v>10800</v>
      </c>
      <c r="CS172" s="52" t="s">
        <v>373</v>
      </c>
      <c r="CT172" s="52">
        <v>75</v>
      </c>
      <c r="CU172" s="52"/>
      <c r="CV172" s="52"/>
      <c r="CW172" s="52" t="s">
        <v>373</v>
      </c>
      <c r="CX172" s="52">
        <v>85</v>
      </c>
      <c r="CY172" s="52"/>
      <c r="CZ172" s="52"/>
      <c r="DA172" s="52"/>
      <c r="DB172" s="52"/>
      <c r="DC172" s="52"/>
      <c r="DD172" s="52"/>
      <c r="DE172" s="52"/>
      <c r="DF172" s="52"/>
      <c r="DG172" s="52"/>
      <c r="DH172" s="52"/>
    </row>
    <row r="173" spans="58:112" ht="16.5" x14ac:dyDescent="0.2">
      <c r="BF173" s="52">
        <v>168</v>
      </c>
      <c r="BG173" s="14">
        <f t="shared" si="43"/>
        <v>0</v>
      </c>
      <c r="BH173" s="14">
        <f t="shared" si="44"/>
        <v>480</v>
      </c>
      <c r="BI173" s="14">
        <f t="shared" si="45"/>
        <v>0</v>
      </c>
      <c r="BJ173" s="14">
        <f t="shared" si="46"/>
        <v>1200</v>
      </c>
      <c r="BK173" s="14">
        <f t="shared" si="41"/>
        <v>480</v>
      </c>
      <c r="BL173" s="14">
        <f t="shared" si="42"/>
        <v>960</v>
      </c>
      <c r="CJ173" s="52">
        <v>169</v>
      </c>
      <c r="CK173" s="52">
        <v>2</v>
      </c>
      <c r="CL173" s="52" t="s">
        <v>257</v>
      </c>
      <c r="CM173" s="52">
        <v>69</v>
      </c>
      <c r="CN173" s="52"/>
      <c r="CO173" s="52"/>
      <c r="CP173" s="52"/>
      <c r="CQ173" s="52" t="s">
        <v>372</v>
      </c>
      <c r="CR173" s="52">
        <v>10800</v>
      </c>
      <c r="CS173" s="52" t="s">
        <v>373</v>
      </c>
      <c r="CT173" s="52">
        <v>75</v>
      </c>
      <c r="CU173" s="52"/>
      <c r="CV173" s="52"/>
      <c r="CW173" s="52" t="s">
        <v>373</v>
      </c>
      <c r="CX173" s="52">
        <v>85</v>
      </c>
      <c r="CY173" s="52"/>
      <c r="CZ173" s="52"/>
      <c r="DA173" s="52"/>
      <c r="DB173" s="52"/>
      <c r="DC173" s="52"/>
      <c r="DD173" s="52"/>
      <c r="DE173" s="52"/>
      <c r="DF173" s="52"/>
      <c r="DG173" s="52"/>
      <c r="DH173" s="52"/>
    </row>
    <row r="174" spans="58:112" ht="16.5" x14ac:dyDescent="0.2">
      <c r="BF174" s="52">
        <v>169</v>
      </c>
      <c r="BG174" s="14">
        <f t="shared" si="43"/>
        <v>0</v>
      </c>
      <c r="BH174" s="14">
        <f t="shared" si="44"/>
        <v>480</v>
      </c>
      <c r="BI174" s="14">
        <f t="shared" si="45"/>
        <v>0</v>
      </c>
      <c r="BJ174" s="14">
        <f t="shared" si="46"/>
        <v>1200</v>
      </c>
      <c r="BK174" s="14">
        <f t="shared" si="41"/>
        <v>480</v>
      </c>
      <c r="BL174" s="14">
        <f t="shared" si="42"/>
        <v>960</v>
      </c>
      <c r="CJ174" s="52">
        <v>170</v>
      </c>
      <c r="CK174" s="52">
        <v>2</v>
      </c>
      <c r="CL174" s="52" t="s">
        <v>257</v>
      </c>
      <c r="CM174" s="52">
        <v>70</v>
      </c>
      <c r="CN174" s="52"/>
      <c r="CO174" s="52"/>
      <c r="CP174" s="52"/>
      <c r="CQ174" s="52" t="s">
        <v>372</v>
      </c>
      <c r="CR174" s="52">
        <v>13200</v>
      </c>
      <c r="CS174" s="52" t="s">
        <v>373</v>
      </c>
      <c r="CT174" s="52">
        <v>75</v>
      </c>
      <c r="CU174" s="52" t="s">
        <v>273</v>
      </c>
      <c r="CV174" s="52">
        <v>2</v>
      </c>
      <c r="CW174" s="52" t="s">
        <v>373</v>
      </c>
      <c r="CX174" s="52">
        <v>90</v>
      </c>
      <c r="CY174" s="52"/>
      <c r="CZ174" s="52"/>
      <c r="DA174" s="52"/>
      <c r="DB174" s="52"/>
      <c r="DC174" s="52"/>
      <c r="DD174" s="52"/>
      <c r="DE174" s="52"/>
      <c r="DF174" s="52"/>
      <c r="DG174" s="52"/>
      <c r="DH174" s="52"/>
    </row>
    <row r="175" spans="58:112" ht="16.5" x14ac:dyDescent="0.2">
      <c r="BF175" s="52">
        <v>170</v>
      </c>
      <c r="BG175" s="14">
        <f t="shared" si="43"/>
        <v>0</v>
      </c>
      <c r="BH175" s="14">
        <f t="shared" si="44"/>
        <v>480</v>
      </c>
      <c r="BI175" s="14">
        <f t="shared" si="45"/>
        <v>0</v>
      </c>
      <c r="BJ175" s="14">
        <f t="shared" si="46"/>
        <v>1200</v>
      </c>
      <c r="BK175" s="14">
        <f t="shared" si="41"/>
        <v>480</v>
      </c>
      <c r="BL175" s="14">
        <f t="shared" si="42"/>
        <v>960</v>
      </c>
      <c r="CJ175" s="52">
        <v>171</v>
      </c>
      <c r="CK175" s="52">
        <v>2</v>
      </c>
      <c r="CL175" s="52" t="s">
        <v>257</v>
      </c>
      <c r="CM175" s="52">
        <v>71</v>
      </c>
      <c r="CN175" s="52"/>
      <c r="CO175" s="52"/>
      <c r="CP175" s="52"/>
      <c r="CQ175" s="52" t="s">
        <v>372</v>
      </c>
      <c r="CR175" s="52">
        <v>13200</v>
      </c>
      <c r="CS175" s="52" t="s">
        <v>373</v>
      </c>
      <c r="CT175" s="52">
        <v>80</v>
      </c>
      <c r="CU175" s="52"/>
      <c r="CV175" s="52"/>
      <c r="CW175" s="52" t="s">
        <v>373</v>
      </c>
      <c r="CX175" s="52">
        <v>90</v>
      </c>
      <c r="CY175" s="52"/>
      <c r="CZ175" s="52"/>
      <c r="DA175" s="52"/>
      <c r="DB175" s="52"/>
      <c r="DC175" s="52"/>
      <c r="DD175" s="52"/>
      <c r="DE175" s="52"/>
      <c r="DF175" s="52"/>
      <c r="DG175" s="52"/>
      <c r="DH175" s="52"/>
    </row>
    <row r="176" spans="58:112" ht="16.5" x14ac:dyDescent="0.2">
      <c r="BF176" s="52">
        <v>171</v>
      </c>
      <c r="BG176" s="14">
        <f t="shared" si="43"/>
        <v>0</v>
      </c>
      <c r="BH176" s="14">
        <f t="shared" si="44"/>
        <v>480</v>
      </c>
      <c r="BI176" s="14">
        <f t="shared" si="45"/>
        <v>0</v>
      </c>
      <c r="BJ176" s="14">
        <f t="shared" si="46"/>
        <v>1200</v>
      </c>
      <c r="BK176" s="14">
        <f t="shared" si="41"/>
        <v>480</v>
      </c>
      <c r="BL176" s="14">
        <f t="shared" si="42"/>
        <v>960</v>
      </c>
      <c r="CJ176" s="52">
        <v>172</v>
      </c>
      <c r="CK176" s="52">
        <v>2</v>
      </c>
      <c r="CL176" s="52" t="s">
        <v>257</v>
      </c>
      <c r="CM176" s="52">
        <v>72</v>
      </c>
      <c r="CN176" s="52"/>
      <c r="CO176" s="52"/>
      <c r="CP176" s="52"/>
      <c r="CQ176" s="52" t="s">
        <v>372</v>
      </c>
      <c r="CR176" s="52">
        <v>13200</v>
      </c>
      <c r="CS176" s="52" t="s">
        <v>373</v>
      </c>
      <c r="CT176" s="52">
        <v>80</v>
      </c>
      <c r="CU176" s="52"/>
      <c r="CV176" s="52"/>
      <c r="CW176" s="52" t="s">
        <v>373</v>
      </c>
      <c r="CX176" s="52">
        <v>90</v>
      </c>
      <c r="CY176" s="52"/>
      <c r="CZ176" s="52"/>
      <c r="DA176" s="52"/>
      <c r="DB176" s="52"/>
      <c r="DC176" s="52"/>
      <c r="DD176" s="52"/>
      <c r="DE176" s="52"/>
      <c r="DF176" s="52"/>
      <c r="DG176" s="52"/>
      <c r="DH176" s="52"/>
    </row>
    <row r="177" spans="58:112" ht="16.5" x14ac:dyDescent="0.2">
      <c r="BF177" s="52">
        <v>172</v>
      </c>
      <c r="BG177" s="14">
        <f t="shared" si="43"/>
        <v>0</v>
      </c>
      <c r="BH177" s="14">
        <f t="shared" si="44"/>
        <v>480</v>
      </c>
      <c r="BI177" s="14">
        <f t="shared" si="45"/>
        <v>0</v>
      </c>
      <c r="BJ177" s="14">
        <f t="shared" si="46"/>
        <v>1200</v>
      </c>
      <c r="BK177" s="14">
        <f t="shared" si="41"/>
        <v>480</v>
      </c>
      <c r="BL177" s="14">
        <f t="shared" si="42"/>
        <v>960</v>
      </c>
      <c r="CJ177" s="52">
        <v>173</v>
      </c>
      <c r="CK177" s="52">
        <v>2</v>
      </c>
      <c r="CL177" s="52" t="s">
        <v>257</v>
      </c>
      <c r="CM177" s="52">
        <v>73</v>
      </c>
      <c r="CN177" s="52"/>
      <c r="CO177" s="52"/>
      <c r="CP177" s="52"/>
      <c r="CQ177" s="52" t="s">
        <v>372</v>
      </c>
      <c r="CR177" s="52">
        <v>13200</v>
      </c>
      <c r="CS177" s="52" t="s">
        <v>373</v>
      </c>
      <c r="CT177" s="52">
        <v>80</v>
      </c>
      <c r="CU177" s="52"/>
      <c r="CV177" s="52"/>
      <c r="CW177" s="52" t="s">
        <v>373</v>
      </c>
      <c r="CX177" s="52">
        <v>90</v>
      </c>
      <c r="CY177" s="52"/>
      <c r="CZ177" s="52"/>
      <c r="DA177" s="52"/>
      <c r="DB177" s="52"/>
      <c r="DC177" s="52"/>
      <c r="DD177" s="52"/>
      <c r="DE177" s="52"/>
      <c r="DF177" s="52"/>
      <c r="DG177" s="52"/>
      <c r="DH177" s="52"/>
    </row>
    <row r="178" spans="58:112" ht="16.5" x14ac:dyDescent="0.2">
      <c r="BF178" s="52">
        <v>173</v>
      </c>
      <c r="BG178" s="14">
        <f t="shared" si="43"/>
        <v>0</v>
      </c>
      <c r="BH178" s="14">
        <f t="shared" si="44"/>
        <v>480</v>
      </c>
      <c r="BI178" s="14">
        <f t="shared" si="45"/>
        <v>0</v>
      </c>
      <c r="BJ178" s="14">
        <f t="shared" si="46"/>
        <v>1200</v>
      </c>
      <c r="BK178" s="14">
        <f t="shared" si="41"/>
        <v>480</v>
      </c>
      <c r="BL178" s="14">
        <f t="shared" si="42"/>
        <v>960</v>
      </c>
      <c r="CJ178" s="52">
        <v>174</v>
      </c>
      <c r="CK178" s="52">
        <v>2</v>
      </c>
      <c r="CL178" s="52" t="s">
        <v>257</v>
      </c>
      <c r="CM178" s="52">
        <v>74</v>
      </c>
      <c r="CN178" s="52"/>
      <c r="CO178" s="52"/>
      <c r="CP178" s="52"/>
      <c r="CQ178" s="52" t="s">
        <v>372</v>
      </c>
      <c r="CR178" s="52">
        <v>13200</v>
      </c>
      <c r="CS178" s="52" t="s">
        <v>373</v>
      </c>
      <c r="CT178" s="52">
        <v>80</v>
      </c>
      <c r="CU178" s="52"/>
      <c r="CV178" s="52"/>
      <c r="CW178" s="52" t="s">
        <v>373</v>
      </c>
      <c r="CX178" s="52">
        <v>90</v>
      </c>
      <c r="CY178" s="52"/>
      <c r="CZ178" s="52"/>
      <c r="DA178" s="52"/>
      <c r="DB178" s="52"/>
      <c r="DC178" s="52"/>
      <c r="DD178" s="52"/>
      <c r="DE178" s="52"/>
      <c r="DF178" s="52"/>
      <c r="DG178" s="52"/>
      <c r="DH178" s="52"/>
    </row>
    <row r="179" spans="58:112" ht="16.5" x14ac:dyDescent="0.2">
      <c r="BF179" s="52">
        <v>174</v>
      </c>
      <c r="BG179" s="14">
        <f t="shared" si="43"/>
        <v>0</v>
      </c>
      <c r="BH179" s="14">
        <f t="shared" si="44"/>
        <v>480</v>
      </c>
      <c r="BI179" s="14">
        <f t="shared" si="45"/>
        <v>0</v>
      </c>
      <c r="BJ179" s="14">
        <f t="shared" si="46"/>
        <v>1200</v>
      </c>
      <c r="BK179" s="14">
        <f t="shared" si="41"/>
        <v>480</v>
      </c>
      <c r="BL179" s="14">
        <f t="shared" si="42"/>
        <v>960</v>
      </c>
      <c r="CJ179" s="52">
        <v>175</v>
      </c>
      <c r="CK179" s="52">
        <v>2</v>
      </c>
      <c r="CL179" s="52" t="s">
        <v>257</v>
      </c>
      <c r="CM179" s="52">
        <v>75</v>
      </c>
      <c r="CN179" s="52"/>
      <c r="CO179" s="52"/>
      <c r="CP179" s="52"/>
      <c r="CQ179" s="52" t="s">
        <v>372</v>
      </c>
      <c r="CR179" s="52">
        <v>13200</v>
      </c>
      <c r="CS179" s="52" t="s">
        <v>373</v>
      </c>
      <c r="CT179" s="52">
        <v>80</v>
      </c>
      <c r="CU179" s="52" t="s">
        <v>274</v>
      </c>
      <c r="CV179" s="52">
        <v>2</v>
      </c>
      <c r="CW179" s="52" t="s">
        <v>373</v>
      </c>
      <c r="CX179" s="52">
        <v>95</v>
      </c>
      <c r="CY179" s="52"/>
      <c r="CZ179" s="52"/>
      <c r="DA179" s="52"/>
      <c r="DB179" s="52"/>
      <c r="DC179" s="52"/>
      <c r="DD179" s="52"/>
      <c r="DE179" s="52"/>
      <c r="DF179" s="52"/>
      <c r="DG179" s="52"/>
      <c r="DH179" s="52"/>
    </row>
    <row r="180" spans="58:112" ht="16.5" x14ac:dyDescent="0.2">
      <c r="BF180" s="52">
        <v>175</v>
      </c>
      <c r="BG180" s="14">
        <f t="shared" si="43"/>
        <v>0</v>
      </c>
      <c r="BH180" s="14">
        <f t="shared" si="44"/>
        <v>480</v>
      </c>
      <c r="BI180" s="14">
        <f t="shared" si="45"/>
        <v>0</v>
      </c>
      <c r="BJ180" s="14">
        <f t="shared" si="46"/>
        <v>1200</v>
      </c>
      <c r="BK180" s="14">
        <f t="shared" si="41"/>
        <v>480</v>
      </c>
      <c r="BL180" s="14">
        <f t="shared" si="42"/>
        <v>960</v>
      </c>
      <c r="CJ180" s="52">
        <v>176</v>
      </c>
      <c r="CK180" s="52">
        <v>2</v>
      </c>
      <c r="CL180" s="52" t="s">
        <v>257</v>
      </c>
      <c r="CM180" s="52">
        <v>76</v>
      </c>
      <c r="CN180" s="52"/>
      <c r="CO180" s="52"/>
      <c r="CP180" s="52"/>
      <c r="CQ180" s="52" t="s">
        <v>372</v>
      </c>
      <c r="CR180" s="52">
        <v>13200</v>
      </c>
      <c r="CS180" s="52" t="s">
        <v>373</v>
      </c>
      <c r="CT180" s="52">
        <v>85</v>
      </c>
      <c r="CU180" s="52"/>
      <c r="CV180" s="52"/>
      <c r="CW180" s="52" t="s">
        <v>373</v>
      </c>
      <c r="CX180" s="52">
        <v>95</v>
      </c>
      <c r="CY180" s="52"/>
      <c r="CZ180" s="52"/>
      <c r="DA180" s="52"/>
      <c r="DB180" s="52"/>
      <c r="DC180" s="52"/>
      <c r="DD180" s="52"/>
      <c r="DE180" s="52"/>
      <c r="DF180" s="52"/>
      <c r="DG180" s="52"/>
      <c r="DH180" s="52"/>
    </row>
    <row r="181" spans="58:112" ht="16.5" x14ac:dyDescent="0.2">
      <c r="BF181" s="52">
        <v>176</v>
      </c>
      <c r="BG181" s="14">
        <f t="shared" si="43"/>
        <v>0</v>
      </c>
      <c r="BH181" s="14">
        <f t="shared" si="44"/>
        <v>480</v>
      </c>
      <c r="BI181" s="14">
        <f t="shared" si="45"/>
        <v>0</v>
      </c>
      <c r="BJ181" s="14">
        <f t="shared" si="46"/>
        <v>1200</v>
      </c>
      <c r="BK181" s="14">
        <f t="shared" si="41"/>
        <v>480</v>
      </c>
      <c r="BL181" s="14">
        <f t="shared" si="42"/>
        <v>960</v>
      </c>
      <c r="CJ181" s="52">
        <v>177</v>
      </c>
      <c r="CK181" s="52">
        <v>2</v>
      </c>
      <c r="CL181" s="52" t="s">
        <v>257</v>
      </c>
      <c r="CM181" s="52">
        <v>77</v>
      </c>
      <c r="CN181" s="52"/>
      <c r="CO181" s="52"/>
      <c r="CP181" s="52"/>
      <c r="CQ181" s="52" t="s">
        <v>372</v>
      </c>
      <c r="CR181" s="52">
        <v>13200</v>
      </c>
      <c r="CS181" s="52" t="s">
        <v>373</v>
      </c>
      <c r="CT181" s="52">
        <v>85</v>
      </c>
      <c r="CU181" s="52"/>
      <c r="CV181" s="52"/>
      <c r="CW181" s="52" t="s">
        <v>373</v>
      </c>
      <c r="CX181" s="52">
        <v>95</v>
      </c>
      <c r="CY181" s="52"/>
      <c r="CZ181" s="52"/>
      <c r="DA181" s="52"/>
      <c r="DB181" s="52"/>
      <c r="DC181" s="52"/>
      <c r="DD181" s="52"/>
      <c r="DE181" s="52"/>
      <c r="DF181" s="52"/>
      <c r="DG181" s="52"/>
      <c r="DH181" s="52"/>
    </row>
    <row r="182" spans="58:112" ht="16.5" x14ac:dyDescent="0.2">
      <c r="BF182" s="52">
        <v>177</v>
      </c>
      <c r="BG182" s="14">
        <f t="shared" si="43"/>
        <v>0</v>
      </c>
      <c r="BH182" s="14">
        <f t="shared" si="44"/>
        <v>480</v>
      </c>
      <c r="BI182" s="14">
        <f t="shared" si="45"/>
        <v>0</v>
      </c>
      <c r="BJ182" s="14">
        <f t="shared" si="46"/>
        <v>1200</v>
      </c>
      <c r="BK182" s="14">
        <f t="shared" si="41"/>
        <v>480</v>
      </c>
      <c r="BL182" s="14">
        <f t="shared" si="42"/>
        <v>960</v>
      </c>
      <c r="CJ182" s="52">
        <v>178</v>
      </c>
      <c r="CK182" s="52">
        <v>2</v>
      </c>
      <c r="CL182" s="52" t="s">
        <v>257</v>
      </c>
      <c r="CM182" s="52">
        <v>78</v>
      </c>
      <c r="CN182" s="52"/>
      <c r="CO182" s="52"/>
      <c r="CP182" s="52"/>
      <c r="CQ182" s="52" t="s">
        <v>372</v>
      </c>
      <c r="CR182" s="52">
        <v>13200</v>
      </c>
      <c r="CS182" s="52" t="s">
        <v>373</v>
      </c>
      <c r="CT182" s="52">
        <v>85</v>
      </c>
      <c r="CU182" s="52"/>
      <c r="CV182" s="52"/>
      <c r="CW182" s="52" t="s">
        <v>373</v>
      </c>
      <c r="CX182" s="52">
        <v>95</v>
      </c>
      <c r="CY182" s="52"/>
      <c r="CZ182" s="52"/>
      <c r="DA182" s="52"/>
      <c r="DB182" s="52"/>
      <c r="DC182" s="52"/>
      <c r="DD182" s="52"/>
      <c r="DE182" s="52"/>
      <c r="DF182" s="52"/>
      <c r="DG182" s="52"/>
      <c r="DH182" s="52"/>
    </row>
    <row r="183" spans="58:112" ht="16.5" x14ac:dyDescent="0.2">
      <c r="BF183" s="52">
        <v>178</v>
      </c>
      <c r="BG183" s="14">
        <f t="shared" si="43"/>
        <v>0</v>
      </c>
      <c r="BH183" s="14">
        <f t="shared" si="44"/>
        <v>480</v>
      </c>
      <c r="BI183" s="14">
        <f t="shared" si="45"/>
        <v>0</v>
      </c>
      <c r="BJ183" s="14">
        <f t="shared" si="46"/>
        <v>1200</v>
      </c>
      <c r="BK183" s="14">
        <f t="shared" si="41"/>
        <v>480</v>
      </c>
      <c r="BL183" s="14">
        <f t="shared" si="42"/>
        <v>960</v>
      </c>
      <c r="CJ183" s="52">
        <v>179</v>
      </c>
      <c r="CK183" s="52">
        <v>2</v>
      </c>
      <c r="CL183" s="52" t="s">
        <v>257</v>
      </c>
      <c r="CM183" s="52">
        <v>79</v>
      </c>
      <c r="CN183" s="52"/>
      <c r="CO183" s="52"/>
      <c r="CP183" s="52"/>
      <c r="CQ183" s="52" t="s">
        <v>372</v>
      </c>
      <c r="CR183" s="52">
        <v>13200</v>
      </c>
      <c r="CS183" s="52" t="s">
        <v>373</v>
      </c>
      <c r="CT183" s="52">
        <v>85</v>
      </c>
      <c r="CU183" s="52"/>
      <c r="CV183" s="52"/>
      <c r="CW183" s="52" t="s">
        <v>373</v>
      </c>
      <c r="CX183" s="52">
        <v>95</v>
      </c>
      <c r="CY183" s="52"/>
      <c r="CZ183" s="52"/>
      <c r="DA183" s="52"/>
      <c r="DB183" s="52"/>
      <c r="DC183" s="52"/>
      <c r="DD183" s="52"/>
      <c r="DE183" s="52"/>
      <c r="DF183" s="52"/>
      <c r="DG183" s="52"/>
      <c r="DH183" s="52"/>
    </row>
    <row r="184" spans="58:112" ht="16.5" x14ac:dyDescent="0.2">
      <c r="BF184" s="52">
        <v>179</v>
      </c>
      <c r="BG184" s="14">
        <f t="shared" si="43"/>
        <v>0</v>
      </c>
      <c r="BH184" s="14">
        <f t="shared" si="44"/>
        <v>480</v>
      </c>
      <c r="BI184" s="14">
        <f t="shared" si="45"/>
        <v>0</v>
      </c>
      <c r="BJ184" s="14">
        <f t="shared" si="46"/>
        <v>1200</v>
      </c>
      <c r="BK184" s="14">
        <f t="shared" si="41"/>
        <v>480</v>
      </c>
      <c r="BL184" s="14">
        <f t="shared" si="42"/>
        <v>960</v>
      </c>
      <c r="CJ184" s="52">
        <v>180</v>
      </c>
      <c r="CK184" s="52">
        <v>2</v>
      </c>
      <c r="CL184" s="52" t="s">
        <v>257</v>
      </c>
      <c r="CM184" s="52">
        <v>80</v>
      </c>
      <c r="CN184" s="52"/>
      <c r="CO184" s="52"/>
      <c r="CP184" s="52"/>
      <c r="CQ184" s="52" t="s">
        <v>372</v>
      </c>
      <c r="CR184" s="52">
        <v>13200</v>
      </c>
      <c r="CS184" s="52" t="s">
        <v>373</v>
      </c>
      <c r="CT184" s="52">
        <v>85</v>
      </c>
      <c r="CU184" s="52" t="s">
        <v>273</v>
      </c>
      <c r="CV184" s="52">
        <v>2</v>
      </c>
      <c r="CW184" s="52" t="s">
        <v>373</v>
      </c>
      <c r="CX184" s="52">
        <v>100</v>
      </c>
      <c r="CY184" s="52"/>
      <c r="CZ184" s="52"/>
      <c r="DA184" s="52"/>
      <c r="DB184" s="52"/>
      <c r="DC184" s="52"/>
      <c r="DD184" s="52"/>
      <c r="DE184" s="52"/>
      <c r="DF184" s="52"/>
      <c r="DG184" s="52"/>
      <c r="DH184" s="52"/>
    </row>
    <row r="185" spans="58:112" ht="16.5" x14ac:dyDescent="0.2">
      <c r="BF185" s="52">
        <v>180</v>
      </c>
      <c r="BG185" s="14">
        <f t="shared" si="43"/>
        <v>0</v>
      </c>
      <c r="BH185" s="14">
        <f t="shared" si="44"/>
        <v>480</v>
      </c>
      <c r="BI185" s="14">
        <f t="shared" si="45"/>
        <v>0</v>
      </c>
      <c r="BJ185" s="14">
        <f t="shared" si="46"/>
        <v>1200</v>
      </c>
      <c r="BK185" s="14">
        <f t="shared" si="41"/>
        <v>480</v>
      </c>
      <c r="BL185" s="14">
        <f t="shared" si="42"/>
        <v>960</v>
      </c>
      <c r="CJ185" s="52">
        <v>181</v>
      </c>
      <c r="CK185" s="52">
        <v>2</v>
      </c>
      <c r="CL185" s="52" t="s">
        <v>257</v>
      </c>
      <c r="CM185" s="52">
        <v>81</v>
      </c>
      <c r="CN185" s="52"/>
      <c r="CO185" s="52"/>
      <c r="CP185" s="52"/>
      <c r="CQ185" s="52" t="s">
        <v>372</v>
      </c>
      <c r="CR185" s="52">
        <v>13200</v>
      </c>
      <c r="CS185" s="52" t="s">
        <v>373</v>
      </c>
      <c r="CT185" s="52">
        <v>90</v>
      </c>
      <c r="CU185" s="52"/>
      <c r="CV185" s="52"/>
      <c r="CW185" s="52" t="s">
        <v>373</v>
      </c>
      <c r="CX185" s="52">
        <v>100</v>
      </c>
      <c r="CY185" s="52"/>
      <c r="CZ185" s="52"/>
      <c r="DA185" s="52"/>
      <c r="DB185" s="52"/>
      <c r="DC185" s="52"/>
      <c r="DD185" s="52"/>
      <c r="DE185" s="52"/>
      <c r="DF185" s="52"/>
      <c r="DG185" s="52"/>
      <c r="DH185" s="52"/>
    </row>
    <row r="186" spans="58:112" ht="16.5" x14ac:dyDescent="0.2">
      <c r="BF186" s="52">
        <v>181</v>
      </c>
      <c r="BG186" s="14">
        <f t="shared" si="43"/>
        <v>0</v>
      </c>
      <c r="BH186" s="14">
        <f t="shared" si="44"/>
        <v>480</v>
      </c>
      <c r="BI186" s="14">
        <f t="shared" si="45"/>
        <v>0</v>
      </c>
      <c r="BJ186" s="14">
        <f t="shared" si="46"/>
        <v>1200</v>
      </c>
      <c r="BK186" s="14">
        <f t="shared" si="41"/>
        <v>480</v>
      </c>
      <c r="BL186" s="14">
        <f t="shared" si="42"/>
        <v>960</v>
      </c>
      <c r="CJ186" s="52">
        <v>182</v>
      </c>
      <c r="CK186" s="52">
        <v>2</v>
      </c>
      <c r="CL186" s="52" t="s">
        <v>257</v>
      </c>
      <c r="CM186" s="52">
        <v>82</v>
      </c>
      <c r="CN186" s="52"/>
      <c r="CO186" s="52"/>
      <c r="CP186" s="52"/>
      <c r="CQ186" s="52" t="s">
        <v>372</v>
      </c>
      <c r="CR186" s="52">
        <v>13200</v>
      </c>
      <c r="CS186" s="52" t="s">
        <v>373</v>
      </c>
      <c r="CT186" s="52">
        <v>90</v>
      </c>
      <c r="CU186" s="52"/>
      <c r="CV186" s="52"/>
      <c r="CW186" s="52" t="s">
        <v>373</v>
      </c>
      <c r="CX186" s="52">
        <v>100</v>
      </c>
      <c r="CY186" s="52"/>
      <c r="CZ186" s="52"/>
      <c r="DA186" s="52"/>
      <c r="DB186" s="52"/>
      <c r="DC186" s="52"/>
      <c r="DD186" s="52"/>
      <c r="DE186" s="52"/>
      <c r="DF186" s="52"/>
      <c r="DG186" s="52"/>
      <c r="DH186" s="52"/>
    </row>
    <row r="187" spans="58:112" ht="16.5" x14ac:dyDescent="0.2">
      <c r="BF187" s="52">
        <v>182</v>
      </c>
      <c r="BG187" s="14">
        <f t="shared" si="43"/>
        <v>0</v>
      </c>
      <c r="BH187" s="14">
        <f t="shared" si="44"/>
        <v>480</v>
      </c>
      <c r="BI187" s="14">
        <f t="shared" si="45"/>
        <v>0</v>
      </c>
      <c r="BJ187" s="14">
        <f t="shared" si="46"/>
        <v>1200</v>
      </c>
      <c r="BK187" s="14">
        <f t="shared" si="41"/>
        <v>480</v>
      </c>
      <c r="BL187" s="14">
        <f t="shared" si="42"/>
        <v>960</v>
      </c>
      <c r="CJ187" s="52">
        <v>183</v>
      </c>
      <c r="CK187" s="52">
        <v>2</v>
      </c>
      <c r="CL187" s="52" t="s">
        <v>257</v>
      </c>
      <c r="CM187" s="52">
        <v>83</v>
      </c>
      <c r="CN187" s="52"/>
      <c r="CO187" s="52"/>
      <c r="CP187" s="52"/>
      <c r="CQ187" s="52" t="s">
        <v>372</v>
      </c>
      <c r="CR187" s="52">
        <v>13200</v>
      </c>
      <c r="CS187" s="52" t="s">
        <v>373</v>
      </c>
      <c r="CT187" s="52">
        <v>90</v>
      </c>
      <c r="CU187" s="52"/>
      <c r="CV187" s="52"/>
      <c r="CW187" s="52" t="s">
        <v>373</v>
      </c>
      <c r="CX187" s="52">
        <v>100</v>
      </c>
      <c r="CY187" s="52"/>
      <c r="CZ187" s="52"/>
      <c r="DA187" s="52"/>
      <c r="DB187" s="52"/>
      <c r="DC187" s="52"/>
      <c r="DD187" s="52"/>
      <c r="DE187" s="52"/>
      <c r="DF187" s="52"/>
      <c r="DG187" s="52"/>
      <c r="DH187" s="52"/>
    </row>
    <row r="188" spans="58:112" ht="16.5" x14ac:dyDescent="0.2">
      <c r="BF188" s="52">
        <v>183</v>
      </c>
      <c r="BG188" s="14">
        <f t="shared" si="43"/>
        <v>0</v>
      </c>
      <c r="BH188" s="14">
        <f t="shared" si="44"/>
        <v>480</v>
      </c>
      <c r="BI188" s="14">
        <f t="shared" si="45"/>
        <v>0</v>
      </c>
      <c r="BJ188" s="14">
        <f t="shared" si="46"/>
        <v>1200</v>
      </c>
      <c r="BK188" s="14">
        <f t="shared" si="41"/>
        <v>480</v>
      </c>
      <c r="BL188" s="14">
        <f t="shared" si="42"/>
        <v>960</v>
      </c>
      <c r="CJ188" s="52">
        <v>184</v>
      </c>
      <c r="CK188" s="52">
        <v>2</v>
      </c>
      <c r="CL188" s="52" t="s">
        <v>257</v>
      </c>
      <c r="CM188" s="52">
        <v>84</v>
      </c>
      <c r="CN188" s="52"/>
      <c r="CO188" s="52"/>
      <c r="CP188" s="52"/>
      <c r="CQ188" s="52" t="s">
        <v>372</v>
      </c>
      <c r="CR188" s="52">
        <v>13200</v>
      </c>
      <c r="CS188" s="52" t="s">
        <v>373</v>
      </c>
      <c r="CT188" s="52">
        <v>90</v>
      </c>
      <c r="CU188" s="52"/>
      <c r="CV188" s="52"/>
      <c r="CW188" s="52" t="s">
        <v>373</v>
      </c>
      <c r="CX188" s="52">
        <v>100</v>
      </c>
      <c r="CY188" s="52"/>
      <c r="CZ188" s="52"/>
      <c r="DA188" s="52"/>
      <c r="DB188" s="52"/>
      <c r="DC188" s="52"/>
      <c r="DD188" s="52"/>
      <c r="DE188" s="52"/>
      <c r="DF188" s="52"/>
      <c r="DG188" s="52"/>
      <c r="DH188" s="52"/>
    </row>
    <row r="189" spans="58:112" ht="16.5" x14ac:dyDescent="0.2">
      <c r="BF189" s="52">
        <v>184</v>
      </c>
      <c r="BG189" s="14">
        <f t="shared" si="43"/>
        <v>0</v>
      </c>
      <c r="BH189" s="14">
        <f t="shared" si="44"/>
        <v>480</v>
      </c>
      <c r="BI189" s="14">
        <f t="shared" si="45"/>
        <v>0</v>
      </c>
      <c r="BJ189" s="14">
        <f t="shared" si="46"/>
        <v>1200</v>
      </c>
      <c r="BK189" s="14">
        <f t="shared" si="41"/>
        <v>480</v>
      </c>
      <c r="BL189" s="14">
        <f t="shared" si="42"/>
        <v>960</v>
      </c>
      <c r="CJ189" s="52">
        <v>185</v>
      </c>
      <c r="CK189" s="52">
        <v>2</v>
      </c>
      <c r="CL189" s="52" t="s">
        <v>257</v>
      </c>
      <c r="CM189" s="52">
        <v>85</v>
      </c>
      <c r="CN189" s="52"/>
      <c r="CO189" s="52"/>
      <c r="CP189" s="52"/>
      <c r="CQ189" s="52" t="s">
        <v>372</v>
      </c>
      <c r="CR189" s="52">
        <v>15600</v>
      </c>
      <c r="CS189" s="52" t="s">
        <v>373</v>
      </c>
      <c r="CT189" s="52">
        <v>90</v>
      </c>
      <c r="CU189" s="52" t="s">
        <v>274</v>
      </c>
      <c r="CV189" s="52">
        <v>2</v>
      </c>
      <c r="CW189" s="52" t="s">
        <v>373</v>
      </c>
      <c r="CX189" s="52">
        <v>105</v>
      </c>
      <c r="CY189" s="52"/>
      <c r="CZ189" s="52"/>
      <c r="DA189" s="52"/>
      <c r="DB189" s="52"/>
      <c r="DC189" s="52"/>
      <c r="DD189" s="52"/>
      <c r="DE189" s="52"/>
      <c r="DF189" s="52"/>
      <c r="DG189" s="52"/>
      <c r="DH189" s="52"/>
    </row>
    <row r="190" spans="58:112" ht="16.5" x14ac:dyDescent="0.2">
      <c r="BF190" s="52">
        <v>185</v>
      </c>
      <c r="BG190" s="14">
        <f t="shared" si="43"/>
        <v>0</v>
      </c>
      <c r="BH190" s="14">
        <f t="shared" si="44"/>
        <v>480</v>
      </c>
      <c r="BI190" s="14">
        <f t="shared" si="45"/>
        <v>0</v>
      </c>
      <c r="BJ190" s="14">
        <f t="shared" si="46"/>
        <v>1200</v>
      </c>
      <c r="BK190" s="14">
        <f t="shared" si="41"/>
        <v>480</v>
      </c>
      <c r="BL190" s="14">
        <f t="shared" si="42"/>
        <v>960</v>
      </c>
      <c r="CJ190" s="52">
        <v>186</v>
      </c>
      <c r="CK190" s="52">
        <v>2</v>
      </c>
      <c r="CL190" s="52" t="s">
        <v>257</v>
      </c>
      <c r="CM190" s="52">
        <v>86</v>
      </c>
      <c r="CN190" s="52"/>
      <c r="CO190" s="52"/>
      <c r="CP190" s="52"/>
      <c r="CQ190" s="52" t="s">
        <v>372</v>
      </c>
      <c r="CR190" s="52">
        <v>15600</v>
      </c>
      <c r="CS190" s="52" t="s">
        <v>373</v>
      </c>
      <c r="CT190" s="52">
        <v>95</v>
      </c>
      <c r="CU190" s="52"/>
      <c r="CV190" s="52"/>
      <c r="CW190" s="52" t="s">
        <v>373</v>
      </c>
      <c r="CX190" s="52">
        <v>105</v>
      </c>
      <c r="CY190" s="52"/>
      <c r="CZ190" s="52"/>
      <c r="DA190" s="52"/>
      <c r="DB190" s="52"/>
      <c r="DC190" s="52"/>
      <c r="DD190" s="52"/>
      <c r="DE190" s="52"/>
      <c r="DF190" s="52"/>
      <c r="DG190" s="52"/>
      <c r="DH190" s="52"/>
    </row>
    <row r="191" spans="58:112" ht="16.5" x14ac:dyDescent="0.2">
      <c r="BF191" s="52">
        <v>186</v>
      </c>
      <c r="BG191" s="14">
        <f t="shared" si="43"/>
        <v>0</v>
      </c>
      <c r="BH191" s="14">
        <f t="shared" si="44"/>
        <v>480</v>
      </c>
      <c r="BI191" s="14">
        <f t="shared" si="45"/>
        <v>0</v>
      </c>
      <c r="BJ191" s="14">
        <f t="shared" si="46"/>
        <v>1200</v>
      </c>
      <c r="BK191" s="14">
        <f t="shared" si="41"/>
        <v>480</v>
      </c>
      <c r="BL191" s="14">
        <f t="shared" si="42"/>
        <v>960</v>
      </c>
      <c r="CJ191" s="52">
        <v>187</v>
      </c>
      <c r="CK191" s="52">
        <v>2</v>
      </c>
      <c r="CL191" s="52" t="s">
        <v>257</v>
      </c>
      <c r="CM191" s="52">
        <v>87</v>
      </c>
      <c r="CN191" s="52"/>
      <c r="CO191" s="52"/>
      <c r="CP191" s="52"/>
      <c r="CQ191" s="52" t="s">
        <v>372</v>
      </c>
      <c r="CR191" s="52">
        <v>15600</v>
      </c>
      <c r="CS191" s="52" t="s">
        <v>373</v>
      </c>
      <c r="CT191" s="52">
        <v>95</v>
      </c>
      <c r="CU191" s="52"/>
      <c r="CV191" s="52"/>
      <c r="CW191" s="52" t="s">
        <v>373</v>
      </c>
      <c r="CX191" s="52">
        <v>105</v>
      </c>
      <c r="CY191" s="52"/>
      <c r="CZ191" s="52"/>
      <c r="DA191" s="52"/>
      <c r="DB191" s="52"/>
      <c r="DC191" s="52"/>
      <c r="DD191" s="52"/>
      <c r="DE191" s="52"/>
      <c r="DF191" s="52"/>
      <c r="DG191" s="52"/>
      <c r="DH191" s="52"/>
    </row>
    <row r="192" spans="58:112" ht="16.5" x14ac:dyDescent="0.2">
      <c r="BF192" s="52">
        <v>187</v>
      </c>
      <c r="BG192" s="14">
        <f t="shared" si="43"/>
        <v>0</v>
      </c>
      <c r="BH192" s="14">
        <f t="shared" si="44"/>
        <v>480</v>
      </c>
      <c r="BI192" s="14">
        <f t="shared" si="45"/>
        <v>0</v>
      </c>
      <c r="BJ192" s="14">
        <f t="shared" si="46"/>
        <v>1200</v>
      </c>
      <c r="BK192" s="14">
        <f t="shared" si="41"/>
        <v>480</v>
      </c>
      <c r="BL192" s="14">
        <f t="shared" si="42"/>
        <v>960</v>
      </c>
      <c r="CJ192" s="52">
        <v>188</v>
      </c>
      <c r="CK192" s="52">
        <v>2</v>
      </c>
      <c r="CL192" s="52" t="s">
        <v>257</v>
      </c>
      <c r="CM192" s="52">
        <v>88</v>
      </c>
      <c r="CN192" s="52"/>
      <c r="CO192" s="52"/>
      <c r="CP192" s="52"/>
      <c r="CQ192" s="52" t="s">
        <v>372</v>
      </c>
      <c r="CR192" s="52">
        <v>15600</v>
      </c>
      <c r="CS192" s="52" t="s">
        <v>373</v>
      </c>
      <c r="CT192" s="52">
        <v>95</v>
      </c>
      <c r="CU192" s="52"/>
      <c r="CV192" s="52"/>
      <c r="CW192" s="52" t="s">
        <v>373</v>
      </c>
      <c r="CX192" s="52">
        <v>105</v>
      </c>
      <c r="CY192" s="52"/>
      <c r="CZ192" s="52"/>
      <c r="DA192" s="52"/>
      <c r="DB192" s="52"/>
      <c r="DC192" s="52"/>
      <c r="DD192" s="52"/>
      <c r="DE192" s="52"/>
      <c r="DF192" s="52"/>
      <c r="DG192" s="52"/>
      <c r="DH192" s="52"/>
    </row>
    <row r="193" spans="58:112" ht="16.5" x14ac:dyDescent="0.2">
      <c r="BF193" s="52">
        <v>188</v>
      </c>
      <c r="BG193" s="14">
        <f t="shared" si="43"/>
        <v>0</v>
      </c>
      <c r="BH193" s="14">
        <f t="shared" si="44"/>
        <v>480</v>
      </c>
      <c r="BI193" s="14">
        <f t="shared" si="45"/>
        <v>0</v>
      </c>
      <c r="BJ193" s="14">
        <f t="shared" si="46"/>
        <v>1200</v>
      </c>
      <c r="BK193" s="14">
        <f t="shared" si="41"/>
        <v>480</v>
      </c>
      <c r="BL193" s="14">
        <f t="shared" si="42"/>
        <v>960</v>
      </c>
      <c r="CJ193" s="52">
        <v>189</v>
      </c>
      <c r="CK193" s="52">
        <v>2</v>
      </c>
      <c r="CL193" s="52" t="s">
        <v>257</v>
      </c>
      <c r="CM193" s="52">
        <v>89</v>
      </c>
      <c r="CN193" s="52"/>
      <c r="CO193" s="52"/>
      <c r="CP193" s="52"/>
      <c r="CQ193" s="52" t="s">
        <v>372</v>
      </c>
      <c r="CR193" s="52">
        <v>15600</v>
      </c>
      <c r="CS193" s="52" t="s">
        <v>373</v>
      </c>
      <c r="CT193" s="52">
        <v>95</v>
      </c>
      <c r="CU193" s="52"/>
      <c r="CV193" s="52"/>
      <c r="CW193" s="52" t="s">
        <v>373</v>
      </c>
      <c r="CX193" s="52">
        <v>105</v>
      </c>
      <c r="CY193" s="52"/>
      <c r="CZ193" s="52"/>
      <c r="DA193" s="52"/>
      <c r="DB193" s="52"/>
      <c r="DC193" s="52"/>
      <c r="DD193" s="52"/>
      <c r="DE193" s="52"/>
      <c r="DF193" s="52"/>
      <c r="DG193" s="52"/>
      <c r="DH193" s="52"/>
    </row>
    <row r="194" spans="58:112" ht="16.5" x14ac:dyDescent="0.2">
      <c r="BF194" s="52">
        <v>189</v>
      </c>
      <c r="BG194" s="14">
        <f t="shared" si="43"/>
        <v>0</v>
      </c>
      <c r="BH194" s="14">
        <f t="shared" si="44"/>
        <v>480</v>
      </c>
      <c r="BI194" s="14">
        <f t="shared" si="45"/>
        <v>0</v>
      </c>
      <c r="BJ194" s="14">
        <f t="shared" si="46"/>
        <v>1200</v>
      </c>
      <c r="BK194" s="14">
        <f t="shared" si="41"/>
        <v>480</v>
      </c>
      <c r="BL194" s="14">
        <f t="shared" si="42"/>
        <v>960</v>
      </c>
      <c r="CJ194" s="52">
        <v>190</v>
      </c>
      <c r="CK194" s="52">
        <v>2</v>
      </c>
      <c r="CL194" s="52" t="s">
        <v>257</v>
      </c>
      <c r="CM194" s="52">
        <v>90</v>
      </c>
      <c r="CN194" s="52"/>
      <c r="CO194" s="52"/>
      <c r="CP194" s="52"/>
      <c r="CQ194" s="52" t="s">
        <v>372</v>
      </c>
      <c r="CR194" s="52">
        <v>15600</v>
      </c>
      <c r="CS194" s="52" t="s">
        <v>373</v>
      </c>
      <c r="CT194" s="52">
        <v>95</v>
      </c>
      <c r="CU194" s="52" t="s">
        <v>273</v>
      </c>
      <c r="CV194" s="52">
        <v>2</v>
      </c>
      <c r="CW194" s="52" t="s">
        <v>373</v>
      </c>
      <c r="CX194" s="52">
        <v>110</v>
      </c>
      <c r="CY194" s="52"/>
      <c r="CZ194" s="52"/>
      <c r="DA194" s="52"/>
      <c r="DB194" s="52"/>
      <c r="DC194" s="52"/>
      <c r="DD194" s="52"/>
      <c r="DE194" s="52"/>
      <c r="DF194" s="52"/>
      <c r="DG194" s="52"/>
      <c r="DH194" s="52"/>
    </row>
    <row r="195" spans="58:112" ht="16.5" x14ac:dyDescent="0.2">
      <c r="BF195" s="52">
        <v>190</v>
      </c>
      <c r="BG195" s="14">
        <f t="shared" si="43"/>
        <v>0</v>
      </c>
      <c r="BH195" s="14">
        <f t="shared" si="44"/>
        <v>480</v>
      </c>
      <c r="BI195" s="14">
        <f t="shared" si="45"/>
        <v>0</v>
      </c>
      <c r="BJ195" s="14">
        <f t="shared" si="46"/>
        <v>1200</v>
      </c>
      <c r="BK195" s="14">
        <f t="shared" si="41"/>
        <v>480</v>
      </c>
      <c r="BL195" s="14">
        <f t="shared" si="42"/>
        <v>960</v>
      </c>
      <c r="CJ195" s="52">
        <v>191</v>
      </c>
      <c r="CK195" s="52">
        <v>2</v>
      </c>
      <c r="CL195" s="52" t="s">
        <v>257</v>
      </c>
      <c r="CM195" s="52">
        <v>91</v>
      </c>
      <c r="CN195" s="52"/>
      <c r="CO195" s="52"/>
      <c r="CP195" s="52"/>
      <c r="CQ195" s="52" t="s">
        <v>372</v>
      </c>
      <c r="CR195" s="52">
        <v>15600</v>
      </c>
      <c r="CS195" s="52" t="s">
        <v>373</v>
      </c>
      <c r="CT195" s="52">
        <v>100</v>
      </c>
      <c r="CU195" s="52"/>
      <c r="CV195" s="52"/>
      <c r="CW195" s="52" t="s">
        <v>373</v>
      </c>
      <c r="CX195" s="52">
        <v>110</v>
      </c>
      <c r="CY195" s="52"/>
      <c r="CZ195" s="52"/>
      <c r="DA195" s="52"/>
      <c r="DB195" s="52"/>
      <c r="DC195" s="52"/>
      <c r="DD195" s="52"/>
      <c r="DE195" s="52"/>
      <c r="DF195" s="52"/>
      <c r="DG195" s="52"/>
      <c r="DH195" s="52"/>
    </row>
    <row r="196" spans="58:112" ht="16.5" x14ac:dyDescent="0.2">
      <c r="BF196" s="52">
        <v>191</v>
      </c>
      <c r="BG196" s="14">
        <f t="shared" si="43"/>
        <v>0</v>
      </c>
      <c r="BH196" s="14">
        <f t="shared" si="44"/>
        <v>480</v>
      </c>
      <c r="BI196" s="14">
        <f t="shared" si="45"/>
        <v>0</v>
      </c>
      <c r="BJ196" s="14">
        <f t="shared" si="46"/>
        <v>1200</v>
      </c>
      <c r="BK196" s="14">
        <f t="shared" si="41"/>
        <v>480</v>
      </c>
      <c r="BL196" s="14">
        <f t="shared" si="42"/>
        <v>960</v>
      </c>
      <c r="CJ196" s="52">
        <v>192</v>
      </c>
      <c r="CK196" s="52">
        <v>2</v>
      </c>
      <c r="CL196" s="52" t="s">
        <v>257</v>
      </c>
      <c r="CM196" s="52">
        <v>92</v>
      </c>
      <c r="CN196" s="52"/>
      <c r="CO196" s="52"/>
      <c r="CP196" s="52"/>
      <c r="CQ196" s="52" t="s">
        <v>372</v>
      </c>
      <c r="CR196" s="52">
        <v>15600</v>
      </c>
      <c r="CS196" s="52" t="s">
        <v>373</v>
      </c>
      <c r="CT196" s="52">
        <v>100</v>
      </c>
      <c r="CU196" s="52"/>
      <c r="CV196" s="52"/>
      <c r="CW196" s="52" t="s">
        <v>373</v>
      </c>
      <c r="CX196" s="52">
        <v>110</v>
      </c>
      <c r="CY196" s="52"/>
      <c r="CZ196" s="52"/>
      <c r="DA196" s="52"/>
      <c r="DB196" s="52"/>
      <c r="DC196" s="52"/>
      <c r="DD196" s="52"/>
      <c r="DE196" s="52"/>
      <c r="DF196" s="52"/>
      <c r="DG196" s="52"/>
      <c r="DH196" s="52"/>
    </row>
    <row r="197" spans="58:112" ht="16.5" x14ac:dyDescent="0.2">
      <c r="BF197" s="52">
        <v>192</v>
      </c>
      <c r="BG197" s="14">
        <f t="shared" si="43"/>
        <v>0</v>
      </c>
      <c r="BH197" s="14">
        <f t="shared" si="44"/>
        <v>480</v>
      </c>
      <c r="BI197" s="14">
        <f t="shared" si="45"/>
        <v>0</v>
      </c>
      <c r="BJ197" s="14">
        <f t="shared" si="46"/>
        <v>1200</v>
      </c>
      <c r="BK197" s="14">
        <f t="shared" si="41"/>
        <v>480</v>
      </c>
      <c r="BL197" s="14">
        <f t="shared" si="42"/>
        <v>960</v>
      </c>
      <c r="CJ197" s="52">
        <v>193</v>
      </c>
      <c r="CK197" s="52">
        <v>2</v>
      </c>
      <c r="CL197" s="52" t="s">
        <v>257</v>
      </c>
      <c r="CM197" s="52">
        <v>93</v>
      </c>
      <c r="CN197" s="52"/>
      <c r="CO197" s="52"/>
      <c r="CP197" s="52"/>
      <c r="CQ197" s="52" t="s">
        <v>372</v>
      </c>
      <c r="CR197" s="52">
        <v>15600</v>
      </c>
      <c r="CS197" s="52" t="s">
        <v>373</v>
      </c>
      <c r="CT197" s="52">
        <v>100</v>
      </c>
      <c r="CU197" s="52"/>
      <c r="CV197" s="52"/>
      <c r="CW197" s="52" t="s">
        <v>373</v>
      </c>
      <c r="CX197" s="52">
        <v>110</v>
      </c>
      <c r="CY197" s="52"/>
      <c r="CZ197" s="52"/>
      <c r="DA197" s="52"/>
      <c r="DB197" s="52"/>
      <c r="DC197" s="52"/>
      <c r="DD197" s="52"/>
      <c r="DE197" s="52"/>
      <c r="DF197" s="52"/>
      <c r="DG197" s="52"/>
      <c r="DH197" s="52"/>
    </row>
    <row r="198" spans="58:112" ht="16.5" x14ac:dyDescent="0.2">
      <c r="BF198" s="52">
        <v>193</v>
      </c>
      <c r="BG198" s="14">
        <f t="shared" si="43"/>
        <v>0</v>
      </c>
      <c r="BH198" s="14">
        <f t="shared" si="44"/>
        <v>480</v>
      </c>
      <c r="BI198" s="14">
        <f t="shared" si="45"/>
        <v>0</v>
      </c>
      <c r="BJ198" s="14">
        <f t="shared" si="46"/>
        <v>1200</v>
      </c>
      <c r="BK198" s="14">
        <f t="shared" si="41"/>
        <v>480</v>
      </c>
      <c r="BL198" s="14">
        <f t="shared" si="42"/>
        <v>960</v>
      </c>
      <c r="CJ198" s="52">
        <v>194</v>
      </c>
      <c r="CK198" s="52">
        <v>2</v>
      </c>
      <c r="CL198" s="52" t="s">
        <v>257</v>
      </c>
      <c r="CM198" s="52">
        <v>94</v>
      </c>
      <c r="CN198" s="52"/>
      <c r="CO198" s="52"/>
      <c r="CP198" s="52"/>
      <c r="CQ198" s="52" t="s">
        <v>372</v>
      </c>
      <c r="CR198" s="52">
        <v>15600</v>
      </c>
      <c r="CS198" s="52" t="s">
        <v>373</v>
      </c>
      <c r="CT198" s="52">
        <v>100</v>
      </c>
      <c r="CU198" s="52"/>
      <c r="CV198" s="52"/>
      <c r="CW198" s="52" t="s">
        <v>373</v>
      </c>
      <c r="CX198" s="52">
        <v>110</v>
      </c>
      <c r="CY198" s="52"/>
      <c r="CZ198" s="52"/>
      <c r="DA198" s="52"/>
      <c r="DB198" s="52"/>
      <c r="DC198" s="52"/>
      <c r="DD198" s="52"/>
      <c r="DE198" s="52"/>
      <c r="DF198" s="52"/>
      <c r="DG198" s="52"/>
      <c r="DH198" s="52"/>
    </row>
    <row r="199" spans="58:112" ht="16.5" x14ac:dyDescent="0.2">
      <c r="BF199" s="52">
        <v>194</v>
      </c>
      <c r="BG199" s="14">
        <f t="shared" si="43"/>
        <v>0</v>
      </c>
      <c r="BH199" s="14">
        <f t="shared" si="44"/>
        <v>480</v>
      </c>
      <c r="BI199" s="14">
        <f t="shared" si="45"/>
        <v>0</v>
      </c>
      <c r="BJ199" s="14">
        <f t="shared" si="46"/>
        <v>1200</v>
      </c>
      <c r="BK199" s="14">
        <f t="shared" ref="BK199:BK262" si="47">BG199+BH198</f>
        <v>480</v>
      </c>
      <c r="BL199" s="14">
        <f t="shared" ref="BL199:BL262" si="48">BK199*BL$3</f>
        <v>960</v>
      </c>
      <c r="CJ199" s="52">
        <v>195</v>
      </c>
      <c r="CK199" s="52">
        <v>2</v>
      </c>
      <c r="CL199" s="52" t="s">
        <v>257</v>
      </c>
      <c r="CM199" s="52">
        <v>95</v>
      </c>
      <c r="CN199" s="52"/>
      <c r="CO199" s="52"/>
      <c r="CP199" s="52"/>
      <c r="CQ199" s="52" t="s">
        <v>372</v>
      </c>
      <c r="CR199" s="52">
        <v>15600</v>
      </c>
      <c r="CS199" s="52" t="s">
        <v>373</v>
      </c>
      <c r="CT199" s="52">
        <v>100</v>
      </c>
      <c r="CU199" s="52" t="s">
        <v>274</v>
      </c>
      <c r="CV199" s="52">
        <v>2</v>
      </c>
      <c r="CW199" s="52" t="s">
        <v>373</v>
      </c>
      <c r="CX199" s="52">
        <v>115</v>
      </c>
      <c r="CY199" s="52"/>
      <c r="CZ199" s="52"/>
      <c r="DA199" s="52"/>
      <c r="DB199" s="52"/>
      <c r="DC199" s="52"/>
      <c r="DD199" s="52"/>
      <c r="DE199" s="52"/>
      <c r="DF199" s="52"/>
      <c r="DG199" s="52"/>
      <c r="DH199" s="52"/>
    </row>
    <row r="200" spans="58:112" ht="16.5" x14ac:dyDescent="0.2">
      <c r="BF200" s="52">
        <v>195</v>
      </c>
      <c r="BG200" s="14">
        <f t="shared" si="43"/>
        <v>0</v>
      </c>
      <c r="BH200" s="14">
        <f t="shared" si="44"/>
        <v>480</v>
      </c>
      <c r="BI200" s="14">
        <f t="shared" si="45"/>
        <v>0</v>
      </c>
      <c r="BJ200" s="14">
        <f t="shared" si="46"/>
        <v>1200</v>
      </c>
      <c r="BK200" s="14">
        <f t="shared" si="47"/>
        <v>480</v>
      </c>
      <c r="BL200" s="14">
        <f t="shared" si="48"/>
        <v>960</v>
      </c>
      <c r="CJ200" s="52">
        <v>196</v>
      </c>
      <c r="CK200" s="52">
        <v>2</v>
      </c>
      <c r="CL200" s="52" t="s">
        <v>257</v>
      </c>
      <c r="CM200" s="52">
        <v>96</v>
      </c>
      <c r="CN200" s="52"/>
      <c r="CO200" s="52"/>
      <c r="CP200" s="52"/>
      <c r="CQ200" s="52" t="s">
        <v>372</v>
      </c>
      <c r="CR200" s="52">
        <v>15600</v>
      </c>
      <c r="CS200" s="52" t="s">
        <v>373</v>
      </c>
      <c r="CT200" s="52">
        <v>105</v>
      </c>
      <c r="CU200" s="52"/>
      <c r="CV200" s="52"/>
      <c r="CW200" s="52" t="s">
        <v>373</v>
      </c>
      <c r="CX200" s="52">
        <v>115</v>
      </c>
      <c r="CY200" s="52"/>
      <c r="CZ200" s="52"/>
      <c r="DA200" s="52"/>
      <c r="DB200" s="52"/>
      <c r="DC200" s="52"/>
      <c r="DD200" s="52"/>
      <c r="DE200" s="52"/>
      <c r="DF200" s="52"/>
      <c r="DG200" s="52"/>
      <c r="DH200" s="52"/>
    </row>
    <row r="201" spans="58:112" ht="16.5" x14ac:dyDescent="0.2">
      <c r="BF201" s="52">
        <v>196</v>
      </c>
      <c r="BG201" s="14">
        <f t="shared" si="43"/>
        <v>0</v>
      </c>
      <c r="BH201" s="14">
        <f t="shared" si="44"/>
        <v>480</v>
      </c>
      <c r="BI201" s="14">
        <f t="shared" si="45"/>
        <v>0</v>
      </c>
      <c r="BJ201" s="14">
        <f t="shared" si="46"/>
        <v>1200</v>
      </c>
      <c r="BK201" s="14">
        <f t="shared" si="47"/>
        <v>480</v>
      </c>
      <c r="BL201" s="14">
        <f t="shared" si="48"/>
        <v>960</v>
      </c>
      <c r="CJ201" s="52">
        <v>197</v>
      </c>
      <c r="CK201" s="52">
        <v>2</v>
      </c>
      <c r="CL201" s="52" t="s">
        <v>257</v>
      </c>
      <c r="CM201" s="52">
        <v>97</v>
      </c>
      <c r="CN201" s="52"/>
      <c r="CO201" s="52"/>
      <c r="CP201" s="52"/>
      <c r="CQ201" s="52" t="s">
        <v>372</v>
      </c>
      <c r="CR201" s="52">
        <v>15600</v>
      </c>
      <c r="CS201" s="52" t="s">
        <v>373</v>
      </c>
      <c r="CT201" s="52">
        <v>105</v>
      </c>
      <c r="CU201" s="52"/>
      <c r="CV201" s="52"/>
      <c r="CW201" s="52" t="s">
        <v>373</v>
      </c>
      <c r="CX201" s="52">
        <v>115</v>
      </c>
      <c r="CY201" s="52"/>
      <c r="CZ201" s="52"/>
      <c r="DA201" s="52"/>
      <c r="DB201" s="52"/>
      <c r="DC201" s="52"/>
      <c r="DD201" s="52"/>
      <c r="DE201" s="52"/>
      <c r="DF201" s="52"/>
      <c r="DG201" s="52"/>
      <c r="DH201" s="52"/>
    </row>
    <row r="202" spans="58:112" ht="16.5" x14ac:dyDescent="0.2">
      <c r="BF202" s="52">
        <v>197</v>
      </c>
      <c r="BG202" s="14">
        <f t="shared" si="43"/>
        <v>0</v>
      </c>
      <c r="BH202" s="14">
        <f t="shared" si="44"/>
        <v>480</v>
      </c>
      <c r="BI202" s="14">
        <f t="shared" si="45"/>
        <v>0</v>
      </c>
      <c r="BJ202" s="14">
        <f t="shared" si="46"/>
        <v>1200</v>
      </c>
      <c r="BK202" s="14">
        <f t="shared" si="47"/>
        <v>480</v>
      </c>
      <c r="BL202" s="14">
        <f t="shared" si="48"/>
        <v>960</v>
      </c>
      <c r="CJ202" s="52">
        <v>198</v>
      </c>
      <c r="CK202" s="52">
        <v>2</v>
      </c>
      <c r="CL202" s="52" t="s">
        <v>257</v>
      </c>
      <c r="CM202" s="52">
        <v>98</v>
      </c>
      <c r="CN202" s="52"/>
      <c r="CO202" s="52"/>
      <c r="CP202" s="52"/>
      <c r="CQ202" s="52" t="s">
        <v>372</v>
      </c>
      <c r="CR202" s="52">
        <v>15600</v>
      </c>
      <c r="CS202" s="52" t="s">
        <v>373</v>
      </c>
      <c r="CT202" s="52">
        <v>105</v>
      </c>
      <c r="CU202" s="52"/>
      <c r="CV202" s="52"/>
      <c r="CW202" s="52" t="s">
        <v>373</v>
      </c>
      <c r="CX202" s="52">
        <v>115</v>
      </c>
      <c r="CY202" s="52"/>
      <c r="CZ202" s="52"/>
      <c r="DA202" s="52"/>
      <c r="DB202" s="52"/>
      <c r="DC202" s="52"/>
      <c r="DD202" s="52"/>
      <c r="DE202" s="52"/>
      <c r="DF202" s="52"/>
      <c r="DG202" s="52"/>
      <c r="DH202" s="52"/>
    </row>
    <row r="203" spans="58:112" ht="16.5" x14ac:dyDescent="0.2">
      <c r="BF203" s="52">
        <v>198</v>
      </c>
      <c r="BG203" s="14">
        <f t="shared" si="43"/>
        <v>0</v>
      </c>
      <c r="BH203" s="14">
        <f t="shared" si="44"/>
        <v>480</v>
      </c>
      <c r="BI203" s="14">
        <f t="shared" si="45"/>
        <v>0</v>
      </c>
      <c r="BJ203" s="14">
        <f t="shared" si="46"/>
        <v>1200</v>
      </c>
      <c r="BK203" s="14">
        <f t="shared" si="47"/>
        <v>480</v>
      </c>
      <c r="BL203" s="14">
        <f t="shared" si="48"/>
        <v>960</v>
      </c>
      <c r="CJ203" s="52">
        <v>199</v>
      </c>
      <c r="CK203" s="52">
        <v>2</v>
      </c>
      <c r="CL203" s="52" t="s">
        <v>257</v>
      </c>
      <c r="CM203" s="52">
        <v>99</v>
      </c>
      <c r="CN203" s="52"/>
      <c r="CO203" s="52"/>
      <c r="CP203" s="52"/>
      <c r="CQ203" s="52" t="s">
        <v>372</v>
      </c>
      <c r="CR203" s="52">
        <v>15600</v>
      </c>
      <c r="CS203" s="52" t="s">
        <v>373</v>
      </c>
      <c r="CT203" s="52">
        <v>105</v>
      </c>
      <c r="CU203" s="52"/>
      <c r="CV203" s="52"/>
      <c r="CW203" s="52" t="s">
        <v>373</v>
      </c>
      <c r="CX203" s="52">
        <v>115</v>
      </c>
      <c r="CY203" s="52"/>
      <c r="CZ203" s="52"/>
      <c r="DA203" s="52"/>
      <c r="DB203" s="52"/>
      <c r="DC203" s="52"/>
      <c r="DD203" s="52"/>
      <c r="DE203" s="52"/>
      <c r="DF203" s="52"/>
      <c r="DG203" s="52"/>
      <c r="DH203" s="52"/>
    </row>
    <row r="204" spans="58:112" ht="16.5" x14ac:dyDescent="0.2">
      <c r="BF204" s="52">
        <v>199</v>
      </c>
      <c r="BG204" s="14">
        <f t="shared" si="43"/>
        <v>0</v>
      </c>
      <c r="BH204" s="14">
        <f t="shared" si="44"/>
        <v>480</v>
      </c>
      <c r="BI204" s="14">
        <f t="shared" si="45"/>
        <v>0</v>
      </c>
      <c r="BJ204" s="14">
        <f t="shared" si="46"/>
        <v>1200</v>
      </c>
      <c r="BK204" s="14">
        <f t="shared" si="47"/>
        <v>480</v>
      </c>
      <c r="BL204" s="14">
        <f t="shared" si="48"/>
        <v>960</v>
      </c>
      <c r="CJ204" s="52">
        <v>200</v>
      </c>
      <c r="CK204" s="52">
        <v>2</v>
      </c>
      <c r="CL204" s="52" t="s">
        <v>257</v>
      </c>
      <c r="CM204" s="52">
        <v>100</v>
      </c>
      <c r="CN204" s="52"/>
      <c r="CO204" s="52"/>
      <c r="CP204" s="52"/>
      <c r="CQ204" s="52" t="s">
        <v>372</v>
      </c>
      <c r="CR204" s="52">
        <v>18000</v>
      </c>
      <c r="CS204" s="52" t="s">
        <v>373</v>
      </c>
      <c r="CT204" s="52">
        <v>105</v>
      </c>
      <c r="CU204" s="52" t="s">
        <v>273</v>
      </c>
      <c r="CV204" s="52">
        <v>2</v>
      </c>
      <c r="CW204" s="52" t="s">
        <v>373</v>
      </c>
      <c r="CX204" s="52">
        <v>120</v>
      </c>
      <c r="CY204" s="52"/>
      <c r="CZ204" s="52"/>
      <c r="DA204" s="52"/>
      <c r="DB204" s="52"/>
      <c r="DC204" s="52"/>
      <c r="DD204" s="52"/>
      <c r="DE204" s="52"/>
      <c r="DF204" s="52"/>
      <c r="DG204" s="52"/>
      <c r="DH204" s="52"/>
    </row>
    <row r="205" spans="58:112" ht="16.5" x14ac:dyDescent="0.2">
      <c r="BF205" s="52">
        <v>200</v>
      </c>
      <c r="BG205" s="14">
        <f t="shared" si="43"/>
        <v>0</v>
      </c>
      <c r="BH205" s="14">
        <f t="shared" si="44"/>
        <v>480</v>
      </c>
      <c r="BI205" s="14">
        <f t="shared" si="45"/>
        <v>0</v>
      </c>
      <c r="BJ205" s="14">
        <f t="shared" si="46"/>
        <v>1200</v>
      </c>
      <c r="BK205" s="14">
        <f t="shared" si="47"/>
        <v>480</v>
      </c>
      <c r="BL205" s="14">
        <f t="shared" si="48"/>
        <v>960</v>
      </c>
      <c r="CJ205" s="52">
        <v>201</v>
      </c>
      <c r="CK205" s="52">
        <v>3</v>
      </c>
      <c r="CL205" s="52" t="s">
        <v>257</v>
      </c>
      <c r="CM205" s="52">
        <v>1</v>
      </c>
      <c r="CN205" s="52"/>
      <c r="CO205" s="52"/>
      <c r="CP205" s="52"/>
      <c r="CQ205" s="52" t="s">
        <v>372</v>
      </c>
      <c r="CR205" s="52">
        <v>5760</v>
      </c>
      <c r="CS205" s="52" t="s">
        <v>373</v>
      </c>
      <c r="CT205" s="52">
        <v>15</v>
      </c>
      <c r="CU205" s="52"/>
      <c r="CV205" s="52"/>
      <c r="CW205" s="52" t="s">
        <v>373</v>
      </c>
      <c r="CX205" s="52">
        <v>20</v>
      </c>
      <c r="CY205" s="52"/>
      <c r="CZ205" s="52"/>
      <c r="DA205" s="52"/>
      <c r="DB205" s="52"/>
      <c r="DC205" s="52"/>
      <c r="DD205" s="52"/>
      <c r="DE205" s="52"/>
      <c r="DF205" s="52"/>
      <c r="DG205" s="52"/>
      <c r="DH205" s="52"/>
    </row>
    <row r="206" spans="58:112" ht="16.5" x14ac:dyDescent="0.2">
      <c r="BF206" s="52">
        <v>201</v>
      </c>
      <c r="BG206" s="14">
        <f t="shared" si="43"/>
        <v>0</v>
      </c>
      <c r="BH206" s="14">
        <f t="shared" si="44"/>
        <v>480</v>
      </c>
      <c r="BI206" s="14">
        <f t="shared" si="45"/>
        <v>0</v>
      </c>
      <c r="BJ206" s="14">
        <f t="shared" si="46"/>
        <v>1200</v>
      </c>
      <c r="BK206" s="14">
        <f t="shared" si="47"/>
        <v>480</v>
      </c>
      <c r="BL206" s="14">
        <f t="shared" si="48"/>
        <v>960</v>
      </c>
      <c r="CJ206" s="52">
        <v>202</v>
      </c>
      <c r="CK206" s="52">
        <v>3</v>
      </c>
      <c r="CL206" s="52" t="s">
        <v>257</v>
      </c>
      <c r="CM206" s="52">
        <v>2</v>
      </c>
      <c r="CN206" s="52"/>
      <c r="CO206" s="52"/>
      <c r="CP206" s="52"/>
      <c r="CQ206" s="52" t="s">
        <v>372</v>
      </c>
      <c r="CR206" s="52">
        <v>5760</v>
      </c>
      <c r="CS206" s="52" t="s">
        <v>373</v>
      </c>
      <c r="CT206" s="52">
        <v>15</v>
      </c>
      <c r="CU206" s="52" t="s">
        <v>275</v>
      </c>
      <c r="CV206" s="52">
        <v>1</v>
      </c>
      <c r="CW206" s="52" t="s">
        <v>373</v>
      </c>
      <c r="CX206" s="52">
        <v>20</v>
      </c>
      <c r="CY206" s="52"/>
      <c r="CZ206" s="52"/>
      <c r="DA206" s="52"/>
      <c r="DB206" s="52"/>
      <c r="DC206" s="52"/>
      <c r="DD206" s="52"/>
      <c r="DE206" s="52"/>
      <c r="DF206" s="52"/>
      <c r="DG206" s="52"/>
      <c r="DH206" s="52"/>
    </row>
    <row r="207" spans="58:112" ht="16.5" x14ac:dyDescent="0.2">
      <c r="BF207" s="52">
        <v>202</v>
      </c>
      <c r="BG207" s="14">
        <f t="shared" si="43"/>
        <v>0</v>
      </c>
      <c r="BH207" s="14">
        <f t="shared" si="44"/>
        <v>480</v>
      </c>
      <c r="BI207" s="14">
        <f t="shared" si="45"/>
        <v>0</v>
      </c>
      <c r="BJ207" s="14">
        <f t="shared" si="46"/>
        <v>1200</v>
      </c>
      <c r="BK207" s="14">
        <f t="shared" si="47"/>
        <v>480</v>
      </c>
      <c r="BL207" s="14">
        <f t="shared" si="48"/>
        <v>960</v>
      </c>
      <c r="CJ207" s="52">
        <v>203</v>
      </c>
      <c r="CK207" s="52">
        <v>3</v>
      </c>
      <c r="CL207" s="52" t="s">
        <v>257</v>
      </c>
      <c r="CM207" s="52">
        <v>3</v>
      </c>
      <c r="CN207" s="52"/>
      <c r="CO207" s="52"/>
      <c r="CP207" s="52"/>
      <c r="CQ207" s="52" t="s">
        <v>372</v>
      </c>
      <c r="CR207" s="52">
        <v>5760</v>
      </c>
      <c r="CS207" s="52" t="s">
        <v>373</v>
      </c>
      <c r="CT207" s="52">
        <v>15</v>
      </c>
      <c r="CU207" s="52"/>
      <c r="CV207" s="52"/>
      <c r="CW207" s="52" t="s">
        <v>373</v>
      </c>
      <c r="CX207" s="52">
        <v>20</v>
      </c>
      <c r="CY207" s="52"/>
      <c r="CZ207" s="52"/>
      <c r="DA207" s="52"/>
      <c r="DB207" s="52"/>
      <c r="DC207" s="52"/>
      <c r="DD207" s="52"/>
      <c r="DE207" s="52"/>
      <c r="DF207" s="52"/>
      <c r="DG207" s="52"/>
      <c r="DH207" s="52"/>
    </row>
    <row r="208" spans="58:112" ht="16.5" x14ac:dyDescent="0.2">
      <c r="BF208" s="52">
        <v>203</v>
      </c>
      <c r="BG208" s="14">
        <f t="shared" si="43"/>
        <v>0</v>
      </c>
      <c r="BH208" s="14">
        <f t="shared" si="44"/>
        <v>480</v>
      </c>
      <c r="BI208" s="14">
        <f t="shared" si="45"/>
        <v>0</v>
      </c>
      <c r="BJ208" s="14">
        <f t="shared" si="46"/>
        <v>1200</v>
      </c>
      <c r="BK208" s="14">
        <f t="shared" si="47"/>
        <v>480</v>
      </c>
      <c r="BL208" s="14">
        <f t="shared" si="48"/>
        <v>960</v>
      </c>
      <c r="CJ208" s="52">
        <v>204</v>
      </c>
      <c r="CK208" s="52">
        <v>3</v>
      </c>
      <c r="CL208" s="52" t="s">
        <v>257</v>
      </c>
      <c r="CM208" s="52">
        <v>4</v>
      </c>
      <c r="CN208" s="52"/>
      <c r="CO208" s="52"/>
      <c r="CP208" s="52"/>
      <c r="CQ208" s="52" t="s">
        <v>372</v>
      </c>
      <c r="CR208" s="52">
        <v>5760</v>
      </c>
      <c r="CS208" s="52" t="s">
        <v>373</v>
      </c>
      <c r="CT208" s="52">
        <v>15</v>
      </c>
      <c r="CU208" s="52" t="s">
        <v>276</v>
      </c>
      <c r="CV208" s="52">
        <v>1</v>
      </c>
      <c r="CW208" s="52" t="s">
        <v>373</v>
      </c>
      <c r="CX208" s="52">
        <v>20</v>
      </c>
      <c r="CY208" s="52"/>
      <c r="CZ208" s="52"/>
      <c r="DA208" s="52"/>
      <c r="DB208" s="52"/>
      <c r="DC208" s="52"/>
      <c r="DD208" s="52"/>
      <c r="DE208" s="52"/>
      <c r="DF208" s="52"/>
      <c r="DG208" s="52"/>
      <c r="DH208" s="52"/>
    </row>
    <row r="209" spans="58:112" ht="16.5" x14ac:dyDescent="0.2">
      <c r="BF209" s="52">
        <v>204</v>
      </c>
      <c r="BG209" s="14">
        <f t="shared" si="43"/>
        <v>0</v>
      </c>
      <c r="BH209" s="14">
        <f t="shared" si="44"/>
        <v>480</v>
      </c>
      <c r="BI209" s="14">
        <f t="shared" si="45"/>
        <v>0</v>
      </c>
      <c r="BJ209" s="14">
        <f t="shared" si="46"/>
        <v>1200</v>
      </c>
      <c r="BK209" s="14">
        <f t="shared" si="47"/>
        <v>480</v>
      </c>
      <c r="BL209" s="14">
        <f t="shared" si="48"/>
        <v>960</v>
      </c>
      <c r="CJ209" s="52">
        <v>205</v>
      </c>
      <c r="CK209" s="52">
        <v>3</v>
      </c>
      <c r="CL209" s="52" t="s">
        <v>257</v>
      </c>
      <c r="CM209" s="52">
        <v>5</v>
      </c>
      <c r="CN209" s="52"/>
      <c r="CO209" s="52"/>
      <c r="CP209" s="52"/>
      <c r="CQ209" s="52" t="s">
        <v>372</v>
      </c>
      <c r="CR209" s="52">
        <v>5760</v>
      </c>
      <c r="CS209" s="52" t="s">
        <v>373</v>
      </c>
      <c r="CT209" s="52">
        <v>15</v>
      </c>
      <c r="CU209" s="52"/>
      <c r="CV209" s="52"/>
      <c r="CW209" s="52" t="s">
        <v>373</v>
      </c>
      <c r="CX209" s="52">
        <v>25</v>
      </c>
      <c r="CY209" s="52"/>
      <c r="CZ209" s="52"/>
      <c r="DA209" s="52"/>
      <c r="DB209" s="52"/>
      <c r="DC209" s="52"/>
      <c r="DD209" s="52"/>
      <c r="DE209" s="52"/>
      <c r="DF209" s="52"/>
      <c r="DG209" s="52"/>
      <c r="DH209" s="52"/>
    </row>
    <row r="210" spans="58:112" ht="16.5" x14ac:dyDescent="0.2">
      <c r="BF210" s="52">
        <v>205</v>
      </c>
      <c r="BG210" s="14">
        <f t="shared" si="43"/>
        <v>0</v>
      </c>
      <c r="BH210" s="14">
        <f t="shared" si="44"/>
        <v>480</v>
      </c>
      <c r="BI210" s="14">
        <f t="shared" si="45"/>
        <v>0</v>
      </c>
      <c r="BJ210" s="14">
        <f t="shared" si="46"/>
        <v>1200</v>
      </c>
      <c r="BK210" s="14">
        <f t="shared" si="47"/>
        <v>480</v>
      </c>
      <c r="BL210" s="14">
        <f t="shared" si="48"/>
        <v>960</v>
      </c>
      <c r="CJ210" s="52">
        <v>206</v>
      </c>
      <c r="CK210" s="52">
        <v>3</v>
      </c>
      <c r="CL210" s="52" t="s">
        <v>257</v>
      </c>
      <c r="CM210" s="52">
        <v>6</v>
      </c>
      <c r="CN210" s="52"/>
      <c r="CO210" s="52"/>
      <c r="CP210" s="52"/>
      <c r="CQ210" s="52" t="s">
        <v>372</v>
      </c>
      <c r="CR210" s="52">
        <v>7200</v>
      </c>
      <c r="CS210" s="52" t="s">
        <v>373</v>
      </c>
      <c r="CT210" s="52">
        <v>20</v>
      </c>
      <c r="CU210" s="52"/>
      <c r="CV210" s="52"/>
      <c r="CW210" s="52" t="s">
        <v>373</v>
      </c>
      <c r="CX210" s="52">
        <v>25</v>
      </c>
      <c r="CY210" s="52"/>
      <c r="CZ210" s="52"/>
      <c r="DA210" s="52"/>
      <c r="DB210" s="52"/>
      <c r="DC210" s="52"/>
      <c r="DD210" s="52"/>
      <c r="DE210" s="52"/>
      <c r="DF210" s="52"/>
      <c r="DG210" s="52"/>
      <c r="DH210" s="52"/>
    </row>
    <row r="211" spans="58:112" ht="16.5" x14ac:dyDescent="0.2">
      <c r="BF211" s="52">
        <v>206</v>
      </c>
      <c r="BG211" s="14">
        <f t="shared" si="43"/>
        <v>0</v>
      </c>
      <c r="BH211" s="14">
        <f t="shared" si="44"/>
        <v>480</v>
      </c>
      <c r="BI211" s="14">
        <f t="shared" si="45"/>
        <v>0</v>
      </c>
      <c r="BJ211" s="14">
        <f t="shared" si="46"/>
        <v>1200</v>
      </c>
      <c r="BK211" s="14">
        <f t="shared" si="47"/>
        <v>480</v>
      </c>
      <c r="BL211" s="14">
        <f t="shared" si="48"/>
        <v>960</v>
      </c>
      <c r="CJ211" s="52">
        <v>207</v>
      </c>
      <c r="CK211" s="52">
        <v>3</v>
      </c>
      <c r="CL211" s="52" t="s">
        <v>257</v>
      </c>
      <c r="CM211" s="52">
        <v>7</v>
      </c>
      <c r="CN211" s="52"/>
      <c r="CO211" s="52"/>
      <c r="CP211" s="52"/>
      <c r="CQ211" s="52" t="s">
        <v>372</v>
      </c>
      <c r="CR211" s="52">
        <v>7200</v>
      </c>
      <c r="CS211" s="52" t="s">
        <v>373</v>
      </c>
      <c r="CT211" s="52">
        <v>20</v>
      </c>
      <c r="CU211" s="52" t="s">
        <v>279</v>
      </c>
      <c r="CV211" s="52">
        <v>1</v>
      </c>
      <c r="CW211" s="52" t="s">
        <v>373</v>
      </c>
      <c r="CX211" s="52">
        <v>25</v>
      </c>
      <c r="CY211" s="52"/>
      <c r="CZ211" s="52"/>
      <c r="DA211" s="52"/>
      <c r="DB211" s="52"/>
      <c r="DC211" s="52"/>
      <c r="DD211" s="52"/>
      <c r="DE211" s="52"/>
      <c r="DF211" s="52"/>
      <c r="DG211" s="52"/>
      <c r="DH211" s="52"/>
    </row>
    <row r="212" spans="58:112" ht="16.5" x14ac:dyDescent="0.2">
      <c r="BF212" s="52">
        <v>207</v>
      </c>
      <c r="BG212" s="14">
        <f t="shared" si="43"/>
        <v>0</v>
      </c>
      <c r="BH212" s="14">
        <f t="shared" si="44"/>
        <v>480</v>
      </c>
      <c r="BI212" s="14">
        <f t="shared" si="45"/>
        <v>0</v>
      </c>
      <c r="BJ212" s="14">
        <f t="shared" si="46"/>
        <v>1200</v>
      </c>
      <c r="BK212" s="14">
        <f t="shared" si="47"/>
        <v>480</v>
      </c>
      <c r="BL212" s="14">
        <f t="shared" si="48"/>
        <v>960</v>
      </c>
      <c r="CJ212" s="52">
        <v>208</v>
      </c>
      <c r="CK212" s="52">
        <v>3</v>
      </c>
      <c r="CL212" s="52" t="s">
        <v>257</v>
      </c>
      <c r="CM212" s="52">
        <v>8</v>
      </c>
      <c r="CN212" s="52"/>
      <c r="CO212" s="52"/>
      <c r="CP212" s="52"/>
      <c r="CQ212" s="52" t="s">
        <v>372</v>
      </c>
      <c r="CR212" s="52">
        <v>7200</v>
      </c>
      <c r="CS212" s="52" t="s">
        <v>373</v>
      </c>
      <c r="CT212" s="52">
        <v>20</v>
      </c>
      <c r="CU212" s="52"/>
      <c r="CV212" s="52"/>
      <c r="CW212" s="52" t="s">
        <v>373</v>
      </c>
      <c r="CX212" s="52">
        <v>25</v>
      </c>
      <c r="CY212" s="52"/>
      <c r="CZ212" s="52"/>
      <c r="DA212" s="52"/>
      <c r="DB212" s="52"/>
      <c r="DC212" s="52"/>
      <c r="DD212" s="52"/>
      <c r="DE212" s="52"/>
      <c r="DF212" s="52"/>
      <c r="DG212" s="52"/>
      <c r="DH212" s="52"/>
    </row>
    <row r="213" spans="58:112" ht="16.5" x14ac:dyDescent="0.2">
      <c r="BF213" s="52">
        <v>208</v>
      </c>
      <c r="BG213" s="14">
        <f t="shared" si="43"/>
        <v>0</v>
      </c>
      <c r="BH213" s="14">
        <f t="shared" si="44"/>
        <v>480</v>
      </c>
      <c r="BI213" s="14">
        <f t="shared" si="45"/>
        <v>0</v>
      </c>
      <c r="BJ213" s="14">
        <f t="shared" si="46"/>
        <v>1200</v>
      </c>
      <c r="BK213" s="14">
        <f t="shared" si="47"/>
        <v>480</v>
      </c>
      <c r="BL213" s="14">
        <f t="shared" si="48"/>
        <v>960</v>
      </c>
      <c r="CJ213" s="52">
        <v>209</v>
      </c>
      <c r="CK213" s="52">
        <v>3</v>
      </c>
      <c r="CL213" s="52" t="s">
        <v>257</v>
      </c>
      <c r="CM213" s="52">
        <v>9</v>
      </c>
      <c r="CN213" s="52"/>
      <c r="CO213" s="52"/>
      <c r="CP213" s="52"/>
      <c r="CQ213" s="52" t="s">
        <v>372</v>
      </c>
      <c r="CR213" s="52">
        <v>7200</v>
      </c>
      <c r="CS213" s="52" t="s">
        <v>373</v>
      </c>
      <c r="CT213" s="52">
        <v>20</v>
      </c>
      <c r="CU213" s="52"/>
      <c r="CV213" s="52"/>
      <c r="CW213" s="52" t="s">
        <v>373</v>
      </c>
      <c r="CX213" s="52">
        <v>25</v>
      </c>
      <c r="CY213" s="52"/>
      <c r="CZ213" s="52"/>
      <c r="DA213" s="52"/>
      <c r="DB213" s="52"/>
      <c r="DC213" s="52"/>
      <c r="DD213" s="52"/>
      <c r="DE213" s="52"/>
      <c r="DF213" s="52"/>
      <c r="DG213" s="52"/>
      <c r="DH213" s="52"/>
    </row>
    <row r="214" spans="58:112" ht="16.5" x14ac:dyDescent="0.2">
      <c r="BF214" s="52">
        <v>209</v>
      </c>
      <c r="BG214" s="14">
        <f t="shared" si="43"/>
        <v>0</v>
      </c>
      <c r="BH214" s="14">
        <f t="shared" si="44"/>
        <v>480</v>
      </c>
      <c r="BI214" s="14">
        <f t="shared" si="45"/>
        <v>0</v>
      </c>
      <c r="BJ214" s="14">
        <f t="shared" si="46"/>
        <v>1200</v>
      </c>
      <c r="BK214" s="14">
        <f t="shared" si="47"/>
        <v>480</v>
      </c>
      <c r="BL214" s="14">
        <f t="shared" si="48"/>
        <v>960</v>
      </c>
      <c r="CJ214" s="52">
        <v>210</v>
      </c>
      <c r="CK214" s="52">
        <v>3</v>
      </c>
      <c r="CL214" s="52" t="s">
        <v>257</v>
      </c>
      <c r="CM214" s="52">
        <v>10</v>
      </c>
      <c r="CN214" s="52"/>
      <c r="CO214" s="52"/>
      <c r="CP214" s="52"/>
      <c r="CQ214" s="52" t="s">
        <v>372</v>
      </c>
      <c r="CR214" s="52">
        <v>7200</v>
      </c>
      <c r="CS214" s="52" t="s">
        <v>373</v>
      </c>
      <c r="CT214" s="52">
        <v>20</v>
      </c>
      <c r="CU214" s="52" t="s">
        <v>280</v>
      </c>
      <c r="CV214" s="52">
        <v>1</v>
      </c>
      <c r="CW214" s="52" t="s">
        <v>373</v>
      </c>
      <c r="CX214" s="52">
        <v>30</v>
      </c>
      <c r="CY214" s="52"/>
      <c r="CZ214" s="52"/>
      <c r="DA214" s="52"/>
      <c r="DB214" s="52"/>
      <c r="DC214" s="52"/>
      <c r="DD214" s="52"/>
      <c r="DE214" s="52"/>
      <c r="DF214" s="52"/>
      <c r="DG214" s="52"/>
      <c r="DH214" s="52"/>
    </row>
    <row r="215" spans="58:112" ht="16.5" x14ac:dyDescent="0.2">
      <c r="BF215" s="52">
        <v>210</v>
      </c>
      <c r="BG215" s="14">
        <f t="shared" si="43"/>
        <v>0</v>
      </c>
      <c r="BH215" s="14">
        <f t="shared" si="44"/>
        <v>480</v>
      </c>
      <c r="BI215" s="14">
        <f t="shared" si="45"/>
        <v>0</v>
      </c>
      <c r="BJ215" s="14">
        <f t="shared" si="46"/>
        <v>1200</v>
      </c>
      <c r="BK215" s="14">
        <f t="shared" si="47"/>
        <v>480</v>
      </c>
      <c r="BL215" s="14">
        <f t="shared" si="48"/>
        <v>960</v>
      </c>
      <c r="CJ215" s="52">
        <v>211</v>
      </c>
      <c r="CK215" s="52">
        <v>3</v>
      </c>
      <c r="CL215" s="52" t="s">
        <v>257</v>
      </c>
      <c r="CM215" s="52">
        <v>11</v>
      </c>
      <c r="CN215" s="52"/>
      <c r="CO215" s="52"/>
      <c r="CP215" s="52"/>
      <c r="CQ215" s="52" t="s">
        <v>372</v>
      </c>
      <c r="CR215" s="52">
        <v>9000</v>
      </c>
      <c r="CS215" s="52" t="s">
        <v>373</v>
      </c>
      <c r="CT215" s="52">
        <v>25</v>
      </c>
      <c r="CU215" s="52"/>
      <c r="CV215" s="52"/>
      <c r="CW215" s="52" t="s">
        <v>373</v>
      </c>
      <c r="CX215" s="52">
        <v>30</v>
      </c>
      <c r="CY215" s="52"/>
      <c r="CZ215" s="52"/>
      <c r="DA215" s="52"/>
      <c r="DB215" s="52"/>
      <c r="DC215" s="52"/>
      <c r="DD215" s="52"/>
      <c r="DE215" s="52"/>
      <c r="DF215" s="52"/>
      <c r="DG215" s="52"/>
      <c r="DH215" s="52"/>
    </row>
    <row r="216" spans="58:112" ht="16.5" x14ac:dyDescent="0.2">
      <c r="BF216" s="52">
        <v>211</v>
      </c>
      <c r="BG216" s="14">
        <f t="shared" si="43"/>
        <v>0</v>
      </c>
      <c r="BH216" s="14">
        <f t="shared" si="44"/>
        <v>480</v>
      </c>
      <c r="BI216" s="14">
        <f t="shared" si="45"/>
        <v>0</v>
      </c>
      <c r="BJ216" s="14">
        <f t="shared" si="46"/>
        <v>1200</v>
      </c>
      <c r="BK216" s="14">
        <f t="shared" si="47"/>
        <v>480</v>
      </c>
      <c r="BL216" s="14">
        <f t="shared" si="48"/>
        <v>960</v>
      </c>
      <c r="CJ216" s="52">
        <v>212</v>
      </c>
      <c r="CK216" s="52">
        <v>3</v>
      </c>
      <c r="CL216" s="52" t="s">
        <v>257</v>
      </c>
      <c r="CM216" s="52">
        <v>12</v>
      </c>
      <c r="CN216" s="52"/>
      <c r="CO216" s="52"/>
      <c r="CP216" s="52"/>
      <c r="CQ216" s="52" t="s">
        <v>372</v>
      </c>
      <c r="CR216" s="52">
        <v>9000</v>
      </c>
      <c r="CS216" s="52" t="s">
        <v>373</v>
      </c>
      <c r="CT216" s="52">
        <v>25</v>
      </c>
      <c r="CU216" s="52"/>
      <c r="CV216" s="52"/>
      <c r="CW216" s="52" t="s">
        <v>373</v>
      </c>
      <c r="CX216" s="52">
        <v>30</v>
      </c>
      <c r="CY216" s="52"/>
      <c r="CZ216" s="52"/>
      <c r="DA216" s="52"/>
      <c r="DB216" s="52"/>
      <c r="DC216" s="52"/>
      <c r="DD216" s="52"/>
      <c r="DE216" s="52"/>
      <c r="DF216" s="52"/>
      <c r="DG216" s="52"/>
      <c r="DH216" s="52"/>
    </row>
    <row r="217" spans="58:112" ht="16.5" x14ac:dyDescent="0.2">
      <c r="BF217" s="52">
        <v>212</v>
      </c>
      <c r="BG217" s="14">
        <f t="shared" si="43"/>
        <v>0</v>
      </c>
      <c r="BH217" s="14">
        <f t="shared" si="44"/>
        <v>480</v>
      </c>
      <c r="BI217" s="14">
        <f t="shared" si="45"/>
        <v>0</v>
      </c>
      <c r="BJ217" s="14">
        <f t="shared" si="46"/>
        <v>1200</v>
      </c>
      <c r="BK217" s="14">
        <f t="shared" si="47"/>
        <v>480</v>
      </c>
      <c r="BL217" s="14">
        <f t="shared" si="48"/>
        <v>960</v>
      </c>
      <c r="CJ217" s="52">
        <v>213</v>
      </c>
      <c r="CK217" s="52">
        <v>3</v>
      </c>
      <c r="CL217" s="52" t="s">
        <v>257</v>
      </c>
      <c r="CM217" s="52">
        <v>13</v>
      </c>
      <c r="CN217" s="52"/>
      <c r="CO217" s="52"/>
      <c r="CP217" s="52"/>
      <c r="CQ217" s="52" t="s">
        <v>372</v>
      </c>
      <c r="CR217" s="52">
        <v>9000</v>
      </c>
      <c r="CS217" s="52" t="s">
        <v>373</v>
      </c>
      <c r="CT217" s="52">
        <v>25</v>
      </c>
      <c r="CU217" s="52"/>
      <c r="CV217" s="52"/>
      <c r="CW217" s="52" t="s">
        <v>373</v>
      </c>
      <c r="CX217" s="52">
        <v>30</v>
      </c>
      <c r="CY217" s="52"/>
      <c r="CZ217" s="52"/>
      <c r="DA217" s="52"/>
      <c r="DB217" s="52"/>
      <c r="DC217" s="52"/>
      <c r="DD217" s="52"/>
      <c r="DE217" s="52"/>
      <c r="DF217" s="52"/>
      <c r="DG217" s="52"/>
      <c r="DH217" s="52"/>
    </row>
    <row r="218" spans="58:112" ht="16.5" x14ac:dyDescent="0.2">
      <c r="BF218" s="52">
        <v>213</v>
      </c>
      <c r="BG218" s="14">
        <f t="shared" si="43"/>
        <v>0</v>
      </c>
      <c r="BH218" s="14">
        <f t="shared" si="44"/>
        <v>480</v>
      </c>
      <c r="BI218" s="14">
        <f t="shared" si="45"/>
        <v>0</v>
      </c>
      <c r="BJ218" s="14">
        <f t="shared" si="46"/>
        <v>1200</v>
      </c>
      <c r="BK218" s="14">
        <f t="shared" si="47"/>
        <v>480</v>
      </c>
      <c r="BL218" s="14">
        <f t="shared" si="48"/>
        <v>960</v>
      </c>
      <c r="CJ218" s="52">
        <v>214</v>
      </c>
      <c r="CK218" s="52">
        <v>3</v>
      </c>
      <c r="CL218" s="52" t="s">
        <v>257</v>
      </c>
      <c r="CM218" s="52">
        <v>14</v>
      </c>
      <c r="CN218" s="52"/>
      <c r="CO218" s="52"/>
      <c r="CP218" s="52"/>
      <c r="CQ218" s="52" t="s">
        <v>372</v>
      </c>
      <c r="CR218" s="52">
        <v>9000</v>
      </c>
      <c r="CS218" s="52" t="s">
        <v>373</v>
      </c>
      <c r="CT218" s="52">
        <v>25</v>
      </c>
      <c r="CU218" s="52"/>
      <c r="CV218" s="52"/>
      <c r="CW218" s="52" t="s">
        <v>373</v>
      </c>
      <c r="CX218" s="52">
        <v>30</v>
      </c>
      <c r="CY218" s="52"/>
      <c r="CZ218" s="52"/>
      <c r="DA218" s="52"/>
      <c r="DB218" s="52"/>
      <c r="DC218" s="52"/>
      <c r="DD218" s="52"/>
      <c r="DE218" s="52"/>
      <c r="DF218" s="52"/>
      <c r="DG218" s="52"/>
      <c r="DH218" s="52"/>
    </row>
    <row r="219" spans="58:112" ht="16.5" x14ac:dyDescent="0.2">
      <c r="BF219" s="52">
        <v>214</v>
      </c>
      <c r="BG219" s="14">
        <f t="shared" si="43"/>
        <v>0</v>
      </c>
      <c r="BH219" s="14">
        <f t="shared" si="44"/>
        <v>480</v>
      </c>
      <c r="BI219" s="14">
        <f t="shared" si="45"/>
        <v>0</v>
      </c>
      <c r="BJ219" s="14">
        <f t="shared" si="46"/>
        <v>1200</v>
      </c>
      <c r="BK219" s="14">
        <f t="shared" si="47"/>
        <v>480</v>
      </c>
      <c r="BL219" s="14">
        <f t="shared" si="48"/>
        <v>960</v>
      </c>
      <c r="CJ219" s="52">
        <v>215</v>
      </c>
      <c r="CK219" s="52">
        <v>3</v>
      </c>
      <c r="CL219" s="52" t="s">
        <v>257</v>
      </c>
      <c r="CM219" s="52">
        <v>15</v>
      </c>
      <c r="CN219" s="52"/>
      <c r="CO219" s="52"/>
      <c r="CP219" s="52"/>
      <c r="CQ219" s="52" t="s">
        <v>372</v>
      </c>
      <c r="CR219" s="52">
        <v>9000</v>
      </c>
      <c r="CS219" s="52" t="s">
        <v>373</v>
      </c>
      <c r="CT219" s="52">
        <v>25</v>
      </c>
      <c r="CU219" s="52" t="s">
        <v>275</v>
      </c>
      <c r="CV219" s="52">
        <v>2</v>
      </c>
      <c r="CW219" s="52" t="s">
        <v>373</v>
      </c>
      <c r="CX219" s="52">
        <v>35</v>
      </c>
      <c r="CY219" s="52"/>
      <c r="CZ219" s="52"/>
      <c r="DA219" s="52"/>
      <c r="DB219" s="52"/>
      <c r="DC219" s="52"/>
      <c r="DD219" s="52"/>
      <c r="DE219" s="52"/>
      <c r="DF219" s="52"/>
      <c r="DG219" s="52"/>
      <c r="DH219" s="52"/>
    </row>
    <row r="220" spans="58:112" ht="16.5" x14ac:dyDescent="0.2">
      <c r="BF220" s="52">
        <v>215</v>
      </c>
      <c r="BG220" s="14">
        <f t="shared" si="43"/>
        <v>0</v>
      </c>
      <c r="BH220" s="14">
        <f t="shared" si="44"/>
        <v>480</v>
      </c>
      <c r="BI220" s="14">
        <f t="shared" si="45"/>
        <v>0</v>
      </c>
      <c r="BJ220" s="14">
        <f t="shared" si="46"/>
        <v>1200</v>
      </c>
      <c r="BK220" s="14">
        <f t="shared" si="47"/>
        <v>480</v>
      </c>
      <c r="BL220" s="14">
        <f t="shared" si="48"/>
        <v>960</v>
      </c>
      <c r="CJ220" s="52">
        <v>216</v>
      </c>
      <c r="CK220" s="52">
        <v>3</v>
      </c>
      <c r="CL220" s="52" t="s">
        <v>257</v>
      </c>
      <c r="CM220" s="52">
        <v>16</v>
      </c>
      <c r="CN220" s="52"/>
      <c r="CO220" s="52"/>
      <c r="CP220" s="52"/>
      <c r="CQ220" s="52" t="s">
        <v>372</v>
      </c>
      <c r="CR220" s="52">
        <v>10800</v>
      </c>
      <c r="CS220" s="52" t="s">
        <v>373</v>
      </c>
      <c r="CT220" s="52">
        <v>30</v>
      </c>
      <c r="CU220" s="52"/>
      <c r="CV220" s="52"/>
      <c r="CW220" s="52" t="s">
        <v>373</v>
      </c>
      <c r="CX220" s="52">
        <v>35</v>
      </c>
      <c r="CY220" s="52"/>
      <c r="CZ220" s="52"/>
      <c r="DA220" s="52"/>
      <c r="DB220" s="52"/>
      <c r="DC220" s="52"/>
      <c r="DD220" s="52"/>
      <c r="DE220" s="52"/>
      <c r="DF220" s="52"/>
      <c r="DG220" s="52"/>
      <c r="DH220" s="52"/>
    </row>
    <row r="221" spans="58:112" ht="16.5" x14ac:dyDescent="0.2">
      <c r="BF221" s="52">
        <v>216</v>
      </c>
      <c r="BG221" s="14">
        <f t="shared" si="43"/>
        <v>0</v>
      </c>
      <c r="BH221" s="14">
        <f t="shared" si="44"/>
        <v>480</v>
      </c>
      <c r="BI221" s="14">
        <f t="shared" si="45"/>
        <v>0</v>
      </c>
      <c r="BJ221" s="14">
        <f t="shared" si="46"/>
        <v>1200</v>
      </c>
      <c r="BK221" s="14">
        <f t="shared" si="47"/>
        <v>480</v>
      </c>
      <c r="BL221" s="14">
        <f t="shared" si="48"/>
        <v>960</v>
      </c>
      <c r="CJ221" s="52">
        <v>217</v>
      </c>
      <c r="CK221" s="52">
        <v>3</v>
      </c>
      <c r="CL221" s="52" t="s">
        <v>257</v>
      </c>
      <c r="CM221" s="52">
        <v>17</v>
      </c>
      <c r="CN221" s="52"/>
      <c r="CO221" s="52"/>
      <c r="CP221" s="52"/>
      <c r="CQ221" s="52" t="s">
        <v>372</v>
      </c>
      <c r="CR221" s="52">
        <v>10800</v>
      </c>
      <c r="CS221" s="52" t="s">
        <v>373</v>
      </c>
      <c r="CT221" s="52">
        <v>30</v>
      </c>
      <c r="CU221" s="52"/>
      <c r="CV221" s="52"/>
      <c r="CW221" s="52" t="s">
        <v>373</v>
      </c>
      <c r="CX221" s="52">
        <v>35</v>
      </c>
      <c r="CY221" s="52"/>
      <c r="CZ221" s="52"/>
      <c r="DA221" s="52"/>
      <c r="DB221" s="52"/>
      <c r="DC221" s="52"/>
      <c r="DD221" s="52"/>
      <c r="DE221" s="52"/>
      <c r="DF221" s="52"/>
      <c r="DG221" s="52"/>
      <c r="DH221" s="52"/>
    </row>
    <row r="222" spans="58:112" ht="16.5" x14ac:dyDescent="0.2">
      <c r="BF222" s="52">
        <v>217</v>
      </c>
      <c r="BG222" s="14">
        <f t="shared" si="43"/>
        <v>0</v>
      </c>
      <c r="BH222" s="14">
        <f t="shared" si="44"/>
        <v>480</v>
      </c>
      <c r="BI222" s="14">
        <f t="shared" si="45"/>
        <v>0</v>
      </c>
      <c r="BJ222" s="14">
        <f t="shared" si="46"/>
        <v>1200</v>
      </c>
      <c r="BK222" s="14">
        <f t="shared" si="47"/>
        <v>480</v>
      </c>
      <c r="BL222" s="14">
        <f t="shared" si="48"/>
        <v>960</v>
      </c>
      <c r="CJ222" s="52">
        <v>218</v>
      </c>
      <c r="CK222" s="52">
        <v>3</v>
      </c>
      <c r="CL222" s="52" t="s">
        <v>257</v>
      </c>
      <c r="CM222" s="52">
        <v>18</v>
      </c>
      <c r="CN222" s="52"/>
      <c r="CO222" s="52"/>
      <c r="CP222" s="52"/>
      <c r="CQ222" s="52" t="s">
        <v>372</v>
      </c>
      <c r="CR222" s="52">
        <v>10800</v>
      </c>
      <c r="CS222" s="52" t="s">
        <v>373</v>
      </c>
      <c r="CT222" s="52">
        <v>30</v>
      </c>
      <c r="CU222" s="52"/>
      <c r="CV222" s="52"/>
      <c r="CW222" s="52" t="s">
        <v>373</v>
      </c>
      <c r="CX222" s="52">
        <v>35</v>
      </c>
      <c r="CY222" s="52"/>
      <c r="CZ222" s="52"/>
      <c r="DA222" s="52"/>
      <c r="DB222" s="52"/>
      <c r="DC222" s="52"/>
      <c r="DD222" s="52"/>
      <c r="DE222" s="52"/>
      <c r="DF222" s="52"/>
      <c r="DG222" s="52"/>
      <c r="DH222" s="52"/>
    </row>
    <row r="223" spans="58:112" ht="16.5" x14ac:dyDescent="0.2">
      <c r="BF223" s="52">
        <v>218</v>
      </c>
      <c r="BG223" s="14">
        <f t="shared" si="43"/>
        <v>0</v>
      </c>
      <c r="BH223" s="14">
        <f t="shared" si="44"/>
        <v>480</v>
      </c>
      <c r="BI223" s="14">
        <f t="shared" si="45"/>
        <v>0</v>
      </c>
      <c r="BJ223" s="14">
        <f t="shared" si="46"/>
        <v>1200</v>
      </c>
      <c r="BK223" s="14">
        <f t="shared" si="47"/>
        <v>480</v>
      </c>
      <c r="BL223" s="14">
        <f t="shared" si="48"/>
        <v>960</v>
      </c>
      <c r="CJ223" s="52">
        <v>219</v>
      </c>
      <c r="CK223" s="52">
        <v>3</v>
      </c>
      <c r="CL223" s="52" t="s">
        <v>257</v>
      </c>
      <c r="CM223" s="52">
        <v>19</v>
      </c>
      <c r="CN223" s="52"/>
      <c r="CO223" s="52"/>
      <c r="CP223" s="52"/>
      <c r="CQ223" s="52" t="s">
        <v>372</v>
      </c>
      <c r="CR223" s="52">
        <v>10800</v>
      </c>
      <c r="CS223" s="52" t="s">
        <v>373</v>
      </c>
      <c r="CT223" s="52">
        <v>30</v>
      </c>
      <c r="CU223" s="52"/>
      <c r="CV223" s="52"/>
      <c r="CW223" s="52" t="s">
        <v>373</v>
      </c>
      <c r="CX223" s="52">
        <v>35</v>
      </c>
      <c r="CY223" s="52"/>
      <c r="CZ223" s="52"/>
      <c r="DA223" s="52"/>
      <c r="DB223" s="52"/>
      <c r="DC223" s="52"/>
      <c r="DD223" s="52"/>
      <c r="DE223" s="52"/>
      <c r="DF223" s="52"/>
      <c r="DG223" s="52"/>
      <c r="DH223" s="52"/>
    </row>
    <row r="224" spans="58:112" ht="16.5" x14ac:dyDescent="0.2">
      <c r="BF224" s="52">
        <v>219</v>
      </c>
      <c r="BG224" s="14">
        <f t="shared" si="43"/>
        <v>0</v>
      </c>
      <c r="BH224" s="14">
        <f t="shared" si="44"/>
        <v>480</v>
      </c>
      <c r="BI224" s="14">
        <f t="shared" si="45"/>
        <v>0</v>
      </c>
      <c r="BJ224" s="14">
        <f t="shared" si="46"/>
        <v>1200</v>
      </c>
      <c r="BK224" s="14">
        <f t="shared" si="47"/>
        <v>480</v>
      </c>
      <c r="BL224" s="14">
        <f t="shared" si="48"/>
        <v>960</v>
      </c>
      <c r="CJ224" s="52">
        <v>220</v>
      </c>
      <c r="CK224" s="52">
        <v>3</v>
      </c>
      <c r="CL224" s="52" t="s">
        <v>257</v>
      </c>
      <c r="CM224" s="52">
        <v>20</v>
      </c>
      <c r="CN224" s="52"/>
      <c r="CO224" s="52"/>
      <c r="CP224" s="52"/>
      <c r="CQ224" s="52" t="s">
        <v>372</v>
      </c>
      <c r="CR224" s="52">
        <v>12960</v>
      </c>
      <c r="CS224" s="52" t="s">
        <v>373</v>
      </c>
      <c r="CT224" s="52">
        <v>30</v>
      </c>
      <c r="CU224" s="52" t="s">
        <v>276</v>
      </c>
      <c r="CV224" s="52">
        <v>2</v>
      </c>
      <c r="CW224" s="52" t="s">
        <v>373</v>
      </c>
      <c r="CX224" s="52">
        <v>40</v>
      </c>
      <c r="CY224" s="52"/>
      <c r="CZ224" s="52"/>
      <c r="DA224" s="52"/>
      <c r="DB224" s="52"/>
      <c r="DC224" s="52"/>
      <c r="DD224" s="52"/>
      <c r="DE224" s="52"/>
      <c r="DF224" s="52"/>
      <c r="DG224" s="52"/>
      <c r="DH224" s="52"/>
    </row>
    <row r="225" spans="58:112" ht="16.5" x14ac:dyDescent="0.2">
      <c r="BF225" s="52">
        <v>220</v>
      </c>
      <c r="BG225" s="14">
        <f t="shared" si="43"/>
        <v>0</v>
      </c>
      <c r="BH225" s="14">
        <f t="shared" si="44"/>
        <v>480</v>
      </c>
      <c r="BI225" s="14">
        <f t="shared" si="45"/>
        <v>0</v>
      </c>
      <c r="BJ225" s="14">
        <f t="shared" si="46"/>
        <v>1200</v>
      </c>
      <c r="BK225" s="14">
        <f t="shared" si="47"/>
        <v>480</v>
      </c>
      <c r="BL225" s="14">
        <f t="shared" si="48"/>
        <v>960</v>
      </c>
      <c r="CJ225" s="52">
        <v>221</v>
      </c>
      <c r="CK225" s="52">
        <v>3</v>
      </c>
      <c r="CL225" s="52" t="s">
        <v>257</v>
      </c>
      <c r="CM225" s="52">
        <v>21</v>
      </c>
      <c r="CN225" s="52"/>
      <c r="CO225" s="52"/>
      <c r="CP225" s="52"/>
      <c r="CQ225" s="52" t="s">
        <v>372</v>
      </c>
      <c r="CR225" s="52">
        <v>12960</v>
      </c>
      <c r="CS225" s="52" t="s">
        <v>373</v>
      </c>
      <c r="CT225" s="52">
        <v>35</v>
      </c>
      <c r="CU225" s="52"/>
      <c r="CV225" s="52"/>
      <c r="CW225" s="52" t="s">
        <v>373</v>
      </c>
      <c r="CX225" s="52">
        <v>40</v>
      </c>
      <c r="CY225" s="52"/>
      <c r="CZ225" s="52"/>
      <c r="DA225" s="52"/>
      <c r="DB225" s="52"/>
      <c r="DC225" s="52"/>
      <c r="DD225" s="52"/>
      <c r="DE225" s="52"/>
      <c r="DF225" s="52"/>
      <c r="DG225" s="52"/>
      <c r="DH225" s="52"/>
    </row>
    <row r="226" spans="58:112" ht="16.5" x14ac:dyDescent="0.2">
      <c r="BF226" s="52">
        <v>221</v>
      </c>
      <c r="BG226" s="14">
        <f t="shared" si="43"/>
        <v>0</v>
      </c>
      <c r="BH226" s="14">
        <f t="shared" si="44"/>
        <v>480</v>
      </c>
      <c r="BI226" s="14">
        <f t="shared" si="45"/>
        <v>0</v>
      </c>
      <c r="BJ226" s="14">
        <f t="shared" si="46"/>
        <v>1200</v>
      </c>
      <c r="BK226" s="14">
        <f t="shared" si="47"/>
        <v>480</v>
      </c>
      <c r="BL226" s="14">
        <f t="shared" si="48"/>
        <v>960</v>
      </c>
      <c r="CJ226" s="52">
        <v>222</v>
      </c>
      <c r="CK226" s="52">
        <v>3</v>
      </c>
      <c r="CL226" s="52" t="s">
        <v>257</v>
      </c>
      <c r="CM226" s="52">
        <v>22</v>
      </c>
      <c r="CN226" s="52"/>
      <c r="CO226" s="52"/>
      <c r="CP226" s="52"/>
      <c r="CQ226" s="52" t="s">
        <v>372</v>
      </c>
      <c r="CR226" s="52">
        <v>12960</v>
      </c>
      <c r="CS226" s="52" t="s">
        <v>373</v>
      </c>
      <c r="CT226" s="52">
        <v>35</v>
      </c>
      <c r="CU226" s="52"/>
      <c r="CV226" s="52"/>
      <c r="CW226" s="52" t="s">
        <v>373</v>
      </c>
      <c r="CX226" s="52">
        <v>40</v>
      </c>
      <c r="CY226" s="52"/>
      <c r="CZ226" s="52"/>
      <c r="DA226" s="52"/>
      <c r="DB226" s="52"/>
      <c r="DC226" s="52"/>
      <c r="DD226" s="52"/>
      <c r="DE226" s="52"/>
      <c r="DF226" s="52"/>
      <c r="DG226" s="52"/>
      <c r="DH226" s="52"/>
    </row>
    <row r="227" spans="58:112" ht="16.5" x14ac:dyDescent="0.2">
      <c r="BF227" s="52">
        <v>222</v>
      </c>
      <c r="BG227" s="14">
        <f t="shared" si="43"/>
        <v>0</v>
      </c>
      <c r="BH227" s="14">
        <f t="shared" si="44"/>
        <v>480</v>
      </c>
      <c r="BI227" s="14">
        <f t="shared" si="45"/>
        <v>0</v>
      </c>
      <c r="BJ227" s="14">
        <f t="shared" si="46"/>
        <v>1200</v>
      </c>
      <c r="BK227" s="14">
        <f t="shared" si="47"/>
        <v>480</v>
      </c>
      <c r="BL227" s="14">
        <f t="shared" si="48"/>
        <v>960</v>
      </c>
      <c r="CJ227" s="52">
        <v>223</v>
      </c>
      <c r="CK227" s="52">
        <v>3</v>
      </c>
      <c r="CL227" s="52" t="s">
        <v>257</v>
      </c>
      <c r="CM227" s="52">
        <v>23</v>
      </c>
      <c r="CN227" s="52"/>
      <c r="CO227" s="52"/>
      <c r="CP227" s="52"/>
      <c r="CQ227" s="52" t="s">
        <v>372</v>
      </c>
      <c r="CR227" s="52">
        <v>12960</v>
      </c>
      <c r="CS227" s="52" t="s">
        <v>373</v>
      </c>
      <c r="CT227" s="52">
        <v>35</v>
      </c>
      <c r="CU227" s="52"/>
      <c r="CV227" s="52"/>
      <c r="CW227" s="52" t="s">
        <v>373</v>
      </c>
      <c r="CX227" s="52">
        <v>40</v>
      </c>
      <c r="CY227" s="52"/>
      <c r="CZ227" s="52"/>
      <c r="DA227" s="52"/>
      <c r="DB227" s="52"/>
      <c r="DC227" s="52"/>
      <c r="DD227" s="52"/>
      <c r="DE227" s="52"/>
      <c r="DF227" s="52"/>
      <c r="DG227" s="52"/>
      <c r="DH227" s="52"/>
    </row>
    <row r="228" spans="58:112" ht="16.5" x14ac:dyDescent="0.2">
      <c r="BF228" s="52">
        <v>223</v>
      </c>
      <c r="BG228" s="14">
        <f t="shared" si="43"/>
        <v>0</v>
      </c>
      <c r="BH228" s="14">
        <f t="shared" si="44"/>
        <v>480</v>
      </c>
      <c r="BI228" s="14">
        <f t="shared" si="45"/>
        <v>0</v>
      </c>
      <c r="BJ228" s="14">
        <f t="shared" si="46"/>
        <v>1200</v>
      </c>
      <c r="BK228" s="14">
        <f t="shared" si="47"/>
        <v>480</v>
      </c>
      <c r="BL228" s="14">
        <f t="shared" si="48"/>
        <v>960</v>
      </c>
      <c r="CJ228" s="52">
        <v>224</v>
      </c>
      <c r="CK228" s="52">
        <v>3</v>
      </c>
      <c r="CL228" s="52" t="s">
        <v>257</v>
      </c>
      <c r="CM228" s="52">
        <v>24</v>
      </c>
      <c r="CN228" s="52"/>
      <c r="CO228" s="52"/>
      <c r="CP228" s="52"/>
      <c r="CQ228" s="52" t="s">
        <v>372</v>
      </c>
      <c r="CR228" s="52">
        <v>12960</v>
      </c>
      <c r="CS228" s="52" t="s">
        <v>373</v>
      </c>
      <c r="CT228" s="52">
        <v>35</v>
      </c>
      <c r="CU228" s="52"/>
      <c r="CV228" s="52"/>
      <c r="CW228" s="52" t="s">
        <v>373</v>
      </c>
      <c r="CX228" s="52">
        <v>40</v>
      </c>
      <c r="CY228" s="52"/>
      <c r="CZ228" s="52"/>
      <c r="DA228" s="52"/>
      <c r="DB228" s="52"/>
      <c r="DC228" s="52"/>
      <c r="DD228" s="52"/>
      <c r="DE228" s="52"/>
      <c r="DF228" s="52"/>
      <c r="DG228" s="52"/>
      <c r="DH228" s="52"/>
    </row>
    <row r="229" spans="58:112" ht="16.5" x14ac:dyDescent="0.2">
      <c r="BF229" s="52">
        <v>224</v>
      </c>
      <c r="BG229" s="14">
        <f t="shared" si="43"/>
        <v>0</v>
      </c>
      <c r="BH229" s="14">
        <f t="shared" si="44"/>
        <v>480</v>
      </c>
      <c r="BI229" s="14">
        <f t="shared" si="45"/>
        <v>0</v>
      </c>
      <c r="BJ229" s="14">
        <f t="shared" si="46"/>
        <v>1200</v>
      </c>
      <c r="BK229" s="14">
        <f t="shared" si="47"/>
        <v>480</v>
      </c>
      <c r="BL229" s="14">
        <f t="shared" si="48"/>
        <v>960</v>
      </c>
      <c r="CJ229" s="52">
        <v>225</v>
      </c>
      <c r="CK229" s="52">
        <v>3</v>
      </c>
      <c r="CL229" s="52" t="s">
        <v>257</v>
      </c>
      <c r="CM229" s="52">
        <v>25</v>
      </c>
      <c r="CN229" s="52"/>
      <c r="CO229" s="52"/>
      <c r="CP229" s="52"/>
      <c r="CQ229" s="52" t="s">
        <v>372</v>
      </c>
      <c r="CR229" s="52">
        <v>12960</v>
      </c>
      <c r="CS229" s="52" t="s">
        <v>373</v>
      </c>
      <c r="CT229" s="52">
        <v>35</v>
      </c>
      <c r="CU229" s="52" t="s">
        <v>279</v>
      </c>
      <c r="CV229" s="52">
        <v>2</v>
      </c>
      <c r="CW229" s="52" t="s">
        <v>373</v>
      </c>
      <c r="CX229" s="52">
        <v>45</v>
      </c>
      <c r="CY229" s="52"/>
      <c r="CZ229" s="52"/>
      <c r="DA229" s="52"/>
      <c r="DB229" s="52"/>
      <c r="DC229" s="52"/>
      <c r="DD229" s="52"/>
      <c r="DE229" s="52"/>
      <c r="DF229" s="52"/>
      <c r="DG229" s="52"/>
      <c r="DH229" s="52"/>
    </row>
    <row r="230" spans="58:112" ht="16.5" x14ac:dyDescent="0.2">
      <c r="BF230" s="52">
        <v>225</v>
      </c>
      <c r="BG230" s="14">
        <f t="shared" si="43"/>
        <v>0</v>
      </c>
      <c r="BH230" s="14">
        <f t="shared" si="44"/>
        <v>480</v>
      </c>
      <c r="BI230" s="14">
        <f t="shared" si="45"/>
        <v>0</v>
      </c>
      <c r="BJ230" s="14">
        <f t="shared" si="46"/>
        <v>1200</v>
      </c>
      <c r="BK230" s="14">
        <f t="shared" si="47"/>
        <v>480</v>
      </c>
      <c r="BL230" s="14">
        <f t="shared" si="48"/>
        <v>960</v>
      </c>
      <c r="CJ230" s="52">
        <v>226</v>
      </c>
      <c r="CK230" s="52">
        <v>3</v>
      </c>
      <c r="CL230" s="52" t="s">
        <v>257</v>
      </c>
      <c r="CM230" s="52">
        <v>26</v>
      </c>
      <c r="CN230" s="52"/>
      <c r="CO230" s="52"/>
      <c r="CP230" s="52"/>
      <c r="CQ230" s="52" t="s">
        <v>372</v>
      </c>
      <c r="CR230" s="52">
        <v>12960</v>
      </c>
      <c r="CS230" s="52" t="s">
        <v>373</v>
      </c>
      <c r="CT230" s="52">
        <v>40</v>
      </c>
      <c r="CU230" s="52"/>
      <c r="CV230" s="52"/>
      <c r="CW230" s="52" t="s">
        <v>373</v>
      </c>
      <c r="CX230" s="52">
        <v>45</v>
      </c>
      <c r="CY230" s="52"/>
      <c r="CZ230" s="52"/>
      <c r="DA230" s="52"/>
      <c r="DB230" s="52"/>
      <c r="DC230" s="52"/>
      <c r="DD230" s="52"/>
      <c r="DE230" s="52"/>
      <c r="DF230" s="52"/>
      <c r="DG230" s="52"/>
      <c r="DH230" s="52"/>
    </row>
    <row r="231" spans="58:112" ht="16.5" x14ac:dyDescent="0.2">
      <c r="BF231" s="52">
        <v>226</v>
      </c>
      <c r="BG231" s="14">
        <f t="shared" si="43"/>
        <v>0</v>
      </c>
      <c r="BH231" s="14">
        <f t="shared" si="44"/>
        <v>480</v>
      </c>
      <c r="BI231" s="14">
        <f t="shared" si="45"/>
        <v>0</v>
      </c>
      <c r="BJ231" s="14">
        <f t="shared" si="46"/>
        <v>1200</v>
      </c>
      <c r="BK231" s="14">
        <f t="shared" si="47"/>
        <v>480</v>
      </c>
      <c r="BL231" s="14">
        <f t="shared" si="48"/>
        <v>960</v>
      </c>
      <c r="CJ231" s="52">
        <v>227</v>
      </c>
      <c r="CK231" s="52">
        <v>3</v>
      </c>
      <c r="CL231" s="52" t="s">
        <v>257</v>
      </c>
      <c r="CM231" s="52">
        <v>27</v>
      </c>
      <c r="CN231" s="52"/>
      <c r="CO231" s="52"/>
      <c r="CP231" s="52"/>
      <c r="CQ231" s="52" t="s">
        <v>372</v>
      </c>
      <c r="CR231" s="52">
        <v>12960</v>
      </c>
      <c r="CS231" s="52" t="s">
        <v>373</v>
      </c>
      <c r="CT231" s="52">
        <v>40</v>
      </c>
      <c r="CU231" s="52"/>
      <c r="CV231" s="52"/>
      <c r="CW231" s="52" t="s">
        <v>373</v>
      </c>
      <c r="CX231" s="52">
        <v>45</v>
      </c>
      <c r="CY231" s="52"/>
      <c r="CZ231" s="52"/>
      <c r="DA231" s="52"/>
      <c r="DB231" s="52"/>
      <c r="DC231" s="52"/>
      <c r="DD231" s="52"/>
      <c r="DE231" s="52"/>
      <c r="DF231" s="52"/>
      <c r="DG231" s="52"/>
      <c r="DH231" s="52"/>
    </row>
    <row r="232" spans="58:112" ht="16.5" x14ac:dyDescent="0.2">
      <c r="BF232" s="52">
        <v>227</v>
      </c>
      <c r="BG232" s="14">
        <f t="shared" si="43"/>
        <v>0</v>
      </c>
      <c r="BH232" s="14">
        <f t="shared" si="44"/>
        <v>480</v>
      </c>
      <c r="BI232" s="14">
        <f t="shared" si="45"/>
        <v>0</v>
      </c>
      <c r="BJ232" s="14">
        <f t="shared" si="46"/>
        <v>1200</v>
      </c>
      <c r="BK232" s="14">
        <f t="shared" si="47"/>
        <v>480</v>
      </c>
      <c r="BL232" s="14">
        <f t="shared" si="48"/>
        <v>960</v>
      </c>
      <c r="CJ232" s="52">
        <v>228</v>
      </c>
      <c r="CK232" s="52">
        <v>3</v>
      </c>
      <c r="CL232" s="52" t="s">
        <v>257</v>
      </c>
      <c r="CM232" s="52">
        <v>28</v>
      </c>
      <c r="CN232" s="52"/>
      <c r="CO232" s="52"/>
      <c r="CP232" s="52"/>
      <c r="CQ232" s="52" t="s">
        <v>372</v>
      </c>
      <c r="CR232" s="52">
        <v>12960</v>
      </c>
      <c r="CS232" s="52" t="s">
        <v>373</v>
      </c>
      <c r="CT232" s="52">
        <v>40</v>
      </c>
      <c r="CU232" s="52"/>
      <c r="CV232" s="52"/>
      <c r="CW232" s="52" t="s">
        <v>373</v>
      </c>
      <c r="CX232" s="52">
        <v>45</v>
      </c>
      <c r="CY232" s="52"/>
      <c r="CZ232" s="52"/>
      <c r="DA232" s="52"/>
      <c r="DB232" s="52"/>
      <c r="DC232" s="52"/>
      <c r="DD232" s="52"/>
      <c r="DE232" s="52"/>
      <c r="DF232" s="52"/>
      <c r="DG232" s="52"/>
      <c r="DH232" s="52"/>
    </row>
    <row r="233" spans="58:112" ht="16.5" x14ac:dyDescent="0.2">
      <c r="BF233" s="52">
        <v>228</v>
      </c>
      <c r="BG233" s="14">
        <f t="shared" si="43"/>
        <v>0</v>
      </c>
      <c r="BH233" s="14">
        <f t="shared" si="44"/>
        <v>480</v>
      </c>
      <c r="BI233" s="14">
        <f t="shared" si="45"/>
        <v>0</v>
      </c>
      <c r="BJ233" s="14">
        <f t="shared" si="46"/>
        <v>1200</v>
      </c>
      <c r="BK233" s="14">
        <f t="shared" si="47"/>
        <v>480</v>
      </c>
      <c r="BL233" s="14">
        <f t="shared" si="48"/>
        <v>960</v>
      </c>
      <c r="CJ233" s="52">
        <v>229</v>
      </c>
      <c r="CK233" s="52">
        <v>3</v>
      </c>
      <c r="CL233" s="52" t="s">
        <v>257</v>
      </c>
      <c r="CM233" s="52">
        <v>29</v>
      </c>
      <c r="CN233" s="52"/>
      <c r="CO233" s="52"/>
      <c r="CP233" s="52"/>
      <c r="CQ233" s="52" t="s">
        <v>372</v>
      </c>
      <c r="CR233" s="52">
        <v>12960</v>
      </c>
      <c r="CS233" s="52" t="s">
        <v>373</v>
      </c>
      <c r="CT233" s="52">
        <v>40</v>
      </c>
      <c r="CU233" s="52"/>
      <c r="CV233" s="52"/>
      <c r="CW233" s="52" t="s">
        <v>373</v>
      </c>
      <c r="CX233" s="52">
        <v>45</v>
      </c>
      <c r="CY233" s="52"/>
      <c r="CZ233" s="52"/>
      <c r="DA233" s="52"/>
      <c r="DB233" s="52"/>
      <c r="DC233" s="52"/>
      <c r="DD233" s="52"/>
      <c r="DE233" s="52"/>
      <c r="DF233" s="52"/>
      <c r="DG233" s="52"/>
      <c r="DH233" s="52"/>
    </row>
    <row r="234" spans="58:112" ht="16.5" x14ac:dyDescent="0.2">
      <c r="BF234" s="52">
        <v>229</v>
      </c>
      <c r="BG234" s="14">
        <f t="shared" ref="BG234:BG297" si="49">SUMIFS($F$5:$F$104,$AT$6:$AT$105,"="&amp;BF234)+SUMIFS($Q$5:$Q$104,$AW$6:$AW$105,"="&amp;BF234)+SUMIFS($AB$5:$AB$104,$AZ$6:$AZ$105,"="&amp;BF234)+SUMIFS($AM$5:$AM$104,$BC$6:$BC$105,"="&amp;BF234)</f>
        <v>0</v>
      </c>
      <c r="BH234" s="14">
        <f t="shared" ref="BH234:BH297" si="50">INDEX($G$5:$G$104,MATCH(BF234,$AT$5:$AT$105,1)-1)+INDEX($R$5:$R$104,MATCH(BF234,$AW$5:$AW$105,1)-1)+INDEX($AC$5:$AC$104,MATCH(BF234,$AZ$5:$AZ$105,1)-1)+INDEX($AN$5:$AN$104,MATCH(BF234,$BC$5:$BC$105,1)-1)</f>
        <v>480</v>
      </c>
      <c r="BI234" s="14">
        <f t="shared" ref="BI234:BI297" si="51">SUMIFS($H$5:$H$104,$AT$6:$AT$105,"="&amp;BF234)+SUMIFS($S$5:$S$104,$AW$6:$AW$105,"="&amp;BF234)+SUMIFS($AD$5:$AD$104,$AZ$6:$AZ$105,"="&amp;BF234)+SUMIFS($AO$5:$AO$104,$BC$6:$BC$105,"="&amp;BF234)</f>
        <v>0</v>
      </c>
      <c r="BJ234" s="14">
        <f t="shared" ref="BJ234:BJ297" si="52">INDEX($I$5:$I$104,MATCH(BF234,$AT$5:$AT$105,1)-1)+INDEX($T$5:$T$104,MATCH(BF234,$AW$5:$AW$105,1)-1)+INDEX($AE$5:$AE$104,MATCH(BF234,$AZ$5:$AZ$105,1)-1)+INDEX($AP$5:$AP$104,MATCH(BF234,$BC$5:$BC$105,1)-1)</f>
        <v>1200</v>
      </c>
      <c r="BK234" s="14">
        <f t="shared" si="47"/>
        <v>480</v>
      </c>
      <c r="BL234" s="14">
        <f t="shared" si="48"/>
        <v>960</v>
      </c>
      <c r="CJ234" s="52">
        <v>230</v>
      </c>
      <c r="CK234" s="52">
        <v>3</v>
      </c>
      <c r="CL234" s="52" t="s">
        <v>257</v>
      </c>
      <c r="CM234" s="52">
        <v>30</v>
      </c>
      <c r="CN234" s="52"/>
      <c r="CO234" s="52"/>
      <c r="CP234" s="52"/>
      <c r="CQ234" s="52" t="s">
        <v>372</v>
      </c>
      <c r="CR234" s="52">
        <v>16200</v>
      </c>
      <c r="CS234" s="52" t="s">
        <v>373</v>
      </c>
      <c r="CT234" s="52">
        <v>40</v>
      </c>
      <c r="CU234" s="52" t="s">
        <v>280</v>
      </c>
      <c r="CV234" s="52">
        <v>2</v>
      </c>
      <c r="CW234" s="52" t="s">
        <v>373</v>
      </c>
      <c r="CX234" s="52">
        <v>50</v>
      </c>
      <c r="CY234" s="52"/>
      <c r="CZ234" s="52"/>
      <c r="DA234" s="52"/>
      <c r="DB234" s="52"/>
      <c r="DC234" s="52"/>
      <c r="DD234" s="52"/>
      <c r="DE234" s="52"/>
      <c r="DF234" s="52"/>
      <c r="DG234" s="52"/>
      <c r="DH234" s="52"/>
    </row>
    <row r="235" spans="58:112" ht="16.5" x14ac:dyDescent="0.2">
      <c r="BF235" s="52">
        <v>230</v>
      </c>
      <c r="BG235" s="14">
        <f t="shared" si="49"/>
        <v>0</v>
      </c>
      <c r="BH235" s="14">
        <f t="shared" si="50"/>
        <v>480</v>
      </c>
      <c r="BI235" s="14">
        <f t="shared" si="51"/>
        <v>0</v>
      </c>
      <c r="BJ235" s="14">
        <f t="shared" si="52"/>
        <v>1200</v>
      </c>
      <c r="BK235" s="14">
        <f t="shared" si="47"/>
        <v>480</v>
      </c>
      <c r="BL235" s="14">
        <f t="shared" si="48"/>
        <v>960</v>
      </c>
      <c r="CJ235" s="52">
        <v>231</v>
      </c>
      <c r="CK235" s="52">
        <v>3</v>
      </c>
      <c r="CL235" s="52" t="s">
        <v>257</v>
      </c>
      <c r="CM235" s="52">
        <v>31</v>
      </c>
      <c r="CN235" s="52"/>
      <c r="CO235" s="52"/>
      <c r="CP235" s="52"/>
      <c r="CQ235" s="52" t="s">
        <v>372</v>
      </c>
      <c r="CR235" s="52">
        <v>16200</v>
      </c>
      <c r="CS235" s="52" t="s">
        <v>373</v>
      </c>
      <c r="CT235" s="52">
        <v>45</v>
      </c>
      <c r="CU235" s="52"/>
      <c r="CV235" s="52"/>
      <c r="CW235" s="52" t="s">
        <v>373</v>
      </c>
      <c r="CX235" s="52">
        <v>50</v>
      </c>
      <c r="CY235" s="52"/>
      <c r="CZ235" s="52"/>
      <c r="DA235" s="52"/>
      <c r="DB235" s="52"/>
      <c r="DC235" s="52"/>
      <c r="DD235" s="52"/>
      <c r="DE235" s="52"/>
      <c r="DF235" s="52"/>
      <c r="DG235" s="52"/>
      <c r="DH235" s="52"/>
    </row>
    <row r="236" spans="58:112" ht="16.5" x14ac:dyDescent="0.2">
      <c r="BF236" s="52">
        <v>231</v>
      </c>
      <c r="BG236" s="14">
        <f t="shared" si="49"/>
        <v>0</v>
      </c>
      <c r="BH236" s="14">
        <f t="shared" si="50"/>
        <v>480</v>
      </c>
      <c r="BI236" s="14">
        <f t="shared" si="51"/>
        <v>0</v>
      </c>
      <c r="BJ236" s="14">
        <f t="shared" si="52"/>
        <v>1200</v>
      </c>
      <c r="BK236" s="14">
        <f t="shared" si="47"/>
        <v>480</v>
      </c>
      <c r="BL236" s="14">
        <f t="shared" si="48"/>
        <v>960</v>
      </c>
      <c r="CJ236" s="52">
        <v>232</v>
      </c>
      <c r="CK236" s="52">
        <v>3</v>
      </c>
      <c r="CL236" s="52" t="s">
        <v>257</v>
      </c>
      <c r="CM236" s="52">
        <v>32</v>
      </c>
      <c r="CN236" s="52"/>
      <c r="CO236" s="52"/>
      <c r="CP236" s="52"/>
      <c r="CQ236" s="52" t="s">
        <v>372</v>
      </c>
      <c r="CR236" s="52">
        <v>16200</v>
      </c>
      <c r="CS236" s="52" t="s">
        <v>373</v>
      </c>
      <c r="CT236" s="52">
        <v>45</v>
      </c>
      <c r="CU236" s="52"/>
      <c r="CV236" s="52"/>
      <c r="CW236" s="52" t="s">
        <v>373</v>
      </c>
      <c r="CX236" s="52">
        <v>50</v>
      </c>
      <c r="CY236" s="52"/>
      <c r="CZ236" s="52"/>
      <c r="DA236" s="52"/>
      <c r="DB236" s="52"/>
      <c r="DC236" s="52"/>
      <c r="DD236" s="52"/>
      <c r="DE236" s="52"/>
      <c r="DF236" s="52"/>
      <c r="DG236" s="52"/>
      <c r="DH236" s="52"/>
    </row>
    <row r="237" spans="58:112" ht="16.5" x14ac:dyDescent="0.2">
      <c r="BF237" s="52">
        <v>232</v>
      </c>
      <c r="BG237" s="14">
        <f t="shared" si="49"/>
        <v>0</v>
      </c>
      <c r="BH237" s="14">
        <f t="shared" si="50"/>
        <v>480</v>
      </c>
      <c r="BI237" s="14">
        <f t="shared" si="51"/>
        <v>0</v>
      </c>
      <c r="BJ237" s="14">
        <f t="shared" si="52"/>
        <v>1200</v>
      </c>
      <c r="BK237" s="14">
        <f t="shared" si="47"/>
        <v>480</v>
      </c>
      <c r="BL237" s="14">
        <f t="shared" si="48"/>
        <v>960</v>
      </c>
      <c r="CJ237" s="52">
        <v>233</v>
      </c>
      <c r="CK237" s="52">
        <v>3</v>
      </c>
      <c r="CL237" s="52" t="s">
        <v>257</v>
      </c>
      <c r="CM237" s="52">
        <v>33</v>
      </c>
      <c r="CN237" s="52"/>
      <c r="CO237" s="52"/>
      <c r="CP237" s="52"/>
      <c r="CQ237" s="52" t="s">
        <v>372</v>
      </c>
      <c r="CR237" s="52">
        <v>16200</v>
      </c>
      <c r="CS237" s="52" t="s">
        <v>373</v>
      </c>
      <c r="CT237" s="52">
        <v>45</v>
      </c>
      <c r="CU237" s="52"/>
      <c r="CV237" s="52"/>
      <c r="CW237" s="52" t="s">
        <v>373</v>
      </c>
      <c r="CX237" s="52">
        <v>50</v>
      </c>
      <c r="CY237" s="52"/>
      <c r="CZ237" s="52"/>
      <c r="DA237" s="52"/>
      <c r="DB237" s="52"/>
      <c r="DC237" s="52"/>
      <c r="DD237" s="52"/>
      <c r="DE237" s="52"/>
      <c r="DF237" s="52"/>
      <c r="DG237" s="52"/>
      <c r="DH237" s="52"/>
    </row>
    <row r="238" spans="58:112" ht="16.5" x14ac:dyDescent="0.2">
      <c r="BF238" s="52">
        <v>233</v>
      </c>
      <c r="BG238" s="14">
        <f t="shared" si="49"/>
        <v>0</v>
      </c>
      <c r="BH238" s="14">
        <f t="shared" si="50"/>
        <v>480</v>
      </c>
      <c r="BI238" s="14">
        <f t="shared" si="51"/>
        <v>0</v>
      </c>
      <c r="BJ238" s="14">
        <f t="shared" si="52"/>
        <v>1200</v>
      </c>
      <c r="BK238" s="14">
        <f t="shared" si="47"/>
        <v>480</v>
      </c>
      <c r="BL238" s="14">
        <f t="shared" si="48"/>
        <v>960</v>
      </c>
      <c r="CJ238" s="52">
        <v>234</v>
      </c>
      <c r="CK238" s="52">
        <v>3</v>
      </c>
      <c r="CL238" s="52" t="s">
        <v>257</v>
      </c>
      <c r="CM238" s="52">
        <v>34</v>
      </c>
      <c r="CN238" s="52"/>
      <c r="CO238" s="52"/>
      <c r="CP238" s="52"/>
      <c r="CQ238" s="52" t="s">
        <v>372</v>
      </c>
      <c r="CR238" s="52">
        <v>16200</v>
      </c>
      <c r="CS238" s="52" t="s">
        <v>373</v>
      </c>
      <c r="CT238" s="52">
        <v>45</v>
      </c>
      <c r="CU238" s="52"/>
      <c r="CV238" s="52"/>
      <c r="CW238" s="52" t="s">
        <v>373</v>
      </c>
      <c r="CX238" s="52">
        <v>50</v>
      </c>
      <c r="CY238" s="52"/>
      <c r="CZ238" s="52"/>
      <c r="DA238" s="52"/>
      <c r="DB238" s="52"/>
      <c r="DC238" s="52"/>
      <c r="DD238" s="52"/>
      <c r="DE238" s="52"/>
      <c r="DF238" s="52"/>
      <c r="DG238" s="52"/>
      <c r="DH238" s="52"/>
    </row>
    <row r="239" spans="58:112" ht="16.5" x14ac:dyDescent="0.2">
      <c r="BF239" s="52">
        <v>234</v>
      </c>
      <c r="BG239" s="14">
        <f t="shared" si="49"/>
        <v>0</v>
      </c>
      <c r="BH239" s="14">
        <f t="shared" si="50"/>
        <v>480</v>
      </c>
      <c r="BI239" s="14">
        <f t="shared" si="51"/>
        <v>0</v>
      </c>
      <c r="BJ239" s="14">
        <f t="shared" si="52"/>
        <v>1200</v>
      </c>
      <c r="BK239" s="14">
        <f t="shared" si="47"/>
        <v>480</v>
      </c>
      <c r="BL239" s="14">
        <f t="shared" si="48"/>
        <v>960</v>
      </c>
      <c r="CJ239" s="52">
        <v>235</v>
      </c>
      <c r="CK239" s="52">
        <v>3</v>
      </c>
      <c r="CL239" s="52" t="s">
        <v>257</v>
      </c>
      <c r="CM239" s="52">
        <v>35</v>
      </c>
      <c r="CN239" s="52"/>
      <c r="CO239" s="52"/>
      <c r="CP239" s="52"/>
      <c r="CQ239" s="52" t="s">
        <v>372</v>
      </c>
      <c r="CR239" s="52">
        <v>16200</v>
      </c>
      <c r="CS239" s="52" t="s">
        <v>373</v>
      </c>
      <c r="CT239" s="52">
        <v>45</v>
      </c>
      <c r="CU239" s="52" t="s">
        <v>275</v>
      </c>
      <c r="CV239" s="52">
        <v>2</v>
      </c>
      <c r="CW239" s="52" t="s">
        <v>373</v>
      </c>
      <c r="CX239" s="52">
        <v>55</v>
      </c>
      <c r="CY239" s="52"/>
      <c r="CZ239" s="52"/>
      <c r="DA239" s="52"/>
      <c r="DB239" s="52"/>
      <c r="DC239" s="52"/>
      <c r="DD239" s="52"/>
      <c r="DE239" s="52"/>
      <c r="DF239" s="52"/>
      <c r="DG239" s="52"/>
      <c r="DH239" s="52"/>
    </row>
    <row r="240" spans="58:112" ht="16.5" x14ac:dyDescent="0.2">
      <c r="BF240" s="52">
        <v>235</v>
      </c>
      <c r="BG240" s="14">
        <f t="shared" si="49"/>
        <v>0</v>
      </c>
      <c r="BH240" s="14">
        <f t="shared" si="50"/>
        <v>480</v>
      </c>
      <c r="BI240" s="14">
        <f t="shared" si="51"/>
        <v>0</v>
      </c>
      <c r="BJ240" s="14">
        <f t="shared" si="52"/>
        <v>1200</v>
      </c>
      <c r="BK240" s="14">
        <f t="shared" si="47"/>
        <v>480</v>
      </c>
      <c r="BL240" s="14">
        <f t="shared" si="48"/>
        <v>960</v>
      </c>
      <c r="CJ240" s="52">
        <v>236</v>
      </c>
      <c r="CK240" s="52">
        <v>3</v>
      </c>
      <c r="CL240" s="52" t="s">
        <v>257</v>
      </c>
      <c r="CM240" s="52">
        <v>36</v>
      </c>
      <c r="CN240" s="52"/>
      <c r="CO240" s="52"/>
      <c r="CP240" s="52"/>
      <c r="CQ240" s="52" t="s">
        <v>372</v>
      </c>
      <c r="CR240" s="52">
        <v>16200</v>
      </c>
      <c r="CS240" s="52" t="s">
        <v>373</v>
      </c>
      <c r="CT240" s="52">
        <v>50</v>
      </c>
      <c r="CU240" s="52"/>
      <c r="CV240" s="52"/>
      <c r="CW240" s="52" t="s">
        <v>373</v>
      </c>
      <c r="CX240" s="52">
        <v>55</v>
      </c>
      <c r="CY240" s="52"/>
      <c r="CZ240" s="52"/>
      <c r="DA240" s="52"/>
      <c r="DB240" s="52"/>
      <c r="DC240" s="52"/>
      <c r="DD240" s="52"/>
      <c r="DE240" s="52"/>
      <c r="DF240" s="52"/>
      <c r="DG240" s="52"/>
      <c r="DH240" s="52"/>
    </row>
    <row r="241" spans="58:112" ht="16.5" x14ac:dyDescent="0.2">
      <c r="BF241" s="52">
        <v>236</v>
      </c>
      <c r="BG241" s="14">
        <f t="shared" si="49"/>
        <v>0</v>
      </c>
      <c r="BH241" s="14">
        <f t="shared" si="50"/>
        <v>480</v>
      </c>
      <c r="BI241" s="14">
        <f t="shared" si="51"/>
        <v>0</v>
      </c>
      <c r="BJ241" s="14">
        <f t="shared" si="52"/>
        <v>1200</v>
      </c>
      <c r="BK241" s="14">
        <f t="shared" si="47"/>
        <v>480</v>
      </c>
      <c r="BL241" s="14">
        <f t="shared" si="48"/>
        <v>960</v>
      </c>
      <c r="CJ241" s="52">
        <v>237</v>
      </c>
      <c r="CK241" s="52">
        <v>3</v>
      </c>
      <c r="CL241" s="52" t="s">
        <v>257</v>
      </c>
      <c r="CM241" s="52">
        <v>37</v>
      </c>
      <c r="CN241" s="52"/>
      <c r="CO241" s="52"/>
      <c r="CP241" s="52"/>
      <c r="CQ241" s="52" t="s">
        <v>372</v>
      </c>
      <c r="CR241" s="52">
        <v>16200</v>
      </c>
      <c r="CS241" s="52" t="s">
        <v>373</v>
      </c>
      <c r="CT241" s="52">
        <v>50</v>
      </c>
      <c r="CU241" s="52"/>
      <c r="CV241" s="52"/>
      <c r="CW241" s="52" t="s">
        <v>373</v>
      </c>
      <c r="CX241" s="52">
        <v>55</v>
      </c>
      <c r="CY241" s="52"/>
      <c r="CZ241" s="52"/>
      <c r="DA241" s="52"/>
      <c r="DB241" s="52"/>
      <c r="DC241" s="52"/>
      <c r="DD241" s="52"/>
      <c r="DE241" s="52"/>
      <c r="DF241" s="52"/>
      <c r="DG241" s="52"/>
      <c r="DH241" s="52"/>
    </row>
    <row r="242" spans="58:112" ht="16.5" x14ac:dyDescent="0.2">
      <c r="BF242" s="52">
        <v>237</v>
      </c>
      <c r="BG242" s="14">
        <f t="shared" si="49"/>
        <v>0</v>
      </c>
      <c r="BH242" s="14">
        <f t="shared" si="50"/>
        <v>480</v>
      </c>
      <c r="BI242" s="14">
        <f t="shared" si="51"/>
        <v>0</v>
      </c>
      <c r="BJ242" s="14">
        <f t="shared" si="52"/>
        <v>1200</v>
      </c>
      <c r="BK242" s="14">
        <f t="shared" si="47"/>
        <v>480</v>
      </c>
      <c r="BL242" s="14">
        <f t="shared" si="48"/>
        <v>960</v>
      </c>
      <c r="CJ242" s="52">
        <v>238</v>
      </c>
      <c r="CK242" s="52">
        <v>3</v>
      </c>
      <c r="CL242" s="52" t="s">
        <v>257</v>
      </c>
      <c r="CM242" s="52">
        <v>38</v>
      </c>
      <c r="CN242" s="52"/>
      <c r="CO242" s="52"/>
      <c r="CP242" s="52"/>
      <c r="CQ242" s="52" t="s">
        <v>372</v>
      </c>
      <c r="CR242" s="52">
        <v>16200</v>
      </c>
      <c r="CS242" s="52" t="s">
        <v>373</v>
      </c>
      <c r="CT242" s="52">
        <v>50</v>
      </c>
      <c r="CU242" s="52"/>
      <c r="CV242" s="52"/>
      <c r="CW242" s="52" t="s">
        <v>373</v>
      </c>
      <c r="CX242" s="52">
        <v>55</v>
      </c>
      <c r="CY242" s="52"/>
      <c r="CZ242" s="52"/>
      <c r="DA242" s="52"/>
      <c r="DB242" s="52"/>
      <c r="DC242" s="52"/>
      <c r="DD242" s="52"/>
      <c r="DE242" s="52"/>
      <c r="DF242" s="52"/>
      <c r="DG242" s="52"/>
      <c r="DH242" s="52"/>
    </row>
    <row r="243" spans="58:112" ht="16.5" x14ac:dyDescent="0.2">
      <c r="BF243" s="52">
        <v>238</v>
      </c>
      <c r="BG243" s="14">
        <f t="shared" si="49"/>
        <v>0</v>
      </c>
      <c r="BH243" s="14">
        <f t="shared" si="50"/>
        <v>480</v>
      </c>
      <c r="BI243" s="14">
        <f t="shared" si="51"/>
        <v>0</v>
      </c>
      <c r="BJ243" s="14">
        <f t="shared" si="52"/>
        <v>1200</v>
      </c>
      <c r="BK243" s="14">
        <f t="shared" si="47"/>
        <v>480</v>
      </c>
      <c r="BL243" s="14">
        <f t="shared" si="48"/>
        <v>960</v>
      </c>
      <c r="CJ243" s="52">
        <v>239</v>
      </c>
      <c r="CK243" s="52">
        <v>3</v>
      </c>
      <c r="CL243" s="52" t="s">
        <v>257</v>
      </c>
      <c r="CM243" s="52">
        <v>39</v>
      </c>
      <c r="CN243" s="52"/>
      <c r="CO243" s="52"/>
      <c r="CP243" s="52"/>
      <c r="CQ243" s="52" t="s">
        <v>372</v>
      </c>
      <c r="CR243" s="52">
        <v>16200</v>
      </c>
      <c r="CS243" s="52" t="s">
        <v>373</v>
      </c>
      <c r="CT243" s="52">
        <v>50</v>
      </c>
      <c r="CU243" s="52"/>
      <c r="CV243" s="52"/>
      <c r="CW243" s="52" t="s">
        <v>373</v>
      </c>
      <c r="CX243" s="52">
        <v>55</v>
      </c>
      <c r="CY243" s="52"/>
      <c r="CZ243" s="52"/>
      <c r="DA243" s="52"/>
      <c r="DB243" s="52"/>
      <c r="DC243" s="52"/>
      <c r="DD243" s="52"/>
      <c r="DE243" s="52"/>
      <c r="DF243" s="52"/>
      <c r="DG243" s="52"/>
      <c r="DH243" s="52"/>
    </row>
    <row r="244" spans="58:112" ht="16.5" x14ac:dyDescent="0.2">
      <c r="BF244" s="52">
        <v>239</v>
      </c>
      <c r="BG244" s="14">
        <f t="shared" si="49"/>
        <v>0</v>
      </c>
      <c r="BH244" s="14">
        <f t="shared" si="50"/>
        <v>480</v>
      </c>
      <c r="BI244" s="14">
        <f t="shared" si="51"/>
        <v>0</v>
      </c>
      <c r="BJ244" s="14">
        <f t="shared" si="52"/>
        <v>1200</v>
      </c>
      <c r="BK244" s="14">
        <f t="shared" si="47"/>
        <v>480</v>
      </c>
      <c r="BL244" s="14">
        <f t="shared" si="48"/>
        <v>960</v>
      </c>
      <c r="CJ244" s="52">
        <v>240</v>
      </c>
      <c r="CK244" s="52">
        <v>3</v>
      </c>
      <c r="CL244" s="52" t="s">
        <v>257</v>
      </c>
      <c r="CM244" s="52">
        <v>40</v>
      </c>
      <c r="CN244" s="52"/>
      <c r="CO244" s="52"/>
      <c r="CP244" s="52"/>
      <c r="CQ244" s="52" t="s">
        <v>372</v>
      </c>
      <c r="CR244" s="52">
        <v>16200</v>
      </c>
      <c r="CS244" s="52" t="s">
        <v>373</v>
      </c>
      <c r="CT244" s="52">
        <v>50</v>
      </c>
      <c r="CU244" s="52" t="s">
        <v>276</v>
      </c>
      <c r="CV244" s="52">
        <v>2</v>
      </c>
      <c r="CW244" s="52" t="s">
        <v>373</v>
      </c>
      <c r="CX244" s="52">
        <v>60</v>
      </c>
      <c r="CY244" s="52"/>
      <c r="CZ244" s="52"/>
      <c r="DA244" s="52"/>
      <c r="DB244" s="52"/>
      <c r="DC244" s="52"/>
      <c r="DD244" s="52"/>
      <c r="DE244" s="52"/>
      <c r="DF244" s="52"/>
      <c r="DG244" s="52"/>
      <c r="DH244" s="52"/>
    </row>
    <row r="245" spans="58:112" ht="16.5" x14ac:dyDescent="0.2">
      <c r="BF245" s="52">
        <v>240</v>
      </c>
      <c r="BG245" s="14">
        <f t="shared" si="49"/>
        <v>0</v>
      </c>
      <c r="BH245" s="14">
        <f t="shared" si="50"/>
        <v>480</v>
      </c>
      <c r="BI245" s="14">
        <f t="shared" si="51"/>
        <v>0</v>
      </c>
      <c r="BJ245" s="14">
        <f t="shared" si="52"/>
        <v>1200</v>
      </c>
      <c r="BK245" s="14">
        <f t="shared" si="47"/>
        <v>480</v>
      </c>
      <c r="BL245" s="14">
        <f t="shared" si="48"/>
        <v>960</v>
      </c>
      <c r="CJ245" s="52">
        <v>241</v>
      </c>
      <c r="CK245" s="52">
        <v>3</v>
      </c>
      <c r="CL245" s="52" t="s">
        <v>257</v>
      </c>
      <c r="CM245" s="52">
        <v>41</v>
      </c>
      <c r="CN245" s="52"/>
      <c r="CO245" s="52"/>
      <c r="CP245" s="52"/>
      <c r="CQ245" s="52" t="s">
        <v>372</v>
      </c>
      <c r="CR245" s="52">
        <v>16200</v>
      </c>
      <c r="CS245" s="52" t="s">
        <v>373</v>
      </c>
      <c r="CT245" s="52">
        <v>55</v>
      </c>
      <c r="CU245" s="52"/>
      <c r="CV245" s="52"/>
      <c r="CW245" s="52" t="s">
        <v>373</v>
      </c>
      <c r="CX245" s="52">
        <v>60</v>
      </c>
      <c r="CY245" s="52"/>
      <c r="CZ245" s="52"/>
      <c r="DA245" s="52"/>
      <c r="DB245" s="52"/>
      <c r="DC245" s="52"/>
      <c r="DD245" s="52"/>
      <c r="DE245" s="52"/>
      <c r="DF245" s="52"/>
      <c r="DG245" s="52"/>
      <c r="DH245" s="52"/>
    </row>
    <row r="246" spans="58:112" ht="16.5" x14ac:dyDescent="0.2">
      <c r="BF246" s="52">
        <v>241</v>
      </c>
      <c r="BG246" s="14">
        <f t="shared" si="49"/>
        <v>0</v>
      </c>
      <c r="BH246" s="14">
        <f t="shared" si="50"/>
        <v>480</v>
      </c>
      <c r="BI246" s="14">
        <f t="shared" si="51"/>
        <v>0</v>
      </c>
      <c r="BJ246" s="14">
        <f t="shared" si="52"/>
        <v>1200</v>
      </c>
      <c r="BK246" s="14">
        <f t="shared" si="47"/>
        <v>480</v>
      </c>
      <c r="BL246" s="14">
        <f t="shared" si="48"/>
        <v>960</v>
      </c>
      <c r="CJ246" s="52">
        <v>242</v>
      </c>
      <c r="CK246" s="52">
        <v>3</v>
      </c>
      <c r="CL246" s="52" t="s">
        <v>257</v>
      </c>
      <c r="CM246" s="52">
        <v>42</v>
      </c>
      <c r="CN246" s="52"/>
      <c r="CO246" s="52"/>
      <c r="CP246" s="52"/>
      <c r="CQ246" s="52" t="s">
        <v>372</v>
      </c>
      <c r="CR246" s="52">
        <v>16200</v>
      </c>
      <c r="CS246" s="52" t="s">
        <v>373</v>
      </c>
      <c r="CT246" s="52">
        <v>55</v>
      </c>
      <c r="CU246" s="52"/>
      <c r="CV246" s="52"/>
      <c r="CW246" s="52" t="s">
        <v>373</v>
      </c>
      <c r="CX246" s="52">
        <v>60</v>
      </c>
      <c r="CY246" s="52"/>
      <c r="CZ246" s="52"/>
      <c r="DA246" s="52"/>
      <c r="DB246" s="52"/>
      <c r="DC246" s="52"/>
      <c r="DD246" s="52"/>
      <c r="DE246" s="52"/>
      <c r="DF246" s="52"/>
      <c r="DG246" s="52"/>
      <c r="DH246" s="52"/>
    </row>
    <row r="247" spans="58:112" ht="16.5" x14ac:dyDescent="0.2">
      <c r="BF247" s="52">
        <v>242</v>
      </c>
      <c r="BG247" s="14">
        <f t="shared" si="49"/>
        <v>0</v>
      </c>
      <c r="BH247" s="14">
        <f t="shared" si="50"/>
        <v>480</v>
      </c>
      <c r="BI247" s="14">
        <f t="shared" si="51"/>
        <v>0</v>
      </c>
      <c r="BJ247" s="14">
        <f t="shared" si="52"/>
        <v>1200</v>
      </c>
      <c r="BK247" s="14">
        <f t="shared" si="47"/>
        <v>480</v>
      </c>
      <c r="BL247" s="14">
        <f t="shared" si="48"/>
        <v>960</v>
      </c>
      <c r="CJ247" s="52">
        <v>243</v>
      </c>
      <c r="CK247" s="52">
        <v>3</v>
      </c>
      <c r="CL247" s="52" t="s">
        <v>257</v>
      </c>
      <c r="CM247" s="52">
        <v>43</v>
      </c>
      <c r="CN247" s="52"/>
      <c r="CO247" s="52"/>
      <c r="CP247" s="52"/>
      <c r="CQ247" s="52" t="s">
        <v>372</v>
      </c>
      <c r="CR247" s="52">
        <v>16200</v>
      </c>
      <c r="CS247" s="52" t="s">
        <v>373</v>
      </c>
      <c r="CT247" s="52">
        <v>55</v>
      </c>
      <c r="CU247" s="52"/>
      <c r="CV247" s="52"/>
      <c r="CW247" s="52" t="s">
        <v>373</v>
      </c>
      <c r="CX247" s="52">
        <v>60</v>
      </c>
      <c r="CY247" s="52"/>
      <c r="CZ247" s="52"/>
      <c r="DA247" s="52"/>
      <c r="DB247" s="52"/>
      <c r="DC247" s="52"/>
      <c r="DD247" s="52"/>
      <c r="DE247" s="52"/>
      <c r="DF247" s="52"/>
      <c r="DG247" s="52"/>
      <c r="DH247" s="52"/>
    </row>
    <row r="248" spans="58:112" ht="16.5" x14ac:dyDescent="0.2">
      <c r="BF248" s="52">
        <v>243</v>
      </c>
      <c r="BG248" s="14">
        <f t="shared" si="49"/>
        <v>0</v>
      </c>
      <c r="BH248" s="14">
        <f t="shared" si="50"/>
        <v>480</v>
      </c>
      <c r="BI248" s="14">
        <f t="shared" si="51"/>
        <v>0</v>
      </c>
      <c r="BJ248" s="14">
        <f t="shared" si="52"/>
        <v>1200</v>
      </c>
      <c r="BK248" s="14">
        <f t="shared" si="47"/>
        <v>480</v>
      </c>
      <c r="BL248" s="14">
        <f t="shared" si="48"/>
        <v>960</v>
      </c>
      <c r="CJ248" s="52">
        <v>244</v>
      </c>
      <c r="CK248" s="52">
        <v>3</v>
      </c>
      <c r="CL248" s="52" t="s">
        <v>257</v>
      </c>
      <c r="CM248" s="52">
        <v>44</v>
      </c>
      <c r="CN248" s="52"/>
      <c r="CO248" s="52"/>
      <c r="CP248" s="52"/>
      <c r="CQ248" s="52" t="s">
        <v>372</v>
      </c>
      <c r="CR248" s="52">
        <v>16200</v>
      </c>
      <c r="CS248" s="52" t="s">
        <v>373</v>
      </c>
      <c r="CT248" s="52">
        <v>55</v>
      </c>
      <c r="CU248" s="52"/>
      <c r="CV248" s="52"/>
      <c r="CW248" s="52" t="s">
        <v>373</v>
      </c>
      <c r="CX248" s="52">
        <v>60</v>
      </c>
      <c r="CY248" s="52"/>
      <c r="CZ248" s="52"/>
      <c r="DA248" s="52"/>
      <c r="DB248" s="52"/>
      <c r="DC248" s="52"/>
      <c r="DD248" s="52"/>
      <c r="DE248" s="52"/>
      <c r="DF248" s="52"/>
      <c r="DG248" s="52"/>
      <c r="DH248" s="52"/>
    </row>
    <row r="249" spans="58:112" ht="16.5" x14ac:dyDescent="0.2">
      <c r="BF249" s="52">
        <v>244</v>
      </c>
      <c r="BG249" s="14">
        <f t="shared" si="49"/>
        <v>0</v>
      </c>
      <c r="BH249" s="14">
        <f t="shared" si="50"/>
        <v>480</v>
      </c>
      <c r="BI249" s="14">
        <f t="shared" si="51"/>
        <v>0</v>
      </c>
      <c r="BJ249" s="14">
        <f t="shared" si="52"/>
        <v>1200</v>
      </c>
      <c r="BK249" s="14">
        <f t="shared" si="47"/>
        <v>480</v>
      </c>
      <c r="BL249" s="14">
        <f t="shared" si="48"/>
        <v>960</v>
      </c>
      <c r="CJ249" s="52">
        <v>245</v>
      </c>
      <c r="CK249" s="52">
        <v>3</v>
      </c>
      <c r="CL249" s="52" t="s">
        <v>257</v>
      </c>
      <c r="CM249" s="52">
        <v>45</v>
      </c>
      <c r="CN249" s="52"/>
      <c r="CO249" s="52"/>
      <c r="CP249" s="52"/>
      <c r="CQ249" s="52" t="s">
        <v>372</v>
      </c>
      <c r="CR249" s="52">
        <v>19800</v>
      </c>
      <c r="CS249" s="52" t="s">
        <v>373</v>
      </c>
      <c r="CT249" s="52">
        <v>55</v>
      </c>
      <c r="CU249" s="52" t="s">
        <v>279</v>
      </c>
      <c r="CV249" s="52">
        <v>2</v>
      </c>
      <c r="CW249" s="52" t="s">
        <v>373</v>
      </c>
      <c r="CX249" s="52">
        <v>65</v>
      </c>
      <c r="CY249" s="52"/>
      <c r="CZ249" s="52"/>
      <c r="DA249" s="52"/>
      <c r="DB249" s="52"/>
      <c r="DC249" s="52"/>
      <c r="DD249" s="52"/>
      <c r="DE249" s="52"/>
      <c r="DF249" s="52"/>
      <c r="DG249" s="52"/>
      <c r="DH249" s="52"/>
    </row>
    <row r="250" spans="58:112" ht="16.5" x14ac:dyDescent="0.2">
      <c r="BF250" s="52">
        <v>245</v>
      </c>
      <c r="BG250" s="14">
        <f t="shared" si="49"/>
        <v>0</v>
      </c>
      <c r="BH250" s="14">
        <f t="shared" si="50"/>
        <v>480</v>
      </c>
      <c r="BI250" s="14">
        <f t="shared" si="51"/>
        <v>0</v>
      </c>
      <c r="BJ250" s="14">
        <f t="shared" si="52"/>
        <v>1200</v>
      </c>
      <c r="BK250" s="14">
        <f t="shared" si="47"/>
        <v>480</v>
      </c>
      <c r="BL250" s="14">
        <f t="shared" si="48"/>
        <v>960</v>
      </c>
      <c r="CJ250" s="52">
        <v>246</v>
      </c>
      <c r="CK250" s="52">
        <v>3</v>
      </c>
      <c r="CL250" s="52" t="s">
        <v>257</v>
      </c>
      <c r="CM250" s="52">
        <v>46</v>
      </c>
      <c r="CN250" s="52"/>
      <c r="CO250" s="52"/>
      <c r="CP250" s="52"/>
      <c r="CQ250" s="52" t="s">
        <v>372</v>
      </c>
      <c r="CR250" s="52">
        <v>19800</v>
      </c>
      <c r="CS250" s="52" t="s">
        <v>373</v>
      </c>
      <c r="CT250" s="52">
        <v>60</v>
      </c>
      <c r="CU250" s="52"/>
      <c r="CV250" s="52"/>
      <c r="CW250" s="52" t="s">
        <v>373</v>
      </c>
      <c r="CX250" s="52">
        <v>65</v>
      </c>
      <c r="CY250" s="52"/>
      <c r="CZ250" s="52"/>
      <c r="DA250" s="52"/>
      <c r="DB250" s="52"/>
      <c r="DC250" s="52"/>
      <c r="DD250" s="52"/>
      <c r="DE250" s="52"/>
      <c r="DF250" s="52"/>
      <c r="DG250" s="52"/>
      <c r="DH250" s="52"/>
    </row>
    <row r="251" spans="58:112" ht="16.5" x14ac:dyDescent="0.2">
      <c r="BF251" s="52">
        <v>246</v>
      </c>
      <c r="BG251" s="14">
        <f t="shared" si="49"/>
        <v>0</v>
      </c>
      <c r="BH251" s="14">
        <f t="shared" si="50"/>
        <v>480</v>
      </c>
      <c r="BI251" s="14">
        <f t="shared" si="51"/>
        <v>0</v>
      </c>
      <c r="BJ251" s="14">
        <f t="shared" si="52"/>
        <v>1200</v>
      </c>
      <c r="BK251" s="14">
        <f t="shared" si="47"/>
        <v>480</v>
      </c>
      <c r="BL251" s="14">
        <f t="shared" si="48"/>
        <v>960</v>
      </c>
      <c r="CJ251" s="52">
        <v>247</v>
      </c>
      <c r="CK251" s="52">
        <v>3</v>
      </c>
      <c r="CL251" s="52" t="s">
        <v>257</v>
      </c>
      <c r="CM251" s="52">
        <v>47</v>
      </c>
      <c r="CN251" s="52"/>
      <c r="CO251" s="52"/>
      <c r="CP251" s="52"/>
      <c r="CQ251" s="52" t="s">
        <v>372</v>
      </c>
      <c r="CR251" s="52">
        <v>19800</v>
      </c>
      <c r="CS251" s="52" t="s">
        <v>373</v>
      </c>
      <c r="CT251" s="52">
        <v>60</v>
      </c>
      <c r="CU251" s="52"/>
      <c r="CV251" s="52"/>
      <c r="CW251" s="52" t="s">
        <v>373</v>
      </c>
      <c r="CX251" s="52">
        <v>65</v>
      </c>
      <c r="CY251" s="52"/>
      <c r="CZ251" s="52"/>
      <c r="DA251" s="52"/>
      <c r="DB251" s="52"/>
      <c r="DC251" s="52"/>
      <c r="DD251" s="52"/>
      <c r="DE251" s="52"/>
      <c r="DF251" s="52"/>
      <c r="DG251" s="52"/>
      <c r="DH251" s="52"/>
    </row>
    <row r="252" spans="58:112" ht="16.5" x14ac:dyDescent="0.2">
      <c r="BF252" s="52">
        <v>247</v>
      </c>
      <c r="BG252" s="14">
        <f t="shared" si="49"/>
        <v>0</v>
      </c>
      <c r="BH252" s="14">
        <f t="shared" si="50"/>
        <v>480</v>
      </c>
      <c r="BI252" s="14">
        <f t="shared" si="51"/>
        <v>0</v>
      </c>
      <c r="BJ252" s="14">
        <f t="shared" si="52"/>
        <v>1200</v>
      </c>
      <c r="BK252" s="14">
        <f t="shared" si="47"/>
        <v>480</v>
      </c>
      <c r="BL252" s="14">
        <f t="shared" si="48"/>
        <v>960</v>
      </c>
      <c r="CJ252" s="52">
        <v>248</v>
      </c>
      <c r="CK252" s="52">
        <v>3</v>
      </c>
      <c r="CL252" s="52" t="s">
        <v>257</v>
      </c>
      <c r="CM252" s="52">
        <v>48</v>
      </c>
      <c r="CN252" s="52"/>
      <c r="CO252" s="52"/>
      <c r="CP252" s="52"/>
      <c r="CQ252" s="52" t="s">
        <v>372</v>
      </c>
      <c r="CR252" s="52">
        <v>19800</v>
      </c>
      <c r="CS252" s="52" t="s">
        <v>373</v>
      </c>
      <c r="CT252" s="52">
        <v>60</v>
      </c>
      <c r="CU252" s="52"/>
      <c r="CV252" s="52"/>
      <c r="CW252" s="52" t="s">
        <v>373</v>
      </c>
      <c r="CX252" s="52">
        <v>65</v>
      </c>
      <c r="CY252" s="52"/>
      <c r="CZ252" s="52"/>
      <c r="DA252" s="52"/>
      <c r="DB252" s="52"/>
      <c r="DC252" s="52"/>
      <c r="DD252" s="52"/>
      <c r="DE252" s="52"/>
      <c r="DF252" s="52"/>
      <c r="DG252" s="52"/>
      <c r="DH252" s="52"/>
    </row>
    <row r="253" spans="58:112" ht="16.5" x14ac:dyDescent="0.2">
      <c r="BF253" s="52">
        <v>248</v>
      </c>
      <c r="BG253" s="14">
        <f t="shared" si="49"/>
        <v>0</v>
      </c>
      <c r="BH253" s="14">
        <f t="shared" si="50"/>
        <v>480</v>
      </c>
      <c r="BI253" s="14">
        <f t="shared" si="51"/>
        <v>0</v>
      </c>
      <c r="BJ253" s="14">
        <f t="shared" si="52"/>
        <v>1200</v>
      </c>
      <c r="BK253" s="14">
        <f t="shared" si="47"/>
        <v>480</v>
      </c>
      <c r="BL253" s="14">
        <f t="shared" si="48"/>
        <v>960</v>
      </c>
      <c r="CJ253" s="52">
        <v>249</v>
      </c>
      <c r="CK253" s="52">
        <v>3</v>
      </c>
      <c r="CL253" s="52" t="s">
        <v>257</v>
      </c>
      <c r="CM253" s="52">
        <v>49</v>
      </c>
      <c r="CN253" s="52"/>
      <c r="CO253" s="52"/>
      <c r="CP253" s="52"/>
      <c r="CQ253" s="52" t="s">
        <v>372</v>
      </c>
      <c r="CR253" s="52">
        <v>19800</v>
      </c>
      <c r="CS253" s="52" t="s">
        <v>373</v>
      </c>
      <c r="CT253" s="52">
        <v>60</v>
      </c>
      <c r="CU253" s="52"/>
      <c r="CV253" s="52"/>
      <c r="CW253" s="52" t="s">
        <v>373</v>
      </c>
      <c r="CX253" s="52">
        <v>65</v>
      </c>
      <c r="CY253" s="52"/>
      <c r="CZ253" s="52"/>
      <c r="DA253" s="52"/>
      <c r="DB253" s="52"/>
      <c r="DC253" s="52"/>
      <c r="DD253" s="52"/>
      <c r="DE253" s="52"/>
      <c r="DF253" s="52"/>
      <c r="DG253" s="52"/>
      <c r="DH253" s="52"/>
    </row>
    <row r="254" spans="58:112" ht="16.5" x14ac:dyDescent="0.2">
      <c r="BF254" s="52">
        <v>249</v>
      </c>
      <c r="BG254" s="14">
        <f t="shared" si="49"/>
        <v>0</v>
      </c>
      <c r="BH254" s="14">
        <f t="shared" si="50"/>
        <v>480</v>
      </c>
      <c r="BI254" s="14">
        <f t="shared" si="51"/>
        <v>0</v>
      </c>
      <c r="BJ254" s="14">
        <f t="shared" si="52"/>
        <v>1200</v>
      </c>
      <c r="BK254" s="14">
        <f t="shared" si="47"/>
        <v>480</v>
      </c>
      <c r="BL254" s="14">
        <f t="shared" si="48"/>
        <v>960</v>
      </c>
      <c r="CJ254" s="52">
        <v>250</v>
      </c>
      <c r="CK254" s="52">
        <v>3</v>
      </c>
      <c r="CL254" s="52" t="s">
        <v>257</v>
      </c>
      <c r="CM254" s="52">
        <v>50</v>
      </c>
      <c r="CN254" s="52"/>
      <c r="CO254" s="52"/>
      <c r="CP254" s="52"/>
      <c r="CQ254" s="52" t="s">
        <v>372</v>
      </c>
      <c r="CR254" s="52">
        <v>19800</v>
      </c>
      <c r="CS254" s="52" t="s">
        <v>373</v>
      </c>
      <c r="CT254" s="52">
        <v>60</v>
      </c>
      <c r="CU254" s="52" t="s">
        <v>280</v>
      </c>
      <c r="CV254" s="52">
        <v>2</v>
      </c>
      <c r="CW254" s="52" t="s">
        <v>373</v>
      </c>
      <c r="CX254" s="52">
        <v>70</v>
      </c>
      <c r="CY254" s="52"/>
      <c r="CZ254" s="52"/>
      <c r="DA254" s="52"/>
      <c r="DB254" s="52"/>
      <c r="DC254" s="52"/>
      <c r="DD254" s="52"/>
      <c r="DE254" s="52"/>
      <c r="DF254" s="52"/>
      <c r="DG254" s="52"/>
      <c r="DH254" s="52"/>
    </row>
    <row r="255" spans="58:112" ht="16.5" x14ac:dyDescent="0.2">
      <c r="BF255" s="52">
        <v>250</v>
      </c>
      <c r="BG255" s="14">
        <f t="shared" si="49"/>
        <v>0</v>
      </c>
      <c r="BH255" s="14">
        <f t="shared" si="50"/>
        <v>480</v>
      </c>
      <c r="BI255" s="14">
        <f t="shared" si="51"/>
        <v>0</v>
      </c>
      <c r="BJ255" s="14">
        <f t="shared" si="52"/>
        <v>1200</v>
      </c>
      <c r="BK255" s="14">
        <f t="shared" si="47"/>
        <v>480</v>
      </c>
      <c r="BL255" s="14">
        <f t="shared" si="48"/>
        <v>960</v>
      </c>
      <c r="CJ255" s="52">
        <v>251</v>
      </c>
      <c r="CK255" s="52">
        <v>3</v>
      </c>
      <c r="CL255" s="52" t="s">
        <v>257</v>
      </c>
      <c r="CM255" s="52">
        <v>51</v>
      </c>
      <c r="CN255" s="52"/>
      <c r="CO255" s="52"/>
      <c r="CP255" s="52"/>
      <c r="CQ255" s="52" t="s">
        <v>372</v>
      </c>
      <c r="CR255" s="52">
        <v>19800</v>
      </c>
      <c r="CS255" s="52" t="s">
        <v>373</v>
      </c>
      <c r="CT255" s="52">
        <v>65</v>
      </c>
      <c r="CU255" s="52"/>
      <c r="CV255" s="52"/>
      <c r="CW255" s="52" t="s">
        <v>373</v>
      </c>
      <c r="CX255" s="52">
        <v>70</v>
      </c>
      <c r="CY255" s="52"/>
      <c r="CZ255" s="52"/>
      <c r="DA255" s="52"/>
      <c r="DB255" s="52"/>
      <c r="DC255" s="52"/>
      <c r="DD255" s="52"/>
      <c r="DE255" s="52"/>
      <c r="DF255" s="52"/>
      <c r="DG255" s="52"/>
      <c r="DH255" s="52"/>
    </row>
    <row r="256" spans="58:112" ht="16.5" x14ac:dyDescent="0.2">
      <c r="BF256" s="52">
        <v>251</v>
      </c>
      <c r="BG256" s="14">
        <f t="shared" si="49"/>
        <v>0</v>
      </c>
      <c r="BH256" s="14">
        <f t="shared" si="50"/>
        <v>480</v>
      </c>
      <c r="BI256" s="14">
        <f t="shared" si="51"/>
        <v>0</v>
      </c>
      <c r="BJ256" s="14">
        <f t="shared" si="52"/>
        <v>1200</v>
      </c>
      <c r="BK256" s="14">
        <f t="shared" si="47"/>
        <v>480</v>
      </c>
      <c r="BL256" s="14">
        <f t="shared" si="48"/>
        <v>960</v>
      </c>
      <c r="CJ256" s="52">
        <v>252</v>
      </c>
      <c r="CK256" s="52">
        <v>3</v>
      </c>
      <c r="CL256" s="52" t="s">
        <v>257</v>
      </c>
      <c r="CM256" s="52">
        <v>52</v>
      </c>
      <c r="CN256" s="52"/>
      <c r="CO256" s="52"/>
      <c r="CP256" s="52"/>
      <c r="CQ256" s="52" t="s">
        <v>372</v>
      </c>
      <c r="CR256" s="52">
        <v>19800</v>
      </c>
      <c r="CS256" s="52" t="s">
        <v>373</v>
      </c>
      <c r="CT256" s="52">
        <v>65</v>
      </c>
      <c r="CU256" s="52"/>
      <c r="CV256" s="52"/>
      <c r="CW256" s="52" t="s">
        <v>373</v>
      </c>
      <c r="CX256" s="52">
        <v>70</v>
      </c>
      <c r="CY256" s="52"/>
      <c r="CZ256" s="52"/>
      <c r="DA256" s="52"/>
      <c r="DB256" s="52"/>
      <c r="DC256" s="52"/>
      <c r="DD256" s="52"/>
      <c r="DE256" s="52"/>
      <c r="DF256" s="52"/>
      <c r="DG256" s="52"/>
      <c r="DH256" s="52"/>
    </row>
    <row r="257" spans="58:112" ht="16.5" x14ac:dyDescent="0.2">
      <c r="BF257" s="52">
        <v>252</v>
      </c>
      <c r="BG257" s="14">
        <f t="shared" si="49"/>
        <v>0</v>
      </c>
      <c r="BH257" s="14">
        <f t="shared" si="50"/>
        <v>480</v>
      </c>
      <c r="BI257" s="14">
        <f t="shared" si="51"/>
        <v>0</v>
      </c>
      <c r="BJ257" s="14">
        <f t="shared" si="52"/>
        <v>1200</v>
      </c>
      <c r="BK257" s="14">
        <f t="shared" si="47"/>
        <v>480</v>
      </c>
      <c r="BL257" s="14">
        <f t="shared" si="48"/>
        <v>960</v>
      </c>
      <c r="CJ257" s="52">
        <v>253</v>
      </c>
      <c r="CK257" s="52">
        <v>3</v>
      </c>
      <c r="CL257" s="52" t="s">
        <v>257</v>
      </c>
      <c r="CM257" s="52">
        <v>53</v>
      </c>
      <c r="CN257" s="52"/>
      <c r="CO257" s="52"/>
      <c r="CP257" s="52"/>
      <c r="CQ257" s="52" t="s">
        <v>372</v>
      </c>
      <c r="CR257" s="52">
        <v>19800</v>
      </c>
      <c r="CS257" s="52" t="s">
        <v>373</v>
      </c>
      <c r="CT257" s="52">
        <v>65</v>
      </c>
      <c r="CU257" s="52"/>
      <c r="CV257" s="52"/>
      <c r="CW257" s="52" t="s">
        <v>373</v>
      </c>
      <c r="CX257" s="52">
        <v>70</v>
      </c>
      <c r="CY257" s="52"/>
      <c r="CZ257" s="52"/>
      <c r="DA257" s="52"/>
      <c r="DB257" s="52"/>
      <c r="DC257" s="52"/>
      <c r="DD257" s="52"/>
      <c r="DE257" s="52"/>
      <c r="DF257" s="52"/>
      <c r="DG257" s="52"/>
      <c r="DH257" s="52"/>
    </row>
    <row r="258" spans="58:112" ht="16.5" x14ac:dyDescent="0.2">
      <c r="BF258" s="52">
        <v>253</v>
      </c>
      <c r="BG258" s="14">
        <f t="shared" si="49"/>
        <v>0</v>
      </c>
      <c r="BH258" s="14">
        <f t="shared" si="50"/>
        <v>480</v>
      </c>
      <c r="BI258" s="14">
        <f t="shared" si="51"/>
        <v>0</v>
      </c>
      <c r="BJ258" s="14">
        <f t="shared" si="52"/>
        <v>1200</v>
      </c>
      <c r="BK258" s="14">
        <f t="shared" si="47"/>
        <v>480</v>
      </c>
      <c r="BL258" s="14">
        <f t="shared" si="48"/>
        <v>960</v>
      </c>
      <c r="CJ258" s="52">
        <v>254</v>
      </c>
      <c r="CK258" s="52">
        <v>3</v>
      </c>
      <c r="CL258" s="52" t="s">
        <v>257</v>
      </c>
      <c r="CM258" s="52">
        <v>54</v>
      </c>
      <c r="CN258" s="52"/>
      <c r="CO258" s="52"/>
      <c r="CP258" s="52"/>
      <c r="CQ258" s="52" t="s">
        <v>372</v>
      </c>
      <c r="CR258" s="52">
        <v>19800</v>
      </c>
      <c r="CS258" s="52" t="s">
        <v>373</v>
      </c>
      <c r="CT258" s="52">
        <v>65</v>
      </c>
      <c r="CU258" s="52"/>
      <c r="CV258" s="52"/>
      <c r="CW258" s="52" t="s">
        <v>373</v>
      </c>
      <c r="CX258" s="52">
        <v>70</v>
      </c>
      <c r="CY258" s="52"/>
      <c r="CZ258" s="52"/>
      <c r="DA258" s="52"/>
      <c r="DB258" s="52"/>
      <c r="DC258" s="52"/>
      <c r="DD258" s="52"/>
      <c r="DE258" s="52"/>
      <c r="DF258" s="52"/>
      <c r="DG258" s="52"/>
      <c r="DH258" s="52"/>
    </row>
    <row r="259" spans="58:112" ht="16.5" x14ac:dyDescent="0.2">
      <c r="BF259" s="52">
        <v>254</v>
      </c>
      <c r="BG259" s="14">
        <f t="shared" si="49"/>
        <v>0</v>
      </c>
      <c r="BH259" s="14">
        <f t="shared" si="50"/>
        <v>480</v>
      </c>
      <c r="BI259" s="14">
        <f t="shared" si="51"/>
        <v>0</v>
      </c>
      <c r="BJ259" s="14">
        <f t="shared" si="52"/>
        <v>1200</v>
      </c>
      <c r="BK259" s="14">
        <f t="shared" si="47"/>
        <v>480</v>
      </c>
      <c r="BL259" s="14">
        <f t="shared" si="48"/>
        <v>960</v>
      </c>
      <c r="CJ259" s="52">
        <v>255</v>
      </c>
      <c r="CK259" s="52">
        <v>3</v>
      </c>
      <c r="CL259" s="52" t="s">
        <v>257</v>
      </c>
      <c r="CM259" s="52">
        <v>55</v>
      </c>
      <c r="CN259" s="52"/>
      <c r="CO259" s="52"/>
      <c r="CP259" s="52"/>
      <c r="CQ259" s="52" t="s">
        <v>372</v>
      </c>
      <c r="CR259" s="52">
        <v>19800</v>
      </c>
      <c r="CS259" s="52" t="s">
        <v>373</v>
      </c>
      <c r="CT259" s="52">
        <v>65</v>
      </c>
      <c r="CU259" s="52" t="s">
        <v>275</v>
      </c>
      <c r="CV259" s="52">
        <v>2</v>
      </c>
      <c r="CW259" s="52" t="s">
        <v>373</v>
      </c>
      <c r="CX259" s="52">
        <v>75</v>
      </c>
      <c r="CY259" s="52"/>
      <c r="CZ259" s="52"/>
      <c r="DA259" s="52"/>
      <c r="DB259" s="52"/>
      <c r="DC259" s="52"/>
      <c r="DD259" s="52"/>
      <c r="DE259" s="52"/>
      <c r="DF259" s="52"/>
      <c r="DG259" s="52"/>
      <c r="DH259" s="52"/>
    </row>
    <row r="260" spans="58:112" ht="16.5" x14ac:dyDescent="0.2">
      <c r="BF260" s="52">
        <v>255</v>
      </c>
      <c r="BG260" s="14">
        <f t="shared" si="49"/>
        <v>0</v>
      </c>
      <c r="BH260" s="14">
        <f t="shared" si="50"/>
        <v>480</v>
      </c>
      <c r="BI260" s="14">
        <f t="shared" si="51"/>
        <v>0</v>
      </c>
      <c r="BJ260" s="14">
        <f t="shared" si="52"/>
        <v>1200</v>
      </c>
      <c r="BK260" s="14">
        <f t="shared" si="47"/>
        <v>480</v>
      </c>
      <c r="BL260" s="14">
        <f t="shared" si="48"/>
        <v>960</v>
      </c>
      <c r="CJ260" s="52">
        <v>256</v>
      </c>
      <c r="CK260" s="52">
        <v>3</v>
      </c>
      <c r="CL260" s="52" t="s">
        <v>257</v>
      </c>
      <c r="CM260" s="52">
        <v>56</v>
      </c>
      <c r="CN260" s="52"/>
      <c r="CO260" s="52"/>
      <c r="CP260" s="52"/>
      <c r="CQ260" s="52" t="s">
        <v>372</v>
      </c>
      <c r="CR260" s="52">
        <v>19800</v>
      </c>
      <c r="CS260" s="52" t="s">
        <v>373</v>
      </c>
      <c r="CT260" s="52">
        <v>70</v>
      </c>
      <c r="CU260" s="52"/>
      <c r="CV260" s="52"/>
      <c r="CW260" s="52" t="s">
        <v>373</v>
      </c>
      <c r="CX260" s="52">
        <v>75</v>
      </c>
      <c r="CY260" s="52"/>
      <c r="CZ260" s="52"/>
      <c r="DA260" s="52"/>
      <c r="DB260" s="52"/>
      <c r="DC260" s="52"/>
      <c r="DD260" s="52"/>
      <c r="DE260" s="52"/>
      <c r="DF260" s="52"/>
      <c r="DG260" s="52"/>
      <c r="DH260" s="52"/>
    </row>
    <row r="261" spans="58:112" ht="16.5" x14ac:dyDescent="0.2">
      <c r="BF261" s="52">
        <v>256</v>
      </c>
      <c r="BG261" s="14">
        <f t="shared" si="49"/>
        <v>0</v>
      </c>
      <c r="BH261" s="14">
        <f t="shared" si="50"/>
        <v>480</v>
      </c>
      <c r="BI261" s="14">
        <f t="shared" si="51"/>
        <v>0</v>
      </c>
      <c r="BJ261" s="14">
        <f t="shared" si="52"/>
        <v>1200</v>
      </c>
      <c r="BK261" s="14">
        <f t="shared" si="47"/>
        <v>480</v>
      </c>
      <c r="BL261" s="14">
        <f t="shared" si="48"/>
        <v>960</v>
      </c>
      <c r="CJ261" s="52">
        <v>257</v>
      </c>
      <c r="CK261" s="52">
        <v>3</v>
      </c>
      <c r="CL261" s="52" t="s">
        <v>257</v>
      </c>
      <c r="CM261" s="52">
        <v>57</v>
      </c>
      <c r="CN261" s="52"/>
      <c r="CO261" s="52"/>
      <c r="CP261" s="52"/>
      <c r="CQ261" s="52" t="s">
        <v>372</v>
      </c>
      <c r="CR261" s="52">
        <v>19800</v>
      </c>
      <c r="CS261" s="52" t="s">
        <v>373</v>
      </c>
      <c r="CT261" s="52">
        <v>70</v>
      </c>
      <c r="CU261" s="52"/>
      <c r="CV261" s="52"/>
      <c r="CW261" s="52" t="s">
        <v>373</v>
      </c>
      <c r="CX261" s="52">
        <v>75</v>
      </c>
      <c r="CY261" s="52"/>
      <c r="CZ261" s="52"/>
      <c r="DA261" s="52"/>
      <c r="DB261" s="52"/>
      <c r="DC261" s="52"/>
      <c r="DD261" s="52"/>
      <c r="DE261" s="52"/>
      <c r="DF261" s="52"/>
      <c r="DG261" s="52"/>
      <c r="DH261" s="52"/>
    </row>
    <row r="262" spans="58:112" ht="16.5" x14ac:dyDescent="0.2">
      <c r="BF262" s="52">
        <v>257</v>
      </c>
      <c r="BG262" s="14">
        <f t="shared" si="49"/>
        <v>0</v>
      </c>
      <c r="BH262" s="14">
        <f t="shared" si="50"/>
        <v>480</v>
      </c>
      <c r="BI262" s="14">
        <f t="shared" si="51"/>
        <v>0</v>
      </c>
      <c r="BJ262" s="14">
        <f t="shared" si="52"/>
        <v>1200</v>
      </c>
      <c r="BK262" s="14">
        <f t="shared" si="47"/>
        <v>480</v>
      </c>
      <c r="BL262" s="14">
        <f t="shared" si="48"/>
        <v>960</v>
      </c>
      <c r="CJ262" s="52">
        <v>258</v>
      </c>
      <c r="CK262" s="52">
        <v>3</v>
      </c>
      <c r="CL262" s="52" t="s">
        <v>257</v>
      </c>
      <c r="CM262" s="52">
        <v>58</v>
      </c>
      <c r="CN262" s="52"/>
      <c r="CO262" s="52"/>
      <c r="CP262" s="52"/>
      <c r="CQ262" s="52" t="s">
        <v>372</v>
      </c>
      <c r="CR262" s="52">
        <v>19800</v>
      </c>
      <c r="CS262" s="52" t="s">
        <v>373</v>
      </c>
      <c r="CT262" s="52">
        <v>70</v>
      </c>
      <c r="CU262" s="52"/>
      <c r="CV262" s="52"/>
      <c r="CW262" s="52" t="s">
        <v>373</v>
      </c>
      <c r="CX262" s="52">
        <v>75</v>
      </c>
      <c r="CY262" s="52"/>
      <c r="CZ262" s="52"/>
      <c r="DA262" s="52"/>
      <c r="DB262" s="52"/>
      <c r="DC262" s="52"/>
      <c r="DD262" s="52"/>
      <c r="DE262" s="52"/>
      <c r="DF262" s="52"/>
      <c r="DG262" s="52"/>
      <c r="DH262" s="52"/>
    </row>
    <row r="263" spans="58:112" ht="16.5" x14ac:dyDescent="0.2">
      <c r="BF263" s="52">
        <v>258</v>
      </c>
      <c r="BG263" s="14">
        <f t="shared" si="49"/>
        <v>0</v>
      </c>
      <c r="BH263" s="14">
        <f t="shared" si="50"/>
        <v>480</v>
      </c>
      <c r="BI263" s="14">
        <f t="shared" si="51"/>
        <v>0</v>
      </c>
      <c r="BJ263" s="14">
        <f t="shared" si="52"/>
        <v>1200</v>
      </c>
      <c r="BK263" s="14">
        <f t="shared" ref="BK263:BK326" si="53">BG263+BH262</f>
        <v>480</v>
      </c>
      <c r="BL263" s="14">
        <f t="shared" ref="BL263:BL326" si="54">BK263*BL$3</f>
        <v>960</v>
      </c>
      <c r="CJ263" s="52">
        <v>259</v>
      </c>
      <c r="CK263" s="52">
        <v>3</v>
      </c>
      <c r="CL263" s="52" t="s">
        <v>257</v>
      </c>
      <c r="CM263" s="52">
        <v>59</v>
      </c>
      <c r="CN263" s="52"/>
      <c r="CO263" s="52"/>
      <c r="CP263" s="52"/>
      <c r="CQ263" s="52" t="s">
        <v>372</v>
      </c>
      <c r="CR263" s="52">
        <v>19800</v>
      </c>
      <c r="CS263" s="52" t="s">
        <v>373</v>
      </c>
      <c r="CT263" s="52">
        <v>70</v>
      </c>
      <c r="CU263" s="52"/>
      <c r="CV263" s="52"/>
      <c r="CW263" s="52" t="s">
        <v>373</v>
      </c>
      <c r="CX263" s="52">
        <v>75</v>
      </c>
      <c r="CY263" s="52"/>
      <c r="CZ263" s="52"/>
      <c r="DA263" s="52"/>
      <c r="DB263" s="52"/>
      <c r="DC263" s="52"/>
      <c r="DD263" s="52"/>
      <c r="DE263" s="52"/>
      <c r="DF263" s="52"/>
      <c r="DG263" s="52"/>
      <c r="DH263" s="52"/>
    </row>
    <row r="264" spans="58:112" ht="16.5" x14ac:dyDescent="0.2">
      <c r="BF264" s="52">
        <v>259</v>
      </c>
      <c r="BG264" s="14">
        <f t="shared" si="49"/>
        <v>0</v>
      </c>
      <c r="BH264" s="14">
        <f t="shared" si="50"/>
        <v>480</v>
      </c>
      <c r="BI264" s="14">
        <f t="shared" si="51"/>
        <v>0</v>
      </c>
      <c r="BJ264" s="14">
        <f t="shared" si="52"/>
        <v>1200</v>
      </c>
      <c r="BK264" s="14">
        <f t="shared" si="53"/>
        <v>480</v>
      </c>
      <c r="BL264" s="14">
        <f t="shared" si="54"/>
        <v>960</v>
      </c>
      <c r="CJ264" s="52">
        <v>260</v>
      </c>
      <c r="CK264" s="52">
        <v>3</v>
      </c>
      <c r="CL264" s="52" t="s">
        <v>257</v>
      </c>
      <c r="CM264" s="52">
        <v>60</v>
      </c>
      <c r="CN264" s="52"/>
      <c r="CO264" s="52"/>
      <c r="CP264" s="52"/>
      <c r="CQ264" s="52" t="s">
        <v>372</v>
      </c>
      <c r="CR264" s="52">
        <v>23400</v>
      </c>
      <c r="CS264" s="52" t="s">
        <v>373</v>
      </c>
      <c r="CT264" s="52">
        <v>70</v>
      </c>
      <c r="CU264" s="52" t="s">
        <v>276</v>
      </c>
      <c r="CV264" s="52">
        <v>2</v>
      </c>
      <c r="CW264" s="52" t="s">
        <v>373</v>
      </c>
      <c r="CX264" s="52">
        <v>80</v>
      </c>
      <c r="CY264" s="52"/>
      <c r="CZ264" s="52"/>
      <c r="DA264" s="52"/>
      <c r="DB264" s="52"/>
      <c r="DC264" s="52"/>
      <c r="DD264" s="52"/>
      <c r="DE264" s="52"/>
      <c r="DF264" s="52"/>
      <c r="DG264" s="52"/>
      <c r="DH264" s="52"/>
    </row>
    <row r="265" spans="58:112" ht="16.5" x14ac:dyDescent="0.2">
      <c r="BF265" s="52">
        <v>260</v>
      </c>
      <c r="BG265" s="14">
        <f t="shared" si="49"/>
        <v>0</v>
      </c>
      <c r="BH265" s="14">
        <f t="shared" si="50"/>
        <v>480</v>
      </c>
      <c r="BI265" s="14">
        <f t="shared" si="51"/>
        <v>0</v>
      </c>
      <c r="BJ265" s="14">
        <f t="shared" si="52"/>
        <v>1200</v>
      </c>
      <c r="BK265" s="14">
        <f t="shared" si="53"/>
        <v>480</v>
      </c>
      <c r="BL265" s="14">
        <f t="shared" si="54"/>
        <v>960</v>
      </c>
      <c r="CJ265" s="52">
        <v>261</v>
      </c>
      <c r="CK265" s="52">
        <v>3</v>
      </c>
      <c r="CL265" s="52" t="s">
        <v>257</v>
      </c>
      <c r="CM265" s="52">
        <v>61</v>
      </c>
      <c r="CN265" s="52"/>
      <c r="CO265" s="52"/>
      <c r="CP265" s="52"/>
      <c r="CQ265" s="52" t="s">
        <v>372</v>
      </c>
      <c r="CR265" s="52">
        <v>23400</v>
      </c>
      <c r="CS265" s="52" t="s">
        <v>373</v>
      </c>
      <c r="CT265" s="52">
        <v>75</v>
      </c>
      <c r="CU265" s="52"/>
      <c r="CV265" s="52"/>
      <c r="CW265" s="52" t="s">
        <v>373</v>
      </c>
      <c r="CX265" s="52">
        <v>80</v>
      </c>
      <c r="CY265" s="52"/>
      <c r="CZ265" s="52"/>
      <c r="DA265" s="52"/>
      <c r="DB265" s="52"/>
      <c r="DC265" s="52"/>
      <c r="DD265" s="52"/>
      <c r="DE265" s="52"/>
      <c r="DF265" s="52"/>
      <c r="DG265" s="52"/>
      <c r="DH265" s="52"/>
    </row>
    <row r="266" spans="58:112" ht="16.5" x14ac:dyDescent="0.2">
      <c r="BF266" s="52">
        <v>261</v>
      </c>
      <c r="BG266" s="14">
        <f t="shared" si="49"/>
        <v>0</v>
      </c>
      <c r="BH266" s="14">
        <f t="shared" si="50"/>
        <v>480</v>
      </c>
      <c r="BI266" s="14">
        <f t="shared" si="51"/>
        <v>0</v>
      </c>
      <c r="BJ266" s="14">
        <f t="shared" si="52"/>
        <v>1200</v>
      </c>
      <c r="BK266" s="14">
        <f t="shared" si="53"/>
        <v>480</v>
      </c>
      <c r="BL266" s="14">
        <f t="shared" si="54"/>
        <v>960</v>
      </c>
      <c r="CJ266" s="52">
        <v>262</v>
      </c>
      <c r="CK266" s="52">
        <v>3</v>
      </c>
      <c r="CL266" s="52" t="s">
        <v>257</v>
      </c>
      <c r="CM266" s="52">
        <v>62</v>
      </c>
      <c r="CN266" s="52"/>
      <c r="CO266" s="52"/>
      <c r="CP266" s="52"/>
      <c r="CQ266" s="52" t="s">
        <v>372</v>
      </c>
      <c r="CR266" s="52">
        <v>23400</v>
      </c>
      <c r="CS266" s="52" t="s">
        <v>373</v>
      </c>
      <c r="CT266" s="52">
        <v>75</v>
      </c>
      <c r="CU266" s="52"/>
      <c r="CV266" s="52"/>
      <c r="CW266" s="52" t="s">
        <v>373</v>
      </c>
      <c r="CX266" s="52">
        <v>80</v>
      </c>
      <c r="CY266" s="52"/>
      <c r="CZ266" s="52"/>
      <c r="DA266" s="52"/>
      <c r="DB266" s="52"/>
      <c r="DC266" s="52"/>
      <c r="DD266" s="52"/>
      <c r="DE266" s="52"/>
      <c r="DF266" s="52"/>
      <c r="DG266" s="52"/>
      <c r="DH266" s="52"/>
    </row>
    <row r="267" spans="58:112" ht="16.5" x14ac:dyDescent="0.2">
      <c r="BF267" s="52">
        <v>262</v>
      </c>
      <c r="BG267" s="14">
        <f t="shared" si="49"/>
        <v>0</v>
      </c>
      <c r="BH267" s="14">
        <f t="shared" si="50"/>
        <v>480</v>
      </c>
      <c r="BI267" s="14">
        <f t="shared" si="51"/>
        <v>0</v>
      </c>
      <c r="BJ267" s="14">
        <f t="shared" si="52"/>
        <v>1200</v>
      </c>
      <c r="BK267" s="14">
        <f t="shared" si="53"/>
        <v>480</v>
      </c>
      <c r="BL267" s="14">
        <f t="shared" si="54"/>
        <v>960</v>
      </c>
      <c r="CJ267" s="52">
        <v>263</v>
      </c>
      <c r="CK267" s="52">
        <v>3</v>
      </c>
      <c r="CL267" s="52" t="s">
        <v>257</v>
      </c>
      <c r="CM267" s="52">
        <v>63</v>
      </c>
      <c r="CN267" s="52"/>
      <c r="CO267" s="52"/>
      <c r="CP267" s="52"/>
      <c r="CQ267" s="52" t="s">
        <v>372</v>
      </c>
      <c r="CR267" s="52">
        <v>23400</v>
      </c>
      <c r="CS267" s="52" t="s">
        <v>373</v>
      </c>
      <c r="CT267" s="52">
        <v>75</v>
      </c>
      <c r="CU267" s="52"/>
      <c r="CV267" s="52"/>
      <c r="CW267" s="52" t="s">
        <v>373</v>
      </c>
      <c r="CX267" s="52">
        <v>80</v>
      </c>
      <c r="CY267" s="52"/>
      <c r="CZ267" s="52"/>
      <c r="DA267" s="52"/>
      <c r="DB267" s="52"/>
      <c r="DC267" s="52"/>
      <c r="DD267" s="52"/>
      <c r="DE267" s="52"/>
      <c r="DF267" s="52"/>
      <c r="DG267" s="52"/>
      <c r="DH267" s="52"/>
    </row>
    <row r="268" spans="58:112" ht="16.5" x14ac:dyDescent="0.2">
      <c r="BF268" s="52">
        <v>263</v>
      </c>
      <c r="BG268" s="14">
        <f t="shared" si="49"/>
        <v>0</v>
      </c>
      <c r="BH268" s="14">
        <f t="shared" si="50"/>
        <v>480</v>
      </c>
      <c r="BI268" s="14">
        <f t="shared" si="51"/>
        <v>0</v>
      </c>
      <c r="BJ268" s="14">
        <f t="shared" si="52"/>
        <v>1200</v>
      </c>
      <c r="BK268" s="14">
        <f t="shared" si="53"/>
        <v>480</v>
      </c>
      <c r="BL268" s="14">
        <f t="shared" si="54"/>
        <v>960</v>
      </c>
      <c r="CJ268" s="52">
        <v>264</v>
      </c>
      <c r="CK268" s="52">
        <v>3</v>
      </c>
      <c r="CL268" s="52" t="s">
        <v>257</v>
      </c>
      <c r="CM268" s="52">
        <v>64</v>
      </c>
      <c r="CN268" s="52"/>
      <c r="CO268" s="52"/>
      <c r="CP268" s="52"/>
      <c r="CQ268" s="52" t="s">
        <v>372</v>
      </c>
      <c r="CR268" s="52">
        <v>23400</v>
      </c>
      <c r="CS268" s="52" t="s">
        <v>373</v>
      </c>
      <c r="CT268" s="52">
        <v>75</v>
      </c>
      <c r="CU268" s="52"/>
      <c r="CV268" s="52"/>
      <c r="CW268" s="52" t="s">
        <v>373</v>
      </c>
      <c r="CX268" s="52">
        <v>80</v>
      </c>
      <c r="CY268" s="52"/>
      <c r="CZ268" s="52"/>
      <c r="DA268" s="52"/>
      <c r="DB268" s="52"/>
      <c r="DC268" s="52"/>
      <c r="DD268" s="52"/>
      <c r="DE268" s="52"/>
      <c r="DF268" s="52"/>
      <c r="DG268" s="52"/>
      <c r="DH268" s="52"/>
    </row>
    <row r="269" spans="58:112" ht="16.5" x14ac:dyDescent="0.2">
      <c r="BF269" s="52">
        <v>264</v>
      </c>
      <c r="BG269" s="14">
        <f t="shared" si="49"/>
        <v>0</v>
      </c>
      <c r="BH269" s="14">
        <f t="shared" si="50"/>
        <v>480</v>
      </c>
      <c r="BI269" s="14">
        <f t="shared" si="51"/>
        <v>0</v>
      </c>
      <c r="BJ269" s="14">
        <f t="shared" si="52"/>
        <v>1200</v>
      </c>
      <c r="BK269" s="14">
        <f t="shared" si="53"/>
        <v>480</v>
      </c>
      <c r="BL269" s="14">
        <f t="shared" si="54"/>
        <v>960</v>
      </c>
      <c r="CJ269" s="52">
        <v>265</v>
      </c>
      <c r="CK269" s="52">
        <v>3</v>
      </c>
      <c r="CL269" s="52" t="s">
        <v>257</v>
      </c>
      <c r="CM269" s="52">
        <v>65</v>
      </c>
      <c r="CN269" s="52"/>
      <c r="CO269" s="52"/>
      <c r="CP269" s="52"/>
      <c r="CQ269" s="52" t="s">
        <v>372</v>
      </c>
      <c r="CR269" s="52">
        <v>23400</v>
      </c>
      <c r="CS269" s="52" t="s">
        <v>373</v>
      </c>
      <c r="CT269" s="52">
        <v>75</v>
      </c>
      <c r="CU269" s="52" t="s">
        <v>279</v>
      </c>
      <c r="CV269" s="52">
        <v>2</v>
      </c>
      <c r="CW269" s="52" t="s">
        <v>373</v>
      </c>
      <c r="CX269" s="52">
        <v>85</v>
      </c>
      <c r="CY269" s="52"/>
      <c r="CZ269" s="52"/>
      <c r="DA269" s="52"/>
      <c r="DB269" s="52"/>
      <c r="DC269" s="52"/>
      <c r="DD269" s="52"/>
      <c r="DE269" s="52"/>
      <c r="DF269" s="52"/>
      <c r="DG269" s="52"/>
      <c r="DH269" s="52"/>
    </row>
    <row r="270" spans="58:112" ht="16.5" x14ac:dyDescent="0.2">
      <c r="BF270" s="52">
        <v>265</v>
      </c>
      <c r="BG270" s="14">
        <f t="shared" si="49"/>
        <v>0</v>
      </c>
      <c r="BH270" s="14">
        <f t="shared" si="50"/>
        <v>480</v>
      </c>
      <c r="BI270" s="14">
        <f t="shared" si="51"/>
        <v>0</v>
      </c>
      <c r="BJ270" s="14">
        <f t="shared" si="52"/>
        <v>1200</v>
      </c>
      <c r="BK270" s="14">
        <f t="shared" si="53"/>
        <v>480</v>
      </c>
      <c r="BL270" s="14">
        <f t="shared" si="54"/>
        <v>960</v>
      </c>
      <c r="CJ270" s="52">
        <v>266</v>
      </c>
      <c r="CK270" s="52">
        <v>3</v>
      </c>
      <c r="CL270" s="52" t="s">
        <v>257</v>
      </c>
      <c r="CM270" s="52">
        <v>66</v>
      </c>
      <c r="CN270" s="52"/>
      <c r="CO270" s="52"/>
      <c r="CP270" s="52"/>
      <c r="CQ270" s="52" t="s">
        <v>372</v>
      </c>
      <c r="CR270" s="52">
        <v>23400</v>
      </c>
      <c r="CS270" s="52" t="s">
        <v>373</v>
      </c>
      <c r="CT270" s="52">
        <v>80</v>
      </c>
      <c r="CU270" s="52"/>
      <c r="CV270" s="52"/>
      <c r="CW270" s="52" t="s">
        <v>373</v>
      </c>
      <c r="CX270" s="52">
        <v>85</v>
      </c>
      <c r="CY270" s="52"/>
      <c r="CZ270" s="52"/>
      <c r="DA270" s="52"/>
      <c r="DB270" s="52"/>
      <c r="DC270" s="52"/>
      <c r="DD270" s="52"/>
      <c r="DE270" s="52"/>
      <c r="DF270" s="52"/>
      <c r="DG270" s="52"/>
      <c r="DH270" s="52"/>
    </row>
    <row r="271" spans="58:112" ht="16.5" x14ac:dyDescent="0.2">
      <c r="BF271" s="52">
        <v>266</v>
      </c>
      <c r="BG271" s="14">
        <f t="shared" si="49"/>
        <v>0</v>
      </c>
      <c r="BH271" s="14">
        <f t="shared" si="50"/>
        <v>480</v>
      </c>
      <c r="BI271" s="14">
        <f t="shared" si="51"/>
        <v>0</v>
      </c>
      <c r="BJ271" s="14">
        <f t="shared" si="52"/>
        <v>1200</v>
      </c>
      <c r="BK271" s="14">
        <f t="shared" si="53"/>
        <v>480</v>
      </c>
      <c r="BL271" s="14">
        <f t="shared" si="54"/>
        <v>960</v>
      </c>
      <c r="CJ271" s="52">
        <v>267</v>
      </c>
      <c r="CK271" s="52">
        <v>3</v>
      </c>
      <c r="CL271" s="52" t="s">
        <v>257</v>
      </c>
      <c r="CM271" s="52">
        <v>67</v>
      </c>
      <c r="CN271" s="52"/>
      <c r="CO271" s="52"/>
      <c r="CP271" s="52"/>
      <c r="CQ271" s="52" t="s">
        <v>372</v>
      </c>
      <c r="CR271" s="52">
        <v>23400</v>
      </c>
      <c r="CS271" s="52" t="s">
        <v>373</v>
      </c>
      <c r="CT271" s="52">
        <v>80</v>
      </c>
      <c r="CU271" s="52"/>
      <c r="CV271" s="52"/>
      <c r="CW271" s="52" t="s">
        <v>373</v>
      </c>
      <c r="CX271" s="52">
        <v>85</v>
      </c>
      <c r="CY271" s="52"/>
      <c r="CZ271" s="52"/>
      <c r="DA271" s="52"/>
      <c r="DB271" s="52"/>
      <c r="DC271" s="52"/>
      <c r="DD271" s="52"/>
      <c r="DE271" s="52"/>
      <c r="DF271" s="52"/>
      <c r="DG271" s="52"/>
      <c r="DH271" s="52"/>
    </row>
    <row r="272" spans="58:112" ht="16.5" x14ac:dyDescent="0.2">
      <c r="BF272" s="52">
        <v>267</v>
      </c>
      <c r="BG272" s="14">
        <f t="shared" si="49"/>
        <v>0</v>
      </c>
      <c r="BH272" s="14">
        <f t="shared" si="50"/>
        <v>480</v>
      </c>
      <c r="BI272" s="14">
        <f t="shared" si="51"/>
        <v>0</v>
      </c>
      <c r="BJ272" s="14">
        <f t="shared" si="52"/>
        <v>1200</v>
      </c>
      <c r="BK272" s="14">
        <f t="shared" si="53"/>
        <v>480</v>
      </c>
      <c r="BL272" s="14">
        <f t="shared" si="54"/>
        <v>960</v>
      </c>
      <c r="CJ272" s="52">
        <v>268</v>
      </c>
      <c r="CK272" s="52">
        <v>3</v>
      </c>
      <c r="CL272" s="52" t="s">
        <v>257</v>
      </c>
      <c r="CM272" s="52">
        <v>68</v>
      </c>
      <c r="CN272" s="52"/>
      <c r="CO272" s="52"/>
      <c r="CP272" s="52"/>
      <c r="CQ272" s="52" t="s">
        <v>372</v>
      </c>
      <c r="CR272" s="52">
        <v>23400</v>
      </c>
      <c r="CS272" s="52" t="s">
        <v>373</v>
      </c>
      <c r="CT272" s="52">
        <v>80</v>
      </c>
      <c r="CU272" s="52"/>
      <c r="CV272" s="52"/>
      <c r="CW272" s="52" t="s">
        <v>373</v>
      </c>
      <c r="CX272" s="52">
        <v>85</v>
      </c>
      <c r="CY272" s="52"/>
      <c r="CZ272" s="52"/>
      <c r="DA272" s="52"/>
      <c r="DB272" s="52"/>
      <c r="DC272" s="52"/>
      <c r="DD272" s="52"/>
      <c r="DE272" s="52"/>
      <c r="DF272" s="52"/>
      <c r="DG272" s="52"/>
      <c r="DH272" s="52"/>
    </row>
    <row r="273" spans="58:112" ht="16.5" x14ac:dyDescent="0.2">
      <c r="BF273" s="52">
        <v>268</v>
      </c>
      <c r="BG273" s="14">
        <f t="shared" si="49"/>
        <v>0</v>
      </c>
      <c r="BH273" s="14">
        <f t="shared" si="50"/>
        <v>480</v>
      </c>
      <c r="BI273" s="14">
        <f t="shared" si="51"/>
        <v>0</v>
      </c>
      <c r="BJ273" s="14">
        <f t="shared" si="52"/>
        <v>1200</v>
      </c>
      <c r="BK273" s="14">
        <f t="shared" si="53"/>
        <v>480</v>
      </c>
      <c r="BL273" s="14">
        <f t="shared" si="54"/>
        <v>960</v>
      </c>
      <c r="CJ273" s="52">
        <v>269</v>
      </c>
      <c r="CK273" s="52">
        <v>3</v>
      </c>
      <c r="CL273" s="52" t="s">
        <v>257</v>
      </c>
      <c r="CM273" s="52">
        <v>69</v>
      </c>
      <c r="CN273" s="52"/>
      <c r="CO273" s="52"/>
      <c r="CP273" s="52"/>
      <c r="CQ273" s="52" t="s">
        <v>372</v>
      </c>
      <c r="CR273" s="52">
        <v>23400</v>
      </c>
      <c r="CS273" s="52" t="s">
        <v>373</v>
      </c>
      <c r="CT273" s="52">
        <v>80</v>
      </c>
      <c r="CU273" s="52"/>
      <c r="CV273" s="52"/>
      <c r="CW273" s="52" t="s">
        <v>373</v>
      </c>
      <c r="CX273" s="52">
        <v>85</v>
      </c>
      <c r="CY273" s="52"/>
      <c r="CZ273" s="52"/>
      <c r="DA273" s="52"/>
      <c r="DB273" s="52"/>
      <c r="DC273" s="52"/>
      <c r="DD273" s="52"/>
      <c r="DE273" s="52"/>
      <c r="DF273" s="52"/>
      <c r="DG273" s="52"/>
      <c r="DH273" s="52"/>
    </row>
    <row r="274" spans="58:112" ht="16.5" x14ac:dyDescent="0.2">
      <c r="BF274" s="52">
        <v>269</v>
      </c>
      <c r="BG274" s="14">
        <f t="shared" si="49"/>
        <v>0</v>
      </c>
      <c r="BH274" s="14">
        <f t="shared" si="50"/>
        <v>480</v>
      </c>
      <c r="BI274" s="14">
        <f t="shared" si="51"/>
        <v>0</v>
      </c>
      <c r="BJ274" s="14">
        <f t="shared" si="52"/>
        <v>1200</v>
      </c>
      <c r="BK274" s="14">
        <f t="shared" si="53"/>
        <v>480</v>
      </c>
      <c r="BL274" s="14">
        <f t="shared" si="54"/>
        <v>960</v>
      </c>
      <c r="CJ274" s="52">
        <v>270</v>
      </c>
      <c r="CK274" s="52">
        <v>3</v>
      </c>
      <c r="CL274" s="52" t="s">
        <v>257</v>
      </c>
      <c r="CM274" s="52">
        <v>70</v>
      </c>
      <c r="CN274" s="52"/>
      <c r="CO274" s="52"/>
      <c r="CP274" s="52"/>
      <c r="CQ274" s="52" t="s">
        <v>372</v>
      </c>
      <c r="CR274" s="52">
        <v>23400</v>
      </c>
      <c r="CS274" s="52" t="s">
        <v>373</v>
      </c>
      <c r="CT274" s="52">
        <v>80</v>
      </c>
      <c r="CU274" s="52" t="s">
        <v>280</v>
      </c>
      <c r="CV274" s="52">
        <v>2</v>
      </c>
      <c r="CW274" s="52" t="s">
        <v>373</v>
      </c>
      <c r="CX274" s="52">
        <v>90</v>
      </c>
      <c r="CY274" s="52"/>
      <c r="CZ274" s="52"/>
      <c r="DA274" s="52"/>
      <c r="DB274" s="52"/>
      <c r="DC274" s="52"/>
      <c r="DD274" s="52"/>
      <c r="DE274" s="52"/>
      <c r="DF274" s="52"/>
      <c r="DG274" s="52"/>
      <c r="DH274" s="52"/>
    </row>
    <row r="275" spans="58:112" ht="16.5" x14ac:dyDescent="0.2">
      <c r="BF275" s="52">
        <v>270</v>
      </c>
      <c r="BG275" s="14">
        <f t="shared" si="49"/>
        <v>0</v>
      </c>
      <c r="BH275" s="14">
        <f t="shared" si="50"/>
        <v>480</v>
      </c>
      <c r="BI275" s="14">
        <f t="shared" si="51"/>
        <v>0</v>
      </c>
      <c r="BJ275" s="14">
        <f t="shared" si="52"/>
        <v>1200</v>
      </c>
      <c r="BK275" s="14">
        <f t="shared" si="53"/>
        <v>480</v>
      </c>
      <c r="BL275" s="14">
        <f t="shared" si="54"/>
        <v>960</v>
      </c>
      <c r="CJ275" s="52">
        <v>271</v>
      </c>
      <c r="CK275" s="52">
        <v>3</v>
      </c>
      <c r="CL275" s="52" t="s">
        <v>257</v>
      </c>
      <c r="CM275" s="52">
        <v>71</v>
      </c>
      <c r="CN275" s="52"/>
      <c r="CO275" s="52"/>
      <c r="CP275" s="52"/>
      <c r="CQ275" s="52" t="s">
        <v>372</v>
      </c>
      <c r="CR275" s="52">
        <v>23400</v>
      </c>
      <c r="CS275" s="52" t="s">
        <v>373</v>
      </c>
      <c r="CT275" s="52">
        <v>85</v>
      </c>
      <c r="CU275" s="52"/>
      <c r="CV275" s="52"/>
      <c r="CW275" s="52" t="s">
        <v>373</v>
      </c>
      <c r="CX275" s="52">
        <v>90</v>
      </c>
      <c r="CY275" s="52"/>
      <c r="CZ275" s="52"/>
      <c r="DA275" s="52"/>
      <c r="DB275" s="52"/>
      <c r="DC275" s="52"/>
      <c r="DD275" s="52"/>
      <c r="DE275" s="52"/>
      <c r="DF275" s="52"/>
      <c r="DG275" s="52"/>
      <c r="DH275" s="52"/>
    </row>
    <row r="276" spans="58:112" ht="16.5" x14ac:dyDescent="0.2">
      <c r="BF276" s="52">
        <v>271</v>
      </c>
      <c r="BG276" s="14">
        <f t="shared" si="49"/>
        <v>0</v>
      </c>
      <c r="BH276" s="14">
        <f t="shared" si="50"/>
        <v>480</v>
      </c>
      <c r="BI276" s="14">
        <f t="shared" si="51"/>
        <v>0</v>
      </c>
      <c r="BJ276" s="14">
        <f t="shared" si="52"/>
        <v>1200</v>
      </c>
      <c r="BK276" s="14">
        <f t="shared" si="53"/>
        <v>480</v>
      </c>
      <c r="BL276" s="14">
        <f t="shared" si="54"/>
        <v>960</v>
      </c>
      <c r="CJ276" s="52">
        <v>272</v>
      </c>
      <c r="CK276" s="52">
        <v>3</v>
      </c>
      <c r="CL276" s="52" t="s">
        <v>257</v>
      </c>
      <c r="CM276" s="52">
        <v>72</v>
      </c>
      <c r="CN276" s="52"/>
      <c r="CO276" s="52"/>
      <c r="CP276" s="52"/>
      <c r="CQ276" s="52" t="s">
        <v>372</v>
      </c>
      <c r="CR276" s="52">
        <v>23400</v>
      </c>
      <c r="CS276" s="52" t="s">
        <v>373</v>
      </c>
      <c r="CT276" s="52">
        <v>85</v>
      </c>
      <c r="CU276" s="52"/>
      <c r="CV276" s="52"/>
      <c r="CW276" s="52" t="s">
        <v>373</v>
      </c>
      <c r="CX276" s="52">
        <v>90</v>
      </c>
      <c r="CY276" s="52"/>
      <c r="CZ276" s="52"/>
      <c r="DA276" s="52"/>
      <c r="DB276" s="52"/>
      <c r="DC276" s="52"/>
      <c r="DD276" s="52"/>
      <c r="DE276" s="52"/>
      <c r="DF276" s="52"/>
      <c r="DG276" s="52"/>
      <c r="DH276" s="52"/>
    </row>
    <row r="277" spans="58:112" ht="16.5" x14ac:dyDescent="0.2">
      <c r="BF277" s="52">
        <v>272</v>
      </c>
      <c r="BG277" s="14">
        <f t="shared" si="49"/>
        <v>0</v>
      </c>
      <c r="BH277" s="14">
        <f t="shared" si="50"/>
        <v>480</v>
      </c>
      <c r="BI277" s="14">
        <f t="shared" si="51"/>
        <v>0</v>
      </c>
      <c r="BJ277" s="14">
        <f t="shared" si="52"/>
        <v>1200</v>
      </c>
      <c r="BK277" s="14">
        <f t="shared" si="53"/>
        <v>480</v>
      </c>
      <c r="BL277" s="14">
        <f t="shared" si="54"/>
        <v>960</v>
      </c>
      <c r="CJ277" s="52">
        <v>273</v>
      </c>
      <c r="CK277" s="52">
        <v>3</v>
      </c>
      <c r="CL277" s="52" t="s">
        <v>257</v>
      </c>
      <c r="CM277" s="52">
        <v>73</v>
      </c>
      <c r="CN277" s="52"/>
      <c r="CO277" s="52"/>
      <c r="CP277" s="52"/>
      <c r="CQ277" s="52" t="s">
        <v>372</v>
      </c>
      <c r="CR277" s="52">
        <v>23400</v>
      </c>
      <c r="CS277" s="52" t="s">
        <v>373</v>
      </c>
      <c r="CT277" s="52">
        <v>85</v>
      </c>
      <c r="CU277" s="52"/>
      <c r="CV277" s="52"/>
      <c r="CW277" s="52" t="s">
        <v>373</v>
      </c>
      <c r="CX277" s="52">
        <v>90</v>
      </c>
      <c r="CY277" s="52"/>
      <c r="CZ277" s="52"/>
      <c r="DA277" s="52"/>
      <c r="DB277" s="52"/>
      <c r="DC277" s="52"/>
      <c r="DD277" s="52"/>
      <c r="DE277" s="52"/>
      <c r="DF277" s="52"/>
      <c r="DG277" s="52"/>
      <c r="DH277" s="52"/>
    </row>
    <row r="278" spans="58:112" ht="16.5" x14ac:dyDescent="0.2">
      <c r="BF278" s="52">
        <v>273</v>
      </c>
      <c r="BG278" s="14">
        <f t="shared" si="49"/>
        <v>0</v>
      </c>
      <c r="BH278" s="14">
        <f t="shared" si="50"/>
        <v>480</v>
      </c>
      <c r="BI278" s="14">
        <f t="shared" si="51"/>
        <v>0</v>
      </c>
      <c r="BJ278" s="14">
        <f t="shared" si="52"/>
        <v>1200</v>
      </c>
      <c r="BK278" s="14">
        <f t="shared" si="53"/>
        <v>480</v>
      </c>
      <c r="BL278" s="14">
        <f t="shared" si="54"/>
        <v>960</v>
      </c>
      <c r="CJ278" s="52">
        <v>274</v>
      </c>
      <c r="CK278" s="52">
        <v>3</v>
      </c>
      <c r="CL278" s="52" t="s">
        <v>257</v>
      </c>
      <c r="CM278" s="52">
        <v>74</v>
      </c>
      <c r="CN278" s="52"/>
      <c r="CO278" s="52"/>
      <c r="CP278" s="52"/>
      <c r="CQ278" s="52" t="s">
        <v>372</v>
      </c>
      <c r="CR278" s="52">
        <v>23400</v>
      </c>
      <c r="CS278" s="52" t="s">
        <v>373</v>
      </c>
      <c r="CT278" s="52">
        <v>85</v>
      </c>
      <c r="CU278" s="52"/>
      <c r="CV278" s="52"/>
      <c r="CW278" s="52" t="s">
        <v>373</v>
      </c>
      <c r="CX278" s="52">
        <v>90</v>
      </c>
      <c r="CY278" s="52"/>
      <c r="CZ278" s="52"/>
      <c r="DA278" s="52"/>
      <c r="DB278" s="52"/>
      <c r="DC278" s="52"/>
      <c r="DD278" s="52"/>
      <c r="DE278" s="52"/>
      <c r="DF278" s="52"/>
      <c r="DG278" s="52"/>
      <c r="DH278" s="52"/>
    </row>
    <row r="279" spans="58:112" ht="16.5" x14ac:dyDescent="0.2">
      <c r="BF279" s="52">
        <v>274</v>
      </c>
      <c r="BG279" s="14">
        <f t="shared" si="49"/>
        <v>0</v>
      </c>
      <c r="BH279" s="14">
        <f t="shared" si="50"/>
        <v>480</v>
      </c>
      <c r="BI279" s="14">
        <f t="shared" si="51"/>
        <v>0</v>
      </c>
      <c r="BJ279" s="14">
        <f t="shared" si="52"/>
        <v>1200</v>
      </c>
      <c r="BK279" s="14">
        <f t="shared" si="53"/>
        <v>480</v>
      </c>
      <c r="BL279" s="14">
        <f t="shared" si="54"/>
        <v>960</v>
      </c>
      <c r="CJ279" s="52">
        <v>275</v>
      </c>
      <c r="CK279" s="52">
        <v>3</v>
      </c>
      <c r="CL279" s="52" t="s">
        <v>257</v>
      </c>
      <c r="CM279" s="52">
        <v>75</v>
      </c>
      <c r="CN279" s="52"/>
      <c r="CO279" s="52"/>
      <c r="CP279" s="52"/>
      <c r="CQ279" s="52" t="s">
        <v>372</v>
      </c>
      <c r="CR279" s="52">
        <v>23400</v>
      </c>
      <c r="CS279" s="52" t="s">
        <v>373</v>
      </c>
      <c r="CT279" s="52">
        <v>85</v>
      </c>
      <c r="CU279" s="52" t="s">
        <v>275</v>
      </c>
      <c r="CV279" s="52">
        <v>2</v>
      </c>
      <c r="CW279" s="52" t="s">
        <v>373</v>
      </c>
      <c r="CX279" s="52">
        <v>95</v>
      </c>
      <c r="CY279" s="52"/>
      <c r="CZ279" s="52"/>
      <c r="DA279" s="52"/>
      <c r="DB279" s="52"/>
      <c r="DC279" s="52"/>
      <c r="DD279" s="52"/>
      <c r="DE279" s="52"/>
      <c r="DF279" s="52"/>
      <c r="DG279" s="52"/>
      <c r="DH279" s="52"/>
    </row>
    <row r="280" spans="58:112" ht="16.5" x14ac:dyDescent="0.2">
      <c r="BF280" s="52">
        <v>275</v>
      </c>
      <c r="BG280" s="14">
        <f t="shared" si="49"/>
        <v>0</v>
      </c>
      <c r="BH280" s="14">
        <f t="shared" si="50"/>
        <v>480</v>
      </c>
      <c r="BI280" s="14">
        <f t="shared" si="51"/>
        <v>0</v>
      </c>
      <c r="BJ280" s="14">
        <f t="shared" si="52"/>
        <v>1200</v>
      </c>
      <c r="BK280" s="14">
        <f t="shared" si="53"/>
        <v>480</v>
      </c>
      <c r="BL280" s="14">
        <f t="shared" si="54"/>
        <v>960</v>
      </c>
      <c r="CJ280" s="52">
        <v>276</v>
      </c>
      <c r="CK280" s="52">
        <v>3</v>
      </c>
      <c r="CL280" s="52" t="s">
        <v>257</v>
      </c>
      <c r="CM280" s="52">
        <v>76</v>
      </c>
      <c r="CN280" s="52"/>
      <c r="CO280" s="52"/>
      <c r="CP280" s="52"/>
      <c r="CQ280" s="52" t="s">
        <v>372</v>
      </c>
      <c r="CR280" s="52">
        <v>23400</v>
      </c>
      <c r="CS280" s="52" t="s">
        <v>373</v>
      </c>
      <c r="CT280" s="52">
        <v>90</v>
      </c>
      <c r="CU280" s="52"/>
      <c r="CV280" s="52"/>
      <c r="CW280" s="52" t="s">
        <v>373</v>
      </c>
      <c r="CX280" s="52">
        <v>95</v>
      </c>
      <c r="CY280" s="52"/>
      <c r="CZ280" s="52"/>
      <c r="DA280" s="52"/>
      <c r="DB280" s="52"/>
      <c r="DC280" s="52"/>
      <c r="DD280" s="52"/>
      <c r="DE280" s="52"/>
      <c r="DF280" s="52"/>
      <c r="DG280" s="52"/>
      <c r="DH280" s="52"/>
    </row>
    <row r="281" spans="58:112" ht="16.5" x14ac:dyDescent="0.2">
      <c r="BF281" s="52">
        <v>276</v>
      </c>
      <c r="BG281" s="14">
        <f t="shared" si="49"/>
        <v>0</v>
      </c>
      <c r="BH281" s="14">
        <f t="shared" si="50"/>
        <v>480</v>
      </c>
      <c r="BI281" s="14">
        <f t="shared" si="51"/>
        <v>0</v>
      </c>
      <c r="BJ281" s="14">
        <f t="shared" si="52"/>
        <v>1200</v>
      </c>
      <c r="BK281" s="14">
        <f t="shared" si="53"/>
        <v>480</v>
      </c>
      <c r="BL281" s="14">
        <f t="shared" si="54"/>
        <v>960</v>
      </c>
      <c r="CJ281" s="52">
        <v>277</v>
      </c>
      <c r="CK281" s="52">
        <v>3</v>
      </c>
      <c r="CL281" s="52" t="s">
        <v>257</v>
      </c>
      <c r="CM281" s="52">
        <v>77</v>
      </c>
      <c r="CN281" s="52"/>
      <c r="CO281" s="52"/>
      <c r="CP281" s="52"/>
      <c r="CQ281" s="52" t="s">
        <v>372</v>
      </c>
      <c r="CR281" s="52">
        <v>23400</v>
      </c>
      <c r="CS281" s="52" t="s">
        <v>373</v>
      </c>
      <c r="CT281" s="52">
        <v>90</v>
      </c>
      <c r="CU281" s="52"/>
      <c r="CV281" s="52"/>
      <c r="CW281" s="52" t="s">
        <v>373</v>
      </c>
      <c r="CX281" s="52">
        <v>95</v>
      </c>
      <c r="CY281" s="52"/>
      <c r="CZ281" s="52"/>
      <c r="DA281" s="52"/>
      <c r="DB281" s="52"/>
      <c r="DC281" s="52"/>
      <c r="DD281" s="52"/>
      <c r="DE281" s="52"/>
      <c r="DF281" s="52"/>
      <c r="DG281" s="52"/>
      <c r="DH281" s="52"/>
    </row>
    <row r="282" spans="58:112" ht="16.5" x14ac:dyDescent="0.2">
      <c r="BF282" s="52">
        <v>277</v>
      </c>
      <c r="BG282" s="14">
        <f t="shared" si="49"/>
        <v>0</v>
      </c>
      <c r="BH282" s="14">
        <f t="shared" si="50"/>
        <v>480</v>
      </c>
      <c r="BI282" s="14">
        <f t="shared" si="51"/>
        <v>0</v>
      </c>
      <c r="BJ282" s="14">
        <f t="shared" si="52"/>
        <v>1200</v>
      </c>
      <c r="BK282" s="14">
        <f t="shared" si="53"/>
        <v>480</v>
      </c>
      <c r="BL282" s="14">
        <f t="shared" si="54"/>
        <v>960</v>
      </c>
      <c r="CJ282" s="52">
        <v>278</v>
      </c>
      <c r="CK282" s="52">
        <v>3</v>
      </c>
      <c r="CL282" s="52" t="s">
        <v>257</v>
      </c>
      <c r="CM282" s="52">
        <v>78</v>
      </c>
      <c r="CN282" s="52"/>
      <c r="CO282" s="52"/>
      <c r="CP282" s="52"/>
      <c r="CQ282" s="52" t="s">
        <v>372</v>
      </c>
      <c r="CR282" s="52">
        <v>23400</v>
      </c>
      <c r="CS282" s="52" t="s">
        <v>373</v>
      </c>
      <c r="CT282" s="52">
        <v>90</v>
      </c>
      <c r="CU282" s="52"/>
      <c r="CV282" s="52"/>
      <c r="CW282" s="52" t="s">
        <v>373</v>
      </c>
      <c r="CX282" s="52">
        <v>95</v>
      </c>
      <c r="CY282" s="52"/>
      <c r="CZ282" s="52"/>
      <c r="DA282" s="52"/>
      <c r="DB282" s="52"/>
      <c r="DC282" s="52"/>
      <c r="DD282" s="52"/>
      <c r="DE282" s="52"/>
      <c r="DF282" s="52"/>
      <c r="DG282" s="52"/>
      <c r="DH282" s="52"/>
    </row>
    <row r="283" spans="58:112" ht="16.5" x14ac:dyDescent="0.2">
      <c r="BF283" s="52">
        <v>278</v>
      </c>
      <c r="BG283" s="14">
        <f t="shared" si="49"/>
        <v>0</v>
      </c>
      <c r="BH283" s="14">
        <f t="shared" si="50"/>
        <v>480</v>
      </c>
      <c r="BI283" s="14">
        <f t="shared" si="51"/>
        <v>0</v>
      </c>
      <c r="BJ283" s="14">
        <f t="shared" si="52"/>
        <v>1200</v>
      </c>
      <c r="BK283" s="14">
        <f t="shared" si="53"/>
        <v>480</v>
      </c>
      <c r="BL283" s="14">
        <f t="shared" si="54"/>
        <v>960</v>
      </c>
      <c r="CJ283" s="52">
        <v>279</v>
      </c>
      <c r="CK283" s="52">
        <v>3</v>
      </c>
      <c r="CL283" s="52" t="s">
        <v>257</v>
      </c>
      <c r="CM283" s="52">
        <v>79</v>
      </c>
      <c r="CN283" s="52"/>
      <c r="CO283" s="52"/>
      <c r="CP283" s="52"/>
      <c r="CQ283" s="52" t="s">
        <v>372</v>
      </c>
      <c r="CR283" s="52">
        <v>23400</v>
      </c>
      <c r="CS283" s="52" t="s">
        <v>373</v>
      </c>
      <c r="CT283" s="52">
        <v>90</v>
      </c>
      <c r="CU283" s="52"/>
      <c r="CV283" s="52"/>
      <c r="CW283" s="52" t="s">
        <v>373</v>
      </c>
      <c r="CX283" s="52">
        <v>95</v>
      </c>
      <c r="CY283" s="52"/>
      <c r="CZ283" s="52"/>
      <c r="DA283" s="52"/>
      <c r="DB283" s="52"/>
      <c r="DC283" s="52"/>
      <c r="DD283" s="52"/>
      <c r="DE283" s="52"/>
      <c r="DF283" s="52"/>
      <c r="DG283" s="52"/>
      <c r="DH283" s="52"/>
    </row>
    <row r="284" spans="58:112" ht="16.5" x14ac:dyDescent="0.2">
      <c r="BF284" s="52">
        <v>279</v>
      </c>
      <c r="BG284" s="14">
        <f t="shared" si="49"/>
        <v>0</v>
      </c>
      <c r="BH284" s="14">
        <f t="shared" si="50"/>
        <v>480</v>
      </c>
      <c r="BI284" s="14">
        <f t="shared" si="51"/>
        <v>0</v>
      </c>
      <c r="BJ284" s="14">
        <f t="shared" si="52"/>
        <v>1200</v>
      </c>
      <c r="BK284" s="14">
        <f t="shared" si="53"/>
        <v>480</v>
      </c>
      <c r="BL284" s="14">
        <f t="shared" si="54"/>
        <v>960</v>
      </c>
      <c r="CJ284" s="52">
        <v>280</v>
      </c>
      <c r="CK284" s="52">
        <v>3</v>
      </c>
      <c r="CL284" s="52" t="s">
        <v>257</v>
      </c>
      <c r="CM284" s="52">
        <v>80</v>
      </c>
      <c r="CN284" s="52"/>
      <c r="CO284" s="52"/>
      <c r="CP284" s="52"/>
      <c r="CQ284" s="52" t="s">
        <v>372</v>
      </c>
      <c r="CR284" s="52">
        <v>27000</v>
      </c>
      <c r="CS284" s="52" t="s">
        <v>373</v>
      </c>
      <c r="CT284" s="52">
        <v>90</v>
      </c>
      <c r="CU284" s="52" t="s">
        <v>276</v>
      </c>
      <c r="CV284" s="52">
        <v>2</v>
      </c>
      <c r="CW284" s="52" t="s">
        <v>373</v>
      </c>
      <c r="CX284" s="52">
        <v>100</v>
      </c>
      <c r="CY284" s="52"/>
      <c r="CZ284" s="52"/>
      <c r="DA284" s="52"/>
      <c r="DB284" s="52"/>
      <c r="DC284" s="52"/>
      <c r="DD284" s="52"/>
      <c r="DE284" s="52"/>
      <c r="DF284" s="52"/>
      <c r="DG284" s="52"/>
      <c r="DH284" s="52"/>
    </row>
    <row r="285" spans="58:112" ht="16.5" x14ac:dyDescent="0.2">
      <c r="BF285" s="52">
        <v>280</v>
      </c>
      <c r="BG285" s="14">
        <f t="shared" si="49"/>
        <v>0</v>
      </c>
      <c r="BH285" s="14">
        <f t="shared" si="50"/>
        <v>480</v>
      </c>
      <c r="BI285" s="14">
        <f t="shared" si="51"/>
        <v>0</v>
      </c>
      <c r="BJ285" s="14">
        <f t="shared" si="52"/>
        <v>1200</v>
      </c>
      <c r="BK285" s="14">
        <f t="shared" si="53"/>
        <v>480</v>
      </c>
      <c r="BL285" s="14">
        <f t="shared" si="54"/>
        <v>960</v>
      </c>
      <c r="CJ285" s="52">
        <v>281</v>
      </c>
      <c r="CK285" s="52">
        <v>3</v>
      </c>
      <c r="CL285" s="52" t="s">
        <v>257</v>
      </c>
      <c r="CM285" s="52">
        <v>81</v>
      </c>
      <c r="CN285" s="52"/>
      <c r="CO285" s="52"/>
      <c r="CP285" s="52"/>
      <c r="CQ285" s="52" t="s">
        <v>372</v>
      </c>
      <c r="CR285" s="52">
        <v>27000</v>
      </c>
      <c r="CS285" s="52" t="s">
        <v>373</v>
      </c>
      <c r="CT285" s="52">
        <v>95</v>
      </c>
      <c r="CU285" s="52"/>
      <c r="CV285" s="52"/>
      <c r="CW285" s="52" t="s">
        <v>373</v>
      </c>
      <c r="CX285" s="52">
        <v>100</v>
      </c>
      <c r="CY285" s="52"/>
      <c r="CZ285" s="52"/>
      <c r="DA285" s="52"/>
      <c r="DB285" s="52"/>
      <c r="DC285" s="52"/>
      <c r="DD285" s="52"/>
      <c r="DE285" s="52"/>
      <c r="DF285" s="52"/>
      <c r="DG285" s="52"/>
      <c r="DH285" s="52"/>
    </row>
    <row r="286" spans="58:112" ht="16.5" x14ac:dyDescent="0.2">
      <c r="BF286" s="52">
        <v>281</v>
      </c>
      <c r="BG286" s="14">
        <f t="shared" si="49"/>
        <v>0</v>
      </c>
      <c r="BH286" s="14">
        <f t="shared" si="50"/>
        <v>480</v>
      </c>
      <c r="BI286" s="14">
        <f t="shared" si="51"/>
        <v>0</v>
      </c>
      <c r="BJ286" s="14">
        <f t="shared" si="52"/>
        <v>1200</v>
      </c>
      <c r="BK286" s="14">
        <f t="shared" si="53"/>
        <v>480</v>
      </c>
      <c r="BL286" s="14">
        <f t="shared" si="54"/>
        <v>960</v>
      </c>
      <c r="CJ286" s="52">
        <v>282</v>
      </c>
      <c r="CK286" s="52">
        <v>3</v>
      </c>
      <c r="CL286" s="52" t="s">
        <v>257</v>
      </c>
      <c r="CM286" s="52">
        <v>82</v>
      </c>
      <c r="CN286" s="52"/>
      <c r="CO286" s="52"/>
      <c r="CP286" s="52"/>
      <c r="CQ286" s="52" t="s">
        <v>372</v>
      </c>
      <c r="CR286" s="52">
        <v>27000</v>
      </c>
      <c r="CS286" s="52" t="s">
        <v>373</v>
      </c>
      <c r="CT286" s="52">
        <v>95</v>
      </c>
      <c r="CU286" s="52"/>
      <c r="CV286" s="52"/>
      <c r="CW286" s="52" t="s">
        <v>373</v>
      </c>
      <c r="CX286" s="52">
        <v>100</v>
      </c>
      <c r="CY286" s="52"/>
      <c r="CZ286" s="52"/>
      <c r="DA286" s="52"/>
      <c r="DB286" s="52"/>
      <c r="DC286" s="52"/>
      <c r="DD286" s="52"/>
      <c r="DE286" s="52"/>
      <c r="DF286" s="52"/>
      <c r="DG286" s="52"/>
      <c r="DH286" s="52"/>
    </row>
    <row r="287" spans="58:112" ht="16.5" x14ac:dyDescent="0.2">
      <c r="BF287" s="52">
        <v>282</v>
      </c>
      <c r="BG287" s="14">
        <f t="shared" si="49"/>
        <v>0</v>
      </c>
      <c r="BH287" s="14">
        <f t="shared" si="50"/>
        <v>480</v>
      </c>
      <c r="BI287" s="14">
        <f t="shared" si="51"/>
        <v>0</v>
      </c>
      <c r="BJ287" s="14">
        <f t="shared" si="52"/>
        <v>1200</v>
      </c>
      <c r="BK287" s="14">
        <f t="shared" si="53"/>
        <v>480</v>
      </c>
      <c r="BL287" s="14">
        <f t="shared" si="54"/>
        <v>960</v>
      </c>
      <c r="CJ287" s="52">
        <v>283</v>
      </c>
      <c r="CK287" s="52">
        <v>3</v>
      </c>
      <c r="CL287" s="52" t="s">
        <v>257</v>
      </c>
      <c r="CM287" s="52">
        <v>83</v>
      </c>
      <c r="CN287" s="52"/>
      <c r="CO287" s="52"/>
      <c r="CP287" s="52"/>
      <c r="CQ287" s="52" t="s">
        <v>372</v>
      </c>
      <c r="CR287" s="52">
        <v>27000</v>
      </c>
      <c r="CS287" s="52" t="s">
        <v>373</v>
      </c>
      <c r="CT287" s="52">
        <v>95</v>
      </c>
      <c r="CU287" s="52"/>
      <c r="CV287" s="52"/>
      <c r="CW287" s="52" t="s">
        <v>373</v>
      </c>
      <c r="CX287" s="52">
        <v>100</v>
      </c>
      <c r="CY287" s="52"/>
      <c r="CZ287" s="52"/>
      <c r="DA287" s="52"/>
      <c r="DB287" s="52"/>
      <c r="DC287" s="52"/>
      <c r="DD287" s="52"/>
      <c r="DE287" s="52"/>
      <c r="DF287" s="52"/>
      <c r="DG287" s="52"/>
      <c r="DH287" s="52"/>
    </row>
    <row r="288" spans="58:112" ht="16.5" x14ac:dyDescent="0.2">
      <c r="BF288" s="52">
        <v>283</v>
      </c>
      <c r="BG288" s="14">
        <f t="shared" si="49"/>
        <v>0</v>
      </c>
      <c r="BH288" s="14">
        <f t="shared" si="50"/>
        <v>480</v>
      </c>
      <c r="BI288" s="14">
        <f t="shared" si="51"/>
        <v>0</v>
      </c>
      <c r="BJ288" s="14">
        <f t="shared" si="52"/>
        <v>1200</v>
      </c>
      <c r="BK288" s="14">
        <f t="shared" si="53"/>
        <v>480</v>
      </c>
      <c r="BL288" s="14">
        <f t="shared" si="54"/>
        <v>960</v>
      </c>
      <c r="CJ288" s="52">
        <v>284</v>
      </c>
      <c r="CK288" s="52">
        <v>3</v>
      </c>
      <c r="CL288" s="52" t="s">
        <v>257</v>
      </c>
      <c r="CM288" s="52">
        <v>84</v>
      </c>
      <c r="CN288" s="52"/>
      <c r="CO288" s="52"/>
      <c r="CP288" s="52"/>
      <c r="CQ288" s="52" t="s">
        <v>372</v>
      </c>
      <c r="CR288" s="52">
        <v>27000</v>
      </c>
      <c r="CS288" s="52" t="s">
        <v>373</v>
      </c>
      <c r="CT288" s="52">
        <v>95</v>
      </c>
      <c r="CU288" s="52"/>
      <c r="CV288" s="52"/>
      <c r="CW288" s="52" t="s">
        <v>373</v>
      </c>
      <c r="CX288" s="52">
        <v>100</v>
      </c>
      <c r="CY288" s="52"/>
      <c r="CZ288" s="52"/>
      <c r="DA288" s="52"/>
      <c r="DB288" s="52"/>
      <c r="DC288" s="52"/>
      <c r="DD288" s="52"/>
      <c r="DE288" s="52"/>
      <c r="DF288" s="52"/>
      <c r="DG288" s="52"/>
      <c r="DH288" s="52"/>
    </row>
    <row r="289" spans="58:112" ht="16.5" x14ac:dyDescent="0.2">
      <c r="BF289" s="52">
        <v>284</v>
      </c>
      <c r="BG289" s="14">
        <f t="shared" si="49"/>
        <v>0</v>
      </c>
      <c r="BH289" s="14">
        <f t="shared" si="50"/>
        <v>480</v>
      </c>
      <c r="BI289" s="14">
        <f t="shared" si="51"/>
        <v>0</v>
      </c>
      <c r="BJ289" s="14">
        <f t="shared" si="52"/>
        <v>1200</v>
      </c>
      <c r="BK289" s="14">
        <f t="shared" si="53"/>
        <v>480</v>
      </c>
      <c r="BL289" s="14">
        <f t="shared" si="54"/>
        <v>960</v>
      </c>
      <c r="CJ289" s="52">
        <v>285</v>
      </c>
      <c r="CK289" s="52">
        <v>3</v>
      </c>
      <c r="CL289" s="52" t="s">
        <v>257</v>
      </c>
      <c r="CM289" s="52">
        <v>85</v>
      </c>
      <c r="CN289" s="52"/>
      <c r="CO289" s="52"/>
      <c r="CP289" s="52"/>
      <c r="CQ289" s="52" t="s">
        <v>372</v>
      </c>
      <c r="CR289" s="52">
        <v>27000</v>
      </c>
      <c r="CS289" s="52" t="s">
        <v>373</v>
      </c>
      <c r="CT289" s="52">
        <v>95</v>
      </c>
      <c r="CU289" s="52" t="s">
        <v>279</v>
      </c>
      <c r="CV289" s="52">
        <v>2</v>
      </c>
      <c r="CW289" s="52" t="s">
        <v>373</v>
      </c>
      <c r="CX289" s="52">
        <v>105</v>
      </c>
      <c r="CY289" s="52"/>
      <c r="CZ289" s="52"/>
      <c r="DA289" s="52"/>
      <c r="DB289" s="52"/>
      <c r="DC289" s="52"/>
      <c r="DD289" s="52"/>
      <c r="DE289" s="52"/>
      <c r="DF289" s="52"/>
      <c r="DG289" s="52"/>
      <c r="DH289" s="52"/>
    </row>
    <row r="290" spans="58:112" ht="16.5" x14ac:dyDescent="0.2">
      <c r="BF290" s="52">
        <v>285</v>
      </c>
      <c r="BG290" s="14">
        <f t="shared" si="49"/>
        <v>0</v>
      </c>
      <c r="BH290" s="14">
        <f t="shared" si="50"/>
        <v>480</v>
      </c>
      <c r="BI290" s="14">
        <f t="shared" si="51"/>
        <v>0</v>
      </c>
      <c r="BJ290" s="14">
        <f t="shared" si="52"/>
        <v>1200</v>
      </c>
      <c r="BK290" s="14">
        <f t="shared" si="53"/>
        <v>480</v>
      </c>
      <c r="BL290" s="14">
        <f t="shared" si="54"/>
        <v>960</v>
      </c>
      <c r="CJ290" s="52">
        <v>286</v>
      </c>
      <c r="CK290" s="52">
        <v>3</v>
      </c>
      <c r="CL290" s="52" t="s">
        <v>257</v>
      </c>
      <c r="CM290" s="52">
        <v>86</v>
      </c>
      <c r="CN290" s="52"/>
      <c r="CO290" s="52"/>
      <c r="CP290" s="52"/>
      <c r="CQ290" s="52" t="s">
        <v>372</v>
      </c>
      <c r="CR290" s="52">
        <v>27000</v>
      </c>
      <c r="CS290" s="52" t="s">
        <v>373</v>
      </c>
      <c r="CT290" s="52">
        <v>100</v>
      </c>
      <c r="CU290" s="52"/>
      <c r="CV290" s="52"/>
      <c r="CW290" s="52" t="s">
        <v>373</v>
      </c>
      <c r="CX290" s="52">
        <v>105</v>
      </c>
      <c r="CY290" s="52"/>
      <c r="CZ290" s="52"/>
      <c r="DA290" s="52"/>
      <c r="DB290" s="52"/>
      <c r="DC290" s="52"/>
      <c r="DD290" s="52"/>
      <c r="DE290" s="52"/>
      <c r="DF290" s="52"/>
      <c r="DG290" s="52"/>
      <c r="DH290" s="52"/>
    </row>
    <row r="291" spans="58:112" ht="16.5" x14ac:dyDescent="0.2">
      <c r="BF291" s="52">
        <v>286</v>
      </c>
      <c r="BG291" s="14">
        <f t="shared" si="49"/>
        <v>0</v>
      </c>
      <c r="BH291" s="14">
        <f t="shared" si="50"/>
        <v>480</v>
      </c>
      <c r="BI291" s="14">
        <f t="shared" si="51"/>
        <v>0</v>
      </c>
      <c r="BJ291" s="14">
        <f t="shared" si="52"/>
        <v>1200</v>
      </c>
      <c r="BK291" s="14">
        <f t="shared" si="53"/>
        <v>480</v>
      </c>
      <c r="BL291" s="14">
        <f t="shared" si="54"/>
        <v>960</v>
      </c>
      <c r="CJ291" s="52">
        <v>287</v>
      </c>
      <c r="CK291" s="52">
        <v>3</v>
      </c>
      <c r="CL291" s="52" t="s">
        <v>257</v>
      </c>
      <c r="CM291" s="52">
        <v>87</v>
      </c>
      <c r="CN291" s="52"/>
      <c r="CO291" s="52"/>
      <c r="CP291" s="52"/>
      <c r="CQ291" s="52" t="s">
        <v>372</v>
      </c>
      <c r="CR291" s="52">
        <v>27000</v>
      </c>
      <c r="CS291" s="52" t="s">
        <v>373</v>
      </c>
      <c r="CT291" s="52">
        <v>100</v>
      </c>
      <c r="CU291" s="52"/>
      <c r="CV291" s="52"/>
      <c r="CW291" s="52" t="s">
        <v>373</v>
      </c>
      <c r="CX291" s="52">
        <v>105</v>
      </c>
      <c r="CY291" s="52"/>
      <c r="CZ291" s="52"/>
      <c r="DA291" s="52"/>
      <c r="DB291" s="52"/>
      <c r="DC291" s="52"/>
      <c r="DD291" s="52"/>
      <c r="DE291" s="52"/>
      <c r="DF291" s="52"/>
      <c r="DG291" s="52"/>
      <c r="DH291" s="52"/>
    </row>
    <row r="292" spans="58:112" ht="16.5" x14ac:dyDescent="0.2">
      <c r="BF292" s="52">
        <v>287</v>
      </c>
      <c r="BG292" s="14">
        <f t="shared" si="49"/>
        <v>0</v>
      </c>
      <c r="BH292" s="14">
        <f t="shared" si="50"/>
        <v>480</v>
      </c>
      <c r="BI292" s="14">
        <f t="shared" si="51"/>
        <v>0</v>
      </c>
      <c r="BJ292" s="14">
        <f t="shared" si="52"/>
        <v>1200</v>
      </c>
      <c r="BK292" s="14">
        <f t="shared" si="53"/>
        <v>480</v>
      </c>
      <c r="BL292" s="14">
        <f t="shared" si="54"/>
        <v>960</v>
      </c>
      <c r="CJ292" s="52">
        <v>288</v>
      </c>
      <c r="CK292" s="52">
        <v>3</v>
      </c>
      <c r="CL292" s="52" t="s">
        <v>257</v>
      </c>
      <c r="CM292" s="52">
        <v>88</v>
      </c>
      <c r="CN292" s="52"/>
      <c r="CO292" s="52"/>
      <c r="CP292" s="52"/>
      <c r="CQ292" s="52" t="s">
        <v>372</v>
      </c>
      <c r="CR292" s="52">
        <v>27000</v>
      </c>
      <c r="CS292" s="52" t="s">
        <v>373</v>
      </c>
      <c r="CT292" s="52">
        <v>100</v>
      </c>
      <c r="CU292" s="52"/>
      <c r="CV292" s="52"/>
      <c r="CW292" s="52" t="s">
        <v>373</v>
      </c>
      <c r="CX292" s="52">
        <v>105</v>
      </c>
      <c r="CY292" s="52"/>
      <c r="CZ292" s="52"/>
      <c r="DA292" s="52"/>
      <c r="DB292" s="52"/>
      <c r="DC292" s="52"/>
      <c r="DD292" s="52"/>
      <c r="DE292" s="52"/>
      <c r="DF292" s="52"/>
      <c r="DG292" s="52"/>
      <c r="DH292" s="52"/>
    </row>
    <row r="293" spans="58:112" ht="16.5" x14ac:dyDescent="0.2">
      <c r="BF293" s="52">
        <v>288</v>
      </c>
      <c r="BG293" s="14">
        <f t="shared" si="49"/>
        <v>0</v>
      </c>
      <c r="BH293" s="14">
        <f t="shared" si="50"/>
        <v>480</v>
      </c>
      <c r="BI293" s="14">
        <f t="shared" si="51"/>
        <v>0</v>
      </c>
      <c r="BJ293" s="14">
        <f t="shared" si="52"/>
        <v>1200</v>
      </c>
      <c r="BK293" s="14">
        <f t="shared" si="53"/>
        <v>480</v>
      </c>
      <c r="BL293" s="14">
        <f t="shared" si="54"/>
        <v>960</v>
      </c>
      <c r="CJ293" s="52">
        <v>289</v>
      </c>
      <c r="CK293" s="52">
        <v>3</v>
      </c>
      <c r="CL293" s="52" t="s">
        <v>257</v>
      </c>
      <c r="CM293" s="52">
        <v>89</v>
      </c>
      <c r="CN293" s="52"/>
      <c r="CO293" s="52"/>
      <c r="CP293" s="52"/>
      <c r="CQ293" s="52" t="s">
        <v>372</v>
      </c>
      <c r="CR293" s="52">
        <v>27000</v>
      </c>
      <c r="CS293" s="52" t="s">
        <v>373</v>
      </c>
      <c r="CT293" s="52">
        <v>100</v>
      </c>
      <c r="CU293" s="52"/>
      <c r="CV293" s="52"/>
      <c r="CW293" s="52" t="s">
        <v>373</v>
      </c>
      <c r="CX293" s="52">
        <v>105</v>
      </c>
      <c r="CY293" s="52"/>
      <c r="CZ293" s="52"/>
      <c r="DA293" s="52"/>
      <c r="DB293" s="52"/>
      <c r="DC293" s="52"/>
      <c r="DD293" s="52"/>
      <c r="DE293" s="52"/>
      <c r="DF293" s="52"/>
      <c r="DG293" s="52"/>
      <c r="DH293" s="52"/>
    </row>
    <row r="294" spans="58:112" ht="16.5" x14ac:dyDescent="0.2">
      <c r="BF294" s="52">
        <v>289</v>
      </c>
      <c r="BG294" s="14">
        <f t="shared" si="49"/>
        <v>0</v>
      </c>
      <c r="BH294" s="14">
        <f t="shared" si="50"/>
        <v>480</v>
      </c>
      <c r="BI294" s="14">
        <f t="shared" si="51"/>
        <v>0</v>
      </c>
      <c r="BJ294" s="14">
        <f t="shared" si="52"/>
        <v>1200</v>
      </c>
      <c r="BK294" s="14">
        <f t="shared" si="53"/>
        <v>480</v>
      </c>
      <c r="BL294" s="14">
        <f t="shared" si="54"/>
        <v>960</v>
      </c>
      <c r="CJ294" s="52">
        <v>290</v>
      </c>
      <c r="CK294" s="52">
        <v>3</v>
      </c>
      <c r="CL294" s="52" t="s">
        <v>257</v>
      </c>
      <c r="CM294" s="52">
        <v>90</v>
      </c>
      <c r="CN294" s="52"/>
      <c r="CO294" s="52"/>
      <c r="CP294" s="52"/>
      <c r="CQ294" s="52" t="s">
        <v>372</v>
      </c>
      <c r="CR294" s="52">
        <v>31500</v>
      </c>
      <c r="CS294" s="52" t="s">
        <v>373</v>
      </c>
      <c r="CT294" s="52">
        <v>100</v>
      </c>
      <c r="CU294" s="52" t="s">
        <v>280</v>
      </c>
      <c r="CV294" s="52">
        <v>2</v>
      </c>
      <c r="CW294" s="52" t="s">
        <v>373</v>
      </c>
      <c r="CX294" s="52">
        <v>110</v>
      </c>
      <c r="CY294" s="52"/>
      <c r="CZ294" s="52"/>
      <c r="DA294" s="52"/>
      <c r="DB294" s="52"/>
      <c r="DC294" s="52"/>
      <c r="DD294" s="52"/>
      <c r="DE294" s="52"/>
      <c r="DF294" s="52"/>
      <c r="DG294" s="52"/>
      <c r="DH294" s="52"/>
    </row>
    <row r="295" spans="58:112" ht="16.5" x14ac:dyDescent="0.2">
      <c r="BF295" s="52">
        <v>290</v>
      </c>
      <c r="BG295" s="14">
        <f t="shared" si="49"/>
        <v>0</v>
      </c>
      <c r="BH295" s="14">
        <f t="shared" si="50"/>
        <v>480</v>
      </c>
      <c r="BI295" s="14">
        <f t="shared" si="51"/>
        <v>0</v>
      </c>
      <c r="BJ295" s="14">
        <f t="shared" si="52"/>
        <v>1200</v>
      </c>
      <c r="BK295" s="14">
        <f t="shared" si="53"/>
        <v>480</v>
      </c>
      <c r="BL295" s="14">
        <f t="shared" si="54"/>
        <v>960</v>
      </c>
      <c r="CJ295" s="52">
        <v>291</v>
      </c>
      <c r="CK295" s="52">
        <v>3</v>
      </c>
      <c r="CL295" s="52" t="s">
        <v>257</v>
      </c>
      <c r="CM295" s="52">
        <v>91</v>
      </c>
      <c r="CN295" s="52"/>
      <c r="CO295" s="52"/>
      <c r="CP295" s="52"/>
      <c r="CQ295" s="52" t="s">
        <v>372</v>
      </c>
      <c r="CR295" s="52">
        <v>31500</v>
      </c>
      <c r="CS295" s="52" t="s">
        <v>373</v>
      </c>
      <c r="CT295" s="52">
        <v>105</v>
      </c>
      <c r="CU295" s="52"/>
      <c r="CV295" s="52"/>
      <c r="CW295" s="52" t="s">
        <v>373</v>
      </c>
      <c r="CX295" s="52">
        <v>110</v>
      </c>
      <c r="CY295" s="52"/>
      <c r="CZ295" s="52"/>
      <c r="DA295" s="52"/>
      <c r="DB295" s="52"/>
      <c r="DC295" s="52"/>
      <c r="DD295" s="52"/>
      <c r="DE295" s="52"/>
      <c r="DF295" s="52"/>
      <c r="DG295" s="52"/>
      <c r="DH295" s="52"/>
    </row>
    <row r="296" spans="58:112" ht="16.5" x14ac:dyDescent="0.2">
      <c r="BF296" s="52">
        <v>291</v>
      </c>
      <c r="BG296" s="14">
        <f t="shared" si="49"/>
        <v>0</v>
      </c>
      <c r="BH296" s="14">
        <f t="shared" si="50"/>
        <v>480</v>
      </c>
      <c r="BI296" s="14">
        <f t="shared" si="51"/>
        <v>0</v>
      </c>
      <c r="BJ296" s="14">
        <f t="shared" si="52"/>
        <v>1200</v>
      </c>
      <c r="BK296" s="14">
        <f t="shared" si="53"/>
        <v>480</v>
      </c>
      <c r="BL296" s="14">
        <f t="shared" si="54"/>
        <v>960</v>
      </c>
      <c r="CJ296" s="52">
        <v>292</v>
      </c>
      <c r="CK296" s="52">
        <v>3</v>
      </c>
      <c r="CL296" s="52" t="s">
        <v>257</v>
      </c>
      <c r="CM296" s="52">
        <v>92</v>
      </c>
      <c r="CN296" s="52"/>
      <c r="CO296" s="52"/>
      <c r="CP296" s="52"/>
      <c r="CQ296" s="52" t="s">
        <v>372</v>
      </c>
      <c r="CR296" s="52">
        <v>31500</v>
      </c>
      <c r="CS296" s="52" t="s">
        <v>373</v>
      </c>
      <c r="CT296" s="52">
        <v>105</v>
      </c>
      <c r="CU296" s="52"/>
      <c r="CV296" s="52"/>
      <c r="CW296" s="52" t="s">
        <v>373</v>
      </c>
      <c r="CX296" s="52">
        <v>110</v>
      </c>
      <c r="CY296" s="52"/>
      <c r="CZ296" s="52"/>
      <c r="DA296" s="52"/>
      <c r="DB296" s="52"/>
      <c r="DC296" s="52"/>
      <c r="DD296" s="52"/>
      <c r="DE296" s="52"/>
      <c r="DF296" s="52"/>
      <c r="DG296" s="52"/>
      <c r="DH296" s="52"/>
    </row>
    <row r="297" spans="58:112" ht="16.5" x14ac:dyDescent="0.2">
      <c r="BF297" s="52">
        <v>292</v>
      </c>
      <c r="BG297" s="14">
        <f t="shared" si="49"/>
        <v>0</v>
      </c>
      <c r="BH297" s="14">
        <f t="shared" si="50"/>
        <v>480</v>
      </c>
      <c r="BI297" s="14">
        <f t="shared" si="51"/>
        <v>0</v>
      </c>
      <c r="BJ297" s="14">
        <f t="shared" si="52"/>
        <v>1200</v>
      </c>
      <c r="BK297" s="14">
        <f t="shared" si="53"/>
        <v>480</v>
      </c>
      <c r="BL297" s="14">
        <f t="shared" si="54"/>
        <v>960</v>
      </c>
      <c r="CJ297" s="52">
        <v>293</v>
      </c>
      <c r="CK297" s="52">
        <v>3</v>
      </c>
      <c r="CL297" s="52" t="s">
        <v>257</v>
      </c>
      <c r="CM297" s="52">
        <v>93</v>
      </c>
      <c r="CN297" s="52"/>
      <c r="CO297" s="52"/>
      <c r="CP297" s="52"/>
      <c r="CQ297" s="52" t="s">
        <v>372</v>
      </c>
      <c r="CR297" s="52">
        <v>31500</v>
      </c>
      <c r="CS297" s="52" t="s">
        <v>373</v>
      </c>
      <c r="CT297" s="52">
        <v>105</v>
      </c>
      <c r="CU297" s="52"/>
      <c r="CV297" s="52"/>
      <c r="CW297" s="52" t="s">
        <v>373</v>
      </c>
      <c r="CX297" s="52">
        <v>110</v>
      </c>
      <c r="CY297" s="52"/>
      <c r="CZ297" s="52"/>
      <c r="DA297" s="52"/>
      <c r="DB297" s="52"/>
      <c r="DC297" s="52"/>
      <c r="DD297" s="52"/>
      <c r="DE297" s="52"/>
      <c r="DF297" s="52"/>
      <c r="DG297" s="52"/>
      <c r="DH297" s="52"/>
    </row>
    <row r="298" spans="58:112" ht="16.5" x14ac:dyDescent="0.2">
      <c r="BF298" s="52">
        <v>293</v>
      </c>
      <c r="BG298" s="14">
        <f t="shared" ref="BG298:BG361" si="55">SUMIFS($F$5:$F$104,$AT$6:$AT$105,"="&amp;BF298)+SUMIFS($Q$5:$Q$104,$AW$6:$AW$105,"="&amp;BF298)+SUMIFS($AB$5:$AB$104,$AZ$6:$AZ$105,"="&amp;BF298)+SUMIFS($AM$5:$AM$104,$BC$6:$BC$105,"="&amp;BF298)</f>
        <v>0</v>
      </c>
      <c r="BH298" s="14">
        <f t="shared" ref="BH298:BH361" si="56">INDEX($G$5:$G$104,MATCH(BF298,$AT$5:$AT$105,1)-1)+INDEX($R$5:$R$104,MATCH(BF298,$AW$5:$AW$105,1)-1)+INDEX($AC$5:$AC$104,MATCH(BF298,$AZ$5:$AZ$105,1)-1)+INDEX($AN$5:$AN$104,MATCH(BF298,$BC$5:$BC$105,1)-1)</f>
        <v>480</v>
      </c>
      <c r="BI298" s="14">
        <f t="shared" ref="BI298:BI361" si="57">SUMIFS($H$5:$H$104,$AT$6:$AT$105,"="&amp;BF298)+SUMIFS($S$5:$S$104,$AW$6:$AW$105,"="&amp;BF298)+SUMIFS($AD$5:$AD$104,$AZ$6:$AZ$105,"="&amp;BF298)+SUMIFS($AO$5:$AO$104,$BC$6:$BC$105,"="&amp;BF298)</f>
        <v>0</v>
      </c>
      <c r="BJ298" s="14">
        <f t="shared" ref="BJ298:BJ361" si="58">INDEX($I$5:$I$104,MATCH(BF298,$AT$5:$AT$105,1)-1)+INDEX($T$5:$T$104,MATCH(BF298,$AW$5:$AW$105,1)-1)+INDEX($AE$5:$AE$104,MATCH(BF298,$AZ$5:$AZ$105,1)-1)+INDEX($AP$5:$AP$104,MATCH(BF298,$BC$5:$BC$105,1)-1)</f>
        <v>1200</v>
      </c>
      <c r="BK298" s="14">
        <f t="shared" si="53"/>
        <v>480</v>
      </c>
      <c r="BL298" s="14">
        <f t="shared" si="54"/>
        <v>960</v>
      </c>
      <c r="CJ298" s="52">
        <v>294</v>
      </c>
      <c r="CK298" s="52">
        <v>3</v>
      </c>
      <c r="CL298" s="52" t="s">
        <v>257</v>
      </c>
      <c r="CM298" s="52">
        <v>94</v>
      </c>
      <c r="CN298" s="52"/>
      <c r="CO298" s="52"/>
      <c r="CP298" s="52"/>
      <c r="CQ298" s="52" t="s">
        <v>372</v>
      </c>
      <c r="CR298" s="52">
        <v>31500</v>
      </c>
      <c r="CS298" s="52" t="s">
        <v>373</v>
      </c>
      <c r="CT298" s="52">
        <v>105</v>
      </c>
      <c r="CU298" s="52"/>
      <c r="CV298" s="52"/>
      <c r="CW298" s="52" t="s">
        <v>373</v>
      </c>
      <c r="CX298" s="52">
        <v>110</v>
      </c>
      <c r="CY298" s="52"/>
      <c r="CZ298" s="52"/>
      <c r="DA298" s="52"/>
      <c r="DB298" s="52"/>
      <c r="DC298" s="52"/>
      <c r="DD298" s="52"/>
      <c r="DE298" s="52"/>
      <c r="DF298" s="52"/>
      <c r="DG298" s="52"/>
      <c r="DH298" s="52"/>
    </row>
    <row r="299" spans="58:112" ht="16.5" x14ac:dyDescent="0.2">
      <c r="BF299" s="52">
        <v>294</v>
      </c>
      <c r="BG299" s="14">
        <f t="shared" si="55"/>
        <v>0</v>
      </c>
      <c r="BH299" s="14">
        <f t="shared" si="56"/>
        <v>480</v>
      </c>
      <c r="BI299" s="14">
        <f t="shared" si="57"/>
        <v>0</v>
      </c>
      <c r="BJ299" s="14">
        <f t="shared" si="58"/>
        <v>1200</v>
      </c>
      <c r="BK299" s="14">
        <f t="shared" si="53"/>
        <v>480</v>
      </c>
      <c r="BL299" s="14">
        <f t="shared" si="54"/>
        <v>960</v>
      </c>
      <c r="CJ299" s="52">
        <v>295</v>
      </c>
      <c r="CK299" s="52">
        <v>3</v>
      </c>
      <c r="CL299" s="52" t="s">
        <v>257</v>
      </c>
      <c r="CM299" s="52">
        <v>95</v>
      </c>
      <c r="CN299" s="52"/>
      <c r="CO299" s="52"/>
      <c r="CP299" s="52"/>
      <c r="CQ299" s="52" t="s">
        <v>372</v>
      </c>
      <c r="CR299" s="52">
        <v>31500</v>
      </c>
      <c r="CS299" s="52" t="s">
        <v>373</v>
      </c>
      <c r="CT299" s="52">
        <v>105</v>
      </c>
      <c r="CU299" s="52" t="s">
        <v>275</v>
      </c>
      <c r="CV299" s="52">
        <v>3</v>
      </c>
      <c r="CW299" s="52" t="s">
        <v>373</v>
      </c>
      <c r="CX299" s="52">
        <v>115</v>
      </c>
      <c r="CY299" s="52"/>
      <c r="CZ299" s="52"/>
      <c r="DA299" s="52"/>
      <c r="DB299" s="52"/>
      <c r="DC299" s="52"/>
      <c r="DD299" s="52"/>
      <c r="DE299" s="52"/>
      <c r="DF299" s="52"/>
      <c r="DG299" s="52"/>
      <c r="DH299" s="52"/>
    </row>
    <row r="300" spans="58:112" ht="16.5" x14ac:dyDescent="0.2">
      <c r="BF300" s="52">
        <v>295</v>
      </c>
      <c r="BG300" s="14">
        <f t="shared" si="55"/>
        <v>0</v>
      </c>
      <c r="BH300" s="14">
        <f t="shared" si="56"/>
        <v>480</v>
      </c>
      <c r="BI300" s="14">
        <f t="shared" si="57"/>
        <v>0</v>
      </c>
      <c r="BJ300" s="14">
        <f t="shared" si="58"/>
        <v>1200</v>
      </c>
      <c r="BK300" s="14">
        <f t="shared" si="53"/>
        <v>480</v>
      </c>
      <c r="BL300" s="14">
        <f t="shared" si="54"/>
        <v>960</v>
      </c>
      <c r="CJ300" s="52">
        <v>296</v>
      </c>
      <c r="CK300" s="52">
        <v>3</v>
      </c>
      <c r="CL300" s="52" t="s">
        <v>257</v>
      </c>
      <c r="CM300" s="52">
        <v>96</v>
      </c>
      <c r="CN300" s="52"/>
      <c r="CO300" s="52"/>
      <c r="CP300" s="52"/>
      <c r="CQ300" s="52" t="s">
        <v>372</v>
      </c>
      <c r="CR300" s="52">
        <v>36000</v>
      </c>
      <c r="CS300" s="52" t="s">
        <v>373</v>
      </c>
      <c r="CT300" s="52">
        <v>110</v>
      </c>
      <c r="CU300" s="52"/>
      <c r="CV300" s="52"/>
      <c r="CW300" s="52" t="s">
        <v>373</v>
      </c>
      <c r="CX300" s="52">
        <v>115</v>
      </c>
      <c r="CY300" s="52"/>
      <c r="CZ300" s="52"/>
      <c r="DA300" s="52"/>
      <c r="DB300" s="52"/>
      <c r="DC300" s="52"/>
      <c r="DD300" s="52"/>
      <c r="DE300" s="52"/>
      <c r="DF300" s="52"/>
      <c r="DG300" s="52"/>
      <c r="DH300" s="52"/>
    </row>
    <row r="301" spans="58:112" ht="16.5" x14ac:dyDescent="0.2">
      <c r="BF301" s="52">
        <v>296</v>
      </c>
      <c r="BG301" s="14">
        <f t="shared" si="55"/>
        <v>0</v>
      </c>
      <c r="BH301" s="14">
        <f t="shared" si="56"/>
        <v>480</v>
      </c>
      <c r="BI301" s="14">
        <f t="shared" si="57"/>
        <v>0</v>
      </c>
      <c r="BJ301" s="14">
        <f t="shared" si="58"/>
        <v>1200</v>
      </c>
      <c r="BK301" s="14">
        <f t="shared" si="53"/>
        <v>480</v>
      </c>
      <c r="BL301" s="14">
        <f t="shared" si="54"/>
        <v>960</v>
      </c>
      <c r="CJ301" s="52">
        <v>297</v>
      </c>
      <c r="CK301" s="52">
        <v>3</v>
      </c>
      <c r="CL301" s="52" t="s">
        <v>257</v>
      </c>
      <c r="CM301" s="52">
        <v>97</v>
      </c>
      <c r="CN301" s="52"/>
      <c r="CO301" s="52"/>
      <c r="CP301" s="52"/>
      <c r="CQ301" s="52" t="s">
        <v>372</v>
      </c>
      <c r="CR301" s="52">
        <v>36000</v>
      </c>
      <c r="CS301" s="52" t="s">
        <v>373</v>
      </c>
      <c r="CT301" s="52">
        <v>110</v>
      </c>
      <c r="CU301" s="52"/>
      <c r="CV301" s="52"/>
      <c r="CW301" s="52" t="s">
        <v>373</v>
      </c>
      <c r="CX301" s="52">
        <v>115</v>
      </c>
      <c r="CY301" s="52"/>
      <c r="CZ301" s="52"/>
      <c r="DA301" s="52"/>
      <c r="DB301" s="52"/>
      <c r="DC301" s="52"/>
      <c r="DD301" s="52"/>
      <c r="DE301" s="52"/>
      <c r="DF301" s="52"/>
      <c r="DG301" s="52"/>
      <c r="DH301" s="52"/>
    </row>
    <row r="302" spans="58:112" ht="16.5" x14ac:dyDescent="0.2">
      <c r="BF302" s="52">
        <v>297</v>
      </c>
      <c r="BG302" s="14">
        <f t="shared" si="55"/>
        <v>0</v>
      </c>
      <c r="BH302" s="14">
        <f t="shared" si="56"/>
        <v>480</v>
      </c>
      <c r="BI302" s="14">
        <f t="shared" si="57"/>
        <v>0</v>
      </c>
      <c r="BJ302" s="14">
        <f t="shared" si="58"/>
        <v>1200</v>
      </c>
      <c r="BK302" s="14">
        <f t="shared" si="53"/>
        <v>480</v>
      </c>
      <c r="BL302" s="14">
        <f t="shared" si="54"/>
        <v>960</v>
      </c>
      <c r="CJ302" s="52">
        <v>298</v>
      </c>
      <c r="CK302" s="52">
        <v>3</v>
      </c>
      <c r="CL302" s="52" t="s">
        <v>257</v>
      </c>
      <c r="CM302" s="52">
        <v>98</v>
      </c>
      <c r="CN302" s="52"/>
      <c r="CO302" s="52"/>
      <c r="CP302" s="52"/>
      <c r="CQ302" s="52" t="s">
        <v>372</v>
      </c>
      <c r="CR302" s="52">
        <v>36000</v>
      </c>
      <c r="CS302" s="52" t="s">
        <v>373</v>
      </c>
      <c r="CT302" s="52">
        <v>110</v>
      </c>
      <c r="CU302" s="52"/>
      <c r="CV302" s="52"/>
      <c r="CW302" s="52" t="s">
        <v>373</v>
      </c>
      <c r="CX302" s="52">
        <v>115</v>
      </c>
      <c r="CY302" s="52"/>
      <c r="CZ302" s="52"/>
      <c r="DA302" s="52"/>
      <c r="DB302" s="52"/>
      <c r="DC302" s="52"/>
      <c r="DD302" s="52"/>
      <c r="DE302" s="52"/>
      <c r="DF302" s="52"/>
      <c r="DG302" s="52"/>
      <c r="DH302" s="52"/>
    </row>
    <row r="303" spans="58:112" ht="16.5" x14ac:dyDescent="0.2">
      <c r="BF303" s="52">
        <v>298</v>
      </c>
      <c r="BG303" s="14">
        <f t="shared" si="55"/>
        <v>0</v>
      </c>
      <c r="BH303" s="14">
        <f t="shared" si="56"/>
        <v>480</v>
      </c>
      <c r="BI303" s="14">
        <f t="shared" si="57"/>
        <v>0</v>
      </c>
      <c r="BJ303" s="14">
        <f t="shared" si="58"/>
        <v>1200</v>
      </c>
      <c r="BK303" s="14">
        <f t="shared" si="53"/>
        <v>480</v>
      </c>
      <c r="BL303" s="14">
        <f t="shared" si="54"/>
        <v>960</v>
      </c>
      <c r="CJ303" s="52">
        <v>299</v>
      </c>
      <c r="CK303" s="52">
        <v>3</v>
      </c>
      <c r="CL303" s="52" t="s">
        <v>257</v>
      </c>
      <c r="CM303" s="52">
        <v>99</v>
      </c>
      <c r="CN303" s="52"/>
      <c r="CO303" s="52"/>
      <c r="CP303" s="52"/>
      <c r="CQ303" s="52" t="s">
        <v>372</v>
      </c>
      <c r="CR303" s="52">
        <v>36000</v>
      </c>
      <c r="CS303" s="52" t="s">
        <v>373</v>
      </c>
      <c r="CT303" s="52">
        <v>110</v>
      </c>
      <c r="CU303" s="52"/>
      <c r="CV303" s="52"/>
      <c r="CW303" s="52" t="s">
        <v>373</v>
      </c>
      <c r="CX303" s="52">
        <v>115</v>
      </c>
      <c r="CY303" s="52"/>
      <c r="CZ303" s="52"/>
      <c r="DA303" s="52"/>
      <c r="DB303" s="52"/>
      <c r="DC303" s="52"/>
      <c r="DD303" s="52"/>
      <c r="DE303" s="52"/>
      <c r="DF303" s="52"/>
      <c r="DG303" s="52"/>
      <c r="DH303" s="52"/>
    </row>
    <row r="304" spans="58:112" ht="16.5" x14ac:dyDescent="0.2">
      <c r="BF304" s="52">
        <v>299</v>
      </c>
      <c r="BG304" s="14">
        <f t="shared" si="55"/>
        <v>0</v>
      </c>
      <c r="BH304" s="14">
        <f t="shared" si="56"/>
        <v>480</v>
      </c>
      <c r="BI304" s="14">
        <f t="shared" si="57"/>
        <v>0</v>
      </c>
      <c r="BJ304" s="14">
        <f t="shared" si="58"/>
        <v>1200</v>
      </c>
      <c r="BK304" s="14">
        <f t="shared" si="53"/>
        <v>480</v>
      </c>
      <c r="BL304" s="14">
        <f t="shared" si="54"/>
        <v>960</v>
      </c>
      <c r="CJ304" s="52">
        <v>300</v>
      </c>
      <c r="CK304" s="52">
        <v>3</v>
      </c>
      <c r="CL304" s="52" t="s">
        <v>257</v>
      </c>
      <c r="CM304" s="52">
        <v>100</v>
      </c>
      <c r="CN304" s="52"/>
      <c r="CO304" s="52"/>
      <c r="CP304" s="52"/>
      <c r="CQ304" s="52" t="s">
        <v>372</v>
      </c>
      <c r="CR304" s="52">
        <v>36000</v>
      </c>
      <c r="CS304" s="52" t="s">
        <v>373</v>
      </c>
      <c r="CT304" s="52">
        <v>110</v>
      </c>
      <c r="CU304" s="52" t="s">
        <v>279</v>
      </c>
      <c r="CV304" s="52">
        <v>3</v>
      </c>
      <c r="CW304" s="52" t="s">
        <v>373</v>
      </c>
      <c r="CX304" s="52">
        <v>120</v>
      </c>
      <c r="CY304" s="52"/>
      <c r="CZ304" s="52"/>
      <c r="DA304" s="52"/>
      <c r="DB304" s="52"/>
      <c r="DC304" s="52"/>
      <c r="DD304" s="52"/>
      <c r="DE304" s="52"/>
      <c r="DF304" s="52"/>
      <c r="DG304" s="52"/>
      <c r="DH304" s="52"/>
    </row>
    <row r="305" spans="58:112" ht="16.5" x14ac:dyDescent="0.2">
      <c r="BF305" s="52">
        <v>300</v>
      </c>
      <c r="BG305" s="14">
        <f t="shared" si="55"/>
        <v>0</v>
      </c>
      <c r="BH305" s="14">
        <f t="shared" si="56"/>
        <v>480</v>
      </c>
      <c r="BI305" s="14">
        <f t="shared" si="57"/>
        <v>0</v>
      </c>
      <c r="BJ305" s="14">
        <f t="shared" si="58"/>
        <v>1200</v>
      </c>
      <c r="BK305" s="14">
        <f t="shared" si="53"/>
        <v>480</v>
      </c>
      <c r="BL305" s="14">
        <f t="shared" si="54"/>
        <v>960</v>
      </c>
      <c r="CJ305" s="52">
        <v>301</v>
      </c>
      <c r="CK305" s="52">
        <v>4</v>
      </c>
      <c r="CL305" s="52" t="s">
        <v>257</v>
      </c>
      <c r="CM305" s="52">
        <v>1</v>
      </c>
      <c r="CN305" s="52"/>
      <c r="CO305" s="52"/>
      <c r="CP305" s="52"/>
      <c r="CQ305" s="52" t="s">
        <v>372</v>
      </c>
      <c r="CR305" s="52">
        <v>5760</v>
      </c>
      <c r="CS305" s="52" t="s">
        <v>373</v>
      </c>
      <c r="CT305" s="52">
        <v>20</v>
      </c>
      <c r="CU305" s="52"/>
      <c r="CV305" s="52"/>
      <c r="CW305" s="52" t="s">
        <v>373</v>
      </c>
      <c r="CX305" s="52">
        <v>20</v>
      </c>
      <c r="CY305" s="52"/>
      <c r="CZ305" s="52"/>
      <c r="DA305" s="52"/>
      <c r="DB305" s="52"/>
      <c r="DC305" s="52"/>
      <c r="DD305" s="52"/>
      <c r="DE305" s="52"/>
      <c r="DF305" s="52"/>
      <c r="DG305" s="52"/>
      <c r="DH305" s="52"/>
    </row>
    <row r="306" spans="58:112" ht="16.5" x14ac:dyDescent="0.2">
      <c r="BF306" s="52">
        <v>301</v>
      </c>
      <c r="BG306" s="14">
        <f t="shared" si="55"/>
        <v>0</v>
      </c>
      <c r="BH306" s="14">
        <f t="shared" si="56"/>
        <v>480</v>
      </c>
      <c r="BI306" s="14">
        <f t="shared" si="57"/>
        <v>0</v>
      </c>
      <c r="BJ306" s="14">
        <f t="shared" si="58"/>
        <v>1200</v>
      </c>
      <c r="BK306" s="14">
        <f t="shared" si="53"/>
        <v>480</v>
      </c>
      <c r="BL306" s="14">
        <f t="shared" si="54"/>
        <v>960</v>
      </c>
      <c r="CJ306" s="52">
        <v>302</v>
      </c>
      <c r="CK306" s="52">
        <v>4</v>
      </c>
      <c r="CL306" s="52" t="s">
        <v>257</v>
      </c>
      <c r="CM306" s="52">
        <v>2</v>
      </c>
      <c r="CN306" s="52"/>
      <c r="CO306" s="52"/>
      <c r="CP306" s="52"/>
      <c r="CQ306" s="52" t="s">
        <v>372</v>
      </c>
      <c r="CR306" s="52">
        <v>5760</v>
      </c>
      <c r="CS306" s="52" t="s">
        <v>373</v>
      </c>
      <c r="CT306" s="52">
        <v>20</v>
      </c>
      <c r="CU306" s="52" t="s">
        <v>277</v>
      </c>
      <c r="CV306" s="52">
        <v>1</v>
      </c>
      <c r="CW306" s="52" t="s">
        <v>373</v>
      </c>
      <c r="CX306" s="52">
        <v>20</v>
      </c>
      <c r="CY306" s="52"/>
      <c r="CZ306" s="52"/>
      <c r="DA306" s="52"/>
      <c r="DB306" s="52"/>
      <c r="DC306" s="52"/>
      <c r="DD306" s="52"/>
      <c r="DE306" s="52"/>
      <c r="DF306" s="52"/>
      <c r="DG306" s="52"/>
      <c r="DH306" s="52"/>
    </row>
    <row r="307" spans="58:112" ht="16.5" x14ac:dyDescent="0.2">
      <c r="BF307" s="52">
        <v>302</v>
      </c>
      <c r="BG307" s="14">
        <f t="shared" si="55"/>
        <v>0</v>
      </c>
      <c r="BH307" s="14">
        <f t="shared" si="56"/>
        <v>480</v>
      </c>
      <c r="BI307" s="14">
        <f t="shared" si="57"/>
        <v>0</v>
      </c>
      <c r="BJ307" s="14">
        <f t="shared" si="58"/>
        <v>1200</v>
      </c>
      <c r="BK307" s="14">
        <f t="shared" si="53"/>
        <v>480</v>
      </c>
      <c r="BL307" s="14">
        <f t="shared" si="54"/>
        <v>960</v>
      </c>
      <c r="CJ307" s="52">
        <v>303</v>
      </c>
      <c r="CK307" s="52">
        <v>4</v>
      </c>
      <c r="CL307" s="52" t="s">
        <v>257</v>
      </c>
      <c r="CM307" s="52">
        <v>3</v>
      </c>
      <c r="CN307" s="52"/>
      <c r="CO307" s="52"/>
      <c r="CP307" s="52"/>
      <c r="CQ307" s="52" t="s">
        <v>372</v>
      </c>
      <c r="CR307" s="52">
        <v>5760</v>
      </c>
      <c r="CS307" s="52" t="s">
        <v>373</v>
      </c>
      <c r="CT307" s="52">
        <v>20</v>
      </c>
      <c r="CU307" s="52"/>
      <c r="CV307" s="52"/>
      <c r="CW307" s="52" t="s">
        <v>373</v>
      </c>
      <c r="CX307" s="52">
        <v>20</v>
      </c>
      <c r="CY307" s="52"/>
      <c r="CZ307" s="52"/>
      <c r="DA307" s="52"/>
      <c r="DB307" s="52"/>
      <c r="DC307" s="52"/>
      <c r="DD307" s="52"/>
      <c r="DE307" s="52"/>
      <c r="DF307" s="52"/>
      <c r="DG307" s="52"/>
      <c r="DH307" s="52"/>
    </row>
    <row r="308" spans="58:112" ht="16.5" x14ac:dyDescent="0.2">
      <c r="BF308" s="52">
        <v>303</v>
      </c>
      <c r="BG308" s="14">
        <f t="shared" si="55"/>
        <v>0</v>
      </c>
      <c r="BH308" s="14">
        <f t="shared" si="56"/>
        <v>480</v>
      </c>
      <c r="BI308" s="14">
        <f t="shared" si="57"/>
        <v>0</v>
      </c>
      <c r="BJ308" s="14">
        <f t="shared" si="58"/>
        <v>1200</v>
      </c>
      <c r="BK308" s="14">
        <f t="shared" si="53"/>
        <v>480</v>
      </c>
      <c r="BL308" s="14">
        <f t="shared" si="54"/>
        <v>960</v>
      </c>
      <c r="CJ308" s="52">
        <v>304</v>
      </c>
      <c r="CK308" s="52">
        <v>4</v>
      </c>
      <c r="CL308" s="52" t="s">
        <v>257</v>
      </c>
      <c r="CM308" s="52">
        <v>4</v>
      </c>
      <c r="CN308" s="52"/>
      <c r="CO308" s="52"/>
      <c r="CP308" s="52"/>
      <c r="CQ308" s="52" t="s">
        <v>372</v>
      </c>
      <c r="CR308" s="52">
        <v>5760</v>
      </c>
      <c r="CS308" s="52" t="s">
        <v>373</v>
      </c>
      <c r="CT308" s="52">
        <v>20</v>
      </c>
      <c r="CU308" s="52" t="s">
        <v>278</v>
      </c>
      <c r="CV308" s="52">
        <v>1</v>
      </c>
      <c r="CW308" s="52" t="s">
        <v>373</v>
      </c>
      <c r="CX308" s="52">
        <v>20</v>
      </c>
      <c r="CY308" s="52"/>
      <c r="CZ308" s="52"/>
      <c r="DA308" s="52"/>
      <c r="DB308" s="52"/>
      <c r="DC308" s="52"/>
      <c r="DD308" s="52"/>
      <c r="DE308" s="52"/>
      <c r="DF308" s="52"/>
      <c r="DG308" s="52"/>
      <c r="DH308" s="52"/>
    </row>
    <row r="309" spans="58:112" ht="16.5" x14ac:dyDescent="0.2">
      <c r="BF309" s="52">
        <v>304</v>
      </c>
      <c r="BG309" s="14">
        <f t="shared" si="55"/>
        <v>0</v>
      </c>
      <c r="BH309" s="14">
        <f t="shared" si="56"/>
        <v>480</v>
      </c>
      <c r="BI309" s="14">
        <f t="shared" si="57"/>
        <v>0</v>
      </c>
      <c r="BJ309" s="14">
        <f t="shared" si="58"/>
        <v>1200</v>
      </c>
      <c r="BK309" s="14">
        <f t="shared" si="53"/>
        <v>480</v>
      </c>
      <c r="BL309" s="14">
        <f t="shared" si="54"/>
        <v>960</v>
      </c>
      <c r="CJ309" s="52">
        <v>305</v>
      </c>
      <c r="CK309" s="52">
        <v>4</v>
      </c>
      <c r="CL309" s="52" t="s">
        <v>257</v>
      </c>
      <c r="CM309" s="52">
        <v>5</v>
      </c>
      <c r="CN309" s="52"/>
      <c r="CO309" s="52"/>
      <c r="CP309" s="52"/>
      <c r="CQ309" s="52" t="s">
        <v>372</v>
      </c>
      <c r="CR309" s="52">
        <v>5760</v>
      </c>
      <c r="CS309" s="52" t="s">
        <v>373</v>
      </c>
      <c r="CT309" s="52">
        <v>20</v>
      </c>
      <c r="CU309" s="52"/>
      <c r="CV309" s="52"/>
      <c r="CW309" s="52" t="s">
        <v>373</v>
      </c>
      <c r="CX309" s="52">
        <v>25</v>
      </c>
      <c r="CY309" s="52"/>
      <c r="CZ309" s="52"/>
      <c r="DA309" s="52"/>
      <c r="DB309" s="52"/>
      <c r="DC309" s="52"/>
      <c r="DD309" s="52"/>
      <c r="DE309" s="52"/>
      <c r="DF309" s="52"/>
      <c r="DG309" s="52"/>
      <c r="DH309" s="52"/>
    </row>
    <row r="310" spans="58:112" ht="16.5" x14ac:dyDescent="0.2">
      <c r="BF310" s="52">
        <v>305</v>
      </c>
      <c r="BG310" s="14">
        <f t="shared" si="55"/>
        <v>0</v>
      </c>
      <c r="BH310" s="14">
        <f t="shared" si="56"/>
        <v>480</v>
      </c>
      <c r="BI310" s="14">
        <f t="shared" si="57"/>
        <v>0</v>
      </c>
      <c r="BJ310" s="14">
        <f t="shared" si="58"/>
        <v>1200</v>
      </c>
      <c r="BK310" s="14">
        <f t="shared" si="53"/>
        <v>480</v>
      </c>
      <c r="BL310" s="14">
        <f t="shared" si="54"/>
        <v>960</v>
      </c>
      <c r="CJ310" s="52">
        <v>306</v>
      </c>
      <c r="CK310" s="52">
        <v>4</v>
      </c>
      <c r="CL310" s="52" t="s">
        <v>257</v>
      </c>
      <c r="CM310" s="52">
        <v>6</v>
      </c>
      <c r="CN310" s="52"/>
      <c r="CO310" s="52"/>
      <c r="CP310" s="52"/>
      <c r="CQ310" s="52" t="s">
        <v>372</v>
      </c>
      <c r="CR310" s="52">
        <v>7200</v>
      </c>
      <c r="CS310" s="52" t="s">
        <v>373</v>
      </c>
      <c r="CT310" s="52">
        <v>25</v>
      </c>
      <c r="CU310" s="52"/>
      <c r="CV310" s="52"/>
      <c r="CW310" s="52" t="s">
        <v>373</v>
      </c>
      <c r="CX310" s="52">
        <v>25</v>
      </c>
      <c r="CY310" s="52"/>
      <c r="CZ310" s="52"/>
      <c r="DA310" s="52"/>
      <c r="DB310" s="52"/>
      <c r="DC310" s="52"/>
      <c r="DD310" s="52"/>
      <c r="DE310" s="52"/>
      <c r="DF310" s="52"/>
      <c r="DG310" s="52"/>
      <c r="DH310" s="52"/>
    </row>
    <row r="311" spans="58:112" ht="16.5" x14ac:dyDescent="0.2">
      <c r="BF311" s="52">
        <v>306</v>
      </c>
      <c r="BG311" s="14">
        <f t="shared" si="55"/>
        <v>0</v>
      </c>
      <c r="BH311" s="14">
        <f t="shared" si="56"/>
        <v>480</v>
      </c>
      <c r="BI311" s="14">
        <f t="shared" si="57"/>
        <v>0</v>
      </c>
      <c r="BJ311" s="14">
        <f t="shared" si="58"/>
        <v>1200</v>
      </c>
      <c r="BK311" s="14">
        <f t="shared" si="53"/>
        <v>480</v>
      </c>
      <c r="BL311" s="14">
        <f t="shared" si="54"/>
        <v>960</v>
      </c>
      <c r="CJ311" s="52">
        <v>307</v>
      </c>
      <c r="CK311" s="52">
        <v>4</v>
      </c>
      <c r="CL311" s="52" t="s">
        <v>257</v>
      </c>
      <c r="CM311" s="52">
        <v>7</v>
      </c>
      <c r="CN311" s="52"/>
      <c r="CO311" s="52"/>
      <c r="CP311" s="52"/>
      <c r="CQ311" s="52" t="s">
        <v>372</v>
      </c>
      <c r="CR311" s="52">
        <v>7200</v>
      </c>
      <c r="CS311" s="52" t="s">
        <v>373</v>
      </c>
      <c r="CT311" s="52">
        <v>25</v>
      </c>
      <c r="CU311" s="52" t="s">
        <v>281</v>
      </c>
      <c r="CV311" s="52">
        <v>1</v>
      </c>
      <c r="CW311" s="52" t="s">
        <v>373</v>
      </c>
      <c r="CX311" s="52">
        <v>25</v>
      </c>
      <c r="CY311" s="52"/>
      <c r="CZ311" s="52"/>
      <c r="DA311" s="52"/>
      <c r="DB311" s="52"/>
      <c r="DC311" s="52"/>
      <c r="DD311" s="52"/>
      <c r="DE311" s="52"/>
      <c r="DF311" s="52"/>
      <c r="DG311" s="52"/>
      <c r="DH311" s="52"/>
    </row>
    <row r="312" spans="58:112" ht="16.5" x14ac:dyDescent="0.2">
      <c r="BF312" s="52">
        <v>307</v>
      </c>
      <c r="BG312" s="14">
        <f t="shared" si="55"/>
        <v>0</v>
      </c>
      <c r="BH312" s="14">
        <f t="shared" si="56"/>
        <v>480</v>
      </c>
      <c r="BI312" s="14">
        <f t="shared" si="57"/>
        <v>0</v>
      </c>
      <c r="BJ312" s="14">
        <f t="shared" si="58"/>
        <v>1200</v>
      </c>
      <c r="BK312" s="14">
        <f t="shared" si="53"/>
        <v>480</v>
      </c>
      <c r="BL312" s="14">
        <f t="shared" si="54"/>
        <v>960</v>
      </c>
      <c r="CJ312" s="52">
        <v>308</v>
      </c>
      <c r="CK312" s="52">
        <v>4</v>
      </c>
      <c r="CL312" s="52" t="s">
        <v>257</v>
      </c>
      <c r="CM312" s="52">
        <v>8</v>
      </c>
      <c r="CN312" s="52"/>
      <c r="CO312" s="52"/>
      <c r="CP312" s="52"/>
      <c r="CQ312" s="52" t="s">
        <v>372</v>
      </c>
      <c r="CR312" s="52">
        <v>7200</v>
      </c>
      <c r="CS312" s="52" t="s">
        <v>373</v>
      </c>
      <c r="CT312" s="52">
        <v>25</v>
      </c>
      <c r="CU312" s="52"/>
      <c r="CV312" s="52"/>
      <c r="CW312" s="52" t="s">
        <v>373</v>
      </c>
      <c r="CX312" s="52">
        <v>25</v>
      </c>
      <c r="CY312" s="52"/>
      <c r="CZ312" s="52"/>
      <c r="DA312" s="52"/>
      <c r="DB312" s="52"/>
      <c r="DC312" s="52"/>
      <c r="DD312" s="52"/>
      <c r="DE312" s="52"/>
      <c r="DF312" s="52"/>
      <c r="DG312" s="52"/>
      <c r="DH312" s="52"/>
    </row>
    <row r="313" spans="58:112" ht="16.5" x14ac:dyDescent="0.2">
      <c r="BF313" s="52">
        <v>308</v>
      </c>
      <c r="BG313" s="14">
        <f t="shared" si="55"/>
        <v>0</v>
      </c>
      <c r="BH313" s="14">
        <f t="shared" si="56"/>
        <v>480</v>
      </c>
      <c r="BI313" s="14">
        <f t="shared" si="57"/>
        <v>0</v>
      </c>
      <c r="BJ313" s="14">
        <f t="shared" si="58"/>
        <v>1200</v>
      </c>
      <c r="BK313" s="14">
        <f t="shared" si="53"/>
        <v>480</v>
      </c>
      <c r="BL313" s="14">
        <f t="shared" si="54"/>
        <v>960</v>
      </c>
      <c r="CJ313" s="52">
        <v>309</v>
      </c>
      <c r="CK313" s="52">
        <v>4</v>
      </c>
      <c r="CL313" s="52" t="s">
        <v>257</v>
      </c>
      <c r="CM313" s="52">
        <v>9</v>
      </c>
      <c r="CN313" s="52"/>
      <c r="CO313" s="52"/>
      <c r="CP313" s="52"/>
      <c r="CQ313" s="52" t="s">
        <v>372</v>
      </c>
      <c r="CR313" s="52">
        <v>7200</v>
      </c>
      <c r="CS313" s="52" t="s">
        <v>373</v>
      </c>
      <c r="CT313" s="52">
        <v>25</v>
      </c>
      <c r="CU313" s="52"/>
      <c r="CV313" s="52"/>
      <c r="CW313" s="52" t="s">
        <v>373</v>
      </c>
      <c r="CX313" s="52">
        <v>25</v>
      </c>
      <c r="CY313" s="52"/>
      <c r="CZ313" s="52"/>
      <c r="DA313" s="52"/>
      <c r="DB313" s="52"/>
      <c r="DC313" s="52"/>
      <c r="DD313" s="52"/>
      <c r="DE313" s="52"/>
      <c r="DF313" s="52"/>
      <c r="DG313" s="52"/>
      <c r="DH313" s="52"/>
    </row>
    <row r="314" spans="58:112" ht="16.5" x14ac:dyDescent="0.2">
      <c r="BF314" s="52">
        <v>309</v>
      </c>
      <c r="BG314" s="14">
        <f t="shared" si="55"/>
        <v>0</v>
      </c>
      <c r="BH314" s="14">
        <f t="shared" si="56"/>
        <v>480</v>
      </c>
      <c r="BI314" s="14">
        <f t="shared" si="57"/>
        <v>0</v>
      </c>
      <c r="BJ314" s="14">
        <f t="shared" si="58"/>
        <v>1200</v>
      </c>
      <c r="BK314" s="14">
        <f t="shared" si="53"/>
        <v>480</v>
      </c>
      <c r="BL314" s="14">
        <f t="shared" si="54"/>
        <v>960</v>
      </c>
      <c r="CJ314" s="52">
        <v>310</v>
      </c>
      <c r="CK314" s="52">
        <v>4</v>
      </c>
      <c r="CL314" s="52" t="s">
        <v>257</v>
      </c>
      <c r="CM314" s="52">
        <v>10</v>
      </c>
      <c r="CN314" s="52"/>
      <c r="CO314" s="52"/>
      <c r="CP314" s="52"/>
      <c r="CQ314" s="52" t="s">
        <v>372</v>
      </c>
      <c r="CR314" s="52">
        <v>7200</v>
      </c>
      <c r="CS314" s="52" t="s">
        <v>373</v>
      </c>
      <c r="CT314" s="52">
        <v>25</v>
      </c>
      <c r="CU314" s="52" t="s">
        <v>282</v>
      </c>
      <c r="CV314" s="52">
        <v>1</v>
      </c>
      <c r="CW314" s="52" t="s">
        <v>373</v>
      </c>
      <c r="CX314" s="52">
        <v>30</v>
      </c>
      <c r="CY314" s="52"/>
      <c r="CZ314" s="52"/>
      <c r="DA314" s="52"/>
      <c r="DB314" s="52"/>
      <c r="DC314" s="52"/>
      <c r="DD314" s="52"/>
      <c r="DE314" s="52"/>
      <c r="DF314" s="52"/>
      <c r="DG314" s="52"/>
      <c r="DH314" s="52"/>
    </row>
    <row r="315" spans="58:112" ht="16.5" x14ac:dyDescent="0.2">
      <c r="BF315" s="52">
        <v>310</v>
      </c>
      <c r="BG315" s="14">
        <f t="shared" si="55"/>
        <v>0</v>
      </c>
      <c r="BH315" s="14">
        <f t="shared" si="56"/>
        <v>480</v>
      </c>
      <c r="BI315" s="14">
        <f t="shared" si="57"/>
        <v>0</v>
      </c>
      <c r="BJ315" s="14">
        <f t="shared" si="58"/>
        <v>1200</v>
      </c>
      <c r="BK315" s="14">
        <f t="shared" si="53"/>
        <v>480</v>
      </c>
      <c r="BL315" s="14">
        <f t="shared" si="54"/>
        <v>960</v>
      </c>
      <c r="CJ315" s="52">
        <v>311</v>
      </c>
      <c r="CK315" s="52">
        <v>4</v>
      </c>
      <c r="CL315" s="52" t="s">
        <v>257</v>
      </c>
      <c r="CM315" s="52">
        <v>11</v>
      </c>
      <c r="CN315" s="52"/>
      <c r="CO315" s="52"/>
      <c r="CP315" s="52"/>
      <c r="CQ315" s="52" t="s">
        <v>372</v>
      </c>
      <c r="CR315" s="52">
        <v>9000</v>
      </c>
      <c r="CS315" s="52" t="s">
        <v>373</v>
      </c>
      <c r="CT315" s="52">
        <v>30</v>
      </c>
      <c r="CU315" s="52"/>
      <c r="CV315" s="52"/>
      <c r="CW315" s="52" t="s">
        <v>373</v>
      </c>
      <c r="CX315" s="52">
        <v>30</v>
      </c>
      <c r="CY315" s="52"/>
      <c r="CZ315" s="52"/>
      <c r="DA315" s="52"/>
      <c r="DB315" s="52"/>
      <c r="DC315" s="52"/>
      <c r="DD315" s="52"/>
      <c r="DE315" s="52"/>
      <c r="DF315" s="52"/>
      <c r="DG315" s="52"/>
      <c r="DH315" s="52"/>
    </row>
    <row r="316" spans="58:112" ht="16.5" x14ac:dyDescent="0.2">
      <c r="BF316" s="52">
        <v>311</v>
      </c>
      <c r="BG316" s="14">
        <f t="shared" si="55"/>
        <v>0</v>
      </c>
      <c r="BH316" s="14">
        <f t="shared" si="56"/>
        <v>480</v>
      </c>
      <c r="BI316" s="14">
        <f t="shared" si="57"/>
        <v>0</v>
      </c>
      <c r="BJ316" s="14">
        <f t="shared" si="58"/>
        <v>1200</v>
      </c>
      <c r="BK316" s="14">
        <f t="shared" si="53"/>
        <v>480</v>
      </c>
      <c r="BL316" s="14">
        <f t="shared" si="54"/>
        <v>960</v>
      </c>
      <c r="CJ316" s="52">
        <v>312</v>
      </c>
      <c r="CK316" s="52">
        <v>4</v>
      </c>
      <c r="CL316" s="52" t="s">
        <v>257</v>
      </c>
      <c r="CM316" s="52">
        <v>12</v>
      </c>
      <c r="CN316" s="52"/>
      <c r="CO316" s="52"/>
      <c r="CP316" s="52"/>
      <c r="CQ316" s="52" t="s">
        <v>372</v>
      </c>
      <c r="CR316" s="52">
        <v>9000</v>
      </c>
      <c r="CS316" s="52" t="s">
        <v>373</v>
      </c>
      <c r="CT316" s="52">
        <v>30</v>
      </c>
      <c r="CU316" s="52"/>
      <c r="CV316" s="52"/>
      <c r="CW316" s="52" t="s">
        <v>373</v>
      </c>
      <c r="CX316" s="52">
        <v>30</v>
      </c>
      <c r="CY316" s="52"/>
      <c r="CZ316" s="52"/>
      <c r="DA316" s="52"/>
      <c r="DB316" s="52"/>
      <c r="DC316" s="52"/>
      <c r="DD316" s="52"/>
      <c r="DE316" s="52"/>
      <c r="DF316" s="52"/>
      <c r="DG316" s="52"/>
      <c r="DH316" s="52"/>
    </row>
    <row r="317" spans="58:112" ht="16.5" x14ac:dyDescent="0.2">
      <c r="BF317" s="52">
        <v>312</v>
      </c>
      <c r="BG317" s="14">
        <f t="shared" si="55"/>
        <v>0</v>
      </c>
      <c r="BH317" s="14">
        <f t="shared" si="56"/>
        <v>480</v>
      </c>
      <c r="BI317" s="14">
        <f t="shared" si="57"/>
        <v>0</v>
      </c>
      <c r="BJ317" s="14">
        <f t="shared" si="58"/>
        <v>1200</v>
      </c>
      <c r="BK317" s="14">
        <f t="shared" si="53"/>
        <v>480</v>
      </c>
      <c r="BL317" s="14">
        <f t="shared" si="54"/>
        <v>960</v>
      </c>
      <c r="CJ317" s="52">
        <v>313</v>
      </c>
      <c r="CK317" s="52">
        <v>4</v>
      </c>
      <c r="CL317" s="52" t="s">
        <v>257</v>
      </c>
      <c r="CM317" s="52">
        <v>13</v>
      </c>
      <c r="CN317" s="52"/>
      <c r="CO317" s="52"/>
      <c r="CP317" s="52"/>
      <c r="CQ317" s="52" t="s">
        <v>372</v>
      </c>
      <c r="CR317" s="52">
        <v>9000</v>
      </c>
      <c r="CS317" s="52" t="s">
        <v>373</v>
      </c>
      <c r="CT317" s="52">
        <v>30</v>
      </c>
      <c r="CU317" s="52"/>
      <c r="CV317" s="52"/>
      <c r="CW317" s="52" t="s">
        <v>373</v>
      </c>
      <c r="CX317" s="52">
        <v>30</v>
      </c>
      <c r="CY317" s="52"/>
      <c r="CZ317" s="52"/>
      <c r="DA317" s="52"/>
      <c r="DB317" s="52"/>
      <c r="DC317" s="52"/>
      <c r="DD317" s="52"/>
      <c r="DE317" s="52"/>
      <c r="DF317" s="52"/>
      <c r="DG317" s="52"/>
      <c r="DH317" s="52"/>
    </row>
    <row r="318" spans="58:112" ht="16.5" x14ac:dyDescent="0.2">
      <c r="BF318" s="52">
        <v>313</v>
      </c>
      <c r="BG318" s="14">
        <f t="shared" si="55"/>
        <v>0</v>
      </c>
      <c r="BH318" s="14">
        <f t="shared" si="56"/>
        <v>480</v>
      </c>
      <c r="BI318" s="14">
        <f t="shared" si="57"/>
        <v>0</v>
      </c>
      <c r="BJ318" s="14">
        <f t="shared" si="58"/>
        <v>1200</v>
      </c>
      <c r="BK318" s="14">
        <f t="shared" si="53"/>
        <v>480</v>
      </c>
      <c r="BL318" s="14">
        <f t="shared" si="54"/>
        <v>960</v>
      </c>
      <c r="CJ318" s="52">
        <v>314</v>
      </c>
      <c r="CK318" s="52">
        <v>4</v>
      </c>
      <c r="CL318" s="52" t="s">
        <v>257</v>
      </c>
      <c r="CM318" s="52">
        <v>14</v>
      </c>
      <c r="CN318" s="52"/>
      <c r="CO318" s="52"/>
      <c r="CP318" s="52"/>
      <c r="CQ318" s="52" t="s">
        <v>372</v>
      </c>
      <c r="CR318" s="52">
        <v>9000</v>
      </c>
      <c r="CS318" s="52" t="s">
        <v>373</v>
      </c>
      <c r="CT318" s="52">
        <v>30</v>
      </c>
      <c r="CU318" s="52"/>
      <c r="CV318" s="52"/>
      <c r="CW318" s="52" t="s">
        <v>373</v>
      </c>
      <c r="CX318" s="52">
        <v>30</v>
      </c>
      <c r="CY318" s="52"/>
      <c r="CZ318" s="52"/>
      <c r="DA318" s="52"/>
      <c r="DB318" s="52"/>
      <c r="DC318" s="52"/>
      <c r="DD318" s="52"/>
      <c r="DE318" s="52"/>
      <c r="DF318" s="52"/>
      <c r="DG318" s="52"/>
      <c r="DH318" s="52"/>
    </row>
    <row r="319" spans="58:112" ht="16.5" x14ac:dyDescent="0.2">
      <c r="BF319" s="52">
        <v>314</v>
      </c>
      <c r="BG319" s="14">
        <f t="shared" si="55"/>
        <v>0</v>
      </c>
      <c r="BH319" s="14">
        <f t="shared" si="56"/>
        <v>480</v>
      </c>
      <c r="BI319" s="14">
        <f t="shared" si="57"/>
        <v>0</v>
      </c>
      <c r="BJ319" s="14">
        <f t="shared" si="58"/>
        <v>1200</v>
      </c>
      <c r="BK319" s="14">
        <f t="shared" si="53"/>
        <v>480</v>
      </c>
      <c r="BL319" s="14">
        <f t="shared" si="54"/>
        <v>960</v>
      </c>
      <c r="CJ319" s="52">
        <v>315</v>
      </c>
      <c r="CK319" s="52">
        <v>4</v>
      </c>
      <c r="CL319" s="52" t="s">
        <v>257</v>
      </c>
      <c r="CM319" s="52">
        <v>15</v>
      </c>
      <c r="CN319" s="52"/>
      <c r="CO319" s="52"/>
      <c r="CP319" s="52"/>
      <c r="CQ319" s="52" t="s">
        <v>372</v>
      </c>
      <c r="CR319" s="52">
        <v>9000</v>
      </c>
      <c r="CS319" s="52" t="s">
        <v>373</v>
      </c>
      <c r="CT319" s="52">
        <v>30</v>
      </c>
      <c r="CU319" s="52" t="s">
        <v>277</v>
      </c>
      <c r="CV319" s="52">
        <v>2</v>
      </c>
      <c r="CW319" s="52" t="s">
        <v>373</v>
      </c>
      <c r="CX319" s="52">
        <v>35</v>
      </c>
      <c r="CY319" s="52"/>
      <c r="CZ319" s="52"/>
      <c r="DA319" s="52"/>
      <c r="DB319" s="52"/>
      <c r="DC319" s="52"/>
      <c r="DD319" s="52"/>
      <c r="DE319" s="52"/>
      <c r="DF319" s="52"/>
      <c r="DG319" s="52"/>
      <c r="DH319" s="52"/>
    </row>
    <row r="320" spans="58:112" ht="16.5" x14ac:dyDescent="0.2">
      <c r="BF320" s="52">
        <v>315</v>
      </c>
      <c r="BG320" s="14">
        <f t="shared" si="55"/>
        <v>0</v>
      </c>
      <c r="BH320" s="14">
        <f t="shared" si="56"/>
        <v>480</v>
      </c>
      <c r="BI320" s="14">
        <f t="shared" si="57"/>
        <v>0</v>
      </c>
      <c r="BJ320" s="14">
        <f t="shared" si="58"/>
        <v>1200</v>
      </c>
      <c r="BK320" s="14">
        <f t="shared" si="53"/>
        <v>480</v>
      </c>
      <c r="BL320" s="14">
        <f t="shared" si="54"/>
        <v>960</v>
      </c>
      <c r="CJ320" s="52">
        <v>316</v>
      </c>
      <c r="CK320" s="52">
        <v>4</v>
      </c>
      <c r="CL320" s="52" t="s">
        <v>257</v>
      </c>
      <c r="CM320" s="52">
        <v>16</v>
      </c>
      <c r="CN320" s="52"/>
      <c r="CO320" s="52"/>
      <c r="CP320" s="52"/>
      <c r="CQ320" s="52" t="s">
        <v>372</v>
      </c>
      <c r="CR320" s="52">
        <v>10800</v>
      </c>
      <c r="CS320" s="52" t="s">
        <v>373</v>
      </c>
      <c r="CT320" s="52">
        <v>35</v>
      </c>
      <c r="CU320" s="52"/>
      <c r="CV320" s="52"/>
      <c r="CW320" s="52" t="s">
        <v>373</v>
      </c>
      <c r="CX320" s="52">
        <v>35</v>
      </c>
      <c r="CY320" s="52"/>
      <c r="CZ320" s="52"/>
      <c r="DA320" s="52"/>
      <c r="DB320" s="52"/>
      <c r="DC320" s="52"/>
      <c r="DD320" s="52"/>
      <c r="DE320" s="52"/>
      <c r="DF320" s="52"/>
      <c r="DG320" s="52"/>
      <c r="DH320" s="52"/>
    </row>
    <row r="321" spans="58:112" ht="16.5" x14ac:dyDescent="0.2">
      <c r="BF321" s="52">
        <v>316</v>
      </c>
      <c r="BG321" s="14">
        <f t="shared" si="55"/>
        <v>0</v>
      </c>
      <c r="BH321" s="14">
        <f t="shared" si="56"/>
        <v>480</v>
      </c>
      <c r="BI321" s="14">
        <f t="shared" si="57"/>
        <v>0</v>
      </c>
      <c r="BJ321" s="14">
        <f t="shared" si="58"/>
        <v>1200</v>
      </c>
      <c r="BK321" s="14">
        <f t="shared" si="53"/>
        <v>480</v>
      </c>
      <c r="BL321" s="14">
        <f t="shared" si="54"/>
        <v>960</v>
      </c>
      <c r="CJ321" s="52">
        <v>317</v>
      </c>
      <c r="CK321" s="52">
        <v>4</v>
      </c>
      <c r="CL321" s="52" t="s">
        <v>257</v>
      </c>
      <c r="CM321" s="52">
        <v>17</v>
      </c>
      <c r="CN321" s="52"/>
      <c r="CO321" s="52"/>
      <c r="CP321" s="52"/>
      <c r="CQ321" s="52" t="s">
        <v>372</v>
      </c>
      <c r="CR321" s="52">
        <v>10800</v>
      </c>
      <c r="CS321" s="52" t="s">
        <v>373</v>
      </c>
      <c r="CT321" s="52">
        <v>35</v>
      </c>
      <c r="CU321" s="52"/>
      <c r="CV321" s="52"/>
      <c r="CW321" s="52" t="s">
        <v>373</v>
      </c>
      <c r="CX321" s="52">
        <v>35</v>
      </c>
      <c r="CY321" s="52"/>
      <c r="CZ321" s="52"/>
      <c r="DA321" s="52"/>
      <c r="DB321" s="52"/>
      <c r="DC321" s="52"/>
      <c r="DD321" s="52"/>
      <c r="DE321" s="52"/>
      <c r="DF321" s="52"/>
      <c r="DG321" s="52"/>
      <c r="DH321" s="52"/>
    </row>
    <row r="322" spans="58:112" ht="16.5" x14ac:dyDescent="0.2">
      <c r="BF322" s="52">
        <v>317</v>
      </c>
      <c r="BG322" s="14">
        <f t="shared" si="55"/>
        <v>0</v>
      </c>
      <c r="BH322" s="14">
        <f t="shared" si="56"/>
        <v>480</v>
      </c>
      <c r="BI322" s="14">
        <f t="shared" si="57"/>
        <v>0</v>
      </c>
      <c r="BJ322" s="14">
        <f t="shared" si="58"/>
        <v>1200</v>
      </c>
      <c r="BK322" s="14">
        <f t="shared" si="53"/>
        <v>480</v>
      </c>
      <c r="BL322" s="14">
        <f t="shared" si="54"/>
        <v>960</v>
      </c>
      <c r="CJ322" s="52">
        <v>318</v>
      </c>
      <c r="CK322" s="52">
        <v>4</v>
      </c>
      <c r="CL322" s="52" t="s">
        <v>257</v>
      </c>
      <c r="CM322" s="52">
        <v>18</v>
      </c>
      <c r="CN322" s="52"/>
      <c r="CO322" s="52"/>
      <c r="CP322" s="52"/>
      <c r="CQ322" s="52" t="s">
        <v>372</v>
      </c>
      <c r="CR322" s="52">
        <v>10800</v>
      </c>
      <c r="CS322" s="52" t="s">
        <v>373</v>
      </c>
      <c r="CT322" s="52">
        <v>35</v>
      </c>
      <c r="CU322" s="52"/>
      <c r="CV322" s="52"/>
      <c r="CW322" s="52" t="s">
        <v>373</v>
      </c>
      <c r="CX322" s="52">
        <v>35</v>
      </c>
      <c r="CY322" s="52"/>
      <c r="CZ322" s="52"/>
      <c r="DA322" s="52"/>
      <c r="DB322" s="52"/>
      <c r="DC322" s="52"/>
      <c r="DD322" s="52"/>
      <c r="DE322" s="52"/>
      <c r="DF322" s="52"/>
      <c r="DG322" s="52"/>
      <c r="DH322" s="52"/>
    </row>
    <row r="323" spans="58:112" ht="16.5" x14ac:dyDescent="0.2">
      <c r="BF323" s="52">
        <v>318</v>
      </c>
      <c r="BG323" s="14">
        <f t="shared" si="55"/>
        <v>0</v>
      </c>
      <c r="BH323" s="14">
        <f t="shared" si="56"/>
        <v>480</v>
      </c>
      <c r="BI323" s="14">
        <f t="shared" si="57"/>
        <v>0</v>
      </c>
      <c r="BJ323" s="14">
        <f t="shared" si="58"/>
        <v>1200</v>
      </c>
      <c r="BK323" s="14">
        <f t="shared" si="53"/>
        <v>480</v>
      </c>
      <c r="BL323" s="14">
        <f t="shared" si="54"/>
        <v>960</v>
      </c>
      <c r="CJ323" s="52">
        <v>319</v>
      </c>
      <c r="CK323" s="52">
        <v>4</v>
      </c>
      <c r="CL323" s="52" t="s">
        <v>257</v>
      </c>
      <c r="CM323" s="52">
        <v>19</v>
      </c>
      <c r="CN323" s="52"/>
      <c r="CO323" s="52"/>
      <c r="CP323" s="52"/>
      <c r="CQ323" s="52" t="s">
        <v>372</v>
      </c>
      <c r="CR323" s="52">
        <v>10800</v>
      </c>
      <c r="CS323" s="52" t="s">
        <v>373</v>
      </c>
      <c r="CT323" s="52">
        <v>35</v>
      </c>
      <c r="CU323" s="52"/>
      <c r="CV323" s="52"/>
      <c r="CW323" s="52" t="s">
        <v>373</v>
      </c>
      <c r="CX323" s="52">
        <v>35</v>
      </c>
      <c r="CY323" s="52"/>
      <c r="CZ323" s="52"/>
      <c r="DA323" s="52"/>
      <c r="DB323" s="52"/>
      <c r="DC323" s="52"/>
      <c r="DD323" s="52"/>
      <c r="DE323" s="52"/>
      <c r="DF323" s="52"/>
      <c r="DG323" s="52"/>
      <c r="DH323" s="52"/>
    </row>
    <row r="324" spans="58:112" ht="16.5" x14ac:dyDescent="0.2">
      <c r="BF324" s="52">
        <v>319</v>
      </c>
      <c r="BG324" s="14">
        <f t="shared" si="55"/>
        <v>0</v>
      </c>
      <c r="BH324" s="14">
        <f t="shared" si="56"/>
        <v>480</v>
      </c>
      <c r="BI324" s="14">
        <f t="shared" si="57"/>
        <v>0</v>
      </c>
      <c r="BJ324" s="14">
        <f t="shared" si="58"/>
        <v>1200</v>
      </c>
      <c r="BK324" s="14">
        <f t="shared" si="53"/>
        <v>480</v>
      </c>
      <c r="BL324" s="14">
        <f t="shared" si="54"/>
        <v>960</v>
      </c>
      <c r="CJ324" s="52">
        <v>320</v>
      </c>
      <c r="CK324" s="52">
        <v>4</v>
      </c>
      <c r="CL324" s="52" t="s">
        <v>257</v>
      </c>
      <c r="CM324" s="52">
        <v>20</v>
      </c>
      <c r="CN324" s="52"/>
      <c r="CO324" s="52"/>
      <c r="CP324" s="52"/>
      <c r="CQ324" s="52" t="s">
        <v>372</v>
      </c>
      <c r="CR324" s="52">
        <v>12960</v>
      </c>
      <c r="CS324" s="52" t="s">
        <v>373</v>
      </c>
      <c r="CT324" s="52">
        <v>35</v>
      </c>
      <c r="CU324" s="52" t="s">
        <v>278</v>
      </c>
      <c r="CV324" s="52">
        <v>2</v>
      </c>
      <c r="CW324" s="52" t="s">
        <v>373</v>
      </c>
      <c r="CX324" s="52">
        <v>40</v>
      </c>
      <c r="CY324" s="52"/>
      <c r="CZ324" s="52"/>
      <c r="DA324" s="52"/>
      <c r="DB324" s="52"/>
      <c r="DC324" s="52"/>
      <c r="DD324" s="52"/>
      <c r="DE324" s="52"/>
      <c r="DF324" s="52"/>
      <c r="DG324" s="52"/>
      <c r="DH324" s="52"/>
    </row>
    <row r="325" spans="58:112" ht="16.5" x14ac:dyDescent="0.2">
      <c r="BF325" s="52">
        <v>320</v>
      </c>
      <c r="BG325" s="14">
        <f t="shared" si="55"/>
        <v>0</v>
      </c>
      <c r="BH325" s="14">
        <f t="shared" si="56"/>
        <v>480</v>
      </c>
      <c r="BI325" s="14">
        <f t="shared" si="57"/>
        <v>0</v>
      </c>
      <c r="BJ325" s="14">
        <f t="shared" si="58"/>
        <v>1200</v>
      </c>
      <c r="BK325" s="14">
        <f t="shared" si="53"/>
        <v>480</v>
      </c>
      <c r="BL325" s="14">
        <f t="shared" si="54"/>
        <v>960</v>
      </c>
      <c r="CJ325" s="52">
        <v>321</v>
      </c>
      <c r="CK325" s="52">
        <v>4</v>
      </c>
      <c r="CL325" s="52" t="s">
        <v>257</v>
      </c>
      <c r="CM325" s="52">
        <v>21</v>
      </c>
      <c r="CN325" s="52"/>
      <c r="CO325" s="52"/>
      <c r="CP325" s="52"/>
      <c r="CQ325" s="52" t="s">
        <v>372</v>
      </c>
      <c r="CR325" s="52">
        <v>12960</v>
      </c>
      <c r="CS325" s="52" t="s">
        <v>373</v>
      </c>
      <c r="CT325" s="52">
        <v>40</v>
      </c>
      <c r="CU325" s="52"/>
      <c r="CV325" s="52"/>
      <c r="CW325" s="52" t="s">
        <v>373</v>
      </c>
      <c r="CX325" s="52">
        <v>40</v>
      </c>
      <c r="CY325" s="52"/>
      <c r="CZ325" s="52"/>
      <c r="DA325" s="52"/>
      <c r="DB325" s="52"/>
      <c r="DC325" s="52"/>
      <c r="DD325" s="52"/>
      <c r="DE325" s="52"/>
      <c r="DF325" s="52"/>
      <c r="DG325" s="52"/>
      <c r="DH325" s="52"/>
    </row>
    <row r="326" spans="58:112" ht="16.5" x14ac:dyDescent="0.2">
      <c r="BF326" s="52">
        <v>321</v>
      </c>
      <c r="BG326" s="14">
        <f t="shared" si="55"/>
        <v>0</v>
      </c>
      <c r="BH326" s="14">
        <f t="shared" si="56"/>
        <v>480</v>
      </c>
      <c r="BI326" s="14">
        <f t="shared" si="57"/>
        <v>0</v>
      </c>
      <c r="BJ326" s="14">
        <f t="shared" si="58"/>
        <v>1200</v>
      </c>
      <c r="BK326" s="14">
        <f t="shared" si="53"/>
        <v>480</v>
      </c>
      <c r="BL326" s="14">
        <f t="shared" si="54"/>
        <v>960</v>
      </c>
      <c r="CJ326" s="52">
        <v>322</v>
      </c>
      <c r="CK326" s="52">
        <v>4</v>
      </c>
      <c r="CL326" s="52" t="s">
        <v>257</v>
      </c>
      <c r="CM326" s="52">
        <v>22</v>
      </c>
      <c r="CN326" s="52"/>
      <c r="CO326" s="52"/>
      <c r="CP326" s="52"/>
      <c r="CQ326" s="52" t="s">
        <v>372</v>
      </c>
      <c r="CR326" s="52">
        <v>12960</v>
      </c>
      <c r="CS326" s="52" t="s">
        <v>373</v>
      </c>
      <c r="CT326" s="52">
        <v>40</v>
      </c>
      <c r="CU326" s="52"/>
      <c r="CV326" s="52"/>
      <c r="CW326" s="52" t="s">
        <v>373</v>
      </c>
      <c r="CX326" s="52">
        <v>40</v>
      </c>
      <c r="CY326" s="52"/>
      <c r="CZ326" s="52"/>
      <c r="DA326" s="52"/>
      <c r="DB326" s="52"/>
      <c r="DC326" s="52"/>
      <c r="DD326" s="52"/>
      <c r="DE326" s="52"/>
      <c r="DF326" s="52"/>
      <c r="DG326" s="52"/>
      <c r="DH326" s="52"/>
    </row>
    <row r="327" spans="58:112" ht="16.5" x14ac:dyDescent="0.2">
      <c r="BF327" s="52">
        <v>322</v>
      </c>
      <c r="BG327" s="14">
        <f t="shared" si="55"/>
        <v>0</v>
      </c>
      <c r="BH327" s="14">
        <f t="shared" si="56"/>
        <v>480</v>
      </c>
      <c r="BI327" s="14">
        <f t="shared" si="57"/>
        <v>0</v>
      </c>
      <c r="BJ327" s="14">
        <f t="shared" si="58"/>
        <v>1200</v>
      </c>
      <c r="BK327" s="14">
        <f t="shared" ref="BK327:BK390" si="59">BG327+BH326</f>
        <v>480</v>
      </c>
      <c r="BL327" s="14">
        <f t="shared" ref="BL327:BL390" si="60">BK327*BL$3</f>
        <v>960</v>
      </c>
      <c r="CJ327" s="52">
        <v>323</v>
      </c>
      <c r="CK327" s="52">
        <v>4</v>
      </c>
      <c r="CL327" s="52" t="s">
        <v>257</v>
      </c>
      <c r="CM327" s="52">
        <v>23</v>
      </c>
      <c r="CN327" s="52"/>
      <c r="CO327" s="52"/>
      <c r="CP327" s="52"/>
      <c r="CQ327" s="52" t="s">
        <v>372</v>
      </c>
      <c r="CR327" s="52">
        <v>12960</v>
      </c>
      <c r="CS327" s="52" t="s">
        <v>373</v>
      </c>
      <c r="CT327" s="52">
        <v>40</v>
      </c>
      <c r="CU327" s="52"/>
      <c r="CV327" s="52"/>
      <c r="CW327" s="52" t="s">
        <v>373</v>
      </c>
      <c r="CX327" s="52">
        <v>40</v>
      </c>
      <c r="CY327" s="52"/>
      <c r="CZ327" s="52"/>
      <c r="DA327" s="52"/>
      <c r="DB327" s="52"/>
      <c r="DC327" s="52"/>
      <c r="DD327" s="52"/>
      <c r="DE327" s="52"/>
      <c r="DF327" s="52"/>
      <c r="DG327" s="52"/>
      <c r="DH327" s="52"/>
    </row>
    <row r="328" spans="58:112" ht="16.5" x14ac:dyDescent="0.2">
      <c r="BF328" s="52">
        <v>323</v>
      </c>
      <c r="BG328" s="14">
        <f t="shared" si="55"/>
        <v>0</v>
      </c>
      <c r="BH328" s="14">
        <f t="shared" si="56"/>
        <v>480</v>
      </c>
      <c r="BI328" s="14">
        <f t="shared" si="57"/>
        <v>0</v>
      </c>
      <c r="BJ328" s="14">
        <f t="shared" si="58"/>
        <v>1200</v>
      </c>
      <c r="BK328" s="14">
        <f t="shared" si="59"/>
        <v>480</v>
      </c>
      <c r="BL328" s="14">
        <f t="shared" si="60"/>
        <v>960</v>
      </c>
      <c r="CJ328" s="52">
        <v>324</v>
      </c>
      <c r="CK328" s="52">
        <v>4</v>
      </c>
      <c r="CL328" s="52" t="s">
        <v>257</v>
      </c>
      <c r="CM328" s="52">
        <v>24</v>
      </c>
      <c r="CN328" s="52"/>
      <c r="CO328" s="52"/>
      <c r="CP328" s="52"/>
      <c r="CQ328" s="52" t="s">
        <v>372</v>
      </c>
      <c r="CR328" s="52">
        <v>12960</v>
      </c>
      <c r="CS328" s="52" t="s">
        <v>373</v>
      </c>
      <c r="CT328" s="52">
        <v>40</v>
      </c>
      <c r="CU328" s="52"/>
      <c r="CV328" s="52"/>
      <c r="CW328" s="52" t="s">
        <v>373</v>
      </c>
      <c r="CX328" s="52">
        <v>40</v>
      </c>
      <c r="CY328" s="52"/>
      <c r="CZ328" s="52"/>
      <c r="DA328" s="52"/>
      <c r="DB328" s="52"/>
      <c r="DC328" s="52"/>
      <c r="DD328" s="52"/>
      <c r="DE328" s="52"/>
      <c r="DF328" s="52"/>
      <c r="DG328" s="52"/>
      <c r="DH328" s="52"/>
    </row>
    <row r="329" spans="58:112" ht="16.5" x14ac:dyDescent="0.2">
      <c r="BF329" s="52">
        <v>324</v>
      </c>
      <c r="BG329" s="14">
        <f t="shared" si="55"/>
        <v>0</v>
      </c>
      <c r="BH329" s="14">
        <f t="shared" si="56"/>
        <v>480</v>
      </c>
      <c r="BI329" s="14">
        <f t="shared" si="57"/>
        <v>0</v>
      </c>
      <c r="BJ329" s="14">
        <f t="shared" si="58"/>
        <v>1200</v>
      </c>
      <c r="BK329" s="14">
        <f t="shared" si="59"/>
        <v>480</v>
      </c>
      <c r="BL329" s="14">
        <f t="shared" si="60"/>
        <v>960</v>
      </c>
      <c r="CJ329" s="52">
        <v>325</v>
      </c>
      <c r="CK329" s="52">
        <v>4</v>
      </c>
      <c r="CL329" s="52" t="s">
        <v>257</v>
      </c>
      <c r="CM329" s="52">
        <v>25</v>
      </c>
      <c r="CN329" s="52"/>
      <c r="CO329" s="52"/>
      <c r="CP329" s="52"/>
      <c r="CQ329" s="52" t="s">
        <v>372</v>
      </c>
      <c r="CR329" s="52">
        <v>12960</v>
      </c>
      <c r="CS329" s="52" t="s">
        <v>373</v>
      </c>
      <c r="CT329" s="52">
        <v>40</v>
      </c>
      <c r="CU329" s="52" t="s">
        <v>281</v>
      </c>
      <c r="CV329" s="52">
        <v>2</v>
      </c>
      <c r="CW329" s="52" t="s">
        <v>373</v>
      </c>
      <c r="CX329" s="52">
        <v>45</v>
      </c>
      <c r="CY329" s="52"/>
      <c r="CZ329" s="52"/>
      <c r="DA329" s="52"/>
      <c r="DB329" s="52"/>
      <c r="DC329" s="52"/>
      <c r="DD329" s="52"/>
      <c r="DE329" s="52"/>
      <c r="DF329" s="52"/>
      <c r="DG329" s="52"/>
      <c r="DH329" s="52"/>
    </row>
    <row r="330" spans="58:112" ht="16.5" x14ac:dyDescent="0.2">
      <c r="BF330" s="52">
        <v>325</v>
      </c>
      <c r="BG330" s="14">
        <f t="shared" si="55"/>
        <v>0</v>
      </c>
      <c r="BH330" s="14">
        <f t="shared" si="56"/>
        <v>480</v>
      </c>
      <c r="BI330" s="14">
        <f t="shared" si="57"/>
        <v>0</v>
      </c>
      <c r="BJ330" s="14">
        <f t="shared" si="58"/>
        <v>1200</v>
      </c>
      <c r="BK330" s="14">
        <f t="shared" si="59"/>
        <v>480</v>
      </c>
      <c r="BL330" s="14">
        <f t="shared" si="60"/>
        <v>960</v>
      </c>
      <c r="CJ330" s="52">
        <v>326</v>
      </c>
      <c r="CK330" s="52">
        <v>4</v>
      </c>
      <c r="CL330" s="52" t="s">
        <v>257</v>
      </c>
      <c r="CM330" s="52">
        <v>26</v>
      </c>
      <c r="CN330" s="52"/>
      <c r="CO330" s="52"/>
      <c r="CP330" s="52"/>
      <c r="CQ330" s="52" t="s">
        <v>372</v>
      </c>
      <c r="CR330" s="52">
        <v>12960</v>
      </c>
      <c r="CS330" s="52" t="s">
        <v>373</v>
      </c>
      <c r="CT330" s="52">
        <v>45</v>
      </c>
      <c r="CU330" s="52"/>
      <c r="CV330" s="52"/>
      <c r="CW330" s="52" t="s">
        <v>373</v>
      </c>
      <c r="CX330" s="52">
        <v>45</v>
      </c>
      <c r="CY330" s="52"/>
      <c r="CZ330" s="52"/>
      <c r="DA330" s="52"/>
      <c r="DB330" s="52"/>
      <c r="DC330" s="52"/>
      <c r="DD330" s="52"/>
      <c r="DE330" s="52"/>
      <c r="DF330" s="52"/>
      <c r="DG330" s="52"/>
      <c r="DH330" s="52"/>
    </row>
    <row r="331" spans="58:112" ht="16.5" x14ac:dyDescent="0.2">
      <c r="BF331" s="52">
        <v>326</v>
      </c>
      <c r="BG331" s="14">
        <f t="shared" si="55"/>
        <v>0</v>
      </c>
      <c r="BH331" s="14">
        <f t="shared" si="56"/>
        <v>480</v>
      </c>
      <c r="BI331" s="14">
        <f t="shared" si="57"/>
        <v>0</v>
      </c>
      <c r="BJ331" s="14">
        <f t="shared" si="58"/>
        <v>1200</v>
      </c>
      <c r="BK331" s="14">
        <f t="shared" si="59"/>
        <v>480</v>
      </c>
      <c r="BL331" s="14">
        <f t="shared" si="60"/>
        <v>960</v>
      </c>
      <c r="CJ331" s="52">
        <v>327</v>
      </c>
      <c r="CK331" s="52">
        <v>4</v>
      </c>
      <c r="CL331" s="52" t="s">
        <v>257</v>
      </c>
      <c r="CM331" s="52">
        <v>27</v>
      </c>
      <c r="CN331" s="52"/>
      <c r="CO331" s="52"/>
      <c r="CP331" s="52"/>
      <c r="CQ331" s="52" t="s">
        <v>372</v>
      </c>
      <c r="CR331" s="52">
        <v>12960</v>
      </c>
      <c r="CS331" s="52" t="s">
        <v>373</v>
      </c>
      <c r="CT331" s="52">
        <v>45</v>
      </c>
      <c r="CU331" s="52"/>
      <c r="CV331" s="52"/>
      <c r="CW331" s="52" t="s">
        <v>373</v>
      </c>
      <c r="CX331" s="52">
        <v>45</v>
      </c>
      <c r="CY331" s="52"/>
      <c r="CZ331" s="52"/>
      <c r="DA331" s="52"/>
      <c r="DB331" s="52"/>
      <c r="DC331" s="52"/>
      <c r="DD331" s="52"/>
      <c r="DE331" s="52"/>
      <c r="DF331" s="52"/>
      <c r="DG331" s="52"/>
      <c r="DH331" s="52"/>
    </row>
    <row r="332" spans="58:112" ht="16.5" x14ac:dyDescent="0.2">
      <c r="BF332" s="52">
        <v>327</v>
      </c>
      <c r="BG332" s="14">
        <f t="shared" si="55"/>
        <v>0</v>
      </c>
      <c r="BH332" s="14">
        <f t="shared" si="56"/>
        <v>480</v>
      </c>
      <c r="BI332" s="14">
        <f t="shared" si="57"/>
        <v>0</v>
      </c>
      <c r="BJ332" s="14">
        <f t="shared" si="58"/>
        <v>1200</v>
      </c>
      <c r="BK332" s="14">
        <f t="shared" si="59"/>
        <v>480</v>
      </c>
      <c r="BL332" s="14">
        <f t="shared" si="60"/>
        <v>960</v>
      </c>
      <c r="CJ332" s="52">
        <v>328</v>
      </c>
      <c r="CK332" s="52">
        <v>4</v>
      </c>
      <c r="CL332" s="52" t="s">
        <v>257</v>
      </c>
      <c r="CM332" s="52">
        <v>28</v>
      </c>
      <c r="CN332" s="52"/>
      <c r="CO332" s="52"/>
      <c r="CP332" s="52"/>
      <c r="CQ332" s="52" t="s">
        <v>372</v>
      </c>
      <c r="CR332" s="52">
        <v>12960</v>
      </c>
      <c r="CS332" s="52" t="s">
        <v>373</v>
      </c>
      <c r="CT332" s="52">
        <v>45</v>
      </c>
      <c r="CU332" s="52"/>
      <c r="CV332" s="52"/>
      <c r="CW332" s="52" t="s">
        <v>373</v>
      </c>
      <c r="CX332" s="52">
        <v>45</v>
      </c>
      <c r="CY332" s="52"/>
      <c r="CZ332" s="52"/>
      <c r="DA332" s="52"/>
      <c r="DB332" s="52"/>
      <c r="DC332" s="52"/>
      <c r="DD332" s="52"/>
      <c r="DE332" s="52"/>
      <c r="DF332" s="52"/>
      <c r="DG332" s="52"/>
      <c r="DH332" s="52"/>
    </row>
    <row r="333" spans="58:112" ht="16.5" x14ac:dyDescent="0.2">
      <c r="BF333" s="52">
        <v>328</v>
      </c>
      <c r="BG333" s="14">
        <f t="shared" si="55"/>
        <v>0</v>
      </c>
      <c r="BH333" s="14">
        <f t="shared" si="56"/>
        <v>480</v>
      </c>
      <c r="BI333" s="14">
        <f t="shared" si="57"/>
        <v>0</v>
      </c>
      <c r="BJ333" s="14">
        <f t="shared" si="58"/>
        <v>1200</v>
      </c>
      <c r="BK333" s="14">
        <f t="shared" si="59"/>
        <v>480</v>
      </c>
      <c r="BL333" s="14">
        <f t="shared" si="60"/>
        <v>960</v>
      </c>
      <c r="CJ333" s="52">
        <v>329</v>
      </c>
      <c r="CK333" s="52">
        <v>4</v>
      </c>
      <c r="CL333" s="52" t="s">
        <v>257</v>
      </c>
      <c r="CM333" s="52">
        <v>29</v>
      </c>
      <c r="CN333" s="52"/>
      <c r="CO333" s="52"/>
      <c r="CP333" s="52"/>
      <c r="CQ333" s="52" t="s">
        <v>372</v>
      </c>
      <c r="CR333" s="52">
        <v>12960</v>
      </c>
      <c r="CS333" s="52" t="s">
        <v>373</v>
      </c>
      <c r="CT333" s="52">
        <v>45</v>
      </c>
      <c r="CU333" s="52"/>
      <c r="CV333" s="52"/>
      <c r="CW333" s="52" t="s">
        <v>373</v>
      </c>
      <c r="CX333" s="52">
        <v>45</v>
      </c>
      <c r="CY333" s="52"/>
      <c r="CZ333" s="52"/>
      <c r="DA333" s="52"/>
      <c r="DB333" s="52"/>
      <c r="DC333" s="52"/>
      <c r="DD333" s="52"/>
      <c r="DE333" s="52"/>
      <c r="DF333" s="52"/>
      <c r="DG333" s="52"/>
      <c r="DH333" s="52"/>
    </row>
    <row r="334" spans="58:112" ht="16.5" x14ac:dyDescent="0.2">
      <c r="BF334" s="52">
        <v>329</v>
      </c>
      <c r="BG334" s="14">
        <f t="shared" si="55"/>
        <v>0</v>
      </c>
      <c r="BH334" s="14">
        <f t="shared" si="56"/>
        <v>480</v>
      </c>
      <c r="BI334" s="14">
        <f t="shared" si="57"/>
        <v>0</v>
      </c>
      <c r="BJ334" s="14">
        <f t="shared" si="58"/>
        <v>1200</v>
      </c>
      <c r="BK334" s="14">
        <f t="shared" si="59"/>
        <v>480</v>
      </c>
      <c r="BL334" s="14">
        <f t="shared" si="60"/>
        <v>960</v>
      </c>
      <c r="CJ334" s="52">
        <v>330</v>
      </c>
      <c r="CK334" s="52">
        <v>4</v>
      </c>
      <c r="CL334" s="52" t="s">
        <v>257</v>
      </c>
      <c r="CM334" s="52">
        <v>30</v>
      </c>
      <c r="CN334" s="52"/>
      <c r="CO334" s="52"/>
      <c r="CP334" s="52"/>
      <c r="CQ334" s="52" t="s">
        <v>372</v>
      </c>
      <c r="CR334" s="52">
        <v>16200</v>
      </c>
      <c r="CS334" s="52" t="s">
        <v>373</v>
      </c>
      <c r="CT334" s="52">
        <v>45</v>
      </c>
      <c r="CU334" s="52" t="s">
        <v>282</v>
      </c>
      <c r="CV334" s="52">
        <v>2</v>
      </c>
      <c r="CW334" s="52" t="s">
        <v>373</v>
      </c>
      <c r="CX334" s="52">
        <v>50</v>
      </c>
      <c r="CY334" s="52"/>
      <c r="CZ334" s="52"/>
      <c r="DA334" s="52"/>
      <c r="DB334" s="52"/>
      <c r="DC334" s="52"/>
      <c r="DD334" s="52"/>
      <c r="DE334" s="52"/>
      <c r="DF334" s="52"/>
      <c r="DG334" s="52"/>
      <c r="DH334" s="52"/>
    </row>
    <row r="335" spans="58:112" ht="16.5" x14ac:dyDescent="0.2">
      <c r="BF335" s="52">
        <v>330</v>
      </c>
      <c r="BG335" s="14">
        <f t="shared" si="55"/>
        <v>0</v>
      </c>
      <c r="BH335" s="14">
        <f t="shared" si="56"/>
        <v>480</v>
      </c>
      <c r="BI335" s="14">
        <f t="shared" si="57"/>
        <v>0</v>
      </c>
      <c r="BJ335" s="14">
        <f t="shared" si="58"/>
        <v>1200</v>
      </c>
      <c r="BK335" s="14">
        <f t="shared" si="59"/>
        <v>480</v>
      </c>
      <c r="BL335" s="14">
        <f t="shared" si="60"/>
        <v>960</v>
      </c>
      <c r="CJ335" s="52">
        <v>331</v>
      </c>
      <c r="CK335" s="52">
        <v>4</v>
      </c>
      <c r="CL335" s="52" t="s">
        <v>257</v>
      </c>
      <c r="CM335" s="52">
        <v>31</v>
      </c>
      <c r="CN335" s="52"/>
      <c r="CO335" s="52"/>
      <c r="CP335" s="52"/>
      <c r="CQ335" s="52" t="s">
        <v>372</v>
      </c>
      <c r="CR335" s="52">
        <v>16200</v>
      </c>
      <c r="CS335" s="52" t="s">
        <v>373</v>
      </c>
      <c r="CT335" s="52">
        <v>50</v>
      </c>
      <c r="CU335" s="52"/>
      <c r="CV335" s="52"/>
      <c r="CW335" s="52" t="s">
        <v>373</v>
      </c>
      <c r="CX335" s="52">
        <v>50</v>
      </c>
      <c r="CY335" s="52"/>
      <c r="CZ335" s="52"/>
      <c r="DA335" s="52"/>
      <c r="DB335" s="52"/>
      <c r="DC335" s="52"/>
      <c r="DD335" s="52"/>
      <c r="DE335" s="52"/>
      <c r="DF335" s="52"/>
      <c r="DG335" s="52"/>
      <c r="DH335" s="52"/>
    </row>
    <row r="336" spans="58:112" ht="16.5" x14ac:dyDescent="0.2">
      <c r="BF336" s="52">
        <v>331</v>
      </c>
      <c r="BG336" s="14">
        <f t="shared" si="55"/>
        <v>0</v>
      </c>
      <c r="BH336" s="14">
        <f t="shared" si="56"/>
        <v>480</v>
      </c>
      <c r="BI336" s="14">
        <f t="shared" si="57"/>
        <v>0</v>
      </c>
      <c r="BJ336" s="14">
        <f t="shared" si="58"/>
        <v>1200</v>
      </c>
      <c r="BK336" s="14">
        <f t="shared" si="59"/>
        <v>480</v>
      </c>
      <c r="BL336" s="14">
        <f t="shared" si="60"/>
        <v>960</v>
      </c>
      <c r="CJ336" s="52">
        <v>332</v>
      </c>
      <c r="CK336" s="52">
        <v>4</v>
      </c>
      <c r="CL336" s="52" t="s">
        <v>257</v>
      </c>
      <c r="CM336" s="52">
        <v>32</v>
      </c>
      <c r="CN336" s="52"/>
      <c r="CO336" s="52"/>
      <c r="CP336" s="52"/>
      <c r="CQ336" s="52" t="s">
        <v>372</v>
      </c>
      <c r="CR336" s="52">
        <v>16200</v>
      </c>
      <c r="CS336" s="52" t="s">
        <v>373</v>
      </c>
      <c r="CT336" s="52">
        <v>50</v>
      </c>
      <c r="CU336" s="52"/>
      <c r="CV336" s="52"/>
      <c r="CW336" s="52" t="s">
        <v>373</v>
      </c>
      <c r="CX336" s="52">
        <v>50</v>
      </c>
      <c r="CY336" s="52"/>
      <c r="CZ336" s="52"/>
      <c r="DA336" s="52"/>
      <c r="DB336" s="52"/>
      <c r="DC336" s="52"/>
      <c r="DD336" s="52"/>
      <c r="DE336" s="52"/>
      <c r="DF336" s="52"/>
      <c r="DG336" s="52"/>
      <c r="DH336" s="52"/>
    </row>
    <row r="337" spans="58:112" ht="16.5" x14ac:dyDescent="0.2">
      <c r="BF337" s="52">
        <v>332</v>
      </c>
      <c r="BG337" s="14">
        <f t="shared" si="55"/>
        <v>0</v>
      </c>
      <c r="BH337" s="14">
        <f t="shared" si="56"/>
        <v>480</v>
      </c>
      <c r="BI337" s="14">
        <f t="shared" si="57"/>
        <v>0</v>
      </c>
      <c r="BJ337" s="14">
        <f t="shared" si="58"/>
        <v>1200</v>
      </c>
      <c r="BK337" s="14">
        <f t="shared" si="59"/>
        <v>480</v>
      </c>
      <c r="BL337" s="14">
        <f t="shared" si="60"/>
        <v>960</v>
      </c>
      <c r="CJ337" s="52">
        <v>333</v>
      </c>
      <c r="CK337" s="52">
        <v>4</v>
      </c>
      <c r="CL337" s="52" t="s">
        <v>257</v>
      </c>
      <c r="CM337" s="52">
        <v>33</v>
      </c>
      <c r="CN337" s="52"/>
      <c r="CO337" s="52"/>
      <c r="CP337" s="52"/>
      <c r="CQ337" s="52" t="s">
        <v>372</v>
      </c>
      <c r="CR337" s="52">
        <v>16200</v>
      </c>
      <c r="CS337" s="52" t="s">
        <v>373</v>
      </c>
      <c r="CT337" s="52">
        <v>50</v>
      </c>
      <c r="CU337" s="52"/>
      <c r="CV337" s="52"/>
      <c r="CW337" s="52" t="s">
        <v>373</v>
      </c>
      <c r="CX337" s="52">
        <v>50</v>
      </c>
      <c r="CY337" s="52"/>
      <c r="CZ337" s="52"/>
      <c r="DA337" s="52"/>
      <c r="DB337" s="52"/>
      <c r="DC337" s="52"/>
      <c r="DD337" s="52"/>
      <c r="DE337" s="52"/>
      <c r="DF337" s="52"/>
      <c r="DG337" s="52"/>
      <c r="DH337" s="52"/>
    </row>
    <row r="338" spans="58:112" ht="16.5" x14ac:dyDescent="0.2">
      <c r="BF338" s="52">
        <v>333</v>
      </c>
      <c r="BG338" s="14">
        <f t="shared" si="55"/>
        <v>0</v>
      </c>
      <c r="BH338" s="14">
        <f t="shared" si="56"/>
        <v>480</v>
      </c>
      <c r="BI338" s="14">
        <f t="shared" si="57"/>
        <v>0</v>
      </c>
      <c r="BJ338" s="14">
        <f t="shared" si="58"/>
        <v>1200</v>
      </c>
      <c r="BK338" s="14">
        <f t="shared" si="59"/>
        <v>480</v>
      </c>
      <c r="BL338" s="14">
        <f t="shared" si="60"/>
        <v>960</v>
      </c>
      <c r="CJ338" s="52">
        <v>334</v>
      </c>
      <c r="CK338" s="52">
        <v>4</v>
      </c>
      <c r="CL338" s="52" t="s">
        <v>257</v>
      </c>
      <c r="CM338" s="52">
        <v>34</v>
      </c>
      <c r="CN338" s="52"/>
      <c r="CO338" s="52"/>
      <c r="CP338" s="52"/>
      <c r="CQ338" s="52" t="s">
        <v>372</v>
      </c>
      <c r="CR338" s="52">
        <v>16200</v>
      </c>
      <c r="CS338" s="52" t="s">
        <v>373</v>
      </c>
      <c r="CT338" s="52">
        <v>50</v>
      </c>
      <c r="CU338" s="52"/>
      <c r="CV338" s="52"/>
      <c r="CW338" s="52" t="s">
        <v>373</v>
      </c>
      <c r="CX338" s="52">
        <v>50</v>
      </c>
      <c r="CY338" s="52"/>
      <c r="CZ338" s="52"/>
      <c r="DA338" s="52"/>
      <c r="DB338" s="52"/>
      <c r="DC338" s="52"/>
      <c r="DD338" s="52"/>
      <c r="DE338" s="52"/>
      <c r="DF338" s="52"/>
      <c r="DG338" s="52"/>
      <c r="DH338" s="52"/>
    </row>
    <row r="339" spans="58:112" ht="16.5" x14ac:dyDescent="0.2">
      <c r="BF339" s="52">
        <v>334</v>
      </c>
      <c r="BG339" s="14">
        <f t="shared" si="55"/>
        <v>0</v>
      </c>
      <c r="BH339" s="14">
        <f t="shared" si="56"/>
        <v>480</v>
      </c>
      <c r="BI339" s="14">
        <f t="shared" si="57"/>
        <v>0</v>
      </c>
      <c r="BJ339" s="14">
        <f t="shared" si="58"/>
        <v>1200</v>
      </c>
      <c r="BK339" s="14">
        <f t="shared" si="59"/>
        <v>480</v>
      </c>
      <c r="BL339" s="14">
        <f t="shared" si="60"/>
        <v>960</v>
      </c>
      <c r="CJ339" s="52">
        <v>335</v>
      </c>
      <c r="CK339" s="52">
        <v>4</v>
      </c>
      <c r="CL339" s="52" t="s">
        <v>257</v>
      </c>
      <c r="CM339" s="52">
        <v>35</v>
      </c>
      <c r="CN339" s="52"/>
      <c r="CO339" s="52"/>
      <c r="CP339" s="52"/>
      <c r="CQ339" s="52" t="s">
        <v>372</v>
      </c>
      <c r="CR339" s="52">
        <v>16200</v>
      </c>
      <c r="CS339" s="52" t="s">
        <v>373</v>
      </c>
      <c r="CT339" s="52">
        <v>50</v>
      </c>
      <c r="CU339" s="52" t="s">
        <v>277</v>
      </c>
      <c r="CV339" s="52">
        <v>2</v>
      </c>
      <c r="CW339" s="52" t="s">
        <v>373</v>
      </c>
      <c r="CX339" s="52">
        <v>55</v>
      </c>
      <c r="CY339" s="52"/>
      <c r="CZ339" s="52"/>
      <c r="DA339" s="52"/>
      <c r="DB339" s="52"/>
      <c r="DC339" s="52"/>
      <c r="DD339" s="52"/>
      <c r="DE339" s="52"/>
      <c r="DF339" s="52"/>
      <c r="DG339" s="52"/>
      <c r="DH339" s="52"/>
    </row>
    <row r="340" spans="58:112" ht="16.5" x14ac:dyDescent="0.2">
      <c r="BF340" s="52">
        <v>335</v>
      </c>
      <c r="BG340" s="14">
        <f t="shared" si="55"/>
        <v>0</v>
      </c>
      <c r="BH340" s="14">
        <f t="shared" si="56"/>
        <v>480</v>
      </c>
      <c r="BI340" s="14">
        <f t="shared" si="57"/>
        <v>0</v>
      </c>
      <c r="BJ340" s="14">
        <f t="shared" si="58"/>
        <v>1200</v>
      </c>
      <c r="BK340" s="14">
        <f t="shared" si="59"/>
        <v>480</v>
      </c>
      <c r="BL340" s="14">
        <f t="shared" si="60"/>
        <v>960</v>
      </c>
      <c r="CJ340" s="52">
        <v>336</v>
      </c>
      <c r="CK340" s="52">
        <v>4</v>
      </c>
      <c r="CL340" s="52" t="s">
        <v>257</v>
      </c>
      <c r="CM340" s="52">
        <v>36</v>
      </c>
      <c r="CN340" s="52"/>
      <c r="CO340" s="52"/>
      <c r="CP340" s="52"/>
      <c r="CQ340" s="52" t="s">
        <v>372</v>
      </c>
      <c r="CR340" s="52">
        <v>16200</v>
      </c>
      <c r="CS340" s="52" t="s">
        <v>373</v>
      </c>
      <c r="CT340" s="52">
        <v>55</v>
      </c>
      <c r="CU340" s="52"/>
      <c r="CV340" s="52"/>
      <c r="CW340" s="52" t="s">
        <v>373</v>
      </c>
      <c r="CX340" s="52">
        <v>55</v>
      </c>
      <c r="CY340" s="52"/>
      <c r="CZ340" s="52"/>
      <c r="DA340" s="52"/>
      <c r="DB340" s="52"/>
      <c r="DC340" s="52"/>
      <c r="DD340" s="52"/>
      <c r="DE340" s="52"/>
      <c r="DF340" s="52"/>
      <c r="DG340" s="52"/>
      <c r="DH340" s="52"/>
    </row>
    <row r="341" spans="58:112" ht="16.5" x14ac:dyDescent="0.2">
      <c r="BF341" s="52">
        <v>336</v>
      </c>
      <c r="BG341" s="14">
        <f t="shared" si="55"/>
        <v>0</v>
      </c>
      <c r="BH341" s="14">
        <f t="shared" si="56"/>
        <v>480</v>
      </c>
      <c r="BI341" s="14">
        <f t="shared" si="57"/>
        <v>0</v>
      </c>
      <c r="BJ341" s="14">
        <f t="shared" si="58"/>
        <v>1200</v>
      </c>
      <c r="BK341" s="14">
        <f t="shared" si="59"/>
        <v>480</v>
      </c>
      <c r="BL341" s="14">
        <f t="shared" si="60"/>
        <v>960</v>
      </c>
      <c r="CJ341" s="52">
        <v>337</v>
      </c>
      <c r="CK341" s="52">
        <v>4</v>
      </c>
      <c r="CL341" s="52" t="s">
        <v>257</v>
      </c>
      <c r="CM341" s="52">
        <v>37</v>
      </c>
      <c r="CN341" s="52"/>
      <c r="CO341" s="52"/>
      <c r="CP341" s="52"/>
      <c r="CQ341" s="52" t="s">
        <v>372</v>
      </c>
      <c r="CR341" s="52">
        <v>16200</v>
      </c>
      <c r="CS341" s="52" t="s">
        <v>373</v>
      </c>
      <c r="CT341" s="52">
        <v>55</v>
      </c>
      <c r="CU341" s="52"/>
      <c r="CV341" s="52"/>
      <c r="CW341" s="52" t="s">
        <v>373</v>
      </c>
      <c r="CX341" s="52">
        <v>55</v>
      </c>
      <c r="CY341" s="52"/>
      <c r="CZ341" s="52"/>
      <c r="DA341" s="52"/>
      <c r="DB341" s="52"/>
      <c r="DC341" s="52"/>
      <c r="DD341" s="52"/>
      <c r="DE341" s="52"/>
      <c r="DF341" s="52"/>
      <c r="DG341" s="52"/>
      <c r="DH341" s="52"/>
    </row>
    <row r="342" spans="58:112" ht="16.5" x14ac:dyDescent="0.2">
      <c r="BF342" s="52">
        <v>337</v>
      </c>
      <c r="BG342" s="14">
        <f t="shared" si="55"/>
        <v>0</v>
      </c>
      <c r="BH342" s="14">
        <f t="shared" si="56"/>
        <v>480</v>
      </c>
      <c r="BI342" s="14">
        <f t="shared" si="57"/>
        <v>0</v>
      </c>
      <c r="BJ342" s="14">
        <f t="shared" si="58"/>
        <v>1200</v>
      </c>
      <c r="BK342" s="14">
        <f t="shared" si="59"/>
        <v>480</v>
      </c>
      <c r="BL342" s="14">
        <f t="shared" si="60"/>
        <v>960</v>
      </c>
      <c r="CJ342" s="52">
        <v>338</v>
      </c>
      <c r="CK342" s="52">
        <v>4</v>
      </c>
      <c r="CL342" s="52" t="s">
        <v>257</v>
      </c>
      <c r="CM342" s="52">
        <v>38</v>
      </c>
      <c r="CN342" s="52"/>
      <c r="CO342" s="52"/>
      <c r="CP342" s="52"/>
      <c r="CQ342" s="52" t="s">
        <v>372</v>
      </c>
      <c r="CR342" s="52">
        <v>16200</v>
      </c>
      <c r="CS342" s="52" t="s">
        <v>373</v>
      </c>
      <c r="CT342" s="52">
        <v>55</v>
      </c>
      <c r="CU342" s="52"/>
      <c r="CV342" s="52"/>
      <c r="CW342" s="52" t="s">
        <v>373</v>
      </c>
      <c r="CX342" s="52">
        <v>55</v>
      </c>
      <c r="CY342" s="52"/>
      <c r="CZ342" s="52"/>
      <c r="DA342" s="52"/>
      <c r="DB342" s="52"/>
      <c r="DC342" s="52"/>
      <c r="DD342" s="52"/>
      <c r="DE342" s="52"/>
      <c r="DF342" s="52"/>
      <c r="DG342" s="52"/>
      <c r="DH342" s="52"/>
    </row>
    <row r="343" spans="58:112" ht="16.5" x14ac:dyDescent="0.2">
      <c r="BF343" s="52">
        <v>338</v>
      </c>
      <c r="BG343" s="14">
        <f t="shared" si="55"/>
        <v>0</v>
      </c>
      <c r="BH343" s="14">
        <f t="shared" si="56"/>
        <v>480</v>
      </c>
      <c r="BI343" s="14">
        <f t="shared" si="57"/>
        <v>0</v>
      </c>
      <c r="BJ343" s="14">
        <f t="shared" si="58"/>
        <v>1200</v>
      </c>
      <c r="BK343" s="14">
        <f t="shared" si="59"/>
        <v>480</v>
      </c>
      <c r="BL343" s="14">
        <f t="shared" si="60"/>
        <v>960</v>
      </c>
      <c r="CJ343" s="52">
        <v>339</v>
      </c>
      <c r="CK343" s="52">
        <v>4</v>
      </c>
      <c r="CL343" s="52" t="s">
        <v>257</v>
      </c>
      <c r="CM343" s="52">
        <v>39</v>
      </c>
      <c r="CN343" s="52"/>
      <c r="CO343" s="52"/>
      <c r="CP343" s="52"/>
      <c r="CQ343" s="52" t="s">
        <v>372</v>
      </c>
      <c r="CR343" s="52">
        <v>16200</v>
      </c>
      <c r="CS343" s="52" t="s">
        <v>373</v>
      </c>
      <c r="CT343" s="52">
        <v>55</v>
      </c>
      <c r="CU343" s="52"/>
      <c r="CV343" s="52"/>
      <c r="CW343" s="52" t="s">
        <v>373</v>
      </c>
      <c r="CX343" s="52">
        <v>55</v>
      </c>
      <c r="CY343" s="52"/>
      <c r="CZ343" s="52"/>
      <c r="DA343" s="52"/>
      <c r="DB343" s="52"/>
      <c r="DC343" s="52"/>
      <c r="DD343" s="52"/>
      <c r="DE343" s="52"/>
      <c r="DF343" s="52"/>
      <c r="DG343" s="52"/>
      <c r="DH343" s="52"/>
    </row>
    <row r="344" spans="58:112" ht="16.5" x14ac:dyDescent="0.2">
      <c r="BF344" s="52">
        <v>339</v>
      </c>
      <c r="BG344" s="14">
        <f t="shared" si="55"/>
        <v>0</v>
      </c>
      <c r="BH344" s="14">
        <f t="shared" si="56"/>
        <v>480</v>
      </c>
      <c r="BI344" s="14">
        <f t="shared" si="57"/>
        <v>0</v>
      </c>
      <c r="BJ344" s="14">
        <f t="shared" si="58"/>
        <v>1200</v>
      </c>
      <c r="BK344" s="14">
        <f t="shared" si="59"/>
        <v>480</v>
      </c>
      <c r="BL344" s="14">
        <f t="shared" si="60"/>
        <v>960</v>
      </c>
      <c r="CJ344" s="52">
        <v>340</v>
      </c>
      <c r="CK344" s="52">
        <v>4</v>
      </c>
      <c r="CL344" s="52" t="s">
        <v>257</v>
      </c>
      <c r="CM344" s="52">
        <v>40</v>
      </c>
      <c r="CN344" s="52"/>
      <c r="CO344" s="52"/>
      <c r="CP344" s="52"/>
      <c r="CQ344" s="52" t="s">
        <v>372</v>
      </c>
      <c r="CR344" s="52">
        <v>16200</v>
      </c>
      <c r="CS344" s="52" t="s">
        <v>373</v>
      </c>
      <c r="CT344" s="52">
        <v>55</v>
      </c>
      <c r="CU344" s="52" t="s">
        <v>278</v>
      </c>
      <c r="CV344" s="52">
        <v>2</v>
      </c>
      <c r="CW344" s="52" t="s">
        <v>373</v>
      </c>
      <c r="CX344" s="52">
        <v>60</v>
      </c>
      <c r="CY344" s="52"/>
      <c r="CZ344" s="52"/>
      <c r="DA344" s="52"/>
      <c r="DB344" s="52"/>
      <c r="DC344" s="52"/>
      <c r="DD344" s="52"/>
      <c r="DE344" s="52"/>
      <c r="DF344" s="52"/>
      <c r="DG344" s="52"/>
      <c r="DH344" s="52"/>
    </row>
    <row r="345" spans="58:112" ht="16.5" x14ac:dyDescent="0.2">
      <c r="BF345" s="52">
        <v>340</v>
      </c>
      <c r="BG345" s="14">
        <f t="shared" si="55"/>
        <v>0</v>
      </c>
      <c r="BH345" s="14">
        <f t="shared" si="56"/>
        <v>480</v>
      </c>
      <c r="BI345" s="14">
        <f t="shared" si="57"/>
        <v>0</v>
      </c>
      <c r="BJ345" s="14">
        <f t="shared" si="58"/>
        <v>1200</v>
      </c>
      <c r="BK345" s="14">
        <f t="shared" si="59"/>
        <v>480</v>
      </c>
      <c r="BL345" s="14">
        <f t="shared" si="60"/>
        <v>960</v>
      </c>
      <c r="CJ345" s="52">
        <v>341</v>
      </c>
      <c r="CK345" s="52">
        <v>4</v>
      </c>
      <c r="CL345" s="52" t="s">
        <v>257</v>
      </c>
      <c r="CM345" s="52">
        <v>41</v>
      </c>
      <c r="CN345" s="52"/>
      <c r="CO345" s="52"/>
      <c r="CP345" s="52"/>
      <c r="CQ345" s="52" t="s">
        <v>372</v>
      </c>
      <c r="CR345" s="52">
        <v>16200</v>
      </c>
      <c r="CS345" s="52" t="s">
        <v>373</v>
      </c>
      <c r="CT345" s="52">
        <v>60</v>
      </c>
      <c r="CU345" s="52"/>
      <c r="CV345" s="52"/>
      <c r="CW345" s="52" t="s">
        <v>373</v>
      </c>
      <c r="CX345" s="52">
        <v>60</v>
      </c>
      <c r="CY345" s="52"/>
      <c r="CZ345" s="52"/>
      <c r="DA345" s="52"/>
      <c r="DB345" s="52"/>
      <c r="DC345" s="52"/>
      <c r="DD345" s="52"/>
      <c r="DE345" s="52"/>
      <c r="DF345" s="52"/>
      <c r="DG345" s="52"/>
      <c r="DH345" s="52"/>
    </row>
    <row r="346" spans="58:112" ht="16.5" x14ac:dyDescent="0.2">
      <c r="BF346" s="52">
        <v>341</v>
      </c>
      <c r="BG346" s="14">
        <f t="shared" si="55"/>
        <v>0</v>
      </c>
      <c r="BH346" s="14">
        <f t="shared" si="56"/>
        <v>480</v>
      </c>
      <c r="BI346" s="14">
        <f t="shared" si="57"/>
        <v>0</v>
      </c>
      <c r="BJ346" s="14">
        <f t="shared" si="58"/>
        <v>1200</v>
      </c>
      <c r="BK346" s="14">
        <f t="shared" si="59"/>
        <v>480</v>
      </c>
      <c r="BL346" s="14">
        <f t="shared" si="60"/>
        <v>960</v>
      </c>
      <c r="CJ346" s="52">
        <v>342</v>
      </c>
      <c r="CK346" s="52">
        <v>4</v>
      </c>
      <c r="CL346" s="52" t="s">
        <v>257</v>
      </c>
      <c r="CM346" s="52">
        <v>42</v>
      </c>
      <c r="CN346" s="52"/>
      <c r="CO346" s="52"/>
      <c r="CP346" s="52"/>
      <c r="CQ346" s="52" t="s">
        <v>372</v>
      </c>
      <c r="CR346" s="52">
        <v>16200</v>
      </c>
      <c r="CS346" s="52" t="s">
        <v>373</v>
      </c>
      <c r="CT346" s="52">
        <v>60</v>
      </c>
      <c r="CU346" s="52"/>
      <c r="CV346" s="52"/>
      <c r="CW346" s="52" t="s">
        <v>373</v>
      </c>
      <c r="CX346" s="52">
        <v>60</v>
      </c>
      <c r="CY346" s="52"/>
      <c r="CZ346" s="52"/>
      <c r="DA346" s="52"/>
      <c r="DB346" s="52"/>
      <c r="DC346" s="52"/>
      <c r="DD346" s="52"/>
      <c r="DE346" s="52"/>
      <c r="DF346" s="52"/>
      <c r="DG346" s="52"/>
      <c r="DH346" s="52"/>
    </row>
    <row r="347" spans="58:112" ht="16.5" x14ac:dyDescent="0.2">
      <c r="BF347" s="52">
        <v>342</v>
      </c>
      <c r="BG347" s="14">
        <f t="shared" si="55"/>
        <v>0</v>
      </c>
      <c r="BH347" s="14">
        <f t="shared" si="56"/>
        <v>480</v>
      </c>
      <c r="BI347" s="14">
        <f t="shared" si="57"/>
        <v>0</v>
      </c>
      <c r="BJ347" s="14">
        <f t="shared" si="58"/>
        <v>1200</v>
      </c>
      <c r="BK347" s="14">
        <f t="shared" si="59"/>
        <v>480</v>
      </c>
      <c r="BL347" s="14">
        <f t="shared" si="60"/>
        <v>960</v>
      </c>
      <c r="CJ347" s="52">
        <v>343</v>
      </c>
      <c r="CK347" s="52">
        <v>4</v>
      </c>
      <c r="CL347" s="52" t="s">
        <v>257</v>
      </c>
      <c r="CM347" s="52">
        <v>43</v>
      </c>
      <c r="CN347" s="52"/>
      <c r="CO347" s="52"/>
      <c r="CP347" s="52"/>
      <c r="CQ347" s="52" t="s">
        <v>372</v>
      </c>
      <c r="CR347" s="52">
        <v>16200</v>
      </c>
      <c r="CS347" s="52" t="s">
        <v>373</v>
      </c>
      <c r="CT347" s="52">
        <v>60</v>
      </c>
      <c r="CU347" s="52"/>
      <c r="CV347" s="52"/>
      <c r="CW347" s="52" t="s">
        <v>373</v>
      </c>
      <c r="CX347" s="52">
        <v>60</v>
      </c>
      <c r="CY347" s="52"/>
      <c r="CZ347" s="52"/>
      <c r="DA347" s="52"/>
      <c r="DB347" s="52"/>
      <c r="DC347" s="52"/>
      <c r="DD347" s="52"/>
      <c r="DE347" s="52"/>
      <c r="DF347" s="52"/>
      <c r="DG347" s="52"/>
      <c r="DH347" s="52"/>
    </row>
    <row r="348" spans="58:112" ht="16.5" x14ac:dyDescent="0.2">
      <c r="BF348" s="52">
        <v>343</v>
      </c>
      <c r="BG348" s="14">
        <f t="shared" si="55"/>
        <v>0</v>
      </c>
      <c r="BH348" s="14">
        <f t="shared" si="56"/>
        <v>480</v>
      </c>
      <c r="BI348" s="14">
        <f t="shared" si="57"/>
        <v>0</v>
      </c>
      <c r="BJ348" s="14">
        <f t="shared" si="58"/>
        <v>1200</v>
      </c>
      <c r="BK348" s="14">
        <f t="shared" si="59"/>
        <v>480</v>
      </c>
      <c r="BL348" s="14">
        <f t="shared" si="60"/>
        <v>960</v>
      </c>
      <c r="CJ348" s="52">
        <v>344</v>
      </c>
      <c r="CK348" s="52">
        <v>4</v>
      </c>
      <c r="CL348" s="52" t="s">
        <v>257</v>
      </c>
      <c r="CM348" s="52">
        <v>44</v>
      </c>
      <c r="CN348" s="52"/>
      <c r="CO348" s="52"/>
      <c r="CP348" s="52"/>
      <c r="CQ348" s="52" t="s">
        <v>372</v>
      </c>
      <c r="CR348" s="52">
        <v>16200</v>
      </c>
      <c r="CS348" s="52" t="s">
        <v>373</v>
      </c>
      <c r="CT348" s="52">
        <v>60</v>
      </c>
      <c r="CU348" s="52"/>
      <c r="CV348" s="52"/>
      <c r="CW348" s="52" t="s">
        <v>373</v>
      </c>
      <c r="CX348" s="52">
        <v>60</v>
      </c>
      <c r="CY348" s="52"/>
      <c r="CZ348" s="52"/>
      <c r="DA348" s="52"/>
      <c r="DB348" s="52"/>
      <c r="DC348" s="52"/>
      <c r="DD348" s="52"/>
      <c r="DE348" s="52"/>
      <c r="DF348" s="52"/>
      <c r="DG348" s="52"/>
      <c r="DH348" s="52"/>
    </row>
    <row r="349" spans="58:112" ht="16.5" x14ac:dyDescent="0.2">
      <c r="BF349" s="52">
        <v>344</v>
      </c>
      <c r="BG349" s="14">
        <f t="shared" si="55"/>
        <v>0</v>
      </c>
      <c r="BH349" s="14">
        <f t="shared" si="56"/>
        <v>480</v>
      </c>
      <c r="BI349" s="14">
        <f t="shared" si="57"/>
        <v>0</v>
      </c>
      <c r="BJ349" s="14">
        <f t="shared" si="58"/>
        <v>1200</v>
      </c>
      <c r="BK349" s="14">
        <f t="shared" si="59"/>
        <v>480</v>
      </c>
      <c r="BL349" s="14">
        <f t="shared" si="60"/>
        <v>960</v>
      </c>
      <c r="CJ349" s="52">
        <v>345</v>
      </c>
      <c r="CK349" s="52">
        <v>4</v>
      </c>
      <c r="CL349" s="52" t="s">
        <v>257</v>
      </c>
      <c r="CM349" s="52">
        <v>45</v>
      </c>
      <c r="CN349" s="52"/>
      <c r="CO349" s="52"/>
      <c r="CP349" s="52"/>
      <c r="CQ349" s="52" t="s">
        <v>372</v>
      </c>
      <c r="CR349" s="52">
        <v>19800</v>
      </c>
      <c r="CS349" s="52" t="s">
        <v>373</v>
      </c>
      <c r="CT349" s="52">
        <v>60</v>
      </c>
      <c r="CU349" s="52" t="s">
        <v>281</v>
      </c>
      <c r="CV349" s="52">
        <v>2</v>
      </c>
      <c r="CW349" s="52" t="s">
        <v>373</v>
      </c>
      <c r="CX349" s="52">
        <v>65</v>
      </c>
      <c r="CY349" s="52"/>
      <c r="CZ349" s="52"/>
      <c r="DA349" s="52"/>
      <c r="DB349" s="52"/>
      <c r="DC349" s="52"/>
      <c r="DD349" s="52"/>
      <c r="DE349" s="52"/>
      <c r="DF349" s="52"/>
      <c r="DG349" s="52"/>
      <c r="DH349" s="52"/>
    </row>
    <row r="350" spans="58:112" ht="16.5" x14ac:dyDescent="0.2">
      <c r="BF350" s="52">
        <v>345</v>
      </c>
      <c r="BG350" s="14">
        <f t="shared" si="55"/>
        <v>0</v>
      </c>
      <c r="BH350" s="14">
        <f t="shared" si="56"/>
        <v>480</v>
      </c>
      <c r="BI350" s="14">
        <f t="shared" si="57"/>
        <v>0</v>
      </c>
      <c r="BJ350" s="14">
        <f t="shared" si="58"/>
        <v>1200</v>
      </c>
      <c r="BK350" s="14">
        <f t="shared" si="59"/>
        <v>480</v>
      </c>
      <c r="BL350" s="14">
        <f t="shared" si="60"/>
        <v>960</v>
      </c>
      <c r="CJ350" s="52">
        <v>346</v>
      </c>
      <c r="CK350" s="52">
        <v>4</v>
      </c>
      <c r="CL350" s="52" t="s">
        <v>257</v>
      </c>
      <c r="CM350" s="52">
        <v>46</v>
      </c>
      <c r="CN350" s="52"/>
      <c r="CO350" s="52"/>
      <c r="CP350" s="52"/>
      <c r="CQ350" s="52" t="s">
        <v>372</v>
      </c>
      <c r="CR350" s="52">
        <v>19800</v>
      </c>
      <c r="CS350" s="52" t="s">
        <v>373</v>
      </c>
      <c r="CT350" s="52">
        <v>65</v>
      </c>
      <c r="CU350" s="52"/>
      <c r="CV350" s="52"/>
      <c r="CW350" s="52" t="s">
        <v>373</v>
      </c>
      <c r="CX350" s="52">
        <v>65</v>
      </c>
      <c r="CY350" s="52"/>
      <c r="CZ350" s="52"/>
      <c r="DA350" s="52"/>
      <c r="DB350" s="52"/>
      <c r="DC350" s="52"/>
      <c r="DD350" s="52"/>
      <c r="DE350" s="52"/>
      <c r="DF350" s="52"/>
      <c r="DG350" s="52"/>
      <c r="DH350" s="52"/>
    </row>
    <row r="351" spans="58:112" ht="16.5" x14ac:dyDescent="0.2">
      <c r="BF351" s="52">
        <v>346</v>
      </c>
      <c r="BG351" s="14">
        <f t="shared" si="55"/>
        <v>0</v>
      </c>
      <c r="BH351" s="14">
        <f t="shared" si="56"/>
        <v>480</v>
      </c>
      <c r="BI351" s="14">
        <f t="shared" si="57"/>
        <v>0</v>
      </c>
      <c r="BJ351" s="14">
        <f t="shared" si="58"/>
        <v>1200</v>
      </c>
      <c r="BK351" s="14">
        <f t="shared" si="59"/>
        <v>480</v>
      </c>
      <c r="BL351" s="14">
        <f t="shared" si="60"/>
        <v>960</v>
      </c>
      <c r="CJ351" s="52">
        <v>347</v>
      </c>
      <c r="CK351" s="52">
        <v>4</v>
      </c>
      <c r="CL351" s="52" t="s">
        <v>257</v>
      </c>
      <c r="CM351" s="52">
        <v>47</v>
      </c>
      <c r="CN351" s="52"/>
      <c r="CO351" s="52"/>
      <c r="CP351" s="52"/>
      <c r="CQ351" s="52" t="s">
        <v>372</v>
      </c>
      <c r="CR351" s="52">
        <v>19800</v>
      </c>
      <c r="CS351" s="52" t="s">
        <v>373</v>
      </c>
      <c r="CT351" s="52">
        <v>65</v>
      </c>
      <c r="CU351" s="52"/>
      <c r="CV351" s="52"/>
      <c r="CW351" s="52" t="s">
        <v>373</v>
      </c>
      <c r="CX351" s="52">
        <v>65</v>
      </c>
      <c r="CY351" s="52"/>
      <c r="CZ351" s="52"/>
      <c r="DA351" s="52"/>
      <c r="DB351" s="52"/>
      <c r="DC351" s="52"/>
      <c r="DD351" s="52"/>
      <c r="DE351" s="52"/>
      <c r="DF351" s="52"/>
      <c r="DG351" s="52"/>
      <c r="DH351" s="52"/>
    </row>
    <row r="352" spans="58:112" ht="16.5" x14ac:dyDescent="0.2">
      <c r="BF352" s="52">
        <v>347</v>
      </c>
      <c r="BG352" s="14">
        <f t="shared" si="55"/>
        <v>0</v>
      </c>
      <c r="BH352" s="14">
        <f t="shared" si="56"/>
        <v>480</v>
      </c>
      <c r="BI352" s="14">
        <f t="shared" si="57"/>
        <v>0</v>
      </c>
      <c r="BJ352" s="14">
        <f t="shared" si="58"/>
        <v>1200</v>
      </c>
      <c r="BK352" s="14">
        <f t="shared" si="59"/>
        <v>480</v>
      </c>
      <c r="BL352" s="14">
        <f t="shared" si="60"/>
        <v>960</v>
      </c>
      <c r="CJ352" s="52">
        <v>348</v>
      </c>
      <c r="CK352" s="52">
        <v>4</v>
      </c>
      <c r="CL352" s="52" t="s">
        <v>257</v>
      </c>
      <c r="CM352" s="52">
        <v>48</v>
      </c>
      <c r="CN352" s="52"/>
      <c r="CO352" s="52"/>
      <c r="CP352" s="52"/>
      <c r="CQ352" s="52" t="s">
        <v>372</v>
      </c>
      <c r="CR352" s="52">
        <v>19800</v>
      </c>
      <c r="CS352" s="52" t="s">
        <v>373</v>
      </c>
      <c r="CT352" s="52">
        <v>65</v>
      </c>
      <c r="CU352" s="52"/>
      <c r="CV352" s="52"/>
      <c r="CW352" s="52" t="s">
        <v>373</v>
      </c>
      <c r="CX352" s="52">
        <v>65</v>
      </c>
      <c r="CY352" s="52"/>
      <c r="CZ352" s="52"/>
      <c r="DA352" s="52"/>
      <c r="DB352" s="52"/>
      <c r="DC352" s="52"/>
      <c r="DD352" s="52"/>
      <c r="DE352" s="52"/>
      <c r="DF352" s="52"/>
      <c r="DG352" s="52"/>
      <c r="DH352" s="52"/>
    </row>
    <row r="353" spans="58:112" ht="16.5" x14ac:dyDescent="0.2">
      <c r="BF353" s="52">
        <v>348</v>
      </c>
      <c r="BG353" s="14">
        <f t="shared" si="55"/>
        <v>0</v>
      </c>
      <c r="BH353" s="14">
        <f t="shared" si="56"/>
        <v>480</v>
      </c>
      <c r="BI353" s="14">
        <f t="shared" si="57"/>
        <v>0</v>
      </c>
      <c r="BJ353" s="14">
        <f t="shared" si="58"/>
        <v>1200</v>
      </c>
      <c r="BK353" s="14">
        <f t="shared" si="59"/>
        <v>480</v>
      </c>
      <c r="BL353" s="14">
        <f t="shared" si="60"/>
        <v>960</v>
      </c>
      <c r="CJ353" s="52">
        <v>349</v>
      </c>
      <c r="CK353" s="52">
        <v>4</v>
      </c>
      <c r="CL353" s="52" t="s">
        <v>257</v>
      </c>
      <c r="CM353" s="52">
        <v>49</v>
      </c>
      <c r="CN353" s="52"/>
      <c r="CO353" s="52"/>
      <c r="CP353" s="52"/>
      <c r="CQ353" s="52" t="s">
        <v>372</v>
      </c>
      <c r="CR353" s="52">
        <v>19800</v>
      </c>
      <c r="CS353" s="52" t="s">
        <v>373</v>
      </c>
      <c r="CT353" s="52">
        <v>65</v>
      </c>
      <c r="CU353" s="52"/>
      <c r="CV353" s="52"/>
      <c r="CW353" s="52" t="s">
        <v>373</v>
      </c>
      <c r="CX353" s="52">
        <v>65</v>
      </c>
      <c r="CY353" s="52"/>
      <c r="CZ353" s="52"/>
      <c r="DA353" s="52"/>
      <c r="DB353" s="52"/>
      <c r="DC353" s="52"/>
      <c r="DD353" s="52"/>
      <c r="DE353" s="52"/>
      <c r="DF353" s="52"/>
      <c r="DG353" s="52"/>
      <c r="DH353" s="52"/>
    </row>
    <row r="354" spans="58:112" ht="16.5" x14ac:dyDescent="0.2">
      <c r="BF354" s="52">
        <v>349</v>
      </c>
      <c r="BG354" s="14">
        <f t="shared" si="55"/>
        <v>0</v>
      </c>
      <c r="BH354" s="14">
        <f t="shared" si="56"/>
        <v>480</v>
      </c>
      <c r="BI354" s="14">
        <f t="shared" si="57"/>
        <v>0</v>
      </c>
      <c r="BJ354" s="14">
        <f t="shared" si="58"/>
        <v>1200</v>
      </c>
      <c r="BK354" s="14">
        <f t="shared" si="59"/>
        <v>480</v>
      </c>
      <c r="BL354" s="14">
        <f t="shared" si="60"/>
        <v>960</v>
      </c>
      <c r="CJ354" s="52">
        <v>350</v>
      </c>
      <c r="CK354" s="52">
        <v>4</v>
      </c>
      <c r="CL354" s="52" t="s">
        <v>257</v>
      </c>
      <c r="CM354" s="52">
        <v>50</v>
      </c>
      <c r="CN354" s="52"/>
      <c r="CO354" s="52"/>
      <c r="CP354" s="52"/>
      <c r="CQ354" s="52" t="s">
        <v>372</v>
      </c>
      <c r="CR354" s="52">
        <v>19800</v>
      </c>
      <c r="CS354" s="52" t="s">
        <v>373</v>
      </c>
      <c r="CT354" s="52">
        <v>65</v>
      </c>
      <c r="CU354" s="52" t="s">
        <v>282</v>
      </c>
      <c r="CV354" s="52">
        <v>2</v>
      </c>
      <c r="CW354" s="52" t="s">
        <v>373</v>
      </c>
      <c r="CX354" s="52">
        <v>70</v>
      </c>
      <c r="CY354" s="52"/>
      <c r="CZ354" s="52"/>
      <c r="DA354" s="52"/>
      <c r="DB354" s="52"/>
      <c r="DC354" s="52"/>
      <c r="DD354" s="52"/>
      <c r="DE354" s="52"/>
      <c r="DF354" s="52"/>
      <c r="DG354" s="52"/>
      <c r="DH354" s="52"/>
    </row>
    <row r="355" spans="58:112" ht="16.5" x14ac:dyDescent="0.2">
      <c r="BF355" s="52">
        <v>350</v>
      </c>
      <c r="BG355" s="14">
        <f t="shared" si="55"/>
        <v>0</v>
      </c>
      <c r="BH355" s="14">
        <f t="shared" si="56"/>
        <v>480</v>
      </c>
      <c r="BI355" s="14">
        <f t="shared" si="57"/>
        <v>0</v>
      </c>
      <c r="BJ355" s="14">
        <f t="shared" si="58"/>
        <v>1200</v>
      </c>
      <c r="BK355" s="14">
        <f t="shared" si="59"/>
        <v>480</v>
      </c>
      <c r="BL355" s="14">
        <f t="shared" si="60"/>
        <v>960</v>
      </c>
      <c r="CJ355" s="52">
        <v>351</v>
      </c>
      <c r="CK355" s="52">
        <v>4</v>
      </c>
      <c r="CL355" s="52" t="s">
        <v>257</v>
      </c>
      <c r="CM355" s="52">
        <v>51</v>
      </c>
      <c r="CN355" s="52"/>
      <c r="CO355" s="52"/>
      <c r="CP355" s="52"/>
      <c r="CQ355" s="52" t="s">
        <v>372</v>
      </c>
      <c r="CR355" s="52">
        <v>19800</v>
      </c>
      <c r="CS355" s="52" t="s">
        <v>373</v>
      </c>
      <c r="CT355" s="52">
        <v>70</v>
      </c>
      <c r="CU355" s="52"/>
      <c r="CV355" s="52"/>
      <c r="CW355" s="52" t="s">
        <v>373</v>
      </c>
      <c r="CX355" s="52">
        <v>70</v>
      </c>
      <c r="CY355" s="52"/>
      <c r="CZ355" s="52"/>
      <c r="DA355" s="52"/>
      <c r="DB355" s="52"/>
      <c r="DC355" s="52"/>
      <c r="DD355" s="52"/>
      <c r="DE355" s="52"/>
      <c r="DF355" s="52"/>
      <c r="DG355" s="52"/>
      <c r="DH355" s="52"/>
    </row>
    <row r="356" spans="58:112" ht="16.5" x14ac:dyDescent="0.2">
      <c r="BF356" s="52">
        <v>351</v>
      </c>
      <c r="BG356" s="14">
        <f t="shared" si="55"/>
        <v>0</v>
      </c>
      <c r="BH356" s="14">
        <f t="shared" si="56"/>
        <v>480</v>
      </c>
      <c r="BI356" s="14">
        <f t="shared" si="57"/>
        <v>0</v>
      </c>
      <c r="BJ356" s="14">
        <f t="shared" si="58"/>
        <v>1200</v>
      </c>
      <c r="BK356" s="14">
        <f t="shared" si="59"/>
        <v>480</v>
      </c>
      <c r="BL356" s="14">
        <f t="shared" si="60"/>
        <v>960</v>
      </c>
      <c r="CJ356" s="52">
        <v>352</v>
      </c>
      <c r="CK356" s="52">
        <v>4</v>
      </c>
      <c r="CL356" s="52" t="s">
        <v>257</v>
      </c>
      <c r="CM356" s="52">
        <v>52</v>
      </c>
      <c r="CN356" s="52"/>
      <c r="CO356" s="52"/>
      <c r="CP356" s="52"/>
      <c r="CQ356" s="52" t="s">
        <v>372</v>
      </c>
      <c r="CR356" s="52">
        <v>19800</v>
      </c>
      <c r="CS356" s="52" t="s">
        <v>373</v>
      </c>
      <c r="CT356" s="52">
        <v>70</v>
      </c>
      <c r="CU356" s="52"/>
      <c r="CV356" s="52"/>
      <c r="CW356" s="52" t="s">
        <v>373</v>
      </c>
      <c r="CX356" s="52">
        <v>70</v>
      </c>
      <c r="CY356" s="52"/>
      <c r="CZ356" s="52"/>
      <c r="DA356" s="52"/>
      <c r="DB356" s="52"/>
      <c r="DC356" s="52"/>
      <c r="DD356" s="52"/>
      <c r="DE356" s="52"/>
      <c r="DF356" s="52"/>
      <c r="DG356" s="52"/>
      <c r="DH356" s="52"/>
    </row>
    <row r="357" spans="58:112" ht="16.5" x14ac:dyDescent="0.2">
      <c r="BF357" s="52">
        <v>352</v>
      </c>
      <c r="BG357" s="14">
        <f t="shared" si="55"/>
        <v>0</v>
      </c>
      <c r="BH357" s="14">
        <f t="shared" si="56"/>
        <v>480</v>
      </c>
      <c r="BI357" s="14">
        <f t="shared" si="57"/>
        <v>0</v>
      </c>
      <c r="BJ357" s="14">
        <f t="shared" si="58"/>
        <v>1200</v>
      </c>
      <c r="BK357" s="14">
        <f t="shared" si="59"/>
        <v>480</v>
      </c>
      <c r="BL357" s="14">
        <f t="shared" si="60"/>
        <v>960</v>
      </c>
      <c r="CJ357" s="52">
        <v>353</v>
      </c>
      <c r="CK357" s="52">
        <v>4</v>
      </c>
      <c r="CL357" s="52" t="s">
        <v>257</v>
      </c>
      <c r="CM357" s="52">
        <v>53</v>
      </c>
      <c r="CN357" s="52"/>
      <c r="CO357" s="52"/>
      <c r="CP357" s="52"/>
      <c r="CQ357" s="52" t="s">
        <v>372</v>
      </c>
      <c r="CR357" s="52">
        <v>19800</v>
      </c>
      <c r="CS357" s="52" t="s">
        <v>373</v>
      </c>
      <c r="CT357" s="52">
        <v>70</v>
      </c>
      <c r="CU357" s="52"/>
      <c r="CV357" s="52"/>
      <c r="CW357" s="52" t="s">
        <v>373</v>
      </c>
      <c r="CX357" s="52">
        <v>70</v>
      </c>
      <c r="CY357" s="52"/>
      <c r="CZ357" s="52"/>
      <c r="DA357" s="52"/>
      <c r="DB357" s="52"/>
      <c r="DC357" s="52"/>
      <c r="DD357" s="52"/>
      <c r="DE357" s="52"/>
      <c r="DF357" s="52"/>
      <c r="DG357" s="52"/>
      <c r="DH357" s="52"/>
    </row>
    <row r="358" spans="58:112" ht="16.5" x14ac:dyDescent="0.2">
      <c r="BF358" s="52">
        <v>353</v>
      </c>
      <c r="BG358" s="14">
        <f t="shared" si="55"/>
        <v>0</v>
      </c>
      <c r="BH358" s="14">
        <f t="shared" si="56"/>
        <v>480</v>
      </c>
      <c r="BI358" s="14">
        <f t="shared" si="57"/>
        <v>0</v>
      </c>
      <c r="BJ358" s="14">
        <f t="shared" si="58"/>
        <v>1200</v>
      </c>
      <c r="BK358" s="14">
        <f t="shared" si="59"/>
        <v>480</v>
      </c>
      <c r="BL358" s="14">
        <f t="shared" si="60"/>
        <v>960</v>
      </c>
      <c r="CJ358" s="52">
        <v>354</v>
      </c>
      <c r="CK358" s="52">
        <v>4</v>
      </c>
      <c r="CL358" s="52" t="s">
        <v>257</v>
      </c>
      <c r="CM358" s="52">
        <v>54</v>
      </c>
      <c r="CN358" s="52"/>
      <c r="CO358" s="52"/>
      <c r="CP358" s="52"/>
      <c r="CQ358" s="52" t="s">
        <v>372</v>
      </c>
      <c r="CR358" s="52">
        <v>19800</v>
      </c>
      <c r="CS358" s="52" t="s">
        <v>373</v>
      </c>
      <c r="CT358" s="52">
        <v>70</v>
      </c>
      <c r="CU358" s="52"/>
      <c r="CV358" s="52"/>
      <c r="CW358" s="52" t="s">
        <v>373</v>
      </c>
      <c r="CX358" s="52">
        <v>70</v>
      </c>
      <c r="CY358" s="52"/>
      <c r="CZ358" s="52"/>
      <c r="DA358" s="52"/>
      <c r="DB358" s="52"/>
      <c r="DC358" s="52"/>
      <c r="DD358" s="52"/>
      <c r="DE358" s="52"/>
      <c r="DF358" s="52"/>
      <c r="DG358" s="52"/>
      <c r="DH358" s="52"/>
    </row>
    <row r="359" spans="58:112" ht="16.5" x14ac:dyDescent="0.2">
      <c r="BF359" s="52">
        <v>354</v>
      </c>
      <c r="BG359" s="14">
        <f t="shared" si="55"/>
        <v>0</v>
      </c>
      <c r="BH359" s="14">
        <f t="shared" si="56"/>
        <v>480</v>
      </c>
      <c r="BI359" s="14">
        <f t="shared" si="57"/>
        <v>0</v>
      </c>
      <c r="BJ359" s="14">
        <f t="shared" si="58"/>
        <v>1200</v>
      </c>
      <c r="BK359" s="14">
        <f t="shared" si="59"/>
        <v>480</v>
      </c>
      <c r="BL359" s="14">
        <f t="shared" si="60"/>
        <v>960</v>
      </c>
      <c r="CJ359" s="52">
        <v>355</v>
      </c>
      <c r="CK359" s="52">
        <v>4</v>
      </c>
      <c r="CL359" s="52" t="s">
        <v>257</v>
      </c>
      <c r="CM359" s="52">
        <v>55</v>
      </c>
      <c r="CN359" s="52"/>
      <c r="CO359" s="52"/>
      <c r="CP359" s="52"/>
      <c r="CQ359" s="52" t="s">
        <v>372</v>
      </c>
      <c r="CR359" s="52">
        <v>19800</v>
      </c>
      <c r="CS359" s="52" t="s">
        <v>373</v>
      </c>
      <c r="CT359" s="52">
        <v>70</v>
      </c>
      <c r="CU359" s="52" t="s">
        <v>277</v>
      </c>
      <c r="CV359" s="52">
        <v>2</v>
      </c>
      <c r="CW359" s="52" t="s">
        <v>373</v>
      </c>
      <c r="CX359" s="52">
        <v>75</v>
      </c>
      <c r="CY359" s="52"/>
      <c r="CZ359" s="52"/>
      <c r="DA359" s="52"/>
      <c r="DB359" s="52"/>
      <c r="DC359" s="52"/>
      <c r="DD359" s="52"/>
      <c r="DE359" s="52"/>
      <c r="DF359" s="52"/>
      <c r="DG359" s="52"/>
      <c r="DH359" s="52"/>
    </row>
    <row r="360" spans="58:112" ht="16.5" x14ac:dyDescent="0.2">
      <c r="BF360" s="52">
        <v>355</v>
      </c>
      <c r="BG360" s="14">
        <f t="shared" si="55"/>
        <v>0</v>
      </c>
      <c r="BH360" s="14">
        <f t="shared" si="56"/>
        <v>480</v>
      </c>
      <c r="BI360" s="14">
        <f t="shared" si="57"/>
        <v>0</v>
      </c>
      <c r="BJ360" s="14">
        <f t="shared" si="58"/>
        <v>1200</v>
      </c>
      <c r="BK360" s="14">
        <f t="shared" si="59"/>
        <v>480</v>
      </c>
      <c r="BL360" s="14">
        <f t="shared" si="60"/>
        <v>960</v>
      </c>
      <c r="CJ360" s="52">
        <v>356</v>
      </c>
      <c r="CK360" s="52">
        <v>4</v>
      </c>
      <c r="CL360" s="52" t="s">
        <v>257</v>
      </c>
      <c r="CM360" s="52">
        <v>56</v>
      </c>
      <c r="CN360" s="52"/>
      <c r="CO360" s="52"/>
      <c r="CP360" s="52"/>
      <c r="CQ360" s="52" t="s">
        <v>372</v>
      </c>
      <c r="CR360" s="52">
        <v>19800</v>
      </c>
      <c r="CS360" s="52" t="s">
        <v>373</v>
      </c>
      <c r="CT360" s="52">
        <v>75</v>
      </c>
      <c r="CU360" s="52"/>
      <c r="CV360" s="52"/>
      <c r="CW360" s="52" t="s">
        <v>373</v>
      </c>
      <c r="CX360" s="52">
        <v>75</v>
      </c>
      <c r="CY360" s="52"/>
      <c r="CZ360" s="52"/>
      <c r="DA360" s="52"/>
      <c r="DB360" s="52"/>
      <c r="DC360" s="52"/>
      <c r="DD360" s="52"/>
      <c r="DE360" s="52"/>
      <c r="DF360" s="52"/>
      <c r="DG360" s="52"/>
      <c r="DH360" s="52"/>
    </row>
    <row r="361" spans="58:112" ht="16.5" x14ac:dyDescent="0.2">
      <c r="BF361" s="52">
        <v>356</v>
      </c>
      <c r="BG361" s="14">
        <f t="shared" si="55"/>
        <v>0</v>
      </c>
      <c r="BH361" s="14">
        <f t="shared" si="56"/>
        <v>480</v>
      </c>
      <c r="BI361" s="14">
        <f t="shared" si="57"/>
        <v>0</v>
      </c>
      <c r="BJ361" s="14">
        <f t="shared" si="58"/>
        <v>1200</v>
      </c>
      <c r="BK361" s="14">
        <f t="shared" si="59"/>
        <v>480</v>
      </c>
      <c r="BL361" s="14">
        <f t="shared" si="60"/>
        <v>960</v>
      </c>
      <c r="CJ361" s="52">
        <v>357</v>
      </c>
      <c r="CK361" s="52">
        <v>4</v>
      </c>
      <c r="CL361" s="52" t="s">
        <v>257</v>
      </c>
      <c r="CM361" s="52">
        <v>57</v>
      </c>
      <c r="CN361" s="52"/>
      <c r="CO361" s="52"/>
      <c r="CP361" s="52"/>
      <c r="CQ361" s="52" t="s">
        <v>372</v>
      </c>
      <c r="CR361" s="52">
        <v>19800</v>
      </c>
      <c r="CS361" s="52" t="s">
        <v>373</v>
      </c>
      <c r="CT361" s="52">
        <v>75</v>
      </c>
      <c r="CU361" s="52"/>
      <c r="CV361" s="52"/>
      <c r="CW361" s="52" t="s">
        <v>373</v>
      </c>
      <c r="CX361" s="52">
        <v>75</v>
      </c>
      <c r="CY361" s="52"/>
      <c r="CZ361" s="52"/>
      <c r="DA361" s="52"/>
      <c r="DB361" s="52"/>
      <c r="DC361" s="52"/>
      <c r="DD361" s="52"/>
      <c r="DE361" s="52"/>
      <c r="DF361" s="52"/>
      <c r="DG361" s="52"/>
      <c r="DH361" s="52"/>
    </row>
    <row r="362" spans="58:112" ht="16.5" x14ac:dyDescent="0.2">
      <c r="BF362" s="52">
        <v>357</v>
      </c>
      <c r="BG362" s="14">
        <f t="shared" ref="BG362:BG405" si="61">SUMIFS($F$5:$F$104,$AT$6:$AT$105,"="&amp;BF362)+SUMIFS($Q$5:$Q$104,$AW$6:$AW$105,"="&amp;BF362)+SUMIFS($AB$5:$AB$104,$AZ$6:$AZ$105,"="&amp;BF362)+SUMIFS($AM$5:$AM$104,$BC$6:$BC$105,"="&amp;BF362)</f>
        <v>0</v>
      </c>
      <c r="BH362" s="14">
        <f t="shared" ref="BH362:BH405" si="62">INDEX($G$5:$G$104,MATCH(BF362,$AT$5:$AT$105,1)-1)+INDEX($R$5:$R$104,MATCH(BF362,$AW$5:$AW$105,1)-1)+INDEX($AC$5:$AC$104,MATCH(BF362,$AZ$5:$AZ$105,1)-1)+INDEX($AN$5:$AN$104,MATCH(BF362,$BC$5:$BC$105,1)-1)</f>
        <v>480</v>
      </c>
      <c r="BI362" s="14">
        <f t="shared" ref="BI362:BI405" si="63">SUMIFS($H$5:$H$104,$AT$6:$AT$105,"="&amp;BF362)+SUMIFS($S$5:$S$104,$AW$6:$AW$105,"="&amp;BF362)+SUMIFS($AD$5:$AD$104,$AZ$6:$AZ$105,"="&amp;BF362)+SUMIFS($AO$5:$AO$104,$BC$6:$BC$105,"="&amp;BF362)</f>
        <v>0</v>
      </c>
      <c r="BJ362" s="14">
        <f t="shared" ref="BJ362:BJ405" si="64">INDEX($I$5:$I$104,MATCH(BF362,$AT$5:$AT$105,1)-1)+INDEX($T$5:$T$104,MATCH(BF362,$AW$5:$AW$105,1)-1)+INDEX($AE$5:$AE$104,MATCH(BF362,$AZ$5:$AZ$105,1)-1)+INDEX($AP$5:$AP$104,MATCH(BF362,$BC$5:$BC$105,1)-1)</f>
        <v>1200</v>
      </c>
      <c r="BK362" s="14">
        <f t="shared" si="59"/>
        <v>480</v>
      </c>
      <c r="BL362" s="14">
        <f t="shared" si="60"/>
        <v>960</v>
      </c>
      <c r="CJ362" s="52">
        <v>358</v>
      </c>
      <c r="CK362" s="52">
        <v>4</v>
      </c>
      <c r="CL362" s="52" t="s">
        <v>257</v>
      </c>
      <c r="CM362" s="52">
        <v>58</v>
      </c>
      <c r="CN362" s="52"/>
      <c r="CO362" s="52"/>
      <c r="CP362" s="52"/>
      <c r="CQ362" s="52" t="s">
        <v>372</v>
      </c>
      <c r="CR362" s="52">
        <v>19800</v>
      </c>
      <c r="CS362" s="52" t="s">
        <v>373</v>
      </c>
      <c r="CT362" s="52">
        <v>75</v>
      </c>
      <c r="CU362" s="52"/>
      <c r="CV362" s="52"/>
      <c r="CW362" s="52" t="s">
        <v>373</v>
      </c>
      <c r="CX362" s="52">
        <v>75</v>
      </c>
      <c r="CY362" s="52"/>
      <c r="CZ362" s="52"/>
      <c r="DA362" s="52"/>
      <c r="DB362" s="52"/>
      <c r="DC362" s="52"/>
      <c r="DD362" s="52"/>
      <c r="DE362" s="52"/>
      <c r="DF362" s="52"/>
      <c r="DG362" s="52"/>
      <c r="DH362" s="52"/>
    </row>
    <row r="363" spans="58:112" ht="16.5" x14ac:dyDescent="0.2">
      <c r="BF363" s="52">
        <v>358</v>
      </c>
      <c r="BG363" s="14">
        <f t="shared" si="61"/>
        <v>0</v>
      </c>
      <c r="BH363" s="14">
        <f t="shared" si="62"/>
        <v>480</v>
      </c>
      <c r="BI363" s="14">
        <f t="shared" si="63"/>
        <v>0</v>
      </c>
      <c r="BJ363" s="14">
        <f t="shared" si="64"/>
        <v>1200</v>
      </c>
      <c r="BK363" s="14">
        <f t="shared" si="59"/>
        <v>480</v>
      </c>
      <c r="BL363" s="14">
        <f t="shared" si="60"/>
        <v>960</v>
      </c>
      <c r="CJ363" s="52">
        <v>359</v>
      </c>
      <c r="CK363" s="52">
        <v>4</v>
      </c>
      <c r="CL363" s="52" t="s">
        <v>257</v>
      </c>
      <c r="CM363" s="52">
        <v>59</v>
      </c>
      <c r="CN363" s="52"/>
      <c r="CO363" s="52"/>
      <c r="CP363" s="52"/>
      <c r="CQ363" s="52" t="s">
        <v>372</v>
      </c>
      <c r="CR363" s="52">
        <v>19800</v>
      </c>
      <c r="CS363" s="52" t="s">
        <v>373</v>
      </c>
      <c r="CT363" s="52">
        <v>75</v>
      </c>
      <c r="CU363" s="52"/>
      <c r="CV363" s="52"/>
      <c r="CW363" s="52" t="s">
        <v>373</v>
      </c>
      <c r="CX363" s="52">
        <v>75</v>
      </c>
      <c r="CY363" s="52"/>
      <c r="CZ363" s="52"/>
      <c r="DA363" s="52"/>
      <c r="DB363" s="52"/>
      <c r="DC363" s="52"/>
      <c r="DD363" s="52"/>
      <c r="DE363" s="52"/>
      <c r="DF363" s="52"/>
      <c r="DG363" s="52"/>
      <c r="DH363" s="52"/>
    </row>
    <row r="364" spans="58:112" ht="16.5" x14ac:dyDescent="0.2">
      <c r="BF364" s="52">
        <v>359</v>
      </c>
      <c r="BG364" s="14">
        <f t="shared" si="61"/>
        <v>0</v>
      </c>
      <c r="BH364" s="14">
        <f t="shared" si="62"/>
        <v>480</v>
      </c>
      <c r="BI364" s="14">
        <f t="shared" si="63"/>
        <v>0</v>
      </c>
      <c r="BJ364" s="14">
        <f t="shared" si="64"/>
        <v>1200</v>
      </c>
      <c r="BK364" s="14">
        <f t="shared" si="59"/>
        <v>480</v>
      </c>
      <c r="BL364" s="14">
        <f t="shared" si="60"/>
        <v>960</v>
      </c>
      <c r="CJ364" s="52">
        <v>360</v>
      </c>
      <c r="CK364" s="52">
        <v>4</v>
      </c>
      <c r="CL364" s="52" t="s">
        <v>257</v>
      </c>
      <c r="CM364" s="52">
        <v>60</v>
      </c>
      <c r="CN364" s="52"/>
      <c r="CO364" s="52"/>
      <c r="CP364" s="52"/>
      <c r="CQ364" s="52" t="s">
        <v>372</v>
      </c>
      <c r="CR364" s="52">
        <v>23400</v>
      </c>
      <c r="CS364" s="52" t="s">
        <v>373</v>
      </c>
      <c r="CT364" s="52">
        <v>75</v>
      </c>
      <c r="CU364" s="52" t="s">
        <v>278</v>
      </c>
      <c r="CV364" s="52">
        <v>2</v>
      </c>
      <c r="CW364" s="52" t="s">
        <v>373</v>
      </c>
      <c r="CX364" s="52">
        <v>80</v>
      </c>
      <c r="CY364" s="52"/>
      <c r="CZ364" s="52"/>
      <c r="DA364" s="52"/>
      <c r="DB364" s="52"/>
      <c r="DC364" s="52"/>
      <c r="DD364" s="52"/>
      <c r="DE364" s="52"/>
      <c r="DF364" s="52"/>
      <c r="DG364" s="52"/>
      <c r="DH364" s="52"/>
    </row>
    <row r="365" spans="58:112" ht="16.5" x14ac:dyDescent="0.2">
      <c r="BF365" s="52">
        <v>360</v>
      </c>
      <c r="BG365" s="14">
        <f t="shared" si="61"/>
        <v>0</v>
      </c>
      <c r="BH365" s="14">
        <f t="shared" si="62"/>
        <v>480</v>
      </c>
      <c r="BI365" s="14">
        <f t="shared" si="63"/>
        <v>0</v>
      </c>
      <c r="BJ365" s="14">
        <f t="shared" si="64"/>
        <v>1200</v>
      </c>
      <c r="BK365" s="14">
        <f t="shared" si="59"/>
        <v>480</v>
      </c>
      <c r="BL365" s="14">
        <f t="shared" si="60"/>
        <v>960</v>
      </c>
      <c r="CJ365" s="52">
        <v>361</v>
      </c>
      <c r="CK365" s="52">
        <v>4</v>
      </c>
      <c r="CL365" s="52" t="s">
        <v>257</v>
      </c>
      <c r="CM365" s="52">
        <v>61</v>
      </c>
      <c r="CN365" s="52"/>
      <c r="CO365" s="52"/>
      <c r="CP365" s="52"/>
      <c r="CQ365" s="52" t="s">
        <v>372</v>
      </c>
      <c r="CR365" s="52">
        <v>23400</v>
      </c>
      <c r="CS365" s="52" t="s">
        <v>373</v>
      </c>
      <c r="CT365" s="52">
        <v>80</v>
      </c>
      <c r="CU365" s="52"/>
      <c r="CV365" s="52"/>
      <c r="CW365" s="52" t="s">
        <v>373</v>
      </c>
      <c r="CX365" s="52">
        <v>80</v>
      </c>
      <c r="CY365" s="52"/>
      <c r="CZ365" s="52"/>
      <c r="DA365" s="52"/>
      <c r="DB365" s="52"/>
      <c r="DC365" s="52"/>
      <c r="DD365" s="52"/>
      <c r="DE365" s="52"/>
      <c r="DF365" s="52"/>
      <c r="DG365" s="52"/>
      <c r="DH365" s="52"/>
    </row>
    <row r="366" spans="58:112" ht="16.5" x14ac:dyDescent="0.2">
      <c r="BF366" s="52">
        <v>361</v>
      </c>
      <c r="BG366" s="14">
        <f t="shared" si="61"/>
        <v>0</v>
      </c>
      <c r="BH366" s="14">
        <f t="shared" si="62"/>
        <v>480</v>
      </c>
      <c r="BI366" s="14">
        <f t="shared" si="63"/>
        <v>0</v>
      </c>
      <c r="BJ366" s="14">
        <f t="shared" si="64"/>
        <v>1200</v>
      </c>
      <c r="BK366" s="14">
        <f t="shared" si="59"/>
        <v>480</v>
      </c>
      <c r="BL366" s="14">
        <f t="shared" si="60"/>
        <v>960</v>
      </c>
      <c r="CJ366" s="52">
        <v>362</v>
      </c>
      <c r="CK366" s="52">
        <v>4</v>
      </c>
      <c r="CL366" s="52" t="s">
        <v>257</v>
      </c>
      <c r="CM366" s="52">
        <v>62</v>
      </c>
      <c r="CN366" s="52"/>
      <c r="CO366" s="52"/>
      <c r="CP366" s="52"/>
      <c r="CQ366" s="52" t="s">
        <v>372</v>
      </c>
      <c r="CR366" s="52">
        <v>23400</v>
      </c>
      <c r="CS366" s="52" t="s">
        <v>373</v>
      </c>
      <c r="CT366" s="52">
        <v>80</v>
      </c>
      <c r="CU366" s="52"/>
      <c r="CV366" s="52"/>
      <c r="CW366" s="52" t="s">
        <v>373</v>
      </c>
      <c r="CX366" s="52">
        <v>80</v>
      </c>
      <c r="CY366" s="52"/>
      <c r="CZ366" s="52"/>
      <c r="DA366" s="52"/>
      <c r="DB366" s="52"/>
      <c r="DC366" s="52"/>
      <c r="DD366" s="52"/>
      <c r="DE366" s="52"/>
      <c r="DF366" s="52"/>
      <c r="DG366" s="52"/>
      <c r="DH366" s="52"/>
    </row>
    <row r="367" spans="58:112" ht="16.5" x14ac:dyDescent="0.2">
      <c r="BF367" s="52">
        <v>362</v>
      </c>
      <c r="BG367" s="14">
        <f t="shared" si="61"/>
        <v>0</v>
      </c>
      <c r="BH367" s="14">
        <f t="shared" si="62"/>
        <v>480</v>
      </c>
      <c r="BI367" s="14">
        <f t="shared" si="63"/>
        <v>0</v>
      </c>
      <c r="BJ367" s="14">
        <f t="shared" si="64"/>
        <v>1200</v>
      </c>
      <c r="BK367" s="14">
        <f t="shared" si="59"/>
        <v>480</v>
      </c>
      <c r="BL367" s="14">
        <f t="shared" si="60"/>
        <v>960</v>
      </c>
      <c r="CJ367" s="52">
        <v>363</v>
      </c>
      <c r="CK367" s="52">
        <v>4</v>
      </c>
      <c r="CL367" s="52" t="s">
        <v>257</v>
      </c>
      <c r="CM367" s="52">
        <v>63</v>
      </c>
      <c r="CN367" s="52"/>
      <c r="CO367" s="52"/>
      <c r="CP367" s="52"/>
      <c r="CQ367" s="52" t="s">
        <v>372</v>
      </c>
      <c r="CR367" s="52">
        <v>23400</v>
      </c>
      <c r="CS367" s="52" t="s">
        <v>373</v>
      </c>
      <c r="CT367" s="52">
        <v>80</v>
      </c>
      <c r="CU367" s="52"/>
      <c r="CV367" s="52"/>
      <c r="CW367" s="52" t="s">
        <v>373</v>
      </c>
      <c r="CX367" s="52">
        <v>80</v>
      </c>
      <c r="CY367" s="52"/>
      <c r="CZ367" s="52"/>
      <c r="DA367" s="52"/>
      <c r="DB367" s="52"/>
      <c r="DC367" s="52"/>
      <c r="DD367" s="52"/>
      <c r="DE367" s="52"/>
      <c r="DF367" s="52"/>
      <c r="DG367" s="52"/>
      <c r="DH367" s="52"/>
    </row>
    <row r="368" spans="58:112" ht="16.5" x14ac:dyDescent="0.2">
      <c r="BF368" s="52">
        <v>363</v>
      </c>
      <c r="BG368" s="14">
        <f t="shared" si="61"/>
        <v>0</v>
      </c>
      <c r="BH368" s="14">
        <f t="shared" si="62"/>
        <v>480</v>
      </c>
      <c r="BI368" s="14">
        <f t="shared" si="63"/>
        <v>0</v>
      </c>
      <c r="BJ368" s="14">
        <f t="shared" si="64"/>
        <v>1200</v>
      </c>
      <c r="BK368" s="14">
        <f t="shared" si="59"/>
        <v>480</v>
      </c>
      <c r="BL368" s="14">
        <f t="shared" si="60"/>
        <v>960</v>
      </c>
      <c r="CJ368" s="52">
        <v>364</v>
      </c>
      <c r="CK368" s="52">
        <v>4</v>
      </c>
      <c r="CL368" s="52" t="s">
        <v>257</v>
      </c>
      <c r="CM368" s="52">
        <v>64</v>
      </c>
      <c r="CN368" s="52"/>
      <c r="CO368" s="52"/>
      <c r="CP368" s="52"/>
      <c r="CQ368" s="52" t="s">
        <v>372</v>
      </c>
      <c r="CR368" s="52">
        <v>23400</v>
      </c>
      <c r="CS368" s="52" t="s">
        <v>373</v>
      </c>
      <c r="CT368" s="52">
        <v>80</v>
      </c>
      <c r="CU368" s="52"/>
      <c r="CV368" s="52"/>
      <c r="CW368" s="52" t="s">
        <v>373</v>
      </c>
      <c r="CX368" s="52">
        <v>80</v>
      </c>
      <c r="CY368" s="52"/>
      <c r="CZ368" s="52"/>
      <c r="DA368" s="52"/>
      <c r="DB368" s="52"/>
      <c r="DC368" s="52"/>
      <c r="DD368" s="52"/>
      <c r="DE368" s="52"/>
      <c r="DF368" s="52"/>
      <c r="DG368" s="52"/>
      <c r="DH368" s="52"/>
    </row>
    <row r="369" spans="58:112" ht="16.5" x14ac:dyDescent="0.2">
      <c r="BF369" s="52">
        <v>364</v>
      </c>
      <c r="BG369" s="14">
        <f t="shared" si="61"/>
        <v>0</v>
      </c>
      <c r="BH369" s="14">
        <f t="shared" si="62"/>
        <v>480</v>
      </c>
      <c r="BI369" s="14">
        <f t="shared" si="63"/>
        <v>0</v>
      </c>
      <c r="BJ369" s="14">
        <f t="shared" si="64"/>
        <v>1200</v>
      </c>
      <c r="BK369" s="14">
        <f t="shared" si="59"/>
        <v>480</v>
      </c>
      <c r="BL369" s="14">
        <f t="shared" si="60"/>
        <v>960</v>
      </c>
      <c r="CJ369" s="52">
        <v>365</v>
      </c>
      <c r="CK369" s="52">
        <v>4</v>
      </c>
      <c r="CL369" s="52" t="s">
        <v>257</v>
      </c>
      <c r="CM369" s="52">
        <v>65</v>
      </c>
      <c r="CN369" s="52"/>
      <c r="CO369" s="52"/>
      <c r="CP369" s="52"/>
      <c r="CQ369" s="52" t="s">
        <v>372</v>
      </c>
      <c r="CR369" s="52">
        <v>23400</v>
      </c>
      <c r="CS369" s="52" t="s">
        <v>373</v>
      </c>
      <c r="CT369" s="52">
        <v>80</v>
      </c>
      <c r="CU369" s="52" t="s">
        <v>281</v>
      </c>
      <c r="CV369" s="52">
        <v>2</v>
      </c>
      <c r="CW369" s="52" t="s">
        <v>373</v>
      </c>
      <c r="CX369" s="52">
        <v>85</v>
      </c>
      <c r="CY369" s="52"/>
      <c r="CZ369" s="52"/>
      <c r="DA369" s="52"/>
      <c r="DB369" s="52"/>
      <c r="DC369" s="52"/>
      <c r="DD369" s="52"/>
      <c r="DE369" s="52"/>
      <c r="DF369" s="52"/>
      <c r="DG369" s="52"/>
      <c r="DH369" s="52"/>
    </row>
    <row r="370" spans="58:112" ht="16.5" x14ac:dyDescent="0.2">
      <c r="BF370" s="52">
        <v>365</v>
      </c>
      <c r="BG370" s="14">
        <f t="shared" si="61"/>
        <v>0</v>
      </c>
      <c r="BH370" s="14">
        <f t="shared" si="62"/>
        <v>480</v>
      </c>
      <c r="BI370" s="14">
        <f t="shared" si="63"/>
        <v>0</v>
      </c>
      <c r="BJ370" s="14">
        <f t="shared" si="64"/>
        <v>1200</v>
      </c>
      <c r="BK370" s="14">
        <f t="shared" si="59"/>
        <v>480</v>
      </c>
      <c r="BL370" s="14">
        <f t="shared" si="60"/>
        <v>960</v>
      </c>
      <c r="CJ370" s="52">
        <v>366</v>
      </c>
      <c r="CK370" s="52">
        <v>4</v>
      </c>
      <c r="CL370" s="52" t="s">
        <v>257</v>
      </c>
      <c r="CM370" s="52">
        <v>66</v>
      </c>
      <c r="CN370" s="52"/>
      <c r="CO370" s="52"/>
      <c r="CP370" s="52"/>
      <c r="CQ370" s="52" t="s">
        <v>372</v>
      </c>
      <c r="CR370" s="52">
        <v>23400</v>
      </c>
      <c r="CS370" s="52" t="s">
        <v>373</v>
      </c>
      <c r="CT370" s="52">
        <v>85</v>
      </c>
      <c r="CU370" s="52"/>
      <c r="CV370" s="52"/>
      <c r="CW370" s="52" t="s">
        <v>373</v>
      </c>
      <c r="CX370" s="52">
        <v>85</v>
      </c>
      <c r="CY370" s="52"/>
      <c r="CZ370" s="52"/>
      <c r="DA370" s="52"/>
      <c r="DB370" s="52"/>
      <c r="DC370" s="52"/>
      <c r="DD370" s="52"/>
      <c r="DE370" s="52"/>
      <c r="DF370" s="52"/>
      <c r="DG370" s="52"/>
      <c r="DH370" s="52"/>
    </row>
    <row r="371" spans="58:112" ht="16.5" x14ac:dyDescent="0.2">
      <c r="BF371" s="52">
        <v>366</v>
      </c>
      <c r="BG371" s="14">
        <f t="shared" si="61"/>
        <v>0</v>
      </c>
      <c r="BH371" s="14">
        <f t="shared" si="62"/>
        <v>480</v>
      </c>
      <c r="BI371" s="14">
        <f t="shared" si="63"/>
        <v>0</v>
      </c>
      <c r="BJ371" s="14">
        <f t="shared" si="64"/>
        <v>1200</v>
      </c>
      <c r="BK371" s="14">
        <f t="shared" si="59"/>
        <v>480</v>
      </c>
      <c r="BL371" s="14">
        <f t="shared" si="60"/>
        <v>960</v>
      </c>
      <c r="CJ371" s="52">
        <v>367</v>
      </c>
      <c r="CK371" s="52">
        <v>4</v>
      </c>
      <c r="CL371" s="52" t="s">
        <v>257</v>
      </c>
      <c r="CM371" s="52">
        <v>67</v>
      </c>
      <c r="CN371" s="52"/>
      <c r="CO371" s="52"/>
      <c r="CP371" s="52"/>
      <c r="CQ371" s="52" t="s">
        <v>372</v>
      </c>
      <c r="CR371" s="52">
        <v>23400</v>
      </c>
      <c r="CS371" s="52" t="s">
        <v>373</v>
      </c>
      <c r="CT371" s="52">
        <v>85</v>
      </c>
      <c r="CU371" s="52"/>
      <c r="CV371" s="52"/>
      <c r="CW371" s="52" t="s">
        <v>373</v>
      </c>
      <c r="CX371" s="52">
        <v>85</v>
      </c>
      <c r="CY371" s="52"/>
      <c r="CZ371" s="52"/>
      <c r="DA371" s="52"/>
      <c r="DB371" s="52"/>
      <c r="DC371" s="52"/>
      <c r="DD371" s="52"/>
      <c r="DE371" s="52"/>
      <c r="DF371" s="52"/>
      <c r="DG371" s="52"/>
      <c r="DH371" s="52"/>
    </row>
    <row r="372" spans="58:112" ht="16.5" x14ac:dyDescent="0.2">
      <c r="BF372" s="52">
        <v>367</v>
      </c>
      <c r="BG372" s="14">
        <f t="shared" si="61"/>
        <v>0</v>
      </c>
      <c r="BH372" s="14">
        <f t="shared" si="62"/>
        <v>480</v>
      </c>
      <c r="BI372" s="14">
        <f t="shared" si="63"/>
        <v>0</v>
      </c>
      <c r="BJ372" s="14">
        <f t="shared" si="64"/>
        <v>1200</v>
      </c>
      <c r="BK372" s="14">
        <f t="shared" si="59"/>
        <v>480</v>
      </c>
      <c r="BL372" s="14">
        <f t="shared" si="60"/>
        <v>960</v>
      </c>
      <c r="CJ372" s="52">
        <v>368</v>
      </c>
      <c r="CK372" s="52">
        <v>4</v>
      </c>
      <c r="CL372" s="52" t="s">
        <v>257</v>
      </c>
      <c r="CM372" s="52">
        <v>68</v>
      </c>
      <c r="CN372" s="52"/>
      <c r="CO372" s="52"/>
      <c r="CP372" s="52"/>
      <c r="CQ372" s="52" t="s">
        <v>372</v>
      </c>
      <c r="CR372" s="52">
        <v>23400</v>
      </c>
      <c r="CS372" s="52" t="s">
        <v>373</v>
      </c>
      <c r="CT372" s="52">
        <v>85</v>
      </c>
      <c r="CU372" s="52"/>
      <c r="CV372" s="52"/>
      <c r="CW372" s="52" t="s">
        <v>373</v>
      </c>
      <c r="CX372" s="52">
        <v>85</v>
      </c>
      <c r="CY372" s="52"/>
      <c r="CZ372" s="52"/>
      <c r="DA372" s="52"/>
      <c r="DB372" s="52"/>
      <c r="DC372" s="52"/>
      <c r="DD372" s="52"/>
      <c r="DE372" s="52"/>
      <c r="DF372" s="52"/>
      <c r="DG372" s="52"/>
      <c r="DH372" s="52"/>
    </row>
    <row r="373" spans="58:112" ht="16.5" x14ac:dyDescent="0.2">
      <c r="BF373" s="52">
        <v>368</v>
      </c>
      <c r="BG373" s="14">
        <f t="shared" si="61"/>
        <v>0</v>
      </c>
      <c r="BH373" s="14">
        <f t="shared" si="62"/>
        <v>480</v>
      </c>
      <c r="BI373" s="14">
        <f t="shared" si="63"/>
        <v>0</v>
      </c>
      <c r="BJ373" s="14">
        <f t="shared" si="64"/>
        <v>1200</v>
      </c>
      <c r="BK373" s="14">
        <f t="shared" si="59"/>
        <v>480</v>
      </c>
      <c r="BL373" s="14">
        <f t="shared" si="60"/>
        <v>960</v>
      </c>
      <c r="CJ373" s="52">
        <v>369</v>
      </c>
      <c r="CK373" s="52">
        <v>4</v>
      </c>
      <c r="CL373" s="52" t="s">
        <v>257</v>
      </c>
      <c r="CM373" s="52">
        <v>69</v>
      </c>
      <c r="CN373" s="52"/>
      <c r="CO373" s="52"/>
      <c r="CP373" s="52"/>
      <c r="CQ373" s="52" t="s">
        <v>372</v>
      </c>
      <c r="CR373" s="52">
        <v>23400</v>
      </c>
      <c r="CS373" s="52" t="s">
        <v>373</v>
      </c>
      <c r="CT373" s="52">
        <v>85</v>
      </c>
      <c r="CU373" s="52"/>
      <c r="CV373" s="52"/>
      <c r="CW373" s="52" t="s">
        <v>373</v>
      </c>
      <c r="CX373" s="52">
        <v>85</v>
      </c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</row>
    <row r="374" spans="58:112" ht="16.5" x14ac:dyDescent="0.2">
      <c r="BF374" s="52">
        <v>369</v>
      </c>
      <c r="BG374" s="14">
        <f t="shared" si="61"/>
        <v>0</v>
      </c>
      <c r="BH374" s="14">
        <f t="shared" si="62"/>
        <v>480</v>
      </c>
      <c r="BI374" s="14">
        <f t="shared" si="63"/>
        <v>0</v>
      </c>
      <c r="BJ374" s="14">
        <f t="shared" si="64"/>
        <v>1200</v>
      </c>
      <c r="BK374" s="14">
        <f t="shared" si="59"/>
        <v>480</v>
      </c>
      <c r="BL374" s="14">
        <f t="shared" si="60"/>
        <v>960</v>
      </c>
      <c r="CJ374" s="52">
        <v>370</v>
      </c>
      <c r="CK374" s="52">
        <v>4</v>
      </c>
      <c r="CL374" s="52" t="s">
        <v>257</v>
      </c>
      <c r="CM374" s="52">
        <v>70</v>
      </c>
      <c r="CN374" s="52"/>
      <c r="CO374" s="52"/>
      <c r="CP374" s="52"/>
      <c r="CQ374" s="52" t="s">
        <v>372</v>
      </c>
      <c r="CR374" s="52">
        <v>23400</v>
      </c>
      <c r="CS374" s="52" t="s">
        <v>373</v>
      </c>
      <c r="CT374" s="52">
        <v>85</v>
      </c>
      <c r="CU374" s="52" t="s">
        <v>282</v>
      </c>
      <c r="CV374" s="52">
        <v>2</v>
      </c>
      <c r="CW374" s="52" t="s">
        <v>373</v>
      </c>
      <c r="CX374" s="52">
        <v>90</v>
      </c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</row>
    <row r="375" spans="58:112" ht="16.5" x14ac:dyDescent="0.2">
      <c r="BF375" s="52">
        <v>370</v>
      </c>
      <c r="BG375" s="14">
        <f t="shared" si="61"/>
        <v>0</v>
      </c>
      <c r="BH375" s="14">
        <f t="shared" si="62"/>
        <v>480</v>
      </c>
      <c r="BI375" s="14">
        <f t="shared" si="63"/>
        <v>0</v>
      </c>
      <c r="BJ375" s="14">
        <f t="shared" si="64"/>
        <v>1200</v>
      </c>
      <c r="BK375" s="14">
        <f t="shared" si="59"/>
        <v>480</v>
      </c>
      <c r="BL375" s="14">
        <f t="shared" si="60"/>
        <v>960</v>
      </c>
      <c r="CJ375" s="52">
        <v>371</v>
      </c>
      <c r="CK375" s="52">
        <v>4</v>
      </c>
      <c r="CL375" s="52" t="s">
        <v>257</v>
      </c>
      <c r="CM375" s="52">
        <v>71</v>
      </c>
      <c r="CN375" s="52"/>
      <c r="CO375" s="52"/>
      <c r="CP375" s="52"/>
      <c r="CQ375" s="52" t="s">
        <v>372</v>
      </c>
      <c r="CR375" s="52">
        <v>23400</v>
      </c>
      <c r="CS375" s="52" t="s">
        <v>373</v>
      </c>
      <c r="CT375" s="52">
        <v>90</v>
      </c>
      <c r="CU375" s="52"/>
      <c r="CV375" s="52"/>
      <c r="CW375" s="52" t="s">
        <v>373</v>
      </c>
      <c r="CX375" s="52">
        <v>90</v>
      </c>
      <c r="CY375" s="52"/>
      <c r="CZ375" s="52"/>
      <c r="DA375" s="52"/>
      <c r="DB375" s="52"/>
      <c r="DC375" s="52"/>
      <c r="DD375" s="52"/>
      <c r="DE375" s="52"/>
      <c r="DF375" s="52"/>
      <c r="DG375" s="52"/>
      <c r="DH375" s="52"/>
    </row>
    <row r="376" spans="58:112" ht="16.5" x14ac:dyDescent="0.2">
      <c r="BF376" s="52">
        <v>371</v>
      </c>
      <c r="BG376" s="14">
        <f t="shared" si="61"/>
        <v>0</v>
      </c>
      <c r="BH376" s="14">
        <f t="shared" si="62"/>
        <v>480</v>
      </c>
      <c r="BI376" s="14">
        <f t="shared" si="63"/>
        <v>0</v>
      </c>
      <c r="BJ376" s="14">
        <f t="shared" si="64"/>
        <v>1200</v>
      </c>
      <c r="BK376" s="14">
        <f t="shared" si="59"/>
        <v>480</v>
      </c>
      <c r="BL376" s="14">
        <f t="shared" si="60"/>
        <v>960</v>
      </c>
      <c r="CJ376" s="52">
        <v>372</v>
      </c>
      <c r="CK376" s="52">
        <v>4</v>
      </c>
      <c r="CL376" s="52" t="s">
        <v>257</v>
      </c>
      <c r="CM376" s="52">
        <v>72</v>
      </c>
      <c r="CN376" s="52"/>
      <c r="CO376" s="52"/>
      <c r="CP376" s="52"/>
      <c r="CQ376" s="52" t="s">
        <v>372</v>
      </c>
      <c r="CR376" s="52">
        <v>23400</v>
      </c>
      <c r="CS376" s="52" t="s">
        <v>373</v>
      </c>
      <c r="CT376" s="52">
        <v>90</v>
      </c>
      <c r="CU376" s="52"/>
      <c r="CV376" s="52"/>
      <c r="CW376" s="52" t="s">
        <v>373</v>
      </c>
      <c r="CX376" s="52">
        <v>90</v>
      </c>
      <c r="CY376" s="52"/>
      <c r="CZ376" s="52"/>
      <c r="DA376" s="52"/>
      <c r="DB376" s="52"/>
      <c r="DC376" s="52"/>
      <c r="DD376" s="52"/>
      <c r="DE376" s="52"/>
      <c r="DF376" s="52"/>
      <c r="DG376" s="52"/>
      <c r="DH376" s="52"/>
    </row>
    <row r="377" spans="58:112" ht="16.5" x14ac:dyDescent="0.2">
      <c r="BF377" s="52">
        <v>372</v>
      </c>
      <c r="BG377" s="14">
        <f t="shared" si="61"/>
        <v>0</v>
      </c>
      <c r="BH377" s="14">
        <f t="shared" si="62"/>
        <v>480</v>
      </c>
      <c r="BI377" s="14">
        <f t="shared" si="63"/>
        <v>0</v>
      </c>
      <c r="BJ377" s="14">
        <f t="shared" si="64"/>
        <v>1200</v>
      </c>
      <c r="BK377" s="14">
        <f t="shared" si="59"/>
        <v>480</v>
      </c>
      <c r="BL377" s="14">
        <f t="shared" si="60"/>
        <v>960</v>
      </c>
      <c r="CJ377" s="52">
        <v>373</v>
      </c>
      <c r="CK377" s="52">
        <v>4</v>
      </c>
      <c r="CL377" s="52" t="s">
        <v>257</v>
      </c>
      <c r="CM377" s="52">
        <v>73</v>
      </c>
      <c r="CN377" s="52"/>
      <c r="CO377" s="52"/>
      <c r="CP377" s="52"/>
      <c r="CQ377" s="52" t="s">
        <v>372</v>
      </c>
      <c r="CR377" s="52">
        <v>23400</v>
      </c>
      <c r="CS377" s="52" t="s">
        <v>373</v>
      </c>
      <c r="CT377" s="52">
        <v>90</v>
      </c>
      <c r="CU377" s="52"/>
      <c r="CV377" s="52"/>
      <c r="CW377" s="52" t="s">
        <v>373</v>
      </c>
      <c r="CX377" s="52">
        <v>90</v>
      </c>
      <c r="CY377" s="52"/>
      <c r="CZ377" s="52"/>
      <c r="DA377" s="52"/>
      <c r="DB377" s="52"/>
      <c r="DC377" s="52"/>
      <c r="DD377" s="52"/>
      <c r="DE377" s="52"/>
      <c r="DF377" s="52"/>
      <c r="DG377" s="52"/>
      <c r="DH377" s="52"/>
    </row>
    <row r="378" spans="58:112" ht="16.5" x14ac:dyDescent="0.2">
      <c r="BF378" s="52">
        <v>373</v>
      </c>
      <c r="BG378" s="14">
        <f t="shared" si="61"/>
        <v>0</v>
      </c>
      <c r="BH378" s="14">
        <f t="shared" si="62"/>
        <v>480</v>
      </c>
      <c r="BI378" s="14">
        <f t="shared" si="63"/>
        <v>0</v>
      </c>
      <c r="BJ378" s="14">
        <f t="shared" si="64"/>
        <v>1200</v>
      </c>
      <c r="BK378" s="14">
        <f t="shared" si="59"/>
        <v>480</v>
      </c>
      <c r="BL378" s="14">
        <f t="shared" si="60"/>
        <v>960</v>
      </c>
      <c r="CJ378" s="52">
        <v>374</v>
      </c>
      <c r="CK378" s="52">
        <v>4</v>
      </c>
      <c r="CL378" s="52" t="s">
        <v>257</v>
      </c>
      <c r="CM378" s="52">
        <v>74</v>
      </c>
      <c r="CN378" s="52"/>
      <c r="CO378" s="52"/>
      <c r="CP378" s="52"/>
      <c r="CQ378" s="52" t="s">
        <v>372</v>
      </c>
      <c r="CR378" s="52">
        <v>23400</v>
      </c>
      <c r="CS378" s="52" t="s">
        <v>373</v>
      </c>
      <c r="CT378" s="52">
        <v>90</v>
      </c>
      <c r="CU378" s="52"/>
      <c r="CV378" s="52"/>
      <c r="CW378" s="52" t="s">
        <v>373</v>
      </c>
      <c r="CX378" s="52">
        <v>90</v>
      </c>
      <c r="CY378" s="52"/>
      <c r="CZ378" s="52"/>
      <c r="DA378" s="52"/>
      <c r="DB378" s="52"/>
      <c r="DC378" s="52"/>
      <c r="DD378" s="52"/>
      <c r="DE378" s="52"/>
      <c r="DF378" s="52"/>
      <c r="DG378" s="52"/>
      <c r="DH378" s="52"/>
    </row>
    <row r="379" spans="58:112" ht="16.5" x14ac:dyDescent="0.2">
      <c r="BF379" s="52">
        <v>374</v>
      </c>
      <c r="BG379" s="14">
        <f t="shared" si="61"/>
        <v>0</v>
      </c>
      <c r="BH379" s="14">
        <f t="shared" si="62"/>
        <v>480</v>
      </c>
      <c r="BI379" s="14">
        <f t="shared" si="63"/>
        <v>0</v>
      </c>
      <c r="BJ379" s="14">
        <f t="shared" si="64"/>
        <v>1200</v>
      </c>
      <c r="BK379" s="14">
        <f t="shared" si="59"/>
        <v>480</v>
      </c>
      <c r="BL379" s="14">
        <f t="shared" si="60"/>
        <v>960</v>
      </c>
      <c r="CJ379" s="52">
        <v>375</v>
      </c>
      <c r="CK379" s="52">
        <v>4</v>
      </c>
      <c r="CL379" s="52" t="s">
        <v>257</v>
      </c>
      <c r="CM379" s="52">
        <v>75</v>
      </c>
      <c r="CN379" s="52"/>
      <c r="CO379" s="52"/>
      <c r="CP379" s="52"/>
      <c r="CQ379" s="52" t="s">
        <v>372</v>
      </c>
      <c r="CR379" s="52">
        <v>23400</v>
      </c>
      <c r="CS379" s="52" t="s">
        <v>373</v>
      </c>
      <c r="CT379" s="52">
        <v>90</v>
      </c>
      <c r="CU379" s="52" t="s">
        <v>277</v>
      </c>
      <c r="CV379" s="52">
        <v>2</v>
      </c>
      <c r="CW379" s="52" t="s">
        <v>373</v>
      </c>
      <c r="CX379" s="52">
        <v>95</v>
      </c>
      <c r="CY379" s="52"/>
      <c r="CZ379" s="52"/>
      <c r="DA379" s="52"/>
      <c r="DB379" s="52"/>
      <c r="DC379" s="52"/>
      <c r="DD379" s="52"/>
      <c r="DE379" s="52"/>
      <c r="DF379" s="52"/>
      <c r="DG379" s="52"/>
      <c r="DH379" s="52"/>
    </row>
    <row r="380" spans="58:112" ht="16.5" x14ac:dyDescent="0.2">
      <c r="BF380" s="52">
        <v>375</v>
      </c>
      <c r="BG380" s="14">
        <f t="shared" si="61"/>
        <v>0</v>
      </c>
      <c r="BH380" s="14">
        <f t="shared" si="62"/>
        <v>480</v>
      </c>
      <c r="BI380" s="14">
        <f t="shared" si="63"/>
        <v>0</v>
      </c>
      <c r="BJ380" s="14">
        <f t="shared" si="64"/>
        <v>1200</v>
      </c>
      <c r="BK380" s="14">
        <f t="shared" si="59"/>
        <v>480</v>
      </c>
      <c r="BL380" s="14">
        <f t="shared" si="60"/>
        <v>960</v>
      </c>
      <c r="CJ380" s="52">
        <v>376</v>
      </c>
      <c r="CK380" s="52">
        <v>4</v>
      </c>
      <c r="CL380" s="52" t="s">
        <v>257</v>
      </c>
      <c r="CM380" s="52">
        <v>76</v>
      </c>
      <c r="CN380" s="52"/>
      <c r="CO380" s="52"/>
      <c r="CP380" s="52"/>
      <c r="CQ380" s="52" t="s">
        <v>372</v>
      </c>
      <c r="CR380" s="52">
        <v>23400</v>
      </c>
      <c r="CS380" s="52" t="s">
        <v>373</v>
      </c>
      <c r="CT380" s="52">
        <v>95</v>
      </c>
      <c r="CU380" s="52"/>
      <c r="CV380" s="52"/>
      <c r="CW380" s="52" t="s">
        <v>373</v>
      </c>
      <c r="CX380" s="52">
        <v>95</v>
      </c>
      <c r="CY380" s="52"/>
      <c r="CZ380" s="52"/>
      <c r="DA380" s="52"/>
      <c r="DB380" s="52"/>
      <c r="DC380" s="52"/>
      <c r="DD380" s="52"/>
      <c r="DE380" s="52"/>
      <c r="DF380" s="52"/>
      <c r="DG380" s="52"/>
      <c r="DH380" s="52"/>
    </row>
    <row r="381" spans="58:112" ht="16.5" x14ac:dyDescent="0.2">
      <c r="BF381" s="52">
        <v>376</v>
      </c>
      <c r="BG381" s="14">
        <f t="shared" si="61"/>
        <v>0</v>
      </c>
      <c r="BH381" s="14">
        <f t="shared" si="62"/>
        <v>480</v>
      </c>
      <c r="BI381" s="14">
        <f t="shared" si="63"/>
        <v>0</v>
      </c>
      <c r="BJ381" s="14">
        <f t="shared" si="64"/>
        <v>1200</v>
      </c>
      <c r="BK381" s="14">
        <f t="shared" si="59"/>
        <v>480</v>
      </c>
      <c r="BL381" s="14">
        <f t="shared" si="60"/>
        <v>960</v>
      </c>
      <c r="CJ381" s="52">
        <v>377</v>
      </c>
      <c r="CK381" s="52">
        <v>4</v>
      </c>
      <c r="CL381" s="52" t="s">
        <v>257</v>
      </c>
      <c r="CM381" s="52">
        <v>77</v>
      </c>
      <c r="CN381" s="52"/>
      <c r="CO381" s="52"/>
      <c r="CP381" s="52"/>
      <c r="CQ381" s="52" t="s">
        <v>372</v>
      </c>
      <c r="CR381" s="52">
        <v>23400</v>
      </c>
      <c r="CS381" s="52" t="s">
        <v>373</v>
      </c>
      <c r="CT381" s="52">
        <v>95</v>
      </c>
      <c r="CU381" s="52"/>
      <c r="CV381" s="52"/>
      <c r="CW381" s="52" t="s">
        <v>373</v>
      </c>
      <c r="CX381" s="52">
        <v>95</v>
      </c>
      <c r="CY381" s="52"/>
      <c r="CZ381" s="52"/>
      <c r="DA381" s="52"/>
      <c r="DB381" s="52"/>
      <c r="DC381" s="52"/>
      <c r="DD381" s="52"/>
      <c r="DE381" s="52"/>
      <c r="DF381" s="52"/>
      <c r="DG381" s="52"/>
      <c r="DH381" s="52"/>
    </row>
    <row r="382" spans="58:112" ht="16.5" x14ac:dyDescent="0.2">
      <c r="BF382" s="52">
        <v>377</v>
      </c>
      <c r="BG382" s="14">
        <f t="shared" si="61"/>
        <v>0</v>
      </c>
      <c r="BH382" s="14">
        <f t="shared" si="62"/>
        <v>480</v>
      </c>
      <c r="BI382" s="14">
        <f t="shared" si="63"/>
        <v>0</v>
      </c>
      <c r="BJ382" s="14">
        <f t="shared" si="64"/>
        <v>1200</v>
      </c>
      <c r="BK382" s="14">
        <f t="shared" si="59"/>
        <v>480</v>
      </c>
      <c r="BL382" s="14">
        <f t="shared" si="60"/>
        <v>960</v>
      </c>
      <c r="CJ382" s="52">
        <v>378</v>
      </c>
      <c r="CK382" s="52">
        <v>4</v>
      </c>
      <c r="CL382" s="52" t="s">
        <v>257</v>
      </c>
      <c r="CM382" s="52">
        <v>78</v>
      </c>
      <c r="CN382" s="52"/>
      <c r="CO382" s="52"/>
      <c r="CP382" s="52"/>
      <c r="CQ382" s="52" t="s">
        <v>372</v>
      </c>
      <c r="CR382" s="52">
        <v>23400</v>
      </c>
      <c r="CS382" s="52" t="s">
        <v>373</v>
      </c>
      <c r="CT382" s="52">
        <v>95</v>
      </c>
      <c r="CU382" s="52"/>
      <c r="CV382" s="52"/>
      <c r="CW382" s="52" t="s">
        <v>373</v>
      </c>
      <c r="CX382" s="52">
        <v>95</v>
      </c>
      <c r="CY382" s="52"/>
      <c r="CZ382" s="52"/>
      <c r="DA382" s="52"/>
      <c r="DB382" s="52"/>
      <c r="DC382" s="52"/>
      <c r="DD382" s="52"/>
      <c r="DE382" s="52"/>
      <c r="DF382" s="52"/>
      <c r="DG382" s="52"/>
      <c r="DH382" s="52"/>
    </row>
    <row r="383" spans="58:112" ht="16.5" x14ac:dyDescent="0.2">
      <c r="BF383" s="52">
        <v>378</v>
      </c>
      <c r="BG383" s="14">
        <f t="shared" si="61"/>
        <v>0</v>
      </c>
      <c r="BH383" s="14">
        <f t="shared" si="62"/>
        <v>480</v>
      </c>
      <c r="BI383" s="14">
        <f t="shared" si="63"/>
        <v>0</v>
      </c>
      <c r="BJ383" s="14">
        <f t="shared" si="64"/>
        <v>1200</v>
      </c>
      <c r="BK383" s="14">
        <f t="shared" si="59"/>
        <v>480</v>
      </c>
      <c r="BL383" s="14">
        <f t="shared" si="60"/>
        <v>960</v>
      </c>
      <c r="CJ383" s="52">
        <v>379</v>
      </c>
      <c r="CK383" s="52">
        <v>4</v>
      </c>
      <c r="CL383" s="52" t="s">
        <v>257</v>
      </c>
      <c r="CM383" s="52">
        <v>79</v>
      </c>
      <c r="CN383" s="52"/>
      <c r="CO383" s="52"/>
      <c r="CP383" s="52"/>
      <c r="CQ383" s="52" t="s">
        <v>372</v>
      </c>
      <c r="CR383" s="52">
        <v>23400</v>
      </c>
      <c r="CS383" s="52" t="s">
        <v>373</v>
      </c>
      <c r="CT383" s="52">
        <v>95</v>
      </c>
      <c r="CU383" s="52"/>
      <c r="CV383" s="52"/>
      <c r="CW383" s="52" t="s">
        <v>373</v>
      </c>
      <c r="CX383" s="52">
        <v>95</v>
      </c>
      <c r="CY383" s="52"/>
      <c r="CZ383" s="52"/>
      <c r="DA383" s="52"/>
      <c r="DB383" s="52"/>
      <c r="DC383" s="52"/>
      <c r="DD383" s="52"/>
      <c r="DE383" s="52"/>
      <c r="DF383" s="52"/>
      <c r="DG383" s="52"/>
      <c r="DH383" s="52"/>
    </row>
    <row r="384" spans="58:112" ht="16.5" x14ac:dyDescent="0.2">
      <c r="BF384" s="52">
        <v>379</v>
      </c>
      <c r="BG384" s="14">
        <f t="shared" si="61"/>
        <v>0</v>
      </c>
      <c r="BH384" s="14">
        <f t="shared" si="62"/>
        <v>480</v>
      </c>
      <c r="BI384" s="14">
        <f t="shared" si="63"/>
        <v>0</v>
      </c>
      <c r="BJ384" s="14">
        <f t="shared" si="64"/>
        <v>1200</v>
      </c>
      <c r="BK384" s="14">
        <f t="shared" si="59"/>
        <v>480</v>
      </c>
      <c r="BL384" s="14">
        <f t="shared" si="60"/>
        <v>960</v>
      </c>
      <c r="CJ384" s="52">
        <v>380</v>
      </c>
      <c r="CK384" s="52">
        <v>4</v>
      </c>
      <c r="CL384" s="52" t="s">
        <v>257</v>
      </c>
      <c r="CM384" s="52">
        <v>80</v>
      </c>
      <c r="CN384" s="52"/>
      <c r="CO384" s="52"/>
      <c r="CP384" s="52"/>
      <c r="CQ384" s="52" t="s">
        <v>372</v>
      </c>
      <c r="CR384" s="52">
        <v>27000</v>
      </c>
      <c r="CS384" s="52" t="s">
        <v>373</v>
      </c>
      <c r="CT384" s="52">
        <v>95</v>
      </c>
      <c r="CU384" s="52" t="s">
        <v>278</v>
      </c>
      <c r="CV384" s="52">
        <v>2</v>
      </c>
      <c r="CW384" s="52" t="s">
        <v>373</v>
      </c>
      <c r="CX384" s="52">
        <v>100</v>
      </c>
      <c r="CY384" s="52"/>
      <c r="CZ384" s="52"/>
      <c r="DA384" s="52"/>
      <c r="DB384" s="52"/>
      <c r="DC384" s="52"/>
      <c r="DD384" s="52"/>
      <c r="DE384" s="52"/>
      <c r="DF384" s="52"/>
      <c r="DG384" s="52"/>
      <c r="DH384" s="52"/>
    </row>
    <row r="385" spans="58:112" ht="16.5" x14ac:dyDescent="0.2">
      <c r="BF385" s="52">
        <v>380</v>
      </c>
      <c r="BG385" s="14">
        <f t="shared" si="61"/>
        <v>0</v>
      </c>
      <c r="BH385" s="14">
        <f t="shared" si="62"/>
        <v>480</v>
      </c>
      <c r="BI385" s="14">
        <f t="shared" si="63"/>
        <v>0</v>
      </c>
      <c r="BJ385" s="14">
        <f t="shared" si="64"/>
        <v>1200</v>
      </c>
      <c r="BK385" s="14">
        <f t="shared" si="59"/>
        <v>480</v>
      </c>
      <c r="BL385" s="14">
        <f t="shared" si="60"/>
        <v>960</v>
      </c>
      <c r="CJ385" s="52">
        <v>381</v>
      </c>
      <c r="CK385" s="52">
        <v>4</v>
      </c>
      <c r="CL385" s="52" t="s">
        <v>257</v>
      </c>
      <c r="CM385" s="52">
        <v>81</v>
      </c>
      <c r="CN385" s="52"/>
      <c r="CO385" s="52"/>
      <c r="CP385" s="52"/>
      <c r="CQ385" s="52" t="s">
        <v>372</v>
      </c>
      <c r="CR385" s="52">
        <v>27000</v>
      </c>
      <c r="CS385" s="52" t="s">
        <v>373</v>
      </c>
      <c r="CT385" s="52">
        <v>100</v>
      </c>
      <c r="CU385" s="52"/>
      <c r="CV385" s="52"/>
      <c r="CW385" s="52" t="s">
        <v>373</v>
      </c>
      <c r="CX385" s="52">
        <v>100</v>
      </c>
      <c r="CY385" s="52"/>
      <c r="CZ385" s="52"/>
      <c r="DA385" s="52"/>
      <c r="DB385" s="52"/>
      <c r="DC385" s="52"/>
      <c r="DD385" s="52"/>
      <c r="DE385" s="52"/>
      <c r="DF385" s="52"/>
      <c r="DG385" s="52"/>
      <c r="DH385" s="52"/>
    </row>
    <row r="386" spans="58:112" ht="16.5" x14ac:dyDescent="0.2">
      <c r="BF386" s="52">
        <v>381</v>
      </c>
      <c r="BG386" s="14">
        <f t="shared" si="61"/>
        <v>0</v>
      </c>
      <c r="BH386" s="14">
        <f t="shared" si="62"/>
        <v>480</v>
      </c>
      <c r="BI386" s="14">
        <f t="shared" si="63"/>
        <v>0</v>
      </c>
      <c r="BJ386" s="14">
        <f t="shared" si="64"/>
        <v>1200</v>
      </c>
      <c r="BK386" s="14">
        <f t="shared" si="59"/>
        <v>480</v>
      </c>
      <c r="BL386" s="14">
        <f t="shared" si="60"/>
        <v>960</v>
      </c>
      <c r="CJ386" s="52">
        <v>382</v>
      </c>
      <c r="CK386" s="52">
        <v>4</v>
      </c>
      <c r="CL386" s="52" t="s">
        <v>257</v>
      </c>
      <c r="CM386" s="52">
        <v>82</v>
      </c>
      <c r="CN386" s="52"/>
      <c r="CO386" s="52"/>
      <c r="CP386" s="52"/>
      <c r="CQ386" s="52" t="s">
        <v>372</v>
      </c>
      <c r="CR386" s="52">
        <v>27000</v>
      </c>
      <c r="CS386" s="52" t="s">
        <v>373</v>
      </c>
      <c r="CT386" s="52">
        <v>100</v>
      </c>
      <c r="CU386" s="52"/>
      <c r="CV386" s="52"/>
      <c r="CW386" s="52" t="s">
        <v>373</v>
      </c>
      <c r="CX386" s="52">
        <v>100</v>
      </c>
      <c r="CY386" s="52"/>
      <c r="CZ386" s="52"/>
      <c r="DA386" s="52"/>
      <c r="DB386" s="52"/>
      <c r="DC386" s="52"/>
      <c r="DD386" s="52"/>
      <c r="DE386" s="52"/>
      <c r="DF386" s="52"/>
      <c r="DG386" s="52"/>
      <c r="DH386" s="52"/>
    </row>
    <row r="387" spans="58:112" ht="16.5" x14ac:dyDescent="0.2">
      <c r="BF387" s="52">
        <v>382</v>
      </c>
      <c r="BG387" s="14">
        <f t="shared" si="61"/>
        <v>0</v>
      </c>
      <c r="BH387" s="14">
        <f t="shared" si="62"/>
        <v>480</v>
      </c>
      <c r="BI387" s="14">
        <f t="shared" si="63"/>
        <v>0</v>
      </c>
      <c r="BJ387" s="14">
        <f t="shared" si="64"/>
        <v>1200</v>
      </c>
      <c r="BK387" s="14">
        <f t="shared" si="59"/>
        <v>480</v>
      </c>
      <c r="BL387" s="14">
        <f t="shared" si="60"/>
        <v>960</v>
      </c>
      <c r="CJ387" s="52">
        <v>383</v>
      </c>
      <c r="CK387" s="52">
        <v>4</v>
      </c>
      <c r="CL387" s="52" t="s">
        <v>257</v>
      </c>
      <c r="CM387" s="52">
        <v>83</v>
      </c>
      <c r="CN387" s="52"/>
      <c r="CO387" s="52"/>
      <c r="CP387" s="52"/>
      <c r="CQ387" s="52" t="s">
        <v>372</v>
      </c>
      <c r="CR387" s="52">
        <v>27000</v>
      </c>
      <c r="CS387" s="52" t="s">
        <v>373</v>
      </c>
      <c r="CT387" s="52">
        <v>100</v>
      </c>
      <c r="CU387" s="52"/>
      <c r="CV387" s="52"/>
      <c r="CW387" s="52" t="s">
        <v>373</v>
      </c>
      <c r="CX387" s="52">
        <v>100</v>
      </c>
      <c r="CY387" s="52"/>
      <c r="CZ387" s="52"/>
      <c r="DA387" s="52"/>
      <c r="DB387" s="52"/>
      <c r="DC387" s="52"/>
      <c r="DD387" s="52"/>
      <c r="DE387" s="52"/>
      <c r="DF387" s="52"/>
      <c r="DG387" s="52"/>
      <c r="DH387" s="52"/>
    </row>
    <row r="388" spans="58:112" ht="16.5" x14ac:dyDescent="0.2">
      <c r="BF388" s="52">
        <v>383</v>
      </c>
      <c r="BG388" s="14">
        <f t="shared" si="61"/>
        <v>0</v>
      </c>
      <c r="BH388" s="14">
        <f t="shared" si="62"/>
        <v>480</v>
      </c>
      <c r="BI388" s="14">
        <f t="shared" si="63"/>
        <v>0</v>
      </c>
      <c r="BJ388" s="14">
        <f t="shared" si="64"/>
        <v>1200</v>
      </c>
      <c r="BK388" s="14">
        <f t="shared" si="59"/>
        <v>480</v>
      </c>
      <c r="BL388" s="14">
        <f t="shared" si="60"/>
        <v>960</v>
      </c>
      <c r="CJ388" s="52">
        <v>384</v>
      </c>
      <c r="CK388" s="52">
        <v>4</v>
      </c>
      <c r="CL388" s="52" t="s">
        <v>257</v>
      </c>
      <c r="CM388" s="52">
        <v>84</v>
      </c>
      <c r="CN388" s="52"/>
      <c r="CO388" s="52"/>
      <c r="CP388" s="52"/>
      <c r="CQ388" s="52" t="s">
        <v>372</v>
      </c>
      <c r="CR388" s="52">
        <v>27000</v>
      </c>
      <c r="CS388" s="52" t="s">
        <v>373</v>
      </c>
      <c r="CT388" s="52">
        <v>100</v>
      </c>
      <c r="CU388" s="52"/>
      <c r="CV388" s="52"/>
      <c r="CW388" s="52" t="s">
        <v>373</v>
      </c>
      <c r="CX388" s="52">
        <v>100</v>
      </c>
      <c r="CY388" s="52"/>
      <c r="CZ388" s="52"/>
      <c r="DA388" s="52"/>
      <c r="DB388" s="52"/>
      <c r="DC388" s="52"/>
      <c r="DD388" s="52"/>
      <c r="DE388" s="52"/>
      <c r="DF388" s="52"/>
      <c r="DG388" s="52"/>
      <c r="DH388" s="52"/>
    </row>
    <row r="389" spans="58:112" ht="16.5" x14ac:dyDescent="0.2">
      <c r="BF389" s="52">
        <v>384</v>
      </c>
      <c r="BG389" s="14">
        <f t="shared" si="61"/>
        <v>0</v>
      </c>
      <c r="BH389" s="14">
        <f t="shared" si="62"/>
        <v>480</v>
      </c>
      <c r="BI389" s="14">
        <f t="shared" si="63"/>
        <v>0</v>
      </c>
      <c r="BJ389" s="14">
        <f t="shared" si="64"/>
        <v>1200</v>
      </c>
      <c r="BK389" s="14">
        <f t="shared" si="59"/>
        <v>480</v>
      </c>
      <c r="BL389" s="14">
        <f t="shared" si="60"/>
        <v>960</v>
      </c>
      <c r="CJ389" s="52">
        <v>385</v>
      </c>
      <c r="CK389" s="52">
        <v>4</v>
      </c>
      <c r="CL389" s="52" t="s">
        <v>257</v>
      </c>
      <c r="CM389" s="52">
        <v>85</v>
      </c>
      <c r="CN389" s="52"/>
      <c r="CO389" s="52"/>
      <c r="CP389" s="52"/>
      <c r="CQ389" s="52" t="s">
        <v>372</v>
      </c>
      <c r="CR389" s="52">
        <v>27000</v>
      </c>
      <c r="CS389" s="52" t="s">
        <v>373</v>
      </c>
      <c r="CT389" s="52">
        <v>100</v>
      </c>
      <c r="CU389" s="52" t="s">
        <v>281</v>
      </c>
      <c r="CV389" s="52">
        <v>2</v>
      </c>
      <c r="CW389" s="52" t="s">
        <v>373</v>
      </c>
      <c r="CX389" s="52">
        <v>105</v>
      </c>
      <c r="CY389" s="52"/>
      <c r="CZ389" s="52"/>
      <c r="DA389" s="52"/>
      <c r="DB389" s="52"/>
      <c r="DC389" s="52"/>
      <c r="DD389" s="52"/>
      <c r="DE389" s="52"/>
      <c r="DF389" s="52"/>
      <c r="DG389" s="52"/>
      <c r="DH389" s="52"/>
    </row>
    <row r="390" spans="58:112" ht="16.5" x14ac:dyDescent="0.2">
      <c r="BF390" s="52">
        <v>385</v>
      </c>
      <c r="BG390" s="14">
        <f t="shared" si="61"/>
        <v>0</v>
      </c>
      <c r="BH390" s="14">
        <f t="shared" si="62"/>
        <v>480</v>
      </c>
      <c r="BI390" s="14">
        <f t="shared" si="63"/>
        <v>0</v>
      </c>
      <c r="BJ390" s="14">
        <f t="shared" si="64"/>
        <v>1200</v>
      </c>
      <c r="BK390" s="14">
        <f t="shared" si="59"/>
        <v>480</v>
      </c>
      <c r="BL390" s="14">
        <f t="shared" si="60"/>
        <v>960</v>
      </c>
      <c r="CJ390" s="52">
        <v>386</v>
      </c>
      <c r="CK390" s="52">
        <v>4</v>
      </c>
      <c r="CL390" s="52" t="s">
        <v>257</v>
      </c>
      <c r="CM390" s="52">
        <v>86</v>
      </c>
      <c r="CN390" s="52"/>
      <c r="CO390" s="52"/>
      <c r="CP390" s="52"/>
      <c r="CQ390" s="52" t="s">
        <v>372</v>
      </c>
      <c r="CR390" s="52">
        <v>27000</v>
      </c>
      <c r="CS390" s="52" t="s">
        <v>373</v>
      </c>
      <c r="CT390" s="52">
        <v>105</v>
      </c>
      <c r="CU390" s="52"/>
      <c r="CV390" s="52"/>
      <c r="CW390" s="52" t="s">
        <v>373</v>
      </c>
      <c r="CX390" s="52">
        <v>105</v>
      </c>
      <c r="CY390" s="52"/>
      <c r="CZ390" s="52"/>
      <c r="DA390" s="52"/>
      <c r="DB390" s="52"/>
      <c r="DC390" s="52"/>
      <c r="DD390" s="52"/>
      <c r="DE390" s="52"/>
      <c r="DF390" s="52"/>
      <c r="DG390" s="52"/>
      <c r="DH390" s="52"/>
    </row>
    <row r="391" spans="58:112" ht="16.5" x14ac:dyDescent="0.2">
      <c r="BF391" s="52">
        <v>386</v>
      </c>
      <c r="BG391" s="14">
        <f t="shared" si="61"/>
        <v>0</v>
      </c>
      <c r="BH391" s="14">
        <f t="shared" si="62"/>
        <v>480</v>
      </c>
      <c r="BI391" s="14">
        <f t="shared" si="63"/>
        <v>0</v>
      </c>
      <c r="BJ391" s="14">
        <f t="shared" si="64"/>
        <v>1200</v>
      </c>
      <c r="BK391" s="14">
        <f t="shared" ref="BK391:BK405" si="65">BG391+BH390</f>
        <v>480</v>
      </c>
      <c r="BL391" s="14">
        <f t="shared" ref="BL391:BL454" si="66">BK391*BL$3</f>
        <v>960</v>
      </c>
      <c r="CJ391" s="52">
        <v>387</v>
      </c>
      <c r="CK391" s="52">
        <v>4</v>
      </c>
      <c r="CL391" s="52" t="s">
        <v>257</v>
      </c>
      <c r="CM391" s="52">
        <v>87</v>
      </c>
      <c r="CN391" s="52"/>
      <c r="CO391" s="52"/>
      <c r="CP391" s="52"/>
      <c r="CQ391" s="52" t="s">
        <v>372</v>
      </c>
      <c r="CR391" s="52">
        <v>27000</v>
      </c>
      <c r="CS391" s="52" t="s">
        <v>373</v>
      </c>
      <c r="CT391" s="52">
        <v>105</v>
      </c>
      <c r="CU391" s="52"/>
      <c r="CV391" s="52"/>
      <c r="CW391" s="52" t="s">
        <v>373</v>
      </c>
      <c r="CX391" s="52">
        <v>105</v>
      </c>
      <c r="CY391" s="52"/>
      <c r="CZ391" s="52"/>
      <c r="DA391" s="52"/>
      <c r="DB391" s="52"/>
      <c r="DC391" s="52"/>
      <c r="DD391" s="52"/>
      <c r="DE391" s="52"/>
      <c r="DF391" s="52"/>
      <c r="DG391" s="52"/>
      <c r="DH391" s="52"/>
    </row>
    <row r="392" spans="58:112" ht="16.5" x14ac:dyDescent="0.2">
      <c r="BF392" s="52">
        <v>387</v>
      </c>
      <c r="BG392" s="14">
        <f t="shared" si="61"/>
        <v>0</v>
      </c>
      <c r="BH392" s="14">
        <f t="shared" si="62"/>
        <v>480</v>
      </c>
      <c r="BI392" s="14">
        <f t="shared" si="63"/>
        <v>0</v>
      </c>
      <c r="BJ392" s="14">
        <f t="shared" si="64"/>
        <v>1200</v>
      </c>
      <c r="BK392" s="14">
        <f t="shared" si="65"/>
        <v>480</v>
      </c>
      <c r="BL392" s="14">
        <f t="shared" si="66"/>
        <v>960</v>
      </c>
      <c r="CJ392" s="52">
        <v>388</v>
      </c>
      <c r="CK392" s="52">
        <v>4</v>
      </c>
      <c r="CL392" s="52" t="s">
        <v>257</v>
      </c>
      <c r="CM392" s="52">
        <v>88</v>
      </c>
      <c r="CN392" s="52"/>
      <c r="CO392" s="52"/>
      <c r="CP392" s="52"/>
      <c r="CQ392" s="52" t="s">
        <v>372</v>
      </c>
      <c r="CR392" s="52">
        <v>27000</v>
      </c>
      <c r="CS392" s="52" t="s">
        <v>373</v>
      </c>
      <c r="CT392" s="52">
        <v>105</v>
      </c>
      <c r="CU392" s="52"/>
      <c r="CV392" s="52"/>
      <c r="CW392" s="52" t="s">
        <v>373</v>
      </c>
      <c r="CX392" s="52">
        <v>105</v>
      </c>
      <c r="CY392" s="52"/>
      <c r="CZ392" s="52"/>
      <c r="DA392" s="52"/>
      <c r="DB392" s="52"/>
      <c r="DC392" s="52"/>
      <c r="DD392" s="52"/>
      <c r="DE392" s="52"/>
      <c r="DF392" s="52"/>
      <c r="DG392" s="52"/>
      <c r="DH392" s="52"/>
    </row>
    <row r="393" spans="58:112" ht="16.5" x14ac:dyDescent="0.2">
      <c r="BF393" s="52">
        <v>388</v>
      </c>
      <c r="BG393" s="14">
        <f t="shared" si="61"/>
        <v>0</v>
      </c>
      <c r="BH393" s="14">
        <f t="shared" si="62"/>
        <v>480</v>
      </c>
      <c r="BI393" s="14">
        <f t="shared" si="63"/>
        <v>0</v>
      </c>
      <c r="BJ393" s="14">
        <f t="shared" si="64"/>
        <v>1200</v>
      </c>
      <c r="BK393" s="14">
        <f t="shared" si="65"/>
        <v>480</v>
      </c>
      <c r="BL393" s="14">
        <f t="shared" si="66"/>
        <v>960</v>
      </c>
      <c r="CJ393" s="52">
        <v>389</v>
      </c>
      <c r="CK393" s="52">
        <v>4</v>
      </c>
      <c r="CL393" s="52" t="s">
        <v>257</v>
      </c>
      <c r="CM393" s="52">
        <v>89</v>
      </c>
      <c r="CN393" s="52"/>
      <c r="CO393" s="52"/>
      <c r="CP393" s="52"/>
      <c r="CQ393" s="52" t="s">
        <v>372</v>
      </c>
      <c r="CR393" s="52">
        <v>27000</v>
      </c>
      <c r="CS393" s="52" t="s">
        <v>373</v>
      </c>
      <c r="CT393" s="52">
        <v>105</v>
      </c>
      <c r="CU393" s="52"/>
      <c r="CV393" s="52"/>
      <c r="CW393" s="52" t="s">
        <v>373</v>
      </c>
      <c r="CX393" s="52">
        <v>105</v>
      </c>
      <c r="CY393" s="52"/>
      <c r="CZ393" s="52"/>
      <c r="DA393" s="52"/>
      <c r="DB393" s="52"/>
      <c r="DC393" s="52"/>
      <c r="DD393" s="52"/>
      <c r="DE393" s="52"/>
      <c r="DF393" s="52"/>
      <c r="DG393" s="52"/>
      <c r="DH393" s="52"/>
    </row>
    <row r="394" spans="58:112" ht="16.5" x14ac:dyDescent="0.2">
      <c r="BF394" s="52">
        <v>389</v>
      </c>
      <c r="BG394" s="14">
        <f t="shared" si="61"/>
        <v>0</v>
      </c>
      <c r="BH394" s="14">
        <f t="shared" si="62"/>
        <v>480</v>
      </c>
      <c r="BI394" s="14">
        <f t="shared" si="63"/>
        <v>0</v>
      </c>
      <c r="BJ394" s="14">
        <f t="shared" si="64"/>
        <v>1200</v>
      </c>
      <c r="BK394" s="14">
        <f t="shared" si="65"/>
        <v>480</v>
      </c>
      <c r="BL394" s="14">
        <f t="shared" si="66"/>
        <v>960</v>
      </c>
      <c r="CJ394" s="52">
        <v>390</v>
      </c>
      <c r="CK394" s="52">
        <v>4</v>
      </c>
      <c r="CL394" s="52" t="s">
        <v>257</v>
      </c>
      <c r="CM394" s="52">
        <v>90</v>
      </c>
      <c r="CN394" s="52"/>
      <c r="CO394" s="52"/>
      <c r="CP394" s="52"/>
      <c r="CQ394" s="52" t="s">
        <v>372</v>
      </c>
      <c r="CR394" s="52">
        <v>31500</v>
      </c>
      <c r="CS394" s="52" t="s">
        <v>373</v>
      </c>
      <c r="CT394" s="52">
        <v>105</v>
      </c>
      <c r="CU394" s="52" t="s">
        <v>282</v>
      </c>
      <c r="CV394" s="52">
        <v>2</v>
      </c>
      <c r="CW394" s="52" t="s">
        <v>373</v>
      </c>
      <c r="CX394" s="52">
        <v>110</v>
      </c>
      <c r="CY394" s="52"/>
      <c r="CZ394" s="52"/>
      <c r="DA394" s="52"/>
      <c r="DB394" s="52"/>
      <c r="DC394" s="52"/>
      <c r="DD394" s="52"/>
      <c r="DE394" s="52"/>
      <c r="DF394" s="52"/>
      <c r="DG394" s="52"/>
      <c r="DH394" s="52"/>
    </row>
    <row r="395" spans="58:112" ht="16.5" x14ac:dyDescent="0.2">
      <c r="BF395" s="52">
        <v>390</v>
      </c>
      <c r="BG395" s="14">
        <f t="shared" si="61"/>
        <v>0</v>
      </c>
      <c r="BH395" s="14">
        <f t="shared" si="62"/>
        <v>480</v>
      </c>
      <c r="BI395" s="14">
        <f t="shared" si="63"/>
        <v>0</v>
      </c>
      <c r="BJ395" s="14">
        <f t="shared" si="64"/>
        <v>1200</v>
      </c>
      <c r="BK395" s="14">
        <f t="shared" si="65"/>
        <v>480</v>
      </c>
      <c r="BL395" s="14">
        <f t="shared" si="66"/>
        <v>960</v>
      </c>
      <c r="CJ395" s="52">
        <v>391</v>
      </c>
      <c r="CK395" s="52">
        <v>4</v>
      </c>
      <c r="CL395" s="52" t="s">
        <v>257</v>
      </c>
      <c r="CM395" s="52">
        <v>91</v>
      </c>
      <c r="CN395" s="52"/>
      <c r="CO395" s="52"/>
      <c r="CP395" s="52"/>
      <c r="CQ395" s="52" t="s">
        <v>372</v>
      </c>
      <c r="CR395" s="52">
        <v>31500</v>
      </c>
      <c r="CS395" s="52" t="s">
        <v>373</v>
      </c>
      <c r="CT395" s="52">
        <v>110</v>
      </c>
      <c r="CU395" s="52"/>
      <c r="CV395" s="52"/>
      <c r="CW395" s="52" t="s">
        <v>373</v>
      </c>
      <c r="CX395" s="52">
        <v>110</v>
      </c>
      <c r="CY395" s="52"/>
      <c r="CZ395" s="52"/>
      <c r="DA395" s="52"/>
      <c r="DB395" s="52"/>
      <c r="DC395" s="52"/>
      <c r="DD395" s="52"/>
      <c r="DE395" s="52"/>
      <c r="DF395" s="52"/>
      <c r="DG395" s="52"/>
      <c r="DH395" s="52"/>
    </row>
    <row r="396" spans="58:112" ht="16.5" x14ac:dyDescent="0.2">
      <c r="BF396" s="52">
        <v>391</v>
      </c>
      <c r="BG396" s="14">
        <f t="shared" si="61"/>
        <v>0</v>
      </c>
      <c r="BH396" s="14">
        <f t="shared" si="62"/>
        <v>480</v>
      </c>
      <c r="BI396" s="14">
        <f t="shared" si="63"/>
        <v>0</v>
      </c>
      <c r="BJ396" s="14">
        <f t="shared" si="64"/>
        <v>1200</v>
      </c>
      <c r="BK396" s="14">
        <f t="shared" si="65"/>
        <v>480</v>
      </c>
      <c r="BL396" s="14">
        <f t="shared" si="66"/>
        <v>960</v>
      </c>
      <c r="CJ396" s="52">
        <v>392</v>
      </c>
      <c r="CK396" s="52">
        <v>4</v>
      </c>
      <c r="CL396" s="52" t="s">
        <v>257</v>
      </c>
      <c r="CM396" s="52">
        <v>92</v>
      </c>
      <c r="CN396" s="52"/>
      <c r="CO396" s="52"/>
      <c r="CP396" s="52"/>
      <c r="CQ396" s="52" t="s">
        <v>372</v>
      </c>
      <c r="CR396" s="52">
        <v>31500</v>
      </c>
      <c r="CS396" s="52" t="s">
        <v>373</v>
      </c>
      <c r="CT396" s="52">
        <v>110</v>
      </c>
      <c r="CU396" s="52"/>
      <c r="CV396" s="52"/>
      <c r="CW396" s="52" t="s">
        <v>373</v>
      </c>
      <c r="CX396" s="52">
        <v>110</v>
      </c>
      <c r="CY396" s="52"/>
      <c r="CZ396" s="52"/>
      <c r="DA396" s="52"/>
      <c r="DB396" s="52"/>
      <c r="DC396" s="52"/>
      <c r="DD396" s="52"/>
      <c r="DE396" s="52"/>
      <c r="DF396" s="52"/>
      <c r="DG396" s="52"/>
      <c r="DH396" s="52"/>
    </row>
    <row r="397" spans="58:112" ht="16.5" x14ac:dyDescent="0.2">
      <c r="BF397" s="52">
        <v>392</v>
      </c>
      <c r="BG397" s="14">
        <f t="shared" si="61"/>
        <v>0</v>
      </c>
      <c r="BH397" s="14">
        <f t="shared" si="62"/>
        <v>480</v>
      </c>
      <c r="BI397" s="14">
        <f t="shared" si="63"/>
        <v>0</v>
      </c>
      <c r="BJ397" s="14">
        <f t="shared" si="64"/>
        <v>1200</v>
      </c>
      <c r="BK397" s="14">
        <f t="shared" si="65"/>
        <v>480</v>
      </c>
      <c r="BL397" s="14">
        <f t="shared" si="66"/>
        <v>960</v>
      </c>
      <c r="CJ397" s="52">
        <v>393</v>
      </c>
      <c r="CK397" s="52">
        <v>4</v>
      </c>
      <c r="CL397" s="52" t="s">
        <v>257</v>
      </c>
      <c r="CM397" s="52">
        <v>93</v>
      </c>
      <c r="CN397" s="52"/>
      <c r="CO397" s="52"/>
      <c r="CP397" s="52"/>
      <c r="CQ397" s="52" t="s">
        <v>372</v>
      </c>
      <c r="CR397" s="52">
        <v>31500</v>
      </c>
      <c r="CS397" s="52" t="s">
        <v>373</v>
      </c>
      <c r="CT397" s="52">
        <v>110</v>
      </c>
      <c r="CU397" s="52"/>
      <c r="CV397" s="52"/>
      <c r="CW397" s="52" t="s">
        <v>373</v>
      </c>
      <c r="CX397" s="52">
        <v>110</v>
      </c>
      <c r="CY397" s="52"/>
      <c r="CZ397" s="52"/>
      <c r="DA397" s="52"/>
      <c r="DB397" s="52"/>
      <c r="DC397" s="52"/>
      <c r="DD397" s="52"/>
      <c r="DE397" s="52"/>
      <c r="DF397" s="52"/>
      <c r="DG397" s="52"/>
      <c r="DH397" s="52"/>
    </row>
    <row r="398" spans="58:112" ht="16.5" x14ac:dyDescent="0.2">
      <c r="BF398" s="52">
        <v>393</v>
      </c>
      <c r="BG398" s="14">
        <f t="shared" si="61"/>
        <v>0</v>
      </c>
      <c r="BH398" s="14">
        <f t="shared" si="62"/>
        <v>480</v>
      </c>
      <c r="BI398" s="14">
        <f t="shared" si="63"/>
        <v>0</v>
      </c>
      <c r="BJ398" s="14">
        <f t="shared" si="64"/>
        <v>1200</v>
      </c>
      <c r="BK398" s="14">
        <f t="shared" si="65"/>
        <v>480</v>
      </c>
      <c r="BL398" s="14">
        <f t="shared" si="66"/>
        <v>960</v>
      </c>
      <c r="CJ398" s="52">
        <v>394</v>
      </c>
      <c r="CK398" s="52">
        <v>4</v>
      </c>
      <c r="CL398" s="52" t="s">
        <v>257</v>
      </c>
      <c r="CM398" s="52">
        <v>94</v>
      </c>
      <c r="CN398" s="52"/>
      <c r="CO398" s="52"/>
      <c r="CP398" s="52"/>
      <c r="CQ398" s="52" t="s">
        <v>372</v>
      </c>
      <c r="CR398" s="52">
        <v>31500</v>
      </c>
      <c r="CS398" s="52" t="s">
        <v>373</v>
      </c>
      <c r="CT398" s="52">
        <v>110</v>
      </c>
      <c r="CU398" s="52"/>
      <c r="CV398" s="52"/>
      <c r="CW398" s="52" t="s">
        <v>373</v>
      </c>
      <c r="CX398" s="52">
        <v>110</v>
      </c>
      <c r="CY398" s="52"/>
      <c r="CZ398" s="52"/>
      <c r="DA398" s="52"/>
      <c r="DB398" s="52"/>
      <c r="DC398" s="52"/>
      <c r="DD398" s="52"/>
      <c r="DE398" s="52"/>
      <c r="DF398" s="52"/>
      <c r="DG398" s="52"/>
      <c r="DH398" s="52"/>
    </row>
    <row r="399" spans="58:112" ht="16.5" x14ac:dyDescent="0.2">
      <c r="BF399" s="52">
        <v>394</v>
      </c>
      <c r="BG399" s="14">
        <f t="shared" si="61"/>
        <v>0</v>
      </c>
      <c r="BH399" s="14">
        <f t="shared" si="62"/>
        <v>480</v>
      </c>
      <c r="BI399" s="14">
        <f t="shared" si="63"/>
        <v>0</v>
      </c>
      <c r="BJ399" s="14">
        <f t="shared" si="64"/>
        <v>1200</v>
      </c>
      <c r="BK399" s="14">
        <f t="shared" si="65"/>
        <v>480</v>
      </c>
      <c r="BL399" s="14">
        <f t="shared" si="66"/>
        <v>960</v>
      </c>
      <c r="CJ399" s="52">
        <v>395</v>
      </c>
      <c r="CK399" s="52">
        <v>4</v>
      </c>
      <c r="CL399" s="52" t="s">
        <v>257</v>
      </c>
      <c r="CM399" s="52">
        <v>95</v>
      </c>
      <c r="CN399" s="52"/>
      <c r="CO399" s="52"/>
      <c r="CP399" s="52"/>
      <c r="CQ399" s="52" t="s">
        <v>372</v>
      </c>
      <c r="CR399" s="52">
        <v>31500</v>
      </c>
      <c r="CS399" s="52" t="s">
        <v>373</v>
      </c>
      <c r="CT399" s="52">
        <v>110</v>
      </c>
      <c r="CU399" s="52" t="s">
        <v>277</v>
      </c>
      <c r="CV399" s="52">
        <v>3</v>
      </c>
      <c r="CW399" s="52" t="s">
        <v>373</v>
      </c>
      <c r="CX399" s="52">
        <v>115</v>
      </c>
      <c r="CY399" s="52"/>
      <c r="CZ399" s="52"/>
      <c r="DA399" s="52"/>
      <c r="DB399" s="52"/>
      <c r="DC399" s="52"/>
      <c r="DD399" s="52"/>
      <c r="DE399" s="52"/>
      <c r="DF399" s="52"/>
      <c r="DG399" s="52"/>
      <c r="DH399" s="52"/>
    </row>
    <row r="400" spans="58:112" ht="16.5" x14ac:dyDescent="0.2">
      <c r="BF400" s="52">
        <v>395</v>
      </c>
      <c r="BG400" s="14">
        <f t="shared" si="61"/>
        <v>0</v>
      </c>
      <c r="BH400" s="14">
        <f t="shared" si="62"/>
        <v>480</v>
      </c>
      <c r="BI400" s="14">
        <f t="shared" si="63"/>
        <v>0</v>
      </c>
      <c r="BJ400" s="14">
        <f t="shared" si="64"/>
        <v>1200</v>
      </c>
      <c r="BK400" s="14">
        <f t="shared" si="65"/>
        <v>480</v>
      </c>
      <c r="BL400" s="14">
        <f t="shared" si="66"/>
        <v>960</v>
      </c>
      <c r="CJ400" s="52">
        <v>396</v>
      </c>
      <c r="CK400" s="52">
        <v>4</v>
      </c>
      <c r="CL400" s="52" t="s">
        <v>257</v>
      </c>
      <c r="CM400" s="52">
        <v>96</v>
      </c>
      <c r="CN400" s="52"/>
      <c r="CO400" s="52"/>
      <c r="CP400" s="52"/>
      <c r="CQ400" s="52" t="s">
        <v>372</v>
      </c>
      <c r="CR400" s="52">
        <v>36000</v>
      </c>
      <c r="CS400" s="52" t="s">
        <v>373</v>
      </c>
      <c r="CT400" s="52">
        <v>115</v>
      </c>
      <c r="CU400" s="52"/>
      <c r="CV400" s="52"/>
      <c r="CW400" s="52" t="s">
        <v>373</v>
      </c>
      <c r="CX400" s="52">
        <v>115</v>
      </c>
      <c r="CY400" s="52"/>
      <c r="CZ400" s="52"/>
      <c r="DA400" s="52"/>
      <c r="DB400" s="52"/>
      <c r="DC400" s="52"/>
      <c r="DD400" s="52"/>
      <c r="DE400" s="52"/>
      <c r="DF400" s="52"/>
      <c r="DG400" s="52"/>
      <c r="DH400" s="52"/>
    </row>
    <row r="401" spans="58:112" ht="16.5" x14ac:dyDescent="0.2">
      <c r="BF401" s="52">
        <v>396</v>
      </c>
      <c r="BG401" s="14">
        <f t="shared" si="61"/>
        <v>0</v>
      </c>
      <c r="BH401" s="14">
        <f t="shared" si="62"/>
        <v>480</v>
      </c>
      <c r="BI401" s="14">
        <f t="shared" si="63"/>
        <v>0</v>
      </c>
      <c r="BJ401" s="14">
        <f t="shared" si="64"/>
        <v>1200</v>
      </c>
      <c r="BK401" s="14">
        <f t="shared" si="65"/>
        <v>480</v>
      </c>
      <c r="BL401" s="14">
        <f t="shared" si="66"/>
        <v>960</v>
      </c>
      <c r="CJ401" s="52">
        <v>397</v>
      </c>
      <c r="CK401" s="52">
        <v>4</v>
      </c>
      <c r="CL401" s="52" t="s">
        <v>257</v>
      </c>
      <c r="CM401" s="52">
        <v>97</v>
      </c>
      <c r="CN401" s="52"/>
      <c r="CO401" s="52"/>
      <c r="CP401" s="52"/>
      <c r="CQ401" s="52" t="s">
        <v>372</v>
      </c>
      <c r="CR401" s="52">
        <v>36000</v>
      </c>
      <c r="CS401" s="52" t="s">
        <v>373</v>
      </c>
      <c r="CT401" s="52">
        <v>115</v>
      </c>
      <c r="CU401" s="52"/>
      <c r="CV401" s="52"/>
      <c r="CW401" s="52" t="s">
        <v>373</v>
      </c>
      <c r="CX401" s="52">
        <v>115</v>
      </c>
      <c r="CY401" s="52"/>
      <c r="CZ401" s="52"/>
      <c r="DA401" s="52"/>
      <c r="DB401" s="52"/>
      <c r="DC401" s="52"/>
      <c r="DD401" s="52"/>
      <c r="DE401" s="52"/>
      <c r="DF401" s="52"/>
      <c r="DG401" s="52"/>
      <c r="DH401" s="52"/>
    </row>
    <row r="402" spans="58:112" ht="16.5" x14ac:dyDescent="0.2">
      <c r="BF402" s="52">
        <v>397</v>
      </c>
      <c r="BG402" s="14">
        <f t="shared" si="61"/>
        <v>0</v>
      </c>
      <c r="BH402" s="14">
        <f t="shared" si="62"/>
        <v>480</v>
      </c>
      <c r="BI402" s="14">
        <f t="shared" si="63"/>
        <v>0</v>
      </c>
      <c r="BJ402" s="14">
        <f t="shared" si="64"/>
        <v>1200</v>
      </c>
      <c r="BK402" s="14">
        <f t="shared" si="65"/>
        <v>480</v>
      </c>
      <c r="BL402" s="14">
        <f t="shared" si="66"/>
        <v>960</v>
      </c>
      <c r="CJ402" s="52">
        <v>398</v>
      </c>
      <c r="CK402" s="52">
        <v>4</v>
      </c>
      <c r="CL402" s="52" t="s">
        <v>257</v>
      </c>
      <c r="CM402" s="52">
        <v>98</v>
      </c>
      <c r="CN402" s="52"/>
      <c r="CO402" s="52"/>
      <c r="CP402" s="52"/>
      <c r="CQ402" s="52" t="s">
        <v>372</v>
      </c>
      <c r="CR402" s="52">
        <v>36000</v>
      </c>
      <c r="CS402" s="52" t="s">
        <v>373</v>
      </c>
      <c r="CT402" s="52">
        <v>115</v>
      </c>
      <c r="CU402" s="52"/>
      <c r="CV402" s="52"/>
      <c r="CW402" s="52" t="s">
        <v>373</v>
      </c>
      <c r="CX402" s="52">
        <v>115</v>
      </c>
      <c r="CY402" s="52"/>
      <c r="CZ402" s="52"/>
      <c r="DA402" s="52"/>
      <c r="DB402" s="52"/>
      <c r="DC402" s="52"/>
      <c r="DD402" s="52"/>
      <c r="DE402" s="52"/>
      <c r="DF402" s="52"/>
      <c r="DG402" s="52"/>
      <c r="DH402" s="52"/>
    </row>
    <row r="403" spans="58:112" ht="16.5" x14ac:dyDescent="0.2">
      <c r="BF403" s="52">
        <v>398</v>
      </c>
      <c r="BG403" s="14">
        <f t="shared" si="61"/>
        <v>0</v>
      </c>
      <c r="BH403" s="14">
        <f t="shared" si="62"/>
        <v>480</v>
      </c>
      <c r="BI403" s="14">
        <f t="shared" si="63"/>
        <v>0</v>
      </c>
      <c r="BJ403" s="14">
        <f t="shared" si="64"/>
        <v>1200</v>
      </c>
      <c r="BK403" s="14">
        <f t="shared" si="65"/>
        <v>480</v>
      </c>
      <c r="BL403" s="14">
        <f t="shared" si="66"/>
        <v>960</v>
      </c>
      <c r="CJ403" s="52">
        <v>399</v>
      </c>
      <c r="CK403" s="52">
        <v>4</v>
      </c>
      <c r="CL403" s="52" t="s">
        <v>257</v>
      </c>
      <c r="CM403" s="52">
        <v>99</v>
      </c>
      <c r="CN403" s="52"/>
      <c r="CO403" s="52"/>
      <c r="CP403" s="52"/>
      <c r="CQ403" s="52" t="s">
        <v>372</v>
      </c>
      <c r="CR403" s="52">
        <v>36000</v>
      </c>
      <c r="CS403" s="52" t="s">
        <v>373</v>
      </c>
      <c r="CT403" s="52">
        <v>115</v>
      </c>
      <c r="CU403" s="52"/>
      <c r="CV403" s="52"/>
      <c r="CW403" s="52" t="s">
        <v>373</v>
      </c>
      <c r="CX403" s="52">
        <v>115</v>
      </c>
      <c r="CY403" s="52"/>
      <c r="CZ403" s="52"/>
      <c r="DA403" s="52"/>
      <c r="DB403" s="52"/>
      <c r="DC403" s="52"/>
      <c r="DD403" s="52"/>
      <c r="DE403" s="52"/>
      <c r="DF403" s="52"/>
      <c r="DG403" s="52"/>
      <c r="DH403" s="52"/>
    </row>
    <row r="404" spans="58:112" ht="16.5" x14ac:dyDescent="0.2">
      <c r="BF404" s="52">
        <v>399</v>
      </c>
      <c r="BG404" s="14">
        <f t="shared" si="61"/>
        <v>0</v>
      </c>
      <c r="BH404" s="14">
        <f t="shared" si="62"/>
        <v>480</v>
      </c>
      <c r="BI404" s="14">
        <f t="shared" si="63"/>
        <v>0</v>
      </c>
      <c r="BJ404" s="14">
        <f t="shared" si="64"/>
        <v>1200</v>
      </c>
      <c r="BK404" s="14">
        <f t="shared" si="65"/>
        <v>480</v>
      </c>
      <c r="BL404" s="14">
        <f t="shared" si="66"/>
        <v>960</v>
      </c>
      <c r="CJ404" s="52">
        <v>400</v>
      </c>
      <c r="CK404" s="52">
        <v>4</v>
      </c>
      <c r="CL404" s="52" t="s">
        <v>257</v>
      </c>
      <c r="CM404" s="52">
        <v>100</v>
      </c>
      <c r="CN404" s="52"/>
      <c r="CO404" s="52"/>
      <c r="CP404" s="52"/>
      <c r="CQ404" s="52" t="s">
        <v>372</v>
      </c>
      <c r="CR404" s="52">
        <v>36000</v>
      </c>
      <c r="CS404" s="52" t="s">
        <v>373</v>
      </c>
      <c r="CT404" s="52">
        <v>115</v>
      </c>
      <c r="CU404" s="52" t="s">
        <v>281</v>
      </c>
      <c r="CV404" s="52">
        <v>3</v>
      </c>
      <c r="CW404" s="52" t="s">
        <v>373</v>
      </c>
      <c r="CX404" s="52">
        <v>120</v>
      </c>
      <c r="CY404" s="52"/>
      <c r="CZ404" s="52"/>
      <c r="DA404" s="52"/>
      <c r="DB404" s="52"/>
      <c r="DC404" s="52"/>
      <c r="DD404" s="52"/>
      <c r="DE404" s="52"/>
      <c r="DF404" s="52"/>
      <c r="DG404" s="52"/>
      <c r="DH404" s="52"/>
    </row>
    <row r="405" spans="58:112" ht="16.5" x14ac:dyDescent="0.2">
      <c r="BF405" s="52">
        <v>400</v>
      </c>
      <c r="BG405" s="14">
        <f t="shared" si="61"/>
        <v>0</v>
      </c>
      <c r="BH405" s="14">
        <f t="shared" si="62"/>
        <v>480</v>
      </c>
      <c r="BI405" s="14">
        <f t="shared" si="63"/>
        <v>0</v>
      </c>
      <c r="BJ405" s="14">
        <f t="shared" si="64"/>
        <v>1200</v>
      </c>
      <c r="BK405" s="14">
        <f t="shared" si="65"/>
        <v>480</v>
      </c>
      <c r="BL405" s="14">
        <f t="shared" si="66"/>
        <v>960</v>
      </c>
    </row>
    <row r="406" spans="58:112" ht="16.5" x14ac:dyDescent="0.2">
      <c r="BF406" s="52">
        <v>401</v>
      </c>
      <c r="BG406" s="14">
        <f t="shared" ref="BG406:BG469" si="67">SUMIFS($F$5:$F$104,$AT$6:$AT$105,"="&amp;BF406)+SUMIFS($Q$5:$Q$104,$AW$6:$AW$105,"="&amp;BF406)+SUMIFS($AB$5:$AB$104,$AZ$6:$AZ$105,"="&amp;BF406)+SUMIFS($AM$5:$AM$104,$BC$6:$BC$105,"="&amp;BF406)</f>
        <v>0</v>
      </c>
      <c r="BH406" s="14">
        <f t="shared" ref="BH406:BH469" si="68">INDEX($G$5:$G$104,MATCH(BF406,$AT$5:$AT$105,1)-1)+INDEX($R$5:$R$104,MATCH(BF406,$AW$5:$AW$105,1)-1)+INDEX($AC$5:$AC$104,MATCH(BF406,$AZ$5:$AZ$105,1)-1)+INDEX($AN$5:$AN$104,MATCH(BF406,$BC$5:$BC$105,1)-1)</f>
        <v>480</v>
      </c>
      <c r="BI406" s="14">
        <f t="shared" ref="BI406:BI469" si="69">SUMIFS($H$5:$H$104,$AT$6:$AT$105,"="&amp;BF406)+SUMIFS($S$5:$S$104,$AW$6:$AW$105,"="&amp;BF406)+SUMIFS($AD$5:$AD$104,$AZ$6:$AZ$105,"="&amp;BF406)+SUMIFS($AO$5:$AO$104,$BC$6:$BC$105,"="&amp;BF406)</f>
        <v>0</v>
      </c>
      <c r="BJ406" s="14">
        <f t="shared" ref="BJ406:BJ469" si="70">INDEX($I$5:$I$104,MATCH(BF406,$AT$5:$AT$105,1)-1)+INDEX($T$5:$T$104,MATCH(BF406,$AW$5:$AW$105,1)-1)+INDEX($AE$5:$AE$104,MATCH(BF406,$AZ$5:$AZ$105,1)-1)+INDEX($AP$5:$AP$104,MATCH(BF406,$BC$5:$BC$105,1)-1)</f>
        <v>1200</v>
      </c>
      <c r="BK406" s="14">
        <f t="shared" ref="BK406:BK469" si="71">BG406+BH405</f>
        <v>480</v>
      </c>
      <c r="BL406" s="14">
        <f t="shared" si="66"/>
        <v>960</v>
      </c>
    </row>
    <row r="407" spans="58:112" ht="16.5" x14ac:dyDescent="0.2">
      <c r="BF407" s="52">
        <v>402</v>
      </c>
      <c r="BG407" s="14">
        <f t="shared" si="67"/>
        <v>0</v>
      </c>
      <c r="BH407" s="14">
        <f t="shared" si="68"/>
        <v>480</v>
      </c>
      <c r="BI407" s="14">
        <f t="shared" si="69"/>
        <v>0</v>
      </c>
      <c r="BJ407" s="14">
        <f t="shared" si="70"/>
        <v>1200</v>
      </c>
      <c r="BK407" s="14">
        <f t="shared" si="71"/>
        <v>480</v>
      </c>
      <c r="BL407" s="14">
        <f t="shared" si="66"/>
        <v>960</v>
      </c>
    </row>
    <row r="408" spans="58:112" ht="16.5" x14ac:dyDescent="0.2">
      <c r="BF408" s="52">
        <v>403</v>
      </c>
      <c r="BG408" s="14">
        <f t="shared" si="67"/>
        <v>0</v>
      </c>
      <c r="BH408" s="14">
        <f t="shared" si="68"/>
        <v>480</v>
      </c>
      <c r="BI408" s="14">
        <f t="shared" si="69"/>
        <v>0</v>
      </c>
      <c r="BJ408" s="14">
        <f t="shared" si="70"/>
        <v>1200</v>
      </c>
      <c r="BK408" s="14">
        <f t="shared" si="71"/>
        <v>480</v>
      </c>
      <c r="BL408" s="14">
        <f t="shared" si="66"/>
        <v>960</v>
      </c>
    </row>
    <row r="409" spans="58:112" ht="16.5" x14ac:dyDescent="0.2">
      <c r="BF409" s="52">
        <v>404</v>
      </c>
      <c r="BG409" s="14">
        <f t="shared" si="67"/>
        <v>0</v>
      </c>
      <c r="BH409" s="14">
        <f t="shared" si="68"/>
        <v>480</v>
      </c>
      <c r="BI409" s="14">
        <f t="shared" si="69"/>
        <v>0</v>
      </c>
      <c r="BJ409" s="14">
        <f t="shared" si="70"/>
        <v>1200</v>
      </c>
      <c r="BK409" s="14">
        <f t="shared" si="71"/>
        <v>480</v>
      </c>
      <c r="BL409" s="14">
        <f t="shared" si="66"/>
        <v>960</v>
      </c>
    </row>
    <row r="410" spans="58:112" ht="16.5" x14ac:dyDescent="0.2">
      <c r="BF410" s="52">
        <v>405</v>
      </c>
      <c r="BG410" s="14">
        <f t="shared" si="67"/>
        <v>0</v>
      </c>
      <c r="BH410" s="14">
        <f t="shared" si="68"/>
        <v>480</v>
      </c>
      <c r="BI410" s="14">
        <f t="shared" si="69"/>
        <v>0</v>
      </c>
      <c r="BJ410" s="14">
        <f t="shared" si="70"/>
        <v>1200</v>
      </c>
      <c r="BK410" s="14">
        <f t="shared" si="71"/>
        <v>480</v>
      </c>
      <c r="BL410" s="14">
        <f t="shared" si="66"/>
        <v>960</v>
      </c>
    </row>
    <row r="411" spans="58:112" ht="16.5" x14ac:dyDescent="0.2">
      <c r="BF411" s="52">
        <v>406</v>
      </c>
      <c r="BG411" s="14">
        <f t="shared" si="67"/>
        <v>0</v>
      </c>
      <c r="BH411" s="14">
        <f t="shared" si="68"/>
        <v>480</v>
      </c>
      <c r="BI411" s="14">
        <f t="shared" si="69"/>
        <v>0</v>
      </c>
      <c r="BJ411" s="14">
        <f t="shared" si="70"/>
        <v>1200</v>
      </c>
      <c r="BK411" s="14">
        <f t="shared" si="71"/>
        <v>480</v>
      </c>
      <c r="BL411" s="14">
        <f t="shared" si="66"/>
        <v>960</v>
      </c>
    </row>
    <row r="412" spans="58:112" ht="16.5" x14ac:dyDescent="0.2">
      <c r="BF412" s="52">
        <v>407</v>
      </c>
      <c r="BG412" s="14">
        <f t="shared" si="67"/>
        <v>0</v>
      </c>
      <c r="BH412" s="14">
        <f t="shared" si="68"/>
        <v>480</v>
      </c>
      <c r="BI412" s="14">
        <f t="shared" si="69"/>
        <v>0</v>
      </c>
      <c r="BJ412" s="14">
        <f t="shared" si="70"/>
        <v>1200</v>
      </c>
      <c r="BK412" s="14">
        <f t="shared" si="71"/>
        <v>480</v>
      </c>
      <c r="BL412" s="14">
        <f t="shared" si="66"/>
        <v>960</v>
      </c>
    </row>
    <row r="413" spans="58:112" ht="16.5" x14ac:dyDescent="0.2">
      <c r="BF413" s="52">
        <v>408</v>
      </c>
      <c r="BG413" s="14">
        <f t="shared" si="67"/>
        <v>0</v>
      </c>
      <c r="BH413" s="14">
        <f t="shared" si="68"/>
        <v>480</v>
      </c>
      <c r="BI413" s="14">
        <f t="shared" si="69"/>
        <v>0</v>
      </c>
      <c r="BJ413" s="14">
        <f t="shared" si="70"/>
        <v>1200</v>
      </c>
      <c r="BK413" s="14">
        <f t="shared" si="71"/>
        <v>480</v>
      </c>
      <c r="BL413" s="14">
        <f t="shared" si="66"/>
        <v>960</v>
      </c>
    </row>
    <row r="414" spans="58:112" ht="16.5" x14ac:dyDescent="0.2">
      <c r="BF414" s="52">
        <v>409</v>
      </c>
      <c r="BG414" s="14">
        <f t="shared" si="67"/>
        <v>0</v>
      </c>
      <c r="BH414" s="14">
        <f t="shared" si="68"/>
        <v>480</v>
      </c>
      <c r="BI414" s="14">
        <f t="shared" si="69"/>
        <v>0</v>
      </c>
      <c r="BJ414" s="14">
        <f t="shared" si="70"/>
        <v>1200</v>
      </c>
      <c r="BK414" s="14">
        <f t="shared" si="71"/>
        <v>480</v>
      </c>
      <c r="BL414" s="14">
        <f t="shared" si="66"/>
        <v>960</v>
      </c>
    </row>
    <row r="415" spans="58:112" ht="16.5" x14ac:dyDescent="0.2">
      <c r="BF415" s="52">
        <v>410</v>
      </c>
      <c r="BG415" s="14">
        <f t="shared" si="67"/>
        <v>0</v>
      </c>
      <c r="BH415" s="14">
        <f t="shared" si="68"/>
        <v>480</v>
      </c>
      <c r="BI415" s="14">
        <f t="shared" si="69"/>
        <v>0</v>
      </c>
      <c r="BJ415" s="14">
        <f t="shared" si="70"/>
        <v>1200</v>
      </c>
      <c r="BK415" s="14">
        <f t="shared" si="71"/>
        <v>480</v>
      </c>
      <c r="BL415" s="14">
        <f t="shared" si="66"/>
        <v>960</v>
      </c>
    </row>
    <row r="416" spans="58:112" ht="16.5" x14ac:dyDescent="0.2">
      <c r="BF416" s="52">
        <v>411</v>
      </c>
      <c r="BG416" s="14">
        <f t="shared" si="67"/>
        <v>0</v>
      </c>
      <c r="BH416" s="14">
        <f t="shared" si="68"/>
        <v>480</v>
      </c>
      <c r="BI416" s="14">
        <f t="shared" si="69"/>
        <v>0</v>
      </c>
      <c r="BJ416" s="14">
        <f t="shared" si="70"/>
        <v>1200</v>
      </c>
      <c r="BK416" s="14">
        <f t="shared" si="71"/>
        <v>480</v>
      </c>
      <c r="BL416" s="14">
        <f t="shared" si="66"/>
        <v>960</v>
      </c>
    </row>
    <row r="417" spans="58:64" ht="16.5" x14ac:dyDescent="0.2">
      <c r="BF417" s="52">
        <v>412</v>
      </c>
      <c r="BG417" s="14">
        <f t="shared" si="67"/>
        <v>0</v>
      </c>
      <c r="BH417" s="14">
        <f t="shared" si="68"/>
        <v>480</v>
      </c>
      <c r="BI417" s="14">
        <f t="shared" si="69"/>
        <v>0</v>
      </c>
      <c r="BJ417" s="14">
        <f t="shared" si="70"/>
        <v>1200</v>
      </c>
      <c r="BK417" s="14">
        <f t="shared" si="71"/>
        <v>480</v>
      </c>
      <c r="BL417" s="14">
        <f t="shared" si="66"/>
        <v>960</v>
      </c>
    </row>
    <row r="418" spans="58:64" ht="16.5" x14ac:dyDescent="0.2">
      <c r="BF418" s="52">
        <v>413</v>
      </c>
      <c r="BG418" s="14">
        <f t="shared" si="67"/>
        <v>0</v>
      </c>
      <c r="BH418" s="14">
        <f t="shared" si="68"/>
        <v>480</v>
      </c>
      <c r="BI418" s="14">
        <f t="shared" si="69"/>
        <v>0</v>
      </c>
      <c r="BJ418" s="14">
        <f t="shared" si="70"/>
        <v>1200</v>
      </c>
      <c r="BK418" s="14">
        <f t="shared" si="71"/>
        <v>480</v>
      </c>
      <c r="BL418" s="14">
        <f t="shared" si="66"/>
        <v>960</v>
      </c>
    </row>
    <row r="419" spans="58:64" ht="16.5" x14ac:dyDescent="0.2">
      <c r="BF419" s="52">
        <v>414</v>
      </c>
      <c r="BG419" s="14">
        <f t="shared" si="67"/>
        <v>0</v>
      </c>
      <c r="BH419" s="14">
        <f t="shared" si="68"/>
        <v>480</v>
      </c>
      <c r="BI419" s="14">
        <f t="shared" si="69"/>
        <v>0</v>
      </c>
      <c r="BJ419" s="14">
        <f t="shared" si="70"/>
        <v>1200</v>
      </c>
      <c r="BK419" s="14">
        <f t="shared" si="71"/>
        <v>480</v>
      </c>
      <c r="BL419" s="14">
        <f t="shared" si="66"/>
        <v>960</v>
      </c>
    </row>
    <row r="420" spans="58:64" ht="16.5" x14ac:dyDescent="0.2">
      <c r="BF420" s="52">
        <v>415</v>
      </c>
      <c r="BG420" s="14">
        <f t="shared" si="67"/>
        <v>0</v>
      </c>
      <c r="BH420" s="14">
        <f t="shared" si="68"/>
        <v>480</v>
      </c>
      <c r="BI420" s="14">
        <f t="shared" si="69"/>
        <v>0</v>
      </c>
      <c r="BJ420" s="14">
        <f t="shared" si="70"/>
        <v>1200</v>
      </c>
      <c r="BK420" s="14">
        <f t="shared" si="71"/>
        <v>480</v>
      </c>
      <c r="BL420" s="14">
        <f t="shared" si="66"/>
        <v>960</v>
      </c>
    </row>
    <row r="421" spans="58:64" ht="16.5" x14ac:dyDescent="0.2">
      <c r="BF421" s="52">
        <v>416</v>
      </c>
      <c r="BG421" s="14">
        <f t="shared" si="67"/>
        <v>0</v>
      </c>
      <c r="BH421" s="14">
        <f t="shared" si="68"/>
        <v>480</v>
      </c>
      <c r="BI421" s="14">
        <f t="shared" si="69"/>
        <v>0</v>
      </c>
      <c r="BJ421" s="14">
        <f t="shared" si="70"/>
        <v>1200</v>
      </c>
      <c r="BK421" s="14">
        <f t="shared" si="71"/>
        <v>480</v>
      </c>
      <c r="BL421" s="14">
        <f t="shared" si="66"/>
        <v>960</v>
      </c>
    </row>
    <row r="422" spans="58:64" ht="16.5" x14ac:dyDescent="0.2">
      <c r="BF422" s="52">
        <v>417</v>
      </c>
      <c r="BG422" s="14">
        <f t="shared" si="67"/>
        <v>0</v>
      </c>
      <c r="BH422" s="14">
        <f t="shared" si="68"/>
        <v>480</v>
      </c>
      <c r="BI422" s="14">
        <f t="shared" si="69"/>
        <v>0</v>
      </c>
      <c r="BJ422" s="14">
        <f t="shared" si="70"/>
        <v>1200</v>
      </c>
      <c r="BK422" s="14">
        <f t="shared" si="71"/>
        <v>480</v>
      </c>
      <c r="BL422" s="14">
        <f t="shared" si="66"/>
        <v>960</v>
      </c>
    </row>
    <row r="423" spans="58:64" ht="16.5" x14ac:dyDescent="0.2">
      <c r="BF423" s="52">
        <v>418</v>
      </c>
      <c r="BG423" s="14">
        <f t="shared" si="67"/>
        <v>0</v>
      </c>
      <c r="BH423" s="14">
        <f t="shared" si="68"/>
        <v>480</v>
      </c>
      <c r="BI423" s="14">
        <f t="shared" si="69"/>
        <v>0</v>
      </c>
      <c r="BJ423" s="14">
        <f t="shared" si="70"/>
        <v>1200</v>
      </c>
      <c r="BK423" s="14">
        <f t="shared" si="71"/>
        <v>480</v>
      </c>
      <c r="BL423" s="14">
        <f t="shared" si="66"/>
        <v>960</v>
      </c>
    </row>
    <row r="424" spans="58:64" ht="16.5" x14ac:dyDescent="0.2">
      <c r="BF424" s="52">
        <v>419</v>
      </c>
      <c r="BG424" s="14">
        <f t="shared" si="67"/>
        <v>0</v>
      </c>
      <c r="BH424" s="14">
        <f t="shared" si="68"/>
        <v>480</v>
      </c>
      <c r="BI424" s="14">
        <f t="shared" si="69"/>
        <v>0</v>
      </c>
      <c r="BJ424" s="14">
        <f t="shared" si="70"/>
        <v>1200</v>
      </c>
      <c r="BK424" s="14">
        <f t="shared" si="71"/>
        <v>480</v>
      </c>
      <c r="BL424" s="14">
        <f t="shared" si="66"/>
        <v>960</v>
      </c>
    </row>
    <row r="425" spans="58:64" ht="16.5" x14ac:dyDescent="0.2">
      <c r="BF425" s="52">
        <v>420</v>
      </c>
      <c r="BG425" s="14">
        <f t="shared" si="67"/>
        <v>0</v>
      </c>
      <c r="BH425" s="14">
        <f t="shared" si="68"/>
        <v>480</v>
      </c>
      <c r="BI425" s="14">
        <f t="shared" si="69"/>
        <v>0</v>
      </c>
      <c r="BJ425" s="14">
        <f t="shared" si="70"/>
        <v>1200</v>
      </c>
      <c r="BK425" s="14">
        <f t="shared" si="71"/>
        <v>480</v>
      </c>
      <c r="BL425" s="14">
        <f t="shared" si="66"/>
        <v>960</v>
      </c>
    </row>
    <row r="426" spans="58:64" ht="16.5" x14ac:dyDescent="0.2">
      <c r="BF426" s="52">
        <v>421</v>
      </c>
      <c r="BG426" s="14">
        <f t="shared" si="67"/>
        <v>0</v>
      </c>
      <c r="BH426" s="14">
        <f t="shared" si="68"/>
        <v>480</v>
      </c>
      <c r="BI426" s="14">
        <f t="shared" si="69"/>
        <v>0</v>
      </c>
      <c r="BJ426" s="14">
        <f t="shared" si="70"/>
        <v>1200</v>
      </c>
      <c r="BK426" s="14">
        <f t="shared" si="71"/>
        <v>480</v>
      </c>
      <c r="BL426" s="14">
        <f t="shared" si="66"/>
        <v>960</v>
      </c>
    </row>
    <row r="427" spans="58:64" ht="16.5" x14ac:dyDescent="0.2">
      <c r="BF427" s="52">
        <v>422</v>
      </c>
      <c r="BG427" s="14">
        <f t="shared" si="67"/>
        <v>0</v>
      </c>
      <c r="BH427" s="14">
        <f t="shared" si="68"/>
        <v>480</v>
      </c>
      <c r="BI427" s="14">
        <f t="shared" si="69"/>
        <v>0</v>
      </c>
      <c r="BJ427" s="14">
        <f t="shared" si="70"/>
        <v>1200</v>
      </c>
      <c r="BK427" s="14">
        <f t="shared" si="71"/>
        <v>480</v>
      </c>
      <c r="BL427" s="14">
        <f t="shared" si="66"/>
        <v>960</v>
      </c>
    </row>
    <row r="428" spans="58:64" ht="16.5" x14ac:dyDescent="0.2">
      <c r="BF428" s="52">
        <v>423</v>
      </c>
      <c r="BG428" s="14">
        <f t="shared" si="67"/>
        <v>0</v>
      </c>
      <c r="BH428" s="14">
        <f t="shared" si="68"/>
        <v>480</v>
      </c>
      <c r="BI428" s="14">
        <f t="shared" si="69"/>
        <v>0</v>
      </c>
      <c r="BJ428" s="14">
        <f t="shared" si="70"/>
        <v>1200</v>
      </c>
      <c r="BK428" s="14">
        <f t="shared" si="71"/>
        <v>480</v>
      </c>
      <c r="BL428" s="14">
        <f t="shared" si="66"/>
        <v>960</v>
      </c>
    </row>
    <row r="429" spans="58:64" ht="16.5" x14ac:dyDescent="0.2">
      <c r="BF429" s="52">
        <v>424</v>
      </c>
      <c r="BG429" s="14">
        <f t="shared" si="67"/>
        <v>0</v>
      </c>
      <c r="BH429" s="14">
        <f t="shared" si="68"/>
        <v>480</v>
      </c>
      <c r="BI429" s="14">
        <f t="shared" si="69"/>
        <v>0</v>
      </c>
      <c r="BJ429" s="14">
        <f t="shared" si="70"/>
        <v>1200</v>
      </c>
      <c r="BK429" s="14">
        <f t="shared" si="71"/>
        <v>480</v>
      </c>
      <c r="BL429" s="14">
        <f t="shared" si="66"/>
        <v>960</v>
      </c>
    </row>
    <row r="430" spans="58:64" ht="16.5" x14ac:dyDescent="0.2">
      <c r="BF430" s="52">
        <v>425</v>
      </c>
      <c r="BG430" s="14">
        <f t="shared" si="67"/>
        <v>0</v>
      </c>
      <c r="BH430" s="14">
        <f t="shared" si="68"/>
        <v>480</v>
      </c>
      <c r="BI430" s="14">
        <f t="shared" si="69"/>
        <v>0</v>
      </c>
      <c r="BJ430" s="14">
        <f t="shared" si="70"/>
        <v>1200</v>
      </c>
      <c r="BK430" s="14">
        <f t="shared" si="71"/>
        <v>480</v>
      </c>
      <c r="BL430" s="14">
        <f t="shared" si="66"/>
        <v>960</v>
      </c>
    </row>
    <row r="431" spans="58:64" ht="16.5" x14ac:dyDescent="0.2">
      <c r="BF431" s="52">
        <v>426</v>
      </c>
      <c r="BG431" s="14">
        <f t="shared" si="67"/>
        <v>0</v>
      </c>
      <c r="BH431" s="14">
        <f t="shared" si="68"/>
        <v>480</v>
      </c>
      <c r="BI431" s="14">
        <f t="shared" si="69"/>
        <v>0</v>
      </c>
      <c r="BJ431" s="14">
        <f t="shared" si="70"/>
        <v>1200</v>
      </c>
      <c r="BK431" s="14">
        <f t="shared" si="71"/>
        <v>480</v>
      </c>
      <c r="BL431" s="14">
        <f t="shared" si="66"/>
        <v>960</v>
      </c>
    </row>
    <row r="432" spans="58:64" ht="16.5" x14ac:dyDescent="0.2">
      <c r="BF432" s="52">
        <v>427</v>
      </c>
      <c r="BG432" s="14">
        <f t="shared" si="67"/>
        <v>0</v>
      </c>
      <c r="BH432" s="14">
        <f t="shared" si="68"/>
        <v>480</v>
      </c>
      <c r="BI432" s="14">
        <f t="shared" si="69"/>
        <v>0</v>
      </c>
      <c r="BJ432" s="14">
        <f t="shared" si="70"/>
        <v>1200</v>
      </c>
      <c r="BK432" s="14">
        <f t="shared" si="71"/>
        <v>480</v>
      </c>
      <c r="BL432" s="14">
        <f t="shared" si="66"/>
        <v>960</v>
      </c>
    </row>
    <row r="433" spans="58:64" ht="16.5" x14ac:dyDescent="0.2">
      <c r="BF433" s="52">
        <v>428</v>
      </c>
      <c r="BG433" s="14">
        <f t="shared" si="67"/>
        <v>0</v>
      </c>
      <c r="BH433" s="14">
        <f t="shared" si="68"/>
        <v>480</v>
      </c>
      <c r="BI433" s="14">
        <f t="shared" si="69"/>
        <v>0</v>
      </c>
      <c r="BJ433" s="14">
        <f t="shared" si="70"/>
        <v>1200</v>
      </c>
      <c r="BK433" s="14">
        <f t="shared" si="71"/>
        <v>480</v>
      </c>
      <c r="BL433" s="14">
        <f t="shared" si="66"/>
        <v>960</v>
      </c>
    </row>
    <row r="434" spans="58:64" ht="16.5" x14ac:dyDescent="0.2">
      <c r="BF434" s="52">
        <v>429</v>
      </c>
      <c r="BG434" s="14">
        <f t="shared" si="67"/>
        <v>0</v>
      </c>
      <c r="BH434" s="14">
        <f t="shared" si="68"/>
        <v>480</v>
      </c>
      <c r="BI434" s="14">
        <f t="shared" si="69"/>
        <v>0</v>
      </c>
      <c r="BJ434" s="14">
        <f t="shared" si="70"/>
        <v>1200</v>
      </c>
      <c r="BK434" s="14">
        <f t="shared" si="71"/>
        <v>480</v>
      </c>
      <c r="BL434" s="14">
        <f t="shared" si="66"/>
        <v>960</v>
      </c>
    </row>
    <row r="435" spans="58:64" ht="16.5" x14ac:dyDescent="0.2">
      <c r="BF435" s="52">
        <v>430</v>
      </c>
      <c r="BG435" s="14">
        <f t="shared" si="67"/>
        <v>0</v>
      </c>
      <c r="BH435" s="14">
        <f t="shared" si="68"/>
        <v>480</v>
      </c>
      <c r="BI435" s="14">
        <f t="shared" si="69"/>
        <v>0</v>
      </c>
      <c r="BJ435" s="14">
        <f t="shared" si="70"/>
        <v>1200</v>
      </c>
      <c r="BK435" s="14">
        <f t="shared" si="71"/>
        <v>480</v>
      </c>
      <c r="BL435" s="14">
        <f t="shared" si="66"/>
        <v>960</v>
      </c>
    </row>
    <row r="436" spans="58:64" ht="16.5" x14ac:dyDescent="0.2">
      <c r="BF436" s="52">
        <v>431</v>
      </c>
      <c r="BG436" s="14">
        <f t="shared" si="67"/>
        <v>0</v>
      </c>
      <c r="BH436" s="14">
        <f t="shared" si="68"/>
        <v>480</v>
      </c>
      <c r="BI436" s="14">
        <f t="shared" si="69"/>
        <v>0</v>
      </c>
      <c r="BJ436" s="14">
        <f t="shared" si="70"/>
        <v>1200</v>
      </c>
      <c r="BK436" s="14">
        <f t="shared" si="71"/>
        <v>480</v>
      </c>
      <c r="BL436" s="14">
        <f t="shared" si="66"/>
        <v>960</v>
      </c>
    </row>
    <row r="437" spans="58:64" ht="16.5" x14ac:dyDescent="0.2">
      <c r="BF437" s="52">
        <v>432</v>
      </c>
      <c r="BG437" s="14">
        <f t="shared" si="67"/>
        <v>0</v>
      </c>
      <c r="BH437" s="14">
        <f t="shared" si="68"/>
        <v>480</v>
      </c>
      <c r="BI437" s="14">
        <f t="shared" si="69"/>
        <v>0</v>
      </c>
      <c r="BJ437" s="14">
        <f t="shared" si="70"/>
        <v>1200</v>
      </c>
      <c r="BK437" s="14">
        <f t="shared" si="71"/>
        <v>480</v>
      </c>
      <c r="BL437" s="14">
        <f t="shared" si="66"/>
        <v>960</v>
      </c>
    </row>
    <row r="438" spans="58:64" ht="16.5" x14ac:dyDescent="0.2">
      <c r="BF438" s="52">
        <v>433</v>
      </c>
      <c r="BG438" s="14">
        <f t="shared" si="67"/>
        <v>0</v>
      </c>
      <c r="BH438" s="14">
        <f t="shared" si="68"/>
        <v>480</v>
      </c>
      <c r="BI438" s="14">
        <f t="shared" si="69"/>
        <v>0</v>
      </c>
      <c r="BJ438" s="14">
        <f t="shared" si="70"/>
        <v>1200</v>
      </c>
      <c r="BK438" s="14">
        <f t="shared" si="71"/>
        <v>480</v>
      </c>
      <c r="BL438" s="14">
        <f t="shared" si="66"/>
        <v>960</v>
      </c>
    </row>
    <row r="439" spans="58:64" ht="16.5" x14ac:dyDescent="0.2">
      <c r="BF439" s="52">
        <v>434</v>
      </c>
      <c r="BG439" s="14">
        <f t="shared" si="67"/>
        <v>0</v>
      </c>
      <c r="BH439" s="14">
        <f t="shared" si="68"/>
        <v>480</v>
      </c>
      <c r="BI439" s="14">
        <f t="shared" si="69"/>
        <v>0</v>
      </c>
      <c r="BJ439" s="14">
        <f t="shared" si="70"/>
        <v>1200</v>
      </c>
      <c r="BK439" s="14">
        <f t="shared" si="71"/>
        <v>480</v>
      </c>
      <c r="BL439" s="14">
        <f t="shared" si="66"/>
        <v>960</v>
      </c>
    </row>
    <row r="440" spans="58:64" ht="16.5" x14ac:dyDescent="0.2">
      <c r="BF440" s="52">
        <v>435</v>
      </c>
      <c r="BG440" s="14">
        <f t="shared" si="67"/>
        <v>0</v>
      </c>
      <c r="BH440" s="14">
        <f t="shared" si="68"/>
        <v>480</v>
      </c>
      <c r="BI440" s="14">
        <f t="shared" si="69"/>
        <v>0</v>
      </c>
      <c r="BJ440" s="14">
        <f t="shared" si="70"/>
        <v>1200</v>
      </c>
      <c r="BK440" s="14">
        <f t="shared" si="71"/>
        <v>480</v>
      </c>
      <c r="BL440" s="14">
        <f t="shared" si="66"/>
        <v>960</v>
      </c>
    </row>
    <row r="441" spans="58:64" ht="16.5" x14ac:dyDescent="0.2">
      <c r="BF441" s="52">
        <v>436</v>
      </c>
      <c r="BG441" s="14">
        <f t="shared" si="67"/>
        <v>0</v>
      </c>
      <c r="BH441" s="14">
        <f t="shared" si="68"/>
        <v>480</v>
      </c>
      <c r="BI441" s="14">
        <f t="shared" si="69"/>
        <v>0</v>
      </c>
      <c r="BJ441" s="14">
        <f t="shared" si="70"/>
        <v>1200</v>
      </c>
      <c r="BK441" s="14">
        <f t="shared" si="71"/>
        <v>480</v>
      </c>
      <c r="BL441" s="14">
        <f t="shared" si="66"/>
        <v>960</v>
      </c>
    </row>
    <row r="442" spans="58:64" ht="16.5" x14ac:dyDescent="0.2">
      <c r="BF442" s="52">
        <v>437</v>
      </c>
      <c r="BG442" s="14">
        <f t="shared" si="67"/>
        <v>0</v>
      </c>
      <c r="BH442" s="14">
        <f t="shared" si="68"/>
        <v>480</v>
      </c>
      <c r="BI442" s="14">
        <f t="shared" si="69"/>
        <v>0</v>
      </c>
      <c r="BJ442" s="14">
        <f t="shared" si="70"/>
        <v>1200</v>
      </c>
      <c r="BK442" s="14">
        <f t="shared" si="71"/>
        <v>480</v>
      </c>
      <c r="BL442" s="14">
        <f t="shared" si="66"/>
        <v>960</v>
      </c>
    </row>
    <row r="443" spans="58:64" ht="16.5" x14ac:dyDescent="0.2">
      <c r="BF443" s="52">
        <v>438</v>
      </c>
      <c r="BG443" s="14">
        <f t="shared" si="67"/>
        <v>0</v>
      </c>
      <c r="BH443" s="14">
        <f t="shared" si="68"/>
        <v>480</v>
      </c>
      <c r="BI443" s="14">
        <f t="shared" si="69"/>
        <v>0</v>
      </c>
      <c r="BJ443" s="14">
        <f t="shared" si="70"/>
        <v>1200</v>
      </c>
      <c r="BK443" s="14">
        <f t="shared" si="71"/>
        <v>480</v>
      </c>
      <c r="BL443" s="14">
        <f t="shared" si="66"/>
        <v>960</v>
      </c>
    </row>
    <row r="444" spans="58:64" ht="16.5" x14ac:dyDescent="0.2">
      <c r="BF444" s="52">
        <v>439</v>
      </c>
      <c r="BG444" s="14">
        <f t="shared" si="67"/>
        <v>0</v>
      </c>
      <c r="BH444" s="14">
        <f t="shared" si="68"/>
        <v>480</v>
      </c>
      <c r="BI444" s="14">
        <f t="shared" si="69"/>
        <v>0</v>
      </c>
      <c r="BJ444" s="14">
        <f t="shared" si="70"/>
        <v>1200</v>
      </c>
      <c r="BK444" s="14">
        <f t="shared" si="71"/>
        <v>480</v>
      </c>
      <c r="BL444" s="14">
        <f t="shared" si="66"/>
        <v>960</v>
      </c>
    </row>
    <row r="445" spans="58:64" ht="16.5" x14ac:dyDescent="0.2">
      <c r="BF445" s="52">
        <v>440</v>
      </c>
      <c r="BG445" s="14">
        <f t="shared" si="67"/>
        <v>0</v>
      </c>
      <c r="BH445" s="14">
        <f t="shared" si="68"/>
        <v>480</v>
      </c>
      <c r="BI445" s="14">
        <f t="shared" si="69"/>
        <v>0</v>
      </c>
      <c r="BJ445" s="14">
        <f t="shared" si="70"/>
        <v>1200</v>
      </c>
      <c r="BK445" s="14">
        <f t="shared" si="71"/>
        <v>480</v>
      </c>
      <c r="BL445" s="14">
        <f t="shared" si="66"/>
        <v>960</v>
      </c>
    </row>
    <row r="446" spans="58:64" ht="16.5" x14ac:dyDescent="0.2">
      <c r="BF446" s="52">
        <v>441</v>
      </c>
      <c r="BG446" s="14">
        <f t="shared" si="67"/>
        <v>0</v>
      </c>
      <c r="BH446" s="14">
        <f t="shared" si="68"/>
        <v>480</v>
      </c>
      <c r="BI446" s="14">
        <f t="shared" si="69"/>
        <v>0</v>
      </c>
      <c r="BJ446" s="14">
        <f t="shared" si="70"/>
        <v>1200</v>
      </c>
      <c r="BK446" s="14">
        <f t="shared" si="71"/>
        <v>480</v>
      </c>
      <c r="BL446" s="14">
        <f t="shared" si="66"/>
        <v>960</v>
      </c>
    </row>
    <row r="447" spans="58:64" ht="16.5" x14ac:dyDescent="0.2">
      <c r="BF447" s="52">
        <v>442</v>
      </c>
      <c r="BG447" s="14">
        <f t="shared" si="67"/>
        <v>0</v>
      </c>
      <c r="BH447" s="14">
        <f t="shared" si="68"/>
        <v>480</v>
      </c>
      <c r="BI447" s="14">
        <f t="shared" si="69"/>
        <v>0</v>
      </c>
      <c r="BJ447" s="14">
        <f t="shared" si="70"/>
        <v>1200</v>
      </c>
      <c r="BK447" s="14">
        <f t="shared" si="71"/>
        <v>480</v>
      </c>
      <c r="BL447" s="14">
        <f t="shared" si="66"/>
        <v>960</v>
      </c>
    </row>
    <row r="448" spans="58:64" ht="16.5" x14ac:dyDescent="0.2">
      <c r="BF448" s="52">
        <v>443</v>
      </c>
      <c r="BG448" s="14">
        <f t="shared" si="67"/>
        <v>0</v>
      </c>
      <c r="BH448" s="14">
        <f t="shared" si="68"/>
        <v>480</v>
      </c>
      <c r="BI448" s="14">
        <f t="shared" si="69"/>
        <v>0</v>
      </c>
      <c r="BJ448" s="14">
        <f t="shared" si="70"/>
        <v>1200</v>
      </c>
      <c r="BK448" s="14">
        <f t="shared" si="71"/>
        <v>480</v>
      </c>
      <c r="BL448" s="14">
        <f t="shared" si="66"/>
        <v>960</v>
      </c>
    </row>
    <row r="449" spans="58:64" ht="16.5" x14ac:dyDescent="0.2">
      <c r="BF449" s="52">
        <v>444</v>
      </c>
      <c r="BG449" s="14">
        <f t="shared" si="67"/>
        <v>0</v>
      </c>
      <c r="BH449" s="14">
        <f t="shared" si="68"/>
        <v>480</v>
      </c>
      <c r="BI449" s="14">
        <f t="shared" si="69"/>
        <v>0</v>
      </c>
      <c r="BJ449" s="14">
        <f t="shared" si="70"/>
        <v>1200</v>
      </c>
      <c r="BK449" s="14">
        <f t="shared" si="71"/>
        <v>480</v>
      </c>
      <c r="BL449" s="14">
        <f t="shared" si="66"/>
        <v>960</v>
      </c>
    </row>
    <row r="450" spans="58:64" ht="16.5" x14ac:dyDescent="0.2">
      <c r="BF450" s="52">
        <v>445</v>
      </c>
      <c r="BG450" s="14">
        <f t="shared" si="67"/>
        <v>0</v>
      </c>
      <c r="BH450" s="14">
        <f t="shared" si="68"/>
        <v>480</v>
      </c>
      <c r="BI450" s="14">
        <f t="shared" si="69"/>
        <v>0</v>
      </c>
      <c r="BJ450" s="14">
        <f t="shared" si="70"/>
        <v>1200</v>
      </c>
      <c r="BK450" s="14">
        <f t="shared" si="71"/>
        <v>480</v>
      </c>
      <c r="BL450" s="14">
        <f t="shared" si="66"/>
        <v>960</v>
      </c>
    </row>
    <row r="451" spans="58:64" ht="16.5" x14ac:dyDescent="0.2">
      <c r="BF451" s="52">
        <v>446</v>
      </c>
      <c r="BG451" s="14">
        <f t="shared" si="67"/>
        <v>0</v>
      </c>
      <c r="BH451" s="14">
        <f t="shared" si="68"/>
        <v>480</v>
      </c>
      <c r="BI451" s="14">
        <f t="shared" si="69"/>
        <v>0</v>
      </c>
      <c r="BJ451" s="14">
        <f t="shared" si="70"/>
        <v>1200</v>
      </c>
      <c r="BK451" s="14">
        <f t="shared" si="71"/>
        <v>480</v>
      </c>
      <c r="BL451" s="14">
        <f t="shared" si="66"/>
        <v>960</v>
      </c>
    </row>
    <row r="452" spans="58:64" ht="16.5" x14ac:dyDescent="0.2">
      <c r="BF452" s="52">
        <v>447</v>
      </c>
      <c r="BG452" s="14">
        <f t="shared" si="67"/>
        <v>0</v>
      </c>
      <c r="BH452" s="14">
        <f t="shared" si="68"/>
        <v>480</v>
      </c>
      <c r="BI452" s="14">
        <f t="shared" si="69"/>
        <v>0</v>
      </c>
      <c r="BJ452" s="14">
        <f t="shared" si="70"/>
        <v>1200</v>
      </c>
      <c r="BK452" s="14">
        <f t="shared" si="71"/>
        <v>480</v>
      </c>
      <c r="BL452" s="14">
        <f t="shared" si="66"/>
        <v>960</v>
      </c>
    </row>
    <row r="453" spans="58:64" ht="16.5" x14ac:dyDescent="0.2">
      <c r="BF453" s="52">
        <v>448</v>
      </c>
      <c r="BG453" s="14">
        <f t="shared" si="67"/>
        <v>0</v>
      </c>
      <c r="BH453" s="14">
        <f t="shared" si="68"/>
        <v>480</v>
      </c>
      <c r="BI453" s="14">
        <f t="shared" si="69"/>
        <v>0</v>
      </c>
      <c r="BJ453" s="14">
        <f t="shared" si="70"/>
        <v>1200</v>
      </c>
      <c r="BK453" s="14">
        <f t="shared" si="71"/>
        <v>480</v>
      </c>
      <c r="BL453" s="14">
        <f t="shared" si="66"/>
        <v>960</v>
      </c>
    </row>
    <row r="454" spans="58:64" ht="16.5" x14ac:dyDescent="0.2">
      <c r="BF454" s="52">
        <v>449</v>
      </c>
      <c r="BG454" s="14">
        <f t="shared" si="67"/>
        <v>0</v>
      </c>
      <c r="BH454" s="14">
        <f t="shared" si="68"/>
        <v>480</v>
      </c>
      <c r="BI454" s="14">
        <f t="shared" si="69"/>
        <v>0</v>
      </c>
      <c r="BJ454" s="14">
        <f t="shared" si="70"/>
        <v>1200</v>
      </c>
      <c r="BK454" s="14">
        <f t="shared" si="71"/>
        <v>480</v>
      </c>
      <c r="BL454" s="14">
        <f t="shared" si="66"/>
        <v>960</v>
      </c>
    </row>
    <row r="455" spans="58:64" ht="16.5" x14ac:dyDescent="0.2">
      <c r="BF455" s="52">
        <v>450</v>
      </c>
      <c r="BG455" s="14">
        <f t="shared" si="67"/>
        <v>0</v>
      </c>
      <c r="BH455" s="14">
        <f t="shared" si="68"/>
        <v>480</v>
      </c>
      <c r="BI455" s="14">
        <f t="shared" si="69"/>
        <v>0</v>
      </c>
      <c r="BJ455" s="14">
        <f t="shared" si="70"/>
        <v>1200</v>
      </c>
      <c r="BK455" s="14">
        <f t="shared" si="71"/>
        <v>480</v>
      </c>
      <c r="BL455" s="14">
        <f t="shared" ref="BL455:BL505" si="72">BK455*BL$3</f>
        <v>960</v>
      </c>
    </row>
    <row r="456" spans="58:64" ht="16.5" x14ac:dyDescent="0.2">
      <c r="BF456" s="52">
        <v>451</v>
      </c>
      <c r="BG456" s="14">
        <f t="shared" si="67"/>
        <v>0</v>
      </c>
      <c r="BH456" s="14">
        <f t="shared" si="68"/>
        <v>480</v>
      </c>
      <c r="BI456" s="14">
        <f t="shared" si="69"/>
        <v>0</v>
      </c>
      <c r="BJ456" s="14">
        <f t="shared" si="70"/>
        <v>1200</v>
      </c>
      <c r="BK456" s="14">
        <f t="shared" si="71"/>
        <v>480</v>
      </c>
      <c r="BL456" s="14">
        <f t="shared" si="72"/>
        <v>960</v>
      </c>
    </row>
    <row r="457" spans="58:64" ht="16.5" x14ac:dyDescent="0.2">
      <c r="BF457" s="52">
        <v>452</v>
      </c>
      <c r="BG457" s="14">
        <f t="shared" si="67"/>
        <v>0</v>
      </c>
      <c r="BH457" s="14">
        <f t="shared" si="68"/>
        <v>480</v>
      </c>
      <c r="BI457" s="14">
        <f t="shared" si="69"/>
        <v>0</v>
      </c>
      <c r="BJ457" s="14">
        <f t="shared" si="70"/>
        <v>1200</v>
      </c>
      <c r="BK457" s="14">
        <f t="shared" si="71"/>
        <v>480</v>
      </c>
      <c r="BL457" s="14">
        <f t="shared" si="72"/>
        <v>960</v>
      </c>
    </row>
    <row r="458" spans="58:64" ht="16.5" x14ac:dyDescent="0.2">
      <c r="BF458" s="52">
        <v>453</v>
      </c>
      <c r="BG458" s="14">
        <f t="shared" si="67"/>
        <v>0</v>
      </c>
      <c r="BH458" s="14">
        <f t="shared" si="68"/>
        <v>480</v>
      </c>
      <c r="BI458" s="14">
        <f t="shared" si="69"/>
        <v>0</v>
      </c>
      <c r="BJ458" s="14">
        <f t="shared" si="70"/>
        <v>1200</v>
      </c>
      <c r="BK458" s="14">
        <f t="shared" si="71"/>
        <v>480</v>
      </c>
      <c r="BL458" s="14">
        <f t="shared" si="72"/>
        <v>960</v>
      </c>
    </row>
    <row r="459" spans="58:64" ht="16.5" x14ac:dyDescent="0.2">
      <c r="BF459" s="52">
        <v>454</v>
      </c>
      <c r="BG459" s="14">
        <f t="shared" si="67"/>
        <v>0</v>
      </c>
      <c r="BH459" s="14">
        <f t="shared" si="68"/>
        <v>480</v>
      </c>
      <c r="BI459" s="14">
        <f t="shared" si="69"/>
        <v>0</v>
      </c>
      <c r="BJ459" s="14">
        <f t="shared" si="70"/>
        <v>1200</v>
      </c>
      <c r="BK459" s="14">
        <f t="shared" si="71"/>
        <v>480</v>
      </c>
      <c r="BL459" s="14">
        <f t="shared" si="72"/>
        <v>960</v>
      </c>
    </row>
    <row r="460" spans="58:64" ht="16.5" x14ac:dyDescent="0.2">
      <c r="BF460" s="52">
        <v>455</v>
      </c>
      <c r="BG460" s="14">
        <f t="shared" si="67"/>
        <v>0</v>
      </c>
      <c r="BH460" s="14">
        <f t="shared" si="68"/>
        <v>480</v>
      </c>
      <c r="BI460" s="14">
        <f t="shared" si="69"/>
        <v>0</v>
      </c>
      <c r="BJ460" s="14">
        <f t="shared" si="70"/>
        <v>1200</v>
      </c>
      <c r="BK460" s="14">
        <f t="shared" si="71"/>
        <v>480</v>
      </c>
      <c r="BL460" s="14">
        <f t="shared" si="72"/>
        <v>960</v>
      </c>
    </row>
    <row r="461" spans="58:64" ht="16.5" x14ac:dyDescent="0.2">
      <c r="BF461" s="52">
        <v>456</v>
      </c>
      <c r="BG461" s="14">
        <f t="shared" si="67"/>
        <v>0</v>
      </c>
      <c r="BH461" s="14">
        <f t="shared" si="68"/>
        <v>480</v>
      </c>
      <c r="BI461" s="14">
        <f t="shared" si="69"/>
        <v>0</v>
      </c>
      <c r="BJ461" s="14">
        <f t="shared" si="70"/>
        <v>1200</v>
      </c>
      <c r="BK461" s="14">
        <f t="shared" si="71"/>
        <v>480</v>
      </c>
      <c r="BL461" s="14">
        <f t="shared" si="72"/>
        <v>960</v>
      </c>
    </row>
    <row r="462" spans="58:64" ht="16.5" x14ac:dyDescent="0.2">
      <c r="BF462" s="52">
        <v>457</v>
      </c>
      <c r="BG462" s="14">
        <f t="shared" si="67"/>
        <v>0</v>
      </c>
      <c r="BH462" s="14">
        <f t="shared" si="68"/>
        <v>480</v>
      </c>
      <c r="BI462" s="14">
        <f t="shared" si="69"/>
        <v>0</v>
      </c>
      <c r="BJ462" s="14">
        <f t="shared" si="70"/>
        <v>1200</v>
      </c>
      <c r="BK462" s="14">
        <f t="shared" si="71"/>
        <v>480</v>
      </c>
      <c r="BL462" s="14">
        <f t="shared" si="72"/>
        <v>960</v>
      </c>
    </row>
    <row r="463" spans="58:64" ht="16.5" x14ac:dyDescent="0.2">
      <c r="BF463" s="52">
        <v>458</v>
      </c>
      <c r="BG463" s="14">
        <f t="shared" si="67"/>
        <v>0</v>
      </c>
      <c r="BH463" s="14">
        <f t="shared" si="68"/>
        <v>480</v>
      </c>
      <c r="BI463" s="14">
        <f t="shared" si="69"/>
        <v>0</v>
      </c>
      <c r="BJ463" s="14">
        <f t="shared" si="70"/>
        <v>1200</v>
      </c>
      <c r="BK463" s="14">
        <f t="shared" si="71"/>
        <v>480</v>
      </c>
      <c r="BL463" s="14">
        <f t="shared" si="72"/>
        <v>960</v>
      </c>
    </row>
    <row r="464" spans="58:64" ht="16.5" x14ac:dyDescent="0.2">
      <c r="BF464" s="52">
        <v>459</v>
      </c>
      <c r="BG464" s="14">
        <f t="shared" si="67"/>
        <v>0</v>
      </c>
      <c r="BH464" s="14">
        <f t="shared" si="68"/>
        <v>480</v>
      </c>
      <c r="BI464" s="14">
        <f t="shared" si="69"/>
        <v>0</v>
      </c>
      <c r="BJ464" s="14">
        <f t="shared" si="70"/>
        <v>1200</v>
      </c>
      <c r="BK464" s="14">
        <f t="shared" si="71"/>
        <v>480</v>
      </c>
      <c r="BL464" s="14">
        <f t="shared" si="72"/>
        <v>960</v>
      </c>
    </row>
    <row r="465" spans="58:64" ht="16.5" x14ac:dyDescent="0.2">
      <c r="BF465" s="52">
        <v>460</v>
      </c>
      <c r="BG465" s="14">
        <f t="shared" si="67"/>
        <v>0</v>
      </c>
      <c r="BH465" s="14">
        <f t="shared" si="68"/>
        <v>480</v>
      </c>
      <c r="BI465" s="14">
        <f t="shared" si="69"/>
        <v>0</v>
      </c>
      <c r="BJ465" s="14">
        <f t="shared" si="70"/>
        <v>1200</v>
      </c>
      <c r="BK465" s="14">
        <f t="shared" si="71"/>
        <v>480</v>
      </c>
      <c r="BL465" s="14">
        <f t="shared" si="72"/>
        <v>960</v>
      </c>
    </row>
    <row r="466" spans="58:64" ht="16.5" x14ac:dyDescent="0.2">
      <c r="BF466" s="52">
        <v>461</v>
      </c>
      <c r="BG466" s="14">
        <f t="shared" si="67"/>
        <v>0</v>
      </c>
      <c r="BH466" s="14">
        <f t="shared" si="68"/>
        <v>480</v>
      </c>
      <c r="BI466" s="14">
        <f t="shared" si="69"/>
        <v>0</v>
      </c>
      <c r="BJ466" s="14">
        <f t="shared" si="70"/>
        <v>1200</v>
      </c>
      <c r="BK466" s="14">
        <f t="shared" si="71"/>
        <v>480</v>
      </c>
      <c r="BL466" s="14">
        <f t="shared" si="72"/>
        <v>960</v>
      </c>
    </row>
    <row r="467" spans="58:64" ht="16.5" x14ac:dyDescent="0.2">
      <c r="BF467" s="52">
        <v>462</v>
      </c>
      <c r="BG467" s="14">
        <f t="shared" si="67"/>
        <v>0</v>
      </c>
      <c r="BH467" s="14">
        <f t="shared" si="68"/>
        <v>480</v>
      </c>
      <c r="BI467" s="14">
        <f t="shared" si="69"/>
        <v>0</v>
      </c>
      <c r="BJ467" s="14">
        <f t="shared" si="70"/>
        <v>1200</v>
      </c>
      <c r="BK467" s="14">
        <f t="shared" si="71"/>
        <v>480</v>
      </c>
      <c r="BL467" s="14">
        <f t="shared" si="72"/>
        <v>960</v>
      </c>
    </row>
    <row r="468" spans="58:64" ht="16.5" x14ac:dyDescent="0.2">
      <c r="BF468" s="52">
        <v>463</v>
      </c>
      <c r="BG468" s="14">
        <f t="shared" si="67"/>
        <v>0</v>
      </c>
      <c r="BH468" s="14">
        <f t="shared" si="68"/>
        <v>480</v>
      </c>
      <c r="BI468" s="14">
        <f t="shared" si="69"/>
        <v>0</v>
      </c>
      <c r="BJ468" s="14">
        <f t="shared" si="70"/>
        <v>1200</v>
      </c>
      <c r="BK468" s="14">
        <f t="shared" si="71"/>
        <v>480</v>
      </c>
      <c r="BL468" s="14">
        <f t="shared" si="72"/>
        <v>960</v>
      </c>
    </row>
    <row r="469" spans="58:64" ht="16.5" x14ac:dyDescent="0.2">
      <c r="BF469" s="52">
        <v>464</v>
      </c>
      <c r="BG469" s="14">
        <f t="shared" si="67"/>
        <v>0</v>
      </c>
      <c r="BH469" s="14">
        <f t="shared" si="68"/>
        <v>480</v>
      </c>
      <c r="BI469" s="14">
        <f t="shared" si="69"/>
        <v>0</v>
      </c>
      <c r="BJ469" s="14">
        <f t="shared" si="70"/>
        <v>1200</v>
      </c>
      <c r="BK469" s="14">
        <f t="shared" si="71"/>
        <v>480</v>
      </c>
      <c r="BL469" s="14">
        <f t="shared" si="72"/>
        <v>960</v>
      </c>
    </row>
    <row r="470" spans="58:64" ht="16.5" x14ac:dyDescent="0.2">
      <c r="BF470" s="52">
        <v>465</v>
      </c>
      <c r="BG470" s="14">
        <f t="shared" ref="BG470:BG505" si="73">SUMIFS($F$5:$F$104,$AT$6:$AT$105,"="&amp;BF470)+SUMIFS($Q$5:$Q$104,$AW$6:$AW$105,"="&amp;BF470)+SUMIFS($AB$5:$AB$104,$AZ$6:$AZ$105,"="&amp;BF470)+SUMIFS($AM$5:$AM$104,$BC$6:$BC$105,"="&amp;BF470)</f>
        <v>0</v>
      </c>
      <c r="BH470" s="14">
        <f t="shared" ref="BH470:BH505" si="74">INDEX($G$5:$G$104,MATCH(BF470,$AT$5:$AT$105,1)-1)+INDEX($R$5:$R$104,MATCH(BF470,$AW$5:$AW$105,1)-1)+INDEX($AC$5:$AC$104,MATCH(BF470,$AZ$5:$AZ$105,1)-1)+INDEX($AN$5:$AN$104,MATCH(BF470,$BC$5:$BC$105,1)-1)</f>
        <v>480</v>
      </c>
      <c r="BI470" s="14">
        <f t="shared" ref="BI470:BI505" si="75">SUMIFS($H$5:$H$104,$AT$6:$AT$105,"="&amp;BF470)+SUMIFS($S$5:$S$104,$AW$6:$AW$105,"="&amp;BF470)+SUMIFS($AD$5:$AD$104,$AZ$6:$AZ$105,"="&amp;BF470)+SUMIFS($AO$5:$AO$104,$BC$6:$BC$105,"="&amp;BF470)</f>
        <v>0</v>
      </c>
      <c r="BJ470" s="14">
        <f t="shared" ref="BJ470:BJ505" si="76">INDEX($I$5:$I$104,MATCH(BF470,$AT$5:$AT$105,1)-1)+INDEX($T$5:$T$104,MATCH(BF470,$AW$5:$AW$105,1)-1)+INDEX($AE$5:$AE$104,MATCH(BF470,$AZ$5:$AZ$105,1)-1)+INDEX($AP$5:$AP$104,MATCH(BF470,$BC$5:$BC$105,1)-1)</f>
        <v>1200</v>
      </c>
      <c r="BK470" s="14">
        <f t="shared" ref="BK470:BK505" si="77">BG470+BH469</f>
        <v>480</v>
      </c>
      <c r="BL470" s="14">
        <f t="shared" si="72"/>
        <v>960</v>
      </c>
    </row>
    <row r="471" spans="58:64" ht="16.5" x14ac:dyDescent="0.2">
      <c r="BF471" s="52">
        <v>466</v>
      </c>
      <c r="BG471" s="14">
        <f t="shared" si="73"/>
        <v>0</v>
      </c>
      <c r="BH471" s="14">
        <f t="shared" si="74"/>
        <v>480</v>
      </c>
      <c r="BI471" s="14">
        <f t="shared" si="75"/>
        <v>0</v>
      </c>
      <c r="BJ471" s="14">
        <f t="shared" si="76"/>
        <v>1200</v>
      </c>
      <c r="BK471" s="14">
        <f t="shared" si="77"/>
        <v>480</v>
      </c>
      <c r="BL471" s="14">
        <f t="shared" si="72"/>
        <v>960</v>
      </c>
    </row>
    <row r="472" spans="58:64" ht="16.5" x14ac:dyDescent="0.2">
      <c r="BF472" s="52">
        <v>467</v>
      </c>
      <c r="BG472" s="14">
        <f t="shared" si="73"/>
        <v>0</v>
      </c>
      <c r="BH472" s="14">
        <f t="shared" si="74"/>
        <v>480</v>
      </c>
      <c r="BI472" s="14">
        <f t="shared" si="75"/>
        <v>0</v>
      </c>
      <c r="BJ472" s="14">
        <f t="shared" si="76"/>
        <v>1200</v>
      </c>
      <c r="BK472" s="14">
        <f t="shared" si="77"/>
        <v>480</v>
      </c>
      <c r="BL472" s="14">
        <f t="shared" si="72"/>
        <v>960</v>
      </c>
    </row>
    <row r="473" spans="58:64" ht="16.5" x14ac:dyDescent="0.2">
      <c r="BF473" s="52">
        <v>468</v>
      </c>
      <c r="BG473" s="14">
        <f t="shared" si="73"/>
        <v>0</v>
      </c>
      <c r="BH473" s="14">
        <f t="shared" si="74"/>
        <v>480</v>
      </c>
      <c r="BI473" s="14">
        <f t="shared" si="75"/>
        <v>0</v>
      </c>
      <c r="BJ473" s="14">
        <f t="shared" si="76"/>
        <v>1200</v>
      </c>
      <c r="BK473" s="14">
        <f t="shared" si="77"/>
        <v>480</v>
      </c>
      <c r="BL473" s="14">
        <f t="shared" si="72"/>
        <v>960</v>
      </c>
    </row>
    <row r="474" spans="58:64" ht="16.5" x14ac:dyDescent="0.2">
      <c r="BF474" s="52">
        <v>469</v>
      </c>
      <c r="BG474" s="14">
        <f t="shared" si="73"/>
        <v>0</v>
      </c>
      <c r="BH474" s="14">
        <f t="shared" si="74"/>
        <v>480</v>
      </c>
      <c r="BI474" s="14">
        <f t="shared" si="75"/>
        <v>0</v>
      </c>
      <c r="BJ474" s="14">
        <f t="shared" si="76"/>
        <v>1200</v>
      </c>
      <c r="BK474" s="14">
        <f t="shared" si="77"/>
        <v>480</v>
      </c>
      <c r="BL474" s="14">
        <f t="shared" si="72"/>
        <v>960</v>
      </c>
    </row>
    <row r="475" spans="58:64" ht="16.5" x14ac:dyDescent="0.2">
      <c r="BF475" s="52">
        <v>470</v>
      </c>
      <c r="BG475" s="14">
        <f t="shared" si="73"/>
        <v>0</v>
      </c>
      <c r="BH475" s="14">
        <f t="shared" si="74"/>
        <v>480</v>
      </c>
      <c r="BI475" s="14">
        <f t="shared" si="75"/>
        <v>0</v>
      </c>
      <c r="BJ475" s="14">
        <f t="shared" si="76"/>
        <v>1200</v>
      </c>
      <c r="BK475" s="14">
        <f t="shared" si="77"/>
        <v>480</v>
      </c>
      <c r="BL475" s="14">
        <f t="shared" si="72"/>
        <v>960</v>
      </c>
    </row>
    <row r="476" spans="58:64" ht="16.5" x14ac:dyDescent="0.2">
      <c r="BF476" s="52">
        <v>471</v>
      </c>
      <c r="BG476" s="14">
        <f t="shared" si="73"/>
        <v>0</v>
      </c>
      <c r="BH476" s="14">
        <f t="shared" si="74"/>
        <v>480</v>
      </c>
      <c r="BI476" s="14">
        <f t="shared" si="75"/>
        <v>0</v>
      </c>
      <c r="BJ476" s="14">
        <f t="shared" si="76"/>
        <v>1200</v>
      </c>
      <c r="BK476" s="14">
        <f t="shared" si="77"/>
        <v>480</v>
      </c>
      <c r="BL476" s="14">
        <f t="shared" si="72"/>
        <v>960</v>
      </c>
    </row>
    <row r="477" spans="58:64" ht="16.5" x14ac:dyDescent="0.2">
      <c r="BF477" s="52">
        <v>472</v>
      </c>
      <c r="BG477" s="14">
        <f t="shared" si="73"/>
        <v>0</v>
      </c>
      <c r="BH477" s="14">
        <f t="shared" si="74"/>
        <v>480</v>
      </c>
      <c r="BI477" s="14">
        <f t="shared" si="75"/>
        <v>0</v>
      </c>
      <c r="BJ477" s="14">
        <f t="shared" si="76"/>
        <v>1200</v>
      </c>
      <c r="BK477" s="14">
        <f t="shared" si="77"/>
        <v>480</v>
      </c>
      <c r="BL477" s="14">
        <f t="shared" si="72"/>
        <v>960</v>
      </c>
    </row>
    <row r="478" spans="58:64" ht="16.5" x14ac:dyDescent="0.2">
      <c r="BF478" s="52">
        <v>473</v>
      </c>
      <c r="BG478" s="14">
        <f t="shared" si="73"/>
        <v>0</v>
      </c>
      <c r="BH478" s="14">
        <f t="shared" si="74"/>
        <v>480</v>
      </c>
      <c r="BI478" s="14">
        <f t="shared" si="75"/>
        <v>0</v>
      </c>
      <c r="BJ478" s="14">
        <f t="shared" si="76"/>
        <v>1200</v>
      </c>
      <c r="BK478" s="14">
        <f t="shared" si="77"/>
        <v>480</v>
      </c>
      <c r="BL478" s="14">
        <f t="shared" si="72"/>
        <v>960</v>
      </c>
    </row>
    <row r="479" spans="58:64" ht="16.5" x14ac:dyDescent="0.2">
      <c r="BF479" s="52">
        <v>474</v>
      </c>
      <c r="BG479" s="14">
        <f t="shared" si="73"/>
        <v>0</v>
      </c>
      <c r="BH479" s="14">
        <f t="shared" si="74"/>
        <v>480</v>
      </c>
      <c r="BI479" s="14">
        <f t="shared" si="75"/>
        <v>0</v>
      </c>
      <c r="BJ479" s="14">
        <f t="shared" si="76"/>
        <v>1200</v>
      </c>
      <c r="BK479" s="14">
        <f t="shared" si="77"/>
        <v>480</v>
      </c>
      <c r="BL479" s="14">
        <f t="shared" si="72"/>
        <v>960</v>
      </c>
    </row>
    <row r="480" spans="58:64" ht="16.5" x14ac:dyDescent="0.2">
      <c r="BF480" s="52">
        <v>475</v>
      </c>
      <c r="BG480" s="14">
        <f t="shared" si="73"/>
        <v>0</v>
      </c>
      <c r="BH480" s="14">
        <f t="shared" si="74"/>
        <v>480</v>
      </c>
      <c r="BI480" s="14">
        <f t="shared" si="75"/>
        <v>0</v>
      </c>
      <c r="BJ480" s="14">
        <f t="shared" si="76"/>
        <v>1200</v>
      </c>
      <c r="BK480" s="14">
        <f t="shared" si="77"/>
        <v>480</v>
      </c>
      <c r="BL480" s="14">
        <f t="shared" si="72"/>
        <v>960</v>
      </c>
    </row>
    <row r="481" spans="58:64" ht="16.5" x14ac:dyDescent="0.2">
      <c r="BF481" s="52">
        <v>476</v>
      </c>
      <c r="BG481" s="14">
        <f t="shared" si="73"/>
        <v>0</v>
      </c>
      <c r="BH481" s="14">
        <f t="shared" si="74"/>
        <v>480</v>
      </c>
      <c r="BI481" s="14">
        <f t="shared" si="75"/>
        <v>0</v>
      </c>
      <c r="BJ481" s="14">
        <f t="shared" si="76"/>
        <v>1200</v>
      </c>
      <c r="BK481" s="14">
        <f t="shared" si="77"/>
        <v>480</v>
      </c>
      <c r="BL481" s="14">
        <f t="shared" si="72"/>
        <v>960</v>
      </c>
    </row>
    <row r="482" spans="58:64" ht="16.5" x14ac:dyDescent="0.2">
      <c r="BF482" s="52">
        <v>477</v>
      </c>
      <c r="BG482" s="14">
        <f t="shared" si="73"/>
        <v>0</v>
      </c>
      <c r="BH482" s="14">
        <f t="shared" si="74"/>
        <v>480</v>
      </c>
      <c r="BI482" s="14">
        <f t="shared" si="75"/>
        <v>0</v>
      </c>
      <c r="BJ482" s="14">
        <f t="shared" si="76"/>
        <v>1200</v>
      </c>
      <c r="BK482" s="14">
        <f t="shared" si="77"/>
        <v>480</v>
      </c>
      <c r="BL482" s="14">
        <f t="shared" si="72"/>
        <v>960</v>
      </c>
    </row>
    <row r="483" spans="58:64" ht="16.5" x14ac:dyDescent="0.2">
      <c r="BF483" s="52">
        <v>478</v>
      </c>
      <c r="BG483" s="14">
        <f t="shared" si="73"/>
        <v>0</v>
      </c>
      <c r="BH483" s="14">
        <f t="shared" si="74"/>
        <v>480</v>
      </c>
      <c r="BI483" s="14">
        <f t="shared" si="75"/>
        <v>0</v>
      </c>
      <c r="BJ483" s="14">
        <f t="shared" si="76"/>
        <v>1200</v>
      </c>
      <c r="BK483" s="14">
        <f t="shared" si="77"/>
        <v>480</v>
      </c>
      <c r="BL483" s="14">
        <f t="shared" si="72"/>
        <v>960</v>
      </c>
    </row>
    <row r="484" spans="58:64" ht="16.5" x14ac:dyDescent="0.2">
      <c r="BF484" s="52">
        <v>479</v>
      </c>
      <c r="BG484" s="14">
        <f t="shared" si="73"/>
        <v>0</v>
      </c>
      <c r="BH484" s="14">
        <f t="shared" si="74"/>
        <v>480</v>
      </c>
      <c r="BI484" s="14">
        <f t="shared" si="75"/>
        <v>0</v>
      </c>
      <c r="BJ484" s="14">
        <f t="shared" si="76"/>
        <v>1200</v>
      </c>
      <c r="BK484" s="14">
        <f t="shared" si="77"/>
        <v>480</v>
      </c>
      <c r="BL484" s="14">
        <f t="shared" si="72"/>
        <v>960</v>
      </c>
    </row>
    <row r="485" spans="58:64" ht="16.5" x14ac:dyDescent="0.2">
      <c r="BF485" s="52">
        <v>480</v>
      </c>
      <c r="BG485" s="14">
        <f t="shared" si="73"/>
        <v>0</v>
      </c>
      <c r="BH485" s="14">
        <f t="shared" si="74"/>
        <v>480</v>
      </c>
      <c r="BI485" s="14">
        <f t="shared" si="75"/>
        <v>0</v>
      </c>
      <c r="BJ485" s="14">
        <f t="shared" si="76"/>
        <v>1200</v>
      </c>
      <c r="BK485" s="14">
        <f t="shared" si="77"/>
        <v>480</v>
      </c>
      <c r="BL485" s="14">
        <f t="shared" si="72"/>
        <v>960</v>
      </c>
    </row>
    <row r="486" spans="58:64" ht="16.5" x14ac:dyDescent="0.2">
      <c r="BF486" s="52">
        <v>481</v>
      </c>
      <c r="BG486" s="14">
        <f t="shared" si="73"/>
        <v>0</v>
      </c>
      <c r="BH486" s="14">
        <f t="shared" si="74"/>
        <v>480</v>
      </c>
      <c r="BI486" s="14">
        <f t="shared" si="75"/>
        <v>0</v>
      </c>
      <c r="BJ486" s="14">
        <f t="shared" si="76"/>
        <v>1200</v>
      </c>
      <c r="BK486" s="14">
        <f t="shared" si="77"/>
        <v>480</v>
      </c>
      <c r="BL486" s="14">
        <f t="shared" si="72"/>
        <v>960</v>
      </c>
    </row>
    <row r="487" spans="58:64" ht="16.5" x14ac:dyDescent="0.2">
      <c r="BF487" s="52">
        <v>482</v>
      </c>
      <c r="BG487" s="14">
        <f t="shared" si="73"/>
        <v>0</v>
      </c>
      <c r="BH487" s="14">
        <f t="shared" si="74"/>
        <v>480</v>
      </c>
      <c r="BI487" s="14">
        <f t="shared" si="75"/>
        <v>0</v>
      </c>
      <c r="BJ487" s="14">
        <f t="shared" si="76"/>
        <v>1200</v>
      </c>
      <c r="BK487" s="14">
        <f t="shared" si="77"/>
        <v>480</v>
      </c>
      <c r="BL487" s="14">
        <f t="shared" si="72"/>
        <v>960</v>
      </c>
    </row>
    <row r="488" spans="58:64" ht="16.5" x14ac:dyDescent="0.2">
      <c r="BF488" s="52">
        <v>483</v>
      </c>
      <c r="BG488" s="14">
        <f t="shared" si="73"/>
        <v>0</v>
      </c>
      <c r="BH488" s="14">
        <f t="shared" si="74"/>
        <v>480</v>
      </c>
      <c r="BI488" s="14">
        <f t="shared" si="75"/>
        <v>0</v>
      </c>
      <c r="BJ488" s="14">
        <f t="shared" si="76"/>
        <v>1200</v>
      </c>
      <c r="BK488" s="14">
        <f t="shared" si="77"/>
        <v>480</v>
      </c>
      <c r="BL488" s="14">
        <f t="shared" si="72"/>
        <v>960</v>
      </c>
    </row>
    <row r="489" spans="58:64" ht="16.5" x14ac:dyDescent="0.2">
      <c r="BF489" s="52">
        <v>484</v>
      </c>
      <c r="BG489" s="14">
        <f t="shared" si="73"/>
        <v>0</v>
      </c>
      <c r="BH489" s="14">
        <f t="shared" si="74"/>
        <v>480</v>
      </c>
      <c r="BI489" s="14">
        <f t="shared" si="75"/>
        <v>0</v>
      </c>
      <c r="BJ489" s="14">
        <f t="shared" si="76"/>
        <v>1200</v>
      </c>
      <c r="BK489" s="14">
        <f t="shared" si="77"/>
        <v>480</v>
      </c>
      <c r="BL489" s="14">
        <f t="shared" si="72"/>
        <v>960</v>
      </c>
    </row>
    <row r="490" spans="58:64" ht="16.5" x14ac:dyDescent="0.2">
      <c r="BF490" s="52">
        <v>485</v>
      </c>
      <c r="BG490" s="14">
        <f t="shared" si="73"/>
        <v>0</v>
      </c>
      <c r="BH490" s="14">
        <f t="shared" si="74"/>
        <v>480</v>
      </c>
      <c r="BI490" s="14">
        <f t="shared" si="75"/>
        <v>0</v>
      </c>
      <c r="BJ490" s="14">
        <f t="shared" si="76"/>
        <v>1200</v>
      </c>
      <c r="BK490" s="14">
        <f t="shared" si="77"/>
        <v>480</v>
      </c>
      <c r="BL490" s="14">
        <f t="shared" si="72"/>
        <v>960</v>
      </c>
    </row>
    <row r="491" spans="58:64" ht="16.5" x14ac:dyDescent="0.2">
      <c r="BF491" s="52">
        <v>486</v>
      </c>
      <c r="BG491" s="14">
        <f t="shared" si="73"/>
        <v>0</v>
      </c>
      <c r="BH491" s="14">
        <f t="shared" si="74"/>
        <v>480</v>
      </c>
      <c r="BI491" s="14">
        <f t="shared" si="75"/>
        <v>0</v>
      </c>
      <c r="BJ491" s="14">
        <f t="shared" si="76"/>
        <v>1200</v>
      </c>
      <c r="BK491" s="14">
        <f t="shared" si="77"/>
        <v>480</v>
      </c>
      <c r="BL491" s="14">
        <f t="shared" si="72"/>
        <v>960</v>
      </c>
    </row>
    <row r="492" spans="58:64" ht="16.5" x14ac:dyDescent="0.2">
      <c r="BF492" s="52">
        <v>487</v>
      </c>
      <c r="BG492" s="14">
        <f t="shared" si="73"/>
        <v>0</v>
      </c>
      <c r="BH492" s="14">
        <f t="shared" si="74"/>
        <v>480</v>
      </c>
      <c r="BI492" s="14">
        <f t="shared" si="75"/>
        <v>0</v>
      </c>
      <c r="BJ492" s="14">
        <f t="shared" si="76"/>
        <v>1200</v>
      </c>
      <c r="BK492" s="14">
        <f t="shared" si="77"/>
        <v>480</v>
      </c>
      <c r="BL492" s="14">
        <f t="shared" si="72"/>
        <v>960</v>
      </c>
    </row>
    <row r="493" spans="58:64" ht="16.5" x14ac:dyDescent="0.2">
      <c r="BF493" s="52">
        <v>488</v>
      </c>
      <c r="BG493" s="14">
        <f t="shared" si="73"/>
        <v>0</v>
      </c>
      <c r="BH493" s="14">
        <f t="shared" si="74"/>
        <v>480</v>
      </c>
      <c r="BI493" s="14">
        <f t="shared" si="75"/>
        <v>0</v>
      </c>
      <c r="BJ493" s="14">
        <f t="shared" si="76"/>
        <v>1200</v>
      </c>
      <c r="BK493" s="14">
        <f t="shared" si="77"/>
        <v>480</v>
      </c>
      <c r="BL493" s="14">
        <f t="shared" si="72"/>
        <v>960</v>
      </c>
    </row>
    <row r="494" spans="58:64" ht="16.5" x14ac:dyDescent="0.2">
      <c r="BF494" s="52">
        <v>489</v>
      </c>
      <c r="BG494" s="14">
        <f t="shared" si="73"/>
        <v>0</v>
      </c>
      <c r="BH494" s="14">
        <f t="shared" si="74"/>
        <v>480</v>
      </c>
      <c r="BI494" s="14">
        <f t="shared" si="75"/>
        <v>0</v>
      </c>
      <c r="BJ494" s="14">
        <f t="shared" si="76"/>
        <v>1200</v>
      </c>
      <c r="BK494" s="14">
        <f t="shared" si="77"/>
        <v>480</v>
      </c>
      <c r="BL494" s="14">
        <f t="shared" si="72"/>
        <v>960</v>
      </c>
    </row>
    <row r="495" spans="58:64" ht="16.5" x14ac:dyDescent="0.2">
      <c r="BF495" s="52">
        <v>490</v>
      </c>
      <c r="BG495" s="14">
        <f t="shared" si="73"/>
        <v>0</v>
      </c>
      <c r="BH495" s="14">
        <f t="shared" si="74"/>
        <v>480</v>
      </c>
      <c r="BI495" s="14">
        <f t="shared" si="75"/>
        <v>0</v>
      </c>
      <c r="BJ495" s="14">
        <f t="shared" si="76"/>
        <v>1200</v>
      </c>
      <c r="BK495" s="14">
        <f t="shared" si="77"/>
        <v>480</v>
      </c>
      <c r="BL495" s="14">
        <f t="shared" si="72"/>
        <v>960</v>
      </c>
    </row>
    <row r="496" spans="58:64" ht="16.5" x14ac:dyDescent="0.2">
      <c r="BF496" s="52">
        <v>491</v>
      </c>
      <c r="BG496" s="14">
        <f t="shared" si="73"/>
        <v>0</v>
      </c>
      <c r="BH496" s="14">
        <f t="shared" si="74"/>
        <v>480</v>
      </c>
      <c r="BI496" s="14">
        <f t="shared" si="75"/>
        <v>0</v>
      </c>
      <c r="BJ496" s="14">
        <f t="shared" si="76"/>
        <v>1200</v>
      </c>
      <c r="BK496" s="14">
        <f t="shared" si="77"/>
        <v>480</v>
      </c>
      <c r="BL496" s="14">
        <f t="shared" si="72"/>
        <v>960</v>
      </c>
    </row>
    <row r="497" spans="58:64" ht="16.5" x14ac:dyDescent="0.2">
      <c r="BF497" s="52">
        <v>492</v>
      </c>
      <c r="BG497" s="14">
        <f t="shared" si="73"/>
        <v>0</v>
      </c>
      <c r="BH497" s="14">
        <f t="shared" si="74"/>
        <v>480</v>
      </c>
      <c r="BI497" s="14">
        <f t="shared" si="75"/>
        <v>0</v>
      </c>
      <c r="BJ497" s="14">
        <f t="shared" si="76"/>
        <v>1200</v>
      </c>
      <c r="BK497" s="14">
        <f t="shared" si="77"/>
        <v>480</v>
      </c>
      <c r="BL497" s="14">
        <f t="shared" si="72"/>
        <v>960</v>
      </c>
    </row>
    <row r="498" spans="58:64" ht="16.5" x14ac:dyDescent="0.2">
      <c r="BF498" s="52">
        <v>493</v>
      </c>
      <c r="BG498" s="14">
        <f t="shared" si="73"/>
        <v>0</v>
      </c>
      <c r="BH498" s="14">
        <f t="shared" si="74"/>
        <v>480</v>
      </c>
      <c r="BI498" s="14">
        <f t="shared" si="75"/>
        <v>0</v>
      </c>
      <c r="BJ498" s="14">
        <f t="shared" si="76"/>
        <v>1200</v>
      </c>
      <c r="BK498" s="14">
        <f t="shared" si="77"/>
        <v>480</v>
      </c>
      <c r="BL498" s="14">
        <f t="shared" si="72"/>
        <v>960</v>
      </c>
    </row>
    <row r="499" spans="58:64" ht="16.5" x14ac:dyDescent="0.2">
      <c r="BF499" s="52">
        <v>494</v>
      </c>
      <c r="BG499" s="14">
        <f t="shared" si="73"/>
        <v>0</v>
      </c>
      <c r="BH499" s="14">
        <f t="shared" si="74"/>
        <v>480</v>
      </c>
      <c r="BI499" s="14">
        <f t="shared" si="75"/>
        <v>0</v>
      </c>
      <c r="BJ499" s="14">
        <f t="shared" si="76"/>
        <v>1200</v>
      </c>
      <c r="BK499" s="14">
        <f t="shared" si="77"/>
        <v>480</v>
      </c>
      <c r="BL499" s="14">
        <f t="shared" si="72"/>
        <v>960</v>
      </c>
    </row>
    <row r="500" spans="58:64" ht="16.5" x14ac:dyDescent="0.2">
      <c r="BF500" s="52">
        <v>495</v>
      </c>
      <c r="BG500" s="14">
        <f t="shared" si="73"/>
        <v>0</v>
      </c>
      <c r="BH500" s="14">
        <f t="shared" si="74"/>
        <v>480</v>
      </c>
      <c r="BI500" s="14">
        <f t="shared" si="75"/>
        <v>0</v>
      </c>
      <c r="BJ500" s="14">
        <f t="shared" si="76"/>
        <v>1200</v>
      </c>
      <c r="BK500" s="14">
        <f t="shared" si="77"/>
        <v>480</v>
      </c>
      <c r="BL500" s="14">
        <f t="shared" si="72"/>
        <v>960</v>
      </c>
    </row>
    <row r="501" spans="58:64" ht="16.5" x14ac:dyDescent="0.2">
      <c r="BF501" s="52">
        <v>496</v>
      </c>
      <c r="BG501" s="14">
        <f t="shared" si="73"/>
        <v>0</v>
      </c>
      <c r="BH501" s="14">
        <f t="shared" si="74"/>
        <v>480</v>
      </c>
      <c r="BI501" s="14">
        <f t="shared" si="75"/>
        <v>0</v>
      </c>
      <c r="BJ501" s="14">
        <f t="shared" si="76"/>
        <v>1200</v>
      </c>
      <c r="BK501" s="14">
        <f t="shared" si="77"/>
        <v>480</v>
      </c>
      <c r="BL501" s="14">
        <f t="shared" si="72"/>
        <v>960</v>
      </c>
    </row>
    <row r="502" spans="58:64" ht="16.5" x14ac:dyDescent="0.2">
      <c r="BF502" s="52">
        <v>497</v>
      </c>
      <c r="BG502" s="14">
        <f t="shared" si="73"/>
        <v>0</v>
      </c>
      <c r="BH502" s="14">
        <f t="shared" si="74"/>
        <v>480</v>
      </c>
      <c r="BI502" s="14">
        <f t="shared" si="75"/>
        <v>0</v>
      </c>
      <c r="BJ502" s="14">
        <f t="shared" si="76"/>
        <v>1200</v>
      </c>
      <c r="BK502" s="14">
        <f t="shared" si="77"/>
        <v>480</v>
      </c>
      <c r="BL502" s="14">
        <f t="shared" si="72"/>
        <v>960</v>
      </c>
    </row>
    <row r="503" spans="58:64" ht="16.5" x14ac:dyDescent="0.2">
      <c r="BF503" s="52">
        <v>498</v>
      </c>
      <c r="BG503" s="14">
        <f t="shared" si="73"/>
        <v>0</v>
      </c>
      <c r="BH503" s="14">
        <f t="shared" si="74"/>
        <v>480</v>
      </c>
      <c r="BI503" s="14">
        <f t="shared" si="75"/>
        <v>0</v>
      </c>
      <c r="BJ503" s="14">
        <f t="shared" si="76"/>
        <v>1200</v>
      </c>
      <c r="BK503" s="14">
        <f t="shared" si="77"/>
        <v>480</v>
      </c>
      <c r="BL503" s="14">
        <f t="shared" si="72"/>
        <v>960</v>
      </c>
    </row>
    <row r="504" spans="58:64" ht="16.5" x14ac:dyDescent="0.2">
      <c r="BF504" s="52">
        <v>499</v>
      </c>
      <c r="BG504" s="14">
        <f t="shared" si="73"/>
        <v>0</v>
      </c>
      <c r="BH504" s="14">
        <f t="shared" si="74"/>
        <v>480</v>
      </c>
      <c r="BI504" s="14">
        <f t="shared" si="75"/>
        <v>0</v>
      </c>
      <c r="BJ504" s="14">
        <f t="shared" si="76"/>
        <v>1200</v>
      </c>
      <c r="BK504" s="14">
        <f t="shared" si="77"/>
        <v>480</v>
      </c>
      <c r="BL504" s="14">
        <f t="shared" si="72"/>
        <v>960</v>
      </c>
    </row>
    <row r="505" spans="58:64" ht="16.5" x14ac:dyDescent="0.2">
      <c r="BF505" s="52">
        <v>500</v>
      </c>
      <c r="BG505" s="14">
        <f t="shared" si="73"/>
        <v>0</v>
      </c>
      <c r="BH505" s="14">
        <f t="shared" si="74"/>
        <v>480</v>
      </c>
      <c r="BI505" s="14">
        <f t="shared" si="75"/>
        <v>0</v>
      </c>
      <c r="BJ505" s="14">
        <f t="shared" si="76"/>
        <v>1200</v>
      </c>
      <c r="BK505" s="14">
        <f t="shared" si="77"/>
        <v>480</v>
      </c>
      <c r="BL505" s="14">
        <f t="shared" si="72"/>
        <v>960</v>
      </c>
    </row>
  </sheetData>
  <mergeCells count="9">
    <mergeCell ref="A3:I3"/>
    <mergeCell ref="L3:T3"/>
    <mergeCell ref="W3:AE3"/>
    <mergeCell ref="AH3:AP3"/>
    <mergeCell ref="BQ3:BR3"/>
    <mergeCell ref="AS3:AT3"/>
    <mergeCell ref="AV3:AW3"/>
    <mergeCell ref="AY3:AZ3"/>
    <mergeCell ref="BB3:BC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3"/>
  <sheetViews>
    <sheetView topLeftCell="G1" workbookViewId="0">
      <selection activeCell="Y30" sqref="Y30"/>
    </sheetView>
  </sheetViews>
  <sheetFormatPr defaultRowHeight="14.25" x14ac:dyDescent="0.2"/>
  <cols>
    <col min="1" max="1" width="9.625" customWidth="1"/>
    <col min="2" max="2" width="9" customWidth="1"/>
    <col min="3" max="3" width="9.125" customWidth="1"/>
    <col min="4" max="4" width="11" customWidth="1"/>
    <col min="5" max="5" width="12" customWidth="1"/>
    <col min="6" max="10" width="10.625" customWidth="1"/>
    <col min="11" max="11" width="11.875" customWidth="1"/>
    <col min="12" max="13" width="11.75" customWidth="1"/>
    <col min="14" max="14" width="11.875" customWidth="1"/>
    <col min="15" max="15" width="12.25" customWidth="1"/>
    <col min="16" max="17" width="14" customWidth="1"/>
    <col min="18" max="23" width="10.625" customWidth="1"/>
    <col min="24" max="24" width="9" customWidth="1"/>
    <col min="25" max="25" width="9.375" customWidth="1"/>
    <col min="26" max="26" width="14.75" customWidth="1"/>
    <col min="27" max="29" width="10.625" customWidth="1"/>
    <col min="30" max="30" width="10.625" style="142" customWidth="1"/>
    <col min="31" max="31" width="10.875" customWidth="1"/>
    <col min="32" max="32" width="11" customWidth="1"/>
    <col min="33" max="34" width="10.625" customWidth="1"/>
    <col min="35" max="35" width="11.25" customWidth="1"/>
    <col min="36" max="36" width="12.125" customWidth="1"/>
    <col min="37" max="37" width="11.125" customWidth="1"/>
    <col min="39" max="39" width="12.125" style="138" customWidth="1"/>
    <col min="41" max="41" width="9" style="142"/>
    <col min="43" max="43" width="11.5" customWidth="1"/>
    <col min="44" max="44" width="10.625" customWidth="1"/>
    <col min="46" max="48" width="10.625" customWidth="1"/>
  </cols>
  <sheetData>
    <row r="1" spans="1:48" x14ac:dyDescent="0.2">
      <c r="P1">
        <v>5</v>
      </c>
    </row>
    <row r="2" spans="1:48" ht="20.25" x14ac:dyDescent="0.2">
      <c r="A2" s="186" t="s">
        <v>131</v>
      </c>
      <c r="B2" s="186"/>
      <c r="C2" s="186"/>
      <c r="D2" s="186"/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6"/>
      <c r="T2" s="35">
        <v>0.1</v>
      </c>
    </row>
    <row r="3" spans="1:48" ht="17.25" x14ac:dyDescent="0.2">
      <c r="A3" s="12" t="s">
        <v>123</v>
      </c>
      <c r="B3" s="12" t="s">
        <v>1098</v>
      </c>
      <c r="C3" s="12" t="s">
        <v>130</v>
      </c>
      <c r="D3" s="12" t="s">
        <v>133</v>
      </c>
      <c r="E3" s="12" t="s">
        <v>124</v>
      </c>
      <c r="F3" s="12" t="s">
        <v>125</v>
      </c>
      <c r="G3" s="12" t="s">
        <v>218</v>
      </c>
      <c r="H3" s="12" t="s">
        <v>129</v>
      </c>
      <c r="I3" s="12" t="s">
        <v>219</v>
      </c>
      <c r="J3" s="12" t="s">
        <v>135</v>
      </c>
      <c r="K3" s="12" t="s">
        <v>126</v>
      </c>
      <c r="L3" s="12" t="s">
        <v>127</v>
      </c>
      <c r="M3" s="12" t="s">
        <v>128</v>
      </c>
      <c r="N3" s="12" t="s">
        <v>132</v>
      </c>
      <c r="O3" s="12" t="s">
        <v>138</v>
      </c>
      <c r="P3" s="12" t="s">
        <v>419</v>
      </c>
      <c r="Q3" s="12" t="s">
        <v>136</v>
      </c>
      <c r="S3" s="12" t="s">
        <v>228</v>
      </c>
      <c r="T3" s="12" t="s">
        <v>420</v>
      </c>
      <c r="V3" s="12" t="s">
        <v>1099</v>
      </c>
      <c r="W3" s="12" t="s">
        <v>1100</v>
      </c>
      <c r="X3" s="12" t="s">
        <v>1101</v>
      </c>
      <c r="Y3" s="12" t="s">
        <v>1102</v>
      </c>
      <c r="Z3" s="12" t="s">
        <v>1103</v>
      </c>
      <c r="AB3" s="12" t="s">
        <v>1104</v>
      </c>
      <c r="AC3" s="12" t="s">
        <v>1137</v>
      </c>
      <c r="AD3" s="12" t="s">
        <v>1136</v>
      </c>
      <c r="AE3" s="12" t="s">
        <v>1106</v>
      </c>
      <c r="AF3" s="12" t="s">
        <v>1107</v>
      </c>
      <c r="AG3" s="12" t="s">
        <v>1108</v>
      </c>
      <c r="AH3" s="12" t="s">
        <v>1109</v>
      </c>
      <c r="AI3" s="12" t="s">
        <v>1110</v>
      </c>
      <c r="AJ3" s="12" t="s">
        <v>1111</v>
      </c>
      <c r="AK3" s="12" t="s">
        <v>1112</v>
      </c>
      <c r="AM3" s="12" t="s">
        <v>1113</v>
      </c>
      <c r="AN3" s="12" t="s">
        <v>1105</v>
      </c>
      <c r="AO3" s="12" t="s">
        <v>1148</v>
      </c>
      <c r="AP3" s="12" t="s">
        <v>1106</v>
      </c>
      <c r="AQ3" s="12" t="s">
        <v>1107</v>
      </c>
      <c r="AR3" s="12" t="s">
        <v>1108</v>
      </c>
      <c r="AS3" s="12" t="s">
        <v>1109</v>
      </c>
      <c r="AT3" s="12" t="s">
        <v>1110</v>
      </c>
      <c r="AU3" s="12" t="s">
        <v>1111</v>
      </c>
      <c r="AV3" s="12" t="s">
        <v>1112</v>
      </c>
    </row>
    <row r="4" spans="1:48" ht="16.5" x14ac:dyDescent="0.2">
      <c r="A4" s="24">
        <v>1</v>
      </c>
      <c r="B4" s="14">
        <f>节奏总表!L5</f>
        <v>1</v>
      </c>
      <c r="C4" s="14">
        <f>节奏总表!AC5</f>
        <v>0</v>
      </c>
      <c r="D4" s="14">
        <f>节奏总表!N5*60</f>
        <v>0</v>
      </c>
      <c r="E4" s="14">
        <f>INDEX(章节关卡!$H$6:$H$35,金币总表!A4)*D4</f>
        <v>0</v>
      </c>
      <c r="F4" s="14">
        <f>SUMIFS(章节关卡!$BB$5:$BB$304,章节关卡!$AY$5:$AY$304,"="&amp;金币总表!A4)</f>
        <v>3000</v>
      </c>
      <c r="G4" s="14">
        <f>章节关卡!Y6</f>
        <v>1500</v>
      </c>
      <c r="H4" s="24">
        <v>0</v>
      </c>
      <c r="I4" s="34">
        <v>0</v>
      </c>
      <c r="J4" s="14">
        <f>SUMIFS(芦花古楼!$H$5:$H$104,芦花古楼!$B$5:$B$104,"="&amp;金币总表!A4)</f>
        <v>0</v>
      </c>
      <c r="K4" s="14">
        <f>SUMIFS(芦花古楼!$S$5:$S$104,芦花古楼!$M$5:$M$104,"="&amp;金币总表!A4)</f>
        <v>0</v>
      </c>
      <c r="L4" s="14">
        <f>SUMIFS(芦花古楼!$AD$5:$AD$104,芦花古楼!$AI$5:$AI$104,"="&amp;金币总表!A4)</f>
        <v>0</v>
      </c>
      <c r="M4" s="14">
        <f>SUMIFS(芦花古楼!$AO$5:$AO$104,芦花古楼!$AI$5:$AI$104,"="&amp;金币总表!A4)</f>
        <v>0</v>
      </c>
      <c r="N4" s="14">
        <f>INDEX('恶灵入侵-专属解封'!$AF$6:$AF$22,MATCH(金币总表!B4,'恶灵入侵-专属解封'!$U$6:$U$22,1))</f>
        <v>0</v>
      </c>
      <c r="O4" s="14"/>
      <c r="P4" s="14">
        <f>INDEX(日常副本!$F$6:$F$18,MATCH(金币总表!B4,日常副本!$B$6:$B$18,1))*C4*P$1</f>
        <v>0</v>
      </c>
      <c r="Q4" s="14">
        <f t="shared" ref="Q4:Q33" si="0">SUM(E4:P4)</f>
        <v>4500</v>
      </c>
      <c r="S4" s="14" t="e">
        <f>ROUND(Q4/C4/价值概述!$B$3,0)</f>
        <v>#DIV/0!</v>
      </c>
      <c r="T4" s="136" t="e">
        <f>INT(S4*价值概述!$B$3*$T$2/50/5)*5</f>
        <v>#DIV/0!</v>
      </c>
      <c r="V4" s="136">
        <v>0</v>
      </c>
      <c r="W4" s="136">
        <v>0</v>
      </c>
      <c r="X4" s="136">
        <v>0</v>
      </c>
      <c r="Y4" s="136">
        <v>0</v>
      </c>
      <c r="Z4" s="136">
        <v>0</v>
      </c>
      <c r="AB4" s="21"/>
      <c r="AC4" s="21"/>
      <c r="AD4" s="21"/>
      <c r="AE4" s="21"/>
      <c r="AF4" s="21"/>
      <c r="AG4" s="21"/>
      <c r="AH4" s="21"/>
      <c r="AI4" s="21"/>
      <c r="AJ4" s="21"/>
      <c r="AK4" s="21"/>
      <c r="AM4" s="136"/>
      <c r="AN4" s="136"/>
      <c r="AO4" s="139"/>
      <c r="AP4" s="136"/>
      <c r="AQ4" s="136"/>
      <c r="AR4" s="136"/>
      <c r="AS4" s="136"/>
      <c r="AT4" s="136"/>
      <c r="AU4" s="136"/>
      <c r="AV4" s="136"/>
    </row>
    <row r="5" spans="1:48" ht="16.5" x14ac:dyDescent="0.2">
      <c r="A5" s="24">
        <v>2</v>
      </c>
      <c r="B5" s="14">
        <f>节奏总表!L6</f>
        <v>7</v>
      </c>
      <c r="C5" s="14">
        <f>节奏总表!AC6</f>
        <v>0.08</v>
      </c>
      <c r="D5" s="14">
        <f>节奏总表!N6*60</f>
        <v>240</v>
      </c>
      <c r="E5" s="14">
        <f>INDEX(章节关卡!$H$6:$H$35,金币总表!A5)*D5</f>
        <v>3600</v>
      </c>
      <c r="F5" s="14">
        <f>SUMIFS(章节关卡!$BB$5:$BB$304,章节关卡!$AY$5:$AY$304,"="&amp;金币总表!A5)</f>
        <v>4500</v>
      </c>
      <c r="G5" s="14">
        <f>章节关卡!Y7</f>
        <v>2700</v>
      </c>
      <c r="H5" s="14">
        <f>SUMIFS(章节关卡!$BJ$5:$BJ$304,章节关卡!$BG$5:$BG$304,"="&amp;金币总表!A4)</f>
        <v>9000</v>
      </c>
      <c r="I5" s="14">
        <f>章节关卡!AM6</f>
        <v>3000</v>
      </c>
      <c r="J5" s="14">
        <f>SUMIFS(芦花古楼!$H$5:$H$104,芦花古楼!$B$5:$B$104,"="&amp;金币总表!A5)</f>
        <v>0</v>
      </c>
      <c r="K5" s="14">
        <f>SUMIFS(芦花古楼!$S$5:$S$104,芦花古楼!$M$5:$M$104,"="&amp;金币总表!A5)</f>
        <v>0</v>
      </c>
      <c r="L5" s="14">
        <f>SUMIFS(芦花古楼!$AD$5:$AD$104,芦花古楼!$AI$5:$AI$104,"="&amp;金币总表!A5)</f>
        <v>0</v>
      </c>
      <c r="M5" s="14">
        <f>SUMIFS(芦花古楼!$AO$5:$AO$104,芦花古楼!$AI$5:$AI$104,"="&amp;金币总表!A5)</f>
        <v>0</v>
      </c>
      <c r="N5" s="14">
        <f>INDEX('恶灵入侵-专属解封'!$AF$6:$AF$22,MATCH(金币总表!B5,'恶灵入侵-专属解封'!$U$6:$U$22,1))</f>
        <v>0</v>
      </c>
      <c r="O5" s="14"/>
      <c r="P5" s="14">
        <f>INDEX(日常副本!$F$6:$F$18,MATCH(金币总表!B5,日常副本!$B$6:$B$18,1))*C5*P$1</f>
        <v>0</v>
      </c>
      <c r="Q5" s="14">
        <f t="shared" si="0"/>
        <v>22800</v>
      </c>
      <c r="R5" s="134"/>
      <c r="S5" s="14">
        <f>ROUND(Q5/C5/价值概述!$B$3,0)</f>
        <v>285</v>
      </c>
      <c r="T5" s="136">
        <f>INT(S5*价值概述!$B$3*$T$2/50/5)*5</f>
        <v>570</v>
      </c>
      <c r="V5" s="136">
        <v>1</v>
      </c>
      <c r="W5" s="136" t="s">
        <v>537</v>
      </c>
      <c r="X5" s="136">
        <v>0</v>
      </c>
      <c r="Y5" s="136">
        <v>10</v>
      </c>
      <c r="Z5" s="136">
        <f>SUMIFS($Q$4:$Q$33,$B$4:$B$33,"&lt;="&amp;Y5,$B$4:$B$33,"&gt;"&amp;X5)</f>
        <v>27300</v>
      </c>
      <c r="AB5" s="21">
        <f>SUM(AC5:AK5)</f>
        <v>1</v>
      </c>
      <c r="AC5" s="21">
        <v>0.3</v>
      </c>
      <c r="AD5" s="21">
        <v>0.2</v>
      </c>
      <c r="AE5" s="21">
        <v>0.5</v>
      </c>
      <c r="AF5" s="21"/>
      <c r="AG5" s="21"/>
      <c r="AH5" s="21"/>
      <c r="AI5" s="21"/>
      <c r="AJ5" s="21"/>
      <c r="AK5" s="21">
        <v>0</v>
      </c>
      <c r="AM5" s="136">
        <f>$Z5*AB5</f>
        <v>27300</v>
      </c>
      <c r="AN5" s="136">
        <f>$Z5*AC5</f>
        <v>8190</v>
      </c>
      <c r="AO5" s="139">
        <f>$Z5*AD5</f>
        <v>5460</v>
      </c>
      <c r="AP5" s="136">
        <f t="shared" ref="AP5:AV5" si="1">$Z5*AE5</f>
        <v>13650</v>
      </c>
      <c r="AQ5" s="136">
        <f t="shared" si="1"/>
        <v>0</v>
      </c>
      <c r="AR5" s="136">
        <f t="shared" si="1"/>
        <v>0</v>
      </c>
      <c r="AS5" s="136">
        <f t="shared" si="1"/>
        <v>0</v>
      </c>
      <c r="AT5" s="136">
        <f t="shared" si="1"/>
        <v>0</v>
      </c>
      <c r="AU5" s="136">
        <f t="shared" si="1"/>
        <v>0</v>
      </c>
      <c r="AV5" s="136">
        <f t="shared" si="1"/>
        <v>0</v>
      </c>
    </row>
    <row r="6" spans="1:48" ht="16.5" x14ac:dyDescent="0.2">
      <c r="A6" s="24">
        <v>3</v>
      </c>
      <c r="B6" s="14">
        <f>节奏总表!L7</f>
        <v>15</v>
      </c>
      <c r="C6" s="14">
        <f>节奏总表!AC7</f>
        <v>0.42</v>
      </c>
      <c r="D6" s="14">
        <f>节奏总表!N7*60</f>
        <v>1200</v>
      </c>
      <c r="E6" s="14">
        <f>INDEX(章节关卡!$H$6:$H$35,金币总表!A6)*D6</f>
        <v>24000</v>
      </c>
      <c r="F6" s="14">
        <f>SUMIFS(章节关卡!$BB$5:$BB$304,章节关卡!$AY$5:$AY$304,"="&amp;金币总表!A6)</f>
        <v>6000</v>
      </c>
      <c r="G6" s="14">
        <f>章节关卡!Y8</f>
        <v>4200</v>
      </c>
      <c r="H6" s="14">
        <f>SUMIFS(章节关卡!$BJ$5:$BJ$304,章节关卡!$BG$5:$BG$304,"="&amp;金币总表!A5)</f>
        <v>9000</v>
      </c>
      <c r="I6" s="14">
        <f>章节关卡!AM7</f>
        <v>5400</v>
      </c>
      <c r="J6" s="14">
        <f>SUMIFS(芦花古楼!$H$5:$H$104,芦花古楼!$B$5:$B$104,"="&amp;金币总表!A6)</f>
        <v>0</v>
      </c>
      <c r="K6" s="14">
        <f>SUMIFS(芦花古楼!$S$5:$S$104,芦花古楼!$M$5:$M$104,"="&amp;金币总表!A6)</f>
        <v>0</v>
      </c>
      <c r="L6" s="14">
        <f>SUMIFS(芦花古楼!$AD$5:$AD$104,芦花古楼!$AI$5:$AI$104,"="&amp;金币总表!A6)</f>
        <v>0</v>
      </c>
      <c r="M6" s="14">
        <f>SUMIFS(芦花古楼!$AO$5:$AO$104,芦花古楼!$AI$5:$AI$104,"="&amp;金币总表!A6)</f>
        <v>0</v>
      </c>
      <c r="N6" s="14">
        <f>INDEX('恶灵入侵-专属解封'!$AF$6:$AF$22,MATCH(金币总表!B6,'恶灵入侵-专属解封'!$U$6:$U$22,1))</f>
        <v>0</v>
      </c>
      <c r="O6" s="14"/>
      <c r="P6" s="14">
        <f>INDEX(日常副本!$F$6:$F$18,MATCH(金币总表!B6,日常副本!$B$6:$B$18,1))*C6*P$1</f>
        <v>0</v>
      </c>
      <c r="Q6" s="14">
        <f t="shared" si="0"/>
        <v>48600</v>
      </c>
      <c r="R6" s="134"/>
      <c r="S6" s="14">
        <f>ROUND(Q6/C6/价值概述!$B$3,0)</f>
        <v>116</v>
      </c>
      <c r="T6" s="136">
        <f>INT(S6*价值概述!$B$3*$T$2/50/5)*5</f>
        <v>230</v>
      </c>
      <c r="V6" s="136">
        <v>2</v>
      </c>
      <c r="W6" s="136" t="s">
        <v>538</v>
      </c>
      <c r="X6" s="136">
        <v>10</v>
      </c>
      <c r="Y6" s="136">
        <v>30</v>
      </c>
      <c r="Z6" s="136">
        <f>SUMIFS($Q$4:$Q$33,$B$4:$B$33,"&lt;="&amp;Y6,$B$4:$B$33,"&gt;"&amp;X6)</f>
        <v>292550</v>
      </c>
      <c r="AB6" s="21">
        <f t="shared" ref="AB6:AB12" si="2">SUM(AC6:AK6)</f>
        <v>1</v>
      </c>
      <c r="AC6" s="21">
        <v>0.15</v>
      </c>
      <c r="AD6" s="21">
        <v>0.1</v>
      </c>
      <c r="AE6" s="21">
        <v>0.2</v>
      </c>
      <c r="AF6" s="21">
        <v>0.55000000000000004</v>
      </c>
      <c r="AG6" s="21">
        <v>0</v>
      </c>
      <c r="AH6" s="21"/>
      <c r="AI6" s="21"/>
      <c r="AJ6" s="21"/>
      <c r="AK6" s="21">
        <v>0</v>
      </c>
      <c r="AM6" s="136">
        <f t="shared" ref="AM6:AM12" si="3">$Z6*AB6</f>
        <v>292550</v>
      </c>
      <c r="AN6" s="136">
        <f t="shared" ref="AN6:AN12" si="4">$Z6*AC6</f>
        <v>43882.5</v>
      </c>
      <c r="AO6" s="139">
        <f t="shared" ref="AO6:AO12" si="5">$Z6*AD6</f>
        <v>29255</v>
      </c>
      <c r="AP6" s="136">
        <f t="shared" ref="AP6:AP12" si="6">$Z6*AE6</f>
        <v>58510</v>
      </c>
      <c r="AQ6" s="136">
        <f t="shared" ref="AQ6:AQ12" si="7">$Z6*AF6</f>
        <v>160902.5</v>
      </c>
      <c r="AR6" s="136">
        <f t="shared" ref="AR6:AR12" si="8">$Z6*AG6</f>
        <v>0</v>
      </c>
      <c r="AS6" s="136">
        <f t="shared" ref="AS6:AS12" si="9">$Z6*AH6</f>
        <v>0</v>
      </c>
      <c r="AT6" s="136">
        <f t="shared" ref="AT6:AT12" si="10">$Z6*AI6</f>
        <v>0</v>
      </c>
      <c r="AU6" s="136">
        <f t="shared" ref="AU6:AU12" si="11">$Z6*AJ6</f>
        <v>0</v>
      </c>
      <c r="AV6" s="136">
        <f t="shared" ref="AV6:AV12" si="12">$Z6*AK6</f>
        <v>0</v>
      </c>
    </row>
    <row r="7" spans="1:48" ht="16.5" x14ac:dyDescent="0.2">
      <c r="A7" s="24">
        <v>4</v>
      </c>
      <c r="B7" s="14">
        <f>节奏总表!L8</f>
        <v>25</v>
      </c>
      <c r="C7" s="14">
        <f>节奏总表!AC8</f>
        <v>0.71</v>
      </c>
      <c r="D7" s="14">
        <f>节奏总表!N8*60</f>
        <v>1320</v>
      </c>
      <c r="E7" s="14">
        <f>INDEX(章节关卡!$H$6:$H$35,金币总表!A7)*D7</f>
        <v>33000</v>
      </c>
      <c r="F7" s="14">
        <f>SUMIFS(章节关卡!$BB$5:$BB$304,章节关卡!$AY$5:$AY$304,"="&amp;金币总表!A7)</f>
        <v>7500</v>
      </c>
      <c r="G7" s="14">
        <f>章节关卡!Y9</f>
        <v>4800</v>
      </c>
      <c r="H7" s="14">
        <f>SUMIFS(章节关卡!$BJ$5:$BJ$304,章节关卡!$BG$5:$BG$304,"="&amp;金币总表!A6)</f>
        <v>12000</v>
      </c>
      <c r="I7" s="14">
        <f>章节关卡!AM8</f>
        <v>8400</v>
      </c>
      <c r="J7" s="14">
        <f>SUMIFS(芦花古楼!$H$5:$H$104,芦花古楼!$B$5:$B$104,"="&amp;金币总表!A7)</f>
        <v>0</v>
      </c>
      <c r="K7" s="14">
        <f>SUMIFS(芦花古楼!$S$5:$S$104,芦花古楼!$M$5:$M$104,"="&amp;金币总表!A7)</f>
        <v>0</v>
      </c>
      <c r="L7" s="14">
        <f>SUMIFS(芦花古楼!$AD$5:$AD$104,芦花古楼!$AI$5:$AI$104,"="&amp;金币总表!A7)</f>
        <v>0</v>
      </c>
      <c r="M7" s="14">
        <f>SUMIFS(芦花古楼!$AO$5:$AO$104,芦花古楼!$AI$5:$AI$104,"="&amp;金币总表!A7)</f>
        <v>0</v>
      </c>
      <c r="N7" s="14">
        <f>INDEX('恶灵入侵-专属解封'!$AF$6:$AF$22,MATCH(金币总表!B7,'恶灵入侵-专属解封'!$U$6:$U$22,1))</f>
        <v>0</v>
      </c>
      <c r="O7" s="14">
        <f>日常任务!$E$2*金币总表!C7</f>
        <v>14200</v>
      </c>
      <c r="P7" s="14">
        <f>INDEX(日常副本!$F$6:$F$18,MATCH(金币总表!B7,日常副本!$B$6:$B$18,1))*C7*P$1</f>
        <v>35500</v>
      </c>
      <c r="Q7" s="14">
        <f t="shared" si="0"/>
        <v>115400</v>
      </c>
      <c r="R7" s="134"/>
      <c r="S7" s="14">
        <f>ROUND(Q7/C7/价值概述!$B$3,0)</f>
        <v>163</v>
      </c>
      <c r="T7" s="136">
        <f>INT(S7*价值概述!$B$3*$T$2/50/5)*5</f>
        <v>325</v>
      </c>
      <c r="V7" s="136">
        <v>3</v>
      </c>
      <c r="W7" s="136" t="s">
        <v>540</v>
      </c>
      <c r="X7" s="136">
        <v>30</v>
      </c>
      <c r="Y7" s="136">
        <v>50</v>
      </c>
      <c r="Z7" s="136">
        <f t="shared" ref="Z7:Z12" si="13">SUMIFS($Q$4:$Q$33,$B$4:$B$33,"&lt;="&amp;Y7,$B$4:$B$33,"&gt;"&amp;X7)</f>
        <v>890100</v>
      </c>
      <c r="AB7" s="21">
        <f t="shared" si="2"/>
        <v>1.1000000000000001</v>
      </c>
      <c r="AC7" s="21">
        <v>0.1</v>
      </c>
      <c r="AD7" s="21">
        <v>0.1</v>
      </c>
      <c r="AE7" s="21">
        <v>0.1</v>
      </c>
      <c r="AF7" s="21">
        <v>0.5</v>
      </c>
      <c r="AG7" s="21">
        <v>0</v>
      </c>
      <c r="AH7" s="21"/>
      <c r="AI7" s="21">
        <v>0.2</v>
      </c>
      <c r="AJ7" s="21">
        <v>0.1</v>
      </c>
      <c r="AK7" s="21">
        <v>0</v>
      </c>
      <c r="AM7" s="136">
        <f t="shared" si="3"/>
        <v>979110.00000000012</v>
      </c>
      <c r="AN7" s="136">
        <f t="shared" si="4"/>
        <v>89010</v>
      </c>
      <c r="AO7" s="139">
        <f t="shared" si="5"/>
        <v>89010</v>
      </c>
      <c r="AP7" s="136">
        <f t="shared" si="6"/>
        <v>89010</v>
      </c>
      <c r="AQ7" s="136">
        <f t="shared" si="7"/>
        <v>445050</v>
      </c>
      <c r="AR7" s="136">
        <f t="shared" si="8"/>
        <v>0</v>
      </c>
      <c r="AS7" s="136">
        <f t="shared" si="9"/>
        <v>0</v>
      </c>
      <c r="AT7" s="136">
        <f t="shared" si="10"/>
        <v>178020</v>
      </c>
      <c r="AU7" s="136">
        <f t="shared" si="11"/>
        <v>89010</v>
      </c>
      <c r="AV7" s="136">
        <f t="shared" si="12"/>
        <v>0</v>
      </c>
    </row>
    <row r="8" spans="1:48" ht="16.5" x14ac:dyDescent="0.2">
      <c r="A8" s="24">
        <v>5</v>
      </c>
      <c r="B8" s="14">
        <f>节奏总表!L9</f>
        <v>30</v>
      </c>
      <c r="C8" s="14">
        <f>节奏总表!AC9</f>
        <v>0.5</v>
      </c>
      <c r="D8" s="14">
        <f>节奏总表!N9*60</f>
        <v>1440</v>
      </c>
      <c r="E8" s="14">
        <f>INDEX(章节关卡!$H$6:$H$35,金币总表!A8)*D8</f>
        <v>43200</v>
      </c>
      <c r="F8" s="14">
        <f>SUMIFS(章节关卡!$BB$5:$BB$304,章节关卡!$AY$5:$AY$304,"="&amp;金币总表!A8)</f>
        <v>9000</v>
      </c>
      <c r="G8" s="14">
        <f>章节关卡!Y10</f>
        <v>6750</v>
      </c>
      <c r="H8" s="14">
        <f>SUMIFS(章节关卡!$BJ$5:$BJ$304,章节关卡!$BG$5:$BG$304,"="&amp;金币总表!A7)</f>
        <v>15000</v>
      </c>
      <c r="I8" s="14">
        <f>章节关卡!AM9</f>
        <v>9600</v>
      </c>
      <c r="J8" s="14">
        <f>SUMIFS(芦花古楼!$H$5:$H$104,芦花古楼!$B$5:$B$104,"="&amp;金币总表!A8)</f>
        <v>0</v>
      </c>
      <c r="K8" s="14">
        <f>SUMIFS(芦花古楼!$S$5:$S$104,芦花古楼!$M$5:$M$104,"="&amp;金币总表!A8)</f>
        <v>0</v>
      </c>
      <c r="L8" s="14">
        <f>SUMIFS(芦花古楼!$AD$5:$AD$104,芦花古楼!$AI$5:$AI$104,"="&amp;金币总表!A8)</f>
        <v>0</v>
      </c>
      <c r="M8" s="14">
        <f>SUMIFS(芦花古楼!$AO$5:$AO$104,芦花古楼!$AI$5:$AI$104,"="&amp;金币总表!A8)</f>
        <v>0</v>
      </c>
      <c r="N8" s="14">
        <f>INDEX('恶灵入侵-专属解封'!$AF$6:$AF$22,MATCH(金币总表!B8,'恶灵入侵-专属解封'!$U$6:$U$22,1))</f>
        <v>0</v>
      </c>
      <c r="O8" s="14">
        <f>日常任务!$E$2*金币总表!C8</f>
        <v>10000</v>
      </c>
      <c r="P8" s="14">
        <f>INDEX(日常副本!$F$6:$F$18,MATCH(金币总表!B8,日常副本!$B$6:$B$18,1))*C8*P$1</f>
        <v>35000</v>
      </c>
      <c r="Q8" s="14">
        <f t="shared" si="0"/>
        <v>128550</v>
      </c>
      <c r="R8" s="134"/>
      <c r="S8" s="14">
        <f>ROUND(Q8/C8/价值概述!$B$3,0)</f>
        <v>257</v>
      </c>
      <c r="T8" s="136">
        <f>INT(S8*价值概述!$B$3*$T$2/50/5)*5</f>
        <v>510</v>
      </c>
      <c r="V8" s="136">
        <v>4</v>
      </c>
      <c r="W8" s="136" t="s">
        <v>542</v>
      </c>
      <c r="X8" s="136">
        <v>50</v>
      </c>
      <c r="Y8" s="136">
        <v>70</v>
      </c>
      <c r="Z8" s="136">
        <f t="shared" si="13"/>
        <v>1909850</v>
      </c>
      <c r="AB8" s="21">
        <f t="shared" si="2"/>
        <v>1.2000000000000002</v>
      </c>
      <c r="AC8" s="21">
        <v>0.1</v>
      </c>
      <c r="AD8" s="21">
        <v>0.1</v>
      </c>
      <c r="AE8" s="21">
        <v>0.1</v>
      </c>
      <c r="AF8" s="21">
        <v>0.4</v>
      </c>
      <c r="AG8" s="21">
        <v>0</v>
      </c>
      <c r="AH8" s="21">
        <v>0.2</v>
      </c>
      <c r="AI8" s="21">
        <v>0.2</v>
      </c>
      <c r="AJ8" s="21">
        <v>0.1</v>
      </c>
      <c r="AK8" s="21">
        <v>0</v>
      </c>
      <c r="AM8" s="136">
        <f t="shared" si="3"/>
        <v>2291820.0000000005</v>
      </c>
      <c r="AN8" s="136">
        <f t="shared" si="4"/>
        <v>190985</v>
      </c>
      <c r="AO8" s="139">
        <f t="shared" si="5"/>
        <v>190985</v>
      </c>
      <c r="AP8" s="136">
        <f t="shared" si="6"/>
        <v>190985</v>
      </c>
      <c r="AQ8" s="136">
        <f t="shared" si="7"/>
        <v>763940</v>
      </c>
      <c r="AR8" s="136">
        <f t="shared" si="8"/>
        <v>0</v>
      </c>
      <c r="AS8" s="136">
        <f t="shared" si="9"/>
        <v>381970</v>
      </c>
      <c r="AT8" s="136">
        <f t="shared" si="10"/>
        <v>381970</v>
      </c>
      <c r="AU8" s="136">
        <f t="shared" si="11"/>
        <v>190985</v>
      </c>
      <c r="AV8" s="136">
        <f t="shared" si="12"/>
        <v>0</v>
      </c>
    </row>
    <row r="9" spans="1:48" ht="16.5" x14ac:dyDescent="0.2">
      <c r="A9" s="24">
        <v>6</v>
      </c>
      <c r="B9" s="14">
        <f>节奏总表!L10</f>
        <v>35</v>
      </c>
      <c r="C9" s="14">
        <f>节奏总表!AC10</f>
        <v>0.54</v>
      </c>
      <c r="D9" s="14">
        <f>节奏总表!N10*60</f>
        <v>1560</v>
      </c>
      <c r="E9" s="14">
        <f>INDEX(章节关卡!$H$6:$H$35,金币总表!A9)*D9</f>
        <v>54600</v>
      </c>
      <c r="F9" s="14">
        <f>SUMIFS(章节关卡!$BB$5:$BB$304,章节关卡!$AY$5:$AY$304,"="&amp;金币总表!A9)</f>
        <v>10500</v>
      </c>
      <c r="G9" s="14">
        <f>章节关卡!Y11</f>
        <v>7500</v>
      </c>
      <c r="H9" s="14">
        <f>SUMIFS(章节关卡!$BJ$5:$BJ$304,章节关卡!$BG$5:$BG$304,"="&amp;金币总表!A8)</f>
        <v>18000</v>
      </c>
      <c r="I9" s="14">
        <f>章节关卡!AM10</f>
        <v>13500</v>
      </c>
      <c r="J9" s="14">
        <f>SUMIFS(芦花古楼!$H$5:$H$104,芦花古楼!$B$5:$B$104,"="&amp;金币总表!A9)</f>
        <v>0</v>
      </c>
      <c r="K9" s="14">
        <f>SUMIFS(芦花古楼!$S$5:$S$104,芦花古楼!$M$5:$M$104,"="&amp;金币总表!A9)</f>
        <v>0</v>
      </c>
      <c r="L9" s="14">
        <f>SUMIFS(芦花古楼!$AD$5:$AD$104,芦花古楼!$AI$5:$AI$104,"="&amp;金币总表!A9)</f>
        <v>0</v>
      </c>
      <c r="M9" s="14">
        <f>SUMIFS(芦花古楼!$AO$5:$AO$104,芦花古楼!$AI$5:$AI$104,"="&amp;金币总表!A9)</f>
        <v>0</v>
      </c>
      <c r="N9" s="14">
        <f>INDEX('恶灵入侵-专属解封'!$AF$6:$AF$22,MATCH(金币总表!B9,'恶灵入侵-专属解封'!$U$6:$U$22,1))</f>
        <v>15000</v>
      </c>
      <c r="O9" s="14">
        <f>日常任务!$E$2*金币总表!C9</f>
        <v>10800</v>
      </c>
      <c r="P9" s="14">
        <f>INDEX(日常副本!$F$6:$F$18,MATCH(金币总表!B9,日常副本!$B$6:$B$18,1))*C9*P$1</f>
        <v>37800.000000000007</v>
      </c>
      <c r="Q9" s="14">
        <f t="shared" si="0"/>
        <v>167700</v>
      </c>
      <c r="R9" s="134"/>
      <c r="S9" s="14">
        <f>ROUND(Q9/C9/价值概述!$B$3,0)</f>
        <v>311</v>
      </c>
      <c r="T9" s="136">
        <f>INT(S9*价值概述!$B$3*$T$2/50/5)*5</f>
        <v>620</v>
      </c>
      <c r="V9" s="136">
        <v>5</v>
      </c>
      <c r="W9" s="136" t="s">
        <v>544</v>
      </c>
      <c r="X9" s="136">
        <v>70</v>
      </c>
      <c r="Y9" s="136">
        <v>90</v>
      </c>
      <c r="Z9" s="136">
        <f t="shared" si="13"/>
        <v>4391000</v>
      </c>
      <c r="AB9" s="21">
        <f t="shared" si="2"/>
        <v>1.2000000000000002</v>
      </c>
      <c r="AC9" s="21">
        <v>0.1</v>
      </c>
      <c r="AD9" s="21">
        <v>0.1</v>
      </c>
      <c r="AE9" s="21">
        <v>0.1</v>
      </c>
      <c r="AF9" s="21">
        <v>0.4</v>
      </c>
      <c r="AG9" s="21">
        <v>0</v>
      </c>
      <c r="AH9" s="21">
        <v>0.2</v>
      </c>
      <c r="AI9" s="21">
        <v>0.2</v>
      </c>
      <c r="AJ9" s="21">
        <v>0.1</v>
      </c>
      <c r="AK9" s="21">
        <v>0</v>
      </c>
      <c r="AM9" s="136">
        <f t="shared" si="3"/>
        <v>5269200.0000000009</v>
      </c>
      <c r="AN9" s="136">
        <f t="shared" si="4"/>
        <v>439100</v>
      </c>
      <c r="AO9" s="139">
        <f t="shared" si="5"/>
        <v>439100</v>
      </c>
      <c r="AP9" s="136">
        <f t="shared" si="6"/>
        <v>439100</v>
      </c>
      <c r="AQ9" s="136">
        <f t="shared" si="7"/>
        <v>1756400</v>
      </c>
      <c r="AR9" s="136">
        <f t="shared" si="8"/>
        <v>0</v>
      </c>
      <c r="AS9" s="136">
        <f t="shared" si="9"/>
        <v>878200</v>
      </c>
      <c r="AT9" s="136">
        <f t="shared" si="10"/>
        <v>878200</v>
      </c>
      <c r="AU9" s="136">
        <f t="shared" si="11"/>
        <v>439100</v>
      </c>
      <c r="AV9" s="136">
        <f t="shared" si="12"/>
        <v>0</v>
      </c>
    </row>
    <row r="10" spans="1:48" ht="16.5" x14ac:dyDescent="0.2">
      <c r="A10" s="24">
        <v>7</v>
      </c>
      <c r="B10" s="14">
        <f>节奏总表!L11</f>
        <v>40</v>
      </c>
      <c r="C10" s="14">
        <f>节奏总表!AC11</f>
        <v>0.58000000000000007</v>
      </c>
      <c r="D10" s="14">
        <f>节奏总表!N11*60</f>
        <v>1680</v>
      </c>
      <c r="E10" s="14">
        <f>INDEX(章节关卡!$H$6:$H$35,金币总表!A10)*D10</f>
        <v>67200</v>
      </c>
      <c r="F10" s="14">
        <f>SUMIFS(章节关卡!$BB$5:$BB$304,章节关卡!$AY$5:$AY$304,"="&amp;金币总表!A10)</f>
        <v>12000</v>
      </c>
      <c r="G10" s="14">
        <f>章节关卡!Y12</f>
        <v>9000</v>
      </c>
      <c r="H10" s="14">
        <f>SUMIFS(章节关卡!$BJ$5:$BJ$304,章节关卡!$BG$5:$BG$304,"="&amp;金币总表!A9)</f>
        <v>21000</v>
      </c>
      <c r="I10" s="14">
        <f>章节关卡!AM11</f>
        <v>15000</v>
      </c>
      <c r="J10" s="14">
        <f>SUMIFS(芦花古楼!$H$5:$H$104,芦花古楼!$B$5:$B$104,"="&amp;金币总表!A10)</f>
        <v>0</v>
      </c>
      <c r="K10" s="14">
        <f>SUMIFS(芦花古楼!$S$5:$S$104,芦花古楼!$M$5:$M$104,"="&amp;金币总表!A10)</f>
        <v>0</v>
      </c>
      <c r="L10" s="14">
        <f>SUMIFS(芦花古楼!$AD$5:$AD$104,芦花古楼!$AI$5:$AI$104,"="&amp;金币总表!A10)</f>
        <v>0</v>
      </c>
      <c r="M10" s="14">
        <f>SUMIFS(芦花古楼!$AO$5:$AO$104,芦花古楼!$AI$5:$AI$104,"="&amp;金币总表!A10)</f>
        <v>0</v>
      </c>
      <c r="N10" s="14">
        <f>INDEX('恶灵入侵-专属解封'!$AF$6:$AF$22,MATCH(金币总表!B10,'恶灵入侵-专属解封'!$U$6:$U$22,1))</f>
        <v>18000</v>
      </c>
      <c r="O10" s="14">
        <f>日常任务!$E$2*金币总表!C10</f>
        <v>11600.000000000002</v>
      </c>
      <c r="P10" s="14">
        <f>INDEX(日常副本!$F$6:$F$18,MATCH(金币总表!B10,日常副本!$B$6:$B$18,1))*C10*P$1</f>
        <v>52200.000000000007</v>
      </c>
      <c r="Q10" s="14">
        <f t="shared" si="0"/>
        <v>206000</v>
      </c>
      <c r="R10" s="134"/>
      <c r="S10" s="14">
        <f>ROUND(Q10/C10/价值概述!$B$3,0)</f>
        <v>355</v>
      </c>
      <c r="T10" s="136">
        <f>INT(S10*价值概述!$B$3*$T$2/50/5)*5</f>
        <v>710</v>
      </c>
      <c r="V10" s="136">
        <v>6</v>
      </c>
      <c r="W10" s="136" t="s">
        <v>546</v>
      </c>
      <c r="X10" s="136">
        <v>90</v>
      </c>
      <c r="Y10" s="136">
        <v>110</v>
      </c>
      <c r="Z10" s="136">
        <f t="shared" si="13"/>
        <v>7777425</v>
      </c>
      <c r="AB10" s="21">
        <f t="shared" si="2"/>
        <v>1.2000000000000002</v>
      </c>
      <c r="AC10" s="21">
        <v>0.1</v>
      </c>
      <c r="AD10" s="21">
        <v>0.1</v>
      </c>
      <c r="AE10" s="21">
        <v>0.1</v>
      </c>
      <c r="AF10" s="21">
        <v>0.4</v>
      </c>
      <c r="AG10" s="21">
        <v>0</v>
      </c>
      <c r="AH10" s="21">
        <v>0.2</v>
      </c>
      <c r="AI10" s="21">
        <v>0.2</v>
      </c>
      <c r="AJ10" s="21">
        <v>0.1</v>
      </c>
      <c r="AK10" s="21">
        <v>0</v>
      </c>
      <c r="AM10" s="136">
        <f t="shared" si="3"/>
        <v>9332910.0000000019</v>
      </c>
      <c r="AN10" s="136">
        <f t="shared" si="4"/>
        <v>777742.5</v>
      </c>
      <c r="AO10" s="139">
        <f t="shared" si="5"/>
        <v>777742.5</v>
      </c>
      <c r="AP10" s="136">
        <f t="shared" si="6"/>
        <v>777742.5</v>
      </c>
      <c r="AQ10" s="136">
        <f t="shared" si="7"/>
        <v>3110970</v>
      </c>
      <c r="AR10" s="136">
        <f t="shared" si="8"/>
        <v>0</v>
      </c>
      <c r="AS10" s="136">
        <f t="shared" si="9"/>
        <v>1555485</v>
      </c>
      <c r="AT10" s="136">
        <f t="shared" si="10"/>
        <v>1555485</v>
      </c>
      <c r="AU10" s="136">
        <f t="shared" si="11"/>
        <v>777742.5</v>
      </c>
      <c r="AV10" s="136">
        <f t="shared" si="12"/>
        <v>0</v>
      </c>
    </row>
    <row r="11" spans="1:48" ht="16.5" x14ac:dyDescent="0.2">
      <c r="A11" s="24">
        <v>8</v>
      </c>
      <c r="B11" s="14">
        <f>节奏总表!L12</f>
        <v>45</v>
      </c>
      <c r="C11" s="14">
        <f>节奏总表!AC12</f>
        <v>0.62999999999999989</v>
      </c>
      <c r="D11" s="14">
        <f>节奏总表!N12*60</f>
        <v>1800</v>
      </c>
      <c r="E11" s="14">
        <f>INDEX(章节关卡!$H$6:$H$35,金币总表!A11)*D11</f>
        <v>81000</v>
      </c>
      <c r="F11" s="14">
        <f>SUMIFS(章节关卡!$BB$5:$BB$304,章节关卡!$AY$5:$AY$304,"="&amp;金币总表!A11)</f>
        <v>13500</v>
      </c>
      <c r="G11" s="14">
        <f>章节关卡!Y13</f>
        <v>10500</v>
      </c>
      <c r="H11" s="14">
        <f>SUMIFS(章节关卡!$BJ$5:$BJ$304,章节关卡!$BG$5:$BG$304,"="&amp;金币总表!A10)</f>
        <v>24000</v>
      </c>
      <c r="I11" s="14">
        <f>章节关卡!AM12</f>
        <v>18000</v>
      </c>
      <c r="J11" s="14">
        <f>SUMIFS(芦花古楼!$H$5:$H$104,芦花古楼!$B$5:$B$104,"="&amp;金币总表!A11)</f>
        <v>0</v>
      </c>
      <c r="K11" s="14">
        <f>SUMIFS(芦花古楼!$S$5:$S$104,芦花古楼!$M$5:$M$104,"="&amp;金币总表!A11)</f>
        <v>0</v>
      </c>
      <c r="L11" s="14">
        <f>SUMIFS(芦花古楼!$AD$5:$AD$104,芦花古楼!$AI$5:$AI$104,"="&amp;金币总表!A11)</f>
        <v>0</v>
      </c>
      <c r="M11" s="14">
        <f>SUMIFS(芦花古楼!$AO$5:$AO$104,芦花古楼!$AI$5:$AI$104,"="&amp;金币总表!A11)</f>
        <v>0</v>
      </c>
      <c r="N11" s="14">
        <f>INDEX('恶灵入侵-专属解封'!$AF$6:$AF$22,MATCH(金币总表!B11,'恶灵入侵-专属解封'!$U$6:$U$22,1))</f>
        <v>21000</v>
      </c>
      <c r="O11" s="14">
        <f>日常任务!$E$2*金币总表!C11</f>
        <v>12599.999999999998</v>
      </c>
      <c r="P11" s="14">
        <f>INDEX(日常副本!$F$6:$F$18,MATCH(金币总表!B11,日常副本!$B$6:$B$18,1))*C11*P$1</f>
        <v>56699.999999999993</v>
      </c>
      <c r="Q11" s="14">
        <f t="shared" si="0"/>
        <v>237300</v>
      </c>
      <c r="R11" s="134"/>
      <c r="S11" s="14">
        <f>ROUND(Q11/C11/价值概述!$B$3,0)</f>
        <v>377</v>
      </c>
      <c r="T11" s="136">
        <f>INT(S11*价值概述!$B$3*$T$2/50/5)*5</f>
        <v>750</v>
      </c>
      <c r="V11" s="136">
        <v>7</v>
      </c>
      <c r="W11" s="136" t="s">
        <v>548</v>
      </c>
      <c r="X11" s="136">
        <v>110</v>
      </c>
      <c r="Y11" s="136">
        <v>135</v>
      </c>
      <c r="Z11" s="136">
        <f t="shared" si="13"/>
        <v>18802320</v>
      </c>
      <c r="AB11" s="21">
        <f t="shared" si="2"/>
        <v>1.1000000000000001</v>
      </c>
      <c r="AC11" s="21">
        <v>0.1</v>
      </c>
      <c r="AD11" s="21">
        <v>0.1</v>
      </c>
      <c r="AE11" s="21"/>
      <c r="AF11" s="21">
        <v>0.4</v>
      </c>
      <c r="AG11" s="21">
        <v>0</v>
      </c>
      <c r="AH11" s="21">
        <v>0.2</v>
      </c>
      <c r="AI11" s="21">
        <v>0.2</v>
      </c>
      <c r="AJ11" s="21">
        <v>0.1</v>
      </c>
      <c r="AK11" s="21">
        <v>0</v>
      </c>
      <c r="AM11" s="136">
        <f t="shared" si="3"/>
        <v>20682552</v>
      </c>
      <c r="AN11" s="136">
        <f t="shared" si="4"/>
        <v>1880232</v>
      </c>
      <c r="AO11" s="139">
        <f t="shared" si="5"/>
        <v>1880232</v>
      </c>
      <c r="AP11" s="136">
        <f t="shared" si="6"/>
        <v>0</v>
      </c>
      <c r="AQ11" s="136">
        <f t="shared" si="7"/>
        <v>7520928</v>
      </c>
      <c r="AR11" s="136">
        <f t="shared" si="8"/>
        <v>0</v>
      </c>
      <c r="AS11" s="136">
        <f t="shared" si="9"/>
        <v>3760464</v>
      </c>
      <c r="AT11" s="136">
        <f t="shared" si="10"/>
        <v>3760464</v>
      </c>
      <c r="AU11" s="136">
        <f t="shared" si="11"/>
        <v>1880232</v>
      </c>
      <c r="AV11" s="136">
        <f t="shared" si="12"/>
        <v>0</v>
      </c>
    </row>
    <row r="12" spans="1:48" ht="16.5" x14ac:dyDescent="0.2">
      <c r="A12" s="24">
        <v>9</v>
      </c>
      <c r="B12" s="14">
        <f>节奏总表!L13</f>
        <v>50</v>
      </c>
      <c r="C12" s="14">
        <f>节奏总表!AC13</f>
        <v>0.71</v>
      </c>
      <c r="D12" s="14">
        <f>节奏总表!N13*60</f>
        <v>2040</v>
      </c>
      <c r="E12" s="14">
        <f>INDEX(章节关卡!$H$6:$H$35,金币总表!A12)*D12</f>
        <v>102000</v>
      </c>
      <c r="F12" s="14">
        <f>SUMIFS(章节关卡!$BB$5:$BB$304,章节关卡!$AY$5:$AY$304,"="&amp;金币总表!A12)</f>
        <v>15000</v>
      </c>
      <c r="G12" s="14">
        <f>章节关卡!Y14</f>
        <v>12000</v>
      </c>
      <c r="H12" s="14">
        <f>SUMIFS(章节关卡!$BJ$5:$BJ$304,章节关卡!$BG$5:$BG$304,"="&amp;金币总表!A11)</f>
        <v>27000</v>
      </c>
      <c r="I12" s="14">
        <f>章节关卡!AM13</f>
        <v>21000</v>
      </c>
      <c r="J12" s="14">
        <f>SUMIFS(芦花古楼!$H$5:$H$104,芦花古楼!$B$5:$B$104,"="&amp;金币总表!A12)</f>
        <v>0</v>
      </c>
      <c r="K12" s="14">
        <f>SUMIFS(芦花古楼!$S$5:$S$104,芦花古楼!$M$5:$M$104,"="&amp;金币总表!A12)</f>
        <v>0</v>
      </c>
      <c r="L12" s="14">
        <f>SUMIFS(芦花古楼!$AD$5:$AD$104,芦花古楼!$AI$5:$AI$104,"="&amp;金币总表!A12)</f>
        <v>0</v>
      </c>
      <c r="M12" s="14">
        <f>SUMIFS(芦花古楼!$AO$5:$AO$104,芦花古楼!$AI$5:$AI$104,"="&amp;金币总表!A12)</f>
        <v>0</v>
      </c>
      <c r="N12" s="14">
        <f>INDEX('恶灵入侵-专属解封'!$AF$6:$AF$22,MATCH(金币总表!B12,'恶灵入侵-专属解封'!$U$6:$U$22,1))</f>
        <v>24000</v>
      </c>
      <c r="O12" s="14">
        <f>日常任务!$E$2*金币总表!C12</f>
        <v>14200</v>
      </c>
      <c r="P12" s="14">
        <f>INDEX(日常副本!$F$6:$F$18,MATCH(金币总表!B12,日常副本!$B$6:$B$18,1))*C12*P$1</f>
        <v>63900</v>
      </c>
      <c r="Q12" s="14">
        <f t="shared" si="0"/>
        <v>279100</v>
      </c>
      <c r="R12" s="134"/>
      <c r="S12" s="14">
        <f>ROUND(Q12/C12/价值概述!$B$3,0)</f>
        <v>393</v>
      </c>
      <c r="T12" s="136">
        <f>INT(S12*价值概述!$B$3*$T$2/50/5)*5</f>
        <v>785</v>
      </c>
      <c r="V12" s="136">
        <v>8</v>
      </c>
      <c r="W12" s="136" t="s">
        <v>550</v>
      </c>
      <c r="X12" s="136">
        <v>135</v>
      </c>
      <c r="Y12" s="136">
        <v>150</v>
      </c>
      <c r="Z12" s="136">
        <f t="shared" si="13"/>
        <v>113969800</v>
      </c>
      <c r="AB12" s="21">
        <f t="shared" si="2"/>
        <v>1</v>
      </c>
      <c r="AC12" s="21">
        <v>0.1</v>
      </c>
      <c r="AD12" s="21">
        <v>0.1</v>
      </c>
      <c r="AE12" s="21"/>
      <c r="AF12" s="21">
        <v>0.4</v>
      </c>
      <c r="AG12" s="21">
        <v>0</v>
      </c>
      <c r="AH12" s="21">
        <v>0.2</v>
      </c>
      <c r="AI12" s="21">
        <v>0.2</v>
      </c>
      <c r="AJ12" s="21"/>
      <c r="AK12" s="21">
        <v>0</v>
      </c>
      <c r="AM12" s="136">
        <f t="shared" si="3"/>
        <v>113969800</v>
      </c>
      <c r="AN12" s="136">
        <f t="shared" si="4"/>
        <v>11396980</v>
      </c>
      <c r="AO12" s="139">
        <f t="shared" si="5"/>
        <v>11396980</v>
      </c>
      <c r="AP12" s="136">
        <f t="shared" si="6"/>
        <v>0</v>
      </c>
      <c r="AQ12" s="136">
        <f t="shared" si="7"/>
        <v>45587920</v>
      </c>
      <c r="AR12" s="136">
        <f t="shared" si="8"/>
        <v>0</v>
      </c>
      <c r="AS12" s="136">
        <f t="shared" si="9"/>
        <v>22793960</v>
      </c>
      <c r="AT12" s="136">
        <f t="shared" si="10"/>
        <v>22793960</v>
      </c>
      <c r="AU12" s="136">
        <f t="shared" si="11"/>
        <v>0</v>
      </c>
      <c r="AV12" s="136">
        <f t="shared" si="12"/>
        <v>0</v>
      </c>
    </row>
    <row r="13" spans="1:48" ht="16.5" x14ac:dyDescent="0.2">
      <c r="A13" s="24">
        <v>10</v>
      </c>
      <c r="B13" s="14">
        <f>节奏总表!L14</f>
        <v>55</v>
      </c>
      <c r="C13" s="14">
        <f>节奏总表!AC14</f>
        <v>0.83000000000000007</v>
      </c>
      <c r="D13" s="14">
        <f>节奏总表!N14*60</f>
        <v>2400</v>
      </c>
      <c r="E13" s="14">
        <f>INDEX(章节关卡!$H$6:$H$35,金币总表!A13)*D13</f>
        <v>132000</v>
      </c>
      <c r="F13" s="14">
        <f>SUMIFS(章节关卡!$BB$5:$BB$304,章节关卡!$AY$5:$AY$304,"="&amp;金币总表!A13)</f>
        <v>16500</v>
      </c>
      <c r="G13" s="14">
        <f>章节关卡!Y15</f>
        <v>13500</v>
      </c>
      <c r="H13" s="14">
        <f>SUMIFS(章节关卡!$BJ$5:$BJ$304,章节关卡!$BG$5:$BG$304,"="&amp;金币总表!A12)</f>
        <v>30000</v>
      </c>
      <c r="I13" s="14">
        <f>章节关卡!AM14</f>
        <v>24000</v>
      </c>
      <c r="J13" s="14">
        <f>SUMIFS(芦花古楼!$H$5:$H$104,芦花古楼!$B$5:$B$104,"="&amp;金币总表!A13)</f>
        <v>0</v>
      </c>
      <c r="K13" s="14">
        <f>SUMIFS(芦花古楼!$S$5:$S$104,芦花古楼!$M$5:$M$104,"="&amp;金币总表!A13)</f>
        <v>0</v>
      </c>
      <c r="L13" s="14">
        <f>SUMIFS(芦花古楼!$AD$5:$AD$104,芦花古楼!$AI$5:$AI$104,"="&amp;金币总表!A13)</f>
        <v>0</v>
      </c>
      <c r="M13" s="14">
        <f>SUMIFS(芦花古楼!$AO$5:$AO$104,芦花古楼!$AI$5:$AI$104,"="&amp;金币总表!A13)</f>
        <v>0</v>
      </c>
      <c r="N13" s="14">
        <f>INDEX('恶灵入侵-专属解封'!$AF$6:$AF$22,MATCH(金币总表!B13,'恶灵入侵-专属解封'!$U$6:$U$22,1))</f>
        <v>27000</v>
      </c>
      <c r="O13" s="14">
        <f>日常任务!$E$2*金币总表!C13</f>
        <v>16600</v>
      </c>
      <c r="P13" s="14">
        <f>INDEX(日常副本!$F$6:$F$18,MATCH(金币总表!B13,日常副本!$B$6:$B$18,1))*C13*P$1</f>
        <v>99600</v>
      </c>
      <c r="Q13" s="14">
        <f t="shared" si="0"/>
        <v>359200</v>
      </c>
      <c r="R13" s="134"/>
      <c r="S13" s="14">
        <f>ROUND(Q13/C13/价值概述!$B$3,0)</f>
        <v>433</v>
      </c>
      <c r="T13" s="136">
        <f>INT(S13*价值概述!$B$3*$T$2/50/5)*5</f>
        <v>865</v>
      </c>
    </row>
    <row r="14" spans="1:48" ht="16.5" x14ac:dyDescent="0.2">
      <c r="A14" s="24">
        <v>11</v>
      </c>
      <c r="B14" s="14">
        <f>节奏总表!L15</f>
        <v>60</v>
      </c>
      <c r="C14" s="14">
        <f>节奏总表!AC15</f>
        <v>0.94000000000000039</v>
      </c>
      <c r="D14" s="14">
        <f>节奏总表!N15*60</f>
        <v>2700</v>
      </c>
      <c r="E14" s="14">
        <f>INDEX(章节关卡!$H$6:$H$35,金币总表!A14)*D14</f>
        <v>162000</v>
      </c>
      <c r="F14" s="14">
        <f>SUMIFS(章节关卡!$BB$5:$BB$304,章节关卡!$AY$5:$AY$304,"="&amp;金币总表!A14)</f>
        <v>18000</v>
      </c>
      <c r="G14" s="14">
        <f>章节关卡!Y16</f>
        <v>15000</v>
      </c>
      <c r="H14" s="14">
        <f>SUMIFS(章节关卡!$BJ$5:$BJ$304,章节关卡!$BG$5:$BG$304,"="&amp;金币总表!A13)</f>
        <v>33000</v>
      </c>
      <c r="I14" s="14">
        <f>章节关卡!AM15</f>
        <v>27000</v>
      </c>
      <c r="J14" s="14">
        <f>SUMIFS(芦花古楼!$H$5:$H$104,芦花古楼!$B$5:$B$104,"="&amp;金币总表!A14)</f>
        <v>0</v>
      </c>
      <c r="K14" s="14">
        <f>SUMIFS(芦花古楼!$S$5:$S$104,芦花古楼!$M$5:$M$104,"="&amp;金币总表!A14)</f>
        <v>0</v>
      </c>
      <c r="L14" s="14">
        <f>SUMIFS(芦花古楼!$AD$5:$AD$104,芦花古楼!$AI$5:$AI$104,"="&amp;金币总表!A14)</f>
        <v>0</v>
      </c>
      <c r="M14" s="14">
        <f>SUMIFS(芦花古楼!$AO$5:$AO$104,芦花古楼!$AI$5:$AI$104,"="&amp;金币总表!A14)</f>
        <v>0</v>
      </c>
      <c r="N14" s="14">
        <f>INDEX('恶灵入侵-专属解封'!$AF$6:$AF$22,MATCH(金币总表!B14,'恶灵入侵-专属解封'!$U$6:$U$22,1))</f>
        <v>30000</v>
      </c>
      <c r="O14" s="14">
        <f>日常任务!$E$2*金币总表!C14</f>
        <v>18800.000000000007</v>
      </c>
      <c r="P14" s="14">
        <f>INDEX(日常副本!$F$6:$F$18,MATCH(金币总表!B14,日常副本!$B$6:$B$18,1))*C14*P$1</f>
        <v>112800.00000000006</v>
      </c>
      <c r="Q14" s="14">
        <f t="shared" si="0"/>
        <v>416600.00000000006</v>
      </c>
      <c r="R14" s="134"/>
      <c r="S14" s="14">
        <f>ROUND(Q14/C14/价值概述!$B$3,0)</f>
        <v>443</v>
      </c>
      <c r="T14" s="136">
        <f>INT(S14*价值概述!$B$3*$T$2/50/5)*5</f>
        <v>885</v>
      </c>
    </row>
    <row r="15" spans="1:48" ht="16.5" x14ac:dyDescent="0.2">
      <c r="A15" s="24">
        <v>12</v>
      </c>
      <c r="B15" s="14">
        <f>节奏总表!L16</f>
        <v>65</v>
      </c>
      <c r="C15" s="14">
        <f>节奏总表!AC16</f>
        <v>1.0599999999999996</v>
      </c>
      <c r="D15" s="14">
        <f>节奏总表!N16*60</f>
        <v>3060</v>
      </c>
      <c r="E15" s="14">
        <f>INDEX(章节关卡!$H$6:$H$35,金币总表!A15)*D15</f>
        <v>198900</v>
      </c>
      <c r="F15" s="14">
        <f>SUMIFS(章节关卡!$BB$5:$BB$304,章节关卡!$AY$5:$AY$304,"="&amp;金币总表!A15)</f>
        <v>19500</v>
      </c>
      <c r="G15" s="14">
        <f>章节关卡!Y17</f>
        <v>16500</v>
      </c>
      <c r="H15" s="14">
        <f>SUMIFS(章节关卡!$BJ$5:$BJ$304,章节关卡!$BG$5:$BG$304,"="&amp;金币总表!A14)</f>
        <v>36000</v>
      </c>
      <c r="I15" s="14">
        <f>章节关卡!AM16</f>
        <v>30000</v>
      </c>
      <c r="J15" s="14">
        <f>SUMIFS(芦花古楼!$H$5:$H$104,芦花古楼!$B$5:$B$104,"="&amp;金币总表!A15)</f>
        <v>0</v>
      </c>
      <c r="K15" s="14">
        <f>SUMIFS(芦花古楼!$S$5:$S$104,芦花古楼!$M$5:$M$104,"="&amp;金币总表!A15)</f>
        <v>0</v>
      </c>
      <c r="L15" s="14">
        <f>SUMIFS(芦花古楼!$AD$5:$AD$104,芦花古楼!$AI$5:$AI$104,"="&amp;金币总表!A15)</f>
        <v>0</v>
      </c>
      <c r="M15" s="14">
        <f>SUMIFS(芦花古楼!$AO$5:$AO$104,芦花古楼!$AI$5:$AI$104,"="&amp;金币总表!A15)</f>
        <v>0</v>
      </c>
      <c r="N15" s="14">
        <f>INDEX('恶灵入侵-专属解封'!$AF$6:$AF$22,MATCH(金币总表!B15,'恶灵入侵-专属解封'!$U$6:$U$22,1))</f>
        <v>33000</v>
      </c>
      <c r="O15" s="14">
        <f>日常任务!$E$2*金币总表!C15</f>
        <v>21199.999999999993</v>
      </c>
      <c r="P15" s="14">
        <f>INDEX(日常副本!$F$6:$F$18,MATCH(金币总表!B15,日常副本!$B$6:$B$18,1))*C15*P$1</f>
        <v>127199.99999999994</v>
      </c>
      <c r="Q15" s="14">
        <f t="shared" si="0"/>
        <v>482299.99999999994</v>
      </c>
      <c r="R15" s="134"/>
      <c r="S15" s="14">
        <f>ROUND(Q15/C15/价值概述!$B$3,0)</f>
        <v>455</v>
      </c>
      <c r="T15" s="136">
        <f>INT(S15*价值概述!$B$3*$T$2/50/5)*5</f>
        <v>910</v>
      </c>
    </row>
    <row r="16" spans="1:48" ht="16.5" x14ac:dyDescent="0.2">
      <c r="A16" s="24">
        <v>13</v>
      </c>
      <c r="B16" s="14">
        <f>节奏总表!L17</f>
        <v>70</v>
      </c>
      <c r="C16" s="14">
        <f>节奏总表!AC17</f>
        <v>1.3499999999999996</v>
      </c>
      <c r="D16" s="14">
        <f>节奏总表!N17*60</f>
        <v>3900</v>
      </c>
      <c r="E16" s="14">
        <f>INDEX(章节关卡!$H$6:$H$35,金币总表!A16)*D16</f>
        <v>273000</v>
      </c>
      <c r="F16" s="14">
        <f>SUMIFS(章节关卡!$BB$5:$BB$304,章节关卡!$AY$5:$AY$304,"="&amp;金币总表!A16)</f>
        <v>21000</v>
      </c>
      <c r="G16" s="14">
        <f>章节关卡!Y18</f>
        <v>18750</v>
      </c>
      <c r="H16" s="14">
        <f>SUMIFS(章节关卡!$BJ$5:$BJ$304,章节关卡!$BG$5:$BG$304,"="&amp;金币总表!A15)</f>
        <v>39000</v>
      </c>
      <c r="I16" s="14">
        <f>章节关卡!AM17</f>
        <v>33000</v>
      </c>
      <c r="J16" s="14">
        <f>SUMIFS(芦花古楼!$H$5:$H$104,芦花古楼!$B$5:$B$104,"="&amp;金币总表!A16)</f>
        <v>0</v>
      </c>
      <c r="K16" s="14">
        <f>SUMIFS(芦花古楼!$S$5:$S$104,芦花古楼!$M$5:$M$104,"="&amp;金币总表!A16)</f>
        <v>0</v>
      </c>
      <c r="L16" s="14">
        <f>SUMIFS(芦花古楼!$AD$5:$AD$104,芦花古楼!$AI$5:$AI$104,"="&amp;金币总表!A16)</f>
        <v>0</v>
      </c>
      <c r="M16" s="14">
        <f>SUMIFS(芦花古楼!$AO$5:$AO$104,芦花古楼!$AI$5:$AI$104,"="&amp;金币总表!A16)</f>
        <v>0</v>
      </c>
      <c r="N16" s="14">
        <f>INDEX('恶灵入侵-专属解封'!$AF$6:$AF$22,MATCH(金币总表!B16,'恶灵入侵-专属解封'!$U$6:$U$22,1))</f>
        <v>37500</v>
      </c>
      <c r="O16" s="14">
        <f>日常任务!$E$2*金币总表!C16</f>
        <v>26999.999999999993</v>
      </c>
      <c r="P16" s="14">
        <f>INDEX(日常副本!$F$6:$F$18,MATCH(金币总表!B16,日常副本!$B$6:$B$18,1))*C16*P$1</f>
        <v>202499.99999999997</v>
      </c>
      <c r="Q16" s="14">
        <f t="shared" si="0"/>
        <v>651750</v>
      </c>
      <c r="R16" s="134"/>
      <c r="S16" s="14">
        <f>ROUND(Q16/C16/价值概述!$B$3,0)</f>
        <v>483</v>
      </c>
      <c r="T16" s="136">
        <f>INT(S16*价值概述!$B$3*$T$2/50/5)*5</f>
        <v>965</v>
      </c>
    </row>
    <row r="17" spans="1:41" ht="16.5" x14ac:dyDescent="0.2">
      <c r="A17" s="24">
        <v>14</v>
      </c>
      <c r="B17" s="14">
        <f>节奏总表!L18</f>
        <v>75</v>
      </c>
      <c r="C17" s="14">
        <f>节奏总表!AC18</f>
        <v>1.5899999999999999</v>
      </c>
      <c r="D17" s="14">
        <f>节奏总表!N18*60</f>
        <v>4560</v>
      </c>
      <c r="E17" s="14">
        <f>INDEX(章节关卡!$H$6:$H$35,金币总表!A17)*D17</f>
        <v>342000</v>
      </c>
      <c r="F17" s="14">
        <f>SUMIFS(章节关卡!$BB$5:$BB$304,章节关卡!$AY$5:$AY$304,"="&amp;金币总表!A17)</f>
        <v>22500</v>
      </c>
      <c r="G17" s="14">
        <f>章节关卡!Y19</f>
        <v>20250</v>
      </c>
      <c r="H17" s="14">
        <f>SUMIFS(章节关卡!$BJ$5:$BJ$304,章节关卡!$BG$5:$BG$304,"="&amp;金币总表!A16)</f>
        <v>42000</v>
      </c>
      <c r="I17" s="14">
        <f>章节关卡!AM18</f>
        <v>37500</v>
      </c>
      <c r="J17" s="14">
        <f>SUMIFS(芦花古楼!$H$5:$H$104,芦花古楼!$B$5:$B$104,"="&amp;金币总表!A17)</f>
        <v>0</v>
      </c>
      <c r="K17" s="14">
        <f>SUMIFS(芦花古楼!$S$5:$S$104,芦花古楼!$M$5:$M$104,"="&amp;金币总表!A17)</f>
        <v>0</v>
      </c>
      <c r="L17" s="14">
        <f>SUMIFS(芦花古楼!$AD$5:$AD$104,芦花古楼!$AI$5:$AI$104,"="&amp;金币总表!A17)</f>
        <v>0</v>
      </c>
      <c r="M17" s="14">
        <f>SUMIFS(芦花古楼!$AO$5:$AO$104,芦花古楼!$AI$5:$AI$104,"="&amp;金币总表!A17)</f>
        <v>0</v>
      </c>
      <c r="N17" s="14">
        <f>INDEX('恶灵入侵-专属解封'!$AF$6:$AF$22,MATCH(金币总表!B17,'恶灵入侵-专属解封'!$U$6:$U$22,1))</f>
        <v>37500</v>
      </c>
      <c r="O17" s="14">
        <f>日常任务!$E$2*金币总表!C17</f>
        <v>31799.999999999996</v>
      </c>
      <c r="P17" s="14">
        <f>INDEX(日常副本!$F$6:$F$18,MATCH(金币总表!B17,日常副本!$B$6:$B$18,1))*C17*P$1</f>
        <v>238499.99999999997</v>
      </c>
      <c r="Q17" s="14">
        <f t="shared" si="0"/>
        <v>772050</v>
      </c>
      <c r="R17" s="134"/>
      <c r="S17" s="14">
        <f>ROUND(Q17/C17/价值概述!$B$3,0)</f>
        <v>486</v>
      </c>
      <c r="T17" s="136">
        <f>INT(S17*价值概述!$B$3*$T$2/50/5)*5</f>
        <v>970</v>
      </c>
    </row>
    <row r="18" spans="1:41" ht="16.5" x14ac:dyDescent="0.2">
      <c r="A18" s="24">
        <v>15</v>
      </c>
      <c r="B18" s="14">
        <f>节奏总表!L19</f>
        <v>80</v>
      </c>
      <c r="C18" s="14">
        <f>节奏总表!AC19</f>
        <v>1.870000000000001</v>
      </c>
      <c r="D18" s="14">
        <f>节奏总表!N19*60</f>
        <v>5400</v>
      </c>
      <c r="E18" s="14">
        <f>INDEX(章节关卡!$H$6:$H$35,金币总表!A18)*D18</f>
        <v>432000</v>
      </c>
      <c r="F18" s="14">
        <f>SUMIFS(章节关卡!$BB$5:$BB$304,章节关卡!$AY$5:$AY$304,"="&amp;金币总表!A18)</f>
        <v>24000</v>
      </c>
      <c r="G18" s="14">
        <f>章节关卡!Y20</f>
        <v>22500</v>
      </c>
      <c r="H18" s="14">
        <f>SUMIFS(章节关卡!$BJ$5:$BJ$304,章节关卡!$BG$5:$BG$304,"="&amp;金币总表!A17)</f>
        <v>45000</v>
      </c>
      <c r="I18" s="14">
        <f>章节关卡!AM19</f>
        <v>40500</v>
      </c>
      <c r="J18" s="14">
        <f>SUMIFS(芦花古楼!$H$5:$H$104,芦花古楼!$B$5:$B$104,"="&amp;金币总表!A18)</f>
        <v>0</v>
      </c>
      <c r="K18" s="14">
        <f>SUMIFS(芦花古楼!$S$5:$S$104,芦花古楼!$M$5:$M$104,"="&amp;金币总表!A18)</f>
        <v>0</v>
      </c>
      <c r="L18" s="14">
        <f>SUMIFS(芦花古楼!$AD$5:$AD$104,芦花古楼!$AI$5:$AI$104,"="&amp;金币总表!A18)</f>
        <v>0</v>
      </c>
      <c r="M18" s="14">
        <f>SUMIFS(芦花古楼!$AO$5:$AO$104,芦花古楼!$AI$5:$AI$104,"="&amp;金币总表!A18)</f>
        <v>0</v>
      </c>
      <c r="N18" s="14">
        <f>INDEX('恶灵入侵-专属解封'!$AF$6:$AF$22,MATCH(金币总表!B18,'恶灵入侵-专属解封'!$U$6:$U$22,1))</f>
        <v>45000</v>
      </c>
      <c r="O18" s="14">
        <f>日常任务!$E$2*金币总表!C18</f>
        <v>37400.000000000022</v>
      </c>
      <c r="P18" s="14">
        <f>INDEX(日常副本!$F$6:$F$18,MATCH(金币总表!B18,日常副本!$B$6:$B$18,1))*C18*P$1</f>
        <v>336600.00000000012</v>
      </c>
      <c r="Q18" s="14">
        <f t="shared" si="0"/>
        <v>983000.00000000012</v>
      </c>
      <c r="R18" s="134"/>
      <c r="S18" s="14">
        <f>ROUND(Q18/C18/价值概述!$B$3,0)</f>
        <v>526</v>
      </c>
      <c r="T18" s="136">
        <f>INT(S18*价值概述!$B$3*$T$2/50/5)*5</f>
        <v>1050</v>
      </c>
    </row>
    <row r="19" spans="1:41" ht="16.5" x14ac:dyDescent="0.2">
      <c r="A19" s="64">
        <v>16</v>
      </c>
      <c r="B19" s="14">
        <f>节奏总表!L20</f>
        <v>85</v>
      </c>
      <c r="C19" s="14">
        <f>节奏总表!AC20</f>
        <v>2.1899999999999995</v>
      </c>
      <c r="D19" s="14">
        <f>节奏总表!N20*60</f>
        <v>6300</v>
      </c>
      <c r="E19" s="14">
        <f>INDEX(章节关卡!$H$6:$H$35,金币总表!A19)*D19</f>
        <v>567000</v>
      </c>
      <c r="F19" s="14">
        <f>SUMIFS(章节关卡!$BB$5:$BB$304,章节关卡!$AY$5:$AY$304,"="&amp;金币总表!A19)</f>
        <v>27000</v>
      </c>
      <c r="G19" s="14">
        <f>章节关卡!Y21</f>
        <v>24000</v>
      </c>
      <c r="H19" s="14">
        <f>SUMIFS(章节关卡!$BJ$5:$BJ$304,章节关卡!$BG$5:$BG$304,"="&amp;金币总表!A18)</f>
        <v>48000</v>
      </c>
      <c r="I19" s="14">
        <f>章节关卡!AM20</f>
        <v>45000</v>
      </c>
      <c r="J19" s="14">
        <f>SUMIFS(芦花古楼!$H$5:$H$104,芦花古楼!$B$5:$B$104,"="&amp;金币总表!A19)</f>
        <v>0</v>
      </c>
      <c r="K19" s="14">
        <f>SUMIFS(芦花古楼!$S$5:$S$104,芦花古楼!$M$5:$M$104,"="&amp;金币总表!A19)</f>
        <v>0</v>
      </c>
      <c r="L19" s="14">
        <f>SUMIFS(芦花古楼!$AD$5:$AD$104,芦花古楼!$AI$5:$AI$104,"="&amp;金币总表!A19)</f>
        <v>0</v>
      </c>
      <c r="M19" s="14">
        <f>SUMIFS(芦花古楼!$AO$5:$AO$104,芦花古楼!$AI$5:$AI$104,"="&amp;金币总表!A19)</f>
        <v>0</v>
      </c>
      <c r="N19" s="14">
        <f>INDEX('恶灵入侵-专属解封'!$AF$6:$AF$22,MATCH(金币总表!B19,'恶灵入侵-专属解封'!$U$6:$U$22,1))</f>
        <v>45000</v>
      </c>
      <c r="O19" s="14">
        <f>日常任务!$E$2*金币总表!C19</f>
        <v>43799.999999999993</v>
      </c>
      <c r="P19" s="14">
        <f>INDEX(日常副本!$F$6:$F$18,MATCH(金币总表!B19,日常副本!$B$6:$B$18,1))*C19*P$1</f>
        <v>394199.99999999994</v>
      </c>
      <c r="Q19" s="14">
        <f t="shared" si="0"/>
        <v>1194000</v>
      </c>
      <c r="R19" s="134"/>
      <c r="S19" s="138"/>
      <c r="T19" s="138"/>
    </row>
    <row r="20" spans="1:41" ht="16.5" x14ac:dyDescent="0.2">
      <c r="A20" s="64">
        <v>17</v>
      </c>
      <c r="B20" s="14">
        <f>节奏总表!L21</f>
        <v>90</v>
      </c>
      <c r="C20" s="14">
        <f>节奏总表!AC21</f>
        <v>2.3299999999999983</v>
      </c>
      <c r="D20" s="14">
        <f>节奏总表!N21*60</f>
        <v>6720</v>
      </c>
      <c r="E20" s="14">
        <f>INDEX(章节关卡!$H$6:$H$35,金币总表!A20)*D20</f>
        <v>672000</v>
      </c>
      <c r="F20" s="14">
        <f>SUMIFS(章节关卡!$BB$5:$BB$304,章节关卡!$AY$5:$AY$304,"="&amp;金币总表!A20)</f>
        <v>30000</v>
      </c>
      <c r="G20" s="14">
        <f>章节关卡!Y22</f>
        <v>26250</v>
      </c>
      <c r="H20" s="14">
        <f>SUMIFS(章节关卡!$BJ$5:$BJ$304,章节关卡!$BG$5:$BG$304,"="&amp;金币总表!A19)</f>
        <v>54000</v>
      </c>
      <c r="I20" s="14">
        <f>章节关卡!AM21</f>
        <v>48000</v>
      </c>
      <c r="J20" s="14">
        <f>SUMIFS(芦花古楼!$H$5:$H$104,芦花古楼!$B$5:$B$104,"="&amp;金币总表!A20)</f>
        <v>0</v>
      </c>
      <c r="K20" s="14">
        <f>SUMIFS(芦花古楼!$S$5:$S$104,芦花古楼!$M$5:$M$104,"="&amp;金币总表!A20)</f>
        <v>0</v>
      </c>
      <c r="L20" s="14">
        <f>SUMIFS(芦花古楼!$AD$5:$AD$104,芦花古楼!$AI$5:$AI$104,"="&amp;金币总表!A20)</f>
        <v>0</v>
      </c>
      <c r="M20" s="14">
        <f>SUMIFS(芦花古楼!$AO$5:$AO$104,芦花古楼!$AI$5:$AI$104,"="&amp;金币总表!A20)</f>
        <v>0</v>
      </c>
      <c r="N20" s="14">
        <f>INDEX('恶灵入侵-专属解封'!$AF$6:$AF$22,MATCH(金币总表!B20,'恶灵入侵-专属解封'!$U$6:$U$22,1))</f>
        <v>52500</v>
      </c>
      <c r="O20" s="14">
        <f>日常任务!$E$2*金币总表!C20</f>
        <v>46599.999999999964</v>
      </c>
      <c r="P20" s="14">
        <f>INDEX(日常副本!$F$6:$F$18,MATCH(金币总表!B20,日常副本!$B$6:$B$18,1))*C20*P$1</f>
        <v>512599.99999999965</v>
      </c>
      <c r="Q20" s="14">
        <f t="shared" si="0"/>
        <v>1441949.9999999995</v>
      </c>
      <c r="R20" s="134"/>
      <c r="S20" s="138"/>
      <c r="T20" s="138"/>
    </row>
    <row r="21" spans="1:41" ht="16.5" x14ac:dyDescent="0.2">
      <c r="A21" s="64">
        <v>18</v>
      </c>
      <c r="B21" s="14">
        <f>节奏总表!L22</f>
        <v>95</v>
      </c>
      <c r="C21" s="14">
        <f>节奏总表!AC22</f>
        <v>2.5</v>
      </c>
      <c r="D21" s="14">
        <f>节奏总表!N22*60</f>
        <v>7200</v>
      </c>
      <c r="E21" s="14">
        <f>INDEX(章节关卡!$H$6:$H$35,金币总表!A21)*D21</f>
        <v>792000</v>
      </c>
      <c r="F21" s="14">
        <f>SUMIFS(章节关卡!$BB$5:$BB$304,章节关卡!$AY$5:$AY$304,"="&amp;金币总表!A21)</f>
        <v>33000</v>
      </c>
      <c r="G21" s="14">
        <f>章节关卡!Y23</f>
        <v>27750</v>
      </c>
      <c r="H21" s="14">
        <f>SUMIFS(章节关卡!$BJ$5:$BJ$304,章节关卡!$BG$5:$BG$304,"="&amp;金币总表!A20)</f>
        <v>60000</v>
      </c>
      <c r="I21" s="14">
        <f>章节关卡!AM22</f>
        <v>52500</v>
      </c>
      <c r="J21" s="14">
        <f>SUMIFS(芦花古楼!$H$5:$H$104,芦花古楼!$B$5:$B$104,"="&amp;金币总表!A21)</f>
        <v>0</v>
      </c>
      <c r="K21" s="14">
        <f>SUMIFS(芦花古楼!$S$5:$S$104,芦花古楼!$M$5:$M$104,"="&amp;金币总表!A21)</f>
        <v>0</v>
      </c>
      <c r="L21" s="14">
        <f>SUMIFS(芦花古楼!$AD$5:$AD$104,芦花古楼!$AI$5:$AI$104,"="&amp;金币总表!A21)</f>
        <v>0</v>
      </c>
      <c r="M21" s="14">
        <f>SUMIFS(芦花古楼!$AO$5:$AO$104,芦花古楼!$AI$5:$AI$104,"="&amp;金币总表!A21)</f>
        <v>0</v>
      </c>
      <c r="N21" s="14">
        <f>INDEX('恶灵入侵-专属解封'!$AF$6:$AF$22,MATCH(金币总表!B21,'恶灵入侵-专属解封'!$U$6:$U$22,1))</f>
        <v>55500</v>
      </c>
      <c r="O21" s="14">
        <f>日常任务!$E$2*金币总表!C21</f>
        <v>50000</v>
      </c>
      <c r="P21" s="14">
        <f>INDEX(日常副本!$F$6:$F$18,MATCH(金币总表!B21,日常副本!$B$6:$B$18,1))*C21*P$1</f>
        <v>550000</v>
      </c>
      <c r="Q21" s="14">
        <f t="shared" si="0"/>
        <v>1620750</v>
      </c>
      <c r="R21" s="134"/>
      <c r="S21" s="138"/>
      <c r="T21" s="138"/>
    </row>
    <row r="22" spans="1:41" ht="16.5" x14ac:dyDescent="0.2">
      <c r="A22" s="64">
        <v>19</v>
      </c>
      <c r="B22" s="14">
        <f>节奏总表!L23</f>
        <v>100</v>
      </c>
      <c r="C22" s="14">
        <f>节奏总表!AC23</f>
        <v>2.610000000000003</v>
      </c>
      <c r="D22" s="14">
        <f>节奏总表!N23*60</f>
        <v>7500</v>
      </c>
      <c r="E22" s="14">
        <f>INDEX(章节关卡!$H$6:$H$35,金币总表!A22)*D22</f>
        <v>900000</v>
      </c>
      <c r="F22" s="14">
        <f>SUMIFS(章节关卡!$BB$5:$BB$304,章节关卡!$AY$5:$AY$304,"="&amp;金币总表!A22)</f>
        <v>36000</v>
      </c>
      <c r="G22" s="14">
        <f>章节关卡!Y24</f>
        <v>30000</v>
      </c>
      <c r="H22" s="14">
        <f>SUMIFS(章节关卡!$BJ$5:$BJ$304,章节关卡!$BG$5:$BG$304,"="&amp;金币总表!A21)</f>
        <v>66000</v>
      </c>
      <c r="I22" s="14">
        <f>章节关卡!AM23</f>
        <v>55500</v>
      </c>
      <c r="J22" s="14">
        <f>SUMIFS(芦花古楼!$H$5:$H$104,芦花古楼!$B$5:$B$104,"="&amp;金币总表!A22)</f>
        <v>0</v>
      </c>
      <c r="K22" s="14">
        <f>SUMIFS(芦花古楼!$S$5:$S$104,芦花古楼!$M$5:$M$104,"="&amp;金币总表!A22)</f>
        <v>0</v>
      </c>
      <c r="L22" s="14">
        <f>SUMIFS(芦花古楼!$AD$5:$AD$104,芦花古楼!$AI$5:$AI$104,"="&amp;金币总表!A22)</f>
        <v>0</v>
      </c>
      <c r="M22" s="14">
        <f>SUMIFS(芦花古楼!$AO$5:$AO$104,芦花古楼!$AI$5:$AI$104,"="&amp;金币总表!A22)</f>
        <v>0</v>
      </c>
      <c r="N22" s="14">
        <f>INDEX('恶灵入侵-专属解封'!$AF$6:$AF$22,MATCH(金币总表!B22,'恶灵入侵-专属解封'!$U$6:$U$22,1))</f>
        <v>60000</v>
      </c>
      <c r="O22" s="14">
        <f>日常任务!$E$2*金币总表!C22</f>
        <v>52200.000000000058</v>
      </c>
      <c r="P22" s="14">
        <f>INDEX(日常副本!$F$6:$F$18,MATCH(金币总表!B22,日常副本!$B$6:$B$18,1))*C22*P$1</f>
        <v>574200.0000000007</v>
      </c>
      <c r="Q22" s="14">
        <f t="shared" si="0"/>
        <v>1773900.0000000007</v>
      </c>
      <c r="R22" s="134"/>
      <c r="S22" s="138"/>
      <c r="T22" s="138"/>
    </row>
    <row r="23" spans="1:41" ht="16.5" x14ac:dyDescent="0.2">
      <c r="A23" s="64">
        <v>20</v>
      </c>
      <c r="B23" s="14">
        <f>节奏总表!L24</f>
        <v>105</v>
      </c>
      <c r="C23" s="14">
        <f>节奏总表!AC24</f>
        <v>2.7099999999999973</v>
      </c>
      <c r="D23" s="14">
        <f>节奏总表!N24*60</f>
        <v>7800</v>
      </c>
      <c r="E23" s="14">
        <f>INDEX(章节关卡!$H$6:$H$35,金币总表!A23)*D23</f>
        <v>1014000</v>
      </c>
      <c r="F23" s="14">
        <f>SUMIFS(章节关卡!$BB$5:$BB$304,章节关卡!$AY$5:$AY$304,"="&amp;金币总表!A23)</f>
        <v>39000</v>
      </c>
      <c r="G23" s="14">
        <f>章节关卡!Y25</f>
        <v>31500</v>
      </c>
      <c r="H23" s="14">
        <f>SUMIFS(章节关卡!$BJ$5:$BJ$304,章节关卡!$BG$5:$BG$304,"="&amp;金币总表!A22)</f>
        <v>72000</v>
      </c>
      <c r="I23" s="14">
        <f>章节关卡!AM24</f>
        <v>60000</v>
      </c>
      <c r="J23" s="14">
        <f>SUMIFS(芦花古楼!$H$5:$H$104,芦花古楼!$B$5:$B$104,"="&amp;金币总表!A23)</f>
        <v>0</v>
      </c>
      <c r="K23" s="14">
        <f>SUMIFS(芦花古楼!$S$5:$S$104,芦花古楼!$M$5:$M$104,"="&amp;金币总表!A23)</f>
        <v>0</v>
      </c>
      <c r="L23" s="14">
        <f>SUMIFS(芦花古楼!$AD$5:$AD$104,芦花古楼!$AI$5:$AI$104,"="&amp;金币总表!A23)</f>
        <v>0</v>
      </c>
      <c r="M23" s="14">
        <f>SUMIFS(芦花古楼!$AO$5:$AO$104,芦花古楼!$AI$5:$AI$104,"="&amp;金币总表!A23)</f>
        <v>0</v>
      </c>
      <c r="N23" s="14">
        <f>INDEX('恶灵入侵-专属解封'!$AF$6:$AF$22,MATCH(金币总表!B23,'恶灵入侵-专属解封'!$U$6:$U$22,1))</f>
        <v>63000</v>
      </c>
      <c r="O23" s="14">
        <f>日常任务!$E$2*金币总表!C23</f>
        <v>54199.999999999949</v>
      </c>
      <c r="P23" s="14">
        <f>INDEX(日常副本!$F$6:$F$18,MATCH(金币总表!B23,日常副本!$B$6:$B$18,1))*C23*P$1</f>
        <v>758799.9999999993</v>
      </c>
      <c r="Q23" s="14">
        <f t="shared" si="0"/>
        <v>2092499.9999999993</v>
      </c>
      <c r="R23" s="134"/>
      <c r="S23" s="138"/>
      <c r="T23" s="138"/>
    </row>
    <row r="24" spans="1:41" s="132" customFormat="1" ht="16.5" x14ac:dyDescent="0.2">
      <c r="A24" s="129">
        <v>21</v>
      </c>
      <c r="B24" s="14">
        <f>节奏总表!L25</f>
        <v>110</v>
      </c>
      <c r="C24" s="14">
        <f>节奏总表!AC25</f>
        <v>2.8500000000000014</v>
      </c>
      <c r="D24" s="14">
        <f>节奏总表!N25*60</f>
        <v>8220</v>
      </c>
      <c r="E24" s="14">
        <f>INDEX(章节关卡!$H$6:$H$35,金币总表!A24)*D24</f>
        <v>1150800</v>
      </c>
      <c r="F24" s="14">
        <f>SUMIFS(章节关卡!$BB$5:$BB$304,章节关卡!$AY$5:$AY$304,"="&amp;金币总表!A24)</f>
        <v>42000</v>
      </c>
      <c r="G24" s="14">
        <f>章节关卡!Y26</f>
        <v>33975</v>
      </c>
      <c r="H24" s="14">
        <f>SUMIFS(章节关卡!$BJ$5:$BJ$304,章节关卡!$BG$5:$BG$304,"="&amp;金币总表!A23)</f>
        <v>78000</v>
      </c>
      <c r="I24" s="14">
        <f>章节关卡!AM25</f>
        <v>63000</v>
      </c>
      <c r="J24" s="14">
        <f>SUMIFS(芦花古楼!$H$5:$H$104,芦花古楼!$B$5:$B$104,"="&amp;金币总表!A24)</f>
        <v>0</v>
      </c>
      <c r="K24" s="14">
        <f>SUMIFS(芦花古楼!$S$5:$S$104,芦花古楼!$M$5:$M$104,"="&amp;金币总表!A24)</f>
        <v>0</v>
      </c>
      <c r="L24" s="14">
        <f>SUMIFS(芦花古楼!$AD$5:$AD$104,芦花古楼!$AI$5:$AI$104,"="&amp;金币总表!A24)</f>
        <v>0</v>
      </c>
      <c r="M24" s="14">
        <f>SUMIFS(芦花古楼!$AO$5:$AO$104,芦花古楼!$AI$5:$AI$104,"="&amp;金币总表!A24)</f>
        <v>0</v>
      </c>
      <c r="N24" s="14">
        <f>INDEX('恶灵入侵-专属解封'!$AF$6:$AF$22,MATCH(金币总表!B24,'恶灵入侵-专属解封'!$U$6:$U$22,1))</f>
        <v>67500</v>
      </c>
      <c r="O24" s="14">
        <f>日常任务!$E$2*金币总表!C24</f>
        <v>57000.000000000029</v>
      </c>
      <c r="P24" s="14">
        <f>INDEX(日常副本!$F$6:$F$18,MATCH(金币总表!B24,日常副本!$B$6:$B$18,1))*C24*P$1</f>
        <v>798000.00000000047</v>
      </c>
      <c r="Q24" s="14">
        <f t="shared" si="0"/>
        <v>2290275.0000000005</v>
      </c>
      <c r="R24" s="134"/>
      <c r="S24" s="138"/>
      <c r="T24" s="138"/>
      <c r="AD24" s="142"/>
      <c r="AM24" s="138"/>
      <c r="AO24" s="142"/>
    </row>
    <row r="25" spans="1:41" s="132" customFormat="1" ht="16.5" x14ac:dyDescent="0.2">
      <c r="A25" s="129">
        <v>22</v>
      </c>
      <c r="B25" s="14">
        <f>节奏总表!L26</f>
        <v>115</v>
      </c>
      <c r="C25" s="14">
        <f>节奏总表!AC26</f>
        <v>3</v>
      </c>
      <c r="D25" s="14">
        <f>节奏总表!N26*60</f>
        <v>8640</v>
      </c>
      <c r="E25" s="14">
        <f>INDEX(章节关卡!$H$6:$H$35,金币总表!A25)*D25</f>
        <v>1296000</v>
      </c>
      <c r="F25" s="14">
        <f>SUMIFS(章节关卡!$BB$5:$BB$304,章节关卡!$AY$5:$AY$304,"="&amp;金币总表!A25)</f>
        <v>45000</v>
      </c>
      <c r="G25" s="14">
        <f>章节关卡!Y27</f>
        <v>35720</v>
      </c>
      <c r="H25" s="14">
        <f>SUMIFS(章节关卡!$BJ$5:$BJ$304,章节关卡!$BG$5:$BG$304,"="&amp;金币总表!A24)</f>
        <v>84000</v>
      </c>
      <c r="I25" s="14">
        <f>章节关卡!AM26</f>
        <v>67500</v>
      </c>
      <c r="J25" s="14">
        <f>SUMIFS(芦花古楼!$H$5:$H$104,芦花古楼!$B$5:$B$104,"="&amp;金币总表!A25)</f>
        <v>0</v>
      </c>
      <c r="K25" s="14">
        <f>SUMIFS(芦花古楼!$S$5:$S$104,芦花古楼!$M$5:$M$104,"="&amp;金币总表!A25)</f>
        <v>0</v>
      </c>
      <c r="L25" s="14">
        <f>SUMIFS(芦花古楼!$AD$5:$AD$104,芦花古楼!$AI$5:$AI$104,"="&amp;金币总表!A25)</f>
        <v>0</v>
      </c>
      <c r="M25" s="14">
        <f>SUMIFS(芦花古楼!$AO$5:$AO$104,芦花古楼!$AI$5:$AI$104,"="&amp;金币总表!A25)</f>
        <v>0</v>
      </c>
      <c r="N25" s="14">
        <f>INDEX('恶灵入侵-专属解封'!$AF$6:$AF$22,MATCH(金币总表!B25,'恶灵入侵-专属解封'!$U$6:$U$22,1))</f>
        <v>67500</v>
      </c>
      <c r="O25" s="14">
        <f>日常任务!$E$2*金币总表!C25</f>
        <v>60000</v>
      </c>
      <c r="P25" s="14">
        <f>INDEX(日常副本!$F$6:$F$18,MATCH(金币总表!B25,日常副本!$B$6:$B$18,1))*C25*P$1</f>
        <v>840000</v>
      </c>
      <c r="Q25" s="14">
        <f t="shared" si="0"/>
        <v>2495720</v>
      </c>
      <c r="R25" s="134"/>
      <c r="S25" s="138"/>
      <c r="T25" s="138"/>
      <c r="AD25" s="142"/>
      <c r="AM25" s="138"/>
      <c r="AO25" s="142"/>
    </row>
    <row r="26" spans="1:41" s="132" customFormat="1" ht="16.5" x14ac:dyDescent="0.2">
      <c r="A26" s="129">
        <v>23</v>
      </c>
      <c r="B26" s="14">
        <f>节奏总表!L27</f>
        <v>120</v>
      </c>
      <c r="C26" s="14">
        <f>节奏总表!AC27</f>
        <v>3.3299999999999983</v>
      </c>
      <c r="D26" s="14">
        <f>节奏总表!N27*60</f>
        <v>9600</v>
      </c>
      <c r="E26" s="14">
        <f>INDEX(章节关卡!$H$6:$H$35,金币总表!A26)*D26</f>
        <v>1536000</v>
      </c>
      <c r="F26" s="14">
        <f>SUMIFS(章节关卡!$BB$5:$BB$304,章节关卡!$AY$5:$AY$304,"="&amp;金币总表!A26)</f>
        <v>48000</v>
      </c>
      <c r="G26" s="14">
        <f>章节关卡!Y28</f>
        <v>38250</v>
      </c>
      <c r="H26" s="14">
        <f>SUMIFS(章节关卡!$BJ$5:$BJ$304,章节关卡!$BG$5:$BG$304,"="&amp;金币总表!A25)</f>
        <v>90000</v>
      </c>
      <c r="I26" s="14">
        <f>章节关卡!AM27</f>
        <v>70500</v>
      </c>
      <c r="J26" s="14">
        <f>SUMIFS(芦花古楼!$H$5:$H$104,芦花古楼!$B$5:$B$104,"="&amp;金币总表!A26)</f>
        <v>0</v>
      </c>
      <c r="K26" s="14">
        <f>SUMIFS(芦花古楼!$S$5:$S$104,芦花古楼!$M$5:$M$104,"="&amp;金币总表!A26)</f>
        <v>0</v>
      </c>
      <c r="L26" s="14">
        <f>SUMIFS(芦花古楼!$AD$5:$AD$104,芦花古楼!$AI$5:$AI$104,"="&amp;金币总表!A26)</f>
        <v>0</v>
      </c>
      <c r="M26" s="14">
        <f>SUMIFS(芦花古楼!$AO$5:$AO$104,芦花古楼!$AI$5:$AI$104,"="&amp;金币总表!A26)</f>
        <v>0</v>
      </c>
      <c r="N26" s="14">
        <f>INDEX('恶灵入侵-专属解封'!$AF$6:$AF$22,MATCH(金币总表!B26,'恶灵入侵-专属解封'!$U$6:$U$22,1))</f>
        <v>75000</v>
      </c>
      <c r="O26" s="14">
        <f>日常任务!$E$2*金币总表!C26</f>
        <v>66599.999999999971</v>
      </c>
      <c r="P26" s="14">
        <f>INDEX(日常副本!$F$6:$F$18,MATCH(金币总表!B26,日常副本!$B$6:$B$18,1))*C26*P$1</f>
        <v>1132199.9999999995</v>
      </c>
      <c r="Q26" s="14">
        <f t="shared" si="0"/>
        <v>3056549.9999999995</v>
      </c>
      <c r="R26" s="134"/>
      <c r="S26" s="138"/>
      <c r="T26" s="138"/>
      <c r="AD26" s="142"/>
      <c r="AM26" s="138"/>
      <c r="AO26" s="142"/>
    </row>
    <row r="27" spans="1:41" s="132" customFormat="1" ht="16.5" x14ac:dyDescent="0.2">
      <c r="A27" s="129">
        <v>24</v>
      </c>
      <c r="B27" s="14">
        <f>节奏总表!L28</f>
        <v>125</v>
      </c>
      <c r="C27" s="14">
        <f>节奏总表!AC28</f>
        <v>3.75</v>
      </c>
      <c r="D27" s="14">
        <f>节奏总表!N28*60</f>
        <v>10800</v>
      </c>
      <c r="E27" s="14">
        <f>INDEX(章节关卡!$H$6:$H$35,金币总表!A27)*D27</f>
        <v>1836000</v>
      </c>
      <c r="F27" s="14">
        <f>SUMIFS(章节关卡!$BB$5:$BB$304,章节关卡!$AY$5:$AY$304,"="&amp;金币总表!A27)</f>
        <v>51000</v>
      </c>
      <c r="G27" s="14">
        <f>章节关卡!Y29</f>
        <v>42350</v>
      </c>
      <c r="H27" s="14">
        <f>SUMIFS(章节关卡!$BJ$5:$BJ$304,章节关卡!$BG$5:$BG$304,"="&amp;金币总表!A26)</f>
        <v>96000</v>
      </c>
      <c r="I27" s="14">
        <f>章节关卡!AM28</f>
        <v>75000</v>
      </c>
      <c r="J27" s="14">
        <f>SUMIFS(芦花古楼!$H$5:$H$104,芦花古楼!$B$5:$B$104,"="&amp;金币总表!A27)</f>
        <v>0</v>
      </c>
      <c r="K27" s="14">
        <f>SUMIFS(芦花古楼!$S$5:$S$104,芦花古楼!$M$5:$M$104,"="&amp;金币总表!A27)</f>
        <v>0</v>
      </c>
      <c r="L27" s="14">
        <f>SUMIFS(芦花古楼!$AD$5:$AD$104,芦花古楼!$AI$5:$AI$104,"="&amp;金币总表!A27)</f>
        <v>0</v>
      </c>
      <c r="M27" s="14">
        <f>SUMIFS(芦花古楼!$AO$5:$AO$104,芦花古楼!$AI$5:$AI$104,"="&amp;金币总表!A27)</f>
        <v>0</v>
      </c>
      <c r="N27" s="14">
        <f>INDEX('恶灵入侵-专属解封'!$AF$6:$AF$22,MATCH(金币总表!B27,'恶灵入侵-专属解封'!$U$6:$U$22,1))</f>
        <v>75000</v>
      </c>
      <c r="O27" s="14">
        <f>日常任务!$E$2*金币总表!C27</f>
        <v>75000</v>
      </c>
      <c r="P27" s="14">
        <f>INDEX(日常副本!$F$6:$F$18,MATCH(金币总表!B27,日常副本!$B$6:$B$18,1))*C27*P$1</f>
        <v>1275000</v>
      </c>
      <c r="Q27" s="14">
        <f t="shared" si="0"/>
        <v>3525350</v>
      </c>
      <c r="R27" s="134"/>
      <c r="S27" s="138"/>
      <c r="T27" s="138"/>
      <c r="AD27" s="142"/>
      <c r="AM27" s="138"/>
      <c r="AO27" s="142"/>
    </row>
    <row r="28" spans="1:41" s="132" customFormat="1" ht="16.5" x14ac:dyDescent="0.2">
      <c r="A28" s="129">
        <v>25</v>
      </c>
      <c r="B28" s="14">
        <f>节奏总表!L29</f>
        <v>130</v>
      </c>
      <c r="C28" s="14">
        <f>节奏总表!AC29</f>
        <v>4.3800000000000026</v>
      </c>
      <c r="D28" s="14">
        <f>节奏总表!N29*60</f>
        <v>12600</v>
      </c>
      <c r="E28" s="14">
        <f>INDEX(章节关卡!$H$6:$H$35,金币总表!A28)*D28</f>
        <v>2268000</v>
      </c>
      <c r="F28" s="14">
        <f>SUMIFS(章节关卡!$BB$5:$BB$304,章节关卡!$AY$5:$AY$304,"="&amp;金币总表!A28)</f>
        <v>54000</v>
      </c>
      <c r="G28" s="14">
        <f>章节关卡!Y30</f>
        <v>46500</v>
      </c>
      <c r="H28" s="14">
        <f>SUMIFS(章节关卡!$BJ$5:$BJ$304,章节关卡!$BG$5:$BG$304,"="&amp;金币总表!A27)</f>
        <v>102000</v>
      </c>
      <c r="I28" s="14">
        <f>章节关卡!AM29</f>
        <v>82500</v>
      </c>
      <c r="J28" s="14">
        <f>SUMIFS(芦花古楼!$H$5:$H$104,芦花古楼!$B$5:$B$104,"="&amp;金币总表!A28)</f>
        <v>0</v>
      </c>
      <c r="K28" s="14">
        <f>SUMIFS(芦花古楼!$S$5:$S$104,芦花古楼!$M$5:$M$104,"="&amp;金币总表!A28)</f>
        <v>0</v>
      </c>
      <c r="L28" s="14">
        <f>SUMIFS(芦花古楼!$AD$5:$AD$104,芦花古楼!$AI$5:$AI$104,"="&amp;金币总表!A28)</f>
        <v>0</v>
      </c>
      <c r="M28" s="14">
        <f>SUMIFS(芦花古楼!$AO$5:$AO$104,芦花古楼!$AI$5:$AI$104,"="&amp;金币总表!A28)</f>
        <v>0</v>
      </c>
      <c r="N28" s="14">
        <f>INDEX('恶灵入侵-专属解封'!$AF$6:$AF$22,MATCH(金币总表!B28,'恶灵入侵-专属解封'!$U$6:$U$22,1))</f>
        <v>90000</v>
      </c>
      <c r="O28" s="14">
        <f>日常任务!$E$2*金币总表!C28</f>
        <v>87600.000000000058</v>
      </c>
      <c r="P28" s="14">
        <f>INDEX(日常副本!$F$6:$F$18,MATCH(金币总表!B28,日常副本!$B$6:$B$18,1))*C28*P$1</f>
        <v>1664400.0000000009</v>
      </c>
      <c r="Q28" s="14">
        <f t="shared" si="0"/>
        <v>4395000.0000000009</v>
      </c>
      <c r="R28" s="134"/>
      <c r="S28" s="138"/>
      <c r="T28" s="138"/>
      <c r="AD28" s="142"/>
      <c r="AM28" s="138"/>
      <c r="AO28" s="142"/>
    </row>
    <row r="29" spans="1:41" s="132" customFormat="1" ht="16.5" x14ac:dyDescent="0.2">
      <c r="A29" s="129">
        <v>26</v>
      </c>
      <c r="B29" s="14">
        <f>节奏总表!L30</f>
        <v>135</v>
      </c>
      <c r="C29" s="14">
        <f>节奏总表!AC30</f>
        <v>5.2100000000000009</v>
      </c>
      <c r="D29" s="14">
        <f>节奏总表!N30*60</f>
        <v>15000</v>
      </c>
      <c r="E29" s="14">
        <f>INDEX(章节关卡!$H$6:$H$35,金币总表!A29)*D29</f>
        <v>2850000</v>
      </c>
      <c r="F29" s="14">
        <f>SUMIFS(章节关卡!$BB$5:$BB$304,章节关卡!$AY$5:$AY$304,"="&amp;金币总表!A29)</f>
        <v>57000</v>
      </c>
      <c r="G29" s="14">
        <f>章节关卡!Y31</f>
        <v>50700</v>
      </c>
      <c r="H29" s="14">
        <f>SUMIFS(章节关卡!$BJ$5:$BJ$304,章节关卡!$BG$5:$BG$304,"="&amp;金币总表!A28)</f>
        <v>108000</v>
      </c>
      <c r="I29" s="14">
        <f>章节关卡!AM30</f>
        <v>90000</v>
      </c>
      <c r="J29" s="14">
        <f>SUMIFS(芦花古楼!$H$5:$H$104,芦花古楼!$B$5:$B$104,"="&amp;金币总表!A29)</f>
        <v>0</v>
      </c>
      <c r="K29" s="14">
        <f>SUMIFS(芦花古楼!$S$5:$S$104,芦花古楼!$M$5:$M$104,"="&amp;金币总表!A29)</f>
        <v>0</v>
      </c>
      <c r="L29" s="14">
        <f>SUMIFS(芦花古楼!$AD$5:$AD$104,芦花古楼!$AI$5:$AI$104,"="&amp;金币总表!A29)</f>
        <v>0</v>
      </c>
      <c r="M29" s="14">
        <f>SUMIFS(芦花古楼!$AO$5:$AO$104,芦花古楼!$AI$5:$AI$104,"="&amp;金币总表!A29)</f>
        <v>0</v>
      </c>
      <c r="N29" s="14">
        <f>INDEX('恶灵入侵-专属解封'!$AF$6:$AF$22,MATCH(金币总表!B29,'恶灵入侵-专属解封'!$U$6:$U$22,1))</f>
        <v>90000</v>
      </c>
      <c r="O29" s="14">
        <f>日常任务!$E$2*金币总表!C29</f>
        <v>104200.00000000001</v>
      </c>
      <c r="P29" s="14">
        <f>INDEX(日常副本!$F$6:$F$18,MATCH(金币总表!B29,日常副本!$B$6:$B$18,1))*C29*P$1</f>
        <v>1979800.0000000002</v>
      </c>
      <c r="Q29" s="14">
        <f t="shared" si="0"/>
        <v>5329700</v>
      </c>
      <c r="R29" s="134"/>
      <c r="S29" s="138"/>
      <c r="T29" s="138"/>
      <c r="AD29" s="142"/>
      <c r="AM29" s="138"/>
      <c r="AO29" s="142"/>
    </row>
    <row r="30" spans="1:41" s="132" customFormat="1" ht="16.5" x14ac:dyDescent="0.2">
      <c r="A30" s="129">
        <v>27</v>
      </c>
      <c r="B30" s="14">
        <f>节奏总表!L31</f>
        <v>140</v>
      </c>
      <c r="C30" s="14">
        <f>节奏总表!AC31</f>
        <v>6.25</v>
      </c>
      <c r="D30" s="14">
        <f>节奏总表!N31*60</f>
        <v>18000</v>
      </c>
      <c r="E30" s="14">
        <f>INDEX(章节关卡!$H$6:$H$35,金币总表!A30)*D30</f>
        <v>3600000</v>
      </c>
      <c r="F30" s="14">
        <f>SUMIFS(章节关卡!$BB$5:$BB$304,章节关卡!$AY$5:$AY$304,"="&amp;金币总表!A30)</f>
        <v>60000</v>
      </c>
      <c r="G30" s="14">
        <f>章节关卡!Y32</f>
        <v>54950</v>
      </c>
      <c r="H30" s="14">
        <f>SUMIFS(章节关卡!$BJ$5:$BJ$304,章节关卡!$BG$5:$BG$304,"="&amp;金币总表!A29)</f>
        <v>114000</v>
      </c>
      <c r="I30" s="14">
        <f>章节关卡!AM31</f>
        <v>97500</v>
      </c>
      <c r="J30" s="14">
        <f>SUMIFS(芦花古楼!$H$5:$H$104,芦花古楼!$B$5:$B$104,"="&amp;金币总表!A30)</f>
        <v>0</v>
      </c>
      <c r="K30" s="14">
        <f>SUMIFS(芦花古楼!$S$5:$S$104,芦花古楼!$M$5:$M$104,"="&amp;金币总表!A30)</f>
        <v>0</v>
      </c>
      <c r="L30" s="14">
        <f>SUMIFS(芦花古楼!$AD$5:$AD$104,芦花古楼!$AI$5:$AI$104,"="&amp;金币总表!A30)</f>
        <v>0</v>
      </c>
      <c r="M30" s="14">
        <f>SUMIFS(芦花古楼!$AO$5:$AO$104,芦花古楼!$AI$5:$AI$104,"="&amp;金币总表!A30)</f>
        <v>0</v>
      </c>
      <c r="N30" s="14">
        <f>INDEX('恶灵入侵-专属解封'!$AF$6:$AF$22,MATCH(金币总表!B30,'恶灵入侵-专属解封'!$U$6:$U$22,1))</f>
        <v>90000</v>
      </c>
      <c r="O30" s="14">
        <f>日常任务!$E$2*金币总表!C30</f>
        <v>125000</v>
      </c>
      <c r="P30" s="14">
        <f>INDEX(日常副本!$F$6:$F$18,MATCH(金币总表!B30,日常副本!$B$6:$B$18,1))*C30*P$1</f>
        <v>2625000</v>
      </c>
      <c r="Q30" s="14">
        <f t="shared" si="0"/>
        <v>6766450</v>
      </c>
      <c r="R30" s="134"/>
      <c r="S30" s="138"/>
      <c r="T30" s="138"/>
      <c r="AD30" s="142"/>
      <c r="AM30" s="138"/>
      <c r="AO30" s="142"/>
    </row>
    <row r="31" spans="1:41" s="132" customFormat="1" ht="16.5" x14ac:dyDescent="0.2">
      <c r="A31" s="129">
        <v>28</v>
      </c>
      <c r="B31" s="14">
        <f>节奏总表!L32</f>
        <v>145</v>
      </c>
      <c r="C31" s="14">
        <f>节奏总表!AC32</f>
        <v>7.0799999999999983</v>
      </c>
      <c r="D31" s="14">
        <f>节奏总表!N32*60</f>
        <v>20400</v>
      </c>
      <c r="E31" s="14">
        <f>INDEX(章节关卡!$H$6:$H$35,金币总表!A31)*D31</f>
        <v>4284000</v>
      </c>
      <c r="F31" s="14">
        <f>SUMIFS(章节关卡!$BB$5:$BB$304,章节关卡!$AY$5:$AY$304,"="&amp;金币总表!A31)</f>
        <v>63000</v>
      </c>
      <c r="G31" s="14">
        <f>章节关卡!Y33</f>
        <v>59250</v>
      </c>
      <c r="H31" s="14">
        <f>SUMIFS(章节关卡!$BJ$5:$BJ$304,章节关卡!$BG$5:$BG$304,"="&amp;金币总表!A30)</f>
        <v>120000</v>
      </c>
      <c r="I31" s="14">
        <f>章节关卡!AM32</f>
        <v>105000</v>
      </c>
      <c r="J31" s="14">
        <f>SUMIFS(芦花古楼!$H$5:$H$104,芦花古楼!$B$5:$B$104,"="&amp;金币总表!A31)</f>
        <v>0</v>
      </c>
      <c r="K31" s="14">
        <f>SUMIFS(芦花古楼!$S$5:$S$104,芦花古楼!$M$5:$M$104,"="&amp;金币总表!A31)</f>
        <v>0</v>
      </c>
      <c r="L31" s="14">
        <f>SUMIFS(芦花古楼!$AD$5:$AD$104,芦花古楼!$AI$5:$AI$104,"="&amp;金币总表!A31)</f>
        <v>0</v>
      </c>
      <c r="M31" s="14">
        <f>SUMIFS(芦花古楼!$AO$5:$AO$104,芦花古楼!$AI$5:$AI$104,"="&amp;金币总表!A31)</f>
        <v>0</v>
      </c>
      <c r="N31" s="14">
        <f>INDEX('恶灵入侵-专属解封'!$AF$6:$AF$22,MATCH(金币总表!B31,'恶灵入侵-专属解封'!$U$6:$U$22,1))</f>
        <v>90000</v>
      </c>
      <c r="O31" s="14">
        <f>日常任务!$E$2*金币总表!C31</f>
        <v>141599.99999999997</v>
      </c>
      <c r="P31" s="14">
        <f>INDEX(日常副本!$F$6:$F$18,MATCH(金币总表!B31,日常副本!$B$6:$B$18,1))*C31*P$1</f>
        <v>2973599.9999999995</v>
      </c>
      <c r="Q31" s="14">
        <f t="shared" si="0"/>
        <v>7836450</v>
      </c>
      <c r="R31" s="134"/>
      <c r="S31" s="138"/>
      <c r="T31" s="138"/>
      <c r="AD31" s="142"/>
      <c r="AM31" s="138"/>
      <c r="AO31" s="142"/>
    </row>
    <row r="32" spans="1:41" s="132" customFormat="1" ht="16.5" x14ac:dyDescent="0.2">
      <c r="A32" s="129">
        <v>29</v>
      </c>
      <c r="B32" s="14">
        <f>节奏总表!L33</f>
        <v>150</v>
      </c>
      <c r="C32" s="14">
        <f>节奏总表!AC33</f>
        <v>30</v>
      </c>
      <c r="D32" s="14">
        <f>节奏总表!N33*60</f>
        <v>86400</v>
      </c>
      <c r="E32" s="14">
        <f>INDEX(章节关卡!$H$6:$H$35,金币总表!A32)*D32</f>
        <v>19008000</v>
      </c>
      <c r="F32" s="14">
        <f>SUMIFS(章节关卡!$BB$5:$BB$304,章节关卡!$AY$5:$AY$304,"="&amp;金币总表!A32)</f>
        <v>66000</v>
      </c>
      <c r="G32" s="14">
        <f>章节关卡!Y34</f>
        <v>63600</v>
      </c>
      <c r="H32" s="14">
        <f>SUMIFS(章节关卡!$BJ$5:$BJ$304,章节关卡!$BG$5:$BG$304,"="&amp;金币总表!A31)</f>
        <v>126000</v>
      </c>
      <c r="I32" s="14">
        <f>章节关卡!AM33</f>
        <v>112500</v>
      </c>
      <c r="J32" s="14">
        <f>SUMIFS(芦花古楼!$H$5:$H$104,芦花古楼!$B$5:$B$104,"="&amp;金币总表!A32)</f>
        <v>0</v>
      </c>
      <c r="K32" s="14">
        <f>SUMIFS(芦花古楼!$S$5:$S$104,芦花古楼!$M$5:$M$104,"="&amp;金币总表!A32)</f>
        <v>0</v>
      </c>
      <c r="L32" s="14">
        <f>SUMIFS(芦花古楼!$AD$5:$AD$104,芦花古楼!$AI$5:$AI$104,"="&amp;金币总表!A32)</f>
        <v>0</v>
      </c>
      <c r="M32" s="14">
        <f>SUMIFS(芦花古楼!$AO$5:$AO$104,芦花古楼!$AI$5:$AI$104,"="&amp;金币总表!A32)</f>
        <v>0</v>
      </c>
      <c r="N32" s="14">
        <f>INDEX('恶灵入侵-专属解封'!$AF$6:$AF$22,MATCH(金币总表!B32,'恶灵入侵-专属解封'!$U$6:$U$22,1))</f>
        <v>90000</v>
      </c>
      <c r="O32" s="14">
        <f>日常任务!$E$2*金币总表!C32</f>
        <v>600000</v>
      </c>
      <c r="P32" s="14">
        <f>INDEX(日常副本!$F$6:$F$18,MATCH(金币总表!B32,日常副本!$B$6:$B$18,1))*C32*P$1</f>
        <v>13200000</v>
      </c>
      <c r="Q32" s="14">
        <f t="shared" si="0"/>
        <v>33266100</v>
      </c>
      <c r="R32" s="134"/>
      <c r="S32" s="138"/>
      <c r="T32" s="138"/>
      <c r="AD32" s="142"/>
      <c r="AM32" s="138"/>
      <c r="AO32" s="142"/>
    </row>
    <row r="33" spans="1:41" s="132" customFormat="1" ht="16.5" x14ac:dyDescent="0.2">
      <c r="A33" s="129">
        <v>30</v>
      </c>
      <c r="B33" s="14">
        <f>节奏总表!L34</f>
        <v>150</v>
      </c>
      <c r="C33" s="14">
        <f>节奏总表!AC34</f>
        <v>60</v>
      </c>
      <c r="D33" s="14">
        <f>节奏总表!N34*60</f>
        <v>172800</v>
      </c>
      <c r="E33" s="14">
        <f>INDEX(章节关卡!$H$6:$H$35,金币总表!A33)*D33</f>
        <v>38016000</v>
      </c>
      <c r="F33" s="14">
        <f>SUMIFS(章节关卡!$BB$5:$BB$304,章节关卡!$AY$5:$AY$304,"="&amp;金币总表!A33)</f>
        <v>66000</v>
      </c>
      <c r="G33" s="14">
        <f>章节关卡!Y35</f>
        <v>76800</v>
      </c>
      <c r="H33" s="14">
        <f>SUMIFS(章节关卡!$BJ$5:$BJ$304,章节关卡!$BG$5:$BG$304,"="&amp;金币总表!A32)</f>
        <v>132000</v>
      </c>
      <c r="I33" s="14">
        <f>章节关卡!AM34</f>
        <v>120000</v>
      </c>
      <c r="J33" s="14">
        <f>SUMIFS(芦花古楼!$H$5:$H$104,芦花古楼!$B$5:$B$104,"="&amp;金币总表!A33)</f>
        <v>0</v>
      </c>
      <c r="K33" s="14">
        <f>SUMIFS(芦花古楼!$S$5:$S$104,芦花古楼!$M$5:$M$104,"="&amp;金币总表!A33)</f>
        <v>0</v>
      </c>
      <c r="L33" s="14">
        <f>SUMIFS(芦花古楼!$AD$5:$AD$104,芦花古楼!$AI$5:$AI$104,"="&amp;金币总表!A33)</f>
        <v>0</v>
      </c>
      <c r="M33" s="14">
        <f>SUMIFS(芦花古楼!$AO$5:$AO$104,芦花古楼!$AI$5:$AI$104,"="&amp;金币总表!A33)</f>
        <v>0</v>
      </c>
      <c r="N33" s="14">
        <f>INDEX('恶灵入侵-专属解封'!$AF$6:$AF$22,MATCH(金币总表!B33,'恶灵入侵-专属解封'!$U$6:$U$22,1))</f>
        <v>90000</v>
      </c>
      <c r="O33" s="14">
        <f>日常任务!$E$2*金币总表!C33</f>
        <v>1200000</v>
      </c>
      <c r="P33" s="14">
        <f>INDEX(日常副本!$F$6:$F$18,MATCH(金币总表!B33,日常副本!$B$6:$B$18,1))*C33*P$1</f>
        <v>26400000</v>
      </c>
      <c r="Q33" s="14">
        <f t="shared" si="0"/>
        <v>66100800</v>
      </c>
      <c r="R33" s="134"/>
      <c r="S33" s="138"/>
      <c r="T33" s="138"/>
      <c r="AD33" s="142"/>
      <c r="AM33" s="138"/>
      <c r="AO33" s="142"/>
    </row>
    <row r="34" spans="1:41" ht="16.5" x14ac:dyDescent="0.2">
      <c r="E34" s="14"/>
      <c r="F34" s="14"/>
      <c r="G34" s="21">
        <f t="shared" ref="G34:O34" si="14">G13/$Q13</f>
        <v>3.7583518930957682E-2</v>
      </c>
      <c r="H34" s="21">
        <f t="shared" si="14"/>
        <v>8.3518930957683743E-2</v>
      </c>
      <c r="I34" s="21">
        <f t="shared" si="14"/>
        <v>6.6815144766147E-2</v>
      </c>
      <c r="J34" s="21">
        <f t="shared" si="14"/>
        <v>0</v>
      </c>
      <c r="K34" s="21">
        <f t="shared" si="14"/>
        <v>0</v>
      </c>
      <c r="L34" s="21">
        <f t="shared" si="14"/>
        <v>0</v>
      </c>
      <c r="M34" s="21">
        <f t="shared" si="14"/>
        <v>0</v>
      </c>
      <c r="N34" s="21">
        <f t="shared" si="14"/>
        <v>7.5167037861915365E-2</v>
      </c>
      <c r="O34" s="21">
        <f t="shared" si="14"/>
        <v>4.6213808463251668E-2</v>
      </c>
      <c r="P34" s="14"/>
      <c r="Q34" s="15"/>
    </row>
    <row r="35" spans="1:41" x14ac:dyDescent="0.2">
      <c r="Q35" s="15"/>
    </row>
    <row r="36" spans="1:41" s="138" customFormat="1" x14ac:dyDescent="0.2">
      <c r="Q36" s="137"/>
      <c r="AD36" s="142"/>
      <c r="AO36" s="142"/>
    </row>
    <row r="37" spans="1:41" x14ac:dyDescent="0.2">
      <c r="A37" s="137"/>
      <c r="B37" s="137"/>
      <c r="C37" s="137"/>
      <c r="D37" s="137"/>
      <c r="E37" s="137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</row>
    <row r="38" spans="1:41" x14ac:dyDescent="0.2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137"/>
      <c r="O38" s="203"/>
      <c r="P38" s="203"/>
      <c r="Q38" s="203"/>
      <c r="R38" s="203"/>
      <c r="S38" s="203"/>
      <c r="T38" s="203"/>
      <c r="U38" s="203"/>
    </row>
    <row r="39" spans="1:41" x14ac:dyDescent="0.2">
      <c r="A39" s="137"/>
      <c r="B39" s="137"/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</row>
    <row r="40" spans="1:41" x14ac:dyDescent="0.2">
      <c r="A40" s="137"/>
      <c r="B40" s="137"/>
      <c r="C40" s="137"/>
      <c r="D40" s="137"/>
      <c r="E40" s="137"/>
      <c r="F40" s="137"/>
      <c r="G40" s="137"/>
      <c r="H40" s="137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</row>
    <row r="41" spans="1:41" x14ac:dyDescent="0.2">
      <c r="A41" s="137"/>
      <c r="B41" s="137"/>
      <c r="C41" s="137"/>
      <c r="D41" s="137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</row>
    <row r="42" spans="1:41" x14ac:dyDescent="0.2">
      <c r="A42" s="137"/>
      <c r="B42" s="137"/>
      <c r="C42" s="137"/>
      <c r="D42" s="137"/>
      <c r="E42" s="137"/>
      <c r="F42" s="137"/>
      <c r="G42" s="137"/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</row>
    <row r="43" spans="1:41" x14ac:dyDescent="0.2">
      <c r="A43" s="137"/>
      <c r="B43" s="137"/>
      <c r="C43" s="137"/>
      <c r="D43" s="137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37"/>
    </row>
    <row r="44" spans="1:41" x14ac:dyDescent="0.2">
      <c r="A44" s="137"/>
      <c r="B44" s="137"/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</row>
    <row r="45" spans="1:41" x14ac:dyDescent="0.2">
      <c r="M45" s="15"/>
      <c r="N45" s="15"/>
      <c r="O45" s="15"/>
      <c r="P45" s="15"/>
      <c r="Q45" s="15"/>
    </row>
    <row r="47" spans="1:41" x14ac:dyDescent="0.2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</row>
    <row r="48" spans="1:41" x14ac:dyDescent="0.2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</row>
    <row r="49" spans="1:11" x14ac:dyDescent="0.2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</row>
    <row r="50" spans="1:11" x14ac:dyDescent="0.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</row>
    <row r="51" spans="1:11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</row>
    <row r="52" spans="1:11" x14ac:dyDescent="0.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</row>
    <row r="53" spans="1:11" x14ac:dyDescent="0.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</row>
  </sheetData>
  <mergeCells count="2">
    <mergeCell ref="O38:U38"/>
    <mergeCell ref="A2:Q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I28" sqref="I28"/>
    </sheetView>
  </sheetViews>
  <sheetFormatPr defaultRowHeight="14.25" x14ac:dyDescent="0.2"/>
  <cols>
    <col min="2" max="2" width="25.625" customWidth="1"/>
    <col min="3" max="3" width="10.375" customWidth="1"/>
    <col min="4" max="4" width="12.5" customWidth="1"/>
  </cols>
  <sheetData>
    <row r="2" spans="1:5" ht="16.5" x14ac:dyDescent="0.2">
      <c r="C2" s="14">
        <f>SUM(C4:C18)</f>
        <v>20</v>
      </c>
      <c r="D2" s="24">
        <v>10000</v>
      </c>
      <c r="E2" s="24">
        <v>20000</v>
      </c>
    </row>
    <row r="3" spans="1:5" ht="17.25" x14ac:dyDescent="0.2">
      <c r="A3" s="12" t="s">
        <v>33</v>
      </c>
      <c r="B3" s="12" t="s">
        <v>62</v>
      </c>
      <c r="C3" s="12" t="s">
        <v>63</v>
      </c>
      <c r="D3" s="12" t="s">
        <v>61</v>
      </c>
      <c r="E3" s="12" t="s">
        <v>137</v>
      </c>
    </row>
    <row r="4" spans="1:5" ht="16.5" x14ac:dyDescent="0.2">
      <c r="A4" s="17">
        <v>1</v>
      </c>
      <c r="B4" s="17" t="s">
        <v>288</v>
      </c>
      <c r="C4" s="17">
        <v>1</v>
      </c>
      <c r="D4" s="14">
        <f>D$2/C$2*C4</f>
        <v>500</v>
      </c>
      <c r="E4" s="14">
        <f>E$2/$C$2*$C4</f>
        <v>1000</v>
      </c>
    </row>
    <row r="5" spans="1:5" ht="16.5" x14ac:dyDescent="0.2">
      <c r="A5" s="17">
        <v>2</v>
      </c>
      <c r="B5" s="17" t="s">
        <v>51</v>
      </c>
      <c r="C5" s="17">
        <v>1</v>
      </c>
      <c r="D5" s="14">
        <f t="shared" ref="D5:D17" si="0">D$2/C$2*C5</f>
        <v>500</v>
      </c>
      <c r="E5" s="14">
        <f t="shared" ref="E5:E18" si="1">E$2/$C$2*$C5</f>
        <v>1000</v>
      </c>
    </row>
    <row r="6" spans="1:5" ht="16.5" x14ac:dyDescent="0.2">
      <c r="A6" s="17">
        <v>3</v>
      </c>
      <c r="B6" s="17" t="s">
        <v>52</v>
      </c>
      <c r="C6" s="17">
        <v>1</v>
      </c>
      <c r="D6" s="14">
        <f t="shared" si="0"/>
        <v>500</v>
      </c>
      <c r="E6" s="14">
        <f t="shared" si="1"/>
        <v>1000</v>
      </c>
    </row>
    <row r="7" spans="1:5" ht="16.5" x14ac:dyDescent="0.2">
      <c r="A7" s="17">
        <v>4</v>
      </c>
      <c r="B7" s="17" t="s">
        <v>289</v>
      </c>
      <c r="C7" s="17">
        <v>1</v>
      </c>
      <c r="D7" s="14">
        <f t="shared" si="0"/>
        <v>500</v>
      </c>
      <c r="E7" s="14">
        <f t="shared" si="1"/>
        <v>1000</v>
      </c>
    </row>
    <row r="8" spans="1:5" ht="16.5" x14ac:dyDescent="0.2">
      <c r="A8" s="17">
        <v>5</v>
      </c>
      <c r="B8" s="17" t="s">
        <v>53</v>
      </c>
      <c r="C8" s="17">
        <v>1</v>
      </c>
      <c r="D8" s="14">
        <f t="shared" si="0"/>
        <v>500</v>
      </c>
      <c r="E8" s="14">
        <f t="shared" si="1"/>
        <v>1000</v>
      </c>
    </row>
    <row r="9" spans="1:5" ht="16.5" x14ac:dyDescent="0.2">
      <c r="A9" s="17">
        <v>6</v>
      </c>
      <c r="B9" s="17" t="s">
        <v>54</v>
      </c>
      <c r="C9" s="17">
        <v>1</v>
      </c>
      <c r="D9" s="14">
        <f t="shared" si="0"/>
        <v>500</v>
      </c>
      <c r="E9" s="14">
        <f t="shared" si="1"/>
        <v>1000</v>
      </c>
    </row>
    <row r="10" spans="1:5" ht="16.5" x14ac:dyDescent="0.2">
      <c r="A10" s="17">
        <v>7</v>
      </c>
      <c r="B10" s="17" t="s">
        <v>55</v>
      </c>
      <c r="C10" s="17">
        <v>1</v>
      </c>
      <c r="D10" s="14">
        <f t="shared" si="0"/>
        <v>500</v>
      </c>
      <c r="E10" s="14">
        <f t="shared" si="1"/>
        <v>1000</v>
      </c>
    </row>
    <row r="11" spans="1:5" ht="16.5" x14ac:dyDescent="0.2">
      <c r="A11" s="17">
        <v>8</v>
      </c>
      <c r="B11" s="17" t="s">
        <v>56</v>
      </c>
      <c r="C11" s="17">
        <v>1</v>
      </c>
      <c r="D11" s="14">
        <f t="shared" si="0"/>
        <v>500</v>
      </c>
      <c r="E11" s="14">
        <f t="shared" si="1"/>
        <v>1000</v>
      </c>
    </row>
    <row r="12" spans="1:5" ht="16.5" x14ac:dyDescent="0.2">
      <c r="A12" s="17">
        <v>9</v>
      </c>
      <c r="B12" s="17" t="s">
        <v>57</v>
      </c>
      <c r="C12" s="17">
        <v>1</v>
      </c>
      <c r="D12" s="14">
        <f t="shared" si="0"/>
        <v>500</v>
      </c>
      <c r="E12" s="14">
        <f t="shared" si="1"/>
        <v>1000</v>
      </c>
    </row>
    <row r="13" spans="1:5" ht="16.5" x14ac:dyDescent="0.2">
      <c r="A13" s="60">
        <v>10</v>
      </c>
      <c r="B13" s="17" t="s">
        <v>58</v>
      </c>
      <c r="C13" s="17">
        <v>1</v>
      </c>
      <c r="D13" s="14">
        <f t="shared" si="0"/>
        <v>500</v>
      </c>
      <c r="E13" s="14">
        <f t="shared" si="1"/>
        <v>1000</v>
      </c>
    </row>
    <row r="14" spans="1:5" ht="16.5" x14ac:dyDescent="0.2">
      <c r="A14" s="60">
        <v>11</v>
      </c>
      <c r="B14" s="17" t="s">
        <v>59</v>
      </c>
      <c r="C14" s="17">
        <v>2</v>
      </c>
      <c r="D14" s="14">
        <f t="shared" si="0"/>
        <v>1000</v>
      </c>
      <c r="E14" s="14">
        <f t="shared" si="1"/>
        <v>2000</v>
      </c>
    </row>
    <row r="15" spans="1:5" ht="16.5" x14ac:dyDescent="0.2">
      <c r="A15" s="60">
        <v>12</v>
      </c>
      <c r="B15" s="17" t="s">
        <v>290</v>
      </c>
      <c r="C15" s="17">
        <v>3</v>
      </c>
      <c r="D15" s="14">
        <f t="shared" si="0"/>
        <v>1500</v>
      </c>
      <c r="E15" s="14">
        <f t="shared" si="1"/>
        <v>3000</v>
      </c>
    </row>
    <row r="16" spans="1:5" ht="16.5" x14ac:dyDescent="0.2">
      <c r="A16" s="60">
        <v>13</v>
      </c>
      <c r="B16" s="17" t="s">
        <v>41</v>
      </c>
      <c r="C16" s="17">
        <v>1</v>
      </c>
      <c r="D16" s="14">
        <f t="shared" si="0"/>
        <v>500</v>
      </c>
      <c r="E16" s="14">
        <f t="shared" si="1"/>
        <v>1000</v>
      </c>
    </row>
    <row r="17" spans="1:5" ht="16.5" x14ac:dyDescent="0.2">
      <c r="A17" s="60">
        <v>14</v>
      </c>
      <c r="B17" s="17" t="s">
        <v>60</v>
      </c>
      <c r="C17" s="17">
        <v>2</v>
      </c>
      <c r="D17" s="14">
        <f t="shared" si="0"/>
        <v>1000</v>
      </c>
      <c r="E17" s="14">
        <f t="shared" si="1"/>
        <v>2000</v>
      </c>
    </row>
    <row r="18" spans="1:5" ht="16.5" x14ac:dyDescent="0.2">
      <c r="A18" s="60">
        <v>15</v>
      </c>
      <c r="B18" s="60" t="s">
        <v>423</v>
      </c>
      <c r="C18" s="60">
        <v>2</v>
      </c>
      <c r="D18" s="14">
        <f>D$2/C$2*C18</f>
        <v>1000</v>
      </c>
      <c r="E18" s="14">
        <f t="shared" si="1"/>
        <v>2000</v>
      </c>
    </row>
    <row r="19" spans="1:5" x14ac:dyDescent="0.2">
      <c r="A19" s="15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19"/>
  <sheetViews>
    <sheetView workbookViewId="0">
      <selection activeCell="AQ24" sqref="AQ24"/>
    </sheetView>
  </sheetViews>
  <sheetFormatPr defaultRowHeight="14.25" x14ac:dyDescent="0.2"/>
  <cols>
    <col min="1" max="1" width="8.875" customWidth="1"/>
    <col min="2" max="3" width="8.75" customWidth="1"/>
    <col min="4" max="4" width="8.875" customWidth="1"/>
    <col min="5" max="6" width="10.625" style="111" customWidth="1"/>
    <col min="7" max="9" width="11.875" style="111" customWidth="1"/>
    <col min="10" max="10" width="9.625" style="114" customWidth="1"/>
    <col min="11" max="11" width="10.5" style="114" customWidth="1"/>
    <col min="12" max="13" width="10.5" style="117" customWidth="1"/>
    <col min="16" max="16" width="11" customWidth="1"/>
    <col min="17" max="17" width="9.25" customWidth="1"/>
    <col min="18" max="19" width="9.125" bestFit="1" customWidth="1"/>
    <col min="20" max="20" width="11.375" bestFit="1" customWidth="1"/>
    <col min="21" max="21" width="11.375" customWidth="1"/>
    <col min="22" max="22" width="10.125" bestFit="1" customWidth="1"/>
    <col min="23" max="23" width="9.125" bestFit="1" customWidth="1"/>
    <col min="24" max="24" width="9.625" bestFit="1" customWidth="1"/>
    <col min="25" max="26" width="9.125" customWidth="1"/>
    <col min="27" max="27" width="12" customWidth="1"/>
    <col min="28" max="28" width="11.625" customWidth="1"/>
    <col min="29" max="30" width="14" customWidth="1"/>
    <col min="31" max="32" width="10.125" customWidth="1"/>
    <col min="33" max="42" width="12.625" customWidth="1"/>
    <col min="43" max="43" width="12.625" style="146" customWidth="1"/>
    <col min="44" max="44" width="9" customWidth="1"/>
    <col min="45" max="48" width="9" style="142" customWidth="1"/>
    <col min="49" max="49" width="9.75" customWidth="1"/>
    <col min="54" max="54" width="9.625" customWidth="1"/>
    <col min="55" max="55" width="8.875" customWidth="1"/>
    <col min="57" max="57" width="12" customWidth="1"/>
    <col min="58" max="58" width="13.25" customWidth="1"/>
    <col min="59" max="59" width="14.25" customWidth="1"/>
    <col min="60" max="60" width="13.5" customWidth="1"/>
    <col min="61" max="61" width="12.625" bestFit="1" customWidth="1"/>
    <col min="62" max="62" width="9.75" customWidth="1"/>
    <col min="63" max="63" width="10.25" customWidth="1"/>
    <col min="64" max="66" width="10.25" style="105" customWidth="1"/>
    <col min="67" max="67" width="10.625" style="142" customWidth="1"/>
    <col min="68" max="75" width="10.625" style="105" customWidth="1"/>
    <col min="76" max="76" width="12.375" style="105" customWidth="1"/>
    <col min="77" max="77" width="13" style="105" customWidth="1"/>
    <col min="78" max="79" width="12.75" style="105" customWidth="1"/>
    <col min="80" max="85" width="10.625" style="105" customWidth="1"/>
    <col min="86" max="86" width="12.625" style="105" customWidth="1"/>
    <col min="87" max="87" width="10.625" style="105" customWidth="1"/>
    <col min="88" max="88" width="10.25" style="142" customWidth="1"/>
    <col min="89" max="93" width="11.625" style="142" customWidth="1"/>
    <col min="94" max="94" width="11.5" style="142" customWidth="1"/>
    <col min="95" max="95" width="10.5" style="142" customWidth="1"/>
    <col min="96" max="96" width="10.75" style="142" customWidth="1"/>
    <col min="97" max="97" width="11.125" style="142" customWidth="1"/>
    <col min="98" max="98" width="9.25" style="142" customWidth="1"/>
    <col min="99" max="99" width="9.625" style="142" customWidth="1"/>
    <col min="100" max="103" width="11.125" style="142" customWidth="1"/>
    <col min="104" max="104" width="11.125" style="105" customWidth="1"/>
    <col min="105" max="105" width="13.5" style="102" customWidth="1"/>
    <col min="106" max="106" width="13.5" style="103" customWidth="1"/>
    <col min="107" max="107" width="12" customWidth="1"/>
    <col min="108" max="108" width="11.25" customWidth="1"/>
    <col min="109" max="109" width="11.125" customWidth="1"/>
    <col min="110" max="110" width="11.75" customWidth="1"/>
    <col min="111" max="111" width="11.5" customWidth="1"/>
    <col min="113" max="113" width="12.375" customWidth="1"/>
  </cols>
  <sheetData>
    <row r="1" spans="1:119" ht="16.5" x14ac:dyDescent="0.2">
      <c r="AW1" s="25" t="s">
        <v>154</v>
      </c>
      <c r="AX1" s="26">
        <v>3</v>
      </c>
      <c r="AY1" s="73"/>
      <c r="AZ1" s="15"/>
    </row>
    <row r="2" spans="1:119" ht="16.5" x14ac:dyDescent="0.2">
      <c r="A2" s="25" t="s">
        <v>152</v>
      </c>
      <c r="B2" s="26">
        <v>1</v>
      </c>
      <c r="C2" s="73"/>
      <c r="P2" s="61" t="s">
        <v>425</v>
      </c>
      <c r="Q2" s="14">
        <f>60*Q4/Q5</f>
        <v>5</v>
      </c>
      <c r="R2" s="14">
        <f t="shared" ref="R2:X2" si="0">60*R4/R5</f>
        <v>2.5</v>
      </c>
      <c r="S2" s="14">
        <f t="shared" si="0"/>
        <v>1</v>
      </c>
      <c r="T2" s="14">
        <f t="shared" si="0"/>
        <v>0.5</v>
      </c>
      <c r="U2" s="14">
        <f t="shared" si="0"/>
        <v>0.25</v>
      </c>
      <c r="V2" s="14">
        <f t="shared" si="0"/>
        <v>0.75</v>
      </c>
      <c r="W2" s="14">
        <f t="shared" si="0"/>
        <v>0.3</v>
      </c>
      <c r="X2" s="14">
        <f t="shared" si="0"/>
        <v>0.15</v>
      </c>
      <c r="Y2" s="14"/>
      <c r="Z2" s="14"/>
      <c r="AA2" s="14"/>
      <c r="AB2" s="14"/>
      <c r="AF2" s="157"/>
      <c r="AG2" s="157"/>
      <c r="AH2" s="157"/>
      <c r="AI2" s="157"/>
      <c r="AJ2" s="157"/>
      <c r="AK2" s="157"/>
      <c r="AL2" s="157"/>
      <c r="AM2" s="157"/>
      <c r="AN2" s="157"/>
      <c r="AO2" s="157"/>
    </row>
    <row r="3" spans="1:119" ht="20.25" x14ac:dyDescent="0.2">
      <c r="A3" s="186" t="s">
        <v>98</v>
      </c>
      <c r="B3" s="186"/>
      <c r="C3" s="186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E3" s="160" t="s">
        <v>1437</v>
      </c>
      <c r="AF3" s="159">
        <v>3</v>
      </c>
      <c r="BP3"/>
      <c r="BQ3"/>
      <c r="BR3"/>
      <c r="BS3"/>
      <c r="BT3"/>
      <c r="BU3"/>
      <c r="BV3"/>
      <c r="BW3"/>
      <c r="BX3" s="14">
        <f t="shared" ref="BX3:CG3" si="1">Q43+AG38</f>
        <v>150168.57142857142</v>
      </c>
      <c r="BY3" s="14">
        <f t="shared" si="1"/>
        <v>86472.321428571435</v>
      </c>
      <c r="BZ3" s="14">
        <f t="shared" si="1"/>
        <v>30287.357142857141</v>
      </c>
      <c r="CA3" s="14">
        <f t="shared" si="1"/>
        <v>12542.642857142857</v>
      </c>
      <c r="CB3" s="14">
        <f t="shared" si="1"/>
        <v>8058.8214285714284</v>
      </c>
      <c r="CC3" s="14">
        <f t="shared" si="1"/>
        <v>10421.957142857142</v>
      </c>
      <c r="CD3" s="14">
        <f t="shared" si="1"/>
        <v>3858.8930000000009</v>
      </c>
      <c r="CE3" s="14">
        <f t="shared" si="1"/>
        <v>1726.3679999999999</v>
      </c>
      <c r="CF3" s="14">
        <f t="shared" si="1"/>
        <v>1450.3815</v>
      </c>
      <c r="CG3" s="14">
        <f t="shared" si="1"/>
        <v>159.56562500000001</v>
      </c>
      <c r="CH3" s="14">
        <f>AB43</f>
        <v>148003000</v>
      </c>
      <c r="DI3" s="102"/>
      <c r="DJ3" s="102"/>
      <c r="DK3" s="102"/>
      <c r="DL3" s="102"/>
      <c r="DM3" s="102"/>
      <c r="DN3" s="102"/>
      <c r="DO3" s="102"/>
    </row>
    <row r="4" spans="1:119" ht="20.25" x14ac:dyDescent="0.2">
      <c r="A4" s="15"/>
      <c r="B4" s="15"/>
      <c r="C4" s="15"/>
      <c r="D4" s="15"/>
      <c r="E4" s="110"/>
      <c r="F4" s="110"/>
      <c r="G4" s="110"/>
      <c r="H4" s="110"/>
      <c r="I4" s="110"/>
      <c r="J4" s="113"/>
      <c r="K4" s="113"/>
      <c r="L4" s="116"/>
      <c r="M4" s="116"/>
      <c r="N4" s="15"/>
      <c r="O4" s="15"/>
      <c r="P4" s="25" t="s">
        <v>146</v>
      </c>
      <c r="Q4" s="26">
        <v>0.5</v>
      </c>
      <c r="R4" s="26">
        <v>0.25</v>
      </c>
      <c r="S4" s="26">
        <v>0.1</v>
      </c>
      <c r="T4" s="26">
        <v>0.05</v>
      </c>
      <c r="U4" s="64">
        <v>2.5000000000000001E-2</v>
      </c>
      <c r="V4" s="26">
        <v>0.25</v>
      </c>
      <c r="W4" s="26">
        <v>0.1</v>
      </c>
      <c r="X4" s="26">
        <v>0.05</v>
      </c>
      <c r="Y4" s="64">
        <v>2.5000000000000001E-2</v>
      </c>
      <c r="Z4" s="64">
        <v>2.5000000000000001E-2</v>
      </c>
      <c r="AA4" s="30">
        <v>1</v>
      </c>
      <c r="AB4" s="30">
        <v>1</v>
      </c>
      <c r="AE4" s="186" t="s">
        <v>513</v>
      </c>
      <c r="AF4" s="186"/>
      <c r="AG4" s="186"/>
      <c r="AH4" s="186"/>
      <c r="AI4" s="186"/>
      <c r="AJ4" s="186"/>
      <c r="AK4" s="186"/>
      <c r="AL4" s="186"/>
      <c r="AM4" s="186"/>
      <c r="AN4" s="186"/>
      <c r="AO4" s="186"/>
      <c r="AR4" s="186" t="s">
        <v>1149</v>
      </c>
      <c r="AS4" s="186"/>
      <c r="AT4" s="186"/>
      <c r="AW4" s="187" t="s">
        <v>978</v>
      </c>
      <c r="AX4" s="187"/>
      <c r="AY4" s="187"/>
      <c r="AZ4" s="187"/>
      <c r="BA4" s="187"/>
      <c r="BB4" s="187"/>
      <c r="BC4" s="187"/>
      <c r="BD4" s="187"/>
      <c r="BE4" s="187"/>
      <c r="BF4" s="187"/>
      <c r="BG4" s="187"/>
      <c r="BH4" s="187"/>
      <c r="BI4" s="187"/>
      <c r="BJ4" s="187"/>
      <c r="BK4" s="187"/>
      <c r="BL4" s="187"/>
      <c r="BM4" s="187"/>
      <c r="BN4" s="187"/>
      <c r="BP4"/>
      <c r="BQ4"/>
      <c r="BR4"/>
      <c r="BS4"/>
      <c r="BT4"/>
      <c r="BU4"/>
      <c r="BV4"/>
      <c r="BW4"/>
      <c r="BX4" t="s">
        <v>432</v>
      </c>
      <c r="BY4" t="s">
        <v>433</v>
      </c>
      <c r="BZ4" t="s">
        <v>434</v>
      </c>
      <c r="CA4" t="s">
        <v>435</v>
      </c>
      <c r="CB4" t="s">
        <v>204</v>
      </c>
      <c r="CC4" t="s">
        <v>429</v>
      </c>
      <c r="CD4" t="s">
        <v>430</v>
      </c>
      <c r="CE4" t="s">
        <v>431</v>
      </c>
      <c r="CF4" t="s">
        <v>983</v>
      </c>
      <c r="CG4" s="105" t="s">
        <v>999</v>
      </c>
      <c r="CH4" s="102" t="s">
        <v>996</v>
      </c>
      <c r="CJ4" s="186" t="s">
        <v>981</v>
      </c>
      <c r="CK4" s="186"/>
      <c r="CL4" s="186"/>
      <c r="CM4" s="186"/>
      <c r="CN4" s="186"/>
      <c r="CO4" s="186"/>
      <c r="CP4" s="186"/>
      <c r="CQ4" s="186"/>
      <c r="CR4" s="186"/>
      <c r="CS4" s="186"/>
      <c r="CT4" s="186"/>
      <c r="CU4" s="186"/>
      <c r="CV4" s="186"/>
      <c r="CW4" s="186"/>
      <c r="CX4" s="186"/>
      <c r="CY4" s="186"/>
      <c r="CZ4" s="186"/>
      <c r="DC4" s="12" t="s">
        <v>165</v>
      </c>
      <c r="DD4" s="12" t="s">
        <v>166</v>
      </c>
      <c r="DE4" s="12" t="s">
        <v>167</v>
      </c>
      <c r="DF4" s="12" t="s">
        <v>168</v>
      </c>
      <c r="DG4" s="12" t="s">
        <v>162</v>
      </c>
      <c r="DI4" s="102"/>
      <c r="DJ4" s="102"/>
      <c r="DK4" s="102"/>
      <c r="DL4" s="102"/>
      <c r="DM4" s="102"/>
      <c r="DN4" s="102"/>
      <c r="DO4" s="102"/>
    </row>
    <row r="5" spans="1:119" ht="17.25" x14ac:dyDescent="0.2">
      <c r="A5" s="15"/>
      <c r="B5" s="15"/>
      <c r="C5" s="15"/>
      <c r="D5" s="15"/>
      <c r="E5" s="110"/>
      <c r="F5" s="110"/>
      <c r="G5" s="110"/>
      <c r="H5" s="110"/>
      <c r="I5" s="110"/>
      <c r="J5" s="113"/>
      <c r="K5" s="113"/>
      <c r="L5" s="116"/>
      <c r="M5" s="116"/>
      <c r="N5" s="15"/>
      <c r="O5" s="15"/>
      <c r="P5" s="25" t="s">
        <v>147</v>
      </c>
      <c r="Q5" s="26">
        <v>6</v>
      </c>
      <c r="R5" s="26">
        <v>6</v>
      </c>
      <c r="S5" s="26">
        <v>6</v>
      </c>
      <c r="T5" s="26">
        <v>6</v>
      </c>
      <c r="U5" s="64">
        <v>6</v>
      </c>
      <c r="V5" s="26">
        <v>20</v>
      </c>
      <c r="W5" s="26">
        <v>20</v>
      </c>
      <c r="X5" s="26">
        <v>20</v>
      </c>
      <c r="Y5" s="64">
        <v>20</v>
      </c>
      <c r="Z5" s="64">
        <v>60</v>
      </c>
      <c r="AA5" s="30">
        <v>1</v>
      </c>
      <c r="AB5" s="30">
        <v>1</v>
      </c>
      <c r="AG5" s="44">
        <v>960</v>
      </c>
      <c r="AH5" s="44">
        <v>960</v>
      </c>
      <c r="AI5" s="44">
        <v>960</v>
      </c>
      <c r="AJ5" s="44">
        <v>960</v>
      </c>
      <c r="AK5" s="44">
        <v>960</v>
      </c>
      <c r="AL5" s="44">
        <v>1440</v>
      </c>
      <c r="AM5" s="44">
        <v>1440</v>
      </c>
      <c r="AN5" s="44">
        <v>1440</v>
      </c>
      <c r="AO5" s="44">
        <v>1440</v>
      </c>
      <c r="AR5" s="141"/>
      <c r="AS5" s="141"/>
      <c r="AT5" s="141"/>
      <c r="AW5" s="45" t="s">
        <v>501</v>
      </c>
      <c r="AX5" s="12" t="s">
        <v>514</v>
      </c>
      <c r="AY5" s="12" t="s">
        <v>515</v>
      </c>
      <c r="AZ5" s="12" t="s">
        <v>153</v>
      </c>
      <c r="BA5" s="12" t="s">
        <v>145</v>
      </c>
      <c r="BB5" s="12" t="s">
        <v>141</v>
      </c>
      <c r="BC5" s="12" t="s">
        <v>142</v>
      </c>
      <c r="BD5" s="12" t="s">
        <v>143</v>
      </c>
      <c r="BE5" s="12" t="s">
        <v>144</v>
      </c>
      <c r="BF5" s="31" t="s">
        <v>440</v>
      </c>
      <c r="BG5" s="12" t="s">
        <v>426</v>
      </c>
      <c r="BH5" s="12" t="s">
        <v>427</v>
      </c>
      <c r="BI5" s="12" t="s">
        <v>428</v>
      </c>
      <c r="BJ5" s="31" t="s">
        <v>444</v>
      </c>
      <c r="BK5" s="12" t="s">
        <v>443</v>
      </c>
      <c r="BL5" s="12" t="s">
        <v>1141</v>
      </c>
      <c r="BM5" s="12" t="s">
        <v>998</v>
      </c>
      <c r="BN5" s="12" t="s">
        <v>997</v>
      </c>
      <c r="BP5" s="12" t="s">
        <v>140</v>
      </c>
      <c r="BQ5" s="12" t="s">
        <v>514</v>
      </c>
      <c r="BR5" s="12" t="s">
        <v>515</v>
      </c>
      <c r="BS5" s="12" t="s">
        <v>153</v>
      </c>
      <c r="BT5" s="12" t="s">
        <v>145</v>
      </c>
      <c r="BU5" s="12" t="s">
        <v>209</v>
      </c>
      <c r="BV5" s="12" t="s">
        <v>210</v>
      </c>
      <c r="BW5" s="12" t="s">
        <v>211</v>
      </c>
      <c r="BX5" s="12" t="s">
        <v>141</v>
      </c>
      <c r="BY5" s="12" t="s">
        <v>142</v>
      </c>
      <c r="BZ5" s="12" t="s">
        <v>143</v>
      </c>
      <c r="CA5" s="12" t="s">
        <v>144</v>
      </c>
      <c r="CB5" s="12" t="s">
        <v>440</v>
      </c>
      <c r="CC5" s="12" t="s">
        <v>429</v>
      </c>
      <c r="CD5" s="12" t="s">
        <v>430</v>
      </c>
      <c r="CE5" s="12" t="s">
        <v>431</v>
      </c>
      <c r="CF5" s="12" t="s">
        <v>438</v>
      </c>
      <c r="CG5" s="12" t="s">
        <v>999</v>
      </c>
      <c r="CH5" s="12" t="s">
        <v>995</v>
      </c>
      <c r="CJ5" s="12" t="s">
        <v>979</v>
      </c>
      <c r="CK5" s="12" t="s">
        <v>980</v>
      </c>
      <c r="CL5" s="12" t="s">
        <v>145</v>
      </c>
      <c r="CM5" s="12" t="s">
        <v>1011</v>
      </c>
      <c r="CN5" s="12" t="s">
        <v>1012</v>
      </c>
      <c r="CO5" s="12" t="s">
        <v>1010</v>
      </c>
      <c r="CP5" s="12" t="s">
        <v>426</v>
      </c>
      <c r="CQ5" s="12" t="s">
        <v>427</v>
      </c>
      <c r="CR5" s="12" t="s">
        <v>428</v>
      </c>
      <c r="CS5" s="12" t="s">
        <v>444</v>
      </c>
      <c r="CT5" s="12" t="s">
        <v>1151</v>
      </c>
      <c r="CU5" s="12" t="s">
        <v>1152</v>
      </c>
      <c r="CV5" s="12" t="s">
        <v>426</v>
      </c>
      <c r="CW5" s="12" t="s">
        <v>427</v>
      </c>
      <c r="CX5" s="12" t="s">
        <v>428</v>
      </c>
      <c r="CY5" s="12" t="s">
        <v>438</v>
      </c>
      <c r="CZ5" s="12" t="s">
        <v>1013</v>
      </c>
      <c r="DC5" s="14">
        <f>金币总表!P40</f>
        <v>0</v>
      </c>
      <c r="DD5" s="19">
        <v>0.1</v>
      </c>
      <c r="DE5" s="14">
        <f>INT(DC$5*DD5)</f>
        <v>0</v>
      </c>
      <c r="DF5" s="30">
        <v>1</v>
      </c>
      <c r="DG5" s="14">
        <f>INT(DE5/DF5/$AX$1/500)*500</f>
        <v>0</v>
      </c>
      <c r="DI5" s="102"/>
      <c r="DJ5" s="102"/>
      <c r="DK5" s="102"/>
      <c r="DL5" s="102"/>
      <c r="DM5" s="102"/>
      <c r="DN5" s="102"/>
      <c r="DO5" s="102"/>
    </row>
    <row r="6" spans="1:119" ht="17.25" x14ac:dyDescent="0.2">
      <c r="A6" s="12" t="s">
        <v>123</v>
      </c>
      <c r="B6" s="12" t="s">
        <v>149</v>
      </c>
      <c r="C6" s="12" t="s">
        <v>506</v>
      </c>
      <c r="D6" s="12" t="s">
        <v>148</v>
      </c>
      <c r="E6" s="12" t="s">
        <v>1021</v>
      </c>
      <c r="F6" s="12" t="s">
        <v>1020</v>
      </c>
      <c r="G6" s="12" t="s">
        <v>1019</v>
      </c>
      <c r="H6" s="12" t="s">
        <v>1018</v>
      </c>
      <c r="I6" s="12" t="s">
        <v>1017</v>
      </c>
      <c r="J6" s="12" t="s">
        <v>1024</v>
      </c>
      <c r="K6" s="12" t="s">
        <v>1025</v>
      </c>
      <c r="L6" s="12" t="s">
        <v>1026</v>
      </c>
      <c r="M6" s="12" t="s">
        <v>1027</v>
      </c>
      <c r="N6" s="12" t="s">
        <v>83</v>
      </c>
      <c r="O6" s="12" t="s">
        <v>507</v>
      </c>
      <c r="P6" s="12" t="s">
        <v>139</v>
      </c>
      <c r="Q6" s="12" t="s">
        <v>141</v>
      </c>
      <c r="R6" s="12" t="s">
        <v>142</v>
      </c>
      <c r="S6" s="12" t="s">
        <v>143</v>
      </c>
      <c r="T6" s="12" t="s">
        <v>144</v>
      </c>
      <c r="U6" s="12" t="s">
        <v>436</v>
      </c>
      <c r="V6" s="12" t="s">
        <v>429</v>
      </c>
      <c r="W6" s="12" t="s">
        <v>430</v>
      </c>
      <c r="X6" s="12" t="s">
        <v>431</v>
      </c>
      <c r="Y6" s="12" t="s">
        <v>441</v>
      </c>
      <c r="Z6" s="12" t="s">
        <v>437</v>
      </c>
      <c r="AA6" s="12" t="s">
        <v>164</v>
      </c>
      <c r="AB6" s="12" t="s">
        <v>163</v>
      </c>
      <c r="AE6" s="12" t="s">
        <v>123</v>
      </c>
      <c r="AF6" s="12" t="s">
        <v>506</v>
      </c>
      <c r="AG6" s="12" t="s">
        <v>141</v>
      </c>
      <c r="AH6" s="12" t="s">
        <v>142</v>
      </c>
      <c r="AI6" s="12" t="s">
        <v>143</v>
      </c>
      <c r="AJ6" s="12" t="s">
        <v>144</v>
      </c>
      <c r="AK6" s="12" t="s">
        <v>440</v>
      </c>
      <c r="AL6" s="12" t="s">
        <v>429</v>
      </c>
      <c r="AM6" s="12" t="s">
        <v>430</v>
      </c>
      <c r="AN6" s="12" t="s">
        <v>431</v>
      </c>
      <c r="AO6" s="12" t="s">
        <v>442</v>
      </c>
      <c r="AP6" s="15"/>
      <c r="AQ6" s="145"/>
      <c r="AR6" s="12" t="s">
        <v>1138</v>
      </c>
      <c r="AS6" s="12" t="s">
        <v>1139</v>
      </c>
      <c r="AT6" s="12" t="s">
        <v>1140</v>
      </c>
      <c r="AW6" s="73">
        <v>1</v>
      </c>
      <c r="AX6" s="73">
        <v>1</v>
      </c>
      <c r="AY6" s="14" t="str">
        <f>INDEX(节奏总表!$BJ$4:$BJ$23,MATCH(挂机升级突破!AW6+1,节奏总表!$BM$4:$BM$22,1))</f>
        <v>等活</v>
      </c>
      <c r="AZ6" s="73"/>
      <c r="BA6" s="14">
        <f>INDEX(节奏总表!$BF$4:$BF$55,挂机升级突破!AW6)</f>
        <v>5</v>
      </c>
      <c r="BB6" s="19">
        <v>0.05</v>
      </c>
      <c r="BC6" s="73"/>
      <c r="BD6" s="73"/>
      <c r="BE6" s="73"/>
      <c r="BF6" s="73"/>
      <c r="BG6" s="73"/>
      <c r="BH6" s="73"/>
      <c r="BI6" s="73"/>
      <c r="BJ6" s="73"/>
      <c r="BK6" s="73"/>
      <c r="BL6" s="139">
        <v>1</v>
      </c>
      <c r="BM6" s="19">
        <v>1</v>
      </c>
      <c r="BN6" s="14">
        <f>INDEX($AT$7:$AT$14,BL6)*BM6</f>
        <v>5460</v>
      </c>
      <c r="BP6" s="76">
        <v>1</v>
      </c>
      <c r="BQ6" s="56">
        <v>1</v>
      </c>
      <c r="BR6" s="73" t="s">
        <v>537</v>
      </c>
      <c r="BS6" s="76">
        <v>9.0000000000000107</v>
      </c>
      <c r="BT6" s="14">
        <f t="shared" ref="BT6:BT37" si="2">BA6</f>
        <v>5</v>
      </c>
      <c r="BU6" s="30">
        <v>11</v>
      </c>
      <c r="BV6" s="104">
        <v>1</v>
      </c>
      <c r="BW6" s="30"/>
      <c r="BX6" s="14">
        <f>ROUND(BX$3*BB6,0)</f>
        <v>7508</v>
      </c>
      <c r="BY6" s="14">
        <f t="shared" ref="BY6:CB6" si="3">ROUND(BY$3*BC6,0)</f>
        <v>0</v>
      </c>
      <c r="BZ6" s="14">
        <f t="shared" si="3"/>
        <v>0</v>
      </c>
      <c r="CA6" s="14">
        <f t="shared" si="3"/>
        <v>0</v>
      </c>
      <c r="CB6" s="14">
        <f t="shared" si="3"/>
        <v>0</v>
      </c>
      <c r="CC6" s="14">
        <f>ROUND(CC$3*BG6,0)</f>
        <v>0</v>
      </c>
      <c r="CD6" s="14">
        <f t="shared" ref="CD6:CG6" si="4">ROUND(CD$3*BH6,0)</f>
        <v>0</v>
      </c>
      <c r="CE6" s="14">
        <f t="shared" si="4"/>
        <v>0</v>
      </c>
      <c r="CF6" s="14">
        <f t="shared" si="4"/>
        <v>0</v>
      </c>
      <c r="CG6" s="14">
        <f t="shared" si="4"/>
        <v>0</v>
      </c>
      <c r="CH6" s="14">
        <f t="shared" ref="CH6:CH36" si="5">BN6</f>
        <v>5460</v>
      </c>
      <c r="CJ6" s="139">
        <v>0</v>
      </c>
      <c r="CK6" s="139" t="s">
        <v>982</v>
      </c>
      <c r="CL6" s="139"/>
      <c r="CM6" s="139"/>
      <c r="CN6" s="139"/>
      <c r="CO6" s="139"/>
      <c r="CP6" s="139"/>
      <c r="CQ6" s="139"/>
      <c r="CR6" s="139"/>
      <c r="CS6" s="139"/>
      <c r="CT6" s="139"/>
      <c r="CU6" s="139"/>
      <c r="CV6" s="14">
        <f>V43+AL38</f>
        <v>10421.957142857142</v>
      </c>
      <c r="CW6" s="14">
        <f>W43+AM38</f>
        <v>3858.8930000000009</v>
      </c>
      <c r="CX6" s="14">
        <f>X43+AN38</f>
        <v>1726.3679999999999</v>
      </c>
      <c r="CY6" s="14">
        <f>Y43+AO38</f>
        <v>1450.3815</v>
      </c>
      <c r="CZ6" s="14"/>
      <c r="DD6" s="19">
        <v>0.3</v>
      </c>
      <c r="DE6" s="14">
        <f>INT(DC$5*DD6)</f>
        <v>0</v>
      </c>
      <c r="DF6" s="30">
        <v>1</v>
      </c>
      <c r="DG6" s="14">
        <f t="shared" ref="DG6:DG39" si="6">INT(DE6/DF6/$AX$1/500)*500</f>
        <v>0</v>
      </c>
      <c r="DI6" s="102"/>
      <c r="DJ6" s="102"/>
      <c r="DK6" s="102"/>
      <c r="DL6" s="102"/>
      <c r="DM6" s="102"/>
      <c r="DN6" s="102"/>
      <c r="DO6" s="102"/>
    </row>
    <row r="7" spans="1:119" ht="16.5" x14ac:dyDescent="0.2">
      <c r="A7" s="26">
        <v>0</v>
      </c>
      <c r="B7" s="26">
        <v>0</v>
      </c>
      <c r="C7" s="73">
        <v>0</v>
      </c>
      <c r="D7" s="26">
        <v>0</v>
      </c>
      <c r="E7" s="109">
        <v>0</v>
      </c>
      <c r="F7" s="109">
        <v>0</v>
      </c>
      <c r="G7" s="109">
        <v>0</v>
      </c>
      <c r="H7" s="109">
        <v>0</v>
      </c>
      <c r="I7" s="109">
        <v>0</v>
      </c>
      <c r="J7" s="112">
        <v>1</v>
      </c>
      <c r="K7" s="112">
        <f>SUMIFS(章节关卡!$BS$5:$BS$94,章节关卡!$BO$5:$BO$94,"="&amp;挂机升级突破!A7)</f>
        <v>0</v>
      </c>
      <c r="L7" s="115"/>
      <c r="M7" s="115"/>
      <c r="N7" s="14">
        <v>0</v>
      </c>
      <c r="O7" s="14"/>
      <c r="P7" s="14">
        <v>0</v>
      </c>
      <c r="Q7" s="19">
        <v>0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19">
        <v>0</v>
      </c>
      <c r="Y7" s="19">
        <v>0</v>
      </c>
      <c r="Z7" s="19">
        <v>0</v>
      </c>
      <c r="AA7" s="14">
        <f>章节关卡!K5</f>
        <v>10</v>
      </c>
      <c r="AB7" s="14">
        <f>章节关卡!H5</f>
        <v>0</v>
      </c>
      <c r="AC7" s="15"/>
      <c r="AD7" s="15"/>
      <c r="AE7" s="63">
        <v>0</v>
      </c>
      <c r="AF7" s="73"/>
      <c r="AG7" s="63">
        <f t="shared" ref="AG7:AO7" si="7">AG$5*Q8*Q$4/Q$5*3</f>
        <v>0</v>
      </c>
      <c r="AH7" s="63">
        <f t="shared" si="7"/>
        <v>0</v>
      </c>
      <c r="AI7" s="63">
        <f t="shared" si="7"/>
        <v>0</v>
      </c>
      <c r="AJ7" s="63">
        <f t="shared" si="7"/>
        <v>0</v>
      </c>
      <c r="AK7" s="64">
        <f t="shared" si="7"/>
        <v>0</v>
      </c>
      <c r="AL7" s="63">
        <f t="shared" si="7"/>
        <v>0</v>
      </c>
      <c r="AM7" s="63">
        <f t="shared" si="7"/>
        <v>0</v>
      </c>
      <c r="AN7" s="63">
        <f t="shared" si="7"/>
        <v>0</v>
      </c>
      <c r="AO7" s="64">
        <f t="shared" si="7"/>
        <v>0</v>
      </c>
      <c r="AR7" s="139">
        <v>1</v>
      </c>
      <c r="AS7" s="139" t="s">
        <v>537</v>
      </c>
      <c r="AT7" s="139">
        <f>金币总表!AO5</f>
        <v>5460</v>
      </c>
      <c r="AW7" s="73">
        <v>2</v>
      </c>
      <c r="AX7" s="73">
        <v>1</v>
      </c>
      <c r="AY7" s="14" t="str">
        <f>INDEX(节奏总表!$BJ$4:$BJ$23,MATCH(挂机升级突破!AW7+1,节奏总表!$BM$4:$BM$22,1))</f>
        <v>黑绳</v>
      </c>
      <c r="AZ7" s="73"/>
      <c r="BA7" s="14">
        <f>INDEX(节奏总表!$BF$4:$BF$55,挂机升级突破!AW7)</f>
        <v>10</v>
      </c>
      <c r="BB7" s="19">
        <v>0.15</v>
      </c>
      <c r="BC7" s="73"/>
      <c r="BD7" s="73"/>
      <c r="BE7" s="73"/>
      <c r="BF7" s="73"/>
      <c r="BG7" s="73"/>
      <c r="BH7" s="73"/>
      <c r="BI7" s="73"/>
      <c r="BJ7" s="73"/>
      <c r="BK7" s="73"/>
      <c r="BL7" s="139">
        <v>2</v>
      </c>
      <c r="BM7" s="19">
        <v>0.25</v>
      </c>
      <c r="BN7" s="14">
        <f t="shared" ref="BN7:BN57" si="8">INDEX($AT$7:$AT$14,BL7)*BM7</f>
        <v>7313.75</v>
      </c>
      <c r="BP7" s="76">
        <v>2</v>
      </c>
      <c r="BQ7" s="56">
        <v>1</v>
      </c>
      <c r="BR7" s="73" t="s">
        <v>538</v>
      </c>
      <c r="BS7" s="76">
        <v>9.0000000000000107</v>
      </c>
      <c r="BT7" s="14">
        <f t="shared" si="2"/>
        <v>10</v>
      </c>
      <c r="BU7" s="104">
        <v>11</v>
      </c>
      <c r="BV7" s="104">
        <v>1</v>
      </c>
      <c r="BW7" s="30"/>
      <c r="BX7" s="14">
        <f t="shared" ref="BX7:BX57" si="9">ROUND(BX$3*BB7,0)</f>
        <v>22525</v>
      </c>
      <c r="BY7" s="14">
        <f t="shared" ref="BY7:BY57" si="10">ROUND(BY$3*BC7,0)</f>
        <v>0</v>
      </c>
      <c r="BZ7" s="14">
        <f t="shared" ref="BZ7:BZ57" si="11">ROUND(BZ$3*BD7,0)</f>
        <v>0</v>
      </c>
      <c r="CA7" s="14">
        <f t="shared" ref="CA7:CA57" si="12">ROUND(CA$3*BE7,0)</f>
        <v>0</v>
      </c>
      <c r="CB7" s="14">
        <f t="shared" ref="CB7:CB57" si="13">ROUND(CB$3*BF7,0)</f>
        <v>0</v>
      </c>
      <c r="CC7" s="14">
        <f t="shared" ref="CC7:CC57" si="14">ROUND(CC$3*BG7,0)</f>
        <v>0</v>
      </c>
      <c r="CD7" s="14">
        <f t="shared" ref="CD7:CD57" si="15">ROUND(CD$3*BH7,0)</f>
        <v>0</v>
      </c>
      <c r="CE7" s="14">
        <f t="shared" ref="CE7:CE57" si="16">ROUND(CE$3*BI7,0)</f>
        <v>0</v>
      </c>
      <c r="CF7" s="14">
        <f t="shared" ref="CF7:CF57" si="17">ROUND(CF$3*BJ7,0)</f>
        <v>0</v>
      </c>
      <c r="CG7" s="14">
        <f t="shared" ref="CG7:CG57" si="18">ROUND(CG$3*BK7,0)</f>
        <v>0</v>
      </c>
      <c r="CH7" s="14">
        <f t="shared" si="5"/>
        <v>7313.75</v>
      </c>
      <c r="CJ7" s="139">
        <v>1</v>
      </c>
      <c r="CK7" s="139" t="s">
        <v>537</v>
      </c>
      <c r="CL7" s="139">
        <v>1</v>
      </c>
      <c r="CM7" s="139"/>
      <c r="CN7" s="139"/>
      <c r="CO7" s="19"/>
      <c r="CP7" s="139"/>
      <c r="CQ7" s="139"/>
      <c r="CR7" s="139"/>
      <c r="CS7" s="139"/>
      <c r="CT7" s="139">
        <v>1</v>
      </c>
      <c r="CU7" s="19">
        <v>1</v>
      </c>
      <c r="CV7" s="14">
        <f>ROUND(CP7*CV$6,0)</f>
        <v>0</v>
      </c>
      <c r="CW7" s="14">
        <f>ROUND(CQ7*CW$6,0)</f>
        <v>0</v>
      </c>
      <c r="CX7" s="14">
        <f>ROUND(CR7*CX$6,0)</f>
        <v>0</v>
      </c>
      <c r="CY7" s="14">
        <f>ROUND(CS7*CY$6,0)</f>
        <v>0</v>
      </c>
      <c r="CZ7" s="14">
        <f>INDEX(金币总表!$AN$5:$AN$12,挂机升级突破!CT7)*挂机升级突破!CU7</f>
        <v>8190</v>
      </c>
      <c r="DD7" s="19">
        <v>0.6</v>
      </c>
      <c r="DE7" s="14">
        <f>INT(DC$5*DD7)</f>
        <v>0</v>
      </c>
      <c r="DF7" s="30">
        <v>1</v>
      </c>
      <c r="DG7" s="14">
        <f t="shared" si="6"/>
        <v>0</v>
      </c>
    </row>
    <row r="8" spans="1:119" ht="16.5" x14ac:dyDescent="0.2">
      <c r="A8" s="26">
        <v>1</v>
      </c>
      <c r="B8" s="26">
        <v>4</v>
      </c>
      <c r="C8" s="73">
        <v>10</v>
      </c>
      <c r="D8" s="26">
        <v>1</v>
      </c>
      <c r="E8" s="109">
        <v>0</v>
      </c>
      <c r="F8" s="109">
        <v>0</v>
      </c>
      <c r="G8" s="109">
        <v>0</v>
      </c>
      <c r="H8" s="109">
        <v>0</v>
      </c>
      <c r="I8" s="109">
        <v>0</v>
      </c>
      <c r="J8" s="112">
        <v>1</v>
      </c>
      <c r="K8" s="115">
        <f>SUMIFS(章节关卡!$BS$5:$BS$94,章节关卡!$BO$5:$BO$94,"="&amp;挂机升级突破!A8)</f>
        <v>540</v>
      </c>
      <c r="L8" s="115"/>
      <c r="M8" s="115"/>
      <c r="N8" s="14">
        <f>节奏总表!AC5</f>
        <v>0</v>
      </c>
      <c r="O8" s="14">
        <f>节奏总表!AD5</f>
        <v>0</v>
      </c>
      <c r="P8" s="14">
        <f>(节奏总表!N5+节奏总表!O5)*60</f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4">
        <f>章节关卡!K6</f>
        <v>25</v>
      </c>
      <c r="AB8" s="14">
        <f>章节关卡!H6</f>
        <v>10</v>
      </c>
      <c r="AC8" s="15"/>
      <c r="AD8" s="15"/>
      <c r="AE8" s="63">
        <v>1</v>
      </c>
      <c r="AF8" s="73"/>
      <c r="AG8" s="63">
        <f>AG$5*Q8*Q$4/Q$5*$AF$3</f>
        <v>0</v>
      </c>
      <c r="AH8" s="159">
        <f t="shared" ref="AH8:AO8" si="19">AH$5*R8*R$4/R$5*$AF$3</f>
        <v>0</v>
      </c>
      <c r="AI8" s="159">
        <f t="shared" si="19"/>
        <v>0</v>
      </c>
      <c r="AJ8" s="159">
        <f t="shared" si="19"/>
        <v>0</v>
      </c>
      <c r="AK8" s="159">
        <f t="shared" si="19"/>
        <v>0</v>
      </c>
      <c r="AL8" s="159">
        <f t="shared" si="19"/>
        <v>0</v>
      </c>
      <c r="AM8" s="159">
        <f t="shared" si="19"/>
        <v>0</v>
      </c>
      <c r="AN8" s="159">
        <f t="shared" si="19"/>
        <v>0</v>
      </c>
      <c r="AO8" s="159">
        <f t="shared" si="19"/>
        <v>0</v>
      </c>
      <c r="AR8" s="139">
        <v>2</v>
      </c>
      <c r="AS8" s="139" t="s">
        <v>538</v>
      </c>
      <c r="AT8" s="139">
        <f>金币总表!AO6</f>
        <v>29255</v>
      </c>
      <c r="AW8" s="73">
        <v>3</v>
      </c>
      <c r="AX8" s="73">
        <v>2</v>
      </c>
      <c r="AY8" s="14" t="str">
        <f>INDEX(节奏总表!$BJ$4:$BJ$23,MATCH(挂机升级突破!AW8+1,节奏总表!$BM$4:$BM$22,1))</f>
        <v>黑绳</v>
      </c>
      <c r="AZ8" s="73"/>
      <c r="BA8" s="14">
        <f>INDEX(节奏总表!$BF$4:$BF$55,挂机升级突破!AW8)</f>
        <v>15</v>
      </c>
      <c r="BB8" s="19">
        <v>0.2</v>
      </c>
      <c r="BC8" s="73"/>
      <c r="BD8" s="73"/>
      <c r="BE8" s="73"/>
      <c r="BF8" s="73"/>
      <c r="BG8" s="73"/>
      <c r="BH8" s="73"/>
      <c r="BI8" s="73"/>
      <c r="BJ8" s="73"/>
      <c r="BK8" s="73"/>
      <c r="BL8" s="139">
        <v>2</v>
      </c>
      <c r="BM8" s="19">
        <v>0.25</v>
      </c>
      <c r="BN8" s="14">
        <f t="shared" si="8"/>
        <v>7313.75</v>
      </c>
      <c r="BP8" s="76">
        <v>3</v>
      </c>
      <c r="BQ8" s="56">
        <v>2</v>
      </c>
      <c r="BR8" s="73" t="s">
        <v>538</v>
      </c>
      <c r="BS8" s="76">
        <v>9.0000000000000107</v>
      </c>
      <c r="BT8" s="14">
        <f t="shared" si="2"/>
        <v>15</v>
      </c>
      <c r="BU8" s="104">
        <v>11</v>
      </c>
      <c r="BV8" s="104">
        <v>1</v>
      </c>
      <c r="BW8" s="30"/>
      <c r="BX8" s="14">
        <f t="shared" si="9"/>
        <v>30034</v>
      </c>
      <c r="BY8" s="14">
        <f t="shared" si="10"/>
        <v>0</v>
      </c>
      <c r="BZ8" s="14">
        <f t="shared" si="11"/>
        <v>0</v>
      </c>
      <c r="CA8" s="14">
        <f t="shared" si="12"/>
        <v>0</v>
      </c>
      <c r="CB8" s="14">
        <f t="shared" si="13"/>
        <v>0</v>
      </c>
      <c r="CC8" s="14">
        <f t="shared" si="14"/>
        <v>0</v>
      </c>
      <c r="CD8" s="14">
        <f t="shared" si="15"/>
        <v>0</v>
      </c>
      <c r="CE8" s="14">
        <f t="shared" si="16"/>
        <v>0</v>
      </c>
      <c r="CF8" s="14">
        <f t="shared" si="17"/>
        <v>0</v>
      </c>
      <c r="CG8" s="14">
        <f t="shared" si="18"/>
        <v>0</v>
      </c>
      <c r="CH8" s="14">
        <f t="shared" si="5"/>
        <v>7313.75</v>
      </c>
      <c r="CJ8" s="139">
        <v>2</v>
      </c>
      <c r="CK8" s="139" t="s">
        <v>538</v>
      </c>
      <c r="CL8" s="139">
        <v>5</v>
      </c>
      <c r="CM8" s="139">
        <v>5</v>
      </c>
      <c r="CN8" s="139"/>
      <c r="CO8" s="19">
        <v>0.2</v>
      </c>
      <c r="CP8" s="139"/>
      <c r="CQ8" s="139"/>
      <c r="CR8" s="139"/>
      <c r="CS8" s="139"/>
      <c r="CT8" s="139">
        <v>2</v>
      </c>
      <c r="CU8" s="19">
        <v>0.5</v>
      </c>
      <c r="CV8" s="14">
        <f t="shared" ref="CV8:CV26" si="20">ROUND(CP8*CV$6,0)</f>
        <v>0</v>
      </c>
      <c r="CW8" s="14">
        <f t="shared" ref="CW8:CW26" si="21">ROUND(CQ8*CW$6,0)</f>
        <v>0</v>
      </c>
      <c r="CX8" s="14">
        <f t="shared" ref="CX8:CX26" si="22">ROUND(CR8*CX$6,0)</f>
        <v>0</v>
      </c>
      <c r="CY8" s="14">
        <f t="shared" ref="CY8:CY26" si="23">ROUND(CS8*CY$6,0)</f>
        <v>0</v>
      </c>
      <c r="CZ8" s="14">
        <f>INDEX(金币总表!$AN$5:$AN$12,挂机升级突破!CT8)*挂机升级突破!CU8</f>
        <v>21941.25</v>
      </c>
      <c r="DC8" s="14">
        <f>金币总表!P41</f>
        <v>0</v>
      </c>
      <c r="DD8" s="19">
        <v>0.1</v>
      </c>
      <c r="DE8" s="14">
        <f>INT(DC$8*DD8)</f>
        <v>0</v>
      </c>
      <c r="DF8" s="30">
        <v>1.5</v>
      </c>
      <c r="DG8" s="14">
        <f t="shared" si="6"/>
        <v>0</v>
      </c>
    </row>
    <row r="9" spans="1:119" ht="16.5" x14ac:dyDescent="0.2">
      <c r="A9" s="26">
        <v>2</v>
      </c>
      <c r="B9" s="73">
        <v>4</v>
      </c>
      <c r="C9" s="73">
        <v>15</v>
      </c>
      <c r="D9" s="26">
        <v>1</v>
      </c>
      <c r="E9" s="109">
        <v>1</v>
      </c>
      <c r="F9" s="109">
        <v>0</v>
      </c>
      <c r="G9" s="109">
        <v>0</v>
      </c>
      <c r="H9" s="109">
        <v>0</v>
      </c>
      <c r="I9" s="109">
        <v>0</v>
      </c>
      <c r="J9" s="115">
        <v>1</v>
      </c>
      <c r="K9" s="115">
        <f>SUMIFS(章节关卡!$BS$5:$BS$94,章节关卡!$BO$5:$BO$94,"="&amp;挂机升级突破!A9)</f>
        <v>540</v>
      </c>
      <c r="L9" s="115"/>
      <c r="M9" s="115"/>
      <c r="N9" s="14">
        <f>节奏总表!AC6</f>
        <v>0.08</v>
      </c>
      <c r="O9" s="14">
        <f>节奏总表!AD6</f>
        <v>0.08</v>
      </c>
      <c r="P9" s="14">
        <f>(节奏总表!N6+节奏总表!O6)*60</f>
        <v>360</v>
      </c>
      <c r="Q9" s="19">
        <v>0.5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4">
        <f>章节关卡!K7</f>
        <v>30</v>
      </c>
      <c r="AB9" s="14">
        <f>章节关卡!H7</f>
        <v>15</v>
      </c>
      <c r="AC9" s="15"/>
      <c r="AD9" s="15"/>
      <c r="AE9" s="63">
        <v>2</v>
      </c>
      <c r="AF9" s="144">
        <v>15</v>
      </c>
      <c r="AG9" s="159">
        <f t="shared" ref="AG9:AG38" si="24">AG$5*Q9*Q$4/Q$5*$AF$3</f>
        <v>120</v>
      </c>
      <c r="AH9" s="159">
        <f t="shared" ref="AH9:AH38" si="25">AH$5*R9*R$4/R$5*$AF$3</f>
        <v>0</v>
      </c>
      <c r="AI9" s="159">
        <f t="shared" ref="AI9:AI38" si="26">AI$5*S9*S$4/S$5*$AF$3</f>
        <v>0</v>
      </c>
      <c r="AJ9" s="159">
        <f t="shared" ref="AJ9:AJ38" si="27">AJ$5*T9*T$4/T$5*$AF$3</f>
        <v>0</v>
      </c>
      <c r="AK9" s="159">
        <f t="shared" ref="AK9:AK38" si="28">AK$5*U9*U$4/U$5*$AF$3</f>
        <v>0</v>
      </c>
      <c r="AL9" s="159">
        <f t="shared" ref="AL9:AL38" si="29">AL$5*V9*V$4/V$5*$AF$3</f>
        <v>0</v>
      </c>
      <c r="AM9" s="159">
        <f t="shared" ref="AM9:AM38" si="30">AM$5*W9*W$4/W$5*$AF$3</f>
        <v>0</v>
      </c>
      <c r="AN9" s="159">
        <f t="shared" ref="AN9:AN38" si="31">AN$5*X9*X$4/X$5*$AF$3</f>
        <v>0</v>
      </c>
      <c r="AO9" s="159">
        <f t="shared" ref="AO9:AO38" si="32">AO$5*Y9*Y$4/Y$5*$AF$3</f>
        <v>0</v>
      </c>
      <c r="AR9" s="139">
        <v>3</v>
      </c>
      <c r="AS9" s="139" t="s">
        <v>540</v>
      </c>
      <c r="AT9" s="139">
        <f>金币总表!AO7</f>
        <v>89010</v>
      </c>
      <c r="AW9" s="73">
        <v>4</v>
      </c>
      <c r="AX9" s="73">
        <v>1</v>
      </c>
      <c r="AY9" s="14" t="str">
        <f>INDEX(节奏总表!$BJ$4:$BJ$23,MATCH(挂机升级突破!AW9+1,节奏总表!$BM$4:$BM$22,1))</f>
        <v>黑绳+1</v>
      </c>
      <c r="AZ9" s="73"/>
      <c r="BA9" s="14">
        <f>INDEX(节奏总表!$BF$4:$BF$55,挂机升级突破!AW9)</f>
        <v>20</v>
      </c>
      <c r="BB9" s="19">
        <v>0.3</v>
      </c>
      <c r="BC9" s="73"/>
      <c r="BD9" s="73"/>
      <c r="BE9" s="73"/>
      <c r="BF9" s="73"/>
      <c r="BG9" s="73"/>
      <c r="BH9" s="73"/>
      <c r="BI9" s="73"/>
      <c r="BJ9" s="73"/>
      <c r="BK9" s="73"/>
      <c r="BL9" s="139">
        <v>2</v>
      </c>
      <c r="BM9" s="19">
        <v>0.25</v>
      </c>
      <c r="BN9" s="14">
        <f t="shared" si="8"/>
        <v>7313.75</v>
      </c>
      <c r="BP9" s="76">
        <v>4</v>
      </c>
      <c r="BQ9" s="56">
        <v>1</v>
      </c>
      <c r="BR9" s="73" t="s">
        <v>539</v>
      </c>
      <c r="BS9" s="76">
        <v>9.0000000000000107</v>
      </c>
      <c r="BT9" s="14">
        <f t="shared" si="2"/>
        <v>20</v>
      </c>
      <c r="BU9" s="104">
        <v>11</v>
      </c>
      <c r="BV9" s="104">
        <v>1</v>
      </c>
      <c r="BW9" s="30"/>
      <c r="BX9" s="14">
        <f t="shared" si="9"/>
        <v>45051</v>
      </c>
      <c r="BY9" s="14">
        <f t="shared" si="10"/>
        <v>0</v>
      </c>
      <c r="BZ9" s="14">
        <f t="shared" si="11"/>
        <v>0</v>
      </c>
      <c r="CA9" s="14">
        <f t="shared" si="12"/>
        <v>0</v>
      </c>
      <c r="CB9" s="14">
        <f t="shared" si="13"/>
        <v>0</v>
      </c>
      <c r="CC9" s="14">
        <f t="shared" si="14"/>
        <v>0</v>
      </c>
      <c r="CD9" s="14">
        <f t="shared" si="15"/>
        <v>0</v>
      </c>
      <c r="CE9" s="14">
        <f t="shared" si="16"/>
        <v>0</v>
      </c>
      <c r="CF9" s="14">
        <f t="shared" si="17"/>
        <v>0</v>
      </c>
      <c r="CG9" s="14">
        <f t="shared" si="18"/>
        <v>0</v>
      </c>
      <c r="CH9" s="14">
        <f t="shared" si="5"/>
        <v>7313.75</v>
      </c>
      <c r="CJ9" s="139">
        <v>3</v>
      </c>
      <c r="CK9" s="139" t="s">
        <v>539</v>
      </c>
      <c r="CL9" s="139">
        <v>15</v>
      </c>
      <c r="CM9" s="139">
        <v>5</v>
      </c>
      <c r="CN9" s="139"/>
      <c r="CO9" s="19">
        <v>0.2</v>
      </c>
      <c r="CP9" s="139"/>
      <c r="CQ9" s="139"/>
      <c r="CR9" s="139"/>
      <c r="CS9" s="139"/>
      <c r="CT9" s="139">
        <v>2</v>
      </c>
      <c r="CU9" s="19">
        <v>0.5</v>
      </c>
      <c r="CV9" s="14">
        <f t="shared" si="20"/>
        <v>0</v>
      </c>
      <c r="CW9" s="14">
        <f t="shared" si="21"/>
        <v>0</v>
      </c>
      <c r="CX9" s="14">
        <f t="shared" si="22"/>
        <v>0</v>
      </c>
      <c r="CY9" s="14">
        <f t="shared" si="23"/>
        <v>0</v>
      </c>
      <c r="CZ9" s="14">
        <f>INDEX(金币总表!$AN$5:$AN$12,挂机升级突破!CT9)*挂机升级突破!CU9</f>
        <v>21941.25</v>
      </c>
      <c r="DD9" s="19">
        <v>0.25</v>
      </c>
      <c r="DE9" s="14">
        <f>INT(DC$8*DD9)</f>
        <v>0</v>
      </c>
      <c r="DF9" s="30">
        <v>1.6</v>
      </c>
      <c r="DG9" s="14">
        <f t="shared" si="6"/>
        <v>0</v>
      </c>
    </row>
    <row r="10" spans="1:119" ht="16.5" x14ac:dyDescent="0.2">
      <c r="A10" s="73">
        <v>3</v>
      </c>
      <c r="B10" s="73">
        <v>4</v>
      </c>
      <c r="C10" s="73">
        <v>20</v>
      </c>
      <c r="D10" s="26">
        <v>1</v>
      </c>
      <c r="E10" s="109">
        <v>1</v>
      </c>
      <c r="F10" s="109">
        <v>0</v>
      </c>
      <c r="G10" s="109">
        <v>0</v>
      </c>
      <c r="H10" s="109">
        <v>0</v>
      </c>
      <c r="I10" s="109">
        <v>0</v>
      </c>
      <c r="J10" s="115">
        <v>1</v>
      </c>
      <c r="K10" s="115">
        <f>SUMIFS(章节关卡!$BS$5:$BS$94,章节关卡!$BO$5:$BO$94,"="&amp;挂机升级突破!A10)</f>
        <v>675</v>
      </c>
      <c r="L10" s="115"/>
      <c r="M10" s="115"/>
      <c r="N10" s="14">
        <f>节奏总表!AC7</f>
        <v>0.42</v>
      </c>
      <c r="O10" s="14">
        <f>节奏总表!AD7</f>
        <v>0.5</v>
      </c>
      <c r="P10" s="14">
        <f>(节奏总表!N7+节奏总表!O7)*60</f>
        <v>1440</v>
      </c>
      <c r="Q10" s="19">
        <v>0.75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4">
        <f>章节关卡!K8</f>
        <v>35</v>
      </c>
      <c r="AB10" s="14">
        <f>章节关卡!H8</f>
        <v>20</v>
      </c>
      <c r="AC10" s="15"/>
      <c r="AD10" s="15"/>
      <c r="AE10" s="73">
        <v>3</v>
      </c>
      <c r="AF10" s="144">
        <v>20</v>
      </c>
      <c r="AG10" s="159">
        <f t="shared" si="24"/>
        <v>180</v>
      </c>
      <c r="AH10" s="159">
        <f t="shared" si="25"/>
        <v>0</v>
      </c>
      <c r="AI10" s="159">
        <f t="shared" si="26"/>
        <v>0</v>
      </c>
      <c r="AJ10" s="159">
        <f t="shared" si="27"/>
        <v>0</v>
      </c>
      <c r="AK10" s="159">
        <f t="shared" si="28"/>
        <v>0</v>
      </c>
      <c r="AL10" s="159">
        <f t="shared" si="29"/>
        <v>0</v>
      </c>
      <c r="AM10" s="159">
        <f t="shared" si="30"/>
        <v>0</v>
      </c>
      <c r="AN10" s="159">
        <f t="shared" si="31"/>
        <v>0</v>
      </c>
      <c r="AO10" s="159">
        <f t="shared" si="32"/>
        <v>0</v>
      </c>
      <c r="AR10" s="139">
        <v>4</v>
      </c>
      <c r="AS10" s="139" t="s">
        <v>542</v>
      </c>
      <c r="AT10" s="139">
        <f>金币总表!AO8</f>
        <v>190985</v>
      </c>
      <c r="AW10" s="73">
        <v>5</v>
      </c>
      <c r="AX10" s="73">
        <v>2</v>
      </c>
      <c r="AY10" s="14" t="str">
        <f>INDEX(节奏总表!$BJ$4:$BJ$23,MATCH(挂机升级突破!AW10+1,节奏总表!$BM$4:$BM$22,1))</f>
        <v>黑绳+1</v>
      </c>
      <c r="AZ10" s="73"/>
      <c r="BA10" s="14">
        <f>INDEX(节奏总表!$BF$4:$BF$55,挂机升级突破!AW10)</f>
        <v>25</v>
      </c>
      <c r="BB10" s="19">
        <v>0.3</v>
      </c>
      <c r="BC10" s="73"/>
      <c r="BD10" s="73"/>
      <c r="BE10" s="73"/>
      <c r="BF10" s="73"/>
      <c r="BG10" s="73"/>
      <c r="BH10" s="73"/>
      <c r="BI10" s="73"/>
      <c r="BJ10" s="73"/>
      <c r="BK10" s="73"/>
      <c r="BL10" s="139">
        <v>2</v>
      </c>
      <c r="BM10" s="19">
        <v>0.25</v>
      </c>
      <c r="BN10" s="14">
        <f t="shared" si="8"/>
        <v>7313.75</v>
      </c>
      <c r="BP10" s="76">
        <v>5</v>
      </c>
      <c r="BQ10" s="56">
        <v>2</v>
      </c>
      <c r="BR10" s="73" t="s">
        <v>539</v>
      </c>
      <c r="BS10" s="76">
        <v>9.0000000000000107</v>
      </c>
      <c r="BT10" s="14">
        <f t="shared" si="2"/>
        <v>25</v>
      </c>
      <c r="BU10" s="104">
        <v>11</v>
      </c>
      <c r="BV10" s="104">
        <v>1</v>
      </c>
      <c r="BW10" s="30"/>
      <c r="BX10" s="14">
        <f t="shared" si="9"/>
        <v>45051</v>
      </c>
      <c r="BY10" s="14">
        <f t="shared" si="10"/>
        <v>0</v>
      </c>
      <c r="BZ10" s="14">
        <f t="shared" si="11"/>
        <v>0</v>
      </c>
      <c r="CA10" s="14">
        <f t="shared" si="12"/>
        <v>0</v>
      </c>
      <c r="CB10" s="14">
        <f t="shared" si="13"/>
        <v>0</v>
      </c>
      <c r="CC10" s="14">
        <f t="shared" si="14"/>
        <v>0</v>
      </c>
      <c r="CD10" s="14">
        <f t="shared" si="15"/>
        <v>0</v>
      </c>
      <c r="CE10" s="14">
        <f t="shared" si="16"/>
        <v>0</v>
      </c>
      <c r="CF10" s="14">
        <f t="shared" si="17"/>
        <v>0</v>
      </c>
      <c r="CG10" s="14">
        <f t="shared" si="18"/>
        <v>0</v>
      </c>
      <c r="CH10" s="14">
        <f t="shared" si="5"/>
        <v>7313.75</v>
      </c>
      <c r="CJ10" s="139">
        <v>4</v>
      </c>
      <c r="CK10" s="139" t="s">
        <v>540</v>
      </c>
      <c r="CL10" s="139">
        <v>25</v>
      </c>
      <c r="CM10" s="139">
        <v>5</v>
      </c>
      <c r="CN10" s="139">
        <v>1</v>
      </c>
      <c r="CO10" s="19">
        <v>0.2</v>
      </c>
      <c r="CP10" s="19">
        <v>0.05</v>
      </c>
      <c r="CQ10" s="139"/>
      <c r="CR10" s="139"/>
      <c r="CS10" s="139"/>
      <c r="CT10" s="139">
        <v>3</v>
      </c>
      <c r="CU10" s="19">
        <v>0.3</v>
      </c>
      <c r="CV10" s="14">
        <f t="shared" si="20"/>
        <v>521</v>
      </c>
      <c r="CW10" s="14">
        <f t="shared" si="21"/>
        <v>0</v>
      </c>
      <c r="CX10" s="14">
        <f t="shared" si="22"/>
        <v>0</v>
      </c>
      <c r="CY10" s="14">
        <f t="shared" si="23"/>
        <v>0</v>
      </c>
      <c r="CZ10" s="14">
        <f>INDEX(金币总表!$AN$5:$AN$12,挂机升级突破!CT10)*挂机升级突破!CU10</f>
        <v>26703</v>
      </c>
      <c r="DD10" s="19">
        <v>0.3</v>
      </c>
      <c r="DE10" s="14">
        <f>INT(DC$8*DD10)</f>
        <v>0</v>
      </c>
      <c r="DF10" s="30">
        <v>1.7</v>
      </c>
      <c r="DG10" s="14">
        <f t="shared" si="6"/>
        <v>0</v>
      </c>
    </row>
    <row r="11" spans="1:119" ht="16.5" x14ac:dyDescent="0.2">
      <c r="A11" s="73">
        <v>4</v>
      </c>
      <c r="B11" s="73">
        <v>4</v>
      </c>
      <c r="C11" s="73">
        <v>25</v>
      </c>
      <c r="D11" s="26">
        <v>1</v>
      </c>
      <c r="E11" s="109">
        <v>1</v>
      </c>
      <c r="F11" s="109">
        <v>0</v>
      </c>
      <c r="G11" s="109">
        <v>0</v>
      </c>
      <c r="H11" s="109">
        <v>0</v>
      </c>
      <c r="I11" s="109">
        <v>0</v>
      </c>
      <c r="J11" s="115">
        <v>1</v>
      </c>
      <c r="K11" s="115">
        <f>SUMIFS(章节关卡!$BS$5:$BS$94,章节关卡!$BO$5:$BO$94,"="&amp;挂机升级突破!A11)</f>
        <v>675</v>
      </c>
      <c r="L11" s="115"/>
      <c r="M11" s="115"/>
      <c r="N11" s="14">
        <f>节奏总表!AC8</f>
        <v>0.71</v>
      </c>
      <c r="O11" s="14">
        <f>节奏总表!AD8</f>
        <v>1.21</v>
      </c>
      <c r="P11" s="14">
        <f>(节奏总表!N8+节奏总表!O8)*60</f>
        <v>1560</v>
      </c>
      <c r="Q11" s="19">
        <v>1</v>
      </c>
      <c r="R11" s="19">
        <v>0</v>
      </c>
      <c r="S11" s="19">
        <v>0</v>
      </c>
      <c r="T11" s="19">
        <v>0</v>
      </c>
      <c r="U11" s="19">
        <v>0</v>
      </c>
      <c r="V11" s="19">
        <v>0.2</v>
      </c>
      <c r="W11" s="19">
        <v>0</v>
      </c>
      <c r="X11" s="19">
        <v>0</v>
      </c>
      <c r="Y11" s="19">
        <v>0</v>
      </c>
      <c r="Z11" s="19">
        <v>0</v>
      </c>
      <c r="AA11" s="14">
        <f>章节关卡!K9</f>
        <v>40</v>
      </c>
      <c r="AB11" s="14">
        <f>章节关卡!H9</f>
        <v>25</v>
      </c>
      <c r="AC11" s="15"/>
      <c r="AD11" s="15"/>
      <c r="AE11" s="73">
        <v>4</v>
      </c>
      <c r="AF11" s="144">
        <v>25</v>
      </c>
      <c r="AG11" s="159">
        <f t="shared" si="24"/>
        <v>240</v>
      </c>
      <c r="AH11" s="159">
        <f t="shared" si="25"/>
        <v>0</v>
      </c>
      <c r="AI11" s="159">
        <f t="shared" si="26"/>
        <v>0</v>
      </c>
      <c r="AJ11" s="159">
        <f t="shared" si="27"/>
        <v>0</v>
      </c>
      <c r="AK11" s="159">
        <f t="shared" si="28"/>
        <v>0</v>
      </c>
      <c r="AL11" s="159">
        <f t="shared" si="29"/>
        <v>10.8</v>
      </c>
      <c r="AM11" s="159">
        <f t="shared" si="30"/>
        <v>0</v>
      </c>
      <c r="AN11" s="159">
        <f t="shared" si="31"/>
        <v>0</v>
      </c>
      <c r="AO11" s="159">
        <f t="shared" si="32"/>
        <v>0</v>
      </c>
      <c r="AR11" s="139">
        <v>5</v>
      </c>
      <c r="AS11" s="139" t="s">
        <v>544</v>
      </c>
      <c r="AT11" s="139">
        <f>金币总表!AO9</f>
        <v>439100</v>
      </c>
      <c r="AW11" s="73">
        <v>6</v>
      </c>
      <c r="AX11" s="73">
        <v>1</v>
      </c>
      <c r="AY11" s="14" t="str">
        <f>INDEX(节奏总表!$BJ$4:$BJ$23,MATCH(挂机升级突破!AW11+1,节奏总表!$BM$4:$BM$22,1))</f>
        <v>众合</v>
      </c>
      <c r="AZ11" s="73"/>
      <c r="BA11" s="14">
        <f>INDEX(节奏总表!$BF$4:$BF$55,挂机升级突破!AW11)</f>
        <v>30</v>
      </c>
      <c r="BB11" s="73"/>
      <c r="BC11" s="19">
        <v>0.05</v>
      </c>
      <c r="BD11" s="73"/>
      <c r="BE11" s="73"/>
      <c r="BF11" s="73"/>
      <c r="BG11" s="73"/>
      <c r="BH11" s="73"/>
      <c r="BI11" s="73"/>
      <c r="BJ11" s="73"/>
      <c r="BK11" s="73"/>
      <c r="BL11" s="139">
        <v>3</v>
      </c>
      <c r="BM11" s="19">
        <v>0.1</v>
      </c>
      <c r="BN11" s="14">
        <f t="shared" si="8"/>
        <v>8901</v>
      </c>
      <c r="BP11" s="76">
        <v>6</v>
      </c>
      <c r="BQ11" s="56">
        <v>1</v>
      </c>
      <c r="BR11" s="73" t="s">
        <v>540</v>
      </c>
      <c r="BS11" s="76">
        <v>9.0000000000000107</v>
      </c>
      <c r="BT11" s="14">
        <f t="shared" si="2"/>
        <v>30</v>
      </c>
      <c r="BU11" s="104">
        <v>11</v>
      </c>
      <c r="BV11" s="104">
        <v>2</v>
      </c>
      <c r="BW11" s="30"/>
      <c r="BX11" s="14">
        <f t="shared" si="9"/>
        <v>0</v>
      </c>
      <c r="BY11" s="14">
        <f t="shared" si="10"/>
        <v>4324</v>
      </c>
      <c r="BZ11" s="14">
        <f t="shared" si="11"/>
        <v>0</v>
      </c>
      <c r="CA11" s="14">
        <f t="shared" si="12"/>
        <v>0</v>
      </c>
      <c r="CB11" s="14">
        <f t="shared" si="13"/>
        <v>0</v>
      </c>
      <c r="CC11" s="14">
        <f t="shared" si="14"/>
        <v>0</v>
      </c>
      <c r="CD11" s="14">
        <f t="shared" si="15"/>
        <v>0</v>
      </c>
      <c r="CE11" s="14">
        <f t="shared" si="16"/>
        <v>0</v>
      </c>
      <c r="CF11" s="14">
        <f t="shared" si="17"/>
        <v>0</v>
      </c>
      <c r="CG11" s="14">
        <f t="shared" si="18"/>
        <v>0</v>
      </c>
      <c r="CH11" s="14">
        <f t="shared" si="5"/>
        <v>8901</v>
      </c>
      <c r="CJ11" s="139">
        <v>5</v>
      </c>
      <c r="CK11" s="139" t="s">
        <v>541</v>
      </c>
      <c r="CL11" s="139">
        <v>35</v>
      </c>
      <c r="CM11" s="139">
        <v>5</v>
      </c>
      <c r="CN11" s="139">
        <v>1</v>
      </c>
      <c r="CO11" s="19">
        <v>0.2</v>
      </c>
      <c r="CP11" s="19">
        <v>0.1</v>
      </c>
      <c r="CQ11" s="139"/>
      <c r="CR11" s="139"/>
      <c r="CS11" s="139"/>
      <c r="CT11" s="139">
        <v>3</v>
      </c>
      <c r="CU11" s="19">
        <v>0.3</v>
      </c>
      <c r="CV11" s="14">
        <f t="shared" si="20"/>
        <v>1042</v>
      </c>
      <c r="CW11" s="14">
        <f t="shared" si="21"/>
        <v>0</v>
      </c>
      <c r="CX11" s="14">
        <f t="shared" si="22"/>
        <v>0</v>
      </c>
      <c r="CY11" s="14">
        <f t="shared" si="23"/>
        <v>0</v>
      </c>
      <c r="CZ11" s="14">
        <f>INDEX(金币总表!$AN$5:$AN$12,挂机升级突破!CT11)*挂机升级突破!CU11</f>
        <v>26703</v>
      </c>
      <c r="DD11" s="19">
        <v>0.35</v>
      </c>
      <c r="DE11" s="14">
        <f>INT(DC$8*DD11)</f>
        <v>0</v>
      </c>
      <c r="DF11" s="30">
        <v>1.8</v>
      </c>
      <c r="DG11" s="14">
        <f t="shared" si="6"/>
        <v>0</v>
      </c>
    </row>
    <row r="12" spans="1:119" ht="16.5" x14ac:dyDescent="0.2">
      <c r="A12" s="73">
        <v>5</v>
      </c>
      <c r="B12" s="73">
        <v>4</v>
      </c>
      <c r="C12" s="73">
        <v>30</v>
      </c>
      <c r="D12" s="26">
        <v>1</v>
      </c>
      <c r="E12" s="109">
        <v>1</v>
      </c>
      <c r="F12" s="109">
        <v>2</v>
      </c>
      <c r="G12" s="109">
        <v>0</v>
      </c>
      <c r="H12" s="109">
        <v>0</v>
      </c>
      <c r="I12" s="109">
        <v>0</v>
      </c>
      <c r="J12" s="112">
        <v>2</v>
      </c>
      <c r="K12" s="115">
        <f>SUMIFS(章节关卡!$BS$5:$BS$94,章节关卡!$BO$5:$BO$94,"="&amp;挂机升级突破!A12)</f>
        <v>1080</v>
      </c>
      <c r="L12" s="115"/>
      <c r="M12" s="115"/>
      <c r="N12" s="14">
        <f>节奏总表!AC9</f>
        <v>0.5</v>
      </c>
      <c r="O12" s="14">
        <f>节奏总表!AD9</f>
        <v>1.71</v>
      </c>
      <c r="P12" s="14">
        <f>(节奏总表!N9+节奏总表!O9)*60</f>
        <v>1680</v>
      </c>
      <c r="Q12" s="19">
        <v>0.8</v>
      </c>
      <c r="R12" s="19">
        <v>0.2</v>
      </c>
      <c r="S12" s="19">
        <v>0</v>
      </c>
      <c r="T12" s="19">
        <v>0</v>
      </c>
      <c r="U12" s="19">
        <v>0</v>
      </c>
      <c r="V12" s="19">
        <v>0.35</v>
      </c>
      <c r="W12" s="19">
        <v>0</v>
      </c>
      <c r="X12" s="19">
        <v>0</v>
      </c>
      <c r="Y12" s="19">
        <v>0</v>
      </c>
      <c r="Z12" s="19">
        <v>0</v>
      </c>
      <c r="AA12" s="14">
        <f>章节关卡!K10</f>
        <v>45</v>
      </c>
      <c r="AB12" s="14">
        <f>章节关卡!H10</f>
        <v>30</v>
      </c>
      <c r="AC12" s="15"/>
      <c r="AD12" s="15"/>
      <c r="AE12" s="73">
        <v>5</v>
      </c>
      <c r="AF12" s="144">
        <v>30</v>
      </c>
      <c r="AG12" s="159">
        <f t="shared" si="24"/>
        <v>192</v>
      </c>
      <c r="AH12" s="159">
        <f t="shared" si="25"/>
        <v>24</v>
      </c>
      <c r="AI12" s="159">
        <f t="shared" si="26"/>
        <v>0</v>
      </c>
      <c r="AJ12" s="159">
        <f t="shared" si="27"/>
        <v>0</v>
      </c>
      <c r="AK12" s="159">
        <f t="shared" si="28"/>
        <v>0</v>
      </c>
      <c r="AL12" s="159">
        <f t="shared" si="29"/>
        <v>18.899999999999999</v>
      </c>
      <c r="AM12" s="159">
        <f t="shared" si="30"/>
        <v>0</v>
      </c>
      <c r="AN12" s="159">
        <f t="shared" si="31"/>
        <v>0</v>
      </c>
      <c r="AO12" s="159">
        <f t="shared" si="32"/>
        <v>0</v>
      </c>
      <c r="AR12" s="139">
        <v>6</v>
      </c>
      <c r="AS12" s="139" t="s">
        <v>546</v>
      </c>
      <c r="AT12" s="139">
        <f>金币总表!AO10</f>
        <v>777742.5</v>
      </c>
      <c r="AW12" s="73">
        <v>7</v>
      </c>
      <c r="AX12" s="73">
        <v>2</v>
      </c>
      <c r="AY12" s="14" t="str">
        <f>INDEX(节奏总表!$BJ$4:$BJ$23,MATCH(挂机升级突破!AW12+1,节奏总表!$BM$4:$BM$22,1))</f>
        <v>众合</v>
      </c>
      <c r="AZ12" s="73"/>
      <c r="BA12" s="14">
        <f>INDEX(节奏总表!$BF$4:$BF$55,挂机升级突破!AW12)</f>
        <v>35</v>
      </c>
      <c r="BB12" s="73"/>
      <c r="BC12" s="19">
        <v>0.05</v>
      </c>
      <c r="BD12" s="73"/>
      <c r="BE12" s="73"/>
      <c r="BF12" s="73"/>
      <c r="BG12" s="73"/>
      <c r="BH12" s="73"/>
      <c r="BI12" s="73"/>
      <c r="BJ12" s="73"/>
      <c r="BK12" s="73"/>
      <c r="BL12" s="139">
        <v>3</v>
      </c>
      <c r="BM12" s="19">
        <v>0.1</v>
      </c>
      <c r="BN12" s="14">
        <f t="shared" si="8"/>
        <v>8901</v>
      </c>
      <c r="BP12" s="76">
        <v>7</v>
      </c>
      <c r="BQ12" s="56">
        <v>2</v>
      </c>
      <c r="BR12" s="73" t="s">
        <v>540</v>
      </c>
      <c r="BS12" s="76">
        <v>9.0000000000000107</v>
      </c>
      <c r="BT12" s="14">
        <f t="shared" si="2"/>
        <v>35</v>
      </c>
      <c r="BU12" s="104">
        <v>11</v>
      </c>
      <c r="BV12" s="104">
        <v>2</v>
      </c>
      <c r="BW12" s="30"/>
      <c r="BX12" s="14">
        <f t="shared" si="9"/>
        <v>0</v>
      </c>
      <c r="BY12" s="14">
        <f t="shared" si="10"/>
        <v>4324</v>
      </c>
      <c r="BZ12" s="14">
        <f t="shared" si="11"/>
        <v>0</v>
      </c>
      <c r="CA12" s="14">
        <f t="shared" si="12"/>
        <v>0</v>
      </c>
      <c r="CB12" s="14">
        <f t="shared" si="13"/>
        <v>0</v>
      </c>
      <c r="CC12" s="14">
        <f t="shared" si="14"/>
        <v>0</v>
      </c>
      <c r="CD12" s="14">
        <f t="shared" si="15"/>
        <v>0</v>
      </c>
      <c r="CE12" s="14">
        <f t="shared" si="16"/>
        <v>0</v>
      </c>
      <c r="CF12" s="14">
        <f t="shared" si="17"/>
        <v>0</v>
      </c>
      <c r="CG12" s="14">
        <f t="shared" si="18"/>
        <v>0</v>
      </c>
      <c r="CH12" s="14">
        <f t="shared" si="5"/>
        <v>8901</v>
      </c>
      <c r="CJ12" s="139">
        <v>6</v>
      </c>
      <c r="CK12" s="139" t="s">
        <v>527</v>
      </c>
      <c r="CL12" s="139">
        <v>42</v>
      </c>
      <c r="CM12" s="139">
        <v>5</v>
      </c>
      <c r="CN12" s="139">
        <v>1</v>
      </c>
      <c r="CO12" s="19">
        <v>0.2</v>
      </c>
      <c r="CP12" s="19">
        <v>0.15</v>
      </c>
      <c r="CQ12" s="139"/>
      <c r="CR12" s="139"/>
      <c r="CS12" s="139"/>
      <c r="CT12" s="139">
        <v>3</v>
      </c>
      <c r="CU12" s="19">
        <v>0.4</v>
      </c>
      <c r="CV12" s="14">
        <f t="shared" si="20"/>
        <v>1563</v>
      </c>
      <c r="CW12" s="14">
        <f t="shared" si="21"/>
        <v>0</v>
      </c>
      <c r="CX12" s="14">
        <f t="shared" si="22"/>
        <v>0</v>
      </c>
      <c r="CY12" s="14">
        <f t="shared" si="23"/>
        <v>0</v>
      </c>
      <c r="CZ12" s="14">
        <f>INDEX(金币总表!$AN$5:$AN$12,挂机升级突破!CT12)*挂机升级突破!CU12</f>
        <v>35604</v>
      </c>
      <c r="DC12" s="14">
        <f>金币总表!P42</f>
        <v>0</v>
      </c>
      <c r="DD12" s="19">
        <v>0.22</v>
      </c>
      <c r="DE12" s="14">
        <f>INT(DC$12*DD12)</f>
        <v>0</v>
      </c>
      <c r="DF12" s="30">
        <v>1.8</v>
      </c>
      <c r="DG12" s="14">
        <f t="shared" si="6"/>
        <v>0</v>
      </c>
    </row>
    <row r="13" spans="1:119" ht="16.5" x14ac:dyDescent="0.2">
      <c r="A13" s="73">
        <v>6</v>
      </c>
      <c r="B13" s="73">
        <v>4</v>
      </c>
      <c r="C13" s="73">
        <v>35</v>
      </c>
      <c r="D13" s="26">
        <v>1</v>
      </c>
      <c r="E13" s="109">
        <v>1</v>
      </c>
      <c r="F13" s="109">
        <v>2</v>
      </c>
      <c r="G13" s="109">
        <v>0</v>
      </c>
      <c r="H13" s="109">
        <v>0</v>
      </c>
      <c r="I13" s="109">
        <v>0</v>
      </c>
      <c r="J13" s="115">
        <v>2</v>
      </c>
      <c r="K13" s="115">
        <f>SUMIFS(章节关卡!$BS$5:$BS$94,章节关卡!$BO$5:$BO$94,"="&amp;挂机升级突破!A13)</f>
        <v>1080</v>
      </c>
      <c r="L13" s="115"/>
      <c r="M13" s="115"/>
      <c r="N13" s="14">
        <f>节奏总表!AC10</f>
        <v>0.54</v>
      </c>
      <c r="O13" s="14">
        <f>节奏总表!AD10</f>
        <v>2.25</v>
      </c>
      <c r="P13" s="14">
        <f>(节奏总表!N10+节奏总表!O10)*60</f>
        <v>1800</v>
      </c>
      <c r="Q13" s="19">
        <v>0.65</v>
      </c>
      <c r="R13" s="19">
        <v>0.35</v>
      </c>
      <c r="S13" s="19">
        <v>0</v>
      </c>
      <c r="T13" s="19">
        <v>0</v>
      </c>
      <c r="U13" s="19">
        <v>0</v>
      </c>
      <c r="V13" s="19">
        <v>0.5</v>
      </c>
      <c r="W13" s="19">
        <v>0</v>
      </c>
      <c r="X13" s="19">
        <v>0</v>
      </c>
      <c r="Y13" s="19">
        <v>0</v>
      </c>
      <c r="Z13" s="19">
        <v>0</v>
      </c>
      <c r="AA13" s="14">
        <f>章节关卡!K11</f>
        <v>50</v>
      </c>
      <c r="AB13" s="14">
        <f>章节关卡!H11</f>
        <v>35</v>
      </c>
      <c r="AC13" s="15"/>
      <c r="AD13" s="15"/>
      <c r="AE13" s="73">
        <v>6</v>
      </c>
      <c r="AF13" s="144">
        <v>35</v>
      </c>
      <c r="AG13" s="159">
        <f t="shared" si="24"/>
        <v>156</v>
      </c>
      <c r="AH13" s="159">
        <f t="shared" si="25"/>
        <v>42</v>
      </c>
      <c r="AI13" s="159">
        <f t="shared" si="26"/>
        <v>0</v>
      </c>
      <c r="AJ13" s="159">
        <f t="shared" si="27"/>
        <v>0</v>
      </c>
      <c r="AK13" s="159">
        <f t="shared" si="28"/>
        <v>0</v>
      </c>
      <c r="AL13" s="159">
        <f t="shared" si="29"/>
        <v>27</v>
      </c>
      <c r="AM13" s="159">
        <f t="shared" si="30"/>
        <v>0</v>
      </c>
      <c r="AN13" s="159">
        <f t="shared" si="31"/>
        <v>0</v>
      </c>
      <c r="AO13" s="159">
        <f t="shared" si="32"/>
        <v>0</v>
      </c>
      <c r="AR13" s="139">
        <v>7</v>
      </c>
      <c r="AS13" s="139" t="s">
        <v>548</v>
      </c>
      <c r="AT13" s="139">
        <f>金币总表!AO11</f>
        <v>1880232</v>
      </c>
      <c r="AW13" s="73">
        <v>8</v>
      </c>
      <c r="AX13" s="73">
        <v>1</v>
      </c>
      <c r="AY13" s="14" t="str">
        <f>INDEX(节奏总表!$BJ$4:$BJ$23,MATCH(挂机升级突破!AW13+1,节奏总表!$BM$4:$BM$22,1))</f>
        <v>众合+1</v>
      </c>
      <c r="AZ13" s="73"/>
      <c r="BA13" s="14">
        <f>INDEX(节奏总表!$BF$4:$BF$55,挂机升级突破!AW13)</f>
        <v>40</v>
      </c>
      <c r="BB13" s="73"/>
      <c r="BC13" s="19">
        <v>0.1</v>
      </c>
      <c r="BD13" s="73"/>
      <c r="BE13" s="73"/>
      <c r="BF13" s="73"/>
      <c r="BG13" s="19">
        <v>0.05</v>
      </c>
      <c r="BH13" s="73"/>
      <c r="BI13" s="73"/>
      <c r="BJ13" s="73"/>
      <c r="BK13" s="73"/>
      <c r="BL13" s="139">
        <v>3</v>
      </c>
      <c r="BM13" s="19">
        <v>0.15</v>
      </c>
      <c r="BN13" s="14">
        <f t="shared" si="8"/>
        <v>13351.5</v>
      </c>
      <c r="BP13" s="76">
        <v>8</v>
      </c>
      <c r="BQ13" s="56">
        <v>1</v>
      </c>
      <c r="BR13" s="73" t="s">
        <v>541</v>
      </c>
      <c r="BS13" s="76">
        <v>9.0000000000000107</v>
      </c>
      <c r="BT13" s="14">
        <f t="shared" si="2"/>
        <v>40</v>
      </c>
      <c r="BU13" s="104">
        <v>11</v>
      </c>
      <c r="BV13" s="104">
        <v>2</v>
      </c>
      <c r="BW13" s="30"/>
      <c r="BX13" s="14">
        <f t="shared" si="9"/>
        <v>0</v>
      </c>
      <c r="BY13" s="14">
        <f t="shared" si="10"/>
        <v>8647</v>
      </c>
      <c r="BZ13" s="14">
        <f t="shared" si="11"/>
        <v>0</v>
      </c>
      <c r="CA13" s="14">
        <f t="shared" si="12"/>
        <v>0</v>
      </c>
      <c r="CB13" s="14">
        <f t="shared" si="13"/>
        <v>0</v>
      </c>
      <c r="CC13" s="14">
        <f t="shared" si="14"/>
        <v>521</v>
      </c>
      <c r="CD13" s="14">
        <f t="shared" si="15"/>
        <v>0</v>
      </c>
      <c r="CE13" s="14">
        <f t="shared" si="16"/>
        <v>0</v>
      </c>
      <c r="CF13" s="14">
        <f t="shared" si="17"/>
        <v>0</v>
      </c>
      <c r="CG13" s="14">
        <f t="shared" si="18"/>
        <v>0</v>
      </c>
      <c r="CH13" s="14">
        <f t="shared" si="5"/>
        <v>13351.5</v>
      </c>
      <c r="CJ13" s="139">
        <v>7</v>
      </c>
      <c r="CK13" s="139" t="s">
        <v>542</v>
      </c>
      <c r="CL13" s="139">
        <v>47</v>
      </c>
      <c r="CM13" s="139">
        <v>5</v>
      </c>
      <c r="CN13" s="139">
        <v>1</v>
      </c>
      <c r="CO13" s="19">
        <v>0.2</v>
      </c>
      <c r="CP13" s="19">
        <v>0.25</v>
      </c>
      <c r="CQ13" s="139"/>
      <c r="CR13" s="139"/>
      <c r="CS13" s="139"/>
      <c r="CT13" s="139">
        <v>4</v>
      </c>
      <c r="CU13" s="19">
        <v>0.3</v>
      </c>
      <c r="CV13" s="14">
        <f t="shared" si="20"/>
        <v>2605</v>
      </c>
      <c r="CW13" s="14">
        <f t="shared" si="21"/>
        <v>0</v>
      </c>
      <c r="CX13" s="14">
        <f t="shared" si="22"/>
        <v>0</v>
      </c>
      <c r="CY13" s="14">
        <f t="shared" si="23"/>
        <v>0</v>
      </c>
      <c r="CZ13" s="14">
        <f>INDEX(金币总表!$AN$5:$AN$12,挂机升级突破!CT13)*挂机升级突破!CU13</f>
        <v>57295.5</v>
      </c>
      <c r="DA13" s="103"/>
      <c r="DD13" s="19">
        <v>0.24</v>
      </c>
      <c r="DE13" s="14">
        <f>INT(DC$12*DD13)</f>
        <v>0</v>
      </c>
      <c r="DF13" s="30">
        <v>1.8</v>
      </c>
      <c r="DG13" s="14">
        <f t="shared" si="6"/>
        <v>0</v>
      </c>
    </row>
    <row r="14" spans="1:119" ht="16.5" x14ac:dyDescent="0.2">
      <c r="A14" s="73">
        <v>7</v>
      </c>
      <c r="B14" s="73">
        <v>4</v>
      </c>
      <c r="C14" s="73">
        <v>40</v>
      </c>
      <c r="D14" s="73">
        <v>1</v>
      </c>
      <c r="E14" s="109">
        <v>1</v>
      </c>
      <c r="F14" s="109">
        <v>2</v>
      </c>
      <c r="G14" s="109">
        <v>1</v>
      </c>
      <c r="H14" s="109">
        <v>0</v>
      </c>
      <c r="I14" s="109">
        <v>0</v>
      </c>
      <c r="J14" s="115">
        <v>2</v>
      </c>
      <c r="K14" s="115">
        <f>SUMIFS(章节关卡!$BS$5:$BS$94,章节关卡!$BO$5:$BO$94,"="&amp;挂机升级突破!A14)</f>
        <v>1080</v>
      </c>
      <c r="L14" s="115"/>
      <c r="M14" s="115"/>
      <c r="N14" s="14">
        <f>节奏总表!AC11</f>
        <v>0.58000000000000007</v>
      </c>
      <c r="O14" s="14">
        <f>节奏总表!AD11</f>
        <v>2.83</v>
      </c>
      <c r="P14" s="14">
        <f>(节奏总表!N11+节奏总表!O11)*60</f>
        <v>1920</v>
      </c>
      <c r="Q14" s="19">
        <v>0.5</v>
      </c>
      <c r="R14" s="19">
        <v>0.5</v>
      </c>
      <c r="S14" s="19">
        <v>0</v>
      </c>
      <c r="T14" s="19">
        <v>0</v>
      </c>
      <c r="U14" s="19">
        <v>0</v>
      </c>
      <c r="V14" s="19">
        <v>0.65</v>
      </c>
      <c r="W14" s="19">
        <v>0</v>
      </c>
      <c r="X14" s="19">
        <v>0</v>
      </c>
      <c r="Y14" s="19">
        <v>0</v>
      </c>
      <c r="Z14" s="19">
        <v>0</v>
      </c>
      <c r="AA14" s="14">
        <f>章节关卡!K12</f>
        <v>60</v>
      </c>
      <c r="AB14" s="14">
        <f>章节关卡!H12</f>
        <v>40</v>
      </c>
      <c r="AC14" s="15"/>
      <c r="AD14" s="15"/>
      <c r="AE14" s="73">
        <v>7</v>
      </c>
      <c r="AF14" s="144">
        <v>40</v>
      </c>
      <c r="AG14" s="159">
        <f t="shared" si="24"/>
        <v>120</v>
      </c>
      <c r="AH14" s="159">
        <f t="shared" si="25"/>
        <v>60</v>
      </c>
      <c r="AI14" s="159">
        <f t="shared" si="26"/>
        <v>0</v>
      </c>
      <c r="AJ14" s="159">
        <f t="shared" si="27"/>
        <v>0</v>
      </c>
      <c r="AK14" s="159">
        <f t="shared" si="28"/>
        <v>0</v>
      </c>
      <c r="AL14" s="159">
        <f t="shared" si="29"/>
        <v>35.099999999999994</v>
      </c>
      <c r="AM14" s="159">
        <f t="shared" si="30"/>
        <v>0</v>
      </c>
      <c r="AN14" s="159">
        <f t="shared" si="31"/>
        <v>0</v>
      </c>
      <c r="AO14" s="159">
        <f t="shared" si="32"/>
        <v>0</v>
      </c>
      <c r="AR14" s="139">
        <v>8</v>
      </c>
      <c r="AS14" s="139" t="s">
        <v>550</v>
      </c>
      <c r="AT14" s="139">
        <f>金币总表!AO12</f>
        <v>11396980</v>
      </c>
      <c r="AW14" s="73">
        <v>9</v>
      </c>
      <c r="AX14" s="73">
        <v>2</v>
      </c>
      <c r="AY14" s="14" t="str">
        <f>INDEX(节奏总表!$BJ$4:$BJ$23,MATCH(挂机升级突破!AW14+1,节奏总表!$BM$4:$BM$22,1))</f>
        <v>众合+1</v>
      </c>
      <c r="AZ14" s="73"/>
      <c r="BA14" s="14">
        <f>INDEX(节奏总表!$BF$4:$BF$55,挂机升级突破!AW14)</f>
        <v>42</v>
      </c>
      <c r="BB14" s="73"/>
      <c r="BC14" s="19">
        <v>0.1</v>
      </c>
      <c r="BD14" s="73"/>
      <c r="BE14" s="73"/>
      <c r="BF14" s="73"/>
      <c r="BG14" s="19">
        <v>0.05</v>
      </c>
      <c r="BH14" s="73"/>
      <c r="BI14" s="73"/>
      <c r="BJ14" s="73"/>
      <c r="BK14" s="73"/>
      <c r="BL14" s="139">
        <v>3</v>
      </c>
      <c r="BM14" s="19">
        <v>0.15</v>
      </c>
      <c r="BN14" s="14">
        <f t="shared" si="8"/>
        <v>13351.5</v>
      </c>
      <c r="BP14" s="76">
        <v>9</v>
      </c>
      <c r="BQ14" s="56">
        <v>2</v>
      </c>
      <c r="BR14" s="73" t="s">
        <v>541</v>
      </c>
      <c r="BS14" s="76">
        <v>9.0000000000000107</v>
      </c>
      <c r="BT14" s="14">
        <f t="shared" si="2"/>
        <v>42</v>
      </c>
      <c r="BU14" s="104">
        <v>11</v>
      </c>
      <c r="BV14" s="104">
        <v>2</v>
      </c>
      <c r="BW14" s="30"/>
      <c r="BX14" s="14">
        <f t="shared" si="9"/>
        <v>0</v>
      </c>
      <c r="BY14" s="14">
        <f t="shared" si="10"/>
        <v>8647</v>
      </c>
      <c r="BZ14" s="14">
        <f t="shared" si="11"/>
        <v>0</v>
      </c>
      <c r="CA14" s="14">
        <f t="shared" si="12"/>
        <v>0</v>
      </c>
      <c r="CB14" s="14">
        <f t="shared" si="13"/>
        <v>0</v>
      </c>
      <c r="CC14" s="14">
        <f t="shared" si="14"/>
        <v>521</v>
      </c>
      <c r="CD14" s="14">
        <f t="shared" si="15"/>
        <v>0</v>
      </c>
      <c r="CE14" s="14">
        <f t="shared" si="16"/>
        <v>0</v>
      </c>
      <c r="CF14" s="14">
        <f t="shared" si="17"/>
        <v>0</v>
      </c>
      <c r="CG14" s="14">
        <f t="shared" si="18"/>
        <v>0</v>
      </c>
      <c r="CH14" s="14">
        <f t="shared" si="5"/>
        <v>13351.5</v>
      </c>
      <c r="CJ14" s="139">
        <v>8</v>
      </c>
      <c r="CK14" s="139" t="s">
        <v>543</v>
      </c>
      <c r="CL14" s="139">
        <v>52</v>
      </c>
      <c r="CM14" s="139">
        <v>5</v>
      </c>
      <c r="CN14" s="139">
        <v>1</v>
      </c>
      <c r="CO14" s="19">
        <v>0.2</v>
      </c>
      <c r="CP14" s="19">
        <v>0.45</v>
      </c>
      <c r="CQ14" s="139"/>
      <c r="CR14" s="139"/>
      <c r="CS14" s="139"/>
      <c r="CT14" s="139">
        <v>4</v>
      </c>
      <c r="CU14" s="19">
        <v>0.3</v>
      </c>
      <c r="CV14" s="14">
        <f t="shared" si="20"/>
        <v>4690</v>
      </c>
      <c r="CW14" s="14">
        <f t="shared" si="21"/>
        <v>0</v>
      </c>
      <c r="CX14" s="14">
        <f t="shared" si="22"/>
        <v>0</v>
      </c>
      <c r="CY14" s="14">
        <f t="shared" si="23"/>
        <v>0</v>
      </c>
      <c r="CZ14" s="14">
        <f>INDEX(金币总表!$AN$5:$AN$12,挂机升级突破!CT14)*挂机升级突破!CU14</f>
        <v>57295.5</v>
      </c>
      <c r="DD14" s="19">
        <v>0.26</v>
      </c>
      <c r="DE14" s="14">
        <f>INT(DC$12*DD14)</f>
        <v>0</v>
      </c>
      <c r="DF14" s="30">
        <v>1.8</v>
      </c>
      <c r="DG14" s="14">
        <f t="shared" si="6"/>
        <v>0</v>
      </c>
    </row>
    <row r="15" spans="1:119" ht="16.5" x14ac:dyDescent="0.2">
      <c r="A15" s="73">
        <v>8</v>
      </c>
      <c r="B15" s="73">
        <v>4</v>
      </c>
      <c r="C15" s="73">
        <v>45</v>
      </c>
      <c r="D15" s="73">
        <v>1</v>
      </c>
      <c r="E15" s="109">
        <v>1</v>
      </c>
      <c r="F15" s="109">
        <v>2</v>
      </c>
      <c r="G15" s="109">
        <v>1</v>
      </c>
      <c r="H15" s="109">
        <v>0</v>
      </c>
      <c r="I15" s="109">
        <v>0</v>
      </c>
      <c r="J15" s="115">
        <v>2</v>
      </c>
      <c r="K15" s="115">
        <f>SUMIFS(章节关卡!$BS$5:$BS$94,章节关卡!$BO$5:$BO$94,"="&amp;挂机升级突破!A15)</f>
        <v>1080</v>
      </c>
      <c r="L15" s="115"/>
      <c r="M15" s="115"/>
      <c r="N15" s="14">
        <f>节奏总表!AC12</f>
        <v>0.62999999999999989</v>
      </c>
      <c r="O15" s="14">
        <f>节奏总表!AD12</f>
        <v>3.46</v>
      </c>
      <c r="P15" s="14">
        <f>(节奏总表!N12+节奏总表!O12)*60</f>
        <v>2040</v>
      </c>
      <c r="Q15" s="19">
        <v>0.35</v>
      </c>
      <c r="R15" s="19">
        <v>0.65</v>
      </c>
      <c r="S15" s="19">
        <v>0</v>
      </c>
      <c r="T15" s="19">
        <v>0</v>
      </c>
      <c r="U15" s="19">
        <v>0</v>
      </c>
      <c r="V15" s="19">
        <v>0.8</v>
      </c>
      <c r="W15" s="19">
        <v>0</v>
      </c>
      <c r="X15" s="19">
        <v>0</v>
      </c>
      <c r="Y15" s="19">
        <v>0</v>
      </c>
      <c r="Z15" s="19">
        <v>0</v>
      </c>
      <c r="AA15" s="14">
        <f>章节关卡!K13</f>
        <v>70</v>
      </c>
      <c r="AB15" s="14">
        <f>章节关卡!H13</f>
        <v>45</v>
      </c>
      <c r="AC15" s="15"/>
      <c r="AD15" s="15"/>
      <c r="AE15" s="73">
        <v>8</v>
      </c>
      <c r="AF15" s="144">
        <v>45</v>
      </c>
      <c r="AG15" s="159">
        <f t="shared" si="24"/>
        <v>84</v>
      </c>
      <c r="AH15" s="159">
        <f t="shared" si="25"/>
        <v>78</v>
      </c>
      <c r="AI15" s="159">
        <f t="shared" si="26"/>
        <v>0</v>
      </c>
      <c r="AJ15" s="159">
        <f t="shared" si="27"/>
        <v>0</v>
      </c>
      <c r="AK15" s="159">
        <f t="shared" si="28"/>
        <v>0</v>
      </c>
      <c r="AL15" s="159">
        <f t="shared" si="29"/>
        <v>43.2</v>
      </c>
      <c r="AM15" s="159">
        <f t="shared" si="30"/>
        <v>0</v>
      </c>
      <c r="AN15" s="159">
        <f t="shared" si="31"/>
        <v>0</v>
      </c>
      <c r="AO15" s="159">
        <f t="shared" si="32"/>
        <v>0</v>
      </c>
      <c r="AW15" s="73">
        <v>10</v>
      </c>
      <c r="AX15" s="73">
        <v>1</v>
      </c>
      <c r="AY15" s="14" t="str">
        <f>INDEX(节奏总表!$BJ$4:$BJ$23,MATCH(挂机升级突破!AW15+1,节奏总表!$BM$4:$BM$22,1))</f>
        <v>众合+2</v>
      </c>
      <c r="AZ15" s="73"/>
      <c r="BA15" s="14">
        <f>INDEX(节奏总表!$BF$4:$BF$55,挂机升级突破!AW15)</f>
        <v>45</v>
      </c>
      <c r="BB15" s="73"/>
      <c r="BC15" s="19">
        <v>0.15</v>
      </c>
      <c r="BD15" s="73"/>
      <c r="BE15" s="73"/>
      <c r="BF15" s="73"/>
      <c r="BG15" s="19">
        <v>0.1</v>
      </c>
      <c r="BH15" s="73"/>
      <c r="BI15" s="73"/>
      <c r="BJ15" s="73"/>
      <c r="BK15" s="73"/>
      <c r="BL15" s="139">
        <v>3</v>
      </c>
      <c r="BM15" s="19">
        <v>0.25</v>
      </c>
      <c r="BN15" s="14">
        <f t="shared" si="8"/>
        <v>22252.5</v>
      </c>
      <c r="BP15" s="76">
        <v>10</v>
      </c>
      <c r="BQ15" s="56">
        <v>1</v>
      </c>
      <c r="BR15" s="73" t="s">
        <v>527</v>
      </c>
      <c r="BS15" s="76">
        <v>9.0000000000000107</v>
      </c>
      <c r="BT15" s="14">
        <f t="shared" si="2"/>
        <v>45</v>
      </c>
      <c r="BU15" s="104">
        <v>11</v>
      </c>
      <c r="BV15" s="104">
        <v>2</v>
      </c>
      <c r="BW15" s="30"/>
      <c r="BX15" s="14">
        <f t="shared" si="9"/>
        <v>0</v>
      </c>
      <c r="BY15" s="14">
        <f t="shared" si="10"/>
        <v>12971</v>
      </c>
      <c r="BZ15" s="14">
        <f t="shared" si="11"/>
        <v>0</v>
      </c>
      <c r="CA15" s="14">
        <f t="shared" si="12"/>
        <v>0</v>
      </c>
      <c r="CB15" s="14">
        <f t="shared" si="13"/>
        <v>0</v>
      </c>
      <c r="CC15" s="14">
        <f t="shared" si="14"/>
        <v>1042</v>
      </c>
      <c r="CD15" s="14">
        <f t="shared" si="15"/>
        <v>0</v>
      </c>
      <c r="CE15" s="14">
        <f t="shared" si="16"/>
        <v>0</v>
      </c>
      <c r="CF15" s="14">
        <f t="shared" si="17"/>
        <v>0</v>
      </c>
      <c r="CG15" s="14">
        <f t="shared" si="18"/>
        <v>0</v>
      </c>
      <c r="CH15" s="14">
        <f t="shared" si="5"/>
        <v>22252.5</v>
      </c>
      <c r="CJ15" s="139">
        <v>9</v>
      </c>
      <c r="CK15" s="139" t="s">
        <v>503</v>
      </c>
      <c r="CL15" s="139">
        <v>57</v>
      </c>
      <c r="CM15" s="139">
        <v>5</v>
      </c>
      <c r="CN15" s="139">
        <v>2</v>
      </c>
      <c r="CO15" s="19">
        <v>0.2</v>
      </c>
      <c r="CP15" s="19"/>
      <c r="CQ15" s="19">
        <v>0.15</v>
      </c>
      <c r="CR15" s="139"/>
      <c r="CS15" s="139"/>
      <c r="CT15" s="139">
        <v>4</v>
      </c>
      <c r="CU15" s="19">
        <v>0.4</v>
      </c>
      <c r="CV15" s="14">
        <f t="shared" si="20"/>
        <v>0</v>
      </c>
      <c r="CW15" s="14">
        <f t="shared" si="21"/>
        <v>579</v>
      </c>
      <c r="CX15" s="14">
        <f t="shared" si="22"/>
        <v>0</v>
      </c>
      <c r="CY15" s="14">
        <f t="shared" si="23"/>
        <v>0</v>
      </c>
      <c r="CZ15" s="14">
        <f>INDEX(金币总表!$AN$5:$AN$12,挂机升级突破!CT15)*挂机升级突破!CU15</f>
        <v>76394</v>
      </c>
      <c r="DD15" s="19">
        <v>0.28000000000000003</v>
      </c>
      <c r="DE15" s="14">
        <f>INT(DC$12*DD15)</f>
        <v>0</v>
      </c>
      <c r="DF15" s="30">
        <v>1.8</v>
      </c>
      <c r="DG15" s="14">
        <f t="shared" si="6"/>
        <v>0</v>
      </c>
    </row>
    <row r="16" spans="1:119" ht="16.5" x14ac:dyDescent="0.2">
      <c r="A16" s="73">
        <v>9</v>
      </c>
      <c r="B16" s="73">
        <v>4</v>
      </c>
      <c r="C16" s="73">
        <v>50</v>
      </c>
      <c r="D16" s="73">
        <v>1</v>
      </c>
      <c r="E16" s="109">
        <v>1</v>
      </c>
      <c r="F16" s="109">
        <v>2</v>
      </c>
      <c r="G16" s="109">
        <v>1</v>
      </c>
      <c r="H16" s="109">
        <v>0</v>
      </c>
      <c r="I16" s="109">
        <v>0</v>
      </c>
      <c r="J16" s="115">
        <v>2</v>
      </c>
      <c r="K16" s="115">
        <f>SUMIFS(章节关卡!$BS$5:$BS$94,章节关卡!$BO$5:$BO$94,"="&amp;挂机升级突破!A16)</f>
        <v>1080</v>
      </c>
      <c r="L16" s="115"/>
      <c r="M16" s="115"/>
      <c r="N16" s="14">
        <f>节奏总表!AC13</f>
        <v>0.71</v>
      </c>
      <c r="O16" s="14">
        <f>节奏总表!AD13</f>
        <v>4.17</v>
      </c>
      <c r="P16" s="14">
        <f>(节奏总表!N13+节奏总表!O13)*60</f>
        <v>2280</v>
      </c>
      <c r="Q16" s="19">
        <v>0.2</v>
      </c>
      <c r="R16" s="19">
        <v>0.8</v>
      </c>
      <c r="S16" s="19">
        <v>0</v>
      </c>
      <c r="T16" s="19">
        <v>0</v>
      </c>
      <c r="U16" s="19">
        <v>0</v>
      </c>
      <c r="V16" s="19">
        <v>1</v>
      </c>
      <c r="W16" s="19">
        <v>0</v>
      </c>
      <c r="X16" s="19">
        <v>0</v>
      </c>
      <c r="Y16" s="19">
        <v>0</v>
      </c>
      <c r="Z16" s="19">
        <v>0</v>
      </c>
      <c r="AA16" s="14">
        <f>章节关卡!K14</f>
        <v>80</v>
      </c>
      <c r="AB16" s="14">
        <f>章节关卡!H14</f>
        <v>50</v>
      </c>
      <c r="AC16" s="15"/>
      <c r="AD16" s="15"/>
      <c r="AE16" s="73">
        <v>9</v>
      </c>
      <c r="AF16" s="144">
        <v>50</v>
      </c>
      <c r="AG16" s="159">
        <f t="shared" si="24"/>
        <v>48</v>
      </c>
      <c r="AH16" s="159">
        <f t="shared" si="25"/>
        <v>96</v>
      </c>
      <c r="AI16" s="159">
        <f t="shared" si="26"/>
        <v>0</v>
      </c>
      <c r="AJ16" s="159">
        <f t="shared" si="27"/>
        <v>0</v>
      </c>
      <c r="AK16" s="159">
        <f t="shared" si="28"/>
        <v>0</v>
      </c>
      <c r="AL16" s="159">
        <f t="shared" si="29"/>
        <v>54</v>
      </c>
      <c r="AM16" s="159">
        <f t="shared" si="30"/>
        <v>0</v>
      </c>
      <c r="AN16" s="159">
        <f t="shared" si="31"/>
        <v>0</v>
      </c>
      <c r="AO16" s="159">
        <f t="shared" si="32"/>
        <v>0</v>
      </c>
      <c r="AW16" s="73">
        <v>11</v>
      </c>
      <c r="AX16" s="73">
        <v>2</v>
      </c>
      <c r="AY16" s="14" t="str">
        <f>INDEX(节奏总表!$BJ$4:$BJ$23,MATCH(挂机升级突破!AW16+1,节奏总表!$BM$4:$BM$22,1))</f>
        <v>众合+2</v>
      </c>
      <c r="AZ16" s="73"/>
      <c r="BA16" s="14">
        <f>INDEX(节奏总表!$BF$4:$BF$55,挂机升级突破!AW16)</f>
        <v>47</v>
      </c>
      <c r="BB16" s="73"/>
      <c r="BC16" s="19">
        <v>0.15</v>
      </c>
      <c r="BD16" s="73"/>
      <c r="BE16" s="73"/>
      <c r="BF16" s="73"/>
      <c r="BG16" s="19">
        <v>0.1</v>
      </c>
      <c r="BH16" s="73"/>
      <c r="BI16" s="73"/>
      <c r="BJ16" s="73"/>
      <c r="BK16" s="73"/>
      <c r="BL16" s="139">
        <v>3</v>
      </c>
      <c r="BM16" s="19">
        <v>0.25</v>
      </c>
      <c r="BN16" s="14">
        <f t="shared" si="8"/>
        <v>22252.5</v>
      </c>
      <c r="BP16" s="76">
        <v>11</v>
      </c>
      <c r="BQ16" s="56">
        <v>2</v>
      </c>
      <c r="BR16" s="73" t="s">
        <v>527</v>
      </c>
      <c r="BS16" s="76">
        <v>9.0000000000000107</v>
      </c>
      <c r="BT16" s="14">
        <f t="shared" si="2"/>
        <v>47</v>
      </c>
      <c r="BU16" s="104">
        <v>11</v>
      </c>
      <c r="BV16" s="104">
        <v>2</v>
      </c>
      <c r="BW16" s="30"/>
      <c r="BX16" s="14">
        <f t="shared" si="9"/>
        <v>0</v>
      </c>
      <c r="BY16" s="14">
        <f t="shared" si="10"/>
        <v>12971</v>
      </c>
      <c r="BZ16" s="14">
        <f t="shared" si="11"/>
        <v>0</v>
      </c>
      <c r="CA16" s="14">
        <f t="shared" si="12"/>
        <v>0</v>
      </c>
      <c r="CB16" s="14">
        <f t="shared" si="13"/>
        <v>0</v>
      </c>
      <c r="CC16" s="14">
        <f t="shared" si="14"/>
        <v>1042</v>
      </c>
      <c r="CD16" s="14">
        <f t="shared" si="15"/>
        <v>0</v>
      </c>
      <c r="CE16" s="14">
        <f t="shared" si="16"/>
        <v>0</v>
      </c>
      <c r="CF16" s="14">
        <f t="shared" si="17"/>
        <v>0</v>
      </c>
      <c r="CG16" s="14">
        <f t="shared" si="18"/>
        <v>0</v>
      </c>
      <c r="CH16" s="14">
        <f t="shared" si="5"/>
        <v>22252.5</v>
      </c>
      <c r="CJ16" s="139">
        <v>10</v>
      </c>
      <c r="CK16" s="139" t="s">
        <v>544</v>
      </c>
      <c r="CL16" s="139">
        <v>65</v>
      </c>
      <c r="CM16" s="139">
        <v>5</v>
      </c>
      <c r="CN16" s="139">
        <v>2</v>
      </c>
      <c r="CO16" s="19">
        <v>0.2</v>
      </c>
      <c r="CP16" s="19"/>
      <c r="CQ16" s="19">
        <v>0.21</v>
      </c>
      <c r="CR16" s="139"/>
      <c r="CS16" s="139"/>
      <c r="CT16" s="139">
        <v>5</v>
      </c>
      <c r="CU16" s="19">
        <v>0.3</v>
      </c>
      <c r="CV16" s="14">
        <f t="shared" si="20"/>
        <v>0</v>
      </c>
      <c r="CW16" s="14">
        <f t="shared" si="21"/>
        <v>810</v>
      </c>
      <c r="CX16" s="14">
        <f t="shared" si="22"/>
        <v>0</v>
      </c>
      <c r="CY16" s="14">
        <f t="shared" si="23"/>
        <v>0</v>
      </c>
      <c r="CZ16" s="14">
        <f>INDEX(金币总表!$AN$5:$AN$12,挂机升级突破!CT16)*挂机升级突破!CU16</f>
        <v>131730</v>
      </c>
      <c r="DC16" s="14">
        <f>金币总表!P43</f>
        <v>0</v>
      </c>
      <c r="DD16" s="19">
        <v>0.15</v>
      </c>
      <c r="DE16" s="14">
        <f>INT(DC$16*DD16)</f>
        <v>0</v>
      </c>
      <c r="DF16" s="30">
        <v>2</v>
      </c>
      <c r="DG16" s="14">
        <f t="shared" si="6"/>
        <v>0</v>
      </c>
    </row>
    <row r="17" spans="1:111" ht="16.5" x14ac:dyDescent="0.2">
      <c r="A17" s="73">
        <v>10</v>
      </c>
      <c r="B17" s="73">
        <v>4</v>
      </c>
      <c r="C17" s="73">
        <v>55</v>
      </c>
      <c r="D17" s="73">
        <v>1</v>
      </c>
      <c r="E17" s="109">
        <v>2</v>
      </c>
      <c r="F17" s="109">
        <v>0</v>
      </c>
      <c r="G17" s="109">
        <v>1</v>
      </c>
      <c r="H17" s="109">
        <v>0</v>
      </c>
      <c r="I17" s="109">
        <v>0</v>
      </c>
      <c r="J17" s="115">
        <v>3</v>
      </c>
      <c r="K17" s="115">
        <f>SUMIFS(章节关卡!$BS$5:$BS$94,章节关卡!$BO$5:$BO$94,"="&amp;挂机升级突破!A17)</f>
        <v>1080</v>
      </c>
      <c r="L17" s="115"/>
      <c r="M17" s="115"/>
      <c r="N17" s="14">
        <f>节奏总表!AC14</f>
        <v>0.83000000000000007</v>
      </c>
      <c r="O17" s="14">
        <f>节奏总表!AD14</f>
        <v>5</v>
      </c>
      <c r="P17" s="14">
        <f>(节奏总表!N14+节奏总表!O14)*60</f>
        <v>2640</v>
      </c>
      <c r="Q17" s="19">
        <v>0</v>
      </c>
      <c r="R17" s="19">
        <v>1</v>
      </c>
      <c r="S17" s="19">
        <v>0</v>
      </c>
      <c r="T17" s="19">
        <v>0</v>
      </c>
      <c r="U17" s="19">
        <v>0</v>
      </c>
      <c r="V17" s="19">
        <v>0.8</v>
      </c>
      <c r="W17" s="19">
        <v>0.2</v>
      </c>
      <c r="X17" s="19">
        <v>0</v>
      </c>
      <c r="Y17" s="19">
        <v>0</v>
      </c>
      <c r="Z17" s="19">
        <v>0</v>
      </c>
      <c r="AA17" s="14">
        <f>章节关卡!K15</f>
        <v>90</v>
      </c>
      <c r="AB17" s="14">
        <f>章节关卡!H15</f>
        <v>55</v>
      </c>
      <c r="AC17" s="15"/>
      <c r="AD17" s="15"/>
      <c r="AE17" s="73">
        <v>10</v>
      </c>
      <c r="AF17" s="144">
        <v>55</v>
      </c>
      <c r="AG17" s="159">
        <f t="shared" si="24"/>
        <v>0</v>
      </c>
      <c r="AH17" s="159">
        <f t="shared" si="25"/>
        <v>120</v>
      </c>
      <c r="AI17" s="159">
        <f t="shared" si="26"/>
        <v>0</v>
      </c>
      <c r="AJ17" s="159">
        <f t="shared" si="27"/>
        <v>0</v>
      </c>
      <c r="AK17" s="159">
        <f t="shared" si="28"/>
        <v>0</v>
      </c>
      <c r="AL17" s="159">
        <f t="shared" si="29"/>
        <v>43.2</v>
      </c>
      <c r="AM17" s="159">
        <f t="shared" si="30"/>
        <v>4.32</v>
      </c>
      <c r="AN17" s="159">
        <f t="shared" si="31"/>
        <v>0</v>
      </c>
      <c r="AO17" s="159">
        <f t="shared" si="32"/>
        <v>0</v>
      </c>
      <c r="AW17" s="73">
        <v>12</v>
      </c>
      <c r="AX17" s="73">
        <v>1</v>
      </c>
      <c r="AY17" s="14" t="str">
        <f>INDEX(节奏总表!$BJ$4:$BJ$23,MATCH(挂机升级突破!AW17+1,节奏总表!$BM$4:$BM$22,1))</f>
        <v>叫唤</v>
      </c>
      <c r="AZ17" s="73"/>
      <c r="BA17" s="14">
        <f>INDEX(节奏总表!$BF$4:$BF$55,挂机升级突破!AW17)</f>
        <v>50</v>
      </c>
      <c r="BB17" s="73"/>
      <c r="BC17" s="19">
        <v>0.2</v>
      </c>
      <c r="BD17" s="73"/>
      <c r="BE17" s="73"/>
      <c r="BF17" s="73"/>
      <c r="BG17" s="19">
        <v>0.12</v>
      </c>
      <c r="BH17" s="73"/>
      <c r="BI17" s="73"/>
      <c r="BJ17" s="73"/>
      <c r="BK17" s="73"/>
      <c r="BL17" s="139">
        <v>4</v>
      </c>
      <c r="BM17" s="19">
        <v>0.1</v>
      </c>
      <c r="BN17" s="14">
        <f t="shared" si="8"/>
        <v>19098.5</v>
      </c>
      <c r="BP17" s="76">
        <v>12</v>
      </c>
      <c r="BQ17" s="56">
        <v>1</v>
      </c>
      <c r="BR17" s="73" t="s">
        <v>542</v>
      </c>
      <c r="BS17" s="76">
        <v>9.0000000000000107</v>
      </c>
      <c r="BT17" s="14">
        <f t="shared" si="2"/>
        <v>50</v>
      </c>
      <c r="BU17" s="104">
        <v>11</v>
      </c>
      <c r="BV17" s="104">
        <v>2</v>
      </c>
      <c r="BW17" s="30"/>
      <c r="BX17" s="14">
        <f t="shared" si="9"/>
        <v>0</v>
      </c>
      <c r="BY17" s="14">
        <f t="shared" si="10"/>
        <v>17294</v>
      </c>
      <c r="BZ17" s="14">
        <f t="shared" si="11"/>
        <v>0</v>
      </c>
      <c r="CA17" s="14">
        <f t="shared" si="12"/>
        <v>0</v>
      </c>
      <c r="CB17" s="14">
        <f t="shared" si="13"/>
        <v>0</v>
      </c>
      <c r="CC17" s="14">
        <f t="shared" si="14"/>
        <v>1251</v>
      </c>
      <c r="CD17" s="14">
        <f t="shared" si="15"/>
        <v>0</v>
      </c>
      <c r="CE17" s="14">
        <f t="shared" si="16"/>
        <v>0</v>
      </c>
      <c r="CF17" s="14">
        <f t="shared" si="17"/>
        <v>0</v>
      </c>
      <c r="CG17" s="14">
        <f t="shared" si="18"/>
        <v>0</v>
      </c>
      <c r="CH17" s="14">
        <f t="shared" si="5"/>
        <v>19098.5</v>
      </c>
      <c r="CJ17" s="139">
        <v>11</v>
      </c>
      <c r="CK17" s="139" t="s">
        <v>545</v>
      </c>
      <c r="CL17" s="139">
        <v>72</v>
      </c>
      <c r="CM17" s="139">
        <v>5</v>
      </c>
      <c r="CN17" s="139">
        <v>2</v>
      </c>
      <c r="CO17" s="19">
        <v>0.2</v>
      </c>
      <c r="CP17" s="139"/>
      <c r="CQ17" s="19">
        <v>0.28000000000000003</v>
      </c>
      <c r="CR17" s="139"/>
      <c r="CS17" s="139"/>
      <c r="CT17" s="139">
        <v>5</v>
      </c>
      <c r="CU17" s="19">
        <v>0.3</v>
      </c>
      <c r="CV17" s="14">
        <f t="shared" si="20"/>
        <v>0</v>
      </c>
      <c r="CW17" s="14">
        <f t="shared" si="21"/>
        <v>1080</v>
      </c>
      <c r="CX17" s="14">
        <f t="shared" si="22"/>
        <v>0</v>
      </c>
      <c r="CY17" s="14">
        <f t="shared" si="23"/>
        <v>0</v>
      </c>
      <c r="CZ17" s="14">
        <f>INDEX(金币总表!$AN$5:$AN$12,挂机升级突破!CT17)*挂机升级突破!CU17</f>
        <v>131730</v>
      </c>
      <c r="DD17" s="19">
        <v>0.22</v>
      </c>
      <c r="DE17" s="14">
        <f>INT(DC$16*DD17)</f>
        <v>0</v>
      </c>
      <c r="DF17" s="30">
        <v>2.2000000000000002</v>
      </c>
      <c r="DG17" s="14">
        <f t="shared" si="6"/>
        <v>0</v>
      </c>
    </row>
    <row r="18" spans="1:111" ht="16.5" x14ac:dyDescent="0.2">
      <c r="A18" s="73">
        <v>11</v>
      </c>
      <c r="B18" s="73">
        <v>4</v>
      </c>
      <c r="C18" s="73">
        <v>60</v>
      </c>
      <c r="D18" s="73">
        <v>1</v>
      </c>
      <c r="E18" s="109">
        <v>2</v>
      </c>
      <c r="F18" s="109">
        <v>3</v>
      </c>
      <c r="G18" s="109">
        <v>1</v>
      </c>
      <c r="H18" s="109">
        <v>0</v>
      </c>
      <c r="I18" s="109">
        <v>0</v>
      </c>
      <c r="J18" s="115">
        <v>3</v>
      </c>
      <c r="K18" s="115">
        <f>SUMIFS(章节关卡!$BS$5:$BS$94,章节关卡!$BO$5:$BO$94,"="&amp;挂机升级突破!A18)</f>
        <v>1080</v>
      </c>
      <c r="L18" s="115"/>
      <c r="M18" s="115"/>
      <c r="N18" s="14">
        <f>节奏总表!AC15</f>
        <v>0.94000000000000039</v>
      </c>
      <c r="O18" s="14">
        <f>节奏总表!AD15</f>
        <v>5.94</v>
      </c>
      <c r="P18" s="14">
        <f>(节奏总表!N15+节奏总表!O15)*60</f>
        <v>2940</v>
      </c>
      <c r="Q18" s="19">
        <v>0</v>
      </c>
      <c r="R18" s="19">
        <v>0.8</v>
      </c>
      <c r="S18" s="19">
        <v>0.2</v>
      </c>
      <c r="T18" s="19">
        <v>0</v>
      </c>
      <c r="U18" s="19">
        <v>0</v>
      </c>
      <c r="V18" s="19">
        <v>0.65</v>
      </c>
      <c r="W18" s="19">
        <v>0.35</v>
      </c>
      <c r="X18" s="19">
        <v>0</v>
      </c>
      <c r="Y18" s="19">
        <v>0</v>
      </c>
      <c r="Z18" s="19">
        <v>0</v>
      </c>
      <c r="AA18" s="14">
        <f>章节关卡!K16</f>
        <v>100</v>
      </c>
      <c r="AB18" s="14">
        <f>章节关卡!H16</f>
        <v>60</v>
      </c>
      <c r="AC18" s="15"/>
      <c r="AD18" s="15"/>
      <c r="AE18" s="73">
        <v>11</v>
      </c>
      <c r="AF18" s="144">
        <v>60</v>
      </c>
      <c r="AG18" s="159">
        <f t="shared" si="24"/>
        <v>0</v>
      </c>
      <c r="AH18" s="159">
        <f t="shared" si="25"/>
        <v>96</v>
      </c>
      <c r="AI18" s="159">
        <f t="shared" si="26"/>
        <v>9.6000000000000014</v>
      </c>
      <c r="AJ18" s="159">
        <f t="shared" si="27"/>
        <v>0</v>
      </c>
      <c r="AK18" s="159">
        <f t="shared" si="28"/>
        <v>0</v>
      </c>
      <c r="AL18" s="159">
        <f t="shared" si="29"/>
        <v>35.099999999999994</v>
      </c>
      <c r="AM18" s="159">
        <f t="shared" si="30"/>
        <v>7.5600000000000005</v>
      </c>
      <c r="AN18" s="159">
        <f t="shared" si="31"/>
        <v>0</v>
      </c>
      <c r="AO18" s="159">
        <f t="shared" si="32"/>
        <v>0</v>
      </c>
      <c r="AW18" s="73">
        <v>13</v>
      </c>
      <c r="AX18" s="73">
        <v>2</v>
      </c>
      <c r="AY18" s="14" t="str">
        <f>INDEX(节奏总表!$BJ$4:$BJ$23,MATCH(挂机升级突破!AW18+1,节奏总表!$BM$4:$BM$22,1))</f>
        <v>叫唤</v>
      </c>
      <c r="AZ18" s="73"/>
      <c r="BA18" s="14">
        <f>INDEX(节奏总表!$BF$4:$BF$55,挂机升级突破!AW18)</f>
        <v>52</v>
      </c>
      <c r="BB18" s="73"/>
      <c r="BC18" s="19">
        <v>0.2</v>
      </c>
      <c r="BD18" s="73"/>
      <c r="BE18" s="73"/>
      <c r="BF18" s="73"/>
      <c r="BG18" s="19">
        <v>0.12</v>
      </c>
      <c r="BH18" s="73"/>
      <c r="BI18" s="73"/>
      <c r="BJ18" s="73"/>
      <c r="BK18" s="73"/>
      <c r="BL18" s="139">
        <v>4</v>
      </c>
      <c r="BM18" s="19">
        <v>0.1</v>
      </c>
      <c r="BN18" s="14">
        <f t="shared" si="8"/>
        <v>19098.5</v>
      </c>
      <c r="BP18" s="76">
        <v>13</v>
      </c>
      <c r="BQ18" s="56">
        <v>2</v>
      </c>
      <c r="BR18" s="73" t="s">
        <v>542</v>
      </c>
      <c r="BS18" s="76">
        <v>9.0000000000000107</v>
      </c>
      <c r="BT18" s="14">
        <f t="shared" si="2"/>
        <v>52</v>
      </c>
      <c r="BU18" s="104">
        <v>11</v>
      </c>
      <c r="BV18" s="104">
        <v>2</v>
      </c>
      <c r="BW18" s="30"/>
      <c r="BX18" s="14">
        <f t="shared" si="9"/>
        <v>0</v>
      </c>
      <c r="BY18" s="14">
        <f t="shared" si="10"/>
        <v>17294</v>
      </c>
      <c r="BZ18" s="14">
        <f t="shared" si="11"/>
        <v>0</v>
      </c>
      <c r="CA18" s="14">
        <f t="shared" si="12"/>
        <v>0</v>
      </c>
      <c r="CB18" s="14">
        <f t="shared" si="13"/>
        <v>0</v>
      </c>
      <c r="CC18" s="14">
        <f t="shared" si="14"/>
        <v>1251</v>
      </c>
      <c r="CD18" s="14">
        <f t="shared" si="15"/>
        <v>0</v>
      </c>
      <c r="CE18" s="14">
        <f t="shared" si="16"/>
        <v>0</v>
      </c>
      <c r="CF18" s="14">
        <f t="shared" si="17"/>
        <v>0</v>
      </c>
      <c r="CG18" s="14">
        <f t="shared" si="18"/>
        <v>0</v>
      </c>
      <c r="CH18" s="14">
        <f t="shared" si="5"/>
        <v>19098.5</v>
      </c>
      <c r="CJ18" s="139">
        <v>12</v>
      </c>
      <c r="CK18" s="139" t="s">
        <v>504</v>
      </c>
      <c r="CL18" s="139">
        <v>80</v>
      </c>
      <c r="CM18" s="139">
        <v>5</v>
      </c>
      <c r="CN18" s="139">
        <v>2</v>
      </c>
      <c r="CO18" s="19">
        <v>0.2</v>
      </c>
      <c r="CP18" s="139"/>
      <c r="CQ18" s="19">
        <v>0.36</v>
      </c>
      <c r="CR18" s="139"/>
      <c r="CS18" s="139"/>
      <c r="CT18" s="139">
        <v>5</v>
      </c>
      <c r="CU18" s="19">
        <v>0.4</v>
      </c>
      <c r="CV18" s="14">
        <f t="shared" si="20"/>
        <v>0</v>
      </c>
      <c r="CW18" s="14">
        <f t="shared" si="21"/>
        <v>1389</v>
      </c>
      <c r="CX18" s="14">
        <f t="shared" si="22"/>
        <v>0</v>
      </c>
      <c r="CY18" s="14">
        <f t="shared" si="23"/>
        <v>0</v>
      </c>
      <c r="CZ18" s="14">
        <f>INDEX(金币总表!$AN$5:$AN$12,挂机升级突破!CT18)*挂机升级突破!CU18</f>
        <v>175640</v>
      </c>
      <c r="DD18" s="19">
        <v>0.28000000000000003</v>
      </c>
      <c r="DE18" s="14">
        <f>INT(DC$16*DD18)</f>
        <v>0</v>
      </c>
      <c r="DF18" s="30">
        <v>2.4</v>
      </c>
      <c r="DG18" s="14">
        <f t="shared" si="6"/>
        <v>0</v>
      </c>
    </row>
    <row r="19" spans="1:111" ht="16.5" x14ac:dyDescent="0.2">
      <c r="A19" s="73">
        <v>12</v>
      </c>
      <c r="B19" s="73">
        <v>4</v>
      </c>
      <c r="C19" s="73">
        <v>65</v>
      </c>
      <c r="D19" s="73">
        <v>1</v>
      </c>
      <c r="E19" s="109">
        <v>2</v>
      </c>
      <c r="F19" s="109">
        <v>3</v>
      </c>
      <c r="G19" s="109">
        <v>1</v>
      </c>
      <c r="H19" s="109">
        <v>2</v>
      </c>
      <c r="I19" s="109">
        <v>0</v>
      </c>
      <c r="J19" s="115">
        <v>3</v>
      </c>
      <c r="K19" s="115">
        <f>SUMIFS(章节关卡!$BS$5:$BS$94,章节关卡!$BO$5:$BO$94,"="&amp;挂机升级突破!A19)</f>
        <v>1080</v>
      </c>
      <c r="L19" s="115"/>
      <c r="M19" s="115"/>
      <c r="N19" s="14">
        <f>节奏总表!AC16</f>
        <v>1.0599999999999996</v>
      </c>
      <c r="O19" s="14">
        <f>节奏总表!AD16</f>
        <v>7</v>
      </c>
      <c r="P19" s="14">
        <f>(节奏总表!N16+节奏总表!O16)*60</f>
        <v>3300</v>
      </c>
      <c r="Q19" s="19">
        <v>0</v>
      </c>
      <c r="R19" s="19">
        <v>0.65</v>
      </c>
      <c r="S19" s="19">
        <v>0.35</v>
      </c>
      <c r="T19" s="19">
        <v>0</v>
      </c>
      <c r="U19" s="19">
        <v>0</v>
      </c>
      <c r="V19" s="19">
        <v>0.5</v>
      </c>
      <c r="W19" s="19">
        <v>0.5</v>
      </c>
      <c r="X19" s="19">
        <v>0</v>
      </c>
      <c r="Y19" s="19">
        <v>0</v>
      </c>
      <c r="Z19" s="19">
        <v>0</v>
      </c>
      <c r="AA19" s="14">
        <f>章节关卡!K17</f>
        <v>110</v>
      </c>
      <c r="AB19" s="14">
        <f>章节关卡!H17</f>
        <v>65</v>
      </c>
      <c r="AC19" s="15"/>
      <c r="AD19" s="15"/>
      <c r="AE19" s="73">
        <v>12</v>
      </c>
      <c r="AF19" s="144">
        <v>65</v>
      </c>
      <c r="AG19" s="159">
        <f t="shared" si="24"/>
        <v>0</v>
      </c>
      <c r="AH19" s="159">
        <f t="shared" si="25"/>
        <v>78</v>
      </c>
      <c r="AI19" s="159">
        <f t="shared" si="26"/>
        <v>16.8</v>
      </c>
      <c r="AJ19" s="159">
        <f t="shared" si="27"/>
        <v>0</v>
      </c>
      <c r="AK19" s="159">
        <f t="shared" si="28"/>
        <v>0</v>
      </c>
      <c r="AL19" s="159">
        <f t="shared" si="29"/>
        <v>27</v>
      </c>
      <c r="AM19" s="159">
        <f t="shared" si="30"/>
        <v>10.8</v>
      </c>
      <c r="AN19" s="159">
        <f t="shared" si="31"/>
        <v>0</v>
      </c>
      <c r="AO19" s="159">
        <f t="shared" si="32"/>
        <v>0</v>
      </c>
      <c r="AW19" s="73">
        <v>14</v>
      </c>
      <c r="AX19" s="73">
        <v>1</v>
      </c>
      <c r="AY19" s="14" t="str">
        <f>INDEX(节奏总表!$BJ$4:$BJ$23,MATCH(挂机升级突破!AW19+1,节奏总表!$BM$4:$BM$22,1))</f>
        <v>叫唤+1</v>
      </c>
      <c r="AZ19" s="73"/>
      <c r="BA19" s="14">
        <f>INDEX(节奏总表!$BF$4:$BF$55,挂机升级突破!AW19)</f>
        <v>55</v>
      </c>
      <c r="BB19" s="73"/>
      <c r="BC19" s="19"/>
      <c r="BD19" s="19">
        <v>0.05</v>
      </c>
      <c r="BE19" s="73"/>
      <c r="BF19" s="73"/>
      <c r="BG19" s="19">
        <v>0.15</v>
      </c>
      <c r="BH19" s="73"/>
      <c r="BI19" s="73"/>
      <c r="BJ19" s="73"/>
      <c r="BK19" s="73"/>
      <c r="BL19" s="139">
        <v>4</v>
      </c>
      <c r="BM19" s="19">
        <v>0.11</v>
      </c>
      <c r="BN19" s="14">
        <f t="shared" si="8"/>
        <v>21008.35</v>
      </c>
      <c r="BP19" s="76">
        <v>14</v>
      </c>
      <c r="BQ19" s="56">
        <v>1</v>
      </c>
      <c r="BR19" s="73" t="s">
        <v>543</v>
      </c>
      <c r="BS19" s="76">
        <v>9.0000000000000107</v>
      </c>
      <c r="BT19" s="14">
        <f t="shared" si="2"/>
        <v>55</v>
      </c>
      <c r="BU19" s="104">
        <v>11</v>
      </c>
      <c r="BV19" s="104">
        <v>3</v>
      </c>
      <c r="BW19" s="30"/>
      <c r="BX19" s="14">
        <f t="shared" si="9"/>
        <v>0</v>
      </c>
      <c r="BY19" s="14">
        <f t="shared" si="10"/>
        <v>0</v>
      </c>
      <c r="BZ19" s="14">
        <f t="shared" si="11"/>
        <v>1514</v>
      </c>
      <c r="CA19" s="14">
        <f t="shared" si="12"/>
        <v>0</v>
      </c>
      <c r="CB19" s="14">
        <f t="shared" si="13"/>
        <v>0</v>
      </c>
      <c r="CC19" s="14">
        <f t="shared" si="14"/>
        <v>1563</v>
      </c>
      <c r="CD19" s="14">
        <f t="shared" si="15"/>
        <v>0</v>
      </c>
      <c r="CE19" s="14">
        <f t="shared" si="16"/>
        <v>0</v>
      </c>
      <c r="CF19" s="14">
        <f t="shared" si="17"/>
        <v>0</v>
      </c>
      <c r="CG19" s="14">
        <f t="shared" si="18"/>
        <v>0</v>
      </c>
      <c r="CH19" s="14">
        <f t="shared" si="5"/>
        <v>21008.35</v>
      </c>
      <c r="CJ19" s="139">
        <v>13</v>
      </c>
      <c r="CK19" s="139" t="s">
        <v>546</v>
      </c>
      <c r="CL19" s="139">
        <v>87</v>
      </c>
      <c r="CM19" s="139">
        <v>5</v>
      </c>
      <c r="CN19" s="139">
        <v>3</v>
      </c>
      <c r="CO19" s="19">
        <v>0.2</v>
      </c>
      <c r="CP19" s="139"/>
      <c r="CQ19" s="19"/>
      <c r="CR19" s="19">
        <v>0.15</v>
      </c>
      <c r="CS19" s="139"/>
      <c r="CT19" s="139">
        <v>6</v>
      </c>
      <c r="CU19" s="19">
        <v>0.3</v>
      </c>
      <c r="CV19" s="14">
        <f t="shared" si="20"/>
        <v>0</v>
      </c>
      <c r="CW19" s="14">
        <f t="shared" si="21"/>
        <v>0</v>
      </c>
      <c r="CX19" s="14">
        <f t="shared" si="22"/>
        <v>259</v>
      </c>
      <c r="CY19" s="14">
        <f t="shared" si="23"/>
        <v>0</v>
      </c>
      <c r="CZ19" s="14">
        <f>INDEX(金币总表!$AN$5:$AN$12,挂机升级突破!CT19)*挂机升级突破!CU19</f>
        <v>233322.75</v>
      </c>
      <c r="DD19" s="19">
        <v>0.35</v>
      </c>
      <c r="DE19" s="14">
        <f>INT(DC$16*DD19)</f>
        <v>0</v>
      </c>
      <c r="DF19" s="30">
        <v>2.6</v>
      </c>
      <c r="DG19" s="14">
        <f t="shared" si="6"/>
        <v>0</v>
      </c>
    </row>
    <row r="20" spans="1:111" ht="16.5" x14ac:dyDescent="0.2">
      <c r="A20" s="73">
        <v>13</v>
      </c>
      <c r="B20" s="73">
        <v>4</v>
      </c>
      <c r="C20" s="73">
        <v>70</v>
      </c>
      <c r="D20" s="73">
        <v>1</v>
      </c>
      <c r="E20" s="109">
        <v>2</v>
      </c>
      <c r="F20" s="109">
        <v>3</v>
      </c>
      <c r="G20" s="109">
        <v>1</v>
      </c>
      <c r="H20" s="109">
        <v>2</v>
      </c>
      <c r="I20" s="109">
        <v>0</v>
      </c>
      <c r="J20" s="115">
        <v>3</v>
      </c>
      <c r="K20" s="115">
        <f>SUMIFS(章节关卡!$BS$5:$BS$94,章节关卡!$BO$5:$BO$94,"="&amp;挂机升级突破!A20)</f>
        <v>1080</v>
      </c>
      <c r="L20" s="115"/>
      <c r="M20" s="115"/>
      <c r="N20" s="14">
        <f>节奏总表!AC17</f>
        <v>1.3499999999999996</v>
      </c>
      <c r="O20" s="14">
        <f>节奏总表!AD17</f>
        <v>8.35</v>
      </c>
      <c r="P20" s="14">
        <f>(节奏总表!N17+节奏总表!O17)*60</f>
        <v>4140</v>
      </c>
      <c r="Q20" s="19">
        <v>0</v>
      </c>
      <c r="R20" s="19">
        <v>0.5</v>
      </c>
      <c r="S20" s="19">
        <v>0.5</v>
      </c>
      <c r="T20" s="19">
        <v>0</v>
      </c>
      <c r="U20" s="19">
        <v>0</v>
      </c>
      <c r="V20" s="19">
        <v>0.35</v>
      </c>
      <c r="W20" s="19">
        <v>0.65</v>
      </c>
      <c r="X20" s="19">
        <v>0</v>
      </c>
      <c r="Y20" s="19">
        <v>0</v>
      </c>
      <c r="Z20" s="19">
        <v>0</v>
      </c>
      <c r="AA20" s="14">
        <f>章节关卡!K18</f>
        <v>125</v>
      </c>
      <c r="AB20" s="14">
        <f>章节关卡!H18</f>
        <v>70</v>
      </c>
      <c r="AC20" s="15"/>
      <c r="AD20" s="15"/>
      <c r="AE20" s="73">
        <v>13</v>
      </c>
      <c r="AF20" s="144">
        <v>70</v>
      </c>
      <c r="AG20" s="159">
        <f t="shared" si="24"/>
        <v>0</v>
      </c>
      <c r="AH20" s="159">
        <f t="shared" si="25"/>
        <v>60</v>
      </c>
      <c r="AI20" s="159">
        <f t="shared" si="26"/>
        <v>24</v>
      </c>
      <c r="AJ20" s="159">
        <f t="shared" si="27"/>
        <v>0</v>
      </c>
      <c r="AK20" s="159">
        <f t="shared" si="28"/>
        <v>0</v>
      </c>
      <c r="AL20" s="159">
        <f t="shared" si="29"/>
        <v>18.899999999999999</v>
      </c>
      <c r="AM20" s="159">
        <f t="shared" si="30"/>
        <v>14.040000000000003</v>
      </c>
      <c r="AN20" s="159">
        <f t="shared" si="31"/>
        <v>0</v>
      </c>
      <c r="AO20" s="159">
        <f t="shared" si="32"/>
        <v>0</v>
      </c>
      <c r="AW20" s="73">
        <v>15</v>
      </c>
      <c r="AX20" s="73">
        <v>2</v>
      </c>
      <c r="AY20" s="14" t="str">
        <f>INDEX(节奏总表!$BJ$4:$BJ$23,MATCH(挂机升级突破!AW20+1,节奏总表!$BM$4:$BM$22,1))</f>
        <v>叫唤+1</v>
      </c>
      <c r="AZ20" s="73"/>
      <c r="BA20" s="14">
        <f>INDEX(节奏总表!$BF$4:$BF$55,挂机升级突破!AW20)</f>
        <v>57</v>
      </c>
      <c r="BB20" s="73"/>
      <c r="BC20" s="73"/>
      <c r="BD20" s="19">
        <v>0.05</v>
      </c>
      <c r="BE20" s="73"/>
      <c r="BF20" s="73"/>
      <c r="BG20" s="19">
        <v>0.15</v>
      </c>
      <c r="BH20" s="73"/>
      <c r="BI20" s="73"/>
      <c r="BJ20" s="73"/>
      <c r="BK20" s="73"/>
      <c r="BL20" s="139">
        <v>4</v>
      </c>
      <c r="BM20" s="19">
        <v>0.12</v>
      </c>
      <c r="BN20" s="14">
        <f t="shared" si="8"/>
        <v>22918.2</v>
      </c>
      <c r="BP20" s="76">
        <v>15</v>
      </c>
      <c r="BQ20" s="56">
        <v>2</v>
      </c>
      <c r="BR20" s="73" t="s">
        <v>543</v>
      </c>
      <c r="BS20" s="76">
        <v>9.0000000000000107</v>
      </c>
      <c r="BT20" s="14">
        <f t="shared" si="2"/>
        <v>57</v>
      </c>
      <c r="BU20" s="104">
        <v>11</v>
      </c>
      <c r="BV20" s="104">
        <v>3</v>
      </c>
      <c r="BW20" s="30"/>
      <c r="BX20" s="14">
        <f t="shared" si="9"/>
        <v>0</v>
      </c>
      <c r="BY20" s="14">
        <f t="shared" si="10"/>
        <v>0</v>
      </c>
      <c r="BZ20" s="14">
        <f t="shared" si="11"/>
        <v>1514</v>
      </c>
      <c r="CA20" s="14">
        <f t="shared" si="12"/>
        <v>0</v>
      </c>
      <c r="CB20" s="14">
        <f t="shared" si="13"/>
        <v>0</v>
      </c>
      <c r="CC20" s="14">
        <f t="shared" si="14"/>
        <v>1563</v>
      </c>
      <c r="CD20" s="14">
        <f t="shared" si="15"/>
        <v>0</v>
      </c>
      <c r="CE20" s="14">
        <f t="shared" si="16"/>
        <v>0</v>
      </c>
      <c r="CF20" s="14">
        <f t="shared" si="17"/>
        <v>0</v>
      </c>
      <c r="CG20" s="14">
        <f t="shared" si="18"/>
        <v>0</v>
      </c>
      <c r="CH20" s="14">
        <f t="shared" si="5"/>
        <v>22918.2</v>
      </c>
      <c r="CJ20" s="139">
        <v>14</v>
      </c>
      <c r="CK20" s="139" t="s">
        <v>547</v>
      </c>
      <c r="CL20" s="139">
        <v>95</v>
      </c>
      <c r="CM20" s="139">
        <v>5</v>
      </c>
      <c r="CN20" s="139">
        <v>3</v>
      </c>
      <c r="CO20" s="19">
        <v>0.2</v>
      </c>
      <c r="CP20" s="139"/>
      <c r="CQ20" s="19"/>
      <c r="CR20" s="19">
        <v>0.21</v>
      </c>
      <c r="CS20" s="139"/>
      <c r="CT20" s="139">
        <v>6</v>
      </c>
      <c r="CU20" s="19">
        <v>0.3</v>
      </c>
      <c r="CV20" s="14">
        <f t="shared" si="20"/>
        <v>0</v>
      </c>
      <c r="CW20" s="14">
        <f t="shared" si="21"/>
        <v>0</v>
      </c>
      <c r="CX20" s="14">
        <f t="shared" si="22"/>
        <v>363</v>
      </c>
      <c r="CY20" s="14">
        <f t="shared" si="23"/>
        <v>0</v>
      </c>
      <c r="CZ20" s="14">
        <f>INDEX(金币总表!$AN$5:$AN$12,挂机升级突破!CT20)*挂机升级突破!CU20</f>
        <v>233322.75</v>
      </c>
      <c r="DC20" s="14">
        <f>金币总表!P44</f>
        <v>0</v>
      </c>
      <c r="DD20" s="19">
        <v>0.1</v>
      </c>
      <c r="DE20" s="14">
        <f>INT(DC$20*DD20)</f>
        <v>0</v>
      </c>
      <c r="DF20" s="30">
        <v>2.8</v>
      </c>
      <c r="DG20" s="14">
        <f t="shared" si="6"/>
        <v>0</v>
      </c>
    </row>
    <row r="21" spans="1:111" ht="16.5" x14ac:dyDescent="0.2">
      <c r="A21" s="73">
        <v>14</v>
      </c>
      <c r="B21" s="73">
        <v>4</v>
      </c>
      <c r="C21" s="73">
        <v>75</v>
      </c>
      <c r="D21" s="73">
        <v>1</v>
      </c>
      <c r="E21" s="109">
        <v>2</v>
      </c>
      <c r="F21" s="109">
        <v>3</v>
      </c>
      <c r="G21" s="109">
        <v>1</v>
      </c>
      <c r="H21" s="109">
        <v>2</v>
      </c>
      <c r="I21" s="109">
        <v>0</v>
      </c>
      <c r="J21" s="115">
        <v>3</v>
      </c>
      <c r="K21" s="115">
        <f>SUMIFS(章节关卡!$BS$5:$BS$94,章节关卡!$BO$5:$BO$94,"="&amp;挂机升级突破!A21)</f>
        <v>1080</v>
      </c>
      <c r="L21" s="115"/>
      <c r="M21" s="115"/>
      <c r="N21" s="14">
        <f>节奏总表!AC18</f>
        <v>1.5899999999999999</v>
      </c>
      <c r="O21" s="14">
        <f>节奏总表!AD18</f>
        <v>9.94</v>
      </c>
      <c r="P21" s="14">
        <f>(节奏总表!N18+节奏总表!O18)*60</f>
        <v>4800</v>
      </c>
      <c r="Q21" s="19">
        <v>0</v>
      </c>
      <c r="R21" s="19">
        <v>0.35</v>
      </c>
      <c r="S21" s="19">
        <v>0.65</v>
      </c>
      <c r="T21" s="19">
        <v>0</v>
      </c>
      <c r="U21" s="19">
        <v>0</v>
      </c>
      <c r="V21" s="19">
        <v>0.2</v>
      </c>
      <c r="W21" s="19">
        <v>0.8</v>
      </c>
      <c r="X21" s="19">
        <v>0</v>
      </c>
      <c r="Y21" s="19">
        <v>0</v>
      </c>
      <c r="Z21" s="19">
        <v>0</v>
      </c>
      <c r="AA21" s="14">
        <f>章节关卡!K19</f>
        <v>135</v>
      </c>
      <c r="AB21" s="14">
        <f>章节关卡!H19</f>
        <v>75</v>
      </c>
      <c r="AC21" s="15"/>
      <c r="AD21" s="15"/>
      <c r="AE21" s="73">
        <v>14</v>
      </c>
      <c r="AF21" s="144">
        <v>75</v>
      </c>
      <c r="AG21" s="159">
        <f t="shared" si="24"/>
        <v>0</v>
      </c>
      <c r="AH21" s="159">
        <f t="shared" si="25"/>
        <v>42</v>
      </c>
      <c r="AI21" s="159">
        <f t="shared" si="26"/>
        <v>31.200000000000003</v>
      </c>
      <c r="AJ21" s="159">
        <f t="shared" si="27"/>
        <v>0</v>
      </c>
      <c r="AK21" s="159">
        <f t="shared" si="28"/>
        <v>0</v>
      </c>
      <c r="AL21" s="159">
        <f t="shared" si="29"/>
        <v>10.8</v>
      </c>
      <c r="AM21" s="159">
        <f t="shared" si="30"/>
        <v>17.28</v>
      </c>
      <c r="AN21" s="159">
        <f t="shared" si="31"/>
        <v>0</v>
      </c>
      <c r="AO21" s="159">
        <f t="shared" si="32"/>
        <v>0</v>
      </c>
      <c r="AW21" s="73">
        <v>16</v>
      </c>
      <c r="AX21" s="76">
        <v>3</v>
      </c>
      <c r="AY21" s="14" t="str">
        <f>INDEX(节奏总表!$BJ$4:$BJ$23,MATCH(挂机升级突破!AW21+1,节奏总表!$BM$4:$BM$22,1))</f>
        <v>叫唤+1</v>
      </c>
      <c r="AZ21" s="73"/>
      <c r="BA21" s="14">
        <f>INDEX(节奏总表!$BF$4:$BF$55,挂机升级突破!AW21)</f>
        <v>60</v>
      </c>
      <c r="BB21" s="73"/>
      <c r="BC21" s="73"/>
      <c r="BD21" s="19">
        <v>0.05</v>
      </c>
      <c r="BE21" s="73"/>
      <c r="BF21" s="73"/>
      <c r="BG21" s="19">
        <v>0.16</v>
      </c>
      <c r="BH21" s="73"/>
      <c r="BI21" s="73"/>
      <c r="BJ21" s="73"/>
      <c r="BK21" s="73"/>
      <c r="BL21" s="139">
        <v>4</v>
      </c>
      <c r="BM21" s="19">
        <v>0.12</v>
      </c>
      <c r="BN21" s="14">
        <f t="shared" si="8"/>
        <v>22918.2</v>
      </c>
      <c r="BP21" s="76">
        <v>16</v>
      </c>
      <c r="BQ21" s="64">
        <v>3</v>
      </c>
      <c r="BR21" s="73" t="s">
        <v>543</v>
      </c>
      <c r="BS21" s="76">
        <v>9.0000000000000107</v>
      </c>
      <c r="BT21" s="14">
        <f t="shared" si="2"/>
        <v>60</v>
      </c>
      <c r="BU21" s="104">
        <v>11</v>
      </c>
      <c r="BV21" s="104">
        <v>3</v>
      </c>
      <c r="BW21" s="64"/>
      <c r="BX21" s="14">
        <f t="shared" si="9"/>
        <v>0</v>
      </c>
      <c r="BY21" s="14">
        <f t="shared" si="10"/>
        <v>0</v>
      </c>
      <c r="BZ21" s="14">
        <f t="shared" si="11"/>
        <v>1514</v>
      </c>
      <c r="CA21" s="14">
        <f t="shared" si="12"/>
        <v>0</v>
      </c>
      <c r="CB21" s="14">
        <f t="shared" si="13"/>
        <v>0</v>
      </c>
      <c r="CC21" s="14">
        <f t="shared" si="14"/>
        <v>1668</v>
      </c>
      <c r="CD21" s="14">
        <f t="shared" si="15"/>
        <v>0</v>
      </c>
      <c r="CE21" s="14">
        <f t="shared" si="16"/>
        <v>0</v>
      </c>
      <c r="CF21" s="14">
        <f t="shared" si="17"/>
        <v>0</v>
      </c>
      <c r="CG21" s="14">
        <f t="shared" si="18"/>
        <v>0</v>
      </c>
      <c r="CH21" s="14">
        <f t="shared" si="5"/>
        <v>22918.2</v>
      </c>
      <c r="CJ21" s="139">
        <v>15</v>
      </c>
      <c r="CK21" s="139" t="s">
        <v>495</v>
      </c>
      <c r="CL21" s="139">
        <v>102</v>
      </c>
      <c r="CM21" s="139">
        <v>5</v>
      </c>
      <c r="CN21" s="139">
        <v>3</v>
      </c>
      <c r="CO21" s="19">
        <v>0.2</v>
      </c>
      <c r="CP21" s="139"/>
      <c r="CQ21" s="139"/>
      <c r="CR21" s="19">
        <v>0.28000000000000003</v>
      </c>
      <c r="CS21" s="139"/>
      <c r="CT21" s="139">
        <v>6</v>
      </c>
      <c r="CU21" s="19">
        <v>0.4</v>
      </c>
      <c r="CV21" s="14">
        <f t="shared" si="20"/>
        <v>0</v>
      </c>
      <c r="CW21" s="14">
        <f t="shared" si="21"/>
        <v>0</v>
      </c>
      <c r="CX21" s="14">
        <f t="shared" si="22"/>
        <v>483</v>
      </c>
      <c r="CY21" s="14">
        <f t="shared" si="23"/>
        <v>0</v>
      </c>
      <c r="CZ21" s="14">
        <f>INDEX(金币总表!$AN$5:$AN$12,挂机升级突破!CT21)*挂机升级突破!CU21</f>
        <v>311097</v>
      </c>
      <c r="DD21" s="19">
        <v>0.15</v>
      </c>
      <c r="DE21" s="14">
        <f t="shared" ref="DE21:DE39" si="33">INT(DC$20*DD21)</f>
        <v>0</v>
      </c>
      <c r="DF21" s="30">
        <v>3</v>
      </c>
      <c r="DG21" s="14">
        <f t="shared" si="6"/>
        <v>0</v>
      </c>
    </row>
    <row r="22" spans="1:111" ht="16.5" x14ac:dyDescent="0.2">
      <c r="A22" s="73">
        <v>15</v>
      </c>
      <c r="B22" s="73">
        <v>4</v>
      </c>
      <c r="C22" s="73">
        <v>80</v>
      </c>
      <c r="D22" s="73">
        <v>1</v>
      </c>
      <c r="E22" s="109">
        <v>2</v>
      </c>
      <c r="F22" s="109">
        <v>3</v>
      </c>
      <c r="G22" s="109">
        <v>1</v>
      </c>
      <c r="H22" s="109">
        <v>2</v>
      </c>
      <c r="I22" s="109">
        <v>0</v>
      </c>
      <c r="J22" s="112">
        <v>4</v>
      </c>
      <c r="K22" s="115">
        <f>SUMIFS(章节关卡!$BS$5:$BS$94,章节关卡!$BO$5:$BO$94,"="&amp;挂机升级突破!A22)</f>
        <v>1080</v>
      </c>
      <c r="L22" s="115"/>
      <c r="M22" s="115"/>
      <c r="N22" s="14">
        <f>节奏总表!AC19</f>
        <v>1.870000000000001</v>
      </c>
      <c r="O22" s="14">
        <f>节奏总表!AD19</f>
        <v>11.81</v>
      </c>
      <c r="P22" s="14">
        <f>(节奏总表!N19+节奏总表!O19)*60</f>
        <v>5640</v>
      </c>
      <c r="Q22" s="19">
        <v>0</v>
      </c>
      <c r="R22" s="19">
        <v>0.2</v>
      </c>
      <c r="S22" s="19">
        <v>0.8</v>
      </c>
      <c r="T22" s="19">
        <v>0</v>
      </c>
      <c r="U22" s="19">
        <v>0</v>
      </c>
      <c r="V22" s="19">
        <v>0</v>
      </c>
      <c r="W22" s="19">
        <v>1</v>
      </c>
      <c r="X22" s="19">
        <v>0</v>
      </c>
      <c r="Y22" s="19">
        <v>0</v>
      </c>
      <c r="Z22" s="19">
        <v>0</v>
      </c>
      <c r="AA22" s="14">
        <f>章节关卡!K20</f>
        <v>150</v>
      </c>
      <c r="AB22" s="14">
        <f>章节关卡!H20</f>
        <v>80</v>
      </c>
      <c r="AC22" s="15"/>
      <c r="AD22" s="15"/>
      <c r="AE22" s="73">
        <v>15</v>
      </c>
      <c r="AF22" s="144">
        <v>80</v>
      </c>
      <c r="AG22" s="159">
        <f t="shared" si="24"/>
        <v>0</v>
      </c>
      <c r="AH22" s="159">
        <f t="shared" si="25"/>
        <v>24</v>
      </c>
      <c r="AI22" s="159">
        <f t="shared" si="26"/>
        <v>38.400000000000006</v>
      </c>
      <c r="AJ22" s="159">
        <f t="shared" si="27"/>
        <v>0</v>
      </c>
      <c r="AK22" s="159">
        <f t="shared" si="28"/>
        <v>0</v>
      </c>
      <c r="AL22" s="159">
        <f t="shared" si="29"/>
        <v>0</v>
      </c>
      <c r="AM22" s="159">
        <f t="shared" si="30"/>
        <v>21.6</v>
      </c>
      <c r="AN22" s="159">
        <f t="shared" si="31"/>
        <v>0</v>
      </c>
      <c r="AO22" s="159">
        <f t="shared" si="32"/>
        <v>0</v>
      </c>
      <c r="AW22" s="73">
        <v>17</v>
      </c>
      <c r="AX22" s="73">
        <v>2</v>
      </c>
      <c r="AY22" s="14" t="str">
        <f>INDEX(节奏总表!$BJ$4:$BJ$23,MATCH(挂机升级突破!AW22+1,节奏总表!$BM$4:$BM$22,1))</f>
        <v>叫唤+2</v>
      </c>
      <c r="AZ22" s="73"/>
      <c r="BA22" s="14">
        <f>INDEX(节奏总表!$BF$4:$BF$55,挂机升级突破!AW22)</f>
        <v>62</v>
      </c>
      <c r="BB22" s="73"/>
      <c r="BC22" s="73"/>
      <c r="BD22" s="19">
        <v>0.1</v>
      </c>
      <c r="BE22" s="73"/>
      <c r="BF22" s="73"/>
      <c r="BG22" s="73"/>
      <c r="BH22" s="19">
        <v>0.05</v>
      </c>
      <c r="BI22" s="73"/>
      <c r="BJ22" s="73"/>
      <c r="BK22" s="73"/>
      <c r="BL22" s="139">
        <v>4</v>
      </c>
      <c r="BM22" s="19">
        <v>0.15</v>
      </c>
      <c r="BN22" s="14">
        <f t="shared" si="8"/>
        <v>28647.75</v>
      </c>
      <c r="BP22" s="76">
        <v>17</v>
      </c>
      <c r="BQ22" s="64">
        <v>2</v>
      </c>
      <c r="BR22" s="73" t="s">
        <v>503</v>
      </c>
      <c r="BS22" s="76">
        <v>9.0000000000000107</v>
      </c>
      <c r="BT22" s="14">
        <f t="shared" si="2"/>
        <v>62</v>
      </c>
      <c r="BU22" s="104">
        <v>11</v>
      </c>
      <c r="BV22" s="104">
        <v>3</v>
      </c>
      <c r="BW22" s="64"/>
      <c r="BX22" s="14">
        <f t="shared" si="9"/>
        <v>0</v>
      </c>
      <c r="BY22" s="14">
        <f t="shared" si="10"/>
        <v>0</v>
      </c>
      <c r="BZ22" s="14">
        <f t="shared" si="11"/>
        <v>3029</v>
      </c>
      <c r="CA22" s="14">
        <f t="shared" si="12"/>
        <v>0</v>
      </c>
      <c r="CB22" s="14">
        <f t="shared" si="13"/>
        <v>0</v>
      </c>
      <c r="CC22" s="14">
        <f t="shared" si="14"/>
        <v>0</v>
      </c>
      <c r="CD22" s="14">
        <f t="shared" si="15"/>
        <v>193</v>
      </c>
      <c r="CE22" s="14">
        <f t="shared" si="16"/>
        <v>0</v>
      </c>
      <c r="CF22" s="14">
        <f t="shared" si="17"/>
        <v>0</v>
      </c>
      <c r="CG22" s="14">
        <f t="shared" si="18"/>
        <v>0</v>
      </c>
      <c r="CH22" s="14">
        <f t="shared" si="5"/>
        <v>28647.75</v>
      </c>
      <c r="CJ22" s="139">
        <v>16</v>
      </c>
      <c r="CK22" s="139" t="s">
        <v>548</v>
      </c>
      <c r="CL22" s="139">
        <v>110</v>
      </c>
      <c r="CM22" s="139">
        <v>5</v>
      </c>
      <c r="CN22" s="139">
        <v>3</v>
      </c>
      <c r="CO22" s="19">
        <v>0.2</v>
      </c>
      <c r="CP22" s="139"/>
      <c r="CQ22" s="139"/>
      <c r="CR22" s="19">
        <v>0.36</v>
      </c>
      <c r="CS22" s="139"/>
      <c r="CT22" s="139">
        <v>7</v>
      </c>
      <c r="CU22" s="19">
        <v>0.3</v>
      </c>
      <c r="CV22" s="14">
        <f t="shared" si="20"/>
        <v>0</v>
      </c>
      <c r="CW22" s="14">
        <f t="shared" si="21"/>
        <v>0</v>
      </c>
      <c r="CX22" s="14">
        <f t="shared" si="22"/>
        <v>621</v>
      </c>
      <c r="CY22" s="14">
        <f t="shared" si="23"/>
        <v>0</v>
      </c>
      <c r="CZ22" s="14">
        <f>INDEX(金币总表!$AN$5:$AN$12,挂机升级突破!CT22)*挂机升级突破!CU22</f>
        <v>564069.6</v>
      </c>
      <c r="DD22" s="19">
        <v>0.2</v>
      </c>
      <c r="DE22" s="14">
        <f t="shared" si="33"/>
        <v>0</v>
      </c>
      <c r="DF22" s="30">
        <v>3</v>
      </c>
      <c r="DG22" s="14">
        <f t="shared" si="6"/>
        <v>0</v>
      </c>
    </row>
    <row r="23" spans="1:111" ht="16.5" x14ac:dyDescent="0.2">
      <c r="A23" s="73">
        <v>16</v>
      </c>
      <c r="B23" s="73">
        <v>4</v>
      </c>
      <c r="C23" s="73">
        <v>85</v>
      </c>
      <c r="D23" s="73">
        <v>1</v>
      </c>
      <c r="E23" s="109">
        <v>3</v>
      </c>
      <c r="F23" s="109">
        <v>0</v>
      </c>
      <c r="G23" s="109">
        <v>1</v>
      </c>
      <c r="H23" s="109">
        <v>2</v>
      </c>
      <c r="I23" s="109">
        <v>0</v>
      </c>
      <c r="J23" s="115">
        <v>4</v>
      </c>
      <c r="K23" s="115">
        <f>SUMIFS(章节关卡!$BS$5:$BS$94,章节关卡!$BO$5:$BO$94,"="&amp;挂机升级突破!A23)</f>
        <v>1080</v>
      </c>
      <c r="L23" s="115"/>
      <c r="M23" s="115"/>
      <c r="N23" s="14">
        <f>节奏总表!AC20</f>
        <v>2.1899999999999995</v>
      </c>
      <c r="O23" s="14">
        <f>节奏总表!AD20</f>
        <v>14</v>
      </c>
      <c r="P23" s="14">
        <f>(节奏总表!N20+节奏总表!O20)*60</f>
        <v>6540</v>
      </c>
      <c r="Q23" s="19">
        <v>0</v>
      </c>
      <c r="R23" s="19">
        <v>0</v>
      </c>
      <c r="S23" s="19">
        <v>1</v>
      </c>
      <c r="T23" s="19">
        <v>0</v>
      </c>
      <c r="U23" s="19">
        <v>0</v>
      </c>
      <c r="V23" s="19">
        <v>0</v>
      </c>
      <c r="W23" s="19">
        <v>0.8</v>
      </c>
      <c r="X23" s="19">
        <v>0.2</v>
      </c>
      <c r="Y23" s="19">
        <v>0</v>
      </c>
      <c r="Z23" s="19">
        <v>0</v>
      </c>
      <c r="AA23" s="14">
        <f>章节关卡!K21</f>
        <v>160</v>
      </c>
      <c r="AB23" s="14">
        <f>章节关卡!H21</f>
        <v>90</v>
      </c>
      <c r="AC23" s="15"/>
      <c r="AD23" s="15"/>
      <c r="AE23" s="73">
        <v>16</v>
      </c>
      <c r="AF23" s="144">
        <v>85</v>
      </c>
      <c r="AG23" s="159">
        <f t="shared" si="24"/>
        <v>0</v>
      </c>
      <c r="AH23" s="159">
        <f t="shared" si="25"/>
        <v>0</v>
      </c>
      <c r="AI23" s="159">
        <f t="shared" si="26"/>
        <v>48</v>
      </c>
      <c r="AJ23" s="159">
        <f t="shared" si="27"/>
        <v>0</v>
      </c>
      <c r="AK23" s="159">
        <f t="shared" si="28"/>
        <v>0</v>
      </c>
      <c r="AL23" s="159">
        <f t="shared" si="29"/>
        <v>0</v>
      </c>
      <c r="AM23" s="159">
        <f t="shared" si="30"/>
        <v>17.28</v>
      </c>
      <c r="AN23" s="159">
        <f t="shared" si="31"/>
        <v>2.16</v>
      </c>
      <c r="AO23" s="159">
        <f t="shared" si="32"/>
        <v>0</v>
      </c>
      <c r="AW23" s="73">
        <v>18</v>
      </c>
      <c r="AX23" s="73">
        <v>3</v>
      </c>
      <c r="AY23" s="14" t="str">
        <f>INDEX(节奏总表!$BJ$4:$BJ$23,MATCH(挂机升级突破!AW23+1,节奏总表!$BM$4:$BM$22,1))</f>
        <v>叫唤+2</v>
      </c>
      <c r="AZ23" s="73"/>
      <c r="BA23" s="14">
        <f>INDEX(节奏总表!$BF$4:$BF$55,挂机升级突破!AW23)</f>
        <v>65</v>
      </c>
      <c r="BB23" s="73"/>
      <c r="BC23" s="73"/>
      <c r="BD23" s="19">
        <v>0.1</v>
      </c>
      <c r="BE23" s="73"/>
      <c r="BF23" s="73"/>
      <c r="BG23" s="73"/>
      <c r="BH23" s="19">
        <v>0.05</v>
      </c>
      <c r="BI23" s="73"/>
      <c r="BJ23" s="73"/>
      <c r="BK23" s="73"/>
      <c r="BL23" s="139">
        <v>4</v>
      </c>
      <c r="BM23" s="19">
        <v>0.15</v>
      </c>
      <c r="BN23" s="14">
        <f t="shared" si="8"/>
        <v>28647.75</v>
      </c>
      <c r="BP23" s="76">
        <v>18</v>
      </c>
      <c r="BQ23" s="64">
        <v>3</v>
      </c>
      <c r="BR23" s="73" t="s">
        <v>503</v>
      </c>
      <c r="BS23" s="76">
        <v>9.0000000000000107</v>
      </c>
      <c r="BT23" s="14">
        <f t="shared" si="2"/>
        <v>65</v>
      </c>
      <c r="BU23" s="104">
        <v>11</v>
      </c>
      <c r="BV23" s="104">
        <v>3</v>
      </c>
      <c r="BW23" s="64"/>
      <c r="BX23" s="14">
        <f t="shared" si="9"/>
        <v>0</v>
      </c>
      <c r="BY23" s="14">
        <f t="shared" si="10"/>
        <v>0</v>
      </c>
      <c r="BZ23" s="14">
        <f t="shared" si="11"/>
        <v>3029</v>
      </c>
      <c r="CA23" s="14">
        <f t="shared" si="12"/>
        <v>0</v>
      </c>
      <c r="CB23" s="14">
        <f t="shared" si="13"/>
        <v>0</v>
      </c>
      <c r="CC23" s="14">
        <f t="shared" si="14"/>
        <v>0</v>
      </c>
      <c r="CD23" s="14">
        <f t="shared" si="15"/>
        <v>193</v>
      </c>
      <c r="CE23" s="14">
        <f t="shared" si="16"/>
        <v>0</v>
      </c>
      <c r="CF23" s="14">
        <f t="shared" si="17"/>
        <v>0</v>
      </c>
      <c r="CG23" s="14">
        <f t="shared" si="18"/>
        <v>0</v>
      </c>
      <c r="CH23" s="14">
        <f t="shared" si="5"/>
        <v>28647.75</v>
      </c>
      <c r="CJ23" s="139">
        <v>17</v>
      </c>
      <c r="CK23" s="139" t="s">
        <v>549</v>
      </c>
      <c r="CL23" s="139">
        <v>117</v>
      </c>
      <c r="CM23" s="139">
        <v>5</v>
      </c>
      <c r="CN23" s="139">
        <v>4</v>
      </c>
      <c r="CO23" s="19">
        <v>0.2</v>
      </c>
      <c r="CP23" s="139"/>
      <c r="CQ23" s="139"/>
      <c r="CR23" s="19"/>
      <c r="CS23" s="19">
        <v>0.15</v>
      </c>
      <c r="CT23" s="139">
        <v>7</v>
      </c>
      <c r="CU23" s="19">
        <v>0.3</v>
      </c>
      <c r="CV23" s="14">
        <f t="shared" si="20"/>
        <v>0</v>
      </c>
      <c r="CW23" s="14">
        <f t="shared" si="21"/>
        <v>0</v>
      </c>
      <c r="CX23" s="14">
        <f t="shared" si="22"/>
        <v>0</v>
      </c>
      <c r="CY23" s="14">
        <f t="shared" si="23"/>
        <v>218</v>
      </c>
      <c r="CZ23" s="14">
        <f>INDEX(金币总表!$AN$5:$AN$12,挂机升级突破!CT23)*挂机升级突破!CU23</f>
        <v>564069.6</v>
      </c>
      <c r="DD23" s="19"/>
      <c r="DE23" s="14"/>
      <c r="DF23" s="64"/>
      <c r="DG23" s="14"/>
    </row>
    <row r="24" spans="1:111" ht="16.5" x14ac:dyDescent="0.2">
      <c r="A24" s="73">
        <v>17</v>
      </c>
      <c r="B24" s="73">
        <v>4</v>
      </c>
      <c r="C24" s="73">
        <v>90</v>
      </c>
      <c r="D24" s="73">
        <v>1</v>
      </c>
      <c r="E24" s="109">
        <v>3</v>
      </c>
      <c r="F24" s="109">
        <v>4</v>
      </c>
      <c r="G24" s="109">
        <v>2</v>
      </c>
      <c r="H24" s="109">
        <v>0</v>
      </c>
      <c r="I24" s="109">
        <v>0</v>
      </c>
      <c r="J24" s="115">
        <v>4</v>
      </c>
      <c r="K24" s="115">
        <f>SUMIFS(章节关卡!$BS$5:$BS$94,章节关卡!$BO$5:$BO$94,"="&amp;挂机升级突破!A24)</f>
        <v>1080</v>
      </c>
      <c r="L24" s="115"/>
      <c r="M24" s="115"/>
      <c r="N24" s="14">
        <f>节奏总表!AC21</f>
        <v>2.3299999999999983</v>
      </c>
      <c r="O24" s="14">
        <f>节奏总表!AD21</f>
        <v>16.329999999999998</v>
      </c>
      <c r="P24" s="14">
        <f>(节奏总表!N21+节奏总表!O21)*60</f>
        <v>6960</v>
      </c>
      <c r="Q24" s="19">
        <v>0</v>
      </c>
      <c r="R24" s="19">
        <v>0</v>
      </c>
      <c r="S24" s="19">
        <v>0.8</v>
      </c>
      <c r="T24" s="19">
        <v>0.2</v>
      </c>
      <c r="U24" s="19">
        <v>0</v>
      </c>
      <c r="V24" s="19">
        <v>0</v>
      </c>
      <c r="W24" s="19">
        <v>0.65</v>
      </c>
      <c r="X24" s="19">
        <v>0.35</v>
      </c>
      <c r="Y24" s="19">
        <v>0</v>
      </c>
      <c r="Z24" s="19">
        <v>0</v>
      </c>
      <c r="AA24" s="14">
        <f>章节关卡!K22</f>
        <v>175</v>
      </c>
      <c r="AB24" s="14">
        <f>章节关卡!H22</f>
        <v>100</v>
      </c>
      <c r="AC24" s="15"/>
      <c r="AD24" s="15"/>
      <c r="AE24" s="73">
        <v>17</v>
      </c>
      <c r="AF24" s="144">
        <v>90</v>
      </c>
      <c r="AG24" s="159">
        <f t="shared" si="24"/>
        <v>0</v>
      </c>
      <c r="AH24" s="159">
        <f t="shared" si="25"/>
        <v>0</v>
      </c>
      <c r="AI24" s="159">
        <f t="shared" si="26"/>
        <v>38.400000000000006</v>
      </c>
      <c r="AJ24" s="159">
        <f t="shared" si="27"/>
        <v>4.8000000000000007</v>
      </c>
      <c r="AK24" s="159">
        <f t="shared" si="28"/>
        <v>0</v>
      </c>
      <c r="AL24" s="159">
        <f t="shared" si="29"/>
        <v>0</v>
      </c>
      <c r="AM24" s="159">
        <f t="shared" si="30"/>
        <v>14.040000000000003</v>
      </c>
      <c r="AN24" s="159">
        <f t="shared" si="31"/>
        <v>3.7800000000000002</v>
      </c>
      <c r="AO24" s="159">
        <f t="shared" si="32"/>
        <v>0</v>
      </c>
      <c r="AW24" s="73">
        <v>19</v>
      </c>
      <c r="AX24" s="73">
        <v>1</v>
      </c>
      <c r="AY24" s="14" t="str">
        <f>INDEX(节奏总表!$BJ$4:$BJ$23,MATCH(挂机升级突破!AW24+1,节奏总表!$BM$4:$BM$22,1))</f>
        <v>叫唤+2</v>
      </c>
      <c r="AZ24" s="73"/>
      <c r="BA24" s="14">
        <f>INDEX(节奏总表!$BF$4:$BF$55,挂机升级突破!AW24)</f>
        <v>67</v>
      </c>
      <c r="BB24" s="73"/>
      <c r="BC24" s="73"/>
      <c r="BD24" s="19">
        <v>0.1</v>
      </c>
      <c r="BE24" s="73"/>
      <c r="BF24" s="73"/>
      <c r="BG24" s="73"/>
      <c r="BH24" s="19">
        <v>0.05</v>
      </c>
      <c r="BI24" s="73"/>
      <c r="BJ24" s="73"/>
      <c r="BK24" s="73"/>
      <c r="BL24" s="139">
        <v>4</v>
      </c>
      <c r="BM24" s="19">
        <v>0.15</v>
      </c>
      <c r="BN24" s="14">
        <f t="shared" si="8"/>
        <v>28647.75</v>
      </c>
      <c r="BP24" s="76">
        <v>19</v>
      </c>
      <c r="BQ24" s="64">
        <v>1</v>
      </c>
      <c r="BR24" s="73" t="s">
        <v>503</v>
      </c>
      <c r="BS24" s="76">
        <v>9.0000000000000107</v>
      </c>
      <c r="BT24" s="14">
        <f t="shared" si="2"/>
        <v>67</v>
      </c>
      <c r="BU24" s="104">
        <v>11</v>
      </c>
      <c r="BV24" s="104">
        <v>3</v>
      </c>
      <c r="BW24" s="64"/>
      <c r="BX24" s="14">
        <f t="shared" si="9"/>
        <v>0</v>
      </c>
      <c r="BY24" s="14">
        <f t="shared" si="10"/>
        <v>0</v>
      </c>
      <c r="BZ24" s="14">
        <f t="shared" si="11"/>
        <v>3029</v>
      </c>
      <c r="CA24" s="14">
        <f t="shared" si="12"/>
        <v>0</v>
      </c>
      <c r="CB24" s="14">
        <f t="shared" si="13"/>
        <v>0</v>
      </c>
      <c r="CC24" s="14">
        <f t="shared" si="14"/>
        <v>0</v>
      </c>
      <c r="CD24" s="14">
        <f t="shared" si="15"/>
        <v>193</v>
      </c>
      <c r="CE24" s="14">
        <f t="shared" si="16"/>
        <v>0</v>
      </c>
      <c r="CF24" s="14">
        <f t="shared" si="17"/>
        <v>0</v>
      </c>
      <c r="CG24" s="14">
        <f t="shared" si="18"/>
        <v>0</v>
      </c>
      <c r="CH24" s="14">
        <f t="shared" si="5"/>
        <v>28647.75</v>
      </c>
      <c r="CJ24" s="139">
        <v>18</v>
      </c>
      <c r="CK24" s="139" t="s">
        <v>505</v>
      </c>
      <c r="CL24" s="139">
        <v>125</v>
      </c>
      <c r="CM24" s="139">
        <v>5</v>
      </c>
      <c r="CN24" s="139">
        <v>4</v>
      </c>
      <c r="CO24" s="19">
        <v>0.2</v>
      </c>
      <c r="CP24" s="139"/>
      <c r="CQ24" s="139"/>
      <c r="CR24" s="19"/>
      <c r="CS24" s="19">
        <v>0.21</v>
      </c>
      <c r="CT24" s="139">
        <v>7</v>
      </c>
      <c r="CU24" s="19">
        <v>0.4</v>
      </c>
      <c r="CV24" s="14">
        <f t="shared" si="20"/>
        <v>0</v>
      </c>
      <c r="CW24" s="14">
        <f t="shared" si="21"/>
        <v>0</v>
      </c>
      <c r="CX24" s="14">
        <f t="shared" si="22"/>
        <v>0</v>
      </c>
      <c r="CY24" s="14">
        <f t="shared" si="23"/>
        <v>305</v>
      </c>
      <c r="CZ24" s="14">
        <f>INDEX(金币总表!$AN$5:$AN$12,挂机升级突破!CT24)*挂机升级突破!CU24</f>
        <v>752092.8</v>
      </c>
      <c r="DD24" s="19"/>
      <c r="DE24" s="14"/>
      <c r="DF24" s="64"/>
      <c r="DG24" s="14"/>
    </row>
    <row r="25" spans="1:111" ht="16.5" x14ac:dyDescent="0.2">
      <c r="A25" s="73">
        <v>18</v>
      </c>
      <c r="B25" s="73">
        <v>4</v>
      </c>
      <c r="C25" s="73">
        <v>95</v>
      </c>
      <c r="D25" s="73">
        <v>1</v>
      </c>
      <c r="E25" s="109">
        <v>3</v>
      </c>
      <c r="F25" s="109">
        <v>4</v>
      </c>
      <c r="G25" s="109">
        <v>2</v>
      </c>
      <c r="H25" s="109">
        <v>3</v>
      </c>
      <c r="I25" s="109">
        <v>0</v>
      </c>
      <c r="J25" s="115">
        <v>4</v>
      </c>
      <c r="K25" s="115">
        <f>SUMIFS(章节关卡!$BS$5:$BS$94,章节关卡!$BO$5:$BO$94,"="&amp;挂机升级突破!A25)</f>
        <v>1080</v>
      </c>
      <c r="L25" s="115"/>
      <c r="M25" s="115"/>
      <c r="N25" s="14">
        <f>节奏总表!AC22</f>
        <v>2.5</v>
      </c>
      <c r="O25" s="14">
        <f>节奏总表!AD22</f>
        <v>18.829999999999998</v>
      </c>
      <c r="P25" s="14">
        <f>(节奏总表!N22+节奏总表!O22)*60</f>
        <v>7440</v>
      </c>
      <c r="Q25" s="19">
        <v>0</v>
      </c>
      <c r="R25" s="19">
        <v>0</v>
      </c>
      <c r="S25" s="19">
        <v>0.65</v>
      </c>
      <c r="T25" s="19">
        <v>0.35</v>
      </c>
      <c r="U25" s="19">
        <v>0</v>
      </c>
      <c r="V25" s="19">
        <v>0</v>
      </c>
      <c r="W25" s="19">
        <v>0.5</v>
      </c>
      <c r="X25" s="19">
        <v>0.5</v>
      </c>
      <c r="Y25" s="19">
        <v>0</v>
      </c>
      <c r="Z25" s="19">
        <v>0</v>
      </c>
      <c r="AA25" s="14">
        <f>章节关卡!K23</f>
        <v>185</v>
      </c>
      <c r="AB25" s="14">
        <f>章节关卡!H23</f>
        <v>110</v>
      </c>
      <c r="AC25" s="15"/>
      <c r="AD25" s="15"/>
      <c r="AE25" s="73">
        <v>18</v>
      </c>
      <c r="AF25" s="144">
        <v>95</v>
      </c>
      <c r="AG25" s="159">
        <f t="shared" si="24"/>
        <v>0</v>
      </c>
      <c r="AH25" s="159">
        <f t="shared" si="25"/>
        <v>0</v>
      </c>
      <c r="AI25" s="159">
        <f t="shared" si="26"/>
        <v>31.200000000000003</v>
      </c>
      <c r="AJ25" s="159">
        <f t="shared" si="27"/>
        <v>8.4</v>
      </c>
      <c r="AK25" s="159">
        <f t="shared" si="28"/>
        <v>0</v>
      </c>
      <c r="AL25" s="159">
        <f t="shared" si="29"/>
        <v>0</v>
      </c>
      <c r="AM25" s="159">
        <f t="shared" si="30"/>
        <v>10.8</v>
      </c>
      <c r="AN25" s="159">
        <f t="shared" si="31"/>
        <v>5.4</v>
      </c>
      <c r="AO25" s="159">
        <f t="shared" si="32"/>
        <v>0</v>
      </c>
      <c r="AW25" s="73">
        <v>20</v>
      </c>
      <c r="AX25" s="73">
        <v>2</v>
      </c>
      <c r="AY25" s="14" t="str">
        <f>INDEX(节奏总表!$BJ$4:$BJ$23,MATCH(挂机升级突破!AW25+1,节奏总表!$BM$4:$BM$22,1))</f>
        <v>大叫唤</v>
      </c>
      <c r="AZ25" s="73"/>
      <c r="BA25" s="14">
        <f>INDEX(节奏总表!$BF$4:$BF$55,挂机升级突破!AW25)</f>
        <v>70</v>
      </c>
      <c r="BB25" s="73"/>
      <c r="BC25" s="73"/>
      <c r="BD25" s="19">
        <v>0.15</v>
      </c>
      <c r="BE25" s="73"/>
      <c r="BF25" s="73"/>
      <c r="BG25" s="73"/>
      <c r="BH25" s="19">
        <v>7.0000000000000007E-2</v>
      </c>
      <c r="BI25" s="73"/>
      <c r="BJ25" s="73"/>
      <c r="BK25" s="73"/>
      <c r="BL25" s="139">
        <v>5</v>
      </c>
      <c r="BM25" s="19">
        <v>0.08</v>
      </c>
      <c r="BN25" s="14">
        <f t="shared" si="8"/>
        <v>35128</v>
      </c>
      <c r="BP25" s="76">
        <v>20</v>
      </c>
      <c r="BQ25" s="64">
        <v>2</v>
      </c>
      <c r="BR25" s="73" t="s">
        <v>544</v>
      </c>
      <c r="BS25" s="76">
        <v>9.0000000000000107</v>
      </c>
      <c r="BT25" s="14">
        <f t="shared" si="2"/>
        <v>70</v>
      </c>
      <c r="BU25" s="104">
        <v>11</v>
      </c>
      <c r="BV25" s="104">
        <v>3</v>
      </c>
      <c r="BW25" s="64"/>
      <c r="BX25" s="14">
        <f t="shared" si="9"/>
        <v>0</v>
      </c>
      <c r="BY25" s="14">
        <f t="shared" si="10"/>
        <v>0</v>
      </c>
      <c r="BZ25" s="14">
        <f t="shared" si="11"/>
        <v>4543</v>
      </c>
      <c r="CA25" s="14">
        <f t="shared" si="12"/>
        <v>0</v>
      </c>
      <c r="CB25" s="14">
        <f t="shared" si="13"/>
        <v>0</v>
      </c>
      <c r="CC25" s="14">
        <f t="shared" si="14"/>
        <v>0</v>
      </c>
      <c r="CD25" s="14">
        <f t="shared" si="15"/>
        <v>270</v>
      </c>
      <c r="CE25" s="14">
        <f t="shared" si="16"/>
        <v>0</v>
      </c>
      <c r="CF25" s="14">
        <f t="shared" si="17"/>
        <v>0</v>
      </c>
      <c r="CG25" s="14">
        <f t="shared" si="18"/>
        <v>0</v>
      </c>
      <c r="CH25" s="14">
        <f t="shared" si="5"/>
        <v>35128</v>
      </c>
      <c r="CJ25" s="139">
        <v>19</v>
      </c>
      <c r="CK25" s="139" t="s">
        <v>550</v>
      </c>
      <c r="CL25" s="139">
        <v>132</v>
      </c>
      <c r="CM25" s="139">
        <v>5</v>
      </c>
      <c r="CN25" s="139">
        <v>4</v>
      </c>
      <c r="CO25" s="19">
        <v>0.2</v>
      </c>
      <c r="CP25" s="139"/>
      <c r="CQ25" s="139"/>
      <c r="CR25" s="139"/>
      <c r="CS25" s="19">
        <v>0.28000000000000003</v>
      </c>
      <c r="CT25" s="139">
        <v>8</v>
      </c>
      <c r="CU25" s="19">
        <v>0.4</v>
      </c>
      <c r="CV25" s="14">
        <f t="shared" si="20"/>
        <v>0</v>
      </c>
      <c r="CW25" s="14">
        <f t="shared" si="21"/>
        <v>0</v>
      </c>
      <c r="CX25" s="14">
        <f t="shared" si="22"/>
        <v>0</v>
      </c>
      <c r="CY25" s="14">
        <f t="shared" si="23"/>
        <v>406</v>
      </c>
      <c r="CZ25" s="14">
        <f>INDEX(金币总表!$AN$5:$AN$12,挂机升级突破!CT25)*挂机升级突破!CU25</f>
        <v>4558792</v>
      </c>
      <c r="DD25" s="19"/>
      <c r="DE25" s="14"/>
      <c r="DF25" s="64"/>
      <c r="DG25" s="14"/>
    </row>
    <row r="26" spans="1:111" ht="16.5" x14ac:dyDescent="0.2">
      <c r="A26" s="73">
        <v>19</v>
      </c>
      <c r="B26" s="73">
        <v>4</v>
      </c>
      <c r="C26" s="73">
        <v>100</v>
      </c>
      <c r="D26" s="73">
        <v>1</v>
      </c>
      <c r="E26" s="109">
        <v>3</v>
      </c>
      <c r="F26" s="109">
        <v>4</v>
      </c>
      <c r="G26" s="109">
        <v>2</v>
      </c>
      <c r="H26" s="109">
        <v>3</v>
      </c>
      <c r="I26" s="109">
        <v>1</v>
      </c>
      <c r="J26" s="115">
        <v>4</v>
      </c>
      <c r="K26" s="115">
        <f>SUMIFS(章节关卡!$BS$5:$BS$94,章节关卡!$BO$5:$BO$94,"="&amp;挂机升级突破!A26)</f>
        <v>1080</v>
      </c>
      <c r="L26" s="115"/>
      <c r="M26" s="115"/>
      <c r="N26" s="14">
        <f>节奏总表!AC23</f>
        <v>2.610000000000003</v>
      </c>
      <c r="O26" s="14">
        <f>节奏总表!AD23</f>
        <v>21.44</v>
      </c>
      <c r="P26" s="14">
        <f>(节奏总表!N23+节奏总表!O23)*60</f>
        <v>7740</v>
      </c>
      <c r="Q26" s="19">
        <v>0</v>
      </c>
      <c r="R26" s="19">
        <v>0</v>
      </c>
      <c r="S26" s="19">
        <v>0.5</v>
      </c>
      <c r="T26" s="19">
        <v>0.5</v>
      </c>
      <c r="U26" s="19">
        <v>0</v>
      </c>
      <c r="V26" s="19">
        <v>0</v>
      </c>
      <c r="W26" s="19">
        <v>0.35</v>
      </c>
      <c r="X26" s="19">
        <v>0.65</v>
      </c>
      <c r="Y26" s="19">
        <v>0</v>
      </c>
      <c r="Z26" s="19">
        <v>0.05</v>
      </c>
      <c r="AA26" s="14">
        <f>章节关卡!K24</f>
        <v>200</v>
      </c>
      <c r="AB26" s="14">
        <f>章节关卡!H24</f>
        <v>120</v>
      </c>
      <c r="AC26" s="15"/>
      <c r="AD26" s="15"/>
      <c r="AE26" s="73">
        <v>19</v>
      </c>
      <c r="AF26" s="144">
        <v>100</v>
      </c>
      <c r="AG26" s="159">
        <f t="shared" si="24"/>
        <v>0</v>
      </c>
      <c r="AH26" s="159">
        <f t="shared" si="25"/>
        <v>0</v>
      </c>
      <c r="AI26" s="159">
        <f t="shared" si="26"/>
        <v>24</v>
      </c>
      <c r="AJ26" s="159">
        <f t="shared" si="27"/>
        <v>12</v>
      </c>
      <c r="AK26" s="159">
        <f t="shared" si="28"/>
        <v>0</v>
      </c>
      <c r="AL26" s="159">
        <f t="shared" si="29"/>
        <v>0</v>
      </c>
      <c r="AM26" s="159">
        <f t="shared" si="30"/>
        <v>7.5600000000000005</v>
      </c>
      <c r="AN26" s="159">
        <f t="shared" si="31"/>
        <v>7.0200000000000014</v>
      </c>
      <c r="AO26" s="159">
        <f t="shared" si="32"/>
        <v>0</v>
      </c>
      <c r="AW26" s="73">
        <v>21</v>
      </c>
      <c r="AX26" s="73">
        <v>3</v>
      </c>
      <c r="AY26" s="14" t="str">
        <f>INDEX(节奏总表!$BJ$4:$BJ$23,MATCH(挂机升级突破!AW26+1,节奏总表!$BM$4:$BM$22,1))</f>
        <v>大叫唤</v>
      </c>
      <c r="AZ26" s="73"/>
      <c r="BA26" s="14">
        <f>INDEX(节奏总表!$BF$4:$BF$55,挂机升级突破!AW26)</f>
        <v>72</v>
      </c>
      <c r="BB26" s="73"/>
      <c r="BC26" s="73"/>
      <c r="BD26" s="19">
        <v>0.15</v>
      </c>
      <c r="BE26" s="73"/>
      <c r="BF26" s="73"/>
      <c r="BG26" s="73"/>
      <c r="BH26" s="19">
        <v>7.0000000000000007E-2</v>
      </c>
      <c r="BI26" s="73"/>
      <c r="BJ26" s="73"/>
      <c r="BK26" s="73"/>
      <c r="BL26" s="139">
        <v>5</v>
      </c>
      <c r="BM26" s="19">
        <v>0.08</v>
      </c>
      <c r="BN26" s="14">
        <f t="shared" si="8"/>
        <v>35128</v>
      </c>
      <c r="BP26" s="76">
        <v>21</v>
      </c>
      <c r="BQ26" s="64">
        <v>3</v>
      </c>
      <c r="BR26" s="73" t="s">
        <v>544</v>
      </c>
      <c r="BS26" s="76">
        <v>9.0000000000000107</v>
      </c>
      <c r="BT26" s="14">
        <f t="shared" si="2"/>
        <v>72</v>
      </c>
      <c r="BU26" s="104">
        <v>11</v>
      </c>
      <c r="BV26" s="104">
        <v>3</v>
      </c>
      <c r="BW26" s="64"/>
      <c r="BX26" s="14">
        <f t="shared" si="9"/>
        <v>0</v>
      </c>
      <c r="BY26" s="14">
        <f t="shared" si="10"/>
        <v>0</v>
      </c>
      <c r="BZ26" s="14">
        <f t="shared" si="11"/>
        <v>4543</v>
      </c>
      <c r="CA26" s="14">
        <f t="shared" si="12"/>
        <v>0</v>
      </c>
      <c r="CB26" s="14">
        <f t="shared" si="13"/>
        <v>0</v>
      </c>
      <c r="CC26" s="14">
        <f t="shared" si="14"/>
        <v>0</v>
      </c>
      <c r="CD26" s="14">
        <f t="shared" si="15"/>
        <v>270</v>
      </c>
      <c r="CE26" s="14">
        <f t="shared" si="16"/>
        <v>0</v>
      </c>
      <c r="CF26" s="14">
        <f t="shared" si="17"/>
        <v>0</v>
      </c>
      <c r="CG26" s="14">
        <f t="shared" si="18"/>
        <v>0</v>
      </c>
      <c r="CH26" s="14">
        <f t="shared" si="5"/>
        <v>35128</v>
      </c>
      <c r="CJ26" s="139">
        <v>20</v>
      </c>
      <c r="CK26" s="139" t="s">
        <v>977</v>
      </c>
      <c r="CL26" s="139">
        <v>140</v>
      </c>
      <c r="CM26" s="139">
        <v>5</v>
      </c>
      <c r="CN26" s="139">
        <v>4</v>
      </c>
      <c r="CO26" s="19">
        <v>0.2</v>
      </c>
      <c r="CP26" s="139"/>
      <c r="CQ26" s="139"/>
      <c r="CR26" s="139"/>
      <c r="CS26" s="19">
        <v>0.36</v>
      </c>
      <c r="CT26" s="139">
        <v>8</v>
      </c>
      <c r="CU26" s="19">
        <v>0.6</v>
      </c>
      <c r="CV26" s="14">
        <f t="shared" si="20"/>
        <v>0</v>
      </c>
      <c r="CW26" s="14">
        <f t="shared" si="21"/>
        <v>0</v>
      </c>
      <c r="CX26" s="14">
        <f t="shared" si="22"/>
        <v>0</v>
      </c>
      <c r="CY26" s="14">
        <f t="shared" si="23"/>
        <v>522</v>
      </c>
      <c r="CZ26" s="14">
        <f>INDEX(金币总表!$AN$5:$AN$12,挂机升级突破!CT26)*挂机升级突破!CU26</f>
        <v>6838188</v>
      </c>
      <c r="DD26" s="19"/>
      <c r="DE26" s="14"/>
      <c r="DF26" s="64"/>
      <c r="DG26" s="14"/>
    </row>
    <row r="27" spans="1:111" ht="16.5" x14ac:dyDescent="0.2">
      <c r="A27" s="73">
        <v>20</v>
      </c>
      <c r="B27" s="73">
        <v>4</v>
      </c>
      <c r="C27" s="73">
        <v>105</v>
      </c>
      <c r="D27" s="73">
        <v>1</v>
      </c>
      <c r="E27" s="109">
        <v>3</v>
      </c>
      <c r="F27" s="109">
        <v>4</v>
      </c>
      <c r="G27" s="109">
        <v>2</v>
      </c>
      <c r="H27" s="109">
        <v>3</v>
      </c>
      <c r="I27" s="109">
        <v>1</v>
      </c>
      <c r="J27" s="115">
        <v>4</v>
      </c>
      <c r="K27" s="115">
        <f>SUMIFS(章节关卡!$BS$5:$BS$94,章节关卡!$BO$5:$BO$94,"="&amp;挂机升级突破!A27)</f>
        <v>1080</v>
      </c>
      <c r="L27" s="115"/>
      <c r="M27" s="115"/>
      <c r="N27" s="14">
        <f>节奏总表!AC24</f>
        <v>2.7099999999999973</v>
      </c>
      <c r="O27" s="14">
        <f>节奏总表!AD24</f>
        <v>24.15</v>
      </c>
      <c r="P27" s="14">
        <f>(节奏总表!N24+节奏总表!O24)*60</f>
        <v>8040</v>
      </c>
      <c r="Q27" s="19">
        <v>0</v>
      </c>
      <c r="R27" s="19">
        <v>0</v>
      </c>
      <c r="S27" s="19">
        <v>0.35</v>
      </c>
      <c r="T27" s="19">
        <v>0.65</v>
      </c>
      <c r="U27" s="19">
        <v>0</v>
      </c>
      <c r="V27" s="19">
        <v>0</v>
      </c>
      <c r="W27" s="19">
        <v>0.2</v>
      </c>
      <c r="X27" s="19">
        <v>0.8</v>
      </c>
      <c r="Y27" s="19">
        <v>0</v>
      </c>
      <c r="Z27" s="19">
        <v>0.1</v>
      </c>
      <c r="AA27" s="14">
        <f>章节关卡!K25</f>
        <v>210</v>
      </c>
      <c r="AB27" s="14">
        <f>章节关卡!H25</f>
        <v>130</v>
      </c>
      <c r="AC27" s="15"/>
      <c r="AD27" s="15"/>
      <c r="AE27" s="73">
        <v>20</v>
      </c>
      <c r="AF27" s="144">
        <v>105</v>
      </c>
      <c r="AG27" s="159">
        <f t="shared" si="24"/>
        <v>0</v>
      </c>
      <c r="AH27" s="159">
        <f t="shared" si="25"/>
        <v>0</v>
      </c>
      <c r="AI27" s="159">
        <f t="shared" si="26"/>
        <v>16.8</v>
      </c>
      <c r="AJ27" s="159">
        <f t="shared" si="27"/>
        <v>15.600000000000001</v>
      </c>
      <c r="AK27" s="159">
        <f t="shared" si="28"/>
        <v>0</v>
      </c>
      <c r="AL27" s="159">
        <f t="shared" si="29"/>
        <v>0</v>
      </c>
      <c r="AM27" s="159">
        <f t="shared" si="30"/>
        <v>4.32</v>
      </c>
      <c r="AN27" s="159">
        <f t="shared" si="31"/>
        <v>8.64</v>
      </c>
      <c r="AO27" s="159">
        <f t="shared" si="32"/>
        <v>0</v>
      </c>
      <c r="AW27" s="73">
        <v>22</v>
      </c>
      <c r="AX27" s="73">
        <v>1</v>
      </c>
      <c r="AY27" s="14" t="str">
        <f>INDEX(节奏总表!$BJ$4:$BJ$23,MATCH(挂机升级突破!AW27+1,节奏总表!$BM$4:$BM$22,1))</f>
        <v>大叫唤</v>
      </c>
      <c r="AZ27" s="73"/>
      <c r="BA27" s="14">
        <f>INDEX(节奏总表!$BF$4:$BF$55,挂机升级突破!AW27)</f>
        <v>75</v>
      </c>
      <c r="BB27" s="73"/>
      <c r="BC27" s="73"/>
      <c r="BD27" s="19">
        <v>0.15</v>
      </c>
      <c r="BE27" s="73"/>
      <c r="BF27" s="73"/>
      <c r="BG27" s="73"/>
      <c r="BH27" s="19">
        <v>7.0000000000000007E-2</v>
      </c>
      <c r="BI27" s="73"/>
      <c r="BJ27" s="73"/>
      <c r="BK27" s="73"/>
      <c r="BL27" s="139">
        <v>5</v>
      </c>
      <c r="BM27" s="19">
        <v>0.08</v>
      </c>
      <c r="BN27" s="14">
        <f t="shared" si="8"/>
        <v>35128</v>
      </c>
      <c r="BP27" s="76">
        <v>22</v>
      </c>
      <c r="BQ27" s="76">
        <v>1</v>
      </c>
      <c r="BR27" s="76" t="s">
        <v>544</v>
      </c>
      <c r="BS27" s="76">
        <v>9.0000000000000107</v>
      </c>
      <c r="BT27" s="14">
        <f t="shared" si="2"/>
        <v>75</v>
      </c>
      <c r="BU27" s="104">
        <v>11</v>
      </c>
      <c r="BV27" s="104">
        <v>3</v>
      </c>
      <c r="BW27" s="76"/>
      <c r="BX27" s="14">
        <f t="shared" si="9"/>
        <v>0</v>
      </c>
      <c r="BY27" s="14">
        <f t="shared" si="10"/>
        <v>0</v>
      </c>
      <c r="BZ27" s="14">
        <f t="shared" si="11"/>
        <v>4543</v>
      </c>
      <c r="CA27" s="14">
        <f t="shared" si="12"/>
        <v>0</v>
      </c>
      <c r="CB27" s="14">
        <f t="shared" si="13"/>
        <v>0</v>
      </c>
      <c r="CC27" s="14">
        <f t="shared" si="14"/>
        <v>0</v>
      </c>
      <c r="CD27" s="14">
        <f t="shared" si="15"/>
        <v>270</v>
      </c>
      <c r="CE27" s="14">
        <f t="shared" si="16"/>
        <v>0</v>
      </c>
      <c r="CF27" s="14">
        <f t="shared" si="17"/>
        <v>0</v>
      </c>
      <c r="CG27" s="14">
        <f t="shared" si="18"/>
        <v>0</v>
      </c>
      <c r="CH27" s="14">
        <f t="shared" si="5"/>
        <v>35128</v>
      </c>
      <c r="DD27" s="19"/>
      <c r="DE27" s="14"/>
      <c r="DF27" s="64"/>
      <c r="DG27" s="14"/>
    </row>
    <row r="28" spans="1:111" ht="16.5" x14ac:dyDescent="0.2">
      <c r="A28" s="73">
        <v>21</v>
      </c>
      <c r="B28" s="73">
        <v>4</v>
      </c>
      <c r="C28" s="73">
        <v>110</v>
      </c>
      <c r="D28" s="73">
        <v>1</v>
      </c>
      <c r="E28" s="109">
        <v>3</v>
      </c>
      <c r="F28" s="109">
        <v>4</v>
      </c>
      <c r="G28" s="109">
        <v>2</v>
      </c>
      <c r="H28" s="109">
        <v>3</v>
      </c>
      <c r="I28" s="109">
        <v>1</v>
      </c>
      <c r="J28" s="115">
        <v>4</v>
      </c>
      <c r="K28" s="115">
        <f>SUMIFS(章节关卡!$BS$5:$BS$94,章节关卡!$BO$5:$BO$94,"="&amp;挂机升级突破!A28)</f>
        <v>1080</v>
      </c>
      <c r="L28" s="115"/>
      <c r="M28" s="115"/>
      <c r="N28" s="14">
        <f>节奏总表!AC25</f>
        <v>2.8500000000000014</v>
      </c>
      <c r="O28" s="14">
        <f>节奏总表!AD25</f>
        <v>27</v>
      </c>
      <c r="P28" s="14">
        <f>(节奏总表!N25+节奏总表!O25)*60</f>
        <v>8460</v>
      </c>
      <c r="Q28" s="19">
        <v>0</v>
      </c>
      <c r="R28" s="19">
        <v>0</v>
      </c>
      <c r="S28" s="19">
        <v>0.2</v>
      </c>
      <c r="T28" s="19">
        <v>0.8</v>
      </c>
      <c r="U28" s="19">
        <v>0</v>
      </c>
      <c r="V28" s="19">
        <v>0</v>
      </c>
      <c r="W28" s="19">
        <v>0</v>
      </c>
      <c r="X28" s="19">
        <v>1</v>
      </c>
      <c r="Y28" s="19">
        <v>0</v>
      </c>
      <c r="Z28" s="19">
        <v>0.2</v>
      </c>
      <c r="AA28" s="14">
        <f>章节关卡!K26</f>
        <v>225</v>
      </c>
      <c r="AB28" s="14">
        <f>章节关卡!H26</f>
        <v>140</v>
      </c>
      <c r="AC28" s="15"/>
      <c r="AD28" s="15"/>
      <c r="AE28" s="73">
        <v>21</v>
      </c>
      <c r="AF28" s="144">
        <v>110</v>
      </c>
      <c r="AG28" s="159">
        <f t="shared" si="24"/>
        <v>0</v>
      </c>
      <c r="AH28" s="159">
        <f t="shared" si="25"/>
        <v>0</v>
      </c>
      <c r="AI28" s="159">
        <f t="shared" si="26"/>
        <v>9.6000000000000014</v>
      </c>
      <c r="AJ28" s="159">
        <f t="shared" si="27"/>
        <v>19.200000000000003</v>
      </c>
      <c r="AK28" s="159">
        <f t="shared" si="28"/>
        <v>0</v>
      </c>
      <c r="AL28" s="159">
        <f t="shared" si="29"/>
        <v>0</v>
      </c>
      <c r="AM28" s="159">
        <f t="shared" si="30"/>
        <v>0</v>
      </c>
      <c r="AN28" s="159">
        <f t="shared" si="31"/>
        <v>10.8</v>
      </c>
      <c r="AO28" s="159">
        <f t="shared" si="32"/>
        <v>0</v>
      </c>
      <c r="AW28" s="73">
        <v>23</v>
      </c>
      <c r="AX28" s="73">
        <v>2</v>
      </c>
      <c r="AY28" s="14" t="str">
        <f>INDEX(节奏总表!$BJ$4:$BJ$23,MATCH(挂机升级突破!AW28+1,节奏总表!$BM$4:$BM$22,1))</f>
        <v>大叫唤+1</v>
      </c>
      <c r="AZ28" s="73"/>
      <c r="BA28" s="14">
        <f>INDEX(节奏总表!$BF$4:$BF$55,挂机升级突破!AW28)</f>
        <v>77</v>
      </c>
      <c r="BB28" s="73"/>
      <c r="BC28" s="73"/>
      <c r="BD28" s="19"/>
      <c r="BE28" s="19">
        <v>0.05</v>
      </c>
      <c r="BF28" s="73"/>
      <c r="BG28" s="73"/>
      <c r="BH28" s="19">
        <v>0.09</v>
      </c>
      <c r="BI28" s="73"/>
      <c r="BJ28" s="73"/>
      <c r="BK28" s="73"/>
      <c r="BL28" s="139">
        <v>5</v>
      </c>
      <c r="BM28" s="19">
        <v>0.11</v>
      </c>
      <c r="BN28" s="14">
        <f t="shared" si="8"/>
        <v>48301</v>
      </c>
      <c r="BP28" s="76">
        <v>23</v>
      </c>
      <c r="BQ28" s="76">
        <v>2</v>
      </c>
      <c r="BR28" s="76" t="s">
        <v>545</v>
      </c>
      <c r="BS28" s="76">
        <v>9.0000000000000107</v>
      </c>
      <c r="BT28" s="14">
        <f t="shared" si="2"/>
        <v>77</v>
      </c>
      <c r="BU28" s="104">
        <v>11</v>
      </c>
      <c r="BV28" s="104">
        <v>4</v>
      </c>
      <c r="BW28" s="76"/>
      <c r="BX28" s="14">
        <f t="shared" si="9"/>
        <v>0</v>
      </c>
      <c r="BY28" s="14">
        <f t="shared" si="10"/>
        <v>0</v>
      </c>
      <c r="BZ28" s="14">
        <f t="shared" si="11"/>
        <v>0</v>
      </c>
      <c r="CA28" s="14">
        <f t="shared" si="12"/>
        <v>627</v>
      </c>
      <c r="CB28" s="14">
        <f t="shared" si="13"/>
        <v>0</v>
      </c>
      <c r="CC28" s="14">
        <f t="shared" si="14"/>
        <v>0</v>
      </c>
      <c r="CD28" s="14">
        <f t="shared" si="15"/>
        <v>347</v>
      </c>
      <c r="CE28" s="14">
        <f t="shared" si="16"/>
        <v>0</v>
      </c>
      <c r="CF28" s="14">
        <f t="shared" si="17"/>
        <v>0</v>
      </c>
      <c r="CG28" s="14">
        <f t="shared" si="18"/>
        <v>0</v>
      </c>
      <c r="CH28" s="14">
        <f t="shared" si="5"/>
        <v>48301</v>
      </c>
      <c r="DD28" s="19"/>
      <c r="DE28" s="14"/>
      <c r="DF28" s="73"/>
      <c r="DG28" s="14"/>
    </row>
    <row r="29" spans="1:111" ht="16.5" x14ac:dyDescent="0.2">
      <c r="A29" s="73">
        <v>22</v>
      </c>
      <c r="B29" s="73">
        <v>4</v>
      </c>
      <c r="C29" s="73">
        <v>115</v>
      </c>
      <c r="D29" s="73">
        <v>1</v>
      </c>
      <c r="E29" s="109">
        <v>4</v>
      </c>
      <c r="F29" s="109">
        <v>0</v>
      </c>
      <c r="G29" s="109">
        <v>2</v>
      </c>
      <c r="H29" s="109">
        <v>3</v>
      </c>
      <c r="I29" s="109">
        <v>1</v>
      </c>
      <c r="J29" s="112">
        <v>5</v>
      </c>
      <c r="K29" s="115">
        <f>SUMIFS(章节关卡!$BS$5:$BS$94,章节关卡!$BO$5:$BO$94,"="&amp;挂机升级突破!A29)</f>
        <v>1080</v>
      </c>
      <c r="L29" s="115"/>
      <c r="M29" s="115"/>
      <c r="N29" s="14">
        <f>节奏总表!AC26</f>
        <v>3</v>
      </c>
      <c r="O29" s="14">
        <f>节奏总表!AD26</f>
        <v>30</v>
      </c>
      <c r="P29" s="14">
        <f>(节奏总表!N26+节奏总表!O26)*60</f>
        <v>8880</v>
      </c>
      <c r="Q29" s="19">
        <v>0</v>
      </c>
      <c r="R29" s="19">
        <v>0</v>
      </c>
      <c r="S29" s="19">
        <v>0</v>
      </c>
      <c r="T29" s="19">
        <v>1</v>
      </c>
      <c r="U29" s="19">
        <v>0</v>
      </c>
      <c r="V29" s="19">
        <v>0</v>
      </c>
      <c r="W29" s="19">
        <v>0</v>
      </c>
      <c r="X29" s="19">
        <v>0.8</v>
      </c>
      <c r="Y29" s="19">
        <v>0.2</v>
      </c>
      <c r="Z29" s="19">
        <v>0.3</v>
      </c>
      <c r="AA29" s="14">
        <f>章节关卡!K27</f>
        <v>235</v>
      </c>
      <c r="AB29" s="14">
        <f>章节关卡!H27</f>
        <v>150</v>
      </c>
      <c r="AE29" s="73">
        <v>22</v>
      </c>
      <c r="AF29" s="144">
        <v>115</v>
      </c>
      <c r="AG29" s="159">
        <f t="shared" si="24"/>
        <v>0</v>
      </c>
      <c r="AH29" s="159">
        <f t="shared" si="25"/>
        <v>0</v>
      </c>
      <c r="AI29" s="159">
        <f t="shared" si="26"/>
        <v>0</v>
      </c>
      <c r="AJ29" s="159">
        <f t="shared" si="27"/>
        <v>24</v>
      </c>
      <c r="AK29" s="159">
        <f t="shared" si="28"/>
        <v>0</v>
      </c>
      <c r="AL29" s="159">
        <f t="shared" si="29"/>
        <v>0</v>
      </c>
      <c r="AM29" s="159">
        <f t="shared" si="30"/>
        <v>0</v>
      </c>
      <c r="AN29" s="159">
        <f t="shared" si="31"/>
        <v>8.64</v>
      </c>
      <c r="AO29" s="159">
        <f t="shared" si="32"/>
        <v>1.08</v>
      </c>
      <c r="AW29" s="73">
        <v>24</v>
      </c>
      <c r="AX29" s="73">
        <v>3</v>
      </c>
      <c r="AY29" s="14" t="str">
        <f>INDEX(节奏总表!$BJ$4:$BJ$23,MATCH(挂机升级突破!AW29+1,节奏总表!$BM$4:$BM$22,1))</f>
        <v>大叫唤+1</v>
      </c>
      <c r="AZ29" s="73"/>
      <c r="BA29" s="14">
        <f>INDEX(节奏总表!$BF$4:$BF$55,挂机升级突破!AW29)</f>
        <v>80</v>
      </c>
      <c r="BB29" s="73"/>
      <c r="BC29" s="73"/>
      <c r="BD29" s="19"/>
      <c r="BE29" s="19">
        <v>0.05</v>
      </c>
      <c r="BF29" s="73"/>
      <c r="BG29" s="73"/>
      <c r="BH29" s="19">
        <v>0.09</v>
      </c>
      <c r="BI29" s="73"/>
      <c r="BJ29" s="73"/>
      <c r="BK29" s="73"/>
      <c r="BL29" s="139">
        <v>5</v>
      </c>
      <c r="BM29" s="19">
        <v>0.11</v>
      </c>
      <c r="BN29" s="14">
        <f t="shared" si="8"/>
        <v>48301</v>
      </c>
      <c r="BP29" s="76">
        <v>24</v>
      </c>
      <c r="BQ29" s="76">
        <v>3</v>
      </c>
      <c r="BR29" s="76" t="s">
        <v>545</v>
      </c>
      <c r="BS29" s="76">
        <v>9.0000000000000107</v>
      </c>
      <c r="BT29" s="14">
        <f t="shared" si="2"/>
        <v>80</v>
      </c>
      <c r="BU29" s="104">
        <v>11</v>
      </c>
      <c r="BV29" s="104">
        <v>4</v>
      </c>
      <c r="BW29" s="76"/>
      <c r="BX29" s="14">
        <f t="shared" si="9"/>
        <v>0</v>
      </c>
      <c r="BY29" s="14">
        <f t="shared" si="10"/>
        <v>0</v>
      </c>
      <c r="BZ29" s="14">
        <f t="shared" si="11"/>
        <v>0</v>
      </c>
      <c r="CA29" s="14">
        <f t="shared" si="12"/>
        <v>627</v>
      </c>
      <c r="CB29" s="14">
        <f t="shared" si="13"/>
        <v>0</v>
      </c>
      <c r="CC29" s="14">
        <f t="shared" si="14"/>
        <v>0</v>
      </c>
      <c r="CD29" s="14">
        <f t="shared" si="15"/>
        <v>347</v>
      </c>
      <c r="CE29" s="14">
        <f t="shared" si="16"/>
        <v>0</v>
      </c>
      <c r="CF29" s="14">
        <f t="shared" si="17"/>
        <v>0</v>
      </c>
      <c r="CG29" s="14">
        <f t="shared" si="18"/>
        <v>0</v>
      </c>
      <c r="CH29" s="14">
        <f t="shared" si="5"/>
        <v>48301</v>
      </c>
      <c r="DD29" s="19"/>
      <c r="DE29" s="14"/>
      <c r="DF29" s="73"/>
      <c r="DG29" s="14"/>
    </row>
    <row r="30" spans="1:111" ht="16.5" x14ac:dyDescent="0.2">
      <c r="A30" s="73">
        <v>23</v>
      </c>
      <c r="B30" s="73">
        <v>4</v>
      </c>
      <c r="C30" s="73">
        <v>120</v>
      </c>
      <c r="D30" s="73">
        <v>1</v>
      </c>
      <c r="E30" s="109">
        <v>4</v>
      </c>
      <c r="F30" s="109">
        <v>5</v>
      </c>
      <c r="G30" s="109">
        <v>3</v>
      </c>
      <c r="H30" s="109">
        <v>0</v>
      </c>
      <c r="I30" s="109">
        <v>1</v>
      </c>
      <c r="J30" s="115">
        <v>5</v>
      </c>
      <c r="K30" s="115">
        <f>SUMIFS(章节关卡!$BS$5:$BS$94,章节关卡!$BO$5:$BO$94,"="&amp;挂机升级突破!A30)</f>
        <v>1080</v>
      </c>
      <c r="L30" s="115"/>
      <c r="M30" s="115"/>
      <c r="N30" s="14">
        <f>节奏总表!AC27</f>
        <v>3.3299999999999983</v>
      </c>
      <c r="O30" s="14">
        <f>节奏总表!AD27</f>
        <v>33.33</v>
      </c>
      <c r="P30" s="14">
        <f>(节奏总表!N27+节奏总表!O27)*60</f>
        <v>9840</v>
      </c>
      <c r="Q30" s="19">
        <v>0</v>
      </c>
      <c r="R30" s="19">
        <v>0</v>
      </c>
      <c r="S30" s="19">
        <v>0</v>
      </c>
      <c r="T30" s="19">
        <v>0.8</v>
      </c>
      <c r="U30" s="19">
        <v>0.2</v>
      </c>
      <c r="V30" s="19">
        <v>0</v>
      </c>
      <c r="W30" s="19">
        <v>0</v>
      </c>
      <c r="X30" s="19">
        <v>0.65</v>
      </c>
      <c r="Y30" s="19">
        <v>0.35</v>
      </c>
      <c r="Z30" s="19">
        <v>0.4</v>
      </c>
      <c r="AA30" s="14">
        <f>章节关卡!K28</f>
        <v>250</v>
      </c>
      <c r="AB30" s="14">
        <f>章节关卡!H28</f>
        <v>160</v>
      </c>
      <c r="AE30" s="73">
        <v>23</v>
      </c>
      <c r="AF30" s="144">
        <v>120</v>
      </c>
      <c r="AG30" s="159">
        <f t="shared" si="24"/>
        <v>0</v>
      </c>
      <c r="AH30" s="159">
        <f t="shared" si="25"/>
        <v>0</v>
      </c>
      <c r="AI30" s="159">
        <f t="shared" si="26"/>
        <v>0</v>
      </c>
      <c r="AJ30" s="159">
        <f t="shared" si="27"/>
        <v>19.200000000000003</v>
      </c>
      <c r="AK30" s="159">
        <f t="shared" si="28"/>
        <v>2.4000000000000004</v>
      </c>
      <c r="AL30" s="159">
        <f t="shared" si="29"/>
        <v>0</v>
      </c>
      <c r="AM30" s="159">
        <f t="shared" si="30"/>
        <v>0</v>
      </c>
      <c r="AN30" s="159">
        <f t="shared" si="31"/>
        <v>7.0200000000000014</v>
      </c>
      <c r="AO30" s="159">
        <f t="shared" si="32"/>
        <v>1.8900000000000001</v>
      </c>
      <c r="AW30" s="73">
        <v>25</v>
      </c>
      <c r="AX30" s="73">
        <v>1</v>
      </c>
      <c r="AY30" s="14" t="str">
        <f>INDEX(节奏总表!$BJ$4:$BJ$23,MATCH(挂机升级突破!AW30+1,节奏总表!$BM$4:$BM$22,1))</f>
        <v>大叫唤+1</v>
      </c>
      <c r="AZ30" s="73"/>
      <c r="BA30" s="14">
        <f>INDEX(节奏总表!$BF$4:$BF$55,挂机升级突破!AW30)</f>
        <v>82</v>
      </c>
      <c r="BB30" s="73"/>
      <c r="BC30" s="73"/>
      <c r="BD30" s="73"/>
      <c r="BE30" s="19">
        <v>0.05</v>
      </c>
      <c r="BF30" s="73"/>
      <c r="BG30" s="73"/>
      <c r="BH30" s="19">
        <v>0.1</v>
      </c>
      <c r="BI30" s="73"/>
      <c r="BJ30" s="73"/>
      <c r="BK30" s="73"/>
      <c r="BL30" s="139">
        <v>5</v>
      </c>
      <c r="BM30" s="19">
        <v>0.12</v>
      </c>
      <c r="BN30" s="14">
        <f t="shared" si="8"/>
        <v>52692</v>
      </c>
      <c r="BP30" s="76">
        <v>25</v>
      </c>
      <c r="BQ30" s="76">
        <v>1</v>
      </c>
      <c r="BR30" s="76" t="s">
        <v>545</v>
      </c>
      <c r="BS30" s="76">
        <v>9.0000000000000107</v>
      </c>
      <c r="BT30" s="14">
        <f t="shared" si="2"/>
        <v>82</v>
      </c>
      <c r="BU30" s="104">
        <v>11</v>
      </c>
      <c r="BV30" s="104">
        <v>4</v>
      </c>
      <c r="BW30" s="76"/>
      <c r="BX30" s="14">
        <f t="shared" si="9"/>
        <v>0</v>
      </c>
      <c r="BY30" s="14">
        <f t="shared" si="10"/>
        <v>0</v>
      </c>
      <c r="BZ30" s="14">
        <f t="shared" si="11"/>
        <v>0</v>
      </c>
      <c r="CA30" s="14">
        <f t="shared" si="12"/>
        <v>627</v>
      </c>
      <c r="CB30" s="14">
        <f t="shared" si="13"/>
        <v>0</v>
      </c>
      <c r="CC30" s="14">
        <f t="shared" si="14"/>
        <v>0</v>
      </c>
      <c r="CD30" s="14">
        <f t="shared" si="15"/>
        <v>386</v>
      </c>
      <c r="CE30" s="14">
        <f t="shared" si="16"/>
        <v>0</v>
      </c>
      <c r="CF30" s="14">
        <f t="shared" si="17"/>
        <v>0</v>
      </c>
      <c r="CG30" s="14">
        <f t="shared" si="18"/>
        <v>0</v>
      </c>
      <c r="CH30" s="14">
        <f t="shared" si="5"/>
        <v>52692</v>
      </c>
      <c r="DD30" s="19"/>
      <c r="DE30" s="14"/>
      <c r="DF30" s="73"/>
      <c r="DG30" s="14"/>
    </row>
    <row r="31" spans="1:111" ht="16.5" x14ac:dyDescent="0.2">
      <c r="A31" s="73">
        <v>24</v>
      </c>
      <c r="B31" s="73">
        <v>4</v>
      </c>
      <c r="C31" s="73">
        <v>125</v>
      </c>
      <c r="D31" s="73">
        <v>1</v>
      </c>
      <c r="E31" s="109">
        <v>4</v>
      </c>
      <c r="F31" s="109">
        <v>5</v>
      </c>
      <c r="G31" s="109">
        <v>3</v>
      </c>
      <c r="H31" s="109">
        <v>4</v>
      </c>
      <c r="I31" s="109">
        <v>1</v>
      </c>
      <c r="J31" s="115">
        <v>5</v>
      </c>
      <c r="K31" s="115">
        <f>SUMIFS(章节关卡!$BS$5:$BS$94,章节关卡!$BO$5:$BO$94,"="&amp;挂机升级突破!A31)</f>
        <v>1080</v>
      </c>
      <c r="L31" s="115"/>
      <c r="M31" s="115"/>
      <c r="N31" s="14">
        <f>节奏总表!AC28</f>
        <v>3.75</v>
      </c>
      <c r="O31" s="14">
        <f>节奏总表!AD28</f>
        <v>37.08</v>
      </c>
      <c r="P31" s="14">
        <f>(节奏总表!N28+节奏总表!O28)*60</f>
        <v>11040</v>
      </c>
      <c r="Q31" s="19">
        <v>0</v>
      </c>
      <c r="R31" s="19">
        <v>0</v>
      </c>
      <c r="S31" s="19">
        <v>0</v>
      </c>
      <c r="T31" s="19">
        <v>0.65</v>
      </c>
      <c r="U31" s="19">
        <v>0.35</v>
      </c>
      <c r="V31" s="19">
        <v>0</v>
      </c>
      <c r="W31" s="19">
        <v>0</v>
      </c>
      <c r="X31" s="19">
        <v>0.5</v>
      </c>
      <c r="Y31" s="19">
        <v>0.5</v>
      </c>
      <c r="Z31" s="19">
        <v>0.5</v>
      </c>
      <c r="AA31" s="14">
        <f>章节关卡!K29</f>
        <v>275</v>
      </c>
      <c r="AB31" s="14">
        <f>章节关卡!H29</f>
        <v>170</v>
      </c>
      <c r="AE31" s="73">
        <v>24</v>
      </c>
      <c r="AF31" s="144">
        <v>125</v>
      </c>
      <c r="AG31" s="159">
        <f t="shared" si="24"/>
        <v>0</v>
      </c>
      <c r="AH31" s="159">
        <f t="shared" si="25"/>
        <v>0</v>
      </c>
      <c r="AI31" s="159">
        <f t="shared" si="26"/>
        <v>0</v>
      </c>
      <c r="AJ31" s="159">
        <f t="shared" si="27"/>
        <v>15.600000000000001</v>
      </c>
      <c r="AK31" s="159">
        <f t="shared" si="28"/>
        <v>4.2</v>
      </c>
      <c r="AL31" s="159">
        <f t="shared" si="29"/>
        <v>0</v>
      </c>
      <c r="AM31" s="159">
        <f t="shared" si="30"/>
        <v>0</v>
      </c>
      <c r="AN31" s="159">
        <f t="shared" si="31"/>
        <v>5.4</v>
      </c>
      <c r="AO31" s="159">
        <f t="shared" si="32"/>
        <v>2.7</v>
      </c>
      <c r="AW31" s="73">
        <v>26</v>
      </c>
      <c r="AX31" s="73">
        <v>2</v>
      </c>
      <c r="AY31" s="14" t="str">
        <f>INDEX(节奏总表!$BJ$4:$BJ$23,MATCH(挂机升级突破!AW31+1,节奏总表!$BM$4:$BM$22,1))</f>
        <v>大叫唤+2</v>
      </c>
      <c r="AZ31" s="73"/>
      <c r="BA31" s="14">
        <f>INDEX(节奏总表!$BF$4:$BF$55,挂机升级突破!AW31)</f>
        <v>85</v>
      </c>
      <c r="BB31" s="73"/>
      <c r="BC31" s="73"/>
      <c r="BD31" s="73"/>
      <c r="BE31" s="19">
        <v>0.06</v>
      </c>
      <c r="BF31" s="73"/>
      <c r="BG31" s="73"/>
      <c r="BH31" s="19">
        <v>0.12</v>
      </c>
      <c r="BI31" s="73"/>
      <c r="BJ31" s="73"/>
      <c r="BK31" s="73"/>
      <c r="BL31" s="139">
        <v>5</v>
      </c>
      <c r="BM31" s="19">
        <v>0.14000000000000001</v>
      </c>
      <c r="BN31" s="14">
        <f t="shared" si="8"/>
        <v>61474.000000000007</v>
      </c>
      <c r="BP31" s="76">
        <v>26</v>
      </c>
      <c r="BQ31" s="76">
        <v>2</v>
      </c>
      <c r="BR31" s="76" t="s">
        <v>504</v>
      </c>
      <c r="BS31" s="76">
        <v>9.0000000000000107</v>
      </c>
      <c r="BT31" s="14">
        <f t="shared" si="2"/>
        <v>85</v>
      </c>
      <c r="BU31" s="104">
        <v>11</v>
      </c>
      <c r="BV31" s="104">
        <v>4</v>
      </c>
      <c r="BW31" s="76"/>
      <c r="BX31" s="14">
        <f t="shared" si="9"/>
        <v>0</v>
      </c>
      <c r="BY31" s="14">
        <f t="shared" si="10"/>
        <v>0</v>
      </c>
      <c r="BZ31" s="14">
        <f t="shared" si="11"/>
        <v>0</v>
      </c>
      <c r="CA31" s="14">
        <f t="shared" si="12"/>
        <v>753</v>
      </c>
      <c r="CB31" s="14">
        <f t="shared" si="13"/>
        <v>0</v>
      </c>
      <c r="CC31" s="14">
        <f t="shared" si="14"/>
        <v>0</v>
      </c>
      <c r="CD31" s="14">
        <f t="shared" si="15"/>
        <v>463</v>
      </c>
      <c r="CE31" s="14">
        <f t="shared" si="16"/>
        <v>0</v>
      </c>
      <c r="CF31" s="14">
        <f t="shared" si="17"/>
        <v>0</v>
      </c>
      <c r="CG31" s="14">
        <f t="shared" si="18"/>
        <v>0</v>
      </c>
      <c r="CH31" s="14">
        <f t="shared" si="5"/>
        <v>61474.000000000007</v>
      </c>
      <c r="DD31" s="19"/>
      <c r="DE31" s="14"/>
      <c r="DF31" s="73"/>
      <c r="DG31" s="14"/>
    </row>
    <row r="32" spans="1:111" ht="16.5" x14ac:dyDescent="0.2">
      <c r="A32" s="73">
        <v>25</v>
      </c>
      <c r="B32" s="73">
        <v>4</v>
      </c>
      <c r="C32" s="73">
        <v>130</v>
      </c>
      <c r="D32" s="73">
        <v>1</v>
      </c>
      <c r="E32" s="109">
        <v>4</v>
      </c>
      <c r="F32" s="109">
        <v>5</v>
      </c>
      <c r="G32" s="109">
        <v>0</v>
      </c>
      <c r="H32" s="109">
        <v>0</v>
      </c>
      <c r="I32" s="109">
        <v>1</v>
      </c>
      <c r="J32" s="115">
        <v>5</v>
      </c>
      <c r="K32" s="115">
        <f>SUMIFS(章节关卡!$BS$5:$BS$94,章节关卡!$BO$5:$BO$94,"="&amp;挂机升级突破!A32)</f>
        <v>1080</v>
      </c>
      <c r="L32" s="115"/>
      <c r="M32" s="115"/>
      <c r="N32" s="14">
        <f>节奏总表!AC29</f>
        <v>4.3800000000000026</v>
      </c>
      <c r="O32" s="14">
        <f>节奏总表!AD29</f>
        <v>41.46</v>
      </c>
      <c r="P32" s="14">
        <f>(节奏总表!N29+节奏总表!O29)*60</f>
        <v>12840</v>
      </c>
      <c r="Q32" s="19">
        <v>0</v>
      </c>
      <c r="R32" s="19">
        <v>0</v>
      </c>
      <c r="S32" s="19">
        <v>0</v>
      </c>
      <c r="T32" s="19">
        <v>0.5</v>
      </c>
      <c r="U32" s="19">
        <v>0.5</v>
      </c>
      <c r="V32" s="19">
        <v>0</v>
      </c>
      <c r="W32" s="19">
        <v>0</v>
      </c>
      <c r="X32" s="19">
        <v>0.35</v>
      </c>
      <c r="Y32" s="19">
        <v>0.65</v>
      </c>
      <c r="Z32" s="19">
        <v>0.6</v>
      </c>
      <c r="AA32" s="14">
        <f>章节关卡!K30</f>
        <v>300</v>
      </c>
      <c r="AB32" s="14">
        <f>章节关卡!H30</f>
        <v>180</v>
      </c>
      <c r="AE32" s="73">
        <v>25</v>
      </c>
      <c r="AF32" s="144">
        <v>130</v>
      </c>
      <c r="AG32" s="159">
        <f t="shared" si="24"/>
        <v>0</v>
      </c>
      <c r="AH32" s="159">
        <f t="shared" si="25"/>
        <v>0</v>
      </c>
      <c r="AI32" s="159">
        <f t="shared" si="26"/>
        <v>0</v>
      </c>
      <c r="AJ32" s="159">
        <f t="shared" si="27"/>
        <v>12</v>
      </c>
      <c r="AK32" s="159">
        <f t="shared" si="28"/>
        <v>6</v>
      </c>
      <c r="AL32" s="159">
        <f t="shared" si="29"/>
        <v>0</v>
      </c>
      <c r="AM32" s="159">
        <f t="shared" si="30"/>
        <v>0</v>
      </c>
      <c r="AN32" s="159">
        <f t="shared" si="31"/>
        <v>3.7800000000000002</v>
      </c>
      <c r="AO32" s="159">
        <f t="shared" si="32"/>
        <v>3.5100000000000007</v>
      </c>
      <c r="AW32" s="73">
        <v>27</v>
      </c>
      <c r="AX32" s="73">
        <v>3</v>
      </c>
      <c r="AY32" s="14" t="str">
        <f>INDEX(节奏总表!$BJ$4:$BJ$23,MATCH(挂机升级突破!AW32+1,节奏总表!$BM$4:$BM$22,1))</f>
        <v>大叫唤+2</v>
      </c>
      <c r="AZ32" s="73"/>
      <c r="BA32" s="14">
        <f>INDEX(节奏总表!$BF$4:$BF$55,挂机升级突破!AW32)</f>
        <v>87</v>
      </c>
      <c r="BB32" s="73"/>
      <c r="BC32" s="73"/>
      <c r="BD32" s="73"/>
      <c r="BE32" s="19">
        <v>0.06</v>
      </c>
      <c r="BF32" s="73"/>
      <c r="BG32" s="73"/>
      <c r="BH32" s="19">
        <v>0.12</v>
      </c>
      <c r="BI32" s="73"/>
      <c r="BJ32" s="73"/>
      <c r="BK32" s="73"/>
      <c r="BL32" s="139">
        <v>5</v>
      </c>
      <c r="BM32" s="19">
        <v>0.14000000000000001</v>
      </c>
      <c r="BN32" s="14">
        <f t="shared" si="8"/>
        <v>61474.000000000007</v>
      </c>
      <c r="BP32" s="76">
        <v>27</v>
      </c>
      <c r="BQ32" s="76">
        <v>3</v>
      </c>
      <c r="BR32" s="76" t="s">
        <v>504</v>
      </c>
      <c r="BS32" s="76">
        <v>9.0000000000000107</v>
      </c>
      <c r="BT32" s="14">
        <f t="shared" si="2"/>
        <v>87</v>
      </c>
      <c r="BU32" s="104">
        <v>11</v>
      </c>
      <c r="BV32" s="104">
        <v>4</v>
      </c>
      <c r="BW32" s="76"/>
      <c r="BX32" s="14">
        <f t="shared" si="9"/>
        <v>0</v>
      </c>
      <c r="BY32" s="14">
        <f t="shared" si="10"/>
        <v>0</v>
      </c>
      <c r="BZ32" s="14">
        <f t="shared" si="11"/>
        <v>0</v>
      </c>
      <c r="CA32" s="14">
        <f t="shared" si="12"/>
        <v>753</v>
      </c>
      <c r="CB32" s="14">
        <f t="shared" si="13"/>
        <v>0</v>
      </c>
      <c r="CC32" s="14">
        <f t="shared" si="14"/>
        <v>0</v>
      </c>
      <c r="CD32" s="14">
        <f t="shared" si="15"/>
        <v>463</v>
      </c>
      <c r="CE32" s="14">
        <f t="shared" si="16"/>
        <v>0</v>
      </c>
      <c r="CF32" s="14">
        <f t="shared" si="17"/>
        <v>0</v>
      </c>
      <c r="CG32" s="14">
        <f t="shared" si="18"/>
        <v>0</v>
      </c>
      <c r="CH32" s="14">
        <f t="shared" si="5"/>
        <v>61474.000000000007</v>
      </c>
      <c r="DD32" s="19"/>
      <c r="DE32" s="14"/>
      <c r="DF32" s="73"/>
      <c r="DG32" s="14"/>
    </row>
    <row r="33" spans="1:119" ht="16.5" x14ac:dyDescent="0.2">
      <c r="A33" s="73">
        <v>26</v>
      </c>
      <c r="B33" s="73">
        <v>4</v>
      </c>
      <c r="C33" s="73">
        <v>135</v>
      </c>
      <c r="D33" s="73">
        <v>1</v>
      </c>
      <c r="E33" s="109">
        <v>4</v>
      </c>
      <c r="F33" s="109">
        <v>5</v>
      </c>
      <c r="G33" s="109">
        <v>0</v>
      </c>
      <c r="H33" s="109">
        <v>0</v>
      </c>
      <c r="I33" s="109">
        <v>1</v>
      </c>
      <c r="J33" s="115">
        <v>5</v>
      </c>
      <c r="K33" s="115">
        <f>SUMIFS(章节关卡!$BS$5:$BS$94,章节关卡!$BO$5:$BO$94,"="&amp;挂机升级突破!A33)</f>
        <v>1080</v>
      </c>
      <c r="L33" s="115"/>
      <c r="M33" s="115"/>
      <c r="N33" s="14">
        <f>节奏总表!AC30</f>
        <v>5.2100000000000009</v>
      </c>
      <c r="O33" s="14">
        <f>节奏总表!AD30</f>
        <v>46.67</v>
      </c>
      <c r="P33" s="14">
        <f>(节奏总表!N30+节奏总表!O30)*60</f>
        <v>15240</v>
      </c>
      <c r="Q33" s="19">
        <v>0</v>
      </c>
      <c r="R33" s="19">
        <v>0</v>
      </c>
      <c r="S33" s="19">
        <v>0</v>
      </c>
      <c r="T33" s="19">
        <v>0.35</v>
      </c>
      <c r="U33" s="19">
        <v>0.65</v>
      </c>
      <c r="V33" s="19">
        <v>0</v>
      </c>
      <c r="W33" s="19">
        <v>0</v>
      </c>
      <c r="X33" s="19">
        <v>0.2</v>
      </c>
      <c r="Y33" s="19">
        <v>0.8</v>
      </c>
      <c r="Z33" s="19">
        <v>0.7</v>
      </c>
      <c r="AA33" s="14">
        <f>章节关卡!K31</f>
        <v>325</v>
      </c>
      <c r="AB33" s="14">
        <f>章节关卡!H31</f>
        <v>190</v>
      </c>
      <c r="AE33" s="73">
        <v>26</v>
      </c>
      <c r="AF33" s="144">
        <v>135</v>
      </c>
      <c r="AG33" s="159">
        <f t="shared" si="24"/>
        <v>0</v>
      </c>
      <c r="AH33" s="159">
        <f t="shared" si="25"/>
        <v>0</v>
      </c>
      <c r="AI33" s="159">
        <f t="shared" si="26"/>
        <v>0</v>
      </c>
      <c r="AJ33" s="159">
        <f t="shared" si="27"/>
        <v>8.4</v>
      </c>
      <c r="AK33" s="159">
        <f t="shared" si="28"/>
        <v>7.8000000000000007</v>
      </c>
      <c r="AL33" s="159">
        <f t="shared" si="29"/>
        <v>0</v>
      </c>
      <c r="AM33" s="159">
        <f t="shared" si="30"/>
        <v>0</v>
      </c>
      <c r="AN33" s="159">
        <f t="shared" si="31"/>
        <v>2.16</v>
      </c>
      <c r="AO33" s="159">
        <f t="shared" si="32"/>
        <v>4.32</v>
      </c>
      <c r="AW33" s="73">
        <v>28</v>
      </c>
      <c r="AX33" s="73">
        <v>1</v>
      </c>
      <c r="AY33" s="14" t="str">
        <f>INDEX(节奏总表!$BJ$4:$BJ$23,MATCH(挂机升级突破!AW33+1,节奏总表!$BM$4:$BM$22,1))</f>
        <v>大叫唤+2</v>
      </c>
      <c r="AZ33" s="73"/>
      <c r="BA33" s="14">
        <f>INDEX(节奏总表!$BF$4:$BF$55,挂机升级突破!AW33)</f>
        <v>90</v>
      </c>
      <c r="BB33" s="73"/>
      <c r="BC33" s="73"/>
      <c r="BD33" s="73"/>
      <c r="BE33" s="19">
        <v>0.06</v>
      </c>
      <c r="BF33" s="73"/>
      <c r="BG33" s="73"/>
      <c r="BH33" s="19">
        <v>0.12</v>
      </c>
      <c r="BI33" s="73"/>
      <c r="BJ33" s="73"/>
      <c r="BK33" s="73"/>
      <c r="BL33" s="139">
        <v>5</v>
      </c>
      <c r="BM33" s="19">
        <v>0.14000000000000001</v>
      </c>
      <c r="BN33" s="14">
        <f t="shared" si="8"/>
        <v>61474.000000000007</v>
      </c>
      <c r="BP33" s="76">
        <v>28</v>
      </c>
      <c r="BQ33" s="76">
        <v>1</v>
      </c>
      <c r="BR33" s="76" t="s">
        <v>504</v>
      </c>
      <c r="BS33" s="76">
        <v>9.0000000000000107</v>
      </c>
      <c r="BT33" s="14">
        <f t="shared" si="2"/>
        <v>90</v>
      </c>
      <c r="BU33" s="104">
        <v>11</v>
      </c>
      <c r="BV33" s="104">
        <v>4</v>
      </c>
      <c r="BW33" s="76"/>
      <c r="BX33" s="14">
        <f t="shared" si="9"/>
        <v>0</v>
      </c>
      <c r="BY33" s="14">
        <f t="shared" si="10"/>
        <v>0</v>
      </c>
      <c r="BZ33" s="14">
        <f t="shared" si="11"/>
        <v>0</v>
      </c>
      <c r="CA33" s="14">
        <f t="shared" si="12"/>
        <v>753</v>
      </c>
      <c r="CB33" s="14">
        <f t="shared" si="13"/>
        <v>0</v>
      </c>
      <c r="CC33" s="14">
        <f t="shared" si="14"/>
        <v>0</v>
      </c>
      <c r="CD33" s="14">
        <f t="shared" si="15"/>
        <v>463</v>
      </c>
      <c r="CE33" s="14">
        <f t="shared" si="16"/>
        <v>0</v>
      </c>
      <c r="CF33" s="14">
        <f t="shared" si="17"/>
        <v>0</v>
      </c>
      <c r="CG33" s="14">
        <f t="shared" si="18"/>
        <v>0</v>
      </c>
      <c r="CH33" s="14">
        <f t="shared" si="5"/>
        <v>61474.000000000007</v>
      </c>
      <c r="DD33" s="19"/>
      <c r="DE33" s="14"/>
      <c r="DF33" s="73"/>
      <c r="DG33" s="14"/>
    </row>
    <row r="34" spans="1:119" ht="16.5" x14ac:dyDescent="0.2">
      <c r="A34" s="73">
        <v>27</v>
      </c>
      <c r="B34" s="73">
        <v>4</v>
      </c>
      <c r="C34" s="73">
        <v>140</v>
      </c>
      <c r="D34" s="73">
        <v>1</v>
      </c>
      <c r="E34" s="109">
        <v>4</v>
      </c>
      <c r="F34" s="109">
        <v>5</v>
      </c>
      <c r="G34" s="109">
        <v>0</v>
      </c>
      <c r="H34" s="109">
        <v>0</v>
      </c>
      <c r="I34" s="109">
        <v>1</v>
      </c>
      <c r="J34" s="115">
        <v>5</v>
      </c>
      <c r="K34" s="115">
        <f>SUMIFS(章节关卡!$BS$5:$BS$94,章节关卡!$BO$5:$BO$94,"="&amp;挂机升级突破!A34)</f>
        <v>1080</v>
      </c>
      <c r="L34" s="115"/>
      <c r="M34" s="115"/>
      <c r="N34" s="14">
        <f>节奏总表!AC31</f>
        <v>6.25</v>
      </c>
      <c r="O34" s="14">
        <f>节奏总表!AD31</f>
        <v>52.92</v>
      </c>
      <c r="P34" s="14">
        <f>(节奏总表!N31+节奏总表!O31)*60</f>
        <v>18240</v>
      </c>
      <c r="Q34" s="19">
        <v>0</v>
      </c>
      <c r="R34" s="19">
        <v>0</v>
      </c>
      <c r="S34" s="19">
        <v>0</v>
      </c>
      <c r="T34" s="19">
        <v>0.2</v>
      </c>
      <c r="U34" s="19">
        <v>0.8</v>
      </c>
      <c r="V34" s="19">
        <v>0</v>
      </c>
      <c r="W34" s="19">
        <v>0</v>
      </c>
      <c r="X34" s="19">
        <v>0</v>
      </c>
      <c r="Y34" s="19">
        <v>1</v>
      </c>
      <c r="Z34" s="19">
        <v>0.8</v>
      </c>
      <c r="AA34" s="14">
        <f>章节关卡!K32</f>
        <v>350</v>
      </c>
      <c r="AB34" s="14">
        <f>章节关卡!H32</f>
        <v>200</v>
      </c>
      <c r="AE34" s="73">
        <v>27</v>
      </c>
      <c r="AF34" s="73">
        <v>140</v>
      </c>
      <c r="AG34" s="159">
        <f t="shared" si="24"/>
        <v>0</v>
      </c>
      <c r="AH34" s="159">
        <f t="shared" si="25"/>
        <v>0</v>
      </c>
      <c r="AI34" s="159">
        <f t="shared" si="26"/>
        <v>0</v>
      </c>
      <c r="AJ34" s="159">
        <f t="shared" si="27"/>
        <v>4.8000000000000007</v>
      </c>
      <c r="AK34" s="159">
        <f t="shared" si="28"/>
        <v>9.6000000000000014</v>
      </c>
      <c r="AL34" s="159">
        <f t="shared" si="29"/>
        <v>0</v>
      </c>
      <c r="AM34" s="159">
        <f t="shared" si="30"/>
        <v>0</v>
      </c>
      <c r="AN34" s="159">
        <f t="shared" si="31"/>
        <v>0</v>
      </c>
      <c r="AO34" s="159">
        <f t="shared" si="32"/>
        <v>5.4</v>
      </c>
      <c r="AW34" s="73">
        <v>29</v>
      </c>
      <c r="AX34" s="73">
        <v>2</v>
      </c>
      <c r="AY34" s="14" t="str">
        <f>INDEX(节奏总表!$BJ$4:$BJ$23,MATCH(挂机升级突破!AW34+1,节奏总表!$BM$4:$BM$22,1))</f>
        <v>焦热</v>
      </c>
      <c r="AZ34" s="73"/>
      <c r="BA34" s="14">
        <f>INDEX(节奏总表!$BF$4:$BF$55,挂机升级突破!AW34)</f>
        <v>92</v>
      </c>
      <c r="BB34" s="73"/>
      <c r="BC34" s="73"/>
      <c r="BD34" s="73"/>
      <c r="BE34" s="19">
        <v>7.0000000000000007E-2</v>
      </c>
      <c r="BF34" s="73"/>
      <c r="BG34" s="73"/>
      <c r="BH34" s="73"/>
      <c r="BI34" s="19">
        <v>0.05</v>
      </c>
      <c r="BJ34" s="73"/>
      <c r="BK34" s="73"/>
      <c r="BL34" s="139">
        <v>6</v>
      </c>
      <c r="BM34" s="19">
        <v>0.08</v>
      </c>
      <c r="BN34" s="14">
        <f t="shared" si="8"/>
        <v>62219.4</v>
      </c>
      <c r="BP34" s="76">
        <v>29</v>
      </c>
      <c r="BQ34" s="76">
        <v>2</v>
      </c>
      <c r="BR34" s="76" t="s">
        <v>546</v>
      </c>
      <c r="BS34" s="76">
        <v>9.0000000000000107</v>
      </c>
      <c r="BT34" s="14">
        <f t="shared" si="2"/>
        <v>92</v>
      </c>
      <c r="BU34" s="104">
        <v>11</v>
      </c>
      <c r="BV34" s="104">
        <v>4</v>
      </c>
      <c r="BW34" s="76"/>
      <c r="BX34" s="14">
        <f t="shared" si="9"/>
        <v>0</v>
      </c>
      <c r="BY34" s="14">
        <f t="shared" si="10"/>
        <v>0</v>
      </c>
      <c r="BZ34" s="14">
        <f t="shared" si="11"/>
        <v>0</v>
      </c>
      <c r="CA34" s="14">
        <f t="shared" si="12"/>
        <v>878</v>
      </c>
      <c r="CB34" s="14">
        <f t="shared" si="13"/>
        <v>0</v>
      </c>
      <c r="CC34" s="14">
        <f t="shared" si="14"/>
        <v>0</v>
      </c>
      <c r="CD34" s="14">
        <f t="shared" si="15"/>
        <v>0</v>
      </c>
      <c r="CE34" s="14">
        <f t="shared" si="16"/>
        <v>86</v>
      </c>
      <c r="CF34" s="14">
        <f t="shared" si="17"/>
        <v>0</v>
      </c>
      <c r="CG34" s="14">
        <f t="shared" si="18"/>
        <v>0</v>
      </c>
      <c r="CH34" s="14">
        <f t="shared" si="5"/>
        <v>62219.4</v>
      </c>
      <c r="DD34" s="19"/>
      <c r="DE34" s="14"/>
      <c r="DF34" s="73"/>
      <c r="DG34" s="14"/>
    </row>
    <row r="35" spans="1:119" ht="16.5" x14ac:dyDescent="0.2">
      <c r="A35" s="73">
        <v>28</v>
      </c>
      <c r="B35" s="73">
        <v>4</v>
      </c>
      <c r="C35" s="73">
        <v>145</v>
      </c>
      <c r="D35" s="73">
        <v>1</v>
      </c>
      <c r="E35" s="109">
        <v>5</v>
      </c>
      <c r="F35" s="109">
        <v>0</v>
      </c>
      <c r="G35" s="109">
        <v>0</v>
      </c>
      <c r="H35" s="109">
        <v>0</v>
      </c>
      <c r="I35" s="109">
        <v>1</v>
      </c>
      <c r="J35" s="115">
        <v>5</v>
      </c>
      <c r="K35" s="115">
        <f>SUMIFS(章节关卡!$BS$5:$BS$94,章节关卡!$BO$5:$BO$94,"="&amp;挂机升级突破!A35)</f>
        <v>1080</v>
      </c>
      <c r="L35" s="115"/>
      <c r="M35" s="115"/>
      <c r="N35" s="14">
        <f>节奏总表!AC32</f>
        <v>7.0799999999999983</v>
      </c>
      <c r="O35" s="14">
        <f>节奏总表!AD32</f>
        <v>60</v>
      </c>
      <c r="P35" s="14">
        <f>(节奏总表!N32+节奏总表!O32)*60</f>
        <v>20640</v>
      </c>
      <c r="Q35" s="19">
        <v>0</v>
      </c>
      <c r="R35" s="19">
        <v>0</v>
      </c>
      <c r="S35" s="19">
        <v>0</v>
      </c>
      <c r="T35" s="19">
        <v>0</v>
      </c>
      <c r="U35" s="19">
        <v>1</v>
      </c>
      <c r="V35" s="19">
        <v>0</v>
      </c>
      <c r="W35" s="19">
        <v>0</v>
      </c>
      <c r="X35" s="19">
        <v>0</v>
      </c>
      <c r="Y35" s="19">
        <v>1</v>
      </c>
      <c r="Z35" s="19">
        <v>0.9</v>
      </c>
      <c r="AA35" s="14">
        <f>章节关卡!K33</f>
        <v>375</v>
      </c>
      <c r="AB35" s="14">
        <f>章节关卡!H33</f>
        <v>210</v>
      </c>
      <c r="AE35" s="73">
        <v>28</v>
      </c>
      <c r="AF35" s="73">
        <v>145</v>
      </c>
      <c r="AG35" s="159">
        <f t="shared" si="24"/>
        <v>0</v>
      </c>
      <c r="AH35" s="159">
        <f t="shared" si="25"/>
        <v>0</v>
      </c>
      <c r="AI35" s="159">
        <f t="shared" si="26"/>
        <v>0</v>
      </c>
      <c r="AJ35" s="159">
        <f t="shared" si="27"/>
        <v>0</v>
      </c>
      <c r="AK35" s="159">
        <f t="shared" si="28"/>
        <v>12</v>
      </c>
      <c r="AL35" s="159">
        <f t="shared" si="29"/>
        <v>0</v>
      </c>
      <c r="AM35" s="159">
        <f t="shared" si="30"/>
        <v>0</v>
      </c>
      <c r="AN35" s="159">
        <f t="shared" si="31"/>
        <v>0</v>
      </c>
      <c r="AO35" s="159">
        <f t="shared" si="32"/>
        <v>5.4</v>
      </c>
      <c r="AW35" s="73">
        <v>30</v>
      </c>
      <c r="AX35" s="73">
        <v>3</v>
      </c>
      <c r="AY35" s="14" t="str">
        <f>INDEX(节奏总表!$BJ$4:$BJ$23,MATCH(挂机升级突破!AW35+1,节奏总表!$BM$4:$BM$22,1))</f>
        <v>焦热</v>
      </c>
      <c r="AZ35" s="73"/>
      <c r="BA35" s="14">
        <f>INDEX(节奏总表!$BF$4:$BF$55,挂机升级突破!AW35)</f>
        <v>95</v>
      </c>
      <c r="BB35" s="73"/>
      <c r="BC35" s="73"/>
      <c r="BD35" s="73"/>
      <c r="BE35" s="19">
        <v>7.0000000000000007E-2</v>
      </c>
      <c r="BF35" s="73"/>
      <c r="BG35" s="73"/>
      <c r="BH35" s="73"/>
      <c r="BI35" s="19">
        <v>0.05</v>
      </c>
      <c r="BJ35" s="73"/>
      <c r="BK35" s="73"/>
      <c r="BL35" s="139">
        <v>6</v>
      </c>
      <c r="BM35" s="19">
        <v>0.08</v>
      </c>
      <c r="BN35" s="14">
        <f t="shared" si="8"/>
        <v>62219.4</v>
      </c>
      <c r="BP35" s="76">
        <v>30</v>
      </c>
      <c r="BQ35" s="76">
        <v>3</v>
      </c>
      <c r="BR35" s="76" t="s">
        <v>546</v>
      </c>
      <c r="BS35" s="76">
        <v>9.0000000000000107</v>
      </c>
      <c r="BT35" s="14">
        <f t="shared" si="2"/>
        <v>95</v>
      </c>
      <c r="BU35" s="104">
        <v>11</v>
      </c>
      <c r="BV35" s="104">
        <v>4</v>
      </c>
      <c r="BW35" s="76"/>
      <c r="BX35" s="14">
        <f t="shared" si="9"/>
        <v>0</v>
      </c>
      <c r="BY35" s="14">
        <f t="shared" si="10"/>
        <v>0</v>
      </c>
      <c r="BZ35" s="14">
        <f t="shared" si="11"/>
        <v>0</v>
      </c>
      <c r="CA35" s="14">
        <f t="shared" si="12"/>
        <v>878</v>
      </c>
      <c r="CB35" s="14">
        <f t="shared" si="13"/>
        <v>0</v>
      </c>
      <c r="CC35" s="14">
        <f t="shared" si="14"/>
        <v>0</v>
      </c>
      <c r="CD35" s="14">
        <f t="shared" si="15"/>
        <v>0</v>
      </c>
      <c r="CE35" s="14">
        <f t="shared" si="16"/>
        <v>86</v>
      </c>
      <c r="CF35" s="14">
        <f t="shared" si="17"/>
        <v>0</v>
      </c>
      <c r="CG35" s="14">
        <f t="shared" si="18"/>
        <v>0</v>
      </c>
      <c r="CH35" s="14">
        <f t="shared" si="5"/>
        <v>62219.4</v>
      </c>
      <c r="DD35" s="19"/>
      <c r="DE35" s="14"/>
      <c r="DF35" s="73"/>
      <c r="DG35" s="14"/>
    </row>
    <row r="36" spans="1:119" ht="16.5" x14ac:dyDescent="0.2">
      <c r="A36" s="73">
        <v>29</v>
      </c>
      <c r="B36" s="73">
        <v>4</v>
      </c>
      <c r="C36" s="73">
        <v>150</v>
      </c>
      <c r="D36" s="73">
        <v>1</v>
      </c>
      <c r="E36" s="109">
        <v>5</v>
      </c>
      <c r="F36" s="109">
        <v>0</v>
      </c>
      <c r="G36" s="109">
        <v>0</v>
      </c>
      <c r="H36" s="109">
        <v>0</v>
      </c>
      <c r="I36" s="109">
        <v>1</v>
      </c>
      <c r="J36" s="115">
        <v>5</v>
      </c>
      <c r="K36" s="115">
        <f>SUMIFS(章节关卡!$BS$5:$BS$94,章节关卡!$BO$5:$BO$94,"="&amp;挂机升级突破!A36)</f>
        <v>1080</v>
      </c>
      <c r="L36" s="115"/>
      <c r="M36" s="115"/>
      <c r="N36" s="14">
        <f>节奏总表!AC33</f>
        <v>30</v>
      </c>
      <c r="O36" s="14">
        <f>节奏总表!AD33</f>
        <v>90</v>
      </c>
      <c r="P36" s="14">
        <f>(节奏总表!N33+节奏总表!O33)*60</f>
        <v>86640</v>
      </c>
      <c r="Q36" s="19">
        <v>0</v>
      </c>
      <c r="R36" s="19">
        <v>0</v>
      </c>
      <c r="S36" s="19">
        <v>0</v>
      </c>
      <c r="T36" s="19">
        <v>0</v>
      </c>
      <c r="U36" s="19">
        <v>1</v>
      </c>
      <c r="V36" s="19">
        <v>0</v>
      </c>
      <c r="W36" s="19">
        <v>0</v>
      </c>
      <c r="X36" s="19">
        <v>0</v>
      </c>
      <c r="Y36" s="19">
        <v>1</v>
      </c>
      <c r="Z36" s="19">
        <v>1</v>
      </c>
      <c r="AA36" s="14">
        <f>章节关卡!K34</f>
        <v>400</v>
      </c>
      <c r="AB36" s="14">
        <f>章节关卡!H34</f>
        <v>220</v>
      </c>
      <c r="AE36" s="73">
        <v>29</v>
      </c>
      <c r="AF36" s="73">
        <v>150</v>
      </c>
      <c r="AG36" s="159">
        <f t="shared" si="24"/>
        <v>0</v>
      </c>
      <c r="AH36" s="159">
        <f t="shared" si="25"/>
        <v>0</v>
      </c>
      <c r="AI36" s="159">
        <f t="shared" si="26"/>
        <v>0</v>
      </c>
      <c r="AJ36" s="159">
        <f t="shared" si="27"/>
        <v>0</v>
      </c>
      <c r="AK36" s="159">
        <f t="shared" si="28"/>
        <v>12</v>
      </c>
      <c r="AL36" s="159">
        <f t="shared" si="29"/>
        <v>0</v>
      </c>
      <c r="AM36" s="159">
        <f t="shared" si="30"/>
        <v>0</v>
      </c>
      <c r="AN36" s="159">
        <f t="shared" si="31"/>
        <v>0</v>
      </c>
      <c r="AO36" s="159">
        <f t="shared" si="32"/>
        <v>5.4</v>
      </c>
      <c r="AW36" s="73">
        <v>31</v>
      </c>
      <c r="AX36" s="73">
        <v>1</v>
      </c>
      <c r="AY36" s="14" t="str">
        <f>INDEX(节奏总表!$BJ$4:$BJ$23,MATCH(挂机升级突破!AW36+1,节奏总表!$BM$4:$BM$22,1))</f>
        <v>焦热</v>
      </c>
      <c r="AZ36" s="73"/>
      <c r="BA36" s="14">
        <f>INDEX(节奏总表!$BF$4:$BF$55,挂机升级突破!AW36)</f>
        <v>97</v>
      </c>
      <c r="BB36" s="73"/>
      <c r="BC36" s="73"/>
      <c r="BD36" s="73"/>
      <c r="BE36" s="19">
        <v>7.0000000000000007E-2</v>
      </c>
      <c r="BF36" s="73"/>
      <c r="BG36" s="73"/>
      <c r="BH36" s="73"/>
      <c r="BI36" s="19">
        <v>0.05</v>
      </c>
      <c r="BJ36" s="73"/>
      <c r="BK36" s="73"/>
      <c r="BL36" s="139">
        <v>6</v>
      </c>
      <c r="BM36" s="19">
        <v>0.08</v>
      </c>
      <c r="BN36" s="14">
        <f t="shared" si="8"/>
        <v>62219.4</v>
      </c>
      <c r="BP36" s="76">
        <v>31</v>
      </c>
      <c r="BQ36" s="76">
        <v>1</v>
      </c>
      <c r="BR36" s="76" t="s">
        <v>546</v>
      </c>
      <c r="BS36" s="76">
        <v>9.0000000000000107</v>
      </c>
      <c r="BT36" s="14">
        <f t="shared" si="2"/>
        <v>97</v>
      </c>
      <c r="BU36" s="104">
        <v>11</v>
      </c>
      <c r="BV36" s="104">
        <v>4</v>
      </c>
      <c r="BW36" s="76"/>
      <c r="BX36" s="14">
        <f t="shared" si="9"/>
        <v>0</v>
      </c>
      <c r="BY36" s="14">
        <f t="shared" si="10"/>
        <v>0</v>
      </c>
      <c r="BZ36" s="14">
        <f t="shared" si="11"/>
        <v>0</v>
      </c>
      <c r="CA36" s="14">
        <f t="shared" si="12"/>
        <v>878</v>
      </c>
      <c r="CB36" s="14">
        <f t="shared" si="13"/>
        <v>0</v>
      </c>
      <c r="CC36" s="14">
        <f t="shared" si="14"/>
        <v>0</v>
      </c>
      <c r="CD36" s="14">
        <f t="shared" si="15"/>
        <v>0</v>
      </c>
      <c r="CE36" s="14">
        <f t="shared" si="16"/>
        <v>86</v>
      </c>
      <c r="CF36" s="14">
        <f t="shared" si="17"/>
        <v>0</v>
      </c>
      <c r="CG36" s="14">
        <f t="shared" si="18"/>
        <v>0</v>
      </c>
      <c r="CH36" s="14">
        <f t="shared" si="5"/>
        <v>62219.4</v>
      </c>
      <c r="DD36" s="19"/>
      <c r="DE36" s="14"/>
      <c r="DF36" s="73"/>
      <c r="DG36" s="14"/>
    </row>
    <row r="37" spans="1:119" s="111" customFormat="1" ht="16.5" x14ac:dyDescent="0.2">
      <c r="A37" s="109">
        <v>30</v>
      </c>
      <c r="B37" s="109">
        <v>4</v>
      </c>
      <c r="C37" s="109">
        <v>150</v>
      </c>
      <c r="D37" s="109">
        <v>1</v>
      </c>
      <c r="E37" s="109">
        <v>5</v>
      </c>
      <c r="F37" s="109">
        <v>0</v>
      </c>
      <c r="G37" s="109">
        <v>0</v>
      </c>
      <c r="H37" s="109">
        <v>0</v>
      </c>
      <c r="I37" s="109">
        <v>1</v>
      </c>
      <c r="J37" s="115">
        <v>5</v>
      </c>
      <c r="K37" s="115">
        <f>SUMIFS(章节关卡!$BS$5:$BS$94,章节关卡!$BO$5:$BO$94,"="&amp;挂机升级突破!A37)</f>
        <v>1080</v>
      </c>
      <c r="L37" s="115"/>
      <c r="M37" s="115"/>
      <c r="N37" s="14">
        <f>节奏总表!AC34</f>
        <v>60</v>
      </c>
      <c r="O37" s="14">
        <f>节奏总表!AD34</f>
        <v>150</v>
      </c>
      <c r="P37" s="14">
        <f>(节奏总表!N34+节奏总表!O34)*60</f>
        <v>173040</v>
      </c>
      <c r="Q37" s="19">
        <v>0</v>
      </c>
      <c r="R37" s="19">
        <v>0</v>
      </c>
      <c r="S37" s="19">
        <v>0</v>
      </c>
      <c r="T37" s="19">
        <v>0</v>
      </c>
      <c r="U37" s="19">
        <v>1</v>
      </c>
      <c r="V37" s="19">
        <v>0</v>
      </c>
      <c r="W37" s="19">
        <v>0</v>
      </c>
      <c r="X37" s="19">
        <v>0</v>
      </c>
      <c r="Y37" s="19">
        <v>1</v>
      </c>
      <c r="Z37" s="19">
        <v>1</v>
      </c>
      <c r="AA37" s="14">
        <f>章节关卡!K35</f>
        <v>480</v>
      </c>
      <c r="AB37" s="14">
        <f>章节关卡!H35</f>
        <v>220</v>
      </c>
      <c r="AE37" s="109">
        <v>30</v>
      </c>
      <c r="AF37" s="109">
        <v>150</v>
      </c>
      <c r="AG37" s="159">
        <f t="shared" si="24"/>
        <v>0</v>
      </c>
      <c r="AH37" s="159">
        <f t="shared" si="25"/>
        <v>0</v>
      </c>
      <c r="AI37" s="159">
        <f t="shared" si="26"/>
        <v>0</v>
      </c>
      <c r="AJ37" s="159">
        <f t="shared" si="27"/>
        <v>0</v>
      </c>
      <c r="AK37" s="159">
        <f t="shared" si="28"/>
        <v>12</v>
      </c>
      <c r="AL37" s="159">
        <f t="shared" si="29"/>
        <v>0</v>
      </c>
      <c r="AM37" s="159">
        <f t="shared" si="30"/>
        <v>0</v>
      </c>
      <c r="AN37" s="159">
        <f t="shared" si="31"/>
        <v>0</v>
      </c>
      <c r="AO37" s="159">
        <f t="shared" si="32"/>
        <v>5.4</v>
      </c>
      <c r="AQ37" s="146"/>
      <c r="AS37" s="142"/>
      <c r="AT37" s="142"/>
      <c r="AU37" s="142"/>
      <c r="AV37" s="142"/>
      <c r="AW37" s="73">
        <v>32</v>
      </c>
      <c r="AX37" s="73">
        <v>2</v>
      </c>
      <c r="AY37" s="14" t="str">
        <f>INDEX(节奏总表!$BJ$4:$BJ$23,MATCH(挂机升级突破!AW37+1,节奏总表!$BM$4:$BM$22,1))</f>
        <v>焦热+1</v>
      </c>
      <c r="AZ37" s="73"/>
      <c r="BA37" s="14">
        <f>INDEX(节奏总表!$BF$4:$BF$55,挂机升级突破!AW37)</f>
        <v>100</v>
      </c>
      <c r="BB37" s="73"/>
      <c r="BC37" s="73"/>
      <c r="BD37" s="73"/>
      <c r="BE37" s="19">
        <v>7.0000000000000007E-2</v>
      </c>
      <c r="BF37" s="73"/>
      <c r="BG37" s="73"/>
      <c r="BH37" s="73"/>
      <c r="BI37" s="19">
        <v>7.0000000000000007E-2</v>
      </c>
      <c r="BJ37" s="73"/>
      <c r="BK37" s="19">
        <v>0.04</v>
      </c>
      <c r="BL37" s="139">
        <v>6</v>
      </c>
      <c r="BM37" s="19">
        <v>0.11</v>
      </c>
      <c r="BN37" s="14">
        <f t="shared" si="8"/>
        <v>85551.675000000003</v>
      </c>
      <c r="BO37" s="142"/>
      <c r="BP37" s="76">
        <v>32</v>
      </c>
      <c r="BQ37" s="76">
        <v>2</v>
      </c>
      <c r="BR37" s="76" t="s">
        <v>547</v>
      </c>
      <c r="BS37" s="76">
        <v>9.0000000000000107</v>
      </c>
      <c r="BT37" s="14">
        <f t="shared" si="2"/>
        <v>100</v>
      </c>
      <c r="BU37" s="104">
        <v>11</v>
      </c>
      <c r="BV37" s="104">
        <v>4</v>
      </c>
      <c r="BW37" s="76"/>
      <c r="BX37" s="14">
        <f t="shared" si="9"/>
        <v>0</v>
      </c>
      <c r="BY37" s="14">
        <f t="shared" si="10"/>
        <v>0</v>
      </c>
      <c r="BZ37" s="14">
        <f t="shared" si="11"/>
        <v>0</v>
      </c>
      <c r="CA37" s="14">
        <f t="shared" si="12"/>
        <v>878</v>
      </c>
      <c r="CB37" s="14">
        <f t="shared" si="13"/>
        <v>0</v>
      </c>
      <c r="CC37" s="14">
        <f t="shared" si="14"/>
        <v>0</v>
      </c>
      <c r="CD37" s="14">
        <f t="shared" si="15"/>
        <v>0</v>
      </c>
      <c r="CE37" s="14">
        <f t="shared" si="16"/>
        <v>121</v>
      </c>
      <c r="CF37" s="14">
        <f t="shared" si="17"/>
        <v>0</v>
      </c>
      <c r="CG37" s="14">
        <f t="shared" si="18"/>
        <v>6</v>
      </c>
      <c r="CH37" s="14">
        <f t="shared" ref="CH37:CH57" si="34">BN37</f>
        <v>85551.675000000003</v>
      </c>
      <c r="CJ37" s="142"/>
      <c r="CK37" s="142"/>
      <c r="CL37" s="142"/>
      <c r="CM37" s="142"/>
      <c r="CN37" s="142"/>
      <c r="CO37" s="142"/>
      <c r="CP37" s="142"/>
      <c r="CQ37" s="142"/>
      <c r="CR37" s="142"/>
      <c r="CS37" s="142"/>
      <c r="CT37" s="142"/>
      <c r="CU37" s="142"/>
      <c r="CV37" s="142"/>
      <c r="CW37" s="142"/>
      <c r="CX37" s="142"/>
      <c r="CY37" s="142"/>
      <c r="DD37" s="19"/>
      <c r="DE37" s="14"/>
      <c r="DF37" s="109"/>
      <c r="DG37" s="14"/>
    </row>
    <row r="38" spans="1:119" ht="16.5" x14ac:dyDescent="0.2">
      <c r="A38" s="25" t="s">
        <v>155</v>
      </c>
      <c r="B38" s="14"/>
      <c r="C38" s="14"/>
      <c r="D38" s="14"/>
      <c r="E38" s="109">
        <v>1</v>
      </c>
      <c r="F38" s="109">
        <v>0</v>
      </c>
      <c r="G38" s="109">
        <v>0</v>
      </c>
      <c r="H38" s="109">
        <v>0</v>
      </c>
      <c r="I38" s="109"/>
      <c r="J38" s="112"/>
      <c r="K38" s="115">
        <f>SUMIFS(章节关卡!$BS$5:$BS$94,章节关卡!$BO$5:$BO$94,"="&amp;挂机升级突破!A38)</f>
        <v>0</v>
      </c>
      <c r="L38" s="115"/>
      <c r="M38" s="115"/>
      <c r="N38" s="14"/>
      <c r="O38" s="14"/>
      <c r="P38" s="14"/>
      <c r="Q38" s="14">
        <f>SUMPRODUCT($D$7:$D$36,$P$7:$P$36,Q$7:Q$36)/Q$5*Q$4*$B$2</f>
        <v>622</v>
      </c>
      <c r="R38" s="14">
        <f t="shared" ref="R38:AB38" si="35">SUMPRODUCT($D$7:$D$36,$P$7:$P$36,R$7:R$36)/R$5*R$4*$B$2</f>
        <v>712.125</v>
      </c>
      <c r="S38" s="14">
        <f t="shared" si="35"/>
        <v>612.75</v>
      </c>
      <c r="T38" s="14">
        <f t="shared" si="35"/>
        <v>493.25</v>
      </c>
      <c r="U38" s="14">
        <f t="shared" si="35"/>
        <v>600.125</v>
      </c>
      <c r="V38" s="14">
        <f t="shared" si="35"/>
        <v>188.02500000000001</v>
      </c>
      <c r="W38" s="14">
        <f t="shared" si="35"/>
        <v>165.85500000000002</v>
      </c>
      <c r="X38" s="14">
        <f t="shared" si="35"/>
        <v>134.8725</v>
      </c>
      <c r="Y38" s="14">
        <f t="shared" si="35"/>
        <v>195.9975</v>
      </c>
      <c r="Z38" s="14">
        <f t="shared" si="35"/>
        <v>63.826250000000009</v>
      </c>
      <c r="AA38" s="14">
        <f t="shared" si="35"/>
        <v>77584200</v>
      </c>
      <c r="AB38" s="14">
        <f t="shared" si="35"/>
        <v>44400900</v>
      </c>
      <c r="AG38" s="159">
        <f t="shared" si="24"/>
        <v>149280</v>
      </c>
      <c r="AH38" s="159">
        <f t="shared" si="25"/>
        <v>85455</v>
      </c>
      <c r="AI38" s="159">
        <f t="shared" si="26"/>
        <v>29412</v>
      </c>
      <c r="AJ38" s="159">
        <f t="shared" si="27"/>
        <v>11838</v>
      </c>
      <c r="AK38" s="159">
        <f t="shared" si="28"/>
        <v>7201.5</v>
      </c>
      <c r="AL38" s="159">
        <f t="shared" si="29"/>
        <v>10153.349999999999</v>
      </c>
      <c r="AM38" s="159">
        <f t="shared" si="30"/>
        <v>3582.4680000000008</v>
      </c>
      <c r="AN38" s="159">
        <f t="shared" si="31"/>
        <v>1456.623</v>
      </c>
      <c r="AO38" s="159">
        <f t="shared" si="32"/>
        <v>1058.3865000000001</v>
      </c>
      <c r="AW38" s="73">
        <v>33</v>
      </c>
      <c r="AX38" s="73">
        <v>3</v>
      </c>
      <c r="AY38" s="14" t="str">
        <f>INDEX(节奏总表!$BJ$4:$BJ$23,MATCH(挂机升级突破!AW38+1,节奏总表!$BM$4:$BM$22,1))</f>
        <v>焦热+1</v>
      </c>
      <c r="AZ38" s="73"/>
      <c r="BA38" s="14">
        <f>INDEX(节奏总表!$BF$4:$BF$55,挂机升级突破!AW38)</f>
        <v>102</v>
      </c>
      <c r="BB38" s="73"/>
      <c r="BC38" s="73"/>
      <c r="BD38" s="73"/>
      <c r="BE38" s="19">
        <v>7.0000000000000007E-2</v>
      </c>
      <c r="BF38" s="73"/>
      <c r="BG38" s="73"/>
      <c r="BH38" s="73"/>
      <c r="BI38" s="19">
        <v>7.0000000000000007E-2</v>
      </c>
      <c r="BJ38" s="73"/>
      <c r="BK38" s="19">
        <v>0.04</v>
      </c>
      <c r="BL38" s="139">
        <v>6</v>
      </c>
      <c r="BM38" s="19">
        <v>0.11</v>
      </c>
      <c r="BN38" s="14">
        <f t="shared" si="8"/>
        <v>85551.675000000003</v>
      </c>
      <c r="BP38" s="76">
        <v>33</v>
      </c>
      <c r="BQ38" s="76">
        <v>3</v>
      </c>
      <c r="BR38" s="76" t="s">
        <v>547</v>
      </c>
      <c r="BS38" s="76">
        <v>9.0000000000000107</v>
      </c>
      <c r="BT38" s="14">
        <f t="shared" ref="BT38:BT57" si="36">BA38</f>
        <v>102</v>
      </c>
      <c r="BU38" s="104">
        <v>11</v>
      </c>
      <c r="BV38" s="104">
        <v>4</v>
      </c>
      <c r="BW38" s="76"/>
      <c r="BX38" s="14">
        <f t="shared" si="9"/>
        <v>0</v>
      </c>
      <c r="BY38" s="14">
        <f t="shared" si="10"/>
        <v>0</v>
      </c>
      <c r="BZ38" s="14">
        <f t="shared" si="11"/>
        <v>0</v>
      </c>
      <c r="CA38" s="14">
        <f t="shared" si="12"/>
        <v>878</v>
      </c>
      <c r="CB38" s="14">
        <f t="shared" si="13"/>
        <v>0</v>
      </c>
      <c r="CC38" s="14">
        <f t="shared" si="14"/>
        <v>0</v>
      </c>
      <c r="CD38" s="14">
        <f t="shared" si="15"/>
        <v>0</v>
      </c>
      <c r="CE38" s="14">
        <f t="shared" si="16"/>
        <v>121</v>
      </c>
      <c r="CF38" s="14">
        <f t="shared" si="17"/>
        <v>0</v>
      </c>
      <c r="CG38" s="14">
        <f t="shared" si="18"/>
        <v>6</v>
      </c>
      <c r="CH38" s="14">
        <f t="shared" si="34"/>
        <v>85551.675000000003</v>
      </c>
      <c r="DD38" s="19">
        <v>0.25</v>
      </c>
      <c r="DE38" s="14">
        <f t="shared" si="33"/>
        <v>0</v>
      </c>
      <c r="DF38" s="30">
        <v>3</v>
      </c>
      <c r="DG38" s="14">
        <f t="shared" si="6"/>
        <v>0</v>
      </c>
    </row>
    <row r="39" spans="1:119" ht="16.5" x14ac:dyDescent="0.2">
      <c r="A39" s="25" t="s">
        <v>156</v>
      </c>
      <c r="B39" s="26"/>
      <c r="C39" s="73"/>
      <c r="D39" s="26"/>
      <c r="E39" s="109"/>
      <c r="F39" s="109"/>
      <c r="G39" s="109"/>
      <c r="H39" s="109"/>
      <c r="I39" s="109"/>
      <c r="J39" s="112"/>
      <c r="K39" s="115"/>
      <c r="L39" s="115"/>
      <c r="M39" s="115"/>
      <c r="N39" s="26"/>
      <c r="O39" s="73"/>
      <c r="P39" s="26"/>
      <c r="Q39" s="19">
        <v>0.7</v>
      </c>
      <c r="R39" s="19">
        <v>0.7</v>
      </c>
      <c r="S39" s="19">
        <v>0.7</v>
      </c>
      <c r="T39" s="19">
        <v>0.7</v>
      </c>
      <c r="U39" s="19">
        <v>0.7</v>
      </c>
      <c r="V39" s="19">
        <v>0.7</v>
      </c>
      <c r="W39" s="19">
        <v>0.6</v>
      </c>
      <c r="X39" s="19">
        <v>0.5</v>
      </c>
      <c r="Y39" s="19">
        <v>0.5</v>
      </c>
      <c r="Z39" s="19">
        <v>0.4</v>
      </c>
      <c r="AA39" s="19"/>
      <c r="AB39" s="19">
        <v>0.3</v>
      </c>
      <c r="AW39" s="73">
        <v>34</v>
      </c>
      <c r="AX39" s="73">
        <v>1</v>
      </c>
      <c r="AY39" s="14" t="str">
        <f>INDEX(节奏总表!$BJ$4:$BJ$23,MATCH(挂机升级突破!AW39+1,节奏总表!$BM$4:$BM$22,1))</f>
        <v>焦热+1</v>
      </c>
      <c r="AZ39" s="73"/>
      <c r="BA39" s="14">
        <f>INDEX(节奏总表!$BF$4:$BF$55,挂机升级突破!AW39)</f>
        <v>105</v>
      </c>
      <c r="BB39" s="73"/>
      <c r="BC39" s="73"/>
      <c r="BD39" s="73"/>
      <c r="BE39" s="19">
        <v>0.08</v>
      </c>
      <c r="BF39" s="73"/>
      <c r="BG39" s="73"/>
      <c r="BH39" s="73"/>
      <c r="BI39" s="19">
        <v>7.0000000000000007E-2</v>
      </c>
      <c r="BJ39" s="73"/>
      <c r="BK39" s="19">
        <v>0.04</v>
      </c>
      <c r="BL39" s="139">
        <v>6</v>
      </c>
      <c r="BM39" s="19">
        <v>0.11</v>
      </c>
      <c r="BN39" s="14">
        <f t="shared" si="8"/>
        <v>85551.675000000003</v>
      </c>
      <c r="BP39" s="76">
        <v>34</v>
      </c>
      <c r="BQ39" s="76">
        <v>1</v>
      </c>
      <c r="BR39" s="76" t="s">
        <v>547</v>
      </c>
      <c r="BS39" s="76">
        <v>9.0000000000000107</v>
      </c>
      <c r="BT39" s="14">
        <f t="shared" si="36"/>
        <v>105</v>
      </c>
      <c r="BU39" s="104">
        <v>11</v>
      </c>
      <c r="BV39" s="104">
        <v>4</v>
      </c>
      <c r="BW39" s="76"/>
      <c r="BX39" s="14">
        <f t="shared" si="9"/>
        <v>0</v>
      </c>
      <c r="BY39" s="14">
        <f t="shared" si="10"/>
        <v>0</v>
      </c>
      <c r="BZ39" s="14">
        <f t="shared" si="11"/>
        <v>0</v>
      </c>
      <c r="CA39" s="14">
        <f t="shared" si="12"/>
        <v>1003</v>
      </c>
      <c r="CB39" s="14">
        <f t="shared" si="13"/>
        <v>0</v>
      </c>
      <c r="CC39" s="14">
        <f t="shared" si="14"/>
        <v>0</v>
      </c>
      <c r="CD39" s="14">
        <f t="shared" si="15"/>
        <v>0</v>
      </c>
      <c r="CE39" s="14">
        <f t="shared" si="16"/>
        <v>121</v>
      </c>
      <c r="CF39" s="14">
        <f t="shared" si="17"/>
        <v>0</v>
      </c>
      <c r="CG39" s="14">
        <f t="shared" si="18"/>
        <v>6</v>
      </c>
      <c r="CH39" s="14">
        <f t="shared" si="34"/>
        <v>85551.675000000003</v>
      </c>
      <c r="DD39" s="19">
        <v>0.3</v>
      </c>
      <c r="DE39" s="14">
        <f t="shared" si="33"/>
        <v>0</v>
      </c>
      <c r="DF39" s="30">
        <v>3</v>
      </c>
      <c r="DG39" s="14">
        <f t="shared" si="6"/>
        <v>0</v>
      </c>
    </row>
    <row r="40" spans="1:119" ht="16.5" x14ac:dyDescent="0.2">
      <c r="A40" s="25" t="s">
        <v>157</v>
      </c>
      <c r="B40" s="26"/>
      <c r="C40" s="73"/>
      <c r="D40" s="26"/>
      <c r="E40" s="109"/>
      <c r="F40" s="109"/>
      <c r="G40" s="109"/>
      <c r="H40" s="109"/>
      <c r="I40" s="109"/>
      <c r="J40" s="112"/>
      <c r="K40" s="115"/>
      <c r="L40" s="115"/>
      <c r="M40" s="115"/>
      <c r="N40" s="26"/>
      <c r="O40" s="73"/>
      <c r="P40" s="26"/>
      <c r="Q40" s="19">
        <v>0.3</v>
      </c>
      <c r="R40" s="19">
        <v>0.3</v>
      </c>
      <c r="S40" s="19">
        <v>0.3</v>
      </c>
      <c r="T40" s="19">
        <v>0.3</v>
      </c>
      <c r="U40" s="19">
        <v>0.3</v>
      </c>
      <c r="V40" s="19">
        <v>0</v>
      </c>
      <c r="W40" s="19">
        <v>0</v>
      </c>
      <c r="X40" s="19">
        <v>0</v>
      </c>
      <c r="Y40" s="19">
        <v>0</v>
      </c>
      <c r="Z40" s="19">
        <v>0</v>
      </c>
      <c r="AA40" s="19"/>
      <c r="AB40" s="19">
        <v>0</v>
      </c>
      <c r="AW40" s="73">
        <v>35</v>
      </c>
      <c r="AX40" s="73">
        <v>2</v>
      </c>
      <c r="AY40" s="14" t="str">
        <f>INDEX(节奏总表!$BJ$4:$BJ$23,MATCH(挂机升级突破!AW40+1,节奏总表!$BM$4:$BM$22,1))</f>
        <v>焦热+2</v>
      </c>
      <c r="AZ40" s="73"/>
      <c r="BA40" s="14">
        <f>INDEX(节奏总表!$BF$4:$BF$55,挂机升级突破!AW40)</f>
        <v>107</v>
      </c>
      <c r="BB40" s="73"/>
      <c r="BC40" s="73"/>
      <c r="BD40" s="73"/>
      <c r="BE40" s="19">
        <v>0.08</v>
      </c>
      <c r="BF40" s="73"/>
      <c r="BG40" s="73"/>
      <c r="BH40" s="73"/>
      <c r="BI40" s="19">
        <v>0.09</v>
      </c>
      <c r="BJ40" s="73"/>
      <c r="BK40" s="19">
        <v>0.04</v>
      </c>
      <c r="BL40" s="139">
        <v>6</v>
      </c>
      <c r="BM40" s="19">
        <v>0.14000000000000001</v>
      </c>
      <c r="BN40" s="14">
        <f t="shared" si="8"/>
        <v>108883.95000000001</v>
      </c>
      <c r="BP40" s="76">
        <v>35</v>
      </c>
      <c r="BQ40" s="76">
        <v>2</v>
      </c>
      <c r="BR40" s="76" t="s">
        <v>495</v>
      </c>
      <c r="BS40" s="76">
        <v>9.0000000000000107</v>
      </c>
      <c r="BT40" s="14">
        <f t="shared" si="36"/>
        <v>107</v>
      </c>
      <c r="BU40" s="104">
        <v>11</v>
      </c>
      <c r="BV40" s="104">
        <v>4</v>
      </c>
      <c r="BW40" s="76"/>
      <c r="BX40" s="14">
        <f t="shared" si="9"/>
        <v>0</v>
      </c>
      <c r="BY40" s="14">
        <f t="shared" si="10"/>
        <v>0</v>
      </c>
      <c r="BZ40" s="14">
        <f t="shared" si="11"/>
        <v>0</v>
      </c>
      <c r="CA40" s="14">
        <f t="shared" si="12"/>
        <v>1003</v>
      </c>
      <c r="CB40" s="14">
        <f t="shared" si="13"/>
        <v>0</v>
      </c>
      <c r="CC40" s="14">
        <f t="shared" si="14"/>
        <v>0</v>
      </c>
      <c r="CD40" s="14">
        <f t="shared" si="15"/>
        <v>0</v>
      </c>
      <c r="CE40" s="14">
        <f t="shared" si="16"/>
        <v>155</v>
      </c>
      <c r="CF40" s="14">
        <f t="shared" si="17"/>
        <v>0</v>
      </c>
      <c r="CG40" s="14">
        <f t="shared" si="18"/>
        <v>6</v>
      </c>
      <c r="CH40" s="14">
        <f t="shared" si="34"/>
        <v>108883.95000000001</v>
      </c>
    </row>
    <row r="41" spans="1:119" ht="16.5" x14ac:dyDescent="0.2">
      <c r="A41" s="25" t="s">
        <v>160</v>
      </c>
      <c r="B41" s="26"/>
      <c r="C41" s="73"/>
      <c r="D41" s="26"/>
      <c r="E41" s="109"/>
      <c r="F41" s="109"/>
      <c r="G41" s="109"/>
      <c r="H41" s="109"/>
      <c r="I41" s="109"/>
      <c r="J41" s="112"/>
      <c r="K41" s="115"/>
      <c r="L41" s="115"/>
      <c r="M41" s="115"/>
      <c r="N41" s="26"/>
      <c r="O41" s="73"/>
      <c r="P41" s="26"/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0.3</v>
      </c>
      <c r="W41" s="19">
        <v>0.4</v>
      </c>
      <c r="X41" s="19">
        <v>0.5</v>
      </c>
      <c r="Y41" s="19">
        <v>0</v>
      </c>
      <c r="Z41" s="19">
        <v>0</v>
      </c>
      <c r="AA41" s="19"/>
      <c r="AB41" s="19">
        <v>0</v>
      </c>
      <c r="AW41" s="73">
        <v>36</v>
      </c>
      <c r="AX41" s="73">
        <v>3</v>
      </c>
      <c r="AY41" s="14" t="str">
        <f>INDEX(节奏总表!$BJ$4:$BJ$23,MATCH(挂机升级突破!AW41+1,节奏总表!$BM$4:$BM$22,1))</f>
        <v>焦热+2</v>
      </c>
      <c r="AZ41" s="73"/>
      <c r="BA41" s="14">
        <f>INDEX(节奏总表!$BF$4:$BF$55,挂机升级突破!AW41)</f>
        <v>110</v>
      </c>
      <c r="BB41" s="73"/>
      <c r="BC41" s="73"/>
      <c r="BD41" s="73"/>
      <c r="BE41" s="19">
        <v>0.08</v>
      </c>
      <c r="BF41" s="73"/>
      <c r="BG41" s="73"/>
      <c r="BH41" s="73"/>
      <c r="BI41" s="19">
        <v>0.09</v>
      </c>
      <c r="BJ41" s="73"/>
      <c r="BK41" s="19">
        <v>0.04</v>
      </c>
      <c r="BL41" s="139">
        <v>6</v>
      </c>
      <c r="BM41" s="19">
        <v>0.14000000000000001</v>
      </c>
      <c r="BN41" s="14">
        <f t="shared" si="8"/>
        <v>108883.95000000001</v>
      </c>
      <c r="BP41" s="76">
        <v>36</v>
      </c>
      <c r="BQ41" s="76">
        <v>3</v>
      </c>
      <c r="BR41" s="76" t="s">
        <v>495</v>
      </c>
      <c r="BS41" s="76">
        <v>9.0000000000000107</v>
      </c>
      <c r="BT41" s="14">
        <f t="shared" si="36"/>
        <v>110</v>
      </c>
      <c r="BU41" s="104">
        <v>11</v>
      </c>
      <c r="BV41" s="104">
        <v>4</v>
      </c>
      <c r="BW41" s="76"/>
      <c r="BX41" s="14">
        <f t="shared" si="9"/>
        <v>0</v>
      </c>
      <c r="BY41" s="14">
        <f t="shared" si="10"/>
        <v>0</v>
      </c>
      <c r="BZ41" s="14">
        <f t="shared" si="11"/>
        <v>0</v>
      </c>
      <c r="CA41" s="14">
        <f t="shared" si="12"/>
        <v>1003</v>
      </c>
      <c r="CB41" s="14">
        <f t="shared" si="13"/>
        <v>0</v>
      </c>
      <c r="CC41" s="14">
        <f t="shared" si="14"/>
        <v>0</v>
      </c>
      <c r="CD41" s="14">
        <f t="shared" si="15"/>
        <v>0</v>
      </c>
      <c r="CE41" s="14">
        <f t="shared" si="16"/>
        <v>155</v>
      </c>
      <c r="CF41" s="14">
        <f t="shared" si="17"/>
        <v>0</v>
      </c>
      <c r="CG41" s="14">
        <f t="shared" si="18"/>
        <v>6</v>
      </c>
      <c r="CH41" s="14">
        <f t="shared" si="34"/>
        <v>108883.95000000001</v>
      </c>
    </row>
    <row r="42" spans="1:119" ht="16.5" x14ac:dyDescent="0.2">
      <c r="A42" s="25" t="s">
        <v>158</v>
      </c>
      <c r="B42" s="26"/>
      <c r="C42" s="73"/>
      <c r="D42" s="26"/>
      <c r="E42" s="109"/>
      <c r="F42" s="109"/>
      <c r="G42" s="109"/>
      <c r="H42" s="109"/>
      <c r="I42" s="109"/>
      <c r="J42" s="112"/>
      <c r="K42" s="115"/>
      <c r="L42" s="115"/>
      <c r="M42" s="115"/>
      <c r="N42" s="26"/>
      <c r="O42" s="73"/>
      <c r="P42" s="26"/>
      <c r="Q42" s="19">
        <v>0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s="19">
        <v>0</v>
      </c>
      <c r="X42" s="19">
        <v>0</v>
      </c>
      <c r="Y42" s="19">
        <v>0.5</v>
      </c>
      <c r="Z42" s="19">
        <v>0.6</v>
      </c>
      <c r="AA42" s="19"/>
      <c r="AB42" s="19">
        <v>0.7</v>
      </c>
      <c r="AW42" s="73">
        <v>37</v>
      </c>
      <c r="AX42" s="73">
        <v>1</v>
      </c>
      <c r="AY42" s="14" t="str">
        <f>INDEX(节奏总表!$BJ$4:$BJ$23,MATCH(挂机升级突破!AW42+1,节奏总表!$BM$4:$BM$22,1))</f>
        <v>焦热+2</v>
      </c>
      <c r="AZ42" s="73"/>
      <c r="BA42" s="14">
        <f>INDEX(节奏总表!$BF$4:$BF$55,挂机升级突破!AW42)</f>
        <v>112</v>
      </c>
      <c r="BB42" s="73"/>
      <c r="BC42" s="73"/>
      <c r="BD42" s="73"/>
      <c r="BE42" s="19">
        <v>0.08</v>
      </c>
      <c r="BF42" s="73"/>
      <c r="BG42" s="73"/>
      <c r="BH42" s="73"/>
      <c r="BI42" s="19">
        <v>0.1</v>
      </c>
      <c r="BJ42" s="73"/>
      <c r="BK42" s="19">
        <v>0.05</v>
      </c>
      <c r="BL42" s="139">
        <v>6</v>
      </c>
      <c r="BM42" s="19">
        <v>0.15</v>
      </c>
      <c r="BN42" s="14">
        <f t="shared" si="8"/>
        <v>116661.375</v>
      </c>
      <c r="BP42" s="76">
        <v>37</v>
      </c>
      <c r="BQ42" s="76">
        <v>1</v>
      </c>
      <c r="BR42" s="76" t="s">
        <v>495</v>
      </c>
      <c r="BS42" s="76">
        <v>9.0000000000000107</v>
      </c>
      <c r="BT42" s="14">
        <f t="shared" si="36"/>
        <v>112</v>
      </c>
      <c r="BU42" s="104">
        <v>11</v>
      </c>
      <c r="BV42" s="104">
        <v>4</v>
      </c>
      <c r="BW42" s="76"/>
      <c r="BX42" s="14">
        <f t="shared" si="9"/>
        <v>0</v>
      </c>
      <c r="BY42" s="14">
        <f t="shared" si="10"/>
        <v>0</v>
      </c>
      <c r="BZ42" s="14">
        <f t="shared" si="11"/>
        <v>0</v>
      </c>
      <c r="CA42" s="14">
        <f t="shared" si="12"/>
        <v>1003</v>
      </c>
      <c r="CB42" s="14">
        <f t="shared" si="13"/>
        <v>0</v>
      </c>
      <c r="CC42" s="14">
        <f t="shared" si="14"/>
        <v>0</v>
      </c>
      <c r="CD42" s="14">
        <f t="shared" si="15"/>
        <v>0</v>
      </c>
      <c r="CE42" s="14">
        <f t="shared" si="16"/>
        <v>173</v>
      </c>
      <c r="CF42" s="14">
        <f t="shared" si="17"/>
        <v>0</v>
      </c>
      <c r="CG42" s="14">
        <f t="shared" si="18"/>
        <v>8</v>
      </c>
      <c r="CH42" s="14">
        <f t="shared" si="34"/>
        <v>116661.375</v>
      </c>
    </row>
    <row r="43" spans="1:119" ht="16.5" x14ac:dyDescent="0.2">
      <c r="A43" s="25" t="s">
        <v>159</v>
      </c>
      <c r="B43" s="26"/>
      <c r="C43" s="73"/>
      <c r="D43" s="26"/>
      <c r="E43" s="109"/>
      <c r="F43" s="109"/>
      <c r="G43" s="109"/>
      <c r="H43" s="109"/>
      <c r="I43" s="109"/>
      <c r="J43" s="112"/>
      <c r="K43" s="115"/>
      <c r="L43" s="115"/>
      <c r="M43" s="115"/>
      <c r="N43" s="26"/>
      <c r="O43" s="73"/>
      <c r="P43" s="26"/>
      <c r="Q43" s="14">
        <f>Q38/Q39</f>
        <v>888.57142857142867</v>
      </c>
      <c r="R43" s="14">
        <f t="shared" ref="R43:AB43" si="37">R38/R39</f>
        <v>1017.3214285714287</v>
      </c>
      <c r="S43" s="14">
        <f t="shared" si="37"/>
        <v>875.35714285714289</v>
      </c>
      <c r="T43" s="14">
        <f t="shared" si="37"/>
        <v>704.64285714285722</v>
      </c>
      <c r="U43" s="14">
        <f t="shared" si="37"/>
        <v>857.32142857142867</v>
      </c>
      <c r="V43" s="14">
        <f t="shared" si="37"/>
        <v>268.60714285714289</v>
      </c>
      <c r="W43" s="14">
        <f t="shared" si="37"/>
        <v>276.42500000000007</v>
      </c>
      <c r="X43" s="14">
        <f t="shared" si="37"/>
        <v>269.745</v>
      </c>
      <c r="Y43" s="14">
        <f t="shared" si="37"/>
        <v>391.995</v>
      </c>
      <c r="Z43" s="14">
        <f t="shared" si="37"/>
        <v>159.56562500000001</v>
      </c>
      <c r="AA43" s="14"/>
      <c r="AB43" s="14">
        <f t="shared" si="37"/>
        <v>148003000</v>
      </c>
      <c r="AW43" s="73">
        <v>38</v>
      </c>
      <c r="AX43" s="73">
        <v>2</v>
      </c>
      <c r="AY43" s="14" t="str">
        <f>INDEX(节奏总表!$BJ$4:$BJ$23,MATCH(挂机升级突破!AW43+1,节奏总表!$BM$4:$BM$22,1))</f>
        <v>大焦热</v>
      </c>
      <c r="AZ43" s="73"/>
      <c r="BA43" s="14">
        <f>INDEX(节奏总表!$BF$4:$BF$55,挂机升级突破!AW43)</f>
        <v>115</v>
      </c>
      <c r="BB43" s="73"/>
      <c r="BC43" s="73"/>
      <c r="BD43" s="73"/>
      <c r="BE43" s="19"/>
      <c r="BF43" s="19">
        <v>0.05</v>
      </c>
      <c r="BG43" s="73"/>
      <c r="BH43" s="73"/>
      <c r="BI43" s="19">
        <v>0.12</v>
      </c>
      <c r="BJ43" s="73"/>
      <c r="BK43" s="19">
        <v>0.05</v>
      </c>
      <c r="BL43" s="139">
        <v>7</v>
      </c>
      <c r="BM43" s="19">
        <v>0.08</v>
      </c>
      <c r="BN43" s="14">
        <f t="shared" si="8"/>
        <v>150418.56</v>
      </c>
      <c r="BP43" s="76">
        <v>38</v>
      </c>
      <c r="BQ43" s="76">
        <v>2</v>
      </c>
      <c r="BR43" s="76" t="s">
        <v>548</v>
      </c>
      <c r="BS43" s="76">
        <v>9.0000000000000107</v>
      </c>
      <c r="BT43" s="14">
        <f t="shared" si="36"/>
        <v>115</v>
      </c>
      <c r="BU43" s="104">
        <v>11</v>
      </c>
      <c r="BV43" s="104">
        <v>5</v>
      </c>
      <c r="BW43" s="76"/>
      <c r="BX43" s="14">
        <f t="shared" si="9"/>
        <v>0</v>
      </c>
      <c r="BY43" s="14">
        <f t="shared" si="10"/>
        <v>0</v>
      </c>
      <c r="BZ43" s="14">
        <f t="shared" si="11"/>
        <v>0</v>
      </c>
      <c r="CA43" s="14">
        <f t="shared" si="12"/>
        <v>0</v>
      </c>
      <c r="CB43" s="14">
        <f t="shared" si="13"/>
        <v>403</v>
      </c>
      <c r="CC43" s="14">
        <f t="shared" si="14"/>
        <v>0</v>
      </c>
      <c r="CD43" s="14">
        <f t="shared" si="15"/>
        <v>0</v>
      </c>
      <c r="CE43" s="14">
        <f t="shared" si="16"/>
        <v>207</v>
      </c>
      <c r="CF43" s="14">
        <f t="shared" si="17"/>
        <v>0</v>
      </c>
      <c r="CG43" s="14">
        <f t="shared" si="18"/>
        <v>8</v>
      </c>
      <c r="CH43" s="14">
        <f t="shared" si="34"/>
        <v>150418.56</v>
      </c>
    </row>
    <row r="44" spans="1:119" ht="16.5" x14ac:dyDescent="0.2">
      <c r="AW44" s="73">
        <v>39</v>
      </c>
      <c r="AX44" s="73">
        <v>3</v>
      </c>
      <c r="AY44" s="14" t="str">
        <f>INDEX(节奏总表!$BJ$4:$BJ$23,MATCH(挂机升级突破!AW44+1,节奏总表!$BM$4:$BM$22,1))</f>
        <v>大焦热</v>
      </c>
      <c r="AZ44" s="73"/>
      <c r="BA44" s="14">
        <f>INDEX(节奏总表!$BF$4:$BF$55,挂机升级突破!AW44)</f>
        <v>117</v>
      </c>
      <c r="BB44" s="73"/>
      <c r="BC44" s="73"/>
      <c r="BD44" s="73"/>
      <c r="BE44" s="73"/>
      <c r="BF44" s="19">
        <v>0.05</v>
      </c>
      <c r="BG44" s="73"/>
      <c r="BH44" s="73"/>
      <c r="BI44" s="19">
        <v>0.12</v>
      </c>
      <c r="BJ44" s="73"/>
      <c r="BK44" s="19">
        <v>0.05</v>
      </c>
      <c r="BL44" s="139">
        <v>7</v>
      </c>
      <c r="BM44" s="19">
        <v>0.08</v>
      </c>
      <c r="BN44" s="14">
        <f t="shared" si="8"/>
        <v>150418.56</v>
      </c>
      <c r="BP44" s="76">
        <v>39</v>
      </c>
      <c r="BQ44" s="76">
        <v>3</v>
      </c>
      <c r="BR44" s="76" t="s">
        <v>548</v>
      </c>
      <c r="BS44" s="76">
        <v>9.0000000000000107</v>
      </c>
      <c r="BT44" s="14">
        <f t="shared" si="36"/>
        <v>117</v>
      </c>
      <c r="BU44" s="104">
        <v>11</v>
      </c>
      <c r="BV44" s="104">
        <v>5</v>
      </c>
      <c r="BW44" s="76"/>
      <c r="BX44" s="14">
        <f t="shared" si="9"/>
        <v>0</v>
      </c>
      <c r="BY44" s="14">
        <f t="shared" si="10"/>
        <v>0</v>
      </c>
      <c r="BZ44" s="14">
        <f t="shared" si="11"/>
        <v>0</v>
      </c>
      <c r="CA44" s="14">
        <f t="shared" si="12"/>
        <v>0</v>
      </c>
      <c r="CB44" s="14">
        <f t="shared" si="13"/>
        <v>403</v>
      </c>
      <c r="CC44" s="14">
        <f t="shared" si="14"/>
        <v>0</v>
      </c>
      <c r="CD44" s="14">
        <f t="shared" si="15"/>
        <v>0</v>
      </c>
      <c r="CE44" s="14">
        <f t="shared" si="16"/>
        <v>207</v>
      </c>
      <c r="CF44" s="14">
        <f t="shared" si="17"/>
        <v>0</v>
      </c>
      <c r="CG44" s="14">
        <f t="shared" si="18"/>
        <v>8</v>
      </c>
      <c r="CH44" s="14">
        <f t="shared" si="34"/>
        <v>150418.56</v>
      </c>
    </row>
    <row r="45" spans="1:119" ht="16.5" x14ac:dyDescent="0.2">
      <c r="AW45" s="73">
        <v>40</v>
      </c>
      <c r="AX45" s="73">
        <v>1</v>
      </c>
      <c r="AY45" s="14" t="str">
        <f>INDEX(节奏总表!$BJ$4:$BJ$23,MATCH(挂机升级突破!AW45+1,节奏总表!$BM$4:$BM$22,1))</f>
        <v>大焦热</v>
      </c>
      <c r="AZ45" s="73"/>
      <c r="BA45" s="14">
        <f>INDEX(节奏总表!$BF$4:$BF$55,挂机升级突破!AW45)</f>
        <v>120</v>
      </c>
      <c r="BB45" s="73"/>
      <c r="BC45" s="73"/>
      <c r="BD45" s="73"/>
      <c r="BE45" s="73"/>
      <c r="BF45" s="19">
        <v>0.05</v>
      </c>
      <c r="BG45" s="73"/>
      <c r="BH45" s="73"/>
      <c r="BI45" s="19">
        <v>0.12</v>
      </c>
      <c r="BJ45" s="73"/>
      <c r="BK45" s="19">
        <v>0.05</v>
      </c>
      <c r="BL45" s="139">
        <v>7</v>
      </c>
      <c r="BM45" s="19">
        <v>0.08</v>
      </c>
      <c r="BN45" s="14">
        <f t="shared" si="8"/>
        <v>150418.56</v>
      </c>
      <c r="BP45" s="76">
        <v>40</v>
      </c>
      <c r="BQ45" s="76">
        <v>1</v>
      </c>
      <c r="BR45" s="76" t="s">
        <v>548</v>
      </c>
      <c r="BS45" s="76">
        <v>9.0000000000000107</v>
      </c>
      <c r="BT45" s="14">
        <f t="shared" si="36"/>
        <v>120</v>
      </c>
      <c r="BU45" s="104">
        <v>11</v>
      </c>
      <c r="BV45" s="104">
        <v>5</v>
      </c>
      <c r="BW45" s="76"/>
      <c r="BX45" s="14">
        <f t="shared" si="9"/>
        <v>0</v>
      </c>
      <c r="BY45" s="14">
        <f t="shared" si="10"/>
        <v>0</v>
      </c>
      <c r="BZ45" s="14">
        <f t="shared" si="11"/>
        <v>0</v>
      </c>
      <c r="CA45" s="14">
        <f t="shared" si="12"/>
        <v>0</v>
      </c>
      <c r="CB45" s="14">
        <f t="shared" si="13"/>
        <v>403</v>
      </c>
      <c r="CC45" s="14">
        <f t="shared" si="14"/>
        <v>0</v>
      </c>
      <c r="CD45" s="14">
        <f t="shared" si="15"/>
        <v>0</v>
      </c>
      <c r="CE45" s="14">
        <f t="shared" si="16"/>
        <v>207</v>
      </c>
      <c r="CF45" s="14">
        <f t="shared" si="17"/>
        <v>0</v>
      </c>
      <c r="CG45" s="14">
        <f t="shared" si="18"/>
        <v>8</v>
      </c>
      <c r="CH45" s="14">
        <f t="shared" si="34"/>
        <v>150418.56</v>
      </c>
    </row>
    <row r="46" spans="1:119" ht="16.5" x14ac:dyDescent="0.2">
      <c r="AW46" s="73">
        <v>41</v>
      </c>
      <c r="AX46" s="73">
        <v>2</v>
      </c>
      <c r="AY46" s="14" t="str">
        <f>INDEX(节奏总表!$BJ$4:$BJ$23,MATCH(挂机升级突破!AW46+1,节奏总表!$BM$4:$BM$22,1))</f>
        <v>大焦热+1</v>
      </c>
      <c r="AZ46" s="73"/>
      <c r="BA46" s="14">
        <f>INDEX(节奏总表!$BF$4:$BF$55,挂机升级突破!AW46)</f>
        <v>122</v>
      </c>
      <c r="BB46" s="73"/>
      <c r="BC46" s="73"/>
      <c r="BD46" s="73"/>
      <c r="BE46" s="73"/>
      <c r="BF46" s="19">
        <v>0.06</v>
      </c>
      <c r="BG46" s="73"/>
      <c r="BH46" s="73"/>
      <c r="BI46" s="73"/>
      <c r="BJ46" s="19">
        <v>0.05</v>
      </c>
      <c r="BK46" s="19">
        <v>0.05</v>
      </c>
      <c r="BL46" s="139">
        <v>7</v>
      </c>
      <c r="BM46" s="19">
        <v>0.11</v>
      </c>
      <c r="BN46" s="14">
        <f t="shared" si="8"/>
        <v>206825.52</v>
      </c>
      <c r="BP46" s="76">
        <v>41</v>
      </c>
      <c r="BQ46" s="76">
        <v>2</v>
      </c>
      <c r="BR46" s="76" t="s">
        <v>549</v>
      </c>
      <c r="BS46" s="76">
        <v>9.0000000000000107</v>
      </c>
      <c r="BT46" s="14">
        <f t="shared" si="36"/>
        <v>122</v>
      </c>
      <c r="BU46" s="104">
        <v>11</v>
      </c>
      <c r="BV46" s="104">
        <v>5</v>
      </c>
      <c r="BW46" s="76">
        <v>10</v>
      </c>
      <c r="BX46" s="14">
        <f t="shared" si="9"/>
        <v>0</v>
      </c>
      <c r="BY46" s="14">
        <f t="shared" si="10"/>
        <v>0</v>
      </c>
      <c r="BZ46" s="14">
        <f t="shared" si="11"/>
        <v>0</v>
      </c>
      <c r="CA46" s="14">
        <f t="shared" si="12"/>
        <v>0</v>
      </c>
      <c r="CB46" s="14">
        <f t="shared" si="13"/>
        <v>484</v>
      </c>
      <c r="CC46" s="14">
        <f t="shared" si="14"/>
        <v>0</v>
      </c>
      <c r="CD46" s="14">
        <f t="shared" si="15"/>
        <v>0</v>
      </c>
      <c r="CE46" s="14">
        <f t="shared" si="16"/>
        <v>0</v>
      </c>
      <c r="CF46" s="14">
        <f t="shared" si="17"/>
        <v>73</v>
      </c>
      <c r="CG46" s="14">
        <f t="shared" si="18"/>
        <v>8</v>
      </c>
      <c r="CH46" s="14">
        <f t="shared" si="34"/>
        <v>206825.52</v>
      </c>
    </row>
    <row r="47" spans="1:119" ht="16.5" x14ac:dyDescent="0.2">
      <c r="AW47" s="73">
        <v>42</v>
      </c>
      <c r="AX47" s="73">
        <v>3</v>
      </c>
      <c r="AY47" s="14" t="str">
        <f>INDEX(节奏总表!$BJ$4:$BJ$23,MATCH(挂机升级突破!AW47+1,节奏总表!$BM$4:$BM$22,1))</f>
        <v>大焦热+1</v>
      </c>
      <c r="AZ47" s="73"/>
      <c r="BA47" s="14">
        <f>INDEX(节奏总表!$BF$4:$BF$55,挂机升级突破!AW47)</f>
        <v>125</v>
      </c>
      <c r="BB47" s="73"/>
      <c r="BC47" s="73"/>
      <c r="BD47" s="73"/>
      <c r="BE47" s="73"/>
      <c r="BF47" s="19">
        <v>0.06</v>
      </c>
      <c r="BG47" s="73"/>
      <c r="BH47" s="73"/>
      <c r="BI47" s="73"/>
      <c r="BJ47" s="19">
        <v>0.05</v>
      </c>
      <c r="BK47" s="19">
        <v>0.05</v>
      </c>
      <c r="BL47" s="139">
        <v>7</v>
      </c>
      <c r="BM47" s="19">
        <v>0.11</v>
      </c>
      <c r="BN47" s="14">
        <f t="shared" si="8"/>
        <v>206825.52</v>
      </c>
      <c r="BO47" s="141"/>
      <c r="BP47" s="76">
        <v>42</v>
      </c>
      <c r="BQ47" s="76">
        <v>3</v>
      </c>
      <c r="BR47" s="76" t="s">
        <v>549</v>
      </c>
      <c r="BS47" s="76">
        <v>9.0000000000000107</v>
      </c>
      <c r="BT47" s="14">
        <f t="shared" si="36"/>
        <v>125</v>
      </c>
      <c r="BU47" s="104">
        <v>11</v>
      </c>
      <c r="BV47" s="104">
        <v>5</v>
      </c>
      <c r="BW47" s="104">
        <v>10</v>
      </c>
      <c r="BX47" s="14">
        <f t="shared" si="9"/>
        <v>0</v>
      </c>
      <c r="BY47" s="14">
        <f t="shared" si="10"/>
        <v>0</v>
      </c>
      <c r="BZ47" s="14">
        <f t="shared" si="11"/>
        <v>0</v>
      </c>
      <c r="CA47" s="14">
        <f t="shared" si="12"/>
        <v>0</v>
      </c>
      <c r="CB47" s="14">
        <f t="shared" si="13"/>
        <v>484</v>
      </c>
      <c r="CC47" s="14">
        <f t="shared" si="14"/>
        <v>0</v>
      </c>
      <c r="CD47" s="14">
        <f t="shared" si="15"/>
        <v>0</v>
      </c>
      <c r="CE47" s="14">
        <f t="shared" si="16"/>
        <v>0</v>
      </c>
      <c r="CF47" s="14">
        <f t="shared" si="17"/>
        <v>73</v>
      </c>
      <c r="CG47" s="14">
        <f t="shared" si="18"/>
        <v>8</v>
      </c>
      <c r="CH47" s="14">
        <f t="shared" si="34"/>
        <v>206825.52</v>
      </c>
      <c r="CI47" s="106"/>
      <c r="CJ47" s="141"/>
      <c r="CK47" s="141"/>
      <c r="CL47" s="141"/>
      <c r="CM47" s="141"/>
      <c r="CN47" s="141"/>
      <c r="CO47" s="141"/>
      <c r="CP47" s="141"/>
      <c r="CQ47" s="141"/>
      <c r="CR47" s="141"/>
      <c r="CS47" s="141"/>
      <c r="CT47" s="141"/>
      <c r="CU47" s="141"/>
      <c r="CV47" s="141"/>
      <c r="CW47" s="141"/>
      <c r="CX47" s="141"/>
      <c r="CY47" s="141"/>
      <c r="CZ47" s="106"/>
      <c r="DA47" s="15"/>
      <c r="DB47" s="15"/>
    </row>
    <row r="48" spans="1:119" ht="16.5" x14ac:dyDescent="0.2">
      <c r="AW48" s="73">
        <v>43</v>
      </c>
      <c r="AX48" s="73">
        <v>1</v>
      </c>
      <c r="AY48" s="14" t="str">
        <f>INDEX(节奏总表!$BJ$4:$BJ$23,MATCH(挂机升级突破!AW48+1,节奏总表!$BM$4:$BM$22,1))</f>
        <v>大焦热+1</v>
      </c>
      <c r="AZ48" s="73"/>
      <c r="BA48" s="14">
        <f>INDEX(节奏总表!$BF$4:$BF$55,挂机升级突破!AW48)</f>
        <v>127</v>
      </c>
      <c r="BB48" s="73"/>
      <c r="BC48" s="73"/>
      <c r="BD48" s="73"/>
      <c r="BE48" s="73"/>
      <c r="BF48" s="19">
        <v>0.06</v>
      </c>
      <c r="BG48" s="73"/>
      <c r="BH48" s="73"/>
      <c r="BI48" s="73"/>
      <c r="BJ48" s="19">
        <v>0.05</v>
      </c>
      <c r="BK48" s="19">
        <v>0.05</v>
      </c>
      <c r="BL48" s="139">
        <v>7</v>
      </c>
      <c r="BM48" s="19">
        <v>0.11</v>
      </c>
      <c r="BN48" s="14">
        <f t="shared" si="8"/>
        <v>206825.52</v>
      </c>
      <c r="BP48" s="76">
        <v>43</v>
      </c>
      <c r="BQ48" s="76">
        <v>1</v>
      </c>
      <c r="BR48" s="76" t="s">
        <v>549</v>
      </c>
      <c r="BS48" s="76">
        <v>9.0000000000000107</v>
      </c>
      <c r="BT48" s="14">
        <f t="shared" si="36"/>
        <v>127</v>
      </c>
      <c r="BU48" s="104">
        <v>11</v>
      </c>
      <c r="BV48" s="104">
        <v>5</v>
      </c>
      <c r="BW48" s="104">
        <v>10</v>
      </c>
      <c r="BX48" s="14">
        <f t="shared" si="9"/>
        <v>0</v>
      </c>
      <c r="BY48" s="14">
        <f t="shared" si="10"/>
        <v>0</v>
      </c>
      <c r="BZ48" s="14">
        <f t="shared" si="11"/>
        <v>0</v>
      </c>
      <c r="CA48" s="14">
        <f t="shared" si="12"/>
        <v>0</v>
      </c>
      <c r="CB48" s="14">
        <f t="shared" si="13"/>
        <v>484</v>
      </c>
      <c r="CC48" s="14">
        <f t="shared" si="14"/>
        <v>0</v>
      </c>
      <c r="CD48" s="14">
        <f t="shared" si="15"/>
        <v>0</v>
      </c>
      <c r="CE48" s="14">
        <f t="shared" si="16"/>
        <v>0</v>
      </c>
      <c r="CF48" s="14">
        <f t="shared" si="17"/>
        <v>73</v>
      </c>
      <c r="CG48" s="14">
        <f t="shared" si="18"/>
        <v>8</v>
      </c>
      <c r="CH48" s="14">
        <f t="shared" si="34"/>
        <v>206825.52</v>
      </c>
      <c r="DC48" s="15"/>
      <c r="DD48" s="28"/>
      <c r="DE48" s="15"/>
      <c r="DF48" s="28"/>
      <c r="DG48" s="15"/>
      <c r="DH48" s="15"/>
      <c r="DI48" s="15"/>
      <c r="DJ48" s="15"/>
      <c r="DK48" s="15"/>
      <c r="DL48" s="15"/>
      <c r="DM48" s="15"/>
      <c r="DN48" s="15"/>
      <c r="DO48" s="15"/>
    </row>
    <row r="49" spans="1:86" ht="17.25" x14ac:dyDescent="0.2">
      <c r="A49" s="12" t="s">
        <v>33</v>
      </c>
      <c r="B49" s="12" t="s">
        <v>150</v>
      </c>
      <c r="C49" s="12" t="s">
        <v>48</v>
      </c>
      <c r="D49" s="12" t="s">
        <v>151</v>
      </c>
      <c r="E49" s="110"/>
      <c r="F49" s="110"/>
      <c r="G49" s="110"/>
      <c r="H49" s="110"/>
      <c r="I49" s="110"/>
      <c r="J49" s="113"/>
      <c r="K49" s="113"/>
      <c r="L49" s="116"/>
      <c r="M49" s="116"/>
      <c r="Q49" s="12" t="s">
        <v>141</v>
      </c>
      <c r="R49" s="12" t="s">
        <v>142</v>
      </c>
      <c r="S49" s="12" t="s">
        <v>143</v>
      </c>
      <c r="T49" s="12" t="s">
        <v>144</v>
      </c>
      <c r="U49" s="12" t="s">
        <v>439</v>
      </c>
      <c r="V49" s="12" t="s">
        <v>429</v>
      </c>
      <c r="W49" s="12" t="s">
        <v>430</v>
      </c>
      <c r="X49" s="12" t="s">
        <v>431</v>
      </c>
      <c r="Y49" s="12" t="s">
        <v>438</v>
      </c>
      <c r="Z49" s="12" t="s">
        <v>437</v>
      </c>
      <c r="AA49" s="12" t="s">
        <v>161</v>
      </c>
      <c r="AB49" s="12" t="s">
        <v>162</v>
      </c>
      <c r="AW49" s="73">
        <v>44</v>
      </c>
      <c r="AX49" s="73">
        <v>2</v>
      </c>
      <c r="AY49" s="14" t="str">
        <f>INDEX(节奏总表!$BJ$4:$BJ$23,MATCH(挂机升级突破!AW49+1,节奏总表!$BM$4:$BM$22,1))</f>
        <v>大焦热+2</v>
      </c>
      <c r="AZ49" s="73"/>
      <c r="BA49" s="14">
        <f>INDEX(节奏总表!$BF$4:$BF$55,挂机升级突破!AW49)</f>
        <v>130</v>
      </c>
      <c r="BB49" s="73"/>
      <c r="BC49" s="73"/>
      <c r="BD49" s="73"/>
      <c r="BE49" s="73"/>
      <c r="BF49" s="19">
        <v>7.0000000000000007E-2</v>
      </c>
      <c r="BG49" s="73"/>
      <c r="BH49" s="73"/>
      <c r="BI49" s="73"/>
      <c r="BJ49" s="19">
        <v>7.0000000000000007E-2</v>
      </c>
      <c r="BK49" s="19">
        <v>0.05</v>
      </c>
      <c r="BL49" s="139">
        <v>7</v>
      </c>
      <c r="BM49" s="19">
        <v>0.14000000000000001</v>
      </c>
      <c r="BN49" s="14">
        <f t="shared" si="8"/>
        <v>263232.48000000004</v>
      </c>
      <c r="BP49" s="76">
        <v>44</v>
      </c>
      <c r="BQ49" s="76">
        <v>2</v>
      </c>
      <c r="BR49" s="76" t="s">
        <v>505</v>
      </c>
      <c r="BS49" s="76">
        <v>9.0000000000000107</v>
      </c>
      <c r="BT49" s="14">
        <f t="shared" si="36"/>
        <v>130</v>
      </c>
      <c r="BU49" s="104">
        <v>11</v>
      </c>
      <c r="BV49" s="104">
        <v>5</v>
      </c>
      <c r="BW49" s="104">
        <v>10</v>
      </c>
      <c r="BX49" s="14">
        <f t="shared" si="9"/>
        <v>0</v>
      </c>
      <c r="BY49" s="14">
        <f t="shared" si="10"/>
        <v>0</v>
      </c>
      <c r="BZ49" s="14">
        <f t="shared" si="11"/>
        <v>0</v>
      </c>
      <c r="CA49" s="14">
        <f t="shared" si="12"/>
        <v>0</v>
      </c>
      <c r="CB49" s="14">
        <f t="shared" si="13"/>
        <v>564</v>
      </c>
      <c r="CC49" s="14">
        <f t="shared" si="14"/>
        <v>0</v>
      </c>
      <c r="CD49" s="14">
        <f t="shared" si="15"/>
        <v>0</v>
      </c>
      <c r="CE49" s="14">
        <f t="shared" si="16"/>
        <v>0</v>
      </c>
      <c r="CF49" s="14">
        <f t="shared" si="17"/>
        <v>102</v>
      </c>
      <c r="CG49" s="14">
        <f t="shared" si="18"/>
        <v>8</v>
      </c>
      <c r="CH49" s="14">
        <f t="shared" si="34"/>
        <v>263232.48000000004</v>
      </c>
    </row>
    <row r="50" spans="1:86" ht="16.5" x14ac:dyDescent="0.2">
      <c r="A50" s="26">
        <v>1</v>
      </c>
      <c r="B50" s="26">
        <f>INT((A50-1)/4)+1</f>
        <v>1</v>
      </c>
      <c r="C50" s="26">
        <v>1</v>
      </c>
      <c r="D50" s="19">
        <v>0.5</v>
      </c>
      <c r="E50" s="110"/>
      <c r="F50" s="110"/>
      <c r="G50" s="110"/>
      <c r="H50" s="110"/>
      <c r="I50" s="110"/>
      <c r="J50" s="113"/>
      <c r="K50" s="113"/>
      <c r="L50" s="116"/>
      <c r="M50" s="116"/>
      <c r="Q50" s="21">
        <f>(INDEX(Q$7:Q$37,$B50)*(1-$D50)+INDEX(Q$7:Q$37,$B50+1)*$D50)*Q$4*$B$2</f>
        <v>0</v>
      </c>
      <c r="R50" s="21">
        <f t="shared" ref="R50:Z65" si="38">(INDEX(R$7:R$37,$B50)*(1-$D50)+INDEX(R$7:R$37,$B50+1)*$D50)*R$4*$B$2</f>
        <v>0</v>
      </c>
      <c r="S50" s="21">
        <f t="shared" si="38"/>
        <v>0</v>
      </c>
      <c r="T50" s="21">
        <f t="shared" si="38"/>
        <v>0</v>
      </c>
      <c r="U50" s="21">
        <f t="shared" si="38"/>
        <v>0</v>
      </c>
      <c r="V50" s="21">
        <f t="shared" si="38"/>
        <v>0</v>
      </c>
      <c r="W50" s="21">
        <f t="shared" si="38"/>
        <v>0</v>
      </c>
      <c r="X50" s="21">
        <f t="shared" si="38"/>
        <v>0</v>
      </c>
      <c r="Y50" s="21">
        <f t="shared" si="38"/>
        <v>0</v>
      </c>
      <c r="Z50" s="21">
        <f t="shared" si="38"/>
        <v>0</v>
      </c>
      <c r="AA50" s="32">
        <f>INT((INDEX(AA$7:AA$37,$B50)*(1-$D50)+INDEX(AA$7:AA$37,$B50+1)*$D50)*AA$4*$B$2)</f>
        <v>17</v>
      </c>
      <c r="AB50" s="32">
        <f>INT((INDEX(AB$7:AB$37,$B50)*(1-$D50)+INDEX(AB$7:AB$37,$B50+1)*$D50)*AB$4*$B$2)</f>
        <v>5</v>
      </c>
      <c r="AW50" s="73">
        <v>45</v>
      </c>
      <c r="AX50" s="73">
        <v>3</v>
      </c>
      <c r="AY50" s="14" t="str">
        <f>INDEX(节奏总表!$BJ$4:$BJ$23,MATCH(挂机升级突破!AW50+1,节奏总表!$BM$4:$BM$22,1))</f>
        <v>大焦热+2</v>
      </c>
      <c r="AZ50" s="73"/>
      <c r="BA50" s="14">
        <f>INDEX(节奏总表!$BF$4:$BF$55,挂机升级突破!AW50)</f>
        <v>132</v>
      </c>
      <c r="BB50" s="73"/>
      <c r="BC50" s="73"/>
      <c r="BD50" s="73"/>
      <c r="BE50" s="73"/>
      <c r="BF50" s="19">
        <v>7.0000000000000007E-2</v>
      </c>
      <c r="BG50" s="73"/>
      <c r="BH50" s="73"/>
      <c r="BI50" s="73"/>
      <c r="BJ50" s="19">
        <v>7.0000000000000007E-2</v>
      </c>
      <c r="BK50" s="19">
        <v>0.05</v>
      </c>
      <c r="BL50" s="139">
        <v>7</v>
      </c>
      <c r="BM50" s="19">
        <v>0.14000000000000001</v>
      </c>
      <c r="BN50" s="14">
        <f t="shared" si="8"/>
        <v>263232.48000000004</v>
      </c>
      <c r="BP50" s="76">
        <v>45</v>
      </c>
      <c r="BQ50" s="76">
        <v>3</v>
      </c>
      <c r="BR50" s="76" t="s">
        <v>505</v>
      </c>
      <c r="BS50" s="76">
        <v>9.0000000000000107</v>
      </c>
      <c r="BT50" s="14">
        <f t="shared" si="36"/>
        <v>132</v>
      </c>
      <c r="BU50" s="104">
        <v>11</v>
      </c>
      <c r="BV50" s="104">
        <v>5</v>
      </c>
      <c r="BW50" s="104">
        <v>10</v>
      </c>
      <c r="BX50" s="14">
        <f t="shared" si="9"/>
        <v>0</v>
      </c>
      <c r="BY50" s="14">
        <f t="shared" si="10"/>
        <v>0</v>
      </c>
      <c r="BZ50" s="14">
        <f t="shared" si="11"/>
        <v>0</v>
      </c>
      <c r="CA50" s="14">
        <f t="shared" si="12"/>
        <v>0</v>
      </c>
      <c r="CB50" s="14">
        <f t="shared" si="13"/>
        <v>564</v>
      </c>
      <c r="CC50" s="14">
        <f t="shared" si="14"/>
        <v>0</v>
      </c>
      <c r="CD50" s="14">
        <f t="shared" si="15"/>
        <v>0</v>
      </c>
      <c r="CE50" s="14">
        <f t="shared" si="16"/>
        <v>0</v>
      </c>
      <c r="CF50" s="14">
        <f t="shared" si="17"/>
        <v>102</v>
      </c>
      <c r="CG50" s="14">
        <f t="shared" si="18"/>
        <v>8</v>
      </c>
      <c r="CH50" s="14">
        <f t="shared" si="34"/>
        <v>263232.48000000004</v>
      </c>
    </row>
    <row r="51" spans="1:86" ht="16.5" x14ac:dyDescent="0.2">
      <c r="A51" s="26">
        <v>2</v>
      </c>
      <c r="B51" s="104">
        <f t="shared" ref="B51:B114" si="39">INT((A51-1)/4)+1</f>
        <v>1</v>
      </c>
      <c r="C51" s="26">
        <v>2</v>
      </c>
      <c r="D51" s="19">
        <v>0.65</v>
      </c>
      <c r="E51" s="110"/>
      <c r="F51" s="110"/>
      <c r="G51" s="110"/>
      <c r="H51" s="110"/>
      <c r="I51" s="110"/>
      <c r="J51" s="113"/>
      <c r="K51" s="113"/>
      <c r="L51" s="116"/>
      <c r="M51" s="116"/>
      <c r="Q51" s="21">
        <f t="shared" ref="Q51:Z82" si="40">(INDEX(Q$7:Q$37,$B51)*(1-$D51)+INDEX(Q$7:Q$37,$B51+1)*$D51)*Q$4*$B$2</f>
        <v>0</v>
      </c>
      <c r="R51" s="21">
        <f t="shared" si="38"/>
        <v>0</v>
      </c>
      <c r="S51" s="21">
        <f t="shared" si="38"/>
        <v>0</v>
      </c>
      <c r="T51" s="21">
        <f t="shared" si="38"/>
        <v>0</v>
      </c>
      <c r="U51" s="21">
        <f t="shared" si="38"/>
        <v>0</v>
      </c>
      <c r="V51" s="21">
        <f t="shared" si="38"/>
        <v>0</v>
      </c>
      <c r="W51" s="21">
        <f t="shared" si="38"/>
        <v>0</v>
      </c>
      <c r="X51" s="21">
        <f t="shared" si="38"/>
        <v>0</v>
      </c>
      <c r="Y51" s="21">
        <f t="shared" si="38"/>
        <v>0</v>
      </c>
      <c r="Z51" s="21">
        <f t="shared" si="38"/>
        <v>0</v>
      </c>
      <c r="AA51" s="32">
        <f t="shared" ref="AA51:AB82" si="41">INT((INDEX(AA$7:AA$37,$B51)*(1-$D51)+INDEX(AA$7:AA$37,$B51+1)*$D51)*AA$4*$B$2)</f>
        <v>19</v>
      </c>
      <c r="AB51" s="32">
        <f t="shared" si="41"/>
        <v>6</v>
      </c>
      <c r="AW51" s="73">
        <v>46</v>
      </c>
      <c r="AX51" s="73">
        <v>1</v>
      </c>
      <c r="AY51" s="14" t="str">
        <f>INDEX(节奏总表!$BJ$4:$BJ$23,MATCH(挂机升级突破!AW51+1,节奏总表!$BM$4:$BM$22,1))</f>
        <v>大焦热+2</v>
      </c>
      <c r="AZ51" s="73"/>
      <c r="BA51" s="14">
        <f>INDEX(节奏总表!$BF$4:$BF$55,挂机升级突破!AW51)</f>
        <v>135</v>
      </c>
      <c r="BB51" s="73"/>
      <c r="BC51" s="73"/>
      <c r="BD51" s="73"/>
      <c r="BE51" s="73"/>
      <c r="BF51" s="19">
        <v>7.0000000000000007E-2</v>
      </c>
      <c r="BG51" s="73"/>
      <c r="BH51" s="73"/>
      <c r="BI51" s="73"/>
      <c r="BJ51" s="19">
        <v>7.0000000000000007E-2</v>
      </c>
      <c r="BK51" s="19">
        <v>0.05</v>
      </c>
      <c r="BL51" s="139">
        <v>7</v>
      </c>
      <c r="BM51" s="19">
        <v>0.15</v>
      </c>
      <c r="BN51" s="14">
        <f t="shared" si="8"/>
        <v>282034.8</v>
      </c>
      <c r="BP51" s="76">
        <v>46</v>
      </c>
      <c r="BQ51" s="76">
        <v>1</v>
      </c>
      <c r="BR51" s="76" t="s">
        <v>505</v>
      </c>
      <c r="BS51" s="76">
        <v>9.0000000000000107</v>
      </c>
      <c r="BT51" s="14">
        <f t="shared" si="36"/>
        <v>135</v>
      </c>
      <c r="BU51" s="104">
        <v>11</v>
      </c>
      <c r="BV51" s="104">
        <v>5</v>
      </c>
      <c r="BW51" s="104">
        <v>10</v>
      </c>
      <c r="BX51" s="14">
        <f t="shared" si="9"/>
        <v>0</v>
      </c>
      <c r="BY51" s="14">
        <f t="shared" si="10"/>
        <v>0</v>
      </c>
      <c r="BZ51" s="14">
        <f t="shared" si="11"/>
        <v>0</v>
      </c>
      <c r="CA51" s="14">
        <f t="shared" si="12"/>
        <v>0</v>
      </c>
      <c r="CB51" s="14">
        <f t="shared" si="13"/>
        <v>564</v>
      </c>
      <c r="CC51" s="14">
        <f t="shared" si="14"/>
        <v>0</v>
      </c>
      <c r="CD51" s="14">
        <f t="shared" si="15"/>
        <v>0</v>
      </c>
      <c r="CE51" s="14">
        <f t="shared" si="16"/>
        <v>0</v>
      </c>
      <c r="CF51" s="14">
        <f t="shared" si="17"/>
        <v>102</v>
      </c>
      <c r="CG51" s="14">
        <f t="shared" si="18"/>
        <v>8</v>
      </c>
      <c r="CH51" s="14">
        <f t="shared" si="34"/>
        <v>282034.8</v>
      </c>
    </row>
    <row r="52" spans="1:86" ht="16.5" x14ac:dyDescent="0.2">
      <c r="A52" s="26">
        <v>3</v>
      </c>
      <c r="B52" s="104">
        <f t="shared" si="39"/>
        <v>1</v>
      </c>
      <c r="C52" s="26">
        <v>3</v>
      </c>
      <c r="D52" s="19">
        <v>0.8</v>
      </c>
      <c r="E52" s="110"/>
      <c r="F52" s="110"/>
      <c r="G52" s="110"/>
      <c r="H52" s="110"/>
      <c r="I52" s="110"/>
      <c r="J52" s="113"/>
      <c r="K52" s="113"/>
      <c r="L52" s="116"/>
      <c r="M52" s="116"/>
      <c r="Q52" s="21">
        <f t="shared" si="40"/>
        <v>0</v>
      </c>
      <c r="R52" s="21">
        <f t="shared" si="38"/>
        <v>0</v>
      </c>
      <c r="S52" s="21">
        <f t="shared" si="38"/>
        <v>0</v>
      </c>
      <c r="T52" s="21">
        <f t="shared" si="38"/>
        <v>0</v>
      </c>
      <c r="U52" s="21">
        <f t="shared" si="38"/>
        <v>0</v>
      </c>
      <c r="V52" s="21">
        <f t="shared" si="38"/>
        <v>0</v>
      </c>
      <c r="W52" s="21">
        <f t="shared" si="38"/>
        <v>0</v>
      </c>
      <c r="X52" s="21">
        <f t="shared" si="38"/>
        <v>0</v>
      </c>
      <c r="Y52" s="21">
        <f t="shared" si="38"/>
        <v>0</v>
      </c>
      <c r="Z52" s="21">
        <f t="shared" si="38"/>
        <v>0</v>
      </c>
      <c r="AA52" s="32">
        <f t="shared" si="41"/>
        <v>22</v>
      </c>
      <c r="AB52" s="32">
        <f t="shared" si="41"/>
        <v>8</v>
      </c>
      <c r="AW52" s="73">
        <v>47</v>
      </c>
      <c r="AX52" s="73">
        <v>2</v>
      </c>
      <c r="AY52" s="14" t="str">
        <f>INDEX(节奏总表!$BJ$4:$BJ$23,MATCH(挂机升级突破!AW52+1,节奏总表!$BM$4:$BM$22,1))</f>
        <v>无间</v>
      </c>
      <c r="AZ52" s="73"/>
      <c r="BA52" s="14">
        <f>INDEX(节奏总表!$BF$4:$BF$55,挂机升级突破!AW52)</f>
        <v>137</v>
      </c>
      <c r="BB52" s="73"/>
      <c r="BC52" s="73"/>
      <c r="BD52" s="73"/>
      <c r="BE52" s="73"/>
      <c r="BF52" s="19">
        <v>7.0000000000000007E-2</v>
      </c>
      <c r="BG52" s="73"/>
      <c r="BH52" s="73"/>
      <c r="BI52" s="73"/>
      <c r="BJ52" s="19">
        <v>0.09</v>
      </c>
      <c r="BK52" s="19">
        <v>0.05</v>
      </c>
      <c r="BL52" s="139">
        <v>8</v>
      </c>
      <c r="BM52" s="19">
        <v>0.12</v>
      </c>
      <c r="BN52" s="14">
        <f t="shared" si="8"/>
        <v>1367637.5999999999</v>
      </c>
      <c r="BP52" s="76">
        <v>47</v>
      </c>
      <c r="BQ52" s="76">
        <v>2</v>
      </c>
      <c r="BR52" s="76" t="s">
        <v>550</v>
      </c>
      <c r="BS52" s="76">
        <v>9.0000000000000107</v>
      </c>
      <c r="BT52" s="14">
        <f t="shared" si="36"/>
        <v>137</v>
      </c>
      <c r="BU52" s="104">
        <v>11</v>
      </c>
      <c r="BV52" s="104">
        <v>5</v>
      </c>
      <c r="BW52" s="104">
        <v>10</v>
      </c>
      <c r="BX52" s="14">
        <f t="shared" si="9"/>
        <v>0</v>
      </c>
      <c r="BY52" s="14">
        <f t="shared" si="10"/>
        <v>0</v>
      </c>
      <c r="BZ52" s="14">
        <f t="shared" si="11"/>
        <v>0</v>
      </c>
      <c r="CA52" s="14">
        <f t="shared" si="12"/>
        <v>0</v>
      </c>
      <c r="CB52" s="14">
        <f t="shared" si="13"/>
        <v>564</v>
      </c>
      <c r="CC52" s="14">
        <f t="shared" si="14"/>
        <v>0</v>
      </c>
      <c r="CD52" s="14">
        <f t="shared" si="15"/>
        <v>0</v>
      </c>
      <c r="CE52" s="14">
        <f t="shared" si="16"/>
        <v>0</v>
      </c>
      <c r="CF52" s="14">
        <f t="shared" si="17"/>
        <v>131</v>
      </c>
      <c r="CG52" s="14">
        <f t="shared" si="18"/>
        <v>8</v>
      </c>
      <c r="CH52" s="14">
        <f t="shared" si="34"/>
        <v>1367637.5999999999</v>
      </c>
    </row>
    <row r="53" spans="1:86" ht="16.5" x14ac:dyDescent="0.2">
      <c r="A53" s="26">
        <v>4</v>
      </c>
      <c r="B53" s="104">
        <f t="shared" si="39"/>
        <v>1</v>
      </c>
      <c r="C53" s="26">
        <v>4</v>
      </c>
      <c r="D53" s="19">
        <v>1</v>
      </c>
      <c r="E53" s="110"/>
      <c r="F53" s="110"/>
      <c r="G53" s="110"/>
      <c r="H53" s="110"/>
      <c r="I53" s="110"/>
      <c r="J53" s="113"/>
      <c r="K53" s="113"/>
      <c r="L53" s="116"/>
      <c r="M53" s="116"/>
      <c r="Q53" s="21">
        <f t="shared" si="40"/>
        <v>0</v>
      </c>
      <c r="R53" s="21">
        <f t="shared" si="38"/>
        <v>0</v>
      </c>
      <c r="S53" s="21">
        <f t="shared" si="38"/>
        <v>0</v>
      </c>
      <c r="T53" s="21">
        <f t="shared" si="38"/>
        <v>0</v>
      </c>
      <c r="U53" s="21">
        <f t="shared" si="38"/>
        <v>0</v>
      </c>
      <c r="V53" s="21">
        <f t="shared" si="38"/>
        <v>0</v>
      </c>
      <c r="W53" s="21">
        <f t="shared" si="38"/>
        <v>0</v>
      </c>
      <c r="X53" s="21">
        <f t="shared" si="38"/>
        <v>0</v>
      </c>
      <c r="Y53" s="21">
        <f t="shared" si="38"/>
        <v>0</v>
      </c>
      <c r="Z53" s="21">
        <f t="shared" si="38"/>
        <v>0</v>
      </c>
      <c r="AA53" s="32">
        <f t="shared" si="41"/>
        <v>25</v>
      </c>
      <c r="AB53" s="32">
        <f t="shared" si="41"/>
        <v>10</v>
      </c>
      <c r="AW53" s="73">
        <v>48</v>
      </c>
      <c r="AX53" s="73">
        <v>3</v>
      </c>
      <c r="AY53" s="14" t="str">
        <f>INDEX(节奏总表!$BJ$4:$BJ$23,MATCH(挂机升级突破!AW53+1,节奏总表!$BM$4:$BM$22,1))</f>
        <v>无间</v>
      </c>
      <c r="AZ53" s="73"/>
      <c r="BA53" s="14">
        <f>INDEX(节奏总表!$BF$4:$BF$55,挂机升级突破!AW53)</f>
        <v>140</v>
      </c>
      <c r="BB53" s="73"/>
      <c r="BC53" s="73"/>
      <c r="BD53" s="73"/>
      <c r="BE53" s="73"/>
      <c r="BF53" s="19">
        <v>7.0000000000000007E-2</v>
      </c>
      <c r="BG53" s="73"/>
      <c r="BH53" s="73"/>
      <c r="BI53" s="73"/>
      <c r="BJ53" s="19">
        <v>0.09</v>
      </c>
      <c r="BK53" s="19">
        <v>0.05</v>
      </c>
      <c r="BL53" s="139">
        <v>8</v>
      </c>
      <c r="BM53" s="19">
        <v>0.12</v>
      </c>
      <c r="BN53" s="14">
        <f t="shared" si="8"/>
        <v>1367637.5999999999</v>
      </c>
      <c r="BP53" s="76">
        <v>48</v>
      </c>
      <c r="BQ53" s="76">
        <v>3</v>
      </c>
      <c r="BR53" s="76" t="s">
        <v>550</v>
      </c>
      <c r="BS53" s="76">
        <v>9.0000000000000107</v>
      </c>
      <c r="BT53" s="14">
        <f t="shared" si="36"/>
        <v>140</v>
      </c>
      <c r="BU53" s="104">
        <v>11</v>
      </c>
      <c r="BV53" s="104">
        <v>5</v>
      </c>
      <c r="BW53" s="104">
        <v>10</v>
      </c>
      <c r="BX53" s="14">
        <f t="shared" si="9"/>
        <v>0</v>
      </c>
      <c r="BY53" s="14">
        <f t="shared" si="10"/>
        <v>0</v>
      </c>
      <c r="BZ53" s="14">
        <f t="shared" si="11"/>
        <v>0</v>
      </c>
      <c r="CA53" s="14">
        <f t="shared" si="12"/>
        <v>0</v>
      </c>
      <c r="CB53" s="14">
        <f t="shared" si="13"/>
        <v>564</v>
      </c>
      <c r="CC53" s="14">
        <f t="shared" si="14"/>
        <v>0</v>
      </c>
      <c r="CD53" s="14">
        <f t="shared" si="15"/>
        <v>0</v>
      </c>
      <c r="CE53" s="14">
        <f t="shared" si="16"/>
        <v>0</v>
      </c>
      <c r="CF53" s="14">
        <f t="shared" si="17"/>
        <v>131</v>
      </c>
      <c r="CG53" s="14">
        <f t="shared" si="18"/>
        <v>8</v>
      </c>
      <c r="CH53" s="14">
        <f t="shared" si="34"/>
        <v>1367637.5999999999</v>
      </c>
    </row>
    <row r="54" spans="1:86" ht="16.5" x14ac:dyDescent="0.2">
      <c r="A54" s="26">
        <v>5</v>
      </c>
      <c r="B54" s="104">
        <f t="shared" si="39"/>
        <v>2</v>
      </c>
      <c r="C54" s="118">
        <v>1</v>
      </c>
      <c r="D54" s="19">
        <v>0.5</v>
      </c>
      <c r="E54" s="110"/>
      <c r="F54" s="110"/>
      <c r="G54" s="110"/>
      <c r="H54" s="110"/>
      <c r="I54" s="110"/>
      <c r="J54" s="113"/>
      <c r="K54" s="113"/>
      <c r="L54" s="116"/>
      <c r="M54" s="116"/>
      <c r="Q54" s="21">
        <f t="shared" si="40"/>
        <v>0.125</v>
      </c>
      <c r="R54" s="21">
        <f t="shared" si="38"/>
        <v>0</v>
      </c>
      <c r="S54" s="21">
        <f t="shared" si="38"/>
        <v>0</v>
      </c>
      <c r="T54" s="21">
        <f t="shared" si="38"/>
        <v>0</v>
      </c>
      <c r="U54" s="21">
        <f t="shared" si="38"/>
        <v>0</v>
      </c>
      <c r="V54" s="21">
        <f t="shared" si="38"/>
        <v>0</v>
      </c>
      <c r="W54" s="21">
        <f t="shared" si="38"/>
        <v>0</v>
      </c>
      <c r="X54" s="21">
        <f t="shared" si="38"/>
        <v>0</v>
      </c>
      <c r="Y54" s="21">
        <f t="shared" si="38"/>
        <v>0</v>
      </c>
      <c r="Z54" s="21">
        <f t="shared" si="38"/>
        <v>0</v>
      </c>
      <c r="AA54" s="32">
        <f t="shared" si="41"/>
        <v>27</v>
      </c>
      <c r="AB54" s="32">
        <f t="shared" si="41"/>
        <v>12</v>
      </c>
      <c r="AW54" s="73">
        <v>49</v>
      </c>
      <c r="AX54" s="73">
        <v>1</v>
      </c>
      <c r="AY54" s="14" t="str">
        <f>INDEX(节奏总表!$BJ$4:$BJ$23,MATCH(挂机升级突破!AW54+1,节奏总表!$BM$4:$BM$22,1))</f>
        <v>无间</v>
      </c>
      <c r="AZ54" s="73"/>
      <c r="BA54" s="14">
        <f>INDEX(节奏总表!$BF$4:$BF$55,挂机升级突破!AW54)</f>
        <v>142</v>
      </c>
      <c r="BB54" s="73"/>
      <c r="BC54" s="73"/>
      <c r="BD54" s="73"/>
      <c r="BE54" s="73"/>
      <c r="BF54" s="19">
        <v>0.08</v>
      </c>
      <c r="BG54" s="73"/>
      <c r="BH54" s="73"/>
      <c r="BI54" s="73"/>
      <c r="BJ54" s="19">
        <v>0.1</v>
      </c>
      <c r="BK54" s="19">
        <v>0.05</v>
      </c>
      <c r="BL54" s="139">
        <v>8</v>
      </c>
      <c r="BM54" s="19">
        <v>0.12</v>
      </c>
      <c r="BN54" s="14">
        <f t="shared" si="8"/>
        <v>1367637.5999999999</v>
      </c>
      <c r="BP54" s="76">
        <v>49</v>
      </c>
      <c r="BQ54" s="76">
        <v>1</v>
      </c>
      <c r="BR54" s="76" t="s">
        <v>550</v>
      </c>
      <c r="BS54" s="76">
        <v>9.0000000000000107</v>
      </c>
      <c r="BT54" s="14">
        <f t="shared" si="36"/>
        <v>142</v>
      </c>
      <c r="BU54" s="104">
        <v>11</v>
      </c>
      <c r="BV54" s="104">
        <v>5</v>
      </c>
      <c r="BW54" s="104">
        <v>10</v>
      </c>
      <c r="BX54" s="14">
        <f t="shared" si="9"/>
        <v>0</v>
      </c>
      <c r="BY54" s="14">
        <f t="shared" si="10"/>
        <v>0</v>
      </c>
      <c r="BZ54" s="14">
        <f t="shared" si="11"/>
        <v>0</v>
      </c>
      <c r="CA54" s="14">
        <f t="shared" si="12"/>
        <v>0</v>
      </c>
      <c r="CB54" s="14">
        <f t="shared" si="13"/>
        <v>645</v>
      </c>
      <c r="CC54" s="14">
        <f t="shared" si="14"/>
        <v>0</v>
      </c>
      <c r="CD54" s="14">
        <f t="shared" si="15"/>
        <v>0</v>
      </c>
      <c r="CE54" s="14">
        <f t="shared" si="16"/>
        <v>0</v>
      </c>
      <c r="CF54" s="14">
        <f t="shared" si="17"/>
        <v>145</v>
      </c>
      <c r="CG54" s="14">
        <f t="shared" si="18"/>
        <v>8</v>
      </c>
      <c r="CH54" s="14">
        <f t="shared" si="34"/>
        <v>1367637.5999999999</v>
      </c>
    </row>
    <row r="55" spans="1:86" ht="16.5" x14ac:dyDescent="0.2">
      <c r="A55" s="26">
        <v>6</v>
      </c>
      <c r="B55" s="104">
        <f t="shared" si="39"/>
        <v>2</v>
      </c>
      <c r="C55" s="118">
        <v>2</v>
      </c>
      <c r="D55" s="19">
        <v>0.65</v>
      </c>
      <c r="E55" s="110"/>
      <c r="F55" s="110"/>
      <c r="G55" s="110"/>
      <c r="H55" s="110"/>
      <c r="I55" s="110"/>
      <c r="J55" s="113"/>
      <c r="K55" s="113"/>
      <c r="L55" s="116"/>
      <c r="M55" s="116"/>
      <c r="Q55" s="21">
        <f t="shared" si="40"/>
        <v>0.16250000000000001</v>
      </c>
      <c r="R55" s="21">
        <f t="shared" si="38"/>
        <v>0</v>
      </c>
      <c r="S55" s="21">
        <f t="shared" si="38"/>
        <v>0</v>
      </c>
      <c r="T55" s="21">
        <f t="shared" si="38"/>
        <v>0</v>
      </c>
      <c r="U55" s="21">
        <f t="shared" si="38"/>
        <v>0</v>
      </c>
      <c r="V55" s="21">
        <f t="shared" si="38"/>
        <v>0</v>
      </c>
      <c r="W55" s="21">
        <f t="shared" si="38"/>
        <v>0</v>
      </c>
      <c r="X55" s="21">
        <f t="shared" si="38"/>
        <v>0</v>
      </c>
      <c r="Y55" s="21">
        <f t="shared" si="38"/>
        <v>0</v>
      </c>
      <c r="Z55" s="21">
        <f t="shared" si="38"/>
        <v>0</v>
      </c>
      <c r="AA55" s="32">
        <f t="shared" si="41"/>
        <v>28</v>
      </c>
      <c r="AB55" s="32">
        <f t="shared" si="41"/>
        <v>13</v>
      </c>
      <c r="AW55" s="73">
        <v>50</v>
      </c>
      <c r="AX55" s="73">
        <v>2</v>
      </c>
      <c r="AY55" s="14" t="str">
        <f>INDEX(节奏总表!$BJ$4:$BJ$23,MATCH(挂机升级突破!AW55+1,节奏总表!$BM$4:$BM$22,1))</f>
        <v>无间</v>
      </c>
      <c r="AZ55" s="73"/>
      <c r="BA55" s="14">
        <f>INDEX(节奏总表!$BF$4:$BF$55,挂机升级突破!AW55)</f>
        <v>145</v>
      </c>
      <c r="BB55" s="73"/>
      <c r="BC55" s="73"/>
      <c r="BD55" s="73"/>
      <c r="BE55" s="73"/>
      <c r="BF55" s="19">
        <v>0.08</v>
      </c>
      <c r="BG55" s="73"/>
      <c r="BH55" s="73"/>
      <c r="BI55" s="73"/>
      <c r="BJ55" s="19">
        <v>0.12</v>
      </c>
      <c r="BK55" s="19">
        <v>0.05</v>
      </c>
      <c r="BL55" s="139">
        <v>8</v>
      </c>
      <c r="BM55" s="19">
        <v>0.2</v>
      </c>
      <c r="BN55" s="14">
        <f t="shared" si="8"/>
        <v>2279396</v>
      </c>
      <c r="BP55" s="76">
        <v>50</v>
      </c>
      <c r="BQ55" s="76">
        <v>2</v>
      </c>
      <c r="BR55" s="76" t="s">
        <v>550</v>
      </c>
      <c r="BS55" s="76">
        <v>9.0000000000000107</v>
      </c>
      <c r="BT55" s="14">
        <f t="shared" si="36"/>
        <v>145</v>
      </c>
      <c r="BU55" s="104">
        <v>11</v>
      </c>
      <c r="BV55" s="104">
        <v>5</v>
      </c>
      <c r="BW55" s="104">
        <v>10</v>
      </c>
      <c r="BX55" s="14">
        <f t="shared" si="9"/>
        <v>0</v>
      </c>
      <c r="BY55" s="14">
        <f t="shared" si="10"/>
        <v>0</v>
      </c>
      <c r="BZ55" s="14">
        <f t="shared" si="11"/>
        <v>0</v>
      </c>
      <c r="CA55" s="14">
        <f t="shared" si="12"/>
        <v>0</v>
      </c>
      <c r="CB55" s="14">
        <f t="shared" si="13"/>
        <v>645</v>
      </c>
      <c r="CC55" s="14">
        <f t="shared" si="14"/>
        <v>0</v>
      </c>
      <c r="CD55" s="14">
        <f t="shared" si="15"/>
        <v>0</v>
      </c>
      <c r="CE55" s="14">
        <f t="shared" si="16"/>
        <v>0</v>
      </c>
      <c r="CF55" s="14">
        <f t="shared" si="17"/>
        <v>174</v>
      </c>
      <c r="CG55" s="14">
        <f t="shared" si="18"/>
        <v>8</v>
      </c>
      <c r="CH55" s="14">
        <f t="shared" si="34"/>
        <v>2279396</v>
      </c>
    </row>
    <row r="56" spans="1:86" ht="16.5" x14ac:dyDescent="0.2">
      <c r="A56" s="26">
        <v>7</v>
      </c>
      <c r="B56" s="104">
        <f t="shared" si="39"/>
        <v>2</v>
      </c>
      <c r="C56" s="118">
        <v>3</v>
      </c>
      <c r="D56" s="19">
        <v>0.8</v>
      </c>
      <c r="E56" s="110"/>
      <c r="F56" s="110"/>
      <c r="G56" s="110"/>
      <c r="H56" s="110"/>
      <c r="I56" s="110"/>
      <c r="J56" s="113"/>
      <c r="K56" s="113"/>
      <c r="L56" s="116"/>
      <c r="M56" s="116"/>
      <c r="Q56" s="21">
        <f t="shared" si="40"/>
        <v>0.2</v>
      </c>
      <c r="R56" s="21">
        <f t="shared" si="38"/>
        <v>0</v>
      </c>
      <c r="S56" s="21">
        <f t="shared" si="38"/>
        <v>0</v>
      </c>
      <c r="T56" s="21">
        <f t="shared" si="38"/>
        <v>0</v>
      </c>
      <c r="U56" s="21">
        <f t="shared" si="38"/>
        <v>0</v>
      </c>
      <c r="V56" s="21">
        <f t="shared" si="38"/>
        <v>0</v>
      </c>
      <c r="W56" s="21">
        <f t="shared" si="38"/>
        <v>0</v>
      </c>
      <c r="X56" s="21">
        <f t="shared" si="38"/>
        <v>0</v>
      </c>
      <c r="Y56" s="21">
        <f t="shared" si="38"/>
        <v>0</v>
      </c>
      <c r="Z56" s="21">
        <f t="shared" si="38"/>
        <v>0</v>
      </c>
      <c r="AA56" s="32">
        <f t="shared" si="41"/>
        <v>29</v>
      </c>
      <c r="AB56" s="32">
        <f t="shared" si="41"/>
        <v>14</v>
      </c>
      <c r="AW56" s="73">
        <v>51</v>
      </c>
      <c r="AX56" s="73">
        <v>3</v>
      </c>
      <c r="AY56" s="14" t="str">
        <f>INDEX(节奏总表!$BJ$4:$BJ$23,MATCH(挂机升级突破!AW56+1,节奏总表!$BM$4:$BM$22,1))</f>
        <v>无间</v>
      </c>
      <c r="AZ56" s="73"/>
      <c r="BA56" s="14">
        <f>INDEX(节奏总表!$BF$4:$BF$55,挂机升级突破!AW56)</f>
        <v>147</v>
      </c>
      <c r="BB56" s="73"/>
      <c r="BC56" s="73"/>
      <c r="BD56" s="73"/>
      <c r="BE56" s="73"/>
      <c r="BF56" s="19">
        <v>0.08</v>
      </c>
      <c r="BG56" s="73"/>
      <c r="BH56" s="73"/>
      <c r="BI56" s="73"/>
      <c r="BJ56" s="19">
        <v>0.12</v>
      </c>
      <c r="BK56" s="19">
        <v>0.05</v>
      </c>
      <c r="BL56" s="139">
        <v>8</v>
      </c>
      <c r="BM56" s="19">
        <v>0.22</v>
      </c>
      <c r="BN56" s="14">
        <f t="shared" si="8"/>
        <v>2507335.6</v>
      </c>
      <c r="BP56" s="76">
        <v>51</v>
      </c>
      <c r="BQ56" s="76">
        <v>3</v>
      </c>
      <c r="BR56" s="76" t="s">
        <v>550</v>
      </c>
      <c r="BS56" s="76">
        <v>9.0000000000000107</v>
      </c>
      <c r="BT56" s="14">
        <f t="shared" si="36"/>
        <v>147</v>
      </c>
      <c r="BU56" s="104">
        <v>11</v>
      </c>
      <c r="BV56" s="104">
        <v>5</v>
      </c>
      <c r="BW56" s="104">
        <v>10</v>
      </c>
      <c r="BX56" s="14">
        <f t="shared" si="9"/>
        <v>0</v>
      </c>
      <c r="BY56" s="14">
        <f t="shared" si="10"/>
        <v>0</v>
      </c>
      <c r="BZ56" s="14">
        <f t="shared" si="11"/>
        <v>0</v>
      </c>
      <c r="CA56" s="14">
        <f t="shared" si="12"/>
        <v>0</v>
      </c>
      <c r="CB56" s="14">
        <f t="shared" si="13"/>
        <v>645</v>
      </c>
      <c r="CC56" s="14">
        <f t="shared" si="14"/>
        <v>0</v>
      </c>
      <c r="CD56" s="14">
        <f t="shared" si="15"/>
        <v>0</v>
      </c>
      <c r="CE56" s="14">
        <f t="shared" si="16"/>
        <v>0</v>
      </c>
      <c r="CF56" s="14">
        <f t="shared" si="17"/>
        <v>174</v>
      </c>
      <c r="CG56" s="14">
        <f t="shared" si="18"/>
        <v>8</v>
      </c>
      <c r="CH56" s="14">
        <f t="shared" si="34"/>
        <v>2507335.6</v>
      </c>
    </row>
    <row r="57" spans="1:86" ht="16.5" x14ac:dyDescent="0.2">
      <c r="A57" s="26">
        <v>8</v>
      </c>
      <c r="B57" s="104">
        <f t="shared" si="39"/>
        <v>2</v>
      </c>
      <c r="C57" s="118">
        <v>4</v>
      </c>
      <c r="D57" s="19">
        <v>1</v>
      </c>
      <c r="E57" s="110"/>
      <c r="F57" s="110"/>
      <c r="G57" s="110"/>
      <c r="H57" s="110"/>
      <c r="I57" s="110"/>
      <c r="J57" s="113"/>
      <c r="K57" s="113"/>
      <c r="L57" s="116"/>
      <c r="M57" s="116"/>
      <c r="Q57" s="21">
        <f t="shared" si="40"/>
        <v>0.25</v>
      </c>
      <c r="R57" s="21">
        <f t="shared" si="38"/>
        <v>0</v>
      </c>
      <c r="S57" s="21">
        <f t="shared" si="38"/>
        <v>0</v>
      </c>
      <c r="T57" s="21">
        <f t="shared" si="38"/>
        <v>0</v>
      </c>
      <c r="U57" s="21">
        <f t="shared" si="38"/>
        <v>0</v>
      </c>
      <c r="V57" s="21">
        <f t="shared" si="38"/>
        <v>0</v>
      </c>
      <c r="W57" s="21">
        <f t="shared" si="38"/>
        <v>0</v>
      </c>
      <c r="X57" s="21">
        <f t="shared" si="38"/>
        <v>0</v>
      </c>
      <c r="Y57" s="21">
        <f t="shared" si="38"/>
        <v>0</v>
      </c>
      <c r="Z57" s="21">
        <f t="shared" si="38"/>
        <v>0</v>
      </c>
      <c r="AA57" s="32">
        <f t="shared" si="41"/>
        <v>30</v>
      </c>
      <c r="AB57" s="32">
        <f t="shared" si="41"/>
        <v>15</v>
      </c>
      <c r="AW57" s="73">
        <v>52</v>
      </c>
      <c r="AX57" s="73">
        <v>4</v>
      </c>
      <c r="AY57" s="14" t="str">
        <f>INDEX(节奏总表!$BJ$4:$BJ$23,MATCH(挂机升级突破!AW57+1,节奏总表!$BM$4:$BM$22,1))</f>
        <v>无间</v>
      </c>
      <c r="AZ57" s="73"/>
      <c r="BA57" s="14">
        <f>INDEX(节奏总表!$BF$4:$BF$55,挂机升级突破!AW57)</f>
        <v>150</v>
      </c>
      <c r="BB57" s="73"/>
      <c r="BC57" s="73"/>
      <c r="BD57" s="73"/>
      <c r="BE57" s="73"/>
      <c r="BF57" s="19">
        <v>0.08</v>
      </c>
      <c r="BG57" s="73"/>
      <c r="BH57" s="73"/>
      <c r="BI57" s="73"/>
      <c r="BJ57" s="19">
        <v>0.12</v>
      </c>
      <c r="BK57" s="19">
        <v>0.05</v>
      </c>
      <c r="BL57" s="139">
        <v>8</v>
      </c>
      <c r="BM57" s="19">
        <v>0.22</v>
      </c>
      <c r="BN57" s="14">
        <f t="shared" si="8"/>
        <v>2507335.6</v>
      </c>
      <c r="BP57" s="76">
        <v>52</v>
      </c>
      <c r="BQ57" s="76">
        <v>4</v>
      </c>
      <c r="BR57" s="76" t="s">
        <v>550</v>
      </c>
      <c r="BS57" s="76">
        <v>9.0000000000000107</v>
      </c>
      <c r="BT57" s="14">
        <f t="shared" si="36"/>
        <v>150</v>
      </c>
      <c r="BU57" s="104">
        <v>11</v>
      </c>
      <c r="BV57" s="104">
        <v>5</v>
      </c>
      <c r="BW57" s="104">
        <v>10</v>
      </c>
      <c r="BX57" s="14">
        <f t="shared" si="9"/>
        <v>0</v>
      </c>
      <c r="BY57" s="14">
        <f t="shared" si="10"/>
        <v>0</v>
      </c>
      <c r="BZ57" s="14">
        <f t="shared" si="11"/>
        <v>0</v>
      </c>
      <c r="CA57" s="14">
        <f t="shared" si="12"/>
        <v>0</v>
      </c>
      <c r="CB57" s="14">
        <f t="shared" si="13"/>
        <v>645</v>
      </c>
      <c r="CC57" s="14">
        <f t="shared" si="14"/>
        <v>0</v>
      </c>
      <c r="CD57" s="14">
        <f t="shared" si="15"/>
        <v>0</v>
      </c>
      <c r="CE57" s="14">
        <f t="shared" si="16"/>
        <v>0</v>
      </c>
      <c r="CF57" s="14">
        <f t="shared" si="17"/>
        <v>174</v>
      </c>
      <c r="CG57" s="14">
        <f t="shared" si="18"/>
        <v>8</v>
      </c>
      <c r="CH57" s="14">
        <f t="shared" si="34"/>
        <v>2507335.6</v>
      </c>
    </row>
    <row r="58" spans="1:86" ht="16.5" x14ac:dyDescent="0.2">
      <c r="A58" s="26">
        <v>9</v>
      </c>
      <c r="B58" s="104">
        <f t="shared" si="39"/>
        <v>3</v>
      </c>
      <c r="C58" s="118">
        <v>1</v>
      </c>
      <c r="D58" s="19">
        <v>0.25</v>
      </c>
      <c r="E58" s="110"/>
      <c r="F58" s="110"/>
      <c r="G58" s="110"/>
      <c r="H58" s="110"/>
      <c r="I58" s="110"/>
      <c r="J58" s="113"/>
      <c r="K58" s="113"/>
      <c r="L58" s="116"/>
      <c r="M58" s="116"/>
      <c r="Q58" s="21">
        <f t="shared" si="40"/>
        <v>0.28125</v>
      </c>
      <c r="R58" s="21">
        <f t="shared" si="38"/>
        <v>0</v>
      </c>
      <c r="S58" s="21">
        <f t="shared" si="38"/>
        <v>0</v>
      </c>
      <c r="T58" s="21">
        <f t="shared" si="38"/>
        <v>0</v>
      </c>
      <c r="U58" s="21">
        <f t="shared" si="38"/>
        <v>0</v>
      </c>
      <c r="V58" s="21">
        <f t="shared" si="38"/>
        <v>0</v>
      </c>
      <c r="W58" s="21">
        <f t="shared" si="38"/>
        <v>0</v>
      </c>
      <c r="X58" s="21">
        <f t="shared" si="38"/>
        <v>0</v>
      </c>
      <c r="Y58" s="21">
        <f t="shared" si="38"/>
        <v>0</v>
      </c>
      <c r="Z58" s="21">
        <f t="shared" si="38"/>
        <v>0</v>
      </c>
      <c r="AA58" s="32">
        <f t="shared" si="41"/>
        <v>31</v>
      </c>
      <c r="AB58" s="32">
        <f t="shared" si="41"/>
        <v>16</v>
      </c>
    </row>
    <row r="59" spans="1:86" ht="16.5" x14ac:dyDescent="0.2">
      <c r="A59" s="26">
        <v>10</v>
      </c>
      <c r="B59" s="104">
        <f t="shared" si="39"/>
        <v>3</v>
      </c>
      <c r="C59" s="118">
        <v>2</v>
      </c>
      <c r="D59" s="19">
        <v>0.5</v>
      </c>
      <c r="E59" s="110"/>
      <c r="F59" s="110"/>
      <c r="G59" s="110"/>
      <c r="H59" s="110"/>
      <c r="I59" s="110"/>
      <c r="J59" s="113"/>
      <c r="K59" s="113"/>
      <c r="L59" s="116"/>
      <c r="M59" s="116"/>
      <c r="Q59" s="21">
        <f t="shared" si="40"/>
        <v>0.3125</v>
      </c>
      <c r="R59" s="21">
        <f t="shared" si="38"/>
        <v>0</v>
      </c>
      <c r="S59" s="21">
        <f t="shared" si="38"/>
        <v>0</v>
      </c>
      <c r="T59" s="21">
        <f t="shared" si="38"/>
        <v>0</v>
      </c>
      <c r="U59" s="21">
        <f t="shared" si="38"/>
        <v>0</v>
      </c>
      <c r="V59" s="21">
        <f t="shared" si="38"/>
        <v>0</v>
      </c>
      <c r="W59" s="21">
        <f t="shared" si="38"/>
        <v>0</v>
      </c>
      <c r="X59" s="21">
        <f t="shared" si="38"/>
        <v>0</v>
      </c>
      <c r="Y59" s="21">
        <f t="shared" si="38"/>
        <v>0</v>
      </c>
      <c r="Z59" s="21">
        <f t="shared" si="38"/>
        <v>0</v>
      </c>
      <c r="AA59" s="32">
        <f t="shared" si="41"/>
        <v>32</v>
      </c>
      <c r="AB59" s="32">
        <f t="shared" si="41"/>
        <v>17</v>
      </c>
    </row>
    <row r="60" spans="1:86" ht="16.5" x14ac:dyDescent="0.2">
      <c r="A60" s="26">
        <v>11</v>
      </c>
      <c r="B60" s="104">
        <f t="shared" si="39"/>
        <v>3</v>
      </c>
      <c r="C60" s="118">
        <v>3</v>
      </c>
      <c r="D60" s="19">
        <v>0.75</v>
      </c>
      <c r="E60" s="110"/>
      <c r="F60" s="110"/>
      <c r="G60" s="110"/>
      <c r="H60" s="110"/>
      <c r="I60" s="110"/>
      <c r="J60" s="113"/>
      <c r="K60" s="113"/>
      <c r="L60" s="116"/>
      <c r="M60" s="116"/>
      <c r="Q60" s="21">
        <f t="shared" si="40"/>
        <v>0.34375</v>
      </c>
      <c r="R60" s="21">
        <f t="shared" si="38"/>
        <v>0</v>
      </c>
      <c r="S60" s="21">
        <f t="shared" si="38"/>
        <v>0</v>
      </c>
      <c r="T60" s="21">
        <f t="shared" si="38"/>
        <v>0</v>
      </c>
      <c r="U60" s="21">
        <f t="shared" si="38"/>
        <v>0</v>
      </c>
      <c r="V60" s="21">
        <f t="shared" si="38"/>
        <v>0</v>
      </c>
      <c r="W60" s="21">
        <f t="shared" si="38"/>
        <v>0</v>
      </c>
      <c r="X60" s="21">
        <f t="shared" si="38"/>
        <v>0</v>
      </c>
      <c r="Y60" s="21">
        <f t="shared" si="38"/>
        <v>0</v>
      </c>
      <c r="Z60" s="21">
        <f t="shared" si="38"/>
        <v>0</v>
      </c>
      <c r="AA60" s="32">
        <f t="shared" si="41"/>
        <v>33</v>
      </c>
      <c r="AB60" s="32">
        <f t="shared" si="41"/>
        <v>18</v>
      </c>
    </row>
    <row r="61" spans="1:86" ht="16.5" x14ac:dyDescent="0.2">
      <c r="A61" s="26">
        <v>12</v>
      </c>
      <c r="B61" s="104">
        <f t="shared" si="39"/>
        <v>3</v>
      </c>
      <c r="C61" s="118">
        <v>4</v>
      </c>
      <c r="D61" s="19">
        <v>1</v>
      </c>
      <c r="E61" s="110"/>
      <c r="F61" s="110"/>
      <c r="G61" s="110"/>
      <c r="H61" s="110"/>
      <c r="I61" s="110"/>
      <c r="J61" s="113"/>
      <c r="K61" s="113"/>
      <c r="L61" s="116"/>
      <c r="M61" s="116"/>
      <c r="Q61" s="21">
        <f t="shared" si="40"/>
        <v>0.375</v>
      </c>
      <c r="R61" s="21">
        <f t="shared" si="38"/>
        <v>0</v>
      </c>
      <c r="S61" s="21">
        <f t="shared" si="38"/>
        <v>0</v>
      </c>
      <c r="T61" s="21">
        <f t="shared" si="38"/>
        <v>0</v>
      </c>
      <c r="U61" s="21">
        <f t="shared" si="38"/>
        <v>0</v>
      </c>
      <c r="V61" s="21">
        <f t="shared" si="38"/>
        <v>0</v>
      </c>
      <c r="W61" s="21">
        <f t="shared" si="38"/>
        <v>0</v>
      </c>
      <c r="X61" s="21">
        <f t="shared" si="38"/>
        <v>0</v>
      </c>
      <c r="Y61" s="21">
        <f t="shared" si="38"/>
        <v>0</v>
      </c>
      <c r="Z61" s="21">
        <f t="shared" si="38"/>
        <v>0</v>
      </c>
      <c r="AA61" s="32">
        <f t="shared" si="41"/>
        <v>35</v>
      </c>
      <c r="AB61" s="32">
        <f t="shared" si="41"/>
        <v>20</v>
      </c>
    </row>
    <row r="62" spans="1:86" ht="16.5" x14ac:dyDescent="0.2">
      <c r="A62" s="26">
        <v>13</v>
      </c>
      <c r="B62" s="104">
        <f t="shared" si="39"/>
        <v>4</v>
      </c>
      <c r="C62" s="118">
        <v>1</v>
      </c>
      <c r="D62" s="19">
        <v>0.25</v>
      </c>
      <c r="E62" s="110"/>
      <c r="F62" s="110"/>
      <c r="G62" s="110"/>
      <c r="H62" s="110"/>
      <c r="I62" s="110"/>
      <c r="J62" s="113"/>
      <c r="K62" s="113"/>
      <c r="L62" s="116"/>
      <c r="M62" s="116"/>
      <c r="Q62" s="21">
        <f t="shared" si="40"/>
        <v>0.40625</v>
      </c>
      <c r="R62" s="21">
        <f t="shared" si="38"/>
        <v>0</v>
      </c>
      <c r="S62" s="21">
        <f t="shared" si="38"/>
        <v>0</v>
      </c>
      <c r="T62" s="21">
        <f t="shared" si="38"/>
        <v>0</v>
      </c>
      <c r="U62" s="21">
        <f t="shared" si="38"/>
        <v>0</v>
      </c>
      <c r="V62" s="21">
        <f t="shared" si="38"/>
        <v>1.2500000000000001E-2</v>
      </c>
      <c r="W62" s="21">
        <f t="shared" si="38"/>
        <v>0</v>
      </c>
      <c r="X62" s="21">
        <f t="shared" si="38"/>
        <v>0</v>
      </c>
      <c r="Y62" s="21">
        <f t="shared" si="38"/>
        <v>0</v>
      </c>
      <c r="Z62" s="21">
        <f t="shared" si="38"/>
        <v>0</v>
      </c>
      <c r="AA62" s="32">
        <f t="shared" si="41"/>
        <v>36</v>
      </c>
      <c r="AB62" s="32">
        <f t="shared" si="41"/>
        <v>21</v>
      </c>
    </row>
    <row r="63" spans="1:86" ht="16.5" x14ac:dyDescent="0.2">
      <c r="A63" s="26">
        <v>14</v>
      </c>
      <c r="B63" s="104">
        <f t="shared" si="39"/>
        <v>4</v>
      </c>
      <c r="C63" s="118">
        <v>2</v>
      </c>
      <c r="D63" s="19">
        <v>0.5</v>
      </c>
      <c r="E63" s="110"/>
      <c r="F63" s="110"/>
      <c r="G63" s="110"/>
      <c r="H63" s="110"/>
      <c r="I63" s="110"/>
      <c r="J63" s="113"/>
      <c r="K63" s="113"/>
      <c r="L63" s="116"/>
      <c r="M63" s="116"/>
      <c r="Q63" s="21">
        <f t="shared" si="40"/>
        <v>0.4375</v>
      </c>
      <c r="R63" s="21">
        <f t="shared" si="38"/>
        <v>0</v>
      </c>
      <c r="S63" s="21">
        <f t="shared" si="38"/>
        <v>0</v>
      </c>
      <c r="T63" s="21">
        <f t="shared" si="38"/>
        <v>0</v>
      </c>
      <c r="U63" s="21">
        <f t="shared" si="38"/>
        <v>0</v>
      </c>
      <c r="V63" s="21">
        <f t="shared" si="38"/>
        <v>2.5000000000000001E-2</v>
      </c>
      <c r="W63" s="21">
        <f t="shared" si="38"/>
        <v>0</v>
      </c>
      <c r="X63" s="21">
        <f t="shared" si="38"/>
        <v>0</v>
      </c>
      <c r="Y63" s="21">
        <f t="shared" si="38"/>
        <v>0</v>
      </c>
      <c r="Z63" s="21">
        <f t="shared" si="38"/>
        <v>0</v>
      </c>
      <c r="AA63" s="32">
        <f t="shared" si="41"/>
        <v>37</v>
      </c>
      <c r="AB63" s="32">
        <f t="shared" si="41"/>
        <v>22</v>
      </c>
    </row>
    <row r="64" spans="1:86" ht="16.5" x14ac:dyDescent="0.2">
      <c r="A64" s="26">
        <v>15</v>
      </c>
      <c r="B64" s="104">
        <f t="shared" si="39"/>
        <v>4</v>
      </c>
      <c r="C64" s="118">
        <v>3</v>
      </c>
      <c r="D64" s="19">
        <v>0.75</v>
      </c>
      <c r="E64" s="110"/>
      <c r="F64" s="110"/>
      <c r="G64" s="110"/>
      <c r="H64" s="110"/>
      <c r="I64" s="110"/>
      <c r="J64" s="113"/>
      <c r="K64" s="113"/>
      <c r="L64" s="116"/>
      <c r="M64" s="116"/>
      <c r="Q64" s="21">
        <f t="shared" si="40"/>
        <v>0.46875</v>
      </c>
      <c r="R64" s="21">
        <f t="shared" si="38"/>
        <v>0</v>
      </c>
      <c r="S64" s="21">
        <f t="shared" si="38"/>
        <v>0</v>
      </c>
      <c r="T64" s="21">
        <f t="shared" si="38"/>
        <v>0</v>
      </c>
      <c r="U64" s="21">
        <f t="shared" si="38"/>
        <v>0</v>
      </c>
      <c r="V64" s="21">
        <f t="shared" si="38"/>
        <v>3.7500000000000006E-2</v>
      </c>
      <c r="W64" s="21">
        <f t="shared" si="38"/>
        <v>0</v>
      </c>
      <c r="X64" s="21">
        <f t="shared" si="38"/>
        <v>0</v>
      </c>
      <c r="Y64" s="21">
        <f t="shared" si="38"/>
        <v>0</v>
      </c>
      <c r="Z64" s="21">
        <f t="shared" si="38"/>
        <v>0</v>
      </c>
      <c r="AA64" s="32">
        <f t="shared" si="41"/>
        <v>38</v>
      </c>
      <c r="AB64" s="32">
        <f t="shared" si="41"/>
        <v>23</v>
      </c>
    </row>
    <row r="65" spans="1:108" ht="16.5" x14ac:dyDescent="0.2">
      <c r="A65" s="26">
        <v>16</v>
      </c>
      <c r="B65" s="104">
        <f t="shared" si="39"/>
        <v>4</v>
      </c>
      <c r="C65" s="118">
        <v>4</v>
      </c>
      <c r="D65" s="19">
        <v>1</v>
      </c>
      <c r="E65" s="110"/>
      <c r="F65" s="110"/>
      <c r="G65" s="110"/>
      <c r="H65" s="110"/>
      <c r="I65" s="110"/>
      <c r="J65" s="113"/>
      <c r="K65" s="113"/>
      <c r="L65" s="116"/>
      <c r="M65" s="116"/>
      <c r="Q65" s="21">
        <f t="shared" si="40"/>
        <v>0.5</v>
      </c>
      <c r="R65" s="21">
        <f t="shared" si="38"/>
        <v>0</v>
      </c>
      <c r="S65" s="21">
        <f t="shared" si="38"/>
        <v>0</v>
      </c>
      <c r="T65" s="21">
        <f t="shared" si="38"/>
        <v>0</v>
      </c>
      <c r="U65" s="21">
        <f t="shared" si="38"/>
        <v>0</v>
      </c>
      <c r="V65" s="21">
        <f t="shared" si="38"/>
        <v>0.05</v>
      </c>
      <c r="W65" s="21">
        <f t="shared" si="38"/>
        <v>0</v>
      </c>
      <c r="X65" s="21">
        <f t="shared" si="38"/>
        <v>0</v>
      </c>
      <c r="Y65" s="21">
        <f t="shared" si="38"/>
        <v>0</v>
      </c>
      <c r="Z65" s="21">
        <f t="shared" si="38"/>
        <v>0</v>
      </c>
      <c r="AA65" s="32">
        <f t="shared" si="41"/>
        <v>40</v>
      </c>
      <c r="AB65" s="32">
        <f t="shared" si="41"/>
        <v>25</v>
      </c>
      <c r="CL65" s="141"/>
      <c r="CM65" s="141"/>
      <c r="CN65" s="141"/>
      <c r="CO65" s="141"/>
      <c r="CP65" s="141"/>
      <c r="CQ65" s="141"/>
      <c r="CR65" s="141"/>
      <c r="CS65" s="141"/>
      <c r="CT65" s="141"/>
      <c r="CU65" s="141"/>
      <c r="CV65" s="141"/>
      <c r="CW65" s="141"/>
      <c r="CX65" s="141"/>
      <c r="CY65" s="141"/>
      <c r="CZ65" s="106"/>
      <c r="DA65" s="15"/>
      <c r="DB65" s="15"/>
      <c r="DC65" s="106"/>
      <c r="DD65" s="106"/>
    </row>
    <row r="66" spans="1:108" ht="16.5" x14ac:dyDescent="0.2">
      <c r="A66" s="26">
        <v>17</v>
      </c>
      <c r="B66" s="104">
        <f t="shared" si="39"/>
        <v>5</v>
      </c>
      <c r="C66" s="118">
        <v>1</v>
      </c>
      <c r="D66" s="19">
        <v>0.25</v>
      </c>
      <c r="E66" s="110"/>
      <c r="F66" s="110"/>
      <c r="G66" s="110"/>
      <c r="H66" s="110"/>
      <c r="I66" s="110"/>
      <c r="J66" s="113"/>
      <c r="K66" s="113"/>
      <c r="L66" s="116"/>
      <c r="M66" s="116"/>
      <c r="Q66" s="21">
        <f t="shared" si="40"/>
        <v>0.47499999999999998</v>
      </c>
      <c r="R66" s="21">
        <f t="shared" si="40"/>
        <v>1.2500000000000001E-2</v>
      </c>
      <c r="S66" s="21">
        <f t="shared" si="40"/>
        <v>0</v>
      </c>
      <c r="T66" s="21">
        <f t="shared" si="40"/>
        <v>0</v>
      </c>
      <c r="U66" s="21">
        <f t="shared" si="40"/>
        <v>0</v>
      </c>
      <c r="V66" s="21">
        <f t="shared" si="40"/>
        <v>5.9375000000000004E-2</v>
      </c>
      <c r="W66" s="21">
        <f t="shared" si="40"/>
        <v>0</v>
      </c>
      <c r="X66" s="21">
        <f t="shared" si="40"/>
        <v>0</v>
      </c>
      <c r="Y66" s="21">
        <f t="shared" si="40"/>
        <v>0</v>
      </c>
      <c r="Z66" s="21">
        <f t="shared" si="40"/>
        <v>0</v>
      </c>
      <c r="AA66" s="32">
        <f t="shared" si="41"/>
        <v>41</v>
      </c>
      <c r="AB66" s="32">
        <f t="shared" si="41"/>
        <v>26</v>
      </c>
      <c r="CL66" s="141"/>
      <c r="CM66" s="141"/>
      <c r="CN66" s="141"/>
      <c r="CO66" s="141"/>
      <c r="CP66" s="141"/>
      <c r="CQ66" s="141"/>
      <c r="CR66" s="141"/>
      <c r="CS66" s="141"/>
      <c r="CT66" s="141"/>
      <c r="CU66" s="141"/>
      <c r="CV66" s="141"/>
      <c r="CW66" s="141"/>
      <c r="CX66" s="141"/>
      <c r="CY66" s="141"/>
      <c r="CZ66" s="106"/>
      <c r="DA66" s="15"/>
      <c r="DB66" s="15"/>
      <c r="DC66" s="106"/>
      <c r="DD66" s="106"/>
    </row>
    <row r="67" spans="1:108" ht="16.5" x14ac:dyDescent="0.2">
      <c r="A67" s="26">
        <v>18</v>
      </c>
      <c r="B67" s="104">
        <f t="shared" si="39"/>
        <v>5</v>
      </c>
      <c r="C67" s="118">
        <v>2</v>
      </c>
      <c r="D67" s="19">
        <v>0.5</v>
      </c>
      <c r="E67" s="110"/>
      <c r="F67" s="110"/>
      <c r="G67" s="110"/>
      <c r="H67" s="110"/>
      <c r="I67" s="110"/>
      <c r="J67" s="113"/>
      <c r="K67" s="113"/>
      <c r="L67" s="116"/>
      <c r="M67" s="116"/>
      <c r="Q67" s="21">
        <f t="shared" si="40"/>
        <v>0.45</v>
      </c>
      <c r="R67" s="21">
        <f t="shared" si="40"/>
        <v>2.5000000000000001E-2</v>
      </c>
      <c r="S67" s="21">
        <f t="shared" si="40"/>
        <v>0</v>
      </c>
      <c r="T67" s="21">
        <f t="shared" si="40"/>
        <v>0</v>
      </c>
      <c r="U67" s="21">
        <f t="shared" si="40"/>
        <v>0</v>
      </c>
      <c r="V67" s="21">
        <f t="shared" si="40"/>
        <v>6.8750000000000006E-2</v>
      </c>
      <c r="W67" s="21">
        <f t="shared" si="40"/>
        <v>0</v>
      </c>
      <c r="X67" s="21">
        <f t="shared" si="40"/>
        <v>0</v>
      </c>
      <c r="Y67" s="21">
        <f t="shared" si="40"/>
        <v>0</v>
      </c>
      <c r="Z67" s="21">
        <f t="shared" si="40"/>
        <v>0</v>
      </c>
      <c r="AA67" s="32">
        <f t="shared" si="41"/>
        <v>42</v>
      </c>
      <c r="AB67" s="32">
        <f t="shared" si="41"/>
        <v>27</v>
      </c>
      <c r="CL67" s="141"/>
      <c r="CM67" s="141"/>
      <c r="CN67" s="141"/>
      <c r="CO67" s="141"/>
      <c r="CP67" s="141"/>
      <c r="CQ67" s="141"/>
      <c r="CR67" s="141"/>
      <c r="CS67" s="141"/>
      <c r="CT67" s="141"/>
      <c r="CU67" s="141"/>
      <c r="CV67" s="141"/>
      <c r="CW67" s="141"/>
      <c r="CX67" s="141"/>
      <c r="CY67" s="141"/>
      <c r="CZ67" s="106"/>
      <c r="DA67" s="15"/>
      <c r="DB67" s="15"/>
      <c r="DC67" s="106"/>
      <c r="DD67" s="106"/>
    </row>
    <row r="68" spans="1:108" ht="16.5" x14ac:dyDescent="0.2">
      <c r="A68" s="26">
        <v>19</v>
      </c>
      <c r="B68" s="104">
        <f t="shared" si="39"/>
        <v>5</v>
      </c>
      <c r="C68" s="118">
        <v>3</v>
      </c>
      <c r="D68" s="19">
        <v>0.75</v>
      </c>
      <c r="E68" s="110"/>
      <c r="F68" s="110"/>
      <c r="G68" s="110"/>
      <c r="H68" s="110"/>
      <c r="I68" s="110"/>
      <c r="J68" s="113"/>
      <c r="K68" s="113"/>
      <c r="L68" s="116"/>
      <c r="M68" s="116"/>
      <c r="Q68" s="21">
        <f t="shared" si="40"/>
        <v>0.42500000000000004</v>
      </c>
      <c r="R68" s="21">
        <f t="shared" si="40"/>
        <v>3.7500000000000006E-2</v>
      </c>
      <c r="S68" s="21">
        <f t="shared" si="40"/>
        <v>0</v>
      </c>
      <c r="T68" s="21">
        <f t="shared" si="40"/>
        <v>0</v>
      </c>
      <c r="U68" s="21">
        <f t="shared" si="40"/>
        <v>0</v>
      </c>
      <c r="V68" s="21">
        <f t="shared" si="40"/>
        <v>7.8124999999999986E-2</v>
      </c>
      <c r="W68" s="21">
        <f t="shared" si="40"/>
        <v>0</v>
      </c>
      <c r="X68" s="21">
        <f t="shared" si="40"/>
        <v>0</v>
      </c>
      <c r="Y68" s="21">
        <f t="shared" si="40"/>
        <v>0</v>
      </c>
      <c r="Z68" s="21">
        <f t="shared" si="40"/>
        <v>0</v>
      </c>
      <c r="AA68" s="32">
        <f t="shared" si="41"/>
        <v>43</v>
      </c>
      <c r="AB68" s="32">
        <f t="shared" si="41"/>
        <v>28</v>
      </c>
      <c r="CL68" s="141"/>
      <c r="CM68" s="141"/>
      <c r="CN68" s="141"/>
      <c r="CO68" s="141"/>
      <c r="CP68" s="141"/>
      <c r="CQ68" s="141"/>
      <c r="CR68" s="141"/>
      <c r="CS68" s="141"/>
      <c r="CT68" s="141"/>
      <c r="CU68" s="141"/>
      <c r="CV68" s="141"/>
      <c r="CW68" s="141"/>
      <c r="CX68" s="141"/>
      <c r="CY68" s="141"/>
      <c r="CZ68" s="106"/>
      <c r="DA68" s="15"/>
      <c r="DB68" s="15"/>
      <c r="DC68" s="106"/>
      <c r="DD68" s="106"/>
    </row>
    <row r="69" spans="1:108" ht="16.5" x14ac:dyDescent="0.2">
      <c r="A69" s="26">
        <v>20</v>
      </c>
      <c r="B69" s="104">
        <f t="shared" si="39"/>
        <v>5</v>
      </c>
      <c r="C69" s="118">
        <v>4</v>
      </c>
      <c r="D69" s="19">
        <v>1</v>
      </c>
      <c r="E69" s="110"/>
      <c r="F69" s="110"/>
      <c r="G69" s="110"/>
      <c r="H69" s="110"/>
      <c r="I69" s="110"/>
      <c r="J69" s="113"/>
      <c r="K69" s="113"/>
      <c r="L69" s="116"/>
      <c r="M69" s="116"/>
      <c r="Q69" s="21">
        <f t="shared" si="40"/>
        <v>0.4</v>
      </c>
      <c r="R69" s="21">
        <f t="shared" si="40"/>
        <v>0.05</v>
      </c>
      <c r="S69" s="21">
        <f t="shared" si="40"/>
        <v>0</v>
      </c>
      <c r="T69" s="21">
        <f t="shared" si="40"/>
        <v>0</v>
      </c>
      <c r="U69" s="21">
        <f t="shared" si="40"/>
        <v>0</v>
      </c>
      <c r="V69" s="21">
        <f t="shared" si="40"/>
        <v>8.7499999999999994E-2</v>
      </c>
      <c r="W69" s="21">
        <f t="shared" si="40"/>
        <v>0</v>
      </c>
      <c r="X69" s="21">
        <f t="shared" si="40"/>
        <v>0</v>
      </c>
      <c r="Y69" s="21">
        <f t="shared" si="40"/>
        <v>0</v>
      </c>
      <c r="Z69" s="21">
        <f t="shared" si="40"/>
        <v>0</v>
      </c>
      <c r="AA69" s="32">
        <f t="shared" si="41"/>
        <v>45</v>
      </c>
      <c r="AB69" s="32">
        <f t="shared" si="41"/>
        <v>30</v>
      </c>
      <c r="CL69" s="141"/>
      <c r="CM69" s="141"/>
      <c r="CN69" s="141"/>
      <c r="CO69" s="141"/>
      <c r="CP69" s="141"/>
      <c r="CQ69" s="141"/>
      <c r="CR69" s="141"/>
      <c r="CS69" s="141"/>
      <c r="CT69" s="141"/>
      <c r="CU69" s="141"/>
      <c r="CV69" s="141"/>
      <c r="CW69" s="141"/>
      <c r="CX69" s="141"/>
      <c r="CY69" s="141"/>
      <c r="CZ69" s="106"/>
      <c r="DA69" s="15"/>
      <c r="DB69" s="15"/>
      <c r="DC69" s="106"/>
      <c r="DD69" s="106"/>
    </row>
    <row r="70" spans="1:108" ht="16.5" x14ac:dyDescent="0.2">
      <c r="A70" s="26">
        <v>21</v>
      </c>
      <c r="B70" s="104">
        <f t="shared" si="39"/>
        <v>6</v>
      </c>
      <c r="C70" s="118">
        <v>1</v>
      </c>
      <c r="D70" s="19">
        <v>0.25</v>
      </c>
      <c r="E70" s="110"/>
      <c r="F70" s="110"/>
      <c r="G70" s="110"/>
      <c r="H70" s="110"/>
      <c r="I70" s="110"/>
      <c r="J70" s="113"/>
      <c r="K70" s="113"/>
      <c r="L70" s="116"/>
      <c r="M70" s="116"/>
      <c r="Q70" s="21">
        <f t="shared" si="40"/>
        <v>0.38125000000000003</v>
      </c>
      <c r="R70" s="21">
        <f t="shared" si="40"/>
        <v>5.9375000000000004E-2</v>
      </c>
      <c r="S70" s="21">
        <f t="shared" si="40"/>
        <v>0</v>
      </c>
      <c r="T70" s="21">
        <f t="shared" si="40"/>
        <v>0</v>
      </c>
      <c r="U70" s="21">
        <f t="shared" si="40"/>
        <v>0</v>
      </c>
      <c r="V70" s="21">
        <f t="shared" si="40"/>
        <v>9.6874999999999989E-2</v>
      </c>
      <c r="W70" s="21">
        <f t="shared" si="40"/>
        <v>0</v>
      </c>
      <c r="X70" s="21">
        <f t="shared" si="40"/>
        <v>0</v>
      </c>
      <c r="Y70" s="21">
        <f t="shared" si="40"/>
        <v>0</v>
      </c>
      <c r="Z70" s="21">
        <f t="shared" si="40"/>
        <v>0</v>
      </c>
      <c r="AA70" s="32">
        <f t="shared" si="41"/>
        <v>46</v>
      </c>
      <c r="AB70" s="32">
        <f t="shared" si="41"/>
        <v>31</v>
      </c>
      <c r="CL70" s="141"/>
      <c r="CM70" s="141"/>
      <c r="CN70" s="141"/>
      <c r="CO70" s="141"/>
      <c r="CP70" s="141"/>
      <c r="CQ70" s="141"/>
      <c r="CR70" s="141"/>
      <c r="CS70" s="141"/>
      <c r="CT70" s="141"/>
      <c r="CU70" s="141"/>
      <c r="CV70" s="141"/>
      <c r="CW70" s="141"/>
      <c r="CX70" s="141"/>
      <c r="CY70" s="141"/>
      <c r="CZ70" s="106"/>
      <c r="DA70" s="15"/>
      <c r="DB70" s="15"/>
      <c r="DC70" s="106"/>
      <c r="DD70" s="106"/>
    </row>
    <row r="71" spans="1:108" ht="16.5" x14ac:dyDescent="0.2">
      <c r="A71" s="26">
        <v>22</v>
      </c>
      <c r="B71" s="104">
        <f t="shared" si="39"/>
        <v>6</v>
      </c>
      <c r="C71" s="118">
        <v>2</v>
      </c>
      <c r="D71" s="19">
        <v>0.5</v>
      </c>
      <c r="E71" s="110"/>
      <c r="F71" s="110"/>
      <c r="G71" s="110"/>
      <c r="H71" s="110"/>
      <c r="I71" s="110"/>
      <c r="J71" s="113"/>
      <c r="K71" s="113"/>
      <c r="L71" s="116"/>
      <c r="M71" s="116"/>
      <c r="Q71" s="21">
        <f t="shared" si="40"/>
        <v>0.36250000000000004</v>
      </c>
      <c r="R71" s="21">
        <f t="shared" si="40"/>
        <v>6.8750000000000006E-2</v>
      </c>
      <c r="S71" s="21">
        <f t="shared" si="40"/>
        <v>0</v>
      </c>
      <c r="T71" s="21">
        <f t="shared" si="40"/>
        <v>0</v>
      </c>
      <c r="U71" s="21">
        <f t="shared" si="40"/>
        <v>0</v>
      </c>
      <c r="V71" s="21">
        <f t="shared" si="40"/>
        <v>0.10625</v>
      </c>
      <c r="W71" s="21">
        <f t="shared" si="40"/>
        <v>0</v>
      </c>
      <c r="X71" s="21">
        <f t="shared" si="40"/>
        <v>0</v>
      </c>
      <c r="Y71" s="21">
        <f t="shared" si="40"/>
        <v>0</v>
      </c>
      <c r="Z71" s="21">
        <f t="shared" si="40"/>
        <v>0</v>
      </c>
      <c r="AA71" s="32">
        <f t="shared" si="41"/>
        <v>47</v>
      </c>
      <c r="AB71" s="32">
        <f t="shared" si="41"/>
        <v>32</v>
      </c>
      <c r="CL71" s="141"/>
      <c r="CM71" s="141"/>
      <c r="CN71" s="141"/>
      <c r="CO71" s="141"/>
      <c r="CP71" s="141"/>
      <c r="CQ71" s="141"/>
      <c r="CR71" s="141"/>
      <c r="CS71" s="141"/>
      <c r="CT71" s="141"/>
      <c r="CU71" s="141"/>
      <c r="CV71" s="141"/>
      <c r="CW71" s="141"/>
      <c r="CX71" s="141"/>
      <c r="CY71" s="141"/>
      <c r="CZ71" s="106"/>
      <c r="DA71" s="15"/>
      <c r="DB71" s="15"/>
      <c r="DC71" s="106"/>
      <c r="DD71" s="106"/>
    </row>
    <row r="72" spans="1:108" ht="16.5" x14ac:dyDescent="0.2">
      <c r="A72" s="26">
        <v>23</v>
      </c>
      <c r="B72" s="104">
        <f t="shared" si="39"/>
        <v>6</v>
      </c>
      <c r="C72" s="118">
        <v>3</v>
      </c>
      <c r="D72" s="19">
        <v>0.75</v>
      </c>
      <c r="E72" s="110"/>
      <c r="F72" s="110"/>
      <c r="G72" s="110"/>
      <c r="H72" s="110"/>
      <c r="I72" s="110"/>
      <c r="J72" s="113"/>
      <c r="K72" s="113"/>
      <c r="L72" s="116"/>
      <c r="M72" s="116"/>
      <c r="Q72" s="21">
        <f t="shared" si="40"/>
        <v>0.34375</v>
      </c>
      <c r="R72" s="21">
        <f t="shared" si="40"/>
        <v>7.8124999999999986E-2</v>
      </c>
      <c r="S72" s="21">
        <f t="shared" si="40"/>
        <v>0</v>
      </c>
      <c r="T72" s="21">
        <f t="shared" si="40"/>
        <v>0</v>
      </c>
      <c r="U72" s="21">
        <f t="shared" si="40"/>
        <v>0</v>
      </c>
      <c r="V72" s="21">
        <f t="shared" si="40"/>
        <v>0.11562500000000001</v>
      </c>
      <c r="W72" s="21">
        <f t="shared" si="40"/>
        <v>0</v>
      </c>
      <c r="X72" s="21">
        <f t="shared" si="40"/>
        <v>0</v>
      </c>
      <c r="Y72" s="21">
        <f t="shared" si="40"/>
        <v>0</v>
      </c>
      <c r="Z72" s="21">
        <f t="shared" si="40"/>
        <v>0</v>
      </c>
      <c r="AA72" s="32">
        <f t="shared" si="41"/>
        <v>48</v>
      </c>
      <c r="AB72" s="32">
        <f t="shared" si="41"/>
        <v>33</v>
      </c>
      <c r="CL72" s="141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06"/>
      <c r="DA72" s="15"/>
      <c r="DB72" s="15"/>
      <c r="DC72" s="106"/>
      <c r="DD72" s="106"/>
    </row>
    <row r="73" spans="1:108" ht="16.5" x14ac:dyDescent="0.2">
      <c r="A73" s="26">
        <v>24</v>
      </c>
      <c r="B73" s="104">
        <f t="shared" si="39"/>
        <v>6</v>
      </c>
      <c r="C73" s="118">
        <v>4</v>
      </c>
      <c r="D73" s="19">
        <v>1</v>
      </c>
      <c r="E73" s="110"/>
      <c r="F73" s="110"/>
      <c r="G73" s="110"/>
      <c r="H73" s="110"/>
      <c r="I73" s="110"/>
      <c r="J73" s="113"/>
      <c r="K73" s="113"/>
      <c r="L73" s="116"/>
      <c r="M73" s="116"/>
      <c r="Q73" s="21">
        <f t="shared" si="40"/>
        <v>0.32500000000000001</v>
      </c>
      <c r="R73" s="21">
        <f t="shared" si="40"/>
        <v>8.7499999999999994E-2</v>
      </c>
      <c r="S73" s="21">
        <f t="shared" si="40"/>
        <v>0</v>
      </c>
      <c r="T73" s="21">
        <f t="shared" si="40"/>
        <v>0</v>
      </c>
      <c r="U73" s="21">
        <f t="shared" si="40"/>
        <v>0</v>
      </c>
      <c r="V73" s="21">
        <f t="shared" si="40"/>
        <v>0.125</v>
      </c>
      <c r="W73" s="21">
        <f t="shared" si="40"/>
        <v>0</v>
      </c>
      <c r="X73" s="21">
        <f t="shared" si="40"/>
        <v>0</v>
      </c>
      <c r="Y73" s="21">
        <f t="shared" si="40"/>
        <v>0</v>
      </c>
      <c r="Z73" s="21">
        <f t="shared" si="40"/>
        <v>0</v>
      </c>
      <c r="AA73" s="32">
        <f t="shared" si="41"/>
        <v>50</v>
      </c>
      <c r="AB73" s="32">
        <f t="shared" si="41"/>
        <v>35</v>
      </c>
      <c r="CL73" s="141"/>
      <c r="CM73" s="141"/>
      <c r="CN73" s="141"/>
      <c r="CO73" s="141"/>
      <c r="CP73" s="141"/>
      <c r="CQ73" s="141"/>
      <c r="CR73" s="141"/>
      <c r="CS73" s="141"/>
      <c r="CT73" s="141"/>
      <c r="CU73" s="141"/>
      <c r="CV73" s="141"/>
      <c r="CW73" s="141"/>
      <c r="CX73" s="141"/>
      <c r="CY73" s="141"/>
      <c r="CZ73" s="106"/>
      <c r="DA73" s="15"/>
      <c r="DB73" s="15"/>
      <c r="DC73" s="106"/>
      <c r="DD73" s="106"/>
    </row>
    <row r="74" spans="1:108" ht="16.5" x14ac:dyDescent="0.2">
      <c r="A74" s="26">
        <v>25</v>
      </c>
      <c r="B74" s="104">
        <f t="shared" si="39"/>
        <v>7</v>
      </c>
      <c r="C74" s="118">
        <v>1</v>
      </c>
      <c r="D74" s="19">
        <v>0.25</v>
      </c>
      <c r="E74" s="110"/>
      <c r="F74" s="110"/>
      <c r="G74" s="110"/>
      <c r="H74" s="110"/>
      <c r="I74" s="110"/>
      <c r="J74" s="113"/>
      <c r="K74" s="113"/>
      <c r="L74" s="116"/>
      <c r="M74" s="116"/>
      <c r="Q74" s="21">
        <f t="shared" si="40"/>
        <v>0.30625000000000002</v>
      </c>
      <c r="R74" s="21">
        <f t="shared" si="40"/>
        <v>9.6874999999999989E-2</v>
      </c>
      <c r="S74" s="21">
        <f t="shared" si="40"/>
        <v>0</v>
      </c>
      <c r="T74" s="21">
        <f t="shared" si="40"/>
        <v>0</v>
      </c>
      <c r="U74" s="21">
        <f t="shared" si="40"/>
        <v>0</v>
      </c>
      <c r="V74" s="21">
        <f t="shared" si="40"/>
        <v>0.13437499999999999</v>
      </c>
      <c r="W74" s="21">
        <f t="shared" si="40"/>
        <v>0</v>
      </c>
      <c r="X74" s="21">
        <f t="shared" si="40"/>
        <v>0</v>
      </c>
      <c r="Y74" s="21">
        <f t="shared" si="40"/>
        <v>0</v>
      </c>
      <c r="Z74" s="21">
        <f t="shared" si="40"/>
        <v>0</v>
      </c>
      <c r="AA74" s="32">
        <f t="shared" si="41"/>
        <v>52</v>
      </c>
      <c r="AB74" s="32">
        <f t="shared" si="41"/>
        <v>36</v>
      </c>
      <c r="CL74" s="141"/>
      <c r="CM74" s="141"/>
      <c r="CN74" s="141"/>
      <c r="CO74" s="141"/>
      <c r="CP74" s="141"/>
      <c r="CQ74" s="141"/>
      <c r="CR74" s="141"/>
      <c r="CS74" s="141"/>
      <c r="CT74" s="141"/>
      <c r="CU74" s="141"/>
      <c r="CV74" s="141"/>
      <c r="CW74" s="141"/>
      <c r="CX74" s="141"/>
      <c r="CY74" s="141"/>
      <c r="CZ74" s="106"/>
      <c r="DA74" s="15"/>
      <c r="DB74" s="15"/>
      <c r="DC74" s="106"/>
      <c r="DD74" s="106"/>
    </row>
    <row r="75" spans="1:108" ht="16.5" x14ac:dyDescent="0.2">
      <c r="A75" s="26">
        <v>26</v>
      </c>
      <c r="B75" s="104">
        <f t="shared" si="39"/>
        <v>7</v>
      </c>
      <c r="C75" s="118">
        <v>2</v>
      </c>
      <c r="D75" s="19">
        <v>0.5</v>
      </c>
      <c r="E75" s="110"/>
      <c r="F75" s="110"/>
      <c r="G75" s="110"/>
      <c r="H75" s="110"/>
      <c r="I75" s="110"/>
      <c r="J75" s="113"/>
      <c r="K75" s="113"/>
      <c r="L75" s="116"/>
      <c r="M75" s="116"/>
      <c r="Q75" s="21">
        <f t="shared" si="40"/>
        <v>0.28749999999999998</v>
      </c>
      <c r="R75" s="21">
        <f t="shared" si="40"/>
        <v>0.10625</v>
      </c>
      <c r="S75" s="21">
        <f t="shared" si="40"/>
        <v>0</v>
      </c>
      <c r="T75" s="21">
        <f t="shared" si="40"/>
        <v>0</v>
      </c>
      <c r="U75" s="21">
        <f t="shared" si="40"/>
        <v>0</v>
      </c>
      <c r="V75" s="21">
        <f t="shared" si="40"/>
        <v>0.14374999999999999</v>
      </c>
      <c r="W75" s="21">
        <f t="shared" si="40"/>
        <v>0</v>
      </c>
      <c r="X75" s="21">
        <f t="shared" si="40"/>
        <v>0</v>
      </c>
      <c r="Y75" s="21">
        <f t="shared" si="40"/>
        <v>0</v>
      </c>
      <c r="Z75" s="21">
        <f t="shared" si="40"/>
        <v>0</v>
      </c>
      <c r="AA75" s="32">
        <f t="shared" si="41"/>
        <v>55</v>
      </c>
      <c r="AB75" s="32">
        <f t="shared" si="41"/>
        <v>37</v>
      </c>
      <c r="CL75" s="141"/>
      <c r="CM75" s="141"/>
      <c r="CN75" s="141"/>
      <c r="CO75" s="141"/>
      <c r="CP75" s="141"/>
      <c r="CQ75" s="141"/>
      <c r="CR75" s="141"/>
      <c r="CS75" s="141"/>
      <c r="CT75" s="141"/>
      <c r="CU75" s="141"/>
      <c r="CV75" s="141"/>
      <c r="CW75" s="141"/>
      <c r="CX75" s="141"/>
      <c r="CY75" s="141"/>
      <c r="CZ75" s="106"/>
      <c r="DA75" s="15"/>
      <c r="DB75" s="15"/>
      <c r="DC75" s="106"/>
      <c r="DD75" s="106"/>
    </row>
    <row r="76" spans="1:108" ht="16.5" x14ac:dyDescent="0.2">
      <c r="A76" s="26">
        <v>27</v>
      </c>
      <c r="B76" s="104">
        <f t="shared" si="39"/>
        <v>7</v>
      </c>
      <c r="C76" s="118">
        <v>3</v>
      </c>
      <c r="D76" s="19">
        <v>0.75</v>
      </c>
      <c r="E76" s="110"/>
      <c r="F76" s="110"/>
      <c r="G76" s="110"/>
      <c r="H76" s="110"/>
      <c r="I76" s="110"/>
      <c r="J76" s="113"/>
      <c r="K76" s="113"/>
      <c r="L76" s="116"/>
      <c r="M76" s="116"/>
      <c r="Q76" s="21">
        <f t="shared" si="40"/>
        <v>0.26874999999999999</v>
      </c>
      <c r="R76" s="21">
        <f t="shared" si="40"/>
        <v>0.11562500000000001</v>
      </c>
      <c r="S76" s="21">
        <f t="shared" si="40"/>
        <v>0</v>
      </c>
      <c r="T76" s="21">
        <f t="shared" si="40"/>
        <v>0</v>
      </c>
      <c r="U76" s="21">
        <f t="shared" si="40"/>
        <v>0</v>
      </c>
      <c r="V76" s="21">
        <f t="shared" si="40"/>
        <v>0.15312500000000001</v>
      </c>
      <c r="W76" s="21">
        <f t="shared" si="40"/>
        <v>0</v>
      </c>
      <c r="X76" s="21">
        <f t="shared" si="40"/>
        <v>0</v>
      </c>
      <c r="Y76" s="21">
        <f t="shared" si="40"/>
        <v>0</v>
      </c>
      <c r="Z76" s="21">
        <f t="shared" si="40"/>
        <v>0</v>
      </c>
      <c r="AA76" s="32">
        <f t="shared" si="41"/>
        <v>57</v>
      </c>
      <c r="AB76" s="32">
        <f t="shared" si="41"/>
        <v>38</v>
      </c>
      <c r="CL76" s="141"/>
      <c r="CM76" s="141"/>
      <c r="CN76" s="141"/>
      <c r="CO76" s="141"/>
      <c r="CP76" s="141"/>
      <c r="CQ76" s="141"/>
      <c r="CR76" s="141"/>
      <c r="CS76" s="141"/>
      <c r="CT76" s="141"/>
      <c r="CU76" s="141"/>
      <c r="CV76" s="141"/>
      <c r="CW76" s="141"/>
      <c r="CX76" s="141"/>
      <c r="CY76" s="141"/>
      <c r="CZ76" s="106"/>
      <c r="DA76" s="15"/>
      <c r="DB76" s="15"/>
      <c r="DC76" s="106"/>
      <c r="DD76" s="106"/>
    </row>
    <row r="77" spans="1:108" ht="16.5" x14ac:dyDescent="0.2">
      <c r="A77" s="26">
        <v>28</v>
      </c>
      <c r="B77" s="104">
        <f t="shared" si="39"/>
        <v>7</v>
      </c>
      <c r="C77" s="118">
        <v>4</v>
      </c>
      <c r="D77" s="19">
        <v>1</v>
      </c>
      <c r="E77" s="110"/>
      <c r="F77" s="110"/>
      <c r="G77" s="110"/>
      <c r="H77" s="110"/>
      <c r="I77" s="110"/>
      <c r="J77" s="113"/>
      <c r="K77" s="113"/>
      <c r="L77" s="116"/>
      <c r="M77" s="116"/>
      <c r="Q77" s="21">
        <f t="shared" si="40"/>
        <v>0.25</v>
      </c>
      <c r="R77" s="21">
        <f t="shared" si="40"/>
        <v>0.125</v>
      </c>
      <c r="S77" s="21">
        <f t="shared" si="40"/>
        <v>0</v>
      </c>
      <c r="T77" s="21">
        <f t="shared" si="40"/>
        <v>0</v>
      </c>
      <c r="U77" s="21">
        <f t="shared" si="40"/>
        <v>0</v>
      </c>
      <c r="V77" s="21">
        <f t="shared" si="40"/>
        <v>0.16250000000000001</v>
      </c>
      <c r="W77" s="21">
        <f t="shared" si="40"/>
        <v>0</v>
      </c>
      <c r="X77" s="21">
        <f t="shared" si="40"/>
        <v>0</v>
      </c>
      <c r="Y77" s="21">
        <f t="shared" si="40"/>
        <v>0</v>
      </c>
      <c r="Z77" s="21">
        <f t="shared" si="40"/>
        <v>0</v>
      </c>
      <c r="AA77" s="32">
        <f t="shared" si="41"/>
        <v>60</v>
      </c>
      <c r="AB77" s="32">
        <f t="shared" si="41"/>
        <v>40</v>
      </c>
      <c r="CL77" s="141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06"/>
      <c r="DA77" s="15"/>
      <c r="DB77" s="15"/>
      <c r="DC77" s="106"/>
      <c r="DD77" s="106"/>
    </row>
    <row r="78" spans="1:108" ht="16.5" x14ac:dyDescent="0.2">
      <c r="A78" s="26">
        <v>29</v>
      </c>
      <c r="B78" s="104">
        <f t="shared" si="39"/>
        <v>8</v>
      </c>
      <c r="C78" s="118">
        <v>1</v>
      </c>
      <c r="D78" s="19">
        <v>0.25</v>
      </c>
      <c r="E78" s="110"/>
      <c r="F78" s="110"/>
      <c r="G78" s="110"/>
      <c r="H78" s="110"/>
      <c r="I78" s="110"/>
      <c r="J78" s="113"/>
      <c r="K78" s="113"/>
      <c r="L78" s="116"/>
      <c r="M78" s="116"/>
      <c r="Q78" s="21">
        <f t="shared" si="40"/>
        <v>0.23125000000000001</v>
      </c>
      <c r="R78" s="21">
        <f t="shared" si="40"/>
        <v>0.13437499999999999</v>
      </c>
      <c r="S78" s="21">
        <f t="shared" si="40"/>
        <v>0</v>
      </c>
      <c r="T78" s="21">
        <f t="shared" si="40"/>
        <v>0</v>
      </c>
      <c r="U78" s="21">
        <f t="shared" si="40"/>
        <v>0</v>
      </c>
      <c r="V78" s="21">
        <f t="shared" si="40"/>
        <v>0.171875</v>
      </c>
      <c r="W78" s="21">
        <f t="shared" si="40"/>
        <v>0</v>
      </c>
      <c r="X78" s="21">
        <f t="shared" si="40"/>
        <v>0</v>
      </c>
      <c r="Y78" s="21">
        <f t="shared" si="40"/>
        <v>0</v>
      </c>
      <c r="Z78" s="21">
        <f t="shared" si="40"/>
        <v>0</v>
      </c>
      <c r="AA78" s="32">
        <f t="shared" si="41"/>
        <v>62</v>
      </c>
      <c r="AB78" s="32">
        <f t="shared" si="41"/>
        <v>41</v>
      </c>
      <c r="CL78" s="141"/>
      <c r="CM78" s="141"/>
      <c r="CN78" s="141"/>
      <c r="CO78" s="141"/>
      <c r="CP78" s="141"/>
      <c r="CQ78" s="141"/>
      <c r="CR78" s="141"/>
      <c r="CS78" s="141"/>
      <c r="CT78" s="141"/>
      <c r="CU78" s="141"/>
      <c r="CV78" s="141"/>
      <c r="CW78" s="141"/>
      <c r="CX78" s="141"/>
      <c r="CY78" s="141"/>
      <c r="CZ78" s="106"/>
      <c r="DA78" s="15"/>
      <c r="DB78" s="15"/>
      <c r="DC78" s="106"/>
      <c r="DD78" s="106"/>
    </row>
    <row r="79" spans="1:108" ht="16.5" x14ac:dyDescent="0.2">
      <c r="A79" s="26">
        <v>30</v>
      </c>
      <c r="B79" s="104">
        <f t="shared" si="39"/>
        <v>8</v>
      </c>
      <c r="C79" s="118">
        <v>2</v>
      </c>
      <c r="D79" s="19">
        <v>0.5</v>
      </c>
      <c r="E79" s="110"/>
      <c r="F79" s="110"/>
      <c r="G79" s="110"/>
      <c r="H79" s="110"/>
      <c r="I79" s="110"/>
      <c r="J79" s="113"/>
      <c r="K79" s="113"/>
      <c r="L79" s="116"/>
      <c r="M79" s="116"/>
      <c r="Q79" s="21">
        <f t="shared" si="40"/>
        <v>0.21249999999999999</v>
      </c>
      <c r="R79" s="21">
        <f t="shared" si="40"/>
        <v>0.14374999999999999</v>
      </c>
      <c r="S79" s="21">
        <f t="shared" si="40"/>
        <v>0</v>
      </c>
      <c r="T79" s="21">
        <f t="shared" si="40"/>
        <v>0</v>
      </c>
      <c r="U79" s="21">
        <f t="shared" si="40"/>
        <v>0</v>
      </c>
      <c r="V79" s="21">
        <f t="shared" si="40"/>
        <v>0.18125000000000002</v>
      </c>
      <c r="W79" s="21">
        <f t="shared" si="40"/>
        <v>0</v>
      </c>
      <c r="X79" s="21">
        <f t="shared" si="40"/>
        <v>0</v>
      </c>
      <c r="Y79" s="21">
        <f t="shared" si="40"/>
        <v>0</v>
      </c>
      <c r="Z79" s="21">
        <f t="shared" si="40"/>
        <v>0</v>
      </c>
      <c r="AA79" s="32">
        <f t="shared" si="41"/>
        <v>65</v>
      </c>
      <c r="AB79" s="32">
        <f t="shared" si="41"/>
        <v>42</v>
      </c>
      <c r="CL79" s="141"/>
      <c r="CM79" s="141"/>
      <c r="CN79" s="141"/>
      <c r="CO79" s="141"/>
      <c r="CP79" s="141"/>
      <c r="CQ79" s="141"/>
      <c r="CR79" s="141"/>
      <c r="CS79" s="141"/>
      <c r="CT79" s="141"/>
      <c r="CU79" s="141"/>
      <c r="CV79" s="141"/>
      <c r="CW79" s="141"/>
      <c r="CX79" s="141"/>
      <c r="CY79" s="141"/>
      <c r="CZ79" s="106"/>
      <c r="DA79" s="15"/>
      <c r="DB79" s="15"/>
      <c r="DC79" s="106"/>
      <c r="DD79" s="106"/>
    </row>
    <row r="80" spans="1:108" ht="16.5" x14ac:dyDescent="0.2">
      <c r="A80" s="26">
        <v>31</v>
      </c>
      <c r="B80" s="104">
        <f t="shared" si="39"/>
        <v>8</v>
      </c>
      <c r="C80" s="118">
        <v>3</v>
      </c>
      <c r="D80" s="19">
        <v>0.75</v>
      </c>
      <c r="E80" s="110"/>
      <c r="F80" s="110"/>
      <c r="G80" s="110"/>
      <c r="H80" s="110"/>
      <c r="I80" s="110"/>
      <c r="J80" s="113"/>
      <c r="K80" s="113"/>
      <c r="L80" s="116"/>
      <c r="M80" s="116"/>
      <c r="Q80" s="21">
        <f t="shared" si="40"/>
        <v>0.19374999999999998</v>
      </c>
      <c r="R80" s="21">
        <f t="shared" si="40"/>
        <v>0.15312500000000001</v>
      </c>
      <c r="S80" s="21">
        <f t="shared" si="40"/>
        <v>0</v>
      </c>
      <c r="T80" s="21">
        <f t="shared" si="40"/>
        <v>0</v>
      </c>
      <c r="U80" s="21">
        <f t="shared" si="40"/>
        <v>0</v>
      </c>
      <c r="V80" s="21">
        <f t="shared" si="40"/>
        <v>0.19062500000000002</v>
      </c>
      <c r="W80" s="21">
        <f t="shared" si="40"/>
        <v>0</v>
      </c>
      <c r="X80" s="21">
        <f t="shared" si="40"/>
        <v>0</v>
      </c>
      <c r="Y80" s="21">
        <f t="shared" si="40"/>
        <v>0</v>
      </c>
      <c r="Z80" s="21">
        <f t="shared" si="40"/>
        <v>0</v>
      </c>
      <c r="AA80" s="32">
        <f t="shared" si="41"/>
        <v>67</v>
      </c>
      <c r="AB80" s="32">
        <f t="shared" si="41"/>
        <v>43</v>
      </c>
      <c r="CL80" s="141"/>
      <c r="CM80" s="141"/>
      <c r="CN80" s="141"/>
      <c r="CO80" s="141"/>
      <c r="CP80" s="141"/>
      <c r="CQ80" s="141"/>
      <c r="CR80" s="141"/>
      <c r="CS80" s="141"/>
      <c r="CT80" s="141"/>
      <c r="CU80" s="141"/>
      <c r="CV80" s="141"/>
      <c r="CW80" s="141"/>
      <c r="CX80" s="141"/>
      <c r="CY80" s="141"/>
      <c r="CZ80" s="106"/>
      <c r="DA80" s="15"/>
      <c r="DB80" s="15"/>
      <c r="DC80" s="106"/>
      <c r="DD80" s="106"/>
    </row>
    <row r="81" spans="1:108" ht="16.5" x14ac:dyDescent="0.2">
      <c r="A81" s="26">
        <v>32</v>
      </c>
      <c r="B81" s="104">
        <f t="shared" si="39"/>
        <v>8</v>
      </c>
      <c r="C81" s="118">
        <v>4</v>
      </c>
      <c r="D81" s="19">
        <v>1</v>
      </c>
      <c r="E81" s="110"/>
      <c r="F81" s="110"/>
      <c r="G81" s="110"/>
      <c r="H81" s="110"/>
      <c r="I81" s="110"/>
      <c r="J81" s="113"/>
      <c r="K81" s="113"/>
      <c r="L81" s="116"/>
      <c r="M81" s="116"/>
      <c r="Q81" s="21">
        <f t="shared" si="40"/>
        <v>0.17499999999999999</v>
      </c>
      <c r="R81" s="21">
        <f t="shared" si="40"/>
        <v>0.16250000000000001</v>
      </c>
      <c r="S81" s="21">
        <f t="shared" si="40"/>
        <v>0</v>
      </c>
      <c r="T81" s="21">
        <f t="shared" si="40"/>
        <v>0</v>
      </c>
      <c r="U81" s="21">
        <f t="shared" si="40"/>
        <v>0</v>
      </c>
      <c r="V81" s="21">
        <f t="shared" si="40"/>
        <v>0.2</v>
      </c>
      <c r="W81" s="21">
        <f t="shared" si="40"/>
        <v>0</v>
      </c>
      <c r="X81" s="21">
        <f t="shared" si="40"/>
        <v>0</v>
      </c>
      <c r="Y81" s="21">
        <f t="shared" si="40"/>
        <v>0</v>
      </c>
      <c r="Z81" s="21">
        <f t="shared" si="40"/>
        <v>0</v>
      </c>
      <c r="AA81" s="32">
        <f t="shared" si="41"/>
        <v>70</v>
      </c>
      <c r="AB81" s="32">
        <f t="shared" si="41"/>
        <v>45</v>
      </c>
      <c r="CL81" s="141"/>
      <c r="CM81" s="141"/>
      <c r="CN81" s="141"/>
      <c r="CO81" s="141"/>
      <c r="CP81" s="141"/>
      <c r="CQ81" s="141"/>
      <c r="CR81" s="141"/>
      <c r="CS81" s="141"/>
      <c r="CT81" s="141"/>
      <c r="CU81" s="141"/>
      <c r="CV81" s="141"/>
      <c r="CW81" s="141"/>
      <c r="CX81" s="141"/>
      <c r="CY81" s="141"/>
      <c r="CZ81" s="106"/>
      <c r="DA81" s="15"/>
      <c r="DB81" s="15"/>
      <c r="DC81" s="106"/>
      <c r="DD81" s="106"/>
    </row>
    <row r="82" spans="1:108" ht="16.5" x14ac:dyDescent="0.2">
      <c r="A82" s="26">
        <v>33</v>
      </c>
      <c r="B82" s="104">
        <f t="shared" si="39"/>
        <v>9</v>
      </c>
      <c r="C82" s="118">
        <v>1</v>
      </c>
      <c r="D82" s="19">
        <v>0.25</v>
      </c>
      <c r="E82" s="110"/>
      <c r="F82" s="110"/>
      <c r="G82" s="110"/>
      <c r="H82" s="110"/>
      <c r="I82" s="110"/>
      <c r="J82" s="113"/>
      <c r="K82" s="113"/>
      <c r="L82" s="116"/>
      <c r="M82" s="116"/>
      <c r="Q82" s="21">
        <f t="shared" si="40"/>
        <v>0.15624999999999997</v>
      </c>
      <c r="R82" s="21">
        <f t="shared" si="40"/>
        <v>0.171875</v>
      </c>
      <c r="S82" s="21">
        <f t="shared" si="40"/>
        <v>0</v>
      </c>
      <c r="T82" s="21">
        <f t="shared" si="40"/>
        <v>0</v>
      </c>
      <c r="U82" s="21">
        <f t="shared" si="40"/>
        <v>0</v>
      </c>
      <c r="V82" s="21">
        <f t="shared" si="40"/>
        <v>0.21250000000000002</v>
      </c>
      <c r="W82" s="21">
        <f t="shared" si="40"/>
        <v>0</v>
      </c>
      <c r="X82" s="21">
        <f t="shared" si="40"/>
        <v>0</v>
      </c>
      <c r="Y82" s="21">
        <f t="shared" si="40"/>
        <v>0</v>
      </c>
      <c r="Z82" s="21">
        <f t="shared" si="40"/>
        <v>0</v>
      </c>
      <c r="AA82" s="32">
        <f t="shared" si="41"/>
        <v>72</v>
      </c>
      <c r="AB82" s="32">
        <f t="shared" si="41"/>
        <v>46</v>
      </c>
      <c r="CL82" s="141"/>
      <c r="CM82" s="141"/>
      <c r="CN82" s="141"/>
      <c r="CO82" s="141"/>
      <c r="CP82" s="141"/>
      <c r="CQ82" s="141"/>
      <c r="CR82" s="141"/>
      <c r="CS82" s="141"/>
      <c r="CT82" s="141"/>
      <c r="CU82" s="141"/>
      <c r="CV82" s="141"/>
      <c r="CW82" s="141"/>
      <c r="CX82" s="141"/>
      <c r="CY82" s="141"/>
      <c r="CZ82" s="106"/>
      <c r="DA82" s="15"/>
      <c r="DB82" s="15"/>
      <c r="DC82" s="106"/>
      <c r="DD82" s="106"/>
    </row>
    <row r="83" spans="1:108" ht="16.5" x14ac:dyDescent="0.2">
      <c r="A83" s="26">
        <v>34</v>
      </c>
      <c r="B83" s="104">
        <f t="shared" si="39"/>
        <v>9</v>
      </c>
      <c r="C83" s="118">
        <v>2</v>
      </c>
      <c r="D83" s="19">
        <v>0.5</v>
      </c>
      <c r="E83" s="110"/>
      <c r="F83" s="110"/>
      <c r="G83" s="110"/>
      <c r="H83" s="110"/>
      <c r="I83" s="110"/>
      <c r="J83" s="113"/>
      <c r="K83" s="113"/>
      <c r="L83" s="116"/>
      <c r="M83" s="116"/>
      <c r="Q83" s="21">
        <f t="shared" ref="Q83:Z108" si="42">(INDEX(Q$7:Q$37,$B83)*(1-$D83)+INDEX(Q$7:Q$37,$B83+1)*$D83)*Q$4*$B$2</f>
        <v>0.13750000000000001</v>
      </c>
      <c r="R83" s="21">
        <f t="shared" si="42"/>
        <v>0.18125000000000002</v>
      </c>
      <c r="S83" s="21">
        <f t="shared" si="42"/>
        <v>0</v>
      </c>
      <c r="T83" s="21">
        <f t="shared" si="42"/>
        <v>0</v>
      </c>
      <c r="U83" s="21">
        <f t="shared" si="42"/>
        <v>0</v>
      </c>
      <c r="V83" s="21">
        <f t="shared" si="42"/>
        <v>0.22500000000000001</v>
      </c>
      <c r="W83" s="21">
        <f t="shared" si="42"/>
        <v>0</v>
      </c>
      <c r="X83" s="21">
        <f t="shared" si="42"/>
        <v>0</v>
      </c>
      <c r="Y83" s="21">
        <f t="shared" si="42"/>
        <v>0</v>
      </c>
      <c r="Z83" s="21">
        <f t="shared" si="42"/>
        <v>0</v>
      </c>
      <c r="AA83" s="32">
        <f t="shared" ref="AA83:AB114" si="43">INT((INDEX(AA$7:AA$37,$B83)*(1-$D83)+INDEX(AA$7:AA$37,$B83+1)*$D83)*AA$4*$B$2)</f>
        <v>75</v>
      </c>
      <c r="AB83" s="32">
        <f t="shared" si="43"/>
        <v>47</v>
      </c>
      <c r="CL83" s="141"/>
      <c r="CM83" s="141"/>
      <c r="CN83" s="141"/>
      <c r="CO83" s="141"/>
      <c r="CP83" s="141"/>
      <c r="CQ83" s="141"/>
      <c r="CR83" s="141"/>
      <c r="CS83" s="141"/>
      <c r="CT83" s="141"/>
      <c r="CU83" s="141"/>
      <c r="CV83" s="141"/>
      <c r="CW83" s="141"/>
      <c r="CX83" s="141"/>
      <c r="CY83" s="141"/>
      <c r="CZ83" s="106"/>
      <c r="DA83" s="15"/>
      <c r="DB83" s="15"/>
      <c r="DC83" s="106"/>
      <c r="DD83" s="106"/>
    </row>
    <row r="84" spans="1:108" ht="16.5" x14ac:dyDescent="0.2">
      <c r="A84" s="26">
        <v>35</v>
      </c>
      <c r="B84" s="104">
        <f t="shared" si="39"/>
        <v>9</v>
      </c>
      <c r="C84" s="118">
        <v>3</v>
      </c>
      <c r="D84" s="19">
        <v>0.75</v>
      </c>
      <c r="E84" s="110"/>
      <c r="F84" s="110"/>
      <c r="G84" s="110"/>
      <c r="H84" s="110"/>
      <c r="I84" s="110"/>
      <c r="J84" s="113"/>
      <c r="K84" s="113"/>
      <c r="L84" s="116"/>
      <c r="M84" s="116"/>
      <c r="Q84" s="21">
        <f t="shared" si="42"/>
        <v>0.11875000000000001</v>
      </c>
      <c r="R84" s="21">
        <f t="shared" si="42"/>
        <v>0.19062500000000002</v>
      </c>
      <c r="S84" s="21">
        <f t="shared" si="42"/>
        <v>0</v>
      </c>
      <c r="T84" s="21">
        <f t="shared" si="42"/>
        <v>0</v>
      </c>
      <c r="U84" s="21">
        <f t="shared" si="42"/>
        <v>0</v>
      </c>
      <c r="V84" s="21">
        <f t="shared" si="42"/>
        <v>0.23749999999999999</v>
      </c>
      <c r="W84" s="21">
        <f t="shared" si="42"/>
        <v>0</v>
      </c>
      <c r="X84" s="21">
        <f t="shared" si="42"/>
        <v>0</v>
      </c>
      <c r="Y84" s="21">
        <f t="shared" si="42"/>
        <v>0</v>
      </c>
      <c r="Z84" s="21">
        <f t="shared" si="42"/>
        <v>0</v>
      </c>
      <c r="AA84" s="32">
        <f t="shared" si="43"/>
        <v>77</v>
      </c>
      <c r="AB84" s="32">
        <f t="shared" si="43"/>
        <v>48</v>
      </c>
      <c r="CL84" s="141"/>
      <c r="CM84" s="141"/>
      <c r="CN84" s="141"/>
      <c r="CO84" s="141"/>
      <c r="CP84" s="141"/>
      <c r="CQ84" s="141"/>
      <c r="CR84" s="141"/>
      <c r="CS84" s="141"/>
      <c r="CT84" s="141"/>
      <c r="CU84" s="141"/>
      <c r="CV84" s="141"/>
      <c r="CW84" s="141"/>
      <c r="CX84" s="141"/>
      <c r="CY84" s="141"/>
      <c r="CZ84" s="106"/>
      <c r="DA84" s="15"/>
      <c r="DB84" s="15"/>
      <c r="DC84" s="106"/>
      <c r="DD84" s="106"/>
    </row>
    <row r="85" spans="1:108" ht="16.5" x14ac:dyDescent="0.2">
      <c r="A85" s="26">
        <v>36</v>
      </c>
      <c r="B85" s="104">
        <f t="shared" si="39"/>
        <v>9</v>
      </c>
      <c r="C85" s="118">
        <v>4</v>
      </c>
      <c r="D85" s="19">
        <v>1</v>
      </c>
      <c r="E85" s="110"/>
      <c r="F85" s="110"/>
      <c r="G85" s="110"/>
      <c r="H85" s="110"/>
      <c r="I85" s="110"/>
      <c r="J85" s="113"/>
      <c r="K85" s="113"/>
      <c r="L85" s="116"/>
      <c r="M85" s="116"/>
      <c r="Q85" s="21">
        <f t="shared" si="42"/>
        <v>0.1</v>
      </c>
      <c r="R85" s="21">
        <f t="shared" si="42"/>
        <v>0.2</v>
      </c>
      <c r="S85" s="21">
        <f t="shared" si="42"/>
        <v>0</v>
      </c>
      <c r="T85" s="21">
        <f t="shared" si="42"/>
        <v>0</v>
      </c>
      <c r="U85" s="21">
        <f t="shared" si="42"/>
        <v>0</v>
      </c>
      <c r="V85" s="21">
        <f t="shared" si="42"/>
        <v>0.25</v>
      </c>
      <c r="W85" s="21">
        <f t="shared" si="42"/>
        <v>0</v>
      </c>
      <c r="X85" s="21">
        <f t="shared" si="42"/>
        <v>0</v>
      </c>
      <c r="Y85" s="21">
        <f t="shared" si="42"/>
        <v>0</v>
      </c>
      <c r="Z85" s="21">
        <f t="shared" si="42"/>
        <v>0</v>
      </c>
      <c r="AA85" s="32">
        <f t="shared" si="43"/>
        <v>80</v>
      </c>
      <c r="AB85" s="32">
        <f t="shared" si="43"/>
        <v>50</v>
      </c>
      <c r="CL85" s="141"/>
      <c r="CM85" s="141"/>
      <c r="CN85" s="141"/>
      <c r="CO85" s="141"/>
      <c r="CP85" s="141"/>
      <c r="CQ85" s="141"/>
      <c r="CR85" s="141"/>
      <c r="CS85" s="141"/>
      <c r="CT85" s="141"/>
      <c r="CU85" s="141"/>
      <c r="CV85" s="141"/>
      <c r="CW85" s="141"/>
      <c r="CX85" s="141"/>
      <c r="CY85" s="141"/>
      <c r="CZ85" s="106"/>
      <c r="DA85" s="15"/>
      <c r="DB85" s="15"/>
      <c r="DC85" s="106"/>
      <c r="DD85" s="106"/>
    </row>
    <row r="86" spans="1:108" ht="16.5" x14ac:dyDescent="0.2">
      <c r="A86" s="26">
        <v>37</v>
      </c>
      <c r="B86" s="104">
        <f t="shared" si="39"/>
        <v>10</v>
      </c>
      <c r="C86" s="118">
        <v>1</v>
      </c>
      <c r="D86" s="19">
        <v>0.25</v>
      </c>
      <c r="E86" s="110"/>
      <c r="F86" s="110"/>
      <c r="G86" s="110"/>
      <c r="H86" s="110"/>
      <c r="I86" s="110"/>
      <c r="J86" s="113"/>
      <c r="K86" s="113"/>
      <c r="L86" s="116"/>
      <c r="M86" s="116"/>
      <c r="Q86" s="21">
        <f t="shared" si="42"/>
        <v>7.5000000000000011E-2</v>
      </c>
      <c r="R86" s="21">
        <f t="shared" si="42"/>
        <v>0.21250000000000002</v>
      </c>
      <c r="S86" s="21">
        <f t="shared" si="42"/>
        <v>0</v>
      </c>
      <c r="T86" s="21">
        <f t="shared" si="42"/>
        <v>0</v>
      </c>
      <c r="U86" s="21">
        <f t="shared" si="42"/>
        <v>0</v>
      </c>
      <c r="V86" s="21">
        <f t="shared" si="42"/>
        <v>0.23749999999999999</v>
      </c>
      <c r="W86" s="21">
        <f t="shared" si="42"/>
        <v>5.000000000000001E-3</v>
      </c>
      <c r="X86" s="21">
        <f t="shared" si="42"/>
        <v>0</v>
      </c>
      <c r="Y86" s="21">
        <f t="shared" si="42"/>
        <v>0</v>
      </c>
      <c r="Z86" s="21">
        <f t="shared" si="42"/>
        <v>0</v>
      </c>
      <c r="AA86" s="32">
        <f t="shared" si="43"/>
        <v>82</v>
      </c>
      <c r="AB86" s="32">
        <f t="shared" si="43"/>
        <v>51</v>
      </c>
      <c r="CL86" s="141"/>
      <c r="CM86" s="141"/>
      <c r="CN86" s="141"/>
      <c r="CO86" s="141"/>
      <c r="CP86" s="141"/>
      <c r="CQ86" s="141"/>
      <c r="CR86" s="141"/>
      <c r="CS86" s="141"/>
      <c r="CT86" s="141"/>
      <c r="CU86" s="141"/>
      <c r="CV86" s="141"/>
      <c r="CW86" s="141"/>
      <c r="CX86" s="141"/>
      <c r="CY86" s="141"/>
      <c r="CZ86" s="106"/>
      <c r="DA86" s="15"/>
      <c r="DB86" s="15"/>
      <c r="DC86" s="106"/>
      <c r="DD86" s="106"/>
    </row>
    <row r="87" spans="1:108" ht="16.5" x14ac:dyDescent="0.2">
      <c r="A87" s="26">
        <v>38</v>
      </c>
      <c r="B87" s="104">
        <f t="shared" si="39"/>
        <v>10</v>
      </c>
      <c r="C87" s="118">
        <v>2</v>
      </c>
      <c r="D87" s="19">
        <v>0.5</v>
      </c>
      <c r="E87" s="110"/>
      <c r="F87" s="110"/>
      <c r="G87" s="110"/>
      <c r="H87" s="110"/>
      <c r="I87" s="110"/>
      <c r="J87" s="113"/>
      <c r="K87" s="113"/>
      <c r="L87" s="116"/>
      <c r="M87" s="116"/>
      <c r="Q87" s="21">
        <f t="shared" si="42"/>
        <v>0.05</v>
      </c>
      <c r="R87" s="21">
        <f t="shared" si="42"/>
        <v>0.22500000000000001</v>
      </c>
      <c r="S87" s="21">
        <f t="shared" si="42"/>
        <v>0</v>
      </c>
      <c r="T87" s="21">
        <f t="shared" si="42"/>
        <v>0</v>
      </c>
      <c r="U87" s="21">
        <f t="shared" si="42"/>
        <v>0</v>
      </c>
      <c r="V87" s="21">
        <f t="shared" si="42"/>
        <v>0.22500000000000001</v>
      </c>
      <c r="W87" s="21">
        <f t="shared" si="42"/>
        <v>1.0000000000000002E-2</v>
      </c>
      <c r="X87" s="21">
        <f t="shared" si="42"/>
        <v>0</v>
      </c>
      <c r="Y87" s="21">
        <f t="shared" si="42"/>
        <v>0</v>
      </c>
      <c r="Z87" s="21">
        <f t="shared" si="42"/>
        <v>0</v>
      </c>
      <c r="AA87" s="32">
        <f t="shared" si="43"/>
        <v>85</v>
      </c>
      <c r="AB87" s="32">
        <f t="shared" si="43"/>
        <v>52</v>
      </c>
      <c r="CL87" s="141"/>
      <c r="CM87" s="141"/>
      <c r="CN87" s="141"/>
      <c r="CO87" s="141"/>
      <c r="CP87" s="141"/>
      <c r="CQ87" s="141"/>
      <c r="CR87" s="141"/>
      <c r="CS87" s="141"/>
      <c r="CT87" s="141"/>
      <c r="CU87" s="141"/>
      <c r="CV87" s="141"/>
      <c r="CW87" s="141"/>
      <c r="CX87" s="141"/>
      <c r="CY87" s="141"/>
      <c r="CZ87" s="106"/>
      <c r="DA87" s="15"/>
      <c r="DB87" s="15"/>
    </row>
    <row r="88" spans="1:108" ht="16.5" x14ac:dyDescent="0.2">
      <c r="A88" s="26">
        <v>39</v>
      </c>
      <c r="B88" s="104">
        <f t="shared" si="39"/>
        <v>10</v>
      </c>
      <c r="C88" s="118">
        <v>3</v>
      </c>
      <c r="D88" s="19">
        <v>0.75</v>
      </c>
      <c r="E88" s="110"/>
      <c r="F88" s="110"/>
      <c r="G88" s="110"/>
      <c r="H88" s="110"/>
      <c r="I88" s="110"/>
      <c r="J88" s="113"/>
      <c r="K88" s="113"/>
      <c r="L88" s="116"/>
      <c r="M88" s="116"/>
      <c r="Q88" s="21">
        <f t="shared" si="42"/>
        <v>2.5000000000000001E-2</v>
      </c>
      <c r="R88" s="21">
        <f t="shared" si="42"/>
        <v>0.23749999999999999</v>
      </c>
      <c r="S88" s="21">
        <f t="shared" si="42"/>
        <v>0</v>
      </c>
      <c r="T88" s="21">
        <f t="shared" si="42"/>
        <v>0</v>
      </c>
      <c r="U88" s="21">
        <f t="shared" si="42"/>
        <v>0</v>
      </c>
      <c r="V88" s="21">
        <f t="shared" si="42"/>
        <v>0.21250000000000002</v>
      </c>
      <c r="W88" s="21">
        <f t="shared" si="42"/>
        <v>1.5000000000000003E-2</v>
      </c>
      <c r="X88" s="21">
        <f t="shared" si="42"/>
        <v>0</v>
      </c>
      <c r="Y88" s="21">
        <f t="shared" si="42"/>
        <v>0</v>
      </c>
      <c r="Z88" s="21">
        <f t="shared" si="42"/>
        <v>0</v>
      </c>
      <c r="AA88" s="32">
        <f t="shared" si="43"/>
        <v>87</v>
      </c>
      <c r="AB88" s="32">
        <f t="shared" si="43"/>
        <v>53</v>
      </c>
      <c r="CL88" s="141"/>
      <c r="CM88" s="141"/>
      <c r="CN88" s="141"/>
      <c r="CO88" s="141"/>
      <c r="CP88" s="141"/>
      <c r="CQ88" s="141"/>
      <c r="CR88" s="141"/>
      <c r="CS88" s="141"/>
      <c r="CT88" s="141"/>
      <c r="CU88" s="141"/>
      <c r="CV88" s="141"/>
      <c r="CW88" s="141"/>
      <c r="CX88" s="141"/>
      <c r="CY88" s="141"/>
      <c r="CZ88" s="106"/>
      <c r="DA88" s="15"/>
      <c r="DB88" s="15"/>
    </row>
    <row r="89" spans="1:108" ht="16.5" x14ac:dyDescent="0.2">
      <c r="A89" s="26">
        <v>40</v>
      </c>
      <c r="B89" s="104">
        <f t="shared" si="39"/>
        <v>10</v>
      </c>
      <c r="C89" s="118">
        <v>4</v>
      </c>
      <c r="D89" s="19">
        <v>1</v>
      </c>
      <c r="E89" s="110"/>
      <c r="F89" s="110"/>
      <c r="G89" s="110"/>
      <c r="H89" s="110"/>
      <c r="I89" s="110"/>
      <c r="J89" s="113"/>
      <c r="K89" s="113"/>
      <c r="L89" s="116"/>
      <c r="M89" s="116"/>
      <c r="Q89" s="21">
        <f t="shared" si="42"/>
        <v>0</v>
      </c>
      <c r="R89" s="21">
        <f t="shared" si="42"/>
        <v>0.25</v>
      </c>
      <c r="S89" s="21">
        <f t="shared" si="42"/>
        <v>0</v>
      </c>
      <c r="T89" s="21">
        <f t="shared" si="42"/>
        <v>0</v>
      </c>
      <c r="U89" s="21">
        <f t="shared" si="42"/>
        <v>0</v>
      </c>
      <c r="V89" s="21">
        <f t="shared" si="42"/>
        <v>0.2</v>
      </c>
      <c r="W89" s="21">
        <f t="shared" si="42"/>
        <v>2.0000000000000004E-2</v>
      </c>
      <c r="X89" s="21">
        <f t="shared" si="42"/>
        <v>0</v>
      </c>
      <c r="Y89" s="21">
        <f t="shared" si="42"/>
        <v>0</v>
      </c>
      <c r="Z89" s="21">
        <f t="shared" si="42"/>
        <v>0</v>
      </c>
      <c r="AA89" s="32">
        <f t="shared" si="43"/>
        <v>90</v>
      </c>
      <c r="AB89" s="32">
        <f t="shared" si="43"/>
        <v>55</v>
      </c>
      <c r="CL89" s="141"/>
      <c r="CM89" s="141"/>
      <c r="CN89" s="141"/>
      <c r="CO89" s="141"/>
      <c r="CP89" s="141"/>
      <c r="CQ89" s="141"/>
      <c r="CR89" s="141"/>
      <c r="CS89" s="141"/>
      <c r="CT89" s="141"/>
      <c r="CU89" s="141"/>
      <c r="CV89" s="141"/>
      <c r="CW89" s="141"/>
      <c r="CX89" s="141"/>
      <c r="CY89" s="141"/>
      <c r="CZ89" s="106"/>
      <c r="DA89" s="15"/>
      <c r="DB89" s="15"/>
    </row>
    <row r="90" spans="1:108" ht="16.5" x14ac:dyDescent="0.2">
      <c r="A90" s="26">
        <v>41</v>
      </c>
      <c r="B90" s="104">
        <f t="shared" si="39"/>
        <v>11</v>
      </c>
      <c r="C90" s="118">
        <v>1</v>
      </c>
      <c r="D90" s="19">
        <v>0.25</v>
      </c>
      <c r="E90" s="110"/>
      <c r="F90" s="110"/>
      <c r="G90" s="110"/>
      <c r="H90" s="110"/>
      <c r="I90" s="110"/>
      <c r="J90" s="113"/>
      <c r="K90" s="113"/>
      <c r="L90" s="116"/>
      <c r="M90" s="116"/>
      <c r="Q90" s="21">
        <f t="shared" si="42"/>
        <v>0</v>
      </c>
      <c r="R90" s="21">
        <f t="shared" si="42"/>
        <v>0.23749999999999999</v>
      </c>
      <c r="S90" s="21">
        <f t="shared" si="42"/>
        <v>5.000000000000001E-3</v>
      </c>
      <c r="T90" s="21">
        <f t="shared" si="42"/>
        <v>0</v>
      </c>
      <c r="U90" s="21">
        <f t="shared" si="42"/>
        <v>0</v>
      </c>
      <c r="V90" s="21">
        <f t="shared" si="42"/>
        <v>0.19062500000000002</v>
      </c>
      <c r="W90" s="21">
        <f t="shared" si="42"/>
        <v>2.3750000000000004E-2</v>
      </c>
      <c r="X90" s="21">
        <f t="shared" si="42"/>
        <v>0</v>
      </c>
      <c r="Y90" s="21">
        <f t="shared" si="42"/>
        <v>0</v>
      </c>
      <c r="Z90" s="21">
        <f t="shared" si="42"/>
        <v>0</v>
      </c>
      <c r="AA90" s="32">
        <f t="shared" si="43"/>
        <v>92</v>
      </c>
      <c r="AB90" s="32">
        <f t="shared" si="43"/>
        <v>56</v>
      </c>
      <c r="CL90" s="141"/>
      <c r="CM90" s="141"/>
      <c r="CN90" s="141"/>
      <c r="CO90" s="141"/>
      <c r="CP90" s="141"/>
      <c r="CQ90" s="141"/>
      <c r="CR90" s="141"/>
      <c r="CS90" s="141"/>
      <c r="CT90" s="141"/>
      <c r="CU90" s="141"/>
      <c r="CV90" s="141"/>
      <c r="CW90" s="141"/>
      <c r="CX90" s="141"/>
      <c r="CY90" s="141"/>
      <c r="CZ90" s="106"/>
      <c r="DA90" s="15"/>
      <c r="DB90" s="15"/>
    </row>
    <row r="91" spans="1:108" ht="16.5" x14ac:dyDescent="0.2">
      <c r="A91" s="26">
        <v>42</v>
      </c>
      <c r="B91" s="104">
        <f t="shared" si="39"/>
        <v>11</v>
      </c>
      <c r="C91" s="118">
        <v>2</v>
      </c>
      <c r="D91" s="19">
        <v>0.5</v>
      </c>
      <c r="E91" s="110"/>
      <c r="F91" s="110"/>
      <c r="G91" s="110"/>
      <c r="H91" s="110"/>
      <c r="I91" s="110"/>
      <c r="J91" s="113"/>
      <c r="K91" s="113"/>
      <c r="L91" s="116"/>
      <c r="M91" s="116"/>
      <c r="Q91" s="21">
        <f t="shared" si="42"/>
        <v>0</v>
      </c>
      <c r="R91" s="21">
        <f t="shared" si="42"/>
        <v>0.22500000000000001</v>
      </c>
      <c r="S91" s="21">
        <f t="shared" si="42"/>
        <v>1.0000000000000002E-2</v>
      </c>
      <c r="T91" s="21">
        <f t="shared" si="42"/>
        <v>0</v>
      </c>
      <c r="U91" s="21">
        <f t="shared" si="42"/>
        <v>0</v>
      </c>
      <c r="V91" s="21">
        <f t="shared" si="42"/>
        <v>0.18125000000000002</v>
      </c>
      <c r="W91" s="21">
        <f t="shared" si="42"/>
        <v>2.7500000000000004E-2</v>
      </c>
      <c r="X91" s="21">
        <f t="shared" si="42"/>
        <v>0</v>
      </c>
      <c r="Y91" s="21">
        <f t="shared" si="42"/>
        <v>0</v>
      </c>
      <c r="Z91" s="21">
        <f t="shared" si="42"/>
        <v>0</v>
      </c>
      <c r="AA91" s="32">
        <f t="shared" si="43"/>
        <v>95</v>
      </c>
      <c r="AB91" s="32">
        <f t="shared" si="43"/>
        <v>57</v>
      </c>
      <c r="CL91" s="141"/>
      <c r="CM91" s="141"/>
      <c r="CN91" s="141"/>
      <c r="CO91" s="141"/>
      <c r="CP91" s="141"/>
      <c r="CQ91" s="141"/>
      <c r="CR91" s="141"/>
      <c r="CS91" s="141"/>
      <c r="CT91" s="141"/>
      <c r="CU91" s="141"/>
      <c r="CV91" s="141"/>
      <c r="CW91" s="141"/>
      <c r="CX91" s="141"/>
      <c r="CY91" s="141"/>
      <c r="CZ91" s="106"/>
      <c r="DA91" s="15"/>
      <c r="DB91" s="15"/>
    </row>
    <row r="92" spans="1:108" ht="16.5" x14ac:dyDescent="0.2">
      <c r="A92" s="26">
        <v>43</v>
      </c>
      <c r="B92" s="104">
        <f t="shared" si="39"/>
        <v>11</v>
      </c>
      <c r="C92" s="118">
        <v>3</v>
      </c>
      <c r="D92" s="19">
        <v>0.75</v>
      </c>
      <c r="E92" s="110"/>
      <c r="F92" s="110"/>
      <c r="G92" s="110"/>
      <c r="H92" s="110"/>
      <c r="I92" s="110"/>
      <c r="J92" s="113"/>
      <c r="K92" s="113"/>
      <c r="L92" s="116"/>
      <c r="M92" s="116"/>
      <c r="Q92" s="21">
        <f t="shared" si="42"/>
        <v>0</v>
      </c>
      <c r="R92" s="21">
        <f t="shared" si="42"/>
        <v>0.21250000000000002</v>
      </c>
      <c r="S92" s="21">
        <f t="shared" si="42"/>
        <v>1.5000000000000003E-2</v>
      </c>
      <c r="T92" s="21">
        <f t="shared" si="42"/>
        <v>0</v>
      </c>
      <c r="U92" s="21">
        <f t="shared" si="42"/>
        <v>0</v>
      </c>
      <c r="V92" s="21">
        <f t="shared" si="42"/>
        <v>0.171875</v>
      </c>
      <c r="W92" s="21">
        <f t="shared" si="42"/>
        <v>3.1249999999999997E-2</v>
      </c>
      <c r="X92" s="21">
        <f t="shared" si="42"/>
        <v>0</v>
      </c>
      <c r="Y92" s="21">
        <f t="shared" si="42"/>
        <v>0</v>
      </c>
      <c r="Z92" s="21">
        <f t="shared" si="42"/>
        <v>0</v>
      </c>
      <c r="AA92" s="32">
        <f t="shared" si="43"/>
        <v>97</v>
      </c>
      <c r="AB92" s="32">
        <f t="shared" si="43"/>
        <v>58</v>
      </c>
      <c r="CL92" s="141"/>
      <c r="CM92" s="141"/>
      <c r="CN92" s="141"/>
      <c r="CO92" s="141"/>
      <c r="CP92" s="141"/>
      <c r="CQ92" s="141"/>
      <c r="CR92" s="141"/>
      <c r="CS92" s="141"/>
      <c r="CT92" s="141"/>
      <c r="CU92" s="141"/>
      <c r="CV92" s="141"/>
      <c r="CW92" s="141"/>
      <c r="CX92" s="141"/>
      <c r="CY92" s="141"/>
      <c r="CZ92" s="106"/>
      <c r="DA92" s="15"/>
      <c r="DB92" s="15"/>
    </row>
    <row r="93" spans="1:108" ht="16.5" x14ac:dyDescent="0.2">
      <c r="A93" s="26">
        <v>44</v>
      </c>
      <c r="B93" s="104">
        <f t="shared" si="39"/>
        <v>11</v>
      </c>
      <c r="C93" s="118">
        <v>4</v>
      </c>
      <c r="D93" s="19">
        <v>1</v>
      </c>
      <c r="E93" s="110"/>
      <c r="F93" s="110"/>
      <c r="G93" s="110"/>
      <c r="H93" s="110"/>
      <c r="I93" s="110"/>
      <c r="J93" s="113"/>
      <c r="K93" s="113"/>
      <c r="L93" s="116"/>
      <c r="M93" s="116"/>
      <c r="Q93" s="21">
        <f t="shared" si="42"/>
        <v>0</v>
      </c>
      <c r="R93" s="21">
        <f t="shared" si="42"/>
        <v>0.2</v>
      </c>
      <c r="S93" s="21">
        <f t="shared" si="42"/>
        <v>2.0000000000000004E-2</v>
      </c>
      <c r="T93" s="21">
        <f t="shared" si="42"/>
        <v>0</v>
      </c>
      <c r="U93" s="21">
        <f t="shared" si="42"/>
        <v>0</v>
      </c>
      <c r="V93" s="21">
        <f t="shared" si="42"/>
        <v>0.16250000000000001</v>
      </c>
      <c r="W93" s="21">
        <f t="shared" si="42"/>
        <v>3.4999999999999996E-2</v>
      </c>
      <c r="X93" s="21">
        <f t="shared" si="42"/>
        <v>0</v>
      </c>
      <c r="Y93" s="21">
        <f t="shared" si="42"/>
        <v>0</v>
      </c>
      <c r="Z93" s="21">
        <f t="shared" si="42"/>
        <v>0</v>
      </c>
      <c r="AA93" s="32">
        <f t="shared" si="43"/>
        <v>100</v>
      </c>
      <c r="AB93" s="32">
        <f t="shared" si="43"/>
        <v>60</v>
      </c>
      <c r="CL93" s="141"/>
      <c r="CM93" s="141"/>
      <c r="CN93" s="141"/>
      <c r="CO93" s="141"/>
      <c r="CP93" s="141"/>
      <c r="CQ93" s="141"/>
      <c r="CR93" s="141"/>
      <c r="CS93" s="141"/>
      <c r="CT93" s="141"/>
      <c r="CU93" s="141"/>
      <c r="CV93" s="141"/>
      <c r="CW93" s="141"/>
      <c r="CX93" s="141"/>
      <c r="CY93" s="141"/>
      <c r="CZ93" s="106"/>
      <c r="DA93" s="15"/>
      <c r="DB93" s="15"/>
    </row>
    <row r="94" spans="1:108" ht="16.5" x14ac:dyDescent="0.2">
      <c r="A94" s="26">
        <v>45</v>
      </c>
      <c r="B94" s="104">
        <f t="shared" si="39"/>
        <v>12</v>
      </c>
      <c r="C94" s="118">
        <v>1</v>
      </c>
      <c r="D94" s="19">
        <v>0.25</v>
      </c>
      <c r="E94" s="110"/>
      <c r="F94" s="110"/>
      <c r="G94" s="110"/>
      <c r="H94" s="110"/>
      <c r="I94" s="110"/>
      <c r="J94" s="113"/>
      <c r="K94" s="113"/>
      <c r="L94" s="116"/>
      <c r="M94" s="116"/>
      <c r="Q94" s="21">
        <f t="shared" si="42"/>
        <v>0</v>
      </c>
      <c r="R94" s="21">
        <f t="shared" si="42"/>
        <v>0.19062500000000002</v>
      </c>
      <c r="S94" s="21">
        <f t="shared" si="42"/>
        <v>2.3750000000000004E-2</v>
      </c>
      <c r="T94" s="21">
        <f t="shared" si="42"/>
        <v>0</v>
      </c>
      <c r="U94" s="21">
        <f t="shared" si="42"/>
        <v>0</v>
      </c>
      <c r="V94" s="21">
        <f t="shared" si="42"/>
        <v>0.15312500000000001</v>
      </c>
      <c r="W94" s="21">
        <f t="shared" si="42"/>
        <v>3.875E-2</v>
      </c>
      <c r="X94" s="21">
        <f t="shared" si="42"/>
        <v>0</v>
      </c>
      <c r="Y94" s="21">
        <f t="shared" si="42"/>
        <v>0</v>
      </c>
      <c r="Z94" s="21">
        <f t="shared" si="42"/>
        <v>0</v>
      </c>
      <c r="AA94" s="32">
        <f t="shared" si="43"/>
        <v>102</v>
      </c>
      <c r="AB94" s="32">
        <f t="shared" si="43"/>
        <v>61</v>
      </c>
      <c r="CL94" s="141"/>
      <c r="CM94" s="141"/>
      <c r="CN94" s="141"/>
      <c r="CO94" s="141"/>
      <c r="CP94" s="141"/>
      <c r="CQ94" s="141"/>
      <c r="CR94" s="141"/>
      <c r="CS94" s="141"/>
      <c r="CT94" s="141"/>
      <c r="CU94" s="141"/>
      <c r="CV94" s="141"/>
      <c r="CW94" s="141"/>
      <c r="CX94" s="141"/>
      <c r="CY94" s="141"/>
      <c r="CZ94" s="106"/>
      <c r="DA94" s="15"/>
      <c r="DB94" s="15"/>
    </row>
    <row r="95" spans="1:108" ht="16.5" x14ac:dyDescent="0.2">
      <c r="A95" s="26">
        <v>46</v>
      </c>
      <c r="B95" s="104">
        <f t="shared" si="39"/>
        <v>12</v>
      </c>
      <c r="C95" s="118">
        <v>2</v>
      </c>
      <c r="D95" s="19">
        <v>0.5</v>
      </c>
      <c r="E95" s="110"/>
      <c r="F95" s="110"/>
      <c r="G95" s="110"/>
      <c r="H95" s="110"/>
      <c r="I95" s="110"/>
      <c r="J95" s="113"/>
      <c r="K95" s="113"/>
      <c r="L95" s="116"/>
      <c r="M95" s="116"/>
      <c r="Q95" s="21">
        <f t="shared" si="42"/>
        <v>0</v>
      </c>
      <c r="R95" s="21">
        <f t="shared" si="42"/>
        <v>0.18125000000000002</v>
      </c>
      <c r="S95" s="21">
        <f t="shared" si="42"/>
        <v>2.7500000000000004E-2</v>
      </c>
      <c r="T95" s="21">
        <f t="shared" si="42"/>
        <v>0</v>
      </c>
      <c r="U95" s="21">
        <f t="shared" si="42"/>
        <v>0</v>
      </c>
      <c r="V95" s="21">
        <f t="shared" si="42"/>
        <v>0.14374999999999999</v>
      </c>
      <c r="W95" s="21">
        <f t="shared" si="42"/>
        <v>4.2500000000000003E-2</v>
      </c>
      <c r="X95" s="21">
        <f t="shared" si="42"/>
        <v>0</v>
      </c>
      <c r="Y95" s="21">
        <f t="shared" si="42"/>
        <v>0</v>
      </c>
      <c r="Z95" s="21">
        <f t="shared" si="42"/>
        <v>0</v>
      </c>
      <c r="AA95" s="32">
        <f t="shared" si="43"/>
        <v>105</v>
      </c>
      <c r="AB95" s="32">
        <f t="shared" si="43"/>
        <v>62</v>
      </c>
      <c r="CL95" s="141"/>
      <c r="CM95" s="141"/>
      <c r="CN95" s="141"/>
      <c r="CO95" s="141"/>
      <c r="CP95" s="141"/>
      <c r="CQ95" s="141"/>
      <c r="CR95" s="141"/>
      <c r="CS95" s="141"/>
      <c r="CT95" s="141"/>
      <c r="CU95" s="141"/>
      <c r="CV95" s="141"/>
      <c r="CW95" s="141"/>
      <c r="CX95" s="141"/>
      <c r="CY95" s="141"/>
      <c r="CZ95" s="106"/>
      <c r="DA95" s="15"/>
      <c r="DB95" s="15"/>
    </row>
    <row r="96" spans="1:108" ht="16.5" x14ac:dyDescent="0.2">
      <c r="A96" s="26">
        <v>47</v>
      </c>
      <c r="B96" s="104">
        <f t="shared" si="39"/>
        <v>12</v>
      </c>
      <c r="C96" s="118">
        <v>3</v>
      </c>
      <c r="D96" s="19">
        <v>0.75</v>
      </c>
      <c r="E96" s="110"/>
      <c r="F96" s="110"/>
      <c r="G96" s="110"/>
      <c r="H96" s="110"/>
      <c r="I96" s="110"/>
      <c r="J96" s="113"/>
      <c r="K96" s="113"/>
      <c r="L96" s="116"/>
      <c r="M96" s="116"/>
      <c r="Q96" s="21">
        <f t="shared" si="42"/>
        <v>0</v>
      </c>
      <c r="R96" s="21">
        <f t="shared" si="42"/>
        <v>0.171875</v>
      </c>
      <c r="S96" s="21">
        <f t="shared" si="42"/>
        <v>3.1249999999999997E-2</v>
      </c>
      <c r="T96" s="21">
        <f t="shared" si="42"/>
        <v>0</v>
      </c>
      <c r="U96" s="21">
        <f t="shared" si="42"/>
        <v>0</v>
      </c>
      <c r="V96" s="21">
        <f t="shared" si="42"/>
        <v>0.13437499999999999</v>
      </c>
      <c r="W96" s="21">
        <f t="shared" si="42"/>
        <v>4.6250000000000006E-2</v>
      </c>
      <c r="X96" s="21">
        <f t="shared" si="42"/>
        <v>0</v>
      </c>
      <c r="Y96" s="21">
        <f t="shared" si="42"/>
        <v>0</v>
      </c>
      <c r="Z96" s="21">
        <f t="shared" si="42"/>
        <v>0</v>
      </c>
      <c r="AA96" s="32">
        <f t="shared" si="43"/>
        <v>107</v>
      </c>
      <c r="AB96" s="32">
        <f t="shared" si="43"/>
        <v>63</v>
      </c>
      <c r="CL96" s="141"/>
      <c r="CM96" s="141"/>
      <c r="CN96" s="141"/>
      <c r="CO96" s="141"/>
      <c r="CP96" s="141"/>
      <c r="CQ96" s="141"/>
      <c r="CR96" s="141"/>
      <c r="CS96" s="141"/>
      <c r="CT96" s="141"/>
      <c r="CU96" s="141"/>
      <c r="CV96" s="141"/>
      <c r="CW96" s="141"/>
      <c r="CX96" s="141"/>
      <c r="CY96" s="141"/>
      <c r="CZ96" s="106"/>
      <c r="DA96" s="15"/>
      <c r="DB96" s="15"/>
    </row>
    <row r="97" spans="1:108" ht="16.5" x14ac:dyDescent="0.2">
      <c r="A97" s="26">
        <v>48</v>
      </c>
      <c r="B97" s="104">
        <f t="shared" si="39"/>
        <v>12</v>
      </c>
      <c r="C97" s="118">
        <v>4</v>
      </c>
      <c r="D97" s="19">
        <v>1</v>
      </c>
      <c r="E97" s="110"/>
      <c r="F97" s="110"/>
      <c r="G97" s="110"/>
      <c r="H97" s="110"/>
      <c r="I97" s="110"/>
      <c r="J97" s="113"/>
      <c r="K97" s="113"/>
      <c r="L97" s="116"/>
      <c r="M97" s="116"/>
      <c r="Q97" s="21">
        <f t="shared" si="42"/>
        <v>0</v>
      </c>
      <c r="R97" s="21">
        <f t="shared" si="42"/>
        <v>0.16250000000000001</v>
      </c>
      <c r="S97" s="21">
        <f t="shared" si="42"/>
        <v>3.4999999999999996E-2</v>
      </c>
      <c r="T97" s="21">
        <f t="shared" si="42"/>
        <v>0</v>
      </c>
      <c r="U97" s="21">
        <f t="shared" si="42"/>
        <v>0</v>
      </c>
      <c r="V97" s="21">
        <f t="shared" si="42"/>
        <v>0.125</v>
      </c>
      <c r="W97" s="21">
        <f t="shared" si="42"/>
        <v>0.05</v>
      </c>
      <c r="X97" s="21">
        <f t="shared" si="42"/>
        <v>0</v>
      </c>
      <c r="Y97" s="21">
        <f t="shared" si="42"/>
        <v>0</v>
      </c>
      <c r="Z97" s="21">
        <f t="shared" si="42"/>
        <v>0</v>
      </c>
      <c r="AA97" s="32">
        <f t="shared" si="43"/>
        <v>110</v>
      </c>
      <c r="AB97" s="32">
        <f t="shared" si="43"/>
        <v>65</v>
      </c>
      <c r="DC97" s="15"/>
      <c r="DD97" s="15"/>
    </row>
    <row r="98" spans="1:108" ht="16.5" x14ac:dyDescent="0.2">
      <c r="A98" s="26">
        <v>49</v>
      </c>
      <c r="B98" s="104">
        <f t="shared" si="39"/>
        <v>13</v>
      </c>
      <c r="C98" s="118">
        <v>1</v>
      </c>
      <c r="D98" s="19">
        <v>0.25</v>
      </c>
      <c r="E98" s="110"/>
      <c r="F98" s="110"/>
      <c r="G98" s="110"/>
      <c r="H98" s="110"/>
      <c r="I98" s="110"/>
      <c r="J98" s="113"/>
      <c r="K98" s="113"/>
      <c r="L98" s="116"/>
      <c r="M98" s="116"/>
      <c r="Q98" s="21">
        <f t="shared" si="42"/>
        <v>0</v>
      </c>
      <c r="R98" s="21">
        <f t="shared" si="42"/>
        <v>0.15312500000000001</v>
      </c>
      <c r="S98" s="21">
        <f t="shared" si="42"/>
        <v>3.875E-2</v>
      </c>
      <c r="T98" s="21">
        <f t="shared" si="42"/>
        <v>0</v>
      </c>
      <c r="U98" s="21">
        <f t="shared" si="42"/>
        <v>0</v>
      </c>
      <c r="V98" s="21">
        <f t="shared" si="42"/>
        <v>0.11562500000000001</v>
      </c>
      <c r="W98" s="21">
        <f t="shared" si="42"/>
        <v>5.3749999999999999E-2</v>
      </c>
      <c r="X98" s="21">
        <f t="shared" si="42"/>
        <v>0</v>
      </c>
      <c r="Y98" s="21">
        <f t="shared" si="42"/>
        <v>0</v>
      </c>
      <c r="Z98" s="21">
        <f t="shared" si="42"/>
        <v>0</v>
      </c>
      <c r="AA98" s="32">
        <f t="shared" si="43"/>
        <v>113</v>
      </c>
      <c r="AB98" s="32">
        <f t="shared" si="43"/>
        <v>66</v>
      </c>
      <c r="DC98" s="15"/>
      <c r="DD98" s="15"/>
    </row>
    <row r="99" spans="1:108" ht="16.5" x14ac:dyDescent="0.2">
      <c r="A99" s="26">
        <v>50</v>
      </c>
      <c r="B99" s="104">
        <f t="shared" si="39"/>
        <v>13</v>
      </c>
      <c r="C99" s="118">
        <v>2</v>
      </c>
      <c r="D99" s="19">
        <v>0.5</v>
      </c>
      <c r="E99" s="110"/>
      <c r="F99" s="110"/>
      <c r="G99" s="110"/>
      <c r="H99" s="110"/>
      <c r="I99" s="110"/>
      <c r="J99" s="113"/>
      <c r="K99" s="113"/>
      <c r="L99" s="116"/>
      <c r="M99" s="116"/>
      <c r="Q99" s="21">
        <f t="shared" si="42"/>
        <v>0</v>
      </c>
      <c r="R99" s="21">
        <f t="shared" si="42"/>
        <v>0.14374999999999999</v>
      </c>
      <c r="S99" s="21">
        <f t="shared" si="42"/>
        <v>4.2500000000000003E-2</v>
      </c>
      <c r="T99" s="21">
        <f t="shared" si="42"/>
        <v>0</v>
      </c>
      <c r="U99" s="21">
        <f t="shared" si="42"/>
        <v>0</v>
      </c>
      <c r="V99" s="21">
        <f t="shared" si="42"/>
        <v>0.10625</v>
      </c>
      <c r="W99" s="21">
        <f t="shared" si="42"/>
        <v>5.7499999999999996E-2</v>
      </c>
      <c r="X99" s="21">
        <f t="shared" si="42"/>
        <v>0</v>
      </c>
      <c r="Y99" s="21">
        <f t="shared" si="42"/>
        <v>0</v>
      </c>
      <c r="Z99" s="21">
        <f t="shared" si="42"/>
        <v>0</v>
      </c>
      <c r="AA99" s="32">
        <f t="shared" si="43"/>
        <v>117</v>
      </c>
      <c r="AB99" s="32">
        <f t="shared" si="43"/>
        <v>67</v>
      </c>
      <c r="DC99" s="15"/>
      <c r="DD99" s="15"/>
    </row>
    <row r="100" spans="1:108" ht="16.5" x14ac:dyDescent="0.2">
      <c r="A100" s="26">
        <v>51</v>
      </c>
      <c r="B100" s="104">
        <f t="shared" si="39"/>
        <v>13</v>
      </c>
      <c r="C100" s="118">
        <v>3</v>
      </c>
      <c r="D100" s="19">
        <v>0.75</v>
      </c>
      <c r="E100" s="110"/>
      <c r="F100" s="110"/>
      <c r="G100" s="110"/>
      <c r="H100" s="110"/>
      <c r="I100" s="110"/>
      <c r="J100" s="113"/>
      <c r="K100" s="113"/>
      <c r="L100" s="116"/>
      <c r="M100" s="116"/>
      <c r="Q100" s="21">
        <f t="shared" si="42"/>
        <v>0</v>
      </c>
      <c r="R100" s="21">
        <f t="shared" si="42"/>
        <v>0.13437499999999999</v>
      </c>
      <c r="S100" s="21">
        <f t="shared" si="42"/>
        <v>4.6250000000000006E-2</v>
      </c>
      <c r="T100" s="21">
        <f t="shared" si="42"/>
        <v>0</v>
      </c>
      <c r="U100" s="21">
        <f t="shared" si="42"/>
        <v>0</v>
      </c>
      <c r="V100" s="21">
        <f t="shared" si="42"/>
        <v>9.6874999999999989E-2</v>
      </c>
      <c r="W100" s="21">
        <f t="shared" si="42"/>
        <v>6.1250000000000006E-2</v>
      </c>
      <c r="X100" s="21">
        <f t="shared" si="42"/>
        <v>0</v>
      </c>
      <c r="Y100" s="21">
        <f t="shared" si="42"/>
        <v>0</v>
      </c>
      <c r="Z100" s="21">
        <f t="shared" si="42"/>
        <v>0</v>
      </c>
      <c r="AA100" s="32">
        <f t="shared" si="43"/>
        <v>121</v>
      </c>
      <c r="AB100" s="32">
        <f t="shared" si="43"/>
        <v>68</v>
      </c>
      <c r="DC100" s="15"/>
      <c r="DD100" s="15"/>
    </row>
    <row r="101" spans="1:108" ht="16.5" x14ac:dyDescent="0.2">
      <c r="A101" s="26">
        <v>52</v>
      </c>
      <c r="B101" s="104">
        <f t="shared" si="39"/>
        <v>13</v>
      </c>
      <c r="C101" s="118">
        <v>4</v>
      </c>
      <c r="D101" s="19">
        <v>1</v>
      </c>
      <c r="E101" s="110"/>
      <c r="F101" s="110"/>
      <c r="G101" s="110"/>
      <c r="H101" s="110"/>
      <c r="I101" s="110"/>
      <c r="J101" s="113"/>
      <c r="K101" s="113"/>
      <c r="L101" s="116"/>
      <c r="M101" s="116"/>
      <c r="Q101" s="21">
        <f t="shared" si="42"/>
        <v>0</v>
      </c>
      <c r="R101" s="21">
        <f t="shared" si="42"/>
        <v>0.125</v>
      </c>
      <c r="S101" s="21">
        <f t="shared" si="42"/>
        <v>0.05</v>
      </c>
      <c r="T101" s="21">
        <f t="shared" si="42"/>
        <v>0</v>
      </c>
      <c r="U101" s="21">
        <f t="shared" si="42"/>
        <v>0</v>
      </c>
      <c r="V101" s="21">
        <f t="shared" si="42"/>
        <v>8.7499999999999994E-2</v>
      </c>
      <c r="W101" s="21">
        <f t="shared" si="42"/>
        <v>6.5000000000000002E-2</v>
      </c>
      <c r="X101" s="21">
        <f t="shared" si="42"/>
        <v>0</v>
      </c>
      <c r="Y101" s="21">
        <f t="shared" si="42"/>
        <v>0</v>
      </c>
      <c r="Z101" s="21">
        <f t="shared" si="42"/>
        <v>0</v>
      </c>
      <c r="AA101" s="32">
        <f t="shared" si="43"/>
        <v>125</v>
      </c>
      <c r="AB101" s="32">
        <f t="shared" si="43"/>
        <v>70</v>
      </c>
      <c r="DC101" s="15"/>
      <c r="DD101" s="15"/>
    </row>
    <row r="102" spans="1:108" ht="16.5" x14ac:dyDescent="0.2">
      <c r="A102" s="26">
        <v>53</v>
      </c>
      <c r="B102" s="104">
        <f t="shared" si="39"/>
        <v>14</v>
      </c>
      <c r="C102" s="118">
        <v>1</v>
      </c>
      <c r="D102" s="19">
        <v>0.25</v>
      </c>
      <c r="E102" s="110"/>
      <c r="F102" s="110"/>
      <c r="G102" s="110"/>
      <c r="H102" s="110"/>
      <c r="I102" s="110"/>
      <c r="J102" s="113"/>
      <c r="K102" s="113"/>
      <c r="L102" s="116"/>
      <c r="M102" s="116"/>
      <c r="Q102" s="21">
        <f t="shared" si="42"/>
        <v>0</v>
      </c>
      <c r="R102" s="21">
        <f t="shared" si="42"/>
        <v>0.11562500000000001</v>
      </c>
      <c r="S102" s="21">
        <f t="shared" si="42"/>
        <v>5.3749999999999999E-2</v>
      </c>
      <c r="T102" s="21">
        <f t="shared" si="42"/>
        <v>0</v>
      </c>
      <c r="U102" s="21">
        <f t="shared" si="42"/>
        <v>0</v>
      </c>
      <c r="V102" s="21">
        <f t="shared" si="42"/>
        <v>7.8124999999999986E-2</v>
      </c>
      <c r="W102" s="21">
        <f t="shared" si="42"/>
        <v>6.8750000000000006E-2</v>
      </c>
      <c r="X102" s="21">
        <f t="shared" si="42"/>
        <v>0</v>
      </c>
      <c r="Y102" s="21">
        <f t="shared" si="42"/>
        <v>0</v>
      </c>
      <c r="Z102" s="21">
        <f t="shared" si="42"/>
        <v>0</v>
      </c>
      <c r="AA102" s="32">
        <f t="shared" si="43"/>
        <v>127</v>
      </c>
      <c r="AB102" s="32">
        <f t="shared" si="43"/>
        <v>71</v>
      </c>
      <c r="DC102" s="15"/>
      <c r="DD102" s="15"/>
    </row>
    <row r="103" spans="1:108" ht="16.5" x14ac:dyDescent="0.2">
      <c r="A103" s="26">
        <v>54</v>
      </c>
      <c r="B103" s="104">
        <f t="shared" si="39"/>
        <v>14</v>
      </c>
      <c r="C103" s="118">
        <v>2</v>
      </c>
      <c r="D103" s="19">
        <v>0.5</v>
      </c>
      <c r="E103" s="110"/>
      <c r="F103" s="110"/>
      <c r="G103" s="110"/>
      <c r="H103" s="110"/>
      <c r="I103" s="110"/>
      <c r="J103" s="113"/>
      <c r="K103" s="113"/>
      <c r="L103" s="116"/>
      <c r="M103" s="116"/>
      <c r="Q103" s="21">
        <f t="shared" si="42"/>
        <v>0</v>
      </c>
      <c r="R103" s="21">
        <f t="shared" si="42"/>
        <v>0.10625</v>
      </c>
      <c r="S103" s="21">
        <f t="shared" si="42"/>
        <v>5.7499999999999996E-2</v>
      </c>
      <c r="T103" s="21">
        <f t="shared" si="42"/>
        <v>0</v>
      </c>
      <c r="U103" s="21">
        <f t="shared" si="42"/>
        <v>0</v>
      </c>
      <c r="V103" s="21">
        <f t="shared" si="42"/>
        <v>6.8750000000000006E-2</v>
      </c>
      <c r="W103" s="21">
        <f t="shared" si="42"/>
        <v>7.2500000000000009E-2</v>
      </c>
      <c r="X103" s="21">
        <f t="shared" si="42"/>
        <v>0</v>
      </c>
      <c r="Y103" s="21">
        <f t="shared" si="42"/>
        <v>0</v>
      </c>
      <c r="Z103" s="21">
        <f t="shared" si="42"/>
        <v>0</v>
      </c>
      <c r="AA103" s="32">
        <f t="shared" si="43"/>
        <v>130</v>
      </c>
      <c r="AB103" s="32">
        <f t="shared" si="43"/>
        <v>72</v>
      </c>
      <c r="DC103" s="15"/>
      <c r="DD103" s="15"/>
    </row>
    <row r="104" spans="1:108" ht="16.5" x14ac:dyDescent="0.2">
      <c r="A104" s="26">
        <v>55</v>
      </c>
      <c r="B104" s="104">
        <f t="shared" si="39"/>
        <v>14</v>
      </c>
      <c r="C104" s="118">
        <v>3</v>
      </c>
      <c r="D104" s="19">
        <v>0.75</v>
      </c>
      <c r="E104" s="110"/>
      <c r="F104" s="110"/>
      <c r="G104" s="110"/>
      <c r="H104" s="110"/>
      <c r="I104" s="110"/>
      <c r="J104" s="113"/>
      <c r="K104" s="113"/>
      <c r="L104" s="116"/>
      <c r="M104" s="116"/>
      <c r="Q104" s="21">
        <f t="shared" si="42"/>
        <v>0</v>
      </c>
      <c r="R104" s="21">
        <f t="shared" si="42"/>
        <v>9.6874999999999989E-2</v>
      </c>
      <c r="S104" s="21">
        <f t="shared" si="42"/>
        <v>6.1250000000000006E-2</v>
      </c>
      <c r="T104" s="21">
        <f t="shared" si="42"/>
        <v>0</v>
      </c>
      <c r="U104" s="21">
        <f t="shared" si="42"/>
        <v>0</v>
      </c>
      <c r="V104" s="21">
        <f t="shared" si="42"/>
        <v>5.9375000000000004E-2</v>
      </c>
      <c r="W104" s="21">
        <f t="shared" si="42"/>
        <v>7.6250000000000012E-2</v>
      </c>
      <c r="X104" s="21">
        <f t="shared" si="42"/>
        <v>0</v>
      </c>
      <c r="Y104" s="21">
        <f t="shared" si="42"/>
        <v>0</v>
      </c>
      <c r="Z104" s="21">
        <f t="shared" si="42"/>
        <v>0</v>
      </c>
      <c r="AA104" s="32">
        <f t="shared" si="43"/>
        <v>132</v>
      </c>
      <c r="AB104" s="32">
        <f t="shared" si="43"/>
        <v>73</v>
      </c>
      <c r="DC104" s="15"/>
      <c r="DD104" s="15"/>
    </row>
    <row r="105" spans="1:108" ht="16.5" x14ac:dyDescent="0.2">
      <c r="A105" s="26">
        <v>56</v>
      </c>
      <c r="B105" s="104">
        <f t="shared" si="39"/>
        <v>14</v>
      </c>
      <c r="C105" s="118">
        <v>4</v>
      </c>
      <c r="D105" s="19">
        <v>1</v>
      </c>
      <c r="E105" s="110"/>
      <c r="F105" s="110"/>
      <c r="G105" s="110"/>
      <c r="H105" s="110"/>
      <c r="I105" s="110"/>
      <c r="J105" s="113"/>
      <c r="K105" s="113"/>
      <c r="L105" s="116"/>
      <c r="M105" s="116"/>
      <c r="Q105" s="21">
        <f t="shared" si="42"/>
        <v>0</v>
      </c>
      <c r="R105" s="21">
        <f t="shared" si="42"/>
        <v>8.7499999999999994E-2</v>
      </c>
      <c r="S105" s="21">
        <f t="shared" si="42"/>
        <v>6.5000000000000002E-2</v>
      </c>
      <c r="T105" s="21">
        <f t="shared" si="42"/>
        <v>0</v>
      </c>
      <c r="U105" s="21">
        <f t="shared" si="42"/>
        <v>0</v>
      </c>
      <c r="V105" s="21">
        <f t="shared" si="42"/>
        <v>0.05</v>
      </c>
      <c r="W105" s="21">
        <f t="shared" si="42"/>
        <v>8.0000000000000016E-2</v>
      </c>
      <c r="X105" s="21">
        <f t="shared" si="42"/>
        <v>0</v>
      </c>
      <c r="Y105" s="21">
        <f t="shared" si="42"/>
        <v>0</v>
      </c>
      <c r="Z105" s="21">
        <f t="shared" si="42"/>
        <v>0</v>
      </c>
      <c r="AA105" s="32">
        <f t="shared" si="43"/>
        <v>135</v>
      </c>
      <c r="AB105" s="32">
        <f t="shared" si="43"/>
        <v>75</v>
      </c>
      <c r="DC105" s="15"/>
      <c r="DD105" s="15"/>
    </row>
    <row r="106" spans="1:108" ht="16.5" x14ac:dyDescent="0.2">
      <c r="A106" s="26">
        <v>57</v>
      </c>
      <c r="B106" s="104">
        <f t="shared" si="39"/>
        <v>15</v>
      </c>
      <c r="C106" s="118">
        <v>1</v>
      </c>
      <c r="D106" s="19">
        <v>0.25</v>
      </c>
      <c r="E106" s="110"/>
      <c r="F106" s="110"/>
      <c r="G106" s="110"/>
      <c r="H106" s="110"/>
      <c r="I106" s="110"/>
      <c r="J106" s="113"/>
      <c r="K106" s="113"/>
      <c r="L106" s="116"/>
      <c r="M106" s="116"/>
      <c r="Q106" s="21">
        <f t="shared" si="42"/>
        <v>0</v>
      </c>
      <c r="R106" s="21">
        <f t="shared" si="42"/>
        <v>7.8124999999999986E-2</v>
      </c>
      <c r="S106" s="21">
        <f t="shared" si="42"/>
        <v>6.8750000000000006E-2</v>
      </c>
      <c r="T106" s="21">
        <f t="shared" si="42"/>
        <v>0</v>
      </c>
      <c r="U106" s="21">
        <f t="shared" si="42"/>
        <v>0</v>
      </c>
      <c r="V106" s="21">
        <f t="shared" si="42"/>
        <v>3.7500000000000006E-2</v>
      </c>
      <c r="W106" s="21">
        <f t="shared" si="42"/>
        <v>8.500000000000002E-2</v>
      </c>
      <c r="X106" s="21">
        <f t="shared" si="42"/>
        <v>0</v>
      </c>
      <c r="Y106" s="21">
        <f t="shared" si="42"/>
        <v>0</v>
      </c>
      <c r="Z106" s="21">
        <f t="shared" si="42"/>
        <v>0</v>
      </c>
      <c r="AA106" s="32">
        <f t="shared" si="43"/>
        <v>138</v>
      </c>
      <c r="AB106" s="32">
        <f t="shared" si="43"/>
        <v>76</v>
      </c>
      <c r="DC106" s="15"/>
      <c r="DD106" s="15"/>
    </row>
    <row r="107" spans="1:108" ht="16.5" x14ac:dyDescent="0.2">
      <c r="A107" s="26">
        <v>58</v>
      </c>
      <c r="B107" s="104">
        <f t="shared" si="39"/>
        <v>15</v>
      </c>
      <c r="C107" s="118">
        <v>2</v>
      </c>
      <c r="D107" s="19">
        <v>0.5</v>
      </c>
      <c r="E107" s="110"/>
      <c r="F107" s="110"/>
      <c r="G107" s="110"/>
      <c r="H107" s="110"/>
      <c r="I107" s="110"/>
      <c r="J107" s="113"/>
      <c r="K107" s="113"/>
      <c r="L107" s="116"/>
      <c r="M107" s="116"/>
      <c r="Q107" s="21">
        <f t="shared" si="42"/>
        <v>0</v>
      </c>
      <c r="R107" s="21">
        <f t="shared" si="42"/>
        <v>6.8750000000000006E-2</v>
      </c>
      <c r="S107" s="21">
        <f t="shared" si="42"/>
        <v>7.2500000000000009E-2</v>
      </c>
      <c r="T107" s="21">
        <f t="shared" si="42"/>
        <v>0</v>
      </c>
      <c r="U107" s="21">
        <f t="shared" si="42"/>
        <v>0</v>
      </c>
      <c r="V107" s="21">
        <f t="shared" si="42"/>
        <v>2.5000000000000001E-2</v>
      </c>
      <c r="W107" s="21">
        <f t="shared" si="42"/>
        <v>9.0000000000000011E-2</v>
      </c>
      <c r="X107" s="21">
        <f t="shared" si="42"/>
        <v>0</v>
      </c>
      <c r="Y107" s="21">
        <f t="shared" si="42"/>
        <v>0</v>
      </c>
      <c r="Z107" s="21">
        <f t="shared" si="42"/>
        <v>0</v>
      </c>
      <c r="AA107" s="32">
        <f t="shared" si="43"/>
        <v>142</v>
      </c>
      <c r="AB107" s="32">
        <f t="shared" si="43"/>
        <v>77</v>
      </c>
      <c r="DC107" s="15"/>
      <c r="DD107" s="15"/>
    </row>
    <row r="108" spans="1:108" ht="16.5" x14ac:dyDescent="0.2">
      <c r="A108" s="26">
        <v>59</v>
      </c>
      <c r="B108" s="104">
        <f t="shared" si="39"/>
        <v>15</v>
      </c>
      <c r="C108" s="118">
        <v>3</v>
      </c>
      <c r="D108" s="19">
        <v>0.75</v>
      </c>
      <c r="E108" s="110"/>
      <c r="F108" s="110"/>
      <c r="G108" s="110"/>
      <c r="H108" s="110"/>
      <c r="I108" s="110"/>
      <c r="J108" s="113"/>
      <c r="K108" s="113"/>
      <c r="L108" s="116"/>
      <c r="M108" s="116"/>
      <c r="Q108" s="21">
        <f t="shared" si="42"/>
        <v>0</v>
      </c>
      <c r="R108" s="21">
        <f t="shared" si="42"/>
        <v>5.9375000000000004E-2</v>
      </c>
      <c r="S108" s="21">
        <f t="shared" si="42"/>
        <v>7.6250000000000012E-2</v>
      </c>
      <c r="T108" s="21">
        <f t="shared" si="42"/>
        <v>0</v>
      </c>
      <c r="U108" s="21">
        <f t="shared" si="42"/>
        <v>0</v>
      </c>
      <c r="V108" s="21">
        <f t="shared" ref="R108:Z136" si="44">(INDEX(V$7:V$37,$B108)*(1-$D108)+INDEX(V$7:V$37,$B108+1)*$D108)*V$4*$B$2</f>
        <v>1.2500000000000001E-2</v>
      </c>
      <c r="W108" s="21">
        <f t="shared" si="44"/>
        <v>9.5000000000000001E-2</v>
      </c>
      <c r="X108" s="21">
        <f t="shared" si="44"/>
        <v>0</v>
      </c>
      <c r="Y108" s="21">
        <f t="shared" si="44"/>
        <v>0</v>
      </c>
      <c r="Z108" s="21">
        <f t="shared" si="44"/>
        <v>0</v>
      </c>
      <c r="AA108" s="32">
        <f t="shared" si="43"/>
        <v>146</v>
      </c>
      <c r="AB108" s="32">
        <f t="shared" si="43"/>
        <v>78</v>
      </c>
      <c r="DC108" s="15"/>
      <c r="DD108" s="15"/>
    </row>
    <row r="109" spans="1:108" ht="16.5" x14ac:dyDescent="0.2">
      <c r="A109" s="26">
        <v>60</v>
      </c>
      <c r="B109" s="104">
        <f t="shared" si="39"/>
        <v>15</v>
      </c>
      <c r="C109" s="118">
        <v>4</v>
      </c>
      <c r="D109" s="19">
        <v>1</v>
      </c>
      <c r="E109" s="110"/>
      <c r="F109" s="110"/>
      <c r="G109" s="110"/>
      <c r="H109" s="110"/>
      <c r="I109" s="110"/>
      <c r="J109" s="113"/>
      <c r="K109" s="113"/>
      <c r="L109" s="116"/>
      <c r="M109" s="116"/>
      <c r="Q109" s="21">
        <f t="shared" ref="Q109:Q169" si="45">(INDEX(Q$7:Q$37,$B109)*(1-$D109)+INDEX(Q$7:Q$37,$B109+1)*$D109)*Q$4*$B$2</f>
        <v>0</v>
      </c>
      <c r="R109" s="21">
        <f t="shared" si="44"/>
        <v>0.05</v>
      </c>
      <c r="S109" s="21">
        <f t="shared" si="44"/>
        <v>8.0000000000000016E-2</v>
      </c>
      <c r="T109" s="21">
        <f t="shared" si="44"/>
        <v>0</v>
      </c>
      <c r="U109" s="21">
        <f t="shared" si="44"/>
        <v>0</v>
      </c>
      <c r="V109" s="21">
        <f t="shared" si="44"/>
        <v>0</v>
      </c>
      <c r="W109" s="21">
        <f t="shared" si="44"/>
        <v>0.1</v>
      </c>
      <c r="X109" s="21">
        <f t="shared" si="44"/>
        <v>0</v>
      </c>
      <c r="Y109" s="21">
        <f t="shared" si="44"/>
        <v>0</v>
      </c>
      <c r="Z109" s="21">
        <f t="shared" si="44"/>
        <v>0</v>
      </c>
      <c r="AA109" s="32">
        <f t="shared" si="43"/>
        <v>150</v>
      </c>
      <c r="AB109" s="32">
        <f t="shared" si="43"/>
        <v>80</v>
      </c>
      <c r="DC109" s="15"/>
      <c r="DD109" s="15"/>
    </row>
    <row r="110" spans="1:108" ht="16.5" x14ac:dyDescent="0.2">
      <c r="A110" s="26">
        <v>61</v>
      </c>
      <c r="B110" s="104">
        <f t="shared" si="39"/>
        <v>16</v>
      </c>
      <c r="C110" s="118">
        <v>1</v>
      </c>
      <c r="D110" s="19">
        <v>0.25</v>
      </c>
      <c r="E110" s="110"/>
      <c r="F110" s="110"/>
      <c r="G110" s="110"/>
      <c r="H110" s="110"/>
      <c r="I110" s="110"/>
      <c r="J110" s="113"/>
      <c r="K110" s="113"/>
      <c r="L110" s="116"/>
      <c r="M110" s="116"/>
      <c r="Q110" s="21">
        <f t="shared" si="45"/>
        <v>0</v>
      </c>
      <c r="R110" s="21">
        <f t="shared" si="44"/>
        <v>3.7500000000000006E-2</v>
      </c>
      <c r="S110" s="21">
        <f t="shared" si="44"/>
        <v>8.500000000000002E-2</v>
      </c>
      <c r="T110" s="21">
        <f t="shared" si="44"/>
        <v>0</v>
      </c>
      <c r="U110" s="21">
        <f t="shared" si="44"/>
        <v>0</v>
      </c>
      <c r="V110" s="21">
        <f t="shared" si="44"/>
        <v>0</v>
      </c>
      <c r="W110" s="21">
        <f t="shared" si="44"/>
        <v>9.5000000000000001E-2</v>
      </c>
      <c r="X110" s="21">
        <f t="shared" si="44"/>
        <v>2.5000000000000005E-3</v>
      </c>
      <c r="Y110" s="21">
        <f t="shared" si="44"/>
        <v>0</v>
      </c>
      <c r="Z110" s="21">
        <f t="shared" si="44"/>
        <v>0</v>
      </c>
      <c r="AA110" s="32">
        <f t="shared" si="43"/>
        <v>152</v>
      </c>
      <c r="AB110" s="32">
        <f t="shared" si="43"/>
        <v>82</v>
      </c>
      <c r="DC110" s="15"/>
      <c r="DD110" s="15"/>
    </row>
    <row r="111" spans="1:108" ht="16.5" x14ac:dyDescent="0.2">
      <c r="A111" s="26">
        <v>62</v>
      </c>
      <c r="B111" s="104">
        <f t="shared" si="39"/>
        <v>16</v>
      </c>
      <c r="C111" s="118">
        <v>2</v>
      </c>
      <c r="D111" s="19">
        <v>0.5</v>
      </c>
      <c r="E111" s="110"/>
      <c r="F111" s="110"/>
      <c r="G111" s="110"/>
      <c r="H111" s="110"/>
      <c r="I111" s="110"/>
      <c r="J111" s="113"/>
      <c r="K111" s="113"/>
      <c r="L111" s="116"/>
      <c r="M111" s="116"/>
      <c r="Q111" s="21">
        <f t="shared" si="45"/>
        <v>0</v>
      </c>
      <c r="R111" s="21">
        <f t="shared" si="44"/>
        <v>2.5000000000000001E-2</v>
      </c>
      <c r="S111" s="21">
        <f t="shared" si="44"/>
        <v>9.0000000000000011E-2</v>
      </c>
      <c r="T111" s="21">
        <f t="shared" si="44"/>
        <v>0</v>
      </c>
      <c r="U111" s="21">
        <f t="shared" si="44"/>
        <v>0</v>
      </c>
      <c r="V111" s="21">
        <f t="shared" si="44"/>
        <v>0</v>
      </c>
      <c r="W111" s="21">
        <f t="shared" si="44"/>
        <v>9.0000000000000011E-2</v>
      </c>
      <c r="X111" s="21">
        <f t="shared" si="44"/>
        <v>5.000000000000001E-3</v>
      </c>
      <c r="Y111" s="21">
        <f t="shared" si="44"/>
        <v>0</v>
      </c>
      <c r="Z111" s="21">
        <f t="shared" si="44"/>
        <v>0</v>
      </c>
      <c r="AA111" s="32">
        <f t="shared" si="43"/>
        <v>155</v>
      </c>
      <c r="AB111" s="32">
        <f t="shared" si="43"/>
        <v>85</v>
      </c>
      <c r="DC111" s="15"/>
      <c r="DD111" s="15"/>
    </row>
    <row r="112" spans="1:108" ht="16.5" x14ac:dyDescent="0.2">
      <c r="A112" s="26">
        <v>63</v>
      </c>
      <c r="B112" s="104">
        <f t="shared" si="39"/>
        <v>16</v>
      </c>
      <c r="C112" s="118">
        <v>3</v>
      </c>
      <c r="D112" s="19">
        <v>0.75</v>
      </c>
      <c r="E112" s="110"/>
      <c r="F112" s="110"/>
      <c r="G112" s="110"/>
      <c r="H112" s="110"/>
      <c r="I112" s="110"/>
      <c r="J112" s="113"/>
      <c r="K112" s="113"/>
      <c r="L112" s="116"/>
      <c r="M112" s="116"/>
      <c r="Q112" s="21">
        <f t="shared" si="45"/>
        <v>0</v>
      </c>
      <c r="R112" s="21">
        <f t="shared" si="44"/>
        <v>1.2500000000000001E-2</v>
      </c>
      <c r="S112" s="21">
        <f t="shared" si="44"/>
        <v>9.5000000000000001E-2</v>
      </c>
      <c r="T112" s="21">
        <f t="shared" si="44"/>
        <v>0</v>
      </c>
      <c r="U112" s="21">
        <f t="shared" si="44"/>
        <v>0</v>
      </c>
      <c r="V112" s="21">
        <f t="shared" si="44"/>
        <v>0</v>
      </c>
      <c r="W112" s="21">
        <f t="shared" si="44"/>
        <v>8.500000000000002E-2</v>
      </c>
      <c r="X112" s="21">
        <f t="shared" si="44"/>
        <v>7.5000000000000015E-3</v>
      </c>
      <c r="Y112" s="21">
        <f t="shared" si="44"/>
        <v>0</v>
      </c>
      <c r="Z112" s="21">
        <f t="shared" si="44"/>
        <v>0</v>
      </c>
      <c r="AA112" s="32">
        <f t="shared" si="43"/>
        <v>157</v>
      </c>
      <c r="AB112" s="32">
        <f t="shared" si="43"/>
        <v>87</v>
      </c>
      <c r="DC112" s="15"/>
      <c r="DD112" s="15"/>
    </row>
    <row r="113" spans="1:108" ht="16.5" x14ac:dyDescent="0.2">
      <c r="A113" s="26">
        <v>64</v>
      </c>
      <c r="B113" s="104">
        <f t="shared" si="39"/>
        <v>16</v>
      </c>
      <c r="C113" s="118">
        <v>4</v>
      </c>
      <c r="D113" s="19">
        <v>1</v>
      </c>
      <c r="E113" s="110"/>
      <c r="F113" s="110"/>
      <c r="G113" s="110"/>
      <c r="H113" s="110"/>
      <c r="I113" s="110"/>
      <c r="J113" s="113"/>
      <c r="K113" s="113"/>
      <c r="L113" s="116"/>
      <c r="M113" s="116"/>
      <c r="Q113" s="21">
        <f t="shared" si="45"/>
        <v>0</v>
      </c>
      <c r="R113" s="21">
        <f t="shared" si="44"/>
        <v>0</v>
      </c>
      <c r="S113" s="21">
        <f t="shared" si="44"/>
        <v>0.1</v>
      </c>
      <c r="T113" s="21">
        <f t="shared" si="44"/>
        <v>0</v>
      </c>
      <c r="U113" s="21">
        <f t="shared" si="44"/>
        <v>0</v>
      </c>
      <c r="V113" s="21">
        <f t="shared" si="44"/>
        <v>0</v>
      </c>
      <c r="W113" s="21">
        <f t="shared" si="44"/>
        <v>8.0000000000000016E-2</v>
      </c>
      <c r="X113" s="21">
        <f t="shared" si="44"/>
        <v>1.0000000000000002E-2</v>
      </c>
      <c r="Y113" s="21">
        <f t="shared" si="44"/>
        <v>0</v>
      </c>
      <c r="Z113" s="21">
        <f t="shared" si="44"/>
        <v>0</v>
      </c>
      <c r="AA113" s="32">
        <f t="shared" si="43"/>
        <v>160</v>
      </c>
      <c r="AB113" s="32">
        <f t="shared" si="43"/>
        <v>90</v>
      </c>
      <c r="DC113" s="15"/>
      <c r="DD113" s="15"/>
    </row>
    <row r="114" spans="1:108" ht="16.5" x14ac:dyDescent="0.2">
      <c r="A114" s="26">
        <v>65</v>
      </c>
      <c r="B114" s="104">
        <f t="shared" si="39"/>
        <v>17</v>
      </c>
      <c r="C114" s="118">
        <v>1</v>
      </c>
      <c r="D114" s="19">
        <v>0.25</v>
      </c>
      <c r="E114" s="110"/>
      <c r="F114" s="110"/>
      <c r="G114" s="110"/>
      <c r="H114" s="110"/>
      <c r="I114" s="110"/>
      <c r="J114" s="113"/>
      <c r="K114" s="113"/>
      <c r="L114" s="116"/>
      <c r="M114" s="116"/>
      <c r="Q114" s="21">
        <f t="shared" si="45"/>
        <v>0</v>
      </c>
      <c r="R114" s="21">
        <f t="shared" si="44"/>
        <v>0</v>
      </c>
      <c r="S114" s="21">
        <f t="shared" si="44"/>
        <v>9.5000000000000001E-2</v>
      </c>
      <c r="T114" s="21">
        <f t="shared" si="44"/>
        <v>2.5000000000000005E-3</v>
      </c>
      <c r="U114" s="21">
        <f t="shared" si="44"/>
        <v>0</v>
      </c>
      <c r="V114" s="21">
        <f t="shared" si="44"/>
        <v>0</v>
      </c>
      <c r="W114" s="21">
        <f t="shared" si="44"/>
        <v>7.6250000000000012E-2</v>
      </c>
      <c r="X114" s="21">
        <f t="shared" si="44"/>
        <v>1.1875000000000002E-2</v>
      </c>
      <c r="Y114" s="21">
        <f t="shared" si="44"/>
        <v>0</v>
      </c>
      <c r="Z114" s="21">
        <f t="shared" si="44"/>
        <v>0</v>
      </c>
      <c r="AA114" s="32">
        <f t="shared" si="43"/>
        <v>163</v>
      </c>
      <c r="AB114" s="32">
        <f t="shared" si="43"/>
        <v>92</v>
      </c>
      <c r="DC114" s="15"/>
      <c r="DD114" s="15"/>
    </row>
    <row r="115" spans="1:108" ht="16.5" x14ac:dyDescent="0.2">
      <c r="A115" s="26">
        <v>66</v>
      </c>
      <c r="B115" s="104">
        <f t="shared" ref="B115:B169" si="46">INT((A115-1)/4)+1</f>
        <v>17</v>
      </c>
      <c r="C115" s="118">
        <v>2</v>
      </c>
      <c r="D115" s="19">
        <v>0.5</v>
      </c>
      <c r="E115" s="110"/>
      <c r="F115" s="110"/>
      <c r="G115" s="110"/>
      <c r="H115" s="110"/>
      <c r="I115" s="110"/>
      <c r="J115" s="113"/>
      <c r="K115" s="113"/>
      <c r="L115" s="116"/>
      <c r="M115" s="116"/>
      <c r="Q115" s="21">
        <f t="shared" si="45"/>
        <v>0</v>
      </c>
      <c r="R115" s="21">
        <f t="shared" si="44"/>
        <v>0</v>
      </c>
      <c r="S115" s="21">
        <f t="shared" si="44"/>
        <v>9.0000000000000011E-2</v>
      </c>
      <c r="T115" s="21">
        <f t="shared" si="44"/>
        <v>5.000000000000001E-3</v>
      </c>
      <c r="U115" s="21">
        <f t="shared" si="44"/>
        <v>0</v>
      </c>
      <c r="V115" s="21">
        <f t="shared" si="44"/>
        <v>0</v>
      </c>
      <c r="W115" s="21">
        <f t="shared" si="44"/>
        <v>7.2500000000000009E-2</v>
      </c>
      <c r="X115" s="21">
        <f t="shared" si="44"/>
        <v>1.3750000000000002E-2</v>
      </c>
      <c r="Y115" s="21">
        <f t="shared" si="44"/>
        <v>0</v>
      </c>
      <c r="Z115" s="21">
        <f t="shared" si="44"/>
        <v>0</v>
      </c>
      <c r="AA115" s="32">
        <f t="shared" ref="AA115:AB146" si="47">INT((INDEX(AA$7:AA$37,$B115)*(1-$D115)+INDEX(AA$7:AA$37,$B115+1)*$D115)*AA$4*$B$2)</f>
        <v>167</v>
      </c>
      <c r="AB115" s="32">
        <f t="shared" si="47"/>
        <v>95</v>
      </c>
      <c r="DC115" s="15"/>
      <c r="DD115" s="15"/>
    </row>
    <row r="116" spans="1:108" ht="16.5" x14ac:dyDescent="0.2">
      <c r="A116" s="26">
        <v>67</v>
      </c>
      <c r="B116" s="104">
        <f t="shared" si="46"/>
        <v>17</v>
      </c>
      <c r="C116" s="118">
        <v>3</v>
      </c>
      <c r="D116" s="19">
        <v>0.75</v>
      </c>
      <c r="E116" s="110"/>
      <c r="F116" s="110"/>
      <c r="G116" s="110"/>
      <c r="H116" s="110"/>
      <c r="I116" s="110"/>
      <c r="J116" s="113"/>
      <c r="K116" s="113"/>
      <c r="L116" s="116"/>
      <c r="M116" s="116"/>
      <c r="Q116" s="21">
        <f t="shared" si="45"/>
        <v>0</v>
      </c>
      <c r="R116" s="21">
        <f t="shared" si="44"/>
        <v>0</v>
      </c>
      <c r="S116" s="21">
        <f t="shared" si="44"/>
        <v>8.500000000000002E-2</v>
      </c>
      <c r="T116" s="21">
        <f t="shared" si="44"/>
        <v>7.5000000000000015E-3</v>
      </c>
      <c r="U116" s="21">
        <f t="shared" si="44"/>
        <v>0</v>
      </c>
      <c r="V116" s="21">
        <f t="shared" si="44"/>
        <v>0</v>
      </c>
      <c r="W116" s="21">
        <f t="shared" si="44"/>
        <v>6.8750000000000006E-2</v>
      </c>
      <c r="X116" s="21">
        <f t="shared" si="44"/>
        <v>1.5624999999999998E-2</v>
      </c>
      <c r="Y116" s="21">
        <f t="shared" si="44"/>
        <v>0</v>
      </c>
      <c r="Z116" s="21">
        <f t="shared" si="44"/>
        <v>0</v>
      </c>
      <c r="AA116" s="32">
        <f t="shared" si="47"/>
        <v>171</v>
      </c>
      <c r="AB116" s="32">
        <f t="shared" si="47"/>
        <v>97</v>
      </c>
      <c r="DC116" s="15"/>
      <c r="DD116" s="15"/>
    </row>
    <row r="117" spans="1:108" ht="16.5" x14ac:dyDescent="0.2">
      <c r="A117" s="26">
        <v>68</v>
      </c>
      <c r="B117" s="104">
        <f t="shared" si="46"/>
        <v>17</v>
      </c>
      <c r="C117" s="118">
        <v>4</v>
      </c>
      <c r="D117" s="19">
        <v>1</v>
      </c>
      <c r="E117" s="110"/>
      <c r="F117" s="110"/>
      <c r="G117" s="110"/>
      <c r="H117" s="110"/>
      <c r="I117" s="110"/>
      <c r="J117" s="113"/>
      <c r="K117" s="113"/>
      <c r="L117" s="116"/>
      <c r="M117" s="116"/>
      <c r="Q117" s="21">
        <f t="shared" si="45"/>
        <v>0</v>
      </c>
      <c r="R117" s="21">
        <f t="shared" si="44"/>
        <v>0</v>
      </c>
      <c r="S117" s="21">
        <f t="shared" si="44"/>
        <v>8.0000000000000016E-2</v>
      </c>
      <c r="T117" s="21">
        <f t="shared" si="44"/>
        <v>1.0000000000000002E-2</v>
      </c>
      <c r="U117" s="21">
        <f t="shared" si="44"/>
        <v>0</v>
      </c>
      <c r="V117" s="21">
        <f t="shared" si="44"/>
        <v>0</v>
      </c>
      <c r="W117" s="21">
        <f t="shared" si="44"/>
        <v>6.5000000000000002E-2</v>
      </c>
      <c r="X117" s="21">
        <f t="shared" si="44"/>
        <v>1.7499999999999998E-2</v>
      </c>
      <c r="Y117" s="21">
        <f t="shared" si="44"/>
        <v>0</v>
      </c>
      <c r="Z117" s="21">
        <f t="shared" si="44"/>
        <v>0</v>
      </c>
      <c r="AA117" s="32">
        <f t="shared" si="47"/>
        <v>175</v>
      </c>
      <c r="AB117" s="32">
        <f t="shared" si="47"/>
        <v>100</v>
      </c>
      <c r="DC117" s="15"/>
      <c r="DD117" s="15"/>
    </row>
    <row r="118" spans="1:108" ht="16.5" x14ac:dyDescent="0.2">
      <c r="A118" s="26">
        <v>69</v>
      </c>
      <c r="B118" s="104">
        <f t="shared" si="46"/>
        <v>18</v>
      </c>
      <c r="C118" s="118">
        <v>1</v>
      </c>
      <c r="D118" s="19">
        <v>0.25</v>
      </c>
      <c r="E118" s="110"/>
      <c r="F118" s="110"/>
      <c r="G118" s="110"/>
      <c r="H118" s="110"/>
      <c r="I118" s="110"/>
      <c r="J118" s="113"/>
      <c r="K118" s="113"/>
      <c r="L118" s="116"/>
      <c r="M118" s="116"/>
      <c r="Q118" s="21">
        <f t="shared" si="45"/>
        <v>0</v>
      </c>
      <c r="R118" s="21">
        <f t="shared" si="44"/>
        <v>0</v>
      </c>
      <c r="S118" s="21">
        <f t="shared" si="44"/>
        <v>7.6250000000000012E-2</v>
      </c>
      <c r="T118" s="21">
        <f t="shared" si="44"/>
        <v>1.1875000000000002E-2</v>
      </c>
      <c r="U118" s="21">
        <f t="shared" si="44"/>
        <v>0</v>
      </c>
      <c r="V118" s="21">
        <f t="shared" si="44"/>
        <v>0</v>
      </c>
      <c r="W118" s="21">
        <f t="shared" si="44"/>
        <v>6.1250000000000006E-2</v>
      </c>
      <c r="X118" s="21">
        <f t="shared" si="44"/>
        <v>1.9375E-2</v>
      </c>
      <c r="Y118" s="21">
        <f t="shared" si="44"/>
        <v>0</v>
      </c>
      <c r="Z118" s="21">
        <f t="shared" si="44"/>
        <v>0</v>
      </c>
      <c r="AA118" s="32">
        <f t="shared" si="47"/>
        <v>177</v>
      </c>
      <c r="AB118" s="32">
        <f t="shared" si="47"/>
        <v>102</v>
      </c>
    </row>
    <row r="119" spans="1:108" ht="16.5" x14ac:dyDescent="0.2">
      <c r="A119" s="26">
        <v>70</v>
      </c>
      <c r="B119" s="104">
        <f t="shared" si="46"/>
        <v>18</v>
      </c>
      <c r="C119" s="118">
        <v>2</v>
      </c>
      <c r="D119" s="19">
        <v>0.5</v>
      </c>
      <c r="E119" s="110"/>
      <c r="F119" s="110"/>
      <c r="G119" s="110"/>
      <c r="H119" s="110"/>
      <c r="I119" s="110"/>
      <c r="J119" s="113"/>
      <c r="K119" s="113"/>
      <c r="L119" s="116"/>
      <c r="M119" s="116"/>
      <c r="Q119" s="21">
        <f t="shared" si="45"/>
        <v>0</v>
      </c>
      <c r="R119" s="21">
        <f t="shared" si="44"/>
        <v>0</v>
      </c>
      <c r="S119" s="21">
        <f t="shared" si="44"/>
        <v>7.2500000000000009E-2</v>
      </c>
      <c r="T119" s="21">
        <f t="shared" si="44"/>
        <v>1.3750000000000002E-2</v>
      </c>
      <c r="U119" s="21">
        <f t="shared" si="44"/>
        <v>0</v>
      </c>
      <c r="V119" s="21">
        <f t="shared" si="44"/>
        <v>0</v>
      </c>
      <c r="W119" s="21">
        <f t="shared" si="44"/>
        <v>5.7499999999999996E-2</v>
      </c>
      <c r="X119" s="21">
        <f t="shared" si="44"/>
        <v>2.1250000000000002E-2</v>
      </c>
      <c r="Y119" s="21">
        <f t="shared" si="44"/>
        <v>0</v>
      </c>
      <c r="Z119" s="21">
        <f t="shared" si="44"/>
        <v>0</v>
      </c>
      <c r="AA119" s="32">
        <f t="shared" si="47"/>
        <v>180</v>
      </c>
      <c r="AB119" s="32">
        <f t="shared" si="47"/>
        <v>105</v>
      </c>
    </row>
    <row r="120" spans="1:108" ht="16.5" x14ac:dyDescent="0.2">
      <c r="A120" s="26">
        <v>71</v>
      </c>
      <c r="B120" s="104">
        <f t="shared" si="46"/>
        <v>18</v>
      </c>
      <c r="C120" s="118">
        <v>3</v>
      </c>
      <c r="D120" s="19">
        <v>0.75</v>
      </c>
      <c r="E120" s="110"/>
      <c r="F120" s="110"/>
      <c r="G120" s="110"/>
      <c r="H120" s="110"/>
      <c r="I120" s="110"/>
      <c r="J120" s="113"/>
      <c r="K120" s="113"/>
      <c r="L120" s="116"/>
      <c r="M120" s="116"/>
      <c r="Q120" s="21">
        <f t="shared" si="45"/>
        <v>0</v>
      </c>
      <c r="R120" s="21">
        <f t="shared" si="44"/>
        <v>0</v>
      </c>
      <c r="S120" s="21">
        <f t="shared" si="44"/>
        <v>6.8750000000000006E-2</v>
      </c>
      <c r="T120" s="21">
        <f t="shared" si="44"/>
        <v>1.5624999999999998E-2</v>
      </c>
      <c r="U120" s="21">
        <f t="shared" si="44"/>
        <v>0</v>
      </c>
      <c r="V120" s="21">
        <f t="shared" si="44"/>
        <v>0</v>
      </c>
      <c r="W120" s="21">
        <f t="shared" si="44"/>
        <v>5.3749999999999999E-2</v>
      </c>
      <c r="X120" s="21">
        <f t="shared" si="44"/>
        <v>2.3125000000000003E-2</v>
      </c>
      <c r="Y120" s="21">
        <f t="shared" si="44"/>
        <v>0</v>
      </c>
      <c r="Z120" s="21">
        <f t="shared" si="44"/>
        <v>0</v>
      </c>
      <c r="AA120" s="32">
        <f t="shared" si="47"/>
        <v>182</v>
      </c>
      <c r="AB120" s="32">
        <f t="shared" si="47"/>
        <v>107</v>
      </c>
    </row>
    <row r="121" spans="1:108" ht="16.5" x14ac:dyDescent="0.2">
      <c r="A121" s="26">
        <v>72</v>
      </c>
      <c r="B121" s="104">
        <f t="shared" si="46"/>
        <v>18</v>
      </c>
      <c r="C121" s="118">
        <v>4</v>
      </c>
      <c r="D121" s="19">
        <v>1</v>
      </c>
      <c r="E121" s="110"/>
      <c r="F121" s="110"/>
      <c r="G121" s="110"/>
      <c r="H121" s="110"/>
      <c r="I121" s="110"/>
      <c r="J121" s="113"/>
      <c r="K121" s="113"/>
      <c r="L121" s="116"/>
      <c r="M121" s="116"/>
      <c r="Q121" s="21">
        <f t="shared" si="45"/>
        <v>0</v>
      </c>
      <c r="R121" s="21">
        <f t="shared" si="44"/>
        <v>0</v>
      </c>
      <c r="S121" s="21">
        <f t="shared" si="44"/>
        <v>6.5000000000000002E-2</v>
      </c>
      <c r="T121" s="21">
        <f t="shared" si="44"/>
        <v>1.7499999999999998E-2</v>
      </c>
      <c r="U121" s="21">
        <f t="shared" si="44"/>
        <v>0</v>
      </c>
      <c r="V121" s="21">
        <f t="shared" si="44"/>
        <v>0</v>
      </c>
      <c r="W121" s="21">
        <f t="shared" si="44"/>
        <v>0.05</v>
      </c>
      <c r="X121" s="21">
        <f t="shared" si="44"/>
        <v>2.5000000000000001E-2</v>
      </c>
      <c r="Y121" s="21">
        <f t="shared" si="44"/>
        <v>0</v>
      </c>
      <c r="Z121" s="21">
        <f t="shared" si="44"/>
        <v>0</v>
      </c>
      <c r="AA121" s="32">
        <f t="shared" si="47"/>
        <v>185</v>
      </c>
      <c r="AB121" s="32">
        <f t="shared" si="47"/>
        <v>110</v>
      </c>
    </row>
    <row r="122" spans="1:108" ht="16.5" x14ac:dyDescent="0.2">
      <c r="A122" s="26">
        <v>73</v>
      </c>
      <c r="B122" s="104">
        <f t="shared" si="46"/>
        <v>19</v>
      </c>
      <c r="C122" s="118">
        <v>1</v>
      </c>
      <c r="D122" s="19">
        <v>0.25</v>
      </c>
      <c r="E122" s="110"/>
      <c r="F122" s="110"/>
      <c r="G122" s="110"/>
      <c r="H122" s="110"/>
      <c r="I122" s="110"/>
      <c r="J122" s="113"/>
      <c r="K122" s="113"/>
      <c r="L122" s="116"/>
      <c r="M122" s="116"/>
      <c r="Q122" s="21">
        <f t="shared" si="45"/>
        <v>0</v>
      </c>
      <c r="R122" s="21">
        <f t="shared" si="44"/>
        <v>0</v>
      </c>
      <c r="S122" s="21">
        <f t="shared" si="44"/>
        <v>6.1250000000000006E-2</v>
      </c>
      <c r="T122" s="21">
        <f t="shared" si="44"/>
        <v>1.9375E-2</v>
      </c>
      <c r="U122" s="21">
        <f t="shared" si="44"/>
        <v>0</v>
      </c>
      <c r="V122" s="21">
        <f t="shared" si="44"/>
        <v>0</v>
      </c>
      <c r="W122" s="21">
        <f t="shared" si="44"/>
        <v>4.6250000000000006E-2</v>
      </c>
      <c r="X122" s="21">
        <f t="shared" si="44"/>
        <v>2.6875E-2</v>
      </c>
      <c r="Y122" s="21">
        <f t="shared" si="44"/>
        <v>0</v>
      </c>
      <c r="Z122" s="21">
        <f t="shared" si="44"/>
        <v>3.1250000000000006E-4</v>
      </c>
      <c r="AA122" s="32">
        <f t="shared" si="47"/>
        <v>188</v>
      </c>
      <c r="AB122" s="32">
        <f t="shared" si="47"/>
        <v>112</v>
      </c>
    </row>
    <row r="123" spans="1:108" ht="16.5" x14ac:dyDescent="0.2">
      <c r="A123" s="26">
        <v>74</v>
      </c>
      <c r="B123" s="104">
        <f t="shared" si="46"/>
        <v>19</v>
      </c>
      <c r="C123" s="118">
        <v>2</v>
      </c>
      <c r="D123" s="19">
        <v>0.5</v>
      </c>
      <c r="E123" s="110"/>
      <c r="F123" s="110"/>
      <c r="G123" s="110"/>
      <c r="H123" s="110"/>
      <c r="I123" s="110"/>
      <c r="J123" s="113"/>
      <c r="K123" s="113"/>
      <c r="L123" s="116"/>
      <c r="M123" s="116"/>
      <c r="Q123" s="21">
        <f t="shared" si="45"/>
        <v>0</v>
      </c>
      <c r="R123" s="21">
        <f t="shared" si="44"/>
        <v>0</v>
      </c>
      <c r="S123" s="21">
        <f t="shared" si="44"/>
        <v>5.7499999999999996E-2</v>
      </c>
      <c r="T123" s="21">
        <f t="shared" si="44"/>
        <v>2.1250000000000002E-2</v>
      </c>
      <c r="U123" s="21">
        <f t="shared" si="44"/>
        <v>0</v>
      </c>
      <c r="V123" s="21">
        <f t="shared" si="44"/>
        <v>0</v>
      </c>
      <c r="W123" s="21">
        <f t="shared" si="44"/>
        <v>4.2500000000000003E-2</v>
      </c>
      <c r="X123" s="21">
        <f t="shared" si="44"/>
        <v>2.8749999999999998E-2</v>
      </c>
      <c r="Y123" s="21">
        <f t="shared" si="44"/>
        <v>0</v>
      </c>
      <c r="Z123" s="21">
        <f t="shared" si="44"/>
        <v>6.2500000000000012E-4</v>
      </c>
      <c r="AA123" s="32">
        <f t="shared" si="47"/>
        <v>192</v>
      </c>
      <c r="AB123" s="32">
        <f t="shared" si="47"/>
        <v>115</v>
      </c>
    </row>
    <row r="124" spans="1:108" ht="16.5" x14ac:dyDescent="0.2">
      <c r="A124" s="26">
        <v>75</v>
      </c>
      <c r="B124" s="104">
        <f t="shared" si="46"/>
        <v>19</v>
      </c>
      <c r="C124" s="118">
        <v>3</v>
      </c>
      <c r="D124" s="19">
        <v>0.75</v>
      </c>
      <c r="E124" s="110"/>
      <c r="F124" s="110"/>
      <c r="G124" s="110"/>
      <c r="H124" s="110"/>
      <c r="I124" s="110"/>
      <c r="J124" s="113"/>
      <c r="K124" s="113"/>
      <c r="L124" s="116"/>
      <c r="M124" s="116"/>
      <c r="Q124" s="21">
        <f t="shared" si="45"/>
        <v>0</v>
      </c>
      <c r="R124" s="21">
        <f t="shared" si="44"/>
        <v>0</v>
      </c>
      <c r="S124" s="21">
        <f t="shared" si="44"/>
        <v>5.3749999999999999E-2</v>
      </c>
      <c r="T124" s="21">
        <f t="shared" si="44"/>
        <v>2.3125000000000003E-2</v>
      </c>
      <c r="U124" s="21">
        <f t="shared" si="44"/>
        <v>0</v>
      </c>
      <c r="V124" s="21">
        <f t="shared" si="44"/>
        <v>0</v>
      </c>
      <c r="W124" s="21">
        <f t="shared" si="44"/>
        <v>3.875E-2</v>
      </c>
      <c r="X124" s="21">
        <f t="shared" si="44"/>
        <v>3.0625000000000003E-2</v>
      </c>
      <c r="Y124" s="21">
        <f t="shared" si="44"/>
        <v>0</v>
      </c>
      <c r="Z124" s="21">
        <f t="shared" si="44"/>
        <v>9.3750000000000018E-4</v>
      </c>
      <c r="AA124" s="32">
        <f t="shared" si="47"/>
        <v>196</v>
      </c>
      <c r="AB124" s="32">
        <f t="shared" si="47"/>
        <v>117</v>
      </c>
    </row>
    <row r="125" spans="1:108" ht="16.5" x14ac:dyDescent="0.2">
      <c r="A125" s="26">
        <v>76</v>
      </c>
      <c r="B125" s="104">
        <f t="shared" si="46"/>
        <v>19</v>
      </c>
      <c r="C125" s="118">
        <v>4</v>
      </c>
      <c r="D125" s="19">
        <v>1</v>
      </c>
      <c r="E125" s="110"/>
      <c r="F125" s="110"/>
      <c r="G125" s="110"/>
      <c r="H125" s="110"/>
      <c r="I125" s="110"/>
      <c r="J125" s="113"/>
      <c r="K125" s="113"/>
      <c r="L125" s="116"/>
      <c r="M125" s="116"/>
      <c r="Q125" s="21">
        <f t="shared" si="45"/>
        <v>0</v>
      </c>
      <c r="R125" s="21">
        <f t="shared" si="44"/>
        <v>0</v>
      </c>
      <c r="S125" s="21">
        <f t="shared" si="44"/>
        <v>0.05</v>
      </c>
      <c r="T125" s="21">
        <f t="shared" si="44"/>
        <v>2.5000000000000001E-2</v>
      </c>
      <c r="U125" s="21">
        <f t="shared" si="44"/>
        <v>0</v>
      </c>
      <c r="V125" s="21">
        <f t="shared" si="44"/>
        <v>0</v>
      </c>
      <c r="W125" s="21">
        <f t="shared" si="44"/>
        <v>3.4999999999999996E-2</v>
      </c>
      <c r="X125" s="21">
        <f t="shared" si="44"/>
        <v>3.2500000000000001E-2</v>
      </c>
      <c r="Y125" s="21">
        <f t="shared" si="44"/>
        <v>0</v>
      </c>
      <c r="Z125" s="21">
        <f t="shared" si="44"/>
        <v>1.2500000000000002E-3</v>
      </c>
      <c r="AA125" s="32">
        <f t="shared" si="47"/>
        <v>200</v>
      </c>
      <c r="AB125" s="32">
        <f t="shared" si="47"/>
        <v>120</v>
      </c>
    </row>
    <row r="126" spans="1:108" ht="16.5" x14ac:dyDescent="0.2">
      <c r="A126" s="26">
        <v>77</v>
      </c>
      <c r="B126" s="104">
        <f t="shared" si="46"/>
        <v>20</v>
      </c>
      <c r="C126" s="118">
        <v>1</v>
      </c>
      <c r="D126" s="19">
        <v>0.25</v>
      </c>
      <c r="E126" s="110"/>
      <c r="F126" s="110"/>
      <c r="G126" s="110"/>
      <c r="H126" s="110"/>
      <c r="I126" s="110"/>
      <c r="J126" s="113"/>
      <c r="K126" s="113"/>
      <c r="L126" s="116"/>
      <c r="M126" s="116"/>
      <c r="Q126" s="21">
        <f t="shared" si="45"/>
        <v>0</v>
      </c>
      <c r="R126" s="21">
        <f t="shared" si="44"/>
        <v>0</v>
      </c>
      <c r="S126" s="21">
        <f t="shared" si="44"/>
        <v>4.6250000000000006E-2</v>
      </c>
      <c r="T126" s="21">
        <f t="shared" si="44"/>
        <v>2.6875E-2</v>
      </c>
      <c r="U126" s="21">
        <f t="shared" si="44"/>
        <v>0</v>
      </c>
      <c r="V126" s="21">
        <f t="shared" si="44"/>
        <v>0</v>
      </c>
      <c r="W126" s="21">
        <f t="shared" si="44"/>
        <v>3.1249999999999997E-2</v>
      </c>
      <c r="X126" s="21">
        <f t="shared" si="44"/>
        <v>3.4375000000000003E-2</v>
      </c>
      <c r="Y126" s="21">
        <f t="shared" si="44"/>
        <v>0</v>
      </c>
      <c r="Z126" s="21">
        <f t="shared" si="44"/>
        <v>1.5625000000000001E-3</v>
      </c>
      <c r="AA126" s="32">
        <f t="shared" si="47"/>
        <v>202</v>
      </c>
      <c r="AB126" s="32">
        <f t="shared" si="47"/>
        <v>122</v>
      </c>
    </row>
    <row r="127" spans="1:108" ht="16.5" x14ac:dyDescent="0.2">
      <c r="A127" s="26">
        <v>78</v>
      </c>
      <c r="B127" s="104">
        <f t="shared" si="46"/>
        <v>20</v>
      </c>
      <c r="C127" s="118">
        <v>2</v>
      </c>
      <c r="D127" s="19">
        <v>0.5</v>
      </c>
      <c r="E127" s="110"/>
      <c r="F127" s="110"/>
      <c r="G127" s="110"/>
      <c r="H127" s="110"/>
      <c r="I127" s="110"/>
      <c r="J127" s="113"/>
      <c r="K127" s="113"/>
      <c r="L127" s="116"/>
      <c r="M127" s="116"/>
      <c r="Q127" s="21">
        <f t="shared" si="45"/>
        <v>0</v>
      </c>
      <c r="R127" s="21">
        <f t="shared" si="44"/>
        <v>0</v>
      </c>
      <c r="S127" s="21">
        <f t="shared" si="44"/>
        <v>4.2500000000000003E-2</v>
      </c>
      <c r="T127" s="21">
        <f t="shared" si="44"/>
        <v>2.8749999999999998E-2</v>
      </c>
      <c r="U127" s="21">
        <f t="shared" si="44"/>
        <v>0</v>
      </c>
      <c r="V127" s="21">
        <f t="shared" si="44"/>
        <v>0</v>
      </c>
      <c r="W127" s="21">
        <f t="shared" si="44"/>
        <v>2.7500000000000004E-2</v>
      </c>
      <c r="X127" s="21">
        <f t="shared" si="44"/>
        <v>3.6250000000000004E-2</v>
      </c>
      <c r="Y127" s="21">
        <f t="shared" si="44"/>
        <v>0</v>
      </c>
      <c r="Z127" s="21">
        <f t="shared" si="44"/>
        <v>1.8750000000000004E-3</v>
      </c>
      <c r="AA127" s="32">
        <f t="shared" si="47"/>
        <v>205</v>
      </c>
      <c r="AB127" s="32">
        <f t="shared" si="47"/>
        <v>125</v>
      </c>
    </row>
    <row r="128" spans="1:108" ht="16.5" x14ac:dyDescent="0.2">
      <c r="A128" s="26">
        <v>79</v>
      </c>
      <c r="B128" s="104">
        <f t="shared" si="46"/>
        <v>20</v>
      </c>
      <c r="C128" s="118">
        <v>3</v>
      </c>
      <c r="D128" s="19">
        <v>0.75</v>
      </c>
      <c r="E128" s="110"/>
      <c r="F128" s="110"/>
      <c r="G128" s="110"/>
      <c r="H128" s="110"/>
      <c r="I128" s="110"/>
      <c r="J128" s="113"/>
      <c r="K128" s="113"/>
      <c r="L128" s="116"/>
      <c r="M128" s="116"/>
      <c r="Q128" s="21">
        <f t="shared" si="45"/>
        <v>0</v>
      </c>
      <c r="R128" s="21">
        <f t="shared" si="44"/>
        <v>0</v>
      </c>
      <c r="S128" s="21">
        <f t="shared" si="44"/>
        <v>3.875E-2</v>
      </c>
      <c r="T128" s="21">
        <f t="shared" si="44"/>
        <v>3.0625000000000003E-2</v>
      </c>
      <c r="U128" s="21">
        <f t="shared" si="44"/>
        <v>0</v>
      </c>
      <c r="V128" s="21">
        <f t="shared" si="44"/>
        <v>0</v>
      </c>
      <c r="W128" s="21">
        <f t="shared" si="44"/>
        <v>2.3750000000000004E-2</v>
      </c>
      <c r="X128" s="21">
        <f t="shared" si="44"/>
        <v>3.8125000000000006E-2</v>
      </c>
      <c r="Y128" s="21">
        <f t="shared" si="44"/>
        <v>0</v>
      </c>
      <c r="Z128" s="21">
        <f t="shared" si="44"/>
        <v>2.1875000000000002E-3</v>
      </c>
      <c r="AA128" s="32">
        <f t="shared" si="47"/>
        <v>207</v>
      </c>
      <c r="AB128" s="32">
        <f t="shared" si="47"/>
        <v>127</v>
      </c>
    </row>
    <row r="129" spans="1:28" ht="16.5" x14ac:dyDescent="0.2">
      <c r="A129" s="26">
        <v>80</v>
      </c>
      <c r="B129" s="104">
        <f t="shared" si="46"/>
        <v>20</v>
      </c>
      <c r="C129" s="118">
        <v>4</v>
      </c>
      <c r="D129" s="19">
        <v>1</v>
      </c>
      <c r="E129" s="110"/>
      <c r="F129" s="110"/>
      <c r="G129" s="110"/>
      <c r="H129" s="110"/>
      <c r="I129" s="110"/>
      <c r="J129" s="113"/>
      <c r="K129" s="113"/>
      <c r="L129" s="116"/>
      <c r="M129" s="116"/>
      <c r="Q129" s="21">
        <f t="shared" si="45"/>
        <v>0</v>
      </c>
      <c r="R129" s="21">
        <f t="shared" si="44"/>
        <v>0</v>
      </c>
      <c r="S129" s="21">
        <f t="shared" si="44"/>
        <v>3.4999999999999996E-2</v>
      </c>
      <c r="T129" s="21">
        <f t="shared" si="44"/>
        <v>3.2500000000000001E-2</v>
      </c>
      <c r="U129" s="21">
        <f t="shared" si="44"/>
        <v>0</v>
      </c>
      <c r="V129" s="21">
        <f t="shared" si="44"/>
        <v>0</v>
      </c>
      <c r="W129" s="21">
        <f t="shared" si="44"/>
        <v>2.0000000000000004E-2</v>
      </c>
      <c r="X129" s="21">
        <f t="shared" si="44"/>
        <v>4.0000000000000008E-2</v>
      </c>
      <c r="Y129" s="21">
        <f t="shared" si="44"/>
        <v>0</v>
      </c>
      <c r="Z129" s="21">
        <f t="shared" si="44"/>
        <v>2.5000000000000005E-3</v>
      </c>
      <c r="AA129" s="32">
        <f t="shared" si="47"/>
        <v>210</v>
      </c>
      <c r="AB129" s="32">
        <f t="shared" si="47"/>
        <v>130</v>
      </c>
    </row>
    <row r="130" spans="1:28" ht="16.5" x14ac:dyDescent="0.2">
      <c r="A130" s="26">
        <v>81</v>
      </c>
      <c r="B130" s="104">
        <f t="shared" si="46"/>
        <v>21</v>
      </c>
      <c r="C130" s="118">
        <v>1</v>
      </c>
      <c r="D130" s="19">
        <v>0.25</v>
      </c>
      <c r="E130" s="110"/>
      <c r="F130" s="110"/>
      <c r="G130" s="110"/>
      <c r="H130" s="110"/>
      <c r="I130" s="110"/>
      <c r="J130" s="113"/>
      <c r="K130" s="113"/>
      <c r="L130" s="116"/>
      <c r="M130" s="116"/>
      <c r="Q130" s="21">
        <f t="shared" si="45"/>
        <v>0</v>
      </c>
      <c r="R130" s="21">
        <f t="shared" si="44"/>
        <v>0</v>
      </c>
      <c r="S130" s="21">
        <f t="shared" si="44"/>
        <v>3.1249999999999997E-2</v>
      </c>
      <c r="T130" s="21">
        <f t="shared" si="44"/>
        <v>3.4375000000000003E-2</v>
      </c>
      <c r="U130" s="21">
        <f t="shared" si="44"/>
        <v>0</v>
      </c>
      <c r="V130" s="21">
        <f t="shared" si="44"/>
        <v>0</v>
      </c>
      <c r="W130" s="21">
        <f t="shared" si="44"/>
        <v>1.5000000000000003E-2</v>
      </c>
      <c r="X130" s="21">
        <f t="shared" si="44"/>
        <v>4.250000000000001E-2</v>
      </c>
      <c r="Y130" s="21">
        <f t="shared" si="44"/>
        <v>0</v>
      </c>
      <c r="Z130" s="21">
        <f t="shared" si="44"/>
        <v>3.1250000000000002E-3</v>
      </c>
      <c r="AA130" s="32">
        <f t="shared" si="47"/>
        <v>213</v>
      </c>
      <c r="AB130" s="32">
        <f t="shared" si="47"/>
        <v>132</v>
      </c>
    </row>
    <row r="131" spans="1:28" ht="16.5" x14ac:dyDescent="0.2">
      <c r="A131" s="26">
        <v>82</v>
      </c>
      <c r="B131" s="104">
        <f t="shared" si="46"/>
        <v>21</v>
      </c>
      <c r="C131" s="118">
        <v>2</v>
      </c>
      <c r="D131" s="19">
        <v>0.5</v>
      </c>
      <c r="E131" s="110"/>
      <c r="F131" s="110"/>
      <c r="G131" s="110"/>
      <c r="H131" s="110"/>
      <c r="I131" s="110"/>
      <c r="J131" s="113"/>
      <c r="K131" s="113"/>
      <c r="L131" s="116"/>
      <c r="M131" s="116"/>
      <c r="Q131" s="21">
        <f t="shared" si="45"/>
        <v>0</v>
      </c>
      <c r="R131" s="21">
        <f t="shared" si="44"/>
        <v>0</v>
      </c>
      <c r="S131" s="21">
        <f t="shared" si="44"/>
        <v>2.7500000000000004E-2</v>
      </c>
      <c r="T131" s="21">
        <f t="shared" si="44"/>
        <v>3.6250000000000004E-2</v>
      </c>
      <c r="U131" s="21">
        <f t="shared" si="44"/>
        <v>0</v>
      </c>
      <c r="V131" s="21">
        <f t="shared" si="44"/>
        <v>0</v>
      </c>
      <c r="W131" s="21">
        <f t="shared" si="44"/>
        <v>1.0000000000000002E-2</v>
      </c>
      <c r="X131" s="21">
        <f t="shared" si="44"/>
        <v>4.5000000000000005E-2</v>
      </c>
      <c r="Y131" s="21">
        <f t="shared" si="44"/>
        <v>0</v>
      </c>
      <c r="Z131" s="21">
        <f t="shared" si="44"/>
        <v>3.7500000000000007E-3</v>
      </c>
      <c r="AA131" s="32">
        <f t="shared" si="47"/>
        <v>217</v>
      </c>
      <c r="AB131" s="32">
        <f t="shared" si="47"/>
        <v>135</v>
      </c>
    </row>
    <row r="132" spans="1:28" ht="16.5" x14ac:dyDescent="0.2">
      <c r="A132" s="26">
        <v>83</v>
      </c>
      <c r="B132" s="104">
        <f t="shared" si="46"/>
        <v>21</v>
      </c>
      <c r="C132" s="118">
        <v>3</v>
      </c>
      <c r="D132" s="19">
        <v>0.75</v>
      </c>
      <c r="E132" s="110"/>
      <c r="F132" s="110"/>
      <c r="G132" s="110"/>
      <c r="H132" s="110"/>
      <c r="I132" s="110"/>
      <c r="J132" s="113"/>
      <c r="K132" s="113"/>
      <c r="L132" s="116"/>
      <c r="M132" s="116"/>
      <c r="Q132" s="21">
        <f t="shared" si="45"/>
        <v>0</v>
      </c>
      <c r="R132" s="21">
        <f t="shared" si="44"/>
        <v>0</v>
      </c>
      <c r="S132" s="21">
        <f t="shared" si="44"/>
        <v>2.3750000000000004E-2</v>
      </c>
      <c r="T132" s="21">
        <f t="shared" si="44"/>
        <v>3.8125000000000006E-2</v>
      </c>
      <c r="U132" s="21">
        <f t="shared" si="44"/>
        <v>0</v>
      </c>
      <c r="V132" s="21">
        <f t="shared" si="44"/>
        <v>0</v>
      </c>
      <c r="W132" s="21">
        <f t="shared" si="44"/>
        <v>5.000000000000001E-3</v>
      </c>
      <c r="X132" s="21">
        <f t="shared" si="44"/>
        <v>4.7500000000000001E-2</v>
      </c>
      <c r="Y132" s="21">
        <f t="shared" si="44"/>
        <v>0</v>
      </c>
      <c r="Z132" s="21">
        <f t="shared" si="44"/>
        <v>4.3750000000000004E-3</v>
      </c>
      <c r="AA132" s="32">
        <f t="shared" si="47"/>
        <v>221</v>
      </c>
      <c r="AB132" s="32">
        <f t="shared" si="47"/>
        <v>137</v>
      </c>
    </row>
    <row r="133" spans="1:28" ht="16.5" x14ac:dyDescent="0.2">
      <c r="A133" s="26">
        <v>84</v>
      </c>
      <c r="B133" s="104">
        <f t="shared" si="46"/>
        <v>21</v>
      </c>
      <c r="C133" s="118">
        <v>4</v>
      </c>
      <c r="D133" s="19">
        <v>1</v>
      </c>
      <c r="E133" s="110"/>
      <c r="F133" s="110"/>
      <c r="G133" s="110"/>
      <c r="H133" s="110"/>
      <c r="I133" s="110"/>
      <c r="J133" s="113"/>
      <c r="K133" s="113"/>
      <c r="L133" s="116"/>
      <c r="M133" s="116"/>
      <c r="Q133" s="21">
        <f t="shared" si="45"/>
        <v>0</v>
      </c>
      <c r="R133" s="21">
        <f t="shared" si="44"/>
        <v>0</v>
      </c>
      <c r="S133" s="21">
        <f t="shared" si="44"/>
        <v>2.0000000000000004E-2</v>
      </c>
      <c r="T133" s="21">
        <f t="shared" si="44"/>
        <v>4.0000000000000008E-2</v>
      </c>
      <c r="U133" s="21">
        <f t="shared" si="44"/>
        <v>0</v>
      </c>
      <c r="V133" s="21">
        <f t="shared" si="44"/>
        <v>0</v>
      </c>
      <c r="W133" s="21">
        <f t="shared" si="44"/>
        <v>0</v>
      </c>
      <c r="X133" s="21">
        <f t="shared" si="44"/>
        <v>0.05</v>
      </c>
      <c r="Y133" s="21">
        <f t="shared" si="44"/>
        <v>0</v>
      </c>
      <c r="Z133" s="21">
        <f t="shared" si="44"/>
        <v>5.000000000000001E-3</v>
      </c>
      <c r="AA133" s="32">
        <f t="shared" si="47"/>
        <v>225</v>
      </c>
      <c r="AB133" s="32">
        <f t="shared" si="47"/>
        <v>140</v>
      </c>
    </row>
    <row r="134" spans="1:28" ht="16.5" x14ac:dyDescent="0.2">
      <c r="A134" s="26">
        <v>85</v>
      </c>
      <c r="B134" s="104">
        <f t="shared" si="46"/>
        <v>22</v>
      </c>
      <c r="C134" s="118">
        <v>1</v>
      </c>
      <c r="D134" s="19">
        <v>0.25</v>
      </c>
      <c r="E134" s="110"/>
      <c r="F134" s="110"/>
      <c r="G134" s="110"/>
      <c r="H134" s="110"/>
      <c r="I134" s="110"/>
      <c r="J134" s="113"/>
      <c r="K134" s="113"/>
      <c r="L134" s="116"/>
      <c r="M134" s="116"/>
      <c r="Q134" s="21">
        <f t="shared" si="45"/>
        <v>0</v>
      </c>
      <c r="R134" s="21">
        <f t="shared" si="44"/>
        <v>0</v>
      </c>
      <c r="S134" s="21">
        <f t="shared" si="44"/>
        <v>1.5000000000000003E-2</v>
      </c>
      <c r="T134" s="21">
        <f t="shared" si="44"/>
        <v>4.250000000000001E-2</v>
      </c>
      <c r="U134" s="21">
        <f t="shared" si="44"/>
        <v>0</v>
      </c>
      <c r="V134" s="21">
        <f t="shared" si="44"/>
        <v>0</v>
      </c>
      <c r="W134" s="21">
        <f t="shared" si="44"/>
        <v>0</v>
      </c>
      <c r="X134" s="21">
        <f t="shared" si="44"/>
        <v>4.7500000000000001E-2</v>
      </c>
      <c r="Y134" s="21">
        <f t="shared" si="44"/>
        <v>1.2500000000000002E-3</v>
      </c>
      <c r="Z134" s="21">
        <f t="shared" si="44"/>
        <v>5.6250000000000015E-3</v>
      </c>
      <c r="AA134" s="32">
        <f t="shared" si="47"/>
        <v>227</v>
      </c>
      <c r="AB134" s="32">
        <f t="shared" si="47"/>
        <v>142</v>
      </c>
    </row>
    <row r="135" spans="1:28" ht="16.5" x14ac:dyDescent="0.2">
      <c r="A135" s="26">
        <v>86</v>
      </c>
      <c r="B135" s="104">
        <f t="shared" si="46"/>
        <v>22</v>
      </c>
      <c r="C135" s="118">
        <v>2</v>
      </c>
      <c r="D135" s="19">
        <v>0.5</v>
      </c>
      <c r="E135" s="110"/>
      <c r="F135" s="110"/>
      <c r="G135" s="110"/>
      <c r="H135" s="110"/>
      <c r="I135" s="110"/>
      <c r="J135" s="113"/>
      <c r="K135" s="113"/>
      <c r="L135" s="116"/>
      <c r="M135" s="116"/>
      <c r="Q135" s="21">
        <f t="shared" si="45"/>
        <v>0</v>
      </c>
      <c r="R135" s="21">
        <f t="shared" si="44"/>
        <v>0</v>
      </c>
      <c r="S135" s="21">
        <f t="shared" si="44"/>
        <v>1.0000000000000002E-2</v>
      </c>
      <c r="T135" s="21">
        <f t="shared" si="44"/>
        <v>4.5000000000000005E-2</v>
      </c>
      <c r="U135" s="21">
        <f t="shared" si="44"/>
        <v>0</v>
      </c>
      <c r="V135" s="21">
        <f t="shared" si="44"/>
        <v>0</v>
      </c>
      <c r="W135" s="21">
        <f t="shared" si="44"/>
        <v>0</v>
      </c>
      <c r="X135" s="21">
        <f t="shared" si="44"/>
        <v>4.5000000000000005E-2</v>
      </c>
      <c r="Y135" s="21">
        <f t="shared" si="44"/>
        <v>2.5000000000000005E-3</v>
      </c>
      <c r="Z135" s="21">
        <f t="shared" si="44"/>
        <v>6.2500000000000003E-3</v>
      </c>
      <c r="AA135" s="32">
        <f t="shared" si="47"/>
        <v>230</v>
      </c>
      <c r="AB135" s="32">
        <f t="shared" si="47"/>
        <v>145</v>
      </c>
    </row>
    <row r="136" spans="1:28" ht="16.5" x14ac:dyDescent="0.2">
      <c r="A136" s="26">
        <v>87</v>
      </c>
      <c r="B136" s="104">
        <f t="shared" si="46"/>
        <v>22</v>
      </c>
      <c r="C136" s="118">
        <v>3</v>
      </c>
      <c r="D136" s="19">
        <v>0.75</v>
      </c>
      <c r="E136" s="110"/>
      <c r="F136" s="110"/>
      <c r="G136" s="110"/>
      <c r="H136" s="110"/>
      <c r="I136" s="110"/>
      <c r="J136" s="113"/>
      <c r="K136" s="113"/>
      <c r="L136" s="116"/>
      <c r="M136" s="116"/>
      <c r="Q136" s="21">
        <f t="shared" si="45"/>
        <v>0</v>
      </c>
      <c r="R136" s="21">
        <f t="shared" si="44"/>
        <v>0</v>
      </c>
      <c r="S136" s="21">
        <f t="shared" si="44"/>
        <v>5.000000000000001E-3</v>
      </c>
      <c r="T136" s="21">
        <f t="shared" si="44"/>
        <v>4.7500000000000001E-2</v>
      </c>
      <c r="U136" s="21">
        <f t="shared" si="44"/>
        <v>0</v>
      </c>
      <c r="V136" s="21">
        <f t="shared" si="44"/>
        <v>0</v>
      </c>
      <c r="W136" s="21">
        <f t="shared" si="44"/>
        <v>0</v>
      </c>
      <c r="X136" s="21">
        <f t="shared" si="44"/>
        <v>4.250000000000001E-2</v>
      </c>
      <c r="Y136" s="21">
        <f t="shared" ref="R136:Z165" si="48">(INDEX(Y$7:Y$37,$B136)*(1-$D136)+INDEX(Y$7:Y$37,$B136+1)*$D136)*Y$4*$B$2</f>
        <v>3.7500000000000007E-3</v>
      </c>
      <c r="Z136" s="21">
        <f t="shared" si="48"/>
        <v>6.8749999999999992E-3</v>
      </c>
      <c r="AA136" s="32">
        <f t="shared" si="47"/>
        <v>232</v>
      </c>
      <c r="AB136" s="32">
        <f t="shared" si="47"/>
        <v>147</v>
      </c>
    </row>
    <row r="137" spans="1:28" ht="16.5" x14ac:dyDescent="0.2">
      <c r="A137" s="26">
        <v>88</v>
      </c>
      <c r="B137" s="104">
        <f t="shared" si="46"/>
        <v>22</v>
      </c>
      <c r="C137" s="118">
        <v>4</v>
      </c>
      <c r="D137" s="19">
        <v>1</v>
      </c>
      <c r="E137" s="110"/>
      <c r="F137" s="110"/>
      <c r="G137" s="110"/>
      <c r="H137" s="110"/>
      <c r="I137" s="110"/>
      <c r="J137" s="113"/>
      <c r="K137" s="113"/>
      <c r="L137" s="116"/>
      <c r="M137" s="116"/>
      <c r="Q137" s="21">
        <f t="shared" si="45"/>
        <v>0</v>
      </c>
      <c r="R137" s="21">
        <f t="shared" si="48"/>
        <v>0</v>
      </c>
      <c r="S137" s="21">
        <f t="shared" si="48"/>
        <v>0</v>
      </c>
      <c r="T137" s="21">
        <f t="shared" si="48"/>
        <v>0.05</v>
      </c>
      <c r="U137" s="21">
        <f t="shared" si="48"/>
        <v>0</v>
      </c>
      <c r="V137" s="21">
        <f t="shared" si="48"/>
        <v>0</v>
      </c>
      <c r="W137" s="21">
        <f t="shared" si="48"/>
        <v>0</v>
      </c>
      <c r="X137" s="21">
        <f t="shared" si="48"/>
        <v>4.0000000000000008E-2</v>
      </c>
      <c r="Y137" s="21">
        <f t="shared" si="48"/>
        <v>5.000000000000001E-3</v>
      </c>
      <c r="Z137" s="21">
        <f t="shared" si="48"/>
        <v>7.4999999999999997E-3</v>
      </c>
      <c r="AA137" s="32">
        <f t="shared" si="47"/>
        <v>235</v>
      </c>
      <c r="AB137" s="32">
        <f t="shared" si="47"/>
        <v>150</v>
      </c>
    </row>
    <row r="138" spans="1:28" ht="16.5" x14ac:dyDescent="0.2">
      <c r="A138" s="26">
        <v>89</v>
      </c>
      <c r="B138" s="104">
        <f t="shared" si="46"/>
        <v>23</v>
      </c>
      <c r="C138" s="118">
        <v>1</v>
      </c>
      <c r="D138" s="19">
        <v>0.25</v>
      </c>
      <c r="E138" s="110"/>
      <c r="F138" s="110"/>
      <c r="G138" s="110"/>
      <c r="H138" s="110"/>
      <c r="I138" s="110"/>
      <c r="J138" s="113"/>
      <c r="K138" s="113"/>
      <c r="L138" s="116"/>
      <c r="M138" s="116"/>
      <c r="Q138" s="21">
        <f t="shared" si="45"/>
        <v>0</v>
      </c>
      <c r="R138" s="21">
        <f t="shared" si="48"/>
        <v>0</v>
      </c>
      <c r="S138" s="21">
        <f t="shared" si="48"/>
        <v>0</v>
      </c>
      <c r="T138" s="21">
        <f t="shared" si="48"/>
        <v>4.7500000000000001E-2</v>
      </c>
      <c r="U138" s="21">
        <f t="shared" si="48"/>
        <v>1.2500000000000002E-3</v>
      </c>
      <c r="V138" s="21">
        <f t="shared" si="48"/>
        <v>0</v>
      </c>
      <c r="W138" s="21">
        <f t="shared" si="48"/>
        <v>0</v>
      </c>
      <c r="X138" s="21">
        <f t="shared" si="48"/>
        <v>3.8125000000000006E-2</v>
      </c>
      <c r="Y138" s="21">
        <f t="shared" si="48"/>
        <v>5.9375000000000009E-3</v>
      </c>
      <c r="Z138" s="21">
        <f t="shared" si="48"/>
        <v>8.1249999999999985E-3</v>
      </c>
      <c r="AA138" s="32">
        <f t="shared" si="47"/>
        <v>238</v>
      </c>
      <c r="AB138" s="32">
        <f t="shared" si="47"/>
        <v>152</v>
      </c>
    </row>
    <row r="139" spans="1:28" ht="16.5" x14ac:dyDescent="0.2">
      <c r="A139" s="26">
        <v>90</v>
      </c>
      <c r="B139" s="104">
        <f t="shared" si="46"/>
        <v>23</v>
      </c>
      <c r="C139" s="118">
        <v>2</v>
      </c>
      <c r="D139" s="19">
        <v>0.5</v>
      </c>
      <c r="E139" s="110"/>
      <c r="F139" s="110"/>
      <c r="G139" s="110"/>
      <c r="H139" s="110"/>
      <c r="I139" s="110"/>
      <c r="J139" s="113"/>
      <c r="K139" s="113"/>
      <c r="L139" s="116"/>
      <c r="M139" s="116"/>
      <c r="Q139" s="21">
        <f t="shared" si="45"/>
        <v>0</v>
      </c>
      <c r="R139" s="21">
        <f t="shared" si="48"/>
        <v>0</v>
      </c>
      <c r="S139" s="21">
        <f t="shared" si="48"/>
        <v>0</v>
      </c>
      <c r="T139" s="21">
        <f t="shared" si="48"/>
        <v>4.5000000000000005E-2</v>
      </c>
      <c r="U139" s="21">
        <f t="shared" si="48"/>
        <v>2.5000000000000005E-3</v>
      </c>
      <c r="V139" s="21">
        <f t="shared" si="48"/>
        <v>0</v>
      </c>
      <c r="W139" s="21">
        <f t="shared" si="48"/>
        <v>0</v>
      </c>
      <c r="X139" s="21">
        <f t="shared" si="48"/>
        <v>3.6250000000000004E-2</v>
      </c>
      <c r="Y139" s="21">
        <f t="shared" si="48"/>
        <v>6.8750000000000009E-3</v>
      </c>
      <c r="Z139" s="21">
        <f t="shared" si="48"/>
        <v>8.7499999999999991E-3</v>
      </c>
      <c r="AA139" s="32">
        <f t="shared" si="47"/>
        <v>242</v>
      </c>
      <c r="AB139" s="32">
        <f t="shared" si="47"/>
        <v>155</v>
      </c>
    </row>
    <row r="140" spans="1:28" ht="16.5" x14ac:dyDescent="0.2">
      <c r="A140" s="26">
        <v>91</v>
      </c>
      <c r="B140" s="104">
        <f t="shared" si="46"/>
        <v>23</v>
      </c>
      <c r="C140" s="118">
        <v>3</v>
      </c>
      <c r="D140" s="19">
        <v>0.75</v>
      </c>
      <c r="E140" s="110"/>
      <c r="F140" s="110"/>
      <c r="G140" s="110"/>
      <c r="H140" s="110"/>
      <c r="I140" s="110"/>
      <c r="J140" s="113"/>
      <c r="K140" s="113"/>
      <c r="L140" s="116"/>
      <c r="M140" s="116"/>
      <c r="Q140" s="21">
        <f t="shared" si="45"/>
        <v>0</v>
      </c>
      <c r="R140" s="21">
        <f t="shared" si="48"/>
        <v>0</v>
      </c>
      <c r="S140" s="21">
        <f t="shared" si="48"/>
        <v>0</v>
      </c>
      <c r="T140" s="21">
        <f t="shared" si="48"/>
        <v>4.250000000000001E-2</v>
      </c>
      <c r="U140" s="21">
        <f t="shared" si="48"/>
        <v>3.7500000000000007E-3</v>
      </c>
      <c r="V140" s="21">
        <f t="shared" si="48"/>
        <v>0</v>
      </c>
      <c r="W140" s="21">
        <f t="shared" si="48"/>
        <v>0</v>
      </c>
      <c r="X140" s="21">
        <f t="shared" si="48"/>
        <v>3.4375000000000003E-2</v>
      </c>
      <c r="Y140" s="21">
        <f t="shared" si="48"/>
        <v>7.8124999999999991E-3</v>
      </c>
      <c r="Z140" s="21">
        <f t="shared" si="48"/>
        <v>9.3750000000000014E-3</v>
      </c>
      <c r="AA140" s="32">
        <f t="shared" si="47"/>
        <v>246</v>
      </c>
      <c r="AB140" s="32">
        <f t="shared" si="47"/>
        <v>157</v>
      </c>
    </row>
    <row r="141" spans="1:28" ht="16.5" x14ac:dyDescent="0.2">
      <c r="A141" s="26">
        <v>92</v>
      </c>
      <c r="B141" s="104">
        <f t="shared" si="46"/>
        <v>23</v>
      </c>
      <c r="C141" s="118">
        <v>4</v>
      </c>
      <c r="D141" s="19">
        <v>1</v>
      </c>
      <c r="E141" s="110"/>
      <c r="F141" s="110"/>
      <c r="G141" s="110"/>
      <c r="H141" s="110"/>
      <c r="I141" s="110"/>
      <c r="J141" s="113"/>
      <c r="K141" s="113"/>
      <c r="L141" s="116"/>
      <c r="M141" s="116"/>
      <c r="Q141" s="21">
        <f t="shared" si="45"/>
        <v>0</v>
      </c>
      <c r="R141" s="21">
        <f t="shared" si="48"/>
        <v>0</v>
      </c>
      <c r="S141" s="21">
        <f t="shared" si="48"/>
        <v>0</v>
      </c>
      <c r="T141" s="21">
        <f t="shared" si="48"/>
        <v>4.0000000000000008E-2</v>
      </c>
      <c r="U141" s="21">
        <f t="shared" si="48"/>
        <v>5.000000000000001E-3</v>
      </c>
      <c r="V141" s="21">
        <f t="shared" si="48"/>
        <v>0</v>
      </c>
      <c r="W141" s="21">
        <f t="shared" si="48"/>
        <v>0</v>
      </c>
      <c r="X141" s="21">
        <f t="shared" si="48"/>
        <v>3.2500000000000001E-2</v>
      </c>
      <c r="Y141" s="21">
        <f t="shared" si="48"/>
        <v>8.7499999999999991E-3</v>
      </c>
      <c r="Z141" s="21">
        <f t="shared" si="48"/>
        <v>1.0000000000000002E-2</v>
      </c>
      <c r="AA141" s="32">
        <f t="shared" si="47"/>
        <v>250</v>
      </c>
      <c r="AB141" s="32">
        <f t="shared" si="47"/>
        <v>160</v>
      </c>
    </row>
    <row r="142" spans="1:28" ht="16.5" x14ac:dyDescent="0.2">
      <c r="A142" s="26">
        <v>93</v>
      </c>
      <c r="B142" s="104">
        <f t="shared" si="46"/>
        <v>24</v>
      </c>
      <c r="C142" s="118">
        <v>1</v>
      </c>
      <c r="D142" s="19">
        <v>0.25</v>
      </c>
      <c r="E142" s="110"/>
      <c r="F142" s="110"/>
      <c r="G142" s="110"/>
      <c r="H142" s="110"/>
      <c r="I142" s="110"/>
      <c r="J142" s="113"/>
      <c r="K142" s="113"/>
      <c r="L142" s="116"/>
      <c r="M142" s="116"/>
      <c r="Q142" s="21">
        <f t="shared" si="45"/>
        <v>0</v>
      </c>
      <c r="R142" s="21">
        <f t="shared" si="48"/>
        <v>0</v>
      </c>
      <c r="S142" s="21">
        <f t="shared" si="48"/>
        <v>0</v>
      </c>
      <c r="T142" s="21">
        <f t="shared" si="48"/>
        <v>3.8125000000000006E-2</v>
      </c>
      <c r="U142" s="21">
        <f t="shared" si="48"/>
        <v>5.9375000000000009E-3</v>
      </c>
      <c r="V142" s="21">
        <f t="shared" si="48"/>
        <v>0</v>
      </c>
      <c r="W142" s="21">
        <f t="shared" si="48"/>
        <v>0</v>
      </c>
      <c r="X142" s="21">
        <f t="shared" si="48"/>
        <v>3.0625000000000003E-2</v>
      </c>
      <c r="Y142" s="21">
        <f t="shared" si="48"/>
        <v>9.6874999999999999E-3</v>
      </c>
      <c r="Z142" s="21">
        <f t="shared" si="48"/>
        <v>1.0625000000000002E-2</v>
      </c>
      <c r="AA142" s="32">
        <f t="shared" si="47"/>
        <v>256</v>
      </c>
      <c r="AB142" s="32">
        <f t="shared" si="47"/>
        <v>162</v>
      </c>
    </row>
    <row r="143" spans="1:28" ht="16.5" x14ac:dyDescent="0.2">
      <c r="A143" s="26">
        <v>94</v>
      </c>
      <c r="B143" s="104">
        <f t="shared" si="46"/>
        <v>24</v>
      </c>
      <c r="C143" s="118">
        <v>2</v>
      </c>
      <c r="D143" s="19">
        <v>0.5</v>
      </c>
      <c r="E143" s="110"/>
      <c r="F143" s="110"/>
      <c r="G143" s="110"/>
      <c r="H143" s="110"/>
      <c r="I143" s="110"/>
      <c r="J143" s="113"/>
      <c r="K143" s="113"/>
      <c r="L143" s="116"/>
      <c r="M143" s="116"/>
      <c r="Q143" s="21">
        <f t="shared" si="45"/>
        <v>0</v>
      </c>
      <c r="R143" s="21">
        <f t="shared" si="48"/>
        <v>0</v>
      </c>
      <c r="S143" s="21">
        <f t="shared" si="48"/>
        <v>0</v>
      </c>
      <c r="T143" s="21">
        <f t="shared" si="48"/>
        <v>3.6250000000000004E-2</v>
      </c>
      <c r="U143" s="21">
        <f t="shared" si="48"/>
        <v>6.8750000000000009E-3</v>
      </c>
      <c r="V143" s="21">
        <f t="shared" si="48"/>
        <v>0</v>
      </c>
      <c r="W143" s="21">
        <f t="shared" si="48"/>
        <v>0</v>
      </c>
      <c r="X143" s="21">
        <f t="shared" si="48"/>
        <v>2.8749999999999998E-2</v>
      </c>
      <c r="Y143" s="21">
        <f t="shared" si="48"/>
        <v>1.0625000000000001E-2</v>
      </c>
      <c r="Z143" s="21">
        <f t="shared" si="48"/>
        <v>1.1250000000000001E-2</v>
      </c>
      <c r="AA143" s="32">
        <f t="shared" si="47"/>
        <v>262</v>
      </c>
      <c r="AB143" s="32">
        <f t="shared" si="47"/>
        <v>165</v>
      </c>
    </row>
    <row r="144" spans="1:28" ht="16.5" x14ac:dyDescent="0.2">
      <c r="A144" s="26">
        <v>95</v>
      </c>
      <c r="B144" s="104">
        <f t="shared" si="46"/>
        <v>24</v>
      </c>
      <c r="C144" s="118">
        <v>3</v>
      </c>
      <c r="D144" s="19">
        <v>0.75</v>
      </c>
      <c r="E144" s="110"/>
      <c r="F144" s="110"/>
      <c r="G144" s="110"/>
      <c r="H144" s="110"/>
      <c r="I144" s="110"/>
      <c r="J144" s="113"/>
      <c r="K144" s="113"/>
      <c r="L144" s="116"/>
      <c r="M144" s="116"/>
      <c r="Q144" s="21">
        <f t="shared" si="45"/>
        <v>0</v>
      </c>
      <c r="R144" s="21">
        <f t="shared" si="48"/>
        <v>0</v>
      </c>
      <c r="S144" s="21">
        <f t="shared" si="48"/>
        <v>0</v>
      </c>
      <c r="T144" s="21">
        <f t="shared" si="48"/>
        <v>3.4375000000000003E-2</v>
      </c>
      <c r="U144" s="21">
        <f t="shared" si="48"/>
        <v>7.8124999999999991E-3</v>
      </c>
      <c r="V144" s="21">
        <f t="shared" si="48"/>
        <v>0</v>
      </c>
      <c r="W144" s="21">
        <f t="shared" si="48"/>
        <v>0</v>
      </c>
      <c r="X144" s="21">
        <f t="shared" si="48"/>
        <v>2.6875E-2</v>
      </c>
      <c r="Y144" s="21">
        <f t="shared" si="48"/>
        <v>1.1562500000000002E-2</v>
      </c>
      <c r="Z144" s="21">
        <f t="shared" si="48"/>
        <v>1.1875E-2</v>
      </c>
      <c r="AA144" s="32">
        <f t="shared" si="47"/>
        <v>268</v>
      </c>
      <c r="AB144" s="32">
        <f t="shared" si="47"/>
        <v>167</v>
      </c>
    </row>
    <row r="145" spans="1:28" ht="16.5" x14ac:dyDescent="0.2">
      <c r="A145" s="26">
        <v>96</v>
      </c>
      <c r="B145" s="104">
        <f t="shared" si="46"/>
        <v>24</v>
      </c>
      <c r="C145" s="118">
        <v>4</v>
      </c>
      <c r="D145" s="19">
        <v>1</v>
      </c>
      <c r="E145" s="110"/>
      <c r="F145" s="110"/>
      <c r="G145" s="110"/>
      <c r="H145" s="110"/>
      <c r="I145" s="110"/>
      <c r="J145" s="113"/>
      <c r="K145" s="113"/>
      <c r="L145" s="116"/>
      <c r="M145" s="116"/>
      <c r="Q145" s="21">
        <f t="shared" si="45"/>
        <v>0</v>
      </c>
      <c r="R145" s="21">
        <f t="shared" si="48"/>
        <v>0</v>
      </c>
      <c r="S145" s="21">
        <f t="shared" si="48"/>
        <v>0</v>
      </c>
      <c r="T145" s="21">
        <f t="shared" si="48"/>
        <v>3.2500000000000001E-2</v>
      </c>
      <c r="U145" s="21">
        <f t="shared" si="48"/>
        <v>8.7499999999999991E-3</v>
      </c>
      <c r="V145" s="21">
        <f t="shared" si="48"/>
        <v>0</v>
      </c>
      <c r="W145" s="21">
        <f t="shared" si="48"/>
        <v>0</v>
      </c>
      <c r="X145" s="21">
        <f t="shared" si="48"/>
        <v>2.5000000000000001E-2</v>
      </c>
      <c r="Y145" s="21">
        <f t="shared" si="48"/>
        <v>1.2500000000000001E-2</v>
      </c>
      <c r="Z145" s="21">
        <f t="shared" si="48"/>
        <v>1.2500000000000001E-2</v>
      </c>
      <c r="AA145" s="32">
        <f t="shared" si="47"/>
        <v>275</v>
      </c>
      <c r="AB145" s="32">
        <f t="shared" si="47"/>
        <v>170</v>
      </c>
    </row>
    <row r="146" spans="1:28" ht="16.5" x14ac:dyDescent="0.2">
      <c r="A146" s="26">
        <v>97</v>
      </c>
      <c r="B146" s="104">
        <f t="shared" si="46"/>
        <v>25</v>
      </c>
      <c r="C146" s="118">
        <v>1</v>
      </c>
      <c r="D146" s="19">
        <v>0.25</v>
      </c>
      <c r="E146" s="110"/>
      <c r="F146" s="110"/>
      <c r="G146" s="110"/>
      <c r="H146" s="110"/>
      <c r="I146" s="110"/>
      <c r="J146" s="113"/>
      <c r="K146" s="113"/>
      <c r="L146" s="116"/>
      <c r="M146" s="116"/>
      <c r="Q146" s="21">
        <f t="shared" si="45"/>
        <v>0</v>
      </c>
      <c r="R146" s="21">
        <f t="shared" si="48"/>
        <v>0</v>
      </c>
      <c r="S146" s="21">
        <f t="shared" si="48"/>
        <v>0</v>
      </c>
      <c r="T146" s="21">
        <f t="shared" si="48"/>
        <v>3.0625000000000003E-2</v>
      </c>
      <c r="U146" s="21">
        <f t="shared" si="48"/>
        <v>9.6874999999999999E-3</v>
      </c>
      <c r="V146" s="21">
        <f t="shared" si="48"/>
        <v>0</v>
      </c>
      <c r="W146" s="21">
        <f t="shared" si="48"/>
        <v>0</v>
      </c>
      <c r="X146" s="21">
        <f t="shared" si="48"/>
        <v>2.3125000000000003E-2</v>
      </c>
      <c r="Y146" s="21">
        <f t="shared" si="48"/>
        <v>1.34375E-2</v>
      </c>
      <c r="Z146" s="21">
        <f t="shared" si="48"/>
        <v>1.3125000000000001E-2</v>
      </c>
      <c r="AA146" s="32">
        <f t="shared" si="47"/>
        <v>281</v>
      </c>
      <c r="AB146" s="32">
        <f t="shared" si="47"/>
        <v>172</v>
      </c>
    </row>
    <row r="147" spans="1:28" ht="16.5" x14ac:dyDescent="0.2">
      <c r="A147" s="26">
        <v>98</v>
      </c>
      <c r="B147" s="104">
        <f t="shared" si="46"/>
        <v>25</v>
      </c>
      <c r="C147" s="118">
        <v>2</v>
      </c>
      <c r="D147" s="19">
        <v>0.5</v>
      </c>
      <c r="E147" s="110"/>
      <c r="F147" s="110"/>
      <c r="G147" s="110"/>
      <c r="H147" s="110"/>
      <c r="I147" s="110"/>
      <c r="J147" s="113"/>
      <c r="K147" s="113"/>
      <c r="L147" s="116"/>
      <c r="M147" s="116"/>
      <c r="Q147" s="21">
        <f t="shared" si="45"/>
        <v>0</v>
      </c>
      <c r="R147" s="21">
        <f t="shared" si="48"/>
        <v>0</v>
      </c>
      <c r="S147" s="21">
        <f t="shared" si="48"/>
        <v>0</v>
      </c>
      <c r="T147" s="21">
        <f t="shared" si="48"/>
        <v>2.8749999999999998E-2</v>
      </c>
      <c r="U147" s="21">
        <f t="shared" si="48"/>
        <v>1.0625000000000001E-2</v>
      </c>
      <c r="V147" s="21">
        <f t="shared" si="48"/>
        <v>0</v>
      </c>
      <c r="W147" s="21">
        <f t="shared" si="48"/>
        <v>0</v>
      </c>
      <c r="X147" s="21">
        <f t="shared" si="48"/>
        <v>2.1250000000000002E-2</v>
      </c>
      <c r="Y147" s="21">
        <f t="shared" si="48"/>
        <v>1.4374999999999999E-2</v>
      </c>
      <c r="Z147" s="21">
        <f t="shared" si="48"/>
        <v>1.3750000000000002E-2</v>
      </c>
      <c r="AA147" s="32">
        <f t="shared" ref="AA147:AB169" si="49">INT((INDEX(AA$7:AA$37,$B147)*(1-$D147)+INDEX(AA$7:AA$37,$B147+1)*$D147)*AA$4*$B$2)</f>
        <v>287</v>
      </c>
      <c r="AB147" s="32">
        <f t="shared" si="49"/>
        <v>175</v>
      </c>
    </row>
    <row r="148" spans="1:28" ht="16.5" x14ac:dyDescent="0.2">
      <c r="A148" s="26">
        <v>99</v>
      </c>
      <c r="B148" s="104">
        <f t="shared" si="46"/>
        <v>25</v>
      </c>
      <c r="C148" s="118">
        <v>3</v>
      </c>
      <c r="D148" s="19">
        <v>0.75</v>
      </c>
      <c r="E148" s="110"/>
      <c r="F148" s="110"/>
      <c r="G148" s="110"/>
      <c r="H148" s="110"/>
      <c r="I148" s="110"/>
      <c r="J148" s="113"/>
      <c r="K148" s="113"/>
      <c r="L148" s="116"/>
      <c r="M148" s="116"/>
      <c r="Q148" s="21">
        <f t="shared" si="45"/>
        <v>0</v>
      </c>
      <c r="R148" s="21">
        <f t="shared" si="48"/>
        <v>0</v>
      </c>
      <c r="S148" s="21">
        <f t="shared" si="48"/>
        <v>0</v>
      </c>
      <c r="T148" s="21">
        <f t="shared" si="48"/>
        <v>2.6875E-2</v>
      </c>
      <c r="U148" s="21">
        <f t="shared" si="48"/>
        <v>1.1562500000000002E-2</v>
      </c>
      <c r="V148" s="21">
        <f t="shared" si="48"/>
        <v>0</v>
      </c>
      <c r="W148" s="21">
        <f t="shared" si="48"/>
        <v>0</v>
      </c>
      <c r="X148" s="21">
        <f t="shared" si="48"/>
        <v>1.9375E-2</v>
      </c>
      <c r="Y148" s="21">
        <f t="shared" si="48"/>
        <v>1.5312500000000001E-2</v>
      </c>
      <c r="Z148" s="21">
        <f t="shared" si="48"/>
        <v>1.4374999999999999E-2</v>
      </c>
      <c r="AA148" s="32">
        <f t="shared" si="49"/>
        <v>293</v>
      </c>
      <c r="AB148" s="32">
        <f t="shared" si="49"/>
        <v>177</v>
      </c>
    </row>
    <row r="149" spans="1:28" ht="16.5" x14ac:dyDescent="0.2">
      <c r="A149" s="26">
        <v>100</v>
      </c>
      <c r="B149" s="104">
        <f t="shared" si="46"/>
        <v>25</v>
      </c>
      <c r="C149" s="118">
        <v>4</v>
      </c>
      <c r="D149" s="19">
        <v>1</v>
      </c>
      <c r="E149" s="110"/>
      <c r="F149" s="110"/>
      <c r="G149" s="110"/>
      <c r="H149" s="110"/>
      <c r="I149" s="110"/>
      <c r="J149" s="113"/>
      <c r="K149" s="113"/>
      <c r="L149" s="116"/>
      <c r="M149" s="116"/>
      <c r="Q149" s="21">
        <f t="shared" si="45"/>
        <v>0</v>
      </c>
      <c r="R149" s="21">
        <f t="shared" si="48"/>
        <v>0</v>
      </c>
      <c r="S149" s="21">
        <f t="shared" si="48"/>
        <v>0</v>
      </c>
      <c r="T149" s="21">
        <f t="shared" si="48"/>
        <v>2.5000000000000001E-2</v>
      </c>
      <c r="U149" s="21">
        <f t="shared" si="48"/>
        <v>1.2500000000000001E-2</v>
      </c>
      <c r="V149" s="21">
        <f t="shared" si="48"/>
        <v>0</v>
      </c>
      <c r="W149" s="21">
        <f t="shared" si="48"/>
        <v>0</v>
      </c>
      <c r="X149" s="21">
        <f t="shared" si="48"/>
        <v>1.7499999999999998E-2</v>
      </c>
      <c r="Y149" s="21">
        <f t="shared" si="48"/>
        <v>1.6250000000000001E-2</v>
      </c>
      <c r="Z149" s="21">
        <f t="shared" si="48"/>
        <v>1.4999999999999999E-2</v>
      </c>
      <c r="AA149" s="32">
        <f t="shared" si="49"/>
        <v>300</v>
      </c>
      <c r="AB149" s="32">
        <f t="shared" si="49"/>
        <v>180</v>
      </c>
    </row>
    <row r="150" spans="1:28" ht="16.5" x14ac:dyDescent="0.2">
      <c r="A150" s="26">
        <v>101</v>
      </c>
      <c r="B150" s="104">
        <f t="shared" si="46"/>
        <v>26</v>
      </c>
      <c r="C150" s="118">
        <v>1</v>
      </c>
      <c r="D150" s="19">
        <v>0.25</v>
      </c>
      <c r="E150" s="110"/>
      <c r="F150" s="110"/>
      <c r="G150" s="110"/>
      <c r="H150" s="110"/>
      <c r="I150" s="110"/>
      <c r="J150" s="113"/>
      <c r="K150" s="113"/>
      <c r="L150" s="116"/>
      <c r="M150" s="116"/>
      <c r="Q150" s="21">
        <f t="shared" si="45"/>
        <v>0</v>
      </c>
      <c r="R150" s="21">
        <f t="shared" si="48"/>
        <v>0</v>
      </c>
      <c r="S150" s="21">
        <f t="shared" si="48"/>
        <v>0</v>
      </c>
      <c r="T150" s="21">
        <f t="shared" si="48"/>
        <v>2.3125000000000003E-2</v>
      </c>
      <c r="U150" s="21">
        <f t="shared" si="48"/>
        <v>1.34375E-2</v>
      </c>
      <c r="V150" s="21">
        <f t="shared" si="48"/>
        <v>0</v>
      </c>
      <c r="W150" s="21">
        <f t="shared" si="48"/>
        <v>0</v>
      </c>
      <c r="X150" s="21">
        <f t="shared" si="48"/>
        <v>1.5624999999999998E-2</v>
      </c>
      <c r="Y150" s="21">
        <f t="shared" si="48"/>
        <v>1.7187500000000001E-2</v>
      </c>
      <c r="Z150" s="21">
        <f t="shared" si="48"/>
        <v>1.5625E-2</v>
      </c>
      <c r="AA150" s="32">
        <f t="shared" si="49"/>
        <v>306</v>
      </c>
      <c r="AB150" s="32">
        <f t="shared" si="49"/>
        <v>182</v>
      </c>
    </row>
    <row r="151" spans="1:28" ht="16.5" x14ac:dyDescent="0.2">
      <c r="A151" s="26">
        <v>102</v>
      </c>
      <c r="B151" s="104">
        <f t="shared" si="46"/>
        <v>26</v>
      </c>
      <c r="C151" s="118">
        <v>2</v>
      </c>
      <c r="D151" s="19">
        <v>0.5</v>
      </c>
      <c r="E151" s="110"/>
      <c r="F151" s="110"/>
      <c r="G151" s="110"/>
      <c r="H151" s="110"/>
      <c r="I151" s="110"/>
      <c r="J151" s="113"/>
      <c r="K151" s="113"/>
      <c r="L151" s="116"/>
      <c r="M151" s="116"/>
      <c r="Q151" s="21">
        <f t="shared" si="45"/>
        <v>0</v>
      </c>
      <c r="R151" s="21">
        <f t="shared" si="48"/>
        <v>0</v>
      </c>
      <c r="S151" s="21">
        <f t="shared" si="48"/>
        <v>0</v>
      </c>
      <c r="T151" s="21">
        <f t="shared" si="48"/>
        <v>2.1250000000000002E-2</v>
      </c>
      <c r="U151" s="21">
        <f t="shared" si="48"/>
        <v>1.4374999999999999E-2</v>
      </c>
      <c r="V151" s="21">
        <f t="shared" si="48"/>
        <v>0</v>
      </c>
      <c r="W151" s="21">
        <f t="shared" si="48"/>
        <v>0</v>
      </c>
      <c r="X151" s="21">
        <f t="shared" si="48"/>
        <v>1.3750000000000002E-2</v>
      </c>
      <c r="Y151" s="21">
        <f t="shared" si="48"/>
        <v>1.8125000000000002E-2</v>
      </c>
      <c r="Z151" s="21">
        <f t="shared" si="48"/>
        <v>1.6249999999999997E-2</v>
      </c>
      <c r="AA151" s="32">
        <f t="shared" si="49"/>
        <v>312</v>
      </c>
      <c r="AB151" s="32">
        <f t="shared" si="49"/>
        <v>185</v>
      </c>
    </row>
    <row r="152" spans="1:28" ht="16.5" x14ac:dyDescent="0.2">
      <c r="A152" s="26">
        <v>103</v>
      </c>
      <c r="B152" s="104">
        <f t="shared" si="46"/>
        <v>26</v>
      </c>
      <c r="C152" s="118">
        <v>3</v>
      </c>
      <c r="D152" s="19">
        <v>0.75</v>
      </c>
      <c r="E152" s="110"/>
      <c r="F152" s="110"/>
      <c r="G152" s="110"/>
      <c r="H152" s="110"/>
      <c r="I152" s="110"/>
      <c r="J152" s="113"/>
      <c r="K152" s="113"/>
      <c r="L152" s="116"/>
      <c r="M152" s="116"/>
      <c r="Q152" s="21">
        <f t="shared" si="45"/>
        <v>0</v>
      </c>
      <c r="R152" s="21">
        <f t="shared" si="48"/>
        <v>0</v>
      </c>
      <c r="S152" s="21">
        <f t="shared" si="48"/>
        <v>0</v>
      </c>
      <c r="T152" s="21">
        <f t="shared" si="48"/>
        <v>1.9375E-2</v>
      </c>
      <c r="U152" s="21">
        <f t="shared" si="48"/>
        <v>1.5312500000000001E-2</v>
      </c>
      <c r="V152" s="21">
        <f t="shared" si="48"/>
        <v>0</v>
      </c>
      <c r="W152" s="21">
        <f t="shared" si="48"/>
        <v>0</v>
      </c>
      <c r="X152" s="21">
        <f t="shared" si="48"/>
        <v>1.1875000000000002E-2</v>
      </c>
      <c r="Y152" s="21">
        <f t="shared" si="48"/>
        <v>1.9062500000000003E-2</v>
      </c>
      <c r="Z152" s="21">
        <f t="shared" si="48"/>
        <v>1.6874999999999998E-2</v>
      </c>
      <c r="AA152" s="32">
        <f t="shared" si="49"/>
        <v>318</v>
      </c>
      <c r="AB152" s="32">
        <f t="shared" si="49"/>
        <v>187</v>
      </c>
    </row>
    <row r="153" spans="1:28" ht="16.5" x14ac:dyDescent="0.2">
      <c r="A153" s="26">
        <v>104</v>
      </c>
      <c r="B153" s="104">
        <f t="shared" si="46"/>
        <v>26</v>
      </c>
      <c r="C153" s="118">
        <v>4</v>
      </c>
      <c r="D153" s="19">
        <v>1</v>
      </c>
      <c r="E153" s="110"/>
      <c r="F153" s="110"/>
      <c r="G153" s="110"/>
      <c r="H153" s="110"/>
      <c r="I153" s="110"/>
      <c r="J153" s="113"/>
      <c r="K153" s="113"/>
      <c r="L153" s="116"/>
      <c r="M153" s="116"/>
      <c r="Q153" s="21">
        <f t="shared" si="45"/>
        <v>0</v>
      </c>
      <c r="R153" s="21">
        <f t="shared" si="48"/>
        <v>0</v>
      </c>
      <c r="S153" s="21">
        <f t="shared" si="48"/>
        <v>0</v>
      </c>
      <c r="T153" s="21">
        <f t="shared" si="48"/>
        <v>1.7499999999999998E-2</v>
      </c>
      <c r="U153" s="21">
        <f t="shared" si="48"/>
        <v>1.6250000000000001E-2</v>
      </c>
      <c r="V153" s="21">
        <f t="shared" si="48"/>
        <v>0</v>
      </c>
      <c r="W153" s="21">
        <f t="shared" si="48"/>
        <v>0</v>
      </c>
      <c r="X153" s="21">
        <f t="shared" si="48"/>
        <v>1.0000000000000002E-2</v>
      </c>
      <c r="Y153" s="21">
        <f t="shared" si="48"/>
        <v>2.0000000000000004E-2</v>
      </c>
      <c r="Z153" s="21">
        <f t="shared" si="48"/>
        <v>1.7499999999999998E-2</v>
      </c>
      <c r="AA153" s="32">
        <f t="shared" si="49"/>
        <v>325</v>
      </c>
      <c r="AB153" s="32">
        <f t="shared" si="49"/>
        <v>190</v>
      </c>
    </row>
    <row r="154" spans="1:28" ht="16.5" x14ac:dyDescent="0.2">
      <c r="A154" s="26">
        <v>105</v>
      </c>
      <c r="B154" s="104">
        <f t="shared" si="46"/>
        <v>27</v>
      </c>
      <c r="C154" s="118">
        <v>1</v>
      </c>
      <c r="D154" s="19">
        <v>0.25</v>
      </c>
      <c r="E154" s="110"/>
      <c r="F154" s="110"/>
      <c r="G154" s="110"/>
      <c r="H154" s="110"/>
      <c r="I154" s="110"/>
      <c r="J154" s="113"/>
      <c r="K154" s="113"/>
      <c r="L154" s="116"/>
      <c r="M154" s="116"/>
      <c r="Q154" s="21">
        <f t="shared" si="45"/>
        <v>0</v>
      </c>
      <c r="R154" s="21">
        <f t="shared" si="48"/>
        <v>0</v>
      </c>
      <c r="S154" s="21">
        <f t="shared" si="48"/>
        <v>0</v>
      </c>
      <c r="T154" s="21">
        <f t="shared" si="48"/>
        <v>1.5624999999999998E-2</v>
      </c>
      <c r="U154" s="21">
        <f t="shared" si="48"/>
        <v>1.7187500000000001E-2</v>
      </c>
      <c r="V154" s="21">
        <f t="shared" si="48"/>
        <v>0</v>
      </c>
      <c r="W154" s="21">
        <f t="shared" si="48"/>
        <v>0</v>
      </c>
      <c r="X154" s="21">
        <f t="shared" si="48"/>
        <v>7.5000000000000015E-3</v>
      </c>
      <c r="Y154" s="21">
        <f t="shared" si="48"/>
        <v>2.1250000000000005E-2</v>
      </c>
      <c r="Z154" s="21">
        <f t="shared" si="48"/>
        <v>1.8124999999999999E-2</v>
      </c>
      <c r="AA154" s="32">
        <f t="shared" si="49"/>
        <v>331</v>
      </c>
      <c r="AB154" s="32">
        <f t="shared" si="49"/>
        <v>192</v>
      </c>
    </row>
    <row r="155" spans="1:28" ht="16.5" x14ac:dyDescent="0.2">
      <c r="A155" s="26">
        <v>106</v>
      </c>
      <c r="B155" s="104">
        <f t="shared" si="46"/>
        <v>27</v>
      </c>
      <c r="C155" s="118">
        <v>2</v>
      </c>
      <c r="D155" s="19">
        <v>0.5</v>
      </c>
      <c r="E155" s="110"/>
      <c r="F155" s="110"/>
      <c r="G155" s="110"/>
      <c r="H155" s="110"/>
      <c r="I155" s="110"/>
      <c r="J155" s="113"/>
      <c r="K155" s="113"/>
      <c r="L155" s="116"/>
      <c r="M155" s="116"/>
      <c r="Q155" s="21">
        <f t="shared" si="45"/>
        <v>0</v>
      </c>
      <c r="R155" s="21">
        <f t="shared" si="48"/>
        <v>0</v>
      </c>
      <c r="S155" s="21">
        <f t="shared" si="48"/>
        <v>0</v>
      </c>
      <c r="T155" s="21">
        <f t="shared" si="48"/>
        <v>1.3750000000000002E-2</v>
      </c>
      <c r="U155" s="21">
        <f t="shared" si="48"/>
        <v>1.8125000000000002E-2</v>
      </c>
      <c r="V155" s="21">
        <f t="shared" si="48"/>
        <v>0</v>
      </c>
      <c r="W155" s="21">
        <f t="shared" si="48"/>
        <v>0</v>
      </c>
      <c r="X155" s="21">
        <f t="shared" si="48"/>
        <v>5.000000000000001E-3</v>
      </c>
      <c r="Y155" s="21">
        <f t="shared" si="48"/>
        <v>2.2500000000000003E-2</v>
      </c>
      <c r="Z155" s="21">
        <f t="shared" si="48"/>
        <v>1.8750000000000003E-2</v>
      </c>
      <c r="AA155" s="32">
        <f t="shared" si="49"/>
        <v>337</v>
      </c>
      <c r="AB155" s="32">
        <f t="shared" si="49"/>
        <v>195</v>
      </c>
    </row>
    <row r="156" spans="1:28" ht="16.5" x14ac:dyDescent="0.2">
      <c r="A156" s="26">
        <v>107</v>
      </c>
      <c r="B156" s="104">
        <f t="shared" si="46"/>
        <v>27</v>
      </c>
      <c r="C156" s="118">
        <v>3</v>
      </c>
      <c r="D156" s="19">
        <v>0.75</v>
      </c>
      <c r="E156" s="110"/>
      <c r="F156" s="110"/>
      <c r="G156" s="110"/>
      <c r="H156" s="110"/>
      <c r="I156" s="110"/>
      <c r="J156" s="113"/>
      <c r="K156" s="113"/>
      <c r="L156" s="116"/>
      <c r="M156" s="116"/>
      <c r="Q156" s="21">
        <f t="shared" si="45"/>
        <v>0</v>
      </c>
      <c r="R156" s="21">
        <f t="shared" si="48"/>
        <v>0</v>
      </c>
      <c r="S156" s="21">
        <f t="shared" si="48"/>
        <v>0</v>
      </c>
      <c r="T156" s="21">
        <f t="shared" si="48"/>
        <v>1.1875000000000002E-2</v>
      </c>
      <c r="U156" s="21">
        <f t="shared" si="48"/>
        <v>1.9062500000000003E-2</v>
      </c>
      <c r="V156" s="21">
        <f t="shared" si="48"/>
        <v>0</v>
      </c>
      <c r="W156" s="21">
        <f t="shared" si="48"/>
        <v>0</v>
      </c>
      <c r="X156" s="21">
        <f t="shared" si="48"/>
        <v>2.5000000000000005E-3</v>
      </c>
      <c r="Y156" s="21">
        <f t="shared" si="48"/>
        <v>2.375E-2</v>
      </c>
      <c r="Z156" s="21">
        <f t="shared" si="48"/>
        <v>1.9375000000000003E-2</v>
      </c>
      <c r="AA156" s="32">
        <f t="shared" si="49"/>
        <v>343</v>
      </c>
      <c r="AB156" s="32">
        <f t="shared" si="49"/>
        <v>197</v>
      </c>
    </row>
    <row r="157" spans="1:28" ht="16.5" x14ac:dyDescent="0.2">
      <c r="A157" s="26">
        <v>108</v>
      </c>
      <c r="B157" s="104">
        <f t="shared" si="46"/>
        <v>27</v>
      </c>
      <c r="C157" s="118">
        <v>4</v>
      </c>
      <c r="D157" s="19">
        <v>1</v>
      </c>
      <c r="E157" s="110"/>
      <c r="F157" s="110"/>
      <c r="G157" s="110"/>
      <c r="H157" s="110"/>
      <c r="I157" s="110"/>
      <c r="J157" s="113"/>
      <c r="K157" s="113"/>
      <c r="L157" s="116"/>
      <c r="M157" s="116"/>
      <c r="Q157" s="21">
        <f t="shared" si="45"/>
        <v>0</v>
      </c>
      <c r="R157" s="21">
        <f t="shared" si="48"/>
        <v>0</v>
      </c>
      <c r="S157" s="21">
        <f t="shared" si="48"/>
        <v>0</v>
      </c>
      <c r="T157" s="21">
        <f t="shared" si="48"/>
        <v>1.0000000000000002E-2</v>
      </c>
      <c r="U157" s="21">
        <f t="shared" si="48"/>
        <v>2.0000000000000004E-2</v>
      </c>
      <c r="V157" s="21">
        <f t="shared" si="48"/>
        <v>0</v>
      </c>
      <c r="W157" s="21">
        <f t="shared" si="48"/>
        <v>0</v>
      </c>
      <c r="X157" s="21">
        <f t="shared" si="48"/>
        <v>0</v>
      </c>
      <c r="Y157" s="21">
        <f t="shared" si="48"/>
        <v>2.5000000000000001E-2</v>
      </c>
      <c r="Z157" s="21">
        <f t="shared" si="48"/>
        <v>2.0000000000000004E-2</v>
      </c>
      <c r="AA157" s="32">
        <f t="shared" si="49"/>
        <v>350</v>
      </c>
      <c r="AB157" s="32">
        <f t="shared" si="49"/>
        <v>200</v>
      </c>
    </row>
    <row r="158" spans="1:28" ht="16.5" x14ac:dyDescent="0.2">
      <c r="A158" s="26">
        <v>109</v>
      </c>
      <c r="B158" s="104">
        <f t="shared" si="46"/>
        <v>28</v>
      </c>
      <c r="C158" s="118">
        <v>1</v>
      </c>
      <c r="D158" s="19">
        <v>0.25</v>
      </c>
      <c r="E158" s="110"/>
      <c r="F158" s="110"/>
      <c r="G158" s="110"/>
      <c r="H158" s="110"/>
      <c r="I158" s="110"/>
      <c r="J158" s="113"/>
      <c r="K158" s="113"/>
      <c r="L158" s="116"/>
      <c r="M158" s="116"/>
      <c r="Q158" s="21">
        <f t="shared" si="45"/>
        <v>0</v>
      </c>
      <c r="R158" s="21">
        <f t="shared" si="48"/>
        <v>0</v>
      </c>
      <c r="S158" s="21">
        <f t="shared" si="48"/>
        <v>0</v>
      </c>
      <c r="T158" s="21">
        <f t="shared" si="48"/>
        <v>7.5000000000000015E-3</v>
      </c>
      <c r="U158" s="21">
        <f t="shared" si="48"/>
        <v>2.1250000000000005E-2</v>
      </c>
      <c r="V158" s="21">
        <f t="shared" si="48"/>
        <v>0</v>
      </c>
      <c r="W158" s="21">
        <f t="shared" si="48"/>
        <v>0</v>
      </c>
      <c r="X158" s="21">
        <f t="shared" si="48"/>
        <v>0</v>
      </c>
      <c r="Y158" s="21">
        <f t="shared" si="48"/>
        <v>2.5000000000000001E-2</v>
      </c>
      <c r="Z158" s="21">
        <f t="shared" si="48"/>
        <v>2.0625000000000004E-2</v>
      </c>
      <c r="AA158" s="32">
        <f t="shared" si="49"/>
        <v>356</v>
      </c>
      <c r="AB158" s="32">
        <f t="shared" si="49"/>
        <v>202</v>
      </c>
    </row>
    <row r="159" spans="1:28" ht="16.5" x14ac:dyDescent="0.2">
      <c r="A159" s="26">
        <v>110</v>
      </c>
      <c r="B159" s="104">
        <f t="shared" si="46"/>
        <v>28</v>
      </c>
      <c r="C159" s="118">
        <v>2</v>
      </c>
      <c r="D159" s="19">
        <v>0.5</v>
      </c>
      <c r="E159" s="110"/>
      <c r="F159" s="110"/>
      <c r="G159" s="110"/>
      <c r="H159" s="110"/>
      <c r="I159" s="110"/>
      <c r="J159" s="113"/>
      <c r="K159" s="113"/>
      <c r="L159" s="116"/>
      <c r="M159" s="116"/>
      <c r="Q159" s="21">
        <f t="shared" si="45"/>
        <v>0</v>
      </c>
      <c r="R159" s="21">
        <f t="shared" si="48"/>
        <v>0</v>
      </c>
      <c r="S159" s="21">
        <f t="shared" si="48"/>
        <v>0</v>
      </c>
      <c r="T159" s="21">
        <f t="shared" si="48"/>
        <v>5.000000000000001E-3</v>
      </c>
      <c r="U159" s="21">
        <f t="shared" si="48"/>
        <v>2.2500000000000003E-2</v>
      </c>
      <c r="V159" s="21">
        <f t="shared" si="48"/>
        <v>0</v>
      </c>
      <c r="W159" s="21">
        <f t="shared" si="48"/>
        <v>0</v>
      </c>
      <c r="X159" s="21">
        <f t="shared" si="48"/>
        <v>0</v>
      </c>
      <c r="Y159" s="21">
        <f t="shared" si="48"/>
        <v>2.5000000000000001E-2</v>
      </c>
      <c r="Z159" s="21">
        <f t="shared" si="48"/>
        <v>2.1250000000000005E-2</v>
      </c>
      <c r="AA159" s="32">
        <f t="shared" si="49"/>
        <v>362</v>
      </c>
      <c r="AB159" s="32">
        <f t="shared" si="49"/>
        <v>205</v>
      </c>
    </row>
    <row r="160" spans="1:28" ht="16.5" x14ac:dyDescent="0.2">
      <c r="A160" s="26">
        <v>111</v>
      </c>
      <c r="B160" s="104">
        <f t="shared" si="46"/>
        <v>28</v>
      </c>
      <c r="C160" s="118">
        <v>3</v>
      </c>
      <c r="D160" s="19">
        <v>0.75</v>
      </c>
      <c r="E160" s="110"/>
      <c r="F160" s="110"/>
      <c r="G160" s="110"/>
      <c r="H160" s="110"/>
      <c r="I160" s="110"/>
      <c r="J160" s="113"/>
      <c r="K160" s="113"/>
      <c r="L160" s="116"/>
      <c r="M160" s="116"/>
      <c r="Q160" s="21">
        <f t="shared" si="45"/>
        <v>0</v>
      </c>
      <c r="R160" s="21">
        <f t="shared" si="48"/>
        <v>0</v>
      </c>
      <c r="S160" s="21">
        <f t="shared" si="48"/>
        <v>0</v>
      </c>
      <c r="T160" s="21">
        <f t="shared" si="48"/>
        <v>2.5000000000000005E-3</v>
      </c>
      <c r="U160" s="21">
        <f t="shared" si="48"/>
        <v>2.375E-2</v>
      </c>
      <c r="V160" s="21">
        <f t="shared" si="48"/>
        <v>0</v>
      </c>
      <c r="W160" s="21">
        <f t="shared" si="48"/>
        <v>0</v>
      </c>
      <c r="X160" s="21">
        <f t="shared" si="48"/>
        <v>0</v>
      </c>
      <c r="Y160" s="21">
        <f t="shared" si="48"/>
        <v>2.5000000000000001E-2</v>
      </c>
      <c r="Z160" s="21">
        <f t="shared" si="48"/>
        <v>2.1875000000000002E-2</v>
      </c>
      <c r="AA160" s="32">
        <f t="shared" si="49"/>
        <v>368</v>
      </c>
      <c r="AB160" s="32">
        <f t="shared" si="49"/>
        <v>207</v>
      </c>
    </row>
    <row r="161" spans="1:28" ht="16.5" x14ac:dyDescent="0.2">
      <c r="A161" s="26">
        <v>112</v>
      </c>
      <c r="B161" s="104">
        <f t="shared" si="46"/>
        <v>28</v>
      </c>
      <c r="C161" s="118">
        <v>4</v>
      </c>
      <c r="D161" s="19">
        <v>1</v>
      </c>
      <c r="E161" s="110"/>
      <c r="F161" s="110"/>
      <c r="G161" s="110"/>
      <c r="H161" s="110"/>
      <c r="I161" s="110"/>
      <c r="J161" s="113"/>
      <c r="K161" s="113"/>
      <c r="L161" s="116"/>
      <c r="M161" s="116"/>
      <c r="Q161" s="21">
        <f t="shared" si="45"/>
        <v>0</v>
      </c>
      <c r="R161" s="21">
        <f t="shared" si="48"/>
        <v>0</v>
      </c>
      <c r="S161" s="21">
        <f t="shared" si="48"/>
        <v>0</v>
      </c>
      <c r="T161" s="21">
        <f t="shared" si="48"/>
        <v>0</v>
      </c>
      <c r="U161" s="21">
        <f t="shared" si="48"/>
        <v>2.5000000000000001E-2</v>
      </c>
      <c r="V161" s="21">
        <f t="shared" si="48"/>
        <v>0</v>
      </c>
      <c r="W161" s="21">
        <f t="shared" si="48"/>
        <v>0</v>
      </c>
      <c r="X161" s="21">
        <f t="shared" si="48"/>
        <v>0</v>
      </c>
      <c r="Y161" s="21">
        <f t="shared" si="48"/>
        <v>2.5000000000000001E-2</v>
      </c>
      <c r="Z161" s="21">
        <f t="shared" si="48"/>
        <v>2.2500000000000003E-2</v>
      </c>
      <c r="AA161" s="32">
        <f t="shared" si="49"/>
        <v>375</v>
      </c>
      <c r="AB161" s="32">
        <f t="shared" si="49"/>
        <v>210</v>
      </c>
    </row>
    <row r="162" spans="1:28" ht="16.5" x14ac:dyDescent="0.2">
      <c r="A162" s="26">
        <v>113</v>
      </c>
      <c r="B162" s="104">
        <f t="shared" si="46"/>
        <v>29</v>
      </c>
      <c r="C162" s="118">
        <v>1</v>
      </c>
      <c r="D162" s="19">
        <v>0.25</v>
      </c>
      <c r="E162" s="110"/>
      <c r="F162" s="110"/>
      <c r="G162" s="110"/>
      <c r="H162" s="110"/>
      <c r="I162" s="110"/>
      <c r="J162" s="113"/>
      <c r="K162" s="113"/>
      <c r="L162" s="116"/>
      <c r="M162" s="116"/>
      <c r="Q162" s="21">
        <f t="shared" si="45"/>
        <v>0</v>
      </c>
      <c r="R162" s="21">
        <f t="shared" si="48"/>
        <v>0</v>
      </c>
      <c r="S162" s="21">
        <f t="shared" si="48"/>
        <v>0</v>
      </c>
      <c r="T162" s="21">
        <f t="shared" si="48"/>
        <v>0</v>
      </c>
      <c r="U162" s="21">
        <f t="shared" si="48"/>
        <v>2.5000000000000001E-2</v>
      </c>
      <c r="V162" s="21">
        <f t="shared" si="48"/>
        <v>0</v>
      </c>
      <c r="W162" s="21">
        <f t="shared" si="48"/>
        <v>0</v>
      </c>
      <c r="X162" s="21">
        <f t="shared" si="48"/>
        <v>0</v>
      </c>
      <c r="Y162" s="21">
        <f t="shared" si="48"/>
        <v>2.5000000000000001E-2</v>
      </c>
      <c r="Z162" s="21">
        <f t="shared" si="48"/>
        <v>2.3125000000000003E-2</v>
      </c>
      <c r="AA162" s="32">
        <f t="shared" si="49"/>
        <v>381</v>
      </c>
      <c r="AB162" s="32">
        <f t="shared" si="49"/>
        <v>212</v>
      </c>
    </row>
    <row r="163" spans="1:28" ht="16.5" x14ac:dyDescent="0.2">
      <c r="A163" s="26">
        <v>114</v>
      </c>
      <c r="B163" s="104">
        <f t="shared" si="46"/>
        <v>29</v>
      </c>
      <c r="C163" s="118">
        <v>2</v>
      </c>
      <c r="D163" s="19">
        <v>0.5</v>
      </c>
      <c r="E163" s="110"/>
      <c r="F163" s="110"/>
      <c r="G163" s="110"/>
      <c r="H163" s="110"/>
      <c r="I163" s="110"/>
      <c r="J163" s="113"/>
      <c r="K163" s="113"/>
      <c r="L163" s="116"/>
      <c r="M163" s="116"/>
      <c r="Q163" s="21">
        <f t="shared" si="45"/>
        <v>0</v>
      </c>
      <c r="R163" s="21">
        <f t="shared" si="48"/>
        <v>0</v>
      </c>
      <c r="S163" s="21">
        <f t="shared" si="48"/>
        <v>0</v>
      </c>
      <c r="T163" s="21">
        <f t="shared" si="48"/>
        <v>0</v>
      </c>
      <c r="U163" s="21">
        <f t="shared" si="48"/>
        <v>2.5000000000000001E-2</v>
      </c>
      <c r="V163" s="21">
        <f t="shared" si="48"/>
        <v>0</v>
      </c>
      <c r="W163" s="21">
        <f t="shared" si="48"/>
        <v>0</v>
      </c>
      <c r="X163" s="21">
        <f t="shared" si="48"/>
        <v>0</v>
      </c>
      <c r="Y163" s="21">
        <f t="shared" si="48"/>
        <v>2.5000000000000001E-2</v>
      </c>
      <c r="Z163" s="21">
        <f t="shared" si="48"/>
        <v>2.375E-2</v>
      </c>
      <c r="AA163" s="32">
        <f t="shared" si="49"/>
        <v>387</v>
      </c>
      <c r="AB163" s="32">
        <f t="shared" si="49"/>
        <v>215</v>
      </c>
    </row>
    <row r="164" spans="1:28" ht="16.5" x14ac:dyDescent="0.2">
      <c r="A164" s="26">
        <v>115</v>
      </c>
      <c r="B164" s="104">
        <f t="shared" si="46"/>
        <v>29</v>
      </c>
      <c r="C164" s="118">
        <v>3</v>
      </c>
      <c r="D164" s="19">
        <v>0.75</v>
      </c>
      <c r="E164" s="110"/>
      <c r="F164" s="110"/>
      <c r="G164" s="110"/>
      <c r="H164" s="110"/>
      <c r="I164" s="110"/>
      <c r="J164" s="113"/>
      <c r="K164" s="113"/>
      <c r="L164" s="116"/>
      <c r="M164" s="116"/>
      <c r="Q164" s="21">
        <f t="shared" si="45"/>
        <v>0</v>
      </c>
      <c r="R164" s="21">
        <f t="shared" si="48"/>
        <v>0</v>
      </c>
      <c r="S164" s="21">
        <f t="shared" si="48"/>
        <v>0</v>
      </c>
      <c r="T164" s="21">
        <f t="shared" si="48"/>
        <v>0</v>
      </c>
      <c r="U164" s="21">
        <f t="shared" si="48"/>
        <v>2.5000000000000001E-2</v>
      </c>
      <c r="V164" s="21">
        <f t="shared" si="48"/>
        <v>0</v>
      </c>
      <c r="W164" s="21">
        <f t="shared" si="48"/>
        <v>0</v>
      </c>
      <c r="X164" s="21">
        <f t="shared" si="48"/>
        <v>0</v>
      </c>
      <c r="Y164" s="21">
        <f t="shared" si="48"/>
        <v>2.5000000000000001E-2</v>
      </c>
      <c r="Z164" s="21">
        <f t="shared" si="48"/>
        <v>2.4375000000000001E-2</v>
      </c>
      <c r="AA164" s="32">
        <f t="shared" si="49"/>
        <v>393</v>
      </c>
      <c r="AB164" s="32">
        <f t="shared" si="49"/>
        <v>217</v>
      </c>
    </row>
    <row r="165" spans="1:28" ht="16.5" x14ac:dyDescent="0.2">
      <c r="A165" s="26">
        <v>116</v>
      </c>
      <c r="B165" s="104">
        <f t="shared" si="46"/>
        <v>29</v>
      </c>
      <c r="C165" s="118">
        <v>4</v>
      </c>
      <c r="D165" s="19">
        <v>1</v>
      </c>
      <c r="E165" s="110"/>
      <c r="F165" s="110"/>
      <c r="G165" s="110"/>
      <c r="H165" s="110"/>
      <c r="I165" s="110"/>
      <c r="J165" s="113"/>
      <c r="K165" s="113"/>
      <c r="L165" s="116"/>
      <c r="M165" s="116"/>
      <c r="Q165" s="21">
        <f t="shared" si="45"/>
        <v>0</v>
      </c>
      <c r="R165" s="21">
        <f t="shared" si="48"/>
        <v>0</v>
      </c>
      <c r="S165" s="21">
        <f t="shared" ref="R165:Z169" si="50">(INDEX(S$7:S$37,$B165)*(1-$D165)+INDEX(S$7:S$37,$B165+1)*$D165)*S$4*$B$2</f>
        <v>0</v>
      </c>
      <c r="T165" s="21">
        <f t="shared" si="50"/>
        <v>0</v>
      </c>
      <c r="U165" s="21">
        <f t="shared" si="50"/>
        <v>2.5000000000000001E-2</v>
      </c>
      <c r="V165" s="21">
        <f t="shared" si="50"/>
        <v>0</v>
      </c>
      <c r="W165" s="21">
        <f t="shared" si="50"/>
        <v>0</v>
      </c>
      <c r="X165" s="21">
        <f t="shared" si="50"/>
        <v>0</v>
      </c>
      <c r="Y165" s="21">
        <f t="shared" si="50"/>
        <v>2.5000000000000001E-2</v>
      </c>
      <c r="Z165" s="21">
        <f t="shared" si="50"/>
        <v>2.5000000000000001E-2</v>
      </c>
      <c r="AA165" s="32">
        <f t="shared" si="49"/>
        <v>400</v>
      </c>
      <c r="AB165" s="32">
        <f t="shared" si="49"/>
        <v>220</v>
      </c>
    </row>
    <row r="166" spans="1:28" ht="16.5" x14ac:dyDescent="0.2">
      <c r="A166" s="118">
        <v>117</v>
      </c>
      <c r="B166" s="118">
        <f t="shared" si="46"/>
        <v>30</v>
      </c>
      <c r="C166" s="118">
        <v>1</v>
      </c>
      <c r="D166" s="19">
        <v>0.25</v>
      </c>
      <c r="E166" s="110"/>
      <c r="F166" s="110"/>
      <c r="G166" s="110"/>
      <c r="H166" s="110"/>
      <c r="I166" s="110"/>
      <c r="J166" s="113"/>
      <c r="K166" s="113"/>
      <c r="L166" s="116"/>
      <c r="M166" s="116"/>
      <c r="N166" s="106"/>
      <c r="O166" s="106"/>
      <c r="P166" s="106"/>
      <c r="Q166" s="21">
        <f t="shared" si="45"/>
        <v>0</v>
      </c>
      <c r="R166" s="21">
        <f t="shared" si="50"/>
        <v>0</v>
      </c>
      <c r="S166" s="21">
        <f t="shared" si="50"/>
        <v>0</v>
      </c>
      <c r="T166" s="21">
        <f t="shared" si="50"/>
        <v>0</v>
      </c>
      <c r="U166" s="21">
        <f t="shared" si="50"/>
        <v>2.5000000000000001E-2</v>
      </c>
      <c r="V166" s="21">
        <f t="shared" si="50"/>
        <v>0</v>
      </c>
      <c r="W166" s="21">
        <f t="shared" si="50"/>
        <v>0</v>
      </c>
      <c r="X166" s="21">
        <f t="shared" si="50"/>
        <v>0</v>
      </c>
      <c r="Y166" s="21">
        <f t="shared" si="50"/>
        <v>2.5000000000000001E-2</v>
      </c>
      <c r="Z166" s="21">
        <f t="shared" si="50"/>
        <v>2.5000000000000001E-2</v>
      </c>
      <c r="AA166" s="32">
        <f t="shared" si="49"/>
        <v>420</v>
      </c>
      <c r="AB166" s="32">
        <f t="shared" si="49"/>
        <v>220</v>
      </c>
    </row>
    <row r="167" spans="1:28" ht="16.5" x14ac:dyDescent="0.2">
      <c r="A167" s="118">
        <v>118</v>
      </c>
      <c r="B167" s="118">
        <f t="shared" si="46"/>
        <v>30</v>
      </c>
      <c r="C167" s="118">
        <v>2</v>
      </c>
      <c r="D167" s="19">
        <v>0.5</v>
      </c>
      <c r="E167" s="110"/>
      <c r="F167" s="110"/>
      <c r="G167" s="110"/>
      <c r="H167" s="110"/>
      <c r="I167" s="110"/>
      <c r="J167" s="113"/>
      <c r="K167" s="113"/>
      <c r="L167" s="116"/>
      <c r="M167" s="116"/>
      <c r="N167" s="106"/>
      <c r="O167" s="106"/>
      <c r="P167" s="106"/>
      <c r="Q167" s="21">
        <f t="shared" si="45"/>
        <v>0</v>
      </c>
      <c r="R167" s="21">
        <f t="shared" si="50"/>
        <v>0</v>
      </c>
      <c r="S167" s="21">
        <f t="shared" si="50"/>
        <v>0</v>
      </c>
      <c r="T167" s="21">
        <f t="shared" si="50"/>
        <v>0</v>
      </c>
      <c r="U167" s="21">
        <f t="shared" si="50"/>
        <v>2.5000000000000001E-2</v>
      </c>
      <c r="V167" s="21">
        <f t="shared" si="50"/>
        <v>0</v>
      </c>
      <c r="W167" s="21">
        <f t="shared" si="50"/>
        <v>0</v>
      </c>
      <c r="X167" s="21">
        <f t="shared" si="50"/>
        <v>0</v>
      </c>
      <c r="Y167" s="21">
        <f t="shared" si="50"/>
        <v>2.5000000000000001E-2</v>
      </c>
      <c r="Z167" s="21">
        <f t="shared" si="50"/>
        <v>2.5000000000000001E-2</v>
      </c>
      <c r="AA167" s="32">
        <f t="shared" si="49"/>
        <v>440</v>
      </c>
      <c r="AB167" s="32">
        <f t="shared" si="49"/>
        <v>220</v>
      </c>
    </row>
    <row r="168" spans="1:28" ht="16.5" x14ac:dyDescent="0.2">
      <c r="A168" s="118">
        <v>119</v>
      </c>
      <c r="B168" s="118">
        <f t="shared" si="46"/>
        <v>30</v>
      </c>
      <c r="C168" s="118">
        <v>3</v>
      </c>
      <c r="D168" s="19">
        <v>0.75</v>
      </c>
      <c r="E168" s="110"/>
      <c r="F168" s="110"/>
      <c r="G168" s="110"/>
      <c r="H168" s="110"/>
      <c r="I168" s="110"/>
      <c r="J168" s="113"/>
      <c r="K168" s="113"/>
      <c r="L168" s="116"/>
      <c r="M168" s="116"/>
      <c r="N168" s="106"/>
      <c r="O168" s="106"/>
      <c r="P168" s="106"/>
      <c r="Q168" s="21">
        <f t="shared" si="45"/>
        <v>0</v>
      </c>
      <c r="R168" s="21">
        <f t="shared" si="50"/>
        <v>0</v>
      </c>
      <c r="S168" s="21">
        <f t="shared" si="50"/>
        <v>0</v>
      </c>
      <c r="T168" s="21">
        <f t="shared" si="50"/>
        <v>0</v>
      </c>
      <c r="U168" s="21">
        <f t="shared" si="50"/>
        <v>2.5000000000000001E-2</v>
      </c>
      <c r="V168" s="21">
        <f t="shared" si="50"/>
        <v>0</v>
      </c>
      <c r="W168" s="21">
        <f t="shared" si="50"/>
        <v>0</v>
      </c>
      <c r="X168" s="21">
        <f t="shared" si="50"/>
        <v>0</v>
      </c>
      <c r="Y168" s="21">
        <f t="shared" si="50"/>
        <v>2.5000000000000001E-2</v>
      </c>
      <c r="Z168" s="21">
        <f t="shared" si="50"/>
        <v>2.5000000000000001E-2</v>
      </c>
      <c r="AA168" s="32">
        <f t="shared" si="49"/>
        <v>460</v>
      </c>
      <c r="AB168" s="32">
        <f t="shared" si="49"/>
        <v>220</v>
      </c>
    </row>
    <row r="169" spans="1:28" ht="16.5" x14ac:dyDescent="0.2">
      <c r="A169" s="118">
        <v>120</v>
      </c>
      <c r="B169" s="118">
        <f t="shared" si="46"/>
        <v>30</v>
      </c>
      <c r="C169" s="118">
        <v>4</v>
      </c>
      <c r="D169" s="19">
        <v>1</v>
      </c>
      <c r="E169" s="110"/>
      <c r="F169" s="110"/>
      <c r="G169" s="110"/>
      <c r="H169" s="110"/>
      <c r="I169" s="110"/>
      <c r="J169" s="113"/>
      <c r="K169" s="113"/>
      <c r="L169" s="116"/>
      <c r="M169" s="116"/>
      <c r="N169" s="106"/>
      <c r="O169" s="106"/>
      <c r="P169" s="106"/>
      <c r="Q169" s="21">
        <f t="shared" si="45"/>
        <v>0</v>
      </c>
      <c r="R169" s="21">
        <f t="shared" si="50"/>
        <v>0</v>
      </c>
      <c r="S169" s="21">
        <f t="shared" si="50"/>
        <v>0</v>
      </c>
      <c r="T169" s="21">
        <f t="shared" si="50"/>
        <v>0</v>
      </c>
      <c r="U169" s="21">
        <f t="shared" si="50"/>
        <v>2.5000000000000001E-2</v>
      </c>
      <c r="V169" s="21">
        <f t="shared" si="50"/>
        <v>0</v>
      </c>
      <c r="W169" s="21">
        <f t="shared" si="50"/>
        <v>0</v>
      </c>
      <c r="X169" s="21">
        <f t="shared" si="50"/>
        <v>0</v>
      </c>
      <c r="Y169" s="21">
        <f t="shared" si="50"/>
        <v>2.5000000000000001E-2</v>
      </c>
      <c r="Z169" s="21">
        <f t="shared" si="50"/>
        <v>2.5000000000000001E-2</v>
      </c>
      <c r="AA169" s="32">
        <f t="shared" si="49"/>
        <v>480</v>
      </c>
      <c r="AB169" s="32">
        <f t="shared" si="49"/>
        <v>220</v>
      </c>
    </row>
    <row r="170" spans="1:28" x14ac:dyDescent="0.2">
      <c r="A170" s="106"/>
      <c r="B170" s="106"/>
      <c r="C170" s="106"/>
      <c r="D170" s="106"/>
      <c r="E170" s="110"/>
      <c r="F170" s="110"/>
      <c r="G170" s="110"/>
      <c r="H170" s="110"/>
      <c r="I170" s="110"/>
      <c r="J170" s="113"/>
      <c r="K170" s="113"/>
      <c r="L170" s="116"/>
      <c r="M170" s="116"/>
      <c r="N170" s="106"/>
      <c r="O170" s="106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</row>
    <row r="171" spans="1:28" x14ac:dyDescent="0.2">
      <c r="A171" s="106"/>
      <c r="B171" s="106"/>
      <c r="C171" s="106"/>
      <c r="D171" s="106"/>
      <c r="E171" s="110"/>
      <c r="F171" s="110"/>
      <c r="G171" s="110"/>
      <c r="H171" s="110"/>
      <c r="I171" s="110"/>
      <c r="J171" s="113"/>
      <c r="K171" s="113"/>
      <c r="L171" s="116"/>
      <c r="M171" s="116"/>
      <c r="N171" s="106"/>
      <c r="O171" s="106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</row>
    <row r="172" spans="1:28" x14ac:dyDescent="0.2">
      <c r="A172" s="106"/>
      <c r="B172" s="106"/>
      <c r="C172" s="106"/>
      <c r="D172" s="106"/>
      <c r="E172" s="110"/>
      <c r="F172" s="110"/>
      <c r="G172" s="110"/>
      <c r="H172" s="110"/>
      <c r="I172" s="110"/>
      <c r="J172" s="113"/>
      <c r="K172" s="113"/>
      <c r="L172" s="116"/>
      <c r="M172" s="116"/>
      <c r="N172" s="106"/>
      <c r="O172" s="106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</row>
    <row r="173" spans="1:28" x14ac:dyDescent="0.2">
      <c r="A173" s="106"/>
      <c r="B173" s="106"/>
      <c r="C173" s="106"/>
      <c r="D173" s="106"/>
      <c r="E173" s="110"/>
      <c r="F173" s="110"/>
      <c r="G173" s="110"/>
      <c r="H173" s="110"/>
      <c r="I173" s="110"/>
      <c r="J173" s="113"/>
      <c r="K173" s="113"/>
      <c r="L173" s="116"/>
      <c r="M173" s="116"/>
      <c r="N173" s="106"/>
      <c r="O173" s="106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</row>
    <row r="174" spans="1:28" x14ac:dyDescent="0.2">
      <c r="A174" s="106"/>
      <c r="B174" s="106"/>
      <c r="C174" s="106"/>
      <c r="D174" s="106"/>
      <c r="E174" s="110"/>
      <c r="F174" s="110"/>
      <c r="G174" s="110"/>
      <c r="H174" s="110"/>
      <c r="I174" s="110"/>
      <c r="J174" s="113"/>
      <c r="K174" s="113"/>
      <c r="L174" s="116"/>
      <c r="M174" s="11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</row>
    <row r="175" spans="1:28" x14ac:dyDescent="0.2">
      <c r="A175" s="106"/>
      <c r="B175" s="106"/>
      <c r="C175" s="106"/>
      <c r="D175" s="106"/>
      <c r="E175" s="110"/>
      <c r="F175" s="110"/>
      <c r="G175" s="110"/>
      <c r="H175" s="110"/>
      <c r="I175" s="110"/>
      <c r="J175" s="113"/>
      <c r="K175" s="113"/>
      <c r="L175" s="116"/>
      <c r="M175" s="11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</row>
    <row r="176" spans="1:28" x14ac:dyDescent="0.2">
      <c r="A176" s="106"/>
      <c r="B176" s="106"/>
      <c r="C176" s="106"/>
      <c r="D176" s="106"/>
      <c r="E176" s="110"/>
      <c r="F176" s="110"/>
      <c r="G176" s="110"/>
      <c r="H176" s="110"/>
      <c r="I176" s="110"/>
      <c r="J176" s="113"/>
      <c r="K176" s="113"/>
      <c r="L176" s="116"/>
      <c r="M176" s="11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</row>
    <row r="177" spans="1:28" x14ac:dyDescent="0.2">
      <c r="A177" s="106"/>
      <c r="B177" s="106"/>
      <c r="C177" s="106"/>
      <c r="D177" s="106"/>
      <c r="E177" s="110"/>
      <c r="F177" s="110"/>
      <c r="G177" s="110"/>
      <c r="H177" s="110"/>
      <c r="I177" s="110"/>
      <c r="J177" s="113"/>
      <c r="K177" s="113"/>
      <c r="L177" s="116"/>
      <c r="M177" s="11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</row>
    <row r="178" spans="1:28" x14ac:dyDescent="0.2">
      <c r="A178" s="106"/>
      <c r="B178" s="106"/>
      <c r="C178" s="106"/>
      <c r="D178" s="106"/>
      <c r="E178" s="110"/>
      <c r="F178" s="110"/>
      <c r="G178" s="110"/>
      <c r="H178" s="110"/>
      <c r="I178" s="110"/>
      <c r="J178" s="113"/>
      <c r="K178" s="113"/>
      <c r="L178" s="116"/>
      <c r="M178" s="11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</row>
    <row r="179" spans="1:28" x14ac:dyDescent="0.2">
      <c r="A179" s="106"/>
      <c r="B179" s="106"/>
      <c r="C179" s="106"/>
      <c r="D179" s="106"/>
      <c r="E179" s="110"/>
      <c r="F179" s="110"/>
      <c r="G179" s="110"/>
      <c r="H179" s="110"/>
      <c r="I179" s="110"/>
      <c r="J179" s="113"/>
      <c r="K179" s="113"/>
      <c r="L179" s="116"/>
      <c r="M179" s="11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</row>
    <row r="180" spans="1:28" x14ac:dyDescent="0.2">
      <c r="A180" s="106"/>
      <c r="B180" s="106"/>
      <c r="C180" s="106"/>
      <c r="D180" s="106"/>
      <c r="E180" s="110"/>
      <c r="F180" s="110"/>
      <c r="G180" s="110"/>
      <c r="H180" s="110"/>
      <c r="I180" s="110"/>
      <c r="J180" s="113"/>
      <c r="K180" s="113"/>
      <c r="L180" s="116"/>
      <c r="M180" s="11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</row>
    <row r="181" spans="1:28" x14ac:dyDescent="0.2">
      <c r="A181" s="106"/>
      <c r="B181" s="106"/>
      <c r="C181" s="106"/>
      <c r="D181" s="106"/>
      <c r="E181" s="110"/>
      <c r="F181" s="110"/>
      <c r="G181" s="110"/>
      <c r="H181" s="110"/>
      <c r="I181" s="110"/>
      <c r="J181" s="113"/>
      <c r="K181" s="113"/>
      <c r="L181" s="116"/>
      <c r="M181" s="11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</row>
    <row r="182" spans="1:28" x14ac:dyDescent="0.2">
      <c r="A182" s="106"/>
      <c r="B182" s="106"/>
      <c r="C182" s="106"/>
      <c r="D182" s="106"/>
      <c r="E182" s="110"/>
      <c r="F182" s="110"/>
      <c r="G182" s="110"/>
      <c r="H182" s="110"/>
      <c r="I182" s="110"/>
      <c r="J182" s="113"/>
      <c r="K182" s="113"/>
      <c r="L182" s="116"/>
      <c r="M182" s="11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</row>
    <row r="183" spans="1:28" x14ac:dyDescent="0.2">
      <c r="A183" s="106"/>
      <c r="B183" s="106"/>
      <c r="C183" s="106"/>
      <c r="D183" s="106"/>
      <c r="E183" s="110"/>
      <c r="F183" s="110"/>
      <c r="G183" s="110"/>
      <c r="H183" s="110"/>
      <c r="I183" s="110"/>
      <c r="J183" s="113"/>
      <c r="K183" s="113"/>
      <c r="L183" s="116"/>
      <c r="M183" s="11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</row>
    <row r="184" spans="1:28" x14ac:dyDescent="0.2">
      <c r="A184" s="106"/>
      <c r="B184" s="106"/>
      <c r="C184" s="106"/>
      <c r="D184" s="106"/>
      <c r="E184" s="110"/>
      <c r="F184" s="110"/>
      <c r="G184" s="110"/>
      <c r="H184" s="110"/>
      <c r="I184" s="110"/>
      <c r="J184" s="113"/>
      <c r="K184" s="113"/>
      <c r="L184" s="116"/>
      <c r="M184" s="11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</row>
    <row r="185" spans="1:28" x14ac:dyDescent="0.2">
      <c r="A185" s="106"/>
      <c r="B185" s="106"/>
      <c r="C185" s="106"/>
      <c r="D185" s="106"/>
      <c r="E185" s="110"/>
      <c r="F185" s="110"/>
      <c r="G185" s="110"/>
      <c r="H185" s="110"/>
      <c r="I185" s="110"/>
      <c r="J185" s="113"/>
      <c r="K185" s="113"/>
      <c r="L185" s="116"/>
      <c r="M185" s="116"/>
      <c r="N185" s="106"/>
      <c r="O185" s="106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</row>
    <row r="186" spans="1:28" x14ac:dyDescent="0.2">
      <c r="A186" s="106"/>
      <c r="B186" s="106"/>
      <c r="C186" s="106"/>
      <c r="D186" s="106"/>
      <c r="E186" s="110"/>
      <c r="F186" s="110"/>
      <c r="G186" s="110"/>
      <c r="H186" s="110"/>
      <c r="I186" s="110"/>
      <c r="J186" s="113"/>
      <c r="K186" s="113"/>
      <c r="L186" s="116"/>
      <c r="M186" s="11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/>
    </row>
    <row r="187" spans="1:28" x14ac:dyDescent="0.2">
      <c r="A187" s="106"/>
      <c r="B187" s="106"/>
      <c r="C187" s="106"/>
      <c r="D187" s="106"/>
      <c r="E187" s="110"/>
      <c r="F187" s="110"/>
      <c r="G187" s="110"/>
      <c r="H187" s="110"/>
      <c r="I187" s="110"/>
      <c r="J187" s="113"/>
      <c r="K187" s="113"/>
      <c r="L187" s="116"/>
      <c r="M187" s="116"/>
      <c r="N187" s="106"/>
      <c r="O187" s="106"/>
      <c r="P187" s="106"/>
      <c r="Q187" s="106"/>
      <c r="R187" s="106"/>
      <c r="S187" s="106"/>
      <c r="T187" s="106"/>
      <c r="U187" s="106"/>
      <c r="V187" s="106"/>
      <c r="W187" s="106"/>
      <c r="X187" s="106"/>
      <c r="Y187" s="106"/>
      <c r="Z187" s="106"/>
      <c r="AA187" s="106"/>
      <c r="AB187" s="106"/>
    </row>
    <row r="188" spans="1:28" x14ac:dyDescent="0.2">
      <c r="A188" s="106"/>
      <c r="B188" s="106"/>
      <c r="C188" s="106"/>
      <c r="D188" s="106"/>
      <c r="E188" s="110"/>
      <c r="F188" s="110"/>
      <c r="G188" s="110"/>
      <c r="H188" s="110"/>
      <c r="I188" s="110"/>
      <c r="J188" s="113"/>
      <c r="K188" s="113"/>
      <c r="L188" s="116"/>
      <c r="M188" s="116"/>
      <c r="N188" s="106"/>
      <c r="O188" s="106"/>
      <c r="P188" s="106"/>
      <c r="Q188" s="106"/>
      <c r="R188" s="106"/>
      <c r="S188" s="106"/>
      <c r="T188" s="106"/>
      <c r="U188" s="106"/>
      <c r="V188" s="106"/>
      <c r="W188" s="106"/>
      <c r="X188" s="106"/>
      <c r="Y188" s="106"/>
      <c r="Z188" s="106"/>
      <c r="AA188" s="106"/>
      <c r="AB188" s="106"/>
    </row>
    <row r="189" spans="1:28" x14ac:dyDescent="0.2">
      <c r="A189" s="106"/>
      <c r="B189" s="106"/>
      <c r="C189" s="106"/>
      <c r="D189" s="106"/>
      <c r="E189" s="110"/>
      <c r="F189" s="110"/>
      <c r="G189" s="110"/>
      <c r="H189" s="110"/>
      <c r="I189" s="110"/>
      <c r="J189" s="113"/>
      <c r="K189" s="113"/>
      <c r="L189" s="116"/>
      <c r="M189" s="116"/>
      <c r="N189" s="106"/>
      <c r="O189" s="106"/>
      <c r="P189" s="106"/>
      <c r="Q189" s="106"/>
      <c r="R189" s="106"/>
      <c r="S189" s="106"/>
      <c r="T189" s="106"/>
      <c r="U189" s="106"/>
      <c r="V189" s="106"/>
      <c r="W189" s="106"/>
      <c r="X189" s="106"/>
      <c r="Y189" s="106"/>
      <c r="Z189" s="106"/>
      <c r="AA189" s="106"/>
      <c r="AB189" s="106"/>
    </row>
    <row r="190" spans="1:28" x14ac:dyDescent="0.2">
      <c r="A190" s="106"/>
      <c r="B190" s="106"/>
      <c r="C190" s="106"/>
      <c r="D190" s="106"/>
      <c r="E190" s="110"/>
      <c r="F190" s="110"/>
      <c r="G190" s="110"/>
      <c r="H190" s="110"/>
      <c r="I190" s="110"/>
      <c r="J190" s="113"/>
      <c r="K190" s="113"/>
      <c r="L190" s="116"/>
      <c r="M190" s="116"/>
      <c r="N190" s="106"/>
      <c r="O190" s="106"/>
      <c r="P190" s="106"/>
      <c r="Q190" s="106"/>
      <c r="R190" s="106"/>
      <c r="S190" s="106"/>
      <c r="T190" s="106"/>
      <c r="U190" s="106"/>
      <c r="V190" s="106"/>
      <c r="W190" s="106"/>
      <c r="X190" s="106"/>
      <c r="Y190" s="106"/>
      <c r="Z190" s="106"/>
      <c r="AA190" s="106"/>
      <c r="AB190" s="106"/>
    </row>
    <row r="191" spans="1:28" x14ac:dyDescent="0.2">
      <c r="A191" s="106"/>
      <c r="B191" s="106"/>
      <c r="C191" s="106"/>
      <c r="D191" s="106"/>
      <c r="E191" s="110"/>
      <c r="F191" s="110"/>
      <c r="G191" s="110"/>
      <c r="H191" s="110"/>
      <c r="I191" s="110"/>
      <c r="J191" s="113"/>
      <c r="K191" s="113"/>
      <c r="L191" s="116"/>
      <c r="M191" s="11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  <c r="Y191" s="106"/>
      <c r="Z191" s="106"/>
      <c r="AA191" s="106"/>
      <c r="AB191" s="106"/>
    </row>
    <row r="192" spans="1:28" x14ac:dyDescent="0.2">
      <c r="A192" s="106"/>
      <c r="B192" s="106"/>
      <c r="C192" s="106"/>
      <c r="D192" s="106"/>
      <c r="E192" s="110"/>
      <c r="F192" s="110"/>
      <c r="G192" s="110"/>
      <c r="H192" s="110"/>
      <c r="I192" s="110"/>
      <c r="J192" s="113"/>
      <c r="K192" s="113"/>
      <c r="L192" s="116"/>
      <c r="M192" s="11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  <c r="Y192" s="106"/>
      <c r="Z192" s="106"/>
      <c r="AA192" s="106"/>
      <c r="AB192" s="106"/>
    </row>
    <row r="193" spans="1:28" x14ac:dyDescent="0.2">
      <c r="A193" s="106"/>
      <c r="B193" s="106"/>
      <c r="C193" s="106"/>
      <c r="D193" s="106"/>
      <c r="E193" s="110"/>
      <c r="F193" s="110"/>
      <c r="G193" s="110"/>
      <c r="H193" s="110"/>
      <c r="I193" s="110"/>
      <c r="J193" s="113"/>
      <c r="K193" s="113"/>
      <c r="L193" s="116"/>
      <c r="M193" s="11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  <c r="Y193" s="106"/>
      <c r="Z193" s="106"/>
      <c r="AA193" s="106"/>
      <c r="AB193" s="106"/>
    </row>
    <row r="194" spans="1:28" x14ac:dyDescent="0.2">
      <c r="A194" s="106"/>
      <c r="B194" s="106"/>
      <c r="C194" s="106"/>
      <c r="D194" s="106"/>
      <c r="E194" s="110"/>
      <c r="F194" s="110"/>
      <c r="G194" s="110"/>
      <c r="H194" s="110"/>
      <c r="I194" s="110"/>
      <c r="J194" s="113"/>
      <c r="K194" s="113"/>
      <c r="L194" s="116"/>
      <c r="M194" s="11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  <c r="Y194" s="106"/>
      <c r="Z194" s="106"/>
      <c r="AA194" s="106"/>
      <c r="AB194" s="106"/>
    </row>
    <row r="195" spans="1:28" x14ac:dyDescent="0.2">
      <c r="A195" s="106"/>
      <c r="B195" s="106"/>
      <c r="C195" s="106"/>
      <c r="D195" s="106"/>
      <c r="E195" s="110"/>
      <c r="F195" s="110"/>
      <c r="G195" s="110"/>
      <c r="H195" s="110"/>
      <c r="I195" s="110"/>
      <c r="J195" s="113"/>
      <c r="K195" s="113"/>
      <c r="L195" s="116"/>
      <c r="M195" s="11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  <c r="Y195" s="106"/>
      <c r="Z195" s="106"/>
      <c r="AA195" s="106"/>
      <c r="AB195" s="106"/>
    </row>
    <row r="196" spans="1:28" x14ac:dyDescent="0.2">
      <c r="A196" s="106"/>
      <c r="B196" s="106"/>
      <c r="C196" s="106"/>
      <c r="D196" s="106"/>
      <c r="E196" s="110"/>
      <c r="F196" s="110"/>
      <c r="G196" s="110"/>
      <c r="H196" s="110"/>
      <c r="I196" s="110"/>
      <c r="J196" s="113"/>
      <c r="K196" s="113"/>
      <c r="L196" s="116"/>
      <c r="M196" s="11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  <c r="Y196" s="106"/>
      <c r="Z196" s="106"/>
      <c r="AA196" s="106"/>
      <c r="AB196" s="106"/>
    </row>
    <row r="197" spans="1:28" x14ac:dyDescent="0.2">
      <c r="A197" s="106"/>
      <c r="B197" s="106"/>
      <c r="C197" s="106"/>
      <c r="D197" s="106"/>
      <c r="E197" s="110"/>
      <c r="F197" s="110"/>
      <c r="G197" s="110"/>
      <c r="H197" s="110"/>
      <c r="I197" s="110"/>
      <c r="J197" s="113"/>
      <c r="K197" s="113"/>
      <c r="L197" s="116"/>
      <c r="M197" s="11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  <c r="Y197" s="106"/>
      <c r="Z197" s="106"/>
      <c r="AA197" s="106"/>
      <c r="AB197" s="106"/>
    </row>
    <row r="198" spans="1:28" x14ac:dyDescent="0.2">
      <c r="A198" s="106"/>
      <c r="B198" s="106"/>
      <c r="C198" s="106"/>
      <c r="D198" s="106"/>
      <c r="E198" s="110"/>
      <c r="F198" s="110"/>
      <c r="G198" s="110"/>
      <c r="H198" s="110"/>
      <c r="I198" s="110"/>
      <c r="J198" s="113"/>
      <c r="K198" s="113"/>
      <c r="L198" s="116"/>
      <c r="M198" s="11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</row>
    <row r="199" spans="1:28" x14ac:dyDescent="0.2">
      <c r="A199" s="106"/>
      <c r="B199" s="106"/>
      <c r="C199" s="106"/>
      <c r="D199" s="106"/>
      <c r="E199" s="110"/>
      <c r="F199" s="110"/>
      <c r="G199" s="110"/>
      <c r="H199" s="110"/>
      <c r="I199" s="110"/>
      <c r="J199" s="113"/>
      <c r="K199" s="113"/>
      <c r="L199" s="116"/>
      <c r="M199" s="11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</row>
    <row r="200" spans="1:28" x14ac:dyDescent="0.2">
      <c r="A200" s="106"/>
      <c r="B200" s="106"/>
      <c r="C200" s="106"/>
      <c r="D200" s="106"/>
      <c r="E200" s="110"/>
      <c r="F200" s="110"/>
      <c r="G200" s="110"/>
      <c r="H200" s="110"/>
      <c r="I200" s="110"/>
      <c r="J200" s="113"/>
      <c r="K200" s="113"/>
      <c r="L200" s="116"/>
      <c r="M200" s="116"/>
      <c r="N200" s="106"/>
      <c r="O200" s="106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</row>
    <row r="201" spans="1:28" x14ac:dyDescent="0.2">
      <c r="A201" s="106"/>
      <c r="B201" s="106"/>
      <c r="C201" s="106"/>
      <c r="D201" s="106"/>
      <c r="E201" s="110"/>
      <c r="F201" s="110"/>
      <c r="G201" s="110"/>
      <c r="H201" s="110"/>
      <c r="I201" s="110"/>
      <c r="J201" s="113"/>
      <c r="K201" s="113"/>
      <c r="L201" s="116"/>
      <c r="M201" s="11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</row>
    <row r="202" spans="1:28" x14ac:dyDescent="0.2">
      <c r="A202" s="106"/>
      <c r="B202" s="106"/>
      <c r="C202" s="106"/>
      <c r="D202" s="106"/>
      <c r="E202" s="110"/>
      <c r="F202" s="110"/>
      <c r="G202" s="110"/>
      <c r="H202" s="110"/>
      <c r="I202" s="110"/>
      <c r="J202" s="113"/>
      <c r="K202" s="113"/>
      <c r="L202" s="116"/>
      <c r="M202" s="11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</row>
    <row r="203" spans="1:28" x14ac:dyDescent="0.2">
      <c r="A203" s="106"/>
      <c r="B203" s="106"/>
      <c r="C203" s="106"/>
      <c r="D203" s="106"/>
      <c r="E203" s="110"/>
      <c r="F203" s="110"/>
      <c r="G203" s="110"/>
      <c r="H203" s="110"/>
      <c r="I203" s="110"/>
      <c r="J203" s="113"/>
      <c r="K203" s="113"/>
      <c r="L203" s="116"/>
      <c r="M203" s="11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</row>
    <row r="204" spans="1:28" x14ac:dyDescent="0.2">
      <c r="A204" s="106"/>
      <c r="B204" s="106"/>
      <c r="C204" s="106"/>
      <c r="D204" s="106"/>
      <c r="E204" s="110"/>
      <c r="F204" s="110"/>
      <c r="G204" s="110"/>
      <c r="H204" s="110"/>
      <c r="I204" s="110"/>
      <c r="J204" s="113"/>
      <c r="K204" s="113"/>
      <c r="L204" s="116"/>
      <c r="M204" s="11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</row>
    <row r="205" spans="1:28" x14ac:dyDescent="0.2">
      <c r="A205" s="106"/>
      <c r="B205" s="106"/>
      <c r="C205" s="106"/>
      <c r="D205" s="106"/>
      <c r="E205" s="110"/>
      <c r="F205" s="110"/>
      <c r="G205" s="110"/>
      <c r="H205" s="110"/>
      <c r="I205" s="110"/>
      <c r="J205" s="113"/>
      <c r="K205" s="113"/>
      <c r="L205" s="116"/>
      <c r="M205" s="11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</row>
    <row r="206" spans="1:28" x14ac:dyDescent="0.2">
      <c r="A206" s="106"/>
      <c r="B206" s="106"/>
      <c r="C206" s="106"/>
      <c r="D206" s="106"/>
      <c r="E206" s="110"/>
      <c r="F206" s="110"/>
      <c r="G206" s="110"/>
      <c r="H206" s="110"/>
      <c r="I206" s="110"/>
      <c r="J206" s="113"/>
      <c r="K206" s="113"/>
      <c r="L206" s="116"/>
      <c r="M206" s="11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</row>
    <row r="207" spans="1:28" x14ac:dyDescent="0.2">
      <c r="A207" s="106"/>
      <c r="B207" s="106"/>
      <c r="C207" s="106"/>
      <c r="D207" s="106"/>
      <c r="E207" s="110"/>
      <c r="F207" s="110"/>
      <c r="G207" s="110"/>
      <c r="H207" s="110"/>
      <c r="I207" s="110"/>
      <c r="J207" s="113"/>
      <c r="K207" s="113"/>
      <c r="L207" s="116"/>
      <c r="M207" s="11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</row>
    <row r="208" spans="1:28" x14ac:dyDescent="0.2">
      <c r="A208" s="106"/>
      <c r="B208" s="106"/>
      <c r="C208" s="106"/>
      <c r="D208" s="106"/>
      <c r="E208" s="110"/>
      <c r="F208" s="110"/>
      <c r="G208" s="110"/>
      <c r="H208" s="110"/>
      <c r="I208" s="110"/>
      <c r="J208" s="113"/>
      <c r="K208" s="113"/>
      <c r="L208" s="116"/>
      <c r="M208" s="11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</row>
    <row r="209" spans="1:28" x14ac:dyDescent="0.2">
      <c r="A209" s="106"/>
      <c r="B209" s="106"/>
      <c r="C209" s="106"/>
      <c r="D209" s="106"/>
      <c r="E209" s="110"/>
      <c r="F209" s="110"/>
      <c r="G209" s="110"/>
      <c r="H209" s="110"/>
      <c r="I209" s="110"/>
      <c r="J209" s="113"/>
      <c r="K209" s="113"/>
      <c r="L209" s="116"/>
      <c r="M209" s="11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</row>
    <row r="210" spans="1:28" x14ac:dyDescent="0.2">
      <c r="A210" s="106"/>
      <c r="B210" s="106"/>
      <c r="C210" s="106"/>
      <c r="D210" s="106"/>
      <c r="E210" s="110"/>
      <c r="F210" s="110"/>
      <c r="G210" s="110"/>
      <c r="H210" s="110"/>
      <c r="I210" s="110"/>
      <c r="J210" s="113"/>
      <c r="K210" s="113"/>
      <c r="L210" s="116"/>
      <c r="M210" s="11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</row>
    <row r="211" spans="1:28" x14ac:dyDescent="0.2">
      <c r="A211" s="106"/>
      <c r="B211" s="106"/>
      <c r="C211" s="106"/>
      <c r="D211" s="106"/>
      <c r="E211" s="110"/>
      <c r="F211" s="110"/>
      <c r="G211" s="110"/>
      <c r="H211" s="110"/>
      <c r="I211" s="110"/>
      <c r="J211" s="113"/>
      <c r="K211" s="113"/>
      <c r="L211" s="116"/>
      <c r="M211" s="11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</row>
    <row r="212" spans="1:28" x14ac:dyDescent="0.2">
      <c r="A212" s="106"/>
      <c r="B212" s="106"/>
      <c r="C212" s="106"/>
      <c r="D212" s="106"/>
      <c r="E212" s="110"/>
      <c r="F212" s="110"/>
      <c r="G212" s="110"/>
      <c r="H212" s="110"/>
      <c r="I212" s="110"/>
      <c r="J212" s="113"/>
      <c r="K212" s="113"/>
      <c r="L212" s="116"/>
      <c r="M212" s="11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</row>
    <row r="213" spans="1:28" x14ac:dyDescent="0.2">
      <c r="A213" s="106"/>
      <c r="B213" s="106"/>
      <c r="C213" s="106"/>
      <c r="D213" s="106"/>
      <c r="E213" s="110"/>
      <c r="F213" s="110"/>
      <c r="G213" s="110"/>
      <c r="H213" s="110"/>
      <c r="I213" s="110"/>
      <c r="J213" s="113"/>
      <c r="K213" s="113"/>
      <c r="L213" s="116"/>
      <c r="M213" s="116"/>
      <c r="N213" s="106"/>
      <c r="O213" s="106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  <c r="AA213" s="106"/>
      <c r="AB213" s="106"/>
    </row>
    <row r="214" spans="1:28" x14ac:dyDescent="0.2">
      <c r="A214" s="106"/>
      <c r="B214" s="106"/>
      <c r="C214" s="106"/>
      <c r="D214" s="106"/>
      <c r="E214" s="110"/>
      <c r="F214" s="110"/>
      <c r="G214" s="110"/>
      <c r="H214" s="110"/>
      <c r="I214" s="110"/>
      <c r="J214" s="113"/>
      <c r="K214" s="113"/>
      <c r="L214" s="116"/>
      <c r="M214" s="116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</row>
    <row r="215" spans="1:28" x14ac:dyDescent="0.2">
      <c r="A215" s="106"/>
      <c r="B215" s="106"/>
      <c r="C215" s="106"/>
      <c r="D215" s="106"/>
      <c r="E215" s="110"/>
      <c r="F215" s="110"/>
      <c r="G215" s="110"/>
      <c r="H215" s="110"/>
      <c r="I215" s="110"/>
      <c r="J215" s="113"/>
      <c r="K215" s="113"/>
      <c r="L215" s="116"/>
      <c r="M215" s="116"/>
      <c r="N215" s="106"/>
      <c r="O215" s="106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  <c r="AA215" s="106"/>
      <c r="AB215" s="106"/>
    </row>
    <row r="216" spans="1:28" x14ac:dyDescent="0.2">
      <c r="A216" s="106"/>
      <c r="B216" s="106"/>
      <c r="C216" s="106"/>
      <c r="D216" s="106"/>
      <c r="E216" s="110"/>
      <c r="F216" s="110"/>
      <c r="G216" s="110"/>
      <c r="H216" s="110"/>
      <c r="I216" s="110"/>
      <c r="J216" s="113"/>
      <c r="K216" s="113"/>
      <c r="L216" s="116"/>
      <c r="M216" s="116"/>
      <c r="N216" s="106"/>
      <c r="O216" s="106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  <c r="AA216" s="106"/>
      <c r="AB216" s="106"/>
    </row>
    <row r="217" spans="1:28" x14ac:dyDescent="0.2">
      <c r="A217" s="106"/>
      <c r="B217" s="106"/>
      <c r="C217" s="106"/>
      <c r="D217" s="106"/>
      <c r="E217" s="110"/>
      <c r="F217" s="110"/>
      <c r="G217" s="110"/>
      <c r="H217" s="110"/>
      <c r="I217" s="110"/>
      <c r="J217" s="113"/>
      <c r="K217" s="113"/>
      <c r="L217" s="116"/>
      <c r="M217" s="116"/>
      <c r="N217" s="106"/>
      <c r="O217" s="106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  <c r="AA217" s="106"/>
      <c r="AB217" s="106"/>
    </row>
    <row r="218" spans="1:28" x14ac:dyDescent="0.2">
      <c r="A218" s="106"/>
      <c r="B218" s="106"/>
      <c r="C218" s="106"/>
      <c r="D218" s="106"/>
      <c r="E218" s="110"/>
      <c r="F218" s="110"/>
      <c r="G218" s="110"/>
      <c r="H218" s="110"/>
      <c r="I218" s="110"/>
      <c r="J218" s="113"/>
      <c r="K218" s="113"/>
      <c r="L218" s="116"/>
      <c r="M218" s="116"/>
      <c r="N218" s="106"/>
      <c r="O218" s="106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  <c r="AA218" s="106"/>
      <c r="AB218" s="106"/>
    </row>
    <row r="219" spans="1:28" x14ac:dyDescent="0.2">
      <c r="A219" s="106"/>
      <c r="B219" s="106"/>
      <c r="C219" s="106"/>
      <c r="D219" s="106"/>
      <c r="E219" s="110"/>
      <c r="F219" s="110"/>
      <c r="G219" s="110"/>
      <c r="H219" s="110"/>
      <c r="I219" s="110"/>
      <c r="J219" s="113"/>
      <c r="K219" s="113"/>
      <c r="L219" s="116"/>
      <c r="M219" s="116"/>
      <c r="N219" s="106"/>
      <c r="O219" s="106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  <c r="AA219" s="106"/>
      <c r="AB219" s="106"/>
    </row>
    <row r="220" spans="1:28" x14ac:dyDescent="0.2">
      <c r="A220" s="106"/>
      <c r="B220" s="106"/>
      <c r="C220" s="106"/>
      <c r="D220" s="106"/>
      <c r="E220" s="110"/>
      <c r="F220" s="110"/>
      <c r="G220" s="110"/>
      <c r="H220" s="110"/>
      <c r="I220" s="110"/>
      <c r="J220" s="113"/>
      <c r="K220" s="113"/>
      <c r="L220" s="116"/>
      <c r="M220" s="116"/>
      <c r="N220" s="106"/>
      <c r="O220" s="106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</row>
    <row r="221" spans="1:28" x14ac:dyDescent="0.2">
      <c r="A221" s="106"/>
      <c r="B221" s="106"/>
      <c r="C221" s="106"/>
      <c r="D221" s="106"/>
      <c r="E221" s="110"/>
      <c r="F221" s="110"/>
      <c r="G221" s="110"/>
      <c r="H221" s="110"/>
      <c r="I221" s="110"/>
      <c r="J221" s="113"/>
      <c r="K221" s="113"/>
      <c r="L221" s="116"/>
      <c r="M221" s="116"/>
      <c r="N221" s="106"/>
      <c r="O221" s="106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  <c r="AA221" s="106"/>
      <c r="AB221" s="106"/>
    </row>
    <row r="222" spans="1:28" x14ac:dyDescent="0.2">
      <c r="A222" s="106"/>
      <c r="B222" s="106"/>
      <c r="C222" s="106"/>
      <c r="D222" s="106"/>
      <c r="E222" s="110"/>
      <c r="F222" s="110"/>
      <c r="G222" s="110"/>
      <c r="H222" s="110"/>
      <c r="I222" s="110"/>
      <c r="J222" s="113"/>
      <c r="K222" s="113"/>
      <c r="L222" s="116"/>
      <c r="M222" s="116"/>
      <c r="N222" s="106"/>
      <c r="O222" s="106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  <c r="AA222" s="106"/>
      <c r="AB222" s="106"/>
    </row>
    <row r="223" spans="1:28" x14ac:dyDescent="0.2">
      <c r="A223" s="106"/>
      <c r="B223" s="106"/>
      <c r="C223" s="106"/>
      <c r="D223" s="106"/>
      <c r="E223" s="110"/>
      <c r="F223" s="110"/>
      <c r="G223" s="110"/>
      <c r="H223" s="110"/>
      <c r="I223" s="110"/>
      <c r="J223" s="113"/>
      <c r="K223" s="113"/>
      <c r="L223" s="116"/>
      <c r="M223" s="116"/>
      <c r="N223" s="106"/>
      <c r="O223" s="106"/>
      <c r="P223" s="106"/>
      <c r="Q223" s="106"/>
      <c r="R223" s="106"/>
      <c r="S223" s="106"/>
      <c r="T223" s="106"/>
      <c r="U223" s="106"/>
      <c r="V223" s="106"/>
      <c r="W223" s="106"/>
      <c r="X223" s="106"/>
      <c r="Y223" s="106"/>
      <c r="Z223" s="106"/>
      <c r="AA223" s="106"/>
      <c r="AB223" s="106"/>
    </row>
    <row r="224" spans="1:28" x14ac:dyDescent="0.2">
      <c r="A224" s="106"/>
      <c r="B224" s="106"/>
      <c r="C224" s="106"/>
      <c r="D224" s="106"/>
      <c r="E224" s="110"/>
      <c r="F224" s="110"/>
      <c r="G224" s="110"/>
      <c r="H224" s="110"/>
      <c r="I224" s="110"/>
      <c r="J224" s="113"/>
      <c r="K224" s="113"/>
      <c r="L224" s="116"/>
      <c r="M224" s="116"/>
      <c r="N224" s="106"/>
      <c r="O224" s="106"/>
      <c r="P224" s="106"/>
      <c r="Q224" s="106"/>
      <c r="R224" s="106"/>
      <c r="S224" s="106"/>
      <c r="T224" s="106"/>
      <c r="U224" s="106"/>
      <c r="V224" s="106"/>
      <c r="W224" s="106"/>
      <c r="X224" s="106"/>
      <c r="Y224" s="106"/>
      <c r="Z224" s="106"/>
      <c r="AA224" s="106"/>
      <c r="AB224" s="106"/>
    </row>
    <row r="225" spans="1:28" x14ac:dyDescent="0.2">
      <c r="A225" s="106"/>
      <c r="B225" s="106"/>
      <c r="C225" s="106"/>
      <c r="D225" s="106"/>
      <c r="E225" s="110"/>
      <c r="F225" s="110"/>
      <c r="G225" s="110"/>
      <c r="H225" s="110"/>
      <c r="I225" s="110"/>
      <c r="J225" s="113"/>
      <c r="K225" s="113"/>
      <c r="L225" s="116"/>
      <c r="M225" s="116"/>
      <c r="N225" s="106"/>
      <c r="O225" s="106"/>
      <c r="P225" s="106"/>
      <c r="Q225" s="106"/>
      <c r="R225" s="106"/>
      <c r="S225" s="106"/>
      <c r="T225" s="106"/>
      <c r="U225" s="106"/>
      <c r="V225" s="106"/>
      <c r="W225" s="106"/>
      <c r="X225" s="106"/>
      <c r="Y225" s="106"/>
      <c r="Z225" s="106"/>
      <c r="AA225" s="106"/>
      <c r="AB225" s="106"/>
    </row>
    <row r="226" spans="1:28" x14ac:dyDescent="0.2">
      <c r="A226" s="106"/>
      <c r="B226" s="106"/>
      <c r="C226" s="106"/>
      <c r="D226" s="106"/>
      <c r="E226" s="110"/>
      <c r="F226" s="110"/>
      <c r="G226" s="110"/>
      <c r="H226" s="110"/>
      <c r="I226" s="110"/>
      <c r="J226" s="113"/>
      <c r="K226" s="113"/>
      <c r="L226" s="116"/>
      <c r="M226" s="116"/>
      <c r="N226" s="106"/>
      <c r="O226" s="106"/>
      <c r="P226" s="106"/>
      <c r="Q226" s="106"/>
      <c r="R226" s="106"/>
      <c r="S226" s="106"/>
      <c r="T226" s="106"/>
      <c r="U226" s="106"/>
      <c r="V226" s="106"/>
      <c r="W226" s="106"/>
      <c r="X226" s="106"/>
      <c r="Y226" s="106"/>
      <c r="Z226" s="106"/>
      <c r="AA226" s="106"/>
      <c r="AB226" s="106"/>
    </row>
    <row r="227" spans="1:28" x14ac:dyDescent="0.2">
      <c r="A227" s="106"/>
      <c r="B227" s="106"/>
      <c r="C227" s="106"/>
      <c r="D227" s="106"/>
      <c r="E227" s="110"/>
      <c r="F227" s="110"/>
      <c r="G227" s="110"/>
      <c r="H227" s="110"/>
      <c r="I227" s="110"/>
      <c r="J227" s="113"/>
      <c r="K227" s="113"/>
      <c r="L227" s="116"/>
      <c r="M227" s="116"/>
      <c r="N227" s="106"/>
      <c r="O227" s="106"/>
      <c r="P227" s="106"/>
      <c r="Q227" s="106"/>
      <c r="R227" s="106"/>
      <c r="S227" s="106"/>
      <c r="T227" s="106"/>
      <c r="U227" s="106"/>
      <c r="V227" s="106"/>
      <c r="W227" s="106"/>
      <c r="X227" s="106"/>
      <c r="Y227" s="106"/>
      <c r="Z227" s="106"/>
      <c r="AA227" s="106"/>
      <c r="AB227" s="106"/>
    </row>
    <row r="228" spans="1:28" x14ac:dyDescent="0.2">
      <c r="A228" s="106"/>
      <c r="B228" s="106"/>
      <c r="C228" s="106"/>
      <c r="D228" s="106"/>
      <c r="E228" s="110"/>
      <c r="F228" s="110"/>
      <c r="G228" s="110"/>
      <c r="H228" s="110"/>
      <c r="I228" s="110"/>
      <c r="J228" s="113"/>
      <c r="K228" s="113"/>
      <c r="L228" s="116"/>
      <c r="M228" s="116"/>
      <c r="N228" s="106"/>
      <c r="O228" s="106"/>
      <c r="P228" s="106"/>
      <c r="Q228" s="106"/>
      <c r="R228" s="106"/>
      <c r="S228" s="106"/>
      <c r="T228" s="106"/>
      <c r="U228" s="106"/>
      <c r="V228" s="106"/>
      <c r="W228" s="106"/>
      <c r="X228" s="106"/>
      <c r="Y228" s="106"/>
      <c r="Z228" s="106"/>
      <c r="AA228" s="106"/>
      <c r="AB228" s="106"/>
    </row>
    <row r="229" spans="1:28" x14ac:dyDescent="0.2">
      <c r="A229" s="106"/>
      <c r="B229" s="106"/>
      <c r="C229" s="106"/>
      <c r="D229" s="106"/>
      <c r="E229" s="110"/>
      <c r="F229" s="110"/>
      <c r="G229" s="110"/>
      <c r="H229" s="110"/>
      <c r="I229" s="110"/>
      <c r="J229" s="113"/>
      <c r="K229" s="113"/>
      <c r="L229" s="116"/>
      <c r="M229" s="116"/>
      <c r="N229" s="106"/>
      <c r="O229" s="106"/>
      <c r="P229" s="106"/>
      <c r="Q229" s="106"/>
      <c r="R229" s="106"/>
      <c r="S229" s="106"/>
      <c r="T229" s="106"/>
      <c r="U229" s="106"/>
      <c r="V229" s="106"/>
      <c r="W229" s="106"/>
      <c r="X229" s="106"/>
      <c r="Y229" s="106"/>
      <c r="Z229" s="106"/>
      <c r="AA229" s="106"/>
      <c r="AB229" s="106"/>
    </row>
    <row r="230" spans="1:28" x14ac:dyDescent="0.2">
      <c r="A230" s="106"/>
      <c r="B230" s="106"/>
      <c r="C230" s="106"/>
      <c r="D230" s="106"/>
      <c r="E230" s="110"/>
      <c r="F230" s="110"/>
      <c r="G230" s="110"/>
      <c r="H230" s="110"/>
      <c r="I230" s="110"/>
      <c r="J230" s="113"/>
      <c r="K230" s="113"/>
      <c r="L230" s="116"/>
      <c r="M230" s="116"/>
      <c r="N230" s="106"/>
      <c r="O230" s="106"/>
      <c r="P230" s="106"/>
      <c r="Q230" s="106"/>
      <c r="R230" s="106"/>
      <c r="S230" s="106"/>
      <c r="T230" s="106"/>
      <c r="U230" s="106"/>
      <c r="V230" s="106"/>
      <c r="W230" s="106"/>
      <c r="X230" s="106"/>
      <c r="Y230" s="106"/>
      <c r="Z230" s="106"/>
      <c r="AA230" s="106"/>
      <c r="AB230" s="106"/>
    </row>
    <row r="231" spans="1:28" x14ac:dyDescent="0.2">
      <c r="A231" s="106"/>
      <c r="B231" s="106"/>
      <c r="C231" s="106"/>
      <c r="D231" s="106"/>
      <c r="E231" s="110"/>
      <c r="F231" s="110"/>
      <c r="G231" s="110"/>
      <c r="H231" s="110"/>
      <c r="I231" s="110"/>
      <c r="J231" s="113"/>
      <c r="K231" s="113"/>
      <c r="L231" s="116"/>
      <c r="M231" s="116"/>
      <c r="N231" s="106"/>
      <c r="O231" s="106"/>
      <c r="P231" s="106"/>
      <c r="Q231" s="106"/>
      <c r="R231" s="106"/>
      <c r="S231" s="106"/>
      <c r="T231" s="106"/>
      <c r="U231" s="106"/>
      <c r="V231" s="106"/>
      <c r="W231" s="106"/>
      <c r="X231" s="106"/>
      <c r="Y231" s="106"/>
      <c r="Z231" s="106"/>
      <c r="AA231" s="106"/>
      <c r="AB231" s="106"/>
    </row>
    <row r="232" spans="1:28" x14ac:dyDescent="0.2">
      <c r="A232" s="106"/>
      <c r="B232" s="106"/>
      <c r="C232" s="106"/>
      <c r="D232" s="106"/>
      <c r="E232" s="110"/>
      <c r="F232" s="110"/>
      <c r="G232" s="110"/>
      <c r="H232" s="110"/>
      <c r="I232" s="110"/>
      <c r="J232" s="113"/>
      <c r="K232" s="113"/>
      <c r="L232" s="116"/>
      <c r="M232" s="11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  <c r="Y232" s="106"/>
      <c r="Z232" s="106"/>
      <c r="AA232" s="106"/>
      <c r="AB232" s="106"/>
    </row>
    <row r="233" spans="1:28" x14ac:dyDescent="0.2">
      <c r="A233" s="106"/>
      <c r="B233" s="106"/>
      <c r="C233" s="106"/>
      <c r="D233" s="106"/>
      <c r="E233" s="110"/>
      <c r="F233" s="110"/>
      <c r="G233" s="110"/>
      <c r="H233" s="110"/>
      <c r="I233" s="110"/>
      <c r="J233" s="113"/>
      <c r="K233" s="113"/>
      <c r="L233" s="116"/>
      <c r="M233" s="11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  <c r="Y233" s="106"/>
      <c r="Z233" s="106"/>
      <c r="AA233" s="106"/>
      <c r="AB233" s="106"/>
    </row>
    <row r="234" spans="1:28" x14ac:dyDescent="0.2">
      <c r="A234" s="106"/>
      <c r="B234" s="106"/>
      <c r="C234" s="106"/>
      <c r="D234" s="106"/>
      <c r="E234" s="110"/>
      <c r="F234" s="110"/>
      <c r="G234" s="110"/>
      <c r="H234" s="110"/>
      <c r="I234" s="110"/>
      <c r="J234" s="113"/>
      <c r="K234" s="113"/>
      <c r="L234" s="116"/>
      <c r="M234" s="11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</row>
    <row r="235" spans="1:28" x14ac:dyDescent="0.2">
      <c r="A235" s="106"/>
      <c r="B235" s="106"/>
      <c r="C235" s="106"/>
      <c r="D235" s="106"/>
      <c r="E235" s="110"/>
      <c r="F235" s="110"/>
      <c r="G235" s="110"/>
      <c r="H235" s="110"/>
      <c r="I235" s="110"/>
      <c r="J235" s="113"/>
      <c r="K235" s="113"/>
      <c r="L235" s="116"/>
      <c r="M235" s="11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</row>
    <row r="236" spans="1:28" x14ac:dyDescent="0.2">
      <c r="A236" s="106"/>
      <c r="B236" s="106"/>
      <c r="C236" s="106"/>
      <c r="D236" s="106"/>
      <c r="E236" s="110"/>
      <c r="F236" s="110"/>
      <c r="G236" s="110"/>
      <c r="H236" s="110"/>
      <c r="I236" s="110"/>
      <c r="J236" s="113"/>
      <c r="K236" s="113"/>
      <c r="L236" s="116"/>
      <c r="M236" s="11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</row>
    <row r="237" spans="1:28" x14ac:dyDescent="0.2">
      <c r="A237" s="106"/>
      <c r="B237" s="106"/>
      <c r="C237" s="106"/>
      <c r="D237" s="106"/>
      <c r="E237" s="110"/>
      <c r="F237" s="110"/>
      <c r="G237" s="110"/>
      <c r="H237" s="110"/>
      <c r="I237" s="110"/>
      <c r="J237" s="113"/>
      <c r="K237" s="113"/>
      <c r="L237" s="116"/>
      <c r="M237" s="11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  <c r="AA237" s="106"/>
      <c r="AB237" s="106"/>
    </row>
    <row r="238" spans="1:28" x14ac:dyDescent="0.2">
      <c r="A238" s="106"/>
      <c r="B238" s="106"/>
      <c r="C238" s="106"/>
      <c r="D238" s="106"/>
      <c r="E238" s="110"/>
      <c r="F238" s="110"/>
      <c r="G238" s="110"/>
      <c r="H238" s="110"/>
      <c r="I238" s="110"/>
      <c r="J238" s="113"/>
      <c r="K238" s="113"/>
      <c r="L238" s="116"/>
      <c r="M238" s="11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</row>
    <row r="239" spans="1:28" x14ac:dyDescent="0.2">
      <c r="A239" s="106"/>
      <c r="B239" s="106"/>
      <c r="C239" s="106"/>
      <c r="D239" s="106"/>
      <c r="E239" s="110"/>
      <c r="F239" s="110"/>
      <c r="G239" s="110"/>
      <c r="H239" s="110"/>
      <c r="I239" s="110"/>
      <c r="J239" s="113"/>
      <c r="K239" s="113"/>
      <c r="L239" s="116"/>
      <c r="M239" s="11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</row>
    <row r="240" spans="1:28" x14ac:dyDescent="0.2">
      <c r="A240" s="106"/>
      <c r="B240" s="106"/>
      <c r="C240" s="106"/>
      <c r="D240" s="106"/>
      <c r="E240" s="110"/>
      <c r="F240" s="110"/>
      <c r="G240" s="110"/>
      <c r="H240" s="110"/>
      <c r="I240" s="110"/>
      <c r="J240" s="113"/>
      <c r="K240" s="113"/>
      <c r="L240" s="116"/>
      <c r="M240" s="11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</row>
    <row r="241" spans="1:28" x14ac:dyDescent="0.2">
      <c r="A241" s="106"/>
      <c r="B241" s="106"/>
      <c r="C241" s="106"/>
      <c r="D241" s="106"/>
      <c r="E241" s="110"/>
      <c r="F241" s="110"/>
      <c r="G241" s="110"/>
      <c r="H241" s="110"/>
      <c r="I241" s="110"/>
      <c r="J241" s="113"/>
      <c r="K241" s="113"/>
      <c r="L241" s="116"/>
      <c r="M241" s="116"/>
      <c r="N241" s="106"/>
      <c r="O241" s="106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</row>
    <row r="242" spans="1:28" x14ac:dyDescent="0.2">
      <c r="A242" s="106"/>
      <c r="B242" s="106"/>
      <c r="C242" s="106"/>
      <c r="D242" s="106"/>
      <c r="E242" s="110"/>
      <c r="F242" s="110"/>
      <c r="G242" s="110"/>
      <c r="H242" s="110"/>
      <c r="I242" s="110"/>
      <c r="J242" s="113"/>
      <c r="K242" s="113"/>
      <c r="L242" s="116"/>
      <c r="M242" s="116"/>
      <c r="N242" s="106"/>
      <c r="O242" s="106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</row>
    <row r="243" spans="1:28" x14ac:dyDescent="0.2">
      <c r="A243" s="106"/>
      <c r="B243" s="106"/>
      <c r="C243" s="106"/>
      <c r="D243" s="106"/>
      <c r="E243" s="110"/>
      <c r="F243" s="110"/>
      <c r="G243" s="110"/>
      <c r="H243" s="110"/>
      <c r="I243" s="110"/>
      <c r="J243" s="113"/>
      <c r="K243" s="113"/>
      <c r="L243" s="116"/>
      <c r="M243" s="116"/>
      <c r="N243" s="106"/>
      <c r="O243" s="106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  <c r="AA243" s="106"/>
      <c r="AB243" s="106"/>
    </row>
    <row r="244" spans="1:28" x14ac:dyDescent="0.2">
      <c r="A244" s="106"/>
      <c r="B244" s="106"/>
      <c r="C244" s="106"/>
      <c r="D244" s="106"/>
      <c r="E244" s="110"/>
      <c r="F244" s="110"/>
      <c r="G244" s="110"/>
      <c r="H244" s="110"/>
      <c r="I244" s="110"/>
      <c r="J244" s="113"/>
      <c r="K244" s="113"/>
      <c r="L244" s="116"/>
      <c r="M244" s="116"/>
      <c r="N244" s="106"/>
      <c r="O244" s="106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</row>
    <row r="245" spans="1:28" x14ac:dyDescent="0.2">
      <c r="A245" s="106"/>
      <c r="B245" s="106"/>
      <c r="C245" s="106"/>
      <c r="D245" s="106"/>
      <c r="E245" s="110"/>
      <c r="F245" s="110"/>
      <c r="G245" s="110"/>
      <c r="H245" s="110"/>
      <c r="I245" s="110"/>
      <c r="J245" s="113"/>
      <c r="K245" s="113"/>
      <c r="L245" s="116"/>
      <c r="M245" s="116"/>
      <c r="N245" s="106"/>
      <c r="O245" s="106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  <c r="AA245" s="106"/>
      <c r="AB245" s="106"/>
    </row>
    <row r="246" spans="1:28" x14ac:dyDescent="0.2">
      <c r="A246" s="106"/>
      <c r="B246" s="106"/>
      <c r="C246" s="106"/>
      <c r="D246" s="106"/>
      <c r="E246" s="110"/>
      <c r="F246" s="110"/>
      <c r="G246" s="110"/>
      <c r="H246" s="110"/>
      <c r="I246" s="110"/>
      <c r="J246" s="113"/>
      <c r="K246" s="113"/>
      <c r="L246" s="116"/>
      <c r="M246" s="116"/>
      <c r="N246" s="106"/>
      <c r="O246" s="106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</row>
    <row r="247" spans="1:28" x14ac:dyDescent="0.2">
      <c r="A247" s="106"/>
      <c r="B247" s="106"/>
      <c r="C247" s="106"/>
      <c r="D247" s="106"/>
      <c r="E247" s="110"/>
      <c r="F247" s="110"/>
      <c r="G247" s="110"/>
      <c r="H247" s="110"/>
      <c r="I247" s="110"/>
      <c r="J247" s="113"/>
      <c r="K247" s="113"/>
      <c r="L247" s="116"/>
      <c r="M247" s="116"/>
      <c r="N247" s="106"/>
      <c r="O247" s="106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</row>
    <row r="248" spans="1:28" x14ac:dyDescent="0.2">
      <c r="A248" s="106"/>
      <c r="B248" s="106"/>
      <c r="C248" s="106"/>
      <c r="D248" s="106"/>
      <c r="E248" s="110"/>
      <c r="F248" s="110"/>
      <c r="G248" s="110"/>
      <c r="H248" s="110"/>
      <c r="I248" s="110"/>
      <c r="J248" s="113"/>
      <c r="K248" s="113"/>
      <c r="L248" s="116"/>
      <c r="M248" s="116"/>
      <c r="N248" s="106"/>
      <c r="O248" s="106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</row>
    <row r="249" spans="1:28" x14ac:dyDescent="0.2">
      <c r="A249" s="106"/>
      <c r="B249" s="106"/>
      <c r="C249" s="106"/>
      <c r="D249" s="106"/>
      <c r="E249" s="110"/>
      <c r="F249" s="110"/>
      <c r="G249" s="110"/>
      <c r="H249" s="110"/>
      <c r="I249" s="110"/>
      <c r="J249" s="113"/>
      <c r="K249" s="113"/>
      <c r="L249" s="116"/>
      <c r="M249" s="116"/>
      <c r="N249" s="106"/>
      <c r="O249" s="106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</row>
    <row r="250" spans="1:28" x14ac:dyDescent="0.2">
      <c r="A250" s="106"/>
      <c r="B250" s="106"/>
      <c r="C250" s="106"/>
      <c r="D250" s="106"/>
      <c r="E250" s="110"/>
      <c r="F250" s="110"/>
      <c r="G250" s="110"/>
      <c r="H250" s="110"/>
      <c r="I250" s="110"/>
      <c r="J250" s="113"/>
      <c r="K250" s="113"/>
      <c r="L250" s="116"/>
      <c r="M250" s="116"/>
      <c r="N250" s="106"/>
      <c r="O250" s="106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</row>
    <row r="251" spans="1:28" x14ac:dyDescent="0.2">
      <c r="A251" s="106"/>
      <c r="B251" s="106"/>
      <c r="C251" s="106"/>
      <c r="D251" s="106"/>
      <c r="E251" s="110"/>
      <c r="F251" s="110"/>
      <c r="G251" s="110"/>
      <c r="H251" s="110"/>
      <c r="I251" s="110"/>
      <c r="J251" s="113"/>
      <c r="K251" s="113"/>
      <c r="L251" s="116"/>
      <c r="M251" s="116"/>
      <c r="N251" s="106"/>
      <c r="O251" s="106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</row>
    <row r="252" spans="1:28" x14ac:dyDescent="0.2">
      <c r="A252" s="106"/>
      <c r="B252" s="106"/>
      <c r="C252" s="106"/>
      <c r="D252" s="106"/>
      <c r="E252" s="110"/>
      <c r="F252" s="110"/>
      <c r="G252" s="110"/>
      <c r="H252" s="110"/>
      <c r="I252" s="110"/>
      <c r="J252" s="113"/>
      <c r="K252" s="113"/>
      <c r="L252" s="116"/>
      <c r="M252" s="116"/>
      <c r="N252" s="106"/>
      <c r="O252" s="106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</row>
    <row r="253" spans="1:28" x14ac:dyDescent="0.2">
      <c r="A253" s="106"/>
      <c r="B253" s="106"/>
      <c r="C253" s="106"/>
      <c r="D253" s="106"/>
      <c r="E253" s="110"/>
      <c r="F253" s="110"/>
      <c r="G253" s="110"/>
      <c r="H253" s="110"/>
      <c r="I253" s="110"/>
      <c r="J253" s="113"/>
      <c r="K253" s="113"/>
      <c r="L253" s="116"/>
      <c r="M253" s="116"/>
      <c r="N253" s="106"/>
      <c r="O253" s="106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</row>
    <row r="254" spans="1:28" x14ac:dyDescent="0.2">
      <c r="A254" s="106"/>
      <c r="B254" s="106"/>
      <c r="C254" s="106"/>
      <c r="D254" s="106"/>
      <c r="E254" s="110"/>
      <c r="F254" s="110"/>
      <c r="G254" s="110"/>
      <c r="H254" s="110"/>
      <c r="I254" s="110"/>
      <c r="J254" s="113"/>
      <c r="K254" s="113"/>
      <c r="L254" s="116"/>
      <c r="M254" s="116"/>
      <c r="N254" s="106"/>
      <c r="O254" s="106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</row>
    <row r="255" spans="1:28" x14ac:dyDescent="0.2">
      <c r="A255" s="106"/>
      <c r="B255" s="106"/>
      <c r="C255" s="106"/>
      <c r="D255" s="106"/>
      <c r="E255" s="110"/>
      <c r="F255" s="110"/>
      <c r="G255" s="110"/>
      <c r="H255" s="110"/>
      <c r="I255" s="110"/>
      <c r="J255" s="113"/>
      <c r="K255" s="113"/>
      <c r="L255" s="116"/>
      <c r="M255" s="11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</row>
    <row r="256" spans="1:28" x14ac:dyDescent="0.2">
      <c r="A256" s="106"/>
      <c r="B256" s="106"/>
      <c r="C256" s="106"/>
      <c r="D256" s="106"/>
      <c r="E256" s="110"/>
      <c r="F256" s="110"/>
      <c r="G256" s="110"/>
      <c r="H256" s="110"/>
      <c r="I256" s="110"/>
      <c r="J256" s="113"/>
      <c r="K256" s="113"/>
      <c r="L256" s="116"/>
      <c r="M256" s="11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</row>
    <row r="257" spans="1:28" x14ac:dyDescent="0.2">
      <c r="A257" s="106"/>
      <c r="B257" s="106"/>
      <c r="C257" s="106"/>
      <c r="D257" s="106"/>
      <c r="E257" s="110"/>
      <c r="F257" s="110"/>
      <c r="G257" s="110"/>
      <c r="H257" s="110"/>
      <c r="I257" s="110"/>
      <c r="J257" s="113"/>
      <c r="K257" s="113"/>
      <c r="L257" s="116"/>
      <c r="M257" s="11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</row>
    <row r="258" spans="1:28" x14ac:dyDescent="0.2">
      <c r="A258" s="106"/>
      <c r="B258" s="106"/>
      <c r="C258" s="106"/>
      <c r="D258" s="106"/>
      <c r="E258" s="110"/>
      <c r="F258" s="110"/>
      <c r="G258" s="110"/>
      <c r="H258" s="110"/>
      <c r="I258" s="110"/>
      <c r="J258" s="113"/>
      <c r="K258" s="113"/>
      <c r="L258" s="116"/>
      <c r="M258" s="11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</row>
    <row r="259" spans="1:28" x14ac:dyDescent="0.2">
      <c r="A259" s="106"/>
      <c r="B259" s="106"/>
      <c r="C259" s="106"/>
      <c r="D259" s="106"/>
      <c r="E259" s="110"/>
      <c r="F259" s="110"/>
      <c r="G259" s="110"/>
      <c r="H259" s="110"/>
      <c r="I259" s="110"/>
      <c r="J259" s="113"/>
      <c r="K259" s="113"/>
      <c r="L259" s="116"/>
      <c r="M259" s="11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</row>
    <row r="260" spans="1:28" x14ac:dyDescent="0.2">
      <c r="A260" s="106"/>
      <c r="B260" s="106"/>
      <c r="C260" s="106"/>
      <c r="D260" s="106"/>
      <c r="E260" s="110"/>
      <c r="F260" s="110"/>
      <c r="G260" s="110"/>
      <c r="H260" s="110"/>
      <c r="I260" s="110"/>
      <c r="J260" s="113"/>
      <c r="K260" s="113"/>
      <c r="L260" s="116"/>
      <c r="M260" s="11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</row>
    <row r="261" spans="1:28" x14ac:dyDescent="0.2">
      <c r="A261" s="106"/>
      <c r="B261" s="106"/>
      <c r="C261" s="106"/>
      <c r="D261" s="106"/>
      <c r="E261" s="110"/>
      <c r="F261" s="110"/>
      <c r="G261" s="110"/>
      <c r="H261" s="110"/>
      <c r="I261" s="110"/>
      <c r="J261" s="113"/>
      <c r="K261" s="113"/>
      <c r="L261" s="116"/>
      <c r="M261" s="11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</row>
    <row r="262" spans="1:28" x14ac:dyDescent="0.2">
      <c r="A262" s="106"/>
      <c r="B262" s="106"/>
      <c r="C262" s="106"/>
      <c r="D262" s="106"/>
      <c r="E262" s="110"/>
      <c r="F262" s="110"/>
      <c r="G262" s="110"/>
      <c r="H262" s="110"/>
      <c r="I262" s="110"/>
      <c r="J262" s="113"/>
      <c r="K262" s="113"/>
      <c r="L262" s="116"/>
      <c r="M262" s="11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</row>
    <row r="263" spans="1:28" x14ac:dyDescent="0.2">
      <c r="A263" s="106"/>
      <c r="B263" s="106"/>
      <c r="C263" s="106"/>
      <c r="D263" s="106"/>
      <c r="E263" s="110"/>
      <c r="F263" s="110"/>
      <c r="G263" s="110"/>
      <c r="H263" s="110"/>
      <c r="I263" s="110"/>
      <c r="J263" s="113"/>
      <c r="K263" s="113"/>
      <c r="L263" s="116"/>
      <c r="M263" s="11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</row>
    <row r="264" spans="1:28" x14ac:dyDescent="0.2">
      <c r="A264" s="106"/>
      <c r="B264" s="106"/>
      <c r="C264" s="106"/>
      <c r="D264" s="106"/>
      <c r="E264" s="110"/>
      <c r="F264" s="110"/>
      <c r="G264" s="110"/>
      <c r="H264" s="110"/>
      <c r="I264" s="110"/>
      <c r="J264" s="113"/>
      <c r="K264" s="113"/>
      <c r="L264" s="116"/>
      <c r="M264" s="11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</row>
    <row r="265" spans="1:28" x14ac:dyDescent="0.2">
      <c r="A265" s="106"/>
      <c r="B265" s="106"/>
      <c r="C265" s="106"/>
      <c r="D265" s="106"/>
      <c r="E265" s="110"/>
      <c r="F265" s="110"/>
      <c r="G265" s="110"/>
      <c r="H265" s="110"/>
      <c r="I265" s="110"/>
      <c r="J265" s="113"/>
      <c r="K265" s="113"/>
      <c r="L265" s="116"/>
      <c r="M265" s="11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</row>
    <row r="266" spans="1:28" x14ac:dyDescent="0.2">
      <c r="A266" s="106"/>
      <c r="B266" s="106"/>
      <c r="C266" s="106"/>
      <c r="D266" s="106"/>
      <c r="E266" s="110"/>
      <c r="F266" s="110"/>
      <c r="G266" s="110"/>
      <c r="H266" s="110"/>
      <c r="I266" s="110"/>
      <c r="J266" s="113"/>
      <c r="K266" s="113"/>
      <c r="L266" s="116"/>
      <c r="M266" s="11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</row>
    <row r="267" spans="1:28" x14ac:dyDescent="0.2">
      <c r="A267" s="106"/>
      <c r="B267" s="106"/>
      <c r="C267" s="106"/>
      <c r="D267" s="106"/>
      <c r="E267" s="110"/>
      <c r="F267" s="110"/>
      <c r="G267" s="110"/>
      <c r="H267" s="110"/>
      <c r="I267" s="110"/>
      <c r="J267" s="113"/>
      <c r="K267" s="113"/>
      <c r="L267" s="116"/>
      <c r="M267" s="116"/>
      <c r="N267" s="106"/>
      <c r="O267" s="106"/>
      <c r="P267" s="106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</row>
    <row r="268" spans="1:28" x14ac:dyDescent="0.2">
      <c r="A268" s="106"/>
      <c r="B268" s="106"/>
      <c r="C268" s="106"/>
      <c r="D268" s="106"/>
      <c r="E268" s="110"/>
      <c r="F268" s="110"/>
      <c r="G268" s="110"/>
      <c r="H268" s="110"/>
      <c r="I268" s="110"/>
      <c r="J268" s="113"/>
      <c r="K268" s="113"/>
      <c r="L268" s="116"/>
      <c r="M268" s="116"/>
      <c r="N268" s="106"/>
      <c r="O268" s="106"/>
      <c r="P268" s="106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</row>
    <row r="269" spans="1:28" x14ac:dyDescent="0.2">
      <c r="A269" s="106"/>
      <c r="B269" s="106"/>
      <c r="C269" s="106"/>
      <c r="D269" s="106"/>
      <c r="E269" s="110"/>
      <c r="F269" s="110"/>
      <c r="G269" s="110"/>
      <c r="H269" s="110"/>
      <c r="I269" s="110"/>
      <c r="J269" s="113"/>
      <c r="K269" s="113"/>
      <c r="L269" s="116"/>
      <c r="M269" s="116"/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</row>
    <row r="270" spans="1:28" x14ac:dyDescent="0.2">
      <c r="A270" s="106"/>
      <c r="B270" s="106"/>
      <c r="C270" s="106"/>
      <c r="D270" s="106"/>
      <c r="E270" s="110"/>
      <c r="F270" s="110"/>
      <c r="G270" s="110"/>
      <c r="H270" s="110"/>
      <c r="I270" s="110"/>
      <c r="J270" s="113"/>
      <c r="K270" s="113"/>
      <c r="L270" s="116"/>
      <c r="M270" s="116"/>
      <c r="N270" s="106"/>
      <c r="O270" s="106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</row>
    <row r="271" spans="1:28" x14ac:dyDescent="0.2">
      <c r="A271" s="106"/>
      <c r="B271" s="106"/>
      <c r="C271" s="106"/>
      <c r="D271" s="106"/>
      <c r="E271" s="110"/>
      <c r="F271" s="110"/>
      <c r="G271" s="110"/>
      <c r="H271" s="110"/>
      <c r="I271" s="110"/>
      <c r="J271" s="113"/>
      <c r="K271" s="113"/>
      <c r="L271" s="116"/>
      <c r="M271" s="116"/>
      <c r="N271" s="106"/>
      <c r="O271" s="106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</row>
    <row r="272" spans="1:28" x14ac:dyDescent="0.2">
      <c r="A272" s="106"/>
      <c r="B272" s="106"/>
      <c r="C272" s="106"/>
      <c r="D272" s="106"/>
      <c r="E272" s="110"/>
      <c r="F272" s="110"/>
      <c r="G272" s="110"/>
      <c r="H272" s="110"/>
      <c r="I272" s="110"/>
      <c r="J272" s="113"/>
      <c r="K272" s="113"/>
      <c r="L272" s="116"/>
      <c r="M272" s="116"/>
      <c r="N272" s="106"/>
      <c r="O272" s="106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</row>
    <row r="273" spans="1:28" x14ac:dyDescent="0.2">
      <c r="A273" s="106"/>
      <c r="B273" s="106"/>
      <c r="C273" s="106"/>
      <c r="D273" s="106"/>
      <c r="E273" s="110"/>
      <c r="F273" s="110"/>
      <c r="G273" s="110"/>
      <c r="H273" s="110"/>
      <c r="I273" s="110"/>
      <c r="J273" s="113"/>
      <c r="K273" s="113"/>
      <c r="L273" s="116"/>
      <c r="M273" s="11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</row>
    <row r="274" spans="1:28" x14ac:dyDescent="0.2">
      <c r="A274" s="106"/>
      <c r="B274" s="106"/>
      <c r="C274" s="106"/>
      <c r="D274" s="106"/>
      <c r="E274" s="110"/>
      <c r="F274" s="110"/>
      <c r="G274" s="110"/>
      <c r="H274" s="110"/>
      <c r="I274" s="110"/>
      <c r="J274" s="113"/>
      <c r="K274" s="113"/>
      <c r="L274" s="116"/>
      <c r="M274" s="11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</row>
    <row r="275" spans="1:28" x14ac:dyDescent="0.2">
      <c r="A275" s="106"/>
      <c r="B275" s="106"/>
      <c r="C275" s="106"/>
      <c r="D275" s="106"/>
      <c r="E275" s="110"/>
      <c r="F275" s="110"/>
      <c r="G275" s="110"/>
      <c r="H275" s="110"/>
      <c r="I275" s="110"/>
      <c r="J275" s="113"/>
      <c r="K275" s="113"/>
      <c r="L275" s="116"/>
      <c r="M275" s="11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</row>
    <row r="276" spans="1:28" x14ac:dyDescent="0.2">
      <c r="A276" s="106"/>
      <c r="B276" s="106"/>
      <c r="C276" s="106"/>
      <c r="D276" s="106"/>
      <c r="E276" s="110"/>
      <c r="F276" s="110"/>
      <c r="G276" s="110"/>
      <c r="H276" s="110"/>
      <c r="I276" s="110"/>
      <c r="J276" s="113"/>
      <c r="K276" s="113"/>
      <c r="L276" s="116"/>
      <c r="M276" s="11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</row>
    <row r="277" spans="1:28" x14ac:dyDescent="0.2">
      <c r="A277" s="106"/>
      <c r="B277" s="106"/>
      <c r="C277" s="106"/>
      <c r="D277" s="106"/>
      <c r="E277" s="110"/>
      <c r="F277" s="110"/>
      <c r="G277" s="110"/>
      <c r="H277" s="110"/>
      <c r="I277" s="110"/>
      <c r="J277" s="113"/>
      <c r="K277" s="113"/>
      <c r="L277" s="116"/>
      <c r="M277" s="11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</row>
    <row r="278" spans="1:28" x14ac:dyDescent="0.2">
      <c r="A278" s="106"/>
      <c r="B278" s="106"/>
      <c r="C278" s="106"/>
      <c r="D278" s="106"/>
      <c r="E278" s="110"/>
      <c r="F278" s="110"/>
      <c r="G278" s="110"/>
      <c r="H278" s="110"/>
      <c r="I278" s="110"/>
      <c r="J278" s="113"/>
      <c r="K278" s="113"/>
      <c r="L278" s="116"/>
      <c r="M278" s="11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</row>
    <row r="279" spans="1:28" x14ac:dyDescent="0.2">
      <c r="A279" s="106"/>
      <c r="B279" s="106"/>
      <c r="C279" s="106"/>
      <c r="D279" s="106"/>
      <c r="E279" s="110"/>
      <c r="F279" s="110"/>
      <c r="G279" s="110"/>
      <c r="H279" s="110"/>
      <c r="I279" s="110"/>
      <c r="J279" s="113"/>
      <c r="K279" s="113"/>
      <c r="L279" s="116"/>
      <c r="M279" s="11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</row>
    <row r="280" spans="1:28" x14ac:dyDescent="0.2">
      <c r="A280" s="106"/>
      <c r="B280" s="106"/>
      <c r="C280" s="106"/>
      <c r="D280" s="106"/>
      <c r="E280" s="110"/>
      <c r="F280" s="110"/>
      <c r="G280" s="110"/>
      <c r="H280" s="110"/>
      <c r="I280" s="110"/>
      <c r="J280" s="113"/>
      <c r="K280" s="113"/>
      <c r="L280" s="116"/>
      <c r="M280" s="11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</row>
    <row r="281" spans="1:28" x14ac:dyDescent="0.2">
      <c r="A281" s="106"/>
      <c r="B281" s="106"/>
      <c r="C281" s="106"/>
      <c r="D281" s="106"/>
      <c r="E281" s="110"/>
      <c r="F281" s="110"/>
      <c r="G281" s="110"/>
      <c r="H281" s="110"/>
      <c r="I281" s="110"/>
      <c r="J281" s="113"/>
      <c r="K281" s="113"/>
      <c r="L281" s="116"/>
      <c r="M281" s="11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</row>
    <row r="282" spans="1:28" x14ac:dyDescent="0.2">
      <c r="A282" s="106"/>
      <c r="B282" s="106"/>
      <c r="C282" s="106"/>
      <c r="D282" s="106"/>
      <c r="E282" s="110"/>
      <c r="F282" s="110"/>
      <c r="G282" s="110"/>
      <c r="H282" s="110"/>
      <c r="I282" s="110"/>
      <c r="J282" s="113"/>
      <c r="K282" s="113"/>
      <c r="L282" s="116"/>
      <c r="M282" s="116"/>
      <c r="N282" s="106"/>
      <c r="O282" s="106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</row>
    <row r="283" spans="1:28" x14ac:dyDescent="0.2">
      <c r="A283" s="106"/>
      <c r="B283" s="106"/>
      <c r="C283" s="106"/>
      <c r="D283" s="106"/>
      <c r="E283" s="110"/>
      <c r="F283" s="110"/>
      <c r="G283" s="110"/>
      <c r="H283" s="110"/>
      <c r="I283" s="110"/>
      <c r="J283" s="113"/>
      <c r="K283" s="113"/>
      <c r="L283" s="116"/>
      <c r="M283" s="116"/>
      <c r="N283" s="106"/>
      <c r="O283" s="106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</row>
    <row r="284" spans="1:28" x14ac:dyDescent="0.2">
      <c r="A284" s="106"/>
      <c r="B284" s="106"/>
      <c r="C284" s="106"/>
      <c r="D284" s="106"/>
      <c r="E284" s="110"/>
      <c r="F284" s="110"/>
      <c r="G284" s="110"/>
      <c r="H284" s="110"/>
      <c r="I284" s="110"/>
      <c r="J284" s="113"/>
      <c r="K284" s="113"/>
      <c r="L284" s="116"/>
      <c r="M284" s="116"/>
      <c r="N284" s="106"/>
      <c r="O284" s="106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</row>
    <row r="285" spans="1:28" x14ac:dyDescent="0.2">
      <c r="A285" s="106"/>
      <c r="B285" s="106"/>
      <c r="C285" s="106"/>
      <c r="D285" s="106"/>
      <c r="E285" s="110"/>
      <c r="F285" s="110"/>
      <c r="G285" s="110"/>
      <c r="H285" s="110"/>
      <c r="I285" s="110"/>
      <c r="J285" s="113"/>
      <c r="K285" s="113"/>
      <c r="L285" s="116"/>
      <c r="M285" s="116"/>
      <c r="N285" s="106"/>
      <c r="O285" s="106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</row>
    <row r="286" spans="1:28" x14ac:dyDescent="0.2">
      <c r="A286" s="106"/>
      <c r="B286" s="106"/>
      <c r="C286" s="106"/>
      <c r="D286" s="106"/>
      <c r="E286" s="110"/>
      <c r="F286" s="110"/>
      <c r="G286" s="110"/>
      <c r="H286" s="110"/>
      <c r="I286" s="110"/>
      <c r="J286" s="113"/>
      <c r="K286" s="113"/>
      <c r="L286" s="116"/>
      <c r="M286" s="116"/>
      <c r="N286" s="106"/>
      <c r="O286" s="106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</row>
    <row r="287" spans="1:28" x14ac:dyDescent="0.2">
      <c r="A287" s="106"/>
      <c r="B287" s="106"/>
      <c r="C287" s="106"/>
      <c r="D287" s="106"/>
      <c r="E287" s="110"/>
      <c r="F287" s="110"/>
      <c r="G287" s="110"/>
      <c r="H287" s="110"/>
      <c r="I287" s="110"/>
      <c r="J287" s="113"/>
      <c r="K287" s="113"/>
      <c r="L287" s="116"/>
      <c r="M287" s="116"/>
      <c r="N287" s="106"/>
      <c r="O287" s="106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</row>
    <row r="288" spans="1:28" x14ac:dyDescent="0.2">
      <c r="A288" s="106"/>
      <c r="B288" s="106"/>
      <c r="C288" s="106"/>
      <c r="D288" s="106"/>
      <c r="E288" s="110"/>
      <c r="F288" s="110"/>
      <c r="G288" s="110"/>
      <c r="H288" s="110"/>
      <c r="I288" s="110"/>
      <c r="J288" s="113"/>
      <c r="K288" s="113"/>
      <c r="L288" s="116"/>
      <c r="M288" s="116"/>
      <c r="N288" s="106"/>
      <c r="O288" s="106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</row>
    <row r="289" spans="1:28" x14ac:dyDescent="0.2">
      <c r="A289" s="106"/>
      <c r="B289" s="106"/>
      <c r="C289" s="106"/>
      <c r="D289" s="106"/>
      <c r="E289" s="110"/>
      <c r="F289" s="110"/>
      <c r="G289" s="110"/>
      <c r="H289" s="110"/>
      <c r="I289" s="110"/>
      <c r="J289" s="113"/>
      <c r="K289" s="113"/>
      <c r="L289" s="116"/>
      <c r="M289" s="116"/>
      <c r="N289" s="106"/>
      <c r="O289" s="106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</row>
    <row r="290" spans="1:28" x14ac:dyDescent="0.2">
      <c r="A290" s="106"/>
      <c r="B290" s="106"/>
      <c r="C290" s="106"/>
      <c r="D290" s="106"/>
      <c r="E290" s="110"/>
      <c r="F290" s="110"/>
      <c r="G290" s="110"/>
      <c r="H290" s="110"/>
      <c r="I290" s="110"/>
      <c r="J290" s="113"/>
      <c r="K290" s="113"/>
      <c r="L290" s="116"/>
      <c r="M290" s="116"/>
      <c r="N290" s="106"/>
      <c r="O290" s="106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</row>
    <row r="291" spans="1:28" x14ac:dyDescent="0.2">
      <c r="A291" s="106"/>
      <c r="B291" s="106"/>
      <c r="C291" s="106"/>
      <c r="D291" s="106"/>
      <c r="E291" s="110"/>
      <c r="F291" s="110"/>
      <c r="G291" s="110"/>
      <c r="H291" s="110"/>
      <c r="I291" s="110"/>
      <c r="J291" s="113"/>
      <c r="K291" s="113"/>
      <c r="L291" s="116"/>
      <c r="M291" s="116"/>
      <c r="N291" s="106"/>
      <c r="O291" s="106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</row>
    <row r="292" spans="1:28" x14ac:dyDescent="0.2">
      <c r="A292" s="106"/>
      <c r="B292" s="106"/>
      <c r="C292" s="106"/>
      <c r="D292" s="106"/>
      <c r="E292" s="110"/>
      <c r="F292" s="110"/>
      <c r="G292" s="110"/>
      <c r="H292" s="110"/>
      <c r="I292" s="110"/>
      <c r="J292" s="113"/>
      <c r="K292" s="113"/>
      <c r="L292" s="116"/>
      <c r="M292" s="116"/>
      <c r="N292" s="106"/>
      <c r="O292" s="106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</row>
    <row r="293" spans="1:28" x14ac:dyDescent="0.2">
      <c r="A293" s="106"/>
      <c r="B293" s="106"/>
      <c r="C293" s="106"/>
      <c r="D293" s="106"/>
      <c r="E293" s="110"/>
      <c r="F293" s="110"/>
      <c r="G293" s="110"/>
      <c r="H293" s="110"/>
      <c r="I293" s="110"/>
      <c r="J293" s="113"/>
      <c r="K293" s="113"/>
      <c r="L293" s="116"/>
      <c r="M293" s="116"/>
      <c r="N293" s="106"/>
      <c r="O293" s="106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</row>
    <row r="294" spans="1:28" x14ac:dyDescent="0.2">
      <c r="A294" s="106"/>
      <c r="B294" s="106"/>
      <c r="C294" s="106"/>
      <c r="D294" s="106"/>
      <c r="E294" s="110"/>
      <c r="F294" s="110"/>
      <c r="G294" s="110"/>
      <c r="H294" s="110"/>
      <c r="I294" s="110"/>
      <c r="J294" s="113"/>
      <c r="K294" s="113"/>
      <c r="L294" s="116"/>
      <c r="M294" s="116"/>
      <c r="N294" s="106"/>
      <c r="O294" s="106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</row>
    <row r="295" spans="1:28" x14ac:dyDescent="0.2">
      <c r="A295" s="106"/>
      <c r="B295" s="106"/>
      <c r="C295" s="106"/>
      <c r="D295" s="106"/>
      <c r="E295" s="110"/>
      <c r="F295" s="110"/>
      <c r="G295" s="110"/>
      <c r="H295" s="110"/>
      <c r="I295" s="110"/>
      <c r="J295" s="113"/>
      <c r="K295" s="113"/>
      <c r="L295" s="116"/>
      <c r="M295" s="116"/>
      <c r="N295" s="106"/>
      <c r="O295" s="106"/>
      <c r="P295" s="106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</row>
    <row r="296" spans="1:28" x14ac:dyDescent="0.2">
      <c r="A296" s="106"/>
      <c r="B296" s="106"/>
      <c r="C296" s="106"/>
      <c r="D296" s="106"/>
      <c r="E296" s="110"/>
      <c r="F296" s="110"/>
      <c r="G296" s="110"/>
      <c r="H296" s="110"/>
      <c r="I296" s="110"/>
      <c r="J296" s="113"/>
      <c r="K296" s="113"/>
      <c r="L296" s="116"/>
      <c r="M296" s="116"/>
      <c r="N296" s="106"/>
      <c r="O296" s="106"/>
      <c r="P296" s="106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</row>
    <row r="297" spans="1:28" x14ac:dyDescent="0.2">
      <c r="A297" s="106"/>
      <c r="B297" s="106"/>
      <c r="C297" s="106"/>
      <c r="D297" s="106"/>
      <c r="E297" s="110"/>
      <c r="F297" s="110"/>
      <c r="G297" s="110"/>
      <c r="H297" s="110"/>
      <c r="I297" s="110"/>
      <c r="J297" s="113"/>
      <c r="K297" s="113"/>
      <c r="L297" s="116"/>
      <c r="M297" s="116"/>
      <c r="N297" s="106"/>
      <c r="O297" s="106"/>
      <c r="P297" s="106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</row>
    <row r="298" spans="1:28" x14ac:dyDescent="0.2">
      <c r="A298" s="106"/>
      <c r="B298" s="106"/>
      <c r="C298" s="106"/>
      <c r="D298" s="106"/>
      <c r="E298" s="110"/>
      <c r="F298" s="110"/>
      <c r="G298" s="110"/>
      <c r="H298" s="110"/>
      <c r="I298" s="110"/>
      <c r="J298" s="113"/>
      <c r="K298" s="113"/>
      <c r="L298" s="116"/>
      <c r="M298" s="116"/>
      <c r="N298" s="106"/>
      <c r="O298" s="106"/>
      <c r="P298" s="106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</row>
    <row r="299" spans="1:28" x14ac:dyDescent="0.2">
      <c r="A299" s="106"/>
      <c r="B299" s="106"/>
      <c r="C299" s="106"/>
      <c r="D299" s="106"/>
      <c r="E299" s="110"/>
      <c r="F299" s="110"/>
      <c r="G299" s="110"/>
      <c r="H299" s="110"/>
      <c r="I299" s="110"/>
      <c r="J299" s="113"/>
      <c r="K299" s="113"/>
      <c r="L299" s="116"/>
      <c r="M299" s="116"/>
      <c r="N299" s="106"/>
      <c r="O299" s="106"/>
      <c r="P299" s="106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</row>
    <row r="300" spans="1:28" x14ac:dyDescent="0.2">
      <c r="A300" s="106"/>
      <c r="B300" s="106"/>
      <c r="C300" s="106"/>
      <c r="D300" s="106"/>
      <c r="E300" s="110"/>
      <c r="F300" s="110"/>
      <c r="G300" s="110"/>
      <c r="H300" s="110"/>
      <c r="I300" s="110"/>
      <c r="J300" s="113"/>
      <c r="K300" s="113"/>
      <c r="L300" s="116"/>
      <c r="M300" s="116"/>
      <c r="N300" s="106"/>
      <c r="O300" s="106"/>
      <c r="P300" s="106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</row>
    <row r="301" spans="1:28" x14ac:dyDescent="0.2">
      <c r="A301" s="106"/>
      <c r="B301" s="106"/>
      <c r="C301" s="106"/>
      <c r="D301" s="106"/>
      <c r="E301" s="110"/>
      <c r="F301" s="110"/>
      <c r="G301" s="110"/>
      <c r="H301" s="110"/>
      <c r="I301" s="110"/>
      <c r="J301" s="113"/>
      <c r="K301" s="113"/>
      <c r="L301" s="116"/>
      <c r="M301" s="116"/>
      <c r="N301" s="106"/>
      <c r="O301" s="106"/>
      <c r="P301" s="106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</row>
    <row r="302" spans="1:28" x14ac:dyDescent="0.2">
      <c r="A302" s="106"/>
      <c r="B302" s="106"/>
      <c r="C302" s="106"/>
      <c r="D302" s="106"/>
      <c r="E302" s="110"/>
      <c r="F302" s="110"/>
      <c r="G302" s="110"/>
      <c r="H302" s="110"/>
      <c r="I302" s="110"/>
      <c r="J302" s="113"/>
      <c r="K302" s="113"/>
      <c r="L302" s="116"/>
      <c r="M302" s="116"/>
      <c r="N302" s="106"/>
      <c r="O302" s="106"/>
      <c r="P302" s="106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  <c r="AA302" s="106"/>
      <c r="AB302" s="106"/>
    </row>
    <row r="303" spans="1:28" x14ac:dyDescent="0.2">
      <c r="A303" s="106"/>
      <c r="B303" s="106"/>
      <c r="C303" s="106"/>
      <c r="D303" s="106"/>
      <c r="E303" s="110"/>
      <c r="F303" s="110"/>
      <c r="G303" s="110"/>
      <c r="H303" s="110"/>
      <c r="I303" s="110"/>
      <c r="J303" s="113"/>
      <c r="K303" s="113"/>
      <c r="L303" s="116"/>
      <c r="M303" s="116"/>
      <c r="N303" s="106"/>
      <c r="O303" s="106"/>
      <c r="P303" s="106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</row>
    <row r="304" spans="1:28" x14ac:dyDescent="0.2">
      <c r="A304" s="106"/>
      <c r="B304" s="106"/>
      <c r="C304" s="106"/>
      <c r="D304" s="106"/>
      <c r="E304" s="110"/>
      <c r="F304" s="110"/>
      <c r="G304" s="110"/>
      <c r="H304" s="110"/>
      <c r="I304" s="110"/>
      <c r="J304" s="113"/>
      <c r="K304" s="113"/>
      <c r="L304" s="116"/>
      <c r="M304" s="116"/>
      <c r="N304" s="106"/>
      <c r="O304" s="106"/>
      <c r="P304" s="106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</row>
    <row r="305" spans="1:28" x14ac:dyDescent="0.2">
      <c r="A305" s="106"/>
      <c r="B305" s="106"/>
      <c r="C305" s="106"/>
      <c r="D305" s="106"/>
      <c r="E305" s="110"/>
      <c r="F305" s="110"/>
      <c r="G305" s="110"/>
      <c r="H305" s="110"/>
      <c r="I305" s="110"/>
      <c r="J305" s="113"/>
      <c r="K305" s="113"/>
      <c r="L305" s="116"/>
      <c r="M305" s="116"/>
      <c r="N305" s="106"/>
      <c r="O305" s="106"/>
      <c r="P305" s="106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</row>
    <row r="306" spans="1:28" x14ac:dyDescent="0.2">
      <c r="A306" s="106"/>
      <c r="B306" s="106"/>
      <c r="C306" s="106"/>
      <c r="D306" s="106"/>
      <c r="E306" s="110"/>
      <c r="F306" s="110"/>
      <c r="G306" s="110"/>
      <c r="H306" s="110"/>
      <c r="I306" s="110"/>
      <c r="J306" s="113"/>
      <c r="K306" s="113"/>
      <c r="L306" s="116"/>
      <c r="M306" s="116"/>
      <c r="N306" s="106"/>
      <c r="O306" s="106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</row>
    <row r="307" spans="1:28" x14ac:dyDescent="0.2">
      <c r="A307" s="106"/>
      <c r="B307" s="106"/>
      <c r="C307" s="106"/>
      <c r="D307" s="106"/>
      <c r="E307" s="110"/>
      <c r="F307" s="110"/>
      <c r="G307" s="110"/>
      <c r="H307" s="110"/>
      <c r="I307" s="110"/>
      <c r="J307" s="113"/>
      <c r="K307" s="113"/>
      <c r="L307" s="116"/>
      <c r="M307" s="116"/>
      <c r="N307" s="106"/>
      <c r="O307" s="106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</row>
    <row r="308" spans="1:28" x14ac:dyDescent="0.2">
      <c r="A308" s="106"/>
      <c r="B308" s="106"/>
      <c r="C308" s="106"/>
      <c r="D308" s="106"/>
      <c r="E308" s="110"/>
      <c r="F308" s="110"/>
      <c r="G308" s="110"/>
      <c r="H308" s="110"/>
      <c r="I308" s="110"/>
      <c r="J308" s="113"/>
      <c r="K308" s="113"/>
      <c r="L308" s="116"/>
      <c r="M308" s="116"/>
      <c r="N308" s="106"/>
      <c r="O308" s="106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</row>
    <row r="309" spans="1:28" x14ac:dyDescent="0.2">
      <c r="A309" s="106"/>
      <c r="B309" s="106"/>
      <c r="C309" s="106"/>
      <c r="D309" s="106"/>
      <c r="E309" s="110"/>
      <c r="F309" s="110"/>
      <c r="G309" s="110"/>
      <c r="H309" s="110"/>
      <c r="I309" s="110"/>
      <c r="J309" s="113"/>
      <c r="K309" s="113"/>
      <c r="L309" s="116"/>
      <c r="M309" s="116"/>
      <c r="N309" s="106"/>
      <c r="O309" s="106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</row>
    <row r="310" spans="1:28" x14ac:dyDescent="0.2">
      <c r="A310" s="106"/>
      <c r="B310" s="106"/>
      <c r="C310" s="106"/>
      <c r="D310" s="106"/>
      <c r="E310" s="110"/>
      <c r="F310" s="110"/>
      <c r="G310" s="110"/>
      <c r="H310" s="110"/>
      <c r="I310" s="110"/>
      <c r="J310" s="113"/>
      <c r="K310" s="113"/>
      <c r="L310" s="116"/>
      <c r="M310" s="116"/>
      <c r="N310" s="106"/>
      <c r="O310" s="106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</row>
    <row r="311" spans="1:28" x14ac:dyDescent="0.2">
      <c r="A311" s="106"/>
      <c r="B311" s="106"/>
      <c r="C311" s="106"/>
      <c r="D311" s="106"/>
      <c r="E311" s="110"/>
      <c r="F311" s="110"/>
      <c r="G311" s="110"/>
      <c r="H311" s="110"/>
      <c r="I311" s="110"/>
      <c r="J311" s="113"/>
      <c r="K311" s="113"/>
      <c r="L311" s="116"/>
      <c r="M311" s="116"/>
      <c r="N311" s="106"/>
      <c r="O311" s="106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</row>
    <row r="312" spans="1:28" x14ac:dyDescent="0.2">
      <c r="A312" s="106"/>
      <c r="B312" s="106"/>
      <c r="C312" s="106"/>
      <c r="D312" s="106"/>
      <c r="E312" s="110"/>
      <c r="F312" s="110"/>
      <c r="G312" s="110"/>
      <c r="H312" s="110"/>
      <c r="I312" s="110"/>
      <c r="J312" s="113"/>
      <c r="K312" s="113"/>
      <c r="L312" s="116"/>
      <c r="M312" s="116"/>
      <c r="N312" s="106"/>
      <c r="O312" s="106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</row>
    <row r="313" spans="1:28" x14ac:dyDescent="0.2">
      <c r="A313" s="106"/>
      <c r="B313" s="106"/>
      <c r="C313" s="106"/>
      <c r="D313" s="106"/>
      <c r="E313" s="110"/>
      <c r="F313" s="110"/>
      <c r="G313" s="110"/>
      <c r="H313" s="110"/>
      <c r="I313" s="110"/>
      <c r="J313" s="113"/>
      <c r="K313" s="113"/>
      <c r="L313" s="116"/>
      <c r="M313" s="116"/>
      <c r="N313" s="106"/>
      <c r="O313" s="106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</row>
    <row r="314" spans="1:28" x14ac:dyDescent="0.2">
      <c r="A314" s="106"/>
      <c r="B314" s="106"/>
      <c r="C314" s="106"/>
      <c r="D314" s="106"/>
      <c r="E314" s="110"/>
      <c r="F314" s="110"/>
      <c r="G314" s="110"/>
      <c r="H314" s="110"/>
      <c r="I314" s="110"/>
      <c r="J314" s="113"/>
      <c r="K314" s="113"/>
      <c r="L314" s="116"/>
      <c r="M314" s="11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</row>
    <row r="315" spans="1:28" x14ac:dyDescent="0.2">
      <c r="A315" s="106"/>
      <c r="B315" s="106"/>
      <c r="C315" s="106"/>
      <c r="D315" s="106"/>
      <c r="E315" s="110"/>
      <c r="F315" s="110"/>
      <c r="G315" s="110"/>
      <c r="H315" s="110"/>
      <c r="I315" s="110"/>
      <c r="J315" s="113"/>
      <c r="K315" s="113"/>
      <c r="L315" s="116"/>
      <c r="M315" s="11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</row>
    <row r="316" spans="1:28" x14ac:dyDescent="0.2">
      <c r="A316" s="106"/>
      <c r="B316" s="106"/>
      <c r="C316" s="106"/>
      <c r="D316" s="106"/>
      <c r="E316" s="110"/>
      <c r="F316" s="110"/>
      <c r="G316" s="110"/>
      <c r="H316" s="110"/>
      <c r="I316" s="110"/>
      <c r="J316" s="113"/>
      <c r="K316" s="113"/>
      <c r="L316" s="116"/>
      <c r="M316" s="11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</row>
    <row r="317" spans="1:28" x14ac:dyDescent="0.2">
      <c r="A317" s="106"/>
      <c r="B317" s="106"/>
      <c r="C317" s="106"/>
      <c r="D317" s="106"/>
      <c r="E317" s="110"/>
      <c r="F317" s="110"/>
      <c r="G317" s="110"/>
      <c r="H317" s="110"/>
      <c r="I317" s="110"/>
      <c r="J317" s="113"/>
      <c r="K317" s="113"/>
      <c r="L317" s="116"/>
      <c r="M317" s="11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</row>
    <row r="318" spans="1:28" x14ac:dyDescent="0.2">
      <c r="A318" s="106"/>
      <c r="B318" s="106"/>
      <c r="C318" s="106"/>
      <c r="D318" s="106"/>
      <c r="E318" s="110"/>
      <c r="F318" s="110"/>
      <c r="G318" s="110"/>
      <c r="H318" s="110"/>
      <c r="I318" s="110"/>
      <c r="J318" s="113"/>
      <c r="K318" s="113"/>
      <c r="L318" s="116"/>
      <c r="M318" s="11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</row>
    <row r="319" spans="1:28" x14ac:dyDescent="0.2">
      <c r="A319" s="106"/>
      <c r="B319" s="106"/>
      <c r="C319" s="106"/>
      <c r="D319" s="106"/>
      <c r="E319" s="110"/>
      <c r="F319" s="110"/>
      <c r="G319" s="110"/>
      <c r="H319" s="110"/>
      <c r="I319" s="110"/>
      <c r="J319" s="113"/>
      <c r="K319" s="113"/>
      <c r="L319" s="116"/>
      <c r="M319" s="11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</row>
  </sheetData>
  <mergeCells count="5">
    <mergeCell ref="A3:AB3"/>
    <mergeCell ref="AE4:AO4"/>
    <mergeCell ref="AW4:BN4"/>
    <mergeCell ref="AR4:AT4"/>
    <mergeCell ref="CJ4:CZ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N1460"/>
  <sheetViews>
    <sheetView workbookViewId="0">
      <selection activeCell="BG13" sqref="BG13"/>
    </sheetView>
  </sheetViews>
  <sheetFormatPr defaultRowHeight="14.25" x14ac:dyDescent="0.2"/>
  <cols>
    <col min="1" max="1" width="9.625" bestFit="1" customWidth="1"/>
    <col min="2" max="2" width="12.25" customWidth="1"/>
    <col min="3" max="5" width="9.5" bestFit="1" customWidth="1"/>
    <col min="6" max="6" width="9.625" bestFit="1" customWidth="1"/>
    <col min="7" max="7" width="10.375" customWidth="1"/>
    <col min="10" max="10" width="11.5" customWidth="1"/>
    <col min="11" max="11" width="12" customWidth="1"/>
    <col min="12" max="12" width="13.875" customWidth="1"/>
    <col min="13" max="14" width="11.875" customWidth="1"/>
    <col min="15" max="15" width="11.875" style="138" customWidth="1"/>
    <col min="16" max="16" width="12.375" style="142" customWidth="1"/>
    <col min="17" max="19" width="13.625" style="142" customWidth="1"/>
    <col min="20" max="20" width="9.125" style="142" customWidth="1"/>
    <col min="21" max="26" width="13.625" style="142" customWidth="1"/>
    <col min="27" max="27" width="7.75" style="105" customWidth="1"/>
    <col min="28" max="28" width="8.375" style="105" customWidth="1"/>
    <col min="29" max="31" width="9.375" style="105" customWidth="1"/>
    <col min="32" max="32" width="12.625" style="105" customWidth="1"/>
    <col min="33" max="33" width="10" style="105" customWidth="1"/>
    <col min="34" max="34" width="17.5" style="105" customWidth="1"/>
    <col min="35" max="35" width="10.625" style="105" customWidth="1"/>
    <col min="36" max="36" width="13.625" style="105" customWidth="1"/>
    <col min="37" max="37" width="13.875" style="105" customWidth="1"/>
    <col min="38" max="39" width="13.625" style="105" customWidth="1"/>
    <col min="40" max="40" width="13.875" style="105" customWidth="1"/>
    <col min="41" max="42" width="13.625" style="105" customWidth="1"/>
    <col min="43" max="43" width="12.625" customWidth="1"/>
    <col min="44" max="44" width="10.625" style="105" customWidth="1"/>
    <col min="45" max="48" width="10.5" style="105" customWidth="1"/>
    <col min="49" max="49" width="12.625" style="105" customWidth="1"/>
    <col min="50" max="50" width="9.625" style="105" customWidth="1"/>
    <col min="51" max="51" width="19.75" style="105" customWidth="1"/>
    <col min="52" max="58" width="12.625" style="105" customWidth="1"/>
    <col min="59" max="59" width="12.25" customWidth="1"/>
    <col min="62" max="62" width="12.375" customWidth="1"/>
    <col min="63" max="63" width="10.375" customWidth="1"/>
    <col min="64" max="64" width="11.25" customWidth="1"/>
    <col min="66" max="66" width="9.625" bestFit="1" customWidth="1"/>
    <col min="67" max="67" width="11.25" customWidth="1"/>
    <col min="69" max="69" width="11.5" customWidth="1"/>
    <col min="70" max="70" width="10.5" customWidth="1"/>
    <col min="74" max="74" width="12" customWidth="1"/>
    <col min="78" max="78" width="10.625" customWidth="1"/>
    <col min="79" max="79" width="12.5" customWidth="1"/>
    <col min="84" max="84" width="9" style="138"/>
    <col min="85" max="85" width="14" customWidth="1"/>
    <col min="86" max="87" width="10.625" customWidth="1"/>
    <col min="88" max="88" width="16.125" style="138" customWidth="1"/>
    <col min="89" max="90" width="10.625" customWidth="1"/>
    <col min="91" max="91" width="16.5" customWidth="1"/>
    <col min="92" max="92" width="14.75" customWidth="1"/>
  </cols>
  <sheetData>
    <row r="2" spans="1:92" x14ac:dyDescent="0.2">
      <c r="G2" s="15"/>
      <c r="H2" s="15"/>
      <c r="U2" s="142">
        <v>2</v>
      </c>
      <c r="V2" s="142">
        <v>3</v>
      </c>
      <c r="W2" s="142">
        <v>4</v>
      </c>
      <c r="X2" s="142">
        <v>5</v>
      </c>
    </row>
    <row r="3" spans="1:92" ht="20.25" x14ac:dyDescent="0.2">
      <c r="A3" s="186" t="s">
        <v>169</v>
      </c>
      <c r="B3" s="186"/>
      <c r="C3" s="186"/>
      <c r="D3" s="186"/>
      <c r="E3" s="186"/>
      <c r="F3" s="186"/>
      <c r="I3" s="186" t="s">
        <v>402</v>
      </c>
      <c r="J3" s="186"/>
      <c r="K3" s="186"/>
      <c r="L3" s="186"/>
      <c r="M3" s="186"/>
      <c r="T3" s="186" t="s">
        <v>1142</v>
      </c>
      <c r="U3" s="186"/>
      <c r="V3" s="186"/>
      <c r="W3" s="186"/>
      <c r="X3" s="186"/>
      <c r="AA3" s="186" t="s">
        <v>984</v>
      </c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186"/>
      <c r="AM3" s="186"/>
      <c r="AN3" s="186"/>
      <c r="AO3" s="186"/>
      <c r="AR3" s="186" t="s">
        <v>1150</v>
      </c>
      <c r="AS3" s="186"/>
      <c r="AT3" s="186"/>
      <c r="AU3" s="186"/>
      <c r="AV3" s="186"/>
      <c r="AW3" s="186"/>
      <c r="AX3" s="186"/>
      <c r="AY3" s="186"/>
      <c r="AZ3" s="186"/>
      <c r="BA3" s="186"/>
      <c r="BB3" s="186"/>
      <c r="BC3" s="186"/>
      <c r="BD3" s="186"/>
      <c r="BE3" s="186"/>
      <c r="BH3" s="186" t="s">
        <v>292</v>
      </c>
      <c r="BI3" s="186"/>
      <c r="BJ3" s="186"/>
      <c r="BK3" s="186"/>
      <c r="BL3" s="186"/>
      <c r="BM3" s="186"/>
      <c r="BN3" s="186"/>
      <c r="BO3" s="186"/>
      <c r="BP3" s="186"/>
      <c r="BQ3" s="186"/>
      <c r="BR3" s="186"/>
      <c r="CD3" s="186" t="s">
        <v>1116</v>
      </c>
      <c r="CE3" s="186"/>
      <c r="CF3" s="186"/>
      <c r="CG3" s="186"/>
      <c r="CH3" s="186"/>
      <c r="CI3" s="186"/>
      <c r="CJ3" s="186"/>
      <c r="CK3" s="186"/>
      <c r="CL3" s="186"/>
      <c r="CM3" s="186"/>
      <c r="CN3" s="186"/>
    </row>
    <row r="4" spans="1:92" ht="17.25" x14ac:dyDescent="0.2">
      <c r="A4" s="12" t="s">
        <v>174</v>
      </c>
      <c r="B4" s="12" t="s">
        <v>170</v>
      </c>
      <c r="C4" s="12" t="s">
        <v>171</v>
      </c>
      <c r="D4" s="12" t="s">
        <v>424</v>
      </c>
      <c r="E4" s="12" t="s">
        <v>173</v>
      </c>
      <c r="F4" s="12" t="s">
        <v>385</v>
      </c>
      <c r="I4" s="12" t="s">
        <v>384</v>
      </c>
      <c r="J4" s="12" t="s">
        <v>171</v>
      </c>
      <c r="K4" s="12" t="s">
        <v>172</v>
      </c>
      <c r="L4" s="12" t="s">
        <v>173</v>
      </c>
      <c r="M4" s="12" t="s">
        <v>383</v>
      </c>
      <c r="P4" s="27" t="s">
        <v>1153</v>
      </c>
      <c r="Q4" s="139">
        <v>9</v>
      </c>
      <c r="T4" s="12" t="s">
        <v>1143</v>
      </c>
      <c r="U4" s="12" t="s">
        <v>1144</v>
      </c>
      <c r="V4" s="12" t="s">
        <v>1145</v>
      </c>
      <c r="W4" s="12" t="s">
        <v>1146</v>
      </c>
      <c r="X4" s="12" t="s">
        <v>1147</v>
      </c>
      <c r="AA4" s="12" t="s">
        <v>985</v>
      </c>
      <c r="AB4" s="12" t="s">
        <v>994</v>
      </c>
      <c r="AC4" s="12" t="s">
        <v>1003</v>
      </c>
      <c r="AD4" s="12" t="s">
        <v>1004</v>
      </c>
      <c r="AE4" s="12" t="s">
        <v>1005</v>
      </c>
      <c r="AF4" s="12" t="s">
        <v>1007</v>
      </c>
      <c r="AG4" s="12" t="s">
        <v>1002</v>
      </c>
      <c r="AH4" s="12" t="s">
        <v>993</v>
      </c>
      <c r="AI4" s="12" t="s">
        <v>986</v>
      </c>
      <c r="AJ4" s="12" t="s">
        <v>987</v>
      </c>
      <c r="AK4" s="12" t="s">
        <v>988</v>
      </c>
      <c r="AL4" s="12" t="s">
        <v>989</v>
      </c>
      <c r="AM4" s="12" t="s">
        <v>990</v>
      </c>
      <c r="AN4" s="12" t="s">
        <v>991</v>
      </c>
      <c r="AO4" s="12" t="s">
        <v>992</v>
      </c>
      <c r="AR4" s="12" t="s">
        <v>1006</v>
      </c>
      <c r="AS4" s="12" t="s">
        <v>994</v>
      </c>
      <c r="AT4" s="12" t="s">
        <v>1014</v>
      </c>
      <c r="AU4" s="12" t="s">
        <v>1004</v>
      </c>
      <c r="AV4" s="12" t="s">
        <v>1002</v>
      </c>
      <c r="AW4" s="12" t="s">
        <v>1008</v>
      </c>
      <c r="AX4" s="12" t="s">
        <v>1009</v>
      </c>
      <c r="AY4" s="12" t="s">
        <v>993</v>
      </c>
      <c r="AZ4" s="12" t="s">
        <v>987</v>
      </c>
      <c r="BA4" s="12" t="s">
        <v>988</v>
      </c>
      <c r="BB4" s="12" t="s">
        <v>989</v>
      </c>
      <c r="BC4" s="12" t="s">
        <v>990</v>
      </c>
      <c r="BD4" s="12" t="s">
        <v>991</v>
      </c>
      <c r="BE4" s="12" t="s">
        <v>992</v>
      </c>
      <c r="BH4" s="12" t="s">
        <v>293</v>
      </c>
      <c r="BI4" s="12" t="s">
        <v>294</v>
      </c>
      <c r="BJ4" s="12" t="s">
        <v>296</v>
      </c>
      <c r="BK4" s="12" t="s">
        <v>298</v>
      </c>
      <c r="BL4" s="12" t="s">
        <v>297</v>
      </c>
      <c r="BM4" s="12" t="s">
        <v>300</v>
      </c>
      <c r="BN4" s="12" t="s">
        <v>299</v>
      </c>
      <c r="BO4" s="31" t="s">
        <v>301</v>
      </c>
      <c r="BP4" s="31" t="s">
        <v>302</v>
      </c>
      <c r="BQ4" s="31" t="s">
        <v>303</v>
      </c>
      <c r="BR4" s="12" t="s">
        <v>304</v>
      </c>
      <c r="BU4" s="12" t="s">
        <v>305</v>
      </c>
      <c r="BV4" s="12" t="s">
        <v>295</v>
      </c>
      <c r="BW4" s="12" t="s">
        <v>306</v>
      </c>
      <c r="BX4" s="12" t="s">
        <v>307</v>
      </c>
      <c r="BY4" s="12" t="s">
        <v>308</v>
      </c>
      <c r="BZ4" s="12" t="s">
        <v>295</v>
      </c>
      <c r="CA4" s="12" t="s">
        <v>295</v>
      </c>
      <c r="CD4" s="12" t="s">
        <v>1115</v>
      </c>
      <c r="CE4" s="12" t="s">
        <v>1117</v>
      </c>
      <c r="CF4" s="12" t="s">
        <v>1134</v>
      </c>
      <c r="CG4" s="12" t="s">
        <v>1124</v>
      </c>
      <c r="CH4" s="12" t="s">
        <v>1125</v>
      </c>
      <c r="CI4" s="12" t="s">
        <v>1126</v>
      </c>
      <c r="CJ4" s="12" t="s">
        <v>1135</v>
      </c>
      <c r="CK4" s="12" t="s">
        <v>817</v>
      </c>
      <c r="CL4" s="12" t="s">
        <v>818</v>
      </c>
      <c r="CM4" s="12" t="s">
        <v>863</v>
      </c>
      <c r="CN4" s="12" t="s">
        <v>864</v>
      </c>
    </row>
    <row r="5" spans="1:92" ht="16.5" x14ac:dyDescent="0.2">
      <c r="A5" s="29" t="s">
        <v>175</v>
      </c>
      <c r="B5" s="19">
        <v>0.5</v>
      </c>
      <c r="C5" s="19">
        <v>0.8</v>
      </c>
      <c r="D5" s="19">
        <v>1</v>
      </c>
      <c r="E5" s="19">
        <v>1.2</v>
      </c>
      <c r="F5" s="19">
        <v>1.5</v>
      </c>
      <c r="I5" s="55">
        <v>1</v>
      </c>
      <c r="J5" s="55">
        <v>20</v>
      </c>
      <c r="K5" s="55">
        <v>40</v>
      </c>
      <c r="L5" s="55">
        <v>80</v>
      </c>
      <c r="M5" s="55">
        <v>80</v>
      </c>
      <c r="P5" s="140" t="s">
        <v>1154</v>
      </c>
      <c r="Q5" s="139">
        <v>15</v>
      </c>
      <c r="T5" s="139">
        <v>1</v>
      </c>
      <c r="U5" s="139">
        <f>ROUND(INDEX(挂机升级突破!$BN$6:$BN$57,卡牌消耗!$T5)*INDEX(卡牌消耗!$B$8:$F$8,卡牌消耗!U$2)/$Q$4/5,0)*5</f>
        <v>425</v>
      </c>
      <c r="V5" s="139">
        <f>ROUND(INDEX(挂机升级突破!$BN$6:$BN$57,卡牌消耗!$T5)*INDEX(卡牌消耗!$B$8:$F$8,卡牌消耗!V$2)/$Q$4/5,0)*5</f>
        <v>605</v>
      </c>
      <c r="W5" s="139">
        <f>ROUND(INDEX(挂机升级突破!$BN$6:$BN$57,卡牌消耗!$T5)*INDEX(卡牌消耗!$B$8:$F$8,卡牌消耗!W$2)/$Q$4/5,0)*5</f>
        <v>910</v>
      </c>
      <c r="X5" s="139">
        <f>ROUND(INDEX(挂机升级突破!$BN$6:$BN$57,卡牌消耗!$T5)*INDEX(卡牌消耗!$B$8:$F$8,卡牌消耗!X$2)/$Q$4/5,0)*5</f>
        <v>1215</v>
      </c>
      <c r="AA5" s="104">
        <v>1</v>
      </c>
      <c r="AB5" s="14">
        <f>INT((AA5-1)/52)+1</f>
        <v>1</v>
      </c>
      <c r="AC5" s="14">
        <f>INDEX(挂机升级突破!BU$6:BU$57,卡牌消耗!$AI5)</f>
        <v>11</v>
      </c>
      <c r="AD5" s="14">
        <f>INDEX(挂机升级突破!BV$6:BV$57,卡牌消耗!$AI5)</f>
        <v>1</v>
      </c>
      <c r="AE5" s="14">
        <f>INDEX(挂机升级突破!BW$6:BW$57,卡牌消耗!$AI5)</f>
        <v>0</v>
      </c>
      <c r="AF5" s="14" t="str">
        <f>INDEX($B$13:$B$40,AB5)</f>
        <v>关羽</v>
      </c>
      <c r="AG5" s="14">
        <f>INDEX($C$13:$C$40,AB5)</f>
        <v>5</v>
      </c>
      <c r="AH5" s="14" t="str">
        <f>AF5&amp;"魂火-"&amp;AI5</f>
        <v>关羽魂火-1</v>
      </c>
      <c r="AI5" s="14">
        <f>AA5-(AB5-1)*52</f>
        <v>1</v>
      </c>
      <c r="AJ5" s="14" t="str">
        <f>IF(AC5&gt;0,INDEX(挂机升级突破!$BX$4:$CH$4,AC5),"")</f>
        <v>金币</v>
      </c>
      <c r="AK5" s="14">
        <f>ROUND(INDEX(挂机升级突破!$BN$6:$BN$57,卡牌消耗!AI5)*INDEX(卡牌消耗!$B$8:$F$8,AG5)/$Q$4/50,0)*50</f>
        <v>1200</v>
      </c>
      <c r="AL5" s="14" t="str">
        <f>IF(AD5&gt;0,INDEX(挂机升级突破!$BX$4:$CH$4,AD5),"")</f>
        <v>绿色基础材料</v>
      </c>
      <c r="AM5" s="14">
        <f>ROUND(INDEX(挂机升级突破!$BX$6:$CH$57,卡牌消耗!AI5,AD5)*INDEX(卡牌消耗!$B$5:$F$5,AG5)/$Q$4/5,0)*5</f>
        <v>1250</v>
      </c>
      <c r="AN5" s="14" t="str">
        <f>IF(AE5&gt;0,INDEX(挂机升级突破!$BX$4:$CH$4,AE5),"")</f>
        <v/>
      </c>
      <c r="AO5" s="14" t="str">
        <f>IF(AE5&gt;0,ROUND(INDEX(挂机升级突破!$BX$6:$CH$57,卡牌消耗!AI5,AE5)*INDEX(卡牌消耗!$B$7:$F$7,AG5)/$Q$4,0),"")</f>
        <v/>
      </c>
      <c r="AR5" s="104">
        <v>1</v>
      </c>
      <c r="AS5" s="14">
        <f>INT((AR5-1)/20)+1</f>
        <v>1</v>
      </c>
      <c r="AT5" s="14">
        <f>INDEX(挂机升级突破!$CM$7:$CM$26,AX5)</f>
        <v>0</v>
      </c>
      <c r="AU5" s="14">
        <f>INDEX(挂机升级突破!$CN$7:$CN$26,AX5)</f>
        <v>0</v>
      </c>
      <c r="AV5" s="14">
        <f>INDEX($C$13:$C$40,AS5)</f>
        <v>5</v>
      </c>
      <c r="AW5" s="14" t="str">
        <f>INDEX($B$13:$B$40,AS5)</f>
        <v>关羽</v>
      </c>
      <c r="AX5" s="14">
        <f>AR5-(AS5-1)*20</f>
        <v>1</v>
      </c>
      <c r="AY5" s="14" t="str">
        <f>AW5&amp;AX5&amp;"突"</f>
        <v>关羽1突</v>
      </c>
      <c r="AZ5" s="14" t="str">
        <f>IF(AT5&gt;0,INDEX(挂机升级突破!$CV$5:$CZ$5,卡牌消耗!AT5),"")</f>
        <v/>
      </c>
      <c r="BA5" s="14" t="str">
        <f>IF(AT5&gt;0,ROUND(INDEX(挂机升级突破!$CZ$7:$CZ$26,卡牌消耗!AX5)*INDEX(卡牌消耗!$B$8:$F$8,AV5)/$Q$4/500,0)*500,"")</f>
        <v/>
      </c>
      <c r="BB5" s="14" t="str">
        <f>IF(AU5&gt;0,INDEX(挂机升级突破!$CV$5:$CZ$5,卡牌消耗!AU5),"")</f>
        <v/>
      </c>
      <c r="BC5" s="14" t="str">
        <f>IF(AU5&gt;0,ROUND(INDEX(挂机升级突破!$CV$7:$CY$26,卡牌消耗!AX5,卡牌消耗!AU5)*INDEX($B$6:$F$6,AV5)/$Q$4/5,0)*5,"")</f>
        <v/>
      </c>
      <c r="BD5" s="104"/>
      <c r="BE5" s="104"/>
      <c r="BH5" s="153" t="s">
        <v>1399</v>
      </c>
      <c r="BI5" s="153">
        <v>5</v>
      </c>
      <c r="BJ5" s="153">
        <f>章节关卡!K5*节奏总表!N5*60</f>
        <v>0</v>
      </c>
      <c r="BK5" s="153">
        <v>1</v>
      </c>
      <c r="BL5" s="153">
        <f>SUMIFS(章节关卡!$BC$5:$BC$304,章节关卡!$AY$5:$AY$304,"="&amp;卡牌消耗!BK5)</f>
        <v>11250</v>
      </c>
      <c r="BM5" s="153"/>
      <c r="BN5" s="153"/>
      <c r="BO5" s="153">
        <f>BJ5+BL5+BN5</f>
        <v>11250</v>
      </c>
      <c r="BP5" s="153">
        <v>1</v>
      </c>
      <c r="BQ5" s="153">
        <f>INT(BO5*BP5/BR5)</f>
        <v>7500</v>
      </c>
      <c r="BR5" s="153">
        <v>1.5</v>
      </c>
      <c r="BU5" s="50" t="s">
        <v>310</v>
      </c>
      <c r="BV5">
        <v>1</v>
      </c>
      <c r="BW5" s="50">
        <v>1</v>
      </c>
      <c r="BX5" s="50">
        <v>1</v>
      </c>
      <c r="BY5" s="21">
        <f>BX5/$BV$8</f>
        <v>1.8181818181818181E-2</v>
      </c>
      <c r="BZ5" s="50">
        <f>INT($BV$6*BY5/5)*5</f>
        <v>135</v>
      </c>
      <c r="CA5" s="50">
        <f>SUM(BZ$5:BZ5)</f>
        <v>135</v>
      </c>
      <c r="CD5" s="136">
        <v>1</v>
      </c>
      <c r="CE5" s="14">
        <f>INT((CD5-1)/5)+1</f>
        <v>1</v>
      </c>
      <c r="CF5" s="14">
        <f t="shared" ref="CF5:CF68" si="0">INDEX($C$47:$C$97,CE5)</f>
        <v>3</v>
      </c>
      <c r="CG5" s="14">
        <f t="shared" ref="CG5:CG68" si="1">INDEX($A$47:$A$97,CE5)</f>
        <v>1101001</v>
      </c>
      <c r="CH5" s="136" t="s">
        <v>1127</v>
      </c>
      <c r="CI5" s="14">
        <f t="shared" ref="CI5:CI68" si="2">CD5-INDEX($E$46:$E$97,CE5)</f>
        <v>1</v>
      </c>
      <c r="CJ5" s="14" t="str">
        <f t="shared" ref="CJ5:CJ68" si="3">INDEX($B$47:$B$97,CE5)&amp;"-"&amp;CI5&amp;"星"</f>
        <v>常服曹焱兵-1星</v>
      </c>
      <c r="CK5" s="136" t="s">
        <v>1133</v>
      </c>
      <c r="CL5" s="14">
        <f>INDEX($K$21:$N$25,CI5,CF5-1)</f>
        <v>4000</v>
      </c>
      <c r="CM5" s="14" t="str">
        <f t="shared" ref="CM5:CM68" si="4">INDEX($B$47:$B$97,CE5)&amp;"碎片"</f>
        <v>常服曹焱兵碎片</v>
      </c>
      <c r="CN5" s="14">
        <f>INDEX($J$5:$M$9,CI5,CF5-1)</f>
        <v>40</v>
      </c>
    </row>
    <row r="6" spans="1:92" ht="16.5" x14ac:dyDescent="0.2">
      <c r="A6" s="29" t="s">
        <v>1000</v>
      </c>
      <c r="B6" s="19">
        <v>0.5</v>
      </c>
      <c r="C6" s="19">
        <v>0.8</v>
      </c>
      <c r="D6" s="19">
        <v>1</v>
      </c>
      <c r="E6" s="19">
        <v>1.2</v>
      </c>
      <c r="F6" s="19">
        <v>1.5</v>
      </c>
      <c r="I6" s="55">
        <v>2</v>
      </c>
      <c r="J6" s="55">
        <v>40</v>
      </c>
      <c r="K6" s="55">
        <v>80</v>
      </c>
      <c r="L6" s="55">
        <v>80</v>
      </c>
      <c r="M6" s="55">
        <v>80</v>
      </c>
      <c r="T6" s="139">
        <v>2</v>
      </c>
      <c r="U6" s="139">
        <f>ROUND(INDEX(挂机升级突破!$BN$6:$BN$57,卡牌消耗!$T6)*INDEX(卡牌消耗!$B$8:$F$8,卡牌消耗!U$2)/$Q$4/5,0)*5</f>
        <v>570</v>
      </c>
      <c r="V6" s="139">
        <f>ROUND(INDEX(挂机升级突破!$BN$6:$BN$57,卡牌消耗!$T6)*INDEX(卡牌消耗!$B$8:$F$8,卡牌消耗!V$2)/$Q$4/5,0)*5</f>
        <v>815</v>
      </c>
      <c r="W6" s="139">
        <f>ROUND(INDEX(挂机升级突破!$BN$6:$BN$57,卡牌消耗!$T6)*INDEX(卡牌消耗!$B$8:$F$8,卡牌消耗!W$2)/$Q$4/5,0)*5</f>
        <v>1220</v>
      </c>
      <c r="X6" s="139">
        <f>ROUND(INDEX(挂机升级突破!$BN$6:$BN$57,卡牌消耗!$T6)*INDEX(卡牌消耗!$B$8:$F$8,卡牌消耗!X$2)/$Q$4/5,0)*5</f>
        <v>1625</v>
      </c>
      <c r="AA6" s="104">
        <v>2</v>
      </c>
      <c r="AB6" s="14">
        <f t="shared" ref="AB6:AB69" si="5">INT((AA6-1)/52)+1</f>
        <v>1</v>
      </c>
      <c r="AC6" s="14">
        <f>INDEX(挂机升级突破!$BU$6:$BU$57,卡牌消耗!AI6)</f>
        <v>11</v>
      </c>
      <c r="AD6" s="14">
        <f>INDEX(挂机升级突破!BV$6:BV$57,卡牌消耗!$AI6)</f>
        <v>1</v>
      </c>
      <c r="AE6" s="14">
        <f>INDEX(挂机升级突破!BW$6:BW$57,卡牌消耗!$AI6)</f>
        <v>0</v>
      </c>
      <c r="AF6" s="14" t="str">
        <f t="shared" ref="AF6:AF69" si="6">INDEX($B$13:$B$40,AB6)</f>
        <v>关羽</v>
      </c>
      <c r="AG6" s="14">
        <f t="shared" ref="AG6:AG69" si="7">INDEX($C$13:$C$40,AB6)</f>
        <v>5</v>
      </c>
      <c r="AH6" s="14" t="str">
        <f t="shared" ref="AH6:AH69" si="8">AF6&amp;"魂火-"&amp;AI6</f>
        <v>关羽魂火-2</v>
      </c>
      <c r="AI6" s="14">
        <f t="shared" ref="AI6:AI69" si="9">AA6-(AB6-1)*52</f>
        <v>2</v>
      </c>
      <c r="AJ6" s="14" t="str">
        <f>INDEX(挂机升级突破!$BX$4:$CH$4,INDEX(挂机升级突破!$BU$6:$BU$57,卡牌消耗!AI6))</f>
        <v>金币</v>
      </c>
      <c r="AK6" s="14">
        <f>ROUND(INDEX(挂机升级突破!$BN$6:$BN$57,卡牌消耗!AI6)*INDEX(卡牌消耗!$B$8:$F$8,AG6)/$Q$4/50,0)*50</f>
        <v>1650</v>
      </c>
      <c r="AL6" s="14" t="str">
        <f>IF(AD6&gt;0,INDEX(挂机升级突破!$BX$4:$CH$4,AD6),"")</f>
        <v>绿色基础材料</v>
      </c>
      <c r="AM6" s="14">
        <f>ROUND(INDEX(挂机升级突破!$BX$6:$CH$57,卡牌消耗!AI6,AD6)*INDEX(卡牌消耗!$B$5:$F$5,AG6)/$Q$4/5,0)*5</f>
        <v>3755</v>
      </c>
      <c r="AN6" s="14" t="str">
        <f>IF(AE6&gt;0,INDEX(挂机升级突破!$BX$4:$CH$4,AE6),"")</f>
        <v/>
      </c>
      <c r="AO6" s="14" t="str">
        <f>IF(AE6&gt;0,ROUND(INDEX(挂机升级突破!$BX$6:$CH$57,卡牌消耗!AI6,AE6)*INDEX(卡牌消耗!$B$7:$F$7,AG6)/$Q$4,0),"")</f>
        <v/>
      </c>
      <c r="AR6" s="104">
        <v>2</v>
      </c>
      <c r="AS6" s="14">
        <f t="shared" ref="AS6:AS69" si="10">INT((AR6-1)/20)+1</f>
        <v>1</v>
      </c>
      <c r="AT6" s="14">
        <f>INDEX(挂机升级突破!$CM$7:$CM$26,AX6)</f>
        <v>5</v>
      </c>
      <c r="AU6" s="14">
        <f>INDEX(挂机升级突破!$CN$7:$CN$26,AX6)</f>
        <v>0</v>
      </c>
      <c r="AV6" s="14">
        <f t="shared" ref="AV6:AV69" si="11">INDEX($C$13:$C$40,AS6)</f>
        <v>5</v>
      </c>
      <c r="AW6" s="14" t="str">
        <f t="shared" ref="AW6:AW69" si="12">INDEX($B$13:$B$40,AS6)</f>
        <v>关羽</v>
      </c>
      <c r="AX6" s="14">
        <f t="shared" ref="AX6:AX69" si="13">AR6-(AS6-1)*20</f>
        <v>2</v>
      </c>
      <c r="AY6" s="14" t="str">
        <f t="shared" ref="AY6:AY69" si="14">AW6&amp;AX6&amp;"突"</f>
        <v>关羽2突</v>
      </c>
      <c r="AZ6" s="14" t="str">
        <f>IF(AT6&gt;0,INDEX(挂机升级突破!$CV$5:$CZ$5,卡牌消耗!AT6),"")</f>
        <v>金币</v>
      </c>
      <c r="BA6" s="14">
        <f>IF(AT6&gt;0,ROUND(INDEX(挂机升级突破!$CZ$7:$CZ$26,卡牌消耗!AX6)*INDEX(卡牌消耗!$B$8:$F$8,AV6)/$Q$4/500,0)*500,"")</f>
        <v>5000</v>
      </c>
      <c r="BB6" s="14" t="str">
        <f>IF(AU6&gt;0,INDEX(挂机升级突破!$CV$5:$CZ$5,卡牌消耗!AU6),"")</f>
        <v/>
      </c>
      <c r="BC6" s="14" t="str">
        <f>IF(AU6&gt;0,ROUND(INDEX(挂机升级突破!$CV$7:$CY$26,卡牌消耗!AX6,卡牌消耗!AU6)*INDEX($B$6:$F$6,AV6)/$Q$4/5,0)*5,"")</f>
        <v/>
      </c>
      <c r="BD6" s="104"/>
      <c r="BE6" s="104"/>
      <c r="BH6" s="153" t="s">
        <v>1400</v>
      </c>
      <c r="BI6" s="153">
        <v>15</v>
      </c>
      <c r="BJ6" s="153" t="e">
        <f>章节关卡!K6*节奏总表!#REF!*60</f>
        <v>#REF!</v>
      </c>
      <c r="BK6" s="153">
        <v>2</v>
      </c>
      <c r="BL6" s="153">
        <f>SUMIFS(章节关卡!$BC$5:$BC$304,章节关卡!$AY$5:$AY$304,"="&amp;卡牌消耗!BK6)</f>
        <v>13500</v>
      </c>
      <c r="BM6" s="153">
        <v>1</v>
      </c>
      <c r="BN6" s="153">
        <f>SUMIFS(章节关卡!$BK$5:$BK$304,章节关卡!$BG$5:$BG$304,"="&amp;卡牌消耗!BM6)</f>
        <v>22500</v>
      </c>
      <c r="BO6" s="153" t="e">
        <f t="shared" ref="BO6:BO19" si="15">BJ6+BL6+BN6</f>
        <v>#REF!</v>
      </c>
      <c r="BP6" s="153">
        <v>1</v>
      </c>
      <c r="BQ6" s="153" t="e">
        <f t="shared" ref="BQ6:BQ19" si="16">INT(BO6*BP6/BR6)</f>
        <v>#REF!</v>
      </c>
      <c r="BR6" s="153">
        <v>2</v>
      </c>
      <c r="BU6" s="14" t="str">
        <f>INDEX($BH$5:$BH$19,BV5)</f>
        <v>1~10</v>
      </c>
      <c r="BV6" s="14">
        <f>INDEX($BQ$5:$BQ$19,BV5)</f>
        <v>7500</v>
      </c>
      <c r="BW6" s="50">
        <v>2</v>
      </c>
      <c r="BX6" s="50">
        <v>2</v>
      </c>
      <c r="BY6" s="21">
        <f t="shared" ref="BY6:BY13" si="17">BX6/$BV$8</f>
        <v>3.6363636363636362E-2</v>
      </c>
      <c r="BZ6" s="65">
        <f t="shared" ref="BZ6:BZ14" si="18">INT($BV$6*BY6/5)*5</f>
        <v>270</v>
      </c>
      <c r="CA6" s="50">
        <f>SUM(BZ$5:BZ6)</f>
        <v>405</v>
      </c>
      <c r="CD6" s="136">
        <v>2</v>
      </c>
      <c r="CE6" s="14">
        <f t="shared" ref="CE6:CE69" si="19">INT((CD6-1)/5)+1</f>
        <v>1</v>
      </c>
      <c r="CF6" s="14">
        <f t="shared" si="0"/>
        <v>3</v>
      </c>
      <c r="CG6" s="14">
        <f t="shared" si="1"/>
        <v>1101001</v>
      </c>
      <c r="CH6" s="136" t="s">
        <v>1127</v>
      </c>
      <c r="CI6" s="14">
        <f t="shared" si="2"/>
        <v>2</v>
      </c>
      <c r="CJ6" s="14" t="str">
        <f t="shared" si="3"/>
        <v>常服曹焱兵-2星</v>
      </c>
      <c r="CK6" s="136" t="s">
        <v>1133</v>
      </c>
      <c r="CL6" s="14">
        <f t="shared" ref="CL6:CL69" si="20">INDEX($K$21:$N$25,CI6,CF6-1)</f>
        <v>5000</v>
      </c>
      <c r="CM6" s="14" t="str">
        <f t="shared" si="4"/>
        <v>常服曹焱兵碎片</v>
      </c>
      <c r="CN6" s="14">
        <f t="shared" ref="CN6:CN69" si="21">INDEX($J$5:$M$9,CI6,CF6-1)</f>
        <v>80</v>
      </c>
    </row>
    <row r="7" spans="1:92" ht="16.5" x14ac:dyDescent="0.2">
      <c r="A7" s="29" t="s">
        <v>1001</v>
      </c>
      <c r="B7" s="21">
        <v>1</v>
      </c>
      <c r="C7" s="21">
        <v>1</v>
      </c>
      <c r="D7" s="21">
        <v>1</v>
      </c>
      <c r="E7" s="21">
        <v>2</v>
      </c>
      <c r="F7" s="21">
        <v>2</v>
      </c>
      <c r="I7" s="55">
        <v>3</v>
      </c>
      <c r="J7" s="55">
        <v>80</v>
      </c>
      <c r="K7" s="55">
        <v>120</v>
      </c>
      <c r="L7" s="55">
        <v>160</v>
      </c>
      <c r="M7" s="55">
        <v>160</v>
      </c>
      <c r="T7" s="139">
        <v>3</v>
      </c>
      <c r="U7" s="139">
        <f>ROUND(INDEX(挂机升级突破!$BN$6:$BN$57,卡牌消耗!$T7)*INDEX(卡牌消耗!$B$8:$F$8,卡牌消耗!U$2)/$Q$4/5,0)*5</f>
        <v>570</v>
      </c>
      <c r="V7" s="139">
        <f>ROUND(INDEX(挂机升级突破!$BN$6:$BN$57,卡牌消耗!$T7)*INDEX(卡牌消耗!$B$8:$F$8,卡牌消耗!V$2)/$Q$4/5,0)*5</f>
        <v>815</v>
      </c>
      <c r="W7" s="139">
        <f>ROUND(INDEX(挂机升级突破!$BN$6:$BN$57,卡牌消耗!$T7)*INDEX(卡牌消耗!$B$8:$F$8,卡牌消耗!W$2)/$Q$4/5,0)*5</f>
        <v>1220</v>
      </c>
      <c r="X7" s="139">
        <f>ROUND(INDEX(挂机升级突破!$BN$6:$BN$57,卡牌消耗!$T7)*INDEX(卡牌消耗!$B$8:$F$8,卡牌消耗!X$2)/$Q$4/5,0)*5</f>
        <v>1625</v>
      </c>
      <c r="AA7" s="104">
        <v>3</v>
      </c>
      <c r="AB7" s="14">
        <f t="shared" si="5"/>
        <v>1</v>
      </c>
      <c r="AC7" s="14">
        <f>INDEX(挂机升级突破!$BU$6:$BU$57,卡牌消耗!AI7)</f>
        <v>11</v>
      </c>
      <c r="AD7" s="14">
        <f>INDEX(挂机升级突破!BV$6:BV$57,卡牌消耗!$AI7)</f>
        <v>1</v>
      </c>
      <c r="AE7" s="14">
        <f>INDEX(挂机升级突破!BW$6:BW$57,卡牌消耗!$AI7)</f>
        <v>0</v>
      </c>
      <c r="AF7" s="14" t="str">
        <f t="shared" si="6"/>
        <v>关羽</v>
      </c>
      <c r="AG7" s="14">
        <f t="shared" si="7"/>
        <v>5</v>
      </c>
      <c r="AH7" s="14" t="str">
        <f t="shared" si="8"/>
        <v>关羽魂火-3</v>
      </c>
      <c r="AI7" s="14">
        <f t="shared" si="9"/>
        <v>3</v>
      </c>
      <c r="AJ7" s="14" t="str">
        <f>INDEX(挂机升级突破!$BX$4:$CH$4,INDEX(挂机升级突破!$BU$6:$BU$57,卡牌消耗!AI7))</f>
        <v>金币</v>
      </c>
      <c r="AK7" s="14">
        <f>ROUND(INDEX(挂机升级突破!$BN$6:$BN$57,卡牌消耗!AI7)*INDEX(卡牌消耗!$B$8:$F$8,AG7)/$Q$4/50,0)*50</f>
        <v>1650</v>
      </c>
      <c r="AL7" s="14" t="str">
        <f>IF(AD7&gt;0,INDEX(挂机升级突破!$BX$4:$CH$4,AD7),"")</f>
        <v>绿色基础材料</v>
      </c>
      <c r="AM7" s="14">
        <f>ROUND(INDEX(挂机升级突破!$BX$6:$CH$57,卡牌消耗!AI7,AD7)*INDEX(卡牌消耗!$B$5:$F$5,AG7)/$Q$4/5,0)*5</f>
        <v>5005</v>
      </c>
      <c r="AN7" s="14" t="str">
        <f>IF(AE7&gt;0,INDEX(挂机升级突破!$BX$4:$CH$4,AE7),"")</f>
        <v/>
      </c>
      <c r="AO7" s="14" t="str">
        <f>IF(AE7&gt;0,ROUND(INDEX(挂机升级突破!$BX$6:$CH$57,卡牌消耗!AI7,AE7)*INDEX(卡牌消耗!$B$7:$F$7,AG7)/$Q$4,0),"")</f>
        <v/>
      </c>
      <c r="AR7" s="104">
        <v>3</v>
      </c>
      <c r="AS7" s="14">
        <f t="shared" si="10"/>
        <v>1</v>
      </c>
      <c r="AT7" s="14">
        <f>INDEX(挂机升级突破!$CM$7:$CM$26,AX7)</f>
        <v>5</v>
      </c>
      <c r="AU7" s="14">
        <f>INDEX(挂机升级突破!$CN$7:$CN$26,AX7)</f>
        <v>0</v>
      </c>
      <c r="AV7" s="14">
        <f t="shared" si="11"/>
        <v>5</v>
      </c>
      <c r="AW7" s="14" t="str">
        <f t="shared" si="12"/>
        <v>关羽</v>
      </c>
      <c r="AX7" s="14">
        <f t="shared" si="13"/>
        <v>3</v>
      </c>
      <c r="AY7" s="14" t="str">
        <f t="shared" si="14"/>
        <v>关羽3突</v>
      </c>
      <c r="AZ7" s="14" t="str">
        <f>IF(AT7&gt;0,INDEX(挂机升级突破!$CV$5:$CZ$5,卡牌消耗!AT7),"")</f>
        <v>金币</v>
      </c>
      <c r="BA7" s="14">
        <f>IF(AT7&gt;0,ROUND(INDEX(挂机升级突破!$CZ$7:$CZ$26,卡牌消耗!AX7)*INDEX(卡牌消耗!$B$8:$F$8,AV7)/$Q$4/500,0)*500,"")</f>
        <v>5000</v>
      </c>
      <c r="BB7" s="14" t="str">
        <f>IF(AU7&gt;0,INDEX(挂机升级突破!$CV$5:$CZ$5,卡牌消耗!AU7),"")</f>
        <v/>
      </c>
      <c r="BC7" s="14" t="str">
        <f>IF(AU7&gt;0,ROUND(INDEX(挂机升级突破!$CV$7:$CY$26,卡牌消耗!AX7,卡牌消耗!AU7)*INDEX($B$6:$F$6,AV7)/$Q$4/5,0)*5,"")</f>
        <v/>
      </c>
      <c r="BD7" s="104"/>
      <c r="BE7" s="104"/>
      <c r="BH7" s="153" t="s">
        <v>1401</v>
      </c>
      <c r="BI7" s="153">
        <v>30</v>
      </c>
      <c r="BJ7" s="153">
        <f>章节关卡!K7*节奏总表!N6*60</f>
        <v>7200</v>
      </c>
      <c r="BK7" s="153">
        <v>3</v>
      </c>
      <c r="BL7" s="153">
        <f>SUMIFS(章节关卡!$BC$5:$BC$304,章节关卡!$AY$5:$AY$304,"="&amp;卡牌消耗!BK7)</f>
        <v>15750</v>
      </c>
      <c r="BM7" s="153">
        <v>2</v>
      </c>
      <c r="BN7" s="153">
        <f>SUMIFS(章节关卡!$BK$5:$BK$304,章节关卡!$BG$5:$BG$304,"="&amp;卡牌消耗!BM7)</f>
        <v>27000</v>
      </c>
      <c r="BO7" s="153">
        <f t="shared" si="15"/>
        <v>49950</v>
      </c>
      <c r="BP7" s="153">
        <v>1</v>
      </c>
      <c r="BQ7" s="153">
        <f t="shared" si="16"/>
        <v>19980</v>
      </c>
      <c r="BR7" s="153">
        <v>2.5</v>
      </c>
      <c r="BU7" s="50" t="s">
        <v>309</v>
      </c>
      <c r="BV7" s="14">
        <v>1</v>
      </c>
      <c r="BW7" s="50">
        <v>3</v>
      </c>
      <c r="BX7" s="50">
        <v>3</v>
      </c>
      <c r="BY7" s="21">
        <f t="shared" si="17"/>
        <v>5.4545454545454543E-2</v>
      </c>
      <c r="BZ7" s="65">
        <f t="shared" si="18"/>
        <v>405</v>
      </c>
      <c r="CA7" s="50">
        <f>SUM(BZ$5:BZ7)</f>
        <v>810</v>
      </c>
      <c r="CD7" s="136">
        <v>3</v>
      </c>
      <c r="CE7" s="14">
        <f t="shared" si="19"/>
        <v>1</v>
      </c>
      <c r="CF7" s="14">
        <f t="shared" si="0"/>
        <v>3</v>
      </c>
      <c r="CG7" s="14">
        <f t="shared" si="1"/>
        <v>1101001</v>
      </c>
      <c r="CH7" s="136" t="s">
        <v>1127</v>
      </c>
      <c r="CI7" s="14">
        <f t="shared" si="2"/>
        <v>3</v>
      </c>
      <c r="CJ7" s="14" t="str">
        <f t="shared" si="3"/>
        <v>常服曹焱兵-3星</v>
      </c>
      <c r="CK7" s="136" t="s">
        <v>1133</v>
      </c>
      <c r="CL7" s="14">
        <f t="shared" si="20"/>
        <v>10000</v>
      </c>
      <c r="CM7" s="14" t="str">
        <f t="shared" si="4"/>
        <v>常服曹焱兵碎片</v>
      </c>
      <c r="CN7" s="14">
        <f t="shared" si="21"/>
        <v>120</v>
      </c>
    </row>
    <row r="8" spans="1:92" ht="16.5" x14ac:dyDescent="0.2">
      <c r="A8" s="29" t="s">
        <v>70</v>
      </c>
      <c r="B8" s="21">
        <v>0.5</v>
      </c>
      <c r="C8" s="21">
        <v>0.7</v>
      </c>
      <c r="D8" s="21">
        <v>1</v>
      </c>
      <c r="E8" s="21">
        <v>1.5</v>
      </c>
      <c r="F8" s="21">
        <v>2</v>
      </c>
      <c r="I8" s="55">
        <v>4</v>
      </c>
      <c r="J8" s="55">
        <v>120</v>
      </c>
      <c r="K8" s="55">
        <v>160</v>
      </c>
      <c r="L8" s="55">
        <v>240</v>
      </c>
      <c r="M8" s="55">
        <v>240</v>
      </c>
      <c r="T8" s="139">
        <v>4</v>
      </c>
      <c r="U8" s="139">
        <f>ROUND(INDEX(挂机升级突破!$BN$6:$BN$57,卡牌消耗!$T8)*INDEX(卡牌消耗!$B$8:$F$8,卡牌消耗!U$2)/$Q$4/5,0)*5</f>
        <v>570</v>
      </c>
      <c r="V8" s="139">
        <f>ROUND(INDEX(挂机升级突破!$BN$6:$BN$57,卡牌消耗!$T8)*INDEX(卡牌消耗!$B$8:$F$8,卡牌消耗!V$2)/$Q$4/5,0)*5</f>
        <v>815</v>
      </c>
      <c r="W8" s="139">
        <f>ROUND(INDEX(挂机升级突破!$BN$6:$BN$57,卡牌消耗!$T8)*INDEX(卡牌消耗!$B$8:$F$8,卡牌消耗!W$2)/$Q$4/5,0)*5</f>
        <v>1220</v>
      </c>
      <c r="X8" s="139">
        <f>ROUND(INDEX(挂机升级突破!$BN$6:$BN$57,卡牌消耗!$T8)*INDEX(卡牌消耗!$B$8:$F$8,卡牌消耗!X$2)/$Q$4/5,0)*5</f>
        <v>1625</v>
      </c>
      <c r="AA8" s="104">
        <v>4</v>
      </c>
      <c r="AB8" s="14">
        <f t="shared" si="5"/>
        <v>1</v>
      </c>
      <c r="AC8" s="14">
        <f>INDEX(挂机升级突破!$BU$6:$BU$57,卡牌消耗!AI8)</f>
        <v>11</v>
      </c>
      <c r="AD8" s="14">
        <f>INDEX(挂机升级突破!BV$6:BV$57,卡牌消耗!$AI8)</f>
        <v>1</v>
      </c>
      <c r="AE8" s="14">
        <f>INDEX(挂机升级突破!BW$6:BW$57,卡牌消耗!$AI8)</f>
        <v>0</v>
      </c>
      <c r="AF8" s="14" t="str">
        <f t="shared" si="6"/>
        <v>关羽</v>
      </c>
      <c r="AG8" s="14">
        <f t="shared" si="7"/>
        <v>5</v>
      </c>
      <c r="AH8" s="14" t="str">
        <f t="shared" si="8"/>
        <v>关羽魂火-4</v>
      </c>
      <c r="AI8" s="14">
        <f t="shared" si="9"/>
        <v>4</v>
      </c>
      <c r="AJ8" s="14" t="str">
        <f>INDEX(挂机升级突破!$BX$4:$CH$4,INDEX(挂机升级突破!$BU$6:$BU$57,卡牌消耗!AI8))</f>
        <v>金币</v>
      </c>
      <c r="AK8" s="14">
        <f>ROUND(INDEX(挂机升级突破!$BN$6:$BN$57,卡牌消耗!AI8)*INDEX(卡牌消耗!$B$8:$F$8,AG8)/$Q$4/50,0)*50</f>
        <v>1650</v>
      </c>
      <c r="AL8" s="14" t="str">
        <f>IF(AD8&gt;0,INDEX(挂机升级突破!$BX$4:$CH$4,AD8),"")</f>
        <v>绿色基础材料</v>
      </c>
      <c r="AM8" s="14">
        <f>ROUND(INDEX(挂机升级突破!$BX$6:$CH$57,卡牌消耗!AI8,AD8)*INDEX(卡牌消耗!$B$5:$F$5,AG8)/$Q$4/5,0)*5</f>
        <v>7510</v>
      </c>
      <c r="AN8" s="14" t="str">
        <f>IF(AE8&gt;0,INDEX(挂机升级突破!$BX$4:$CH$4,AE8),"")</f>
        <v/>
      </c>
      <c r="AO8" s="14" t="str">
        <f>IF(AE8&gt;0,ROUND(INDEX(挂机升级突破!$BX$6:$CH$57,卡牌消耗!AI8,AE8)*INDEX(卡牌消耗!$B$7:$F$7,AG8)/$Q$4,0),"")</f>
        <v/>
      </c>
      <c r="AR8" s="104">
        <v>4</v>
      </c>
      <c r="AS8" s="14">
        <f t="shared" si="10"/>
        <v>1</v>
      </c>
      <c r="AT8" s="14">
        <f>INDEX(挂机升级突破!$CM$7:$CM$26,AX8)</f>
        <v>5</v>
      </c>
      <c r="AU8" s="14">
        <f>INDEX(挂机升级突破!$CN$7:$CN$26,AX8)</f>
        <v>1</v>
      </c>
      <c r="AV8" s="14">
        <f t="shared" si="11"/>
        <v>5</v>
      </c>
      <c r="AW8" s="14" t="str">
        <f t="shared" si="12"/>
        <v>关羽</v>
      </c>
      <c r="AX8" s="14">
        <f t="shared" si="13"/>
        <v>4</v>
      </c>
      <c r="AY8" s="14" t="str">
        <f t="shared" si="14"/>
        <v>关羽4突</v>
      </c>
      <c r="AZ8" s="14" t="str">
        <f>IF(AT8&gt;0,INDEX(挂机升级突破!$CV$5:$CZ$5,卡牌消耗!AT8),"")</f>
        <v>金币</v>
      </c>
      <c r="BA8" s="14">
        <f>IF(AT8&gt;0,ROUND(INDEX(挂机升级突破!$CZ$7:$CZ$26,卡牌消耗!AX8)*INDEX(卡牌消耗!$B$8:$F$8,AV8)/$Q$4/500,0)*500,"")</f>
        <v>6000</v>
      </c>
      <c r="BB8" s="14" t="str">
        <f>IF(AU8&gt;0,INDEX(挂机升级突破!$CV$5:$CZ$5,卡牌消耗!AU8),"")</f>
        <v>玄铁</v>
      </c>
      <c r="BC8" s="14">
        <f>IF(AU8&gt;0,ROUND(INDEX(挂机升级突破!$CV$7:$CY$26,卡牌消耗!AX8,卡牌消耗!AU8)*INDEX($B$6:$F$6,AV8)/$Q$4/5,0)*5,"")</f>
        <v>85</v>
      </c>
      <c r="BD8" s="104"/>
      <c r="BE8" s="104"/>
      <c r="BH8" s="153" t="s">
        <v>1402</v>
      </c>
      <c r="BI8" s="153">
        <v>40</v>
      </c>
      <c r="BJ8" s="153" t="e">
        <f>章节关卡!K8*节奏总表!#REF!*60</f>
        <v>#REF!</v>
      </c>
      <c r="BK8" s="153">
        <v>4</v>
      </c>
      <c r="BL8" s="153">
        <f>SUMIFS(章节关卡!$BC$5:$BC$304,章节关卡!$AY$5:$AY$304,"="&amp;卡牌消耗!BK8)</f>
        <v>18000</v>
      </c>
      <c r="BM8" s="153">
        <v>3</v>
      </c>
      <c r="BN8" s="153">
        <f>SUMIFS(章节关卡!$BK$5:$BK$304,章节关卡!$BG$5:$BG$304,"="&amp;卡牌消耗!BM8)</f>
        <v>31500</v>
      </c>
      <c r="BO8" s="153" t="e">
        <f t="shared" si="15"/>
        <v>#REF!</v>
      </c>
      <c r="BP8" s="153">
        <v>1</v>
      </c>
      <c r="BQ8" s="153" t="e">
        <f t="shared" si="16"/>
        <v>#REF!</v>
      </c>
      <c r="BR8" s="153">
        <v>3</v>
      </c>
      <c r="BU8" s="15"/>
      <c r="BV8" s="14">
        <f>SUM(BX5:BX14)</f>
        <v>55</v>
      </c>
      <c r="BW8" s="50">
        <v>4</v>
      </c>
      <c r="BX8" s="50">
        <v>4</v>
      </c>
      <c r="BY8" s="21">
        <f t="shared" si="17"/>
        <v>7.2727272727272724E-2</v>
      </c>
      <c r="BZ8" s="65">
        <f t="shared" si="18"/>
        <v>545</v>
      </c>
      <c r="CA8" s="50">
        <f>SUM(BZ$5:BZ8)</f>
        <v>1355</v>
      </c>
      <c r="CD8" s="136">
        <v>4</v>
      </c>
      <c r="CE8" s="14">
        <f t="shared" si="19"/>
        <v>1</v>
      </c>
      <c r="CF8" s="14">
        <f t="shared" si="0"/>
        <v>3</v>
      </c>
      <c r="CG8" s="14">
        <f t="shared" si="1"/>
        <v>1101001</v>
      </c>
      <c r="CH8" s="136" t="s">
        <v>1127</v>
      </c>
      <c r="CI8" s="14">
        <f t="shared" si="2"/>
        <v>4</v>
      </c>
      <c r="CJ8" s="14" t="str">
        <f t="shared" si="3"/>
        <v>常服曹焱兵-4星</v>
      </c>
      <c r="CK8" s="136" t="s">
        <v>1133</v>
      </c>
      <c r="CL8" s="14">
        <f t="shared" si="20"/>
        <v>20000</v>
      </c>
      <c r="CM8" s="14" t="str">
        <f t="shared" si="4"/>
        <v>常服曹焱兵碎片</v>
      </c>
      <c r="CN8" s="14">
        <f t="shared" si="21"/>
        <v>160</v>
      </c>
    </row>
    <row r="9" spans="1:92" ht="16.5" x14ac:dyDescent="0.2">
      <c r="I9" s="55">
        <v>5</v>
      </c>
      <c r="J9" s="55">
        <v>160</v>
      </c>
      <c r="K9" s="55">
        <v>240</v>
      </c>
      <c r="L9" s="55">
        <v>320</v>
      </c>
      <c r="M9" s="55">
        <v>320</v>
      </c>
      <c r="T9" s="139">
        <v>5</v>
      </c>
      <c r="U9" s="139">
        <f>ROUND(INDEX(挂机升级突破!$BN$6:$BN$57,卡牌消耗!$T9)*INDEX(卡牌消耗!$B$8:$F$8,卡牌消耗!U$2)/$Q$4/5,0)*5</f>
        <v>570</v>
      </c>
      <c r="V9" s="139">
        <f>ROUND(INDEX(挂机升级突破!$BN$6:$BN$57,卡牌消耗!$T9)*INDEX(卡牌消耗!$B$8:$F$8,卡牌消耗!V$2)/$Q$4/5,0)*5</f>
        <v>815</v>
      </c>
      <c r="W9" s="139">
        <f>ROUND(INDEX(挂机升级突破!$BN$6:$BN$57,卡牌消耗!$T9)*INDEX(卡牌消耗!$B$8:$F$8,卡牌消耗!W$2)/$Q$4/5,0)*5</f>
        <v>1220</v>
      </c>
      <c r="X9" s="139">
        <f>ROUND(INDEX(挂机升级突破!$BN$6:$BN$57,卡牌消耗!$T9)*INDEX(卡牌消耗!$B$8:$F$8,卡牌消耗!X$2)/$Q$4/5,0)*5</f>
        <v>1625</v>
      </c>
      <c r="AA9" s="104">
        <v>5</v>
      </c>
      <c r="AB9" s="14">
        <f t="shared" si="5"/>
        <v>1</v>
      </c>
      <c r="AC9" s="14">
        <f>INDEX(挂机升级突破!$BU$6:$BU$57,卡牌消耗!AI9)</f>
        <v>11</v>
      </c>
      <c r="AD9" s="14">
        <f>INDEX(挂机升级突破!BV$6:BV$57,卡牌消耗!$AI9)</f>
        <v>1</v>
      </c>
      <c r="AE9" s="14">
        <f>INDEX(挂机升级突破!BW$6:BW$57,卡牌消耗!$AI9)</f>
        <v>0</v>
      </c>
      <c r="AF9" s="14" t="str">
        <f t="shared" si="6"/>
        <v>关羽</v>
      </c>
      <c r="AG9" s="14">
        <f t="shared" si="7"/>
        <v>5</v>
      </c>
      <c r="AH9" s="14" t="str">
        <f t="shared" si="8"/>
        <v>关羽魂火-5</v>
      </c>
      <c r="AI9" s="14">
        <f t="shared" si="9"/>
        <v>5</v>
      </c>
      <c r="AJ9" s="14" t="str">
        <f>INDEX(挂机升级突破!$BX$4:$CH$4,INDEX(挂机升级突破!$BU$6:$BU$57,卡牌消耗!AI9))</f>
        <v>金币</v>
      </c>
      <c r="AK9" s="14">
        <f>ROUND(INDEX(挂机升级突破!$BN$6:$BN$57,卡牌消耗!AI9)*INDEX(卡牌消耗!$B$8:$F$8,AG9)/$Q$4/50,0)*50</f>
        <v>1650</v>
      </c>
      <c r="AL9" s="14" t="str">
        <f>IF(AD9&gt;0,INDEX(挂机升级突破!$BX$4:$CH$4,AD9),"")</f>
        <v>绿色基础材料</v>
      </c>
      <c r="AM9" s="14">
        <f>ROUND(INDEX(挂机升级突破!$BX$6:$CH$57,卡牌消耗!AI9,AD9)*INDEX(卡牌消耗!$B$5:$F$5,AG9)/$Q$4/5,0)*5</f>
        <v>7510</v>
      </c>
      <c r="AN9" s="14" t="str">
        <f>IF(AE9&gt;0,INDEX(挂机升级突破!$BX$4:$CH$4,AE9),"")</f>
        <v/>
      </c>
      <c r="AO9" s="14" t="str">
        <f>IF(AE9&gt;0,ROUND(INDEX(挂机升级突破!$BX$6:$CH$57,卡牌消耗!AI9,AE9)*INDEX(卡牌消耗!$B$7:$F$7,AG9)/$Q$4,0),"")</f>
        <v/>
      </c>
      <c r="AR9" s="104">
        <v>5</v>
      </c>
      <c r="AS9" s="14">
        <f t="shared" si="10"/>
        <v>1</v>
      </c>
      <c r="AT9" s="14">
        <f>INDEX(挂机升级突破!$CM$7:$CM$26,AX9)</f>
        <v>5</v>
      </c>
      <c r="AU9" s="14">
        <f>INDEX(挂机升级突破!$CN$7:$CN$26,AX9)</f>
        <v>1</v>
      </c>
      <c r="AV9" s="14">
        <f t="shared" si="11"/>
        <v>5</v>
      </c>
      <c r="AW9" s="14" t="str">
        <f t="shared" si="12"/>
        <v>关羽</v>
      </c>
      <c r="AX9" s="14">
        <f t="shared" si="13"/>
        <v>5</v>
      </c>
      <c r="AY9" s="14" t="str">
        <f t="shared" si="14"/>
        <v>关羽5突</v>
      </c>
      <c r="AZ9" s="14" t="str">
        <f>IF(AT9&gt;0,INDEX(挂机升级突破!$CV$5:$CZ$5,卡牌消耗!AT9),"")</f>
        <v>金币</v>
      </c>
      <c r="BA9" s="14">
        <f>IF(AT9&gt;0,ROUND(INDEX(挂机升级突破!$CZ$7:$CZ$26,卡牌消耗!AX9)*INDEX(卡牌消耗!$B$8:$F$8,AV9)/$Q$4/500,0)*500,"")</f>
        <v>6000</v>
      </c>
      <c r="BB9" s="14" t="str">
        <f>IF(AU9&gt;0,INDEX(挂机升级突破!$CV$5:$CZ$5,卡牌消耗!AU9),"")</f>
        <v>玄铁</v>
      </c>
      <c r="BC9" s="14">
        <f>IF(AU9&gt;0,ROUND(INDEX(挂机升级突破!$CV$7:$CY$26,卡牌消耗!AX9,卡牌消耗!AU9)*INDEX($B$6:$F$6,AV9)/$Q$4/5,0)*5,"")</f>
        <v>175</v>
      </c>
      <c r="BD9" s="104"/>
      <c r="BE9" s="104"/>
      <c r="BH9" s="153" t="s">
        <v>1403</v>
      </c>
      <c r="BI9" s="153">
        <v>50</v>
      </c>
      <c r="BJ9" s="153">
        <f>章节关卡!K9*节奏总表!N7*60</f>
        <v>48000</v>
      </c>
      <c r="BK9" s="153">
        <v>5</v>
      </c>
      <c r="BL9" s="153">
        <f>SUMIFS(章节关卡!$BC$5:$BC$304,章节关卡!$AY$5:$AY$304,"="&amp;卡牌消耗!BK9)</f>
        <v>20250</v>
      </c>
      <c r="BM9" s="153">
        <v>4</v>
      </c>
      <c r="BN9" s="153">
        <f>SUMIFS(章节关卡!$BK$5:$BK$304,章节关卡!$BG$5:$BG$304,"="&amp;卡牌消耗!BM9)</f>
        <v>36000</v>
      </c>
      <c r="BO9" s="153">
        <f t="shared" si="15"/>
        <v>104250</v>
      </c>
      <c r="BP9" s="153">
        <v>1</v>
      </c>
      <c r="BQ9" s="153">
        <f t="shared" si="16"/>
        <v>29785</v>
      </c>
      <c r="BR9" s="153">
        <v>3.5</v>
      </c>
      <c r="BU9" s="15"/>
      <c r="BV9" s="15"/>
      <c r="BW9" s="50">
        <v>5</v>
      </c>
      <c r="BX9" s="50">
        <v>5</v>
      </c>
      <c r="BY9" s="21">
        <f t="shared" si="17"/>
        <v>9.0909090909090912E-2</v>
      </c>
      <c r="BZ9" s="65">
        <f t="shared" si="18"/>
        <v>680</v>
      </c>
      <c r="CA9" s="50">
        <f>SUM(BZ$5:BZ9)</f>
        <v>2035</v>
      </c>
      <c r="CD9" s="136">
        <v>5</v>
      </c>
      <c r="CE9" s="14">
        <f t="shared" si="19"/>
        <v>1</v>
      </c>
      <c r="CF9" s="14">
        <f t="shared" si="0"/>
        <v>3</v>
      </c>
      <c r="CG9" s="14">
        <f t="shared" si="1"/>
        <v>1101001</v>
      </c>
      <c r="CH9" s="136" t="s">
        <v>1127</v>
      </c>
      <c r="CI9" s="14">
        <f t="shared" si="2"/>
        <v>5</v>
      </c>
      <c r="CJ9" s="14" t="str">
        <f t="shared" si="3"/>
        <v>常服曹焱兵-5星</v>
      </c>
      <c r="CK9" s="136" t="s">
        <v>1133</v>
      </c>
      <c r="CL9" s="14">
        <f t="shared" si="20"/>
        <v>40000</v>
      </c>
      <c r="CM9" s="14" t="str">
        <f t="shared" si="4"/>
        <v>常服曹焱兵碎片</v>
      </c>
      <c r="CN9" s="14">
        <f t="shared" si="21"/>
        <v>240</v>
      </c>
    </row>
    <row r="10" spans="1:92" ht="16.5" x14ac:dyDescent="0.2">
      <c r="T10" s="139">
        <v>6</v>
      </c>
      <c r="U10" s="139">
        <f>ROUND(INDEX(挂机升级突破!$BN$6:$BN$57,卡牌消耗!$T10)*INDEX(卡牌消耗!$B$8:$F$8,卡牌消耗!U$2)/$Q$4/5,0)*5</f>
        <v>690</v>
      </c>
      <c r="V10" s="139">
        <f>ROUND(INDEX(挂机升级突破!$BN$6:$BN$57,卡牌消耗!$T10)*INDEX(卡牌消耗!$B$8:$F$8,卡牌消耗!V$2)/$Q$4/5,0)*5</f>
        <v>990</v>
      </c>
      <c r="W10" s="139">
        <f>ROUND(INDEX(挂机升级突破!$BN$6:$BN$57,卡牌消耗!$T10)*INDEX(卡牌消耗!$B$8:$F$8,卡牌消耗!W$2)/$Q$4/5,0)*5</f>
        <v>1485</v>
      </c>
      <c r="X10" s="139">
        <f>ROUND(INDEX(挂机升级突破!$BN$6:$BN$57,卡牌消耗!$T10)*INDEX(卡牌消耗!$B$8:$F$8,卡牌消耗!X$2)/$Q$4/5,0)*5</f>
        <v>1980</v>
      </c>
      <c r="AA10" s="104">
        <v>6</v>
      </c>
      <c r="AB10" s="14">
        <f t="shared" si="5"/>
        <v>1</v>
      </c>
      <c r="AC10" s="14">
        <f>INDEX(挂机升级突破!$BU$6:$BU$57,卡牌消耗!AI10)</f>
        <v>11</v>
      </c>
      <c r="AD10" s="14">
        <f>INDEX(挂机升级突破!BV$6:BV$57,卡牌消耗!$AI10)</f>
        <v>2</v>
      </c>
      <c r="AE10" s="14">
        <f>INDEX(挂机升级突破!BW$6:BW$57,卡牌消耗!$AI10)</f>
        <v>0</v>
      </c>
      <c r="AF10" s="14" t="str">
        <f t="shared" si="6"/>
        <v>关羽</v>
      </c>
      <c r="AG10" s="14">
        <f t="shared" si="7"/>
        <v>5</v>
      </c>
      <c r="AH10" s="14" t="str">
        <f t="shared" si="8"/>
        <v>关羽魂火-6</v>
      </c>
      <c r="AI10" s="14">
        <f t="shared" si="9"/>
        <v>6</v>
      </c>
      <c r="AJ10" s="14" t="str">
        <f>INDEX(挂机升级突破!$BX$4:$CH$4,INDEX(挂机升级突破!$BU$6:$BU$57,卡牌消耗!AI10))</f>
        <v>金币</v>
      </c>
      <c r="AK10" s="14">
        <f>ROUND(INDEX(挂机升级突破!$BN$6:$BN$57,卡牌消耗!AI10)*INDEX(卡牌消耗!$B$8:$F$8,AG10)/$Q$4/50,0)*50</f>
        <v>2000</v>
      </c>
      <c r="AL10" s="14" t="str">
        <f>IF(AD10&gt;0,INDEX(挂机升级突破!$BX$4:$CH$4,AD10),"")</f>
        <v>蓝色基础材料</v>
      </c>
      <c r="AM10" s="14">
        <f>ROUND(INDEX(挂机升级突破!$BX$6:$CH$57,卡牌消耗!AI10,AD10)*INDEX(卡牌消耗!$B$5:$F$5,AG10)/$Q$4/5,0)*5</f>
        <v>720</v>
      </c>
      <c r="AN10" s="14" t="str">
        <f>IF(AE10&gt;0,INDEX(挂机升级突破!$BX$4:$CH$4,AE10),"")</f>
        <v/>
      </c>
      <c r="AO10" s="14" t="str">
        <f>IF(AE10&gt;0,ROUND(INDEX(挂机升级突破!$BX$6:$CH$57,卡牌消耗!AI10,AE10)*INDEX(卡牌消耗!$B$7:$F$7,AG10)/$Q$4,0),"")</f>
        <v/>
      </c>
      <c r="AR10" s="104">
        <v>6</v>
      </c>
      <c r="AS10" s="14">
        <f t="shared" si="10"/>
        <v>1</v>
      </c>
      <c r="AT10" s="14">
        <f>INDEX(挂机升级突破!$CM$7:$CM$26,AX10)</f>
        <v>5</v>
      </c>
      <c r="AU10" s="14">
        <f>INDEX(挂机升级突破!$CN$7:$CN$26,AX10)</f>
        <v>1</v>
      </c>
      <c r="AV10" s="14">
        <f t="shared" si="11"/>
        <v>5</v>
      </c>
      <c r="AW10" s="14" t="str">
        <f t="shared" si="12"/>
        <v>关羽</v>
      </c>
      <c r="AX10" s="14">
        <f t="shared" si="13"/>
        <v>6</v>
      </c>
      <c r="AY10" s="14" t="str">
        <f t="shared" si="14"/>
        <v>关羽6突</v>
      </c>
      <c r="AZ10" s="14" t="str">
        <f>IF(AT10&gt;0,INDEX(挂机升级突破!$CV$5:$CZ$5,卡牌消耗!AT10),"")</f>
        <v>金币</v>
      </c>
      <c r="BA10" s="14">
        <f>IF(AT10&gt;0,ROUND(INDEX(挂机升级突破!$CZ$7:$CZ$26,卡牌消耗!AX10)*INDEX(卡牌消耗!$B$8:$F$8,AV10)/$Q$4/500,0)*500,"")</f>
        <v>8000</v>
      </c>
      <c r="BB10" s="14" t="str">
        <f>IF(AU10&gt;0,INDEX(挂机升级突破!$CV$5:$CZ$5,卡牌消耗!AU10),"")</f>
        <v>玄铁</v>
      </c>
      <c r="BC10" s="14">
        <f>IF(AU10&gt;0,ROUND(INDEX(挂机升级突破!$CV$7:$CY$26,卡牌消耗!AX10,卡牌消耗!AU10)*INDEX($B$6:$F$6,AV10)/$Q$4/5,0)*5,"")</f>
        <v>260</v>
      </c>
      <c r="BD10" s="104"/>
      <c r="BE10" s="104"/>
      <c r="BH10" s="153" t="s">
        <v>1404</v>
      </c>
      <c r="BI10" s="153">
        <v>60</v>
      </c>
      <c r="BJ10" s="153">
        <f>章节关卡!K10*节奏总表!N9*60</f>
        <v>64800</v>
      </c>
      <c r="BK10" s="153">
        <v>6</v>
      </c>
      <c r="BL10" s="153">
        <f>SUMIFS(章节关卡!$BC$5:$BC$304,章节关卡!$AY$5:$AY$304,"="&amp;卡牌消耗!BK10)</f>
        <v>22500</v>
      </c>
      <c r="BM10" s="153">
        <v>5</v>
      </c>
      <c r="BN10" s="153">
        <f>SUMIFS(章节关卡!$BK$5:$BK$304,章节关卡!$BG$5:$BG$304,"="&amp;卡牌消耗!BM10)</f>
        <v>40500</v>
      </c>
      <c r="BO10" s="153">
        <f t="shared" si="15"/>
        <v>127800</v>
      </c>
      <c r="BP10" s="153">
        <v>1</v>
      </c>
      <c r="BQ10" s="153">
        <f t="shared" si="16"/>
        <v>31950</v>
      </c>
      <c r="BR10" s="153">
        <v>4</v>
      </c>
      <c r="BU10" s="15"/>
      <c r="BV10" s="15"/>
      <c r="BW10" s="50">
        <v>6</v>
      </c>
      <c r="BX10" s="50">
        <v>6</v>
      </c>
      <c r="BY10" s="21">
        <f t="shared" si="17"/>
        <v>0.10909090909090909</v>
      </c>
      <c r="BZ10" s="65">
        <f t="shared" si="18"/>
        <v>815</v>
      </c>
      <c r="CA10" s="50">
        <f>SUM(BZ$5:BZ10)</f>
        <v>2850</v>
      </c>
      <c r="CD10" s="136">
        <v>6</v>
      </c>
      <c r="CE10" s="14">
        <f t="shared" si="19"/>
        <v>2</v>
      </c>
      <c r="CF10" s="14">
        <f t="shared" si="0"/>
        <v>2</v>
      </c>
      <c r="CG10" s="14">
        <f t="shared" si="1"/>
        <v>1101002</v>
      </c>
      <c r="CH10" s="136" t="s">
        <v>1127</v>
      </c>
      <c r="CI10" s="14">
        <f t="shared" si="2"/>
        <v>1</v>
      </c>
      <c r="CJ10" s="14" t="str">
        <f t="shared" si="3"/>
        <v>曹玄亮-1星</v>
      </c>
      <c r="CK10" s="136" t="s">
        <v>1133</v>
      </c>
      <c r="CL10" s="14">
        <f t="shared" si="20"/>
        <v>3000</v>
      </c>
      <c r="CM10" s="14" t="str">
        <f t="shared" si="4"/>
        <v>曹玄亮碎片</v>
      </c>
      <c r="CN10" s="14">
        <f t="shared" si="21"/>
        <v>20</v>
      </c>
    </row>
    <row r="11" spans="1:92" ht="16.5" customHeight="1" x14ac:dyDescent="0.2">
      <c r="A11" s="33" t="s">
        <v>181</v>
      </c>
      <c r="B11">
        <v>20</v>
      </c>
      <c r="C11">
        <v>30</v>
      </c>
      <c r="D11">
        <v>45</v>
      </c>
      <c r="I11" s="186" t="s">
        <v>403</v>
      </c>
      <c r="J11" s="186"/>
      <c r="K11" s="186"/>
      <c r="L11" s="186"/>
      <c r="M11" s="186"/>
      <c r="N11" s="186"/>
      <c r="T11" s="139">
        <v>7</v>
      </c>
      <c r="U11" s="139">
        <f>ROUND(INDEX(挂机升级突破!$BN$6:$BN$57,卡牌消耗!$T11)*INDEX(卡牌消耗!$B$8:$F$8,卡牌消耗!U$2)/$Q$4/5,0)*5</f>
        <v>690</v>
      </c>
      <c r="V11" s="139">
        <f>ROUND(INDEX(挂机升级突破!$BN$6:$BN$57,卡牌消耗!$T11)*INDEX(卡牌消耗!$B$8:$F$8,卡牌消耗!V$2)/$Q$4/5,0)*5</f>
        <v>990</v>
      </c>
      <c r="W11" s="139">
        <f>ROUND(INDEX(挂机升级突破!$BN$6:$BN$57,卡牌消耗!$T11)*INDEX(卡牌消耗!$B$8:$F$8,卡牌消耗!W$2)/$Q$4/5,0)*5</f>
        <v>1485</v>
      </c>
      <c r="X11" s="139">
        <f>ROUND(INDEX(挂机升级突破!$BN$6:$BN$57,卡牌消耗!$T11)*INDEX(卡牌消耗!$B$8:$F$8,卡牌消耗!X$2)/$Q$4/5,0)*5</f>
        <v>1980</v>
      </c>
      <c r="AA11" s="104">
        <v>7</v>
      </c>
      <c r="AB11" s="14">
        <f t="shared" si="5"/>
        <v>1</v>
      </c>
      <c r="AC11" s="14">
        <f>INDEX(挂机升级突破!$BU$6:$BU$57,卡牌消耗!AI11)</f>
        <v>11</v>
      </c>
      <c r="AD11" s="14">
        <f>INDEX(挂机升级突破!BV$6:BV$57,卡牌消耗!$AI11)</f>
        <v>2</v>
      </c>
      <c r="AE11" s="14">
        <f>INDEX(挂机升级突破!BW$6:BW$57,卡牌消耗!$AI11)</f>
        <v>0</v>
      </c>
      <c r="AF11" s="14" t="str">
        <f t="shared" si="6"/>
        <v>关羽</v>
      </c>
      <c r="AG11" s="14">
        <f t="shared" si="7"/>
        <v>5</v>
      </c>
      <c r="AH11" s="14" t="str">
        <f t="shared" si="8"/>
        <v>关羽魂火-7</v>
      </c>
      <c r="AI11" s="14">
        <f t="shared" si="9"/>
        <v>7</v>
      </c>
      <c r="AJ11" s="14" t="str">
        <f>INDEX(挂机升级突破!$BX$4:$CH$4,INDEX(挂机升级突破!$BU$6:$BU$57,卡牌消耗!AI11))</f>
        <v>金币</v>
      </c>
      <c r="AK11" s="14">
        <f>ROUND(INDEX(挂机升级突破!$BN$6:$BN$57,卡牌消耗!AI11)*INDEX(卡牌消耗!$B$8:$F$8,AG11)/$Q$4/50,0)*50</f>
        <v>2000</v>
      </c>
      <c r="AL11" s="14" t="str">
        <f>IF(AD11&gt;0,INDEX(挂机升级突破!$BX$4:$CH$4,AD11),"")</f>
        <v>蓝色基础材料</v>
      </c>
      <c r="AM11" s="14">
        <f>ROUND(INDEX(挂机升级突破!$BX$6:$CH$57,卡牌消耗!AI11,AD11)*INDEX(卡牌消耗!$B$5:$F$5,AG11)/$Q$4/5,0)*5</f>
        <v>720</v>
      </c>
      <c r="AN11" s="14" t="str">
        <f>IF(AE11&gt;0,INDEX(挂机升级突破!$BX$4:$CH$4,AE11),"")</f>
        <v/>
      </c>
      <c r="AO11" s="14" t="str">
        <f>IF(AE11&gt;0,ROUND(INDEX(挂机升级突破!$BX$6:$CH$57,卡牌消耗!AI11,AE11)*INDEX(卡牌消耗!$B$7:$F$7,AG11)/$Q$4,0),"")</f>
        <v/>
      </c>
      <c r="AR11" s="104">
        <v>7</v>
      </c>
      <c r="AS11" s="14">
        <f t="shared" si="10"/>
        <v>1</v>
      </c>
      <c r="AT11" s="14">
        <f>INDEX(挂机升级突破!$CM$7:$CM$26,AX11)</f>
        <v>5</v>
      </c>
      <c r="AU11" s="14">
        <f>INDEX(挂机升级突破!$CN$7:$CN$26,AX11)</f>
        <v>1</v>
      </c>
      <c r="AV11" s="14">
        <f t="shared" si="11"/>
        <v>5</v>
      </c>
      <c r="AW11" s="14" t="str">
        <f t="shared" si="12"/>
        <v>关羽</v>
      </c>
      <c r="AX11" s="14">
        <f t="shared" si="13"/>
        <v>7</v>
      </c>
      <c r="AY11" s="14" t="str">
        <f t="shared" si="14"/>
        <v>关羽7突</v>
      </c>
      <c r="AZ11" s="14" t="str">
        <f>IF(AT11&gt;0,INDEX(挂机升级突破!$CV$5:$CZ$5,卡牌消耗!AT11),"")</f>
        <v>金币</v>
      </c>
      <c r="BA11" s="14">
        <f>IF(AT11&gt;0,ROUND(INDEX(挂机升级突破!$CZ$7:$CZ$26,卡牌消耗!AX11)*INDEX(卡牌消耗!$B$8:$F$8,AV11)/$Q$4/500,0)*500,"")</f>
        <v>12500</v>
      </c>
      <c r="BB11" s="14" t="str">
        <f>IF(AU11&gt;0,INDEX(挂机升级突破!$CV$5:$CZ$5,卡牌消耗!AU11),"")</f>
        <v>玄铁</v>
      </c>
      <c r="BC11" s="14">
        <f>IF(AU11&gt;0,ROUND(INDEX(挂机升级突破!$CV$7:$CY$26,卡牌消耗!AX11,卡牌消耗!AU11)*INDEX($B$6:$F$6,AV11)/$Q$4/5,0)*5,"")</f>
        <v>435</v>
      </c>
      <c r="BD11" s="104"/>
      <c r="BE11" s="104"/>
      <c r="BH11" s="153" t="s">
        <v>1405</v>
      </c>
      <c r="BI11" s="153">
        <v>70</v>
      </c>
      <c r="BJ11" s="153">
        <f>章节关卡!K11*节奏总表!N10*60</f>
        <v>78000</v>
      </c>
      <c r="BK11" s="153">
        <v>7</v>
      </c>
      <c r="BL11" s="153">
        <f>SUMIFS(章节关卡!$BC$5:$BC$304,章节关卡!$AY$5:$AY$304,"="&amp;卡牌消耗!BK11)</f>
        <v>27000</v>
      </c>
      <c r="BM11" s="153">
        <v>6</v>
      </c>
      <c r="BN11" s="153">
        <f>SUMIFS(章节关卡!$BK$5:$BK$304,章节关卡!$BG$5:$BG$304,"="&amp;卡牌消耗!BM11)</f>
        <v>45000</v>
      </c>
      <c r="BO11" s="153">
        <f t="shared" si="15"/>
        <v>150000</v>
      </c>
      <c r="BP11" s="153">
        <v>1</v>
      </c>
      <c r="BQ11" s="153">
        <f t="shared" si="16"/>
        <v>33333</v>
      </c>
      <c r="BR11" s="153">
        <v>4.5</v>
      </c>
      <c r="BU11" s="15"/>
      <c r="BV11" s="15"/>
      <c r="BW11" s="50">
        <v>7</v>
      </c>
      <c r="BX11" s="50">
        <v>7</v>
      </c>
      <c r="BY11" s="21">
        <f t="shared" si="17"/>
        <v>0.12727272727272726</v>
      </c>
      <c r="BZ11" s="65">
        <f t="shared" si="18"/>
        <v>950</v>
      </c>
      <c r="CA11" s="50">
        <f>SUM(BZ$5:BZ11)</f>
        <v>3800</v>
      </c>
      <c r="CD11" s="136">
        <v>7</v>
      </c>
      <c r="CE11" s="14">
        <f t="shared" si="19"/>
        <v>2</v>
      </c>
      <c r="CF11" s="14">
        <f t="shared" si="0"/>
        <v>2</v>
      </c>
      <c r="CG11" s="14">
        <f t="shared" si="1"/>
        <v>1101002</v>
      </c>
      <c r="CH11" s="136" t="s">
        <v>1127</v>
      </c>
      <c r="CI11" s="14">
        <f t="shared" si="2"/>
        <v>2</v>
      </c>
      <c r="CJ11" s="14" t="str">
        <f t="shared" si="3"/>
        <v>曹玄亮-2星</v>
      </c>
      <c r="CK11" s="136" t="s">
        <v>1133</v>
      </c>
      <c r="CL11" s="14">
        <f t="shared" si="20"/>
        <v>3500</v>
      </c>
      <c r="CM11" s="14" t="str">
        <f t="shared" si="4"/>
        <v>曹玄亮碎片</v>
      </c>
      <c r="CN11" s="14">
        <f t="shared" si="21"/>
        <v>40</v>
      </c>
    </row>
    <row r="12" spans="1:92" ht="17.25" x14ac:dyDescent="0.2">
      <c r="A12" s="12" t="s">
        <v>176</v>
      </c>
      <c r="B12" s="12" t="s">
        <v>177</v>
      </c>
      <c r="C12" s="12" t="s">
        <v>178</v>
      </c>
      <c r="D12" s="12" t="s">
        <v>179</v>
      </c>
      <c r="E12" s="12" t="s">
        <v>180</v>
      </c>
      <c r="F12" s="12" t="s">
        <v>229</v>
      </c>
      <c r="G12" s="15"/>
      <c r="I12" s="12" t="s">
        <v>384</v>
      </c>
      <c r="J12" s="23" t="s">
        <v>1104</v>
      </c>
      <c r="K12" s="12" t="s">
        <v>171</v>
      </c>
      <c r="L12" s="12" t="s">
        <v>172</v>
      </c>
      <c r="M12" s="12" t="s">
        <v>173</v>
      </c>
      <c r="N12" s="12" t="s">
        <v>383</v>
      </c>
      <c r="T12" s="139">
        <v>8</v>
      </c>
      <c r="U12" s="139">
        <f>ROUND(INDEX(挂机升级突破!$BN$6:$BN$57,卡牌消耗!$T12)*INDEX(卡牌消耗!$B$8:$F$8,卡牌消耗!U$2)/$Q$4/5,0)*5</f>
        <v>1040</v>
      </c>
      <c r="V12" s="139">
        <f>ROUND(INDEX(挂机升级突破!$BN$6:$BN$57,卡牌消耗!$T12)*INDEX(卡牌消耗!$B$8:$F$8,卡牌消耗!V$2)/$Q$4/5,0)*5</f>
        <v>1485</v>
      </c>
      <c r="W12" s="139">
        <f>ROUND(INDEX(挂机升级突破!$BN$6:$BN$57,卡牌消耗!$T12)*INDEX(卡牌消耗!$B$8:$F$8,卡牌消耗!W$2)/$Q$4/5,0)*5</f>
        <v>2225</v>
      </c>
      <c r="X12" s="139">
        <f>ROUND(INDEX(挂机升级突破!$BN$6:$BN$57,卡牌消耗!$T12)*INDEX(卡牌消耗!$B$8:$F$8,卡牌消耗!X$2)/$Q$4/5,0)*5</f>
        <v>2965</v>
      </c>
      <c r="AA12" s="104">
        <v>8</v>
      </c>
      <c r="AB12" s="14">
        <f t="shared" si="5"/>
        <v>1</v>
      </c>
      <c r="AC12" s="14">
        <f>INDEX(挂机升级突破!$BU$6:$BU$57,卡牌消耗!AI12)</f>
        <v>11</v>
      </c>
      <c r="AD12" s="14">
        <f>INDEX(挂机升级突破!BV$6:BV$57,卡牌消耗!$AI12)</f>
        <v>2</v>
      </c>
      <c r="AE12" s="14">
        <f>INDEX(挂机升级突破!BW$6:BW$57,卡牌消耗!$AI12)</f>
        <v>0</v>
      </c>
      <c r="AF12" s="14" t="str">
        <f t="shared" si="6"/>
        <v>关羽</v>
      </c>
      <c r="AG12" s="14">
        <f t="shared" si="7"/>
        <v>5</v>
      </c>
      <c r="AH12" s="14" t="str">
        <f t="shared" si="8"/>
        <v>关羽魂火-8</v>
      </c>
      <c r="AI12" s="14">
        <f t="shared" si="9"/>
        <v>8</v>
      </c>
      <c r="AJ12" s="14" t="str">
        <f>INDEX(挂机升级突破!$BX$4:$CH$4,INDEX(挂机升级突破!$BU$6:$BU$57,卡牌消耗!AI12))</f>
        <v>金币</v>
      </c>
      <c r="AK12" s="14">
        <f>ROUND(INDEX(挂机升级突破!$BN$6:$BN$57,卡牌消耗!AI12)*INDEX(卡牌消耗!$B$8:$F$8,AG12)/$Q$4/50,0)*50</f>
        <v>2950</v>
      </c>
      <c r="AL12" s="14" t="str">
        <f>IF(AD12&gt;0,INDEX(挂机升级突破!$BX$4:$CH$4,AD12),"")</f>
        <v>蓝色基础材料</v>
      </c>
      <c r="AM12" s="14">
        <f>ROUND(INDEX(挂机升级突破!$BX$6:$CH$57,卡牌消耗!AI12,AD12)*INDEX(卡牌消耗!$B$5:$F$5,AG12)/$Q$4/5,0)*5</f>
        <v>1440</v>
      </c>
      <c r="AN12" s="14" t="str">
        <f>IF(AE12&gt;0,INDEX(挂机升级突破!$BX$4:$CH$4,AE12),"")</f>
        <v/>
      </c>
      <c r="AO12" s="14" t="str">
        <f>IF(AE12&gt;0,ROUND(INDEX(挂机升级突破!$BX$6:$CH$57,卡牌消耗!AI12,AE12)*INDEX(卡牌消耗!$B$7:$F$7,AG12)/$Q$4,0),"")</f>
        <v/>
      </c>
      <c r="AR12" s="104">
        <v>8</v>
      </c>
      <c r="AS12" s="14">
        <f t="shared" si="10"/>
        <v>1</v>
      </c>
      <c r="AT12" s="14">
        <f>INDEX(挂机升级突破!$CM$7:$CM$26,AX12)</f>
        <v>5</v>
      </c>
      <c r="AU12" s="14">
        <f>INDEX(挂机升级突破!$CN$7:$CN$26,AX12)</f>
        <v>1</v>
      </c>
      <c r="AV12" s="14">
        <f t="shared" si="11"/>
        <v>5</v>
      </c>
      <c r="AW12" s="14" t="str">
        <f t="shared" si="12"/>
        <v>关羽</v>
      </c>
      <c r="AX12" s="14">
        <f t="shared" si="13"/>
        <v>8</v>
      </c>
      <c r="AY12" s="14" t="str">
        <f t="shared" si="14"/>
        <v>关羽8突</v>
      </c>
      <c r="AZ12" s="14" t="str">
        <f>IF(AT12&gt;0,INDEX(挂机升级突破!$CV$5:$CZ$5,卡牌消耗!AT12),"")</f>
        <v>金币</v>
      </c>
      <c r="BA12" s="14">
        <f>IF(AT12&gt;0,ROUND(INDEX(挂机升级突破!$CZ$7:$CZ$26,卡牌消耗!AX12)*INDEX(卡牌消耗!$B$8:$F$8,AV12)/$Q$4/500,0)*500,"")</f>
        <v>12500</v>
      </c>
      <c r="BB12" s="14" t="str">
        <f>IF(AU12&gt;0,INDEX(挂机升级突破!$CV$5:$CZ$5,卡牌消耗!AU12),"")</f>
        <v>玄铁</v>
      </c>
      <c r="BC12" s="14">
        <f>IF(AU12&gt;0,ROUND(INDEX(挂机升级突破!$CV$7:$CY$26,卡牌消耗!AX12,卡牌消耗!AU12)*INDEX($B$6:$F$6,AV12)/$Q$4/5,0)*5,"")</f>
        <v>780</v>
      </c>
      <c r="BD12" s="104"/>
      <c r="BE12" s="104"/>
      <c r="BH12" s="153" t="s">
        <v>1406</v>
      </c>
      <c r="BI12" s="153">
        <v>80</v>
      </c>
      <c r="BJ12" s="153">
        <f>章节关卡!K12*节奏总表!N11*60</f>
        <v>100800</v>
      </c>
      <c r="BK12" s="153">
        <v>8</v>
      </c>
      <c r="BL12" s="153">
        <f>SUMIFS(章节关卡!$BC$5:$BC$304,章节关卡!$AY$5:$AY$304,"="&amp;卡牌消耗!BK12)</f>
        <v>31500</v>
      </c>
      <c r="BM12" s="153">
        <v>7</v>
      </c>
      <c r="BN12" s="153">
        <f>SUMIFS(章节关卡!$BK$5:$BK$304,章节关卡!$BG$5:$BG$304,"="&amp;卡牌消耗!BM12)</f>
        <v>54000</v>
      </c>
      <c r="BO12" s="153">
        <f t="shared" si="15"/>
        <v>186300</v>
      </c>
      <c r="BP12" s="153">
        <v>1</v>
      </c>
      <c r="BQ12" s="153">
        <f t="shared" si="16"/>
        <v>37260</v>
      </c>
      <c r="BR12" s="153">
        <v>5</v>
      </c>
      <c r="BU12" s="15"/>
      <c r="BV12" s="15"/>
      <c r="BW12" s="50">
        <v>8</v>
      </c>
      <c r="BX12" s="50">
        <v>8</v>
      </c>
      <c r="BY12" s="21">
        <f t="shared" si="17"/>
        <v>0.14545454545454545</v>
      </c>
      <c r="BZ12" s="65">
        <f t="shared" si="18"/>
        <v>1090</v>
      </c>
      <c r="CA12" s="50">
        <f>SUM(BZ$5:BZ12)</f>
        <v>4890</v>
      </c>
      <c r="CD12" s="136">
        <v>8</v>
      </c>
      <c r="CE12" s="14">
        <f t="shared" si="19"/>
        <v>2</v>
      </c>
      <c r="CF12" s="14">
        <f t="shared" si="0"/>
        <v>2</v>
      </c>
      <c r="CG12" s="14">
        <f t="shared" si="1"/>
        <v>1101002</v>
      </c>
      <c r="CH12" s="136" t="s">
        <v>1127</v>
      </c>
      <c r="CI12" s="14">
        <f t="shared" si="2"/>
        <v>3</v>
      </c>
      <c r="CJ12" s="14" t="str">
        <f t="shared" si="3"/>
        <v>曹玄亮-3星</v>
      </c>
      <c r="CK12" s="136" t="s">
        <v>1133</v>
      </c>
      <c r="CL12" s="14">
        <f t="shared" si="20"/>
        <v>7000</v>
      </c>
      <c r="CM12" s="14" t="str">
        <f t="shared" si="4"/>
        <v>曹玄亮碎片</v>
      </c>
      <c r="CN12" s="14">
        <f t="shared" si="21"/>
        <v>80</v>
      </c>
    </row>
    <row r="13" spans="1:92" ht="16.5" x14ac:dyDescent="0.2">
      <c r="A13" s="14">
        <v>1102001</v>
      </c>
      <c r="B13" s="14" t="s">
        <v>182</v>
      </c>
      <c r="C13" s="14">
        <v>5</v>
      </c>
      <c r="D13" s="14">
        <v>80</v>
      </c>
      <c r="E13" s="14">
        <v>3</v>
      </c>
      <c r="F13" s="38">
        <f>A13+400000</f>
        <v>1502001</v>
      </c>
      <c r="G13" s="15"/>
      <c r="I13" s="55">
        <v>1</v>
      </c>
      <c r="J13" s="136">
        <f>金币总表!AP5+金币总表!AP6</f>
        <v>72160</v>
      </c>
      <c r="K13" s="55">
        <f>INT($J13*B$8/$Q$5)</f>
        <v>2405</v>
      </c>
      <c r="L13" s="139">
        <f t="shared" ref="L13:N13" si="22">INT($J13*C$8/$Q$5)</f>
        <v>3367</v>
      </c>
      <c r="M13" s="139">
        <f t="shared" si="22"/>
        <v>4810</v>
      </c>
      <c r="N13" s="139">
        <f t="shared" si="22"/>
        <v>7216</v>
      </c>
      <c r="T13" s="139">
        <v>9</v>
      </c>
      <c r="U13" s="139">
        <f>ROUND(INDEX(挂机升级突破!$BN$6:$BN$57,卡牌消耗!$T13)*INDEX(卡牌消耗!$B$8:$F$8,卡牌消耗!U$2)/$Q$4/5,0)*5</f>
        <v>1040</v>
      </c>
      <c r="V13" s="139">
        <f>ROUND(INDEX(挂机升级突破!$BN$6:$BN$57,卡牌消耗!$T13)*INDEX(卡牌消耗!$B$8:$F$8,卡牌消耗!V$2)/$Q$4/5,0)*5</f>
        <v>1485</v>
      </c>
      <c r="W13" s="139">
        <f>ROUND(INDEX(挂机升级突破!$BN$6:$BN$57,卡牌消耗!$T13)*INDEX(卡牌消耗!$B$8:$F$8,卡牌消耗!W$2)/$Q$4/5,0)*5</f>
        <v>2225</v>
      </c>
      <c r="X13" s="139">
        <f>ROUND(INDEX(挂机升级突破!$BN$6:$BN$57,卡牌消耗!$T13)*INDEX(卡牌消耗!$B$8:$F$8,卡牌消耗!X$2)/$Q$4/5,0)*5</f>
        <v>2965</v>
      </c>
      <c r="AA13" s="104">
        <v>9</v>
      </c>
      <c r="AB13" s="14">
        <f t="shared" si="5"/>
        <v>1</v>
      </c>
      <c r="AC13" s="14">
        <f>INDEX(挂机升级突破!$BU$6:$BU$57,卡牌消耗!AI13)</f>
        <v>11</v>
      </c>
      <c r="AD13" s="14">
        <f>INDEX(挂机升级突破!BV$6:BV$57,卡牌消耗!$AI13)</f>
        <v>2</v>
      </c>
      <c r="AE13" s="14">
        <f>INDEX(挂机升级突破!BW$6:BW$57,卡牌消耗!$AI13)</f>
        <v>0</v>
      </c>
      <c r="AF13" s="14" t="str">
        <f t="shared" si="6"/>
        <v>关羽</v>
      </c>
      <c r="AG13" s="14">
        <f t="shared" si="7"/>
        <v>5</v>
      </c>
      <c r="AH13" s="14" t="str">
        <f t="shared" si="8"/>
        <v>关羽魂火-9</v>
      </c>
      <c r="AI13" s="14">
        <f t="shared" si="9"/>
        <v>9</v>
      </c>
      <c r="AJ13" s="14" t="str">
        <f>INDEX(挂机升级突破!$BX$4:$CH$4,INDEX(挂机升级突破!$BU$6:$BU$57,卡牌消耗!AI13))</f>
        <v>金币</v>
      </c>
      <c r="AK13" s="14">
        <f>ROUND(INDEX(挂机升级突破!$BN$6:$BN$57,卡牌消耗!AI13)*INDEX(卡牌消耗!$B$8:$F$8,AG13)/$Q$4/50,0)*50</f>
        <v>2950</v>
      </c>
      <c r="AL13" s="14" t="str">
        <f>IF(AD13&gt;0,INDEX(挂机升级突破!$BX$4:$CH$4,AD13),"")</f>
        <v>蓝色基础材料</v>
      </c>
      <c r="AM13" s="14">
        <f>ROUND(INDEX(挂机升级突破!$BX$6:$CH$57,卡牌消耗!AI13,AD13)*INDEX(卡牌消耗!$B$5:$F$5,AG13)/$Q$4/5,0)*5</f>
        <v>1440</v>
      </c>
      <c r="AN13" s="14" t="str">
        <f>IF(AE13&gt;0,INDEX(挂机升级突破!$BX$4:$CH$4,AE13),"")</f>
        <v/>
      </c>
      <c r="AO13" s="14" t="str">
        <f>IF(AE13&gt;0,ROUND(INDEX(挂机升级突破!$BX$6:$CH$57,卡牌消耗!AI13,AE13)*INDEX(卡牌消耗!$B$7:$F$7,AG13)/$Q$4,0),"")</f>
        <v/>
      </c>
      <c r="AR13" s="104">
        <v>9</v>
      </c>
      <c r="AS13" s="14">
        <f t="shared" si="10"/>
        <v>1</v>
      </c>
      <c r="AT13" s="14">
        <f>INDEX(挂机升级突破!$CM$7:$CM$26,AX13)</f>
        <v>5</v>
      </c>
      <c r="AU13" s="14">
        <f>INDEX(挂机升级突破!$CN$7:$CN$26,AX13)</f>
        <v>2</v>
      </c>
      <c r="AV13" s="14">
        <f t="shared" si="11"/>
        <v>5</v>
      </c>
      <c r="AW13" s="14" t="str">
        <f t="shared" si="12"/>
        <v>关羽</v>
      </c>
      <c r="AX13" s="14">
        <f t="shared" si="13"/>
        <v>9</v>
      </c>
      <c r="AY13" s="14" t="str">
        <f t="shared" si="14"/>
        <v>关羽9突</v>
      </c>
      <c r="AZ13" s="14" t="str">
        <f>IF(AT13&gt;0,INDEX(挂机升级突破!$CV$5:$CZ$5,卡牌消耗!AT13),"")</f>
        <v>金币</v>
      </c>
      <c r="BA13" s="14">
        <f>IF(AT13&gt;0,ROUND(INDEX(挂机升级突破!$CZ$7:$CZ$26,卡牌消耗!AX13)*INDEX(卡牌消耗!$B$8:$F$8,AV13)/$Q$4/500,0)*500,"")</f>
        <v>17000</v>
      </c>
      <c r="BB13" s="14" t="str">
        <f>IF(AU13&gt;0,INDEX(挂机升级突破!$CV$5:$CZ$5,卡牌消耗!AU13),"")</f>
        <v>乌金</v>
      </c>
      <c r="BC13" s="14">
        <f>IF(AU13&gt;0,ROUND(INDEX(挂机升级突破!$CV$7:$CY$26,卡牌消耗!AX13,卡牌消耗!AU13)*INDEX($B$6:$F$6,AV13)/$Q$4/5,0)*5,"")</f>
        <v>95</v>
      </c>
      <c r="BD13" s="104"/>
      <c r="BE13" s="104"/>
      <c r="BH13" s="153" t="s">
        <v>1407</v>
      </c>
      <c r="BI13" s="153">
        <v>90</v>
      </c>
      <c r="BJ13" s="153">
        <f>章节关卡!K13*节奏总表!N12*60</f>
        <v>126000</v>
      </c>
      <c r="BK13" s="153">
        <v>9</v>
      </c>
      <c r="BL13" s="153">
        <f>SUMIFS(章节关卡!$BC$5:$BC$304,章节关卡!$AY$5:$AY$304,"="&amp;卡牌消耗!BK13)</f>
        <v>36000</v>
      </c>
      <c r="BM13" s="153">
        <v>8</v>
      </c>
      <c r="BN13" s="153">
        <f>SUMIFS(章节关卡!$BK$5:$BK$304,章节关卡!$BG$5:$BG$304,"="&amp;卡牌消耗!BM13)</f>
        <v>63000</v>
      </c>
      <c r="BO13" s="153">
        <f t="shared" si="15"/>
        <v>225000</v>
      </c>
      <c r="BP13" s="153">
        <v>1</v>
      </c>
      <c r="BQ13" s="153">
        <f t="shared" si="16"/>
        <v>40909</v>
      </c>
      <c r="BR13" s="153">
        <v>5.5</v>
      </c>
      <c r="BU13" s="15"/>
      <c r="BV13" s="15"/>
      <c r="BW13" s="50">
        <v>9</v>
      </c>
      <c r="BX13" s="50">
        <v>9</v>
      </c>
      <c r="BY13" s="21">
        <f t="shared" si="17"/>
        <v>0.16363636363636364</v>
      </c>
      <c r="BZ13" s="65">
        <f t="shared" si="18"/>
        <v>1225</v>
      </c>
      <c r="CA13" s="50">
        <f>SUM(BZ$5:BZ13)</f>
        <v>6115</v>
      </c>
      <c r="CD13" s="136">
        <v>9</v>
      </c>
      <c r="CE13" s="14">
        <f t="shared" si="19"/>
        <v>2</v>
      </c>
      <c r="CF13" s="14">
        <f t="shared" si="0"/>
        <v>2</v>
      </c>
      <c r="CG13" s="14">
        <f t="shared" si="1"/>
        <v>1101002</v>
      </c>
      <c r="CH13" s="136" t="s">
        <v>1127</v>
      </c>
      <c r="CI13" s="14">
        <f t="shared" si="2"/>
        <v>4</v>
      </c>
      <c r="CJ13" s="14" t="str">
        <f t="shared" si="3"/>
        <v>曹玄亮-4星</v>
      </c>
      <c r="CK13" s="136" t="s">
        <v>1133</v>
      </c>
      <c r="CL13" s="14">
        <f t="shared" si="20"/>
        <v>16000</v>
      </c>
      <c r="CM13" s="14" t="str">
        <f t="shared" si="4"/>
        <v>曹玄亮碎片</v>
      </c>
      <c r="CN13" s="14">
        <f t="shared" si="21"/>
        <v>120</v>
      </c>
    </row>
    <row r="14" spans="1:92" ht="16.5" x14ac:dyDescent="0.2">
      <c r="A14" s="14">
        <v>1102002</v>
      </c>
      <c r="B14" s="14" t="s">
        <v>183</v>
      </c>
      <c r="C14" s="14">
        <v>3</v>
      </c>
      <c r="D14" s="14">
        <v>40</v>
      </c>
      <c r="E14" s="14">
        <v>1</v>
      </c>
      <c r="F14" s="101">
        <f t="shared" ref="F14:F40" si="23">A14+400000</f>
        <v>1502002</v>
      </c>
      <c r="G14" s="15"/>
      <c r="I14" s="55">
        <v>2</v>
      </c>
      <c r="J14" s="136">
        <f>金币总表!AP7</f>
        <v>89010</v>
      </c>
      <c r="K14" s="139">
        <f t="shared" ref="K14:K17" si="24">INT($J14*B$8/$Q$5)</f>
        <v>2967</v>
      </c>
      <c r="L14" s="139">
        <f t="shared" ref="L14:L17" si="25">INT($J14*C$8/$Q$5)</f>
        <v>4153</v>
      </c>
      <c r="M14" s="139">
        <f t="shared" ref="M14:M17" si="26">INT($J14*D$8/$Q$5)</f>
        <v>5934</v>
      </c>
      <c r="N14" s="139">
        <f t="shared" ref="N14:N17" si="27">INT($J14*E$8/$Q$5)</f>
        <v>8901</v>
      </c>
      <c r="T14" s="139">
        <v>10</v>
      </c>
      <c r="U14" s="139">
        <f>ROUND(INDEX(挂机升级突破!$BN$6:$BN$57,卡牌消耗!$T14)*INDEX(卡牌消耗!$B$8:$F$8,卡牌消耗!U$2)/$Q$4/5,0)*5</f>
        <v>1730</v>
      </c>
      <c r="V14" s="139">
        <f>ROUND(INDEX(挂机升级突破!$BN$6:$BN$57,卡牌消耗!$T14)*INDEX(卡牌消耗!$B$8:$F$8,卡牌消耗!V$2)/$Q$4/5,0)*5</f>
        <v>2475</v>
      </c>
      <c r="W14" s="139">
        <f>ROUND(INDEX(挂机升级突破!$BN$6:$BN$57,卡牌消耗!$T14)*INDEX(卡牌消耗!$B$8:$F$8,卡牌消耗!W$2)/$Q$4/5,0)*5</f>
        <v>3710</v>
      </c>
      <c r="X14" s="139">
        <f>ROUND(INDEX(挂机升级突破!$BN$6:$BN$57,卡牌消耗!$T14)*INDEX(卡牌消耗!$B$8:$F$8,卡牌消耗!X$2)/$Q$4/5,0)*5</f>
        <v>4945</v>
      </c>
      <c r="AA14" s="104">
        <v>10</v>
      </c>
      <c r="AB14" s="14">
        <f t="shared" si="5"/>
        <v>1</v>
      </c>
      <c r="AC14" s="14">
        <f>INDEX(挂机升级突破!$BU$6:$BU$57,卡牌消耗!AI14)</f>
        <v>11</v>
      </c>
      <c r="AD14" s="14">
        <f>INDEX(挂机升级突破!BV$6:BV$57,卡牌消耗!$AI14)</f>
        <v>2</v>
      </c>
      <c r="AE14" s="14">
        <f>INDEX(挂机升级突破!BW$6:BW$57,卡牌消耗!$AI14)</f>
        <v>0</v>
      </c>
      <c r="AF14" s="14" t="str">
        <f t="shared" si="6"/>
        <v>关羽</v>
      </c>
      <c r="AG14" s="14">
        <f t="shared" si="7"/>
        <v>5</v>
      </c>
      <c r="AH14" s="14" t="str">
        <f t="shared" si="8"/>
        <v>关羽魂火-10</v>
      </c>
      <c r="AI14" s="14">
        <f t="shared" si="9"/>
        <v>10</v>
      </c>
      <c r="AJ14" s="14" t="str">
        <f>INDEX(挂机升级突破!$BX$4:$CH$4,INDEX(挂机升级突破!$BU$6:$BU$57,卡牌消耗!AI14))</f>
        <v>金币</v>
      </c>
      <c r="AK14" s="14">
        <f>ROUND(INDEX(挂机升级突破!$BN$6:$BN$57,卡牌消耗!AI14)*INDEX(卡牌消耗!$B$8:$F$8,AG14)/$Q$4/50,0)*50</f>
        <v>4950</v>
      </c>
      <c r="AL14" s="14" t="str">
        <f>IF(AD14&gt;0,INDEX(挂机升级突破!$BX$4:$CH$4,AD14),"")</f>
        <v>蓝色基础材料</v>
      </c>
      <c r="AM14" s="14">
        <f>ROUND(INDEX(挂机升级突破!$BX$6:$CH$57,卡牌消耗!AI14,AD14)*INDEX(卡牌消耗!$B$5:$F$5,AG14)/$Q$4/5,0)*5</f>
        <v>2160</v>
      </c>
      <c r="AN14" s="14" t="str">
        <f>IF(AE14&gt;0,INDEX(挂机升级突破!$BX$4:$CH$4,AE14),"")</f>
        <v/>
      </c>
      <c r="AO14" s="14" t="str">
        <f>IF(AE14&gt;0,ROUND(INDEX(挂机升级突破!$BX$6:$CH$57,卡牌消耗!AI14,AE14)*INDEX(卡牌消耗!$B$7:$F$7,AG14)/$Q$4,0),"")</f>
        <v/>
      </c>
      <c r="AR14" s="104">
        <v>10</v>
      </c>
      <c r="AS14" s="14">
        <f t="shared" si="10"/>
        <v>1</v>
      </c>
      <c r="AT14" s="14">
        <f>INDEX(挂机升级突破!$CM$7:$CM$26,AX14)</f>
        <v>5</v>
      </c>
      <c r="AU14" s="14">
        <f>INDEX(挂机升级突破!$CN$7:$CN$26,AX14)</f>
        <v>2</v>
      </c>
      <c r="AV14" s="14">
        <f t="shared" si="11"/>
        <v>5</v>
      </c>
      <c r="AW14" s="14" t="str">
        <f t="shared" si="12"/>
        <v>关羽</v>
      </c>
      <c r="AX14" s="14">
        <f t="shared" si="13"/>
        <v>10</v>
      </c>
      <c r="AY14" s="14" t="str">
        <f t="shared" si="14"/>
        <v>关羽10突</v>
      </c>
      <c r="AZ14" s="14" t="str">
        <f>IF(AT14&gt;0,INDEX(挂机升级突破!$CV$5:$CZ$5,卡牌消耗!AT14),"")</f>
        <v>金币</v>
      </c>
      <c r="BA14" s="14">
        <f>IF(AT14&gt;0,ROUND(INDEX(挂机升级突破!$CZ$7:$CZ$26,卡牌消耗!AX14)*INDEX(卡牌消耗!$B$8:$F$8,AV14)/$Q$4/500,0)*500,"")</f>
        <v>29500</v>
      </c>
      <c r="BB14" s="14" t="str">
        <f>IF(AU14&gt;0,INDEX(挂机升级突破!$CV$5:$CZ$5,卡牌消耗!AU14),"")</f>
        <v>乌金</v>
      </c>
      <c r="BC14" s="14">
        <f>IF(AU14&gt;0,ROUND(INDEX(挂机升级突破!$CV$7:$CY$26,卡牌消耗!AX14,卡牌消耗!AU14)*INDEX($B$6:$F$6,AV14)/$Q$4/5,0)*5,"")</f>
        <v>135</v>
      </c>
      <c r="BD14" s="104"/>
      <c r="BE14" s="104"/>
      <c r="BH14" s="153" t="s">
        <v>1408</v>
      </c>
      <c r="BI14" s="153">
        <v>100</v>
      </c>
      <c r="BJ14" s="153">
        <f>章节关卡!K14*节奏总表!N13*60</f>
        <v>163200</v>
      </c>
      <c r="BK14" s="153">
        <v>10</v>
      </c>
      <c r="BL14" s="153">
        <f>SUMIFS(章节关卡!$BC$5:$BC$304,章节关卡!$AY$5:$AY$304,"="&amp;卡牌消耗!BK14)</f>
        <v>40500</v>
      </c>
      <c r="BM14" s="153">
        <v>9</v>
      </c>
      <c r="BN14" s="153">
        <f>SUMIFS(章节关卡!$BK$5:$BK$304,章节关卡!$BG$5:$BG$304,"="&amp;卡牌消耗!BM14)</f>
        <v>72000</v>
      </c>
      <c r="BO14" s="153">
        <f t="shared" si="15"/>
        <v>275700</v>
      </c>
      <c r="BP14" s="153">
        <v>1</v>
      </c>
      <c r="BQ14" s="153">
        <f t="shared" si="16"/>
        <v>45950</v>
      </c>
      <c r="BR14" s="153">
        <v>6</v>
      </c>
      <c r="BW14" s="50">
        <v>10</v>
      </c>
      <c r="BX14" s="50">
        <v>10</v>
      </c>
      <c r="BY14" s="21">
        <f>BX14/$BV$8</f>
        <v>0.18181818181818182</v>
      </c>
      <c r="BZ14" s="65">
        <f t="shared" si="18"/>
        <v>1360</v>
      </c>
      <c r="CA14" s="50">
        <f>SUM(BZ$5:BZ14)</f>
        <v>7475</v>
      </c>
      <c r="CD14" s="136">
        <v>10</v>
      </c>
      <c r="CE14" s="14">
        <f t="shared" si="19"/>
        <v>2</v>
      </c>
      <c r="CF14" s="14">
        <f t="shared" si="0"/>
        <v>2</v>
      </c>
      <c r="CG14" s="14">
        <f t="shared" si="1"/>
        <v>1101002</v>
      </c>
      <c r="CH14" s="136" t="s">
        <v>1127</v>
      </c>
      <c r="CI14" s="14">
        <f t="shared" si="2"/>
        <v>5</v>
      </c>
      <c r="CJ14" s="14" t="str">
        <f t="shared" si="3"/>
        <v>曹玄亮-5星</v>
      </c>
      <c r="CK14" s="136" t="s">
        <v>1133</v>
      </c>
      <c r="CL14" s="14">
        <f t="shared" si="20"/>
        <v>30000</v>
      </c>
      <c r="CM14" s="14" t="str">
        <f t="shared" si="4"/>
        <v>曹玄亮碎片</v>
      </c>
      <c r="CN14" s="14">
        <f t="shared" si="21"/>
        <v>160</v>
      </c>
    </row>
    <row r="15" spans="1:92" ht="16.5" x14ac:dyDescent="0.2">
      <c r="A15" s="14">
        <v>1102003</v>
      </c>
      <c r="B15" s="14" t="s">
        <v>184</v>
      </c>
      <c r="C15" s="14">
        <v>4</v>
      </c>
      <c r="D15" s="14">
        <v>40</v>
      </c>
      <c r="E15" s="14">
        <v>1</v>
      </c>
      <c r="F15" s="101">
        <f t="shared" si="23"/>
        <v>1502003</v>
      </c>
      <c r="G15" s="15"/>
      <c r="I15" s="55">
        <v>3</v>
      </c>
      <c r="J15" s="136">
        <f>金币总表!AP8</f>
        <v>190985</v>
      </c>
      <c r="K15" s="139">
        <f t="shared" si="24"/>
        <v>6366</v>
      </c>
      <c r="L15" s="139">
        <f t="shared" si="25"/>
        <v>8912</v>
      </c>
      <c r="M15" s="139">
        <f t="shared" si="26"/>
        <v>12732</v>
      </c>
      <c r="N15" s="139">
        <f t="shared" si="27"/>
        <v>19098</v>
      </c>
      <c r="T15" s="139">
        <v>11</v>
      </c>
      <c r="U15" s="139">
        <f>ROUND(INDEX(挂机升级突破!$BN$6:$BN$57,卡牌消耗!$T15)*INDEX(卡牌消耗!$B$8:$F$8,卡牌消耗!U$2)/$Q$4/5,0)*5</f>
        <v>1730</v>
      </c>
      <c r="V15" s="139">
        <f>ROUND(INDEX(挂机升级突破!$BN$6:$BN$57,卡牌消耗!$T15)*INDEX(卡牌消耗!$B$8:$F$8,卡牌消耗!V$2)/$Q$4/5,0)*5</f>
        <v>2475</v>
      </c>
      <c r="W15" s="139">
        <f>ROUND(INDEX(挂机升级突破!$BN$6:$BN$57,卡牌消耗!$T15)*INDEX(卡牌消耗!$B$8:$F$8,卡牌消耗!W$2)/$Q$4/5,0)*5</f>
        <v>3710</v>
      </c>
      <c r="X15" s="139">
        <f>ROUND(INDEX(挂机升级突破!$BN$6:$BN$57,卡牌消耗!$T15)*INDEX(卡牌消耗!$B$8:$F$8,卡牌消耗!X$2)/$Q$4/5,0)*5</f>
        <v>4945</v>
      </c>
      <c r="AA15" s="104">
        <v>11</v>
      </c>
      <c r="AB15" s="14">
        <f t="shared" si="5"/>
        <v>1</v>
      </c>
      <c r="AC15" s="14">
        <f>INDEX(挂机升级突破!$BU$6:$BU$57,卡牌消耗!AI15)</f>
        <v>11</v>
      </c>
      <c r="AD15" s="14">
        <f>INDEX(挂机升级突破!BV$6:BV$57,卡牌消耗!$AI15)</f>
        <v>2</v>
      </c>
      <c r="AE15" s="14">
        <f>INDEX(挂机升级突破!BW$6:BW$57,卡牌消耗!$AI15)</f>
        <v>0</v>
      </c>
      <c r="AF15" s="14" t="str">
        <f t="shared" si="6"/>
        <v>关羽</v>
      </c>
      <c r="AG15" s="14">
        <f t="shared" si="7"/>
        <v>5</v>
      </c>
      <c r="AH15" s="14" t="str">
        <f t="shared" si="8"/>
        <v>关羽魂火-11</v>
      </c>
      <c r="AI15" s="14">
        <f t="shared" si="9"/>
        <v>11</v>
      </c>
      <c r="AJ15" s="14" t="str">
        <f>INDEX(挂机升级突破!$BX$4:$CH$4,INDEX(挂机升级突破!$BU$6:$BU$57,卡牌消耗!AI15))</f>
        <v>金币</v>
      </c>
      <c r="AK15" s="14">
        <f>ROUND(INDEX(挂机升级突破!$BN$6:$BN$57,卡牌消耗!AI15)*INDEX(卡牌消耗!$B$8:$F$8,AG15)/$Q$4/50,0)*50</f>
        <v>4950</v>
      </c>
      <c r="AL15" s="14" t="str">
        <f>IF(AD15&gt;0,INDEX(挂机升级突破!$BX$4:$CH$4,AD15),"")</f>
        <v>蓝色基础材料</v>
      </c>
      <c r="AM15" s="14">
        <f>ROUND(INDEX(挂机升级突破!$BX$6:$CH$57,卡牌消耗!AI15,AD15)*INDEX(卡牌消耗!$B$5:$F$5,AG15)/$Q$4/5,0)*5</f>
        <v>2160</v>
      </c>
      <c r="AN15" s="14" t="str">
        <f>IF(AE15&gt;0,INDEX(挂机升级突破!$BX$4:$CH$4,AE15),"")</f>
        <v/>
      </c>
      <c r="AO15" s="14" t="str">
        <f>IF(AE15&gt;0,ROUND(INDEX(挂机升级突破!$BX$6:$CH$57,卡牌消耗!AI15,AE15)*INDEX(卡牌消耗!$B$7:$F$7,AG15)/$Q$4,0),"")</f>
        <v/>
      </c>
      <c r="AR15" s="104">
        <v>11</v>
      </c>
      <c r="AS15" s="14">
        <f t="shared" si="10"/>
        <v>1</v>
      </c>
      <c r="AT15" s="14">
        <f>INDEX(挂机升级突破!$CM$7:$CM$26,AX15)</f>
        <v>5</v>
      </c>
      <c r="AU15" s="14">
        <f>INDEX(挂机升级突破!$CN$7:$CN$26,AX15)</f>
        <v>2</v>
      </c>
      <c r="AV15" s="14">
        <f t="shared" si="11"/>
        <v>5</v>
      </c>
      <c r="AW15" s="14" t="str">
        <f t="shared" si="12"/>
        <v>关羽</v>
      </c>
      <c r="AX15" s="14">
        <f t="shared" si="13"/>
        <v>11</v>
      </c>
      <c r="AY15" s="14" t="str">
        <f t="shared" si="14"/>
        <v>关羽11突</v>
      </c>
      <c r="AZ15" s="14" t="str">
        <f>IF(AT15&gt;0,INDEX(挂机升级突破!$CV$5:$CZ$5,卡牌消耗!AT15),"")</f>
        <v>金币</v>
      </c>
      <c r="BA15" s="14">
        <f>IF(AT15&gt;0,ROUND(INDEX(挂机升级突破!$CZ$7:$CZ$26,卡牌消耗!AX15)*INDEX(卡牌消耗!$B$8:$F$8,AV15)/$Q$4/500,0)*500,"")</f>
        <v>29500</v>
      </c>
      <c r="BB15" s="14" t="str">
        <f>IF(AU15&gt;0,INDEX(挂机升级突破!$CV$5:$CZ$5,卡牌消耗!AU15),"")</f>
        <v>乌金</v>
      </c>
      <c r="BC15" s="14">
        <f>IF(AU15&gt;0,ROUND(INDEX(挂机升级突破!$CV$7:$CY$26,卡牌消耗!AX15,卡牌消耗!AU15)*INDEX($B$6:$F$6,AV15)/$Q$4/5,0)*5,"")</f>
        <v>180</v>
      </c>
      <c r="BD15" s="104"/>
      <c r="BE15" s="104"/>
      <c r="BH15" s="153" t="s">
        <v>1409</v>
      </c>
      <c r="BI15" s="153">
        <v>110</v>
      </c>
      <c r="BJ15" s="153">
        <f>章节关卡!K15*节奏总表!N14*60</f>
        <v>216000</v>
      </c>
      <c r="BK15" s="153">
        <v>11</v>
      </c>
      <c r="BL15" s="153">
        <f>SUMIFS(章节关卡!$BC$5:$BC$304,章节关卡!$AY$5:$AY$304,"="&amp;卡牌消耗!BK15)</f>
        <v>45000</v>
      </c>
      <c r="BM15" s="153">
        <v>10</v>
      </c>
      <c r="BN15" s="153">
        <f>SUMIFS(章节关卡!$BK$5:$BK$304,章节关卡!$BG$5:$BG$304,"="&amp;卡牌消耗!BM15)</f>
        <v>81000</v>
      </c>
      <c r="BO15" s="153">
        <f t="shared" si="15"/>
        <v>342000</v>
      </c>
      <c r="BP15" s="153">
        <v>1</v>
      </c>
      <c r="BQ15" s="153">
        <f t="shared" si="16"/>
        <v>48857</v>
      </c>
      <c r="BR15" s="153">
        <v>7</v>
      </c>
      <c r="BU15" s="50" t="s">
        <v>310</v>
      </c>
      <c r="BV15" s="50">
        <v>2</v>
      </c>
      <c r="BW15" s="50">
        <v>11</v>
      </c>
      <c r="BX15" s="50">
        <v>10</v>
      </c>
      <c r="BY15" s="21">
        <f>BX15/$BV$18</f>
        <v>6.8493150684931503E-2</v>
      </c>
      <c r="BZ15" s="50" t="e">
        <f>INT(BV$16*BY15/5)*5</f>
        <v>#REF!</v>
      </c>
      <c r="CA15" s="50" t="e">
        <f>SUM(BZ$5:BZ15)</f>
        <v>#REF!</v>
      </c>
      <c r="CD15" s="136">
        <v>11</v>
      </c>
      <c r="CE15" s="14">
        <f t="shared" si="19"/>
        <v>3</v>
      </c>
      <c r="CF15" s="14">
        <f t="shared" si="0"/>
        <v>3</v>
      </c>
      <c r="CG15" s="14">
        <f t="shared" si="1"/>
        <v>1101003</v>
      </c>
      <c r="CH15" s="136" t="s">
        <v>1127</v>
      </c>
      <c r="CI15" s="14">
        <f t="shared" si="2"/>
        <v>1</v>
      </c>
      <c r="CJ15" s="14" t="str">
        <f t="shared" si="3"/>
        <v>战斗夏铃-1星</v>
      </c>
      <c r="CK15" s="136" t="s">
        <v>1133</v>
      </c>
      <c r="CL15" s="14">
        <f t="shared" si="20"/>
        <v>4000</v>
      </c>
      <c r="CM15" s="14" t="str">
        <f t="shared" si="4"/>
        <v>战斗夏铃碎片</v>
      </c>
      <c r="CN15" s="14">
        <f t="shared" si="21"/>
        <v>40</v>
      </c>
    </row>
    <row r="16" spans="1:92" ht="16.5" x14ac:dyDescent="0.2">
      <c r="A16" s="14">
        <v>1102004</v>
      </c>
      <c r="B16" s="14" t="s">
        <v>185</v>
      </c>
      <c r="C16" s="14">
        <v>2</v>
      </c>
      <c r="D16" s="14">
        <v>20</v>
      </c>
      <c r="E16" s="14">
        <v>2</v>
      </c>
      <c r="F16" s="101">
        <f t="shared" si="23"/>
        <v>1502004</v>
      </c>
      <c r="G16" s="15"/>
      <c r="I16" s="55">
        <v>4</v>
      </c>
      <c r="J16" s="136">
        <f>金币总表!AP9</f>
        <v>439100</v>
      </c>
      <c r="K16" s="139">
        <f t="shared" si="24"/>
        <v>14636</v>
      </c>
      <c r="L16" s="139">
        <f t="shared" si="25"/>
        <v>20491</v>
      </c>
      <c r="M16" s="139">
        <f t="shared" si="26"/>
        <v>29273</v>
      </c>
      <c r="N16" s="139">
        <f t="shared" si="27"/>
        <v>43910</v>
      </c>
      <c r="T16" s="139">
        <v>12</v>
      </c>
      <c r="U16" s="139">
        <f>ROUND(INDEX(挂机升级突破!$BN$6:$BN$57,卡牌消耗!$T16)*INDEX(卡牌消耗!$B$8:$F$8,卡牌消耗!U$2)/$Q$4/5,0)*5</f>
        <v>1485</v>
      </c>
      <c r="V16" s="139">
        <f>ROUND(INDEX(挂机升级突破!$BN$6:$BN$57,卡牌消耗!$T16)*INDEX(卡牌消耗!$B$8:$F$8,卡牌消耗!V$2)/$Q$4/5,0)*5</f>
        <v>2120</v>
      </c>
      <c r="W16" s="139">
        <f>ROUND(INDEX(挂机升级突破!$BN$6:$BN$57,卡牌消耗!$T16)*INDEX(卡牌消耗!$B$8:$F$8,卡牌消耗!W$2)/$Q$4/5,0)*5</f>
        <v>3185</v>
      </c>
      <c r="X16" s="139">
        <f>ROUND(INDEX(挂机升级突破!$BN$6:$BN$57,卡牌消耗!$T16)*INDEX(卡牌消耗!$B$8:$F$8,卡牌消耗!X$2)/$Q$4/5,0)*5</f>
        <v>4245</v>
      </c>
      <c r="AA16" s="104">
        <v>12</v>
      </c>
      <c r="AB16" s="14">
        <f t="shared" si="5"/>
        <v>1</v>
      </c>
      <c r="AC16" s="14">
        <f>INDEX(挂机升级突破!$BU$6:$BU$57,卡牌消耗!AI16)</f>
        <v>11</v>
      </c>
      <c r="AD16" s="14">
        <f>INDEX(挂机升级突破!BV$6:BV$57,卡牌消耗!$AI16)</f>
        <v>2</v>
      </c>
      <c r="AE16" s="14">
        <f>INDEX(挂机升级突破!BW$6:BW$57,卡牌消耗!$AI16)</f>
        <v>0</v>
      </c>
      <c r="AF16" s="14" t="str">
        <f t="shared" si="6"/>
        <v>关羽</v>
      </c>
      <c r="AG16" s="14">
        <f t="shared" si="7"/>
        <v>5</v>
      </c>
      <c r="AH16" s="14" t="str">
        <f t="shared" si="8"/>
        <v>关羽魂火-12</v>
      </c>
      <c r="AI16" s="14">
        <f t="shared" si="9"/>
        <v>12</v>
      </c>
      <c r="AJ16" s="14" t="str">
        <f>INDEX(挂机升级突破!$BX$4:$CH$4,INDEX(挂机升级突破!$BU$6:$BU$57,卡牌消耗!AI16))</f>
        <v>金币</v>
      </c>
      <c r="AK16" s="14">
        <f>ROUND(INDEX(挂机升级突破!$BN$6:$BN$57,卡牌消耗!AI16)*INDEX(卡牌消耗!$B$8:$F$8,AG16)/$Q$4/50,0)*50</f>
        <v>4250</v>
      </c>
      <c r="AL16" s="14" t="str">
        <f>IF(AD16&gt;0,INDEX(挂机升级突破!$BX$4:$CH$4,AD16),"")</f>
        <v>蓝色基础材料</v>
      </c>
      <c r="AM16" s="14">
        <f>ROUND(INDEX(挂机升级突破!$BX$6:$CH$57,卡牌消耗!AI16,AD16)*INDEX(卡牌消耗!$B$5:$F$5,AG16)/$Q$4/5,0)*5</f>
        <v>2880</v>
      </c>
      <c r="AN16" s="14" t="str">
        <f>IF(AE16&gt;0,INDEX(挂机升级突破!$BX$4:$CH$4,AE16),"")</f>
        <v/>
      </c>
      <c r="AO16" s="14" t="str">
        <f>IF(AE16&gt;0,ROUND(INDEX(挂机升级突破!$BX$6:$CH$57,卡牌消耗!AI16,AE16)*INDEX(卡牌消耗!$B$7:$F$7,AG16)/$Q$4,0),"")</f>
        <v/>
      </c>
      <c r="AR16" s="104">
        <v>12</v>
      </c>
      <c r="AS16" s="14">
        <f t="shared" si="10"/>
        <v>1</v>
      </c>
      <c r="AT16" s="14">
        <f>INDEX(挂机升级突破!$CM$7:$CM$26,AX16)</f>
        <v>5</v>
      </c>
      <c r="AU16" s="14">
        <f>INDEX(挂机升级突破!$CN$7:$CN$26,AX16)</f>
        <v>2</v>
      </c>
      <c r="AV16" s="14">
        <f t="shared" si="11"/>
        <v>5</v>
      </c>
      <c r="AW16" s="14" t="str">
        <f t="shared" si="12"/>
        <v>关羽</v>
      </c>
      <c r="AX16" s="14">
        <f t="shared" si="13"/>
        <v>12</v>
      </c>
      <c r="AY16" s="14" t="str">
        <f t="shared" si="14"/>
        <v>关羽12突</v>
      </c>
      <c r="AZ16" s="14" t="str">
        <f>IF(AT16&gt;0,INDEX(挂机升级突破!$CV$5:$CZ$5,卡牌消耗!AT16),"")</f>
        <v>金币</v>
      </c>
      <c r="BA16" s="14">
        <f>IF(AT16&gt;0,ROUND(INDEX(挂机升级突破!$CZ$7:$CZ$26,卡牌消耗!AX16)*INDEX(卡牌消耗!$B$8:$F$8,AV16)/$Q$4/500,0)*500,"")</f>
        <v>39000</v>
      </c>
      <c r="BB16" s="14" t="str">
        <f>IF(AU16&gt;0,INDEX(挂机升级突破!$CV$5:$CZ$5,卡牌消耗!AU16),"")</f>
        <v>乌金</v>
      </c>
      <c r="BC16" s="14">
        <f>IF(AU16&gt;0,ROUND(INDEX(挂机升级突破!$CV$7:$CY$26,卡牌消耗!AX16,卡牌消耗!AU16)*INDEX($B$6:$F$6,AV16)/$Q$4/5,0)*5,"")</f>
        <v>230</v>
      </c>
      <c r="BD16" s="104"/>
      <c r="BE16" s="104"/>
      <c r="BH16" s="153" t="s">
        <v>1410</v>
      </c>
      <c r="BI16" s="153">
        <v>120</v>
      </c>
      <c r="BJ16" s="153">
        <f>章节关卡!K16*节奏总表!N15*60</f>
        <v>270000</v>
      </c>
      <c r="BK16" s="153">
        <v>12</v>
      </c>
      <c r="BL16" s="153">
        <f>SUMIFS(章节关卡!$BC$5:$BC$304,章节关卡!$AY$5:$AY$304,"="&amp;卡牌消耗!BK16)</f>
        <v>49500</v>
      </c>
      <c r="BM16" s="153">
        <v>11</v>
      </c>
      <c r="BN16" s="153">
        <f>SUMIFS(章节关卡!$BK$5:$BK$304,章节关卡!$BG$5:$BG$304,"="&amp;卡牌消耗!BM16)</f>
        <v>90000</v>
      </c>
      <c r="BO16" s="153">
        <f t="shared" si="15"/>
        <v>409500</v>
      </c>
      <c r="BP16" s="153">
        <v>1</v>
      </c>
      <c r="BQ16" s="153">
        <f t="shared" si="16"/>
        <v>51187</v>
      </c>
      <c r="BR16" s="153">
        <v>8</v>
      </c>
      <c r="BU16" s="14" t="str">
        <f>INDEX($BH$5:$BH$19,BV15)</f>
        <v>10~15</v>
      </c>
      <c r="BV16" s="14" t="e">
        <f>INDEX($BQ$5:$BQ$19,BV15)</f>
        <v>#REF!</v>
      </c>
      <c r="BW16" s="50">
        <v>12</v>
      </c>
      <c r="BX16" s="50">
        <v>11</v>
      </c>
      <c r="BY16" s="21">
        <f t="shared" ref="BY16:BY24" si="28">BX16/$BV$18</f>
        <v>7.5342465753424653E-2</v>
      </c>
      <c r="BZ16" s="65" t="e">
        <f t="shared" ref="BZ16:BZ24" si="29">INT(BV$16*BY16/5)*5</f>
        <v>#REF!</v>
      </c>
      <c r="CA16" s="50" t="e">
        <f>SUM(BZ$5:BZ16)</f>
        <v>#REF!</v>
      </c>
      <c r="CD16" s="136">
        <v>12</v>
      </c>
      <c r="CE16" s="14">
        <f t="shared" si="19"/>
        <v>3</v>
      </c>
      <c r="CF16" s="14">
        <f t="shared" si="0"/>
        <v>3</v>
      </c>
      <c r="CG16" s="14">
        <f t="shared" si="1"/>
        <v>1101003</v>
      </c>
      <c r="CH16" s="136" t="s">
        <v>1127</v>
      </c>
      <c r="CI16" s="14">
        <f t="shared" si="2"/>
        <v>2</v>
      </c>
      <c r="CJ16" s="14" t="str">
        <f t="shared" si="3"/>
        <v>战斗夏铃-2星</v>
      </c>
      <c r="CK16" s="136" t="s">
        <v>1133</v>
      </c>
      <c r="CL16" s="14">
        <f t="shared" si="20"/>
        <v>5000</v>
      </c>
      <c r="CM16" s="14" t="str">
        <f t="shared" si="4"/>
        <v>战斗夏铃碎片</v>
      </c>
      <c r="CN16" s="14">
        <f t="shared" si="21"/>
        <v>80</v>
      </c>
    </row>
    <row r="17" spans="1:92" ht="16.5" x14ac:dyDescent="0.2">
      <c r="A17" s="14">
        <v>1102005</v>
      </c>
      <c r="B17" s="14" t="s">
        <v>186</v>
      </c>
      <c r="C17" s="14">
        <v>3</v>
      </c>
      <c r="D17" s="14">
        <v>40</v>
      </c>
      <c r="E17" s="14">
        <v>3</v>
      </c>
      <c r="F17" s="101">
        <f t="shared" si="23"/>
        <v>1502005</v>
      </c>
      <c r="G17" s="15"/>
      <c r="I17" s="55">
        <v>5</v>
      </c>
      <c r="J17" s="136">
        <f>金币总表!AP10</f>
        <v>777742.5</v>
      </c>
      <c r="K17" s="139">
        <f t="shared" si="24"/>
        <v>25924</v>
      </c>
      <c r="L17" s="139">
        <f t="shared" si="25"/>
        <v>36294</v>
      </c>
      <c r="M17" s="139">
        <f t="shared" si="26"/>
        <v>51849</v>
      </c>
      <c r="N17" s="139">
        <f t="shared" si="27"/>
        <v>77774</v>
      </c>
      <c r="T17" s="139">
        <v>13</v>
      </c>
      <c r="U17" s="139">
        <f>ROUND(INDEX(挂机升级突破!$BN$6:$BN$57,卡牌消耗!$T17)*INDEX(卡牌消耗!$B$8:$F$8,卡牌消耗!U$2)/$Q$4/5,0)*5</f>
        <v>1485</v>
      </c>
      <c r="V17" s="139">
        <f>ROUND(INDEX(挂机升级突破!$BN$6:$BN$57,卡牌消耗!$T17)*INDEX(卡牌消耗!$B$8:$F$8,卡牌消耗!V$2)/$Q$4/5,0)*5</f>
        <v>2120</v>
      </c>
      <c r="W17" s="139">
        <f>ROUND(INDEX(挂机升级突破!$BN$6:$BN$57,卡牌消耗!$T17)*INDEX(卡牌消耗!$B$8:$F$8,卡牌消耗!W$2)/$Q$4/5,0)*5</f>
        <v>3185</v>
      </c>
      <c r="X17" s="139">
        <f>ROUND(INDEX(挂机升级突破!$BN$6:$BN$57,卡牌消耗!$T17)*INDEX(卡牌消耗!$B$8:$F$8,卡牌消耗!X$2)/$Q$4/5,0)*5</f>
        <v>4245</v>
      </c>
      <c r="AA17" s="104">
        <v>13</v>
      </c>
      <c r="AB17" s="14">
        <f t="shared" si="5"/>
        <v>1</v>
      </c>
      <c r="AC17" s="14">
        <f>INDEX(挂机升级突破!$BU$6:$BU$57,卡牌消耗!AI17)</f>
        <v>11</v>
      </c>
      <c r="AD17" s="14">
        <f>INDEX(挂机升级突破!BV$6:BV$57,卡牌消耗!$AI17)</f>
        <v>2</v>
      </c>
      <c r="AE17" s="14">
        <f>INDEX(挂机升级突破!BW$6:BW$57,卡牌消耗!$AI17)</f>
        <v>0</v>
      </c>
      <c r="AF17" s="14" t="str">
        <f t="shared" si="6"/>
        <v>关羽</v>
      </c>
      <c r="AG17" s="14">
        <f t="shared" si="7"/>
        <v>5</v>
      </c>
      <c r="AH17" s="14" t="str">
        <f t="shared" si="8"/>
        <v>关羽魂火-13</v>
      </c>
      <c r="AI17" s="14">
        <f t="shared" si="9"/>
        <v>13</v>
      </c>
      <c r="AJ17" s="14" t="str">
        <f>INDEX(挂机升级突破!$BX$4:$CH$4,INDEX(挂机升级突破!$BU$6:$BU$57,卡牌消耗!AI17))</f>
        <v>金币</v>
      </c>
      <c r="AK17" s="14">
        <f>ROUND(INDEX(挂机升级突破!$BN$6:$BN$57,卡牌消耗!AI17)*INDEX(卡牌消耗!$B$8:$F$8,AG17)/$Q$4/50,0)*50</f>
        <v>4250</v>
      </c>
      <c r="AL17" s="14" t="str">
        <f>IF(AD17&gt;0,INDEX(挂机升级突破!$BX$4:$CH$4,AD17),"")</f>
        <v>蓝色基础材料</v>
      </c>
      <c r="AM17" s="14">
        <f>ROUND(INDEX(挂机升级突破!$BX$6:$CH$57,卡牌消耗!AI17,AD17)*INDEX(卡牌消耗!$B$5:$F$5,AG17)/$Q$4/5,0)*5</f>
        <v>2880</v>
      </c>
      <c r="AN17" s="14" t="str">
        <f>IF(AE17&gt;0,INDEX(挂机升级突破!$BX$4:$CH$4,AE17),"")</f>
        <v/>
      </c>
      <c r="AO17" s="14" t="str">
        <f>IF(AE17&gt;0,ROUND(INDEX(挂机升级突破!$BX$6:$CH$57,卡牌消耗!AI17,AE17)*INDEX(卡牌消耗!$B$7:$F$7,AG17)/$Q$4,0),"")</f>
        <v/>
      </c>
      <c r="AR17" s="104">
        <v>13</v>
      </c>
      <c r="AS17" s="14">
        <f t="shared" si="10"/>
        <v>1</v>
      </c>
      <c r="AT17" s="14">
        <f>INDEX(挂机升级突破!$CM$7:$CM$26,AX17)</f>
        <v>5</v>
      </c>
      <c r="AU17" s="14">
        <f>INDEX(挂机升级突破!$CN$7:$CN$26,AX17)</f>
        <v>3</v>
      </c>
      <c r="AV17" s="14">
        <f t="shared" si="11"/>
        <v>5</v>
      </c>
      <c r="AW17" s="14" t="str">
        <f t="shared" si="12"/>
        <v>关羽</v>
      </c>
      <c r="AX17" s="14">
        <f t="shared" si="13"/>
        <v>13</v>
      </c>
      <c r="AY17" s="14" t="str">
        <f t="shared" si="14"/>
        <v>关羽13突</v>
      </c>
      <c r="AZ17" s="14" t="str">
        <f>IF(AT17&gt;0,INDEX(挂机升级突破!$CV$5:$CZ$5,卡牌消耗!AT17),"")</f>
        <v>金币</v>
      </c>
      <c r="BA17" s="14">
        <f>IF(AT17&gt;0,ROUND(INDEX(挂机升级突破!$CZ$7:$CZ$26,卡牌消耗!AX17)*INDEX(卡牌消耗!$B$8:$F$8,AV17)/$Q$4/500,0)*500,"")</f>
        <v>52000</v>
      </c>
      <c r="BB17" s="14" t="str">
        <f>IF(AU17&gt;0,INDEX(挂机升级突破!$CV$5:$CZ$5,卡牌消耗!AU17),"")</f>
        <v>银母</v>
      </c>
      <c r="BC17" s="14">
        <f>IF(AU17&gt;0,ROUND(INDEX(挂机升级突破!$CV$7:$CY$26,卡牌消耗!AX17,卡牌消耗!AU17)*INDEX($B$6:$F$6,AV17)/$Q$4/5,0)*5,"")</f>
        <v>45</v>
      </c>
      <c r="BD17" s="104"/>
      <c r="BE17" s="104"/>
      <c r="BH17" s="153" t="s">
        <v>1411</v>
      </c>
      <c r="BI17" s="153">
        <v>130</v>
      </c>
      <c r="BJ17" s="153">
        <f>章节关卡!K17*节奏总表!N16*60</f>
        <v>336600</v>
      </c>
      <c r="BK17" s="153">
        <v>13</v>
      </c>
      <c r="BL17" s="153">
        <f>SUMIFS(章节关卡!$BC$5:$BC$304,章节关卡!$AY$5:$AY$304,"="&amp;卡牌消耗!BK17)</f>
        <v>56250</v>
      </c>
      <c r="BM17" s="153">
        <v>12</v>
      </c>
      <c r="BN17" s="153">
        <f>SUMIFS(章节关卡!$BK$5:$BK$304,章节关卡!$BG$5:$BG$304,"="&amp;卡牌消耗!BM17)</f>
        <v>99000</v>
      </c>
      <c r="BO17" s="153">
        <f t="shared" si="15"/>
        <v>491850</v>
      </c>
      <c r="BP17" s="153">
        <v>1</v>
      </c>
      <c r="BQ17" s="153">
        <f t="shared" si="16"/>
        <v>57864</v>
      </c>
      <c r="BR17" s="153">
        <v>8.5</v>
      </c>
      <c r="BU17" s="50" t="s">
        <v>309</v>
      </c>
      <c r="BV17" s="14">
        <f>INDEX($BR$5:$BR$19,BV15)</f>
        <v>2</v>
      </c>
      <c r="BW17" s="50">
        <v>13</v>
      </c>
      <c r="BX17" s="66">
        <v>12</v>
      </c>
      <c r="BY17" s="21">
        <f t="shared" si="28"/>
        <v>8.2191780821917804E-2</v>
      </c>
      <c r="BZ17" s="65" t="e">
        <f t="shared" si="29"/>
        <v>#REF!</v>
      </c>
      <c r="CA17" s="50" t="e">
        <f>SUM(BZ$5:BZ17)</f>
        <v>#REF!</v>
      </c>
      <c r="CD17" s="136">
        <v>13</v>
      </c>
      <c r="CE17" s="14">
        <f t="shared" si="19"/>
        <v>3</v>
      </c>
      <c r="CF17" s="14">
        <f t="shared" si="0"/>
        <v>3</v>
      </c>
      <c r="CG17" s="14">
        <f t="shared" si="1"/>
        <v>1101003</v>
      </c>
      <c r="CH17" s="136" t="s">
        <v>1127</v>
      </c>
      <c r="CI17" s="14">
        <f t="shared" si="2"/>
        <v>3</v>
      </c>
      <c r="CJ17" s="14" t="str">
        <f t="shared" si="3"/>
        <v>战斗夏铃-3星</v>
      </c>
      <c r="CK17" s="136" t="s">
        <v>1133</v>
      </c>
      <c r="CL17" s="14">
        <f t="shared" si="20"/>
        <v>10000</v>
      </c>
      <c r="CM17" s="14" t="str">
        <f t="shared" si="4"/>
        <v>战斗夏铃碎片</v>
      </c>
      <c r="CN17" s="14">
        <f t="shared" si="21"/>
        <v>120</v>
      </c>
    </row>
    <row r="18" spans="1:92" ht="18.75" customHeight="1" x14ac:dyDescent="0.2">
      <c r="A18" s="14">
        <v>1102006</v>
      </c>
      <c r="B18" s="14" t="s">
        <v>187</v>
      </c>
      <c r="C18" s="14">
        <v>5</v>
      </c>
      <c r="D18" s="14">
        <v>80</v>
      </c>
      <c r="E18" s="14">
        <v>2</v>
      </c>
      <c r="F18" s="101">
        <f t="shared" si="23"/>
        <v>1502006</v>
      </c>
      <c r="G18" s="15"/>
      <c r="T18" s="139">
        <v>14</v>
      </c>
      <c r="U18" s="139">
        <f>ROUND(INDEX(挂机升级突破!$BN$6:$BN$57,卡牌消耗!$T18)*INDEX(卡牌消耗!$B$8:$F$8,卡牌消耗!U$2)/$Q$4/5,0)*5</f>
        <v>1635</v>
      </c>
      <c r="V18" s="139">
        <f>ROUND(INDEX(挂机升级突破!$BN$6:$BN$57,卡牌消耗!$T18)*INDEX(卡牌消耗!$B$8:$F$8,卡牌消耗!V$2)/$Q$4/5,0)*5</f>
        <v>2335</v>
      </c>
      <c r="W18" s="139">
        <f>ROUND(INDEX(挂机升级突破!$BN$6:$BN$57,卡牌消耗!$T18)*INDEX(卡牌消耗!$B$8:$F$8,卡牌消耗!W$2)/$Q$4/5,0)*5</f>
        <v>3500</v>
      </c>
      <c r="X18" s="139">
        <f>ROUND(INDEX(挂机升级突破!$BN$6:$BN$57,卡牌消耗!$T18)*INDEX(卡牌消耗!$B$8:$F$8,卡牌消耗!X$2)/$Q$4/5,0)*5</f>
        <v>4670</v>
      </c>
      <c r="AA18" s="104">
        <v>14</v>
      </c>
      <c r="AB18" s="14">
        <f t="shared" si="5"/>
        <v>1</v>
      </c>
      <c r="AC18" s="14">
        <f>INDEX(挂机升级突破!$BU$6:$BU$57,卡牌消耗!AI18)</f>
        <v>11</v>
      </c>
      <c r="AD18" s="14">
        <f>INDEX(挂机升级突破!BV$6:BV$57,卡牌消耗!$AI18)</f>
        <v>3</v>
      </c>
      <c r="AE18" s="14">
        <f>INDEX(挂机升级突破!BW$6:BW$57,卡牌消耗!$AI18)</f>
        <v>0</v>
      </c>
      <c r="AF18" s="14" t="str">
        <f t="shared" si="6"/>
        <v>关羽</v>
      </c>
      <c r="AG18" s="14">
        <f t="shared" si="7"/>
        <v>5</v>
      </c>
      <c r="AH18" s="14" t="str">
        <f t="shared" si="8"/>
        <v>关羽魂火-14</v>
      </c>
      <c r="AI18" s="14">
        <f t="shared" si="9"/>
        <v>14</v>
      </c>
      <c r="AJ18" s="14" t="str">
        <f>INDEX(挂机升级突破!$BX$4:$CH$4,INDEX(挂机升级突破!$BU$6:$BU$57,卡牌消耗!AI18))</f>
        <v>金币</v>
      </c>
      <c r="AK18" s="14">
        <f>ROUND(INDEX(挂机升级突破!$BN$6:$BN$57,卡牌消耗!AI18)*INDEX(卡牌消耗!$B$8:$F$8,AG18)/$Q$4/50,0)*50</f>
        <v>4650</v>
      </c>
      <c r="AL18" s="14" t="str">
        <f>IF(AD18&gt;0,INDEX(挂机升级突破!$BX$4:$CH$4,AD18),"")</f>
        <v>紫色基础材料</v>
      </c>
      <c r="AM18" s="14">
        <f>ROUND(INDEX(挂机升级突破!$BX$6:$CH$57,卡牌消耗!AI18,AD18)*INDEX(卡牌消耗!$B$5:$F$5,AG18)/$Q$4/5,0)*5</f>
        <v>250</v>
      </c>
      <c r="AN18" s="14" t="str">
        <f>IF(AE18&gt;0,INDEX(挂机升级突破!$BX$4:$CH$4,AE18),"")</f>
        <v/>
      </c>
      <c r="AO18" s="14" t="str">
        <f>IF(AE18&gt;0,ROUND(INDEX(挂机升级突破!$BX$6:$CH$57,卡牌消耗!AI18,AE18)*INDEX(卡牌消耗!$B$7:$F$7,AG18)/$Q$4,0),"")</f>
        <v/>
      </c>
      <c r="AR18" s="104">
        <v>14</v>
      </c>
      <c r="AS18" s="14">
        <f t="shared" si="10"/>
        <v>1</v>
      </c>
      <c r="AT18" s="14">
        <f>INDEX(挂机升级突破!$CM$7:$CM$26,AX18)</f>
        <v>5</v>
      </c>
      <c r="AU18" s="14">
        <f>INDEX(挂机升级突破!$CN$7:$CN$26,AX18)</f>
        <v>3</v>
      </c>
      <c r="AV18" s="14">
        <f t="shared" si="11"/>
        <v>5</v>
      </c>
      <c r="AW18" s="14" t="str">
        <f t="shared" si="12"/>
        <v>关羽</v>
      </c>
      <c r="AX18" s="14">
        <f t="shared" si="13"/>
        <v>14</v>
      </c>
      <c r="AY18" s="14" t="str">
        <f t="shared" si="14"/>
        <v>关羽14突</v>
      </c>
      <c r="AZ18" s="14" t="str">
        <f>IF(AT18&gt;0,INDEX(挂机升级突破!$CV$5:$CZ$5,卡牌消耗!AT18),"")</f>
        <v>金币</v>
      </c>
      <c r="BA18" s="14">
        <f>IF(AT18&gt;0,ROUND(INDEX(挂机升级突破!$CZ$7:$CZ$26,卡牌消耗!AX18)*INDEX(卡牌消耗!$B$8:$F$8,AV18)/$Q$4/500,0)*500,"")</f>
        <v>52000</v>
      </c>
      <c r="BB18" s="14" t="str">
        <f>IF(AU18&gt;0,INDEX(挂机升级突破!$CV$5:$CZ$5,卡牌消耗!AU18),"")</f>
        <v>银母</v>
      </c>
      <c r="BC18" s="14">
        <f>IF(AU18&gt;0,ROUND(INDEX(挂机升级突破!$CV$7:$CY$26,卡牌消耗!AX18,卡牌消耗!AU18)*INDEX($B$6:$F$6,AV18)/$Q$4/5,0)*5,"")</f>
        <v>60</v>
      </c>
      <c r="BD18" s="104"/>
      <c r="BE18" s="104"/>
      <c r="BH18" s="153" t="s">
        <v>1412</v>
      </c>
      <c r="BI18" s="153">
        <v>140</v>
      </c>
      <c r="BJ18" s="153">
        <f>章节关卡!K18*节奏总表!N17*60</f>
        <v>487500</v>
      </c>
      <c r="BK18" s="153">
        <v>14</v>
      </c>
      <c r="BL18" s="153">
        <f>SUMIFS(章节关卡!$BC$5:$BC$304,章节关卡!$AY$5:$AY$304,"="&amp;卡牌消耗!BK18)</f>
        <v>60750</v>
      </c>
      <c r="BM18" s="153">
        <v>13</v>
      </c>
      <c r="BN18" s="153">
        <f>SUMIFS(章节关卡!$BK$5:$BK$304,章节关卡!$BG$5:$BG$304,"="&amp;卡牌消耗!BM18)</f>
        <v>112500</v>
      </c>
      <c r="BO18" s="153">
        <f t="shared" si="15"/>
        <v>660750</v>
      </c>
      <c r="BP18" s="153">
        <v>1</v>
      </c>
      <c r="BQ18" s="153">
        <f t="shared" si="16"/>
        <v>73416</v>
      </c>
      <c r="BR18" s="153">
        <v>9</v>
      </c>
      <c r="BU18" s="15"/>
      <c r="BV18" s="14">
        <f>SUM(BX15:BX24)</f>
        <v>146</v>
      </c>
      <c r="BW18" s="50">
        <v>14</v>
      </c>
      <c r="BX18" s="66">
        <v>13</v>
      </c>
      <c r="BY18" s="21">
        <f t="shared" si="28"/>
        <v>8.9041095890410954E-2</v>
      </c>
      <c r="BZ18" s="65" t="e">
        <f t="shared" si="29"/>
        <v>#REF!</v>
      </c>
      <c r="CA18" s="50" t="e">
        <f>SUM(BZ$5:BZ18)</f>
        <v>#REF!</v>
      </c>
      <c r="CD18" s="136">
        <v>14</v>
      </c>
      <c r="CE18" s="14">
        <f t="shared" si="19"/>
        <v>3</v>
      </c>
      <c r="CF18" s="14">
        <f t="shared" si="0"/>
        <v>3</v>
      </c>
      <c r="CG18" s="14">
        <f t="shared" si="1"/>
        <v>1101003</v>
      </c>
      <c r="CH18" s="136" t="s">
        <v>1127</v>
      </c>
      <c r="CI18" s="14">
        <f t="shared" si="2"/>
        <v>4</v>
      </c>
      <c r="CJ18" s="14" t="str">
        <f t="shared" si="3"/>
        <v>战斗夏铃-4星</v>
      </c>
      <c r="CK18" s="136" t="s">
        <v>1133</v>
      </c>
      <c r="CL18" s="14">
        <f t="shared" si="20"/>
        <v>20000</v>
      </c>
      <c r="CM18" s="14" t="str">
        <f t="shared" si="4"/>
        <v>战斗夏铃碎片</v>
      </c>
      <c r="CN18" s="14">
        <f t="shared" si="21"/>
        <v>160</v>
      </c>
    </row>
    <row r="19" spans="1:92" ht="20.25" x14ac:dyDescent="0.2">
      <c r="A19" s="14">
        <v>1102007</v>
      </c>
      <c r="B19" s="14" t="s">
        <v>188</v>
      </c>
      <c r="C19" s="14">
        <v>4</v>
      </c>
      <c r="D19" s="14">
        <v>40</v>
      </c>
      <c r="E19" s="14">
        <v>3</v>
      </c>
      <c r="F19" s="101">
        <f t="shared" si="23"/>
        <v>1502007</v>
      </c>
      <c r="G19" s="15"/>
      <c r="I19" s="186" t="s">
        <v>1114</v>
      </c>
      <c r="J19" s="186"/>
      <c r="K19" s="186"/>
      <c r="L19" s="186"/>
      <c r="M19" s="186"/>
      <c r="N19" s="186"/>
      <c r="T19" s="139">
        <v>15</v>
      </c>
      <c r="U19" s="139">
        <f>ROUND(INDEX(挂机升级突破!$BN$6:$BN$57,卡牌消耗!$T19)*INDEX(卡牌消耗!$B$8:$F$8,卡牌消耗!U$2)/$Q$4/5,0)*5</f>
        <v>1785</v>
      </c>
      <c r="V19" s="139">
        <f>ROUND(INDEX(挂机升级突破!$BN$6:$BN$57,卡牌消耗!$T19)*INDEX(卡牌消耗!$B$8:$F$8,卡牌消耗!V$2)/$Q$4/5,0)*5</f>
        <v>2545</v>
      </c>
      <c r="W19" s="139">
        <f>ROUND(INDEX(挂机升级突破!$BN$6:$BN$57,卡牌消耗!$T19)*INDEX(卡牌消耗!$B$8:$F$8,卡牌消耗!W$2)/$Q$4/5,0)*5</f>
        <v>3820</v>
      </c>
      <c r="X19" s="139">
        <f>ROUND(INDEX(挂机升级突破!$BN$6:$BN$57,卡牌消耗!$T19)*INDEX(卡牌消耗!$B$8:$F$8,卡牌消耗!X$2)/$Q$4/5,0)*5</f>
        <v>5095</v>
      </c>
      <c r="AA19" s="104">
        <v>15</v>
      </c>
      <c r="AB19" s="14">
        <f t="shared" si="5"/>
        <v>1</v>
      </c>
      <c r="AC19" s="14">
        <f>INDEX(挂机升级突破!$BU$6:$BU$57,卡牌消耗!AI19)</f>
        <v>11</v>
      </c>
      <c r="AD19" s="14">
        <f>INDEX(挂机升级突破!BV$6:BV$57,卡牌消耗!$AI19)</f>
        <v>3</v>
      </c>
      <c r="AE19" s="14">
        <f>INDEX(挂机升级突破!BW$6:BW$57,卡牌消耗!$AI19)</f>
        <v>0</v>
      </c>
      <c r="AF19" s="14" t="str">
        <f t="shared" si="6"/>
        <v>关羽</v>
      </c>
      <c r="AG19" s="14">
        <f t="shared" si="7"/>
        <v>5</v>
      </c>
      <c r="AH19" s="14" t="str">
        <f t="shared" si="8"/>
        <v>关羽魂火-15</v>
      </c>
      <c r="AI19" s="14">
        <f t="shared" si="9"/>
        <v>15</v>
      </c>
      <c r="AJ19" s="14" t="str">
        <f>INDEX(挂机升级突破!$BX$4:$CH$4,INDEX(挂机升级突破!$BU$6:$BU$57,卡牌消耗!AI19))</f>
        <v>金币</v>
      </c>
      <c r="AK19" s="14">
        <f>ROUND(INDEX(挂机升级突破!$BN$6:$BN$57,卡牌消耗!AI19)*INDEX(卡牌消耗!$B$8:$F$8,AG19)/$Q$4/50,0)*50</f>
        <v>5100</v>
      </c>
      <c r="AL19" s="14" t="str">
        <f>IF(AD19&gt;0,INDEX(挂机升级突破!$BX$4:$CH$4,AD19),"")</f>
        <v>紫色基础材料</v>
      </c>
      <c r="AM19" s="14">
        <f>ROUND(INDEX(挂机升级突破!$BX$6:$CH$57,卡牌消耗!AI19,AD19)*INDEX(卡牌消耗!$B$5:$F$5,AG19)/$Q$4/5,0)*5</f>
        <v>250</v>
      </c>
      <c r="AN19" s="14" t="str">
        <f>IF(AE19&gt;0,INDEX(挂机升级突破!$BX$4:$CH$4,AE19),"")</f>
        <v/>
      </c>
      <c r="AO19" s="14" t="str">
        <f>IF(AE19&gt;0,ROUND(INDEX(挂机升级突破!$BX$6:$CH$57,卡牌消耗!AI19,AE19)*INDEX(卡牌消耗!$B$7:$F$7,AG19)/$Q$4,0),"")</f>
        <v/>
      </c>
      <c r="AR19" s="104">
        <v>15</v>
      </c>
      <c r="AS19" s="14">
        <f t="shared" si="10"/>
        <v>1</v>
      </c>
      <c r="AT19" s="14">
        <f>INDEX(挂机升级突破!$CM$7:$CM$26,AX19)</f>
        <v>5</v>
      </c>
      <c r="AU19" s="14">
        <f>INDEX(挂机升级突破!$CN$7:$CN$26,AX19)</f>
        <v>3</v>
      </c>
      <c r="AV19" s="14">
        <f t="shared" si="11"/>
        <v>5</v>
      </c>
      <c r="AW19" s="14" t="str">
        <f t="shared" si="12"/>
        <v>关羽</v>
      </c>
      <c r="AX19" s="14">
        <f t="shared" si="13"/>
        <v>15</v>
      </c>
      <c r="AY19" s="14" t="str">
        <f t="shared" si="14"/>
        <v>关羽15突</v>
      </c>
      <c r="AZ19" s="14" t="str">
        <f>IF(AT19&gt;0,INDEX(挂机升级突破!$CV$5:$CZ$5,卡牌消耗!AT19),"")</f>
        <v>金币</v>
      </c>
      <c r="BA19" s="14">
        <f>IF(AT19&gt;0,ROUND(INDEX(挂机升级突破!$CZ$7:$CZ$26,卡牌消耗!AX19)*INDEX(卡牌消耗!$B$8:$F$8,AV19)/$Q$4/500,0)*500,"")</f>
        <v>69000</v>
      </c>
      <c r="BB19" s="14" t="str">
        <f>IF(AU19&gt;0,INDEX(挂机升级突破!$CV$5:$CZ$5,卡牌消耗!AU19),"")</f>
        <v>银母</v>
      </c>
      <c r="BC19" s="14">
        <f>IF(AU19&gt;0,ROUND(INDEX(挂机升级突破!$CV$7:$CY$26,卡牌消耗!AX19,卡牌消耗!AU19)*INDEX($B$6:$F$6,AV19)/$Q$4/5,0)*5,"")</f>
        <v>80</v>
      </c>
      <c r="BD19" s="104"/>
      <c r="BE19" s="104"/>
      <c r="BH19" s="153" t="s">
        <v>1413</v>
      </c>
      <c r="BI19" s="153">
        <v>150</v>
      </c>
      <c r="BJ19" s="153">
        <f>章节关卡!K19*节奏总表!N18*60</f>
        <v>615600</v>
      </c>
      <c r="BK19" s="153">
        <v>15</v>
      </c>
      <c r="BL19" s="153">
        <f>SUMIFS(章节关卡!$BC$5:$BC$304,章节关卡!$AY$5:$AY$304,"="&amp;卡牌消耗!BK19)</f>
        <v>67500</v>
      </c>
      <c r="BM19" s="153">
        <v>14</v>
      </c>
      <c r="BN19" s="153">
        <f>SUMIFS(章节关卡!$BK$5:$BK$304,章节关卡!$BG$5:$BG$304,"="&amp;卡牌消耗!BM19)</f>
        <v>121500</v>
      </c>
      <c r="BO19" s="153">
        <f t="shared" si="15"/>
        <v>804600</v>
      </c>
      <c r="BP19" s="153">
        <v>1</v>
      </c>
      <c r="BQ19" s="153">
        <f t="shared" si="16"/>
        <v>80460</v>
      </c>
      <c r="BR19" s="153">
        <v>10</v>
      </c>
      <c r="BU19" s="15"/>
      <c r="BV19" s="15"/>
      <c r="BW19" s="50">
        <v>15</v>
      </c>
      <c r="BX19" s="66">
        <v>14</v>
      </c>
      <c r="BY19" s="21">
        <f t="shared" si="28"/>
        <v>9.5890410958904104E-2</v>
      </c>
      <c r="BZ19" s="65" t="e">
        <f t="shared" si="29"/>
        <v>#REF!</v>
      </c>
      <c r="CA19" s="50" t="e">
        <f>SUM(BZ$5:BZ19)</f>
        <v>#REF!</v>
      </c>
      <c r="CD19" s="136">
        <v>15</v>
      </c>
      <c r="CE19" s="14">
        <f t="shared" si="19"/>
        <v>3</v>
      </c>
      <c r="CF19" s="14">
        <f t="shared" si="0"/>
        <v>3</v>
      </c>
      <c r="CG19" s="14">
        <f t="shared" si="1"/>
        <v>1101003</v>
      </c>
      <c r="CH19" s="136" t="s">
        <v>1127</v>
      </c>
      <c r="CI19" s="14">
        <f t="shared" si="2"/>
        <v>5</v>
      </c>
      <c r="CJ19" s="14" t="str">
        <f t="shared" si="3"/>
        <v>战斗夏铃-5星</v>
      </c>
      <c r="CK19" s="136" t="s">
        <v>1133</v>
      </c>
      <c r="CL19" s="14">
        <f t="shared" si="20"/>
        <v>40000</v>
      </c>
      <c r="CM19" s="14" t="str">
        <f t="shared" si="4"/>
        <v>战斗夏铃碎片</v>
      </c>
      <c r="CN19" s="14">
        <f t="shared" si="21"/>
        <v>240</v>
      </c>
    </row>
    <row r="20" spans="1:92" ht="17.25" x14ac:dyDescent="0.2">
      <c r="A20" s="14">
        <v>1102008</v>
      </c>
      <c r="B20" s="14" t="s">
        <v>189</v>
      </c>
      <c r="C20" s="14">
        <v>4</v>
      </c>
      <c r="D20" s="14">
        <v>80</v>
      </c>
      <c r="E20" s="14">
        <v>1</v>
      </c>
      <c r="F20" s="101">
        <f t="shared" si="23"/>
        <v>1502008</v>
      </c>
      <c r="G20" s="15"/>
      <c r="I20" s="12" t="s">
        <v>384</v>
      </c>
      <c r="J20" s="23" t="s">
        <v>1104</v>
      </c>
      <c r="K20" s="12" t="s">
        <v>171</v>
      </c>
      <c r="L20" s="12" t="s">
        <v>172</v>
      </c>
      <c r="M20" s="12" t="s">
        <v>173</v>
      </c>
      <c r="N20" s="12" t="s">
        <v>383</v>
      </c>
      <c r="T20" s="139">
        <v>16</v>
      </c>
      <c r="U20" s="139">
        <f>ROUND(INDEX(挂机升级突破!$BN$6:$BN$57,卡牌消耗!$T20)*INDEX(卡牌消耗!$B$8:$F$8,卡牌消耗!U$2)/$Q$4/5,0)*5</f>
        <v>1785</v>
      </c>
      <c r="V20" s="139">
        <f>ROUND(INDEX(挂机升级突破!$BN$6:$BN$57,卡牌消耗!$T20)*INDEX(卡牌消耗!$B$8:$F$8,卡牌消耗!V$2)/$Q$4/5,0)*5</f>
        <v>2545</v>
      </c>
      <c r="W20" s="139">
        <f>ROUND(INDEX(挂机升级突破!$BN$6:$BN$57,卡牌消耗!$T20)*INDEX(卡牌消耗!$B$8:$F$8,卡牌消耗!W$2)/$Q$4/5,0)*5</f>
        <v>3820</v>
      </c>
      <c r="X20" s="139">
        <f>ROUND(INDEX(挂机升级突破!$BN$6:$BN$57,卡牌消耗!$T20)*INDEX(卡牌消耗!$B$8:$F$8,卡牌消耗!X$2)/$Q$4/5,0)*5</f>
        <v>5095</v>
      </c>
      <c r="AA20" s="104">
        <v>16</v>
      </c>
      <c r="AB20" s="14">
        <f t="shared" si="5"/>
        <v>1</v>
      </c>
      <c r="AC20" s="14">
        <f>INDEX(挂机升级突破!$BU$6:$BU$57,卡牌消耗!AI20)</f>
        <v>11</v>
      </c>
      <c r="AD20" s="14">
        <f>INDEX(挂机升级突破!BV$6:BV$57,卡牌消耗!$AI20)</f>
        <v>3</v>
      </c>
      <c r="AE20" s="14">
        <f>INDEX(挂机升级突破!BW$6:BW$57,卡牌消耗!$AI20)</f>
        <v>0</v>
      </c>
      <c r="AF20" s="14" t="str">
        <f t="shared" si="6"/>
        <v>关羽</v>
      </c>
      <c r="AG20" s="14">
        <f t="shared" si="7"/>
        <v>5</v>
      </c>
      <c r="AH20" s="14" t="str">
        <f t="shared" si="8"/>
        <v>关羽魂火-16</v>
      </c>
      <c r="AI20" s="14">
        <f t="shared" si="9"/>
        <v>16</v>
      </c>
      <c r="AJ20" s="14" t="str">
        <f>INDEX(挂机升级突破!$BX$4:$CH$4,INDEX(挂机升级突破!$BU$6:$BU$57,卡牌消耗!AI20))</f>
        <v>金币</v>
      </c>
      <c r="AK20" s="14">
        <f>ROUND(INDEX(挂机升级突破!$BN$6:$BN$57,卡牌消耗!AI20)*INDEX(卡牌消耗!$B$8:$F$8,AG20)/$Q$4/50,0)*50</f>
        <v>5100</v>
      </c>
      <c r="AL20" s="14" t="str">
        <f>IF(AD20&gt;0,INDEX(挂机升级突破!$BX$4:$CH$4,AD20),"")</f>
        <v>紫色基础材料</v>
      </c>
      <c r="AM20" s="14">
        <f>ROUND(INDEX(挂机升级突破!$BX$6:$CH$57,卡牌消耗!AI20,AD20)*INDEX(卡牌消耗!$B$5:$F$5,AG20)/$Q$4/5,0)*5</f>
        <v>250</v>
      </c>
      <c r="AN20" s="14" t="str">
        <f>IF(AE20&gt;0,INDEX(挂机升级突破!$BX$4:$CH$4,AE20),"")</f>
        <v/>
      </c>
      <c r="AO20" s="14" t="str">
        <f>IF(AE20&gt;0,ROUND(INDEX(挂机升级突破!$BX$6:$CH$57,卡牌消耗!AI20,AE20)*INDEX(卡牌消耗!$B$7:$F$7,AG20)/$Q$4,0),"")</f>
        <v/>
      </c>
      <c r="AR20" s="104">
        <v>16</v>
      </c>
      <c r="AS20" s="14">
        <f t="shared" si="10"/>
        <v>1</v>
      </c>
      <c r="AT20" s="14">
        <f>INDEX(挂机升级突破!$CM$7:$CM$26,AX20)</f>
        <v>5</v>
      </c>
      <c r="AU20" s="14">
        <f>INDEX(挂机升级突破!$CN$7:$CN$26,AX20)</f>
        <v>3</v>
      </c>
      <c r="AV20" s="14">
        <f t="shared" si="11"/>
        <v>5</v>
      </c>
      <c r="AW20" s="14" t="str">
        <f t="shared" si="12"/>
        <v>关羽</v>
      </c>
      <c r="AX20" s="14">
        <f t="shared" si="13"/>
        <v>16</v>
      </c>
      <c r="AY20" s="14" t="str">
        <f t="shared" si="14"/>
        <v>关羽16突</v>
      </c>
      <c r="AZ20" s="14" t="str">
        <f>IF(AT20&gt;0,INDEX(挂机升级突破!$CV$5:$CZ$5,卡牌消耗!AT20),"")</f>
        <v>金币</v>
      </c>
      <c r="BA20" s="14">
        <f>IF(AT20&gt;0,ROUND(INDEX(挂机升级突破!$CZ$7:$CZ$26,卡牌消耗!AX20)*INDEX(卡牌消耗!$B$8:$F$8,AV20)/$Q$4/500,0)*500,"")</f>
        <v>125500</v>
      </c>
      <c r="BB20" s="14" t="str">
        <f>IF(AU20&gt;0,INDEX(挂机升级突破!$CV$5:$CZ$5,卡牌消耗!AU20),"")</f>
        <v>银母</v>
      </c>
      <c r="BC20" s="14">
        <f>IF(AU20&gt;0,ROUND(INDEX(挂机升级突破!$CV$7:$CY$26,卡牌消耗!AX20,卡牌消耗!AU20)*INDEX($B$6:$F$6,AV20)/$Q$4/5,0)*5,"")</f>
        <v>105</v>
      </c>
      <c r="BD20" s="104"/>
      <c r="BE20" s="104"/>
      <c r="BH20" s="153" t="s">
        <v>1414</v>
      </c>
      <c r="BI20" s="153"/>
      <c r="BJ20" s="153"/>
      <c r="BK20" s="153"/>
      <c r="BL20" s="153"/>
      <c r="BM20" s="153"/>
      <c r="BN20" s="153"/>
      <c r="BO20" s="153"/>
      <c r="BP20" s="153"/>
      <c r="BQ20" s="153"/>
      <c r="BR20" s="153"/>
      <c r="BU20" s="15"/>
      <c r="BV20" s="15"/>
      <c r="BW20" s="50">
        <v>16</v>
      </c>
      <c r="BX20" s="66">
        <v>15</v>
      </c>
      <c r="BY20" s="21">
        <f t="shared" si="28"/>
        <v>0.10273972602739725</v>
      </c>
      <c r="BZ20" s="65" t="e">
        <f t="shared" si="29"/>
        <v>#REF!</v>
      </c>
      <c r="CA20" s="50" t="e">
        <f>SUM(BZ$5:BZ20)</f>
        <v>#REF!</v>
      </c>
      <c r="CD20" s="136">
        <v>16</v>
      </c>
      <c r="CE20" s="14">
        <f t="shared" si="19"/>
        <v>4</v>
      </c>
      <c r="CF20" s="14">
        <f t="shared" si="0"/>
        <v>4</v>
      </c>
      <c r="CG20" s="14">
        <f t="shared" si="1"/>
        <v>1101004</v>
      </c>
      <c r="CH20" s="136" t="s">
        <v>1127</v>
      </c>
      <c r="CI20" s="14">
        <f t="shared" si="2"/>
        <v>1</v>
      </c>
      <c r="CJ20" s="14" t="str">
        <f t="shared" si="3"/>
        <v>项昆仑-1星</v>
      </c>
      <c r="CK20" s="136" t="s">
        <v>1133</v>
      </c>
      <c r="CL20" s="14">
        <f t="shared" si="20"/>
        <v>6000</v>
      </c>
      <c r="CM20" s="14" t="str">
        <f t="shared" si="4"/>
        <v>项昆仑碎片</v>
      </c>
      <c r="CN20" s="14">
        <f t="shared" si="21"/>
        <v>80</v>
      </c>
    </row>
    <row r="21" spans="1:92" ht="16.5" x14ac:dyDescent="0.2">
      <c r="A21" s="14">
        <v>1102009</v>
      </c>
      <c r="B21" s="14" t="s">
        <v>190</v>
      </c>
      <c r="C21" s="14">
        <v>3</v>
      </c>
      <c r="D21" s="14">
        <v>80</v>
      </c>
      <c r="E21" s="14">
        <v>1</v>
      </c>
      <c r="F21" s="101">
        <f t="shared" si="23"/>
        <v>1502009</v>
      </c>
      <c r="G21" s="15"/>
      <c r="I21" s="136">
        <v>1</v>
      </c>
      <c r="J21" s="136"/>
      <c r="K21" s="136">
        <v>3000</v>
      </c>
      <c r="L21" s="136">
        <v>4000</v>
      </c>
      <c r="M21" s="136">
        <v>6000</v>
      </c>
      <c r="N21" s="136">
        <v>9000</v>
      </c>
      <c r="T21" s="139">
        <v>17</v>
      </c>
      <c r="U21" s="139">
        <f>ROUND(INDEX(挂机升级突破!$BN$6:$BN$57,卡牌消耗!$T21)*INDEX(卡牌消耗!$B$8:$F$8,卡牌消耗!U$2)/$Q$4/5,0)*5</f>
        <v>2230</v>
      </c>
      <c r="V21" s="139">
        <f>ROUND(INDEX(挂机升级突破!$BN$6:$BN$57,卡牌消耗!$T21)*INDEX(卡牌消耗!$B$8:$F$8,卡牌消耗!V$2)/$Q$4/5,0)*5</f>
        <v>3185</v>
      </c>
      <c r="W21" s="139">
        <f>ROUND(INDEX(挂机升级突破!$BN$6:$BN$57,卡牌消耗!$T21)*INDEX(卡牌消耗!$B$8:$F$8,卡牌消耗!W$2)/$Q$4/5,0)*5</f>
        <v>4775</v>
      </c>
      <c r="X21" s="139">
        <f>ROUND(INDEX(挂机升级突破!$BN$6:$BN$57,卡牌消耗!$T21)*INDEX(卡牌消耗!$B$8:$F$8,卡牌消耗!X$2)/$Q$4/5,0)*5</f>
        <v>6365</v>
      </c>
      <c r="AA21" s="104">
        <v>17</v>
      </c>
      <c r="AB21" s="14">
        <f t="shared" si="5"/>
        <v>1</v>
      </c>
      <c r="AC21" s="14">
        <f>INDEX(挂机升级突破!$BU$6:$BU$57,卡牌消耗!AI21)</f>
        <v>11</v>
      </c>
      <c r="AD21" s="14">
        <f>INDEX(挂机升级突破!BV$6:BV$57,卡牌消耗!$AI21)</f>
        <v>3</v>
      </c>
      <c r="AE21" s="14">
        <f>INDEX(挂机升级突破!BW$6:BW$57,卡牌消耗!$AI21)</f>
        <v>0</v>
      </c>
      <c r="AF21" s="14" t="str">
        <f t="shared" si="6"/>
        <v>关羽</v>
      </c>
      <c r="AG21" s="14">
        <f t="shared" si="7"/>
        <v>5</v>
      </c>
      <c r="AH21" s="14" t="str">
        <f t="shared" si="8"/>
        <v>关羽魂火-17</v>
      </c>
      <c r="AI21" s="14">
        <f t="shared" si="9"/>
        <v>17</v>
      </c>
      <c r="AJ21" s="14" t="str">
        <f>INDEX(挂机升级突破!$BX$4:$CH$4,INDEX(挂机升级突破!$BU$6:$BU$57,卡牌消耗!AI21))</f>
        <v>金币</v>
      </c>
      <c r="AK21" s="14">
        <f>ROUND(INDEX(挂机升级突破!$BN$6:$BN$57,卡牌消耗!AI21)*INDEX(卡牌消耗!$B$8:$F$8,AG21)/$Q$4/50,0)*50</f>
        <v>6350</v>
      </c>
      <c r="AL21" s="14" t="str">
        <f>IF(AD21&gt;0,INDEX(挂机升级突破!$BX$4:$CH$4,AD21),"")</f>
        <v>紫色基础材料</v>
      </c>
      <c r="AM21" s="14">
        <f>ROUND(INDEX(挂机升级突破!$BX$6:$CH$57,卡牌消耗!AI21,AD21)*INDEX(卡牌消耗!$B$5:$F$5,AG21)/$Q$4/5,0)*5</f>
        <v>505</v>
      </c>
      <c r="AN21" s="14" t="str">
        <f>IF(AE21&gt;0,INDEX(挂机升级突破!$BX$4:$CH$4,AE21),"")</f>
        <v/>
      </c>
      <c r="AO21" s="14" t="str">
        <f>IF(AE21&gt;0,ROUND(INDEX(挂机升级突破!$BX$6:$CH$57,卡牌消耗!AI21,AE21)*INDEX(卡牌消耗!$B$7:$F$7,AG21)/$Q$4,0),"")</f>
        <v/>
      </c>
      <c r="AR21" s="104">
        <v>17</v>
      </c>
      <c r="AS21" s="14">
        <f t="shared" si="10"/>
        <v>1</v>
      </c>
      <c r="AT21" s="14">
        <f>INDEX(挂机升级突破!$CM$7:$CM$26,AX21)</f>
        <v>5</v>
      </c>
      <c r="AU21" s="14">
        <f>INDEX(挂机升级突破!$CN$7:$CN$26,AX21)</f>
        <v>4</v>
      </c>
      <c r="AV21" s="14">
        <f t="shared" si="11"/>
        <v>5</v>
      </c>
      <c r="AW21" s="14" t="str">
        <f t="shared" si="12"/>
        <v>关羽</v>
      </c>
      <c r="AX21" s="14">
        <f t="shared" si="13"/>
        <v>17</v>
      </c>
      <c r="AY21" s="14" t="str">
        <f t="shared" si="14"/>
        <v>关羽17突</v>
      </c>
      <c r="AZ21" s="14" t="str">
        <f>IF(AT21&gt;0,INDEX(挂机升级突破!$CV$5:$CZ$5,卡牌消耗!AT21),"")</f>
        <v>金币</v>
      </c>
      <c r="BA21" s="14">
        <f>IF(AT21&gt;0,ROUND(INDEX(挂机升级突破!$CZ$7:$CZ$26,卡牌消耗!AX21)*INDEX(卡牌消耗!$B$8:$F$8,AV21)/$Q$4/500,0)*500,"")</f>
        <v>125500</v>
      </c>
      <c r="BB21" s="14" t="str">
        <f>IF(AU21&gt;0,INDEX(挂机升级突破!$CV$5:$CZ$5,卡牌消耗!AU21),"")</f>
        <v>铀金</v>
      </c>
      <c r="BC21" s="14">
        <f>IF(AU21&gt;0,ROUND(INDEX(挂机升级突破!$CV$7:$CY$26,卡牌消耗!AX21,卡牌消耗!AU21)*INDEX($B$6:$F$6,AV21)/$Q$4/5,0)*5,"")</f>
        <v>35</v>
      </c>
      <c r="BD21" s="104"/>
      <c r="BE21" s="104"/>
      <c r="BH21" s="153" t="s">
        <v>1415</v>
      </c>
      <c r="BI21" s="153"/>
      <c r="BJ21" s="153"/>
      <c r="BK21" s="153"/>
      <c r="BL21" s="153"/>
      <c r="BM21" s="153"/>
      <c r="BN21" s="153"/>
      <c r="BO21" s="153"/>
      <c r="BP21" s="153"/>
      <c r="BQ21" s="153"/>
      <c r="BR21" s="153"/>
      <c r="BU21" s="15"/>
      <c r="BV21" s="15"/>
      <c r="BW21" s="50">
        <v>17</v>
      </c>
      <c r="BX21" s="66">
        <v>16</v>
      </c>
      <c r="BY21" s="21">
        <f t="shared" si="28"/>
        <v>0.1095890410958904</v>
      </c>
      <c r="BZ21" s="65" t="e">
        <f t="shared" si="29"/>
        <v>#REF!</v>
      </c>
      <c r="CA21" s="50" t="e">
        <f>SUM(BZ$5:BZ21)</f>
        <v>#REF!</v>
      </c>
      <c r="CD21" s="136">
        <v>17</v>
      </c>
      <c r="CE21" s="14">
        <f t="shared" si="19"/>
        <v>4</v>
      </c>
      <c r="CF21" s="14">
        <f t="shared" si="0"/>
        <v>4</v>
      </c>
      <c r="CG21" s="14">
        <f t="shared" si="1"/>
        <v>1101004</v>
      </c>
      <c r="CH21" s="136" t="s">
        <v>1127</v>
      </c>
      <c r="CI21" s="14">
        <f t="shared" si="2"/>
        <v>2</v>
      </c>
      <c r="CJ21" s="14" t="str">
        <f t="shared" si="3"/>
        <v>项昆仑-2星</v>
      </c>
      <c r="CK21" s="136" t="s">
        <v>1133</v>
      </c>
      <c r="CL21" s="14">
        <f t="shared" si="20"/>
        <v>8000</v>
      </c>
      <c r="CM21" s="14" t="str">
        <f t="shared" si="4"/>
        <v>项昆仑碎片</v>
      </c>
      <c r="CN21" s="14">
        <f t="shared" si="21"/>
        <v>80</v>
      </c>
    </row>
    <row r="22" spans="1:92" ht="16.5" x14ac:dyDescent="0.2">
      <c r="A22" s="14">
        <v>1102010</v>
      </c>
      <c r="B22" s="14" t="s">
        <v>191</v>
      </c>
      <c r="C22" s="14">
        <v>4</v>
      </c>
      <c r="D22" s="14">
        <v>80</v>
      </c>
      <c r="E22" s="14">
        <v>1</v>
      </c>
      <c r="F22" s="101">
        <f t="shared" si="23"/>
        <v>1502010</v>
      </c>
      <c r="G22" s="15"/>
      <c r="I22" s="136">
        <v>2</v>
      </c>
      <c r="J22" s="136"/>
      <c r="K22" s="136">
        <v>3500</v>
      </c>
      <c r="L22" s="136">
        <v>5000</v>
      </c>
      <c r="M22" s="136">
        <v>8000</v>
      </c>
      <c r="N22" s="136">
        <v>12000</v>
      </c>
      <c r="T22" s="139">
        <v>18</v>
      </c>
      <c r="U22" s="139">
        <f>ROUND(INDEX(挂机升级突破!$BN$6:$BN$57,卡牌消耗!$T22)*INDEX(卡牌消耗!$B$8:$F$8,卡牌消耗!U$2)/$Q$4/5,0)*5</f>
        <v>2230</v>
      </c>
      <c r="V22" s="139">
        <f>ROUND(INDEX(挂机升级突破!$BN$6:$BN$57,卡牌消耗!$T22)*INDEX(卡牌消耗!$B$8:$F$8,卡牌消耗!V$2)/$Q$4/5,0)*5</f>
        <v>3185</v>
      </c>
      <c r="W22" s="139">
        <f>ROUND(INDEX(挂机升级突破!$BN$6:$BN$57,卡牌消耗!$T22)*INDEX(卡牌消耗!$B$8:$F$8,卡牌消耗!W$2)/$Q$4/5,0)*5</f>
        <v>4775</v>
      </c>
      <c r="X22" s="139">
        <f>ROUND(INDEX(挂机升级突破!$BN$6:$BN$57,卡牌消耗!$T22)*INDEX(卡牌消耗!$B$8:$F$8,卡牌消耗!X$2)/$Q$4/5,0)*5</f>
        <v>6365</v>
      </c>
      <c r="AA22" s="104">
        <v>18</v>
      </c>
      <c r="AB22" s="14">
        <f t="shared" si="5"/>
        <v>1</v>
      </c>
      <c r="AC22" s="14">
        <f>INDEX(挂机升级突破!$BU$6:$BU$57,卡牌消耗!AI22)</f>
        <v>11</v>
      </c>
      <c r="AD22" s="14">
        <f>INDEX(挂机升级突破!BV$6:BV$57,卡牌消耗!$AI22)</f>
        <v>3</v>
      </c>
      <c r="AE22" s="14">
        <f>INDEX(挂机升级突破!BW$6:BW$57,卡牌消耗!$AI22)</f>
        <v>0</v>
      </c>
      <c r="AF22" s="14" t="str">
        <f t="shared" si="6"/>
        <v>关羽</v>
      </c>
      <c r="AG22" s="14">
        <f t="shared" si="7"/>
        <v>5</v>
      </c>
      <c r="AH22" s="14" t="str">
        <f t="shared" si="8"/>
        <v>关羽魂火-18</v>
      </c>
      <c r="AI22" s="14">
        <f t="shared" si="9"/>
        <v>18</v>
      </c>
      <c r="AJ22" s="14" t="str">
        <f>INDEX(挂机升级突破!$BX$4:$CH$4,INDEX(挂机升级突破!$BU$6:$BU$57,卡牌消耗!AI22))</f>
        <v>金币</v>
      </c>
      <c r="AK22" s="14">
        <f>ROUND(INDEX(挂机升级突破!$BN$6:$BN$57,卡牌消耗!AI22)*INDEX(卡牌消耗!$B$8:$F$8,AG22)/$Q$4/50,0)*50</f>
        <v>6350</v>
      </c>
      <c r="AL22" s="14" t="str">
        <f>IF(AD22&gt;0,INDEX(挂机升级突破!$BX$4:$CH$4,AD22),"")</f>
        <v>紫色基础材料</v>
      </c>
      <c r="AM22" s="14">
        <f>ROUND(INDEX(挂机升级突破!$BX$6:$CH$57,卡牌消耗!AI22,AD22)*INDEX(卡牌消耗!$B$5:$F$5,AG22)/$Q$4/5,0)*5</f>
        <v>505</v>
      </c>
      <c r="AN22" s="14" t="str">
        <f>IF(AE22&gt;0,INDEX(挂机升级突破!$BX$4:$CH$4,AE22),"")</f>
        <v/>
      </c>
      <c r="AO22" s="14" t="str">
        <f>IF(AE22&gt;0,ROUND(INDEX(挂机升级突破!$BX$6:$CH$57,卡牌消耗!AI22,AE22)*INDEX(卡牌消耗!$B$7:$F$7,AG22)/$Q$4,0),"")</f>
        <v/>
      </c>
      <c r="AR22" s="104">
        <v>18</v>
      </c>
      <c r="AS22" s="14">
        <f t="shared" si="10"/>
        <v>1</v>
      </c>
      <c r="AT22" s="14">
        <f>INDEX(挂机升级突破!$CM$7:$CM$26,AX22)</f>
        <v>5</v>
      </c>
      <c r="AU22" s="14">
        <f>INDEX(挂机升级突破!$CN$7:$CN$26,AX22)</f>
        <v>4</v>
      </c>
      <c r="AV22" s="14">
        <f t="shared" si="11"/>
        <v>5</v>
      </c>
      <c r="AW22" s="14" t="str">
        <f t="shared" si="12"/>
        <v>关羽</v>
      </c>
      <c r="AX22" s="14">
        <f t="shared" si="13"/>
        <v>18</v>
      </c>
      <c r="AY22" s="14" t="str">
        <f t="shared" si="14"/>
        <v>关羽18突</v>
      </c>
      <c r="AZ22" s="14" t="str">
        <f>IF(AT22&gt;0,INDEX(挂机升级突破!$CV$5:$CZ$5,卡牌消耗!AT22),"")</f>
        <v>金币</v>
      </c>
      <c r="BA22" s="14">
        <f>IF(AT22&gt;0,ROUND(INDEX(挂机升级突破!$CZ$7:$CZ$26,卡牌消耗!AX22)*INDEX(卡牌消耗!$B$8:$F$8,AV22)/$Q$4/500,0)*500,"")</f>
        <v>167000</v>
      </c>
      <c r="BB22" s="14" t="str">
        <f>IF(AU22&gt;0,INDEX(挂机升级突破!$CV$5:$CZ$5,卡牌消耗!AU22),"")</f>
        <v>铀金</v>
      </c>
      <c r="BC22" s="14">
        <f>IF(AU22&gt;0,ROUND(INDEX(挂机升级突破!$CV$7:$CY$26,卡牌消耗!AX22,卡牌消耗!AU22)*INDEX($B$6:$F$6,AV22)/$Q$4/5,0)*5,"")</f>
        <v>50</v>
      </c>
      <c r="BD22" s="104"/>
      <c r="BE22" s="104"/>
      <c r="BH22" s="153" t="s">
        <v>1416</v>
      </c>
      <c r="BI22" s="153"/>
      <c r="BJ22" s="153"/>
      <c r="BK22" s="153"/>
      <c r="BL22" s="153"/>
      <c r="BM22" s="153"/>
      <c r="BN22" s="153"/>
      <c r="BO22" s="153"/>
      <c r="BP22" s="153"/>
      <c r="BQ22" s="153"/>
      <c r="BR22" s="153"/>
      <c r="BU22" s="15"/>
      <c r="BV22" s="15"/>
      <c r="BW22" s="50">
        <v>18</v>
      </c>
      <c r="BX22" s="66">
        <v>17</v>
      </c>
      <c r="BY22" s="21">
        <f t="shared" si="28"/>
        <v>0.11643835616438356</v>
      </c>
      <c r="BZ22" s="65" t="e">
        <f t="shared" si="29"/>
        <v>#REF!</v>
      </c>
      <c r="CA22" s="50" t="e">
        <f>SUM(BZ$5:BZ22)</f>
        <v>#REF!</v>
      </c>
      <c r="CD22" s="136">
        <v>18</v>
      </c>
      <c r="CE22" s="14">
        <f t="shared" si="19"/>
        <v>4</v>
      </c>
      <c r="CF22" s="14">
        <f t="shared" si="0"/>
        <v>4</v>
      </c>
      <c r="CG22" s="14">
        <f t="shared" si="1"/>
        <v>1101004</v>
      </c>
      <c r="CH22" s="136" t="s">
        <v>1127</v>
      </c>
      <c r="CI22" s="14">
        <f t="shared" si="2"/>
        <v>3</v>
      </c>
      <c r="CJ22" s="14" t="str">
        <f t="shared" si="3"/>
        <v>项昆仑-3星</v>
      </c>
      <c r="CK22" s="136" t="s">
        <v>1133</v>
      </c>
      <c r="CL22" s="14">
        <f t="shared" si="20"/>
        <v>14000</v>
      </c>
      <c r="CM22" s="14" t="str">
        <f t="shared" si="4"/>
        <v>项昆仑碎片</v>
      </c>
      <c r="CN22" s="14">
        <f t="shared" si="21"/>
        <v>160</v>
      </c>
    </row>
    <row r="23" spans="1:92" ht="16.5" x14ac:dyDescent="0.2">
      <c r="A23" s="14">
        <v>1102011</v>
      </c>
      <c r="B23" s="14" t="s">
        <v>192</v>
      </c>
      <c r="C23" s="14">
        <v>4</v>
      </c>
      <c r="D23" s="14">
        <v>80</v>
      </c>
      <c r="E23" s="14">
        <v>3</v>
      </c>
      <c r="F23" s="101">
        <f t="shared" si="23"/>
        <v>1502011</v>
      </c>
      <c r="G23" s="15"/>
      <c r="I23" s="136">
        <v>3</v>
      </c>
      <c r="J23" s="136"/>
      <c r="K23" s="136">
        <v>7000</v>
      </c>
      <c r="L23" s="136">
        <v>10000</v>
      </c>
      <c r="M23" s="136">
        <v>14000</v>
      </c>
      <c r="N23" s="136">
        <v>20000</v>
      </c>
      <c r="T23" s="139">
        <v>19</v>
      </c>
      <c r="U23" s="139">
        <f>ROUND(INDEX(挂机升级突破!$BN$6:$BN$57,卡牌消耗!$T23)*INDEX(卡牌消耗!$B$8:$F$8,卡牌消耗!U$2)/$Q$4/5,0)*5</f>
        <v>2230</v>
      </c>
      <c r="V23" s="139">
        <f>ROUND(INDEX(挂机升级突破!$BN$6:$BN$57,卡牌消耗!$T23)*INDEX(卡牌消耗!$B$8:$F$8,卡牌消耗!V$2)/$Q$4/5,0)*5</f>
        <v>3185</v>
      </c>
      <c r="W23" s="139">
        <f>ROUND(INDEX(挂机升级突破!$BN$6:$BN$57,卡牌消耗!$T23)*INDEX(卡牌消耗!$B$8:$F$8,卡牌消耗!W$2)/$Q$4/5,0)*5</f>
        <v>4775</v>
      </c>
      <c r="X23" s="139">
        <f>ROUND(INDEX(挂机升级突破!$BN$6:$BN$57,卡牌消耗!$T23)*INDEX(卡牌消耗!$B$8:$F$8,卡牌消耗!X$2)/$Q$4/5,0)*5</f>
        <v>6365</v>
      </c>
      <c r="AA23" s="104">
        <v>19</v>
      </c>
      <c r="AB23" s="14">
        <f t="shared" si="5"/>
        <v>1</v>
      </c>
      <c r="AC23" s="14">
        <f>INDEX(挂机升级突破!$BU$6:$BU$57,卡牌消耗!AI23)</f>
        <v>11</v>
      </c>
      <c r="AD23" s="14">
        <f>INDEX(挂机升级突破!BV$6:BV$57,卡牌消耗!$AI23)</f>
        <v>3</v>
      </c>
      <c r="AE23" s="14">
        <f>INDEX(挂机升级突破!BW$6:BW$57,卡牌消耗!$AI23)</f>
        <v>0</v>
      </c>
      <c r="AF23" s="14" t="str">
        <f t="shared" si="6"/>
        <v>关羽</v>
      </c>
      <c r="AG23" s="14">
        <f t="shared" si="7"/>
        <v>5</v>
      </c>
      <c r="AH23" s="14" t="str">
        <f t="shared" si="8"/>
        <v>关羽魂火-19</v>
      </c>
      <c r="AI23" s="14">
        <f t="shared" si="9"/>
        <v>19</v>
      </c>
      <c r="AJ23" s="14" t="str">
        <f>INDEX(挂机升级突破!$BX$4:$CH$4,INDEX(挂机升级突破!$BU$6:$BU$57,卡牌消耗!AI23))</f>
        <v>金币</v>
      </c>
      <c r="AK23" s="14">
        <f>ROUND(INDEX(挂机升级突破!$BN$6:$BN$57,卡牌消耗!AI23)*INDEX(卡牌消耗!$B$8:$F$8,AG23)/$Q$4/50,0)*50</f>
        <v>6350</v>
      </c>
      <c r="AL23" s="14" t="str">
        <f>IF(AD23&gt;0,INDEX(挂机升级突破!$BX$4:$CH$4,AD23),"")</f>
        <v>紫色基础材料</v>
      </c>
      <c r="AM23" s="14">
        <f>ROUND(INDEX(挂机升级突破!$BX$6:$CH$57,卡牌消耗!AI23,AD23)*INDEX(卡牌消耗!$B$5:$F$5,AG23)/$Q$4/5,0)*5</f>
        <v>505</v>
      </c>
      <c r="AN23" s="14" t="str">
        <f>IF(AE23&gt;0,INDEX(挂机升级突破!$BX$4:$CH$4,AE23),"")</f>
        <v/>
      </c>
      <c r="AO23" s="14" t="str">
        <f>IF(AE23&gt;0,ROUND(INDEX(挂机升级突破!$BX$6:$CH$57,卡牌消耗!AI23,AE23)*INDEX(卡牌消耗!$B$7:$F$7,AG23)/$Q$4,0),"")</f>
        <v/>
      </c>
      <c r="AR23" s="104">
        <v>19</v>
      </c>
      <c r="AS23" s="14">
        <f t="shared" si="10"/>
        <v>1</v>
      </c>
      <c r="AT23" s="14">
        <f>INDEX(挂机升级突破!$CM$7:$CM$26,AX23)</f>
        <v>5</v>
      </c>
      <c r="AU23" s="14">
        <f>INDEX(挂机升级突破!$CN$7:$CN$26,AX23)</f>
        <v>4</v>
      </c>
      <c r="AV23" s="14">
        <f t="shared" si="11"/>
        <v>5</v>
      </c>
      <c r="AW23" s="14" t="str">
        <f t="shared" si="12"/>
        <v>关羽</v>
      </c>
      <c r="AX23" s="14">
        <f t="shared" si="13"/>
        <v>19</v>
      </c>
      <c r="AY23" s="14" t="str">
        <f t="shared" si="14"/>
        <v>关羽19突</v>
      </c>
      <c r="AZ23" s="14" t="str">
        <f>IF(AT23&gt;0,INDEX(挂机升级突破!$CV$5:$CZ$5,卡牌消耗!AT23),"")</f>
        <v>金币</v>
      </c>
      <c r="BA23" s="14">
        <f>IF(AT23&gt;0,ROUND(INDEX(挂机升级突破!$CZ$7:$CZ$26,卡牌消耗!AX23)*INDEX(卡牌消耗!$B$8:$F$8,AV23)/$Q$4/500,0)*500,"")</f>
        <v>1013000</v>
      </c>
      <c r="BB23" s="14" t="str">
        <f>IF(AU23&gt;0,INDEX(挂机升级突破!$CV$5:$CZ$5,卡牌消耗!AU23),"")</f>
        <v>铀金</v>
      </c>
      <c r="BC23" s="14">
        <f>IF(AU23&gt;0,ROUND(INDEX(挂机升级突破!$CV$7:$CY$26,卡牌消耗!AX23,卡牌消耗!AU23)*INDEX($B$6:$F$6,AV23)/$Q$4/5,0)*5,"")</f>
        <v>70</v>
      </c>
      <c r="BD23" s="104"/>
      <c r="BE23" s="104"/>
      <c r="BH23" s="153" t="s">
        <v>1417</v>
      </c>
      <c r="BI23" s="153"/>
      <c r="BJ23" s="153"/>
      <c r="BK23" s="153"/>
      <c r="BL23" s="153"/>
      <c r="BM23" s="153"/>
      <c r="BN23" s="153"/>
      <c r="BO23" s="153"/>
      <c r="BP23" s="153"/>
      <c r="BQ23" s="153"/>
      <c r="BR23" s="153"/>
      <c r="BU23" s="15"/>
      <c r="BV23" s="15"/>
      <c r="BW23" s="50">
        <v>19</v>
      </c>
      <c r="BX23" s="66">
        <v>18</v>
      </c>
      <c r="BY23" s="21">
        <f t="shared" si="28"/>
        <v>0.12328767123287671</v>
      </c>
      <c r="BZ23" s="65" t="e">
        <f t="shared" si="29"/>
        <v>#REF!</v>
      </c>
      <c r="CA23" s="50" t="e">
        <f>SUM(BZ$5:BZ23)</f>
        <v>#REF!</v>
      </c>
      <c r="CD23" s="136">
        <v>19</v>
      </c>
      <c r="CE23" s="14">
        <f t="shared" si="19"/>
        <v>4</v>
      </c>
      <c r="CF23" s="14">
        <f t="shared" si="0"/>
        <v>4</v>
      </c>
      <c r="CG23" s="14">
        <f t="shared" si="1"/>
        <v>1101004</v>
      </c>
      <c r="CH23" s="136" t="s">
        <v>1127</v>
      </c>
      <c r="CI23" s="14">
        <f t="shared" si="2"/>
        <v>4</v>
      </c>
      <c r="CJ23" s="14" t="str">
        <f t="shared" si="3"/>
        <v>项昆仑-4星</v>
      </c>
      <c r="CK23" s="136" t="s">
        <v>1133</v>
      </c>
      <c r="CL23" s="14">
        <f t="shared" si="20"/>
        <v>32000</v>
      </c>
      <c r="CM23" s="14" t="str">
        <f t="shared" si="4"/>
        <v>项昆仑碎片</v>
      </c>
      <c r="CN23" s="14">
        <f t="shared" si="21"/>
        <v>240</v>
      </c>
    </row>
    <row r="24" spans="1:92" ht="16.5" x14ac:dyDescent="0.2">
      <c r="A24" s="14">
        <v>1102012</v>
      </c>
      <c r="B24" s="14" t="s">
        <v>193</v>
      </c>
      <c r="C24" s="14">
        <v>5</v>
      </c>
      <c r="D24" s="14">
        <v>80</v>
      </c>
      <c r="E24" s="14">
        <v>1</v>
      </c>
      <c r="F24" s="101">
        <f t="shared" si="23"/>
        <v>1502012</v>
      </c>
      <c r="G24" s="15"/>
      <c r="I24" s="136">
        <v>4</v>
      </c>
      <c r="J24" s="136"/>
      <c r="K24" s="136">
        <v>16000</v>
      </c>
      <c r="L24" s="136">
        <v>20000</v>
      </c>
      <c r="M24" s="136">
        <v>32000</v>
      </c>
      <c r="N24" s="136">
        <v>50000</v>
      </c>
      <c r="T24" s="139">
        <v>20</v>
      </c>
      <c r="U24" s="139">
        <f>ROUND(INDEX(挂机升级突破!$BN$6:$BN$57,卡牌消耗!$T24)*INDEX(卡牌消耗!$B$8:$F$8,卡牌消耗!U$2)/$Q$4/5,0)*5</f>
        <v>2730</v>
      </c>
      <c r="V24" s="139">
        <f>ROUND(INDEX(挂机升级突破!$BN$6:$BN$57,卡牌消耗!$T24)*INDEX(卡牌消耗!$B$8:$F$8,卡牌消耗!V$2)/$Q$4/5,0)*5</f>
        <v>3905</v>
      </c>
      <c r="W24" s="139">
        <f>ROUND(INDEX(挂机升级突破!$BN$6:$BN$57,卡牌消耗!$T24)*INDEX(卡牌消耗!$B$8:$F$8,卡牌消耗!W$2)/$Q$4/5,0)*5</f>
        <v>5855</v>
      </c>
      <c r="X24" s="139">
        <f>ROUND(INDEX(挂机升级突破!$BN$6:$BN$57,卡牌消耗!$T24)*INDEX(卡牌消耗!$B$8:$F$8,卡牌消耗!X$2)/$Q$4/5,0)*5</f>
        <v>7805</v>
      </c>
      <c r="AA24" s="104">
        <v>20</v>
      </c>
      <c r="AB24" s="14">
        <f t="shared" si="5"/>
        <v>1</v>
      </c>
      <c r="AC24" s="14">
        <f>INDEX(挂机升级突破!$BU$6:$BU$57,卡牌消耗!AI24)</f>
        <v>11</v>
      </c>
      <c r="AD24" s="14">
        <f>INDEX(挂机升级突破!BV$6:BV$57,卡牌消耗!$AI24)</f>
        <v>3</v>
      </c>
      <c r="AE24" s="14">
        <f>INDEX(挂机升级突破!BW$6:BW$57,卡牌消耗!$AI24)</f>
        <v>0</v>
      </c>
      <c r="AF24" s="14" t="str">
        <f t="shared" si="6"/>
        <v>关羽</v>
      </c>
      <c r="AG24" s="14">
        <f t="shared" si="7"/>
        <v>5</v>
      </c>
      <c r="AH24" s="14" t="str">
        <f t="shared" si="8"/>
        <v>关羽魂火-20</v>
      </c>
      <c r="AI24" s="14">
        <f t="shared" si="9"/>
        <v>20</v>
      </c>
      <c r="AJ24" s="14" t="str">
        <f>INDEX(挂机升级突破!$BX$4:$CH$4,INDEX(挂机升级突破!$BU$6:$BU$57,卡牌消耗!AI24))</f>
        <v>金币</v>
      </c>
      <c r="AK24" s="14">
        <f>ROUND(INDEX(挂机升级突破!$BN$6:$BN$57,卡牌消耗!AI24)*INDEX(卡牌消耗!$B$8:$F$8,AG24)/$Q$4/50,0)*50</f>
        <v>7800</v>
      </c>
      <c r="AL24" s="14" t="str">
        <f>IF(AD24&gt;0,INDEX(挂机升级突破!$BX$4:$CH$4,AD24),"")</f>
        <v>紫色基础材料</v>
      </c>
      <c r="AM24" s="14">
        <f>ROUND(INDEX(挂机升级突破!$BX$6:$CH$57,卡牌消耗!AI24,AD24)*INDEX(卡牌消耗!$B$5:$F$5,AG24)/$Q$4/5,0)*5</f>
        <v>755</v>
      </c>
      <c r="AN24" s="14" t="str">
        <f>IF(AE24&gt;0,INDEX(挂机升级突破!$BX$4:$CH$4,AE24),"")</f>
        <v/>
      </c>
      <c r="AO24" s="14" t="str">
        <f>IF(AE24&gt;0,ROUND(INDEX(挂机升级突破!$BX$6:$CH$57,卡牌消耗!AI24,AE24)*INDEX(卡牌消耗!$B$7:$F$7,AG24)/$Q$4,0),"")</f>
        <v/>
      </c>
      <c r="AR24" s="104">
        <v>20</v>
      </c>
      <c r="AS24" s="14">
        <f t="shared" si="10"/>
        <v>1</v>
      </c>
      <c r="AT24" s="14">
        <f>INDEX(挂机升级突破!$CM$7:$CM$26,AX24)</f>
        <v>5</v>
      </c>
      <c r="AU24" s="14">
        <f>INDEX(挂机升级突破!$CN$7:$CN$26,AX24)</f>
        <v>4</v>
      </c>
      <c r="AV24" s="14">
        <f t="shared" si="11"/>
        <v>5</v>
      </c>
      <c r="AW24" s="14" t="str">
        <f t="shared" si="12"/>
        <v>关羽</v>
      </c>
      <c r="AX24" s="14">
        <f t="shared" si="13"/>
        <v>20</v>
      </c>
      <c r="AY24" s="14" t="str">
        <f t="shared" si="14"/>
        <v>关羽20突</v>
      </c>
      <c r="AZ24" s="14" t="str">
        <f>IF(AT24&gt;0,INDEX(挂机升级突破!$CV$5:$CZ$5,卡牌消耗!AT24),"")</f>
        <v>金币</v>
      </c>
      <c r="BA24" s="14">
        <f>IF(AT24&gt;0,ROUND(INDEX(挂机升级突破!$CZ$7:$CZ$26,卡牌消耗!AX24)*INDEX(卡牌消耗!$B$8:$F$8,AV24)/$Q$4/500,0)*500,"")</f>
        <v>1519500</v>
      </c>
      <c r="BB24" s="14" t="str">
        <f>IF(AU24&gt;0,INDEX(挂机升级突破!$CV$5:$CZ$5,卡牌消耗!AU24),"")</f>
        <v>铀金</v>
      </c>
      <c r="BC24" s="14">
        <f>IF(AU24&gt;0,ROUND(INDEX(挂机升级突破!$CV$7:$CY$26,卡牌消耗!AX24,卡牌消耗!AU24)*INDEX($B$6:$F$6,AV24)/$Q$4/5,0)*5,"")</f>
        <v>85</v>
      </c>
      <c r="BD24" s="104"/>
      <c r="BE24" s="104"/>
      <c r="BH24" s="153" t="s">
        <v>1418</v>
      </c>
      <c r="BI24" s="153"/>
      <c r="BJ24" s="153"/>
      <c r="BK24" s="153"/>
      <c r="BL24" s="153"/>
      <c r="BM24" s="153"/>
      <c r="BN24" s="153"/>
      <c r="BO24" s="153"/>
      <c r="BP24" s="153"/>
      <c r="BQ24" s="153"/>
      <c r="BR24" s="153"/>
      <c r="BU24" s="15"/>
      <c r="BV24" s="15"/>
      <c r="BW24" s="50">
        <v>20</v>
      </c>
      <c r="BX24" s="66">
        <v>20</v>
      </c>
      <c r="BY24" s="21">
        <f t="shared" si="28"/>
        <v>0.13698630136986301</v>
      </c>
      <c r="BZ24" s="65" t="e">
        <f t="shared" si="29"/>
        <v>#REF!</v>
      </c>
      <c r="CA24" s="50" t="e">
        <f>SUM(BZ$5:BZ24)</f>
        <v>#REF!</v>
      </c>
      <c r="CD24" s="136">
        <v>20</v>
      </c>
      <c r="CE24" s="14">
        <f t="shared" si="19"/>
        <v>4</v>
      </c>
      <c r="CF24" s="14">
        <f t="shared" si="0"/>
        <v>4</v>
      </c>
      <c r="CG24" s="14">
        <f t="shared" si="1"/>
        <v>1101004</v>
      </c>
      <c r="CH24" s="136" t="s">
        <v>1127</v>
      </c>
      <c r="CI24" s="14">
        <f t="shared" si="2"/>
        <v>5</v>
      </c>
      <c r="CJ24" s="14" t="str">
        <f t="shared" si="3"/>
        <v>项昆仑-5星</v>
      </c>
      <c r="CK24" s="136" t="s">
        <v>1133</v>
      </c>
      <c r="CL24" s="14">
        <f t="shared" si="20"/>
        <v>60000</v>
      </c>
      <c r="CM24" s="14" t="str">
        <f t="shared" si="4"/>
        <v>项昆仑碎片</v>
      </c>
      <c r="CN24" s="14">
        <f t="shared" si="21"/>
        <v>320</v>
      </c>
    </row>
    <row r="25" spans="1:92" ht="16.5" x14ac:dyDescent="0.2">
      <c r="A25" s="14">
        <v>1102013</v>
      </c>
      <c r="B25" s="14" t="s">
        <v>194</v>
      </c>
      <c r="C25" s="14">
        <v>2</v>
      </c>
      <c r="D25" s="14">
        <v>20</v>
      </c>
      <c r="E25" s="14">
        <v>3</v>
      </c>
      <c r="F25" s="101">
        <f t="shared" si="23"/>
        <v>1502013</v>
      </c>
      <c r="G25" s="15"/>
      <c r="I25" s="136">
        <v>5</v>
      </c>
      <c r="J25" s="136"/>
      <c r="K25" s="136">
        <v>30000</v>
      </c>
      <c r="L25" s="136">
        <v>40000</v>
      </c>
      <c r="M25" s="136">
        <v>60000</v>
      </c>
      <c r="N25" s="136">
        <v>90000</v>
      </c>
      <c r="T25" s="139">
        <v>21</v>
      </c>
      <c r="U25" s="139">
        <f>ROUND(INDEX(挂机升级突破!$BN$6:$BN$57,卡牌消耗!$T25)*INDEX(卡牌消耗!$B$8:$F$8,卡牌消耗!U$2)/$Q$4/5,0)*5</f>
        <v>2730</v>
      </c>
      <c r="V25" s="139">
        <f>ROUND(INDEX(挂机升级突破!$BN$6:$BN$57,卡牌消耗!$T25)*INDEX(卡牌消耗!$B$8:$F$8,卡牌消耗!V$2)/$Q$4/5,0)*5</f>
        <v>3905</v>
      </c>
      <c r="W25" s="139">
        <f>ROUND(INDEX(挂机升级突破!$BN$6:$BN$57,卡牌消耗!$T25)*INDEX(卡牌消耗!$B$8:$F$8,卡牌消耗!W$2)/$Q$4/5,0)*5</f>
        <v>5855</v>
      </c>
      <c r="X25" s="139">
        <f>ROUND(INDEX(挂机升级突破!$BN$6:$BN$57,卡牌消耗!$T25)*INDEX(卡牌消耗!$B$8:$F$8,卡牌消耗!X$2)/$Q$4/5,0)*5</f>
        <v>7805</v>
      </c>
      <c r="AA25" s="104">
        <v>21</v>
      </c>
      <c r="AB25" s="14">
        <f t="shared" si="5"/>
        <v>1</v>
      </c>
      <c r="AC25" s="14">
        <f>INDEX(挂机升级突破!$BU$6:$BU$57,卡牌消耗!AI25)</f>
        <v>11</v>
      </c>
      <c r="AD25" s="14">
        <f>INDEX(挂机升级突破!BV$6:BV$57,卡牌消耗!$AI25)</f>
        <v>3</v>
      </c>
      <c r="AE25" s="14">
        <f>INDEX(挂机升级突破!BW$6:BW$57,卡牌消耗!$AI25)</f>
        <v>0</v>
      </c>
      <c r="AF25" s="14" t="str">
        <f t="shared" si="6"/>
        <v>关羽</v>
      </c>
      <c r="AG25" s="14">
        <f t="shared" si="7"/>
        <v>5</v>
      </c>
      <c r="AH25" s="14" t="str">
        <f t="shared" si="8"/>
        <v>关羽魂火-21</v>
      </c>
      <c r="AI25" s="14">
        <f t="shared" si="9"/>
        <v>21</v>
      </c>
      <c r="AJ25" s="14" t="str">
        <f>INDEX(挂机升级突破!$BX$4:$CH$4,INDEX(挂机升级突破!$BU$6:$BU$57,卡牌消耗!AI25))</f>
        <v>金币</v>
      </c>
      <c r="AK25" s="14">
        <f>ROUND(INDEX(挂机升级突破!$BN$6:$BN$57,卡牌消耗!AI25)*INDEX(卡牌消耗!$B$8:$F$8,AG25)/$Q$4/50,0)*50</f>
        <v>7800</v>
      </c>
      <c r="AL25" s="14" t="str">
        <f>IF(AD25&gt;0,INDEX(挂机升级突破!$BX$4:$CH$4,AD25),"")</f>
        <v>紫色基础材料</v>
      </c>
      <c r="AM25" s="14">
        <f>ROUND(INDEX(挂机升级突破!$BX$6:$CH$57,卡牌消耗!AI25,AD25)*INDEX(卡牌消耗!$B$5:$F$5,AG25)/$Q$4/5,0)*5</f>
        <v>755</v>
      </c>
      <c r="AN25" s="14" t="str">
        <f>IF(AE25&gt;0,INDEX(挂机升级突破!$BX$4:$CH$4,AE25),"")</f>
        <v/>
      </c>
      <c r="AO25" s="14" t="str">
        <f>IF(AE25&gt;0,ROUND(INDEX(挂机升级突破!$BX$6:$CH$57,卡牌消耗!AI25,AE25)*INDEX(卡牌消耗!$B$7:$F$7,AG25)/$Q$4,0),"")</f>
        <v/>
      </c>
      <c r="AR25" s="104">
        <v>21</v>
      </c>
      <c r="AS25" s="14">
        <f t="shared" si="10"/>
        <v>2</v>
      </c>
      <c r="AT25" s="14">
        <f>INDEX(挂机升级突破!$CM$7:$CM$26,AX25)</f>
        <v>0</v>
      </c>
      <c r="AU25" s="14">
        <f>INDEX(挂机升级突破!$CN$7:$CN$26,AX25)</f>
        <v>0</v>
      </c>
      <c r="AV25" s="14">
        <f t="shared" si="11"/>
        <v>3</v>
      </c>
      <c r="AW25" s="14" t="str">
        <f t="shared" si="12"/>
        <v>许褚</v>
      </c>
      <c r="AX25" s="14">
        <f t="shared" si="13"/>
        <v>1</v>
      </c>
      <c r="AY25" s="14" t="str">
        <f t="shared" si="14"/>
        <v>许褚1突</v>
      </c>
      <c r="AZ25" s="14" t="str">
        <f>IF(AT25&gt;0,INDEX(挂机升级突破!$CV$5:$CZ$5,卡牌消耗!AT25),"")</f>
        <v/>
      </c>
      <c r="BA25" s="14" t="str">
        <f>IF(AT25&gt;0,ROUND(INDEX(挂机升级突破!$CZ$7:$CZ$26,卡牌消耗!AX25)*INDEX(卡牌消耗!$B$8:$F$8,AV25)/$Q$4/500,0)*500,"")</f>
        <v/>
      </c>
      <c r="BB25" s="14" t="str">
        <f>IF(AU25&gt;0,INDEX(挂机升级突破!$CV$5:$CZ$5,卡牌消耗!AU25),"")</f>
        <v/>
      </c>
      <c r="BC25" s="14" t="str">
        <f>IF(AU25&gt;0,ROUND(INDEX(挂机升级突破!$CV$7:$CY$26,卡牌消耗!AX25,卡牌消耗!AU25)*INDEX($B$6:$F$6,AV25)/$Q$4/5,0)*5,"")</f>
        <v/>
      </c>
      <c r="BD25" s="104"/>
      <c r="BE25" s="104"/>
      <c r="BH25" s="153" t="s">
        <v>1419</v>
      </c>
      <c r="BI25" s="153"/>
      <c r="BJ25" s="153"/>
      <c r="BK25" s="153"/>
      <c r="BL25" s="153"/>
      <c r="BM25" s="153"/>
      <c r="BN25" s="153"/>
      <c r="BO25" s="153"/>
      <c r="BP25" s="153"/>
      <c r="BQ25" s="153"/>
      <c r="BR25" s="153"/>
      <c r="BU25" s="50" t="s">
        <v>310</v>
      </c>
      <c r="BV25" s="50">
        <v>3</v>
      </c>
      <c r="BW25" s="50">
        <v>21</v>
      </c>
      <c r="BX25" s="50">
        <v>10</v>
      </c>
      <c r="BY25" s="21">
        <f>BX25/BV$28</f>
        <v>6.8493150684931503E-2</v>
      </c>
      <c r="BZ25" s="50">
        <f>INT(BV$26*BY25/5)*5</f>
        <v>1365</v>
      </c>
      <c r="CA25" s="50" t="e">
        <f>SUM(BZ$5:BZ25)</f>
        <v>#REF!</v>
      </c>
      <c r="CD25" s="136">
        <v>21</v>
      </c>
      <c r="CE25" s="14">
        <f t="shared" si="19"/>
        <v>5</v>
      </c>
      <c r="CF25" s="14">
        <f t="shared" si="0"/>
        <v>4</v>
      </c>
      <c r="CG25" s="14">
        <f t="shared" si="1"/>
        <v>1101005</v>
      </c>
      <c r="CH25" s="136" t="s">
        <v>1127</v>
      </c>
      <c r="CI25" s="14">
        <f t="shared" si="2"/>
        <v>1</v>
      </c>
      <c r="CJ25" s="14" t="str">
        <f t="shared" si="3"/>
        <v>刘羽禅-1星</v>
      </c>
      <c r="CK25" s="136" t="s">
        <v>1133</v>
      </c>
      <c r="CL25" s="14">
        <f t="shared" si="20"/>
        <v>6000</v>
      </c>
      <c r="CM25" s="14" t="str">
        <f t="shared" si="4"/>
        <v>刘羽禅碎片</v>
      </c>
      <c r="CN25" s="14">
        <f t="shared" si="21"/>
        <v>80</v>
      </c>
    </row>
    <row r="26" spans="1:92" ht="16.5" x14ac:dyDescent="0.2">
      <c r="A26" s="14">
        <v>1102014</v>
      </c>
      <c r="B26" s="14" t="s">
        <v>195</v>
      </c>
      <c r="C26" s="14">
        <v>3</v>
      </c>
      <c r="D26" s="14">
        <v>40</v>
      </c>
      <c r="E26" s="14">
        <v>3</v>
      </c>
      <c r="F26" s="101">
        <f t="shared" si="23"/>
        <v>1502014</v>
      </c>
      <c r="G26" s="15"/>
      <c r="T26" s="139">
        <v>22</v>
      </c>
      <c r="U26" s="139">
        <f>ROUND(INDEX(挂机升级突破!$BN$6:$BN$57,卡牌消耗!$T26)*INDEX(卡牌消耗!$B$8:$F$8,卡牌消耗!U$2)/$Q$4/5,0)*5</f>
        <v>2730</v>
      </c>
      <c r="V26" s="139">
        <f>ROUND(INDEX(挂机升级突破!$BN$6:$BN$57,卡牌消耗!$T26)*INDEX(卡牌消耗!$B$8:$F$8,卡牌消耗!V$2)/$Q$4/5,0)*5</f>
        <v>3905</v>
      </c>
      <c r="W26" s="139">
        <f>ROUND(INDEX(挂机升级突破!$BN$6:$BN$57,卡牌消耗!$T26)*INDEX(卡牌消耗!$B$8:$F$8,卡牌消耗!W$2)/$Q$4/5,0)*5</f>
        <v>5855</v>
      </c>
      <c r="X26" s="139">
        <f>ROUND(INDEX(挂机升级突破!$BN$6:$BN$57,卡牌消耗!$T26)*INDEX(卡牌消耗!$B$8:$F$8,卡牌消耗!X$2)/$Q$4/5,0)*5</f>
        <v>7805</v>
      </c>
      <c r="AA26" s="104">
        <v>22</v>
      </c>
      <c r="AB26" s="14">
        <f t="shared" si="5"/>
        <v>1</v>
      </c>
      <c r="AC26" s="14">
        <f>INDEX(挂机升级突破!$BU$6:$BU$57,卡牌消耗!AI26)</f>
        <v>11</v>
      </c>
      <c r="AD26" s="14">
        <f>INDEX(挂机升级突破!BV$6:BV$57,卡牌消耗!$AI26)</f>
        <v>3</v>
      </c>
      <c r="AE26" s="14">
        <f>INDEX(挂机升级突破!BW$6:BW$57,卡牌消耗!$AI26)</f>
        <v>0</v>
      </c>
      <c r="AF26" s="14" t="str">
        <f t="shared" si="6"/>
        <v>关羽</v>
      </c>
      <c r="AG26" s="14">
        <f t="shared" si="7"/>
        <v>5</v>
      </c>
      <c r="AH26" s="14" t="str">
        <f t="shared" si="8"/>
        <v>关羽魂火-22</v>
      </c>
      <c r="AI26" s="14">
        <f t="shared" si="9"/>
        <v>22</v>
      </c>
      <c r="AJ26" s="14" t="str">
        <f>INDEX(挂机升级突破!$BX$4:$CH$4,INDEX(挂机升级突破!$BU$6:$BU$57,卡牌消耗!AI26))</f>
        <v>金币</v>
      </c>
      <c r="AK26" s="14">
        <f>ROUND(INDEX(挂机升级突破!$BN$6:$BN$57,卡牌消耗!AI26)*INDEX(卡牌消耗!$B$8:$F$8,AG26)/$Q$4/50,0)*50</f>
        <v>7800</v>
      </c>
      <c r="AL26" s="14" t="str">
        <f>IF(AD26&gt;0,INDEX(挂机升级突破!$BX$4:$CH$4,AD26),"")</f>
        <v>紫色基础材料</v>
      </c>
      <c r="AM26" s="14">
        <f>ROUND(INDEX(挂机升级突破!$BX$6:$CH$57,卡牌消耗!AI26,AD26)*INDEX(卡牌消耗!$B$5:$F$5,AG26)/$Q$4/5,0)*5</f>
        <v>755</v>
      </c>
      <c r="AN26" s="14" t="str">
        <f>IF(AE26&gt;0,INDEX(挂机升级突破!$BX$4:$CH$4,AE26),"")</f>
        <v/>
      </c>
      <c r="AO26" s="14" t="str">
        <f>IF(AE26&gt;0,ROUND(INDEX(挂机升级突破!$BX$6:$CH$57,卡牌消耗!AI26,AE26)*INDEX(卡牌消耗!$B$7:$F$7,AG26)/$Q$4,0),"")</f>
        <v/>
      </c>
      <c r="AR26" s="104">
        <v>22</v>
      </c>
      <c r="AS26" s="14">
        <f t="shared" si="10"/>
        <v>2</v>
      </c>
      <c r="AT26" s="14">
        <f>INDEX(挂机升级突破!$CM$7:$CM$26,AX26)</f>
        <v>5</v>
      </c>
      <c r="AU26" s="14">
        <f>INDEX(挂机升级突破!$CN$7:$CN$26,AX26)</f>
        <v>0</v>
      </c>
      <c r="AV26" s="14">
        <f t="shared" si="11"/>
        <v>3</v>
      </c>
      <c r="AW26" s="14" t="str">
        <f t="shared" si="12"/>
        <v>许褚</v>
      </c>
      <c r="AX26" s="14">
        <f t="shared" si="13"/>
        <v>2</v>
      </c>
      <c r="AY26" s="14" t="str">
        <f t="shared" si="14"/>
        <v>许褚2突</v>
      </c>
      <c r="AZ26" s="14" t="str">
        <f>IF(AT26&gt;0,INDEX(挂机升级突破!$CV$5:$CZ$5,卡牌消耗!AT26),"")</f>
        <v>金币</v>
      </c>
      <c r="BA26" s="14">
        <f>IF(AT26&gt;0,ROUND(INDEX(挂机升级突破!$CZ$7:$CZ$26,卡牌消耗!AX26)*INDEX(卡牌消耗!$B$8:$F$8,AV26)/$Q$4/500,0)*500,"")</f>
        <v>2500</v>
      </c>
      <c r="BB26" s="14" t="str">
        <f>IF(AU26&gt;0,INDEX(挂机升级突破!$CV$5:$CZ$5,卡牌消耗!AU26),"")</f>
        <v/>
      </c>
      <c r="BC26" s="14" t="str">
        <f>IF(AU26&gt;0,ROUND(INDEX(挂机升级突破!$CV$7:$CY$26,卡牌消耗!AX26,卡牌消耗!AU26)*INDEX($B$6:$F$6,AV26)/$Q$4/5,0)*5,"")</f>
        <v/>
      </c>
      <c r="BD26" s="104"/>
      <c r="BE26" s="104"/>
      <c r="BH26" s="153" t="s">
        <v>1420</v>
      </c>
      <c r="BI26" s="153"/>
      <c r="BJ26" s="153"/>
      <c r="BK26" s="153"/>
      <c r="BL26" s="153"/>
      <c r="BM26" s="153"/>
      <c r="BN26" s="153"/>
      <c r="BO26" s="153"/>
      <c r="BP26" s="153"/>
      <c r="BQ26" s="153"/>
      <c r="BR26" s="153"/>
      <c r="BU26" s="14" t="str">
        <f>INDEX($BH$5:$BH$19,BV25)</f>
        <v>15~20</v>
      </c>
      <c r="BV26" s="14">
        <f>INDEX($BQ$5:$BQ$19,BV25)</f>
        <v>19980</v>
      </c>
      <c r="BW26" s="50">
        <v>22</v>
      </c>
      <c r="BX26" s="50">
        <v>11</v>
      </c>
      <c r="BY26" s="21">
        <f t="shared" ref="BY26:BY34" si="30">BX26/BV$28</f>
        <v>7.5342465753424653E-2</v>
      </c>
      <c r="BZ26" s="65">
        <f t="shared" ref="BZ26:BZ34" si="31">INT(BV$26*BY26/5)*5</f>
        <v>1505</v>
      </c>
      <c r="CA26" s="50" t="e">
        <f>SUM(BZ$5:BZ26)</f>
        <v>#REF!</v>
      </c>
      <c r="CD26" s="136">
        <v>22</v>
      </c>
      <c r="CE26" s="14">
        <f t="shared" si="19"/>
        <v>5</v>
      </c>
      <c r="CF26" s="14">
        <f t="shared" si="0"/>
        <v>4</v>
      </c>
      <c r="CG26" s="14">
        <f t="shared" si="1"/>
        <v>1101005</v>
      </c>
      <c r="CH26" s="136" t="s">
        <v>1127</v>
      </c>
      <c r="CI26" s="14">
        <f t="shared" si="2"/>
        <v>2</v>
      </c>
      <c r="CJ26" s="14" t="str">
        <f t="shared" si="3"/>
        <v>刘羽禅-2星</v>
      </c>
      <c r="CK26" s="136" t="s">
        <v>1133</v>
      </c>
      <c r="CL26" s="14">
        <f t="shared" si="20"/>
        <v>8000</v>
      </c>
      <c r="CM26" s="14" t="str">
        <f t="shared" si="4"/>
        <v>刘羽禅碎片</v>
      </c>
      <c r="CN26" s="14">
        <f t="shared" si="21"/>
        <v>80</v>
      </c>
    </row>
    <row r="27" spans="1:92" ht="16.5" x14ac:dyDescent="0.2">
      <c r="A27" s="14">
        <v>1102015</v>
      </c>
      <c r="B27" s="14" t="s">
        <v>196</v>
      </c>
      <c r="C27" s="14">
        <v>2</v>
      </c>
      <c r="D27" s="14">
        <v>20</v>
      </c>
      <c r="E27" s="14">
        <v>2</v>
      </c>
      <c r="F27" s="101">
        <f t="shared" si="23"/>
        <v>1502015</v>
      </c>
      <c r="G27" s="15"/>
      <c r="T27" s="139">
        <v>23</v>
      </c>
      <c r="U27" s="139">
        <f>ROUND(INDEX(挂机升级突破!$BN$6:$BN$57,卡牌消耗!$T27)*INDEX(卡牌消耗!$B$8:$F$8,卡牌消耗!U$2)/$Q$4/5,0)*5</f>
        <v>3755</v>
      </c>
      <c r="V27" s="139">
        <f>ROUND(INDEX(挂机升级突破!$BN$6:$BN$57,卡牌消耗!$T27)*INDEX(卡牌消耗!$B$8:$F$8,卡牌消耗!V$2)/$Q$4/5,0)*5</f>
        <v>5365</v>
      </c>
      <c r="W27" s="139">
        <f>ROUND(INDEX(挂机升级突破!$BN$6:$BN$57,卡牌消耗!$T27)*INDEX(卡牌消耗!$B$8:$F$8,卡牌消耗!W$2)/$Q$4/5,0)*5</f>
        <v>8050</v>
      </c>
      <c r="X27" s="139">
        <f>ROUND(INDEX(挂机升级突破!$BN$6:$BN$57,卡牌消耗!$T27)*INDEX(卡牌消耗!$B$8:$F$8,卡牌消耗!X$2)/$Q$4/5,0)*5</f>
        <v>10735</v>
      </c>
      <c r="AA27" s="104">
        <v>23</v>
      </c>
      <c r="AB27" s="14">
        <f t="shared" si="5"/>
        <v>1</v>
      </c>
      <c r="AC27" s="14">
        <f>INDEX(挂机升级突破!$BU$6:$BU$57,卡牌消耗!AI27)</f>
        <v>11</v>
      </c>
      <c r="AD27" s="14">
        <f>INDEX(挂机升级突破!BV$6:BV$57,卡牌消耗!$AI27)</f>
        <v>4</v>
      </c>
      <c r="AE27" s="14">
        <f>INDEX(挂机升级突破!BW$6:BW$57,卡牌消耗!$AI27)</f>
        <v>0</v>
      </c>
      <c r="AF27" s="14" t="str">
        <f t="shared" si="6"/>
        <v>关羽</v>
      </c>
      <c r="AG27" s="14">
        <f t="shared" si="7"/>
        <v>5</v>
      </c>
      <c r="AH27" s="14" t="str">
        <f t="shared" si="8"/>
        <v>关羽魂火-23</v>
      </c>
      <c r="AI27" s="14">
        <f t="shared" si="9"/>
        <v>23</v>
      </c>
      <c r="AJ27" s="14" t="str">
        <f>INDEX(挂机升级突破!$BX$4:$CH$4,INDEX(挂机升级突破!$BU$6:$BU$57,卡牌消耗!AI27))</f>
        <v>金币</v>
      </c>
      <c r="AK27" s="14">
        <f>ROUND(INDEX(挂机升级突破!$BN$6:$BN$57,卡牌消耗!AI27)*INDEX(卡牌消耗!$B$8:$F$8,AG27)/$Q$4/50,0)*50</f>
        <v>10750</v>
      </c>
      <c r="AL27" s="14" t="str">
        <f>IF(AD27&gt;0,INDEX(挂机升级突破!$BX$4:$CH$4,AD27),"")</f>
        <v>橙色基础材料</v>
      </c>
      <c r="AM27" s="14">
        <f>ROUND(INDEX(挂机升级突破!$BX$6:$CH$57,卡牌消耗!AI27,AD27)*INDEX(卡牌消耗!$B$5:$F$5,AG27)/$Q$4/5,0)*5</f>
        <v>105</v>
      </c>
      <c r="AN27" s="14" t="str">
        <f>IF(AE27&gt;0,INDEX(挂机升级突破!$BX$4:$CH$4,AE27),"")</f>
        <v/>
      </c>
      <c r="AO27" s="14" t="str">
        <f>IF(AE27&gt;0,ROUND(INDEX(挂机升级突破!$BX$6:$CH$57,卡牌消耗!AI27,AE27)*INDEX(卡牌消耗!$B$7:$F$7,AG27)/$Q$4,0),"")</f>
        <v/>
      </c>
      <c r="AR27" s="104">
        <v>23</v>
      </c>
      <c r="AS27" s="14">
        <f t="shared" si="10"/>
        <v>2</v>
      </c>
      <c r="AT27" s="14">
        <f>INDEX(挂机升级突破!$CM$7:$CM$26,AX27)</f>
        <v>5</v>
      </c>
      <c r="AU27" s="14">
        <f>INDEX(挂机升级突破!$CN$7:$CN$26,AX27)</f>
        <v>0</v>
      </c>
      <c r="AV27" s="14">
        <f t="shared" si="11"/>
        <v>3</v>
      </c>
      <c r="AW27" s="14" t="str">
        <f t="shared" si="12"/>
        <v>许褚</v>
      </c>
      <c r="AX27" s="14">
        <f t="shared" si="13"/>
        <v>3</v>
      </c>
      <c r="AY27" s="14" t="str">
        <f t="shared" si="14"/>
        <v>许褚3突</v>
      </c>
      <c r="AZ27" s="14" t="str">
        <f>IF(AT27&gt;0,INDEX(挂机升级突破!$CV$5:$CZ$5,卡牌消耗!AT27),"")</f>
        <v>金币</v>
      </c>
      <c r="BA27" s="14">
        <f>IF(AT27&gt;0,ROUND(INDEX(挂机升级突破!$CZ$7:$CZ$26,卡牌消耗!AX27)*INDEX(卡牌消耗!$B$8:$F$8,AV27)/$Q$4/500,0)*500,"")</f>
        <v>2500</v>
      </c>
      <c r="BB27" s="14" t="str">
        <f>IF(AU27&gt;0,INDEX(挂机升级突破!$CV$5:$CZ$5,卡牌消耗!AU27),"")</f>
        <v/>
      </c>
      <c r="BC27" s="14" t="str">
        <f>IF(AU27&gt;0,ROUND(INDEX(挂机升级突破!$CV$7:$CY$26,卡牌消耗!AX27,卡牌消耗!AU27)*INDEX($B$6:$F$6,AV27)/$Q$4/5,0)*5,"")</f>
        <v/>
      </c>
      <c r="BD27" s="104"/>
      <c r="BE27" s="104"/>
      <c r="BH27" s="153" t="s">
        <v>1421</v>
      </c>
      <c r="BI27" s="153"/>
      <c r="BJ27" s="153"/>
      <c r="BK27" s="153"/>
      <c r="BL27" s="153"/>
      <c r="BM27" s="153"/>
      <c r="BN27" s="153"/>
      <c r="BO27" s="153"/>
      <c r="BP27" s="153"/>
      <c r="BQ27" s="153"/>
      <c r="BR27" s="153"/>
      <c r="BU27" s="50" t="s">
        <v>309</v>
      </c>
      <c r="BV27" s="14">
        <f>INDEX($BR$5:$BR$19,BV25)</f>
        <v>2.5</v>
      </c>
      <c r="BW27" s="50">
        <v>23</v>
      </c>
      <c r="BX27" s="50">
        <v>12</v>
      </c>
      <c r="BY27" s="21">
        <f t="shared" si="30"/>
        <v>8.2191780821917804E-2</v>
      </c>
      <c r="BZ27" s="65">
        <f t="shared" si="31"/>
        <v>1640</v>
      </c>
      <c r="CA27" s="50" t="e">
        <f>SUM(BZ$5:BZ27)</f>
        <v>#REF!</v>
      </c>
      <c r="CD27" s="136">
        <v>23</v>
      </c>
      <c r="CE27" s="14">
        <f t="shared" si="19"/>
        <v>5</v>
      </c>
      <c r="CF27" s="14">
        <f t="shared" si="0"/>
        <v>4</v>
      </c>
      <c r="CG27" s="14">
        <f t="shared" si="1"/>
        <v>1101005</v>
      </c>
      <c r="CH27" s="136" t="s">
        <v>1127</v>
      </c>
      <c r="CI27" s="14">
        <f t="shared" si="2"/>
        <v>3</v>
      </c>
      <c r="CJ27" s="14" t="str">
        <f t="shared" si="3"/>
        <v>刘羽禅-3星</v>
      </c>
      <c r="CK27" s="136" t="s">
        <v>1133</v>
      </c>
      <c r="CL27" s="14">
        <f t="shared" si="20"/>
        <v>14000</v>
      </c>
      <c r="CM27" s="14" t="str">
        <f t="shared" si="4"/>
        <v>刘羽禅碎片</v>
      </c>
      <c r="CN27" s="14">
        <f t="shared" si="21"/>
        <v>160</v>
      </c>
    </row>
    <row r="28" spans="1:92" ht="16.5" x14ac:dyDescent="0.2">
      <c r="A28" s="14">
        <v>1102016</v>
      </c>
      <c r="B28" s="14" t="s">
        <v>197</v>
      </c>
      <c r="C28" s="14">
        <v>4</v>
      </c>
      <c r="D28" s="14">
        <v>80</v>
      </c>
      <c r="E28" s="14">
        <v>2</v>
      </c>
      <c r="F28" s="101">
        <f t="shared" si="23"/>
        <v>1502016</v>
      </c>
      <c r="G28" s="15"/>
      <c r="T28" s="139">
        <v>24</v>
      </c>
      <c r="U28" s="139">
        <f>ROUND(INDEX(挂机升级突破!$BN$6:$BN$57,卡牌消耗!$T28)*INDEX(卡牌消耗!$B$8:$F$8,卡牌消耗!U$2)/$Q$4/5,0)*5</f>
        <v>3755</v>
      </c>
      <c r="V28" s="139">
        <f>ROUND(INDEX(挂机升级突破!$BN$6:$BN$57,卡牌消耗!$T28)*INDEX(卡牌消耗!$B$8:$F$8,卡牌消耗!V$2)/$Q$4/5,0)*5</f>
        <v>5365</v>
      </c>
      <c r="W28" s="139">
        <f>ROUND(INDEX(挂机升级突破!$BN$6:$BN$57,卡牌消耗!$T28)*INDEX(卡牌消耗!$B$8:$F$8,卡牌消耗!W$2)/$Q$4/5,0)*5</f>
        <v>8050</v>
      </c>
      <c r="X28" s="139">
        <f>ROUND(INDEX(挂机升级突破!$BN$6:$BN$57,卡牌消耗!$T28)*INDEX(卡牌消耗!$B$8:$F$8,卡牌消耗!X$2)/$Q$4/5,0)*5</f>
        <v>10735</v>
      </c>
      <c r="AA28" s="104">
        <v>24</v>
      </c>
      <c r="AB28" s="14">
        <f t="shared" si="5"/>
        <v>1</v>
      </c>
      <c r="AC28" s="14">
        <f>INDEX(挂机升级突破!$BU$6:$BU$57,卡牌消耗!AI28)</f>
        <v>11</v>
      </c>
      <c r="AD28" s="14">
        <f>INDEX(挂机升级突破!BV$6:BV$57,卡牌消耗!$AI28)</f>
        <v>4</v>
      </c>
      <c r="AE28" s="14">
        <f>INDEX(挂机升级突破!BW$6:BW$57,卡牌消耗!$AI28)</f>
        <v>0</v>
      </c>
      <c r="AF28" s="14" t="str">
        <f t="shared" si="6"/>
        <v>关羽</v>
      </c>
      <c r="AG28" s="14">
        <f t="shared" si="7"/>
        <v>5</v>
      </c>
      <c r="AH28" s="14" t="str">
        <f t="shared" si="8"/>
        <v>关羽魂火-24</v>
      </c>
      <c r="AI28" s="14">
        <f t="shared" si="9"/>
        <v>24</v>
      </c>
      <c r="AJ28" s="14" t="str">
        <f>INDEX(挂机升级突破!$BX$4:$CH$4,INDEX(挂机升级突破!$BU$6:$BU$57,卡牌消耗!AI28))</f>
        <v>金币</v>
      </c>
      <c r="AK28" s="14">
        <f>ROUND(INDEX(挂机升级突破!$BN$6:$BN$57,卡牌消耗!AI28)*INDEX(卡牌消耗!$B$8:$F$8,AG28)/$Q$4/50,0)*50</f>
        <v>10750</v>
      </c>
      <c r="AL28" s="14" t="str">
        <f>IF(AD28&gt;0,INDEX(挂机升级突破!$BX$4:$CH$4,AD28),"")</f>
        <v>橙色基础材料</v>
      </c>
      <c r="AM28" s="14">
        <f>ROUND(INDEX(挂机升级突破!$BX$6:$CH$57,卡牌消耗!AI28,AD28)*INDEX(卡牌消耗!$B$5:$F$5,AG28)/$Q$4/5,0)*5</f>
        <v>105</v>
      </c>
      <c r="AN28" s="14" t="str">
        <f>IF(AE28&gt;0,INDEX(挂机升级突破!$BX$4:$CH$4,AE28),"")</f>
        <v/>
      </c>
      <c r="AO28" s="14" t="str">
        <f>IF(AE28&gt;0,ROUND(INDEX(挂机升级突破!$BX$6:$CH$57,卡牌消耗!AI28,AE28)*INDEX(卡牌消耗!$B$7:$F$7,AG28)/$Q$4,0),"")</f>
        <v/>
      </c>
      <c r="AR28" s="104">
        <v>24</v>
      </c>
      <c r="AS28" s="14">
        <f t="shared" si="10"/>
        <v>2</v>
      </c>
      <c r="AT28" s="14">
        <f>INDEX(挂机升级突破!$CM$7:$CM$26,AX28)</f>
        <v>5</v>
      </c>
      <c r="AU28" s="14">
        <f>INDEX(挂机升级突破!$CN$7:$CN$26,AX28)</f>
        <v>1</v>
      </c>
      <c r="AV28" s="14">
        <f t="shared" si="11"/>
        <v>3</v>
      </c>
      <c r="AW28" s="14" t="str">
        <f t="shared" si="12"/>
        <v>许褚</v>
      </c>
      <c r="AX28" s="14">
        <f t="shared" si="13"/>
        <v>4</v>
      </c>
      <c r="AY28" s="14" t="str">
        <f t="shared" si="14"/>
        <v>许褚4突</v>
      </c>
      <c r="AZ28" s="14" t="str">
        <f>IF(AT28&gt;0,INDEX(挂机升级突破!$CV$5:$CZ$5,卡牌消耗!AT28),"")</f>
        <v>金币</v>
      </c>
      <c r="BA28" s="14">
        <f>IF(AT28&gt;0,ROUND(INDEX(挂机升级突破!$CZ$7:$CZ$26,卡牌消耗!AX28)*INDEX(卡牌消耗!$B$8:$F$8,AV28)/$Q$4/500,0)*500,"")</f>
        <v>3000</v>
      </c>
      <c r="BB28" s="14" t="str">
        <f>IF(AU28&gt;0,INDEX(挂机升级突破!$CV$5:$CZ$5,卡牌消耗!AU28),"")</f>
        <v>玄铁</v>
      </c>
      <c r="BC28" s="14">
        <f>IF(AU28&gt;0,ROUND(INDEX(挂机升级突破!$CV$7:$CY$26,卡牌消耗!AX28,卡牌消耗!AU28)*INDEX($B$6:$F$6,AV28)/$Q$4/5,0)*5,"")</f>
        <v>60</v>
      </c>
      <c r="BD28" s="104"/>
      <c r="BE28" s="104"/>
      <c r="BH28" s="153" t="s">
        <v>1422</v>
      </c>
      <c r="BI28" s="153"/>
      <c r="BJ28" s="153"/>
      <c r="BK28" s="153"/>
      <c r="BL28" s="153"/>
      <c r="BM28" s="153"/>
      <c r="BN28" s="153"/>
      <c r="BO28" s="153"/>
      <c r="BP28" s="153"/>
      <c r="BQ28" s="153"/>
      <c r="BR28" s="153"/>
      <c r="BU28" s="15"/>
      <c r="BV28" s="14">
        <f>SUM(BX25:BX34)</f>
        <v>146</v>
      </c>
      <c r="BW28" s="50">
        <v>24</v>
      </c>
      <c r="BX28" s="50">
        <v>13</v>
      </c>
      <c r="BY28" s="21">
        <f t="shared" si="30"/>
        <v>8.9041095890410954E-2</v>
      </c>
      <c r="BZ28" s="65">
        <f t="shared" si="31"/>
        <v>1775</v>
      </c>
      <c r="CA28" s="50" t="e">
        <f>SUM(BZ$5:BZ28)</f>
        <v>#REF!</v>
      </c>
      <c r="CD28" s="136">
        <v>24</v>
      </c>
      <c r="CE28" s="14">
        <f t="shared" si="19"/>
        <v>5</v>
      </c>
      <c r="CF28" s="14">
        <f t="shared" si="0"/>
        <v>4</v>
      </c>
      <c r="CG28" s="14">
        <f t="shared" si="1"/>
        <v>1101005</v>
      </c>
      <c r="CH28" s="136" t="s">
        <v>1127</v>
      </c>
      <c r="CI28" s="14">
        <f t="shared" si="2"/>
        <v>4</v>
      </c>
      <c r="CJ28" s="14" t="str">
        <f t="shared" si="3"/>
        <v>刘羽禅-4星</v>
      </c>
      <c r="CK28" s="136" t="s">
        <v>1133</v>
      </c>
      <c r="CL28" s="14">
        <f t="shared" si="20"/>
        <v>32000</v>
      </c>
      <c r="CM28" s="14" t="str">
        <f t="shared" si="4"/>
        <v>刘羽禅碎片</v>
      </c>
      <c r="CN28" s="14">
        <f t="shared" si="21"/>
        <v>240</v>
      </c>
    </row>
    <row r="29" spans="1:92" ht="16.5" x14ac:dyDescent="0.2">
      <c r="A29" s="14">
        <v>1102017</v>
      </c>
      <c r="B29" s="14" t="s">
        <v>198</v>
      </c>
      <c r="C29" s="14">
        <v>3</v>
      </c>
      <c r="D29" s="14">
        <v>40</v>
      </c>
      <c r="E29" s="14">
        <v>2</v>
      </c>
      <c r="F29" s="101">
        <f t="shared" si="23"/>
        <v>1502017</v>
      </c>
      <c r="G29" s="15"/>
      <c r="T29" s="139">
        <v>25</v>
      </c>
      <c r="U29" s="139">
        <f>ROUND(INDEX(挂机升级突破!$BN$6:$BN$57,卡牌消耗!$T29)*INDEX(卡牌消耗!$B$8:$F$8,卡牌消耗!U$2)/$Q$4/5,0)*5</f>
        <v>4100</v>
      </c>
      <c r="V29" s="139">
        <f>ROUND(INDEX(挂机升级突破!$BN$6:$BN$57,卡牌消耗!$T29)*INDEX(卡牌消耗!$B$8:$F$8,卡牌消耗!V$2)/$Q$4/5,0)*5</f>
        <v>5855</v>
      </c>
      <c r="W29" s="139">
        <f>ROUND(INDEX(挂机升级突破!$BN$6:$BN$57,卡牌消耗!$T29)*INDEX(卡牌消耗!$B$8:$F$8,卡牌消耗!W$2)/$Q$4/5,0)*5</f>
        <v>8780</v>
      </c>
      <c r="X29" s="139">
        <f>ROUND(INDEX(挂机升级突破!$BN$6:$BN$57,卡牌消耗!$T29)*INDEX(卡牌消耗!$B$8:$F$8,卡牌消耗!X$2)/$Q$4/5,0)*5</f>
        <v>11710</v>
      </c>
      <c r="AA29" s="104">
        <v>25</v>
      </c>
      <c r="AB29" s="14">
        <f t="shared" si="5"/>
        <v>1</v>
      </c>
      <c r="AC29" s="14">
        <f>INDEX(挂机升级突破!$BU$6:$BU$57,卡牌消耗!AI29)</f>
        <v>11</v>
      </c>
      <c r="AD29" s="14">
        <f>INDEX(挂机升级突破!BV$6:BV$57,卡牌消耗!$AI29)</f>
        <v>4</v>
      </c>
      <c r="AE29" s="14">
        <f>INDEX(挂机升级突破!BW$6:BW$57,卡牌消耗!$AI29)</f>
        <v>0</v>
      </c>
      <c r="AF29" s="14" t="str">
        <f t="shared" si="6"/>
        <v>关羽</v>
      </c>
      <c r="AG29" s="14">
        <f t="shared" si="7"/>
        <v>5</v>
      </c>
      <c r="AH29" s="14" t="str">
        <f t="shared" si="8"/>
        <v>关羽魂火-25</v>
      </c>
      <c r="AI29" s="14">
        <f t="shared" si="9"/>
        <v>25</v>
      </c>
      <c r="AJ29" s="14" t="str">
        <f>INDEX(挂机升级突破!$BX$4:$CH$4,INDEX(挂机升级突破!$BU$6:$BU$57,卡牌消耗!AI29))</f>
        <v>金币</v>
      </c>
      <c r="AK29" s="14">
        <f>ROUND(INDEX(挂机升级突破!$BN$6:$BN$57,卡牌消耗!AI29)*INDEX(卡牌消耗!$B$8:$F$8,AG29)/$Q$4/50,0)*50</f>
        <v>11700</v>
      </c>
      <c r="AL29" s="14" t="str">
        <f>IF(AD29&gt;0,INDEX(挂机升级突破!$BX$4:$CH$4,AD29),"")</f>
        <v>橙色基础材料</v>
      </c>
      <c r="AM29" s="14">
        <f>ROUND(INDEX(挂机升级突破!$BX$6:$CH$57,卡牌消耗!AI29,AD29)*INDEX(卡牌消耗!$B$5:$F$5,AG29)/$Q$4/5,0)*5</f>
        <v>105</v>
      </c>
      <c r="AN29" s="14" t="str">
        <f>IF(AE29&gt;0,INDEX(挂机升级突破!$BX$4:$CH$4,AE29),"")</f>
        <v/>
      </c>
      <c r="AO29" s="14" t="str">
        <f>IF(AE29&gt;0,ROUND(INDEX(挂机升级突破!$BX$6:$CH$57,卡牌消耗!AI29,AE29)*INDEX(卡牌消耗!$B$7:$F$7,AG29)/$Q$4,0),"")</f>
        <v/>
      </c>
      <c r="AR29" s="104">
        <v>25</v>
      </c>
      <c r="AS29" s="14">
        <f t="shared" si="10"/>
        <v>2</v>
      </c>
      <c r="AT29" s="14">
        <f>INDEX(挂机升级突破!$CM$7:$CM$26,AX29)</f>
        <v>5</v>
      </c>
      <c r="AU29" s="14">
        <f>INDEX(挂机升级突破!$CN$7:$CN$26,AX29)</f>
        <v>1</v>
      </c>
      <c r="AV29" s="14">
        <f t="shared" si="11"/>
        <v>3</v>
      </c>
      <c r="AW29" s="14" t="str">
        <f t="shared" si="12"/>
        <v>许褚</v>
      </c>
      <c r="AX29" s="14">
        <f t="shared" si="13"/>
        <v>5</v>
      </c>
      <c r="AY29" s="14" t="str">
        <f t="shared" si="14"/>
        <v>许褚5突</v>
      </c>
      <c r="AZ29" s="14" t="str">
        <f>IF(AT29&gt;0,INDEX(挂机升级突破!$CV$5:$CZ$5,卡牌消耗!AT29),"")</f>
        <v>金币</v>
      </c>
      <c r="BA29" s="14">
        <f>IF(AT29&gt;0,ROUND(INDEX(挂机升级突破!$CZ$7:$CZ$26,卡牌消耗!AX29)*INDEX(卡牌消耗!$B$8:$F$8,AV29)/$Q$4/500,0)*500,"")</f>
        <v>3000</v>
      </c>
      <c r="BB29" s="14" t="str">
        <f>IF(AU29&gt;0,INDEX(挂机升级突破!$CV$5:$CZ$5,卡牌消耗!AU29),"")</f>
        <v>玄铁</v>
      </c>
      <c r="BC29" s="14">
        <f>IF(AU29&gt;0,ROUND(INDEX(挂机升级突破!$CV$7:$CY$26,卡牌消耗!AX29,卡牌消耗!AU29)*INDEX($B$6:$F$6,AV29)/$Q$4/5,0)*5,"")</f>
        <v>115</v>
      </c>
      <c r="BD29" s="104"/>
      <c r="BE29" s="104"/>
      <c r="BH29" s="153" t="s">
        <v>1423</v>
      </c>
      <c r="BI29" s="153"/>
      <c r="BJ29" s="153"/>
      <c r="BK29" s="153"/>
      <c r="BL29" s="153"/>
      <c r="BM29" s="153"/>
      <c r="BN29" s="153"/>
      <c r="BO29" s="153"/>
      <c r="BP29" s="153"/>
      <c r="BQ29" s="153"/>
      <c r="BR29" s="153"/>
      <c r="BU29" s="15"/>
      <c r="BV29" s="15"/>
      <c r="BW29" s="50">
        <v>25</v>
      </c>
      <c r="BX29" s="50">
        <v>14</v>
      </c>
      <c r="BY29" s="21">
        <f t="shared" si="30"/>
        <v>9.5890410958904104E-2</v>
      </c>
      <c r="BZ29" s="65">
        <f t="shared" si="31"/>
        <v>1915</v>
      </c>
      <c r="CA29" s="50" t="e">
        <f>SUM(BZ$5:BZ29)</f>
        <v>#REF!</v>
      </c>
      <c r="CD29" s="136">
        <v>25</v>
      </c>
      <c r="CE29" s="14">
        <f t="shared" si="19"/>
        <v>5</v>
      </c>
      <c r="CF29" s="14">
        <f t="shared" si="0"/>
        <v>4</v>
      </c>
      <c r="CG29" s="14">
        <f t="shared" si="1"/>
        <v>1101005</v>
      </c>
      <c r="CH29" s="136" t="s">
        <v>1127</v>
      </c>
      <c r="CI29" s="14">
        <f t="shared" si="2"/>
        <v>5</v>
      </c>
      <c r="CJ29" s="14" t="str">
        <f t="shared" si="3"/>
        <v>刘羽禅-5星</v>
      </c>
      <c r="CK29" s="136" t="s">
        <v>1133</v>
      </c>
      <c r="CL29" s="14">
        <f t="shared" si="20"/>
        <v>60000</v>
      </c>
      <c r="CM29" s="14" t="str">
        <f t="shared" si="4"/>
        <v>刘羽禅碎片</v>
      </c>
      <c r="CN29" s="14">
        <f t="shared" si="21"/>
        <v>320</v>
      </c>
    </row>
    <row r="30" spans="1:92" ht="16.5" x14ac:dyDescent="0.2">
      <c r="A30" s="14">
        <v>1102018</v>
      </c>
      <c r="B30" s="14" t="s">
        <v>199</v>
      </c>
      <c r="C30" s="14">
        <v>2</v>
      </c>
      <c r="D30" s="14">
        <v>20</v>
      </c>
      <c r="E30" s="14">
        <v>2</v>
      </c>
      <c r="F30" s="101">
        <f t="shared" si="23"/>
        <v>1502018</v>
      </c>
      <c r="G30" s="15"/>
      <c r="T30" s="139">
        <v>26</v>
      </c>
      <c r="U30" s="139">
        <f>ROUND(INDEX(挂机升级突破!$BN$6:$BN$57,卡牌消耗!$T30)*INDEX(卡牌消耗!$B$8:$F$8,卡牌消耗!U$2)/$Q$4/5,0)*5</f>
        <v>4780</v>
      </c>
      <c r="V30" s="139">
        <f>ROUND(INDEX(挂机升级突破!$BN$6:$BN$57,卡牌消耗!$T30)*INDEX(卡牌消耗!$B$8:$F$8,卡牌消耗!V$2)/$Q$4/5,0)*5</f>
        <v>6830</v>
      </c>
      <c r="W30" s="139">
        <f>ROUND(INDEX(挂机升级突破!$BN$6:$BN$57,卡牌消耗!$T30)*INDEX(卡牌消耗!$B$8:$F$8,卡牌消耗!W$2)/$Q$4/5,0)*5</f>
        <v>10245</v>
      </c>
      <c r="X30" s="139">
        <f>ROUND(INDEX(挂机升级突破!$BN$6:$BN$57,卡牌消耗!$T30)*INDEX(卡牌消耗!$B$8:$F$8,卡牌消耗!X$2)/$Q$4/5,0)*5</f>
        <v>13660</v>
      </c>
      <c r="AA30" s="104">
        <v>26</v>
      </c>
      <c r="AB30" s="14">
        <f t="shared" si="5"/>
        <v>1</v>
      </c>
      <c r="AC30" s="14">
        <f>INDEX(挂机升级突破!$BU$6:$BU$57,卡牌消耗!AI30)</f>
        <v>11</v>
      </c>
      <c r="AD30" s="14">
        <f>INDEX(挂机升级突破!BV$6:BV$57,卡牌消耗!$AI30)</f>
        <v>4</v>
      </c>
      <c r="AE30" s="14">
        <f>INDEX(挂机升级突破!BW$6:BW$57,卡牌消耗!$AI30)</f>
        <v>0</v>
      </c>
      <c r="AF30" s="14" t="str">
        <f t="shared" si="6"/>
        <v>关羽</v>
      </c>
      <c r="AG30" s="14">
        <f t="shared" si="7"/>
        <v>5</v>
      </c>
      <c r="AH30" s="14" t="str">
        <f t="shared" si="8"/>
        <v>关羽魂火-26</v>
      </c>
      <c r="AI30" s="14">
        <f t="shared" si="9"/>
        <v>26</v>
      </c>
      <c r="AJ30" s="14" t="str">
        <f>INDEX(挂机升级突破!$BX$4:$CH$4,INDEX(挂机升级突破!$BU$6:$BU$57,卡牌消耗!AI30))</f>
        <v>金币</v>
      </c>
      <c r="AK30" s="14">
        <f>ROUND(INDEX(挂机升级突破!$BN$6:$BN$57,卡牌消耗!AI30)*INDEX(卡牌消耗!$B$8:$F$8,AG30)/$Q$4/50,0)*50</f>
        <v>13650</v>
      </c>
      <c r="AL30" s="14" t="str">
        <f>IF(AD30&gt;0,INDEX(挂机升级突破!$BX$4:$CH$4,AD30),"")</f>
        <v>橙色基础材料</v>
      </c>
      <c r="AM30" s="14">
        <f>ROUND(INDEX(挂机升级突破!$BX$6:$CH$57,卡牌消耗!AI30,AD30)*INDEX(卡牌消耗!$B$5:$F$5,AG30)/$Q$4/5,0)*5</f>
        <v>125</v>
      </c>
      <c r="AN30" s="14" t="str">
        <f>IF(AE30&gt;0,INDEX(挂机升级突破!$BX$4:$CH$4,AE30),"")</f>
        <v/>
      </c>
      <c r="AO30" s="14" t="str">
        <f>IF(AE30&gt;0,ROUND(INDEX(挂机升级突破!$BX$6:$CH$57,卡牌消耗!AI30,AE30)*INDEX(卡牌消耗!$B$7:$F$7,AG30)/$Q$4,0),"")</f>
        <v/>
      </c>
      <c r="AR30" s="104">
        <v>26</v>
      </c>
      <c r="AS30" s="14">
        <f t="shared" si="10"/>
        <v>2</v>
      </c>
      <c r="AT30" s="14">
        <f>INDEX(挂机升级突破!$CM$7:$CM$26,AX30)</f>
        <v>5</v>
      </c>
      <c r="AU30" s="14">
        <f>INDEX(挂机升级突破!$CN$7:$CN$26,AX30)</f>
        <v>1</v>
      </c>
      <c r="AV30" s="14">
        <f t="shared" si="11"/>
        <v>3</v>
      </c>
      <c r="AW30" s="14" t="str">
        <f t="shared" si="12"/>
        <v>许褚</v>
      </c>
      <c r="AX30" s="14">
        <f t="shared" si="13"/>
        <v>6</v>
      </c>
      <c r="AY30" s="14" t="str">
        <f t="shared" si="14"/>
        <v>许褚6突</v>
      </c>
      <c r="AZ30" s="14" t="str">
        <f>IF(AT30&gt;0,INDEX(挂机升级突破!$CV$5:$CZ$5,卡牌消耗!AT30),"")</f>
        <v>金币</v>
      </c>
      <c r="BA30" s="14">
        <f>IF(AT30&gt;0,ROUND(INDEX(挂机升级突破!$CZ$7:$CZ$26,卡牌消耗!AX30)*INDEX(卡牌消耗!$B$8:$F$8,AV30)/$Q$4/500,0)*500,"")</f>
        <v>4000</v>
      </c>
      <c r="BB30" s="14" t="str">
        <f>IF(AU30&gt;0,INDEX(挂机升级突破!$CV$5:$CZ$5,卡牌消耗!AU30),"")</f>
        <v>玄铁</v>
      </c>
      <c r="BC30" s="14">
        <f>IF(AU30&gt;0,ROUND(INDEX(挂机升级突破!$CV$7:$CY$26,卡牌消耗!AX30,卡牌消耗!AU30)*INDEX($B$6:$F$6,AV30)/$Q$4/5,0)*5,"")</f>
        <v>175</v>
      </c>
      <c r="BD30" s="104"/>
      <c r="BE30" s="104"/>
      <c r="BH30" s="153" t="s">
        <v>1424</v>
      </c>
      <c r="BI30" s="153"/>
      <c r="BJ30" s="153"/>
      <c r="BK30" s="153"/>
      <c r="BL30" s="153"/>
      <c r="BM30" s="153"/>
      <c r="BN30" s="153"/>
      <c r="BO30" s="153"/>
      <c r="BP30" s="153"/>
      <c r="BQ30" s="153"/>
      <c r="BR30" s="153"/>
      <c r="BU30" s="15"/>
      <c r="BV30" s="15"/>
      <c r="BW30" s="50">
        <v>26</v>
      </c>
      <c r="BX30" s="50">
        <v>15</v>
      </c>
      <c r="BY30" s="21">
        <f t="shared" si="30"/>
        <v>0.10273972602739725</v>
      </c>
      <c r="BZ30" s="65">
        <f t="shared" si="31"/>
        <v>2050</v>
      </c>
      <c r="CA30" s="50" t="e">
        <f>SUM(BZ$5:BZ30)</f>
        <v>#REF!</v>
      </c>
      <c r="CD30" s="136">
        <v>26</v>
      </c>
      <c r="CE30" s="14">
        <f t="shared" si="19"/>
        <v>6</v>
      </c>
      <c r="CF30" s="14">
        <f t="shared" si="0"/>
        <v>4</v>
      </c>
      <c r="CG30" s="14">
        <f t="shared" si="1"/>
        <v>1101006</v>
      </c>
      <c r="CH30" s="136" t="s">
        <v>1127</v>
      </c>
      <c r="CI30" s="14">
        <f t="shared" si="2"/>
        <v>1</v>
      </c>
      <c r="CJ30" s="14" t="str">
        <f t="shared" si="3"/>
        <v>红莲缇娜-1星</v>
      </c>
      <c r="CK30" s="136" t="s">
        <v>1133</v>
      </c>
      <c r="CL30" s="14">
        <f t="shared" si="20"/>
        <v>6000</v>
      </c>
      <c r="CM30" s="14" t="str">
        <f t="shared" si="4"/>
        <v>红莲缇娜碎片</v>
      </c>
      <c r="CN30" s="14">
        <f t="shared" si="21"/>
        <v>80</v>
      </c>
    </row>
    <row r="31" spans="1:92" ht="16.5" x14ac:dyDescent="0.2">
      <c r="A31" s="14">
        <v>1102019</v>
      </c>
      <c r="B31" s="14" t="s">
        <v>200</v>
      </c>
      <c r="C31" s="14">
        <v>2</v>
      </c>
      <c r="D31" s="14">
        <v>20</v>
      </c>
      <c r="E31" s="14">
        <v>1</v>
      </c>
      <c r="F31" s="101">
        <f t="shared" si="23"/>
        <v>1502019</v>
      </c>
      <c r="G31" s="15"/>
      <c r="T31" s="139">
        <v>27</v>
      </c>
      <c r="U31" s="139">
        <f>ROUND(INDEX(挂机升级突破!$BN$6:$BN$57,卡牌消耗!$T31)*INDEX(卡牌消耗!$B$8:$F$8,卡牌消耗!U$2)/$Q$4/5,0)*5</f>
        <v>4780</v>
      </c>
      <c r="V31" s="139">
        <f>ROUND(INDEX(挂机升级突破!$BN$6:$BN$57,卡牌消耗!$T31)*INDEX(卡牌消耗!$B$8:$F$8,卡牌消耗!V$2)/$Q$4/5,0)*5</f>
        <v>6830</v>
      </c>
      <c r="W31" s="139">
        <f>ROUND(INDEX(挂机升级突破!$BN$6:$BN$57,卡牌消耗!$T31)*INDEX(卡牌消耗!$B$8:$F$8,卡牌消耗!W$2)/$Q$4/5,0)*5</f>
        <v>10245</v>
      </c>
      <c r="X31" s="139">
        <f>ROUND(INDEX(挂机升级突破!$BN$6:$BN$57,卡牌消耗!$T31)*INDEX(卡牌消耗!$B$8:$F$8,卡牌消耗!X$2)/$Q$4/5,0)*5</f>
        <v>13660</v>
      </c>
      <c r="AA31" s="104">
        <v>27</v>
      </c>
      <c r="AB31" s="14">
        <f t="shared" si="5"/>
        <v>1</v>
      </c>
      <c r="AC31" s="14">
        <f>INDEX(挂机升级突破!$BU$6:$BU$57,卡牌消耗!AI31)</f>
        <v>11</v>
      </c>
      <c r="AD31" s="14">
        <f>INDEX(挂机升级突破!BV$6:BV$57,卡牌消耗!$AI31)</f>
        <v>4</v>
      </c>
      <c r="AE31" s="14">
        <f>INDEX(挂机升级突破!BW$6:BW$57,卡牌消耗!$AI31)</f>
        <v>0</v>
      </c>
      <c r="AF31" s="14" t="str">
        <f t="shared" si="6"/>
        <v>关羽</v>
      </c>
      <c r="AG31" s="14">
        <f t="shared" si="7"/>
        <v>5</v>
      </c>
      <c r="AH31" s="14" t="str">
        <f t="shared" si="8"/>
        <v>关羽魂火-27</v>
      </c>
      <c r="AI31" s="14">
        <f t="shared" si="9"/>
        <v>27</v>
      </c>
      <c r="AJ31" s="14" t="str">
        <f>INDEX(挂机升级突破!$BX$4:$CH$4,INDEX(挂机升级突破!$BU$6:$BU$57,卡牌消耗!AI31))</f>
        <v>金币</v>
      </c>
      <c r="AK31" s="14">
        <f>ROUND(INDEX(挂机升级突破!$BN$6:$BN$57,卡牌消耗!AI31)*INDEX(卡牌消耗!$B$8:$F$8,AG31)/$Q$4/50,0)*50</f>
        <v>13650</v>
      </c>
      <c r="AL31" s="14" t="str">
        <f>IF(AD31&gt;0,INDEX(挂机升级突破!$BX$4:$CH$4,AD31),"")</f>
        <v>橙色基础材料</v>
      </c>
      <c r="AM31" s="14">
        <f>ROUND(INDEX(挂机升级突破!$BX$6:$CH$57,卡牌消耗!AI31,AD31)*INDEX(卡牌消耗!$B$5:$F$5,AG31)/$Q$4/5,0)*5</f>
        <v>125</v>
      </c>
      <c r="AN31" s="14" t="str">
        <f>IF(AE31&gt;0,INDEX(挂机升级突破!$BX$4:$CH$4,AE31),"")</f>
        <v/>
      </c>
      <c r="AO31" s="14" t="str">
        <f>IF(AE31&gt;0,ROUND(INDEX(挂机升级突破!$BX$6:$CH$57,卡牌消耗!AI31,AE31)*INDEX(卡牌消耗!$B$7:$F$7,AG31)/$Q$4,0),"")</f>
        <v/>
      </c>
      <c r="AR31" s="104">
        <v>27</v>
      </c>
      <c r="AS31" s="14">
        <f t="shared" si="10"/>
        <v>2</v>
      </c>
      <c r="AT31" s="14">
        <f>INDEX(挂机升级突破!$CM$7:$CM$26,AX31)</f>
        <v>5</v>
      </c>
      <c r="AU31" s="14">
        <f>INDEX(挂机升级突破!$CN$7:$CN$26,AX31)</f>
        <v>1</v>
      </c>
      <c r="AV31" s="14">
        <f t="shared" si="11"/>
        <v>3</v>
      </c>
      <c r="AW31" s="14" t="str">
        <f t="shared" si="12"/>
        <v>许褚</v>
      </c>
      <c r="AX31" s="14">
        <f t="shared" si="13"/>
        <v>7</v>
      </c>
      <c r="AY31" s="14" t="str">
        <f t="shared" si="14"/>
        <v>许褚7突</v>
      </c>
      <c r="AZ31" s="14" t="str">
        <f>IF(AT31&gt;0,INDEX(挂机升级突破!$CV$5:$CZ$5,卡牌消耗!AT31),"")</f>
        <v>金币</v>
      </c>
      <c r="BA31" s="14">
        <f>IF(AT31&gt;0,ROUND(INDEX(挂机升级突破!$CZ$7:$CZ$26,卡牌消耗!AX31)*INDEX(卡牌消耗!$B$8:$F$8,AV31)/$Q$4/500,0)*500,"")</f>
        <v>6500</v>
      </c>
      <c r="BB31" s="14" t="str">
        <f>IF(AU31&gt;0,INDEX(挂机升级突破!$CV$5:$CZ$5,卡牌消耗!AU31),"")</f>
        <v>玄铁</v>
      </c>
      <c r="BC31" s="14">
        <f>IF(AU31&gt;0,ROUND(INDEX(挂机升级突破!$CV$7:$CY$26,卡牌消耗!AX31,卡牌消耗!AU31)*INDEX($B$6:$F$6,AV31)/$Q$4/5,0)*5,"")</f>
        <v>290</v>
      </c>
      <c r="BD31" s="104"/>
      <c r="BE31" s="104"/>
      <c r="BH31" s="153" t="s">
        <v>1425</v>
      </c>
      <c r="BI31" s="153"/>
      <c r="BJ31" s="153"/>
      <c r="BK31" s="153"/>
      <c r="BL31" s="153"/>
      <c r="BM31" s="153"/>
      <c r="BN31" s="153"/>
      <c r="BO31" s="153"/>
      <c r="BP31" s="153"/>
      <c r="BQ31" s="153"/>
      <c r="BR31" s="153"/>
      <c r="BU31" s="15"/>
      <c r="BV31" s="15"/>
      <c r="BW31" s="50">
        <v>27</v>
      </c>
      <c r="BX31" s="50">
        <v>16</v>
      </c>
      <c r="BY31" s="21">
        <f t="shared" si="30"/>
        <v>0.1095890410958904</v>
      </c>
      <c r="BZ31" s="65">
        <f t="shared" si="31"/>
        <v>2185</v>
      </c>
      <c r="CA31" s="50" t="e">
        <f>SUM(BZ$5:BZ31)</f>
        <v>#REF!</v>
      </c>
      <c r="CD31" s="136">
        <v>27</v>
      </c>
      <c r="CE31" s="14">
        <f t="shared" si="19"/>
        <v>6</v>
      </c>
      <c r="CF31" s="14">
        <f t="shared" si="0"/>
        <v>4</v>
      </c>
      <c r="CG31" s="14">
        <f t="shared" si="1"/>
        <v>1101006</v>
      </c>
      <c r="CH31" s="136" t="s">
        <v>1127</v>
      </c>
      <c r="CI31" s="14">
        <f t="shared" si="2"/>
        <v>2</v>
      </c>
      <c r="CJ31" s="14" t="str">
        <f t="shared" si="3"/>
        <v>红莲缇娜-2星</v>
      </c>
      <c r="CK31" s="136" t="s">
        <v>1133</v>
      </c>
      <c r="CL31" s="14">
        <f t="shared" si="20"/>
        <v>8000</v>
      </c>
      <c r="CM31" s="14" t="str">
        <f t="shared" si="4"/>
        <v>红莲缇娜碎片</v>
      </c>
      <c r="CN31" s="14">
        <f t="shared" si="21"/>
        <v>80</v>
      </c>
    </row>
    <row r="32" spans="1:92" ht="16.5" x14ac:dyDescent="0.2">
      <c r="A32" s="14">
        <v>1102020</v>
      </c>
      <c r="B32" s="14" t="s">
        <v>201</v>
      </c>
      <c r="C32" s="14">
        <v>3</v>
      </c>
      <c r="D32" s="14">
        <v>40</v>
      </c>
      <c r="E32" s="14">
        <v>2</v>
      </c>
      <c r="F32" s="101">
        <f t="shared" si="23"/>
        <v>1502020</v>
      </c>
      <c r="G32" s="15"/>
      <c r="T32" s="139">
        <v>28</v>
      </c>
      <c r="U32" s="139">
        <f>ROUND(INDEX(挂机升级突破!$BN$6:$BN$57,卡牌消耗!$T32)*INDEX(卡牌消耗!$B$8:$F$8,卡牌消耗!U$2)/$Q$4/5,0)*5</f>
        <v>4780</v>
      </c>
      <c r="V32" s="139">
        <f>ROUND(INDEX(挂机升级突破!$BN$6:$BN$57,卡牌消耗!$T32)*INDEX(卡牌消耗!$B$8:$F$8,卡牌消耗!V$2)/$Q$4/5,0)*5</f>
        <v>6830</v>
      </c>
      <c r="W32" s="139">
        <f>ROUND(INDEX(挂机升级突破!$BN$6:$BN$57,卡牌消耗!$T32)*INDEX(卡牌消耗!$B$8:$F$8,卡牌消耗!W$2)/$Q$4/5,0)*5</f>
        <v>10245</v>
      </c>
      <c r="X32" s="139">
        <f>ROUND(INDEX(挂机升级突破!$BN$6:$BN$57,卡牌消耗!$T32)*INDEX(卡牌消耗!$B$8:$F$8,卡牌消耗!X$2)/$Q$4/5,0)*5</f>
        <v>13660</v>
      </c>
      <c r="AA32" s="104">
        <v>28</v>
      </c>
      <c r="AB32" s="14">
        <f t="shared" si="5"/>
        <v>1</v>
      </c>
      <c r="AC32" s="14">
        <f>INDEX(挂机升级突破!$BU$6:$BU$57,卡牌消耗!AI32)</f>
        <v>11</v>
      </c>
      <c r="AD32" s="14">
        <f>INDEX(挂机升级突破!BV$6:BV$57,卡牌消耗!$AI32)</f>
        <v>4</v>
      </c>
      <c r="AE32" s="14">
        <f>INDEX(挂机升级突破!BW$6:BW$57,卡牌消耗!$AI32)</f>
        <v>0</v>
      </c>
      <c r="AF32" s="14" t="str">
        <f t="shared" si="6"/>
        <v>关羽</v>
      </c>
      <c r="AG32" s="14">
        <f t="shared" si="7"/>
        <v>5</v>
      </c>
      <c r="AH32" s="14" t="str">
        <f t="shared" si="8"/>
        <v>关羽魂火-28</v>
      </c>
      <c r="AI32" s="14">
        <f t="shared" si="9"/>
        <v>28</v>
      </c>
      <c r="AJ32" s="14" t="str">
        <f>INDEX(挂机升级突破!$BX$4:$CH$4,INDEX(挂机升级突破!$BU$6:$BU$57,卡牌消耗!AI32))</f>
        <v>金币</v>
      </c>
      <c r="AK32" s="14">
        <f>ROUND(INDEX(挂机升级突破!$BN$6:$BN$57,卡牌消耗!AI32)*INDEX(卡牌消耗!$B$8:$F$8,AG32)/$Q$4/50,0)*50</f>
        <v>13650</v>
      </c>
      <c r="AL32" s="14" t="str">
        <f>IF(AD32&gt;0,INDEX(挂机升级突破!$BX$4:$CH$4,AD32),"")</f>
        <v>橙色基础材料</v>
      </c>
      <c r="AM32" s="14">
        <f>ROUND(INDEX(挂机升级突破!$BX$6:$CH$57,卡牌消耗!AI32,AD32)*INDEX(卡牌消耗!$B$5:$F$5,AG32)/$Q$4/5,0)*5</f>
        <v>125</v>
      </c>
      <c r="AN32" s="14" t="str">
        <f>IF(AE32&gt;0,INDEX(挂机升级突破!$BX$4:$CH$4,AE32),"")</f>
        <v/>
      </c>
      <c r="AO32" s="14" t="str">
        <f>IF(AE32&gt;0,ROUND(INDEX(挂机升级突破!$BX$6:$CH$57,卡牌消耗!AI32,AE32)*INDEX(卡牌消耗!$B$7:$F$7,AG32)/$Q$4,0),"")</f>
        <v/>
      </c>
      <c r="AR32" s="104">
        <v>28</v>
      </c>
      <c r="AS32" s="14">
        <f t="shared" si="10"/>
        <v>2</v>
      </c>
      <c r="AT32" s="14">
        <f>INDEX(挂机升级突破!$CM$7:$CM$26,AX32)</f>
        <v>5</v>
      </c>
      <c r="AU32" s="14">
        <f>INDEX(挂机升级突破!$CN$7:$CN$26,AX32)</f>
        <v>1</v>
      </c>
      <c r="AV32" s="14">
        <f t="shared" si="11"/>
        <v>3</v>
      </c>
      <c r="AW32" s="14" t="str">
        <f t="shared" si="12"/>
        <v>许褚</v>
      </c>
      <c r="AX32" s="14">
        <f t="shared" si="13"/>
        <v>8</v>
      </c>
      <c r="AY32" s="14" t="str">
        <f t="shared" si="14"/>
        <v>许褚8突</v>
      </c>
      <c r="AZ32" s="14" t="str">
        <f>IF(AT32&gt;0,INDEX(挂机升级突破!$CV$5:$CZ$5,卡牌消耗!AT32),"")</f>
        <v>金币</v>
      </c>
      <c r="BA32" s="14">
        <f>IF(AT32&gt;0,ROUND(INDEX(挂机升级突破!$CZ$7:$CZ$26,卡牌消耗!AX32)*INDEX(卡牌消耗!$B$8:$F$8,AV32)/$Q$4/500,0)*500,"")</f>
        <v>6500</v>
      </c>
      <c r="BB32" s="14" t="str">
        <f>IF(AU32&gt;0,INDEX(挂机升级突破!$CV$5:$CZ$5,卡牌消耗!AU32),"")</f>
        <v>玄铁</v>
      </c>
      <c r="BC32" s="14">
        <f>IF(AU32&gt;0,ROUND(INDEX(挂机升级突破!$CV$7:$CY$26,卡牌消耗!AX32,卡牌消耗!AU32)*INDEX($B$6:$F$6,AV32)/$Q$4/5,0)*5,"")</f>
        <v>520</v>
      </c>
      <c r="BD32" s="104"/>
      <c r="BE32" s="104"/>
      <c r="BH32" s="153" t="s">
        <v>1426</v>
      </c>
      <c r="BI32" s="153"/>
      <c r="BJ32" s="153"/>
      <c r="BK32" s="153"/>
      <c r="BL32" s="153"/>
      <c r="BM32" s="153"/>
      <c r="BN32" s="153"/>
      <c r="BO32" s="153"/>
      <c r="BP32" s="153"/>
      <c r="BQ32" s="153"/>
      <c r="BR32" s="153"/>
      <c r="BW32" s="50">
        <v>28</v>
      </c>
      <c r="BX32" s="50">
        <v>17</v>
      </c>
      <c r="BY32" s="21">
        <f t="shared" si="30"/>
        <v>0.11643835616438356</v>
      </c>
      <c r="BZ32" s="65">
        <f t="shared" si="31"/>
        <v>2325</v>
      </c>
      <c r="CA32" s="50" t="e">
        <f>SUM(BZ$5:BZ32)</f>
        <v>#REF!</v>
      </c>
      <c r="CD32" s="136">
        <v>28</v>
      </c>
      <c r="CE32" s="14">
        <f t="shared" si="19"/>
        <v>6</v>
      </c>
      <c r="CF32" s="14">
        <f t="shared" si="0"/>
        <v>4</v>
      </c>
      <c r="CG32" s="14">
        <f t="shared" si="1"/>
        <v>1101006</v>
      </c>
      <c r="CH32" s="136" t="s">
        <v>1127</v>
      </c>
      <c r="CI32" s="14">
        <f t="shared" si="2"/>
        <v>3</v>
      </c>
      <c r="CJ32" s="14" t="str">
        <f t="shared" si="3"/>
        <v>红莲缇娜-3星</v>
      </c>
      <c r="CK32" s="136" t="s">
        <v>1133</v>
      </c>
      <c r="CL32" s="14">
        <f t="shared" si="20"/>
        <v>14000</v>
      </c>
      <c r="CM32" s="14" t="str">
        <f t="shared" si="4"/>
        <v>红莲缇娜碎片</v>
      </c>
      <c r="CN32" s="14">
        <f t="shared" si="21"/>
        <v>160</v>
      </c>
    </row>
    <row r="33" spans="1:92" ht="16.5" x14ac:dyDescent="0.2">
      <c r="A33" s="14">
        <v>1102021</v>
      </c>
      <c r="B33" s="14" t="s">
        <v>202</v>
      </c>
      <c r="C33" s="14">
        <v>3</v>
      </c>
      <c r="D33" s="14">
        <v>20</v>
      </c>
      <c r="E33" s="14">
        <v>1</v>
      </c>
      <c r="F33" s="101">
        <f t="shared" si="23"/>
        <v>1502021</v>
      </c>
      <c r="G33" s="15"/>
      <c r="T33" s="139">
        <v>29</v>
      </c>
      <c r="U33" s="139">
        <f>ROUND(INDEX(挂机升级突破!$BN$6:$BN$57,卡牌消耗!$T33)*INDEX(卡牌消耗!$B$8:$F$8,卡牌消耗!U$2)/$Q$4/5,0)*5</f>
        <v>4840</v>
      </c>
      <c r="V33" s="139">
        <f>ROUND(INDEX(挂机升级突破!$BN$6:$BN$57,卡牌消耗!$T33)*INDEX(卡牌消耗!$B$8:$F$8,卡牌消耗!V$2)/$Q$4/5,0)*5</f>
        <v>6915</v>
      </c>
      <c r="W33" s="139">
        <f>ROUND(INDEX(挂机升级突破!$BN$6:$BN$57,卡牌消耗!$T33)*INDEX(卡牌消耗!$B$8:$F$8,卡牌消耗!W$2)/$Q$4/5,0)*5</f>
        <v>10370</v>
      </c>
      <c r="X33" s="139">
        <f>ROUND(INDEX(挂机升级突破!$BN$6:$BN$57,卡牌消耗!$T33)*INDEX(卡牌消耗!$B$8:$F$8,卡牌消耗!X$2)/$Q$4/5,0)*5</f>
        <v>13825</v>
      </c>
      <c r="AA33" s="104">
        <v>29</v>
      </c>
      <c r="AB33" s="14">
        <f t="shared" si="5"/>
        <v>1</v>
      </c>
      <c r="AC33" s="14">
        <f>INDEX(挂机升级突破!$BU$6:$BU$57,卡牌消耗!AI33)</f>
        <v>11</v>
      </c>
      <c r="AD33" s="14">
        <f>INDEX(挂机升级突破!BV$6:BV$57,卡牌消耗!$AI33)</f>
        <v>4</v>
      </c>
      <c r="AE33" s="14">
        <f>INDEX(挂机升级突破!BW$6:BW$57,卡牌消耗!$AI33)</f>
        <v>0</v>
      </c>
      <c r="AF33" s="14" t="str">
        <f t="shared" si="6"/>
        <v>关羽</v>
      </c>
      <c r="AG33" s="14">
        <f t="shared" si="7"/>
        <v>5</v>
      </c>
      <c r="AH33" s="14" t="str">
        <f t="shared" si="8"/>
        <v>关羽魂火-29</v>
      </c>
      <c r="AI33" s="14">
        <f t="shared" si="9"/>
        <v>29</v>
      </c>
      <c r="AJ33" s="14" t="str">
        <f>INDEX(挂机升级突破!$BX$4:$CH$4,INDEX(挂机升级突破!$BU$6:$BU$57,卡牌消耗!AI33))</f>
        <v>金币</v>
      </c>
      <c r="AK33" s="14">
        <f>ROUND(INDEX(挂机升级突破!$BN$6:$BN$57,卡牌消耗!AI33)*INDEX(卡牌消耗!$B$8:$F$8,AG33)/$Q$4/50,0)*50</f>
        <v>13850</v>
      </c>
      <c r="AL33" s="14" t="str">
        <f>IF(AD33&gt;0,INDEX(挂机升级突破!$BX$4:$CH$4,AD33),"")</f>
        <v>橙色基础材料</v>
      </c>
      <c r="AM33" s="14">
        <f>ROUND(INDEX(挂机升级突破!$BX$6:$CH$57,卡牌消耗!AI33,AD33)*INDEX(卡牌消耗!$B$5:$F$5,AG33)/$Q$4/5,0)*5</f>
        <v>145</v>
      </c>
      <c r="AN33" s="14" t="str">
        <f>IF(AE33&gt;0,INDEX(挂机升级突破!$BX$4:$CH$4,AE33),"")</f>
        <v/>
      </c>
      <c r="AO33" s="14" t="str">
        <f>IF(AE33&gt;0,ROUND(INDEX(挂机升级突破!$BX$6:$CH$57,卡牌消耗!AI33,AE33)*INDEX(卡牌消耗!$B$7:$F$7,AG33)/$Q$4,0),"")</f>
        <v/>
      </c>
      <c r="AR33" s="104">
        <v>29</v>
      </c>
      <c r="AS33" s="14">
        <f t="shared" si="10"/>
        <v>2</v>
      </c>
      <c r="AT33" s="14">
        <f>INDEX(挂机升级突破!$CM$7:$CM$26,AX33)</f>
        <v>5</v>
      </c>
      <c r="AU33" s="14">
        <f>INDEX(挂机升级突破!$CN$7:$CN$26,AX33)</f>
        <v>2</v>
      </c>
      <c r="AV33" s="14">
        <f t="shared" si="11"/>
        <v>3</v>
      </c>
      <c r="AW33" s="14" t="str">
        <f t="shared" si="12"/>
        <v>许褚</v>
      </c>
      <c r="AX33" s="14">
        <f t="shared" si="13"/>
        <v>9</v>
      </c>
      <c r="AY33" s="14" t="str">
        <f t="shared" si="14"/>
        <v>许褚9突</v>
      </c>
      <c r="AZ33" s="14" t="str">
        <f>IF(AT33&gt;0,INDEX(挂机升级突破!$CV$5:$CZ$5,卡牌消耗!AT33),"")</f>
        <v>金币</v>
      </c>
      <c r="BA33" s="14">
        <f>IF(AT33&gt;0,ROUND(INDEX(挂机升级突破!$CZ$7:$CZ$26,卡牌消耗!AX33)*INDEX(卡牌消耗!$B$8:$F$8,AV33)/$Q$4/500,0)*500,"")</f>
        <v>8500</v>
      </c>
      <c r="BB33" s="14" t="str">
        <f>IF(AU33&gt;0,INDEX(挂机升级突破!$CV$5:$CZ$5,卡牌消耗!AU33),"")</f>
        <v>乌金</v>
      </c>
      <c r="BC33" s="14">
        <f>IF(AU33&gt;0,ROUND(INDEX(挂机升级突破!$CV$7:$CY$26,卡牌消耗!AX33,卡牌消耗!AU33)*INDEX($B$6:$F$6,AV33)/$Q$4/5,0)*5,"")</f>
        <v>65</v>
      </c>
      <c r="BD33" s="104"/>
      <c r="BE33" s="104"/>
      <c r="BH33" s="153" t="s">
        <v>1427</v>
      </c>
      <c r="BI33" s="153"/>
      <c r="BJ33" s="153"/>
      <c r="BK33" s="153"/>
      <c r="BL33" s="153"/>
      <c r="BM33" s="153"/>
      <c r="BN33" s="153"/>
      <c r="BO33" s="153"/>
      <c r="BP33" s="153"/>
      <c r="BQ33" s="153"/>
      <c r="BR33" s="153"/>
      <c r="BW33" s="50">
        <v>29</v>
      </c>
      <c r="BX33" s="50">
        <v>18</v>
      </c>
      <c r="BY33" s="21">
        <f t="shared" si="30"/>
        <v>0.12328767123287671</v>
      </c>
      <c r="BZ33" s="65">
        <f t="shared" si="31"/>
        <v>2460</v>
      </c>
      <c r="CA33" s="50" t="e">
        <f>SUM(BZ$5:BZ33)</f>
        <v>#REF!</v>
      </c>
      <c r="CD33" s="136">
        <v>29</v>
      </c>
      <c r="CE33" s="14">
        <f t="shared" si="19"/>
        <v>6</v>
      </c>
      <c r="CF33" s="14">
        <f t="shared" si="0"/>
        <v>4</v>
      </c>
      <c r="CG33" s="14">
        <f t="shared" si="1"/>
        <v>1101006</v>
      </c>
      <c r="CH33" s="136" t="s">
        <v>1127</v>
      </c>
      <c r="CI33" s="14">
        <f t="shared" si="2"/>
        <v>4</v>
      </c>
      <c r="CJ33" s="14" t="str">
        <f t="shared" si="3"/>
        <v>红莲缇娜-4星</v>
      </c>
      <c r="CK33" s="136" t="s">
        <v>1133</v>
      </c>
      <c r="CL33" s="14">
        <f t="shared" si="20"/>
        <v>32000</v>
      </c>
      <c r="CM33" s="14" t="str">
        <f t="shared" si="4"/>
        <v>红莲缇娜碎片</v>
      </c>
      <c r="CN33" s="14">
        <f t="shared" si="21"/>
        <v>240</v>
      </c>
    </row>
    <row r="34" spans="1:92" ht="16.5" x14ac:dyDescent="0.2">
      <c r="A34" s="14">
        <v>1102050</v>
      </c>
      <c r="B34" s="14" t="s">
        <v>401</v>
      </c>
      <c r="C34" s="14">
        <v>2</v>
      </c>
      <c r="D34" s="14">
        <v>5</v>
      </c>
      <c r="E34" s="14">
        <v>3</v>
      </c>
      <c r="F34" s="101">
        <f t="shared" si="23"/>
        <v>1502050</v>
      </c>
      <c r="G34" s="15"/>
      <c r="T34" s="139">
        <v>30</v>
      </c>
      <c r="U34" s="139">
        <f>ROUND(INDEX(挂机升级突破!$BN$6:$BN$57,卡牌消耗!$T34)*INDEX(卡牌消耗!$B$8:$F$8,卡牌消耗!U$2)/$Q$4/5,0)*5</f>
        <v>4840</v>
      </c>
      <c r="V34" s="139">
        <f>ROUND(INDEX(挂机升级突破!$BN$6:$BN$57,卡牌消耗!$T34)*INDEX(卡牌消耗!$B$8:$F$8,卡牌消耗!V$2)/$Q$4/5,0)*5</f>
        <v>6915</v>
      </c>
      <c r="W34" s="139">
        <f>ROUND(INDEX(挂机升级突破!$BN$6:$BN$57,卡牌消耗!$T34)*INDEX(卡牌消耗!$B$8:$F$8,卡牌消耗!W$2)/$Q$4/5,0)*5</f>
        <v>10370</v>
      </c>
      <c r="X34" s="139">
        <f>ROUND(INDEX(挂机升级突破!$BN$6:$BN$57,卡牌消耗!$T34)*INDEX(卡牌消耗!$B$8:$F$8,卡牌消耗!X$2)/$Q$4/5,0)*5</f>
        <v>13825</v>
      </c>
      <c r="AA34" s="104">
        <v>30</v>
      </c>
      <c r="AB34" s="14">
        <f t="shared" si="5"/>
        <v>1</v>
      </c>
      <c r="AC34" s="14">
        <f>INDEX(挂机升级突破!$BU$6:$BU$57,卡牌消耗!AI34)</f>
        <v>11</v>
      </c>
      <c r="AD34" s="14">
        <f>INDEX(挂机升级突破!BV$6:BV$57,卡牌消耗!$AI34)</f>
        <v>4</v>
      </c>
      <c r="AE34" s="14">
        <f>INDEX(挂机升级突破!BW$6:BW$57,卡牌消耗!$AI34)</f>
        <v>0</v>
      </c>
      <c r="AF34" s="14" t="str">
        <f t="shared" si="6"/>
        <v>关羽</v>
      </c>
      <c r="AG34" s="14">
        <f t="shared" si="7"/>
        <v>5</v>
      </c>
      <c r="AH34" s="14" t="str">
        <f t="shared" si="8"/>
        <v>关羽魂火-30</v>
      </c>
      <c r="AI34" s="14">
        <f t="shared" si="9"/>
        <v>30</v>
      </c>
      <c r="AJ34" s="14" t="str">
        <f>INDEX(挂机升级突破!$BX$4:$CH$4,INDEX(挂机升级突破!$BU$6:$BU$57,卡牌消耗!AI34))</f>
        <v>金币</v>
      </c>
      <c r="AK34" s="14">
        <f>ROUND(INDEX(挂机升级突破!$BN$6:$BN$57,卡牌消耗!AI34)*INDEX(卡牌消耗!$B$8:$F$8,AG34)/$Q$4/50,0)*50</f>
        <v>13850</v>
      </c>
      <c r="AL34" s="14" t="str">
        <f>IF(AD34&gt;0,INDEX(挂机升级突破!$BX$4:$CH$4,AD34),"")</f>
        <v>橙色基础材料</v>
      </c>
      <c r="AM34" s="14">
        <f>ROUND(INDEX(挂机升级突破!$BX$6:$CH$57,卡牌消耗!AI34,AD34)*INDEX(卡牌消耗!$B$5:$F$5,AG34)/$Q$4/5,0)*5</f>
        <v>145</v>
      </c>
      <c r="AN34" s="14" t="str">
        <f>IF(AE34&gt;0,INDEX(挂机升级突破!$BX$4:$CH$4,AE34),"")</f>
        <v/>
      </c>
      <c r="AO34" s="14" t="str">
        <f>IF(AE34&gt;0,ROUND(INDEX(挂机升级突破!$BX$6:$CH$57,卡牌消耗!AI34,AE34)*INDEX(卡牌消耗!$B$7:$F$7,AG34)/$Q$4,0),"")</f>
        <v/>
      </c>
      <c r="AR34" s="104">
        <v>30</v>
      </c>
      <c r="AS34" s="14">
        <f t="shared" si="10"/>
        <v>2</v>
      </c>
      <c r="AT34" s="14">
        <f>INDEX(挂机升级突破!$CM$7:$CM$26,AX34)</f>
        <v>5</v>
      </c>
      <c r="AU34" s="14">
        <f>INDEX(挂机升级突破!$CN$7:$CN$26,AX34)</f>
        <v>2</v>
      </c>
      <c r="AV34" s="14">
        <f t="shared" si="11"/>
        <v>3</v>
      </c>
      <c r="AW34" s="14" t="str">
        <f t="shared" si="12"/>
        <v>许褚</v>
      </c>
      <c r="AX34" s="14">
        <f t="shared" si="13"/>
        <v>10</v>
      </c>
      <c r="AY34" s="14" t="str">
        <f t="shared" si="14"/>
        <v>许褚10突</v>
      </c>
      <c r="AZ34" s="14" t="str">
        <f>IF(AT34&gt;0,INDEX(挂机升级突破!$CV$5:$CZ$5,卡牌消耗!AT34),"")</f>
        <v>金币</v>
      </c>
      <c r="BA34" s="14">
        <f>IF(AT34&gt;0,ROUND(INDEX(挂机升级突破!$CZ$7:$CZ$26,卡牌消耗!AX34)*INDEX(卡牌消耗!$B$8:$F$8,AV34)/$Q$4/500,0)*500,"")</f>
        <v>14500</v>
      </c>
      <c r="BB34" s="14" t="str">
        <f>IF(AU34&gt;0,INDEX(挂机升级突破!$CV$5:$CZ$5,卡牌消耗!AU34),"")</f>
        <v>乌金</v>
      </c>
      <c r="BC34" s="14">
        <f>IF(AU34&gt;0,ROUND(INDEX(挂机升级突破!$CV$7:$CY$26,卡牌消耗!AX34,卡牌消耗!AU34)*INDEX($B$6:$F$6,AV34)/$Q$4/5,0)*5,"")</f>
        <v>90</v>
      </c>
      <c r="BD34" s="104"/>
      <c r="BE34" s="104"/>
      <c r="BW34" s="50">
        <v>30</v>
      </c>
      <c r="BX34" s="50">
        <v>20</v>
      </c>
      <c r="BY34" s="21">
        <f t="shared" si="30"/>
        <v>0.13698630136986301</v>
      </c>
      <c r="BZ34" s="65">
        <f t="shared" si="31"/>
        <v>2735</v>
      </c>
      <c r="CA34" s="50" t="e">
        <f>SUM(BZ$5:BZ34)</f>
        <v>#REF!</v>
      </c>
      <c r="CD34" s="136">
        <v>30</v>
      </c>
      <c r="CE34" s="14">
        <f t="shared" si="19"/>
        <v>6</v>
      </c>
      <c r="CF34" s="14">
        <f t="shared" si="0"/>
        <v>4</v>
      </c>
      <c r="CG34" s="14">
        <f t="shared" si="1"/>
        <v>1101006</v>
      </c>
      <c r="CH34" s="136" t="s">
        <v>1127</v>
      </c>
      <c r="CI34" s="14">
        <f t="shared" si="2"/>
        <v>5</v>
      </c>
      <c r="CJ34" s="14" t="str">
        <f t="shared" si="3"/>
        <v>红莲缇娜-5星</v>
      </c>
      <c r="CK34" s="136" t="s">
        <v>1133</v>
      </c>
      <c r="CL34" s="14">
        <f t="shared" si="20"/>
        <v>60000</v>
      </c>
      <c r="CM34" s="14" t="str">
        <f t="shared" si="4"/>
        <v>红莲缇娜碎片</v>
      </c>
      <c r="CN34" s="14">
        <f t="shared" si="21"/>
        <v>320</v>
      </c>
    </row>
    <row r="35" spans="1:92" s="102" customFormat="1" ht="16.5" x14ac:dyDescent="0.2">
      <c r="A35" s="14">
        <v>1102023</v>
      </c>
      <c r="B35" s="14" t="s">
        <v>976</v>
      </c>
      <c r="C35" s="14">
        <v>2</v>
      </c>
      <c r="D35" s="14">
        <v>20</v>
      </c>
      <c r="E35" s="14">
        <v>2</v>
      </c>
      <c r="F35" s="101">
        <f t="shared" si="23"/>
        <v>1502023</v>
      </c>
      <c r="G35" s="15"/>
      <c r="O35" s="138"/>
      <c r="P35" s="142"/>
      <c r="Q35" s="142"/>
      <c r="R35" s="142"/>
      <c r="S35" s="142"/>
      <c r="T35" s="139">
        <v>31</v>
      </c>
      <c r="U35" s="139">
        <f>ROUND(INDEX(挂机升级突破!$BN$6:$BN$57,卡牌消耗!$T35)*INDEX(卡牌消耗!$B$8:$F$8,卡牌消耗!U$2)/$Q$4/5,0)*5</f>
        <v>4840</v>
      </c>
      <c r="V35" s="139">
        <f>ROUND(INDEX(挂机升级突破!$BN$6:$BN$57,卡牌消耗!$T35)*INDEX(卡牌消耗!$B$8:$F$8,卡牌消耗!V$2)/$Q$4/5,0)*5</f>
        <v>6915</v>
      </c>
      <c r="W35" s="139">
        <f>ROUND(INDEX(挂机升级突破!$BN$6:$BN$57,卡牌消耗!$T35)*INDEX(卡牌消耗!$B$8:$F$8,卡牌消耗!W$2)/$Q$4/5,0)*5</f>
        <v>10370</v>
      </c>
      <c r="X35" s="139">
        <f>ROUND(INDEX(挂机升级突破!$BN$6:$BN$57,卡牌消耗!$T35)*INDEX(卡牌消耗!$B$8:$F$8,卡牌消耗!X$2)/$Q$4/5,0)*5</f>
        <v>13825</v>
      </c>
      <c r="Y35" s="142"/>
      <c r="Z35" s="142"/>
      <c r="AA35" s="104">
        <v>31</v>
      </c>
      <c r="AB35" s="14">
        <f t="shared" si="5"/>
        <v>1</v>
      </c>
      <c r="AC35" s="14">
        <f>INDEX(挂机升级突破!$BU$6:$BU$57,卡牌消耗!AI35)</f>
        <v>11</v>
      </c>
      <c r="AD35" s="14">
        <f>INDEX(挂机升级突破!BV$6:BV$57,卡牌消耗!$AI35)</f>
        <v>4</v>
      </c>
      <c r="AE35" s="14">
        <f>INDEX(挂机升级突破!BW$6:BW$57,卡牌消耗!$AI35)</f>
        <v>0</v>
      </c>
      <c r="AF35" s="14" t="str">
        <f t="shared" si="6"/>
        <v>关羽</v>
      </c>
      <c r="AG35" s="14">
        <f t="shared" si="7"/>
        <v>5</v>
      </c>
      <c r="AH35" s="14" t="str">
        <f t="shared" si="8"/>
        <v>关羽魂火-31</v>
      </c>
      <c r="AI35" s="14">
        <f t="shared" si="9"/>
        <v>31</v>
      </c>
      <c r="AJ35" s="14" t="str">
        <f>INDEX(挂机升级突破!$BX$4:$CH$4,INDEX(挂机升级突破!$BU$6:$BU$57,卡牌消耗!AI35))</f>
        <v>金币</v>
      </c>
      <c r="AK35" s="14">
        <f>ROUND(INDEX(挂机升级突破!$BN$6:$BN$57,卡牌消耗!AI35)*INDEX(卡牌消耗!$B$8:$F$8,AG35)/$Q$4/50,0)*50</f>
        <v>13850</v>
      </c>
      <c r="AL35" s="14" t="str">
        <f>IF(AD35&gt;0,INDEX(挂机升级突破!$BX$4:$CH$4,AD35),"")</f>
        <v>橙色基础材料</v>
      </c>
      <c r="AM35" s="14">
        <f>ROUND(INDEX(挂机升级突破!$BX$6:$CH$57,卡牌消耗!AI35,AD35)*INDEX(卡牌消耗!$B$5:$F$5,AG35)/$Q$4/5,0)*5</f>
        <v>145</v>
      </c>
      <c r="AN35" s="14" t="str">
        <f>IF(AE35&gt;0,INDEX(挂机升级突破!$BX$4:$CH$4,AE35),"")</f>
        <v/>
      </c>
      <c r="AO35" s="14" t="str">
        <f>IF(AE35&gt;0,ROUND(INDEX(挂机升级突破!$BX$6:$CH$57,卡牌消耗!AI35,AE35)*INDEX(卡牌消耗!$B$7:$F$7,AG35)/$Q$4,0),"")</f>
        <v/>
      </c>
      <c r="AP35" s="105"/>
      <c r="AR35" s="104">
        <v>31</v>
      </c>
      <c r="AS35" s="14">
        <f t="shared" si="10"/>
        <v>2</v>
      </c>
      <c r="AT35" s="14">
        <f>INDEX(挂机升级突破!$CM$7:$CM$26,AX35)</f>
        <v>5</v>
      </c>
      <c r="AU35" s="14">
        <f>INDEX(挂机升级突破!$CN$7:$CN$26,AX35)</f>
        <v>2</v>
      </c>
      <c r="AV35" s="14">
        <f t="shared" si="11"/>
        <v>3</v>
      </c>
      <c r="AW35" s="14" t="str">
        <f t="shared" si="12"/>
        <v>许褚</v>
      </c>
      <c r="AX35" s="14">
        <f t="shared" si="13"/>
        <v>11</v>
      </c>
      <c r="AY35" s="14" t="str">
        <f t="shared" si="14"/>
        <v>许褚11突</v>
      </c>
      <c r="AZ35" s="14" t="str">
        <f>IF(AT35&gt;0,INDEX(挂机升级突破!$CV$5:$CZ$5,卡牌消耗!AT35),"")</f>
        <v>金币</v>
      </c>
      <c r="BA35" s="14">
        <f>IF(AT35&gt;0,ROUND(INDEX(挂机升级突破!$CZ$7:$CZ$26,卡牌消耗!AX35)*INDEX(卡牌消耗!$B$8:$F$8,AV35)/$Q$4/500,0)*500,"")</f>
        <v>14500</v>
      </c>
      <c r="BB35" s="14" t="str">
        <f>IF(AU35&gt;0,INDEX(挂机升级突破!$CV$5:$CZ$5,卡牌消耗!AU35),"")</f>
        <v>乌金</v>
      </c>
      <c r="BC35" s="14">
        <f>IF(AU35&gt;0,ROUND(INDEX(挂机升级突破!$CV$7:$CY$26,卡牌消耗!AX35,卡牌消耗!AU35)*INDEX($B$6:$F$6,AV35)/$Q$4/5,0)*5,"")</f>
        <v>120</v>
      </c>
      <c r="BD35" s="104"/>
      <c r="BE35" s="104"/>
      <c r="BF35" s="105"/>
      <c r="BW35" s="101"/>
      <c r="BX35" s="101"/>
      <c r="BY35" s="21"/>
      <c r="BZ35" s="101"/>
      <c r="CA35" s="101"/>
      <c r="CD35" s="136">
        <v>31</v>
      </c>
      <c r="CE35" s="14">
        <f t="shared" si="19"/>
        <v>7</v>
      </c>
      <c r="CF35" s="14">
        <f t="shared" si="0"/>
        <v>4</v>
      </c>
      <c r="CG35" s="14">
        <f t="shared" si="1"/>
        <v>1101007</v>
      </c>
      <c r="CH35" s="136" t="s">
        <v>1127</v>
      </c>
      <c r="CI35" s="14">
        <f t="shared" si="2"/>
        <v>1</v>
      </c>
      <c r="CJ35" s="14" t="str">
        <f t="shared" si="3"/>
        <v>战斗曹焱兵-1星</v>
      </c>
      <c r="CK35" s="136" t="s">
        <v>1133</v>
      </c>
      <c r="CL35" s="14">
        <f t="shared" si="20"/>
        <v>6000</v>
      </c>
      <c r="CM35" s="14" t="str">
        <f t="shared" si="4"/>
        <v>战斗曹焱兵碎片</v>
      </c>
      <c r="CN35" s="14">
        <f t="shared" si="21"/>
        <v>80</v>
      </c>
    </row>
    <row r="36" spans="1:92" s="102" customFormat="1" ht="16.5" x14ac:dyDescent="0.2">
      <c r="A36" s="14">
        <v>1102024</v>
      </c>
      <c r="B36" s="14" t="s">
        <v>971</v>
      </c>
      <c r="C36" s="14">
        <v>3</v>
      </c>
      <c r="D36" s="14">
        <v>40</v>
      </c>
      <c r="E36" s="14">
        <v>2</v>
      </c>
      <c r="F36" s="101">
        <f t="shared" si="23"/>
        <v>1502024</v>
      </c>
      <c r="G36" s="15"/>
      <c r="O36" s="138"/>
      <c r="P36" s="142"/>
      <c r="Q36" s="142"/>
      <c r="R36" s="142"/>
      <c r="S36" s="142"/>
      <c r="T36" s="139">
        <v>32</v>
      </c>
      <c r="U36" s="139">
        <f>ROUND(INDEX(挂机升级突破!$BN$6:$BN$57,卡牌消耗!$T36)*INDEX(卡牌消耗!$B$8:$F$8,卡牌消耗!U$2)/$Q$4/5,0)*5</f>
        <v>6655</v>
      </c>
      <c r="V36" s="139">
        <f>ROUND(INDEX(挂机升级突破!$BN$6:$BN$57,卡牌消耗!$T36)*INDEX(卡牌消耗!$B$8:$F$8,卡牌消耗!V$2)/$Q$4/5,0)*5</f>
        <v>9505</v>
      </c>
      <c r="W36" s="139">
        <f>ROUND(INDEX(挂机升级突破!$BN$6:$BN$57,卡牌消耗!$T36)*INDEX(卡牌消耗!$B$8:$F$8,卡牌消耗!W$2)/$Q$4/5,0)*5</f>
        <v>14260</v>
      </c>
      <c r="X36" s="139">
        <f>ROUND(INDEX(挂机升级突破!$BN$6:$BN$57,卡牌消耗!$T36)*INDEX(卡牌消耗!$B$8:$F$8,卡牌消耗!X$2)/$Q$4/5,0)*5</f>
        <v>19010</v>
      </c>
      <c r="Y36" s="142"/>
      <c r="Z36" s="142"/>
      <c r="AA36" s="104">
        <v>32</v>
      </c>
      <c r="AB36" s="14">
        <f t="shared" si="5"/>
        <v>1</v>
      </c>
      <c r="AC36" s="14">
        <f>INDEX(挂机升级突破!$BU$6:$BU$57,卡牌消耗!AI36)</f>
        <v>11</v>
      </c>
      <c r="AD36" s="14">
        <f>INDEX(挂机升级突破!BV$6:BV$57,卡牌消耗!$AI36)</f>
        <v>4</v>
      </c>
      <c r="AE36" s="14">
        <f>INDEX(挂机升级突破!BW$6:BW$57,卡牌消耗!$AI36)</f>
        <v>0</v>
      </c>
      <c r="AF36" s="14" t="str">
        <f t="shared" si="6"/>
        <v>关羽</v>
      </c>
      <c r="AG36" s="14">
        <f t="shared" si="7"/>
        <v>5</v>
      </c>
      <c r="AH36" s="14" t="str">
        <f t="shared" si="8"/>
        <v>关羽魂火-32</v>
      </c>
      <c r="AI36" s="14">
        <f t="shared" si="9"/>
        <v>32</v>
      </c>
      <c r="AJ36" s="14" t="str">
        <f>INDEX(挂机升级突破!$BX$4:$CH$4,INDEX(挂机升级突破!$BU$6:$BU$57,卡牌消耗!AI36))</f>
        <v>金币</v>
      </c>
      <c r="AK36" s="14">
        <f>ROUND(INDEX(挂机升级突破!$BN$6:$BN$57,卡牌消耗!AI36)*INDEX(卡牌消耗!$B$8:$F$8,AG36)/$Q$4/50,0)*50</f>
        <v>19000</v>
      </c>
      <c r="AL36" s="14" t="str">
        <f>IF(AD36&gt;0,INDEX(挂机升级突破!$BX$4:$CH$4,AD36),"")</f>
        <v>橙色基础材料</v>
      </c>
      <c r="AM36" s="14">
        <f>ROUND(INDEX(挂机升级突破!$BX$6:$CH$57,卡牌消耗!AI36,AD36)*INDEX(卡牌消耗!$B$5:$F$5,AG36)/$Q$4/5,0)*5</f>
        <v>145</v>
      </c>
      <c r="AN36" s="14" t="str">
        <f>IF(AE36&gt;0,INDEX(挂机升级突破!$BX$4:$CH$4,AE36),"")</f>
        <v/>
      </c>
      <c r="AO36" s="14" t="str">
        <f>IF(AE36&gt;0,ROUND(INDEX(挂机升级突破!$BX$6:$CH$57,卡牌消耗!AI36,AE36)*INDEX(卡牌消耗!$B$7:$F$7,AG36)/$Q$4,0),"")</f>
        <v/>
      </c>
      <c r="AP36" s="105"/>
      <c r="AR36" s="104">
        <v>32</v>
      </c>
      <c r="AS36" s="14">
        <f t="shared" si="10"/>
        <v>2</v>
      </c>
      <c r="AT36" s="14">
        <f>INDEX(挂机升级突破!$CM$7:$CM$26,AX36)</f>
        <v>5</v>
      </c>
      <c r="AU36" s="14">
        <f>INDEX(挂机升级突破!$CN$7:$CN$26,AX36)</f>
        <v>2</v>
      </c>
      <c r="AV36" s="14">
        <f t="shared" si="11"/>
        <v>3</v>
      </c>
      <c r="AW36" s="14" t="str">
        <f t="shared" si="12"/>
        <v>许褚</v>
      </c>
      <c r="AX36" s="14">
        <f t="shared" si="13"/>
        <v>12</v>
      </c>
      <c r="AY36" s="14" t="str">
        <f t="shared" si="14"/>
        <v>许褚12突</v>
      </c>
      <c r="AZ36" s="14" t="str">
        <f>IF(AT36&gt;0,INDEX(挂机升级突破!$CV$5:$CZ$5,卡牌消耗!AT36),"")</f>
        <v>金币</v>
      </c>
      <c r="BA36" s="14">
        <f>IF(AT36&gt;0,ROUND(INDEX(挂机升级突破!$CZ$7:$CZ$26,卡牌消耗!AX36)*INDEX(卡牌消耗!$B$8:$F$8,AV36)/$Q$4/500,0)*500,"")</f>
        <v>19500</v>
      </c>
      <c r="BB36" s="14" t="str">
        <f>IF(AU36&gt;0,INDEX(挂机升级突破!$CV$5:$CZ$5,卡牌消耗!AU36),"")</f>
        <v>乌金</v>
      </c>
      <c r="BC36" s="14">
        <f>IF(AU36&gt;0,ROUND(INDEX(挂机升级突破!$CV$7:$CY$26,卡牌消耗!AX36,卡牌消耗!AU36)*INDEX($B$6:$F$6,AV36)/$Q$4/5,0)*5,"")</f>
        <v>155</v>
      </c>
      <c r="BD36" s="104"/>
      <c r="BE36" s="104"/>
      <c r="BF36" s="105"/>
      <c r="BW36" s="101"/>
      <c r="BX36" s="101"/>
      <c r="BY36" s="21"/>
      <c r="BZ36" s="101"/>
      <c r="CA36" s="101"/>
      <c r="CD36" s="136">
        <v>32</v>
      </c>
      <c r="CE36" s="14">
        <f t="shared" si="19"/>
        <v>7</v>
      </c>
      <c r="CF36" s="14">
        <f t="shared" si="0"/>
        <v>4</v>
      </c>
      <c r="CG36" s="14">
        <f t="shared" si="1"/>
        <v>1101007</v>
      </c>
      <c r="CH36" s="136" t="s">
        <v>1127</v>
      </c>
      <c r="CI36" s="14">
        <f t="shared" si="2"/>
        <v>2</v>
      </c>
      <c r="CJ36" s="14" t="str">
        <f t="shared" si="3"/>
        <v>战斗曹焱兵-2星</v>
      </c>
      <c r="CK36" s="136" t="s">
        <v>1133</v>
      </c>
      <c r="CL36" s="14">
        <f t="shared" si="20"/>
        <v>8000</v>
      </c>
      <c r="CM36" s="14" t="str">
        <f t="shared" si="4"/>
        <v>战斗曹焱兵碎片</v>
      </c>
      <c r="CN36" s="14">
        <f t="shared" si="21"/>
        <v>80</v>
      </c>
    </row>
    <row r="37" spans="1:92" s="102" customFormat="1" ht="16.5" x14ac:dyDescent="0.2">
      <c r="A37" s="14">
        <v>1102026</v>
      </c>
      <c r="B37" s="14" t="s">
        <v>972</v>
      </c>
      <c r="C37" s="14">
        <v>3</v>
      </c>
      <c r="D37" s="14">
        <v>40</v>
      </c>
      <c r="E37" s="14">
        <v>2</v>
      </c>
      <c r="F37" s="101">
        <f t="shared" si="23"/>
        <v>1502026</v>
      </c>
      <c r="G37" s="15"/>
      <c r="O37" s="138"/>
      <c r="P37" s="142"/>
      <c r="Q37" s="142"/>
      <c r="R37" s="142"/>
      <c r="S37" s="142"/>
      <c r="T37" s="139">
        <v>33</v>
      </c>
      <c r="U37" s="139">
        <f>ROUND(INDEX(挂机升级突破!$BN$6:$BN$57,卡牌消耗!$T37)*INDEX(卡牌消耗!$B$8:$F$8,卡牌消耗!U$2)/$Q$4/5,0)*5</f>
        <v>6655</v>
      </c>
      <c r="V37" s="139">
        <f>ROUND(INDEX(挂机升级突破!$BN$6:$BN$57,卡牌消耗!$T37)*INDEX(卡牌消耗!$B$8:$F$8,卡牌消耗!V$2)/$Q$4/5,0)*5</f>
        <v>9505</v>
      </c>
      <c r="W37" s="139">
        <f>ROUND(INDEX(挂机升级突破!$BN$6:$BN$57,卡牌消耗!$T37)*INDEX(卡牌消耗!$B$8:$F$8,卡牌消耗!W$2)/$Q$4/5,0)*5</f>
        <v>14260</v>
      </c>
      <c r="X37" s="139">
        <f>ROUND(INDEX(挂机升级突破!$BN$6:$BN$57,卡牌消耗!$T37)*INDEX(卡牌消耗!$B$8:$F$8,卡牌消耗!X$2)/$Q$4/5,0)*5</f>
        <v>19010</v>
      </c>
      <c r="Y37" s="142"/>
      <c r="Z37" s="142"/>
      <c r="AA37" s="104">
        <v>33</v>
      </c>
      <c r="AB37" s="14">
        <f t="shared" si="5"/>
        <v>1</v>
      </c>
      <c r="AC37" s="14">
        <f>INDEX(挂机升级突破!$BU$6:$BU$57,卡牌消耗!AI37)</f>
        <v>11</v>
      </c>
      <c r="AD37" s="14">
        <f>INDEX(挂机升级突破!BV$6:BV$57,卡牌消耗!$AI37)</f>
        <v>4</v>
      </c>
      <c r="AE37" s="14">
        <f>INDEX(挂机升级突破!BW$6:BW$57,卡牌消耗!$AI37)</f>
        <v>0</v>
      </c>
      <c r="AF37" s="14" t="str">
        <f t="shared" si="6"/>
        <v>关羽</v>
      </c>
      <c r="AG37" s="14">
        <f t="shared" si="7"/>
        <v>5</v>
      </c>
      <c r="AH37" s="14" t="str">
        <f t="shared" si="8"/>
        <v>关羽魂火-33</v>
      </c>
      <c r="AI37" s="14">
        <f t="shared" si="9"/>
        <v>33</v>
      </c>
      <c r="AJ37" s="14" t="str">
        <f>INDEX(挂机升级突破!$BX$4:$CH$4,INDEX(挂机升级突破!$BU$6:$BU$57,卡牌消耗!AI37))</f>
        <v>金币</v>
      </c>
      <c r="AK37" s="14">
        <f>ROUND(INDEX(挂机升级突破!$BN$6:$BN$57,卡牌消耗!AI37)*INDEX(卡牌消耗!$B$8:$F$8,AG37)/$Q$4/50,0)*50</f>
        <v>19000</v>
      </c>
      <c r="AL37" s="14" t="str">
        <f>IF(AD37&gt;0,INDEX(挂机升级突破!$BX$4:$CH$4,AD37),"")</f>
        <v>橙色基础材料</v>
      </c>
      <c r="AM37" s="14">
        <f>ROUND(INDEX(挂机升级突破!$BX$6:$CH$57,卡牌消耗!AI37,AD37)*INDEX(卡牌消耗!$B$5:$F$5,AG37)/$Q$4/5,0)*5</f>
        <v>145</v>
      </c>
      <c r="AN37" s="14" t="str">
        <f>IF(AE37&gt;0,INDEX(挂机升级突破!$BX$4:$CH$4,AE37),"")</f>
        <v/>
      </c>
      <c r="AO37" s="14" t="str">
        <f>IF(AE37&gt;0,ROUND(INDEX(挂机升级突破!$BX$6:$CH$57,卡牌消耗!AI37,AE37)*INDEX(卡牌消耗!$B$7:$F$7,AG37)/$Q$4,0),"")</f>
        <v/>
      </c>
      <c r="AP37" s="105"/>
      <c r="AR37" s="104">
        <v>33</v>
      </c>
      <c r="AS37" s="14">
        <f t="shared" si="10"/>
        <v>2</v>
      </c>
      <c r="AT37" s="14">
        <f>INDEX(挂机升级突破!$CM$7:$CM$26,AX37)</f>
        <v>5</v>
      </c>
      <c r="AU37" s="14">
        <f>INDEX(挂机升级突破!$CN$7:$CN$26,AX37)</f>
        <v>3</v>
      </c>
      <c r="AV37" s="14">
        <f t="shared" si="11"/>
        <v>3</v>
      </c>
      <c r="AW37" s="14" t="str">
        <f t="shared" si="12"/>
        <v>许褚</v>
      </c>
      <c r="AX37" s="14">
        <f t="shared" si="13"/>
        <v>13</v>
      </c>
      <c r="AY37" s="14" t="str">
        <f t="shared" si="14"/>
        <v>许褚13突</v>
      </c>
      <c r="AZ37" s="14" t="str">
        <f>IF(AT37&gt;0,INDEX(挂机升级突破!$CV$5:$CZ$5,卡牌消耗!AT37),"")</f>
        <v>金币</v>
      </c>
      <c r="BA37" s="14">
        <f>IF(AT37&gt;0,ROUND(INDEX(挂机升级突破!$CZ$7:$CZ$26,卡牌消耗!AX37)*INDEX(卡牌消耗!$B$8:$F$8,AV37)/$Q$4/500,0)*500,"")</f>
        <v>26000</v>
      </c>
      <c r="BB37" s="14" t="str">
        <f>IF(AU37&gt;0,INDEX(挂机升级突破!$CV$5:$CZ$5,卡牌消耗!AU37),"")</f>
        <v>银母</v>
      </c>
      <c r="BC37" s="14">
        <f>IF(AU37&gt;0,ROUND(INDEX(挂机升级突破!$CV$7:$CY$26,卡牌消耗!AX37,卡牌消耗!AU37)*INDEX($B$6:$F$6,AV37)/$Q$4/5,0)*5,"")</f>
        <v>30</v>
      </c>
      <c r="BD37" s="104"/>
      <c r="BE37" s="104"/>
      <c r="BF37" s="105"/>
      <c r="BW37" s="101"/>
      <c r="BX37" s="101"/>
      <c r="BY37" s="21"/>
      <c r="BZ37" s="101"/>
      <c r="CA37" s="101"/>
      <c r="CD37" s="136">
        <v>33</v>
      </c>
      <c r="CE37" s="14">
        <f t="shared" si="19"/>
        <v>7</v>
      </c>
      <c r="CF37" s="14">
        <f t="shared" si="0"/>
        <v>4</v>
      </c>
      <c r="CG37" s="14">
        <f t="shared" si="1"/>
        <v>1101007</v>
      </c>
      <c r="CH37" s="136" t="s">
        <v>1127</v>
      </c>
      <c r="CI37" s="14">
        <f t="shared" si="2"/>
        <v>3</v>
      </c>
      <c r="CJ37" s="14" t="str">
        <f t="shared" si="3"/>
        <v>战斗曹焱兵-3星</v>
      </c>
      <c r="CK37" s="136" t="s">
        <v>1133</v>
      </c>
      <c r="CL37" s="14">
        <f t="shared" si="20"/>
        <v>14000</v>
      </c>
      <c r="CM37" s="14" t="str">
        <f t="shared" si="4"/>
        <v>战斗曹焱兵碎片</v>
      </c>
      <c r="CN37" s="14">
        <f t="shared" si="21"/>
        <v>160</v>
      </c>
    </row>
    <row r="38" spans="1:92" s="102" customFormat="1" ht="16.5" x14ac:dyDescent="0.2">
      <c r="A38" s="14">
        <v>1102028</v>
      </c>
      <c r="B38" s="14" t="s">
        <v>973</v>
      </c>
      <c r="C38" s="14">
        <v>5</v>
      </c>
      <c r="D38" s="14">
        <v>80</v>
      </c>
      <c r="E38" s="14">
        <v>1</v>
      </c>
      <c r="F38" s="101">
        <f t="shared" si="23"/>
        <v>1502028</v>
      </c>
      <c r="G38" s="15"/>
      <c r="O38" s="138"/>
      <c r="P38" s="142"/>
      <c r="Q38" s="142"/>
      <c r="R38" s="142"/>
      <c r="S38" s="142"/>
      <c r="T38" s="139">
        <v>34</v>
      </c>
      <c r="U38" s="139">
        <f>ROUND(INDEX(挂机升级突破!$BN$6:$BN$57,卡牌消耗!$T38)*INDEX(卡牌消耗!$B$8:$F$8,卡牌消耗!U$2)/$Q$4/5,0)*5</f>
        <v>6655</v>
      </c>
      <c r="V38" s="139">
        <f>ROUND(INDEX(挂机升级突破!$BN$6:$BN$57,卡牌消耗!$T38)*INDEX(卡牌消耗!$B$8:$F$8,卡牌消耗!V$2)/$Q$4/5,0)*5</f>
        <v>9505</v>
      </c>
      <c r="W38" s="139">
        <f>ROUND(INDEX(挂机升级突破!$BN$6:$BN$57,卡牌消耗!$T38)*INDEX(卡牌消耗!$B$8:$F$8,卡牌消耗!W$2)/$Q$4/5,0)*5</f>
        <v>14260</v>
      </c>
      <c r="X38" s="139">
        <f>ROUND(INDEX(挂机升级突破!$BN$6:$BN$57,卡牌消耗!$T38)*INDEX(卡牌消耗!$B$8:$F$8,卡牌消耗!X$2)/$Q$4/5,0)*5</f>
        <v>19010</v>
      </c>
      <c r="Y38" s="142"/>
      <c r="Z38" s="142"/>
      <c r="AA38" s="104">
        <v>34</v>
      </c>
      <c r="AB38" s="14">
        <f t="shared" si="5"/>
        <v>1</v>
      </c>
      <c r="AC38" s="14">
        <f>INDEX(挂机升级突破!$BU$6:$BU$57,卡牌消耗!AI38)</f>
        <v>11</v>
      </c>
      <c r="AD38" s="14">
        <f>INDEX(挂机升级突破!BV$6:BV$57,卡牌消耗!$AI38)</f>
        <v>4</v>
      </c>
      <c r="AE38" s="14">
        <f>INDEX(挂机升级突破!BW$6:BW$57,卡牌消耗!$AI38)</f>
        <v>0</v>
      </c>
      <c r="AF38" s="14" t="str">
        <f t="shared" si="6"/>
        <v>关羽</v>
      </c>
      <c r="AG38" s="14">
        <f t="shared" si="7"/>
        <v>5</v>
      </c>
      <c r="AH38" s="14" t="str">
        <f t="shared" si="8"/>
        <v>关羽魂火-34</v>
      </c>
      <c r="AI38" s="14">
        <f t="shared" si="9"/>
        <v>34</v>
      </c>
      <c r="AJ38" s="14" t="str">
        <f>INDEX(挂机升级突破!$BX$4:$CH$4,INDEX(挂机升级突破!$BU$6:$BU$57,卡牌消耗!AI38))</f>
        <v>金币</v>
      </c>
      <c r="AK38" s="14">
        <f>ROUND(INDEX(挂机升级突破!$BN$6:$BN$57,卡牌消耗!AI38)*INDEX(卡牌消耗!$B$8:$F$8,AG38)/$Q$4/50,0)*50</f>
        <v>19000</v>
      </c>
      <c r="AL38" s="14" t="str">
        <f>IF(AD38&gt;0,INDEX(挂机升级突破!$BX$4:$CH$4,AD38),"")</f>
        <v>橙色基础材料</v>
      </c>
      <c r="AM38" s="14">
        <f>ROUND(INDEX(挂机升级突破!$BX$6:$CH$57,卡牌消耗!AI38,AD38)*INDEX(卡牌消耗!$B$5:$F$5,AG38)/$Q$4/5,0)*5</f>
        <v>165</v>
      </c>
      <c r="AN38" s="14" t="str">
        <f>IF(AE38&gt;0,INDEX(挂机升级突破!$BX$4:$CH$4,AE38),"")</f>
        <v/>
      </c>
      <c r="AO38" s="14" t="str">
        <f>IF(AE38&gt;0,ROUND(INDEX(挂机升级突破!$BX$6:$CH$57,卡牌消耗!AI38,AE38)*INDEX(卡牌消耗!$B$7:$F$7,AG38)/$Q$4,0),"")</f>
        <v/>
      </c>
      <c r="AP38" s="105"/>
      <c r="AR38" s="104">
        <v>34</v>
      </c>
      <c r="AS38" s="14">
        <f t="shared" si="10"/>
        <v>2</v>
      </c>
      <c r="AT38" s="14">
        <f>INDEX(挂机升级突破!$CM$7:$CM$26,AX38)</f>
        <v>5</v>
      </c>
      <c r="AU38" s="14">
        <f>INDEX(挂机升级突破!$CN$7:$CN$26,AX38)</f>
        <v>3</v>
      </c>
      <c r="AV38" s="14">
        <f t="shared" si="11"/>
        <v>3</v>
      </c>
      <c r="AW38" s="14" t="str">
        <f t="shared" si="12"/>
        <v>许褚</v>
      </c>
      <c r="AX38" s="14">
        <f t="shared" si="13"/>
        <v>14</v>
      </c>
      <c r="AY38" s="14" t="str">
        <f t="shared" si="14"/>
        <v>许褚14突</v>
      </c>
      <c r="AZ38" s="14" t="str">
        <f>IF(AT38&gt;0,INDEX(挂机升级突破!$CV$5:$CZ$5,卡牌消耗!AT38),"")</f>
        <v>金币</v>
      </c>
      <c r="BA38" s="14">
        <f>IF(AT38&gt;0,ROUND(INDEX(挂机升级突破!$CZ$7:$CZ$26,卡牌消耗!AX38)*INDEX(卡牌消耗!$B$8:$F$8,AV38)/$Q$4/500,0)*500,"")</f>
        <v>26000</v>
      </c>
      <c r="BB38" s="14" t="str">
        <f>IF(AU38&gt;0,INDEX(挂机升级突破!$CV$5:$CZ$5,卡牌消耗!AU38),"")</f>
        <v>银母</v>
      </c>
      <c r="BC38" s="14">
        <f>IF(AU38&gt;0,ROUND(INDEX(挂机升级突破!$CV$7:$CY$26,卡牌消耗!AX38,卡牌消耗!AU38)*INDEX($B$6:$F$6,AV38)/$Q$4/5,0)*5,"")</f>
        <v>40</v>
      </c>
      <c r="BD38" s="104"/>
      <c r="BE38" s="104"/>
      <c r="BF38" s="105"/>
      <c r="BW38" s="101"/>
      <c r="BX38" s="101"/>
      <c r="BY38" s="21"/>
      <c r="BZ38" s="101"/>
      <c r="CA38" s="101"/>
      <c r="CD38" s="136">
        <v>34</v>
      </c>
      <c r="CE38" s="14">
        <f t="shared" si="19"/>
        <v>7</v>
      </c>
      <c r="CF38" s="14">
        <f t="shared" si="0"/>
        <v>4</v>
      </c>
      <c r="CG38" s="14">
        <f t="shared" si="1"/>
        <v>1101007</v>
      </c>
      <c r="CH38" s="136" t="s">
        <v>1127</v>
      </c>
      <c r="CI38" s="14">
        <f t="shared" si="2"/>
        <v>4</v>
      </c>
      <c r="CJ38" s="14" t="str">
        <f t="shared" si="3"/>
        <v>战斗曹焱兵-4星</v>
      </c>
      <c r="CK38" s="136" t="s">
        <v>1133</v>
      </c>
      <c r="CL38" s="14">
        <f t="shared" si="20"/>
        <v>32000</v>
      </c>
      <c r="CM38" s="14" t="str">
        <f t="shared" si="4"/>
        <v>战斗曹焱兵碎片</v>
      </c>
      <c r="CN38" s="14">
        <f t="shared" si="21"/>
        <v>240</v>
      </c>
    </row>
    <row r="39" spans="1:92" s="102" customFormat="1" ht="16.5" x14ac:dyDescent="0.2">
      <c r="A39" s="14">
        <v>1102030</v>
      </c>
      <c r="B39" s="14" t="s">
        <v>974</v>
      </c>
      <c r="C39" s="14">
        <v>3</v>
      </c>
      <c r="D39" s="14">
        <v>40</v>
      </c>
      <c r="E39" s="14">
        <v>3</v>
      </c>
      <c r="F39" s="101">
        <f t="shared" si="23"/>
        <v>1502030</v>
      </c>
      <c r="G39" s="15"/>
      <c r="O39" s="138"/>
      <c r="P39" s="142"/>
      <c r="Q39" s="142"/>
      <c r="R39" s="142"/>
      <c r="S39" s="142"/>
      <c r="T39" s="139">
        <v>35</v>
      </c>
      <c r="U39" s="139">
        <f>ROUND(INDEX(挂机升级突破!$BN$6:$BN$57,卡牌消耗!$T39)*INDEX(卡牌消耗!$B$8:$F$8,卡牌消耗!U$2)/$Q$4/5,0)*5</f>
        <v>8470</v>
      </c>
      <c r="V39" s="139">
        <f>ROUND(INDEX(挂机升级突破!$BN$6:$BN$57,卡牌消耗!$T39)*INDEX(卡牌消耗!$B$8:$F$8,卡牌消耗!V$2)/$Q$4/5,0)*5</f>
        <v>12100</v>
      </c>
      <c r="W39" s="139">
        <f>ROUND(INDEX(挂机升级突破!$BN$6:$BN$57,卡牌消耗!$T39)*INDEX(卡牌消耗!$B$8:$F$8,卡牌消耗!W$2)/$Q$4/5,0)*5</f>
        <v>18145</v>
      </c>
      <c r="X39" s="139">
        <f>ROUND(INDEX(挂机升级突破!$BN$6:$BN$57,卡牌消耗!$T39)*INDEX(卡牌消耗!$B$8:$F$8,卡牌消耗!X$2)/$Q$4/5,0)*5</f>
        <v>24195</v>
      </c>
      <c r="Y39" s="142"/>
      <c r="Z39" s="142"/>
      <c r="AA39" s="104">
        <v>35</v>
      </c>
      <c r="AB39" s="14">
        <f t="shared" si="5"/>
        <v>1</v>
      </c>
      <c r="AC39" s="14">
        <f>INDEX(挂机升级突破!$BU$6:$BU$57,卡牌消耗!AI39)</f>
        <v>11</v>
      </c>
      <c r="AD39" s="14">
        <f>INDEX(挂机升级突破!BV$6:BV$57,卡牌消耗!$AI39)</f>
        <v>4</v>
      </c>
      <c r="AE39" s="14">
        <f>INDEX(挂机升级突破!BW$6:BW$57,卡牌消耗!$AI39)</f>
        <v>0</v>
      </c>
      <c r="AF39" s="14" t="str">
        <f t="shared" si="6"/>
        <v>关羽</v>
      </c>
      <c r="AG39" s="14">
        <f t="shared" si="7"/>
        <v>5</v>
      </c>
      <c r="AH39" s="14" t="str">
        <f t="shared" si="8"/>
        <v>关羽魂火-35</v>
      </c>
      <c r="AI39" s="14">
        <f t="shared" si="9"/>
        <v>35</v>
      </c>
      <c r="AJ39" s="14" t="str">
        <f>INDEX(挂机升级突破!$BX$4:$CH$4,INDEX(挂机升级突破!$BU$6:$BU$57,卡牌消耗!AI39))</f>
        <v>金币</v>
      </c>
      <c r="AK39" s="14">
        <f>ROUND(INDEX(挂机升级突破!$BN$6:$BN$57,卡牌消耗!AI39)*INDEX(卡牌消耗!$B$8:$F$8,AG39)/$Q$4/50,0)*50</f>
        <v>24200</v>
      </c>
      <c r="AL39" s="14" t="str">
        <f>IF(AD39&gt;0,INDEX(挂机升级突破!$BX$4:$CH$4,AD39),"")</f>
        <v>橙色基础材料</v>
      </c>
      <c r="AM39" s="14">
        <f>ROUND(INDEX(挂机升级突破!$BX$6:$CH$57,卡牌消耗!AI39,AD39)*INDEX(卡牌消耗!$B$5:$F$5,AG39)/$Q$4/5,0)*5</f>
        <v>165</v>
      </c>
      <c r="AN39" s="14" t="str">
        <f>IF(AE39&gt;0,INDEX(挂机升级突破!$BX$4:$CH$4,AE39),"")</f>
        <v/>
      </c>
      <c r="AO39" s="14" t="str">
        <f>IF(AE39&gt;0,ROUND(INDEX(挂机升级突破!$BX$6:$CH$57,卡牌消耗!AI39,AE39)*INDEX(卡牌消耗!$B$7:$F$7,AG39)/$Q$4,0),"")</f>
        <v/>
      </c>
      <c r="AP39" s="105"/>
      <c r="AR39" s="104">
        <v>35</v>
      </c>
      <c r="AS39" s="14">
        <f t="shared" si="10"/>
        <v>2</v>
      </c>
      <c r="AT39" s="14">
        <f>INDEX(挂机升级突破!$CM$7:$CM$26,AX39)</f>
        <v>5</v>
      </c>
      <c r="AU39" s="14">
        <f>INDEX(挂机升级突破!$CN$7:$CN$26,AX39)</f>
        <v>3</v>
      </c>
      <c r="AV39" s="14">
        <f t="shared" si="11"/>
        <v>3</v>
      </c>
      <c r="AW39" s="14" t="str">
        <f t="shared" si="12"/>
        <v>许褚</v>
      </c>
      <c r="AX39" s="14">
        <f t="shared" si="13"/>
        <v>15</v>
      </c>
      <c r="AY39" s="14" t="str">
        <f t="shared" si="14"/>
        <v>许褚15突</v>
      </c>
      <c r="AZ39" s="14" t="str">
        <f>IF(AT39&gt;0,INDEX(挂机升级突破!$CV$5:$CZ$5,卡牌消耗!AT39),"")</f>
        <v>金币</v>
      </c>
      <c r="BA39" s="14">
        <f>IF(AT39&gt;0,ROUND(INDEX(挂机升级突破!$CZ$7:$CZ$26,卡牌消耗!AX39)*INDEX(卡牌消耗!$B$8:$F$8,AV39)/$Q$4/500,0)*500,"")</f>
        <v>34500</v>
      </c>
      <c r="BB39" s="14" t="str">
        <f>IF(AU39&gt;0,INDEX(挂机升级突破!$CV$5:$CZ$5,卡牌消耗!AU39),"")</f>
        <v>银母</v>
      </c>
      <c r="BC39" s="14">
        <f>IF(AU39&gt;0,ROUND(INDEX(挂机升级突破!$CV$7:$CY$26,卡牌消耗!AX39,卡牌消耗!AU39)*INDEX($B$6:$F$6,AV39)/$Q$4/5,0)*5,"")</f>
        <v>55</v>
      </c>
      <c r="BD39" s="104"/>
      <c r="BE39" s="104"/>
      <c r="BF39" s="105"/>
      <c r="BW39" s="101"/>
      <c r="BX39" s="101"/>
      <c r="BY39" s="21"/>
      <c r="BZ39" s="101"/>
      <c r="CA39" s="101"/>
      <c r="CD39" s="136">
        <v>35</v>
      </c>
      <c r="CE39" s="14">
        <f t="shared" si="19"/>
        <v>7</v>
      </c>
      <c r="CF39" s="14">
        <f t="shared" si="0"/>
        <v>4</v>
      </c>
      <c r="CG39" s="14">
        <f t="shared" si="1"/>
        <v>1101007</v>
      </c>
      <c r="CH39" s="136" t="s">
        <v>1127</v>
      </c>
      <c r="CI39" s="14">
        <f t="shared" si="2"/>
        <v>5</v>
      </c>
      <c r="CJ39" s="14" t="str">
        <f t="shared" si="3"/>
        <v>战斗曹焱兵-5星</v>
      </c>
      <c r="CK39" s="136" t="s">
        <v>1133</v>
      </c>
      <c r="CL39" s="14">
        <f t="shared" si="20"/>
        <v>60000</v>
      </c>
      <c r="CM39" s="14" t="str">
        <f t="shared" si="4"/>
        <v>战斗曹焱兵碎片</v>
      </c>
      <c r="CN39" s="14">
        <f t="shared" si="21"/>
        <v>320</v>
      </c>
    </row>
    <row r="40" spans="1:92" s="102" customFormat="1" ht="16.5" x14ac:dyDescent="0.2">
      <c r="A40" s="14">
        <v>1102031</v>
      </c>
      <c r="B40" s="14" t="s">
        <v>975</v>
      </c>
      <c r="C40" s="14">
        <v>4</v>
      </c>
      <c r="D40" s="14">
        <v>80</v>
      </c>
      <c r="E40" s="14">
        <v>2</v>
      </c>
      <c r="F40" s="101">
        <f t="shared" si="23"/>
        <v>1502031</v>
      </c>
      <c r="G40" s="15"/>
      <c r="O40" s="138"/>
      <c r="P40" s="142"/>
      <c r="Q40" s="142"/>
      <c r="R40" s="142"/>
      <c r="S40" s="142"/>
      <c r="T40" s="139">
        <v>36</v>
      </c>
      <c r="U40" s="139">
        <f>ROUND(INDEX(挂机升级突破!$BN$6:$BN$57,卡牌消耗!$T40)*INDEX(卡牌消耗!$B$8:$F$8,卡牌消耗!U$2)/$Q$4/5,0)*5</f>
        <v>8470</v>
      </c>
      <c r="V40" s="139">
        <f>ROUND(INDEX(挂机升级突破!$BN$6:$BN$57,卡牌消耗!$T40)*INDEX(卡牌消耗!$B$8:$F$8,卡牌消耗!V$2)/$Q$4/5,0)*5</f>
        <v>12100</v>
      </c>
      <c r="W40" s="139">
        <f>ROUND(INDEX(挂机升级突破!$BN$6:$BN$57,卡牌消耗!$T40)*INDEX(卡牌消耗!$B$8:$F$8,卡牌消耗!W$2)/$Q$4/5,0)*5</f>
        <v>18145</v>
      </c>
      <c r="X40" s="139">
        <f>ROUND(INDEX(挂机升级突破!$BN$6:$BN$57,卡牌消耗!$T40)*INDEX(卡牌消耗!$B$8:$F$8,卡牌消耗!X$2)/$Q$4/5,0)*5</f>
        <v>24195</v>
      </c>
      <c r="Y40" s="142"/>
      <c r="Z40" s="142"/>
      <c r="AA40" s="104">
        <v>36</v>
      </c>
      <c r="AB40" s="14">
        <f t="shared" si="5"/>
        <v>1</v>
      </c>
      <c r="AC40" s="14">
        <f>INDEX(挂机升级突破!$BU$6:$BU$57,卡牌消耗!AI40)</f>
        <v>11</v>
      </c>
      <c r="AD40" s="14">
        <f>INDEX(挂机升级突破!BV$6:BV$57,卡牌消耗!$AI40)</f>
        <v>4</v>
      </c>
      <c r="AE40" s="14">
        <f>INDEX(挂机升级突破!BW$6:BW$57,卡牌消耗!$AI40)</f>
        <v>0</v>
      </c>
      <c r="AF40" s="14" t="str">
        <f t="shared" si="6"/>
        <v>关羽</v>
      </c>
      <c r="AG40" s="14">
        <f t="shared" si="7"/>
        <v>5</v>
      </c>
      <c r="AH40" s="14" t="str">
        <f t="shared" si="8"/>
        <v>关羽魂火-36</v>
      </c>
      <c r="AI40" s="14">
        <f t="shared" si="9"/>
        <v>36</v>
      </c>
      <c r="AJ40" s="14" t="str">
        <f>INDEX(挂机升级突破!$BX$4:$CH$4,INDEX(挂机升级突破!$BU$6:$BU$57,卡牌消耗!AI40))</f>
        <v>金币</v>
      </c>
      <c r="AK40" s="14">
        <f>ROUND(INDEX(挂机升级突破!$BN$6:$BN$57,卡牌消耗!AI40)*INDEX(卡牌消耗!$B$8:$F$8,AG40)/$Q$4/50,0)*50</f>
        <v>24200</v>
      </c>
      <c r="AL40" s="14" t="str">
        <f>IF(AD40&gt;0,INDEX(挂机升级突破!$BX$4:$CH$4,AD40),"")</f>
        <v>橙色基础材料</v>
      </c>
      <c r="AM40" s="14">
        <f>ROUND(INDEX(挂机升级突破!$BX$6:$CH$57,卡牌消耗!AI40,AD40)*INDEX(卡牌消耗!$B$5:$F$5,AG40)/$Q$4/5,0)*5</f>
        <v>165</v>
      </c>
      <c r="AN40" s="14" t="str">
        <f>IF(AE40&gt;0,INDEX(挂机升级突破!$BX$4:$CH$4,AE40),"")</f>
        <v/>
      </c>
      <c r="AO40" s="14" t="str">
        <f>IF(AE40&gt;0,ROUND(INDEX(挂机升级突破!$BX$6:$CH$57,卡牌消耗!AI40,AE40)*INDEX(卡牌消耗!$B$7:$F$7,AG40)/$Q$4,0),"")</f>
        <v/>
      </c>
      <c r="AP40" s="105"/>
      <c r="AR40" s="104">
        <v>36</v>
      </c>
      <c r="AS40" s="14">
        <f t="shared" si="10"/>
        <v>2</v>
      </c>
      <c r="AT40" s="14">
        <f>INDEX(挂机升级突破!$CM$7:$CM$26,AX40)</f>
        <v>5</v>
      </c>
      <c r="AU40" s="14">
        <f>INDEX(挂机升级突破!$CN$7:$CN$26,AX40)</f>
        <v>3</v>
      </c>
      <c r="AV40" s="14">
        <f t="shared" si="11"/>
        <v>3</v>
      </c>
      <c r="AW40" s="14" t="str">
        <f t="shared" si="12"/>
        <v>许褚</v>
      </c>
      <c r="AX40" s="14">
        <f t="shared" si="13"/>
        <v>16</v>
      </c>
      <c r="AY40" s="14" t="str">
        <f t="shared" si="14"/>
        <v>许褚16突</v>
      </c>
      <c r="AZ40" s="14" t="str">
        <f>IF(AT40&gt;0,INDEX(挂机升级突破!$CV$5:$CZ$5,卡牌消耗!AT40),"")</f>
        <v>金币</v>
      </c>
      <c r="BA40" s="14">
        <f>IF(AT40&gt;0,ROUND(INDEX(挂机升级突破!$CZ$7:$CZ$26,卡牌消耗!AX40)*INDEX(卡牌消耗!$B$8:$F$8,AV40)/$Q$4/500,0)*500,"")</f>
        <v>62500</v>
      </c>
      <c r="BB40" s="14" t="str">
        <f>IF(AU40&gt;0,INDEX(挂机升级突破!$CV$5:$CZ$5,卡牌消耗!AU40),"")</f>
        <v>银母</v>
      </c>
      <c r="BC40" s="14">
        <f>IF(AU40&gt;0,ROUND(INDEX(挂机升级突破!$CV$7:$CY$26,卡牌消耗!AX40,卡牌消耗!AU40)*INDEX($B$6:$F$6,AV40)/$Q$4/5,0)*5,"")</f>
        <v>70</v>
      </c>
      <c r="BD40" s="104"/>
      <c r="BE40" s="104"/>
      <c r="BF40" s="105"/>
      <c r="BW40" s="101"/>
      <c r="BX40" s="101"/>
      <c r="BY40" s="21"/>
      <c r="BZ40" s="101"/>
      <c r="CA40" s="101"/>
      <c r="CD40" s="136">
        <v>36</v>
      </c>
      <c r="CE40" s="14">
        <f t="shared" si="19"/>
        <v>8</v>
      </c>
      <c r="CF40" s="14">
        <f t="shared" si="0"/>
        <v>2</v>
      </c>
      <c r="CG40" s="14">
        <f t="shared" si="1"/>
        <v>1101008</v>
      </c>
      <c r="CH40" s="136" t="s">
        <v>1127</v>
      </c>
      <c r="CI40" s="14">
        <f t="shared" si="2"/>
        <v>1</v>
      </c>
      <c r="CJ40" s="14" t="str">
        <f t="shared" si="3"/>
        <v>黑尔坎普-1星</v>
      </c>
      <c r="CK40" s="136" t="s">
        <v>1133</v>
      </c>
      <c r="CL40" s="14">
        <f t="shared" si="20"/>
        <v>3000</v>
      </c>
      <c r="CM40" s="14" t="str">
        <f t="shared" si="4"/>
        <v>黑尔坎普碎片</v>
      </c>
      <c r="CN40" s="14">
        <f t="shared" si="21"/>
        <v>20</v>
      </c>
    </row>
    <row r="41" spans="1:92" s="102" customFormat="1" ht="16.5" x14ac:dyDescent="0.2">
      <c r="A41" s="138"/>
      <c r="B41" s="138"/>
      <c r="C41" s="138"/>
      <c r="D41" s="138"/>
      <c r="E41" s="138"/>
      <c r="F41" s="138"/>
      <c r="G41" s="138"/>
      <c r="O41" s="138"/>
      <c r="P41" s="142"/>
      <c r="Q41" s="142"/>
      <c r="R41" s="142"/>
      <c r="S41" s="142"/>
      <c r="T41" s="139">
        <v>37</v>
      </c>
      <c r="U41" s="139">
        <f>ROUND(INDEX(挂机升级突破!$BN$6:$BN$57,卡牌消耗!$T41)*INDEX(卡牌消耗!$B$8:$F$8,卡牌消耗!U$2)/$Q$4/5,0)*5</f>
        <v>9075</v>
      </c>
      <c r="V41" s="139">
        <f>ROUND(INDEX(挂机升级突破!$BN$6:$BN$57,卡牌消耗!$T41)*INDEX(卡牌消耗!$B$8:$F$8,卡牌消耗!V$2)/$Q$4/5,0)*5</f>
        <v>12960</v>
      </c>
      <c r="W41" s="139">
        <f>ROUND(INDEX(挂机升级突破!$BN$6:$BN$57,卡牌消耗!$T41)*INDEX(卡牌消耗!$B$8:$F$8,卡牌消耗!W$2)/$Q$4/5,0)*5</f>
        <v>19445</v>
      </c>
      <c r="X41" s="139">
        <f>ROUND(INDEX(挂机升级突破!$BN$6:$BN$57,卡牌消耗!$T41)*INDEX(卡牌消耗!$B$8:$F$8,卡牌消耗!X$2)/$Q$4/5,0)*5</f>
        <v>25925</v>
      </c>
      <c r="Y41" s="142"/>
      <c r="Z41" s="142"/>
      <c r="AA41" s="104">
        <v>37</v>
      </c>
      <c r="AB41" s="14">
        <f t="shared" si="5"/>
        <v>1</v>
      </c>
      <c r="AC41" s="14">
        <f>INDEX(挂机升级突破!$BU$6:$BU$57,卡牌消耗!AI41)</f>
        <v>11</v>
      </c>
      <c r="AD41" s="14">
        <f>INDEX(挂机升级突破!BV$6:BV$57,卡牌消耗!$AI41)</f>
        <v>4</v>
      </c>
      <c r="AE41" s="14">
        <f>INDEX(挂机升级突破!BW$6:BW$57,卡牌消耗!$AI41)</f>
        <v>0</v>
      </c>
      <c r="AF41" s="14" t="str">
        <f t="shared" si="6"/>
        <v>关羽</v>
      </c>
      <c r="AG41" s="14">
        <f t="shared" si="7"/>
        <v>5</v>
      </c>
      <c r="AH41" s="14" t="str">
        <f t="shared" si="8"/>
        <v>关羽魂火-37</v>
      </c>
      <c r="AI41" s="14">
        <f t="shared" si="9"/>
        <v>37</v>
      </c>
      <c r="AJ41" s="14" t="str">
        <f>INDEX(挂机升级突破!$BX$4:$CH$4,INDEX(挂机升级突破!$BU$6:$BU$57,卡牌消耗!AI41))</f>
        <v>金币</v>
      </c>
      <c r="AK41" s="14">
        <f>ROUND(INDEX(挂机升级突破!$BN$6:$BN$57,卡牌消耗!AI41)*INDEX(卡牌消耗!$B$8:$F$8,AG41)/$Q$4/50,0)*50</f>
        <v>25900</v>
      </c>
      <c r="AL41" s="14" t="str">
        <f>IF(AD41&gt;0,INDEX(挂机升级突破!$BX$4:$CH$4,AD41),"")</f>
        <v>橙色基础材料</v>
      </c>
      <c r="AM41" s="14">
        <f>ROUND(INDEX(挂机升级突破!$BX$6:$CH$57,卡牌消耗!AI41,AD41)*INDEX(卡牌消耗!$B$5:$F$5,AG41)/$Q$4/5,0)*5</f>
        <v>165</v>
      </c>
      <c r="AN41" s="14" t="str">
        <f>IF(AE41&gt;0,INDEX(挂机升级突破!$BX$4:$CH$4,AE41),"")</f>
        <v/>
      </c>
      <c r="AO41" s="14" t="str">
        <f>IF(AE41&gt;0,ROUND(INDEX(挂机升级突破!$BX$6:$CH$57,卡牌消耗!AI41,AE41)*INDEX(卡牌消耗!$B$7:$F$7,AG41)/$Q$4,0),"")</f>
        <v/>
      </c>
      <c r="AP41" s="105"/>
      <c r="AR41" s="104">
        <v>37</v>
      </c>
      <c r="AS41" s="14">
        <f t="shared" si="10"/>
        <v>2</v>
      </c>
      <c r="AT41" s="14">
        <f>INDEX(挂机升级突破!$CM$7:$CM$26,AX41)</f>
        <v>5</v>
      </c>
      <c r="AU41" s="14">
        <f>INDEX(挂机升级突破!$CN$7:$CN$26,AX41)</f>
        <v>4</v>
      </c>
      <c r="AV41" s="14">
        <f t="shared" si="11"/>
        <v>3</v>
      </c>
      <c r="AW41" s="14" t="str">
        <f t="shared" si="12"/>
        <v>许褚</v>
      </c>
      <c r="AX41" s="14">
        <f t="shared" si="13"/>
        <v>17</v>
      </c>
      <c r="AY41" s="14" t="str">
        <f t="shared" si="14"/>
        <v>许褚17突</v>
      </c>
      <c r="AZ41" s="14" t="str">
        <f>IF(AT41&gt;0,INDEX(挂机升级突破!$CV$5:$CZ$5,卡牌消耗!AT41),"")</f>
        <v>金币</v>
      </c>
      <c r="BA41" s="14">
        <f>IF(AT41&gt;0,ROUND(INDEX(挂机升级突破!$CZ$7:$CZ$26,卡牌消耗!AX41)*INDEX(卡牌消耗!$B$8:$F$8,AV41)/$Q$4/500,0)*500,"")</f>
        <v>62500</v>
      </c>
      <c r="BB41" s="14" t="str">
        <f>IF(AU41&gt;0,INDEX(挂机升级突破!$CV$5:$CZ$5,卡牌消耗!AU41),"")</f>
        <v>铀金</v>
      </c>
      <c r="BC41" s="14">
        <f>IF(AU41&gt;0,ROUND(INDEX(挂机升级突破!$CV$7:$CY$26,卡牌消耗!AX41,卡牌消耗!AU41)*INDEX($B$6:$F$6,AV41)/$Q$4/5,0)*5,"")</f>
        <v>25</v>
      </c>
      <c r="BD41" s="104"/>
      <c r="BE41" s="104"/>
      <c r="BF41" s="105"/>
      <c r="BW41" s="101"/>
      <c r="BX41" s="101"/>
      <c r="BY41" s="21"/>
      <c r="BZ41" s="101"/>
      <c r="CA41" s="101"/>
      <c r="CD41" s="136">
        <v>37</v>
      </c>
      <c r="CE41" s="14">
        <f t="shared" si="19"/>
        <v>8</v>
      </c>
      <c r="CF41" s="14">
        <f t="shared" si="0"/>
        <v>2</v>
      </c>
      <c r="CG41" s="14">
        <f t="shared" si="1"/>
        <v>1101008</v>
      </c>
      <c r="CH41" s="136" t="s">
        <v>1127</v>
      </c>
      <c r="CI41" s="14">
        <f t="shared" si="2"/>
        <v>2</v>
      </c>
      <c r="CJ41" s="14" t="str">
        <f t="shared" si="3"/>
        <v>黑尔坎普-2星</v>
      </c>
      <c r="CK41" s="136" t="s">
        <v>1133</v>
      </c>
      <c r="CL41" s="14">
        <f t="shared" si="20"/>
        <v>3500</v>
      </c>
      <c r="CM41" s="14" t="str">
        <f t="shared" si="4"/>
        <v>黑尔坎普碎片</v>
      </c>
      <c r="CN41" s="14">
        <f t="shared" si="21"/>
        <v>40</v>
      </c>
    </row>
    <row r="42" spans="1:92" s="102" customFormat="1" ht="16.5" x14ac:dyDescent="0.2">
      <c r="A42" s="138"/>
      <c r="B42" s="138"/>
      <c r="C42" s="138"/>
      <c r="D42" s="138"/>
      <c r="E42" s="138"/>
      <c r="F42" s="138"/>
      <c r="G42" s="138"/>
      <c r="O42" s="138"/>
      <c r="P42" s="142"/>
      <c r="Q42" s="142"/>
      <c r="R42" s="142"/>
      <c r="S42" s="142"/>
      <c r="T42" s="139">
        <v>38</v>
      </c>
      <c r="U42" s="139">
        <f>ROUND(INDEX(挂机升级突破!$BN$6:$BN$57,卡牌消耗!$T42)*INDEX(卡牌消耗!$B$8:$F$8,卡牌消耗!U$2)/$Q$4/5,0)*5</f>
        <v>11700</v>
      </c>
      <c r="V42" s="139">
        <f>ROUND(INDEX(挂机升级突破!$BN$6:$BN$57,卡牌消耗!$T42)*INDEX(卡牌消耗!$B$8:$F$8,卡牌消耗!V$2)/$Q$4/5,0)*5</f>
        <v>16715</v>
      </c>
      <c r="W42" s="139">
        <f>ROUND(INDEX(挂机升级突破!$BN$6:$BN$57,卡牌消耗!$T42)*INDEX(卡牌消耗!$B$8:$F$8,卡牌消耗!W$2)/$Q$4/5,0)*5</f>
        <v>25070</v>
      </c>
      <c r="X42" s="139">
        <f>ROUND(INDEX(挂机升级突破!$BN$6:$BN$57,卡牌消耗!$T42)*INDEX(卡牌消耗!$B$8:$F$8,卡牌消耗!X$2)/$Q$4/5,0)*5</f>
        <v>33425</v>
      </c>
      <c r="Y42" s="142"/>
      <c r="Z42" s="142"/>
      <c r="AA42" s="104">
        <v>38</v>
      </c>
      <c r="AB42" s="14">
        <f t="shared" si="5"/>
        <v>1</v>
      </c>
      <c r="AC42" s="14">
        <f>INDEX(挂机升级突破!$BU$6:$BU$57,卡牌消耗!AI42)</f>
        <v>11</v>
      </c>
      <c r="AD42" s="14">
        <f>INDEX(挂机升级突破!BV$6:BV$57,卡牌消耗!$AI42)</f>
        <v>5</v>
      </c>
      <c r="AE42" s="14">
        <f>INDEX(挂机升级突破!BW$6:BW$57,卡牌消耗!$AI42)</f>
        <v>0</v>
      </c>
      <c r="AF42" s="14" t="str">
        <f t="shared" si="6"/>
        <v>关羽</v>
      </c>
      <c r="AG42" s="14">
        <f t="shared" si="7"/>
        <v>5</v>
      </c>
      <c r="AH42" s="14" t="str">
        <f t="shared" si="8"/>
        <v>关羽魂火-38</v>
      </c>
      <c r="AI42" s="14">
        <f t="shared" si="9"/>
        <v>38</v>
      </c>
      <c r="AJ42" s="14" t="str">
        <f>INDEX(挂机升级突破!$BX$4:$CH$4,INDEX(挂机升级突破!$BU$6:$BU$57,卡牌消耗!AI42))</f>
        <v>金币</v>
      </c>
      <c r="AK42" s="14">
        <f>ROUND(INDEX(挂机升级突破!$BN$6:$BN$57,卡牌消耗!AI42)*INDEX(卡牌消耗!$B$8:$F$8,AG42)/$Q$4/50,0)*50</f>
        <v>33450</v>
      </c>
      <c r="AL42" s="14" t="str">
        <f>IF(AD42&gt;0,INDEX(挂机升级突破!$BX$4:$CH$4,AD42),"")</f>
        <v>红色基础材料</v>
      </c>
      <c r="AM42" s="14">
        <f>ROUND(INDEX(挂机升级突破!$BX$6:$CH$57,卡牌消耗!AI42,AD42)*INDEX(卡牌消耗!$B$5:$F$5,AG42)/$Q$4/5,0)*5</f>
        <v>65</v>
      </c>
      <c r="AN42" s="14" t="str">
        <f>IF(AE42&gt;0,INDEX(挂机升级突破!$BX$4:$CH$4,AE42),"")</f>
        <v/>
      </c>
      <c r="AO42" s="14" t="str">
        <f>IF(AE42&gt;0,ROUND(INDEX(挂机升级突破!$BX$6:$CH$57,卡牌消耗!AI42,AE42)*INDEX(卡牌消耗!$B$7:$F$7,AG42)/$Q$4,0),"")</f>
        <v/>
      </c>
      <c r="AP42" s="105"/>
      <c r="AR42" s="104">
        <v>38</v>
      </c>
      <c r="AS42" s="14">
        <f t="shared" si="10"/>
        <v>2</v>
      </c>
      <c r="AT42" s="14">
        <f>INDEX(挂机升级突破!$CM$7:$CM$26,AX42)</f>
        <v>5</v>
      </c>
      <c r="AU42" s="14">
        <f>INDEX(挂机升级突破!$CN$7:$CN$26,AX42)</f>
        <v>4</v>
      </c>
      <c r="AV42" s="14">
        <f t="shared" si="11"/>
        <v>3</v>
      </c>
      <c r="AW42" s="14" t="str">
        <f t="shared" si="12"/>
        <v>许褚</v>
      </c>
      <c r="AX42" s="14">
        <f t="shared" si="13"/>
        <v>18</v>
      </c>
      <c r="AY42" s="14" t="str">
        <f t="shared" si="14"/>
        <v>许褚18突</v>
      </c>
      <c r="AZ42" s="14" t="str">
        <f>IF(AT42&gt;0,INDEX(挂机升级突破!$CV$5:$CZ$5,卡牌消耗!AT42),"")</f>
        <v>金币</v>
      </c>
      <c r="BA42" s="14">
        <f>IF(AT42&gt;0,ROUND(INDEX(挂机升级突破!$CZ$7:$CZ$26,卡牌消耗!AX42)*INDEX(卡牌消耗!$B$8:$F$8,AV42)/$Q$4/500,0)*500,"")</f>
        <v>83500</v>
      </c>
      <c r="BB42" s="14" t="str">
        <f>IF(AU42&gt;0,INDEX(挂机升级突破!$CV$5:$CZ$5,卡牌消耗!AU42),"")</f>
        <v>铀金</v>
      </c>
      <c r="BC42" s="14">
        <f>IF(AU42&gt;0,ROUND(INDEX(挂机升级突破!$CV$7:$CY$26,卡牌消耗!AX42,卡牌消耗!AU42)*INDEX($B$6:$F$6,AV42)/$Q$4/5,0)*5,"")</f>
        <v>35</v>
      </c>
      <c r="BD42" s="104"/>
      <c r="BE42" s="104"/>
      <c r="BF42" s="105"/>
      <c r="BW42" s="101"/>
      <c r="BX42" s="101"/>
      <c r="BY42" s="21"/>
      <c r="BZ42" s="101"/>
      <c r="CA42" s="101"/>
      <c r="CD42" s="136">
        <v>38</v>
      </c>
      <c r="CE42" s="14">
        <f t="shared" si="19"/>
        <v>8</v>
      </c>
      <c r="CF42" s="14">
        <f t="shared" si="0"/>
        <v>2</v>
      </c>
      <c r="CG42" s="14">
        <f t="shared" si="1"/>
        <v>1101008</v>
      </c>
      <c r="CH42" s="136" t="s">
        <v>1127</v>
      </c>
      <c r="CI42" s="14">
        <f t="shared" si="2"/>
        <v>3</v>
      </c>
      <c r="CJ42" s="14" t="str">
        <f t="shared" si="3"/>
        <v>黑尔坎普-3星</v>
      </c>
      <c r="CK42" s="136" t="s">
        <v>1133</v>
      </c>
      <c r="CL42" s="14">
        <f t="shared" si="20"/>
        <v>7000</v>
      </c>
      <c r="CM42" s="14" t="str">
        <f t="shared" si="4"/>
        <v>黑尔坎普碎片</v>
      </c>
      <c r="CN42" s="14">
        <f t="shared" si="21"/>
        <v>80</v>
      </c>
    </row>
    <row r="43" spans="1:92" ht="16.5" x14ac:dyDescent="0.2">
      <c r="A43" s="138"/>
      <c r="B43" s="138"/>
      <c r="C43" s="138"/>
      <c r="D43" s="138"/>
      <c r="E43" s="138"/>
      <c r="F43" s="138"/>
      <c r="G43" s="138"/>
      <c r="T43" s="139">
        <v>39</v>
      </c>
      <c r="U43" s="139">
        <f>ROUND(INDEX(挂机升级突破!$BN$6:$BN$57,卡牌消耗!$T43)*INDEX(卡牌消耗!$B$8:$F$8,卡牌消耗!U$2)/$Q$4/5,0)*5</f>
        <v>11700</v>
      </c>
      <c r="V43" s="139">
        <f>ROUND(INDEX(挂机升级突破!$BN$6:$BN$57,卡牌消耗!$T43)*INDEX(卡牌消耗!$B$8:$F$8,卡牌消耗!V$2)/$Q$4/5,0)*5</f>
        <v>16715</v>
      </c>
      <c r="W43" s="139">
        <f>ROUND(INDEX(挂机升级突破!$BN$6:$BN$57,卡牌消耗!$T43)*INDEX(卡牌消耗!$B$8:$F$8,卡牌消耗!W$2)/$Q$4/5,0)*5</f>
        <v>25070</v>
      </c>
      <c r="X43" s="139">
        <f>ROUND(INDEX(挂机升级突破!$BN$6:$BN$57,卡牌消耗!$T43)*INDEX(卡牌消耗!$B$8:$F$8,卡牌消耗!X$2)/$Q$4/5,0)*5</f>
        <v>33425</v>
      </c>
      <c r="AA43" s="104">
        <v>39</v>
      </c>
      <c r="AB43" s="14">
        <f t="shared" si="5"/>
        <v>1</v>
      </c>
      <c r="AC43" s="14">
        <f>INDEX(挂机升级突破!$BU$6:$BU$57,卡牌消耗!AI43)</f>
        <v>11</v>
      </c>
      <c r="AD43" s="14">
        <f>INDEX(挂机升级突破!BV$6:BV$57,卡牌消耗!$AI43)</f>
        <v>5</v>
      </c>
      <c r="AE43" s="14">
        <f>INDEX(挂机升级突破!BW$6:BW$57,卡牌消耗!$AI43)</f>
        <v>0</v>
      </c>
      <c r="AF43" s="14" t="str">
        <f t="shared" si="6"/>
        <v>关羽</v>
      </c>
      <c r="AG43" s="14">
        <f t="shared" si="7"/>
        <v>5</v>
      </c>
      <c r="AH43" s="14" t="str">
        <f t="shared" si="8"/>
        <v>关羽魂火-39</v>
      </c>
      <c r="AI43" s="14">
        <f t="shared" si="9"/>
        <v>39</v>
      </c>
      <c r="AJ43" s="14" t="str">
        <f>INDEX(挂机升级突破!$BX$4:$CH$4,INDEX(挂机升级突破!$BU$6:$BU$57,卡牌消耗!AI43))</f>
        <v>金币</v>
      </c>
      <c r="AK43" s="14">
        <f>ROUND(INDEX(挂机升级突破!$BN$6:$BN$57,卡牌消耗!AI43)*INDEX(卡牌消耗!$B$8:$F$8,AG43)/$Q$4/50,0)*50</f>
        <v>33450</v>
      </c>
      <c r="AL43" s="14" t="str">
        <f>IF(AD43&gt;0,INDEX(挂机升级突破!$BX$4:$CH$4,AD43),"")</f>
        <v>红色基础材料</v>
      </c>
      <c r="AM43" s="14">
        <f>ROUND(INDEX(挂机升级突破!$BX$6:$CH$57,卡牌消耗!AI43,AD43)*INDEX(卡牌消耗!$B$5:$F$5,AG43)/$Q$4/5,0)*5</f>
        <v>65</v>
      </c>
      <c r="AN43" s="14" t="str">
        <f>IF(AE43&gt;0,INDEX(挂机升级突破!$BX$4:$CH$4,AE43),"")</f>
        <v/>
      </c>
      <c r="AO43" s="14" t="str">
        <f>IF(AE43&gt;0,ROUND(INDEX(挂机升级突破!$BX$6:$CH$57,卡牌消耗!AI43,AE43)*INDEX(卡牌消耗!$B$7:$F$7,AG43)/$Q$4,0),"")</f>
        <v/>
      </c>
      <c r="AR43" s="104">
        <v>39</v>
      </c>
      <c r="AS43" s="14">
        <f t="shared" si="10"/>
        <v>2</v>
      </c>
      <c r="AT43" s="14">
        <f>INDEX(挂机升级突破!$CM$7:$CM$26,AX43)</f>
        <v>5</v>
      </c>
      <c r="AU43" s="14">
        <f>INDEX(挂机升级突破!$CN$7:$CN$26,AX43)</f>
        <v>4</v>
      </c>
      <c r="AV43" s="14">
        <f t="shared" si="11"/>
        <v>3</v>
      </c>
      <c r="AW43" s="14" t="str">
        <f t="shared" si="12"/>
        <v>许褚</v>
      </c>
      <c r="AX43" s="14">
        <f t="shared" si="13"/>
        <v>19</v>
      </c>
      <c r="AY43" s="14" t="str">
        <f t="shared" si="14"/>
        <v>许褚19突</v>
      </c>
      <c r="AZ43" s="14" t="str">
        <f>IF(AT43&gt;0,INDEX(挂机升级突破!$CV$5:$CZ$5,卡牌消耗!AT43),"")</f>
        <v>金币</v>
      </c>
      <c r="BA43" s="14">
        <f>IF(AT43&gt;0,ROUND(INDEX(挂机升级突破!$CZ$7:$CZ$26,卡牌消耗!AX43)*INDEX(卡牌消耗!$B$8:$F$8,AV43)/$Q$4/500,0)*500,"")</f>
        <v>506500</v>
      </c>
      <c r="BB43" s="14" t="str">
        <f>IF(AU43&gt;0,INDEX(挂机升级突破!$CV$5:$CZ$5,卡牌消耗!AU43),"")</f>
        <v>铀金</v>
      </c>
      <c r="BC43" s="14">
        <f>IF(AU43&gt;0,ROUND(INDEX(挂机升级突破!$CV$7:$CY$26,卡牌消耗!AX43,卡牌消耗!AU43)*INDEX($B$6:$F$6,AV43)/$Q$4/5,0)*5,"")</f>
        <v>45</v>
      </c>
      <c r="BD43" s="104"/>
      <c r="BE43" s="104"/>
      <c r="BU43" s="50" t="s">
        <v>310</v>
      </c>
      <c r="BV43" s="50">
        <v>4</v>
      </c>
      <c r="BW43" s="50">
        <v>31</v>
      </c>
      <c r="BX43" s="50">
        <v>8</v>
      </c>
      <c r="BY43" s="21">
        <f t="shared" ref="BY43:BY52" si="32">BX43/BV$46</f>
        <v>6.4000000000000001E-2</v>
      </c>
      <c r="BZ43" s="50" t="e">
        <f>INT(BV$44*BY43)</f>
        <v>#REF!</v>
      </c>
      <c r="CA43" s="50" t="e">
        <f>SUM(BZ$5:BZ43)</f>
        <v>#REF!</v>
      </c>
      <c r="CD43" s="136">
        <v>39</v>
      </c>
      <c r="CE43" s="14">
        <f t="shared" si="19"/>
        <v>8</v>
      </c>
      <c r="CF43" s="14">
        <f t="shared" si="0"/>
        <v>2</v>
      </c>
      <c r="CG43" s="14">
        <f t="shared" si="1"/>
        <v>1101008</v>
      </c>
      <c r="CH43" s="136" t="s">
        <v>1127</v>
      </c>
      <c r="CI43" s="14">
        <f t="shared" si="2"/>
        <v>4</v>
      </c>
      <c r="CJ43" s="14" t="str">
        <f t="shared" si="3"/>
        <v>黑尔坎普-4星</v>
      </c>
      <c r="CK43" s="136" t="s">
        <v>1133</v>
      </c>
      <c r="CL43" s="14">
        <f t="shared" si="20"/>
        <v>16000</v>
      </c>
      <c r="CM43" s="14" t="str">
        <f t="shared" si="4"/>
        <v>黑尔坎普碎片</v>
      </c>
      <c r="CN43" s="14">
        <f t="shared" si="21"/>
        <v>120</v>
      </c>
    </row>
    <row r="44" spans="1:92" ht="16.5" x14ac:dyDescent="0.2">
      <c r="H44" s="43"/>
      <c r="I44" s="43"/>
      <c r="J44" s="43"/>
      <c r="K44" s="43"/>
      <c r="L44" s="43"/>
      <c r="M44" s="43"/>
      <c r="N44" s="43"/>
      <c r="O44" s="43"/>
      <c r="P44" s="141"/>
      <c r="Q44" s="141"/>
      <c r="R44" s="141"/>
      <c r="S44" s="141"/>
      <c r="T44" s="139">
        <v>40</v>
      </c>
      <c r="U44" s="139">
        <f>ROUND(INDEX(挂机升级突破!$BN$6:$BN$57,卡牌消耗!$T44)*INDEX(卡牌消耗!$B$8:$F$8,卡牌消耗!U$2)/$Q$4/5,0)*5</f>
        <v>11700</v>
      </c>
      <c r="V44" s="139">
        <f>ROUND(INDEX(挂机升级突破!$BN$6:$BN$57,卡牌消耗!$T44)*INDEX(卡牌消耗!$B$8:$F$8,卡牌消耗!V$2)/$Q$4/5,0)*5</f>
        <v>16715</v>
      </c>
      <c r="W44" s="139">
        <f>ROUND(INDEX(挂机升级突破!$BN$6:$BN$57,卡牌消耗!$T44)*INDEX(卡牌消耗!$B$8:$F$8,卡牌消耗!W$2)/$Q$4/5,0)*5</f>
        <v>25070</v>
      </c>
      <c r="X44" s="139">
        <f>ROUND(INDEX(挂机升级突破!$BN$6:$BN$57,卡牌消耗!$T44)*INDEX(卡牌消耗!$B$8:$F$8,卡牌消耗!X$2)/$Q$4/5,0)*5</f>
        <v>33425</v>
      </c>
      <c r="Y44" s="141"/>
      <c r="Z44" s="141"/>
      <c r="AA44" s="104">
        <v>40</v>
      </c>
      <c r="AB44" s="14">
        <f t="shared" si="5"/>
        <v>1</v>
      </c>
      <c r="AC44" s="14">
        <f>INDEX(挂机升级突破!$BU$6:$BU$57,卡牌消耗!AI44)</f>
        <v>11</v>
      </c>
      <c r="AD44" s="14">
        <f>INDEX(挂机升级突破!BV$6:BV$57,卡牌消耗!$AI44)</f>
        <v>5</v>
      </c>
      <c r="AE44" s="14">
        <f>INDEX(挂机升级突破!BW$6:BW$57,卡牌消耗!$AI44)</f>
        <v>0</v>
      </c>
      <c r="AF44" s="14" t="str">
        <f t="shared" si="6"/>
        <v>关羽</v>
      </c>
      <c r="AG44" s="14">
        <f t="shared" si="7"/>
        <v>5</v>
      </c>
      <c r="AH44" s="14" t="str">
        <f t="shared" si="8"/>
        <v>关羽魂火-40</v>
      </c>
      <c r="AI44" s="14">
        <f t="shared" si="9"/>
        <v>40</v>
      </c>
      <c r="AJ44" s="14" t="str">
        <f>INDEX(挂机升级突破!$BX$4:$CH$4,INDEX(挂机升级突破!$BU$6:$BU$57,卡牌消耗!AI44))</f>
        <v>金币</v>
      </c>
      <c r="AK44" s="14">
        <f>ROUND(INDEX(挂机升级突破!$BN$6:$BN$57,卡牌消耗!AI44)*INDEX(卡牌消耗!$B$8:$F$8,AG44)/$Q$4/50,0)*50</f>
        <v>33450</v>
      </c>
      <c r="AL44" s="14" t="str">
        <f>IF(AD44&gt;0,INDEX(挂机升级突破!$BX$4:$CH$4,AD44),"")</f>
        <v>红色基础材料</v>
      </c>
      <c r="AM44" s="14">
        <f>ROUND(INDEX(挂机升级突破!$BX$6:$CH$57,卡牌消耗!AI44,AD44)*INDEX(卡牌消耗!$B$5:$F$5,AG44)/$Q$4/5,0)*5</f>
        <v>65</v>
      </c>
      <c r="AN44" s="14" t="str">
        <f>IF(AE44&gt;0,INDEX(挂机升级突破!$BX$4:$CH$4,AE44),"")</f>
        <v/>
      </c>
      <c r="AO44" s="14" t="str">
        <f>IF(AE44&gt;0,ROUND(INDEX(挂机升级突破!$BX$6:$CH$57,卡牌消耗!AI44,AE44)*INDEX(卡牌消耗!$B$7:$F$7,AG44)/$Q$4,0),"")</f>
        <v/>
      </c>
      <c r="AP44" s="106"/>
      <c r="AQ44" s="43"/>
      <c r="AR44" s="104">
        <v>40</v>
      </c>
      <c r="AS44" s="14">
        <f t="shared" si="10"/>
        <v>2</v>
      </c>
      <c r="AT44" s="14">
        <f>INDEX(挂机升级突破!$CM$7:$CM$26,AX44)</f>
        <v>5</v>
      </c>
      <c r="AU44" s="14">
        <f>INDEX(挂机升级突破!$CN$7:$CN$26,AX44)</f>
        <v>4</v>
      </c>
      <c r="AV44" s="14">
        <f t="shared" si="11"/>
        <v>3</v>
      </c>
      <c r="AW44" s="14" t="str">
        <f t="shared" si="12"/>
        <v>许褚</v>
      </c>
      <c r="AX44" s="14">
        <f t="shared" si="13"/>
        <v>20</v>
      </c>
      <c r="AY44" s="14" t="str">
        <f t="shared" si="14"/>
        <v>许褚20突</v>
      </c>
      <c r="AZ44" s="14" t="str">
        <f>IF(AT44&gt;0,INDEX(挂机升级突破!$CV$5:$CZ$5,卡牌消耗!AT44),"")</f>
        <v>金币</v>
      </c>
      <c r="BA44" s="14">
        <f>IF(AT44&gt;0,ROUND(INDEX(挂机升级突破!$CZ$7:$CZ$26,卡牌消耗!AX44)*INDEX(卡牌消耗!$B$8:$F$8,AV44)/$Q$4/500,0)*500,"")</f>
        <v>760000</v>
      </c>
      <c r="BB44" s="14" t="str">
        <f>IF(AU44&gt;0,INDEX(挂机升级突破!$CV$5:$CZ$5,卡牌消耗!AU44),"")</f>
        <v>铀金</v>
      </c>
      <c r="BC44" s="14">
        <f>IF(AU44&gt;0,ROUND(INDEX(挂机升级突破!$CV$7:$CY$26,卡牌消耗!AX44,卡牌消耗!AU44)*INDEX($B$6:$F$6,AV44)/$Q$4/5,0)*5,"")</f>
        <v>60</v>
      </c>
      <c r="BD44" s="104"/>
      <c r="BE44" s="104"/>
      <c r="BF44" s="43"/>
      <c r="BU44" s="14" t="str">
        <f>INDEX($BH$5:$BH$19,BV43)</f>
        <v>20~25</v>
      </c>
      <c r="BV44" s="14" t="e">
        <f>INDEX($BQ$5:$BQ$19,BV43)</f>
        <v>#REF!</v>
      </c>
      <c r="BW44" s="50">
        <v>32</v>
      </c>
      <c r="BX44" s="50">
        <v>9</v>
      </c>
      <c r="BY44" s="21">
        <f t="shared" si="32"/>
        <v>7.1999999999999995E-2</v>
      </c>
      <c r="BZ44" s="65" t="e">
        <f t="shared" ref="BZ44:BZ52" si="33">INT(BV$44*BY44)</f>
        <v>#REF!</v>
      </c>
      <c r="CA44" s="50" t="e">
        <f>SUM(BZ$5:BZ44)</f>
        <v>#REF!</v>
      </c>
      <c r="CD44" s="136">
        <v>40</v>
      </c>
      <c r="CE44" s="14">
        <f t="shared" si="19"/>
        <v>8</v>
      </c>
      <c r="CF44" s="14">
        <f t="shared" si="0"/>
        <v>2</v>
      </c>
      <c r="CG44" s="14">
        <f t="shared" si="1"/>
        <v>1101008</v>
      </c>
      <c r="CH44" s="136" t="s">
        <v>1127</v>
      </c>
      <c r="CI44" s="14">
        <f t="shared" si="2"/>
        <v>5</v>
      </c>
      <c r="CJ44" s="14" t="str">
        <f t="shared" si="3"/>
        <v>黑尔坎普-5星</v>
      </c>
      <c r="CK44" s="136" t="s">
        <v>1133</v>
      </c>
      <c r="CL44" s="14">
        <f t="shared" si="20"/>
        <v>30000</v>
      </c>
      <c r="CM44" s="14" t="str">
        <f t="shared" si="4"/>
        <v>黑尔坎普碎片</v>
      </c>
      <c r="CN44" s="14">
        <f t="shared" si="21"/>
        <v>160</v>
      </c>
    </row>
    <row r="45" spans="1:92" ht="17.25" x14ac:dyDescent="0.2">
      <c r="A45" s="12" t="s">
        <v>1128</v>
      </c>
      <c r="B45" s="12" t="s">
        <v>1129</v>
      </c>
      <c r="C45" s="12" t="s">
        <v>1130</v>
      </c>
      <c r="D45" s="12" t="s">
        <v>1131</v>
      </c>
      <c r="E45" s="12" t="s">
        <v>1132</v>
      </c>
      <c r="H45" s="15"/>
      <c r="I45" s="15"/>
      <c r="J45" s="15"/>
      <c r="K45" s="15"/>
      <c r="L45" s="15"/>
      <c r="M45" s="15"/>
      <c r="N45" s="15"/>
      <c r="O45" s="137"/>
      <c r="P45" s="141"/>
      <c r="Q45" s="141"/>
      <c r="R45" s="141"/>
      <c r="S45" s="141"/>
      <c r="T45" s="139">
        <v>41</v>
      </c>
      <c r="U45" s="139">
        <f>ROUND(INDEX(挂机升级突破!$BN$6:$BN$57,卡牌消耗!$T45)*INDEX(卡牌消耗!$B$8:$F$8,卡牌消耗!U$2)/$Q$4/5,0)*5</f>
        <v>16085</v>
      </c>
      <c r="V45" s="139">
        <f>ROUND(INDEX(挂机升级突破!$BN$6:$BN$57,卡牌消耗!$T45)*INDEX(卡牌消耗!$B$8:$F$8,卡牌消耗!V$2)/$Q$4/5,0)*5</f>
        <v>22980</v>
      </c>
      <c r="W45" s="139">
        <f>ROUND(INDEX(挂机升级突破!$BN$6:$BN$57,卡牌消耗!$T45)*INDEX(卡牌消耗!$B$8:$F$8,卡牌消耗!W$2)/$Q$4/5,0)*5</f>
        <v>34470</v>
      </c>
      <c r="X45" s="139">
        <f>ROUND(INDEX(挂机升级突破!$BN$6:$BN$57,卡牌消耗!$T45)*INDEX(卡牌消耗!$B$8:$F$8,卡牌消耗!X$2)/$Q$4/5,0)*5</f>
        <v>45960</v>
      </c>
      <c r="Y45" s="141"/>
      <c r="Z45" s="141"/>
      <c r="AA45" s="104">
        <v>41</v>
      </c>
      <c r="AB45" s="14">
        <f t="shared" si="5"/>
        <v>1</v>
      </c>
      <c r="AC45" s="14">
        <f>INDEX(挂机升级突破!$BU$6:$BU$57,卡牌消耗!AI45)</f>
        <v>11</v>
      </c>
      <c r="AD45" s="14">
        <f>INDEX(挂机升级突破!BV$6:BV$57,卡牌消耗!$AI45)</f>
        <v>5</v>
      </c>
      <c r="AE45" s="14">
        <f>INDEX(挂机升级突破!BW$6:BW$57,卡牌消耗!$AI45)</f>
        <v>10</v>
      </c>
      <c r="AF45" s="14" t="str">
        <f t="shared" si="6"/>
        <v>关羽</v>
      </c>
      <c r="AG45" s="14">
        <f t="shared" si="7"/>
        <v>5</v>
      </c>
      <c r="AH45" s="14" t="str">
        <f t="shared" si="8"/>
        <v>关羽魂火-41</v>
      </c>
      <c r="AI45" s="14">
        <f t="shared" si="9"/>
        <v>41</v>
      </c>
      <c r="AJ45" s="14" t="str">
        <f>INDEX(挂机升级突破!$BX$4:$CH$4,INDEX(挂机升级突破!$BU$6:$BU$57,卡牌消耗!AI45))</f>
        <v>金币</v>
      </c>
      <c r="AK45" s="14">
        <f>ROUND(INDEX(挂机升级突破!$BN$6:$BN$57,卡牌消耗!AI45)*INDEX(卡牌消耗!$B$8:$F$8,AG45)/$Q$4/50,0)*50</f>
        <v>45950</v>
      </c>
      <c r="AL45" s="14" t="str">
        <f>IF(AD45&gt;0,INDEX(挂机升级突破!$BX$4:$CH$4,AD45),"")</f>
        <v>红色基础材料</v>
      </c>
      <c r="AM45" s="14">
        <f>ROUND(INDEX(挂机升级突破!$BX$6:$CH$57,卡牌消耗!AI45,AD45)*INDEX(卡牌消耗!$B$5:$F$5,AG45)/$Q$4/5,0)*5</f>
        <v>80</v>
      </c>
      <c r="AN45" s="14" t="str">
        <f>IF(AE45&gt;0,INDEX(挂机升级突破!$BX$4:$CH$4,AE45),"")</f>
        <v>灵玉</v>
      </c>
      <c r="AO45" s="14">
        <f>IF(AE45&gt;0,ROUND(INDEX(挂机升级突破!$BX$6:$CH$57,卡牌消耗!AI45,AE45)*INDEX(卡牌消耗!$B$7:$F$7,AG45)/$Q$4,0),"")</f>
        <v>2</v>
      </c>
      <c r="AP45" s="106"/>
      <c r="AQ45" s="15"/>
      <c r="AR45" s="104">
        <v>41</v>
      </c>
      <c r="AS45" s="14">
        <f t="shared" si="10"/>
        <v>3</v>
      </c>
      <c r="AT45" s="14">
        <f>INDEX(挂机升级突破!$CM$7:$CM$26,AX45)</f>
        <v>0</v>
      </c>
      <c r="AU45" s="14">
        <f>INDEX(挂机升级突破!$CN$7:$CN$26,AX45)</f>
        <v>0</v>
      </c>
      <c r="AV45" s="14">
        <f t="shared" si="11"/>
        <v>4</v>
      </c>
      <c r="AW45" s="14" t="str">
        <f t="shared" si="12"/>
        <v>典韦</v>
      </c>
      <c r="AX45" s="14">
        <f t="shared" si="13"/>
        <v>1</v>
      </c>
      <c r="AY45" s="14" t="str">
        <f t="shared" si="14"/>
        <v>典韦1突</v>
      </c>
      <c r="AZ45" s="14" t="str">
        <f>IF(AT45&gt;0,INDEX(挂机升级突破!$CV$5:$CZ$5,卡牌消耗!AT45),"")</f>
        <v/>
      </c>
      <c r="BA45" s="14" t="str">
        <f>IF(AT45&gt;0,ROUND(INDEX(挂机升级突破!$CZ$7:$CZ$26,卡牌消耗!AX45)*INDEX(卡牌消耗!$B$8:$F$8,AV45)/$Q$4/500,0)*500,"")</f>
        <v/>
      </c>
      <c r="BB45" s="14" t="str">
        <f>IF(AU45&gt;0,INDEX(挂机升级突破!$CV$5:$CZ$5,卡牌消耗!AU45),"")</f>
        <v/>
      </c>
      <c r="BC45" s="14" t="str">
        <f>IF(AU45&gt;0,ROUND(INDEX(挂机升级突破!$CV$7:$CY$26,卡牌消耗!AX45,卡牌消耗!AU45)*INDEX($B$6:$F$6,AV45)/$Q$4/5,0)*5,"")</f>
        <v/>
      </c>
      <c r="BD45" s="104"/>
      <c r="BE45" s="104"/>
      <c r="BF45" s="106"/>
      <c r="BU45" s="50" t="s">
        <v>309</v>
      </c>
      <c r="BV45" s="14">
        <f>INDEX($BR$5:$BR$19,BV43)</f>
        <v>3</v>
      </c>
      <c r="BW45" s="50">
        <v>33</v>
      </c>
      <c r="BX45" s="50">
        <v>10</v>
      </c>
      <c r="BY45" s="21">
        <f t="shared" si="32"/>
        <v>0.08</v>
      </c>
      <c r="BZ45" s="65" t="e">
        <f t="shared" si="33"/>
        <v>#REF!</v>
      </c>
      <c r="CA45" s="50" t="e">
        <f>SUM(BZ$5:BZ45)</f>
        <v>#REF!</v>
      </c>
      <c r="CD45" s="136">
        <v>41</v>
      </c>
      <c r="CE45" s="14">
        <f t="shared" si="19"/>
        <v>9</v>
      </c>
      <c r="CF45" s="14">
        <f t="shared" si="0"/>
        <v>3</v>
      </c>
      <c r="CG45" s="14">
        <f t="shared" si="1"/>
        <v>1101009</v>
      </c>
      <c r="CH45" s="136" t="s">
        <v>1127</v>
      </c>
      <c r="CI45" s="14">
        <f t="shared" si="2"/>
        <v>1</v>
      </c>
      <c r="CJ45" s="14" t="str">
        <f t="shared" si="3"/>
        <v>北落师门-1星</v>
      </c>
      <c r="CK45" s="136" t="s">
        <v>1133</v>
      </c>
      <c r="CL45" s="14">
        <f t="shared" si="20"/>
        <v>4000</v>
      </c>
      <c r="CM45" s="14" t="str">
        <f t="shared" si="4"/>
        <v>北落师门碎片</v>
      </c>
      <c r="CN45" s="14">
        <f t="shared" si="21"/>
        <v>40</v>
      </c>
    </row>
    <row r="46" spans="1:92" ht="16.5" x14ac:dyDescent="0.2">
      <c r="A46">
        <v>0</v>
      </c>
      <c r="B46" s="138">
        <v>0</v>
      </c>
      <c r="C46" s="138">
        <v>0</v>
      </c>
      <c r="D46" s="138">
        <v>0</v>
      </c>
      <c r="E46" s="138">
        <v>0</v>
      </c>
      <c r="H46" s="15"/>
      <c r="I46" s="15"/>
      <c r="J46" s="15"/>
      <c r="K46" s="15"/>
      <c r="L46" s="15"/>
      <c r="M46" s="15"/>
      <c r="N46" s="15"/>
      <c r="O46" s="137"/>
      <c r="P46" s="141"/>
      <c r="Q46" s="141"/>
      <c r="R46" s="141"/>
      <c r="S46" s="141"/>
      <c r="T46" s="139">
        <v>42</v>
      </c>
      <c r="U46" s="139">
        <f>ROUND(INDEX(挂机升级突破!$BN$6:$BN$57,卡牌消耗!$T46)*INDEX(卡牌消耗!$B$8:$F$8,卡牌消耗!U$2)/$Q$4/5,0)*5</f>
        <v>16085</v>
      </c>
      <c r="V46" s="139">
        <f>ROUND(INDEX(挂机升级突破!$BN$6:$BN$57,卡牌消耗!$T46)*INDEX(卡牌消耗!$B$8:$F$8,卡牌消耗!V$2)/$Q$4/5,0)*5</f>
        <v>22980</v>
      </c>
      <c r="W46" s="139">
        <f>ROUND(INDEX(挂机升级突破!$BN$6:$BN$57,卡牌消耗!$T46)*INDEX(卡牌消耗!$B$8:$F$8,卡牌消耗!W$2)/$Q$4/5,0)*5</f>
        <v>34470</v>
      </c>
      <c r="X46" s="139">
        <f>ROUND(INDEX(挂机升级突破!$BN$6:$BN$57,卡牌消耗!$T46)*INDEX(卡牌消耗!$B$8:$F$8,卡牌消耗!X$2)/$Q$4/5,0)*5</f>
        <v>45960</v>
      </c>
      <c r="Y46" s="141"/>
      <c r="Z46" s="141"/>
      <c r="AA46" s="104">
        <v>42</v>
      </c>
      <c r="AB46" s="14">
        <f t="shared" si="5"/>
        <v>1</v>
      </c>
      <c r="AC46" s="14">
        <f>INDEX(挂机升级突破!$BU$6:$BU$57,卡牌消耗!AI46)</f>
        <v>11</v>
      </c>
      <c r="AD46" s="14">
        <f>INDEX(挂机升级突破!BV$6:BV$57,卡牌消耗!$AI46)</f>
        <v>5</v>
      </c>
      <c r="AE46" s="14">
        <f>INDEX(挂机升级突破!BW$6:BW$57,卡牌消耗!$AI46)</f>
        <v>10</v>
      </c>
      <c r="AF46" s="14" t="str">
        <f t="shared" si="6"/>
        <v>关羽</v>
      </c>
      <c r="AG46" s="14">
        <f t="shared" si="7"/>
        <v>5</v>
      </c>
      <c r="AH46" s="14" t="str">
        <f t="shared" si="8"/>
        <v>关羽魂火-42</v>
      </c>
      <c r="AI46" s="14">
        <f t="shared" si="9"/>
        <v>42</v>
      </c>
      <c r="AJ46" s="14" t="str">
        <f>INDEX(挂机升级突破!$BX$4:$CH$4,INDEX(挂机升级突破!$BU$6:$BU$57,卡牌消耗!AI46))</f>
        <v>金币</v>
      </c>
      <c r="AK46" s="14">
        <f>ROUND(INDEX(挂机升级突破!$BN$6:$BN$57,卡牌消耗!AI46)*INDEX(卡牌消耗!$B$8:$F$8,AG46)/$Q$4/50,0)*50</f>
        <v>45950</v>
      </c>
      <c r="AL46" s="14" t="str">
        <f>IF(AD46&gt;0,INDEX(挂机升级突破!$BX$4:$CH$4,AD46),"")</f>
        <v>红色基础材料</v>
      </c>
      <c r="AM46" s="14">
        <f>ROUND(INDEX(挂机升级突破!$BX$6:$CH$57,卡牌消耗!AI46,AD46)*INDEX(卡牌消耗!$B$5:$F$5,AG46)/$Q$4/5,0)*5</f>
        <v>80</v>
      </c>
      <c r="AN46" s="14" t="str">
        <f>IF(AE46&gt;0,INDEX(挂机升级突破!$BX$4:$CH$4,AE46),"")</f>
        <v>灵玉</v>
      </c>
      <c r="AO46" s="14">
        <f>IF(AE46&gt;0,ROUND(INDEX(挂机升级突破!$BX$6:$CH$57,卡牌消耗!AI46,AE46)*INDEX(卡牌消耗!$B$7:$F$7,AG46)/$Q$4,0),"")</f>
        <v>2</v>
      </c>
      <c r="AP46" s="106"/>
      <c r="AQ46" s="15"/>
      <c r="AR46" s="104">
        <v>42</v>
      </c>
      <c r="AS46" s="14">
        <f t="shared" si="10"/>
        <v>3</v>
      </c>
      <c r="AT46" s="14">
        <f>INDEX(挂机升级突破!$CM$7:$CM$26,AX46)</f>
        <v>5</v>
      </c>
      <c r="AU46" s="14">
        <f>INDEX(挂机升级突破!$CN$7:$CN$26,AX46)</f>
        <v>0</v>
      </c>
      <c r="AV46" s="14">
        <f t="shared" si="11"/>
        <v>4</v>
      </c>
      <c r="AW46" s="14" t="str">
        <f t="shared" si="12"/>
        <v>典韦</v>
      </c>
      <c r="AX46" s="14">
        <f t="shared" si="13"/>
        <v>2</v>
      </c>
      <c r="AY46" s="14" t="str">
        <f t="shared" si="14"/>
        <v>典韦2突</v>
      </c>
      <c r="AZ46" s="14" t="str">
        <f>IF(AT46&gt;0,INDEX(挂机升级突破!$CV$5:$CZ$5,卡牌消耗!AT46),"")</f>
        <v>金币</v>
      </c>
      <c r="BA46" s="14">
        <f>IF(AT46&gt;0,ROUND(INDEX(挂机升级突破!$CZ$7:$CZ$26,卡牌消耗!AX46)*INDEX(卡牌消耗!$B$8:$F$8,AV46)/$Q$4/500,0)*500,"")</f>
        <v>3500</v>
      </c>
      <c r="BB46" s="14" t="str">
        <f>IF(AU46&gt;0,INDEX(挂机升级突破!$CV$5:$CZ$5,卡牌消耗!AU46),"")</f>
        <v/>
      </c>
      <c r="BC46" s="14" t="str">
        <f>IF(AU46&gt;0,ROUND(INDEX(挂机升级突破!$CV$7:$CY$26,卡牌消耗!AX46,卡牌消耗!AU46)*INDEX($B$6:$F$6,AV46)/$Q$4/5,0)*5,"")</f>
        <v/>
      </c>
      <c r="BD46" s="104"/>
      <c r="BE46" s="104"/>
      <c r="BF46" s="106"/>
      <c r="BU46" s="15"/>
      <c r="BV46" s="14">
        <f>SUM(BX43:BX52)</f>
        <v>125</v>
      </c>
      <c r="BW46" s="50">
        <v>34</v>
      </c>
      <c r="BX46" s="50">
        <v>11</v>
      </c>
      <c r="BY46" s="21">
        <f t="shared" si="32"/>
        <v>8.7999999999999995E-2</v>
      </c>
      <c r="BZ46" s="65" t="e">
        <f t="shared" si="33"/>
        <v>#REF!</v>
      </c>
      <c r="CA46" s="50" t="e">
        <f>SUM(BZ$5:BZ46)</f>
        <v>#REF!</v>
      </c>
      <c r="CD46" s="136">
        <v>42</v>
      </c>
      <c r="CE46" s="14">
        <f t="shared" si="19"/>
        <v>9</v>
      </c>
      <c r="CF46" s="14">
        <f t="shared" si="0"/>
        <v>3</v>
      </c>
      <c r="CG46" s="14">
        <f t="shared" si="1"/>
        <v>1101009</v>
      </c>
      <c r="CH46" s="136" t="s">
        <v>1127</v>
      </c>
      <c r="CI46" s="14">
        <f t="shared" si="2"/>
        <v>2</v>
      </c>
      <c r="CJ46" s="14" t="str">
        <f t="shared" si="3"/>
        <v>北落师门-2星</v>
      </c>
      <c r="CK46" s="136" t="s">
        <v>1133</v>
      </c>
      <c r="CL46" s="14">
        <f t="shared" si="20"/>
        <v>5000</v>
      </c>
      <c r="CM46" s="14" t="str">
        <f t="shared" si="4"/>
        <v>北落师门碎片</v>
      </c>
      <c r="CN46" s="14">
        <f t="shared" si="21"/>
        <v>80</v>
      </c>
    </row>
    <row r="47" spans="1:92" ht="16.5" x14ac:dyDescent="0.2">
      <c r="A47" s="55">
        <v>1101001</v>
      </c>
      <c r="B47" s="55" t="s">
        <v>386</v>
      </c>
      <c r="C47" s="55">
        <v>3</v>
      </c>
      <c r="D47" s="136">
        <v>5</v>
      </c>
      <c r="E47" s="136">
        <f>SUM(D$47:D47)</f>
        <v>5</v>
      </c>
      <c r="H47" s="15"/>
      <c r="I47" s="15"/>
      <c r="J47" s="15"/>
      <c r="K47" s="15"/>
      <c r="L47" s="15"/>
      <c r="M47" s="15"/>
      <c r="N47" s="15"/>
      <c r="O47" s="137"/>
      <c r="P47" s="141"/>
      <c r="Q47" s="141"/>
      <c r="R47" s="141"/>
      <c r="S47" s="141"/>
      <c r="T47" s="139">
        <v>43</v>
      </c>
      <c r="U47" s="139">
        <f>ROUND(INDEX(挂机升级突破!$BN$6:$BN$57,卡牌消耗!$T47)*INDEX(卡牌消耗!$B$8:$F$8,卡牌消耗!U$2)/$Q$4/5,0)*5</f>
        <v>16085</v>
      </c>
      <c r="V47" s="139">
        <f>ROUND(INDEX(挂机升级突破!$BN$6:$BN$57,卡牌消耗!$T47)*INDEX(卡牌消耗!$B$8:$F$8,卡牌消耗!V$2)/$Q$4/5,0)*5</f>
        <v>22980</v>
      </c>
      <c r="W47" s="139">
        <f>ROUND(INDEX(挂机升级突破!$BN$6:$BN$57,卡牌消耗!$T47)*INDEX(卡牌消耗!$B$8:$F$8,卡牌消耗!W$2)/$Q$4/5,0)*5</f>
        <v>34470</v>
      </c>
      <c r="X47" s="139">
        <f>ROUND(INDEX(挂机升级突破!$BN$6:$BN$57,卡牌消耗!$T47)*INDEX(卡牌消耗!$B$8:$F$8,卡牌消耗!X$2)/$Q$4/5,0)*5</f>
        <v>45960</v>
      </c>
      <c r="Y47" s="141"/>
      <c r="Z47" s="141"/>
      <c r="AA47" s="104">
        <v>43</v>
      </c>
      <c r="AB47" s="14">
        <f t="shared" si="5"/>
        <v>1</v>
      </c>
      <c r="AC47" s="14">
        <f>INDEX(挂机升级突破!$BU$6:$BU$57,卡牌消耗!AI47)</f>
        <v>11</v>
      </c>
      <c r="AD47" s="14">
        <f>INDEX(挂机升级突破!BV$6:BV$57,卡牌消耗!$AI47)</f>
        <v>5</v>
      </c>
      <c r="AE47" s="14">
        <f>INDEX(挂机升级突破!BW$6:BW$57,卡牌消耗!$AI47)</f>
        <v>10</v>
      </c>
      <c r="AF47" s="14" t="str">
        <f t="shared" si="6"/>
        <v>关羽</v>
      </c>
      <c r="AG47" s="14">
        <f t="shared" si="7"/>
        <v>5</v>
      </c>
      <c r="AH47" s="14" t="str">
        <f t="shared" si="8"/>
        <v>关羽魂火-43</v>
      </c>
      <c r="AI47" s="14">
        <f t="shared" si="9"/>
        <v>43</v>
      </c>
      <c r="AJ47" s="14" t="str">
        <f>INDEX(挂机升级突破!$BX$4:$CH$4,INDEX(挂机升级突破!$BU$6:$BU$57,卡牌消耗!AI47))</f>
        <v>金币</v>
      </c>
      <c r="AK47" s="14">
        <f>ROUND(INDEX(挂机升级突破!$BN$6:$BN$57,卡牌消耗!AI47)*INDEX(卡牌消耗!$B$8:$F$8,AG47)/$Q$4/50,0)*50</f>
        <v>45950</v>
      </c>
      <c r="AL47" s="14" t="str">
        <f>IF(AD47&gt;0,INDEX(挂机升级突破!$BX$4:$CH$4,AD47),"")</f>
        <v>红色基础材料</v>
      </c>
      <c r="AM47" s="14">
        <f>ROUND(INDEX(挂机升级突破!$BX$6:$CH$57,卡牌消耗!AI47,AD47)*INDEX(卡牌消耗!$B$5:$F$5,AG47)/$Q$4/5,0)*5</f>
        <v>80</v>
      </c>
      <c r="AN47" s="14" t="str">
        <f>IF(AE47&gt;0,INDEX(挂机升级突破!$BX$4:$CH$4,AE47),"")</f>
        <v>灵玉</v>
      </c>
      <c r="AO47" s="14">
        <f>IF(AE47&gt;0,ROUND(INDEX(挂机升级突破!$BX$6:$CH$57,卡牌消耗!AI47,AE47)*INDEX(卡牌消耗!$B$7:$F$7,AG47)/$Q$4,0),"")</f>
        <v>2</v>
      </c>
      <c r="AP47" s="106"/>
      <c r="AQ47" s="15"/>
      <c r="AR47" s="104">
        <v>43</v>
      </c>
      <c r="AS47" s="14">
        <f t="shared" si="10"/>
        <v>3</v>
      </c>
      <c r="AT47" s="14">
        <f>INDEX(挂机升级突破!$CM$7:$CM$26,AX47)</f>
        <v>5</v>
      </c>
      <c r="AU47" s="14">
        <f>INDEX(挂机升级突破!$CN$7:$CN$26,AX47)</f>
        <v>0</v>
      </c>
      <c r="AV47" s="14">
        <f t="shared" si="11"/>
        <v>4</v>
      </c>
      <c r="AW47" s="14" t="str">
        <f t="shared" si="12"/>
        <v>典韦</v>
      </c>
      <c r="AX47" s="14">
        <f t="shared" si="13"/>
        <v>3</v>
      </c>
      <c r="AY47" s="14" t="str">
        <f t="shared" si="14"/>
        <v>典韦3突</v>
      </c>
      <c r="AZ47" s="14" t="str">
        <f>IF(AT47&gt;0,INDEX(挂机升级突破!$CV$5:$CZ$5,卡牌消耗!AT47),"")</f>
        <v>金币</v>
      </c>
      <c r="BA47" s="14">
        <f>IF(AT47&gt;0,ROUND(INDEX(挂机升级突破!$CZ$7:$CZ$26,卡牌消耗!AX47)*INDEX(卡牌消耗!$B$8:$F$8,AV47)/$Q$4/500,0)*500,"")</f>
        <v>3500</v>
      </c>
      <c r="BB47" s="14" t="str">
        <f>IF(AU47&gt;0,INDEX(挂机升级突破!$CV$5:$CZ$5,卡牌消耗!AU47),"")</f>
        <v/>
      </c>
      <c r="BC47" s="14" t="str">
        <f>IF(AU47&gt;0,ROUND(INDEX(挂机升级突破!$CV$7:$CY$26,卡牌消耗!AX47,卡牌消耗!AU47)*INDEX($B$6:$F$6,AV47)/$Q$4/5,0)*5,"")</f>
        <v/>
      </c>
      <c r="BD47" s="104"/>
      <c r="BE47" s="104"/>
      <c r="BF47" s="106"/>
      <c r="BW47" s="50">
        <v>35</v>
      </c>
      <c r="BX47" s="50">
        <v>12</v>
      </c>
      <c r="BY47" s="21">
        <f t="shared" si="32"/>
        <v>9.6000000000000002E-2</v>
      </c>
      <c r="BZ47" s="65" t="e">
        <f t="shared" si="33"/>
        <v>#REF!</v>
      </c>
      <c r="CA47" s="50" t="e">
        <f>SUM(BZ$5:BZ47)</f>
        <v>#REF!</v>
      </c>
      <c r="CD47" s="136">
        <v>43</v>
      </c>
      <c r="CE47" s="14">
        <f t="shared" si="19"/>
        <v>9</v>
      </c>
      <c r="CF47" s="14">
        <f t="shared" si="0"/>
        <v>3</v>
      </c>
      <c r="CG47" s="14">
        <f t="shared" si="1"/>
        <v>1101009</v>
      </c>
      <c r="CH47" s="136" t="s">
        <v>1127</v>
      </c>
      <c r="CI47" s="14">
        <f t="shared" si="2"/>
        <v>3</v>
      </c>
      <c r="CJ47" s="14" t="str">
        <f t="shared" si="3"/>
        <v>北落师门-3星</v>
      </c>
      <c r="CK47" s="136" t="s">
        <v>1133</v>
      </c>
      <c r="CL47" s="14">
        <f t="shared" si="20"/>
        <v>10000</v>
      </c>
      <c r="CM47" s="14" t="str">
        <f t="shared" si="4"/>
        <v>北落师门碎片</v>
      </c>
      <c r="CN47" s="14">
        <f t="shared" si="21"/>
        <v>120</v>
      </c>
    </row>
    <row r="48" spans="1:92" ht="16.5" x14ac:dyDescent="0.2">
      <c r="A48" s="55">
        <v>1101002</v>
      </c>
      <c r="B48" s="55" t="s">
        <v>387</v>
      </c>
      <c r="C48" s="55">
        <v>2</v>
      </c>
      <c r="D48" s="136">
        <v>5</v>
      </c>
      <c r="E48" s="136">
        <f>SUM(D$47:D48)</f>
        <v>10</v>
      </c>
      <c r="H48" s="15"/>
      <c r="I48" s="15"/>
      <c r="J48" s="15"/>
      <c r="K48" s="15"/>
      <c r="L48" s="15"/>
      <c r="M48" s="15"/>
      <c r="N48" s="15"/>
      <c r="O48" s="137"/>
      <c r="P48" s="141"/>
      <c r="Q48" s="141"/>
      <c r="R48" s="141"/>
      <c r="S48" s="141"/>
      <c r="T48" s="139">
        <v>44</v>
      </c>
      <c r="U48" s="139">
        <f>ROUND(INDEX(挂机升级突破!$BN$6:$BN$57,卡牌消耗!$T48)*INDEX(卡牌消耗!$B$8:$F$8,卡牌消耗!U$2)/$Q$4/5,0)*5</f>
        <v>20475</v>
      </c>
      <c r="V48" s="139">
        <f>ROUND(INDEX(挂机升级突破!$BN$6:$BN$57,卡牌消耗!$T48)*INDEX(卡牌消耗!$B$8:$F$8,卡牌消耗!V$2)/$Q$4/5,0)*5</f>
        <v>29250</v>
      </c>
      <c r="W48" s="139">
        <f>ROUND(INDEX(挂机升级突破!$BN$6:$BN$57,卡牌消耗!$T48)*INDEX(卡牌消耗!$B$8:$F$8,卡牌消耗!W$2)/$Q$4/5,0)*5</f>
        <v>43870</v>
      </c>
      <c r="X48" s="139">
        <f>ROUND(INDEX(挂机升级突破!$BN$6:$BN$57,卡牌消耗!$T48)*INDEX(卡牌消耗!$B$8:$F$8,卡牌消耗!X$2)/$Q$4/5,0)*5</f>
        <v>58495</v>
      </c>
      <c r="Y48" s="141"/>
      <c r="Z48" s="141"/>
      <c r="AA48" s="104">
        <v>44</v>
      </c>
      <c r="AB48" s="14">
        <f t="shared" si="5"/>
        <v>1</v>
      </c>
      <c r="AC48" s="14">
        <f>INDEX(挂机升级突破!$BU$6:$BU$57,卡牌消耗!AI48)</f>
        <v>11</v>
      </c>
      <c r="AD48" s="14">
        <f>INDEX(挂机升级突破!BV$6:BV$57,卡牌消耗!$AI48)</f>
        <v>5</v>
      </c>
      <c r="AE48" s="14">
        <f>INDEX(挂机升级突破!BW$6:BW$57,卡牌消耗!$AI48)</f>
        <v>10</v>
      </c>
      <c r="AF48" s="14" t="str">
        <f t="shared" si="6"/>
        <v>关羽</v>
      </c>
      <c r="AG48" s="14">
        <f t="shared" si="7"/>
        <v>5</v>
      </c>
      <c r="AH48" s="14" t="str">
        <f t="shared" si="8"/>
        <v>关羽魂火-44</v>
      </c>
      <c r="AI48" s="14">
        <f t="shared" si="9"/>
        <v>44</v>
      </c>
      <c r="AJ48" s="14" t="str">
        <f>INDEX(挂机升级突破!$BX$4:$CH$4,INDEX(挂机升级突破!$BU$6:$BU$57,卡牌消耗!AI48))</f>
        <v>金币</v>
      </c>
      <c r="AK48" s="14">
        <f>ROUND(INDEX(挂机升级突破!$BN$6:$BN$57,卡牌消耗!AI48)*INDEX(卡牌消耗!$B$8:$F$8,AG48)/$Q$4/50,0)*50</f>
        <v>58500</v>
      </c>
      <c r="AL48" s="14" t="str">
        <f>IF(AD48&gt;0,INDEX(挂机升级突破!$BX$4:$CH$4,AD48),"")</f>
        <v>红色基础材料</v>
      </c>
      <c r="AM48" s="14">
        <f>ROUND(INDEX(挂机升级突破!$BX$6:$CH$57,卡牌消耗!AI48,AD48)*INDEX(卡牌消耗!$B$5:$F$5,AG48)/$Q$4/5,0)*5</f>
        <v>95</v>
      </c>
      <c r="AN48" s="14" t="str">
        <f>IF(AE48&gt;0,INDEX(挂机升级突破!$BX$4:$CH$4,AE48),"")</f>
        <v>灵玉</v>
      </c>
      <c r="AO48" s="14">
        <f>IF(AE48&gt;0,ROUND(INDEX(挂机升级突破!$BX$6:$CH$57,卡牌消耗!AI48,AE48)*INDEX(卡牌消耗!$B$7:$F$7,AG48)/$Q$4,0),"")</f>
        <v>2</v>
      </c>
      <c r="AP48" s="106"/>
      <c r="AQ48" s="15"/>
      <c r="AR48" s="104">
        <v>44</v>
      </c>
      <c r="AS48" s="14">
        <f t="shared" si="10"/>
        <v>3</v>
      </c>
      <c r="AT48" s="14">
        <f>INDEX(挂机升级突破!$CM$7:$CM$26,AX48)</f>
        <v>5</v>
      </c>
      <c r="AU48" s="14">
        <f>INDEX(挂机升级突破!$CN$7:$CN$26,AX48)</f>
        <v>1</v>
      </c>
      <c r="AV48" s="14">
        <f t="shared" si="11"/>
        <v>4</v>
      </c>
      <c r="AW48" s="14" t="str">
        <f t="shared" si="12"/>
        <v>典韦</v>
      </c>
      <c r="AX48" s="14">
        <f t="shared" si="13"/>
        <v>4</v>
      </c>
      <c r="AY48" s="14" t="str">
        <f t="shared" si="14"/>
        <v>典韦4突</v>
      </c>
      <c r="AZ48" s="14" t="str">
        <f>IF(AT48&gt;0,INDEX(挂机升级突破!$CV$5:$CZ$5,卡牌消耗!AT48),"")</f>
        <v>金币</v>
      </c>
      <c r="BA48" s="14">
        <f>IF(AT48&gt;0,ROUND(INDEX(挂机升级突破!$CZ$7:$CZ$26,卡牌消耗!AX48)*INDEX(卡牌消耗!$B$8:$F$8,AV48)/$Q$4/500,0)*500,"")</f>
        <v>4500</v>
      </c>
      <c r="BB48" s="14" t="str">
        <f>IF(AU48&gt;0,INDEX(挂机升级突破!$CV$5:$CZ$5,卡牌消耗!AU48),"")</f>
        <v>玄铁</v>
      </c>
      <c r="BC48" s="14">
        <f>IF(AU48&gt;0,ROUND(INDEX(挂机升级突破!$CV$7:$CY$26,卡牌消耗!AX48,卡牌消耗!AU48)*INDEX($B$6:$F$6,AV48)/$Q$4/5,0)*5,"")</f>
        <v>70</v>
      </c>
      <c r="BD48" s="104"/>
      <c r="BE48" s="104"/>
      <c r="BF48" s="106"/>
      <c r="BW48" s="50">
        <v>36</v>
      </c>
      <c r="BX48" s="50">
        <v>13</v>
      </c>
      <c r="BY48" s="21">
        <f t="shared" si="32"/>
        <v>0.104</v>
      </c>
      <c r="BZ48" s="65" t="e">
        <f t="shared" si="33"/>
        <v>#REF!</v>
      </c>
      <c r="CA48" s="50" t="e">
        <f>SUM(BZ$5:BZ48)</f>
        <v>#REF!</v>
      </c>
      <c r="CD48" s="136">
        <v>44</v>
      </c>
      <c r="CE48" s="14">
        <f t="shared" si="19"/>
        <v>9</v>
      </c>
      <c r="CF48" s="14">
        <f t="shared" si="0"/>
        <v>3</v>
      </c>
      <c r="CG48" s="14">
        <f t="shared" si="1"/>
        <v>1101009</v>
      </c>
      <c r="CH48" s="136" t="s">
        <v>1127</v>
      </c>
      <c r="CI48" s="14">
        <f t="shared" si="2"/>
        <v>4</v>
      </c>
      <c r="CJ48" s="14" t="str">
        <f t="shared" si="3"/>
        <v>北落师门-4星</v>
      </c>
      <c r="CK48" s="136" t="s">
        <v>1133</v>
      </c>
      <c r="CL48" s="14">
        <f t="shared" si="20"/>
        <v>20000</v>
      </c>
      <c r="CM48" s="14" t="str">
        <f t="shared" si="4"/>
        <v>北落师门碎片</v>
      </c>
      <c r="CN48" s="14">
        <f t="shared" si="21"/>
        <v>160</v>
      </c>
    </row>
    <row r="49" spans="1:92" ht="16.5" x14ac:dyDescent="0.2">
      <c r="A49" s="55">
        <v>1101003</v>
      </c>
      <c r="B49" s="55" t="s">
        <v>388</v>
      </c>
      <c r="C49" s="55">
        <v>3</v>
      </c>
      <c r="D49" s="136">
        <v>5</v>
      </c>
      <c r="E49" s="136">
        <f>SUM(D$47:D49)</f>
        <v>15</v>
      </c>
      <c r="H49" s="15"/>
      <c r="I49" s="15"/>
      <c r="J49" s="15"/>
      <c r="K49" s="15"/>
      <c r="L49" s="15"/>
      <c r="M49" s="15"/>
      <c r="N49" s="15"/>
      <c r="O49" s="137"/>
      <c r="P49" s="141"/>
      <c r="Q49" s="141"/>
      <c r="R49" s="141"/>
      <c r="S49" s="141"/>
      <c r="T49" s="139">
        <v>45</v>
      </c>
      <c r="U49" s="139">
        <f>ROUND(INDEX(挂机升级突破!$BN$6:$BN$57,卡牌消耗!$T49)*INDEX(卡牌消耗!$B$8:$F$8,卡牌消耗!U$2)/$Q$4/5,0)*5</f>
        <v>20475</v>
      </c>
      <c r="V49" s="139">
        <f>ROUND(INDEX(挂机升级突破!$BN$6:$BN$57,卡牌消耗!$T49)*INDEX(卡牌消耗!$B$8:$F$8,卡牌消耗!V$2)/$Q$4/5,0)*5</f>
        <v>29250</v>
      </c>
      <c r="W49" s="139">
        <f>ROUND(INDEX(挂机升级突破!$BN$6:$BN$57,卡牌消耗!$T49)*INDEX(卡牌消耗!$B$8:$F$8,卡牌消耗!W$2)/$Q$4/5,0)*5</f>
        <v>43870</v>
      </c>
      <c r="X49" s="139">
        <f>ROUND(INDEX(挂机升级突破!$BN$6:$BN$57,卡牌消耗!$T49)*INDEX(卡牌消耗!$B$8:$F$8,卡牌消耗!X$2)/$Q$4/5,0)*5</f>
        <v>58495</v>
      </c>
      <c r="Y49" s="141"/>
      <c r="Z49" s="141"/>
      <c r="AA49" s="104">
        <v>45</v>
      </c>
      <c r="AB49" s="14">
        <f t="shared" si="5"/>
        <v>1</v>
      </c>
      <c r="AC49" s="14">
        <f>INDEX(挂机升级突破!$BU$6:$BU$57,卡牌消耗!AI49)</f>
        <v>11</v>
      </c>
      <c r="AD49" s="14">
        <f>INDEX(挂机升级突破!BV$6:BV$57,卡牌消耗!$AI49)</f>
        <v>5</v>
      </c>
      <c r="AE49" s="14">
        <f>INDEX(挂机升级突破!BW$6:BW$57,卡牌消耗!$AI49)</f>
        <v>10</v>
      </c>
      <c r="AF49" s="14" t="str">
        <f t="shared" si="6"/>
        <v>关羽</v>
      </c>
      <c r="AG49" s="14">
        <f t="shared" si="7"/>
        <v>5</v>
      </c>
      <c r="AH49" s="14" t="str">
        <f t="shared" si="8"/>
        <v>关羽魂火-45</v>
      </c>
      <c r="AI49" s="14">
        <f t="shared" si="9"/>
        <v>45</v>
      </c>
      <c r="AJ49" s="14" t="str">
        <f>INDEX(挂机升级突破!$BX$4:$CH$4,INDEX(挂机升级突破!$BU$6:$BU$57,卡牌消耗!AI49))</f>
        <v>金币</v>
      </c>
      <c r="AK49" s="14">
        <f>ROUND(INDEX(挂机升级突破!$BN$6:$BN$57,卡牌消耗!AI49)*INDEX(卡牌消耗!$B$8:$F$8,AG49)/$Q$4/50,0)*50</f>
        <v>58500</v>
      </c>
      <c r="AL49" s="14" t="str">
        <f>IF(AD49&gt;0,INDEX(挂机升级突破!$BX$4:$CH$4,AD49),"")</f>
        <v>红色基础材料</v>
      </c>
      <c r="AM49" s="14">
        <f>ROUND(INDEX(挂机升级突破!$BX$6:$CH$57,卡牌消耗!AI49,AD49)*INDEX(卡牌消耗!$B$5:$F$5,AG49)/$Q$4/5,0)*5</f>
        <v>95</v>
      </c>
      <c r="AN49" s="14" t="str">
        <f>IF(AE49&gt;0,INDEX(挂机升级突破!$BX$4:$CH$4,AE49),"")</f>
        <v>灵玉</v>
      </c>
      <c r="AO49" s="14">
        <f>IF(AE49&gt;0,ROUND(INDEX(挂机升级突破!$BX$6:$CH$57,卡牌消耗!AI49,AE49)*INDEX(卡牌消耗!$B$7:$F$7,AG49)/$Q$4,0),"")</f>
        <v>2</v>
      </c>
      <c r="AP49" s="106"/>
      <c r="AQ49" s="15"/>
      <c r="AR49" s="104">
        <v>45</v>
      </c>
      <c r="AS49" s="14">
        <f t="shared" si="10"/>
        <v>3</v>
      </c>
      <c r="AT49" s="14">
        <f>INDEX(挂机升级突破!$CM$7:$CM$26,AX49)</f>
        <v>5</v>
      </c>
      <c r="AU49" s="14">
        <f>INDEX(挂机升级突破!$CN$7:$CN$26,AX49)</f>
        <v>1</v>
      </c>
      <c r="AV49" s="14">
        <f t="shared" si="11"/>
        <v>4</v>
      </c>
      <c r="AW49" s="14" t="str">
        <f t="shared" si="12"/>
        <v>典韦</v>
      </c>
      <c r="AX49" s="14">
        <f t="shared" si="13"/>
        <v>5</v>
      </c>
      <c r="AY49" s="14" t="str">
        <f t="shared" si="14"/>
        <v>典韦5突</v>
      </c>
      <c r="AZ49" s="14" t="str">
        <f>IF(AT49&gt;0,INDEX(挂机升级突破!$CV$5:$CZ$5,卡牌消耗!AT49),"")</f>
        <v>金币</v>
      </c>
      <c r="BA49" s="14">
        <f>IF(AT49&gt;0,ROUND(INDEX(挂机升级突破!$CZ$7:$CZ$26,卡牌消耗!AX49)*INDEX(卡牌消耗!$B$8:$F$8,AV49)/$Q$4/500,0)*500,"")</f>
        <v>4500</v>
      </c>
      <c r="BB49" s="14" t="str">
        <f>IF(AU49&gt;0,INDEX(挂机升级突破!$CV$5:$CZ$5,卡牌消耗!AU49),"")</f>
        <v>玄铁</v>
      </c>
      <c r="BC49" s="14">
        <f>IF(AU49&gt;0,ROUND(INDEX(挂机升级突破!$CV$7:$CY$26,卡牌消耗!AX49,卡牌消耗!AU49)*INDEX($B$6:$F$6,AV49)/$Q$4/5,0)*5,"")</f>
        <v>140</v>
      </c>
      <c r="BD49" s="104"/>
      <c r="BE49" s="104"/>
      <c r="BF49" s="106"/>
      <c r="BW49" s="50">
        <v>37</v>
      </c>
      <c r="BX49" s="50">
        <v>14</v>
      </c>
      <c r="BY49" s="21">
        <f t="shared" si="32"/>
        <v>0.112</v>
      </c>
      <c r="BZ49" s="65" t="e">
        <f t="shared" si="33"/>
        <v>#REF!</v>
      </c>
      <c r="CA49" s="50" t="e">
        <f>SUM(BZ$5:BZ49)</f>
        <v>#REF!</v>
      </c>
      <c r="CD49" s="136">
        <v>45</v>
      </c>
      <c r="CE49" s="14">
        <f t="shared" si="19"/>
        <v>9</v>
      </c>
      <c r="CF49" s="14">
        <f t="shared" si="0"/>
        <v>3</v>
      </c>
      <c r="CG49" s="14">
        <f t="shared" si="1"/>
        <v>1101009</v>
      </c>
      <c r="CH49" s="136" t="s">
        <v>1127</v>
      </c>
      <c r="CI49" s="14">
        <f t="shared" si="2"/>
        <v>5</v>
      </c>
      <c r="CJ49" s="14" t="str">
        <f t="shared" si="3"/>
        <v>北落师门-5星</v>
      </c>
      <c r="CK49" s="136" t="s">
        <v>1133</v>
      </c>
      <c r="CL49" s="14">
        <f t="shared" si="20"/>
        <v>40000</v>
      </c>
      <c r="CM49" s="14" t="str">
        <f t="shared" si="4"/>
        <v>北落师门碎片</v>
      </c>
      <c r="CN49" s="14">
        <f t="shared" si="21"/>
        <v>240</v>
      </c>
    </row>
    <row r="50" spans="1:92" ht="16.5" x14ac:dyDescent="0.2">
      <c r="A50" s="55">
        <v>1101004</v>
      </c>
      <c r="B50" s="55" t="s">
        <v>389</v>
      </c>
      <c r="C50" s="55">
        <v>4</v>
      </c>
      <c r="D50" s="136">
        <v>5</v>
      </c>
      <c r="E50" s="136">
        <f>SUM(D$47:D50)</f>
        <v>20</v>
      </c>
      <c r="H50" s="15"/>
      <c r="I50" s="15"/>
      <c r="J50" s="15"/>
      <c r="K50" s="15"/>
      <c r="L50" s="15"/>
      <c r="M50" s="15"/>
      <c r="N50" s="15"/>
      <c r="O50" s="137"/>
      <c r="P50" s="141"/>
      <c r="Q50" s="141"/>
      <c r="R50" s="141"/>
      <c r="S50" s="141"/>
      <c r="T50" s="139">
        <v>46</v>
      </c>
      <c r="U50" s="139">
        <f>ROUND(INDEX(挂机升级突破!$BN$6:$BN$57,卡牌消耗!$T50)*INDEX(卡牌消耗!$B$8:$F$8,卡牌消耗!U$2)/$Q$4/5,0)*5</f>
        <v>21935</v>
      </c>
      <c r="V50" s="139">
        <f>ROUND(INDEX(挂机升级突破!$BN$6:$BN$57,卡牌消耗!$T50)*INDEX(卡牌消耗!$B$8:$F$8,卡牌消耗!V$2)/$Q$4/5,0)*5</f>
        <v>31335</v>
      </c>
      <c r="W50" s="139">
        <f>ROUND(INDEX(挂机升级突破!$BN$6:$BN$57,卡牌消耗!$T50)*INDEX(卡牌消耗!$B$8:$F$8,卡牌消耗!W$2)/$Q$4/5,0)*5</f>
        <v>47005</v>
      </c>
      <c r="X50" s="139">
        <f>ROUND(INDEX(挂机升级突破!$BN$6:$BN$57,卡牌消耗!$T50)*INDEX(卡牌消耗!$B$8:$F$8,卡牌消耗!X$2)/$Q$4/5,0)*5</f>
        <v>62675</v>
      </c>
      <c r="Y50" s="141"/>
      <c r="Z50" s="141"/>
      <c r="AA50" s="104">
        <v>46</v>
      </c>
      <c r="AB50" s="14">
        <f t="shared" si="5"/>
        <v>1</v>
      </c>
      <c r="AC50" s="14">
        <f>INDEX(挂机升级突破!$BU$6:$BU$57,卡牌消耗!AI50)</f>
        <v>11</v>
      </c>
      <c r="AD50" s="14">
        <f>INDEX(挂机升级突破!BV$6:BV$57,卡牌消耗!$AI50)</f>
        <v>5</v>
      </c>
      <c r="AE50" s="14">
        <f>INDEX(挂机升级突破!BW$6:BW$57,卡牌消耗!$AI50)</f>
        <v>10</v>
      </c>
      <c r="AF50" s="14" t="str">
        <f t="shared" si="6"/>
        <v>关羽</v>
      </c>
      <c r="AG50" s="14">
        <f t="shared" si="7"/>
        <v>5</v>
      </c>
      <c r="AH50" s="14" t="str">
        <f t="shared" si="8"/>
        <v>关羽魂火-46</v>
      </c>
      <c r="AI50" s="14">
        <f t="shared" si="9"/>
        <v>46</v>
      </c>
      <c r="AJ50" s="14" t="str">
        <f>INDEX(挂机升级突破!$BX$4:$CH$4,INDEX(挂机升级突破!$BU$6:$BU$57,卡牌消耗!AI50))</f>
        <v>金币</v>
      </c>
      <c r="AK50" s="14">
        <f>ROUND(INDEX(挂机升级突破!$BN$6:$BN$57,卡牌消耗!AI50)*INDEX(卡牌消耗!$B$8:$F$8,AG50)/$Q$4/50,0)*50</f>
        <v>62650</v>
      </c>
      <c r="AL50" s="14" t="str">
        <f>IF(AD50&gt;0,INDEX(挂机升级突破!$BX$4:$CH$4,AD50),"")</f>
        <v>红色基础材料</v>
      </c>
      <c r="AM50" s="14">
        <f>ROUND(INDEX(挂机升级突破!$BX$6:$CH$57,卡牌消耗!AI50,AD50)*INDEX(卡牌消耗!$B$5:$F$5,AG50)/$Q$4/5,0)*5</f>
        <v>95</v>
      </c>
      <c r="AN50" s="14" t="str">
        <f>IF(AE50&gt;0,INDEX(挂机升级突破!$BX$4:$CH$4,AE50),"")</f>
        <v>灵玉</v>
      </c>
      <c r="AO50" s="14">
        <f>IF(AE50&gt;0,ROUND(INDEX(挂机升级突破!$BX$6:$CH$57,卡牌消耗!AI50,AE50)*INDEX(卡牌消耗!$B$7:$F$7,AG50)/$Q$4,0),"")</f>
        <v>2</v>
      </c>
      <c r="AP50" s="106"/>
      <c r="AQ50" s="15"/>
      <c r="AR50" s="104">
        <v>46</v>
      </c>
      <c r="AS50" s="14">
        <f t="shared" si="10"/>
        <v>3</v>
      </c>
      <c r="AT50" s="14">
        <f>INDEX(挂机升级突破!$CM$7:$CM$26,AX50)</f>
        <v>5</v>
      </c>
      <c r="AU50" s="14">
        <f>INDEX(挂机升级突破!$CN$7:$CN$26,AX50)</f>
        <v>1</v>
      </c>
      <c r="AV50" s="14">
        <f t="shared" si="11"/>
        <v>4</v>
      </c>
      <c r="AW50" s="14" t="str">
        <f t="shared" si="12"/>
        <v>典韦</v>
      </c>
      <c r="AX50" s="14">
        <f t="shared" si="13"/>
        <v>6</v>
      </c>
      <c r="AY50" s="14" t="str">
        <f t="shared" si="14"/>
        <v>典韦6突</v>
      </c>
      <c r="AZ50" s="14" t="str">
        <f>IF(AT50&gt;0,INDEX(挂机升级突破!$CV$5:$CZ$5,卡牌消耗!AT50),"")</f>
        <v>金币</v>
      </c>
      <c r="BA50" s="14">
        <f>IF(AT50&gt;0,ROUND(INDEX(挂机升级突破!$CZ$7:$CZ$26,卡牌消耗!AX50)*INDEX(卡牌消耗!$B$8:$F$8,AV50)/$Q$4/500,0)*500,"")</f>
        <v>6000</v>
      </c>
      <c r="BB50" s="14" t="str">
        <f>IF(AU50&gt;0,INDEX(挂机升级突破!$CV$5:$CZ$5,卡牌消耗!AU50),"")</f>
        <v>玄铁</v>
      </c>
      <c r="BC50" s="14">
        <f>IF(AU50&gt;0,ROUND(INDEX(挂机升级突破!$CV$7:$CY$26,卡牌消耗!AX50,卡牌消耗!AU50)*INDEX($B$6:$F$6,AV50)/$Q$4/5,0)*5,"")</f>
        <v>210</v>
      </c>
      <c r="BD50" s="104"/>
      <c r="BE50" s="104"/>
      <c r="BF50" s="106"/>
      <c r="BW50" s="50">
        <v>38</v>
      </c>
      <c r="BX50" s="50">
        <v>15</v>
      </c>
      <c r="BY50" s="21">
        <f t="shared" si="32"/>
        <v>0.12</v>
      </c>
      <c r="BZ50" s="65" t="e">
        <f t="shared" si="33"/>
        <v>#REF!</v>
      </c>
      <c r="CA50" s="50" t="e">
        <f>SUM(BZ$5:BZ50)</f>
        <v>#REF!</v>
      </c>
      <c r="CD50" s="136">
        <v>46</v>
      </c>
      <c r="CE50" s="14">
        <f t="shared" si="19"/>
        <v>10</v>
      </c>
      <c r="CF50" s="14">
        <f t="shared" si="0"/>
        <v>4</v>
      </c>
      <c r="CG50" s="14">
        <f t="shared" si="1"/>
        <v>1101010</v>
      </c>
      <c r="CH50" s="136" t="s">
        <v>1127</v>
      </c>
      <c r="CI50" s="14">
        <f t="shared" si="2"/>
        <v>1</v>
      </c>
      <c r="CJ50" s="14" t="str">
        <f t="shared" si="3"/>
        <v>盖文-1星</v>
      </c>
      <c r="CK50" s="136" t="s">
        <v>1133</v>
      </c>
      <c r="CL50" s="14">
        <f t="shared" si="20"/>
        <v>6000</v>
      </c>
      <c r="CM50" s="14" t="str">
        <f t="shared" si="4"/>
        <v>盖文碎片</v>
      </c>
      <c r="CN50" s="14">
        <f t="shared" si="21"/>
        <v>80</v>
      </c>
    </row>
    <row r="51" spans="1:92" ht="16.5" x14ac:dyDescent="0.2">
      <c r="A51" s="55">
        <v>1101005</v>
      </c>
      <c r="B51" s="55" t="s">
        <v>390</v>
      </c>
      <c r="C51" s="55">
        <v>4</v>
      </c>
      <c r="D51" s="136">
        <v>5</v>
      </c>
      <c r="E51" s="136">
        <f>SUM(D$47:D51)</f>
        <v>25</v>
      </c>
      <c r="H51" s="15"/>
      <c r="I51" s="15"/>
      <c r="J51" s="15"/>
      <c r="K51" s="15"/>
      <c r="L51" s="15"/>
      <c r="M51" s="15"/>
      <c r="N51" s="15"/>
      <c r="O51" s="137"/>
      <c r="P51" s="141"/>
      <c r="Q51" s="141"/>
      <c r="R51" s="141"/>
      <c r="S51" s="141"/>
      <c r="T51" s="139">
        <v>47</v>
      </c>
      <c r="U51" s="139">
        <f>ROUND(INDEX(挂机升级突破!$BN$6:$BN$57,卡牌消耗!$T51)*INDEX(卡牌消耗!$B$8:$F$8,卡牌消耗!U$2)/$Q$4/5,0)*5</f>
        <v>106370</v>
      </c>
      <c r="V51" s="139">
        <f>ROUND(INDEX(挂机升级突破!$BN$6:$BN$57,卡牌消耗!$T51)*INDEX(卡牌消耗!$B$8:$F$8,卡牌消耗!V$2)/$Q$4/5,0)*5</f>
        <v>151960</v>
      </c>
      <c r="W51" s="139">
        <f>ROUND(INDEX(挂机升级突破!$BN$6:$BN$57,卡牌消耗!$T51)*INDEX(卡牌消耗!$B$8:$F$8,卡牌消耗!W$2)/$Q$4/5,0)*5</f>
        <v>227940</v>
      </c>
      <c r="X51" s="139">
        <f>ROUND(INDEX(挂机升级突破!$BN$6:$BN$57,卡牌消耗!$T51)*INDEX(卡牌消耗!$B$8:$F$8,卡牌消耗!X$2)/$Q$4/5,0)*5</f>
        <v>303920</v>
      </c>
      <c r="Y51" s="141"/>
      <c r="Z51" s="141"/>
      <c r="AA51" s="104">
        <v>47</v>
      </c>
      <c r="AB51" s="14">
        <f t="shared" si="5"/>
        <v>1</v>
      </c>
      <c r="AC51" s="14">
        <f>INDEX(挂机升级突破!$BU$6:$BU$57,卡牌消耗!AI51)</f>
        <v>11</v>
      </c>
      <c r="AD51" s="14">
        <f>INDEX(挂机升级突破!BV$6:BV$57,卡牌消耗!$AI51)</f>
        <v>5</v>
      </c>
      <c r="AE51" s="14">
        <f>INDEX(挂机升级突破!BW$6:BW$57,卡牌消耗!$AI51)</f>
        <v>10</v>
      </c>
      <c r="AF51" s="14" t="str">
        <f t="shared" si="6"/>
        <v>关羽</v>
      </c>
      <c r="AG51" s="14">
        <f t="shared" si="7"/>
        <v>5</v>
      </c>
      <c r="AH51" s="14" t="str">
        <f t="shared" si="8"/>
        <v>关羽魂火-47</v>
      </c>
      <c r="AI51" s="14">
        <f t="shared" si="9"/>
        <v>47</v>
      </c>
      <c r="AJ51" s="14" t="str">
        <f>INDEX(挂机升级突破!$BX$4:$CH$4,INDEX(挂机升级突破!$BU$6:$BU$57,卡牌消耗!AI51))</f>
        <v>金币</v>
      </c>
      <c r="AK51" s="14">
        <f>ROUND(INDEX(挂机升级突破!$BN$6:$BN$57,卡牌消耗!AI51)*INDEX(卡牌消耗!$B$8:$F$8,AG51)/$Q$4/50,0)*50</f>
        <v>303900</v>
      </c>
      <c r="AL51" s="14" t="str">
        <f>IF(AD51&gt;0,INDEX(挂机升级突破!$BX$4:$CH$4,AD51),"")</f>
        <v>红色基础材料</v>
      </c>
      <c r="AM51" s="14">
        <f>ROUND(INDEX(挂机升级突破!$BX$6:$CH$57,卡牌消耗!AI51,AD51)*INDEX(卡牌消耗!$B$5:$F$5,AG51)/$Q$4/5,0)*5</f>
        <v>95</v>
      </c>
      <c r="AN51" s="14" t="str">
        <f>IF(AE51&gt;0,INDEX(挂机升级突破!$BX$4:$CH$4,AE51),"")</f>
        <v>灵玉</v>
      </c>
      <c r="AO51" s="14">
        <f>IF(AE51&gt;0,ROUND(INDEX(挂机升级突破!$BX$6:$CH$57,卡牌消耗!AI51,AE51)*INDEX(卡牌消耗!$B$7:$F$7,AG51)/$Q$4,0),"")</f>
        <v>2</v>
      </c>
      <c r="AP51" s="106"/>
      <c r="AQ51" s="15"/>
      <c r="AR51" s="104">
        <v>47</v>
      </c>
      <c r="AS51" s="14">
        <f t="shared" si="10"/>
        <v>3</v>
      </c>
      <c r="AT51" s="14">
        <f>INDEX(挂机升级突破!$CM$7:$CM$26,AX51)</f>
        <v>5</v>
      </c>
      <c r="AU51" s="14">
        <f>INDEX(挂机升级突破!$CN$7:$CN$26,AX51)</f>
        <v>1</v>
      </c>
      <c r="AV51" s="14">
        <f t="shared" si="11"/>
        <v>4</v>
      </c>
      <c r="AW51" s="14" t="str">
        <f t="shared" si="12"/>
        <v>典韦</v>
      </c>
      <c r="AX51" s="14">
        <f t="shared" si="13"/>
        <v>7</v>
      </c>
      <c r="AY51" s="14" t="str">
        <f t="shared" si="14"/>
        <v>典韦7突</v>
      </c>
      <c r="AZ51" s="14" t="str">
        <f>IF(AT51&gt;0,INDEX(挂机升级突破!$CV$5:$CZ$5,卡牌消耗!AT51),"")</f>
        <v>金币</v>
      </c>
      <c r="BA51" s="14">
        <f>IF(AT51&gt;0,ROUND(INDEX(挂机升级突破!$CZ$7:$CZ$26,卡牌消耗!AX51)*INDEX(卡牌消耗!$B$8:$F$8,AV51)/$Q$4/500,0)*500,"")</f>
        <v>9500</v>
      </c>
      <c r="BB51" s="14" t="str">
        <f>IF(AU51&gt;0,INDEX(挂机升级突破!$CV$5:$CZ$5,卡牌消耗!AU51),"")</f>
        <v>玄铁</v>
      </c>
      <c r="BC51" s="14">
        <f>IF(AU51&gt;0,ROUND(INDEX(挂机升级突破!$CV$7:$CY$26,卡牌消耗!AX51,卡牌消耗!AU51)*INDEX($B$6:$F$6,AV51)/$Q$4/5,0)*5,"")</f>
        <v>345</v>
      </c>
      <c r="BD51" s="104"/>
      <c r="BE51" s="104"/>
      <c r="BF51" s="106"/>
      <c r="BW51" s="50">
        <v>39</v>
      </c>
      <c r="BX51" s="50">
        <v>16</v>
      </c>
      <c r="BY51" s="21">
        <f t="shared" si="32"/>
        <v>0.128</v>
      </c>
      <c r="BZ51" s="65" t="e">
        <f t="shared" si="33"/>
        <v>#REF!</v>
      </c>
      <c r="CA51" s="50" t="e">
        <f>SUM(BZ$5:BZ51)</f>
        <v>#REF!</v>
      </c>
      <c r="CD51" s="136">
        <v>47</v>
      </c>
      <c r="CE51" s="14">
        <f t="shared" si="19"/>
        <v>10</v>
      </c>
      <c r="CF51" s="14">
        <f t="shared" si="0"/>
        <v>4</v>
      </c>
      <c r="CG51" s="14">
        <f t="shared" si="1"/>
        <v>1101010</v>
      </c>
      <c r="CH51" s="136" t="s">
        <v>1127</v>
      </c>
      <c r="CI51" s="14">
        <f t="shared" si="2"/>
        <v>2</v>
      </c>
      <c r="CJ51" s="14" t="str">
        <f t="shared" si="3"/>
        <v>盖文-2星</v>
      </c>
      <c r="CK51" s="136" t="s">
        <v>1133</v>
      </c>
      <c r="CL51" s="14">
        <f t="shared" si="20"/>
        <v>8000</v>
      </c>
      <c r="CM51" s="14" t="str">
        <f t="shared" si="4"/>
        <v>盖文碎片</v>
      </c>
      <c r="CN51" s="14">
        <f t="shared" si="21"/>
        <v>80</v>
      </c>
    </row>
    <row r="52" spans="1:92" ht="16.5" x14ac:dyDescent="0.2">
      <c r="A52" s="55">
        <v>1101006</v>
      </c>
      <c r="B52" s="55" t="s">
        <v>391</v>
      </c>
      <c r="C52" s="55">
        <v>4</v>
      </c>
      <c r="D52" s="136">
        <v>5</v>
      </c>
      <c r="E52" s="136">
        <f>SUM(D$47:D52)</f>
        <v>30</v>
      </c>
      <c r="H52" s="15"/>
      <c r="I52" s="15"/>
      <c r="J52" s="15"/>
      <c r="K52" s="15"/>
      <c r="L52" s="15"/>
      <c r="M52" s="15"/>
      <c r="N52" s="15"/>
      <c r="O52" s="137"/>
      <c r="P52" s="141"/>
      <c r="Q52" s="141"/>
      <c r="R52" s="141"/>
      <c r="S52" s="141"/>
      <c r="T52" s="139">
        <v>48</v>
      </c>
      <c r="U52" s="139">
        <f>ROUND(INDEX(挂机升级突破!$BN$6:$BN$57,卡牌消耗!$T52)*INDEX(卡牌消耗!$B$8:$F$8,卡牌消耗!U$2)/$Q$4/5,0)*5</f>
        <v>106370</v>
      </c>
      <c r="V52" s="139">
        <f>ROUND(INDEX(挂机升级突破!$BN$6:$BN$57,卡牌消耗!$T52)*INDEX(卡牌消耗!$B$8:$F$8,卡牌消耗!V$2)/$Q$4/5,0)*5</f>
        <v>151960</v>
      </c>
      <c r="W52" s="139">
        <f>ROUND(INDEX(挂机升级突破!$BN$6:$BN$57,卡牌消耗!$T52)*INDEX(卡牌消耗!$B$8:$F$8,卡牌消耗!W$2)/$Q$4/5,0)*5</f>
        <v>227940</v>
      </c>
      <c r="X52" s="139">
        <f>ROUND(INDEX(挂机升级突破!$BN$6:$BN$57,卡牌消耗!$T52)*INDEX(卡牌消耗!$B$8:$F$8,卡牌消耗!X$2)/$Q$4/5,0)*5</f>
        <v>303920</v>
      </c>
      <c r="Y52" s="141"/>
      <c r="Z52" s="141"/>
      <c r="AA52" s="104">
        <v>48</v>
      </c>
      <c r="AB52" s="14">
        <f t="shared" si="5"/>
        <v>1</v>
      </c>
      <c r="AC52" s="14">
        <f>INDEX(挂机升级突破!$BU$6:$BU$57,卡牌消耗!AI52)</f>
        <v>11</v>
      </c>
      <c r="AD52" s="14">
        <f>INDEX(挂机升级突破!BV$6:BV$57,卡牌消耗!$AI52)</f>
        <v>5</v>
      </c>
      <c r="AE52" s="14">
        <f>INDEX(挂机升级突破!BW$6:BW$57,卡牌消耗!$AI52)</f>
        <v>10</v>
      </c>
      <c r="AF52" s="14" t="str">
        <f t="shared" si="6"/>
        <v>关羽</v>
      </c>
      <c r="AG52" s="14">
        <f t="shared" si="7"/>
        <v>5</v>
      </c>
      <c r="AH52" s="14" t="str">
        <f t="shared" si="8"/>
        <v>关羽魂火-48</v>
      </c>
      <c r="AI52" s="14">
        <f t="shared" si="9"/>
        <v>48</v>
      </c>
      <c r="AJ52" s="14" t="str">
        <f>INDEX(挂机升级突破!$BX$4:$CH$4,INDEX(挂机升级突破!$BU$6:$BU$57,卡牌消耗!AI52))</f>
        <v>金币</v>
      </c>
      <c r="AK52" s="14">
        <f>ROUND(INDEX(挂机升级突破!$BN$6:$BN$57,卡牌消耗!AI52)*INDEX(卡牌消耗!$B$8:$F$8,AG52)/$Q$4/50,0)*50</f>
        <v>303900</v>
      </c>
      <c r="AL52" s="14" t="str">
        <f>IF(AD52&gt;0,INDEX(挂机升级突破!$BX$4:$CH$4,AD52),"")</f>
        <v>红色基础材料</v>
      </c>
      <c r="AM52" s="14">
        <f>ROUND(INDEX(挂机升级突破!$BX$6:$CH$57,卡牌消耗!AI52,AD52)*INDEX(卡牌消耗!$B$5:$F$5,AG52)/$Q$4/5,0)*5</f>
        <v>95</v>
      </c>
      <c r="AN52" s="14" t="str">
        <f>IF(AE52&gt;0,INDEX(挂机升级突破!$BX$4:$CH$4,AE52),"")</f>
        <v>灵玉</v>
      </c>
      <c r="AO52" s="14">
        <f>IF(AE52&gt;0,ROUND(INDEX(挂机升级突破!$BX$6:$CH$57,卡牌消耗!AI52,AE52)*INDEX(卡牌消耗!$B$7:$F$7,AG52)/$Q$4,0),"")</f>
        <v>2</v>
      </c>
      <c r="AP52" s="106"/>
      <c r="AQ52" s="15"/>
      <c r="AR52" s="104">
        <v>48</v>
      </c>
      <c r="AS52" s="14">
        <f t="shared" si="10"/>
        <v>3</v>
      </c>
      <c r="AT52" s="14">
        <f>INDEX(挂机升级突破!$CM$7:$CM$26,AX52)</f>
        <v>5</v>
      </c>
      <c r="AU52" s="14">
        <f>INDEX(挂机升级突破!$CN$7:$CN$26,AX52)</f>
        <v>1</v>
      </c>
      <c r="AV52" s="14">
        <f t="shared" si="11"/>
        <v>4</v>
      </c>
      <c r="AW52" s="14" t="str">
        <f t="shared" si="12"/>
        <v>典韦</v>
      </c>
      <c r="AX52" s="14">
        <f t="shared" si="13"/>
        <v>8</v>
      </c>
      <c r="AY52" s="14" t="str">
        <f t="shared" si="14"/>
        <v>典韦8突</v>
      </c>
      <c r="AZ52" s="14" t="str">
        <f>IF(AT52&gt;0,INDEX(挂机升级突破!$CV$5:$CZ$5,卡牌消耗!AT52),"")</f>
        <v>金币</v>
      </c>
      <c r="BA52" s="14">
        <f>IF(AT52&gt;0,ROUND(INDEX(挂机升级突破!$CZ$7:$CZ$26,卡牌消耗!AX52)*INDEX(卡牌消耗!$B$8:$F$8,AV52)/$Q$4/500,0)*500,"")</f>
        <v>9500</v>
      </c>
      <c r="BB52" s="14" t="str">
        <f>IF(AU52&gt;0,INDEX(挂机升级突破!$CV$5:$CZ$5,卡牌消耗!AU52),"")</f>
        <v>玄铁</v>
      </c>
      <c r="BC52" s="14">
        <f>IF(AU52&gt;0,ROUND(INDEX(挂机升级突破!$CV$7:$CY$26,卡牌消耗!AX52,卡牌消耗!AU52)*INDEX($B$6:$F$6,AV52)/$Q$4/5,0)*5,"")</f>
        <v>625</v>
      </c>
      <c r="BD52" s="104"/>
      <c r="BE52" s="104"/>
      <c r="BF52" s="106"/>
      <c r="BW52" s="50">
        <v>40</v>
      </c>
      <c r="BX52" s="50">
        <v>17</v>
      </c>
      <c r="BY52" s="21">
        <f t="shared" si="32"/>
        <v>0.13600000000000001</v>
      </c>
      <c r="BZ52" s="65" t="e">
        <f t="shared" si="33"/>
        <v>#REF!</v>
      </c>
      <c r="CA52" s="50" t="e">
        <f>SUM(BZ$5:BZ52)</f>
        <v>#REF!</v>
      </c>
      <c r="CD52" s="136">
        <v>48</v>
      </c>
      <c r="CE52" s="14">
        <f t="shared" si="19"/>
        <v>10</v>
      </c>
      <c r="CF52" s="14">
        <f t="shared" si="0"/>
        <v>4</v>
      </c>
      <c r="CG52" s="14">
        <f t="shared" si="1"/>
        <v>1101010</v>
      </c>
      <c r="CH52" s="136" t="s">
        <v>1127</v>
      </c>
      <c r="CI52" s="14">
        <f t="shared" si="2"/>
        <v>3</v>
      </c>
      <c r="CJ52" s="14" t="str">
        <f t="shared" si="3"/>
        <v>盖文-3星</v>
      </c>
      <c r="CK52" s="136" t="s">
        <v>1133</v>
      </c>
      <c r="CL52" s="14">
        <f t="shared" si="20"/>
        <v>14000</v>
      </c>
      <c r="CM52" s="14" t="str">
        <f t="shared" si="4"/>
        <v>盖文碎片</v>
      </c>
      <c r="CN52" s="14">
        <f t="shared" si="21"/>
        <v>160</v>
      </c>
    </row>
    <row r="53" spans="1:92" ht="16.5" x14ac:dyDescent="0.2">
      <c r="A53" s="55">
        <v>1101007</v>
      </c>
      <c r="B53" s="55" t="s">
        <v>392</v>
      </c>
      <c r="C53" s="55">
        <v>4</v>
      </c>
      <c r="D53" s="136">
        <v>5</v>
      </c>
      <c r="E53" s="136">
        <f>SUM(D$47:D53)</f>
        <v>35</v>
      </c>
      <c r="H53" s="15"/>
      <c r="I53" s="15"/>
      <c r="J53" s="15"/>
      <c r="K53" s="15"/>
      <c r="L53" s="15"/>
      <c r="M53" s="15"/>
      <c r="N53" s="15"/>
      <c r="O53" s="137"/>
      <c r="P53" s="141"/>
      <c r="Q53" s="141"/>
      <c r="R53" s="141"/>
      <c r="S53" s="141"/>
      <c r="T53" s="139">
        <v>49</v>
      </c>
      <c r="U53" s="139">
        <f>ROUND(INDEX(挂机升级突破!$BN$6:$BN$57,卡牌消耗!$T53)*INDEX(卡牌消耗!$B$8:$F$8,卡牌消耗!U$2)/$Q$4/5,0)*5</f>
        <v>106370</v>
      </c>
      <c r="V53" s="139">
        <f>ROUND(INDEX(挂机升级突破!$BN$6:$BN$57,卡牌消耗!$T53)*INDEX(卡牌消耗!$B$8:$F$8,卡牌消耗!V$2)/$Q$4/5,0)*5</f>
        <v>151960</v>
      </c>
      <c r="W53" s="139">
        <f>ROUND(INDEX(挂机升级突破!$BN$6:$BN$57,卡牌消耗!$T53)*INDEX(卡牌消耗!$B$8:$F$8,卡牌消耗!W$2)/$Q$4/5,0)*5</f>
        <v>227940</v>
      </c>
      <c r="X53" s="139">
        <f>ROUND(INDEX(挂机升级突破!$BN$6:$BN$57,卡牌消耗!$T53)*INDEX(卡牌消耗!$B$8:$F$8,卡牌消耗!X$2)/$Q$4/5,0)*5</f>
        <v>303920</v>
      </c>
      <c r="Y53" s="141"/>
      <c r="Z53" s="141"/>
      <c r="AA53" s="104">
        <v>49</v>
      </c>
      <c r="AB53" s="14">
        <f t="shared" si="5"/>
        <v>1</v>
      </c>
      <c r="AC53" s="14">
        <f>INDEX(挂机升级突破!$BU$6:$BU$57,卡牌消耗!AI53)</f>
        <v>11</v>
      </c>
      <c r="AD53" s="14">
        <f>INDEX(挂机升级突破!BV$6:BV$57,卡牌消耗!$AI53)</f>
        <v>5</v>
      </c>
      <c r="AE53" s="14">
        <f>INDEX(挂机升级突破!BW$6:BW$57,卡牌消耗!$AI53)</f>
        <v>10</v>
      </c>
      <c r="AF53" s="14" t="str">
        <f t="shared" si="6"/>
        <v>关羽</v>
      </c>
      <c r="AG53" s="14">
        <f t="shared" si="7"/>
        <v>5</v>
      </c>
      <c r="AH53" s="14" t="str">
        <f t="shared" si="8"/>
        <v>关羽魂火-49</v>
      </c>
      <c r="AI53" s="14">
        <f t="shared" si="9"/>
        <v>49</v>
      </c>
      <c r="AJ53" s="14" t="str">
        <f>INDEX(挂机升级突破!$BX$4:$CH$4,INDEX(挂机升级突破!$BU$6:$BU$57,卡牌消耗!AI53))</f>
        <v>金币</v>
      </c>
      <c r="AK53" s="14">
        <f>ROUND(INDEX(挂机升级突破!$BN$6:$BN$57,卡牌消耗!AI53)*INDEX(卡牌消耗!$B$8:$F$8,AG53)/$Q$4/50,0)*50</f>
        <v>303900</v>
      </c>
      <c r="AL53" s="14" t="str">
        <f>IF(AD53&gt;0,INDEX(挂机升级突破!$BX$4:$CH$4,AD53),"")</f>
        <v>红色基础材料</v>
      </c>
      <c r="AM53" s="14">
        <f>ROUND(INDEX(挂机升级突破!$BX$6:$CH$57,卡牌消耗!AI53,AD53)*INDEX(卡牌消耗!$B$5:$F$5,AG53)/$Q$4/5,0)*5</f>
        <v>110</v>
      </c>
      <c r="AN53" s="14" t="str">
        <f>IF(AE53&gt;0,INDEX(挂机升级突破!$BX$4:$CH$4,AE53),"")</f>
        <v>灵玉</v>
      </c>
      <c r="AO53" s="14">
        <f>IF(AE53&gt;0,ROUND(INDEX(挂机升级突破!$BX$6:$CH$57,卡牌消耗!AI53,AE53)*INDEX(卡牌消耗!$B$7:$F$7,AG53)/$Q$4,0),"")</f>
        <v>2</v>
      </c>
      <c r="AP53" s="106"/>
      <c r="AQ53" s="15"/>
      <c r="AR53" s="104">
        <v>49</v>
      </c>
      <c r="AS53" s="14">
        <f t="shared" si="10"/>
        <v>3</v>
      </c>
      <c r="AT53" s="14">
        <f>INDEX(挂机升级突破!$CM$7:$CM$26,AX53)</f>
        <v>5</v>
      </c>
      <c r="AU53" s="14">
        <f>INDEX(挂机升级突破!$CN$7:$CN$26,AX53)</f>
        <v>2</v>
      </c>
      <c r="AV53" s="14">
        <f t="shared" si="11"/>
        <v>4</v>
      </c>
      <c r="AW53" s="14" t="str">
        <f t="shared" si="12"/>
        <v>典韦</v>
      </c>
      <c r="AX53" s="14">
        <f t="shared" si="13"/>
        <v>9</v>
      </c>
      <c r="AY53" s="14" t="str">
        <f t="shared" si="14"/>
        <v>典韦9突</v>
      </c>
      <c r="AZ53" s="14" t="str">
        <f>IF(AT53&gt;0,INDEX(挂机升级突破!$CV$5:$CZ$5,卡牌消耗!AT53),"")</f>
        <v>金币</v>
      </c>
      <c r="BA53" s="14">
        <f>IF(AT53&gt;0,ROUND(INDEX(挂机升级突破!$CZ$7:$CZ$26,卡牌消耗!AX53)*INDEX(卡牌消耗!$B$8:$F$8,AV53)/$Q$4/500,0)*500,"")</f>
        <v>12500</v>
      </c>
      <c r="BB53" s="14" t="str">
        <f>IF(AU53&gt;0,INDEX(挂机升级突破!$CV$5:$CZ$5,卡牌消耗!AU53),"")</f>
        <v>乌金</v>
      </c>
      <c r="BC53" s="14">
        <f>IF(AU53&gt;0,ROUND(INDEX(挂机升级突破!$CV$7:$CY$26,卡牌消耗!AX53,卡牌消耗!AU53)*INDEX($B$6:$F$6,AV53)/$Q$4/5,0)*5,"")</f>
        <v>75</v>
      </c>
      <c r="BD53" s="104"/>
      <c r="BE53" s="104"/>
      <c r="BF53" s="106"/>
      <c r="BU53" s="50" t="s">
        <v>310</v>
      </c>
      <c r="BV53" s="50">
        <v>5</v>
      </c>
      <c r="BW53" s="50">
        <v>41</v>
      </c>
      <c r="BX53" s="50">
        <v>10</v>
      </c>
      <c r="BY53" s="21">
        <f t="shared" ref="BY53:BY62" si="34">BX53/BV$56</f>
        <v>6.8493150684931503E-2</v>
      </c>
      <c r="BZ53" s="50">
        <f>INT(BV$54*BY53)</f>
        <v>2040</v>
      </c>
      <c r="CA53" s="50" t="e">
        <f>SUM(BZ$5:BZ53)</f>
        <v>#REF!</v>
      </c>
      <c r="CD53" s="136">
        <v>49</v>
      </c>
      <c r="CE53" s="14">
        <f t="shared" si="19"/>
        <v>10</v>
      </c>
      <c r="CF53" s="14">
        <f t="shared" si="0"/>
        <v>4</v>
      </c>
      <c r="CG53" s="14">
        <f t="shared" si="1"/>
        <v>1101010</v>
      </c>
      <c r="CH53" s="136" t="s">
        <v>1127</v>
      </c>
      <c r="CI53" s="14">
        <f t="shared" si="2"/>
        <v>4</v>
      </c>
      <c r="CJ53" s="14" t="str">
        <f t="shared" si="3"/>
        <v>盖文-4星</v>
      </c>
      <c r="CK53" s="136" t="s">
        <v>1133</v>
      </c>
      <c r="CL53" s="14">
        <f t="shared" si="20"/>
        <v>32000</v>
      </c>
      <c r="CM53" s="14" t="str">
        <f t="shared" si="4"/>
        <v>盖文碎片</v>
      </c>
      <c r="CN53" s="14">
        <f t="shared" si="21"/>
        <v>240</v>
      </c>
    </row>
    <row r="54" spans="1:92" ht="16.5" x14ac:dyDescent="0.2">
      <c r="A54" s="55">
        <v>1101008</v>
      </c>
      <c r="B54" s="55" t="s">
        <v>393</v>
      </c>
      <c r="C54" s="55">
        <v>2</v>
      </c>
      <c r="D54" s="136">
        <v>5</v>
      </c>
      <c r="E54" s="136">
        <f>SUM(D$47:D54)</f>
        <v>40</v>
      </c>
      <c r="H54" s="15"/>
      <c r="I54" s="15"/>
      <c r="J54" s="15"/>
      <c r="K54" s="15"/>
      <c r="L54" s="15"/>
      <c r="M54" s="15"/>
      <c r="N54" s="15"/>
      <c r="O54" s="137"/>
      <c r="P54" s="141"/>
      <c r="Q54" s="141"/>
      <c r="R54" s="141"/>
      <c r="S54" s="141"/>
      <c r="T54" s="139">
        <v>50</v>
      </c>
      <c r="U54" s="139">
        <f>ROUND(INDEX(挂机升级突破!$BN$6:$BN$57,卡牌消耗!$T54)*INDEX(卡牌消耗!$B$8:$F$8,卡牌消耗!U$2)/$Q$4/5,0)*5</f>
        <v>177285</v>
      </c>
      <c r="V54" s="139">
        <f>ROUND(INDEX(挂机升级突破!$BN$6:$BN$57,卡牌消耗!$T54)*INDEX(卡牌消耗!$B$8:$F$8,卡牌消耗!V$2)/$Q$4/5,0)*5</f>
        <v>253265</v>
      </c>
      <c r="W54" s="139">
        <f>ROUND(INDEX(挂机升级突破!$BN$6:$BN$57,卡牌消耗!$T54)*INDEX(卡牌消耗!$B$8:$F$8,卡牌消耗!W$2)/$Q$4/5,0)*5</f>
        <v>379900</v>
      </c>
      <c r="X54" s="139">
        <f>ROUND(INDEX(挂机升级突破!$BN$6:$BN$57,卡牌消耗!$T54)*INDEX(卡牌消耗!$B$8:$F$8,卡牌消耗!X$2)/$Q$4/5,0)*5</f>
        <v>506530</v>
      </c>
      <c r="Y54" s="141"/>
      <c r="Z54" s="141"/>
      <c r="AA54" s="104">
        <v>50</v>
      </c>
      <c r="AB54" s="14">
        <f t="shared" si="5"/>
        <v>1</v>
      </c>
      <c r="AC54" s="14">
        <f>INDEX(挂机升级突破!$BU$6:$BU$57,卡牌消耗!AI54)</f>
        <v>11</v>
      </c>
      <c r="AD54" s="14">
        <f>INDEX(挂机升级突破!BV$6:BV$57,卡牌消耗!$AI54)</f>
        <v>5</v>
      </c>
      <c r="AE54" s="14">
        <f>INDEX(挂机升级突破!BW$6:BW$57,卡牌消耗!$AI54)</f>
        <v>10</v>
      </c>
      <c r="AF54" s="14" t="str">
        <f t="shared" si="6"/>
        <v>关羽</v>
      </c>
      <c r="AG54" s="14">
        <f t="shared" si="7"/>
        <v>5</v>
      </c>
      <c r="AH54" s="14" t="str">
        <f t="shared" si="8"/>
        <v>关羽魂火-50</v>
      </c>
      <c r="AI54" s="14">
        <f t="shared" si="9"/>
        <v>50</v>
      </c>
      <c r="AJ54" s="14" t="str">
        <f>INDEX(挂机升级突破!$BX$4:$CH$4,INDEX(挂机升级突破!$BU$6:$BU$57,卡牌消耗!AI54))</f>
        <v>金币</v>
      </c>
      <c r="AK54" s="14">
        <f>ROUND(INDEX(挂机升级突破!$BN$6:$BN$57,卡牌消耗!AI54)*INDEX(卡牌消耗!$B$8:$F$8,AG54)/$Q$4/50,0)*50</f>
        <v>506550</v>
      </c>
      <c r="AL54" s="14" t="str">
        <f>IF(AD54&gt;0,INDEX(挂机升级突破!$BX$4:$CH$4,AD54),"")</f>
        <v>红色基础材料</v>
      </c>
      <c r="AM54" s="14">
        <f>ROUND(INDEX(挂机升级突破!$BX$6:$CH$57,卡牌消耗!AI54,AD54)*INDEX(卡牌消耗!$B$5:$F$5,AG54)/$Q$4/5,0)*5</f>
        <v>110</v>
      </c>
      <c r="AN54" s="14" t="str">
        <f>IF(AE54&gt;0,INDEX(挂机升级突破!$BX$4:$CH$4,AE54),"")</f>
        <v>灵玉</v>
      </c>
      <c r="AO54" s="14">
        <f>IF(AE54&gt;0,ROUND(INDEX(挂机升级突破!$BX$6:$CH$57,卡牌消耗!AI54,AE54)*INDEX(卡牌消耗!$B$7:$F$7,AG54)/$Q$4,0),"")</f>
        <v>2</v>
      </c>
      <c r="AP54" s="106"/>
      <c r="AQ54" s="15"/>
      <c r="AR54" s="104">
        <v>50</v>
      </c>
      <c r="AS54" s="14">
        <f t="shared" si="10"/>
        <v>3</v>
      </c>
      <c r="AT54" s="14">
        <f>INDEX(挂机升级突破!$CM$7:$CM$26,AX54)</f>
        <v>5</v>
      </c>
      <c r="AU54" s="14">
        <f>INDEX(挂机升级突破!$CN$7:$CN$26,AX54)</f>
        <v>2</v>
      </c>
      <c r="AV54" s="14">
        <f t="shared" si="11"/>
        <v>4</v>
      </c>
      <c r="AW54" s="14" t="str">
        <f t="shared" si="12"/>
        <v>典韦</v>
      </c>
      <c r="AX54" s="14">
        <f t="shared" si="13"/>
        <v>10</v>
      </c>
      <c r="AY54" s="14" t="str">
        <f t="shared" si="14"/>
        <v>典韦10突</v>
      </c>
      <c r="AZ54" s="14" t="str">
        <f>IF(AT54&gt;0,INDEX(挂机升级突破!$CV$5:$CZ$5,卡牌消耗!AT54),"")</f>
        <v>金币</v>
      </c>
      <c r="BA54" s="14">
        <f>IF(AT54&gt;0,ROUND(INDEX(挂机升级突破!$CZ$7:$CZ$26,卡牌消耗!AX54)*INDEX(卡牌消耗!$B$8:$F$8,AV54)/$Q$4/500,0)*500,"")</f>
        <v>22000</v>
      </c>
      <c r="BB54" s="14" t="str">
        <f>IF(AU54&gt;0,INDEX(挂机升级突破!$CV$5:$CZ$5,卡牌消耗!AU54),"")</f>
        <v>乌金</v>
      </c>
      <c r="BC54" s="14">
        <f>IF(AU54&gt;0,ROUND(INDEX(挂机升级突破!$CV$7:$CY$26,卡牌消耗!AX54,卡牌消耗!AU54)*INDEX($B$6:$F$6,AV54)/$Q$4/5,0)*5,"")</f>
        <v>110</v>
      </c>
      <c r="BD54" s="104"/>
      <c r="BE54" s="104"/>
      <c r="BF54" s="106"/>
      <c r="BU54" s="14" t="str">
        <f>INDEX($BH$5:$BH$19,BV53)</f>
        <v>25~30</v>
      </c>
      <c r="BV54" s="14">
        <f>INDEX($BQ$5:$BQ$19,BV53)</f>
        <v>29785</v>
      </c>
      <c r="BW54" s="50">
        <v>42</v>
      </c>
      <c r="BX54" s="50">
        <v>11</v>
      </c>
      <c r="BY54" s="21">
        <f t="shared" si="34"/>
        <v>7.5342465753424653E-2</v>
      </c>
      <c r="BZ54" s="65">
        <f t="shared" ref="BZ54:BZ62" si="35">INT(BV$54*BY54)</f>
        <v>2244</v>
      </c>
      <c r="CA54" s="50" t="e">
        <f>SUM(BZ$5:BZ54)</f>
        <v>#REF!</v>
      </c>
      <c r="CD54" s="136">
        <v>50</v>
      </c>
      <c r="CE54" s="14">
        <f t="shared" si="19"/>
        <v>10</v>
      </c>
      <c r="CF54" s="14">
        <f t="shared" si="0"/>
        <v>4</v>
      </c>
      <c r="CG54" s="14">
        <f t="shared" si="1"/>
        <v>1101010</v>
      </c>
      <c r="CH54" s="136" t="s">
        <v>1127</v>
      </c>
      <c r="CI54" s="14">
        <f t="shared" si="2"/>
        <v>5</v>
      </c>
      <c r="CJ54" s="14" t="str">
        <f t="shared" si="3"/>
        <v>盖文-5星</v>
      </c>
      <c r="CK54" s="136" t="s">
        <v>1133</v>
      </c>
      <c r="CL54" s="14">
        <f t="shared" si="20"/>
        <v>60000</v>
      </c>
      <c r="CM54" s="14" t="str">
        <f t="shared" si="4"/>
        <v>盖文碎片</v>
      </c>
      <c r="CN54" s="14">
        <f t="shared" si="21"/>
        <v>320</v>
      </c>
    </row>
    <row r="55" spans="1:92" ht="16.5" x14ac:dyDescent="0.2">
      <c r="A55" s="55">
        <v>1101009</v>
      </c>
      <c r="B55" s="55" t="s">
        <v>394</v>
      </c>
      <c r="C55" s="55">
        <v>3</v>
      </c>
      <c r="D55" s="136">
        <v>5</v>
      </c>
      <c r="E55" s="136">
        <f>SUM(D$47:D55)</f>
        <v>45</v>
      </c>
      <c r="H55" s="15"/>
      <c r="I55" s="15"/>
      <c r="J55" s="15"/>
      <c r="K55" s="15"/>
      <c r="L55" s="15"/>
      <c r="M55" s="15"/>
      <c r="N55" s="15"/>
      <c r="O55" s="137"/>
      <c r="P55" s="141"/>
      <c r="Q55" s="141"/>
      <c r="R55" s="141"/>
      <c r="S55" s="141"/>
      <c r="T55" s="139">
        <v>51</v>
      </c>
      <c r="U55" s="139">
        <f>ROUND(INDEX(挂机升级突破!$BN$6:$BN$57,卡牌消耗!$T55)*INDEX(卡牌消耗!$B$8:$F$8,卡牌消耗!U$2)/$Q$4/5,0)*5</f>
        <v>195015</v>
      </c>
      <c r="V55" s="139">
        <f>ROUND(INDEX(挂机升级突破!$BN$6:$BN$57,卡牌消耗!$T55)*INDEX(卡牌消耗!$B$8:$F$8,卡牌消耗!V$2)/$Q$4/5,0)*5</f>
        <v>278595</v>
      </c>
      <c r="W55" s="139">
        <f>ROUND(INDEX(挂机升级突破!$BN$6:$BN$57,卡牌消耗!$T55)*INDEX(卡牌消耗!$B$8:$F$8,卡牌消耗!W$2)/$Q$4/5,0)*5</f>
        <v>417890</v>
      </c>
      <c r="X55" s="139">
        <f>ROUND(INDEX(挂机升级突破!$BN$6:$BN$57,卡牌消耗!$T55)*INDEX(卡牌消耗!$B$8:$F$8,卡牌消耗!X$2)/$Q$4/5,0)*5</f>
        <v>557185</v>
      </c>
      <c r="Y55" s="141"/>
      <c r="Z55" s="141"/>
      <c r="AA55" s="104">
        <v>51</v>
      </c>
      <c r="AB55" s="14">
        <f t="shared" si="5"/>
        <v>1</v>
      </c>
      <c r="AC55" s="14">
        <f>INDEX(挂机升级突破!$BU$6:$BU$57,卡牌消耗!AI55)</f>
        <v>11</v>
      </c>
      <c r="AD55" s="14">
        <f>INDEX(挂机升级突破!BV$6:BV$57,卡牌消耗!$AI55)</f>
        <v>5</v>
      </c>
      <c r="AE55" s="14">
        <f>INDEX(挂机升级突破!BW$6:BW$57,卡牌消耗!$AI55)</f>
        <v>10</v>
      </c>
      <c r="AF55" s="14" t="str">
        <f t="shared" si="6"/>
        <v>关羽</v>
      </c>
      <c r="AG55" s="14">
        <f t="shared" si="7"/>
        <v>5</v>
      </c>
      <c r="AH55" s="14" t="str">
        <f t="shared" si="8"/>
        <v>关羽魂火-51</v>
      </c>
      <c r="AI55" s="14">
        <f t="shared" si="9"/>
        <v>51</v>
      </c>
      <c r="AJ55" s="14" t="str">
        <f>INDEX(挂机升级突破!$BX$4:$CH$4,INDEX(挂机升级突破!$BU$6:$BU$57,卡牌消耗!AI55))</f>
        <v>金币</v>
      </c>
      <c r="AK55" s="14">
        <f>ROUND(INDEX(挂机升级突破!$BN$6:$BN$57,卡牌消耗!AI55)*INDEX(卡牌消耗!$B$8:$F$8,AG55)/$Q$4/50,0)*50</f>
        <v>557200</v>
      </c>
      <c r="AL55" s="14" t="str">
        <f>IF(AD55&gt;0,INDEX(挂机升级突破!$BX$4:$CH$4,AD55),"")</f>
        <v>红色基础材料</v>
      </c>
      <c r="AM55" s="14">
        <f>ROUND(INDEX(挂机升级突破!$BX$6:$CH$57,卡牌消耗!AI55,AD55)*INDEX(卡牌消耗!$B$5:$F$5,AG55)/$Q$4/5,0)*5</f>
        <v>110</v>
      </c>
      <c r="AN55" s="14" t="str">
        <f>IF(AE55&gt;0,INDEX(挂机升级突破!$BX$4:$CH$4,AE55),"")</f>
        <v>灵玉</v>
      </c>
      <c r="AO55" s="14">
        <f>IF(AE55&gt;0,ROUND(INDEX(挂机升级突破!$BX$6:$CH$57,卡牌消耗!AI55,AE55)*INDEX(卡牌消耗!$B$7:$F$7,AG55)/$Q$4,0),"")</f>
        <v>2</v>
      </c>
      <c r="AP55" s="106"/>
      <c r="AQ55" s="15"/>
      <c r="AR55" s="104">
        <v>51</v>
      </c>
      <c r="AS55" s="14">
        <f t="shared" si="10"/>
        <v>3</v>
      </c>
      <c r="AT55" s="14">
        <f>INDEX(挂机升级突破!$CM$7:$CM$26,AX55)</f>
        <v>5</v>
      </c>
      <c r="AU55" s="14">
        <f>INDEX(挂机升级突破!$CN$7:$CN$26,AX55)</f>
        <v>2</v>
      </c>
      <c r="AV55" s="14">
        <f t="shared" si="11"/>
        <v>4</v>
      </c>
      <c r="AW55" s="14" t="str">
        <f t="shared" si="12"/>
        <v>典韦</v>
      </c>
      <c r="AX55" s="14">
        <f t="shared" si="13"/>
        <v>11</v>
      </c>
      <c r="AY55" s="14" t="str">
        <f t="shared" si="14"/>
        <v>典韦11突</v>
      </c>
      <c r="AZ55" s="14" t="str">
        <f>IF(AT55&gt;0,INDEX(挂机升级突破!$CV$5:$CZ$5,卡牌消耗!AT55),"")</f>
        <v>金币</v>
      </c>
      <c r="BA55" s="14">
        <f>IF(AT55&gt;0,ROUND(INDEX(挂机升级突破!$CZ$7:$CZ$26,卡牌消耗!AX55)*INDEX(卡牌消耗!$B$8:$F$8,AV55)/$Q$4/500,0)*500,"")</f>
        <v>22000</v>
      </c>
      <c r="BB55" s="14" t="str">
        <f>IF(AU55&gt;0,INDEX(挂机升级突破!$CV$5:$CZ$5,卡牌消耗!AU55),"")</f>
        <v>乌金</v>
      </c>
      <c r="BC55" s="14">
        <f>IF(AU55&gt;0,ROUND(INDEX(挂机升级突破!$CV$7:$CY$26,卡牌消耗!AX55,卡牌消耗!AU55)*INDEX($B$6:$F$6,AV55)/$Q$4/5,0)*5,"")</f>
        <v>145</v>
      </c>
      <c r="BD55" s="104"/>
      <c r="BE55" s="104"/>
      <c r="BF55" s="106"/>
      <c r="BU55" s="50" t="s">
        <v>309</v>
      </c>
      <c r="BV55" s="14">
        <f>INDEX($BR$5:$BR$19,BV53)</f>
        <v>3.5</v>
      </c>
      <c r="BW55" s="50">
        <v>43</v>
      </c>
      <c r="BX55" s="50">
        <v>12</v>
      </c>
      <c r="BY55" s="21">
        <f t="shared" si="34"/>
        <v>8.2191780821917804E-2</v>
      </c>
      <c r="BZ55" s="65">
        <f t="shared" si="35"/>
        <v>2448</v>
      </c>
      <c r="CA55" s="50" t="e">
        <f>SUM(BZ$5:BZ55)</f>
        <v>#REF!</v>
      </c>
      <c r="CD55" s="136">
        <v>51</v>
      </c>
      <c r="CE55" s="14">
        <f t="shared" si="19"/>
        <v>11</v>
      </c>
      <c r="CF55" s="14">
        <f t="shared" si="0"/>
        <v>3</v>
      </c>
      <c r="CG55" s="14">
        <f t="shared" si="1"/>
        <v>1101011</v>
      </c>
      <c r="CH55" s="136" t="s">
        <v>1127</v>
      </c>
      <c r="CI55" s="14">
        <f t="shared" si="2"/>
        <v>1</v>
      </c>
      <c r="CJ55" s="14" t="str">
        <f t="shared" si="3"/>
        <v>阎风吒-1星</v>
      </c>
      <c r="CK55" s="136" t="s">
        <v>1133</v>
      </c>
      <c r="CL55" s="14">
        <f t="shared" si="20"/>
        <v>4000</v>
      </c>
      <c r="CM55" s="14" t="str">
        <f t="shared" si="4"/>
        <v>阎风吒碎片</v>
      </c>
      <c r="CN55" s="14">
        <f t="shared" si="21"/>
        <v>40</v>
      </c>
    </row>
    <row r="56" spans="1:92" ht="16.5" x14ac:dyDescent="0.2">
      <c r="A56" s="55">
        <v>1101010</v>
      </c>
      <c r="B56" s="55" t="s">
        <v>395</v>
      </c>
      <c r="C56" s="55">
        <v>4</v>
      </c>
      <c r="D56" s="136">
        <v>5</v>
      </c>
      <c r="E56" s="136">
        <f>SUM(D$47:D56)</f>
        <v>50</v>
      </c>
      <c r="H56" s="15"/>
      <c r="I56" s="15"/>
      <c r="J56" s="15"/>
      <c r="K56" s="15"/>
      <c r="L56" s="15"/>
      <c r="M56" s="15"/>
      <c r="N56" s="15"/>
      <c r="O56" s="137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  <c r="AA56" s="104">
        <v>52</v>
      </c>
      <c r="AB56" s="14">
        <f t="shared" si="5"/>
        <v>1</v>
      </c>
      <c r="AC56" s="14">
        <f>INDEX(挂机升级突破!$BU$6:$BU$57,卡牌消耗!AI56)</f>
        <v>11</v>
      </c>
      <c r="AD56" s="14">
        <f>INDEX(挂机升级突破!BV$6:BV$57,卡牌消耗!$AI56)</f>
        <v>5</v>
      </c>
      <c r="AE56" s="14">
        <f>INDEX(挂机升级突破!BW$6:BW$57,卡牌消耗!$AI56)</f>
        <v>10</v>
      </c>
      <c r="AF56" s="14" t="str">
        <f t="shared" si="6"/>
        <v>关羽</v>
      </c>
      <c r="AG56" s="14">
        <f t="shared" si="7"/>
        <v>5</v>
      </c>
      <c r="AH56" s="14" t="str">
        <f t="shared" si="8"/>
        <v>关羽魂火-52</v>
      </c>
      <c r="AI56" s="14">
        <f t="shared" si="9"/>
        <v>52</v>
      </c>
      <c r="AJ56" s="14" t="str">
        <f>INDEX(挂机升级突破!$BX$4:$CH$4,INDEX(挂机升级突破!$BU$6:$BU$57,卡牌消耗!AI56))</f>
        <v>金币</v>
      </c>
      <c r="AK56" s="14">
        <f>ROUND(INDEX(挂机升级突破!$BN$6:$BN$57,卡牌消耗!AI56)*INDEX(卡牌消耗!$B$8:$F$8,AG56)/$Q$4/50,0)*50</f>
        <v>557200</v>
      </c>
      <c r="AL56" s="14" t="str">
        <f>IF(AD56&gt;0,INDEX(挂机升级突破!$BX$4:$CH$4,AD56),"")</f>
        <v>红色基础材料</v>
      </c>
      <c r="AM56" s="14">
        <f>ROUND(INDEX(挂机升级突破!$BX$6:$CH$57,卡牌消耗!AI56,AD56)*INDEX(卡牌消耗!$B$5:$F$5,AG56)/$Q$4/5,0)*5</f>
        <v>110</v>
      </c>
      <c r="AN56" s="14" t="str">
        <f>IF(AE56&gt;0,INDEX(挂机升级突破!$BX$4:$CH$4,AE56),"")</f>
        <v>灵玉</v>
      </c>
      <c r="AO56" s="14">
        <f>IF(AE56&gt;0,ROUND(INDEX(挂机升级突破!$BX$6:$CH$57,卡牌消耗!AI56,AE56)*INDEX(卡牌消耗!$B$7:$F$7,AG56)/$Q$4,0),"")</f>
        <v>2</v>
      </c>
      <c r="AP56" s="106"/>
      <c r="AQ56" s="15"/>
      <c r="AR56" s="104">
        <v>52</v>
      </c>
      <c r="AS56" s="14">
        <f t="shared" si="10"/>
        <v>3</v>
      </c>
      <c r="AT56" s="14">
        <f>INDEX(挂机升级突破!$CM$7:$CM$26,AX56)</f>
        <v>5</v>
      </c>
      <c r="AU56" s="14">
        <f>INDEX(挂机升级突破!$CN$7:$CN$26,AX56)</f>
        <v>2</v>
      </c>
      <c r="AV56" s="14">
        <f t="shared" si="11"/>
        <v>4</v>
      </c>
      <c r="AW56" s="14" t="str">
        <f t="shared" si="12"/>
        <v>典韦</v>
      </c>
      <c r="AX56" s="14">
        <f t="shared" si="13"/>
        <v>12</v>
      </c>
      <c r="AY56" s="14" t="str">
        <f t="shared" si="14"/>
        <v>典韦12突</v>
      </c>
      <c r="AZ56" s="14" t="str">
        <f>IF(AT56&gt;0,INDEX(挂机升级突破!$CV$5:$CZ$5,卡牌消耗!AT56),"")</f>
        <v>金币</v>
      </c>
      <c r="BA56" s="14">
        <f>IF(AT56&gt;0,ROUND(INDEX(挂机升级突破!$CZ$7:$CZ$26,卡牌消耗!AX56)*INDEX(卡牌消耗!$B$8:$F$8,AV56)/$Q$4/500,0)*500,"")</f>
        <v>29500</v>
      </c>
      <c r="BB56" s="14" t="str">
        <f>IF(AU56&gt;0,INDEX(挂机升级突破!$CV$5:$CZ$5,卡牌消耗!AU56),"")</f>
        <v>乌金</v>
      </c>
      <c r="BC56" s="14">
        <f>IF(AU56&gt;0,ROUND(INDEX(挂机升级突破!$CV$7:$CY$26,卡牌消耗!AX56,卡牌消耗!AU56)*INDEX($B$6:$F$6,AV56)/$Q$4/5,0)*5,"")</f>
        <v>185</v>
      </c>
      <c r="BD56" s="104"/>
      <c r="BE56" s="104"/>
      <c r="BF56" s="106"/>
      <c r="BU56" s="15"/>
      <c r="BV56" s="14">
        <f>SUM(BX53:BX62)</f>
        <v>146</v>
      </c>
      <c r="BW56" s="50">
        <v>44</v>
      </c>
      <c r="BX56" s="50">
        <v>13</v>
      </c>
      <c r="BY56" s="21">
        <f t="shared" si="34"/>
        <v>8.9041095890410954E-2</v>
      </c>
      <c r="BZ56" s="65">
        <f t="shared" si="35"/>
        <v>2652</v>
      </c>
      <c r="CA56" s="50" t="e">
        <f>SUM(BZ$5:BZ56)</f>
        <v>#REF!</v>
      </c>
      <c r="CD56" s="136">
        <v>52</v>
      </c>
      <c r="CE56" s="14">
        <f t="shared" si="19"/>
        <v>11</v>
      </c>
      <c r="CF56" s="14">
        <f t="shared" si="0"/>
        <v>3</v>
      </c>
      <c r="CG56" s="14">
        <f t="shared" si="1"/>
        <v>1101011</v>
      </c>
      <c r="CH56" s="136" t="s">
        <v>1127</v>
      </c>
      <c r="CI56" s="14">
        <f t="shared" si="2"/>
        <v>2</v>
      </c>
      <c r="CJ56" s="14" t="str">
        <f t="shared" si="3"/>
        <v>阎风吒-2星</v>
      </c>
      <c r="CK56" s="136" t="s">
        <v>1133</v>
      </c>
      <c r="CL56" s="14">
        <f t="shared" si="20"/>
        <v>5000</v>
      </c>
      <c r="CM56" s="14" t="str">
        <f t="shared" si="4"/>
        <v>阎风吒碎片</v>
      </c>
      <c r="CN56" s="14">
        <f t="shared" si="21"/>
        <v>80</v>
      </c>
    </row>
    <row r="57" spans="1:92" ht="16.5" x14ac:dyDescent="0.2">
      <c r="A57" s="55">
        <v>1101011</v>
      </c>
      <c r="B57" s="55" t="s">
        <v>382</v>
      </c>
      <c r="C57" s="55">
        <v>3</v>
      </c>
      <c r="D57" s="136">
        <v>5</v>
      </c>
      <c r="E57" s="136">
        <f>SUM(D$47:D57)</f>
        <v>55</v>
      </c>
      <c r="H57" s="15"/>
      <c r="I57" s="15"/>
      <c r="J57" s="15"/>
      <c r="K57" s="15"/>
      <c r="L57" s="15"/>
      <c r="M57" s="15"/>
      <c r="N57" s="15"/>
      <c r="O57" s="137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41"/>
      <c r="AA57" s="104">
        <v>53</v>
      </c>
      <c r="AB57" s="14">
        <f t="shared" si="5"/>
        <v>2</v>
      </c>
      <c r="AC57" s="14">
        <f>INDEX(挂机升级突破!$BU$6:$BU$57,卡牌消耗!AI57)</f>
        <v>11</v>
      </c>
      <c r="AD57" s="14">
        <f>INDEX(挂机升级突破!BV$6:BV$57,卡牌消耗!$AI57)</f>
        <v>1</v>
      </c>
      <c r="AE57" s="14">
        <f>INDEX(挂机升级突破!BW$6:BW$57,卡牌消耗!$AI57)</f>
        <v>0</v>
      </c>
      <c r="AF57" s="14" t="str">
        <f t="shared" si="6"/>
        <v>许褚</v>
      </c>
      <c r="AG57" s="14">
        <f t="shared" si="7"/>
        <v>3</v>
      </c>
      <c r="AH57" s="14" t="str">
        <f t="shared" si="8"/>
        <v>许褚魂火-1</v>
      </c>
      <c r="AI57" s="14">
        <f t="shared" si="9"/>
        <v>1</v>
      </c>
      <c r="AJ57" s="14" t="str">
        <f>INDEX(挂机升级突破!$BX$4:$CH$4,INDEX(挂机升级突破!$BU$6:$BU$57,卡牌消耗!AI57))</f>
        <v>金币</v>
      </c>
      <c r="AK57" s="14">
        <f>ROUND(INDEX(挂机升级突破!$BN$6:$BN$57,卡牌消耗!AI57)*INDEX(卡牌消耗!$B$8:$F$8,AG57)/$Q$4/50,0)*50</f>
        <v>600</v>
      </c>
      <c r="AL57" s="14" t="str">
        <f>IF(AD57&gt;0,INDEX(挂机升级突破!$BX$4:$CH$4,AD57),"")</f>
        <v>绿色基础材料</v>
      </c>
      <c r="AM57" s="14">
        <f>ROUND(INDEX(挂机升级突破!$BX$6:$CH$57,卡牌消耗!AI57,AD57)*INDEX(卡牌消耗!$B$5:$F$5,AG57)/$Q$4/5,0)*5</f>
        <v>835</v>
      </c>
      <c r="AN57" s="14" t="str">
        <f>IF(AE57&gt;0,INDEX(挂机升级突破!$BX$4:$CH$4,AE57),"")</f>
        <v/>
      </c>
      <c r="AO57" s="14" t="str">
        <f>IF(AE57&gt;0,ROUND(INDEX(挂机升级突破!$BX$6:$CH$57,卡牌消耗!AI57,AE57)*INDEX(卡牌消耗!$B$7:$F$7,AG57)/$Q$4,0),"")</f>
        <v/>
      </c>
      <c r="AP57" s="106"/>
      <c r="AQ57" s="15"/>
      <c r="AR57" s="104">
        <v>53</v>
      </c>
      <c r="AS57" s="14">
        <f t="shared" si="10"/>
        <v>3</v>
      </c>
      <c r="AT57" s="14">
        <f>INDEX(挂机升级突破!$CM$7:$CM$26,AX57)</f>
        <v>5</v>
      </c>
      <c r="AU57" s="14">
        <f>INDEX(挂机升级突破!$CN$7:$CN$26,AX57)</f>
        <v>3</v>
      </c>
      <c r="AV57" s="14">
        <f t="shared" si="11"/>
        <v>4</v>
      </c>
      <c r="AW57" s="14" t="str">
        <f t="shared" si="12"/>
        <v>典韦</v>
      </c>
      <c r="AX57" s="14">
        <f t="shared" si="13"/>
        <v>13</v>
      </c>
      <c r="AY57" s="14" t="str">
        <f t="shared" si="14"/>
        <v>典韦13突</v>
      </c>
      <c r="AZ57" s="14" t="str">
        <f>IF(AT57&gt;0,INDEX(挂机升级突破!$CV$5:$CZ$5,卡牌消耗!AT57),"")</f>
        <v>金币</v>
      </c>
      <c r="BA57" s="14">
        <f>IF(AT57&gt;0,ROUND(INDEX(挂机升级突破!$CZ$7:$CZ$26,卡牌消耗!AX57)*INDEX(卡牌消耗!$B$8:$F$8,AV57)/$Q$4/500,0)*500,"")</f>
        <v>39000</v>
      </c>
      <c r="BB57" s="14" t="str">
        <f>IF(AU57&gt;0,INDEX(挂机升级突破!$CV$5:$CZ$5,卡牌消耗!AU57),"")</f>
        <v>银母</v>
      </c>
      <c r="BC57" s="14">
        <f>IF(AU57&gt;0,ROUND(INDEX(挂机升级突破!$CV$7:$CY$26,卡牌消耗!AX57,卡牌消耗!AU57)*INDEX($B$6:$F$6,AV57)/$Q$4/5,0)*5,"")</f>
        <v>35</v>
      </c>
      <c r="BD57" s="104"/>
      <c r="BE57" s="104"/>
      <c r="BF57" s="106"/>
      <c r="BW57" s="50">
        <v>45</v>
      </c>
      <c r="BX57" s="50">
        <v>14</v>
      </c>
      <c r="BY57" s="21">
        <f t="shared" si="34"/>
        <v>9.5890410958904104E-2</v>
      </c>
      <c r="BZ57" s="65">
        <f t="shared" si="35"/>
        <v>2856</v>
      </c>
      <c r="CA57" s="50" t="e">
        <f>SUM(BZ$5:BZ57)</f>
        <v>#REF!</v>
      </c>
      <c r="CD57" s="136">
        <v>53</v>
      </c>
      <c r="CE57" s="14">
        <f t="shared" si="19"/>
        <v>11</v>
      </c>
      <c r="CF57" s="14">
        <f t="shared" si="0"/>
        <v>3</v>
      </c>
      <c r="CG57" s="14">
        <f t="shared" si="1"/>
        <v>1101011</v>
      </c>
      <c r="CH57" s="136" t="s">
        <v>1127</v>
      </c>
      <c r="CI57" s="14">
        <f t="shared" si="2"/>
        <v>3</v>
      </c>
      <c r="CJ57" s="14" t="str">
        <f t="shared" si="3"/>
        <v>阎风吒-3星</v>
      </c>
      <c r="CK57" s="136" t="s">
        <v>1133</v>
      </c>
      <c r="CL57" s="14">
        <f t="shared" si="20"/>
        <v>10000</v>
      </c>
      <c r="CM57" s="14" t="str">
        <f t="shared" si="4"/>
        <v>阎风吒碎片</v>
      </c>
      <c r="CN57" s="14">
        <f t="shared" si="21"/>
        <v>120</v>
      </c>
    </row>
    <row r="58" spans="1:92" ht="16.5" x14ac:dyDescent="0.2">
      <c r="A58" s="55">
        <v>1101012</v>
      </c>
      <c r="B58" s="55" t="s">
        <v>396</v>
      </c>
      <c r="C58" s="55">
        <v>2</v>
      </c>
      <c r="D58" s="136">
        <v>5</v>
      </c>
      <c r="E58" s="136">
        <f>SUM(D$47:D58)</f>
        <v>60</v>
      </c>
      <c r="H58" s="15"/>
      <c r="I58" s="15"/>
      <c r="J58" s="15"/>
      <c r="K58" s="15"/>
      <c r="L58" s="15"/>
      <c r="M58" s="15"/>
      <c r="N58" s="15"/>
      <c r="O58" s="137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41"/>
      <c r="AA58" s="104">
        <v>54</v>
      </c>
      <c r="AB58" s="14">
        <f t="shared" si="5"/>
        <v>2</v>
      </c>
      <c r="AC58" s="14">
        <f>INDEX(挂机升级突破!$BU$6:$BU$57,卡牌消耗!AI58)</f>
        <v>11</v>
      </c>
      <c r="AD58" s="14">
        <f>INDEX(挂机升级突破!BV$6:BV$57,卡牌消耗!$AI58)</f>
        <v>1</v>
      </c>
      <c r="AE58" s="14">
        <f>INDEX(挂机升级突破!BW$6:BW$57,卡牌消耗!$AI58)</f>
        <v>0</v>
      </c>
      <c r="AF58" s="14" t="str">
        <f t="shared" si="6"/>
        <v>许褚</v>
      </c>
      <c r="AG58" s="14">
        <f t="shared" si="7"/>
        <v>3</v>
      </c>
      <c r="AH58" s="14" t="str">
        <f t="shared" si="8"/>
        <v>许褚魂火-2</v>
      </c>
      <c r="AI58" s="14">
        <f t="shared" si="9"/>
        <v>2</v>
      </c>
      <c r="AJ58" s="14" t="str">
        <f>INDEX(挂机升级突破!$BX$4:$CH$4,INDEX(挂机升级突破!$BU$6:$BU$57,卡牌消耗!AI58))</f>
        <v>金币</v>
      </c>
      <c r="AK58" s="14">
        <f>ROUND(INDEX(挂机升级突破!$BN$6:$BN$57,卡牌消耗!AI58)*INDEX(卡牌消耗!$B$8:$F$8,AG58)/$Q$4/50,0)*50</f>
        <v>800</v>
      </c>
      <c r="AL58" s="14" t="str">
        <f>IF(AD58&gt;0,INDEX(挂机升级突破!$BX$4:$CH$4,AD58),"")</f>
        <v>绿色基础材料</v>
      </c>
      <c r="AM58" s="14">
        <f>ROUND(INDEX(挂机升级突破!$BX$6:$CH$57,卡牌消耗!AI58,AD58)*INDEX(卡牌消耗!$B$5:$F$5,AG58)/$Q$4/5,0)*5</f>
        <v>2505</v>
      </c>
      <c r="AN58" s="14" t="str">
        <f>IF(AE58&gt;0,INDEX(挂机升级突破!$BX$4:$CH$4,AE58),"")</f>
        <v/>
      </c>
      <c r="AO58" s="14" t="str">
        <f>IF(AE58&gt;0,ROUND(INDEX(挂机升级突破!$BX$6:$CH$57,卡牌消耗!AI58,AE58)*INDEX(卡牌消耗!$B$7:$F$7,AG58)/$Q$4,0),"")</f>
        <v/>
      </c>
      <c r="AP58" s="106"/>
      <c r="AQ58" s="15"/>
      <c r="AR58" s="104">
        <v>54</v>
      </c>
      <c r="AS58" s="14">
        <f t="shared" si="10"/>
        <v>3</v>
      </c>
      <c r="AT58" s="14">
        <f>INDEX(挂机升级突破!$CM$7:$CM$26,AX58)</f>
        <v>5</v>
      </c>
      <c r="AU58" s="14">
        <f>INDEX(挂机升级突破!$CN$7:$CN$26,AX58)</f>
        <v>3</v>
      </c>
      <c r="AV58" s="14">
        <f t="shared" si="11"/>
        <v>4</v>
      </c>
      <c r="AW58" s="14" t="str">
        <f t="shared" si="12"/>
        <v>典韦</v>
      </c>
      <c r="AX58" s="14">
        <f t="shared" si="13"/>
        <v>14</v>
      </c>
      <c r="AY58" s="14" t="str">
        <f t="shared" si="14"/>
        <v>典韦14突</v>
      </c>
      <c r="AZ58" s="14" t="str">
        <f>IF(AT58&gt;0,INDEX(挂机升级突破!$CV$5:$CZ$5,卡牌消耗!AT58),"")</f>
        <v>金币</v>
      </c>
      <c r="BA58" s="14">
        <f>IF(AT58&gt;0,ROUND(INDEX(挂机升级突破!$CZ$7:$CZ$26,卡牌消耗!AX58)*INDEX(卡牌消耗!$B$8:$F$8,AV58)/$Q$4/500,0)*500,"")</f>
        <v>39000</v>
      </c>
      <c r="BB58" s="14" t="str">
        <f>IF(AU58&gt;0,INDEX(挂机升级突破!$CV$5:$CZ$5,卡牌消耗!AU58),"")</f>
        <v>银母</v>
      </c>
      <c r="BC58" s="14">
        <f>IF(AU58&gt;0,ROUND(INDEX(挂机升级突破!$CV$7:$CY$26,卡牌消耗!AX58,卡牌消耗!AU58)*INDEX($B$6:$F$6,AV58)/$Q$4/5,0)*5,"")</f>
        <v>50</v>
      </c>
      <c r="BD58" s="104"/>
      <c r="BE58" s="104"/>
      <c r="BF58" s="106"/>
      <c r="BW58" s="50">
        <v>46</v>
      </c>
      <c r="BX58" s="50">
        <v>15</v>
      </c>
      <c r="BY58" s="21">
        <f t="shared" si="34"/>
        <v>0.10273972602739725</v>
      </c>
      <c r="BZ58" s="65">
        <f t="shared" si="35"/>
        <v>3060</v>
      </c>
      <c r="CA58" s="50" t="e">
        <f>SUM(BZ$5:BZ58)</f>
        <v>#REF!</v>
      </c>
      <c r="CD58" s="136">
        <v>54</v>
      </c>
      <c r="CE58" s="14">
        <f t="shared" si="19"/>
        <v>11</v>
      </c>
      <c r="CF58" s="14">
        <f t="shared" si="0"/>
        <v>3</v>
      </c>
      <c r="CG58" s="14">
        <f t="shared" si="1"/>
        <v>1101011</v>
      </c>
      <c r="CH58" s="136" t="s">
        <v>1127</v>
      </c>
      <c r="CI58" s="14">
        <f t="shared" si="2"/>
        <v>4</v>
      </c>
      <c r="CJ58" s="14" t="str">
        <f t="shared" si="3"/>
        <v>阎风吒-4星</v>
      </c>
      <c r="CK58" s="136" t="s">
        <v>1133</v>
      </c>
      <c r="CL58" s="14">
        <f t="shared" si="20"/>
        <v>20000</v>
      </c>
      <c r="CM58" s="14" t="str">
        <f t="shared" si="4"/>
        <v>阎风吒碎片</v>
      </c>
      <c r="CN58" s="14">
        <f t="shared" si="21"/>
        <v>160</v>
      </c>
    </row>
    <row r="59" spans="1:92" ht="16.5" x14ac:dyDescent="0.2">
      <c r="A59" s="55">
        <v>1101013</v>
      </c>
      <c r="B59" s="55" t="s">
        <v>397</v>
      </c>
      <c r="C59" s="55">
        <v>2</v>
      </c>
      <c r="D59" s="136">
        <v>5</v>
      </c>
      <c r="E59" s="136">
        <f>SUM(D$47:D59)</f>
        <v>65</v>
      </c>
      <c r="H59" s="15"/>
      <c r="I59" s="15"/>
      <c r="J59" s="15"/>
      <c r="K59" s="15"/>
      <c r="L59" s="15"/>
      <c r="M59" s="15"/>
      <c r="N59" s="15"/>
      <c r="O59" s="137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41"/>
      <c r="AA59" s="104">
        <v>55</v>
      </c>
      <c r="AB59" s="14">
        <f t="shared" si="5"/>
        <v>2</v>
      </c>
      <c r="AC59" s="14">
        <f>INDEX(挂机升级突破!$BU$6:$BU$57,卡牌消耗!AI59)</f>
        <v>11</v>
      </c>
      <c r="AD59" s="14">
        <f>INDEX(挂机升级突破!BV$6:BV$57,卡牌消耗!$AI59)</f>
        <v>1</v>
      </c>
      <c r="AE59" s="14">
        <f>INDEX(挂机升级突破!BW$6:BW$57,卡牌消耗!$AI59)</f>
        <v>0</v>
      </c>
      <c r="AF59" s="14" t="str">
        <f t="shared" si="6"/>
        <v>许褚</v>
      </c>
      <c r="AG59" s="14">
        <f t="shared" si="7"/>
        <v>3</v>
      </c>
      <c r="AH59" s="14" t="str">
        <f t="shared" si="8"/>
        <v>许褚魂火-3</v>
      </c>
      <c r="AI59" s="14">
        <f t="shared" si="9"/>
        <v>3</v>
      </c>
      <c r="AJ59" s="14" t="str">
        <f>INDEX(挂机升级突破!$BX$4:$CH$4,INDEX(挂机升级突破!$BU$6:$BU$57,卡牌消耗!AI59))</f>
        <v>金币</v>
      </c>
      <c r="AK59" s="14">
        <f>ROUND(INDEX(挂机升级突破!$BN$6:$BN$57,卡牌消耗!AI59)*INDEX(卡牌消耗!$B$8:$F$8,AG59)/$Q$4/50,0)*50</f>
        <v>800</v>
      </c>
      <c r="AL59" s="14" t="str">
        <f>IF(AD59&gt;0,INDEX(挂机升级突破!$BX$4:$CH$4,AD59),"")</f>
        <v>绿色基础材料</v>
      </c>
      <c r="AM59" s="14">
        <f>ROUND(INDEX(挂机升级突破!$BX$6:$CH$57,卡牌消耗!AI59,AD59)*INDEX(卡牌消耗!$B$5:$F$5,AG59)/$Q$4/5,0)*5</f>
        <v>3335</v>
      </c>
      <c r="AN59" s="14" t="str">
        <f>IF(AE59&gt;0,INDEX(挂机升级突破!$BX$4:$CH$4,AE59),"")</f>
        <v/>
      </c>
      <c r="AO59" s="14" t="str">
        <f>IF(AE59&gt;0,ROUND(INDEX(挂机升级突破!$BX$6:$CH$57,卡牌消耗!AI59,AE59)*INDEX(卡牌消耗!$B$7:$F$7,AG59)/$Q$4,0),"")</f>
        <v/>
      </c>
      <c r="AP59" s="106"/>
      <c r="AQ59" s="15"/>
      <c r="AR59" s="104">
        <v>55</v>
      </c>
      <c r="AS59" s="14">
        <f t="shared" si="10"/>
        <v>3</v>
      </c>
      <c r="AT59" s="14">
        <f>INDEX(挂机升级突破!$CM$7:$CM$26,AX59)</f>
        <v>5</v>
      </c>
      <c r="AU59" s="14">
        <f>INDEX(挂机升级突破!$CN$7:$CN$26,AX59)</f>
        <v>3</v>
      </c>
      <c r="AV59" s="14">
        <f t="shared" si="11"/>
        <v>4</v>
      </c>
      <c r="AW59" s="14" t="str">
        <f t="shared" si="12"/>
        <v>典韦</v>
      </c>
      <c r="AX59" s="14">
        <f t="shared" si="13"/>
        <v>15</v>
      </c>
      <c r="AY59" s="14" t="str">
        <f t="shared" si="14"/>
        <v>典韦15突</v>
      </c>
      <c r="AZ59" s="14" t="str">
        <f>IF(AT59&gt;0,INDEX(挂机升级突破!$CV$5:$CZ$5,卡牌消耗!AT59),"")</f>
        <v>金币</v>
      </c>
      <c r="BA59" s="14">
        <f>IF(AT59&gt;0,ROUND(INDEX(挂机升级突破!$CZ$7:$CZ$26,卡牌消耗!AX59)*INDEX(卡牌消耗!$B$8:$F$8,AV59)/$Q$4/500,0)*500,"")</f>
        <v>52000</v>
      </c>
      <c r="BB59" s="14" t="str">
        <f>IF(AU59&gt;0,INDEX(挂机升级突破!$CV$5:$CZ$5,卡牌消耗!AU59),"")</f>
        <v>银母</v>
      </c>
      <c r="BC59" s="14">
        <f>IF(AU59&gt;0,ROUND(INDEX(挂机升级突破!$CV$7:$CY$26,卡牌消耗!AX59,卡牌消耗!AU59)*INDEX($B$6:$F$6,AV59)/$Q$4/5,0)*5,"")</f>
        <v>65</v>
      </c>
      <c r="BD59" s="104"/>
      <c r="BE59" s="104"/>
      <c r="BF59" s="106"/>
      <c r="BW59" s="50">
        <v>47</v>
      </c>
      <c r="BX59" s="50">
        <v>16</v>
      </c>
      <c r="BY59" s="21">
        <f t="shared" si="34"/>
        <v>0.1095890410958904</v>
      </c>
      <c r="BZ59" s="65">
        <f t="shared" si="35"/>
        <v>3264</v>
      </c>
      <c r="CA59" s="50" t="e">
        <f>SUM(BZ$5:BZ59)</f>
        <v>#REF!</v>
      </c>
      <c r="CD59" s="136">
        <v>55</v>
      </c>
      <c r="CE59" s="14">
        <f t="shared" si="19"/>
        <v>11</v>
      </c>
      <c r="CF59" s="14">
        <f t="shared" si="0"/>
        <v>3</v>
      </c>
      <c r="CG59" s="14">
        <f t="shared" si="1"/>
        <v>1101011</v>
      </c>
      <c r="CH59" s="136" t="s">
        <v>1127</v>
      </c>
      <c r="CI59" s="14">
        <f t="shared" si="2"/>
        <v>5</v>
      </c>
      <c r="CJ59" s="14" t="str">
        <f t="shared" si="3"/>
        <v>阎风吒-5星</v>
      </c>
      <c r="CK59" s="136" t="s">
        <v>1133</v>
      </c>
      <c r="CL59" s="14">
        <f t="shared" si="20"/>
        <v>40000</v>
      </c>
      <c r="CM59" s="14" t="str">
        <f t="shared" si="4"/>
        <v>阎风吒碎片</v>
      </c>
      <c r="CN59" s="14">
        <f t="shared" si="21"/>
        <v>240</v>
      </c>
    </row>
    <row r="60" spans="1:92" ht="16.5" x14ac:dyDescent="0.2">
      <c r="A60" s="55">
        <v>1101014</v>
      </c>
      <c r="B60" s="55" t="s">
        <v>398</v>
      </c>
      <c r="C60" s="55">
        <v>3</v>
      </c>
      <c r="D60" s="136">
        <v>5</v>
      </c>
      <c r="E60" s="136">
        <f>SUM(D$47:D60)</f>
        <v>70</v>
      </c>
      <c r="H60" s="15"/>
      <c r="I60" s="15"/>
      <c r="J60" s="15"/>
      <c r="K60" s="15"/>
      <c r="L60" s="15"/>
      <c r="M60" s="15"/>
      <c r="N60" s="15"/>
      <c r="O60" s="137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41"/>
      <c r="AA60" s="104">
        <v>56</v>
      </c>
      <c r="AB60" s="14">
        <f t="shared" si="5"/>
        <v>2</v>
      </c>
      <c r="AC60" s="14">
        <f>INDEX(挂机升级突破!$BU$6:$BU$57,卡牌消耗!AI60)</f>
        <v>11</v>
      </c>
      <c r="AD60" s="14">
        <f>INDEX(挂机升级突破!BV$6:BV$57,卡牌消耗!$AI60)</f>
        <v>1</v>
      </c>
      <c r="AE60" s="14">
        <f>INDEX(挂机升级突破!BW$6:BW$57,卡牌消耗!$AI60)</f>
        <v>0</v>
      </c>
      <c r="AF60" s="14" t="str">
        <f t="shared" si="6"/>
        <v>许褚</v>
      </c>
      <c r="AG60" s="14">
        <f t="shared" si="7"/>
        <v>3</v>
      </c>
      <c r="AH60" s="14" t="str">
        <f t="shared" si="8"/>
        <v>许褚魂火-4</v>
      </c>
      <c r="AI60" s="14">
        <f t="shared" si="9"/>
        <v>4</v>
      </c>
      <c r="AJ60" s="14" t="str">
        <f>INDEX(挂机升级突破!$BX$4:$CH$4,INDEX(挂机升级突破!$BU$6:$BU$57,卡牌消耗!AI60))</f>
        <v>金币</v>
      </c>
      <c r="AK60" s="14">
        <f>ROUND(INDEX(挂机升级突破!$BN$6:$BN$57,卡牌消耗!AI60)*INDEX(卡牌消耗!$B$8:$F$8,AG60)/$Q$4/50,0)*50</f>
        <v>800</v>
      </c>
      <c r="AL60" s="14" t="str">
        <f>IF(AD60&gt;0,INDEX(挂机升级突破!$BX$4:$CH$4,AD60),"")</f>
        <v>绿色基础材料</v>
      </c>
      <c r="AM60" s="14">
        <f>ROUND(INDEX(挂机升级突破!$BX$6:$CH$57,卡牌消耗!AI60,AD60)*INDEX(卡牌消耗!$B$5:$F$5,AG60)/$Q$4/5,0)*5</f>
        <v>5005</v>
      </c>
      <c r="AN60" s="14" t="str">
        <f>IF(AE60&gt;0,INDEX(挂机升级突破!$BX$4:$CH$4,AE60),"")</f>
        <v/>
      </c>
      <c r="AO60" s="14" t="str">
        <f>IF(AE60&gt;0,ROUND(INDEX(挂机升级突破!$BX$6:$CH$57,卡牌消耗!AI60,AE60)*INDEX(卡牌消耗!$B$7:$F$7,AG60)/$Q$4,0),"")</f>
        <v/>
      </c>
      <c r="AP60" s="106"/>
      <c r="AQ60" s="15"/>
      <c r="AR60" s="104">
        <v>56</v>
      </c>
      <c r="AS60" s="14">
        <f t="shared" si="10"/>
        <v>3</v>
      </c>
      <c r="AT60" s="14">
        <f>INDEX(挂机升级突破!$CM$7:$CM$26,AX60)</f>
        <v>5</v>
      </c>
      <c r="AU60" s="14">
        <f>INDEX(挂机升级突破!$CN$7:$CN$26,AX60)</f>
        <v>3</v>
      </c>
      <c r="AV60" s="14">
        <f t="shared" si="11"/>
        <v>4</v>
      </c>
      <c r="AW60" s="14" t="str">
        <f t="shared" si="12"/>
        <v>典韦</v>
      </c>
      <c r="AX60" s="14">
        <f t="shared" si="13"/>
        <v>16</v>
      </c>
      <c r="AY60" s="14" t="str">
        <f t="shared" si="14"/>
        <v>典韦16突</v>
      </c>
      <c r="AZ60" s="14" t="str">
        <f>IF(AT60&gt;0,INDEX(挂机升级突破!$CV$5:$CZ$5,卡牌消耗!AT60),"")</f>
        <v>金币</v>
      </c>
      <c r="BA60" s="14">
        <f>IF(AT60&gt;0,ROUND(INDEX(挂机升级突破!$CZ$7:$CZ$26,卡牌消耗!AX60)*INDEX(卡牌消耗!$B$8:$F$8,AV60)/$Q$4/500,0)*500,"")</f>
        <v>94000</v>
      </c>
      <c r="BB60" s="14" t="str">
        <f>IF(AU60&gt;0,INDEX(挂机升级突破!$CV$5:$CZ$5,卡牌消耗!AU60),"")</f>
        <v>银母</v>
      </c>
      <c r="BC60" s="14">
        <f>IF(AU60&gt;0,ROUND(INDEX(挂机升级突破!$CV$7:$CY$26,卡牌消耗!AX60,卡牌消耗!AU60)*INDEX($B$6:$F$6,AV60)/$Q$4/5,0)*5,"")</f>
        <v>85</v>
      </c>
      <c r="BD60" s="104"/>
      <c r="BE60" s="104"/>
      <c r="BF60" s="106"/>
      <c r="BW60" s="50">
        <v>48</v>
      </c>
      <c r="BX60" s="50">
        <v>17</v>
      </c>
      <c r="BY60" s="21">
        <f t="shared" si="34"/>
        <v>0.11643835616438356</v>
      </c>
      <c r="BZ60" s="65">
        <f t="shared" si="35"/>
        <v>3468</v>
      </c>
      <c r="CA60" s="50" t="e">
        <f>SUM(BZ$5:BZ60)</f>
        <v>#REF!</v>
      </c>
      <c r="CD60" s="136">
        <v>56</v>
      </c>
      <c r="CE60" s="14">
        <f t="shared" si="19"/>
        <v>12</v>
      </c>
      <c r="CF60" s="14">
        <f t="shared" si="0"/>
        <v>2</v>
      </c>
      <c r="CG60" s="14">
        <f t="shared" si="1"/>
        <v>1101012</v>
      </c>
      <c r="CH60" s="136" t="s">
        <v>1127</v>
      </c>
      <c r="CI60" s="14">
        <f t="shared" si="2"/>
        <v>1</v>
      </c>
      <c r="CJ60" s="14" t="str">
        <f t="shared" si="3"/>
        <v>南御夫-1星</v>
      </c>
      <c r="CK60" s="136" t="s">
        <v>1133</v>
      </c>
      <c r="CL60" s="14">
        <f t="shared" si="20"/>
        <v>3000</v>
      </c>
      <c r="CM60" s="14" t="str">
        <f t="shared" si="4"/>
        <v>南御夫碎片</v>
      </c>
      <c r="CN60" s="14">
        <f t="shared" si="21"/>
        <v>20</v>
      </c>
    </row>
    <row r="61" spans="1:92" ht="16.5" x14ac:dyDescent="0.2">
      <c r="A61" s="55">
        <v>1101015</v>
      </c>
      <c r="B61" s="55" t="s">
        <v>399</v>
      </c>
      <c r="C61" s="55">
        <v>2</v>
      </c>
      <c r="D61" s="136">
        <v>5</v>
      </c>
      <c r="E61" s="136">
        <f>SUM(D$47:D61)</f>
        <v>75</v>
      </c>
      <c r="H61" s="15"/>
      <c r="I61" s="15"/>
      <c r="J61" s="15"/>
      <c r="K61" s="15"/>
      <c r="L61" s="15"/>
      <c r="M61" s="15"/>
      <c r="N61" s="15"/>
      <c r="O61" s="137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04">
        <v>57</v>
      </c>
      <c r="AB61" s="14">
        <f t="shared" si="5"/>
        <v>2</v>
      </c>
      <c r="AC61" s="14">
        <f>INDEX(挂机升级突破!$BU$6:$BU$57,卡牌消耗!AI61)</f>
        <v>11</v>
      </c>
      <c r="AD61" s="14">
        <f>INDEX(挂机升级突破!BV$6:BV$57,卡牌消耗!$AI61)</f>
        <v>1</v>
      </c>
      <c r="AE61" s="14">
        <f>INDEX(挂机升级突破!BW$6:BW$57,卡牌消耗!$AI61)</f>
        <v>0</v>
      </c>
      <c r="AF61" s="14" t="str">
        <f t="shared" si="6"/>
        <v>许褚</v>
      </c>
      <c r="AG61" s="14">
        <f t="shared" si="7"/>
        <v>3</v>
      </c>
      <c r="AH61" s="14" t="str">
        <f t="shared" si="8"/>
        <v>许褚魂火-5</v>
      </c>
      <c r="AI61" s="14">
        <f t="shared" si="9"/>
        <v>5</v>
      </c>
      <c r="AJ61" s="14" t="str">
        <f>INDEX(挂机升级突破!$BX$4:$CH$4,INDEX(挂机升级突破!$BU$6:$BU$57,卡牌消耗!AI61))</f>
        <v>金币</v>
      </c>
      <c r="AK61" s="14">
        <f>ROUND(INDEX(挂机升级突破!$BN$6:$BN$57,卡牌消耗!AI61)*INDEX(卡牌消耗!$B$8:$F$8,AG61)/$Q$4/50,0)*50</f>
        <v>800</v>
      </c>
      <c r="AL61" s="14" t="str">
        <f>IF(AD61&gt;0,INDEX(挂机升级突破!$BX$4:$CH$4,AD61),"")</f>
        <v>绿色基础材料</v>
      </c>
      <c r="AM61" s="14">
        <f>ROUND(INDEX(挂机升级突破!$BX$6:$CH$57,卡牌消耗!AI61,AD61)*INDEX(卡牌消耗!$B$5:$F$5,AG61)/$Q$4/5,0)*5</f>
        <v>5005</v>
      </c>
      <c r="AN61" s="14" t="str">
        <f>IF(AE61&gt;0,INDEX(挂机升级突破!$BX$4:$CH$4,AE61),"")</f>
        <v/>
      </c>
      <c r="AO61" s="14" t="str">
        <f>IF(AE61&gt;0,ROUND(INDEX(挂机升级突破!$BX$6:$CH$57,卡牌消耗!AI61,AE61)*INDEX(卡牌消耗!$B$7:$F$7,AG61)/$Q$4,0),"")</f>
        <v/>
      </c>
      <c r="AP61" s="106"/>
      <c r="AQ61" s="15"/>
      <c r="AR61" s="104">
        <v>57</v>
      </c>
      <c r="AS61" s="14">
        <f t="shared" si="10"/>
        <v>3</v>
      </c>
      <c r="AT61" s="14">
        <f>INDEX(挂机升级突破!$CM$7:$CM$26,AX61)</f>
        <v>5</v>
      </c>
      <c r="AU61" s="14">
        <f>INDEX(挂机升级突破!$CN$7:$CN$26,AX61)</f>
        <v>4</v>
      </c>
      <c r="AV61" s="14">
        <f t="shared" si="11"/>
        <v>4</v>
      </c>
      <c r="AW61" s="14" t="str">
        <f t="shared" si="12"/>
        <v>典韦</v>
      </c>
      <c r="AX61" s="14">
        <f t="shared" si="13"/>
        <v>17</v>
      </c>
      <c r="AY61" s="14" t="str">
        <f t="shared" si="14"/>
        <v>典韦17突</v>
      </c>
      <c r="AZ61" s="14" t="str">
        <f>IF(AT61&gt;0,INDEX(挂机升级突破!$CV$5:$CZ$5,卡牌消耗!AT61),"")</f>
        <v>金币</v>
      </c>
      <c r="BA61" s="14">
        <f>IF(AT61&gt;0,ROUND(INDEX(挂机升级突破!$CZ$7:$CZ$26,卡牌消耗!AX61)*INDEX(卡牌消耗!$B$8:$F$8,AV61)/$Q$4/500,0)*500,"")</f>
        <v>94000</v>
      </c>
      <c r="BB61" s="14" t="str">
        <f>IF(AU61&gt;0,INDEX(挂机升级突破!$CV$5:$CZ$5,卡牌消耗!AU61),"")</f>
        <v>铀金</v>
      </c>
      <c r="BC61" s="14">
        <f>IF(AU61&gt;0,ROUND(INDEX(挂机升级突破!$CV$7:$CY$26,卡牌消耗!AX61,卡牌消耗!AU61)*INDEX($B$6:$F$6,AV61)/$Q$4/5,0)*5,"")</f>
        <v>30</v>
      </c>
      <c r="BD61" s="104"/>
      <c r="BE61" s="104"/>
      <c r="BF61" s="106"/>
      <c r="BW61" s="50">
        <v>49</v>
      </c>
      <c r="BX61" s="50">
        <v>18</v>
      </c>
      <c r="BY61" s="21">
        <f t="shared" si="34"/>
        <v>0.12328767123287671</v>
      </c>
      <c r="BZ61" s="65">
        <f t="shared" si="35"/>
        <v>3672</v>
      </c>
      <c r="CA61" s="50" t="e">
        <f>SUM(BZ$5:BZ61)</f>
        <v>#REF!</v>
      </c>
      <c r="CD61" s="136">
        <v>57</v>
      </c>
      <c r="CE61" s="14">
        <f t="shared" si="19"/>
        <v>12</v>
      </c>
      <c r="CF61" s="14">
        <f t="shared" si="0"/>
        <v>2</v>
      </c>
      <c r="CG61" s="14">
        <f t="shared" si="1"/>
        <v>1101012</v>
      </c>
      <c r="CH61" s="136" t="s">
        <v>1127</v>
      </c>
      <c r="CI61" s="14">
        <f t="shared" si="2"/>
        <v>2</v>
      </c>
      <c r="CJ61" s="14" t="str">
        <f t="shared" si="3"/>
        <v>南御夫-2星</v>
      </c>
      <c r="CK61" s="136" t="s">
        <v>1133</v>
      </c>
      <c r="CL61" s="14">
        <f t="shared" si="20"/>
        <v>3500</v>
      </c>
      <c r="CM61" s="14" t="str">
        <f t="shared" si="4"/>
        <v>南御夫碎片</v>
      </c>
      <c r="CN61" s="14">
        <f t="shared" si="21"/>
        <v>40</v>
      </c>
    </row>
    <row r="62" spans="1:92" ht="16.5" x14ac:dyDescent="0.2">
      <c r="A62" s="55">
        <v>1101041</v>
      </c>
      <c r="B62" s="55" t="s">
        <v>400</v>
      </c>
      <c r="C62" s="55">
        <v>2</v>
      </c>
      <c r="D62" s="136">
        <v>5</v>
      </c>
      <c r="E62" s="136">
        <f>SUM(D$47:D62)</f>
        <v>80</v>
      </c>
      <c r="H62" s="15"/>
      <c r="I62" s="15"/>
      <c r="J62" s="15"/>
      <c r="K62" s="15"/>
      <c r="L62" s="15"/>
      <c r="M62" s="15"/>
      <c r="N62" s="15"/>
      <c r="O62" s="137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41"/>
      <c r="AA62" s="104">
        <v>58</v>
      </c>
      <c r="AB62" s="14">
        <f t="shared" si="5"/>
        <v>2</v>
      </c>
      <c r="AC62" s="14">
        <f>INDEX(挂机升级突破!$BU$6:$BU$57,卡牌消耗!AI62)</f>
        <v>11</v>
      </c>
      <c r="AD62" s="14">
        <f>INDEX(挂机升级突破!BV$6:BV$57,卡牌消耗!$AI62)</f>
        <v>2</v>
      </c>
      <c r="AE62" s="14">
        <f>INDEX(挂机升级突破!BW$6:BW$57,卡牌消耗!$AI62)</f>
        <v>0</v>
      </c>
      <c r="AF62" s="14" t="str">
        <f t="shared" si="6"/>
        <v>许褚</v>
      </c>
      <c r="AG62" s="14">
        <f t="shared" si="7"/>
        <v>3</v>
      </c>
      <c r="AH62" s="14" t="str">
        <f t="shared" si="8"/>
        <v>许褚魂火-6</v>
      </c>
      <c r="AI62" s="14">
        <f t="shared" si="9"/>
        <v>6</v>
      </c>
      <c r="AJ62" s="14" t="str">
        <f>INDEX(挂机升级突破!$BX$4:$CH$4,INDEX(挂机升级突破!$BU$6:$BU$57,卡牌消耗!AI62))</f>
        <v>金币</v>
      </c>
      <c r="AK62" s="14">
        <f>ROUND(INDEX(挂机升级突破!$BN$6:$BN$57,卡牌消耗!AI62)*INDEX(卡牌消耗!$B$8:$F$8,AG62)/$Q$4/50,0)*50</f>
        <v>1000</v>
      </c>
      <c r="AL62" s="14" t="str">
        <f>IF(AD62&gt;0,INDEX(挂机升级突破!$BX$4:$CH$4,AD62),"")</f>
        <v>蓝色基础材料</v>
      </c>
      <c r="AM62" s="14">
        <f>ROUND(INDEX(挂机升级突破!$BX$6:$CH$57,卡牌消耗!AI62,AD62)*INDEX(卡牌消耗!$B$5:$F$5,AG62)/$Q$4/5,0)*5</f>
        <v>480</v>
      </c>
      <c r="AN62" s="14" t="str">
        <f>IF(AE62&gt;0,INDEX(挂机升级突破!$BX$4:$CH$4,AE62),"")</f>
        <v/>
      </c>
      <c r="AO62" s="14" t="str">
        <f>IF(AE62&gt;0,ROUND(INDEX(挂机升级突破!$BX$6:$CH$57,卡牌消耗!AI62,AE62)*INDEX(卡牌消耗!$B$7:$F$7,AG62)/$Q$4,0),"")</f>
        <v/>
      </c>
      <c r="AP62" s="106"/>
      <c r="AQ62" s="15"/>
      <c r="AR62" s="104">
        <v>58</v>
      </c>
      <c r="AS62" s="14">
        <f t="shared" si="10"/>
        <v>3</v>
      </c>
      <c r="AT62" s="14">
        <f>INDEX(挂机升级突破!$CM$7:$CM$26,AX62)</f>
        <v>5</v>
      </c>
      <c r="AU62" s="14">
        <f>INDEX(挂机升级突破!$CN$7:$CN$26,AX62)</f>
        <v>4</v>
      </c>
      <c r="AV62" s="14">
        <f t="shared" si="11"/>
        <v>4</v>
      </c>
      <c r="AW62" s="14" t="str">
        <f t="shared" si="12"/>
        <v>典韦</v>
      </c>
      <c r="AX62" s="14">
        <f t="shared" si="13"/>
        <v>18</v>
      </c>
      <c r="AY62" s="14" t="str">
        <f t="shared" si="14"/>
        <v>典韦18突</v>
      </c>
      <c r="AZ62" s="14" t="str">
        <f>IF(AT62&gt;0,INDEX(挂机升级突破!$CV$5:$CZ$5,卡牌消耗!AT62),"")</f>
        <v>金币</v>
      </c>
      <c r="BA62" s="14">
        <f>IF(AT62&gt;0,ROUND(INDEX(挂机升级突破!$CZ$7:$CZ$26,卡牌消耗!AX62)*INDEX(卡牌消耗!$B$8:$F$8,AV62)/$Q$4/500,0)*500,"")</f>
        <v>125500</v>
      </c>
      <c r="BB62" s="14" t="str">
        <f>IF(AU62&gt;0,INDEX(挂机升级突破!$CV$5:$CZ$5,卡牌消耗!AU62),"")</f>
        <v>铀金</v>
      </c>
      <c r="BC62" s="14">
        <f>IF(AU62&gt;0,ROUND(INDEX(挂机升级突破!$CV$7:$CY$26,卡牌消耗!AX62,卡牌消耗!AU62)*INDEX($B$6:$F$6,AV62)/$Q$4/5,0)*5,"")</f>
        <v>40</v>
      </c>
      <c r="BD62" s="104"/>
      <c r="BE62" s="104"/>
      <c r="BF62" s="106"/>
      <c r="BW62" s="50">
        <v>50</v>
      </c>
      <c r="BX62" s="50">
        <v>20</v>
      </c>
      <c r="BY62" s="21">
        <f t="shared" si="34"/>
        <v>0.13698630136986301</v>
      </c>
      <c r="BZ62" s="65">
        <f t="shared" si="35"/>
        <v>4080</v>
      </c>
      <c r="CA62" s="50" t="e">
        <f>SUM(BZ$5:BZ62)</f>
        <v>#REF!</v>
      </c>
      <c r="CD62" s="136">
        <v>58</v>
      </c>
      <c r="CE62" s="14">
        <f t="shared" si="19"/>
        <v>12</v>
      </c>
      <c r="CF62" s="14">
        <f t="shared" si="0"/>
        <v>2</v>
      </c>
      <c r="CG62" s="14">
        <f t="shared" si="1"/>
        <v>1101012</v>
      </c>
      <c r="CH62" s="136" t="s">
        <v>1127</v>
      </c>
      <c r="CI62" s="14">
        <f t="shared" si="2"/>
        <v>3</v>
      </c>
      <c r="CJ62" s="14" t="str">
        <f t="shared" si="3"/>
        <v>南御夫-3星</v>
      </c>
      <c r="CK62" s="136" t="s">
        <v>1133</v>
      </c>
      <c r="CL62" s="14">
        <f t="shared" si="20"/>
        <v>7000</v>
      </c>
      <c r="CM62" s="14" t="str">
        <f t="shared" si="4"/>
        <v>南御夫碎片</v>
      </c>
      <c r="CN62" s="14">
        <f t="shared" si="21"/>
        <v>80</v>
      </c>
    </row>
    <row r="63" spans="1:92" ht="16.5" x14ac:dyDescent="0.2">
      <c r="A63" s="55">
        <v>1101016</v>
      </c>
      <c r="B63" s="55" t="s">
        <v>1118</v>
      </c>
      <c r="C63" s="55">
        <v>4</v>
      </c>
      <c r="D63" s="136">
        <v>5</v>
      </c>
      <c r="E63" s="136">
        <f>SUM(D$47:D63)</f>
        <v>85</v>
      </c>
      <c r="H63" s="15"/>
      <c r="I63" s="15"/>
      <c r="J63" s="15"/>
      <c r="K63" s="15"/>
      <c r="L63" s="15"/>
      <c r="M63" s="15"/>
      <c r="N63" s="15"/>
      <c r="O63" s="137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41"/>
      <c r="AA63" s="104">
        <v>59</v>
      </c>
      <c r="AB63" s="14">
        <f t="shared" si="5"/>
        <v>2</v>
      </c>
      <c r="AC63" s="14">
        <f>INDEX(挂机升级突破!$BU$6:$BU$57,卡牌消耗!AI63)</f>
        <v>11</v>
      </c>
      <c r="AD63" s="14">
        <f>INDEX(挂机升级突破!BV$6:BV$57,卡牌消耗!$AI63)</f>
        <v>2</v>
      </c>
      <c r="AE63" s="14">
        <f>INDEX(挂机升级突破!BW$6:BW$57,卡牌消耗!$AI63)</f>
        <v>0</v>
      </c>
      <c r="AF63" s="14" t="str">
        <f t="shared" si="6"/>
        <v>许褚</v>
      </c>
      <c r="AG63" s="14">
        <f t="shared" si="7"/>
        <v>3</v>
      </c>
      <c r="AH63" s="14" t="str">
        <f t="shared" si="8"/>
        <v>许褚魂火-7</v>
      </c>
      <c r="AI63" s="14">
        <f t="shared" si="9"/>
        <v>7</v>
      </c>
      <c r="AJ63" s="14" t="str">
        <f>INDEX(挂机升级突破!$BX$4:$CH$4,INDEX(挂机升级突破!$BU$6:$BU$57,卡牌消耗!AI63))</f>
        <v>金币</v>
      </c>
      <c r="AK63" s="14">
        <f>ROUND(INDEX(挂机升级突破!$BN$6:$BN$57,卡牌消耗!AI63)*INDEX(卡牌消耗!$B$8:$F$8,AG63)/$Q$4/50,0)*50</f>
        <v>1000</v>
      </c>
      <c r="AL63" s="14" t="str">
        <f>IF(AD63&gt;0,INDEX(挂机升级突破!$BX$4:$CH$4,AD63),"")</f>
        <v>蓝色基础材料</v>
      </c>
      <c r="AM63" s="14">
        <f>ROUND(INDEX(挂机升级突破!$BX$6:$CH$57,卡牌消耗!AI63,AD63)*INDEX(卡牌消耗!$B$5:$F$5,AG63)/$Q$4/5,0)*5</f>
        <v>480</v>
      </c>
      <c r="AN63" s="14" t="str">
        <f>IF(AE63&gt;0,INDEX(挂机升级突破!$BX$4:$CH$4,AE63),"")</f>
        <v/>
      </c>
      <c r="AO63" s="14" t="str">
        <f>IF(AE63&gt;0,ROUND(INDEX(挂机升级突破!$BX$6:$CH$57,卡牌消耗!AI63,AE63)*INDEX(卡牌消耗!$B$7:$F$7,AG63)/$Q$4,0),"")</f>
        <v/>
      </c>
      <c r="AP63" s="106"/>
      <c r="AQ63" s="15"/>
      <c r="AR63" s="104">
        <v>59</v>
      </c>
      <c r="AS63" s="14">
        <f t="shared" si="10"/>
        <v>3</v>
      </c>
      <c r="AT63" s="14">
        <f>INDEX(挂机升级突破!$CM$7:$CM$26,AX63)</f>
        <v>5</v>
      </c>
      <c r="AU63" s="14">
        <f>INDEX(挂机升级突破!$CN$7:$CN$26,AX63)</f>
        <v>4</v>
      </c>
      <c r="AV63" s="14">
        <f t="shared" si="11"/>
        <v>4</v>
      </c>
      <c r="AW63" s="14" t="str">
        <f t="shared" si="12"/>
        <v>典韦</v>
      </c>
      <c r="AX63" s="14">
        <f t="shared" si="13"/>
        <v>19</v>
      </c>
      <c r="AY63" s="14" t="str">
        <f t="shared" si="14"/>
        <v>典韦19突</v>
      </c>
      <c r="AZ63" s="14" t="str">
        <f>IF(AT63&gt;0,INDEX(挂机升级突破!$CV$5:$CZ$5,卡牌消耗!AT63),"")</f>
        <v>金币</v>
      </c>
      <c r="BA63" s="14">
        <f>IF(AT63&gt;0,ROUND(INDEX(挂机升级突破!$CZ$7:$CZ$26,卡牌消耗!AX63)*INDEX(卡牌消耗!$B$8:$F$8,AV63)/$Q$4/500,0)*500,"")</f>
        <v>760000</v>
      </c>
      <c r="BB63" s="14" t="str">
        <f>IF(AU63&gt;0,INDEX(挂机升级突破!$CV$5:$CZ$5,卡牌消耗!AU63),"")</f>
        <v>铀金</v>
      </c>
      <c r="BC63" s="14">
        <f>IF(AU63&gt;0,ROUND(INDEX(挂机升级突破!$CV$7:$CY$26,卡牌消耗!AX63,卡牌消耗!AU63)*INDEX($B$6:$F$6,AV63)/$Q$4/5,0)*5,"")</f>
        <v>55</v>
      </c>
      <c r="BD63" s="104"/>
      <c r="BE63" s="104"/>
      <c r="BF63" s="106"/>
      <c r="BU63" s="50" t="s">
        <v>310</v>
      </c>
      <c r="BV63" s="50">
        <v>6</v>
      </c>
      <c r="BW63" s="50">
        <v>51</v>
      </c>
      <c r="BX63" s="50">
        <v>15</v>
      </c>
      <c r="BY63" s="21">
        <f t="shared" ref="BY63:BY72" si="36">BX63/BV$66</f>
        <v>7.6923076923076927E-2</v>
      </c>
      <c r="BZ63" s="50">
        <f>INT(BV$64*BY63)</f>
        <v>2457</v>
      </c>
      <c r="CA63" s="50" t="e">
        <f>SUM(BZ$5:BZ63)</f>
        <v>#REF!</v>
      </c>
      <c r="CD63" s="136">
        <v>59</v>
      </c>
      <c r="CE63" s="14">
        <f t="shared" si="19"/>
        <v>12</v>
      </c>
      <c r="CF63" s="14">
        <f t="shared" si="0"/>
        <v>2</v>
      </c>
      <c r="CG63" s="14">
        <f t="shared" si="1"/>
        <v>1101012</v>
      </c>
      <c r="CH63" s="136" t="s">
        <v>1127</v>
      </c>
      <c r="CI63" s="14">
        <f t="shared" si="2"/>
        <v>4</v>
      </c>
      <c r="CJ63" s="14" t="str">
        <f t="shared" si="3"/>
        <v>南御夫-4星</v>
      </c>
      <c r="CK63" s="136" t="s">
        <v>1133</v>
      </c>
      <c r="CL63" s="14">
        <f t="shared" si="20"/>
        <v>16000</v>
      </c>
      <c r="CM63" s="14" t="str">
        <f t="shared" si="4"/>
        <v>南御夫碎片</v>
      </c>
      <c r="CN63" s="14">
        <f t="shared" si="21"/>
        <v>120</v>
      </c>
    </row>
    <row r="64" spans="1:92" ht="16.5" x14ac:dyDescent="0.2">
      <c r="A64" s="55">
        <v>1101020</v>
      </c>
      <c r="B64" s="55" t="s">
        <v>1119</v>
      </c>
      <c r="C64" s="55">
        <v>3</v>
      </c>
      <c r="D64" s="136">
        <v>5</v>
      </c>
      <c r="E64" s="136">
        <f>SUM(D$47:D64)</f>
        <v>90</v>
      </c>
      <c r="H64" s="15"/>
      <c r="I64" s="15"/>
      <c r="J64" s="15"/>
      <c r="K64" s="15"/>
      <c r="L64" s="15"/>
      <c r="M64" s="15"/>
      <c r="N64" s="15"/>
      <c r="O64" s="137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41"/>
      <c r="AA64" s="104">
        <v>60</v>
      </c>
      <c r="AB64" s="14">
        <f t="shared" si="5"/>
        <v>2</v>
      </c>
      <c r="AC64" s="14">
        <f>INDEX(挂机升级突破!$BU$6:$BU$57,卡牌消耗!AI64)</f>
        <v>11</v>
      </c>
      <c r="AD64" s="14">
        <f>INDEX(挂机升级突破!BV$6:BV$57,卡牌消耗!$AI64)</f>
        <v>2</v>
      </c>
      <c r="AE64" s="14">
        <f>INDEX(挂机升级突破!BW$6:BW$57,卡牌消耗!$AI64)</f>
        <v>0</v>
      </c>
      <c r="AF64" s="14" t="str">
        <f t="shared" si="6"/>
        <v>许褚</v>
      </c>
      <c r="AG64" s="14">
        <f t="shared" si="7"/>
        <v>3</v>
      </c>
      <c r="AH64" s="14" t="str">
        <f t="shared" si="8"/>
        <v>许褚魂火-8</v>
      </c>
      <c r="AI64" s="14">
        <f t="shared" si="9"/>
        <v>8</v>
      </c>
      <c r="AJ64" s="14" t="str">
        <f>INDEX(挂机升级突破!$BX$4:$CH$4,INDEX(挂机升级突破!$BU$6:$BU$57,卡牌消耗!AI64))</f>
        <v>金币</v>
      </c>
      <c r="AK64" s="14">
        <f>ROUND(INDEX(挂机升级突破!$BN$6:$BN$57,卡牌消耗!AI64)*INDEX(卡牌消耗!$B$8:$F$8,AG64)/$Q$4/50,0)*50</f>
        <v>1500</v>
      </c>
      <c r="AL64" s="14" t="str">
        <f>IF(AD64&gt;0,INDEX(挂机升级突破!$BX$4:$CH$4,AD64),"")</f>
        <v>蓝色基础材料</v>
      </c>
      <c r="AM64" s="14">
        <f>ROUND(INDEX(挂机升级突破!$BX$6:$CH$57,卡牌消耗!AI64,AD64)*INDEX(卡牌消耗!$B$5:$F$5,AG64)/$Q$4/5,0)*5</f>
        <v>960</v>
      </c>
      <c r="AN64" s="14" t="str">
        <f>IF(AE64&gt;0,INDEX(挂机升级突破!$BX$4:$CH$4,AE64),"")</f>
        <v/>
      </c>
      <c r="AO64" s="14" t="str">
        <f>IF(AE64&gt;0,ROUND(INDEX(挂机升级突破!$BX$6:$CH$57,卡牌消耗!AI64,AE64)*INDEX(卡牌消耗!$B$7:$F$7,AG64)/$Q$4,0),"")</f>
        <v/>
      </c>
      <c r="AP64" s="106"/>
      <c r="AQ64" s="15"/>
      <c r="AR64" s="104">
        <v>60</v>
      </c>
      <c r="AS64" s="14">
        <f t="shared" si="10"/>
        <v>3</v>
      </c>
      <c r="AT64" s="14">
        <f>INDEX(挂机升级突破!$CM$7:$CM$26,AX64)</f>
        <v>5</v>
      </c>
      <c r="AU64" s="14">
        <f>INDEX(挂机升级突破!$CN$7:$CN$26,AX64)</f>
        <v>4</v>
      </c>
      <c r="AV64" s="14">
        <f t="shared" si="11"/>
        <v>4</v>
      </c>
      <c r="AW64" s="14" t="str">
        <f t="shared" si="12"/>
        <v>典韦</v>
      </c>
      <c r="AX64" s="14">
        <f t="shared" si="13"/>
        <v>20</v>
      </c>
      <c r="AY64" s="14" t="str">
        <f t="shared" si="14"/>
        <v>典韦20突</v>
      </c>
      <c r="AZ64" s="14" t="str">
        <f>IF(AT64&gt;0,INDEX(挂机升级突破!$CV$5:$CZ$5,卡牌消耗!AT64),"")</f>
        <v>金币</v>
      </c>
      <c r="BA64" s="14">
        <f>IF(AT64&gt;0,ROUND(INDEX(挂机升级突破!$CZ$7:$CZ$26,卡牌消耗!AX64)*INDEX(卡牌消耗!$B$8:$F$8,AV64)/$Q$4/500,0)*500,"")</f>
        <v>1139500</v>
      </c>
      <c r="BB64" s="14" t="str">
        <f>IF(AU64&gt;0,INDEX(挂机升级突破!$CV$5:$CZ$5,卡牌消耗!AU64),"")</f>
        <v>铀金</v>
      </c>
      <c r="BC64" s="14">
        <f>IF(AU64&gt;0,ROUND(INDEX(挂机升级突破!$CV$7:$CY$26,卡牌消耗!AX64,卡牌消耗!AU64)*INDEX($B$6:$F$6,AV64)/$Q$4/5,0)*5,"")</f>
        <v>70</v>
      </c>
      <c r="BD64" s="104"/>
      <c r="BE64" s="104"/>
      <c r="BF64" s="106"/>
      <c r="BU64" s="14" t="str">
        <f>INDEX($BH$5:$BH$19,BV63)</f>
        <v>30~35</v>
      </c>
      <c r="BV64" s="14">
        <f>INDEX($BQ$5:$BQ$19,BV63)</f>
        <v>31950</v>
      </c>
      <c r="BW64" s="50">
        <v>52</v>
      </c>
      <c r="BX64" s="50">
        <v>16</v>
      </c>
      <c r="BY64" s="21">
        <f t="shared" si="36"/>
        <v>8.2051282051282051E-2</v>
      </c>
      <c r="BZ64" s="65">
        <f t="shared" ref="BZ64:BZ72" si="37">INT(BV$64*BY64)</f>
        <v>2621</v>
      </c>
      <c r="CA64" s="50" t="e">
        <f>SUM(BZ$5:BZ64)</f>
        <v>#REF!</v>
      </c>
      <c r="CD64" s="136">
        <v>60</v>
      </c>
      <c r="CE64" s="14">
        <f t="shared" si="19"/>
        <v>12</v>
      </c>
      <c r="CF64" s="14">
        <f t="shared" si="0"/>
        <v>2</v>
      </c>
      <c r="CG64" s="14">
        <f t="shared" si="1"/>
        <v>1101012</v>
      </c>
      <c r="CH64" s="136" t="s">
        <v>1127</v>
      </c>
      <c r="CI64" s="14">
        <f t="shared" si="2"/>
        <v>5</v>
      </c>
      <c r="CJ64" s="14" t="str">
        <f t="shared" si="3"/>
        <v>南御夫-5星</v>
      </c>
      <c r="CK64" s="136" t="s">
        <v>1133</v>
      </c>
      <c r="CL64" s="14">
        <f t="shared" si="20"/>
        <v>30000</v>
      </c>
      <c r="CM64" s="14" t="str">
        <f t="shared" si="4"/>
        <v>南御夫碎片</v>
      </c>
      <c r="CN64" s="14">
        <f t="shared" si="21"/>
        <v>160</v>
      </c>
    </row>
    <row r="65" spans="1:92" ht="16.5" x14ac:dyDescent="0.2">
      <c r="A65" s="55">
        <v>1101022</v>
      </c>
      <c r="B65" s="55" t="s">
        <v>1120</v>
      </c>
      <c r="C65" s="55">
        <v>2</v>
      </c>
      <c r="D65" s="136">
        <v>5</v>
      </c>
      <c r="E65" s="136">
        <f>SUM(D$47:D65)</f>
        <v>95</v>
      </c>
      <c r="H65" s="15"/>
      <c r="I65" s="15"/>
      <c r="J65" s="15"/>
      <c r="K65" s="15"/>
      <c r="L65" s="15"/>
      <c r="M65" s="15"/>
      <c r="N65" s="15"/>
      <c r="O65" s="137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41"/>
      <c r="AA65" s="104">
        <v>61</v>
      </c>
      <c r="AB65" s="14">
        <f t="shared" si="5"/>
        <v>2</v>
      </c>
      <c r="AC65" s="14">
        <f>INDEX(挂机升级突破!$BU$6:$BU$57,卡牌消耗!AI65)</f>
        <v>11</v>
      </c>
      <c r="AD65" s="14">
        <f>INDEX(挂机升级突破!BV$6:BV$57,卡牌消耗!$AI65)</f>
        <v>2</v>
      </c>
      <c r="AE65" s="14">
        <f>INDEX(挂机升级突破!BW$6:BW$57,卡牌消耗!$AI65)</f>
        <v>0</v>
      </c>
      <c r="AF65" s="14" t="str">
        <f t="shared" si="6"/>
        <v>许褚</v>
      </c>
      <c r="AG65" s="14">
        <f t="shared" si="7"/>
        <v>3</v>
      </c>
      <c r="AH65" s="14" t="str">
        <f t="shared" si="8"/>
        <v>许褚魂火-9</v>
      </c>
      <c r="AI65" s="14">
        <f t="shared" si="9"/>
        <v>9</v>
      </c>
      <c r="AJ65" s="14" t="str">
        <f>INDEX(挂机升级突破!$BX$4:$CH$4,INDEX(挂机升级突破!$BU$6:$BU$57,卡牌消耗!AI65))</f>
        <v>金币</v>
      </c>
      <c r="AK65" s="14">
        <f>ROUND(INDEX(挂机升级突破!$BN$6:$BN$57,卡牌消耗!AI65)*INDEX(卡牌消耗!$B$8:$F$8,AG65)/$Q$4/50,0)*50</f>
        <v>1500</v>
      </c>
      <c r="AL65" s="14" t="str">
        <f>IF(AD65&gt;0,INDEX(挂机升级突破!$BX$4:$CH$4,AD65),"")</f>
        <v>蓝色基础材料</v>
      </c>
      <c r="AM65" s="14">
        <f>ROUND(INDEX(挂机升级突破!$BX$6:$CH$57,卡牌消耗!AI65,AD65)*INDEX(卡牌消耗!$B$5:$F$5,AG65)/$Q$4/5,0)*5</f>
        <v>960</v>
      </c>
      <c r="AN65" s="14" t="str">
        <f>IF(AE65&gt;0,INDEX(挂机升级突破!$BX$4:$CH$4,AE65),"")</f>
        <v/>
      </c>
      <c r="AO65" s="14" t="str">
        <f>IF(AE65&gt;0,ROUND(INDEX(挂机升级突破!$BX$6:$CH$57,卡牌消耗!AI65,AE65)*INDEX(卡牌消耗!$B$7:$F$7,AG65)/$Q$4,0),"")</f>
        <v/>
      </c>
      <c r="AP65" s="106"/>
      <c r="AQ65" s="15"/>
      <c r="AR65" s="104">
        <v>61</v>
      </c>
      <c r="AS65" s="14">
        <f t="shared" si="10"/>
        <v>4</v>
      </c>
      <c r="AT65" s="14">
        <f>INDEX(挂机升级突破!$CM$7:$CM$26,AX65)</f>
        <v>0</v>
      </c>
      <c r="AU65" s="14">
        <f>INDEX(挂机升级突破!$CN$7:$CN$26,AX65)</f>
        <v>0</v>
      </c>
      <c r="AV65" s="14">
        <f t="shared" si="11"/>
        <v>2</v>
      </c>
      <c r="AW65" s="14" t="str">
        <f t="shared" si="12"/>
        <v>唐流雨</v>
      </c>
      <c r="AX65" s="14">
        <f t="shared" si="13"/>
        <v>1</v>
      </c>
      <c r="AY65" s="14" t="str">
        <f t="shared" si="14"/>
        <v>唐流雨1突</v>
      </c>
      <c r="AZ65" s="14" t="str">
        <f>IF(AT65&gt;0,INDEX(挂机升级突破!$CV$5:$CZ$5,卡牌消耗!AT65),"")</f>
        <v/>
      </c>
      <c r="BA65" s="14" t="str">
        <f>IF(AT65&gt;0,ROUND(INDEX(挂机升级突破!$CZ$7:$CZ$26,卡牌消耗!AX65)*INDEX(卡牌消耗!$B$8:$F$8,AV65)/$Q$4/500,0)*500,"")</f>
        <v/>
      </c>
      <c r="BB65" s="14" t="str">
        <f>IF(AU65&gt;0,INDEX(挂机升级突破!$CV$5:$CZ$5,卡牌消耗!AU65),"")</f>
        <v/>
      </c>
      <c r="BC65" s="14" t="str">
        <f>IF(AU65&gt;0,ROUND(INDEX(挂机升级突破!$CV$7:$CY$26,卡牌消耗!AX65,卡牌消耗!AU65)*INDEX($B$6:$F$6,AV65)/$Q$4/5,0)*5,"")</f>
        <v/>
      </c>
      <c r="BD65" s="104"/>
      <c r="BE65" s="104"/>
      <c r="BF65" s="106"/>
      <c r="BU65" s="50" t="s">
        <v>309</v>
      </c>
      <c r="BV65" s="14">
        <f>INDEX($BR$5:$BR$19,BV63)</f>
        <v>4</v>
      </c>
      <c r="BW65" s="50">
        <v>53</v>
      </c>
      <c r="BX65" s="50">
        <v>17</v>
      </c>
      <c r="BY65" s="21">
        <f t="shared" si="36"/>
        <v>8.7179487179487175E-2</v>
      </c>
      <c r="BZ65" s="65">
        <f t="shared" si="37"/>
        <v>2785</v>
      </c>
      <c r="CA65" s="50" t="e">
        <f>SUM(BZ$5:BZ65)</f>
        <v>#REF!</v>
      </c>
      <c r="CD65" s="136">
        <v>61</v>
      </c>
      <c r="CE65" s="14">
        <f t="shared" si="19"/>
        <v>13</v>
      </c>
      <c r="CF65" s="14">
        <f t="shared" si="0"/>
        <v>2</v>
      </c>
      <c r="CG65" s="14">
        <f t="shared" si="1"/>
        <v>1101013</v>
      </c>
      <c r="CH65" s="136" t="s">
        <v>1127</v>
      </c>
      <c r="CI65" s="14">
        <f t="shared" si="2"/>
        <v>1</v>
      </c>
      <c r="CJ65" s="14" t="str">
        <f t="shared" si="3"/>
        <v>吉拉-1星</v>
      </c>
      <c r="CK65" s="136" t="s">
        <v>1133</v>
      </c>
      <c r="CL65" s="14">
        <f t="shared" si="20"/>
        <v>3000</v>
      </c>
      <c r="CM65" s="14" t="str">
        <f t="shared" si="4"/>
        <v>吉拉碎片</v>
      </c>
      <c r="CN65" s="14">
        <f t="shared" si="21"/>
        <v>20</v>
      </c>
    </row>
    <row r="66" spans="1:92" ht="16.5" x14ac:dyDescent="0.2">
      <c r="A66" s="55">
        <v>1101023</v>
      </c>
      <c r="B66" s="55" t="s">
        <v>1121</v>
      </c>
      <c r="C66" s="55">
        <v>3</v>
      </c>
      <c r="D66" s="136">
        <v>5</v>
      </c>
      <c r="E66" s="136">
        <f>SUM(D$47:D66)</f>
        <v>100</v>
      </c>
      <c r="H66" s="15"/>
      <c r="I66" s="15"/>
      <c r="J66" s="15"/>
      <c r="K66" s="15"/>
      <c r="L66" s="15"/>
      <c r="M66" s="15"/>
      <c r="N66" s="15"/>
      <c r="O66" s="137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41"/>
      <c r="AA66" s="104">
        <v>62</v>
      </c>
      <c r="AB66" s="14">
        <f t="shared" si="5"/>
        <v>2</v>
      </c>
      <c r="AC66" s="14">
        <f>INDEX(挂机升级突破!$BU$6:$BU$57,卡牌消耗!AI66)</f>
        <v>11</v>
      </c>
      <c r="AD66" s="14">
        <f>INDEX(挂机升级突破!BV$6:BV$57,卡牌消耗!$AI66)</f>
        <v>2</v>
      </c>
      <c r="AE66" s="14">
        <f>INDEX(挂机升级突破!BW$6:BW$57,卡牌消耗!$AI66)</f>
        <v>0</v>
      </c>
      <c r="AF66" s="14" t="str">
        <f t="shared" si="6"/>
        <v>许褚</v>
      </c>
      <c r="AG66" s="14">
        <f t="shared" si="7"/>
        <v>3</v>
      </c>
      <c r="AH66" s="14" t="str">
        <f t="shared" si="8"/>
        <v>许褚魂火-10</v>
      </c>
      <c r="AI66" s="14">
        <f t="shared" si="9"/>
        <v>10</v>
      </c>
      <c r="AJ66" s="14" t="str">
        <f>INDEX(挂机升级突破!$BX$4:$CH$4,INDEX(挂机升级突破!$BU$6:$BU$57,卡牌消耗!AI66))</f>
        <v>金币</v>
      </c>
      <c r="AK66" s="14">
        <f>ROUND(INDEX(挂机升级突破!$BN$6:$BN$57,卡牌消耗!AI66)*INDEX(卡牌消耗!$B$8:$F$8,AG66)/$Q$4/50,0)*50</f>
        <v>2450</v>
      </c>
      <c r="AL66" s="14" t="str">
        <f>IF(AD66&gt;0,INDEX(挂机升级突破!$BX$4:$CH$4,AD66),"")</f>
        <v>蓝色基础材料</v>
      </c>
      <c r="AM66" s="14">
        <f>ROUND(INDEX(挂机升级突破!$BX$6:$CH$57,卡牌消耗!AI66,AD66)*INDEX(卡牌消耗!$B$5:$F$5,AG66)/$Q$4/5,0)*5</f>
        <v>1440</v>
      </c>
      <c r="AN66" s="14" t="str">
        <f>IF(AE66&gt;0,INDEX(挂机升级突破!$BX$4:$CH$4,AE66),"")</f>
        <v/>
      </c>
      <c r="AO66" s="14" t="str">
        <f>IF(AE66&gt;0,ROUND(INDEX(挂机升级突破!$BX$6:$CH$57,卡牌消耗!AI66,AE66)*INDEX(卡牌消耗!$B$7:$F$7,AG66)/$Q$4,0),"")</f>
        <v/>
      </c>
      <c r="AP66" s="106"/>
      <c r="AQ66" s="15"/>
      <c r="AR66" s="104">
        <v>62</v>
      </c>
      <c r="AS66" s="14">
        <f t="shared" si="10"/>
        <v>4</v>
      </c>
      <c r="AT66" s="14">
        <f>INDEX(挂机升级突破!$CM$7:$CM$26,AX66)</f>
        <v>5</v>
      </c>
      <c r="AU66" s="14">
        <f>INDEX(挂机升级突破!$CN$7:$CN$26,AX66)</f>
        <v>0</v>
      </c>
      <c r="AV66" s="14">
        <f t="shared" si="11"/>
        <v>2</v>
      </c>
      <c r="AW66" s="14" t="str">
        <f t="shared" si="12"/>
        <v>唐流雨</v>
      </c>
      <c r="AX66" s="14">
        <f t="shared" si="13"/>
        <v>2</v>
      </c>
      <c r="AY66" s="14" t="str">
        <f t="shared" si="14"/>
        <v>唐流雨2突</v>
      </c>
      <c r="AZ66" s="14" t="str">
        <f>IF(AT66&gt;0,INDEX(挂机升级突破!$CV$5:$CZ$5,卡牌消耗!AT66),"")</f>
        <v>金币</v>
      </c>
      <c r="BA66" s="14">
        <f>IF(AT66&gt;0,ROUND(INDEX(挂机升级突破!$CZ$7:$CZ$26,卡牌消耗!AX66)*INDEX(卡牌消耗!$B$8:$F$8,AV66)/$Q$4/500,0)*500,"")</f>
        <v>1500</v>
      </c>
      <c r="BB66" s="14" t="str">
        <f>IF(AU66&gt;0,INDEX(挂机升级突破!$CV$5:$CZ$5,卡牌消耗!AU66),"")</f>
        <v/>
      </c>
      <c r="BC66" s="14" t="str">
        <f>IF(AU66&gt;0,ROUND(INDEX(挂机升级突破!$CV$7:$CY$26,卡牌消耗!AX66,卡牌消耗!AU66)*INDEX($B$6:$F$6,AV66)/$Q$4/5,0)*5,"")</f>
        <v/>
      </c>
      <c r="BD66" s="104"/>
      <c r="BE66" s="104"/>
      <c r="BF66" s="106"/>
      <c r="BU66" s="15"/>
      <c r="BV66" s="14">
        <f>SUM(BX63:BX72)</f>
        <v>195</v>
      </c>
      <c r="BW66" s="50">
        <v>54</v>
      </c>
      <c r="BX66" s="50">
        <v>18</v>
      </c>
      <c r="BY66" s="21">
        <f t="shared" si="36"/>
        <v>9.2307692307692313E-2</v>
      </c>
      <c r="BZ66" s="65">
        <f t="shared" si="37"/>
        <v>2949</v>
      </c>
      <c r="CA66" s="50" t="e">
        <f>SUM(BZ$5:BZ66)</f>
        <v>#REF!</v>
      </c>
      <c r="CD66" s="136">
        <v>62</v>
      </c>
      <c r="CE66" s="14">
        <f t="shared" si="19"/>
        <v>13</v>
      </c>
      <c r="CF66" s="14">
        <f t="shared" si="0"/>
        <v>2</v>
      </c>
      <c r="CG66" s="14">
        <f t="shared" si="1"/>
        <v>1101013</v>
      </c>
      <c r="CH66" s="136" t="s">
        <v>1127</v>
      </c>
      <c r="CI66" s="14">
        <f t="shared" si="2"/>
        <v>2</v>
      </c>
      <c r="CJ66" s="14" t="str">
        <f t="shared" si="3"/>
        <v>吉拉-2星</v>
      </c>
      <c r="CK66" s="136" t="s">
        <v>1133</v>
      </c>
      <c r="CL66" s="14">
        <f t="shared" si="20"/>
        <v>3500</v>
      </c>
      <c r="CM66" s="14" t="str">
        <f t="shared" si="4"/>
        <v>吉拉碎片</v>
      </c>
      <c r="CN66" s="14">
        <f t="shared" si="21"/>
        <v>40</v>
      </c>
    </row>
    <row r="67" spans="1:92" ht="16.5" x14ac:dyDescent="0.2">
      <c r="A67" s="55">
        <v>1101026</v>
      </c>
      <c r="B67" s="55" t="s">
        <v>1122</v>
      </c>
      <c r="C67" s="55">
        <v>4</v>
      </c>
      <c r="D67" s="136">
        <v>5</v>
      </c>
      <c r="E67" s="136">
        <f>SUM(D$47:D67)</f>
        <v>105</v>
      </c>
      <c r="H67" s="15"/>
      <c r="I67" s="15"/>
      <c r="J67" s="15"/>
      <c r="K67" s="15"/>
      <c r="L67" s="15"/>
      <c r="M67" s="15"/>
      <c r="N67" s="15"/>
      <c r="O67" s="137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/>
      <c r="AA67" s="104">
        <v>63</v>
      </c>
      <c r="AB67" s="14">
        <f t="shared" si="5"/>
        <v>2</v>
      </c>
      <c r="AC67" s="14">
        <f>INDEX(挂机升级突破!$BU$6:$BU$57,卡牌消耗!AI67)</f>
        <v>11</v>
      </c>
      <c r="AD67" s="14">
        <f>INDEX(挂机升级突破!BV$6:BV$57,卡牌消耗!$AI67)</f>
        <v>2</v>
      </c>
      <c r="AE67" s="14">
        <f>INDEX(挂机升级突破!BW$6:BW$57,卡牌消耗!$AI67)</f>
        <v>0</v>
      </c>
      <c r="AF67" s="14" t="str">
        <f t="shared" si="6"/>
        <v>许褚</v>
      </c>
      <c r="AG67" s="14">
        <f t="shared" si="7"/>
        <v>3</v>
      </c>
      <c r="AH67" s="14" t="str">
        <f t="shared" si="8"/>
        <v>许褚魂火-11</v>
      </c>
      <c r="AI67" s="14">
        <f t="shared" si="9"/>
        <v>11</v>
      </c>
      <c r="AJ67" s="14" t="str">
        <f>INDEX(挂机升级突破!$BX$4:$CH$4,INDEX(挂机升级突破!$BU$6:$BU$57,卡牌消耗!AI67))</f>
        <v>金币</v>
      </c>
      <c r="AK67" s="14">
        <f>ROUND(INDEX(挂机升级突破!$BN$6:$BN$57,卡牌消耗!AI67)*INDEX(卡牌消耗!$B$8:$F$8,AG67)/$Q$4/50,0)*50</f>
        <v>2450</v>
      </c>
      <c r="AL67" s="14" t="str">
        <f>IF(AD67&gt;0,INDEX(挂机升级突破!$BX$4:$CH$4,AD67),"")</f>
        <v>蓝色基础材料</v>
      </c>
      <c r="AM67" s="14">
        <f>ROUND(INDEX(挂机升级突破!$BX$6:$CH$57,卡牌消耗!AI67,AD67)*INDEX(卡牌消耗!$B$5:$F$5,AG67)/$Q$4/5,0)*5</f>
        <v>1440</v>
      </c>
      <c r="AN67" s="14" t="str">
        <f>IF(AE67&gt;0,INDEX(挂机升级突破!$BX$4:$CH$4,AE67),"")</f>
        <v/>
      </c>
      <c r="AO67" s="14" t="str">
        <f>IF(AE67&gt;0,ROUND(INDEX(挂机升级突破!$BX$6:$CH$57,卡牌消耗!AI67,AE67)*INDEX(卡牌消耗!$B$7:$F$7,AG67)/$Q$4,0),"")</f>
        <v/>
      </c>
      <c r="AP67" s="106"/>
      <c r="AQ67" s="15"/>
      <c r="AR67" s="104">
        <v>63</v>
      </c>
      <c r="AS67" s="14">
        <f t="shared" si="10"/>
        <v>4</v>
      </c>
      <c r="AT67" s="14">
        <f>INDEX(挂机升级突破!$CM$7:$CM$26,AX67)</f>
        <v>5</v>
      </c>
      <c r="AU67" s="14">
        <f>INDEX(挂机升级突破!$CN$7:$CN$26,AX67)</f>
        <v>0</v>
      </c>
      <c r="AV67" s="14">
        <f t="shared" si="11"/>
        <v>2</v>
      </c>
      <c r="AW67" s="14" t="str">
        <f t="shared" si="12"/>
        <v>唐流雨</v>
      </c>
      <c r="AX67" s="14">
        <f t="shared" si="13"/>
        <v>3</v>
      </c>
      <c r="AY67" s="14" t="str">
        <f t="shared" si="14"/>
        <v>唐流雨3突</v>
      </c>
      <c r="AZ67" s="14" t="str">
        <f>IF(AT67&gt;0,INDEX(挂机升级突破!$CV$5:$CZ$5,卡牌消耗!AT67),"")</f>
        <v>金币</v>
      </c>
      <c r="BA67" s="14">
        <f>IF(AT67&gt;0,ROUND(INDEX(挂机升级突破!$CZ$7:$CZ$26,卡牌消耗!AX67)*INDEX(卡牌消耗!$B$8:$F$8,AV67)/$Q$4/500,0)*500,"")</f>
        <v>1500</v>
      </c>
      <c r="BB67" s="14" t="str">
        <f>IF(AU67&gt;0,INDEX(挂机升级突破!$CV$5:$CZ$5,卡牌消耗!AU67),"")</f>
        <v/>
      </c>
      <c r="BC67" s="14" t="str">
        <f>IF(AU67&gt;0,ROUND(INDEX(挂机升级突破!$CV$7:$CY$26,卡牌消耗!AX67,卡牌消耗!AU67)*INDEX($B$6:$F$6,AV67)/$Q$4/5,0)*5,"")</f>
        <v/>
      </c>
      <c r="BD67" s="104"/>
      <c r="BE67" s="104"/>
      <c r="BF67" s="106"/>
      <c r="BW67" s="50">
        <v>55</v>
      </c>
      <c r="BX67" s="50">
        <v>19</v>
      </c>
      <c r="BY67" s="21">
        <f t="shared" si="36"/>
        <v>9.7435897435897437E-2</v>
      </c>
      <c r="BZ67" s="65">
        <f t="shared" si="37"/>
        <v>3113</v>
      </c>
      <c r="CA67" s="50" t="e">
        <f>SUM(BZ$5:BZ67)</f>
        <v>#REF!</v>
      </c>
      <c r="CD67" s="136">
        <v>63</v>
      </c>
      <c r="CE67" s="14">
        <f t="shared" si="19"/>
        <v>13</v>
      </c>
      <c r="CF67" s="14">
        <f t="shared" si="0"/>
        <v>2</v>
      </c>
      <c r="CG67" s="14">
        <f t="shared" si="1"/>
        <v>1101013</v>
      </c>
      <c r="CH67" s="136" t="s">
        <v>1127</v>
      </c>
      <c r="CI67" s="14">
        <f t="shared" si="2"/>
        <v>3</v>
      </c>
      <c r="CJ67" s="14" t="str">
        <f t="shared" si="3"/>
        <v>吉拉-3星</v>
      </c>
      <c r="CK67" s="136" t="s">
        <v>1133</v>
      </c>
      <c r="CL67" s="14">
        <f t="shared" si="20"/>
        <v>7000</v>
      </c>
      <c r="CM67" s="14" t="str">
        <f t="shared" si="4"/>
        <v>吉拉碎片</v>
      </c>
      <c r="CN67" s="14">
        <f t="shared" si="21"/>
        <v>80</v>
      </c>
    </row>
    <row r="68" spans="1:92" ht="16.5" x14ac:dyDescent="0.2">
      <c r="A68" s="55">
        <v>1101030</v>
      </c>
      <c r="B68" s="55" t="s">
        <v>1123</v>
      </c>
      <c r="C68" s="55">
        <v>3</v>
      </c>
      <c r="D68" s="136">
        <v>5</v>
      </c>
      <c r="E68" s="136">
        <f>SUM(D$47:D68)</f>
        <v>110</v>
      </c>
      <c r="H68" s="15"/>
      <c r="I68" s="15"/>
      <c r="J68" s="15"/>
      <c r="K68" s="15"/>
      <c r="L68" s="15"/>
      <c r="M68" s="15"/>
      <c r="N68" s="15"/>
      <c r="O68" s="137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04">
        <v>64</v>
      </c>
      <c r="AB68" s="14">
        <f t="shared" si="5"/>
        <v>2</v>
      </c>
      <c r="AC68" s="14">
        <f>INDEX(挂机升级突破!$BU$6:$BU$57,卡牌消耗!AI68)</f>
        <v>11</v>
      </c>
      <c r="AD68" s="14">
        <f>INDEX(挂机升级突破!BV$6:BV$57,卡牌消耗!$AI68)</f>
        <v>2</v>
      </c>
      <c r="AE68" s="14">
        <f>INDEX(挂机升级突破!BW$6:BW$57,卡牌消耗!$AI68)</f>
        <v>0</v>
      </c>
      <c r="AF68" s="14" t="str">
        <f t="shared" si="6"/>
        <v>许褚</v>
      </c>
      <c r="AG68" s="14">
        <f t="shared" si="7"/>
        <v>3</v>
      </c>
      <c r="AH68" s="14" t="str">
        <f t="shared" si="8"/>
        <v>许褚魂火-12</v>
      </c>
      <c r="AI68" s="14">
        <f t="shared" si="9"/>
        <v>12</v>
      </c>
      <c r="AJ68" s="14" t="str">
        <f>INDEX(挂机升级突破!$BX$4:$CH$4,INDEX(挂机升级突破!$BU$6:$BU$57,卡牌消耗!AI68))</f>
        <v>金币</v>
      </c>
      <c r="AK68" s="14">
        <f>ROUND(INDEX(挂机升级突破!$BN$6:$BN$57,卡牌消耗!AI68)*INDEX(卡牌消耗!$B$8:$F$8,AG68)/$Q$4/50,0)*50</f>
        <v>2100</v>
      </c>
      <c r="AL68" s="14" t="str">
        <f>IF(AD68&gt;0,INDEX(挂机升级突破!$BX$4:$CH$4,AD68),"")</f>
        <v>蓝色基础材料</v>
      </c>
      <c r="AM68" s="14">
        <f>ROUND(INDEX(挂机升级突破!$BX$6:$CH$57,卡牌消耗!AI68,AD68)*INDEX(卡牌消耗!$B$5:$F$5,AG68)/$Q$4/5,0)*5</f>
        <v>1920</v>
      </c>
      <c r="AN68" s="14" t="str">
        <f>IF(AE68&gt;0,INDEX(挂机升级突破!$BX$4:$CH$4,AE68),"")</f>
        <v/>
      </c>
      <c r="AO68" s="14" t="str">
        <f>IF(AE68&gt;0,ROUND(INDEX(挂机升级突破!$BX$6:$CH$57,卡牌消耗!AI68,AE68)*INDEX(卡牌消耗!$B$7:$F$7,AG68)/$Q$4,0),"")</f>
        <v/>
      </c>
      <c r="AP68" s="106"/>
      <c r="AQ68" s="15"/>
      <c r="AR68" s="104">
        <v>64</v>
      </c>
      <c r="AS68" s="14">
        <f t="shared" si="10"/>
        <v>4</v>
      </c>
      <c r="AT68" s="14">
        <f>INDEX(挂机升级突破!$CM$7:$CM$26,AX68)</f>
        <v>5</v>
      </c>
      <c r="AU68" s="14">
        <f>INDEX(挂机升级突破!$CN$7:$CN$26,AX68)</f>
        <v>1</v>
      </c>
      <c r="AV68" s="14">
        <f t="shared" si="11"/>
        <v>2</v>
      </c>
      <c r="AW68" s="14" t="str">
        <f t="shared" si="12"/>
        <v>唐流雨</v>
      </c>
      <c r="AX68" s="14">
        <f t="shared" si="13"/>
        <v>4</v>
      </c>
      <c r="AY68" s="14" t="str">
        <f t="shared" si="14"/>
        <v>唐流雨4突</v>
      </c>
      <c r="AZ68" s="14" t="str">
        <f>IF(AT68&gt;0,INDEX(挂机升级突破!$CV$5:$CZ$5,卡牌消耗!AT68),"")</f>
        <v>金币</v>
      </c>
      <c r="BA68" s="14">
        <f>IF(AT68&gt;0,ROUND(INDEX(挂机升级突破!$CZ$7:$CZ$26,卡牌消耗!AX68)*INDEX(卡牌消耗!$B$8:$F$8,AV68)/$Q$4/500,0)*500,"")</f>
        <v>2000</v>
      </c>
      <c r="BB68" s="14" t="str">
        <f>IF(AU68&gt;0,INDEX(挂机升级突破!$CV$5:$CZ$5,卡牌消耗!AU68),"")</f>
        <v>玄铁</v>
      </c>
      <c r="BC68" s="14">
        <f>IF(AU68&gt;0,ROUND(INDEX(挂机升级突破!$CV$7:$CY$26,卡牌消耗!AX68,卡牌消耗!AU68)*INDEX($B$6:$F$6,AV68)/$Q$4/5,0)*5,"")</f>
        <v>45</v>
      </c>
      <c r="BD68" s="104"/>
      <c r="BE68" s="104"/>
      <c r="BF68" s="106"/>
      <c r="BW68" s="50">
        <v>56</v>
      </c>
      <c r="BX68" s="50">
        <v>20</v>
      </c>
      <c r="BY68" s="21">
        <f t="shared" si="36"/>
        <v>0.10256410256410256</v>
      </c>
      <c r="BZ68" s="65">
        <f t="shared" si="37"/>
        <v>3276</v>
      </c>
      <c r="CA68" s="50" t="e">
        <f>SUM(BZ$5:BZ68)</f>
        <v>#REF!</v>
      </c>
      <c r="CD68" s="136">
        <v>64</v>
      </c>
      <c r="CE68" s="14">
        <f t="shared" si="19"/>
        <v>13</v>
      </c>
      <c r="CF68" s="14">
        <f t="shared" si="0"/>
        <v>2</v>
      </c>
      <c r="CG68" s="14">
        <f t="shared" si="1"/>
        <v>1101013</v>
      </c>
      <c r="CH68" s="136" t="s">
        <v>1127</v>
      </c>
      <c r="CI68" s="14">
        <f t="shared" si="2"/>
        <v>4</v>
      </c>
      <c r="CJ68" s="14" t="str">
        <f t="shared" si="3"/>
        <v>吉拉-4星</v>
      </c>
      <c r="CK68" s="136" t="s">
        <v>1133</v>
      </c>
      <c r="CL68" s="14">
        <f t="shared" si="20"/>
        <v>16000</v>
      </c>
      <c r="CM68" s="14" t="str">
        <f t="shared" si="4"/>
        <v>吉拉碎片</v>
      </c>
      <c r="CN68" s="14">
        <f t="shared" si="21"/>
        <v>120</v>
      </c>
    </row>
    <row r="69" spans="1:92" ht="16.5" x14ac:dyDescent="0.2">
      <c r="A69" s="139">
        <v>1101043</v>
      </c>
      <c r="B69" s="139" t="s">
        <v>1167</v>
      </c>
      <c r="C69" s="139">
        <v>4</v>
      </c>
      <c r="D69" s="139">
        <v>5</v>
      </c>
      <c r="E69" s="139">
        <f>SUM(D$47:D69)</f>
        <v>115</v>
      </c>
      <c r="H69" s="15"/>
      <c r="I69" s="15"/>
      <c r="J69" s="15"/>
      <c r="K69" s="15"/>
      <c r="L69" s="15"/>
      <c r="M69" s="15"/>
      <c r="N69" s="15"/>
      <c r="O69" s="137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41"/>
      <c r="AA69" s="104">
        <v>65</v>
      </c>
      <c r="AB69" s="14">
        <f t="shared" si="5"/>
        <v>2</v>
      </c>
      <c r="AC69" s="14">
        <f>INDEX(挂机升级突破!$BU$6:$BU$57,卡牌消耗!AI69)</f>
        <v>11</v>
      </c>
      <c r="AD69" s="14">
        <f>INDEX(挂机升级突破!BV$6:BV$57,卡牌消耗!$AI69)</f>
        <v>2</v>
      </c>
      <c r="AE69" s="14">
        <f>INDEX(挂机升级突破!BW$6:BW$57,卡牌消耗!$AI69)</f>
        <v>0</v>
      </c>
      <c r="AF69" s="14" t="str">
        <f t="shared" si="6"/>
        <v>许褚</v>
      </c>
      <c r="AG69" s="14">
        <f t="shared" si="7"/>
        <v>3</v>
      </c>
      <c r="AH69" s="14" t="str">
        <f t="shared" si="8"/>
        <v>许褚魂火-13</v>
      </c>
      <c r="AI69" s="14">
        <f t="shared" si="9"/>
        <v>13</v>
      </c>
      <c r="AJ69" s="14" t="str">
        <f>INDEX(挂机升级突破!$BX$4:$CH$4,INDEX(挂机升级突破!$BU$6:$BU$57,卡牌消耗!AI69))</f>
        <v>金币</v>
      </c>
      <c r="AK69" s="14">
        <f>ROUND(INDEX(挂机升级突破!$BN$6:$BN$57,卡牌消耗!AI69)*INDEX(卡牌消耗!$B$8:$F$8,AG69)/$Q$4/50,0)*50</f>
        <v>2100</v>
      </c>
      <c r="AL69" s="14" t="str">
        <f>IF(AD69&gt;0,INDEX(挂机升级突破!$BX$4:$CH$4,AD69),"")</f>
        <v>蓝色基础材料</v>
      </c>
      <c r="AM69" s="14">
        <f>ROUND(INDEX(挂机升级突破!$BX$6:$CH$57,卡牌消耗!AI69,AD69)*INDEX(卡牌消耗!$B$5:$F$5,AG69)/$Q$4/5,0)*5</f>
        <v>1920</v>
      </c>
      <c r="AN69" s="14" t="str">
        <f>IF(AE69&gt;0,INDEX(挂机升级突破!$BX$4:$CH$4,AE69),"")</f>
        <v/>
      </c>
      <c r="AO69" s="14" t="str">
        <f>IF(AE69&gt;0,ROUND(INDEX(挂机升级突破!$BX$6:$CH$57,卡牌消耗!AI69,AE69)*INDEX(卡牌消耗!$B$7:$F$7,AG69)/$Q$4,0),"")</f>
        <v/>
      </c>
      <c r="AP69" s="106"/>
      <c r="AQ69" s="15"/>
      <c r="AR69" s="104">
        <v>65</v>
      </c>
      <c r="AS69" s="14">
        <f t="shared" si="10"/>
        <v>4</v>
      </c>
      <c r="AT69" s="14">
        <f>INDEX(挂机升级突破!$CM$7:$CM$26,AX69)</f>
        <v>5</v>
      </c>
      <c r="AU69" s="14">
        <f>INDEX(挂机升级突破!$CN$7:$CN$26,AX69)</f>
        <v>1</v>
      </c>
      <c r="AV69" s="14">
        <f t="shared" si="11"/>
        <v>2</v>
      </c>
      <c r="AW69" s="14" t="str">
        <f t="shared" si="12"/>
        <v>唐流雨</v>
      </c>
      <c r="AX69" s="14">
        <f t="shared" si="13"/>
        <v>5</v>
      </c>
      <c r="AY69" s="14" t="str">
        <f t="shared" si="14"/>
        <v>唐流雨5突</v>
      </c>
      <c r="AZ69" s="14" t="str">
        <f>IF(AT69&gt;0,INDEX(挂机升级突破!$CV$5:$CZ$5,卡牌消耗!AT69),"")</f>
        <v>金币</v>
      </c>
      <c r="BA69" s="14">
        <f>IF(AT69&gt;0,ROUND(INDEX(挂机升级突破!$CZ$7:$CZ$26,卡牌消耗!AX69)*INDEX(卡牌消耗!$B$8:$F$8,AV69)/$Q$4/500,0)*500,"")</f>
        <v>2000</v>
      </c>
      <c r="BB69" s="14" t="str">
        <f>IF(AU69&gt;0,INDEX(挂机升级突破!$CV$5:$CZ$5,卡牌消耗!AU69),"")</f>
        <v>玄铁</v>
      </c>
      <c r="BC69" s="14">
        <f>IF(AU69&gt;0,ROUND(INDEX(挂机升级突破!$CV$7:$CY$26,卡牌消耗!AX69,卡牌消耗!AU69)*INDEX($B$6:$F$6,AV69)/$Q$4/5,0)*5,"")</f>
        <v>95</v>
      </c>
      <c r="BD69" s="104"/>
      <c r="BE69" s="104"/>
      <c r="BF69" s="106"/>
      <c r="BW69" s="50">
        <v>57</v>
      </c>
      <c r="BX69" s="50">
        <v>21</v>
      </c>
      <c r="BY69" s="21">
        <f t="shared" si="36"/>
        <v>0.1076923076923077</v>
      </c>
      <c r="BZ69" s="65">
        <f t="shared" si="37"/>
        <v>3440</v>
      </c>
      <c r="CA69" s="50" t="e">
        <f>SUM(BZ$5:BZ69)</f>
        <v>#REF!</v>
      </c>
      <c r="CD69" s="136">
        <v>65</v>
      </c>
      <c r="CE69" s="14">
        <f t="shared" si="19"/>
        <v>13</v>
      </c>
      <c r="CF69" s="14">
        <f t="shared" ref="CF69:CF132" si="38">INDEX($C$47:$C$97,CE69)</f>
        <v>2</v>
      </c>
      <c r="CG69" s="14">
        <f t="shared" ref="CG69:CG132" si="39">INDEX($A$47:$A$97,CE69)</f>
        <v>1101013</v>
      </c>
      <c r="CH69" s="136" t="s">
        <v>1127</v>
      </c>
      <c r="CI69" s="14">
        <f t="shared" ref="CI69:CI132" si="40">CD69-INDEX($E$46:$E$97,CE69)</f>
        <v>5</v>
      </c>
      <c r="CJ69" s="14" t="str">
        <f t="shared" ref="CJ69:CJ132" si="41">INDEX($B$47:$B$97,CE69)&amp;"-"&amp;CI69&amp;"星"</f>
        <v>吉拉-5星</v>
      </c>
      <c r="CK69" s="136" t="s">
        <v>1133</v>
      </c>
      <c r="CL69" s="14">
        <f t="shared" si="20"/>
        <v>30000</v>
      </c>
      <c r="CM69" s="14" t="str">
        <f t="shared" ref="CM69:CM132" si="42">INDEX($B$47:$B$97,CE69)&amp;"碎片"</f>
        <v>吉拉碎片</v>
      </c>
      <c r="CN69" s="14">
        <f t="shared" si="21"/>
        <v>160</v>
      </c>
    </row>
    <row r="70" spans="1:92" ht="16.5" x14ac:dyDescent="0.2">
      <c r="A70" s="55">
        <v>1102001</v>
      </c>
      <c r="B70" s="55" t="s">
        <v>182</v>
      </c>
      <c r="C70" s="55">
        <v>4</v>
      </c>
      <c r="D70" s="136">
        <v>5</v>
      </c>
      <c r="E70" s="139">
        <f>SUM(D$47:D70)</f>
        <v>120</v>
      </c>
      <c r="H70" s="15"/>
      <c r="I70" s="15"/>
      <c r="J70" s="15"/>
      <c r="K70" s="15"/>
      <c r="L70" s="15"/>
      <c r="M70" s="15"/>
      <c r="N70" s="15"/>
      <c r="O70" s="137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41"/>
      <c r="AA70" s="104">
        <v>66</v>
      </c>
      <c r="AB70" s="14">
        <f t="shared" ref="AB70:AB133" si="43">INT((AA70-1)/52)+1</f>
        <v>2</v>
      </c>
      <c r="AC70" s="14">
        <f>INDEX(挂机升级突破!$BU$6:$BU$57,卡牌消耗!AI70)</f>
        <v>11</v>
      </c>
      <c r="AD70" s="14">
        <f>INDEX(挂机升级突破!BV$6:BV$57,卡牌消耗!$AI70)</f>
        <v>3</v>
      </c>
      <c r="AE70" s="14">
        <f>INDEX(挂机升级突破!BW$6:BW$57,卡牌消耗!$AI70)</f>
        <v>0</v>
      </c>
      <c r="AF70" s="14" t="str">
        <f t="shared" ref="AF70:AF133" si="44">INDEX($B$13:$B$40,AB70)</f>
        <v>许褚</v>
      </c>
      <c r="AG70" s="14">
        <f t="shared" ref="AG70:AG133" si="45">INDEX($C$13:$C$40,AB70)</f>
        <v>3</v>
      </c>
      <c r="AH70" s="14" t="str">
        <f t="shared" ref="AH70:AH133" si="46">AF70&amp;"魂火-"&amp;AI70</f>
        <v>许褚魂火-14</v>
      </c>
      <c r="AI70" s="14">
        <f t="shared" ref="AI70:AI133" si="47">AA70-(AB70-1)*52</f>
        <v>14</v>
      </c>
      <c r="AJ70" s="14" t="str">
        <f>INDEX(挂机升级突破!$BX$4:$CH$4,INDEX(挂机升级突破!$BU$6:$BU$57,卡牌消耗!AI70))</f>
        <v>金币</v>
      </c>
      <c r="AK70" s="14">
        <f>ROUND(INDEX(挂机升级突破!$BN$6:$BN$57,卡牌消耗!AI70)*INDEX(卡牌消耗!$B$8:$F$8,AG70)/$Q$4/50,0)*50</f>
        <v>2350</v>
      </c>
      <c r="AL70" s="14" t="str">
        <f>IF(AD70&gt;0,INDEX(挂机升级突破!$BX$4:$CH$4,AD70),"")</f>
        <v>紫色基础材料</v>
      </c>
      <c r="AM70" s="14">
        <f>ROUND(INDEX(挂机升级突破!$BX$6:$CH$57,卡牌消耗!AI70,AD70)*INDEX(卡牌消耗!$B$5:$F$5,AG70)/$Q$4/5,0)*5</f>
        <v>170</v>
      </c>
      <c r="AN70" s="14" t="str">
        <f>IF(AE70&gt;0,INDEX(挂机升级突破!$BX$4:$CH$4,AE70),"")</f>
        <v/>
      </c>
      <c r="AO70" s="14" t="str">
        <f>IF(AE70&gt;0,ROUND(INDEX(挂机升级突破!$BX$6:$CH$57,卡牌消耗!AI70,AE70)*INDEX(卡牌消耗!$B$7:$F$7,AG70)/$Q$4,0),"")</f>
        <v/>
      </c>
      <c r="AP70" s="106"/>
      <c r="AQ70" s="15"/>
      <c r="AR70" s="104">
        <v>66</v>
      </c>
      <c r="AS70" s="14">
        <f t="shared" ref="AS70:AS133" si="48">INT((AR70-1)/20)+1</f>
        <v>4</v>
      </c>
      <c r="AT70" s="14">
        <f>INDEX(挂机升级突破!$CM$7:$CM$26,AX70)</f>
        <v>5</v>
      </c>
      <c r="AU70" s="14">
        <f>INDEX(挂机升级突破!$CN$7:$CN$26,AX70)</f>
        <v>1</v>
      </c>
      <c r="AV70" s="14">
        <f t="shared" ref="AV70:AV133" si="49">INDEX($C$13:$C$40,AS70)</f>
        <v>2</v>
      </c>
      <c r="AW70" s="14" t="str">
        <f t="shared" ref="AW70:AW133" si="50">INDEX($B$13:$B$40,AS70)</f>
        <v>唐流雨</v>
      </c>
      <c r="AX70" s="14">
        <f t="shared" ref="AX70:AX133" si="51">AR70-(AS70-1)*20</f>
        <v>6</v>
      </c>
      <c r="AY70" s="14" t="str">
        <f t="shared" ref="AY70:AY133" si="52">AW70&amp;AX70&amp;"突"</f>
        <v>唐流雨6突</v>
      </c>
      <c r="AZ70" s="14" t="str">
        <f>IF(AT70&gt;0,INDEX(挂机升级突破!$CV$5:$CZ$5,卡牌消耗!AT70),"")</f>
        <v>金币</v>
      </c>
      <c r="BA70" s="14">
        <f>IF(AT70&gt;0,ROUND(INDEX(挂机升级突破!$CZ$7:$CZ$26,卡牌消耗!AX70)*INDEX(卡牌消耗!$B$8:$F$8,AV70)/$Q$4/500,0)*500,"")</f>
        <v>3000</v>
      </c>
      <c r="BB70" s="14" t="str">
        <f>IF(AU70&gt;0,INDEX(挂机升级突破!$CV$5:$CZ$5,卡牌消耗!AU70),"")</f>
        <v>玄铁</v>
      </c>
      <c r="BC70" s="14">
        <f>IF(AU70&gt;0,ROUND(INDEX(挂机升级突破!$CV$7:$CY$26,卡牌消耗!AX70,卡牌消耗!AU70)*INDEX($B$6:$F$6,AV70)/$Q$4/5,0)*5,"")</f>
        <v>140</v>
      </c>
      <c r="BD70" s="104"/>
      <c r="BE70" s="104"/>
      <c r="BF70" s="106"/>
      <c r="BW70" s="50">
        <v>58</v>
      </c>
      <c r="BX70" s="50">
        <v>22</v>
      </c>
      <c r="BY70" s="21">
        <f t="shared" si="36"/>
        <v>0.11282051282051282</v>
      </c>
      <c r="BZ70" s="65">
        <f t="shared" si="37"/>
        <v>3604</v>
      </c>
      <c r="CA70" s="50" t="e">
        <f>SUM(BZ$5:BZ70)</f>
        <v>#REF!</v>
      </c>
      <c r="CD70" s="136">
        <v>66</v>
      </c>
      <c r="CE70" s="14">
        <f t="shared" ref="CE70:CE133" si="53">INT((CD70-1)/5)+1</f>
        <v>14</v>
      </c>
      <c r="CF70" s="14">
        <f t="shared" si="38"/>
        <v>3</v>
      </c>
      <c r="CG70" s="14">
        <f t="shared" si="39"/>
        <v>1101014</v>
      </c>
      <c r="CH70" s="136" t="s">
        <v>1127</v>
      </c>
      <c r="CI70" s="14">
        <f t="shared" si="40"/>
        <v>1</v>
      </c>
      <c r="CJ70" s="14" t="str">
        <f t="shared" si="41"/>
        <v>吕仙宫-1星</v>
      </c>
      <c r="CK70" s="136" t="s">
        <v>1133</v>
      </c>
      <c r="CL70" s="14">
        <f t="shared" ref="CL70:CL133" si="54">INDEX($K$21:$N$25,CI70,CF70-1)</f>
        <v>4000</v>
      </c>
      <c r="CM70" s="14" t="str">
        <f t="shared" si="42"/>
        <v>吕仙宫碎片</v>
      </c>
      <c r="CN70" s="14">
        <f t="shared" ref="CN70:CN133" si="55">INDEX($J$5:$M$9,CI70,CF70-1)</f>
        <v>40</v>
      </c>
    </row>
    <row r="71" spans="1:92" ht="16.5" x14ac:dyDescent="0.2">
      <c r="A71" s="55">
        <v>1102002</v>
      </c>
      <c r="B71" s="55" t="s">
        <v>183</v>
      </c>
      <c r="C71" s="55">
        <v>3</v>
      </c>
      <c r="D71" s="136">
        <v>5</v>
      </c>
      <c r="E71" s="139">
        <f>SUM(D$47:D71)</f>
        <v>125</v>
      </c>
      <c r="H71" s="15"/>
      <c r="I71" s="15"/>
      <c r="J71" s="15"/>
      <c r="K71" s="15"/>
      <c r="L71" s="15"/>
      <c r="M71" s="15"/>
      <c r="N71" s="15"/>
      <c r="O71" s="137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04">
        <v>67</v>
      </c>
      <c r="AB71" s="14">
        <f t="shared" si="43"/>
        <v>2</v>
      </c>
      <c r="AC71" s="14">
        <f>INDEX(挂机升级突破!$BU$6:$BU$57,卡牌消耗!AI71)</f>
        <v>11</v>
      </c>
      <c r="AD71" s="14">
        <f>INDEX(挂机升级突破!BV$6:BV$57,卡牌消耗!$AI71)</f>
        <v>3</v>
      </c>
      <c r="AE71" s="14">
        <f>INDEX(挂机升级突破!BW$6:BW$57,卡牌消耗!$AI71)</f>
        <v>0</v>
      </c>
      <c r="AF71" s="14" t="str">
        <f t="shared" si="44"/>
        <v>许褚</v>
      </c>
      <c r="AG71" s="14">
        <f t="shared" si="45"/>
        <v>3</v>
      </c>
      <c r="AH71" s="14" t="str">
        <f t="shared" si="46"/>
        <v>许褚魂火-15</v>
      </c>
      <c r="AI71" s="14">
        <f t="shared" si="47"/>
        <v>15</v>
      </c>
      <c r="AJ71" s="14" t="str">
        <f>INDEX(挂机升级突破!$BX$4:$CH$4,INDEX(挂机升级突破!$BU$6:$BU$57,卡牌消耗!AI71))</f>
        <v>金币</v>
      </c>
      <c r="AK71" s="14">
        <f>ROUND(INDEX(挂机升级突破!$BN$6:$BN$57,卡牌消耗!AI71)*INDEX(卡牌消耗!$B$8:$F$8,AG71)/$Q$4/50,0)*50</f>
        <v>2550</v>
      </c>
      <c r="AL71" s="14" t="str">
        <f>IF(AD71&gt;0,INDEX(挂机升级突破!$BX$4:$CH$4,AD71),"")</f>
        <v>紫色基础材料</v>
      </c>
      <c r="AM71" s="14">
        <f>ROUND(INDEX(挂机升级突破!$BX$6:$CH$57,卡牌消耗!AI71,AD71)*INDEX(卡牌消耗!$B$5:$F$5,AG71)/$Q$4/5,0)*5</f>
        <v>170</v>
      </c>
      <c r="AN71" s="14" t="str">
        <f>IF(AE71&gt;0,INDEX(挂机升级突破!$BX$4:$CH$4,AE71),"")</f>
        <v/>
      </c>
      <c r="AO71" s="14" t="str">
        <f>IF(AE71&gt;0,ROUND(INDEX(挂机升级突破!$BX$6:$CH$57,卡牌消耗!AI71,AE71)*INDEX(卡牌消耗!$B$7:$F$7,AG71)/$Q$4,0),"")</f>
        <v/>
      </c>
      <c r="AP71" s="106"/>
      <c r="AQ71" s="15"/>
      <c r="AR71" s="104">
        <v>67</v>
      </c>
      <c r="AS71" s="14">
        <f t="shared" si="48"/>
        <v>4</v>
      </c>
      <c r="AT71" s="14">
        <f>INDEX(挂机升级突破!$CM$7:$CM$26,AX71)</f>
        <v>5</v>
      </c>
      <c r="AU71" s="14">
        <f>INDEX(挂机升级突破!$CN$7:$CN$26,AX71)</f>
        <v>1</v>
      </c>
      <c r="AV71" s="14">
        <f t="shared" si="49"/>
        <v>2</v>
      </c>
      <c r="AW71" s="14" t="str">
        <f t="shared" si="50"/>
        <v>唐流雨</v>
      </c>
      <c r="AX71" s="14">
        <f t="shared" si="51"/>
        <v>7</v>
      </c>
      <c r="AY71" s="14" t="str">
        <f t="shared" si="52"/>
        <v>唐流雨7突</v>
      </c>
      <c r="AZ71" s="14" t="str">
        <f>IF(AT71&gt;0,INDEX(挂机升级突破!$CV$5:$CZ$5,卡牌消耗!AT71),"")</f>
        <v>金币</v>
      </c>
      <c r="BA71" s="14">
        <f>IF(AT71&gt;0,ROUND(INDEX(挂机升级突破!$CZ$7:$CZ$26,卡牌消耗!AX71)*INDEX(卡牌消耗!$B$8:$F$8,AV71)/$Q$4/500,0)*500,"")</f>
        <v>4500</v>
      </c>
      <c r="BB71" s="14" t="str">
        <f>IF(AU71&gt;0,INDEX(挂机升级突破!$CV$5:$CZ$5,卡牌消耗!AU71),"")</f>
        <v>玄铁</v>
      </c>
      <c r="BC71" s="14">
        <f>IF(AU71&gt;0,ROUND(INDEX(挂机升级突破!$CV$7:$CY$26,卡牌消耗!AX71,卡牌消耗!AU71)*INDEX($B$6:$F$6,AV71)/$Q$4/5,0)*5,"")</f>
        <v>230</v>
      </c>
      <c r="BD71" s="104"/>
      <c r="BE71" s="104"/>
      <c r="BF71" s="106"/>
      <c r="BW71" s="50">
        <v>59</v>
      </c>
      <c r="BX71" s="50">
        <v>23</v>
      </c>
      <c r="BY71" s="21">
        <f t="shared" si="36"/>
        <v>0.11794871794871795</v>
      </c>
      <c r="BZ71" s="65">
        <f t="shared" si="37"/>
        <v>3768</v>
      </c>
      <c r="CA71" s="50" t="e">
        <f>SUM(BZ$5:BZ71)</f>
        <v>#REF!</v>
      </c>
      <c r="CD71" s="136">
        <v>67</v>
      </c>
      <c r="CE71" s="14">
        <f t="shared" si="53"/>
        <v>14</v>
      </c>
      <c r="CF71" s="14">
        <f t="shared" si="38"/>
        <v>3</v>
      </c>
      <c r="CG71" s="14">
        <f t="shared" si="39"/>
        <v>1101014</v>
      </c>
      <c r="CH71" s="136" t="s">
        <v>1127</v>
      </c>
      <c r="CI71" s="14">
        <f t="shared" si="40"/>
        <v>2</v>
      </c>
      <c r="CJ71" s="14" t="str">
        <f t="shared" si="41"/>
        <v>吕仙宫-2星</v>
      </c>
      <c r="CK71" s="136" t="s">
        <v>1133</v>
      </c>
      <c r="CL71" s="14">
        <f t="shared" si="54"/>
        <v>5000</v>
      </c>
      <c r="CM71" s="14" t="str">
        <f t="shared" si="42"/>
        <v>吕仙宫碎片</v>
      </c>
      <c r="CN71" s="14">
        <f t="shared" si="55"/>
        <v>80</v>
      </c>
    </row>
    <row r="72" spans="1:92" ht="16.5" x14ac:dyDescent="0.2">
      <c r="A72" s="55">
        <v>1102003</v>
      </c>
      <c r="B72" s="55" t="s">
        <v>184</v>
      </c>
      <c r="C72" s="55">
        <v>4</v>
      </c>
      <c r="D72" s="136">
        <v>5</v>
      </c>
      <c r="E72" s="139">
        <f>SUM(D$47:D72)</f>
        <v>130</v>
      </c>
      <c r="H72" s="15"/>
      <c r="I72" s="15"/>
      <c r="J72" s="15"/>
      <c r="K72" s="15"/>
      <c r="L72" s="15"/>
      <c r="M72" s="15"/>
      <c r="N72" s="15"/>
      <c r="O72" s="137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41"/>
      <c r="AA72" s="104">
        <v>68</v>
      </c>
      <c r="AB72" s="14">
        <f t="shared" si="43"/>
        <v>2</v>
      </c>
      <c r="AC72" s="14">
        <f>INDEX(挂机升级突破!$BU$6:$BU$57,卡牌消耗!AI72)</f>
        <v>11</v>
      </c>
      <c r="AD72" s="14">
        <f>INDEX(挂机升级突破!BV$6:BV$57,卡牌消耗!$AI72)</f>
        <v>3</v>
      </c>
      <c r="AE72" s="14">
        <f>INDEX(挂机升级突破!BW$6:BW$57,卡牌消耗!$AI72)</f>
        <v>0</v>
      </c>
      <c r="AF72" s="14" t="str">
        <f t="shared" si="44"/>
        <v>许褚</v>
      </c>
      <c r="AG72" s="14">
        <f t="shared" si="45"/>
        <v>3</v>
      </c>
      <c r="AH72" s="14" t="str">
        <f t="shared" si="46"/>
        <v>许褚魂火-16</v>
      </c>
      <c r="AI72" s="14">
        <f t="shared" si="47"/>
        <v>16</v>
      </c>
      <c r="AJ72" s="14" t="str">
        <f>INDEX(挂机升级突破!$BX$4:$CH$4,INDEX(挂机升级突破!$BU$6:$BU$57,卡牌消耗!AI72))</f>
        <v>金币</v>
      </c>
      <c r="AK72" s="14">
        <f>ROUND(INDEX(挂机升级突破!$BN$6:$BN$57,卡牌消耗!AI72)*INDEX(卡牌消耗!$B$8:$F$8,AG72)/$Q$4/50,0)*50</f>
        <v>2550</v>
      </c>
      <c r="AL72" s="14" t="str">
        <f>IF(AD72&gt;0,INDEX(挂机升级突破!$BX$4:$CH$4,AD72),"")</f>
        <v>紫色基础材料</v>
      </c>
      <c r="AM72" s="14">
        <f>ROUND(INDEX(挂机升级突破!$BX$6:$CH$57,卡牌消耗!AI72,AD72)*INDEX(卡牌消耗!$B$5:$F$5,AG72)/$Q$4/5,0)*5</f>
        <v>170</v>
      </c>
      <c r="AN72" s="14" t="str">
        <f>IF(AE72&gt;0,INDEX(挂机升级突破!$BX$4:$CH$4,AE72),"")</f>
        <v/>
      </c>
      <c r="AO72" s="14" t="str">
        <f>IF(AE72&gt;0,ROUND(INDEX(挂机升级突破!$BX$6:$CH$57,卡牌消耗!AI72,AE72)*INDEX(卡牌消耗!$B$7:$F$7,AG72)/$Q$4,0),"")</f>
        <v/>
      </c>
      <c r="AP72" s="106"/>
      <c r="AQ72" s="15"/>
      <c r="AR72" s="104">
        <v>68</v>
      </c>
      <c r="AS72" s="14">
        <f t="shared" si="48"/>
        <v>4</v>
      </c>
      <c r="AT72" s="14">
        <f>INDEX(挂机升级突破!$CM$7:$CM$26,AX72)</f>
        <v>5</v>
      </c>
      <c r="AU72" s="14">
        <f>INDEX(挂机升级突破!$CN$7:$CN$26,AX72)</f>
        <v>1</v>
      </c>
      <c r="AV72" s="14">
        <f t="shared" si="49"/>
        <v>2</v>
      </c>
      <c r="AW72" s="14" t="str">
        <f t="shared" si="50"/>
        <v>唐流雨</v>
      </c>
      <c r="AX72" s="14">
        <f t="shared" si="51"/>
        <v>8</v>
      </c>
      <c r="AY72" s="14" t="str">
        <f t="shared" si="52"/>
        <v>唐流雨8突</v>
      </c>
      <c r="AZ72" s="14" t="str">
        <f>IF(AT72&gt;0,INDEX(挂机升级突破!$CV$5:$CZ$5,卡牌消耗!AT72),"")</f>
        <v>金币</v>
      </c>
      <c r="BA72" s="14">
        <f>IF(AT72&gt;0,ROUND(INDEX(挂机升级突破!$CZ$7:$CZ$26,卡牌消耗!AX72)*INDEX(卡牌消耗!$B$8:$F$8,AV72)/$Q$4/500,0)*500,"")</f>
        <v>4500</v>
      </c>
      <c r="BB72" s="14" t="str">
        <f>IF(AU72&gt;0,INDEX(挂机升级突破!$CV$5:$CZ$5,卡牌消耗!AU72),"")</f>
        <v>玄铁</v>
      </c>
      <c r="BC72" s="14">
        <f>IF(AU72&gt;0,ROUND(INDEX(挂机升级突破!$CV$7:$CY$26,卡牌消耗!AX72,卡牌消耗!AU72)*INDEX($B$6:$F$6,AV72)/$Q$4/5,0)*5,"")</f>
        <v>415</v>
      </c>
      <c r="BD72" s="104"/>
      <c r="BE72" s="104"/>
      <c r="BF72" s="106"/>
      <c r="BW72" s="50">
        <v>60</v>
      </c>
      <c r="BX72" s="50">
        <v>24</v>
      </c>
      <c r="BY72" s="21">
        <f t="shared" si="36"/>
        <v>0.12307692307692308</v>
      </c>
      <c r="BZ72" s="65">
        <f t="shared" si="37"/>
        <v>3932</v>
      </c>
      <c r="CA72" s="50" t="e">
        <f>SUM(BZ$5:BZ72)</f>
        <v>#REF!</v>
      </c>
      <c r="CD72" s="136">
        <v>68</v>
      </c>
      <c r="CE72" s="14">
        <f t="shared" si="53"/>
        <v>14</v>
      </c>
      <c r="CF72" s="14">
        <f t="shared" si="38"/>
        <v>3</v>
      </c>
      <c r="CG72" s="14">
        <f t="shared" si="39"/>
        <v>1101014</v>
      </c>
      <c r="CH72" s="136" t="s">
        <v>1127</v>
      </c>
      <c r="CI72" s="14">
        <f t="shared" si="40"/>
        <v>3</v>
      </c>
      <c r="CJ72" s="14" t="str">
        <f t="shared" si="41"/>
        <v>吕仙宫-3星</v>
      </c>
      <c r="CK72" s="136" t="s">
        <v>1133</v>
      </c>
      <c r="CL72" s="14">
        <f t="shared" si="54"/>
        <v>10000</v>
      </c>
      <c r="CM72" s="14" t="str">
        <f t="shared" si="42"/>
        <v>吕仙宫碎片</v>
      </c>
      <c r="CN72" s="14">
        <f t="shared" si="55"/>
        <v>120</v>
      </c>
    </row>
    <row r="73" spans="1:92" ht="16.5" x14ac:dyDescent="0.2">
      <c r="A73" s="55">
        <v>1102004</v>
      </c>
      <c r="B73" s="55" t="s">
        <v>185</v>
      </c>
      <c r="C73" s="55">
        <v>2</v>
      </c>
      <c r="D73" s="136">
        <v>5</v>
      </c>
      <c r="E73" s="139">
        <f>SUM(D$47:D73)</f>
        <v>135</v>
      </c>
      <c r="H73" s="15"/>
      <c r="I73" s="15"/>
      <c r="J73" s="15"/>
      <c r="K73" s="15"/>
      <c r="L73" s="15"/>
      <c r="M73" s="15"/>
      <c r="N73" s="15"/>
      <c r="O73" s="137"/>
      <c r="P73" s="141"/>
      <c r="Q73" s="141"/>
      <c r="R73" s="141"/>
      <c r="S73" s="141"/>
      <c r="T73" s="141"/>
      <c r="U73" s="141"/>
      <c r="V73" s="141"/>
      <c r="W73" s="141"/>
      <c r="X73" s="141"/>
      <c r="Y73" s="141"/>
      <c r="Z73" s="141"/>
      <c r="AA73" s="104">
        <v>69</v>
      </c>
      <c r="AB73" s="14">
        <f t="shared" si="43"/>
        <v>2</v>
      </c>
      <c r="AC73" s="14">
        <f>INDEX(挂机升级突破!$BU$6:$BU$57,卡牌消耗!AI73)</f>
        <v>11</v>
      </c>
      <c r="AD73" s="14">
        <f>INDEX(挂机升级突破!BV$6:BV$57,卡牌消耗!$AI73)</f>
        <v>3</v>
      </c>
      <c r="AE73" s="14">
        <f>INDEX(挂机升级突破!BW$6:BW$57,卡牌消耗!$AI73)</f>
        <v>0</v>
      </c>
      <c r="AF73" s="14" t="str">
        <f t="shared" si="44"/>
        <v>许褚</v>
      </c>
      <c r="AG73" s="14">
        <f t="shared" si="45"/>
        <v>3</v>
      </c>
      <c r="AH73" s="14" t="str">
        <f t="shared" si="46"/>
        <v>许褚魂火-17</v>
      </c>
      <c r="AI73" s="14">
        <f t="shared" si="47"/>
        <v>17</v>
      </c>
      <c r="AJ73" s="14" t="str">
        <f>INDEX(挂机升级突破!$BX$4:$CH$4,INDEX(挂机升级突破!$BU$6:$BU$57,卡牌消耗!AI73))</f>
        <v>金币</v>
      </c>
      <c r="AK73" s="14">
        <f>ROUND(INDEX(挂机升级突破!$BN$6:$BN$57,卡牌消耗!AI73)*INDEX(卡牌消耗!$B$8:$F$8,AG73)/$Q$4/50,0)*50</f>
        <v>3200</v>
      </c>
      <c r="AL73" s="14" t="str">
        <f>IF(AD73&gt;0,INDEX(挂机升级突破!$BX$4:$CH$4,AD73),"")</f>
        <v>紫色基础材料</v>
      </c>
      <c r="AM73" s="14">
        <f>ROUND(INDEX(挂机升级突破!$BX$6:$CH$57,卡牌消耗!AI73,AD73)*INDEX(卡牌消耗!$B$5:$F$5,AG73)/$Q$4/5,0)*5</f>
        <v>335</v>
      </c>
      <c r="AN73" s="14" t="str">
        <f>IF(AE73&gt;0,INDEX(挂机升级突破!$BX$4:$CH$4,AE73),"")</f>
        <v/>
      </c>
      <c r="AO73" s="14" t="str">
        <f>IF(AE73&gt;0,ROUND(INDEX(挂机升级突破!$BX$6:$CH$57,卡牌消耗!AI73,AE73)*INDEX(卡牌消耗!$B$7:$F$7,AG73)/$Q$4,0),"")</f>
        <v/>
      </c>
      <c r="AP73" s="106"/>
      <c r="AQ73" s="15"/>
      <c r="AR73" s="104">
        <v>69</v>
      </c>
      <c r="AS73" s="14">
        <f t="shared" si="48"/>
        <v>4</v>
      </c>
      <c r="AT73" s="14">
        <f>INDEX(挂机升级突破!$CM$7:$CM$26,AX73)</f>
        <v>5</v>
      </c>
      <c r="AU73" s="14">
        <f>INDEX(挂机升级突破!$CN$7:$CN$26,AX73)</f>
        <v>2</v>
      </c>
      <c r="AV73" s="14">
        <f t="shared" si="49"/>
        <v>2</v>
      </c>
      <c r="AW73" s="14" t="str">
        <f t="shared" si="50"/>
        <v>唐流雨</v>
      </c>
      <c r="AX73" s="14">
        <f t="shared" si="51"/>
        <v>9</v>
      </c>
      <c r="AY73" s="14" t="str">
        <f t="shared" si="52"/>
        <v>唐流雨9突</v>
      </c>
      <c r="AZ73" s="14" t="str">
        <f>IF(AT73&gt;0,INDEX(挂机升级突破!$CV$5:$CZ$5,卡牌消耗!AT73),"")</f>
        <v>金币</v>
      </c>
      <c r="BA73" s="14">
        <f>IF(AT73&gt;0,ROUND(INDEX(挂机升级突破!$CZ$7:$CZ$26,卡牌消耗!AX73)*INDEX(卡牌消耗!$B$8:$F$8,AV73)/$Q$4/500,0)*500,"")</f>
        <v>6000</v>
      </c>
      <c r="BB73" s="14" t="str">
        <f>IF(AU73&gt;0,INDEX(挂机升级突破!$CV$5:$CZ$5,卡牌消耗!AU73),"")</f>
        <v>乌金</v>
      </c>
      <c r="BC73" s="14">
        <f>IF(AU73&gt;0,ROUND(INDEX(挂机升级突破!$CV$7:$CY$26,卡牌消耗!AX73,卡牌消耗!AU73)*INDEX($B$6:$F$6,AV73)/$Q$4/5,0)*5,"")</f>
        <v>50</v>
      </c>
      <c r="BD73" s="104"/>
      <c r="BE73" s="104"/>
      <c r="BF73" s="106"/>
      <c r="BU73" s="50" t="s">
        <v>310</v>
      </c>
      <c r="BV73" s="50">
        <v>7</v>
      </c>
      <c r="BW73" s="50">
        <v>61</v>
      </c>
      <c r="BX73" s="50">
        <v>15</v>
      </c>
      <c r="BY73" s="21">
        <f t="shared" ref="BY73:BY82" si="56">BX73/BV$76</f>
        <v>7.6923076923076927E-2</v>
      </c>
      <c r="BZ73" s="50">
        <f>INT(BV$74*BY73)</f>
        <v>2564</v>
      </c>
      <c r="CA73" s="50" t="e">
        <f>SUM(BZ$5:BZ73)</f>
        <v>#REF!</v>
      </c>
      <c r="CD73" s="136">
        <v>69</v>
      </c>
      <c r="CE73" s="14">
        <f t="shared" si="53"/>
        <v>14</v>
      </c>
      <c r="CF73" s="14">
        <f t="shared" si="38"/>
        <v>3</v>
      </c>
      <c r="CG73" s="14">
        <f t="shared" si="39"/>
        <v>1101014</v>
      </c>
      <c r="CH73" s="136" t="s">
        <v>1127</v>
      </c>
      <c r="CI73" s="14">
        <f t="shared" si="40"/>
        <v>4</v>
      </c>
      <c r="CJ73" s="14" t="str">
        <f t="shared" si="41"/>
        <v>吕仙宫-4星</v>
      </c>
      <c r="CK73" s="136" t="s">
        <v>1133</v>
      </c>
      <c r="CL73" s="14">
        <f t="shared" si="54"/>
        <v>20000</v>
      </c>
      <c r="CM73" s="14" t="str">
        <f t="shared" si="42"/>
        <v>吕仙宫碎片</v>
      </c>
      <c r="CN73" s="14">
        <f t="shared" si="55"/>
        <v>160</v>
      </c>
    </row>
    <row r="74" spans="1:92" ht="16.5" x14ac:dyDescent="0.2">
      <c r="A74" s="55">
        <v>1102005</v>
      </c>
      <c r="B74" s="55" t="s">
        <v>186</v>
      </c>
      <c r="C74" s="55">
        <v>3</v>
      </c>
      <c r="D74" s="136">
        <v>5</v>
      </c>
      <c r="E74" s="139">
        <f>SUM(D$47:D74)</f>
        <v>140</v>
      </c>
      <c r="H74" s="15"/>
      <c r="I74" s="15"/>
      <c r="J74" s="15"/>
      <c r="K74" s="15"/>
      <c r="L74" s="15"/>
      <c r="M74" s="15"/>
      <c r="N74" s="15"/>
      <c r="O74" s="137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41"/>
      <c r="AA74" s="104">
        <v>70</v>
      </c>
      <c r="AB74" s="14">
        <f t="shared" si="43"/>
        <v>2</v>
      </c>
      <c r="AC74" s="14">
        <f>INDEX(挂机升级突破!$BU$6:$BU$57,卡牌消耗!AI74)</f>
        <v>11</v>
      </c>
      <c r="AD74" s="14">
        <f>INDEX(挂机升级突破!BV$6:BV$57,卡牌消耗!$AI74)</f>
        <v>3</v>
      </c>
      <c r="AE74" s="14">
        <f>INDEX(挂机升级突破!BW$6:BW$57,卡牌消耗!$AI74)</f>
        <v>0</v>
      </c>
      <c r="AF74" s="14" t="str">
        <f t="shared" si="44"/>
        <v>许褚</v>
      </c>
      <c r="AG74" s="14">
        <f t="shared" si="45"/>
        <v>3</v>
      </c>
      <c r="AH74" s="14" t="str">
        <f t="shared" si="46"/>
        <v>许褚魂火-18</v>
      </c>
      <c r="AI74" s="14">
        <f t="shared" si="47"/>
        <v>18</v>
      </c>
      <c r="AJ74" s="14" t="str">
        <f>INDEX(挂机升级突破!$BX$4:$CH$4,INDEX(挂机升级突破!$BU$6:$BU$57,卡牌消耗!AI74))</f>
        <v>金币</v>
      </c>
      <c r="AK74" s="14">
        <f>ROUND(INDEX(挂机升级突破!$BN$6:$BN$57,卡牌消耗!AI74)*INDEX(卡牌消耗!$B$8:$F$8,AG74)/$Q$4/50,0)*50</f>
        <v>3200</v>
      </c>
      <c r="AL74" s="14" t="str">
        <f>IF(AD74&gt;0,INDEX(挂机升级突破!$BX$4:$CH$4,AD74),"")</f>
        <v>紫色基础材料</v>
      </c>
      <c r="AM74" s="14">
        <f>ROUND(INDEX(挂机升级突破!$BX$6:$CH$57,卡牌消耗!AI74,AD74)*INDEX(卡牌消耗!$B$5:$F$5,AG74)/$Q$4/5,0)*5</f>
        <v>335</v>
      </c>
      <c r="AN74" s="14" t="str">
        <f>IF(AE74&gt;0,INDEX(挂机升级突破!$BX$4:$CH$4,AE74),"")</f>
        <v/>
      </c>
      <c r="AO74" s="14" t="str">
        <f>IF(AE74&gt;0,ROUND(INDEX(挂机升级突破!$BX$6:$CH$57,卡牌消耗!AI74,AE74)*INDEX(卡牌消耗!$B$7:$F$7,AG74)/$Q$4,0),"")</f>
        <v/>
      </c>
      <c r="AP74" s="106"/>
      <c r="AQ74" s="15"/>
      <c r="AR74" s="104">
        <v>70</v>
      </c>
      <c r="AS74" s="14">
        <f t="shared" si="48"/>
        <v>4</v>
      </c>
      <c r="AT74" s="14">
        <f>INDEX(挂机升级突破!$CM$7:$CM$26,AX74)</f>
        <v>5</v>
      </c>
      <c r="AU74" s="14">
        <f>INDEX(挂机升级突破!$CN$7:$CN$26,AX74)</f>
        <v>2</v>
      </c>
      <c r="AV74" s="14">
        <f t="shared" si="49"/>
        <v>2</v>
      </c>
      <c r="AW74" s="14" t="str">
        <f t="shared" si="50"/>
        <v>唐流雨</v>
      </c>
      <c r="AX74" s="14">
        <f t="shared" si="51"/>
        <v>10</v>
      </c>
      <c r="AY74" s="14" t="str">
        <f t="shared" si="52"/>
        <v>唐流雨10突</v>
      </c>
      <c r="AZ74" s="14" t="str">
        <f>IF(AT74&gt;0,INDEX(挂机升级突破!$CV$5:$CZ$5,卡牌消耗!AT74),"")</f>
        <v>金币</v>
      </c>
      <c r="BA74" s="14">
        <f>IF(AT74&gt;0,ROUND(INDEX(挂机升级突破!$CZ$7:$CZ$26,卡牌消耗!AX74)*INDEX(卡牌消耗!$B$8:$F$8,AV74)/$Q$4/500,0)*500,"")</f>
        <v>10000</v>
      </c>
      <c r="BB74" s="14" t="str">
        <f>IF(AU74&gt;0,INDEX(挂机升级突破!$CV$5:$CZ$5,卡牌消耗!AU74),"")</f>
        <v>乌金</v>
      </c>
      <c r="BC74" s="14">
        <f>IF(AU74&gt;0,ROUND(INDEX(挂机升级突破!$CV$7:$CY$26,卡牌消耗!AX74,卡牌消耗!AU74)*INDEX($B$6:$F$6,AV74)/$Q$4/5,0)*5,"")</f>
        <v>70</v>
      </c>
      <c r="BD74" s="104"/>
      <c r="BE74" s="104"/>
      <c r="BF74" s="106"/>
      <c r="BU74" s="14" t="str">
        <f>INDEX($BH$5:$BH$19,BV73)</f>
        <v>35~40</v>
      </c>
      <c r="BV74" s="14">
        <f>INDEX($BQ$5:$BQ$19,BV73)</f>
        <v>33333</v>
      </c>
      <c r="BW74" s="50">
        <v>62</v>
      </c>
      <c r="BX74" s="50">
        <v>16</v>
      </c>
      <c r="BY74" s="21">
        <f t="shared" si="56"/>
        <v>8.2051282051282051E-2</v>
      </c>
      <c r="BZ74" s="65">
        <f t="shared" ref="BZ74:BZ81" si="57">INT(BV$74*BY74)</f>
        <v>2735</v>
      </c>
      <c r="CA74" s="50" t="e">
        <f>SUM(BZ$5:BZ74)</f>
        <v>#REF!</v>
      </c>
      <c r="CD74" s="136">
        <v>70</v>
      </c>
      <c r="CE74" s="14">
        <f t="shared" si="53"/>
        <v>14</v>
      </c>
      <c r="CF74" s="14">
        <f t="shared" si="38"/>
        <v>3</v>
      </c>
      <c r="CG74" s="14">
        <f t="shared" si="39"/>
        <v>1101014</v>
      </c>
      <c r="CH74" s="136" t="s">
        <v>1127</v>
      </c>
      <c r="CI74" s="14">
        <f t="shared" si="40"/>
        <v>5</v>
      </c>
      <c r="CJ74" s="14" t="str">
        <f t="shared" si="41"/>
        <v>吕仙宫-5星</v>
      </c>
      <c r="CK74" s="136" t="s">
        <v>1133</v>
      </c>
      <c r="CL74" s="14">
        <f t="shared" si="54"/>
        <v>40000</v>
      </c>
      <c r="CM74" s="14" t="str">
        <f t="shared" si="42"/>
        <v>吕仙宫碎片</v>
      </c>
      <c r="CN74" s="14">
        <f t="shared" si="55"/>
        <v>240</v>
      </c>
    </row>
    <row r="75" spans="1:92" ht="16.5" x14ac:dyDescent="0.2">
      <c r="A75" s="55">
        <v>1102006</v>
      </c>
      <c r="B75" s="55" t="s">
        <v>187</v>
      </c>
      <c r="C75" s="55">
        <v>4</v>
      </c>
      <c r="D75" s="136">
        <v>5</v>
      </c>
      <c r="E75" s="139">
        <f>SUM(D$47:D75)</f>
        <v>145</v>
      </c>
      <c r="H75" s="15"/>
      <c r="I75" s="15"/>
      <c r="J75" s="15"/>
      <c r="K75" s="15"/>
      <c r="L75" s="15"/>
      <c r="M75" s="15"/>
      <c r="N75" s="15"/>
      <c r="O75" s="137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41"/>
      <c r="AA75" s="104">
        <v>71</v>
      </c>
      <c r="AB75" s="14">
        <f t="shared" si="43"/>
        <v>2</v>
      </c>
      <c r="AC75" s="14">
        <f>INDEX(挂机升级突破!$BU$6:$BU$57,卡牌消耗!AI75)</f>
        <v>11</v>
      </c>
      <c r="AD75" s="14">
        <f>INDEX(挂机升级突破!BV$6:BV$57,卡牌消耗!$AI75)</f>
        <v>3</v>
      </c>
      <c r="AE75" s="14">
        <f>INDEX(挂机升级突破!BW$6:BW$57,卡牌消耗!$AI75)</f>
        <v>0</v>
      </c>
      <c r="AF75" s="14" t="str">
        <f t="shared" si="44"/>
        <v>许褚</v>
      </c>
      <c r="AG75" s="14">
        <f t="shared" si="45"/>
        <v>3</v>
      </c>
      <c r="AH75" s="14" t="str">
        <f t="shared" si="46"/>
        <v>许褚魂火-19</v>
      </c>
      <c r="AI75" s="14">
        <f t="shared" si="47"/>
        <v>19</v>
      </c>
      <c r="AJ75" s="14" t="str">
        <f>INDEX(挂机升级突破!$BX$4:$CH$4,INDEX(挂机升级突破!$BU$6:$BU$57,卡牌消耗!AI75))</f>
        <v>金币</v>
      </c>
      <c r="AK75" s="14">
        <f>ROUND(INDEX(挂机升级突破!$BN$6:$BN$57,卡牌消耗!AI75)*INDEX(卡牌消耗!$B$8:$F$8,AG75)/$Q$4/50,0)*50</f>
        <v>3200</v>
      </c>
      <c r="AL75" s="14" t="str">
        <f>IF(AD75&gt;0,INDEX(挂机升级突破!$BX$4:$CH$4,AD75),"")</f>
        <v>紫色基础材料</v>
      </c>
      <c r="AM75" s="14">
        <f>ROUND(INDEX(挂机升级突破!$BX$6:$CH$57,卡牌消耗!AI75,AD75)*INDEX(卡牌消耗!$B$5:$F$5,AG75)/$Q$4/5,0)*5</f>
        <v>335</v>
      </c>
      <c r="AN75" s="14" t="str">
        <f>IF(AE75&gt;0,INDEX(挂机升级突破!$BX$4:$CH$4,AE75),"")</f>
        <v/>
      </c>
      <c r="AO75" s="14" t="str">
        <f>IF(AE75&gt;0,ROUND(INDEX(挂机升级突破!$BX$6:$CH$57,卡牌消耗!AI75,AE75)*INDEX(卡牌消耗!$B$7:$F$7,AG75)/$Q$4,0),"")</f>
        <v/>
      </c>
      <c r="AP75" s="106"/>
      <c r="AQ75" s="15"/>
      <c r="AR75" s="104">
        <v>71</v>
      </c>
      <c r="AS75" s="14">
        <f t="shared" si="48"/>
        <v>4</v>
      </c>
      <c r="AT75" s="14">
        <f>INDEX(挂机升级突破!$CM$7:$CM$26,AX75)</f>
        <v>5</v>
      </c>
      <c r="AU75" s="14">
        <f>INDEX(挂机升级突破!$CN$7:$CN$26,AX75)</f>
        <v>2</v>
      </c>
      <c r="AV75" s="14">
        <f t="shared" si="49"/>
        <v>2</v>
      </c>
      <c r="AW75" s="14" t="str">
        <f t="shared" si="50"/>
        <v>唐流雨</v>
      </c>
      <c r="AX75" s="14">
        <f t="shared" si="51"/>
        <v>11</v>
      </c>
      <c r="AY75" s="14" t="str">
        <f t="shared" si="52"/>
        <v>唐流雨11突</v>
      </c>
      <c r="AZ75" s="14" t="str">
        <f>IF(AT75&gt;0,INDEX(挂机升级突破!$CV$5:$CZ$5,卡牌消耗!AT75),"")</f>
        <v>金币</v>
      </c>
      <c r="BA75" s="14">
        <f>IF(AT75&gt;0,ROUND(INDEX(挂机升级突破!$CZ$7:$CZ$26,卡牌消耗!AX75)*INDEX(卡牌消耗!$B$8:$F$8,AV75)/$Q$4/500,0)*500,"")</f>
        <v>10000</v>
      </c>
      <c r="BB75" s="14" t="str">
        <f>IF(AU75&gt;0,INDEX(挂机升级突破!$CV$5:$CZ$5,卡牌消耗!AU75),"")</f>
        <v>乌金</v>
      </c>
      <c r="BC75" s="14">
        <f>IF(AU75&gt;0,ROUND(INDEX(挂机升级突破!$CV$7:$CY$26,卡牌消耗!AX75,卡牌消耗!AU75)*INDEX($B$6:$F$6,AV75)/$Q$4/5,0)*5,"")</f>
        <v>95</v>
      </c>
      <c r="BD75" s="104"/>
      <c r="BE75" s="104"/>
      <c r="BF75" s="106"/>
      <c r="BU75" s="50" t="s">
        <v>309</v>
      </c>
      <c r="BV75" s="14">
        <f>INDEX($BR$5:$BR$19,BV73)</f>
        <v>4.5</v>
      </c>
      <c r="BW75" s="50">
        <v>63</v>
      </c>
      <c r="BX75" s="50">
        <v>17</v>
      </c>
      <c r="BY75" s="21">
        <f t="shared" si="56"/>
        <v>8.7179487179487175E-2</v>
      </c>
      <c r="BZ75" s="65">
        <f t="shared" si="57"/>
        <v>2905</v>
      </c>
      <c r="CA75" s="50" t="e">
        <f>SUM(BZ$5:BZ75)</f>
        <v>#REF!</v>
      </c>
      <c r="CD75" s="136">
        <v>71</v>
      </c>
      <c r="CE75" s="14">
        <f t="shared" si="53"/>
        <v>15</v>
      </c>
      <c r="CF75" s="14">
        <f t="shared" si="38"/>
        <v>2</v>
      </c>
      <c r="CG75" s="14">
        <f t="shared" si="39"/>
        <v>1101015</v>
      </c>
      <c r="CH75" s="136" t="s">
        <v>1127</v>
      </c>
      <c r="CI75" s="14">
        <f t="shared" si="40"/>
        <v>1</v>
      </c>
      <c r="CJ75" s="14" t="str">
        <f t="shared" si="41"/>
        <v>阎巧巧-1星</v>
      </c>
      <c r="CK75" s="136" t="s">
        <v>1133</v>
      </c>
      <c r="CL75" s="14">
        <f t="shared" si="54"/>
        <v>3000</v>
      </c>
      <c r="CM75" s="14" t="str">
        <f t="shared" si="42"/>
        <v>阎巧巧碎片</v>
      </c>
      <c r="CN75" s="14">
        <f t="shared" si="55"/>
        <v>20</v>
      </c>
    </row>
    <row r="76" spans="1:92" ht="16.5" x14ac:dyDescent="0.2">
      <c r="A76" s="55">
        <v>1102007</v>
      </c>
      <c r="B76" s="55" t="s">
        <v>188</v>
      </c>
      <c r="C76" s="55">
        <v>4</v>
      </c>
      <c r="D76" s="136">
        <v>5</v>
      </c>
      <c r="E76" s="139">
        <f>SUM(D$47:D76)</f>
        <v>150</v>
      </c>
      <c r="H76" s="15"/>
      <c r="I76" s="15"/>
      <c r="J76" s="15"/>
      <c r="K76" s="15"/>
      <c r="L76" s="15"/>
      <c r="M76" s="15"/>
      <c r="N76" s="15"/>
      <c r="O76" s="137"/>
      <c r="P76" s="141"/>
      <c r="Q76" s="141"/>
      <c r="R76" s="141"/>
      <c r="S76" s="141"/>
      <c r="T76" s="141"/>
      <c r="U76" s="141"/>
      <c r="V76" s="141"/>
      <c r="W76" s="141"/>
      <c r="X76" s="141"/>
      <c r="Y76" s="141"/>
      <c r="Z76" s="141"/>
      <c r="AA76" s="104">
        <v>72</v>
      </c>
      <c r="AB76" s="14">
        <f t="shared" si="43"/>
        <v>2</v>
      </c>
      <c r="AC76" s="14">
        <f>INDEX(挂机升级突破!$BU$6:$BU$57,卡牌消耗!AI76)</f>
        <v>11</v>
      </c>
      <c r="AD76" s="14">
        <f>INDEX(挂机升级突破!BV$6:BV$57,卡牌消耗!$AI76)</f>
        <v>3</v>
      </c>
      <c r="AE76" s="14">
        <f>INDEX(挂机升级突破!BW$6:BW$57,卡牌消耗!$AI76)</f>
        <v>0</v>
      </c>
      <c r="AF76" s="14" t="str">
        <f t="shared" si="44"/>
        <v>许褚</v>
      </c>
      <c r="AG76" s="14">
        <f t="shared" si="45"/>
        <v>3</v>
      </c>
      <c r="AH76" s="14" t="str">
        <f t="shared" si="46"/>
        <v>许褚魂火-20</v>
      </c>
      <c r="AI76" s="14">
        <f t="shared" si="47"/>
        <v>20</v>
      </c>
      <c r="AJ76" s="14" t="str">
        <f>INDEX(挂机升级突破!$BX$4:$CH$4,INDEX(挂机升级突破!$BU$6:$BU$57,卡牌消耗!AI76))</f>
        <v>金币</v>
      </c>
      <c r="AK76" s="14">
        <f>ROUND(INDEX(挂机升级突破!$BN$6:$BN$57,卡牌消耗!AI76)*INDEX(卡牌消耗!$B$8:$F$8,AG76)/$Q$4/50,0)*50</f>
        <v>3900</v>
      </c>
      <c r="AL76" s="14" t="str">
        <f>IF(AD76&gt;0,INDEX(挂机升级突破!$BX$4:$CH$4,AD76),"")</f>
        <v>紫色基础材料</v>
      </c>
      <c r="AM76" s="14">
        <f>ROUND(INDEX(挂机升级突破!$BX$6:$CH$57,卡牌消耗!AI76,AD76)*INDEX(卡牌消耗!$B$5:$F$5,AG76)/$Q$4/5,0)*5</f>
        <v>505</v>
      </c>
      <c r="AN76" s="14" t="str">
        <f>IF(AE76&gt;0,INDEX(挂机升级突破!$BX$4:$CH$4,AE76),"")</f>
        <v/>
      </c>
      <c r="AO76" s="14" t="str">
        <f>IF(AE76&gt;0,ROUND(INDEX(挂机升级突破!$BX$6:$CH$57,卡牌消耗!AI76,AE76)*INDEX(卡牌消耗!$B$7:$F$7,AG76)/$Q$4,0),"")</f>
        <v/>
      </c>
      <c r="AP76" s="106"/>
      <c r="AQ76" s="15"/>
      <c r="AR76" s="104">
        <v>72</v>
      </c>
      <c r="AS76" s="14">
        <f t="shared" si="48"/>
        <v>4</v>
      </c>
      <c r="AT76" s="14">
        <f>INDEX(挂机升级突破!$CM$7:$CM$26,AX76)</f>
        <v>5</v>
      </c>
      <c r="AU76" s="14">
        <f>INDEX(挂机升级突破!$CN$7:$CN$26,AX76)</f>
        <v>2</v>
      </c>
      <c r="AV76" s="14">
        <f t="shared" si="49"/>
        <v>2</v>
      </c>
      <c r="AW76" s="14" t="str">
        <f t="shared" si="50"/>
        <v>唐流雨</v>
      </c>
      <c r="AX76" s="14">
        <f t="shared" si="51"/>
        <v>12</v>
      </c>
      <c r="AY76" s="14" t="str">
        <f t="shared" si="52"/>
        <v>唐流雨12突</v>
      </c>
      <c r="AZ76" s="14" t="str">
        <f>IF(AT76&gt;0,INDEX(挂机升级突破!$CV$5:$CZ$5,卡牌消耗!AT76),"")</f>
        <v>金币</v>
      </c>
      <c r="BA76" s="14">
        <f>IF(AT76&gt;0,ROUND(INDEX(挂机升级突破!$CZ$7:$CZ$26,卡牌消耗!AX76)*INDEX(卡牌消耗!$B$8:$F$8,AV76)/$Q$4/500,0)*500,"")</f>
        <v>13500</v>
      </c>
      <c r="BB76" s="14" t="str">
        <f>IF(AU76&gt;0,INDEX(挂机升级突破!$CV$5:$CZ$5,卡牌消耗!AU76),"")</f>
        <v>乌金</v>
      </c>
      <c r="BC76" s="14">
        <f>IF(AU76&gt;0,ROUND(INDEX(挂机升级突破!$CV$7:$CY$26,卡牌消耗!AX76,卡牌消耗!AU76)*INDEX($B$6:$F$6,AV76)/$Q$4/5,0)*5,"")</f>
        <v>125</v>
      </c>
      <c r="BD76" s="104"/>
      <c r="BE76" s="104"/>
      <c r="BF76" s="106"/>
      <c r="BU76" s="15"/>
      <c r="BV76" s="14">
        <f>SUM(BX73:BX82)</f>
        <v>195</v>
      </c>
      <c r="BW76" s="50">
        <v>64</v>
      </c>
      <c r="BX76" s="50">
        <v>18</v>
      </c>
      <c r="BY76" s="21">
        <f t="shared" si="56"/>
        <v>9.2307692307692313E-2</v>
      </c>
      <c r="BZ76" s="65">
        <f t="shared" si="57"/>
        <v>3076</v>
      </c>
      <c r="CA76" s="50" t="e">
        <f>SUM(BZ$5:BZ76)</f>
        <v>#REF!</v>
      </c>
      <c r="CD76" s="136">
        <v>72</v>
      </c>
      <c r="CE76" s="14">
        <f t="shared" si="53"/>
        <v>15</v>
      </c>
      <c r="CF76" s="14">
        <f t="shared" si="38"/>
        <v>2</v>
      </c>
      <c r="CG76" s="14">
        <f t="shared" si="39"/>
        <v>1101015</v>
      </c>
      <c r="CH76" s="136" t="s">
        <v>1127</v>
      </c>
      <c r="CI76" s="14">
        <f t="shared" si="40"/>
        <v>2</v>
      </c>
      <c r="CJ76" s="14" t="str">
        <f t="shared" si="41"/>
        <v>阎巧巧-2星</v>
      </c>
      <c r="CK76" s="136" t="s">
        <v>1133</v>
      </c>
      <c r="CL76" s="14">
        <f t="shared" si="54"/>
        <v>3500</v>
      </c>
      <c r="CM76" s="14" t="str">
        <f t="shared" si="42"/>
        <v>阎巧巧碎片</v>
      </c>
      <c r="CN76" s="14">
        <f t="shared" si="55"/>
        <v>40</v>
      </c>
    </row>
    <row r="77" spans="1:92" ht="16.5" x14ac:dyDescent="0.2">
      <c r="A77" s="55">
        <v>1102008</v>
      </c>
      <c r="B77" s="55" t="s">
        <v>189</v>
      </c>
      <c r="C77" s="55">
        <v>4</v>
      </c>
      <c r="D77" s="136">
        <v>5</v>
      </c>
      <c r="E77" s="139">
        <f>SUM(D$47:D77)</f>
        <v>155</v>
      </c>
      <c r="H77" s="15"/>
      <c r="I77" s="15"/>
      <c r="J77" s="15"/>
      <c r="K77" s="15"/>
      <c r="L77" s="15"/>
      <c r="M77" s="15"/>
      <c r="N77" s="15"/>
      <c r="O77" s="137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04">
        <v>73</v>
      </c>
      <c r="AB77" s="14">
        <f t="shared" si="43"/>
        <v>2</v>
      </c>
      <c r="AC77" s="14">
        <f>INDEX(挂机升级突破!$BU$6:$BU$57,卡牌消耗!AI77)</f>
        <v>11</v>
      </c>
      <c r="AD77" s="14">
        <f>INDEX(挂机升级突破!BV$6:BV$57,卡牌消耗!$AI77)</f>
        <v>3</v>
      </c>
      <c r="AE77" s="14">
        <f>INDEX(挂机升级突破!BW$6:BW$57,卡牌消耗!$AI77)</f>
        <v>0</v>
      </c>
      <c r="AF77" s="14" t="str">
        <f t="shared" si="44"/>
        <v>许褚</v>
      </c>
      <c r="AG77" s="14">
        <f t="shared" si="45"/>
        <v>3</v>
      </c>
      <c r="AH77" s="14" t="str">
        <f t="shared" si="46"/>
        <v>许褚魂火-21</v>
      </c>
      <c r="AI77" s="14">
        <f t="shared" si="47"/>
        <v>21</v>
      </c>
      <c r="AJ77" s="14" t="str">
        <f>INDEX(挂机升级突破!$BX$4:$CH$4,INDEX(挂机升级突破!$BU$6:$BU$57,卡牌消耗!AI77))</f>
        <v>金币</v>
      </c>
      <c r="AK77" s="14">
        <f>ROUND(INDEX(挂机升级突破!$BN$6:$BN$57,卡牌消耗!AI77)*INDEX(卡牌消耗!$B$8:$F$8,AG77)/$Q$4/50,0)*50</f>
        <v>3900</v>
      </c>
      <c r="AL77" s="14" t="str">
        <f>IF(AD77&gt;0,INDEX(挂机升级突破!$BX$4:$CH$4,AD77),"")</f>
        <v>紫色基础材料</v>
      </c>
      <c r="AM77" s="14">
        <f>ROUND(INDEX(挂机升级突破!$BX$6:$CH$57,卡牌消耗!AI77,AD77)*INDEX(卡牌消耗!$B$5:$F$5,AG77)/$Q$4/5,0)*5</f>
        <v>505</v>
      </c>
      <c r="AN77" s="14" t="str">
        <f>IF(AE77&gt;0,INDEX(挂机升级突破!$BX$4:$CH$4,AE77),"")</f>
        <v/>
      </c>
      <c r="AO77" s="14" t="str">
        <f>IF(AE77&gt;0,ROUND(INDEX(挂机升级突破!$BX$6:$CH$57,卡牌消耗!AI77,AE77)*INDEX(卡牌消耗!$B$7:$F$7,AG77)/$Q$4,0),"")</f>
        <v/>
      </c>
      <c r="AP77" s="106"/>
      <c r="AQ77" s="15"/>
      <c r="AR77" s="104">
        <v>73</v>
      </c>
      <c r="AS77" s="14">
        <f t="shared" si="48"/>
        <v>4</v>
      </c>
      <c r="AT77" s="14">
        <f>INDEX(挂机升级突破!$CM$7:$CM$26,AX77)</f>
        <v>5</v>
      </c>
      <c r="AU77" s="14">
        <f>INDEX(挂机升级突破!$CN$7:$CN$26,AX77)</f>
        <v>3</v>
      </c>
      <c r="AV77" s="14">
        <f t="shared" si="49"/>
        <v>2</v>
      </c>
      <c r="AW77" s="14" t="str">
        <f t="shared" si="50"/>
        <v>唐流雨</v>
      </c>
      <c r="AX77" s="14">
        <f t="shared" si="51"/>
        <v>13</v>
      </c>
      <c r="AY77" s="14" t="str">
        <f t="shared" si="52"/>
        <v>唐流雨13突</v>
      </c>
      <c r="AZ77" s="14" t="str">
        <f>IF(AT77&gt;0,INDEX(挂机升级突破!$CV$5:$CZ$5,卡牌消耗!AT77),"")</f>
        <v>金币</v>
      </c>
      <c r="BA77" s="14">
        <f>IF(AT77&gt;0,ROUND(INDEX(挂机升级突破!$CZ$7:$CZ$26,卡牌消耗!AX77)*INDEX(卡牌消耗!$B$8:$F$8,AV77)/$Q$4/500,0)*500,"")</f>
        <v>18000</v>
      </c>
      <c r="BB77" s="14" t="str">
        <f>IF(AU77&gt;0,INDEX(挂机升级突破!$CV$5:$CZ$5,卡牌消耗!AU77),"")</f>
        <v>银母</v>
      </c>
      <c r="BC77" s="14">
        <f>IF(AU77&gt;0,ROUND(INDEX(挂机升级突破!$CV$7:$CY$26,卡牌消耗!AX77,卡牌消耗!AU77)*INDEX($B$6:$F$6,AV77)/$Q$4/5,0)*5,"")</f>
        <v>25</v>
      </c>
      <c r="BD77" s="104"/>
      <c r="BE77" s="104"/>
      <c r="BF77" s="106"/>
      <c r="BW77" s="50">
        <v>65</v>
      </c>
      <c r="BX77" s="50">
        <v>19</v>
      </c>
      <c r="BY77" s="21">
        <f t="shared" si="56"/>
        <v>9.7435897435897437E-2</v>
      </c>
      <c r="BZ77" s="65">
        <f t="shared" si="57"/>
        <v>3247</v>
      </c>
      <c r="CA77" s="50" t="e">
        <f>SUM(BZ$5:BZ77)</f>
        <v>#REF!</v>
      </c>
      <c r="CD77" s="136">
        <v>73</v>
      </c>
      <c r="CE77" s="14">
        <f t="shared" si="53"/>
        <v>15</v>
      </c>
      <c r="CF77" s="14">
        <f t="shared" si="38"/>
        <v>2</v>
      </c>
      <c r="CG77" s="14">
        <f t="shared" si="39"/>
        <v>1101015</v>
      </c>
      <c r="CH77" s="136" t="s">
        <v>1127</v>
      </c>
      <c r="CI77" s="14">
        <f t="shared" si="40"/>
        <v>3</v>
      </c>
      <c r="CJ77" s="14" t="str">
        <f t="shared" si="41"/>
        <v>阎巧巧-3星</v>
      </c>
      <c r="CK77" s="136" t="s">
        <v>1133</v>
      </c>
      <c r="CL77" s="14">
        <f t="shared" si="54"/>
        <v>7000</v>
      </c>
      <c r="CM77" s="14" t="str">
        <f t="shared" si="42"/>
        <v>阎巧巧碎片</v>
      </c>
      <c r="CN77" s="14">
        <f t="shared" si="55"/>
        <v>80</v>
      </c>
    </row>
    <row r="78" spans="1:92" ht="16.5" x14ac:dyDescent="0.2">
      <c r="A78" s="55">
        <v>1102009</v>
      </c>
      <c r="B78" s="55" t="s">
        <v>190</v>
      </c>
      <c r="C78" s="55">
        <v>3</v>
      </c>
      <c r="D78" s="136">
        <v>5</v>
      </c>
      <c r="E78" s="139">
        <f>SUM(D$47:D78)</f>
        <v>160</v>
      </c>
      <c r="H78" s="15"/>
      <c r="I78" s="15"/>
      <c r="J78" s="15"/>
      <c r="K78" s="15"/>
      <c r="L78" s="15"/>
      <c r="M78" s="15"/>
      <c r="N78" s="15"/>
      <c r="O78" s="137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1"/>
      <c r="AA78" s="104">
        <v>74</v>
      </c>
      <c r="AB78" s="14">
        <f t="shared" si="43"/>
        <v>2</v>
      </c>
      <c r="AC78" s="14">
        <f>INDEX(挂机升级突破!$BU$6:$BU$57,卡牌消耗!AI78)</f>
        <v>11</v>
      </c>
      <c r="AD78" s="14">
        <f>INDEX(挂机升级突破!BV$6:BV$57,卡牌消耗!$AI78)</f>
        <v>3</v>
      </c>
      <c r="AE78" s="14">
        <f>INDEX(挂机升级突破!BW$6:BW$57,卡牌消耗!$AI78)</f>
        <v>0</v>
      </c>
      <c r="AF78" s="14" t="str">
        <f t="shared" si="44"/>
        <v>许褚</v>
      </c>
      <c r="AG78" s="14">
        <f t="shared" si="45"/>
        <v>3</v>
      </c>
      <c r="AH78" s="14" t="str">
        <f t="shared" si="46"/>
        <v>许褚魂火-22</v>
      </c>
      <c r="AI78" s="14">
        <f t="shared" si="47"/>
        <v>22</v>
      </c>
      <c r="AJ78" s="14" t="str">
        <f>INDEX(挂机升级突破!$BX$4:$CH$4,INDEX(挂机升级突破!$BU$6:$BU$57,卡牌消耗!AI78))</f>
        <v>金币</v>
      </c>
      <c r="AK78" s="14">
        <f>ROUND(INDEX(挂机升级突破!$BN$6:$BN$57,卡牌消耗!AI78)*INDEX(卡牌消耗!$B$8:$F$8,AG78)/$Q$4/50,0)*50</f>
        <v>3900</v>
      </c>
      <c r="AL78" s="14" t="str">
        <f>IF(AD78&gt;0,INDEX(挂机升级突破!$BX$4:$CH$4,AD78),"")</f>
        <v>紫色基础材料</v>
      </c>
      <c r="AM78" s="14">
        <f>ROUND(INDEX(挂机升级突破!$BX$6:$CH$57,卡牌消耗!AI78,AD78)*INDEX(卡牌消耗!$B$5:$F$5,AG78)/$Q$4/5,0)*5</f>
        <v>505</v>
      </c>
      <c r="AN78" s="14" t="str">
        <f>IF(AE78&gt;0,INDEX(挂机升级突破!$BX$4:$CH$4,AE78),"")</f>
        <v/>
      </c>
      <c r="AO78" s="14" t="str">
        <f>IF(AE78&gt;0,ROUND(INDEX(挂机升级突破!$BX$6:$CH$57,卡牌消耗!AI78,AE78)*INDEX(卡牌消耗!$B$7:$F$7,AG78)/$Q$4,0),"")</f>
        <v/>
      </c>
      <c r="AP78" s="106"/>
      <c r="AQ78" s="15"/>
      <c r="AR78" s="104">
        <v>74</v>
      </c>
      <c r="AS78" s="14">
        <f t="shared" si="48"/>
        <v>4</v>
      </c>
      <c r="AT78" s="14">
        <f>INDEX(挂机升级突破!$CM$7:$CM$26,AX78)</f>
        <v>5</v>
      </c>
      <c r="AU78" s="14">
        <f>INDEX(挂机升级突破!$CN$7:$CN$26,AX78)</f>
        <v>3</v>
      </c>
      <c r="AV78" s="14">
        <f t="shared" si="49"/>
        <v>2</v>
      </c>
      <c r="AW78" s="14" t="str">
        <f t="shared" si="50"/>
        <v>唐流雨</v>
      </c>
      <c r="AX78" s="14">
        <f t="shared" si="51"/>
        <v>14</v>
      </c>
      <c r="AY78" s="14" t="str">
        <f t="shared" si="52"/>
        <v>唐流雨14突</v>
      </c>
      <c r="AZ78" s="14" t="str">
        <f>IF(AT78&gt;0,INDEX(挂机升级突破!$CV$5:$CZ$5,卡牌消耗!AT78),"")</f>
        <v>金币</v>
      </c>
      <c r="BA78" s="14">
        <f>IF(AT78&gt;0,ROUND(INDEX(挂机升级突破!$CZ$7:$CZ$26,卡牌消耗!AX78)*INDEX(卡牌消耗!$B$8:$F$8,AV78)/$Q$4/500,0)*500,"")</f>
        <v>18000</v>
      </c>
      <c r="BB78" s="14" t="str">
        <f>IF(AU78&gt;0,INDEX(挂机升级突破!$CV$5:$CZ$5,卡牌消耗!AU78),"")</f>
        <v>银母</v>
      </c>
      <c r="BC78" s="14">
        <f>IF(AU78&gt;0,ROUND(INDEX(挂机升级突破!$CV$7:$CY$26,卡牌消耗!AX78,卡牌消耗!AU78)*INDEX($B$6:$F$6,AV78)/$Q$4/5,0)*5,"")</f>
        <v>30</v>
      </c>
      <c r="BD78" s="104"/>
      <c r="BE78" s="104"/>
      <c r="BF78" s="106"/>
      <c r="BW78" s="50">
        <v>66</v>
      </c>
      <c r="BX78" s="50">
        <v>20</v>
      </c>
      <c r="BY78" s="21">
        <f t="shared" si="56"/>
        <v>0.10256410256410256</v>
      </c>
      <c r="BZ78" s="65">
        <f t="shared" si="57"/>
        <v>3418</v>
      </c>
      <c r="CA78" s="50" t="e">
        <f>SUM(BZ$5:BZ78)</f>
        <v>#REF!</v>
      </c>
      <c r="CD78" s="136">
        <v>74</v>
      </c>
      <c r="CE78" s="14">
        <f t="shared" si="53"/>
        <v>15</v>
      </c>
      <c r="CF78" s="14">
        <f t="shared" si="38"/>
        <v>2</v>
      </c>
      <c r="CG78" s="14">
        <f t="shared" si="39"/>
        <v>1101015</v>
      </c>
      <c r="CH78" s="136" t="s">
        <v>1127</v>
      </c>
      <c r="CI78" s="14">
        <f t="shared" si="40"/>
        <v>4</v>
      </c>
      <c r="CJ78" s="14" t="str">
        <f t="shared" si="41"/>
        <v>阎巧巧-4星</v>
      </c>
      <c r="CK78" s="136" t="s">
        <v>1133</v>
      </c>
      <c r="CL78" s="14">
        <f t="shared" si="54"/>
        <v>16000</v>
      </c>
      <c r="CM78" s="14" t="str">
        <f t="shared" si="42"/>
        <v>阎巧巧碎片</v>
      </c>
      <c r="CN78" s="14">
        <f t="shared" si="55"/>
        <v>120</v>
      </c>
    </row>
    <row r="79" spans="1:92" ht="16.5" x14ac:dyDescent="0.2">
      <c r="A79" s="55">
        <v>1102010</v>
      </c>
      <c r="B79" s="55" t="s">
        <v>191</v>
      </c>
      <c r="C79" s="55">
        <v>4</v>
      </c>
      <c r="D79" s="136">
        <v>5</v>
      </c>
      <c r="E79" s="139">
        <f>SUM(D$47:D79)</f>
        <v>165</v>
      </c>
      <c r="H79" s="15"/>
      <c r="I79" s="15"/>
      <c r="J79" s="15"/>
      <c r="K79" s="15"/>
      <c r="L79" s="15"/>
      <c r="M79" s="15"/>
      <c r="N79" s="15"/>
      <c r="O79" s="137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04">
        <v>75</v>
      </c>
      <c r="AB79" s="14">
        <f t="shared" si="43"/>
        <v>2</v>
      </c>
      <c r="AC79" s="14">
        <f>INDEX(挂机升级突破!$BU$6:$BU$57,卡牌消耗!AI79)</f>
        <v>11</v>
      </c>
      <c r="AD79" s="14">
        <f>INDEX(挂机升级突破!BV$6:BV$57,卡牌消耗!$AI79)</f>
        <v>4</v>
      </c>
      <c r="AE79" s="14">
        <f>INDEX(挂机升级突破!BW$6:BW$57,卡牌消耗!$AI79)</f>
        <v>0</v>
      </c>
      <c r="AF79" s="14" t="str">
        <f t="shared" si="44"/>
        <v>许褚</v>
      </c>
      <c r="AG79" s="14">
        <f t="shared" si="45"/>
        <v>3</v>
      </c>
      <c r="AH79" s="14" t="str">
        <f t="shared" si="46"/>
        <v>许褚魂火-23</v>
      </c>
      <c r="AI79" s="14">
        <f t="shared" si="47"/>
        <v>23</v>
      </c>
      <c r="AJ79" s="14" t="str">
        <f>INDEX(挂机升级突破!$BX$4:$CH$4,INDEX(挂机升级突破!$BU$6:$BU$57,卡牌消耗!AI79))</f>
        <v>金币</v>
      </c>
      <c r="AK79" s="14">
        <f>ROUND(INDEX(挂机升级突破!$BN$6:$BN$57,卡牌消耗!AI79)*INDEX(卡牌消耗!$B$8:$F$8,AG79)/$Q$4/50,0)*50</f>
        <v>5350</v>
      </c>
      <c r="AL79" s="14" t="str">
        <f>IF(AD79&gt;0,INDEX(挂机升级突破!$BX$4:$CH$4,AD79),"")</f>
        <v>橙色基础材料</v>
      </c>
      <c r="AM79" s="14">
        <f>ROUND(INDEX(挂机升级突破!$BX$6:$CH$57,卡牌消耗!AI79,AD79)*INDEX(卡牌消耗!$B$5:$F$5,AG79)/$Q$4/5,0)*5</f>
        <v>70</v>
      </c>
      <c r="AN79" s="14" t="str">
        <f>IF(AE79&gt;0,INDEX(挂机升级突破!$BX$4:$CH$4,AE79),"")</f>
        <v/>
      </c>
      <c r="AO79" s="14" t="str">
        <f>IF(AE79&gt;0,ROUND(INDEX(挂机升级突破!$BX$6:$CH$57,卡牌消耗!AI79,AE79)*INDEX(卡牌消耗!$B$7:$F$7,AG79)/$Q$4,0),"")</f>
        <v/>
      </c>
      <c r="AP79" s="106"/>
      <c r="AQ79" s="15"/>
      <c r="AR79" s="104">
        <v>75</v>
      </c>
      <c r="AS79" s="14">
        <f t="shared" si="48"/>
        <v>4</v>
      </c>
      <c r="AT79" s="14">
        <f>INDEX(挂机升级突破!$CM$7:$CM$26,AX79)</f>
        <v>5</v>
      </c>
      <c r="AU79" s="14">
        <f>INDEX(挂机升级突破!$CN$7:$CN$26,AX79)</f>
        <v>3</v>
      </c>
      <c r="AV79" s="14">
        <f t="shared" si="49"/>
        <v>2</v>
      </c>
      <c r="AW79" s="14" t="str">
        <f t="shared" si="50"/>
        <v>唐流雨</v>
      </c>
      <c r="AX79" s="14">
        <f t="shared" si="51"/>
        <v>15</v>
      </c>
      <c r="AY79" s="14" t="str">
        <f t="shared" si="52"/>
        <v>唐流雨15突</v>
      </c>
      <c r="AZ79" s="14" t="str">
        <f>IF(AT79&gt;0,INDEX(挂机升级突破!$CV$5:$CZ$5,卡牌消耗!AT79),"")</f>
        <v>金币</v>
      </c>
      <c r="BA79" s="14">
        <f>IF(AT79&gt;0,ROUND(INDEX(挂机升级突破!$CZ$7:$CZ$26,卡牌消耗!AX79)*INDEX(卡牌消耗!$B$8:$F$8,AV79)/$Q$4/500,0)*500,"")</f>
        <v>24000</v>
      </c>
      <c r="BB79" s="14" t="str">
        <f>IF(AU79&gt;0,INDEX(挂机升级突破!$CV$5:$CZ$5,卡牌消耗!AU79),"")</f>
        <v>银母</v>
      </c>
      <c r="BC79" s="14">
        <f>IF(AU79&gt;0,ROUND(INDEX(挂机升级突破!$CV$7:$CY$26,卡牌消耗!AX79,卡牌消耗!AU79)*INDEX($B$6:$F$6,AV79)/$Q$4/5,0)*5,"")</f>
        <v>45</v>
      </c>
      <c r="BD79" s="104"/>
      <c r="BE79" s="104"/>
      <c r="BF79" s="106"/>
      <c r="BW79" s="50">
        <v>67</v>
      </c>
      <c r="BX79" s="50">
        <v>21</v>
      </c>
      <c r="BY79" s="21">
        <f t="shared" si="56"/>
        <v>0.1076923076923077</v>
      </c>
      <c r="BZ79" s="65">
        <f t="shared" si="57"/>
        <v>3589</v>
      </c>
      <c r="CA79" s="50" t="e">
        <f>SUM(BZ$5:BZ79)</f>
        <v>#REF!</v>
      </c>
      <c r="CD79" s="136">
        <v>75</v>
      </c>
      <c r="CE79" s="14">
        <f t="shared" si="53"/>
        <v>15</v>
      </c>
      <c r="CF79" s="14">
        <f t="shared" si="38"/>
        <v>2</v>
      </c>
      <c r="CG79" s="14">
        <f t="shared" si="39"/>
        <v>1101015</v>
      </c>
      <c r="CH79" s="136" t="s">
        <v>1127</v>
      </c>
      <c r="CI79" s="14">
        <f t="shared" si="40"/>
        <v>5</v>
      </c>
      <c r="CJ79" s="14" t="str">
        <f t="shared" si="41"/>
        <v>阎巧巧-5星</v>
      </c>
      <c r="CK79" s="136" t="s">
        <v>1133</v>
      </c>
      <c r="CL79" s="14">
        <f t="shared" si="54"/>
        <v>30000</v>
      </c>
      <c r="CM79" s="14" t="str">
        <f t="shared" si="42"/>
        <v>阎巧巧碎片</v>
      </c>
      <c r="CN79" s="14">
        <f t="shared" si="55"/>
        <v>160</v>
      </c>
    </row>
    <row r="80" spans="1:92" ht="16.5" x14ac:dyDescent="0.2">
      <c r="A80" s="55">
        <v>1102011</v>
      </c>
      <c r="B80" s="55" t="s">
        <v>192</v>
      </c>
      <c r="C80" s="55">
        <v>4</v>
      </c>
      <c r="D80" s="136">
        <v>5</v>
      </c>
      <c r="E80" s="139">
        <f>SUM(D$47:D80)</f>
        <v>170</v>
      </c>
      <c r="H80" s="15"/>
      <c r="I80" s="15"/>
      <c r="J80" s="15"/>
      <c r="K80" s="15"/>
      <c r="L80" s="15"/>
      <c r="M80" s="15"/>
      <c r="N80" s="15"/>
      <c r="O80" s="137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41"/>
      <c r="AA80" s="104">
        <v>76</v>
      </c>
      <c r="AB80" s="14">
        <f t="shared" si="43"/>
        <v>2</v>
      </c>
      <c r="AC80" s="14">
        <f>INDEX(挂机升级突破!$BU$6:$BU$57,卡牌消耗!AI80)</f>
        <v>11</v>
      </c>
      <c r="AD80" s="14">
        <f>INDEX(挂机升级突破!BV$6:BV$57,卡牌消耗!$AI80)</f>
        <v>4</v>
      </c>
      <c r="AE80" s="14">
        <f>INDEX(挂机升级突破!BW$6:BW$57,卡牌消耗!$AI80)</f>
        <v>0</v>
      </c>
      <c r="AF80" s="14" t="str">
        <f t="shared" si="44"/>
        <v>许褚</v>
      </c>
      <c r="AG80" s="14">
        <f t="shared" si="45"/>
        <v>3</v>
      </c>
      <c r="AH80" s="14" t="str">
        <f t="shared" si="46"/>
        <v>许褚魂火-24</v>
      </c>
      <c r="AI80" s="14">
        <f t="shared" si="47"/>
        <v>24</v>
      </c>
      <c r="AJ80" s="14" t="str">
        <f>INDEX(挂机升级突破!$BX$4:$CH$4,INDEX(挂机升级突破!$BU$6:$BU$57,卡牌消耗!AI80))</f>
        <v>金币</v>
      </c>
      <c r="AK80" s="14">
        <f>ROUND(INDEX(挂机升级突破!$BN$6:$BN$57,卡牌消耗!AI80)*INDEX(卡牌消耗!$B$8:$F$8,AG80)/$Q$4/50,0)*50</f>
        <v>5350</v>
      </c>
      <c r="AL80" s="14" t="str">
        <f>IF(AD80&gt;0,INDEX(挂机升级突破!$BX$4:$CH$4,AD80),"")</f>
        <v>橙色基础材料</v>
      </c>
      <c r="AM80" s="14">
        <f>ROUND(INDEX(挂机升级突破!$BX$6:$CH$57,卡牌消耗!AI80,AD80)*INDEX(卡牌消耗!$B$5:$F$5,AG80)/$Q$4/5,0)*5</f>
        <v>70</v>
      </c>
      <c r="AN80" s="14" t="str">
        <f>IF(AE80&gt;0,INDEX(挂机升级突破!$BX$4:$CH$4,AE80),"")</f>
        <v/>
      </c>
      <c r="AO80" s="14" t="str">
        <f>IF(AE80&gt;0,ROUND(INDEX(挂机升级突破!$BX$6:$CH$57,卡牌消耗!AI80,AE80)*INDEX(卡牌消耗!$B$7:$F$7,AG80)/$Q$4,0),"")</f>
        <v/>
      </c>
      <c r="AP80" s="106"/>
      <c r="AQ80" s="15"/>
      <c r="AR80" s="104">
        <v>76</v>
      </c>
      <c r="AS80" s="14">
        <f t="shared" si="48"/>
        <v>4</v>
      </c>
      <c r="AT80" s="14">
        <f>INDEX(挂机升级突破!$CM$7:$CM$26,AX80)</f>
        <v>5</v>
      </c>
      <c r="AU80" s="14">
        <f>INDEX(挂机升级突破!$CN$7:$CN$26,AX80)</f>
        <v>3</v>
      </c>
      <c r="AV80" s="14">
        <f t="shared" si="49"/>
        <v>2</v>
      </c>
      <c r="AW80" s="14" t="str">
        <f t="shared" si="50"/>
        <v>唐流雨</v>
      </c>
      <c r="AX80" s="14">
        <f t="shared" si="51"/>
        <v>16</v>
      </c>
      <c r="AY80" s="14" t="str">
        <f t="shared" si="52"/>
        <v>唐流雨16突</v>
      </c>
      <c r="AZ80" s="14" t="str">
        <f>IF(AT80&gt;0,INDEX(挂机升级突破!$CV$5:$CZ$5,卡牌消耗!AT80),"")</f>
        <v>金币</v>
      </c>
      <c r="BA80" s="14">
        <f>IF(AT80&gt;0,ROUND(INDEX(挂机升级突破!$CZ$7:$CZ$26,卡牌消耗!AX80)*INDEX(卡牌消耗!$B$8:$F$8,AV80)/$Q$4/500,0)*500,"")</f>
        <v>44000</v>
      </c>
      <c r="BB80" s="14" t="str">
        <f>IF(AU80&gt;0,INDEX(挂机升级突破!$CV$5:$CZ$5,卡牌消耗!AU80),"")</f>
        <v>银母</v>
      </c>
      <c r="BC80" s="14">
        <f>IF(AU80&gt;0,ROUND(INDEX(挂机升级突破!$CV$7:$CY$26,卡牌消耗!AX80,卡牌消耗!AU80)*INDEX($B$6:$F$6,AV80)/$Q$4/5,0)*5,"")</f>
        <v>55</v>
      </c>
      <c r="BD80" s="104"/>
      <c r="BE80" s="104"/>
      <c r="BF80" s="106"/>
      <c r="BW80" s="50">
        <v>68</v>
      </c>
      <c r="BX80" s="50">
        <v>22</v>
      </c>
      <c r="BY80" s="21">
        <f t="shared" si="56"/>
        <v>0.11282051282051282</v>
      </c>
      <c r="BZ80" s="65">
        <f t="shared" si="57"/>
        <v>3760</v>
      </c>
      <c r="CA80" s="50" t="e">
        <f>SUM(BZ$5:BZ80)</f>
        <v>#REF!</v>
      </c>
      <c r="CD80" s="136">
        <v>76</v>
      </c>
      <c r="CE80" s="14">
        <f t="shared" si="53"/>
        <v>16</v>
      </c>
      <c r="CF80" s="14">
        <f t="shared" si="38"/>
        <v>2</v>
      </c>
      <c r="CG80" s="14">
        <f t="shared" si="39"/>
        <v>1101041</v>
      </c>
      <c r="CH80" s="136" t="s">
        <v>1127</v>
      </c>
      <c r="CI80" s="14">
        <f t="shared" si="40"/>
        <v>1</v>
      </c>
      <c r="CJ80" s="14" t="str">
        <f t="shared" si="41"/>
        <v>常服夏铃-1星</v>
      </c>
      <c r="CK80" s="136" t="s">
        <v>1133</v>
      </c>
      <c r="CL80" s="14">
        <f t="shared" si="54"/>
        <v>3000</v>
      </c>
      <c r="CM80" s="14" t="str">
        <f t="shared" si="42"/>
        <v>常服夏铃碎片</v>
      </c>
      <c r="CN80" s="14">
        <f t="shared" si="55"/>
        <v>20</v>
      </c>
    </row>
    <row r="81" spans="1:92" ht="16.5" x14ac:dyDescent="0.2">
      <c r="A81" s="55">
        <v>1102012</v>
      </c>
      <c r="B81" s="55" t="s">
        <v>193</v>
      </c>
      <c r="C81" s="55">
        <v>4</v>
      </c>
      <c r="D81" s="136">
        <v>5</v>
      </c>
      <c r="E81" s="139">
        <f>SUM(D$47:D81)</f>
        <v>175</v>
      </c>
      <c r="H81" s="15"/>
      <c r="I81" s="15"/>
      <c r="J81" s="15"/>
      <c r="K81" s="15"/>
      <c r="L81" s="15"/>
      <c r="M81" s="15"/>
      <c r="N81" s="15"/>
      <c r="O81" s="137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41"/>
      <c r="AA81" s="104">
        <v>77</v>
      </c>
      <c r="AB81" s="14">
        <f t="shared" si="43"/>
        <v>2</v>
      </c>
      <c r="AC81" s="14">
        <f>INDEX(挂机升级突破!$BU$6:$BU$57,卡牌消耗!AI81)</f>
        <v>11</v>
      </c>
      <c r="AD81" s="14">
        <f>INDEX(挂机升级突破!BV$6:BV$57,卡牌消耗!$AI81)</f>
        <v>4</v>
      </c>
      <c r="AE81" s="14">
        <f>INDEX(挂机升级突破!BW$6:BW$57,卡牌消耗!$AI81)</f>
        <v>0</v>
      </c>
      <c r="AF81" s="14" t="str">
        <f t="shared" si="44"/>
        <v>许褚</v>
      </c>
      <c r="AG81" s="14">
        <f t="shared" si="45"/>
        <v>3</v>
      </c>
      <c r="AH81" s="14" t="str">
        <f t="shared" si="46"/>
        <v>许褚魂火-25</v>
      </c>
      <c r="AI81" s="14">
        <f t="shared" si="47"/>
        <v>25</v>
      </c>
      <c r="AJ81" s="14" t="str">
        <f>INDEX(挂机升级突破!$BX$4:$CH$4,INDEX(挂机升级突破!$BU$6:$BU$57,卡牌消耗!AI81))</f>
        <v>金币</v>
      </c>
      <c r="AK81" s="14">
        <f>ROUND(INDEX(挂机升级突破!$BN$6:$BN$57,卡牌消耗!AI81)*INDEX(卡牌消耗!$B$8:$F$8,AG81)/$Q$4/50,0)*50</f>
        <v>5850</v>
      </c>
      <c r="AL81" s="14" t="str">
        <f>IF(AD81&gt;0,INDEX(挂机升级突破!$BX$4:$CH$4,AD81),"")</f>
        <v>橙色基础材料</v>
      </c>
      <c r="AM81" s="14">
        <f>ROUND(INDEX(挂机升级突破!$BX$6:$CH$57,卡牌消耗!AI81,AD81)*INDEX(卡牌消耗!$B$5:$F$5,AG81)/$Q$4/5,0)*5</f>
        <v>70</v>
      </c>
      <c r="AN81" s="14" t="str">
        <f>IF(AE81&gt;0,INDEX(挂机升级突破!$BX$4:$CH$4,AE81),"")</f>
        <v/>
      </c>
      <c r="AO81" s="14" t="str">
        <f>IF(AE81&gt;0,ROUND(INDEX(挂机升级突破!$BX$6:$CH$57,卡牌消耗!AI81,AE81)*INDEX(卡牌消耗!$B$7:$F$7,AG81)/$Q$4,0),"")</f>
        <v/>
      </c>
      <c r="AP81" s="106"/>
      <c r="AQ81" s="15"/>
      <c r="AR81" s="104">
        <v>77</v>
      </c>
      <c r="AS81" s="14">
        <f t="shared" si="48"/>
        <v>4</v>
      </c>
      <c r="AT81" s="14">
        <f>INDEX(挂机升级突破!$CM$7:$CM$26,AX81)</f>
        <v>5</v>
      </c>
      <c r="AU81" s="14">
        <f>INDEX(挂机升级突破!$CN$7:$CN$26,AX81)</f>
        <v>4</v>
      </c>
      <c r="AV81" s="14">
        <f t="shared" si="49"/>
        <v>2</v>
      </c>
      <c r="AW81" s="14" t="str">
        <f t="shared" si="50"/>
        <v>唐流雨</v>
      </c>
      <c r="AX81" s="14">
        <f t="shared" si="51"/>
        <v>17</v>
      </c>
      <c r="AY81" s="14" t="str">
        <f t="shared" si="52"/>
        <v>唐流雨17突</v>
      </c>
      <c r="AZ81" s="14" t="str">
        <f>IF(AT81&gt;0,INDEX(挂机升级突破!$CV$5:$CZ$5,卡牌消耗!AT81),"")</f>
        <v>金币</v>
      </c>
      <c r="BA81" s="14">
        <f>IF(AT81&gt;0,ROUND(INDEX(挂机升级突破!$CZ$7:$CZ$26,卡牌消耗!AX81)*INDEX(卡牌消耗!$B$8:$F$8,AV81)/$Q$4/500,0)*500,"")</f>
        <v>44000</v>
      </c>
      <c r="BB81" s="14" t="str">
        <f>IF(AU81&gt;0,INDEX(挂机升级突破!$CV$5:$CZ$5,卡牌消耗!AU81),"")</f>
        <v>铀金</v>
      </c>
      <c r="BC81" s="14">
        <f>IF(AU81&gt;0,ROUND(INDEX(挂机升级突破!$CV$7:$CY$26,卡牌消耗!AX81,卡牌消耗!AU81)*INDEX($B$6:$F$6,AV81)/$Q$4/5,0)*5,"")</f>
        <v>20</v>
      </c>
      <c r="BD81" s="104"/>
      <c r="BE81" s="104"/>
      <c r="BF81" s="106"/>
      <c r="BW81" s="50">
        <v>69</v>
      </c>
      <c r="BX81" s="50">
        <v>23</v>
      </c>
      <c r="BY81" s="21">
        <f t="shared" si="56"/>
        <v>0.11794871794871795</v>
      </c>
      <c r="BZ81" s="65">
        <f t="shared" si="57"/>
        <v>3931</v>
      </c>
      <c r="CA81" s="50" t="e">
        <f>SUM(BZ$5:BZ81)</f>
        <v>#REF!</v>
      </c>
      <c r="CD81" s="136">
        <v>77</v>
      </c>
      <c r="CE81" s="14">
        <f t="shared" si="53"/>
        <v>16</v>
      </c>
      <c r="CF81" s="14">
        <f t="shared" si="38"/>
        <v>2</v>
      </c>
      <c r="CG81" s="14">
        <f t="shared" si="39"/>
        <v>1101041</v>
      </c>
      <c r="CH81" s="136" t="s">
        <v>1127</v>
      </c>
      <c r="CI81" s="14">
        <f t="shared" si="40"/>
        <v>2</v>
      </c>
      <c r="CJ81" s="14" t="str">
        <f t="shared" si="41"/>
        <v>常服夏铃-2星</v>
      </c>
      <c r="CK81" s="136" t="s">
        <v>1133</v>
      </c>
      <c r="CL81" s="14">
        <f t="shared" si="54"/>
        <v>3500</v>
      </c>
      <c r="CM81" s="14" t="str">
        <f t="shared" si="42"/>
        <v>常服夏铃碎片</v>
      </c>
      <c r="CN81" s="14">
        <f t="shared" si="55"/>
        <v>40</v>
      </c>
    </row>
    <row r="82" spans="1:92" ht="16.5" x14ac:dyDescent="0.2">
      <c r="A82" s="55">
        <v>1102013</v>
      </c>
      <c r="B82" s="55" t="s">
        <v>194</v>
      </c>
      <c r="C82" s="55">
        <v>2</v>
      </c>
      <c r="D82" s="136">
        <v>5</v>
      </c>
      <c r="E82" s="139">
        <f>SUM(D$47:D82)</f>
        <v>180</v>
      </c>
      <c r="H82" s="15"/>
      <c r="I82" s="15"/>
      <c r="J82" s="15"/>
      <c r="K82" s="15"/>
      <c r="L82" s="15"/>
      <c r="M82" s="15"/>
      <c r="N82" s="15"/>
      <c r="O82" s="137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41"/>
      <c r="AA82" s="104">
        <v>78</v>
      </c>
      <c r="AB82" s="14">
        <f t="shared" si="43"/>
        <v>2</v>
      </c>
      <c r="AC82" s="14">
        <f>INDEX(挂机升级突破!$BU$6:$BU$57,卡牌消耗!AI82)</f>
        <v>11</v>
      </c>
      <c r="AD82" s="14">
        <f>INDEX(挂机升级突破!BV$6:BV$57,卡牌消耗!$AI82)</f>
        <v>4</v>
      </c>
      <c r="AE82" s="14">
        <f>INDEX(挂机升级突破!BW$6:BW$57,卡牌消耗!$AI82)</f>
        <v>0</v>
      </c>
      <c r="AF82" s="14" t="str">
        <f t="shared" si="44"/>
        <v>许褚</v>
      </c>
      <c r="AG82" s="14">
        <f t="shared" si="45"/>
        <v>3</v>
      </c>
      <c r="AH82" s="14" t="str">
        <f t="shared" si="46"/>
        <v>许褚魂火-26</v>
      </c>
      <c r="AI82" s="14">
        <f t="shared" si="47"/>
        <v>26</v>
      </c>
      <c r="AJ82" s="14" t="str">
        <f>INDEX(挂机升级突破!$BX$4:$CH$4,INDEX(挂机升级突破!$BU$6:$BU$57,卡牌消耗!AI82))</f>
        <v>金币</v>
      </c>
      <c r="AK82" s="14">
        <f>ROUND(INDEX(挂机升级突破!$BN$6:$BN$57,卡牌消耗!AI82)*INDEX(卡牌消耗!$B$8:$F$8,AG82)/$Q$4/50,0)*50</f>
        <v>6850</v>
      </c>
      <c r="AL82" s="14" t="str">
        <f>IF(AD82&gt;0,INDEX(挂机升级突破!$BX$4:$CH$4,AD82),"")</f>
        <v>橙色基础材料</v>
      </c>
      <c r="AM82" s="14">
        <f>ROUND(INDEX(挂机升级突破!$BX$6:$CH$57,卡牌消耗!AI82,AD82)*INDEX(卡牌消耗!$B$5:$F$5,AG82)/$Q$4/5,0)*5</f>
        <v>85</v>
      </c>
      <c r="AN82" s="14" t="str">
        <f>IF(AE82&gt;0,INDEX(挂机升级突破!$BX$4:$CH$4,AE82),"")</f>
        <v/>
      </c>
      <c r="AO82" s="14" t="str">
        <f>IF(AE82&gt;0,ROUND(INDEX(挂机升级突破!$BX$6:$CH$57,卡牌消耗!AI82,AE82)*INDEX(卡牌消耗!$B$7:$F$7,AG82)/$Q$4,0),"")</f>
        <v/>
      </c>
      <c r="AP82" s="106"/>
      <c r="AQ82" s="15"/>
      <c r="AR82" s="104">
        <v>78</v>
      </c>
      <c r="AS82" s="14">
        <f t="shared" si="48"/>
        <v>4</v>
      </c>
      <c r="AT82" s="14">
        <f>INDEX(挂机升级突破!$CM$7:$CM$26,AX82)</f>
        <v>5</v>
      </c>
      <c r="AU82" s="14">
        <f>INDEX(挂机升级突破!$CN$7:$CN$26,AX82)</f>
        <v>4</v>
      </c>
      <c r="AV82" s="14">
        <f t="shared" si="49"/>
        <v>2</v>
      </c>
      <c r="AW82" s="14" t="str">
        <f t="shared" si="50"/>
        <v>唐流雨</v>
      </c>
      <c r="AX82" s="14">
        <f t="shared" si="51"/>
        <v>18</v>
      </c>
      <c r="AY82" s="14" t="str">
        <f t="shared" si="52"/>
        <v>唐流雨18突</v>
      </c>
      <c r="AZ82" s="14" t="str">
        <f>IF(AT82&gt;0,INDEX(挂机升级突破!$CV$5:$CZ$5,卡牌消耗!AT82),"")</f>
        <v>金币</v>
      </c>
      <c r="BA82" s="14">
        <f>IF(AT82&gt;0,ROUND(INDEX(挂机升级突破!$CZ$7:$CZ$26,卡牌消耗!AX82)*INDEX(卡牌消耗!$B$8:$F$8,AV82)/$Q$4/500,0)*500,"")</f>
        <v>58500</v>
      </c>
      <c r="BB82" s="14" t="str">
        <f>IF(AU82&gt;0,INDEX(挂机升级突破!$CV$5:$CZ$5,卡牌消耗!AU82),"")</f>
        <v>铀金</v>
      </c>
      <c r="BC82" s="14">
        <f>IF(AU82&gt;0,ROUND(INDEX(挂机升级突破!$CV$7:$CY$26,卡牌消耗!AX82,卡牌消耗!AU82)*INDEX($B$6:$F$6,AV82)/$Q$4/5,0)*5,"")</f>
        <v>25</v>
      </c>
      <c r="BD82" s="104"/>
      <c r="BE82" s="104"/>
      <c r="BF82" s="106"/>
      <c r="BW82" s="50">
        <v>70</v>
      </c>
      <c r="BX82" s="50">
        <v>24</v>
      </c>
      <c r="BY82" s="21">
        <f t="shared" si="56"/>
        <v>0.12307692307692308</v>
      </c>
      <c r="BZ82" s="50">
        <f>INT(BV$74*BY82)</f>
        <v>4102</v>
      </c>
      <c r="CA82" s="50" t="e">
        <f>SUM(BZ$5:BZ82)</f>
        <v>#REF!</v>
      </c>
      <c r="CD82" s="136">
        <v>78</v>
      </c>
      <c r="CE82" s="14">
        <f t="shared" si="53"/>
        <v>16</v>
      </c>
      <c r="CF82" s="14">
        <f t="shared" si="38"/>
        <v>2</v>
      </c>
      <c r="CG82" s="14">
        <f t="shared" si="39"/>
        <v>1101041</v>
      </c>
      <c r="CH82" s="136" t="s">
        <v>1127</v>
      </c>
      <c r="CI82" s="14">
        <f t="shared" si="40"/>
        <v>3</v>
      </c>
      <c r="CJ82" s="14" t="str">
        <f t="shared" si="41"/>
        <v>常服夏铃-3星</v>
      </c>
      <c r="CK82" s="136" t="s">
        <v>1133</v>
      </c>
      <c r="CL82" s="14">
        <f t="shared" si="54"/>
        <v>7000</v>
      </c>
      <c r="CM82" s="14" t="str">
        <f t="shared" si="42"/>
        <v>常服夏铃碎片</v>
      </c>
      <c r="CN82" s="14">
        <f t="shared" si="55"/>
        <v>80</v>
      </c>
    </row>
    <row r="83" spans="1:92" ht="16.5" x14ac:dyDescent="0.2">
      <c r="A83" s="55">
        <v>1102014</v>
      </c>
      <c r="B83" s="55" t="s">
        <v>195</v>
      </c>
      <c r="C83" s="55">
        <v>3</v>
      </c>
      <c r="D83" s="136">
        <v>5</v>
      </c>
      <c r="E83" s="139">
        <f>SUM(D$47:D83)</f>
        <v>185</v>
      </c>
      <c r="H83" s="15"/>
      <c r="I83" s="15"/>
      <c r="J83" s="15"/>
      <c r="K83" s="15"/>
      <c r="L83" s="15"/>
      <c r="M83" s="15"/>
      <c r="N83" s="15"/>
      <c r="O83" s="137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  <c r="AA83" s="104">
        <v>79</v>
      </c>
      <c r="AB83" s="14">
        <f t="shared" si="43"/>
        <v>2</v>
      </c>
      <c r="AC83" s="14">
        <f>INDEX(挂机升级突破!$BU$6:$BU$57,卡牌消耗!AI83)</f>
        <v>11</v>
      </c>
      <c r="AD83" s="14">
        <f>INDEX(挂机升级突破!BV$6:BV$57,卡牌消耗!$AI83)</f>
        <v>4</v>
      </c>
      <c r="AE83" s="14">
        <f>INDEX(挂机升级突破!BW$6:BW$57,卡牌消耗!$AI83)</f>
        <v>0</v>
      </c>
      <c r="AF83" s="14" t="str">
        <f t="shared" si="44"/>
        <v>许褚</v>
      </c>
      <c r="AG83" s="14">
        <f t="shared" si="45"/>
        <v>3</v>
      </c>
      <c r="AH83" s="14" t="str">
        <f t="shared" si="46"/>
        <v>许褚魂火-27</v>
      </c>
      <c r="AI83" s="14">
        <f t="shared" si="47"/>
        <v>27</v>
      </c>
      <c r="AJ83" s="14" t="str">
        <f>INDEX(挂机升级突破!$BX$4:$CH$4,INDEX(挂机升级突破!$BU$6:$BU$57,卡牌消耗!AI83))</f>
        <v>金币</v>
      </c>
      <c r="AK83" s="14">
        <f>ROUND(INDEX(挂机升级突破!$BN$6:$BN$57,卡牌消耗!AI83)*INDEX(卡牌消耗!$B$8:$F$8,AG83)/$Q$4/50,0)*50</f>
        <v>6850</v>
      </c>
      <c r="AL83" s="14" t="str">
        <f>IF(AD83&gt;0,INDEX(挂机升级突破!$BX$4:$CH$4,AD83),"")</f>
        <v>橙色基础材料</v>
      </c>
      <c r="AM83" s="14">
        <f>ROUND(INDEX(挂机升级突破!$BX$6:$CH$57,卡牌消耗!AI83,AD83)*INDEX(卡牌消耗!$B$5:$F$5,AG83)/$Q$4/5,0)*5</f>
        <v>85</v>
      </c>
      <c r="AN83" s="14" t="str">
        <f>IF(AE83&gt;0,INDEX(挂机升级突破!$BX$4:$CH$4,AE83),"")</f>
        <v/>
      </c>
      <c r="AO83" s="14" t="str">
        <f>IF(AE83&gt;0,ROUND(INDEX(挂机升级突破!$BX$6:$CH$57,卡牌消耗!AI83,AE83)*INDEX(卡牌消耗!$B$7:$F$7,AG83)/$Q$4,0),"")</f>
        <v/>
      </c>
      <c r="AP83" s="106"/>
      <c r="AQ83" s="15"/>
      <c r="AR83" s="104">
        <v>79</v>
      </c>
      <c r="AS83" s="14">
        <f t="shared" si="48"/>
        <v>4</v>
      </c>
      <c r="AT83" s="14">
        <f>INDEX(挂机升级突破!$CM$7:$CM$26,AX83)</f>
        <v>5</v>
      </c>
      <c r="AU83" s="14">
        <f>INDEX(挂机升级突破!$CN$7:$CN$26,AX83)</f>
        <v>4</v>
      </c>
      <c r="AV83" s="14">
        <f t="shared" si="49"/>
        <v>2</v>
      </c>
      <c r="AW83" s="14" t="str">
        <f t="shared" si="50"/>
        <v>唐流雨</v>
      </c>
      <c r="AX83" s="14">
        <f t="shared" si="51"/>
        <v>19</v>
      </c>
      <c r="AY83" s="14" t="str">
        <f t="shared" si="52"/>
        <v>唐流雨19突</v>
      </c>
      <c r="AZ83" s="14" t="str">
        <f>IF(AT83&gt;0,INDEX(挂机升级突破!$CV$5:$CZ$5,卡牌消耗!AT83),"")</f>
        <v>金币</v>
      </c>
      <c r="BA83" s="14">
        <f>IF(AT83&gt;0,ROUND(INDEX(挂机升级突破!$CZ$7:$CZ$26,卡牌消耗!AX83)*INDEX(卡牌消耗!$B$8:$F$8,AV83)/$Q$4/500,0)*500,"")</f>
        <v>354500</v>
      </c>
      <c r="BB83" s="14" t="str">
        <f>IF(AU83&gt;0,INDEX(挂机升级突破!$CV$5:$CZ$5,卡牌消耗!AU83),"")</f>
        <v>铀金</v>
      </c>
      <c r="BC83" s="14">
        <f>IF(AU83&gt;0,ROUND(INDEX(挂机升级突破!$CV$7:$CY$26,卡牌消耗!AX83,卡牌消耗!AU83)*INDEX($B$6:$F$6,AV83)/$Q$4/5,0)*5,"")</f>
        <v>35</v>
      </c>
      <c r="BD83" s="104"/>
      <c r="BE83" s="104"/>
      <c r="BF83" s="106"/>
      <c r="BU83" s="50" t="s">
        <v>310</v>
      </c>
      <c r="BV83" s="50">
        <v>8</v>
      </c>
      <c r="BW83" s="50">
        <v>71</v>
      </c>
      <c r="BX83" s="50">
        <v>20</v>
      </c>
      <c r="BY83" s="21">
        <f t="shared" ref="BY83:BY92" si="58">BX83/BV$86</f>
        <v>8.1632653061224483E-2</v>
      </c>
      <c r="BZ83" s="65">
        <f t="shared" ref="BZ83:BZ91" si="59">INT(BV$74*BY83)</f>
        <v>2721</v>
      </c>
      <c r="CA83" s="50" t="e">
        <f>SUM(BZ$5:BZ83)</f>
        <v>#REF!</v>
      </c>
      <c r="CD83" s="136">
        <v>79</v>
      </c>
      <c r="CE83" s="14">
        <f t="shared" si="53"/>
        <v>16</v>
      </c>
      <c r="CF83" s="14">
        <f t="shared" si="38"/>
        <v>2</v>
      </c>
      <c r="CG83" s="14">
        <f t="shared" si="39"/>
        <v>1101041</v>
      </c>
      <c r="CH83" s="136" t="s">
        <v>1127</v>
      </c>
      <c r="CI83" s="14">
        <f t="shared" si="40"/>
        <v>4</v>
      </c>
      <c r="CJ83" s="14" t="str">
        <f t="shared" si="41"/>
        <v>常服夏铃-4星</v>
      </c>
      <c r="CK83" s="136" t="s">
        <v>1133</v>
      </c>
      <c r="CL83" s="14">
        <f t="shared" si="54"/>
        <v>16000</v>
      </c>
      <c r="CM83" s="14" t="str">
        <f t="shared" si="42"/>
        <v>常服夏铃碎片</v>
      </c>
      <c r="CN83" s="14">
        <f t="shared" si="55"/>
        <v>120</v>
      </c>
    </row>
    <row r="84" spans="1:92" ht="16.5" x14ac:dyDescent="0.2">
      <c r="A84" s="55">
        <v>1102015</v>
      </c>
      <c r="B84" s="55" t="s">
        <v>196</v>
      </c>
      <c r="C84" s="55">
        <v>2</v>
      </c>
      <c r="D84" s="136">
        <v>5</v>
      </c>
      <c r="E84" s="139">
        <f>SUM(D$47:D84)</f>
        <v>190</v>
      </c>
      <c r="H84" s="15"/>
      <c r="I84" s="15"/>
      <c r="J84" s="15"/>
      <c r="K84" s="15"/>
      <c r="L84" s="15"/>
      <c r="M84" s="15"/>
      <c r="N84" s="15"/>
      <c r="O84" s="137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  <c r="AA84" s="104">
        <v>80</v>
      </c>
      <c r="AB84" s="14">
        <f t="shared" si="43"/>
        <v>2</v>
      </c>
      <c r="AC84" s="14">
        <f>INDEX(挂机升级突破!$BU$6:$BU$57,卡牌消耗!AI84)</f>
        <v>11</v>
      </c>
      <c r="AD84" s="14">
        <f>INDEX(挂机升级突破!BV$6:BV$57,卡牌消耗!$AI84)</f>
        <v>4</v>
      </c>
      <c r="AE84" s="14">
        <f>INDEX(挂机升级突破!BW$6:BW$57,卡牌消耗!$AI84)</f>
        <v>0</v>
      </c>
      <c r="AF84" s="14" t="str">
        <f t="shared" si="44"/>
        <v>许褚</v>
      </c>
      <c r="AG84" s="14">
        <f t="shared" si="45"/>
        <v>3</v>
      </c>
      <c r="AH84" s="14" t="str">
        <f t="shared" si="46"/>
        <v>许褚魂火-28</v>
      </c>
      <c r="AI84" s="14">
        <f t="shared" si="47"/>
        <v>28</v>
      </c>
      <c r="AJ84" s="14" t="str">
        <f>INDEX(挂机升级突破!$BX$4:$CH$4,INDEX(挂机升级突破!$BU$6:$BU$57,卡牌消耗!AI84))</f>
        <v>金币</v>
      </c>
      <c r="AK84" s="14">
        <f>ROUND(INDEX(挂机升级突破!$BN$6:$BN$57,卡牌消耗!AI84)*INDEX(卡牌消耗!$B$8:$F$8,AG84)/$Q$4/50,0)*50</f>
        <v>6850</v>
      </c>
      <c r="AL84" s="14" t="str">
        <f>IF(AD84&gt;0,INDEX(挂机升级突破!$BX$4:$CH$4,AD84),"")</f>
        <v>橙色基础材料</v>
      </c>
      <c r="AM84" s="14">
        <f>ROUND(INDEX(挂机升级突破!$BX$6:$CH$57,卡牌消耗!AI84,AD84)*INDEX(卡牌消耗!$B$5:$F$5,AG84)/$Q$4/5,0)*5</f>
        <v>85</v>
      </c>
      <c r="AN84" s="14" t="str">
        <f>IF(AE84&gt;0,INDEX(挂机升级突破!$BX$4:$CH$4,AE84),"")</f>
        <v/>
      </c>
      <c r="AO84" s="14" t="str">
        <f>IF(AE84&gt;0,ROUND(INDEX(挂机升级突破!$BX$6:$CH$57,卡牌消耗!AI84,AE84)*INDEX(卡牌消耗!$B$7:$F$7,AG84)/$Q$4,0),"")</f>
        <v/>
      </c>
      <c r="AP84" s="106"/>
      <c r="AQ84" s="15"/>
      <c r="AR84" s="104">
        <v>80</v>
      </c>
      <c r="AS84" s="14">
        <f t="shared" si="48"/>
        <v>4</v>
      </c>
      <c r="AT84" s="14">
        <f>INDEX(挂机升级突破!$CM$7:$CM$26,AX84)</f>
        <v>5</v>
      </c>
      <c r="AU84" s="14">
        <f>INDEX(挂机升级突破!$CN$7:$CN$26,AX84)</f>
        <v>4</v>
      </c>
      <c r="AV84" s="14">
        <f t="shared" si="49"/>
        <v>2</v>
      </c>
      <c r="AW84" s="14" t="str">
        <f t="shared" si="50"/>
        <v>唐流雨</v>
      </c>
      <c r="AX84" s="14">
        <f t="shared" si="51"/>
        <v>20</v>
      </c>
      <c r="AY84" s="14" t="str">
        <f t="shared" si="52"/>
        <v>唐流雨20突</v>
      </c>
      <c r="AZ84" s="14" t="str">
        <f>IF(AT84&gt;0,INDEX(挂机升级突破!$CV$5:$CZ$5,卡牌消耗!AT84),"")</f>
        <v>金币</v>
      </c>
      <c r="BA84" s="14">
        <f>IF(AT84&gt;0,ROUND(INDEX(挂机升级突破!$CZ$7:$CZ$26,卡牌消耗!AX84)*INDEX(卡牌消耗!$B$8:$F$8,AV84)/$Q$4/500,0)*500,"")</f>
        <v>532000</v>
      </c>
      <c r="BB84" s="14" t="str">
        <f>IF(AU84&gt;0,INDEX(挂机升级突破!$CV$5:$CZ$5,卡牌消耗!AU84),"")</f>
        <v>铀金</v>
      </c>
      <c r="BC84" s="14">
        <f>IF(AU84&gt;0,ROUND(INDEX(挂机升级突破!$CV$7:$CY$26,卡牌消耗!AX84,卡牌消耗!AU84)*INDEX($B$6:$F$6,AV84)/$Q$4/5,0)*5,"")</f>
        <v>45</v>
      </c>
      <c r="BD84" s="104"/>
      <c r="BE84" s="104"/>
      <c r="BF84" s="106"/>
      <c r="BU84" s="14" t="str">
        <f>INDEX($BH$5:$BH$19,BV83)</f>
        <v>40~45</v>
      </c>
      <c r="BV84" s="14">
        <f>INDEX($BQ$5:$BQ$19,BV83)</f>
        <v>37260</v>
      </c>
      <c r="BW84" s="50">
        <v>72</v>
      </c>
      <c r="BX84" s="50">
        <v>21</v>
      </c>
      <c r="BY84" s="21">
        <f t="shared" si="58"/>
        <v>8.5714285714285715E-2</v>
      </c>
      <c r="BZ84" s="65">
        <f t="shared" si="59"/>
        <v>2857</v>
      </c>
      <c r="CA84" s="50" t="e">
        <f>SUM(BZ$5:BZ84)</f>
        <v>#REF!</v>
      </c>
      <c r="CD84" s="136">
        <v>80</v>
      </c>
      <c r="CE84" s="14">
        <f t="shared" si="53"/>
        <v>16</v>
      </c>
      <c r="CF84" s="14">
        <f t="shared" si="38"/>
        <v>2</v>
      </c>
      <c r="CG84" s="14">
        <f t="shared" si="39"/>
        <v>1101041</v>
      </c>
      <c r="CH84" s="136" t="s">
        <v>1127</v>
      </c>
      <c r="CI84" s="14">
        <f t="shared" si="40"/>
        <v>5</v>
      </c>
      <c r="CJ84" s="14" t="str">
        <f t="shared" si="41"/>
        <v>常服夏铃-5星</v>
      </c>
      <c r="CK84" s="136" t="s">
        <v>1133</v>
      </c>
      <c r="CL84" s="14">
        <f t="shared" si="54"/>
        <v>30000</v>
      </c>
      <c r="CM84" s="14" t="str">
        <f t="shared" si="42"/>
        <v>常服夏铃碎片</v>
      </c>
      <c r="CN84" s="14">
        <f t="shared" si="55"/>
        <v>160</v>
      </c>
    </row>
    <row r="85" spans="1:92" ht="16.5" x14ac:dyDescent="0.2">
      <c r="A85" s="55">
        <v>1102016</v>
      </c>
      <c r="B85" s="55" t="s">
        <v>197</v>
      </c>
      <c r="C85" s="55">
        <v>4</v>
      </c>
      <c r="D85" s="136">
        <v>5</v>
      </c>
      <c r="E85" s="139">
        <f>SUM(D$47:D85)</f>
        <v>195</v>
      </c>
      <c r="H85" s="15"/>
      <c r="I85" s="15"/>
      <c r="J85" s="15"/>
      <c r="K85" s="15"/>
      <c r="L85" s="15"/>
      <c r="M85" s="15"/>
      <c r="N85" s="15"/>
      <c r="O85" s="137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41"/>
      <c r="AA85" s="104">
        <v>81</v>
      </c>
      <c r="AB85" s="14">
        <f t="shared" si="43"/>
        <v>2</v>
      </c>
      <c r="AC85" s="14">
        <f>INDEX(挂机升级突破!$BU$6:$BU$57,卡牌消耗!AI85)</f>
        <v>11</v>
      </c>
      <c r="AD85" s="14">
        <f>INDEX(挂机升级突破!BV$6:BV$57,卡牌消耗!$AI85)</f>
        <v>4</v>
      </c>
      <c r="AE85" s="14">
        <f>INDEX(挂机升级突破!BW$6:BW$57,卡牌消耗!$AI85)</f>
        <v>0</v>
      </c>
      <c r="AF85" s="14" t="str">
        <f t="shared" si="44"/>
        <v>许褚</v>
      </c>
      <c r="AG85" s="14">
        <f t="shared" si="45"/>
        <v>3</v>
      </c>
      <c r="AH85" s="14" t="str">
        <f t="shared" si="46"/>
        <v>许褚魂火-29</v>
      </c>
      <c r="AI85" s="14">
        <f t="shared" si="47"/>
        <v>29</v>
      </c>
      <c r="AJ85" s="14" t="str">
        <f>INDEX(挂机升级突破!$BX$4:$CH$4,INDEX(挂机升级突破!$BU$6:$BU$57,卡牌消耗!AI85))</f>
        <v>金币</v>
      </c>
      <c r="AK85" s="14">
        <f>ROUND(INDEX(挂机升级突破!$BN$6:$BN$57,卡牌消耗!AI85)*INDEX(卡牌消耗!$B$8:$F$8,AG85)/$Q$4/50,0)*50</f>
        <v>6900</v>
      </c>
      <c r="AL85" s="14" t="str">
        <f>IF(AD85&gt;0,INDEX(挂机升级突破!$BX$4:$CH$4,AD85),"")</f>
        <v>橙色基础材料</v>
      </c>
      <c r="AM85" s="14">
        <f>ROUND(INDEX(挂机升级突破!$BX$6:$CH$57,卡牌消耗!AI85,AD85)*INDEX(卡牌消耗!$B$5:$F$5,AG85)/$Q$4/5,0)*5</f>
        <v>100</v>
      </c>
      <c r="AN85" s="14" t="str">
        <f>IF(AE85&gt;0,INDEX(挂机升级突破!$BX$4:$CH$4,AE85),"")</f>
        <v/>
      </c>
      <c r="AO85" s="14" t="str">
        <f>IF(AE85&gt;0,ROUND(INDEX(挂机升级突破!$BX$6:$CH$57,卡牌消耗!AI85,AE85)*INDEX(卡牌消耗!$B$7:$F$7,AG85)/$Q$4,0),"")</f>
        <v/>
      </c>
      <c r="AP85" s="106"/>
      <c r="AQ85" s="15"/>
      <c r="AR85" s="104">
        <v>81</v>
      </c>
      <c r="AS85" s="14">
        <f t="shared" si="48"/>
        <v>5</v>
      </c>
      <c r="AT85" s="14">
        <f>INDEX(挂机升级突破!$CM$7:$CM$26,AX85)</f>
        <v>0</v>
      </c>
      <c r="AU85" s="14">
        <f>INDEX(挂机升级突破!$CN$7:$CN$26,AX85)</f>
        <v>0</v>
      </c>
      <c r="AV85" s="14">
        <f t="shared" si="49"/>
        <v>3</v>
      </c>
      <c r="AW85" s="14" t="str">
        <f t="shared" si="50"/>
        <v>李轩辕</v>
      </c>
      <c r="AX85" s="14">
        <f t="shared" si="51"/>
        <v>1</v>
      </c>
      <c r="AY85" s="14" t="str">
        <f t="shared" si="52"/>
        <v>李轩辕1突</v>
      </c>
      <c r="AZ85" s="14" t="str">
        <f>IF(AT85&gt;0,INDEX(挂机升级突破!$CV$5:$CZ$5,卡牌消耗!AT85),"")</f>
        <v/>
      </c>
      <c r="BA85" s="14" t="str">
        <f>IF(AT85&gt;0,ROUND(INDEX(挂机升级突破!$CZ$7:$CZ$26,卡牌消耗!AX85)*INDEX(卡牌消耗!$B$8:$F$8,AV85)/$Q$4/500,0)*500,"")</f>
        <v/>
      </c>
      <c r="BB85" s="14" t="str">
        <f>IF(AU85&gt;0,INDEX(挂机升级突破!$CV$5:$CZ$5,卡牌消耗!AU85),"")</f>
        <v/>
      </c>
      <c r="BC85" s="14" t="str">
        <f>IF(AU85&gt;0,ROUND(INDEX(挂机升级突破!$CV$7:$CY$26,卡牌消耗!AX85,卡牌消耗!AU85)*INDEX($B$6:$F$6,AV85)/$Q$4/5,0)*5,"")</f>
        <v/>
      </c>
      <c r="BD85" s="104"/>
      <c r="BE85" s="104"/>
      <c r="BF85" s="106"/>
      <c r="BU85" s="50" t="s">
        <v>309</v>
      </c>
      <c r="BV85" s="14">
        <f>INDEX($BR$5:$BR$19,BV83)</f>
        <v>5</v>
      </c>
      <c r="BW85" s="50">
        <v>73</v>
      </c>
      <c r="BX85" s="50">
        <v>22</v>
      </c>
      <c r="BY85" s="21">
        <f t="shared" si="58"/>
        <v>8.9795918367346933E-2</v>
      </c>
      <c r="BZ85" s="65">
        <f t="shared" si="59"/>
        <v>2993</v>
      </c>
      <c r="CA85" s="50" t="e">
        <f>SUM(BZ$5:BZ85)</f>
        <v>#REF!</v>
      </c>
      <c r="CD85" s="136">
        <v>81</v>
      </c>
      <c r="CE85" s="14">
        <f t="shared" si="53"/>
        <v>17</v>
      </c>
      <c r="CF85" s="14">
        <f t="shared" si="38"/>
        <v>4</v>
      </c>
      <c r="CG85" s="14">
        <f t="shared" si="39"/>
        <v>1101016</v>
      </c>
      <c r="CH85" s="136" t="s">
        <v>1127</v>
      </c>
      <c r="CI85" s="14">
        <f t="shared" si="40"/>
        <v>1</v>
      </c>
      <c r="CJ85" s="14" t="str">
        <f t="shared" si="41"/>
        <v>秦王攻-1星</v>
      </c>
      <c r="CK85" s="136" t="s">
        <v>1133</v>
      </c>
      <c r="CL85" s="14">
        <f t="shared" si="54"/>
        <v>6000</v>
      </c>
      <c r="CM85" s="14" t="str">
        <f t="shared" si="42"/>
        <v>秦王攻碎片</v>
      </c>
      <c r="CN85" s="14">
        <f t="shared" si="55"/>
        <v>80</v>
      </c>
    </row>
    <row r="86" spans="1:92" ht="16.5" x14ac:dyDescent="0.2">
      <c r="A86" s="136">
        <v>1102017</v>
      </c>
      <c r="B86" s="136" t="s">
        <v>198</v>
      </c>
      <c r="C86" s="136">
        <v>3</v>
      </c>
      <c r="D86" s="136">
        <v>5</v>
      </c>
      <c r="E86" s="139">
        <f>SUM(D$47:D86)</f>
        <v>200</v>
      </c>
      <c r="H86" s="15"/>
      <c r="I86" s="15"/>
      <c r="J86" s="15"/>
      <c r="K86" s="15"/>
      <c r="L86" s="15"/>
      <c r="M86" s="15"/>
      <c r="N86" s="15"/>
      <c r="O86" s="137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  <c r="AA86" s="104">
        <v>82</v>
      </c>
      <c r="AB86" s="14">
        <f t="shared" si="43"/>
        <v>2</v>
      </c>
      <c r="AC86" s="14">
        <f>INDEX(挂机升级突破!$BU$6:$BU$57,卡牌消耗!AI86)</f>
        <v>11</v>
      </c>
      <c r="AD86" s="14">
        <f>INDEX(挂机升级突破!BV$6:BV$57,卡牌消耗!$AI86)</f>
        <v>4</v>
      </c>
      <c r="AE86" s="14">
        <f>INDEX(挂机升级突破!BW$6:BW$57,卡牌消耗!$AI86)</f>
        <v>0</v>
      </c>
      <c r="AF86" s="14" t="str">
        <f t="shared" si="44"/>
        <v>许褚</v>
      </c>
      <c r="AG86" s="14">
        <f t="shared" si="45"/>
        <v>3</v>
      </c>
      <c r="AH86" s="14" t="str">
        <f t="shared" si="46"/>
        <v>许褚魂火-30</v>
      </c>
      <c r="AI86" s="14">
        <f t="shared" si="47"/>
        <v>30</v>
      </c>
      <c r="AJ86" s="14" t="str">
        <f>INDEX(挂机升级突破!$BX$4:$CH$4,INDEX(挂机升级突破!$BU$6:$BU$57,卡牌消耗!AI86))</f>
        <v>金币</v>
      </c>
      <c r="AK86" s="14">
        <f>ROUND(INDEX(挂机升级突破!$BN$6:$BN$57,卡牌消耗!AI86)*INDEX(卡牌消耗!$B$8:$F$8,AG86)/$Q$4/50,0)*50</f>
        <v>6900</v>
      </c>
      <c r="AL86" s="14" t="str">
        <f>IF(AD86&gt;0,INDEX(挂机升级突破!$BX$4:$CH$4,AD86),"")</f>
        <v>橙色基础材料</v>
      </c>
      <c r="AM86" s="14">
        <f>ROUND(INDEX(挂机升级突破!$BX$6:$CH$57,卡牌消耗!AI86,AD86)*INDEX(卡牌消耗!$B$5:$F$5,AG86)/$Q$4/5,0)*5</f>
        <v>100</v>
      </c>
      <c r="AN86" s="14" t="str">
        <f>IF(AE86&gt;0,INDEX(挂机升级突破!$BX$4:$CH$4,AE86),"")</f>
        <v/>
      </c>
      <c r="AO86" s="14" t="str">
        <f>IF(AE86&gt;0,ROUND(INDEX(挂机升级突破!$BX$6:$CH$57,卡牌消耗!AI86,AE86)*INDEX(卡牌消耗!$B$7:$F$7,AG86)/$Q$4,0),"")</f>
        <v/>
      </c>
      <c r="AP86" s="106"/>
      <c r="AQ86" s="15"/>
      <c r="AR86" s="104">
        <v>82</v>
      </c>
      <c r="AS86" s="14">
        <f t="shared" si="48"/>
        <v>5</v>
      </c>
      <c r="AT86" s="14">
        <f>INDEX(挂机升级突破!$CM$7:$CM$26,AX86)</f>
        <v>5</v>
      </c>
      <c r="AU86" s="14">
        <f>INDEX(挂机升级突破!$CN$7:$CN$26,AX86)</f>
        <v>0</v>
      </c>
      <c r="AV86" s="14">
        <f t="shared" si="49"/>
        <v>3</v>
      </c>
      <c r="AW86" s="14" t="str">
        <f t="shared" si="50"/>
        <v>李轩辕</v>
      </c>
      <c r="AX86" s="14">
        <f t="shared" si="51"/>
        <v>2</v>
      </c>
      <c r="AY86" s="14" t="str">
        <f t="shared" si="52"/>
        <v>李轩辕2突</v>
      </c>
      <c r="AZ86" s="14" t="str">
        <f>IF(AT86&gt;0,INDEX(挂机升级突破!$CV$5:$CZ$5,卡牌消耗!AT86),"")</f>
        <v>金币</v>
      </c>
      <c r="BA86" s="14">
        <f>IF(AT86&gt;0,ROUND(INDEX(挂机升级突破!$CZ$7:$CZ$26,卡牌消耗!AX86)*INDEX(卡牌消耗!$B$8:$F$8,AV86)/$Q$4/500,0)*500,"")</f>
        <v>2500</v>
      </c>
      <c r="BB86" s="14" t="str">
        <f>IF(AU86&gt;0,INDEX(挂机升级突破!$CV$5:$CZ$5,卡牌消耗!AU86),"")</f>
        <v/>
      </c>
      <c r="BC86" s="14" t="str">
        <f>IF(AU86&gt;0,ROUND(INDEX(挂机升级突破!$CV$7:$CY$26,卡牌消耗!AX86,卡牌消耗!AU86)*INDEX($B$6:$F$6,AV86)/$Q$4/5,0)*5,"")</f>
        <v/>
      </c>
      <c r="BD86" s="104"/>
      <c r="BE86" s="104"/>
      <c r="BF86" s="106"/>
      <c r="BU86" s="15"/>
      <c r="BV86" s="14">
        <f>SUM(BX83:BX92)</f>
        <v>245</v>
      </c>
      <c r="BW86" s="50">
        <v>74</v>
      </c>
      <c r="BX86" s="50">
        <v>23</v>
      </c>
      <c r="BY86" s="21">
        <f t="shared" si="58"/>
        <v>9.3877551020408165E-2</v>
      </c>
      <c r="BZ86" s="65">
        <f t="shared" si="59"/>
        <v>3129</v>
      </c>
      <c r="CA86" s="50" t="e">
        <f>SUM(BZ$5:BZ86)</f>
        <v>#REF!</v>
      </c>
      <c r="CD86" s="136">
        <v>82</v>
      </c>
      <c r="CE86" s="14">
        <f t="shared" si="53"/>
        <v>17</v>
      </c>
      <c r="CF86" s="14">
        <f t="shared" si="38"/>
        <v>4</v>
      </c>
      <c r="CG86" s="14">
        <f t="shared" si="39"/>
        <v>1101016</v>
      </c>
      <c r="CH86" s="136" t="s">
        <v>1127</v>
      </c>
      <c r="CI86" s="14">
        <f t="shared" si="40"/>
        <v>2</v>
      </c>
      <c r="CJ86" s="14" t="str">
        <f t="shared" si="41"/>
        <v>秦王攻-2星</v>
      </c>
      <c r="CK86" s="136" t="s">
        <v>1133</v>
      </c>
      <c r="CL86" s="14">
        <f t="shared" si="54"/>
        <v>8000</v>
      </c>
      <c r="CM86" s="14" t="str">
        <f t="shared" si="42"/>
        <v>秦王攻碎片</v>
      </c>
      <c r="CN86" s="14">
        <f t="shared" si="55"/>
        <v>80</v>
      </c>
    </row>
    <row r="87" spans="1:92" ht="16.5" x14ac:dyDescent="0.2">
      <c r="A87" s="136">
        <v>1102018</v>
      </c>
      <c r="B87" s="136" t="s">
        <v>199</v>
      </c>
      <c r="C87" s="136">
        <v>2</v>
      </c>
      <c r="D87" s="136">
        <v>5</v>
      </c>
      <c r="E87" s="139">
        <f>SUM(D$47:D87)</f>
        <v>205</v>
      </c>
      <c r="H87" s="15"/>
      <c r="I87" s="15"/>
      <c r="J87" s="15"/>
      <c r="K87" s="15"/>
      <c r="L87" s="15"/>
      <c r="M87" s="15"/>
      <c r="N87" s="15"/>
      <c r="O87" s="137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41"/>
      <c r="AA87" s="104">
        <v>83</v>
      </c>
      <c r="AB87" s="14">
        <f t="shared" si="43"/>
        <v>2</v>
      </c>
      <c r="AC87" s="14">
        <f>INDEX(挂机升级突破!$BU$6:$BU$57,卡牌消耗!AI87)</f>
        <v>11</v>
      </c>
      <c r="AD87" s="14">
        <f>INDEX(挂机升级突破!BV$6:BV$57,卡牌消耗!$AI87)</f>
        <v>4</v>
      </c>
      <c r="AE87" s="14">
        <f>INDEX(挂机升级突破!BW$6:BW$57,卡牌消耗!$AI87)</f>
        <v>0</v>
      </c>
      <c r="AF87" s="14" t="str">
        <f t="shared" si="44"/>
        <v>许褚</v>
      </c>
      <c r="AG87" s="14">
        <f t="shared" si="45"/>
        <v>3</v>
      </c>
      <c r="AH87" s="14" t="str">
        <f t="shared" si="46"/>
        <v>许褚魂火-31</v>
      </c>
      <c r="AI87" s="14">
        <f t="shared" si="47"/>
        <v>31</v>
      </c>
      <c r="AJ87" s="14" t="str">
        <f>INDEX(挂机升级突破!$BX$4:$CH$4,INDEX(挂机升级突破!$BU$6:$BU$57,卡牌消耗!AI87))</f>
        <v>金币</v>
      </c>
      <c r="AK87" s="14">
        <f>ROUND(INDEX(挂机升级突破!$BN$6:$BN$57,卡牌消耗!AI87)*INDEX(卡牌消耗!$B$8:$F$8,AG87)/$Q$4/50,0)*50</f>
        <v>6900</v>
      </c>
      <c r="AL87" s="14" t="str">
        <f>IF(AD87&gt;0,INDEX(挂机升级突破!$BX$4:$CH$4,AD87),"")</f>
        <v>橙色基础材料</v>
      </c>
      <c r="AM87" s="14">
        <f>ROUND(INDEX(挂机升级突破!$BX$6:$CH$57,卡牌消耗!AI87,AD87)*INDEX(卡牌消耗!$B$5:$F$5,AG87)/$Q$4/5,0)*5</f>
        <v>100</v>
      </c>
      <c r="AN87" s="14" t="str">
        <f>IF(AE87&gt;0,INDEX(挂机升级突破!$BX$4:$CH$4,AE87),"")</f>
        <v/>
      </c>
      <c r="AO87" s="14" t="str">
        <f>IF(AE87&gt;0,ROUND(INDEX(挂机升级突破!$BX$6:$CH$57,卡牌消耗!AI87,AE87)*INDEX(卡牌消耗!$B$7:$F$7,AG87)/$Q$4,0),"")</f>
        <v/>
      </c>
      <c r="AP87" s="106"/>
      <c r="AQ87" s="15"/>
      <c r="AR87" s="104">
        <v>83</v>
      </c>
      <c r="AS87" s="14">
        <f t="shared" si="48"/>
        <v>5</v>
      </c>
      <c r="AT87" s="14">
        <f>INDEX(挂机升级突破!$CM$7:$CM$26,AX87)</f>
        <v>5</v>
      </c>
      <c r="AU87" s="14">
        <f>INDEX(挂机升级突破!$CN$7:$CN$26,AX87)</f>
        <v>0</v>
      </c>
      <c r="AV87" s="14">
        <f t="shared" si="49"/>
        <v>3</v>
      </c>
      <c r="AW87" s="14" t="str">
        <f t="shared" si="50"/>
        <v>李轩辕</v>
      </c>
      <c r="AX87" s="14">
        <f t="shared" si="51"/>
        <v>3</v>
      </c>
      <c r="AY87" s="14" t="str">
        <f t="shared" si="52"/>
        <v>李轩辕3突</v>
      </c>
      <c r="AZ87" s="14" t="str">
        <f>IF(AT87&gt;0,INDEX(挂机升级突破!$CV$5:$CZ$5,卡牌消耗!AT87),"")</f>
        <v>金币</v>
      </c>
      <c r="BA87" s="14">
        <f>IF(AT87&gt;0,ROUND(INDEX(挂机升级突破!$CZ$7:$CZ$26,卡牌消耗!AX87)*INDEX(卡牌消耗!$B$8:$F$8,AV87)/$Q$4/500,0)*500,"")</f>
        <v>2500</v>
      </c>
      <c r="BB87" s="14" t="str">
        <f>IF(AU87&gt;0,INDEX(挂机升级突破!$CV$5:$CZ$5,卡牌消耗!AU87),"")</f>
        <v/>
      </c>
      <c r="BC87" s="14" t="str">
        <f>IF(AU87&gt;0,ROUND(INDEX(挂机升级突破!$CV$7:$CY$26,卡牌消耗!AX87,卡牌消耗!AU87)*INDEX($B$6:$F$6,AV87)/$Q$4/5,0)*5,"")</f>
        <v/>
      </c>
      <c r="BD87" s="104"/>
      <c r="BE87" s="104"/>
      <c r="BF87" s="106"/>
      <c r="BW87" s="50">
        <v>75</v>
      </c>
      <c r="BX87" s="50">
        <v>24</v>
      </c>
      <c r="BY87" s="21">
        <f t="shared" si="58"/>
        <v>9.7959183673469383E-2</v>
      </c>
      <c r="BZ87" s="65">
        <f t="shared" si="59"/>
        <v>3265</v>
      </c>
      <c r="CA87" s="50" t="e">
        <f>SUM(BZ$5:BZ87)</f>
        <v>#REF!</v>
      </c>
      <c r="CD87" s="136">
        <v>83</v>
      </c>
      <c r="CE87" s="14">
        <f t="shared" si="53"/>
        <v>17</v>
      </c>
      <c r="CF87" s="14">
        <f t="shared" si="38"/>
        <v>4</v>
      </c>
      <c r="CG87" s="14">
        <f t="shared" si="39"/>
        <v>1101016</v>
      </c>
      <c r="CH87" s="136" t="s">
        <v>1127</v>
      </c>
      <c r="CI87" s="14">
        <f t="shared" si="40"/>
        <v>3</v>
      </c>
      <c r="CJ87" s="14" t="str">
        <f t="shared" si="41"/>
        <v>秦王攻-3星</v>
      </c>
      <c r="CK87" s="136" t="s">
        <v>1133</v>
      </c>
      <c r="CL87" s="14">
        <f t="shared" si="54"/>
        <v>14000</v>
      </c>
      <c r="CM87" s="14" t="str">
        <f t="shared" si="42"/>
        <v>秦王攻碎片</v>
      </c>
      <c r="CN87" s="14">
        <f t="shared" si="55"/>
        <v>160</v>
      </c>
    </row>
    <row r="88" spans="1:92" ht="16.5" x14ac:dyDescent="0.2">
      <c r="A88" s="136">
        <v>1102019</v>
      </c>
      <c r="B88" s="136" t="s">
        <v>200</v>
      </c>
      <c r="C88" s="136">
        <v>2</v>
      </c>
      <c r="D88" s="136">
        <v>5</v>
      </c>
      <c r="E88" s="139">
        <f>SUM(D$47:D88)</f>
        <v>210</v>
      </c>
      <c r="H88" s="15"/>
      <c r="I88" s="15"/>
      <c r="J88" s="15"/>
      <c r="K88" s="15"/>
      <c r="L88" s="15"/>
      <c r="M88" s="15"/>
      <c r="N88" s="15"/>
      <c r="O88" s="137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41"/>
      <c r="AA88" s="104">
        <v>84</v>
      </c>
      <c r="AB88" s="14">
        <f t="shared" si="43"/>
        <v>2</v>
      </c>
      <c r="AC88" s="14">
        <f>INDEX(挂机升级突破!$BU$6:$BU$57,卡牌消耗!AI88)</f>
        <v>11</v>
      </c>
      <c r="AD88" s="14">
        <f>INDEX(挂机升级突破!BV$6:BV$57,卡牌消耗!$AI88)</f>
        <v>4</v>
      </c>
      <c r="AE88" s="14">
        <f>INDEX(挂机升级突破!BW$6:BW$57,卡牌消耗!$AI88)</f>
        <v>0</v>
      </c>
      <c r="AF88" s="14" t="str">
        <f t="shared" si="44"/>
        <v>许褚</v>
      </c>
      <c r="AG88" s="14">
        <f t="shared" si="45"/>
        <v>3</v>
      </c>
      <c r="AH88" s="14" t="str">
        <f t="shared" si="46"/>
        <v>许褚魂火-32</v>
      </c>
      <c r="AI88" s="14">
        <f t="shared" si="47"/>
        <v>32</v>
      </c>
      <c r="AJ88" s="14" t="str">
        <f>INDEX(挂机升级突破!$BX$4:$CH$4,INDEX(挂机升级突破!$BU$6:$BU$57,卡牌消耗!AI88))</f>
        <v>金币</v>
      </c>
      <c r="AK88" s="14">
        <f>ROUND(INDEX(挂机升级突破!$BN$6:$BN$57,卡牌消耗!AI88)*INDEX(卡牌消耗!$B$8:$F$8,AG88)/$Q$4/50,0)*50</f>
        <v>9500</v>
      </c>
      <c r="AL88" s="14" t="str">
        <f>IF(AD88&gt;0,INDEX(挂机升级突破!$BX$4:$CH$4,AD88),"")</f>
        <v>橙色基础材料</v>
      </c>
      <c r="AM88" s="14">
        <f>ROUND(INDEX(挂机升级突破!$BX$6:$CH$57,卡牌消耗!AI88,AD88)*INDEX(卡牌消耗!$B$5:$F$5,AG88)/$Q$4/5,0)*5</f>
        <v>100</v>
      </c>
      <c r="AN88" s="14" t="str">
        <f>IF(AE88&gt;0,INDEX(挂机升级突破!$BX$4:$CH$4,AE88),"")</f>
        <v/>
      </c>
      <c r="AO88" s="14" t="str">
        <f>IF(AE88&gt;0,ROUND(INDEX(挂机升级突破!$BX$6:$CH$57,卡牌消耗!AI88,AE88)*INDEX(卡牌消耗!$B$7:$F$7,AG88)/$Q$4,0),"")</f>
        <v/>
      </c>
      <c r="AP88" s="106"/>
      <c r="AQ88" s="15"/>
      <c r="AR88" s="104">
        <v>84</v>
      </c>
      <c r="AS88" s="14">
        <f t="shared" si="48"/>
        <v>5</v>
      </c>
      <c r="AT88" s="14">
        <f>INDEX(挂机升级突破!$CM$7:$CM$26,AX88)</f>
        <v>5</v>
      </c>
      <c r="AU88" s="14">
        <f>INDEX(挂机升级突破!$CN$7:$CN$26,AX88)</f>
        <v>1</v>
      </c>
      <c r="AV88" s="14">
        <f t="shared" si="49"/>
        <v>3</v>
      </c>
      <c r="AW88" s="14" t="str">
        <f t="shared" si="50"/>
        <v>李轩辕</v>
      </c>
      <c r="AX88" s="14">
        <f t="shared" si="51"/>
        <v>4</v>
      </c>
      <c r="AY88" s="14" t="str">
        <f t="shared" si="52"/>
        <v>李轩辕4突</v>
      </c>
      <c r="AZ88" s="14" t="str">
        <f>IF(AT88&gt;0,INDEX(挂机升级突破!$CV$5:$CZ$5,卡牌消耗!AT88),"")</f>
        <v>金币</v>
      </c>
      <c r="BA88" s="14">
        <f>IF(AT88&gt;0,ROUND(INDEX(挂机升级突破!$CZ$7:$CZ$26,卡牌消耗!AX88)*INDEX(卡牌消耗!$B$8:$F$8,AV88)/$Q$4/500,0)*500,"")</f>
        <v>3000</v>
      </c>
      <c r="BB88" s="14" t="str">
        <f>IF(AU88&gt;0,INDEX(挂机升级突破!$CV$5:$CZ$5,卡牌消耗!AU88),"")</f>
        <v>玄铁</v>
      </c>
      <c r="BC88" s="14">
        <f>IF(AU88&gt;0,ROUND(INDEX(挂机升级突破!$CV$7:$CY$26,卡牌消耗!AX88,卡牌消耗!AU88)*INDEX($B$6:$F$6,AV88)/$Q$4/5,0)*5,"")</f>
        <v>60</v>
      </c>
      <c r="BD88" s="104"/>
      <c r="BE88" s="104"/>
      <c r="BF88" s="106"/>
      <c r="BW88" s="50">
        <v>76</v>
      </c>
      <c r="BX88" s="50">
        <v>25</v>
      </c>
      <c r="BY88" s="21">
        <f t="shared" si="58"/>
        <v>0.10204081632653061</v>
      </c>
      <c r="BZ88" s="65">
        <f t="shared" si="59"/>
        <v>3401</v>
      </c>
      <c r="CA88" s="50" t="e">
        <f>SUM(BZ$5:BZ88)</f>
        <v>#REF!</v>
      </c>
      <c r="CD88" s="136">
        <v>84</v>
      </c>
      <c r="CE88" s="14">
        <f t="shared" si="53"/>
        <v>17</v>
      </c>
      <c r="CF88" s="14">
        <f t="shared" si="38"/>
        <v>4</v>
      </c>
      <c r="CG88" s="14">
        <f t="shared" si="39"/>
        <v>1101016</v>
      </c>
      <c r="CH88" s="136" t="s">
        <v>1127</v>
      </c>
      <c r="CI88" s="14">
        <f t="shared" si="40"/>
        <v>4</v>
      </c>
      <c r="CJ88" s="14" t="str">
        <f t="shared" si="41"/>
        <v>秦王攻-4星</v>
      </c>
      <c r="CK88" s="136" t="s">
        <v>1133</v>
      </c>
      <c r="CL88" s="14">
        <f t="shared" si="54"/>
        <v>32000</v>
      </c>
      <c r="CM88" s="14" t="str">
        <f t="shared" si="42"/>
        <v>秦王攻碎片</v>
      </c>
      <c r="CN88" s="14">
        <f t="shared" si="55"/>
        <v>240</v>
      </c>
    </row>
    <row r="89" spans="1:92" ht="16.5" x14ac:dyDescent="0.2">
      <c r="A89" s="136">
        <v>1102020</v>
      </c>
      <c r="B89" s="136" t="s">
        <v>201</v>
      </c>
      <c r="C89" s="136">
        <v>3</v>
      </c>
      <c r="D89" s="136">
        <v>5</v>
      </c>
      <c r="E89" s="139">
        <f>SUM(D$47:D89)</f>
        <v>215</v>
      </c>
      <c r="H89" s="15"/>
      <c r="I89" s="15"/>
      <c r="J89" s="15"/>
      <c r="K89" s="15"/>
      <c r="L89" s="15"/>
      <c r="M89" s="15"/>
      <c r="N89" s="15"/>
      <c r="O89" s="137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41"/>
      <c r="AA89" s="104">
        <v>85</v>
      </c>
      <c r="AB89" s="14">
        <f t="shared" si="43"/>
        <v>2</v>
      </c>
      <c r="AC89" s="14">
        <f>INDEX(挂机升级突破!$BU$6:$BU$57,卡牌消耗!AI89)</f>
        <v>11</v>
      </c>
      <c r="AD89" s="14">
        <f>INDEX(挂机升级突破!BV$6:BV$57,卡牌消耗!$AI89)</f>
        <v>4</v>
      </c>
      <c r="AE89" s="14">
        <f>INDEX(挂机升级突破!BW$6:BW$57,卡牌消耗!$AI89)</f>
        <v>0</v>
      </c>
      <c r="AF89" s="14" t="str">
        <f t="shared" si="44"/>
        <v>许褚</v>
      </c>
      <c r="AG89" s="14">
        <f t="shared" si="45"/>
        <v>3</v>
      </c>
      <c r="AH89" s="14" t="str">
        <f t="shared" si="46"/>
        <v>许褚魂火-33</v>
      </c>
      <c r="AI89" s="14">
        <f t="shared" si="47"/>
        <v>33</v>
      </c>
      <c r="AJ89" s="14" t="str">
        <f>INDEX(挂机升级突破!$BX$4:$CH$4,INDEX(挂机升级突破!$BU$6:$BU$57,卡牌消耗!AI89))</f>
        <v>金币</v>
      </c>
      <c r="AK89" s="14">
        <f>ROUND(INDEX(挂机升级突破!$BN$6:$BN$57,卡牌消耗!AI89)*INDEX(卡牌消耗!$B$8:$F$8,AG89)/$Q$4/50,0)*50</f>
        <v>9500</v>
      </c>
      <c r="AL89" s="14" t="str">
        <f>IF(AD89&gt;0,INDEX(挂机升级突破!$BX$4:$CH$4,AD89),"")</f>
        <v>橙色基础材料</v>
      </c>
      <c r="AM89" s="14">
        <f>ROUND(INDEX(挂机升级突破!$BX$6:$CH$57,卡牌消耗!AI89,AD89)*INDEX(卡牌消耗!$B$5:$F$5,AG89)/$Q$4/5,0)*5</f>
        <v>100</v>
      </c>
      <c r="AN89" s="14" t="str">
        <f>IF(AE89&gt;0,INDEX(挂机升级突破!$BX$4:$CH$4,AE89),"")</f>
        <v/>
      </c>
      <c r="AO89" s="14" t="str">
        <f>IF(AE89&gt;0,ROUND(INDEX(挂机升级突破!$BX$6:$CH$57,卡牌消耗!AI89,AE89)*INDEX(卡牌消耗!$B$7:$F$7,AG89)/$Q$4,0),"")</f>
        <v/>
      </c>
      <c r="AP89" s="106"/>
      <c r="AQ89" s="15"/>
      <c r="AR89" s="104">
        <v>85</v>
      </c>
      <c r="AS89" s="14">
        <f t="shared" si="48"/>
        <v>5</v>
      </c>
      <c r="AT89" s="14">
        <f>INDEX(挂机升级突破!$CM$7:$CM$26,AX89)</f>
        <v>5</v>
      </c>
      <c r="AU89" s="14">
        <f>INDEX(挂机升级突破!$CN$7:$CN$26,AX89)</f>
        <v>1</v>
      </c>
      <c r="AV89" s="14">
        <f t="shared" si="49"/>
        <v>3</v>
      </c>
      <c r="AW89" s="14" t="str">
        <f t="shared" si="50"/>
        <v>李轩辕</v>
      </c>
      <c r="AX89" s="14">
        <f t="shared" si="51"/>
        <v>5</v>
      </c>
      <c r="AY89" s="14" t="str">
        <f t="shared" si="52"/>
        <v>李轩辕5突</v>
      </c>
      <c r="AZ89" s="14" t="str">
        <f>IF(AT89&gt;0,INDEX(挂机升级突破!$CV$5:$CZ$5,卡牌消耗!AT89),"")</f>
        <v>金币</v>
      </c>
      <c r="BA89" s="14">
        <f>IF(AT89&gt;0,ROUND(INDEX(挂机升级突破!$CZ$7:$CZ$26,卡牌消耗!AX89)*INDEX(卡牌消耗!$B$8:$F$8,AV89)/$Q$4/500,0)*500,"")</f>
        <v>3000</v>
      </c>
      <c r="BB89" s="14" t="str">
        <f>IF(AU89&gt;0,INDEX(挂机升级突破!$CV$5:$CZ$5,卡牌消耗!AU89),"")</f>
        <v>玄铁</v>
      </c>
      <c r="BC89" s="14">
        <f>IF(AU89&gt;0,ROUND(INDEX(挂机升级突破!$CV$7:$CY$26,卡牌消耗!AX89,卡牌消耗!AU89)*INDEX($B$6:$F$6,AV89)/$Q$4/5,0)*5,"")</f>
        <v>115</v>
      </c>
      <c r="BD89" s="104"/>
      <c r="BE89" s="104"/>
      <c r="BF89" s="106"/>
      <c r="BW89" s="50">
        <v>77</v>
      </c>
      <c r="BX89" s="50">
        <v>26</v>
      </c>
      <c r="BY89" s="21">
        <f t="shared" si="58"/>
        <v>0.10612244897959183</v>
      </c>
      <c r="BZ89" s="65">
        <f t="shared" si="59"/>
        <v>3537</v>
      </c>
      <c r="CA89" s="50" t="e">
        <f>SUM(BZ$5:BZ89)</f>
        <v>#REF!</v>
      </c>
      <c r="CD89" s="136">
        <v>85</v>
      </c>
      <c r="CE89" s="14">
        <f t="shared" si="53"/>
        <v>17</v>
      </c>
      <c r="CF89" s="14">
        <f t="shared" si="38"/>
        <v>4</v>
      </c>
      <c r="CG89" s="14">
        <f t="shared" si="39"/>
        <v>1101016</v>
      </c>
      <c r="CH89" s="136" t="s">
        <v>1127</v>
      </c>
      <c r="CI89" s="14">
        <f t="shared" si="40"/>
        <v>5</v>
      </c>
      <c r="CJ89" s="14" t="str">
        <f t="shared" si="41"/>
        <v>秦王攻-5星</v>
      </c>
      <c r="CK89" s="136" t="s">
        <v>1133</v>
      </c>
      <c r="CL89" s="14">
        <f t="shared" si="54"/>
        <v>60000</v>
      </c>
      <c r="CM89" s="14" t="str">
        <f t="shared" si="42"/>
        <v>秦王攻碎片</v>
      </c>
      <c r="CN89" s="14">
        <f t="shared" si="55"/>
        <v>320</v>
      </c>
    </row>
    <row r="90" spans="1:92" ht="16.5" x14ac:dyDescent="0.2">
      <c r="A90" s="136">
        <v>1102021</v>
      </c>
      <c r="B90" s="136" t="s">
        <v>202</v>
      </c>
      <c r="C90" s="136">
        <v>3</v>
      </c>
      <c r="D90" s="136">
        <v>5</v>
      </c>
      <c r="E90" s="139">
        <f>SUM(D$47:D90)</f>
        <v>220</v>
      </c>
      <c r="H90" s="15"/>
      <c r="I90" s="15"/>
      <c r="J90" s="15"/>
      <c r="K90" s="15"/>
      <c r="L90" s="15"/>
      <c r="M90" s="15"/>
      <c r="N90" s="15"/>
      <c r="O90" s="137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41"/>
      <c r="AA90" s="104">
        <v>86</v>
      </c>
      <c r="AB90" s="14">
        <f t="shared" si="43"/>
        <v>2</v>
      </c>
      <c r="AC90" s="14">
        <f>INDEX(挂机升级突破!$BU$6:$BU$57,卡牌消耗!AI90)</f>
        <v>11</v>
      </c>
      <c r="AD90" s="14">
        <f>INDEX(挂机升级突破!BV$6:BV$57,卡牌消耗!$AI90)</f>
        <v>4</v>
      </c>
      <c r="AE90" s="14">
        <f>INDEX(挂机升级突破!BW$6:BW$57,卡牌消耗!$AI90)</f>
        <v>0</v>
      </c>
      <c r="AF90" s="14" t="str">
        <f t="shared" si="44"/>
        <v>许褚</v>
      </c>
      <c r="AG90" s="14">
        <f t="shared" si="45"/>
        <v>3</v>
      </c>
      <c r="AH90" s="14" t="str">
        <f t="shared" si="46"/>
        <v>许褚魂火-34</v>
      </c>
      <c r="AI90" s="14">
        <f t="shared" si="47"/>
        <v>34</v>
      </c>
      <c r="AJ90" s="14" t="str">
        <f>INDEX(挂机升级突破!$BX$4:$CH$4,INDEX(挂机升级突破!$BU$6:$BU$57,卡牌消耗!AI90))</f>
        <v>金币</v>
      </c>
      <c r="AK90" s="14">
        <f>ROUND(INDEX(挂机升级突破!$BN$6:$BN$57,卡牌消耗!AI90)*INDEX(卡牌消耗!$B$8:$F$8,AG90)/$Q$4/50,0)*50</f>
        <v>9500</v>
      </c>
      <c r="AL90" s="14" t="str">
        <f>IF(AD90&gt;0,INDEX(挂机升级突破!$BX$4:$CH$4,AD90),"")</f>
        <v>橙色基础材料</v>
      </c>
      <c r="AM90" s="14">
        <f>ROUND(INDEX(挂机升级突破!$BX$6:$CH$57,卡牌消耗!AI90,AD90)*INDEX(卡牌消耗!$B$5:$F$5,AG90)/$Q$4/5,0)*5</f>
        <v>110</v>
      </c>
      <c r="AN90" s="14" t="str">
        <f>IF(AE90&gt;0,INDEX(挂机升级突破!$BX$4:$CH$4,AE90),"")</f>
        <v/>
      </c>
      <c r="AO90" s="14" t="str">
        <f>IF(AE90&gt;0,ROUND(INDEX(挂机升级突破!$BX$6:$CH$57,卡牌消耗!AI90,AE90)*INDEX(卡牌消耗!$B$7:$F$7,AG90)/$Q$4,0),"")</f>
        <v/>
      </c>
      <c r="AP90" s="106"/>
      <c r="AQ90" s="15"/>
      <c r="AR90" s="104">
        <v>86</v>
      </c>
      <c r="AS90" s="14">
        <f t="shared" si="48"/>
        <v>5</v>
      </c>
      <c r="AT90" s="14">
        <f>INDEX(挂机升级突破!$CM$7:$CM$26,AX90)</f>
        <v>5</v>
      </c>
      <c r="AU90" s="14">
        <f>INDEX(挂机升级突破!$CN$7:$CN$26,AX90)</f>
        <v>1</v>
      </c>
      <c r="AV90" s="14">
        <f t="shared" si="49"/>
        <v>3</v>
      </c>
      <c r="AW90" s="14" t="str">
        <f t="shared" si="50"/>
        <v>李轩辕</v>
      </c>
      <c r="AX90" s="14">
        <f t="shared" si="51"/>
        <v>6</v>
      </c>
      <c r="AY90" s="14" t="str">
        <f t="shared" si="52"/>
        <v>李轩辕6突</v>
      </c>
      <c r="AZ90" s="14" t="str">
        <f>IF(AT90&gt;0,INDEX(挂机升级突破!$CV$5:$CZ$5,卡牌消耗!AT90),"")</f>
        <v>金币</v>
      </c>
      <c r="BA90" s="14">
        <f>IF(AT90&gt;0,ROUND(INDEX(挂机升级突破!$CZ$7:$CZ$26,卡牌消耗!AX90)*INDEX(卡牌消耗!$B$8:$F$8,AV90)/$Q$4/500,0)*500,"")</f>
        <v>4000</v>
      </c>
      <c r="BB90" s="14" t="str">
        <f>IF(AU90&gt;0,INDEX(挂机升级突破!$CV$5:$CZ$5,卡牌消耗!AU90),"")</f>
        <v>玄铁</v>
      </c>
      <c r="BC90" s="14">
        <f>IF(AU90&gt;0,ROUND(INDEX(挂机升级突破!$CV$7:$CY$26,卡牌消耗!AX90,卡牌消耗!AU90)*INDEX($B$6:$F$6,AV90)/$Q$4/5,0)*5,"")</f>
        <v>175</v>
      </c>
      <c r="BD90" s="104"/>
      <c r="BE90" s="104"/>
      <c r="BF90" s="106"/>
      <c r="BW90" s="50">
        <v>78</v>
      </c>
      <c r="BX90" s="50">
        <v>27</v>
      </c>
      <c r="BY90" s="21">
        <f t="shared" si="58"/>
        <v>0.11020408163265306</v>
      </c>
      <c r="BZ90" s="65">
        <f t="shared" si="59"/>
        <v>3673</v>
      </c>
      <c r="CA90" s="50" t="e">
        <f>SUM(BZ$5:BZ90)</f>
        <v>#REF!</v>
      </c>
      <c r="CD90" s="136">
        <v>86</v>
      </c>
      <c r="CE90" s="14">
        <f t="shared" si="53"/>
        <v>18</v>
      </c>
      <c r="CF90" s="14">
        <f t="shared" si="38"/>
        <v>3</v>
      </c>
      <c r="CG90" s="14">
        <f t="shared" si="39"/>
        <v>1101020</v>
      </c>
      <c r="CH90" s="136" t="s">
        <v>1127</v>
      </c>
      <c r="CI90" s="14">
        <f t="shared" si="40"/>
        <v>1</v>
      </c>
      <c r="CJ90" s="14" t="str">
        <f t="shared" si="41"/>
        <v>姬烟华-1星</v>
      </c>
      <c r="CK90" s="136" t="s">
        <v>1133</v>
      </c>
      <c r="CL90" s="14">
        <f t="shared" si="54"/>
        <v>4000</v>
      </c>
      <c r="CM90" s="14" t="str">
        <f t="shared" si="42"/>
        <v>姬烟华碎片</v>
      </c>
      <c r="CN90" s="14">
        <f t="shared" si="55"/>
        <v>40</v>
      </c>
    </row>
    <row r="91" spans="1:92" ht="16.5" x14ac:dyDescent="0.2">
      <c r="A91" s="136">
        <v>1102050</v>
      </c>
      <c r="B91" s="136" t="s">
        <v>401</v>
      </c>
      <c r="C91" s="136">
        <v>2</v>
      </c>
      <c r="D91" s="136">
        <v>5</v>
      </c>
      <c r="E91" s="139">
        <f>SUM(D$47:D91)</f>
        <v>225</v>
      </c>
      <c r="H91" s="15"/>
      <c r="I91" s="15"/>
      <c r="J91" s="15"/>
      <c r="K91" s="15"/>
      <c r="L91" s="15"/>
      <c r="M91" s="15"/>
      <c r="N91" s="15"/>
      <c r="O91" s="137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41"/>
      <c r="AA91" s="104">
        <v>87</v>
      </c>
      <c r="AB91" s="14">
        <f t="shared" si="43"/>
        <v>2</v>
      </c>
      <c r="AC91" s="14">
        <f>INDEX(挂机升级突破!$BU$6:$BU$57,卡牌消耗!AI91)</f>
        <v>11</v>
      </c>
      <c r="AD91" s="14">
        <f>INDEX(挂机升级突破!BV$6:BV$57,卡牌消耗!$AI91)</f>
        <v>4</v>
      </c>
      <c r="AE91" s="14">
        <f>INDEX(挂机升级突破!BW$6:BW$57,卡牌消耗!$AI91)</f>
        <v>0</v>
      </c>
      <c r="AF91" s="14" t="str">
        <f t="shared" si="44"/>
        <v>许褚</v>
      </c>
      <c r="AG91" s="14">
        <f t="shared" si="45"/>
        <v>3</v>
      </c>
      <c r="AH91" s="14" t="str">
        <f t="shared" si="46"/>
        <v>许褚魂火-35</v>
      </c>
      <c r="AI91" s="14">
        <f t="shared" si="47"/>
        <v>35</v>
      </c>
      <c r="AJ91" s="14" t="str">
        <f>INDEX(挂机升级突破!$BX$4:$CH$4,INDEX(挂机升级突破!$BU$6:$BU$57,卡牌消耗!AI91))</f>
        <v>金币</v>
      </c>
      <c r="AK91" s="14">
        <f>ROUND(INDEX(挂机升级突破!$BN$6:$BN$57,卡牌消耗!AI91)*INDEX(卡牌消耗!$B$8:$F$8,AG91)/$Q$4/50,0)*50</f>
        <v>12100</v>
      </c>
      <c r="AL91" s="14" t="str">
        <f>IF(AD91&gt;0,INDEX(挂机升级突破!$BX$4:$CH$4,AD91),"")</f>
        <v>橙色基础材料</v>
      </c>
      <c r="AM91" s="14">
        <f>ROUND(INDEX(挂机升级突破!$BX$6:$CH$57,卡牌消耗!AI91,AD91)*INDEX(卡牌消耗!$B$5:$F$5,AG91)/$Q$4/5,0)*5</f>
        <v>110</v>
      </c>
      <c r="AN91" s="14" t="str">
        <f>IF(AE91&gt;0,INDEX(挂机升级突破!$BX$4:$CH$4,AE91),"")</f>
        <v/>
      </c>
      <c r="AO91" s="14" t="str">
        <f>IF(AE91&gt;0,ROUND(INDEX(挂机升级突破!$BX$6:$CH$57,卡牌消耗!AI91,AE91)*INDEX(卡牌消耗!$B$7:$F$7,AG91)/$Q$4,0),"")</f>
        <v/>
      </c>
      <c r="AP91" s="106"/>
      <c r="AQ91" s="15"/>
      <c r="AR91" s="104">
        <v>87</v>
      </c>
      <c r="AS91" s="14">
        <f t="shared" si="48"/>
        <v>5</v>
      </c>
      <c r="AT91" s="14">
        <f>INDEX(挂机升级突破!$CM$7:$CM$26,AX91)</f>
        <v>5</v>
      </c>
      <c r="AU91" s="14">
        <f>INDEX(挂机升级突破!$CN$7:$CN$26,AX91)</f>
        <v>1</v>
      </c>
      <c r="AV91" s="14">
        <f t="shared" si="49"/>
        <v>3</v>
      </c>
      <c r="AW91" s="14" t="str">
        <f t="shared" si="50"/>
        <v>李轩辕</v>
      </c>
      <c r="AX91" s="14">
        <f t="shared" si="51"/>
        <v>7</v>
      </c>
      <c r="AY91" s="14" t="str">
        <f t="shared" si="52"/>
        <v>李轩辕7突</v>
      </c>
      <c r="AZ91" s="14" t="str">
        <f>IF(AT91&gt;0,INDEX(挂机升级突破!$CV$5:$CZ$5,卡牌消耗!AT91),"")</f>
        <v>金币</v>
      </c>
      <c r="BA91" s="14">
        <f>IF(AT91&gt;0,ROUND(INDEX(挂机升级突破!$CZ$7:$CZ$26,卡牌消耗!AX91)*INDEX(卡牌消耗!$B$8:$F$8,AV91)/$Q$4/500,0)*500,"")</f>
        <v>6500</v>
      </c>
      <c r="BB91" s="14" t="str">
        <f>IF(AU91&gt;0,INDEX(挂机升级突破!$CV$5:$CZ$5,卡牌消耗!AU91),"")</f>
        <v>玄铁</v>
      </c>
      <c r="BC91" s="14">
        <f>IF(AU91&gt;0,ROUND(INDEX(挂机升级突破!$CV$7:$CY$26,卡牌消耗!AX91,卡牌消耗!AU91)*INDEX($B$6:$F$6,AV91)/$Q$4/5,0)*5,"")</f>
        <v>290</v>
      </c>
      <c r="BD91" s="104"/>
      <c r="BE91" s="104"/>
      <c r="BF91" s="106"/>
      <c r="BW91" s="50">
        <v>79</v>
      </c>
      <c r="BX91" s="50">
        <v>28</v>
      </c>
      <c r="BY91" s="21">
        <f t="shared" si="58"/>
        <v>0.11428571428571428</v>
      </c>
      <c r="BZ91" s="65">
        <f t="shared" si="59"/>
        <v>3809</v>
      </c>
      <c r="CA91" s="50" t="e">
        <f>SUM(BZ$5:BZ91)</f>
        <v>#REF!</v>
      </c>
      <c r="CD91" s="136">
        <v>87</v>
      </c>
      <c r="CE91" s="14">
        <f t="shared" si="53"/>
        <v>18</v>
      </c>
      <c r="CF91" s="14">
        <f t="shared" si="38"/>
        <v>3</v>
      </c>
      <c r="CG91" s="14">
        <f t="shared" si="39"/>
        <v>1101020</v>
      </c>
      <c r="CH91" s="136" t="s">
        <v>1127</v>
      </c>
      <c r="CI91" s="14">
        <f t="shared" si="40"/>
        <v>2</v>
      </c>
      <c r="CJ91" s="14" t="str">
        <f t="shared" si="41"/>
        <v>姬烟华-2星</v>
      </c>
      <c r="CK91" s="136" t="s">
        <v>1133</v>
      </c>
      <c r="CL91" s="14">
        <f t="shared" si="54"/>
        <v>5000</v>
      </c>
      <c r="CM91" s="14" t="str">
        <f t="shared" si="42"/>
        <v>姬烟华碎片</v>
      </c>
      <c r="CN91" s="14">
        <f t="shared" si="55"/>
        <v>80</v>
      </c>
    </row>
    <row r="92" spans="1:92" ht="16.5" x14ac:dyDescent="0.2">
      <c r="A92" s="136">
        <v>1102023</v>
      </c>
      <c r="B92" s="136" t="s">
        <v>976</v>
      </c>
      <c r="C92" s="136">
        <v>2</v>
      </c>
      <c r="D92" s="136">
        <v>5</v>
      </c>
      <c r="E92" s="139">
        <f>SUM(D$47:D92)</f>
        <v>230</v>
      </c>
      <c r="H92" s="15"/>
      <c r="I92" s="15"/>
      <c r="J92" s="15"/>
      <c r="K92" s="15"/>
      <c r="L92" s="15"/>
      <c r="M92" s="15"/>
      <c r="N92" s="15"/>
      <c r="O92" s="137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41"/>
      <c r="AA92" s="104">
        <v>88</v>
      </c>
      <c r="AB92" s="14">
        <f t="shared" si="43"/>
        <v>2</v>
      </c>
      <c r="AC92" s="14">
        <f>INDEX(挂机升级突破!$BU$6:$BU$57,卡牌消耗!AI92)</f>
        <v>11</v>
      </c>
      <c r="AD92" s="14">
        <f>INDEX(挂机升级突破!BV$6:BV$57,卡牌消耗!$AI92)</f>
        <v>4</v>
      </c>
      <c r="AE92" s="14">
        <f>INDEX(挂机升级突破!BW$6:BW$57,卡牌消耗!$AI92)</f>
        <v>0</v>
      </c>
      <c r="AF92" s="14" t="str">
        <f t="shared" si="44"/>
        <v>许褚</v>
      </c>
      <c r="AG92" s="14">
        <f t="shared" si="45"/>
        <v>3</v>
      </c>
      <c r="AH92" s="14" t="str">
        <f t="shared" si="46"/>
        <v>许褚魂火-36</v>
      </c>
      <c r="AI92" s="14">
        <f t="shared" si="47"/>
        <v>36</v>
      </c>
      <c r="AJ92" s="14" t="str">
        <f>INDEX(挂机升级突破!$BX$4:$CH$4,INDEX(挂机升级突破!$BU$6:$BU$57,卡牌消耗!AI92))</f>
        <v>金币</v>
      </c>
      <c r="AK92" s="14">
        <f>ROUND(INDEX(挂机升级突破!$BN$6:$BN$57,卡牌消耗!AI92)*INDEX(卡牌消耗!$B$8:$F$8,AG92)/$Q$4/50,0)*50</f>
        <v>12100</v>
      </c>
      <c r="AL92" s="14" t="str">
        <f>IF(AD92&gt;0,INDEX(挂机升级突破!$BX$4:$CH$4,AD92),"")</f>
        <v>橙色基础材料</v>
      </c>
      <c r="AM92" s="14">
        <f>ROUND(INDEX(挂机升级突破!$BX$6:$CH$57,卡牌消耗!AI92,AD92)*INDEX(卡牌消耗!$B$5:$F$5,AG92)/$Q$4/5,0)*5</f>
        <v>110</v>
      </c>
      <c r="AN92" s="14" t="str">
        <f>IF(AE92&gt;0,INDEX(挂机升级突破!$BX$4:$CH$4,AE92),"")</f>
        <v/>
      </c>
      <c r="AO92" s="14" t="str">
        <f>IF(AE92&gt;0,ROUND(INDEX(挂机升级突破!$BX$6:$CH$57,卡牌消耗!AI92,AE92)*INDEX(卡牌消耗!$B$7:$F$7,AG92)/$Q$4,0),"")</f>
        <v/>
      </c>
      <c r="AP92" s="106"/>
      <c r="AQ92" s="15"/>
      <c r="AR92" s="104">
        <v>88</v>
      </c>
      <c r="AS92" s="14">
        <f t="shared" si="48"/>
        <v>5</v>
      </c>
      <c r="AT92" s="14">
        <f>INDEX(挂机升级突破!$CM$7:$CM$26,AX92)</f>
        <v>5</v>
      </c>
      <c r="AU92" s="14">
        <f>INDEX(挂机升级突破!$CN$7:$CN$26,AX92)</f>
        <v>1</v>
      </c>
      <c r="AV92" s="14">
        <f t="shared" si="49"/>
        <v>3</v>
      </c>
      <c r="AW92" s="14" t="str">
        <f t="shared" si="50"/>
        <v>李轩辕</v>
      </c>
      <c r="AX92" s="14">
        <f t="shared" si="51"/>
        <v>8</v>
      </c>
      <c r="AY92" s="14" t="str">
        <f t="shared" si="52"/>
        <v>李轩辕8突</v>
      </c>
      <c r="AZ92" s="14" t="str">
        <f>IF(AT92&gt;0,INDEX(挂机升级突破!$CV$5:$CZ$5,卡牌消耗!AT92),"")</f>
        <v>金币</v>
      </c>
      <c r="BA92" s="14">
        <f>IF(AT92&gt;0,ROUND(INDEX(挂机升级突破!$CZ$7:$CZ$26,卡牌消耗!AX92)*INDEX(卡牌消耗!$B$8:$F$8,AV92)/$Q$4/500,0)*500,"")</f>
        <v>6500</v>
      </c>
      <c r="BB92" s="14" t="str">
        <f>IF(AU92&gt;0,INDEX(挂机升级突破!$CV$5:$CZ$5,卡牌消耗!AU92),"")</f>
        <v>玄铁</v>
      </c>
      <c r="BC92" s="14">
        <f>IF(AU92&gt;0,ROUND(INDEX(挂机升级突破!$CV$7:$CY$26,卡牌消耗!AX92,卡牌消耗!AU92)*INDEX($B$6:$F$6,AV92)/$Q$4/5,0)*5,"")</f>
        <v>520</v>
      </c>
      <c r="BD92" s="104"/>
      <c r="BE92" s="104"/>
      <c r="BF92" s="106"/>
      <c r="BW92" s="50">
        <v>80</v>
      </c>
      <c r="BX92" s="50">
        <v>29</v>
      </c>
      <c r="BY92" s="21">
        <f t="shared" si="58"/>
        <v>0.11836734693877551</v>
      </c>
      <c r="BZ92" s="50">
        <f>INT(BV$84*BY92)</f>
        <v>4410</v>
      </c>
      <c r="CA92" s="50" t="e">
        <f>SUM(BZ$5:BZ92)</f>
        <v>#REF!</v>
      </c>
      <c r="CD92" s="136">
        <v>88</v>
      </c>
      <c r="CE92" s="14">
        <f t="shared" si="53"/>
        <v>18</v>
      </c>
      <c r="CF92" s="14">
        <f t="shared" si="38"/>
        <v>3</v>
      </c>
      <c r="CG92" s="14">
        <f t="shared" si="39"/>
        <v>1101020</v>
      </c>
      <c r="CH92" s="136" t="s">
        <v>1127</v>
      </c>
      <c r="CI92" s="14">
        <f t="shared" si="40"/>
        <v>3</v>
      </c>
      <c r="CJ92" s="14" t="str">
        <f t="shared" si="41"/>
        <v>姬烟华-3星</v>
      </c>
      <c r="CK92" s="136" t="s">
        <v>1133</v>
      </c>
      <c r="CL92" s="14">
        <f t="shared" si="54"/>
        <v>10000</v>
      </c>
      <c r="CM92" s="14" t="str">
        <f t="shared" si="42"/>
        <v>姬烟华碎片</v>
      </c>
      <c r="CN92" s="14">
        <f t="shared" si="55"/>
        <v>120</v>
      </c>
    </row>
    <row r="93" spans="1:92" ht="16.5" x14ac:dyDescent="0.2">
      <c r="A93" s="136">
        <v>1102024</v>
      </c>
      <c r="B93" s="136" t="s">
        <v>971</v>
      </c>
      <c r="C93" s="136">
        <v>3</v>
      </c>
      <c r="D93" s="136">
        <v>5</v>
      </c>
      <c r="E93" s="139">
        <f>SUM(D$47:D93)</f>
        <v>235</v>
      </c>
      <c r="H93" s="15"/>
      <c r="I93" s="15"/>
      <c r="J93" s="15"/>
      <c r="K93" s="15"/>
      <c r="L93" s="15"/>
      <c r="M93" s="15"/>
      <c r="N93" s="15"/>
      <c r="O93" s="137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41"/>
      <c r="AA93" s="104">
        <v>89</v>
      </c>
      <c r="AB93" s="14">
        <f t="shared" si="43"/>
        <v>2</v>
      </c>
      <c r="AC93" s="14">
        <f>INDEX(挂机升级突破!$BU$6:$BU$57,卡牌消耗!AI93)</f>
        <v>11</v>
      </c>
      <c r="AD93" s="14">
        <f>INDEX(挂机升级突破!BV$6:BV$57,卡牌消耗!$AI93)</f>
        <v>4</v>
      </c>
      <c r="AE93" s="14">
        <f>INDEX(挂机升级突破!BW$6:BW$57,卡牌消耗!$AI93)</f>
        <v>0</v>
      </c>
      <c r="AF93" s="14" t="str">
        <f t="shared" si="44"/>
        <v>许褚</v>
      </c>
      <c r="AG93" s="14">
        <f t="shared" si="45"/>
        <v>3</v>
      </c>
      <c r="AH93" s="14" t="str">
        <f t="shared" si="46"/>
        <v>许褚魂火-37</v>
      </c>
      <c r="AI93" s="14">
        <f t="shared" si="47"/>
        <v>37</v>
      </c>
      <c r="AJ93" s="14" t="str">
        <f>INDEX(挂机升级突破!$BX$4:$CH$4,INDEX(挂机升级突破!$BU$6:$BU$57,卡牌消耗!AI93))</f>
        <v>金币</v>
      </c>
      <c r="AK93" s="14">
        <f>ROUND(INDEX(挂机升级突破!$BN$6:$BN$57,卡牌消耗!AI93)*INDEX(卡牌消耗!$B$8:$F$8,AG93)/$Q$4/50,0)*50</f>
        <v>12950</v>
      </c>
      <c r="AL93" s="14" t="str">
        <f>IF(AD93&gt;0,INDEX(挂机升级突破!$BX$4:$CH$4,AD93),"")</f>
        <v>橙色基础材料</v>
      </c>
      <c r="AM93" s="14">
        <f>ROUND(INDEX(挂机升级突破!$BX$6:$CH$57,卡牌消耗!AI93,AD93)*INDEX(卡牌消耗!$B$5:$F$5,AG93)/$Q$4/5,0)*5</f>
        <v>110</v>
      </c>
      <c r="AN93" s="14" t="str">
        <f>IF(AE93&gt;0,INDEX(挂机升级突破!$BX$4:$CH$4,AE93),"")</f>
        <v/>
      </c>
      <c r="AO93" s="14" t="str">
        <f>IF(AE93&gt;0,ROUND(INDEX(挂机升级突破!$BX$6:$CH$57,卡牌消耗!AI93,AE93)*INDEX(卡牌消耗!$B$7:$F$7,AG93)/$Q$4,0),"")</f>
        <v/>
      </c>
      <c r="AP93" s="106"/>
      <c r="AQ93" s="15"/>
      <c r="AR93" s="104">
        <v>89</v>
      </c>
      <c r="AS93" s="14">
        <f t="shared" si="48"/>
        <v>5</v>
      </c>
      <c r="AT93" s="14">
        <f>INDEX(挂机升级突破!$CM$7:$CM$26,AX93)</f>
        <v>5</v>
      </c>
      <c r="AU93" s="14">
        <f>INDEX(挂机升级突破!$CN$7:$CN$26,AX93)</f>
        <v>2</v>
      </c>
      <c r="AV93" s="14">
        <f t="shared" si="49"/>
        <v>3</v>
      </c>
      <c r="AW93" s="14" t="str">
        <f t="shared" si="50"/>
        <v>李轩辕</v>
      </c>
      <c r="AX93" s="14">
        <f t="shared" si="51"/>
        <v>9</v>
      </c>
      <c r="AY93" s="14" t="str">
        <f t="shared" si="52"/>
        <v>李轩辕9突</v>
      </c>
      <c r="AZ93" s="14" t="str">
        <f>IF(AT93&gt;0,INDEX(挂机升级突破!$CV$5:$CZ$5,卡牌消耗!AT93),"")</f>
        <v>金币</v>
      </c>
      <c r="BA93" s="14">
        <f>IF(AT93&gt;0,ROUND(INDEX(挂机升级突破!$CZ$7:$CZ$26,卡牌消耗!AX93)*INDEX(卡牌消耗!$B$8:$F$8,AV93)/$Q$4/500,0)*500,"")</f>
        <v>8500</v>
      </c>
      <c r="BB93" s="14" t="str">
        <f>IF(AU93&gt;0,INDEX(挂机升级突破!$CV$5:$CZ$5,卡牌消耗!AU93),"")</f>
        <v>乌金</v>
      </c>
      <c r="BC93" s="14">
        <f>IF(AU93&gt;0,ROUND(INDEX(挂机升级突破!$CV$7:$CY$26,卡牌消耗!AX93,卡牌消耗!AU93)*INDEX($B$6:$F$6,AV93)/$Q$4/5,0)*5,"")</f>
        <v>65</v>
      </c>
      <c r="BD93" s="104"/>
      <c r="BE93" s="104"/>
      <c r="BF93" s="106"/>
      <c r="BU93" s="50" t="s">
        <v>310</v>
      </c>
      <c r="BV93" s="50">
        <v>9</v>
      </c>
      <c r="BW93" s="50">
        <v>81</v>
      </c>
      <c r="BX93" s="50">
        <v>20</v>
      </c>
      <c r="BY93" s="21">
        <f t="shared" ref="BY93:BY102" si="60">BX93/BV$96</f>
        <v>8.1632653061224483E-2</v>
      </c>
      <c r="BZ93" s="65">
        <f t="shared" ref="BZ93:BZ101" si="61">INT(BV$84*BY93)</f>
        <v>3041</v>
      </c>
      <c r="CA93" s="50" t="e">
        <f>SUM(BZ$5:BZ93)</f>
        <v>#REF!</v>
      </c>
      <c r="CD93" s="136">
        <v>89</v>
      </c>
      <c r="CE93" s="14">
        <f t="shared" si="53"/>
        <v>18</v>
      </c>
      <c r="CF93" s="14">
        <f t="shared" si="38"/>
        <v>3</v>
      </c>
      <c r="CG93" s="14">
        <f t="shared" si="39"/>
        <v>1101020</v>
      </c>
      <c r="CH93" s="136" t="s">
        <v>1127</v>
      </c>
      <c r="CI93" s="14">
        <f t="shared" si="40"/>
        <v>4</v>
      </c>
      <c r="CJ93" s="14" t="str">
        <f t="shared" si="41"/>
        <v>姬烟华-4星</v>
      </c>
      <c r="CK93" s="136" t="s">
        <v>1133</v>
      </c>
      <c r="CL93" s="14">
        <f t="shared" si="54"/>
        <v>20000</v>
      </c>
      <c r="CM93" s="14" t="str">
        <f t="shared" si="42"/>
        <v>姬烟华碎片</v>
      </c>
      <c r="CN93" s="14">
        <f t="shared" si="55"/>
        <v>160</v>
      </c>
    </row>
    <row r="94" spans="1:92" ht="16.5" x14ac:dyDescent="0.2">
      <c r="A94" s="136">
        <v>1102026</v>
      </c>
      <c r="B94" s="136" t="s">
        <v>972</v>
      </c>
      <c r="C94" s="136">
        <v>3</v>
      </c>
      <c r="D94" s="136">
        <v>5</v>
      </c>
      <c r="E94" s="139">
        <f>SUM(D$47:D94)</f>
        <v>240</v>
      </c>
      <c r="H94" s="15"/>
      <c r="I94" s="15"/>
      <c r="J94" s="15"/>
      <c r="K94" s="15"/>
      <c r="L94" s="15"/>
      <c r="M94" s="15"/>
      <c r="N94" s="15"/>
      <c r="O94" s="137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41"/>
      <c r="AA94" s="104">
        <v>90</v>
      </c>
      <c r="AB94" s="14">
        <f t="shared" si="43"/>
        <v>2</v>
      </c>
      <c r="AC94" s="14">
        <f>INDEX(挂机升级突破!$BU$6:$BU$57,卡牌消耗!AI94)</f>
        <v>11</v>
      </c>
      <c r="AD94" s="14">
        <f>INDEX(挂机升级突破!BV$6:BV$57,卡牌消耗!$AI94)</f>
        <v>5</v>
      </c>
      <c r="AE94" s="14">
        <f>INDEX(挂机升级突破!BW$6:BW$57,卡牌消耗!$AI94)</f>
        <v>0</v>
      </c>
      <c r="AF94" s="14" t="str">
        <f t="shared" si="44"/>
        <v>许褚</v>
      </c>
      <c r="AG94" s="14">
        <f t="shared" si="45"/>
        <v>3</v>
      </c>
      <c r="AH94" s="14" t="str">
        <f t="shared" si="46"/>
        <v>许褚魂火-38</v>
      </c>
      <c r="AI94" s="14">
        <f t="shared" si="47"/>
        <v>38</v>
      </c>
      <c r="AJ94" s="14" t="str">
        <f>INDEX(挂机升级突破!$BX$4:$CH$4,INDEX(挂机升级突破!$BU$6:$BU$57,卡牌消耗!AI94))</f>
        <v>金币</v>
      </c>
      <c r="AK94" s="14">
        <f>ROUND(INDEX(挂机升级突破!$BN$6:$BN$57,卡牌消耗!AI94)*INDEX(卡牌消耗!$B$8:$F$8,AG94)/$Q$4/50,0)*50</f>
        <v>16700</v>
      </c>
      <c r="AL94" s="14" t="str">
        <f>IF(AD94&gt;0,INDEX(挂机升级突破!$BX$4:$CH$4,AD94),"")</f>
        <v>红色基础材料</v>
      </c>
      <c r="AM94" s="14">
        <f>ROUND(INDEX(挂机升级突破!$BX$6:$CH$57,卡牌消耗!AI94,AD94)*INDEX(卡牌消耗!$B$5:$F$5,AG94)/$Q$4/5,0)*5</f>
        <v>45</v>
      </c>
      <c r="AN94" s="14" t="str">
        <f>IF(AE94&gt;0,INDEX(挂机升级突破!$BX$4:$CH$4,AE94),"")</f>
        <v/>
      </c>
      <c r="AO94" s="14" t="str">
        <f>IF(AE94&gt;0,ROUND(INDEX(挂机升级突破!$BX$6:$CH$57,卡牌消耗!AI94,AE94)*INDEX(卡牌消耗!$B$7:$F$7,AG94)/$Q$4,0),"")</f>
        <v/>
      </c>
      <c r="AP94" s="106"/>
      <c r="AQ94" s="15"/>
      <c r="AR94" s="104">
        <v>90</v>
      </c>
      <c r="AS94" s="14">
        <f t="shared" si="48"/>
        <v>5</v>
      </c>
      <c r="AT94" s="14">
        <f>INDEX(挂机升级突破!$CM$7:$CM$26,AX94)</f>
        <v>5</v>
      </c>
      <c r="AU94" s="14">
        <f>INDEX(挂机升级突破!$CN$7:$CN$26,AX94)</f>
        <v>2</v>
      </c>
      <c r="AV94" s="14">
        <f t="shared" si="49"/>
        <v>3</v>
      </c>
      <c r="AW94" s="14" t="str">
        <f t="shared" si="50"/>
        <v>李轩辕</v>
      </c>
      <c r="AX94" s="14">
        <f t="shared" si="51"/>
        <v>10</v>
      </c>
      <c r="AY94" s="14" t="str">
        <f t="shared" si="52"/>
        <v>李轩辕10突</v>
      </c>
      <c r="AZ94" s="14" t="str">
        <f>IF(AT94&gt;0,INDEX(挂机升级突破!$CV$5:$CZ$5,卡牌消耗!AT94),"")</f>
        <v>金币</v>
      </c>
      <c r="BA94" s="14">
        <f>IF(AT94&gt;0,ROUND(INDEX(挂机升级突破!$CZ$7:$CZ$26,卡牌消耗!AX94)*INDEX(卡牌消耗!$B$8:$F$8,AV94)/$Q$4/500,0)*500,"")</f>
        <v>14500</v>
      </c>
      <c r="BB94" s="14" t="str">
        <f>IF(AU94&gt;0,INDEX(挂机升级突破!$CV$5:$CZ$5,卡牌消耗!AU94),"")</f>
        <v>乌金</v>
      </c>
      <c r="BC94" s="14">
        <f>IF(AU94&gt;0,ROUND(INDEX(挂机升级突破!$CV$7:$CY$26,卡牌消耗!AX94,卡牌消耗!AU94)*INDEX($B$6:$F$6,AV94)/$Q$4/5,0)*5,"")</f>
        <v>90</v>
      </c>
      <c r="BD94" s="104"/>
      <c r="BE94" s="104"/>
      <c r="BF94" s="106"/>
      <c r="BU94" s="14" t="str">
        <f>INDEX($BH$5:$BH$19,BV93)</f>
        <v>45~50</v>
      </c>
      <c r="BV94" s="14">
        <f>INDEX($BQ$5:$BQ$19,BV93)</f>
        <v>40909</v>
      </c>
      <c r="BW94" s="50">
        <v>82</v>
      </c>
      <c r="BX94" s="50">
        <v>21</v>
      </c>
      <c r="BY94" s="21">
        <f t="shared" si="60"/>
        <v>8.5714285714285715E-2</v>
      </c>
      <c r="BZ94" s="65">
        <f t="shared" si="61"/>
        <v>3193</v>
      </c>
      <c r="CA94" s="50" t="e">
        <f>SUM(BZ$5:BZ94)</f>
        <v>#REF!</v>
      </c>
      <c r="CD94" s="136">
        <v>90</v>
      </c>
      <c r="CE94" s="14">
        <f t="shared" si="53"/>
        <v>18</v>
      </c>
      <c r="CF94" s="14">
        <f t="shared" si="38"/>
        <v>3</v>
      </c>
      <c r="CG94" s="14">
        <f t="shared" si="39"/>
        <v>1101020</v>
      </c>
      <c r="CH94" s="136" t="s">
        <v>1127</v>
      </c>
      <c r="CI94" s="14">
        <f t="shared" si="40"/>
        <v>5</v>
      </c>
      <c r="CJ94" s="14" t="str">
        <f t="shared" si="41"/>
        <v>姬烟华-5星</v>
      </c>
      <c r="CK94" s="136" t="s">
        <v>1133</v>
      </c>
      <c r="CL94" s="14">
        <f t="shared" si="54"/>
        <v>40000</v>
      </c>
      <c r="CM94" s="14" t="str">
        <f t="shared" si="42"/>
        <v>姬烟华碎片</v>
      </c>
      <c r="CN94" s="14">
        <f t="shared" si="55"/>
        <v>240</v>
      </c>
    </row>
    <row r="95" spans="1:92" ht="16.5" x14ac:dyDescent="0.2">
      <c r="A95" s="136">
        <v>1102028</v>
      </c>
      <c r="B95" s="136" t="s">
        <v>973</v>
      </c>
      <c r="C95" s="136">
        <v>5</v>
      </c>
      <c r="D95" s="136">
        <v>5</v>
      </c>
      <c r="E95" s="139">
        <f>SUM(D$47:D95)</f>
        <v>245</v>
      </c>
      <c r="H95" s="15"/>
      <c r="I95" s="15"/>
      <c r="J95" s="15"/>
      <c r="K95" s="15"/>
      <c r="L95" s="15"/>
      <c r="M95" s="15"/>
      <c r="N95" s="15"/>
      <c r="O95" s="137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41"/>
      <c r="AA95" s="104">
        <v>91</v>
      </c>
      <c r="AB95" s="14">
        <f t="shared" si="43"/>
        <v>2</v>
      </c>
      <c r="AC95" s="14">
        <f>INDEX(挂机升级突破!$BU$6:$BU$57,卡牌消耗!AI95)</f>
        <v>11</v>
      </c>
      <c r="AD95" s="14">
        <f>INDEX(挂机升级突破!BV$6:BV$57,卡牌消耗!$AI95)</f>
        <v>5</v>
      </c>
      <c r="AE95" s="14">
        <f>INDEX(挂机升级突破!BW$6:BW$57,卡牌消耗!$AI95)</f>
        <v>0</v>
      </c>
      <c r="AF95" s="14" t="str">
        <f t="shared" si="44"/>
        <v>许褚</v>
      </c>
      <c r="AG95" s="14">
        <f t="shared" si="45"/>
        <v>3</v>
      </c>
      <c r="AH95" s="14" t="str">
        <f t="shared" si="46"/>
        <v>许褚魂火-39</v>
      </c>
      <c r="AI95" s="14">
        <f t="shared" si="47"/>
        <v>39</v>
      </c>
      <c r="AJ95" s="14" t="str">
        <f>INDEX(挂机升级突破!$BX$4:$CH$4,INDEX(挂机升级突破!$BU$6:$BU$57,卡牌消耗!AI95))</f>
        <v>金币</v>
      </c>
      <c r="AK95" s="14">
        <f>ROUND(INDEX(挂机升级突破!$BN$6:$BN$57,卡牌消耗!AI95)*INDEX(卡牌消耗!$B$8:$F$8,AG95)/$Q$4/50,0)*50</f>
        <v>16700</v>
      </c>
      <c r="AL95" s="14" t="str">
        <f>IF(AD95&gt;0,INDEX(挂机升级突破!$BX$4:$CH$4,AD95),"")</f>
        <v>红色基础材料</v>
      </c>
      <c r="AM95" s="14">
        <f>ROUND(INDEX(挂机升级突破!$BX$6:$CH$57,卡牌消耗!AI95,AD95)*INDEX(卡牌消耗!$B$5:$F$5,AG95)/$Q$4/5,0)*5</f>
        <v>45</v>
      </c>
      <c r="AN95" s="14" t="str">
        <f>IF(AE95&gt;0,INDEX(挂机升级突破!$BX$4:$CH$4,AE95),"")</f>
        <v/>
      </c>
      <c r="AO95" s="14" t="str">
        <f>IF(AE95&gt;0,ROUND(INDEX(挂机升级突破!$BX$6:$CH$57,卡牌消耗!AI95,AE95)*INDEX(卡牌消耗!$B$7:$F$7,AG95)/$Q$4,0),"")</f>
        <v/>
      </c>
      <c r="AP95" s="106"/>
      <c r="AQ95" s="15"/>
      <c r="AR95" s="104">
        <v>91</v>
      </c>
      <c r="AS95" s="14">
        <f t="shared" si="48"/>
        <v>5</v>
      </c>
      <c r="AT95" s="14">
        <f>INDEX(挂机升级突破!$CM$7:$CM$26,AX95)</f>
        <v>5</v>
      </c>
      <c r="AU95" s="14">
        <f>INDEX(挂机升级突破!$CN$7:$CN$26,AX95)</f>
        <v>2</v>
      </c>
      <c r="AV95" s="14">
        <f t="shared" si="49"/>
        <v>3</v>
      </c>
      <c r="AW95" s="14" t="str">
        <f t="shared" si="50"/>
        <v>李轩辕</v>
      </c>
      <c r="AX95" s="14">
        <f t="shared" si="51"/>
        <v>11</v>
      </c>
      <c r="AY95" s="14" t="str">
        <f t="shared" si="52"/>
        <v>李轩辕11突</v>
      </c>
      <c r="AZ95" s="14" t="str">
        <f>IF(AT95&gt;0,INDEX(挂机升级突破!$CV$5:$CZ$5,卡牌消耗!AT95),"")</f>
        <v>金币</v>
      </c>
      <c r="BA95" s="14">
        <f>IF(AT95&gt;0,ROUND(INDEX(挂机升级突破!$CZ$7:$CZ$26,卡牌消耗!AX95)*INDEX(卡牌消耗!$B$8:$F$8,AV95)/$Q$4/500,0)*500,"")</f>
        <v>14500</v>
      </c>
      <c r="BB95" s="14" t="str">
        <f>IF(AU95&gt;0,INDEX(挂机升级突破!$CV$5:$CZ$5,卡牌消耗!AU95),"")</f>
        <v>乌金</v>
      </c>
      <c r="BC95" s="14">
        <f>IF(AU95&gt;0,ROUND(INDEX(挂机升级突破!$CV$7:$CY$26,卡牌消耗!AX95,卡牌消耗!AU95)*INDEX($B$6:$F$6,AV95)/$Q$4/5,0)*5,"")</f>
        <v>120</v>
      </c>
      <c r="BD95" s="104"/>
      <c r="BE95" s="104"/>
      <c r="BF95" s="106"/>
      <c r="BU95" s="50" t="s">
        <v>309</v>
      </c>
      <c r="BV95" s="14">
        <f>INDEX($BR$5:$BR$19,BV93)</f>
        <v>5.5</v>
      </c>
      <c r="BW95" s="50">
        <v>83</v>
      </c>
      <c r="BX95" s="50">
        <v>22</v>
      </c>
      <c r="BY95" s="21">
        <f t="shared" si="60"/>
        <v>8.9795918367346933E-2</v>
      </c>
      <c r="BZ95" s="65">
        <f t="shared" si="61"/>
        <v>3345</v>
      </c>
      <c r="CA95" s="50" t="e">
        <f>SUM(BZ$5:BZ95)</f>
        <v>#REF!</v>
      </c>
      <c r="CD95" s="136">
        <v>91</v>
      </c>
      <c r="CE95" s="14">
        <f t="shared" si="53"/>
        <v>19</v>
      </c>
      <c r="CF95" s="14">
        <f t="shared" si="38"/>
        <v>2</v>
      </c>
      <c r="CG95" s="14">
        <f t="shared" si="39"/>
        <v>1101022</v>
      </c>
      <c r="CH95" s="136" t="s">
        <v>1127</v>
      </c>
      <c r="CI95" s="14">
        <f t="shared" si="40"/>
        <v>1</v>
      </c>
      <c r="CJ95" s="14" t="str">
        <f t="shared" si="41"/>
        <v>幻-1星</v>
      </c>
      <c r="CK95" s="136" t="s">
        <v>1133</v>
      </c>
      <c r="CL95" s="14">
        <f t="shared" si="54"/>
        <v>3000</v>
      </c>
      <c r="CM95" s="14" t="str">
        <f t="shared" si="42"/>
        <v>幻碎片</v>
      </c>
      <c r="CN95" s="14">
        <f t="shared" si="55"/>
        <v>20</v>
      </c>
    </row>
    <row r="96" spans="1:92" ht="16.5" x14ac:dyDescent="0.2">
      <c r="A96" s="136">
        <v>1102030</v>
      </c>
      <c r="B96" s="136" t="s">
        <v>974</v>
      </c>
      <c r="C96" s="136">
        <v>3</v>
      </c>
      <c r="D96" s="136">
        <v>5</v>
      </c>
      <c r="E96" s="139">
        <f>SUM(D$47:D96)</f>
        <v>250</v>
      </c>
      <c r="H96" s="15"/>
      <c r="I96" s="15"/>
      <c r="J96" s="15"/>
      <c r="K96" s="15"/>
      <c r="L96" s="15"/>
      <c r="M96" s="15"/>
      <c r="N96" s="15"/>
      <c r="O96" s="137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41"/>
      <c r="AA96" s="104">
        <v>92</v>
      </c>
      <c r="AB96" s="14">
        <f t="shared" si="43"/>
        <v>2</v>
      </c>
      <c r="AC96" s="14">
        <f>INDEX(挂机升级突破!$BU$6:$BU$57,卡牌消耗!AI96)</f>
        <v>11</v>
      </c>
      <c r="AD96" s="14">
        <f>INDEX(挂机升级突破!BV$6:BV$57,卡牌消耗!$AI96)</f>
        <v>5</v>
      </c>
      <c r="AE96" s="14">
        <f>INDEX(挂机升级突破!BW$6:BW$57,卡牌消耗!$AI96)</f>
        <v>0</v>
      </c>
      <c r="AF96" s="14" t="str">
        <f t="shared" si="44"/>
        <v>许褚</v>
      </c>
      <c r="AG96" s="14">
        <f t="shared" si="45"/>
        <v>3</v>
      </c>
      <c r="AH96" s="14" t="str">
        <f t="shared" si="46"/>
        <v>许褚魂火-40</v>
      </c>
      <c r="AI96" s="14">
        <f t="shared" si="47"/>
        <v>40</v>
      </c>
      <c r="AJ96" s="14" t="str">
        <f>INDEX(挂机升级突破!$BX$4:$CH$4,INDEX(挂机升级突破!$BU$6:$BU$57,卡牌消耗!AI96))</f>
        <v>金币</v>
      </c>
      <c r="AK96" s="14">
        <f>ROUND(INDEX(挂机升级突破!$BN$6:$BN$57,卡牌消耗!AI96)*INDEX(卡牌消耗!$B$8:$F$8,AG96)/$Q$4/50,0)*50</f>
        <v>16700</v>
      </c>
      <c r="AL96" s="14" t="str">
        <f>IF(AD96&gt;0,INDEX(挂机升级突破!$BX$4:$CH$4,AD96),"")</f>
        <v>红色基础材料</v>
      </c>
      <c r="AM96" s="14">
        <f>ROUND(INDEX(挂机升级突破!$BX$6:$CH$57,卡牌消耗!AI96,AD96)*INDEX(卡牌消耗!$B$5:$F$5,AG96)/$Q$4/5,0)*5</f>
        <v>45</v>
      </c>
      <c r="AN96" s="14" t="str">
        <f>IF(AE96&gt;0,INDEX(挂机升级突破!$BX$4:$CH$4,AE96),"")</f>
        <v/>
      </c>
      <c r="AO96" s="14" t="str">
        <f>IF(AE96&gt;0,ROUND(INDEX(挂机升级突破!$BX$6:$CH$57,卡牌消耗!AI96,AE96)*INDEX(卡牌消耗!$B$7:$F$7,AG96)/$Q$4,0),"")</f>
        <v/>
      </c>
      <c r="AP96" s="106"/>
      <c r="AQ96" s="15"/>
      <c r="AR96" s="104">
        <v>92</v>
      </c>
      <c r="AS96" s="14">
        <f t="shared" si="48"/>
        <v>5</v>
      </c>
      <c r="AT96" s="14">
        <f>INDEX(挂机升级突破!$CM$7:$CM$26,AX96)</f>
        <v>5</v>
      </c>
      <c r="AU96" s="14">
        <f>INDEX(挂机升级突破!$CN$7:$CN$26,AX96)</f>
        <v>2</v>
      </c>
      <c r="AV96" s="14">
        <f t="shared" si="49"/>
        <v>3</v>
      </c>
      <c r="AW96" s="14" t="str">
        <f t="shared" si="50"/>
        <v>李轩辕</v>
      </c>
      <c r="AX96" s="14">
        <f t="shared" si="51"/>
        <v>12</v>
      </c>
      <c r="AY96" s="14" t="str">
        <f t="shared" si="52"/>
        <v>李轩辕12突</v>
      </c>
      <c r="AZ96" s="14" t="str">
        <f>IF(AT96&gt;0,INDEX(挂机升级突破!$CV$5:$CZ$5,卡牌消耗!AT96),"")</f>
        <v>金币</v>
      </c>
      <c r="BA96" s="14">
        <f>IF(AT96&gt;0,ROUND(INDEX(挂机升级突破!$CZ$7:$CZ$26,卡牌消耗!AX96)*INDEX(卡牌消耗!$B$8:$F$8,AV96)/$Q$4/500,0)*500,"")</f>
        <v>19500</v>
      </c>
      <c r="BB96" s="14" t="str">
        <f>IF(AU96&gt;0,INDEX(挂机升级突破!$CV$5:$CZ$5,卡牌消耗!AU96),"")</f>
        <v>乌金</v>
      </c>
      <c r="BC96" s="14">
        <f>IF(AU96&gt;0,ROUND(INDEX(挂机升级突破!$CV$7:$CY$26,卡牌消耗!AX96,卡牌消耗!AU96)*INDEX($B$6:$F$6,AV96)/$Q$4/5,0)*5,"")</f>
        <v>155</v>
      </c>
      <c r="BD96" s="104"/>
      <c r="BE96" s="104"/>
      <c r="BF96" s="106"/>
      <c r="BU96" s="15"/>
      <c r="BV96" s="14">
        <f>SUM(BX93:BX102)</f>
        <v>245</v>
      </c>
      <c r="BW96" s="50">
        <v>84</v>
      </c>
      <c r="BX96" s="50">
        <v>23</v>
      </c>
      <c r="BY96" s="21">
        <f t="shared" si="60"/>
        <v>9.3877551020408165E-2</v>
      </c>
      <c r="BZ96" s="65">
        <f t="shared" si="61"/>
        <v>3497</v>
      </c>
      <c r="CA96" s="50" t="e">
        <f>SUM(BZ$5:BZ96)</f>
        <v>#REF!</v>
      </c>
      <c r="CD96" s="136">
        <v>92</v>
      </c>
      <c r="CE96" s="14">
        <f t="shared" si="53"/>
        <v>19</v>
      </c>
      <c r="CF96" s="14">
        <f t="shared" si="38"/>
        <v>2</v>
      </c>
      <c r="CG96" s="14">
        <f t="shared" si="39"/>
        <v>1101022</v>
      </c>
      <c r="CH96" s="136" t="s">
        <v>1127</v>
      </c>
      <c r="CI96" s="14">
        <f t="shared" si="40"/>
        <v>2</v>
      </c>
      <c r="CJ96" s="14" t="str">
        <f t="shared" si="41"/>
        <v>幻-2星</v>
      </c>
      <c r="CK96" s="136" t="s">
        <v>1133</v>
      </c>
      <c r="CL96" s="14">
        <f t="shared" si="54"/>
        <v>3500</v>
      </c>
      <c r="CM96" s="14" t="str">
        <f t="shared" si="42"/>
        <v>幻碎片</v>
      </c>
      <c r="CN96" s="14">
        <f t="shared" si="55"/>
        <v>40</v>
      </c>
    </row>
    <row r="97" spans="1:92" ht="16.5" x14ac:dyDescent="0.2">
      <c r="A97" s="136">
        <v>1102031</v>
      </c>
      <c r="B97" s="136" t="s">
        <v>975</v>
      </c>
      <c r="C97" s="136">
        <v>4</v>
      </c>
      <c r="D97" s="136">
        <v>5</v>
      </c>
      <c r="E97" s="139">
        <f>SUM(D$47:D97)</f>
        <v>255</v>
      </c>
      <c r="H97" s="15"/>
      <c r="I97" s="15"/>
      <c r="J97" s="15"/>
      <c r="K97" s="15"/>
      <c r="L97" s="15"/>
      <c r="M97" s="15"/>
      <c r="N97" s="15"/>
      <c r="O97" s="137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  <c r="AA97" s="104">
        <v>93</v>
      </c>
      <c r="AB97" s="14">
        <f t="shared" si="43"/>
        <v>2</v>
      </c>
      <c r="AC97" s="14">
        <f>INDEX(挂机升级突破!$BU$6:$BU$57,卡牌消耗!AI97)</f>
        <v>11</v>
      </c>
      <c r="AD97" s="14">
        <f>INDEX(挂机升级突破!BV$6:BV$57,卡牌消耗!$AI97)</f>
        <v>5</v>
      </c>
      <c r="AE97" s="14">
        <f>INDEX(挂机升级突破!BW$6:BW$57,卡牌消耗!$AI97)</f>
        <v>10</v>
      </c>
      <c r="AF97" s="14" t="str">
        <f t="shared" si="44"/>
        <v>许褚</v>
      </c>
      <c r="AG97" s="14">
        <f t="shared" si="45"/>
        <v>3</v>
      </c>
      <c r="AH97" s="14" t="str">
        <f t="shared" si="46"/>
        <v>许褚魂火-41</v>
      </c>
      <c r="AI97" s="14">
        <f t="shared" si="47"/>
        <v>41</v>
      </c>
      <c r="AJ97" s="14" t="str">
        <f>INDEX(挂机升级突破!$BX$4:$CH$4,INDEX(挂机升级突破!$BU$6:$BU$57,卡牌消耗!AI97))</f>
        <v>金币</v>
      </c>
      <c r="AK97" s="14">
        <f>ROUND(INDEX(挂机升级突破!$BN$6:$BN$57,卡牌消耗!AI97)*INDEX(卡牌消耗!$B$8:$F$8,AG97)/$Q$4/50,0)*50</f>
        <v>23000</v>
      </c>
      <c r="AL97" s="14" t="str">
        <f>IF(AD97&gt;0,INDEX(挂机升级突破!$BX$4:$CH$4,AD97),"")</f>
        <v>红色基础材料</v>
      </c>
      <c r="AM97" s="14">
        <f>ROUND(INDEX(挂机升级突破!$BX$6:$CH$57,卡牌消耗!AI97,AD97)*INDEX(卡牌消耗!$B$5:$F$5,AG97)/$Q$4/5,0)*5</f>
        <v>55</v>
      </c>
      <c r="AN97" s="14" t="str">
        <f>IF(AE97&gt;0,INDEX(挂机升级突破!$BX$4:$CH$4,AE97),"")</f>
        <v>灵玉</v>
      </c>
      <c r="AO97" s="14">
        <f>IF(AE97&gt;0,ROUND(INDEX(挂机升级突破!$BX$6:$CH$57,卡牌消耗!AI97,AE97)*INDEX(卡牌消耗!$B$7:$F$7,AG97)/$Q$4,0),"")</f>
        <v>1</v>
      </c>
      <c r="AP97" s="106"/>
      <c r="AQ97" s="15"/>
      <c r="AR97" s="104">
        <v>93</v>
      </c>
      <c r="AS97" s="14">
        <f t="shared" si="48"/>
        <v>5</v>
      </c>
      <c r="AT97" s="14">
        <f>INDEX(挂机升级突破!$CM$7:$CM$26,AX97)</f>
        <v>5</v>
      </c>
      <c r="AU97" s="14">
        <f>INDEX(挂机升级突破!$CN$7:$CN$26,AX97)</f>
        <v>3</v>
      </c>
      <c r="AV97" s="14">
        <f t="shared" si="49"/>
        <v>3</v>
      </c>
      <c r="AW97" s="14" t="str">
        <f t="shared" si="50"/>
        <v>李轩辕</v>
      </c>
      <c r="AX97" s="14">
        <f t="shared" si="51"/>
        <v>13</v>
      </c>
      <c r="AY97" s="14" t="str">
        <f t="shared" si="52"/>
        <v>李轩辕13突</v>
      </c>
      <c r="AZ97" s="14" t="str">
        <f>IF(AT97&gt;0,INDEX(挂机升级突破!$CV$5:$CZ$5,卡牌消耗!AT97),"")</f>
        <v>金币</v>
      </c>
      <c r="BA97" s="14">
        <f>IF(AT97&gt;0,ROUND(INDEX(挂机升级突破!$CZ$7:$CZ$26,卡牌消耗!AX97)*INDEX(卡牌消耗!$B$8:$F$8,AV97)/$Q$4/500,0)*500,"")</f>
        <v>26000</v>
      </c>
      <c r="BB97" s="14" t="str">
        <f>IF(AU97&gt;0,INDEX(挂机升级突破!$CV$5:$CZ$5,卡牌消耗!AU97),"")</f>
        <v>银母</v>
      </c>
      <c r="BC97" s="14">
        <f>IF(AU97&gt;0,ROUND(INDEX(挂机升级突破!$CV$7:$CY$26,卡牌消耗!AX97,卡牌消耗!AU97)*INDEX($B$6:$F$6,AV97)/$Q$4/5,0)*5,"")</f>
        <v>30</v>
      </c>
      <c r="BD97" s="104"/>
      <c r="BE97" s="104"/>
      <c r="BF97" s="106"/>
      <c r="BW97" s="50">
        <v>85</v>
      </c>
      <c r="BX97" s="50">
        <v>24</v>
      </c>
      <c r="BY97" s="21">
        <f t="shared" si="60"/>
        <v>9.7959183673469383E-2</v>
      </c>
      <c r="BZ97" s="65">
        <f t="shared" si="61"/>
        <v>3649</v>
      </c>
      <c r="CA97" s="50" t="e">
        <f>SUM(BZ$5:BZ97)</f>
        <v>#REF!</v>
      </c>
      <c r="CD97" s="136">
        <v>93</v>
      </c>
      <c r="CE97" s="14">
        <f t="shared" si="53"/>
        <v>19</v>
      </c>
      <c r="CF97" s="14">
        <f t="shared" si="38"/>
        <v>2</v>
      </c>
      <c r="CG97" s="14">
        <f t="shared" si="39"/>
        <v>1101022</v>
      </c>
      <c r="CH97" s="136" t="s">
        <v>1127</v>
      </c>
      <c r="CI97" s="14">
        <f t="shared" si="40"/>
        <v>3</v>
      </c>
      <c r="CJ97" s="14" t="str">
        <f t="shared" si="41"/>
        <v>幻-3星</v>
      </c>
      <c r="CK97" s="136" t="s">
        <v>1133</v>
      </c>
      <c r="CL97" s="14">
        <f t="shared" si="54"/>
        <v>7000</v>
      </c>
      <c r="CM97" s="14" t="str">
        <f t="shared" si="42"/>
        <v>幻碎片</v>
      </c>
      <c r="CN97" s="14">
        <f t="shared" si="55"/>
        <v>80</v>
      </c>
    </row>
    <row r="98" spans="1:92" ht="16.5" x14ac:dyDescent="0.2">
      <c r="H98" s="15"/>
      <c r="I98" s="15"/>
      <c r="J98" s="15"/>
      <c r="K98" s="15"/>
      <c r="L98" s="15"/>
      <c r="M98" s="15"/>
      <c r="N98" s="15"/>
      <c r="O98" s="137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41"/>
      <c r="AA98" s="104">
        <v>94</v>
      </c>
      <c r="AB98" s="14">
        <f t="shared" si="43"/>
        <v>2</v>
      </c>
      <c r="AC98" s="14">
        <f>INDEX(挂机升级突破!$BU$6:$BU$57,卡牌消耗!AI98)</f>
        <v>11</v>
      </c>
      <c r="AD98" s="14">
        <f>INDEX(挂机升级突破!BV$6:BV$57,卡牌消耗!$AI98)</f>
        <v>5</v>
      </c>
      <c r="AE98" s="14">
        <f>INDEX(挂机升级突破!BW$6:BW$57,卡牌消耗!$AI98)</f>
        <v>10</v>
      </c>
      <c r="AF98" s="14" t="str">
        <f t="shared" si="44"/>
        <v>许褚</v>
      </c>
      <c r="AG98" s="14">
        <f t="shared" si="45"/>
        <v>3</v>
      </c>
      <c r="AH98" s="14" t="str">
        <f t="shared" si="46"/>
        <v>许褚魂火-42</v>
      </c>
      <c r="AI98" s="14">
        <f t="shared" si="47"/>
        <v>42</v>
      </c>
      <c r="AJ98" s="14" t="str">
        <f>INDEX(挂机升级突破!$BX$4:$CH$4,INDEX(挂机升级突破!$BU$6:$BU$57,卡牌消耗!AI98))</f>
        <v>金币</v>
      </c>
      <c r="AK98" s="14">
        <f>ROUND(INDEX(挂机升级突破!$BN$6:$BN$57,卡牌消耗!AI98)*INDEX(卡牌消耗!$B$8:$F$8,AG98)/$Q$4/50,0)*50</f>
        <v>23000</v>
      </c>
      <c r="AL98" s="14" t="str">
        <f>IF(AD98&gt;0,INDEX(挂机升级突破!$BX$4:$CH$4,AD98),"")</f>
        <v>红色基础材料</v>
      </c>
      <c r="AM98" s="14">
        <f>ROUND(INDEX(挂机升级突破!$BX$6:$CH$57,卡牌消耗!AI98,AD98)*INDEX(卡牌消耗!$B$5:$F$5,AG98)/$Q$4/5,0)*5</f>
        <v>55</v>
      </c>
      <c r="AN98" s="14" t="str">
        <f>IF(AE98&gt;0,INDEX(挂机升级突破!$BX$4:$CH$4,AE98),"")</f>
        <v>灵玉</v>
      </c>
      <c r="AO98" s="14">
        <f>IF(AE98&gt;0,ROUND(INDEX(挂机升级突破!$BX$6:$CH$57,卡牌消耗!AI98,AE98)*INDEX(卡牌消耗!$B$7:$F$7,AG98)/$Q$4,0),"")</f>
        <v>1</v>
      </c>
      <c r="AP98" s="106"/>
      <c r="AQ98" s="15"/>
      <c r="AR98" s="104">
        <v>94</v>
      </c>
      <c r="AS98" s="14">
        <f t="shared" si="48"/>
        <v>5</v>
      </c>
      <c r="AT98" s="14">
        <f>INDEX(挂机升级突破!$CM$7:$CM$26,AX98)</f>
        <v>5</v>
      </c>
      <c r="AU98" s="14">
        <f>INDEX(挂机升级突破!$CN$7:$CN$26,AX98)</f>
        <v>3</v>
      </c>
      <c r="AV98" s="14">
        <f t="shared" si="49"/>
        <v>3</v>
      </c>
      <c r="AW98" s="14" t="str">
        <f t="shared" si="50"/>
        <v>李轩辕</v>
      </c>
      <c r="AX98" s="14">
        <f t="shared" si="51"/>
        <v>14</v>
      </c>
      <c r="AY98" s="14" t="str">
        <f t="shared" si="52"/>
        <v>李轩辕14突</v>
      </c>
      <c r="AZ98" s="14" t="str">
        <f>IF(AT98&gt;0,INDEX(挂机升级突破!$CV$5:$CZ$5,卡牌消耗!AT98),"")</f>
        <v>金币</v>
      </c>
      <c r="BA98" s="14">
        <f>IF(AT98&gt;0,ROUND(INDEX(挂机升级突破!$CZ$7:$CZ$26,卡牌消耗!AX98)*INDEX(卡牌消耗!$B$8:$F$8,AV98)/$Q$4/500,0)*500,"")</f>
        <v>26000</v>
      </c>
      <c r="BB98" s="14" t="str">
        <f>IF(AU98&gt;0,INDEX(挂机升级突破!$CV$5:$CZ$5,卡牌消耗!AU98),"")</f>
        <v>银母</v>
      </c>
      <c r="BC98" s="14">
        <f>IF(AU98&gt;0,ROUND(INDEX(挂机升级突破!$CV$7:$CY$26,卡牌消耗!AX98,卡牌消耗!AU98)*INDEX($B$6:$F$6,AV98)/$Q$4/5,0)*5,"")</f>
        <v>40</v>
      </c>
      <c r="BD98" s="104"/>
      <c r="BE98" s="104"/>
      <c r="BF98" s="106"/>
      <c r="BW98" s="50">
        <v>86</v>
      </c>
      <c r="BX98" s="50">
        <v>25</v>
      </c>
      <c r="BY98" s="21">
        <f t="shared" si="60"/>
        <v>0.10204081632653061</v>
      </c>
      <c r="BZ98" s="65">
        <f t="shared" si="61"/>
        <v>3802</v>
      </c>
      <c r="CA98" s="50" t="e">
        <f>SUM(BZ$5:BZ98)</f>
        <v>#REF!</v>
      </c>
      <c r="CD98" s="136">
        <v>94</v>
      </c>
      <c r="CE98" s="14">
        <f t="shared" si="53"/>
        <v>19</v>
      </c>
      <c r="CF98" s="14">
        <f t="shared" si="38"/>
        <v>2</v>
      </c>
      <c r="CG98" s="14">
        <f t="shared" si="39"/>
        <v>1101022</v>
      </c>
      <c r="CH98" s="136" t="s">
        <v>1127</v>
      </c>
      <c r="CI98" s="14">
        <f t="shared" si="40"/>
        <v>4</v>
      </c>
      <c r="CJ98" s="14" t="str">
        <f t="shared" si="41"/>
        <v>幻-4星</v>
      </c>
      <c r="CK98" s="136" t="s">
        <v>1133</v>
      </c>
      <c r="CL98" s="14">
        <f t="shared" si="54"/>
        <v>16000</v>
      </c>
      <c r="CM98" s="14" t="str">
        <f t="shared" si="42"/>
        <v>幻碎片</v>
      </c>
      <c r="CN98" s="14">
        <f t="shared" si="55"/>
        <v>120</v>
      </c>
    </row>
    <row r="99" spans="1:92" ht="16.5" x14ac:dyDescent="0.2">
      <c r="H99" s="15"/>
      <c r="I99" s="15"/>
      <c r="J99" s="15"/>
      <c r="K99" s="15"/>
      <c r="L99" s="15"/>
      <c r="M99" s="15"/>
      <c r="N99" s="15"/>
      <c r="O99" s="137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41"/>
      <c r="AA99" s="104">
        <v>95</v>
      </c>
      <c r="AB99" s="14">
        <f t="shared" si="43"/>
        <v>2</v>
      </c>
      <c r="AC99" s="14">
        <f>INDEX(挂机升级突破!$BU$6:$BU$57,卡牌消耗!AI99)</f>
        <v>11</v>
      </c>
      <c r="AD99" s="14">
        <f>INDEX(挂机升级突破!BV$6:BV$57,卡牌消耗!$AI99)</f>
        <v>5</v>
      </c>
      <c r="AE99" s="14">
        <f>INDEX(挂机升级突破!BW$6:BW$57,卡牌消耗!$AI99)</f>
        <v>10</v>
      </c>
      <c r="AF99" s="14" t="str">
        <f t="shared" si="44"/>
        <v>许褚</v>
      </c>
      <c r="AG99" s="14">
        <f t="shared" si="45"/>
        <v>3</v>
      </c>
      <c r="AH99" s="14" t="str">
        <f t="shared" si="46"/>
        <v>许褚魂火-43</v>
      </c>
      <c r="AI99" s="14">
        <f t="shared" si="47"/>
        <v>43</v>
      </c>
      <c r="AJ99" s="14" t="str">
        <f>INDEX(挂机升级突破!$BX$4:$CH$4,INDEX(挂机升级突破!$BU$6:$BU$57,卡牌消耗!AI99))</f>
        <v>金币</v>
      </c>
      <c r="AK99" s="14">
        <f>ROUND(INDEX(挂机升级突破!$BN$6:$BN$57,卡牌消耗!AI99)*INDEX(卡牌消耗!$B$8:$F$8,AG99)/$Q$4/50,0)*50</f>
        <v>23000</v>
      </c>
      <c r="AL99" s="14" t="str">
        <f>IF(AD99&gt;0,INDEX(挂机升级突破!$BX$4:$CH$4,AD99),"")</f>
        <v>红色基础材料</v>
      </c>
      <c r="AM99" s="14">
        <f>ROUND(INDEX(挂机升级突破!$BX$6:$CH$57,卡牌消耗!AI99,AD99)*INDEX(卡牌消耗!$B$5:$F$5,AG99)/$Q$4/5,0)*5</f>
        <v>55</v>
      </c>
      <c r="AN99" s="14" t="str">
        <f>IF(AE99&gt;0,INDEX(挂机升级突破!$BX$4:$CH$4,AE99),"")</f>
        <v>灵玉</v>
      </c>
      <c r="AO99" s="14">
        <f>IF(AE99&gt;0,ROUND(INDEX(挂机升级突破!$BX$6:$CH$57,卡牌消耗!AI99,AE99)*INDEX(卡牌消耗!$B$7:$F$7,AG99)/$Q$4,0),"")</f>
        <v>1</v>
      </c>
      <c r="AP99" s="106"/>
      <c r="AQ99" s="15"/>
      <c r="AR99" s="104">
        <v>95</v>
      </c>
      <c r="AS99" s="14">
        <f t="shared" si="48"/>
        <v>5</v>
      </c>
      <c r="AT99" s="14">
        <f>INDEX(挂机升级突破!$CM$7:$CM$26,AX99)</f>
        <v>5</v>
      </c>
      <c r="AU99" s="14">
        <f>INDEX(挂机升级突破!$CN$7:$CN$26,AX99)</f>
        <v>3</v>
      </c>
      <c r="AV99" s="14">
        <f t="shared" si="49"/>
        <v>3</v>
      </c>
      <c r="AW99" s="14" t="str">
        <f t="shared" si="50"/>
        <v>李轩辕</v>
      </c>
      <c r="AX99" s="14">
        <f t="shared" si="51"/>
        <v>15</v>
      </c>
      <c r="AY99" s="14" t="str">
        <f t="shared" si="52"/>
        <v>李轩辕15突</v>
      </c>
      <c r="AZ99" s="14" t="str">
        <f>IF(AT99&gt;0,INDEX(挂机升级突破!$CV$5:$CZ$5,卡牌消耗!AT99),"")</f>
        <v>金币</v>
      </c>
      <c r="BA99" s="14">
        <f>IF(AT99&gt;0,ROUND(INDEX(挂机升级突破!$CZ$7:$CZ$26,卡牌消耗!AX99)*INDEX(卡牌消耗!$B$8:$F$8,AV99)/$Q$4/500,0)*500,"")</f>
        <v>34500</v>
      </c>
      <c r="BB99" s="14" t="str">
        <f>IF(AU99&gt;0,INDEX(挂机升级突破!$CV$5:$CZ$5,卡牌消耗!AU99),"")</f>
        <v>银母</v>
      </c>
      <c r="BC99" s="14">
        <f>IF(AU99&gt;0,ROUND(INDEX(挂机升级突破!$CV$7:$CY$26,卡牌消耗!AX99,卡牌消耗!AU99)*INDEX($B$6:$F$6,AV99)/$Q$4/5,0)*5,"")</f>
        <v>55</v>
      </c>
      <c r="BD99" s="104"/>
      <c r="BE99" s="104"/>
      <c r="BF99" s="106"/>
      <c r="BW99" s="50">
        <v>87</v>
      </c>
      <c r="BX99" s="50">
        <v>26</v>
      </c>
      <c r="BY99" s="21">
        <f t="shared" si="60"/>
        <v>0.10612244897959183</v>
      </c>
      <c r="BZ99" s="65">
        <f t="shared" si="61"/>
        <v>3954</v>
      </c>
      <c r="CA99" s="50" t="e">
        <f>SUM(BZ$5:BZ99)</f>
        <v>#REF!</v>
      </c>
      <c r="CD99" s="136">
        <v>95</v>
      </c>
      <c r="CE99" s="14">
        <f t="shared" si="53"/>
        <v>19</v>
      </c>
      <c r="CF99" s="14">
        <f t="shared" si="38"/>
        <v>2</v>
      </c>
      <c r="CG99" s="14">
        <f t="shared" si="39"/>
        <v>1101022</v>
      </c>
      <c r="CH99" s="136" t="s">
        <v>1127</v>
      </c>
      <c r="CI99" s="14">
        <f t="shared" si="40"/>
        <v>5</v>
      </c>
      <c r="CJ99" s="14" t="str">
        <f t="shared" si="41"/>
        <v>幻-5星</v>
      </c>
      <c r="CK99" s="136" t="s">
        <v>1133</v>
      </c>
      <c r="CL99" s="14">
        <f t="shared" si="54"/>
        <v>30000</v>
      </c>
      <c r="CM99" s="14" t="str">
        <f t="shared" si="42"/>
        <v>幻碎片</v>
      </c>
      <c r="CN99" s="14">
        <f t="shared" si="55"/>
        <v>160</v>
      </c>
    </row>
    <row r="100" spans="1:92" ht="16.5" x14ac:dyDescent="0.2">
      <c r="H100" s="15"/>
      <c r="I100" s="15"/>
      <c r="J100" s="15"/>
      <c r="K100" s="15"/>
      <c r="L100" s="15"/>
      <c r="M100" s="15"/>
      <c r="N100" s="15"/>
      <c r="O100" s="137"/>
      <c r="P100" s="141"/>
      <c r="Q100" s="141"/>
      <c r="R100" s="141"/>
      <c r="S100" s="141"/>
      <c r="T100" s="141"/>
      <c r="U100" s="141"/>
      <c r="V100" s="141"/>
      <c r="W100" s="141"/>
      <c r="X100" s="141"/>
      <c r="Y100" s="141"/>
      <c r="Z100" s="141"/>
      <c r="AA100" s="104">
        <v>96</v>
      </c>
      <c r="AB100" s="14">
        <f t="shared" si="43"/>
        <v>2</v>
      </c>
      <c r="AC100" s="14">
        <f>INDEX(挂机升级突破!$BU$6:$BU$57,卡牌消耗!AI100)</f>
        <v>11</v>
      </c>
      <c r="AD100" s="14">
        <f>INDEX(挂机升级突破!BV$6:BV$57,卡牌消耗!$AI100)</f>
        <v>5</v>
      </c>
      <c r="AE100" s="14">
        <f>INDEX(挂机升级突破!BW$6:BW$57,卡牌消耗!$AI100)</f>
        <v>10</v>
      </c>
      <c r="AF100" s="14" t="str">
        <f t="shared" si="44"/>
        <v>许褚</v>
      </c>
      <c r="AG100" s="14">
        <f t="shared" si="45"/>
        <v>3</v>
      </c>
      <c r="AH100" s="14" t="str">
        <f t="shared" si="46"/>
        <v>许褚魂火-44</v>
      </c>
      <c r="AI100" s="14">
        <f t="shared" si="47"/>
        <v>44</v>
      </c>
      <c r="AJ100" s="14" t="str">
        <f>INDEX(挂机升级突破!$BX$4:$CH$4,INDEX(挂机升级突破!$BU$6:$BU$57,卡牌消耗!AI100))</f>
        <v>金币</v>
      </c>
      <c r="AK100" s="14">
        <f>ROUND(INDEX(挂机升级突破!$BN$6:$BN$57,卡牌消耗!AI100)*INDEX(卡牌消耗!$B$8:$F$8,AG100)/$Q$4/50,0)*50</f>
        <v>29250</v>
      </c>
      <c r="AL100" s="14" t="str">
        <f>IF(AD100&gt;0,INDEX(挂机升级突破!$BX$4:$CH$4,AD100),"")</f>
        <v>红色基础材料</v>
      </c>
      <c r="AM100" s="14">
        <f>ROUND(INDEX(挂机升级突破!$BX$6:$CH$57,卡牌消耗!AI100,AD100)*INDEX(卡牌消耗!$B$5:$F$5,AG100)/$Q$4/5,0)*5</f>
        <v>65</v>
      </c>
      <c r="AN100" s="14" t="str">
        <f>IF(AE100&gt;0,INDEX(挂机升级突破!$BX$4:$CH$4,AE100),"")</f>
        <v>灵玉</v>
      </c>
      <c r="AO100" s="14">
        <f>IF(AE100&gt;0,ROUND(INDEX(挂机升级突破!$BX$6:$CH$57,卡牌消耗!AI100,AE100)*INDEX(卡牌消耗!$B$7:$F$7,AG100)/$Q$4,0),"")</f>
        <v>1</v>
      </c>
      <c r="AP100" s="106"/>
      <c r="AQ100" s="15"/>
      <c r="AR100" s="104">
        <v>96</v>
      </c>
      <c r="AS100" s="14">
        <f t="shared" si="48"/>
        <v>5</v>
      </c>
      <c r="AT100" s="14">
        <f>INDEX(挂机升级突破!$CM$7:$CM$26,AX100)</f>
        <v>5</v>
      </c>
      <c r="AU100" s="14">
        <f>INDEX(挂机升级突破!$CN$7:$CN$26,AX100)</f>
        <v>3</v>
      </c>
      <c r="AV100" s="14">
        <f t="shared" si="49"/>
        <v>3</v>
      </c>
      <c r="AW100" s="14" t="str">
        <f t="shared" si="50"/>
        <v>李轩辕</v>
      </c>
      <c r="AX100" s="14">
        <f t="shared" si="51"/>
        <v>16</v>
      </c>
      <c r="AY100" s="14" t="str">
        <f t="shared" si="52"/>
        <v>李轩辕16突</v>
      </c>
      <c r="AZ100" s="14" t="str">
        <f>IF(AT100&gt;0,INDEX(挂机升级突破!$CV$5:$CZ$5,卡牌消耗!AT100),"")</f>
        <v>金币</v>
      </c>
      <c r="BA100" s="14">
        <f>IF(AT100&gt;0,ROUND(INDEX(挂机升级突破!$CZ$7:$CZ$26,卡牌消耗!AX100)*INDEX(卡牌消耗!$B$8:$F$8,AV100)/$Q$4/500,0)*500,"")</f>
        <v>62500</v>
      </c>
      <c r="BB100" s="14" t="str">
        <f>IF(AU100&gt;0,INDEX(挂机升级突破!$CV$5:$CZ$5,卡牌消耗!AU100),"")</f>
        <v>银母</v>
      </c>
      <c r="BC100" s="14">
        <f>IF(AU100&gt;0,ROUND(INDEX(挂机升级突破!$CV$7:$CY$26,卡牌消耗!AX100,卡牌消耗!AU100)*INDEX($B$6:$F$6,AV100)/$Q$4/5,0)*5,"")</f>
        <v>70</v>
      </c>
      <c r="BD100" s="104"/>
      <c r="BE100" s="104"/>
      <c r="BF100" s="106"/>
      <c r="BW100" s="50">
        <v>88</v>
      </c>
      <c r="BX100" s="50">
        <v>27</v>
      </c>
      <c r="BY100" s="21">
        <f t="shared" si="60"/>
        <v>0.11020408163265306</v>
      </c>
      <c r="BZ100" s="65">
        <f t="shared" si="61"/>
        <v>4106</v>
      </c>
      <c r="CA100" s="50" t="e">
        <f>SUM(BZ$5:BZ100)</f>
        <v>#REF!</v>
      </c>
      <c r="CD100" s="136">
        <v>96</v>
      </c>
      <c r="CE100" s="14">
        <f t="shared" si="53"/>
        <v>20</v>
      </c>
      <c r="CF100" s="14">
        <f t="shared" si="38"/>
        <v>3</v>
      </c>
      <c r="CG100" s="14">
        <f t="shared" si="39"/>
        <v>1101023</v>
      </c>
      <c r="CH100" s="136" t="s">
        <v>1127</v>
      </c>
      <c r="CI100" s="14">
        <f t="shared" si="40"/>
        <v>1</v>
      </c>
      <c r="CJ100" s="14" t="str">
        <f t="shared" si="41"/>
        <v>朱童-1星</v>
      </c>
      <c r="CK100" s="136" t="s">
        <v>1133</v>
      </c>
      <c r="CL100" s="14">
        <f t="shared" si="54"/>
        <v>4000</v>
      </c>
      <c r="CM100" s="14" t="str">
        <f t="shared" si="42"/>
        <v>朱童碎片</v>
      </c>
      <c r="CN100" s="14">
        <f t="shared" si="55"/>
        <v>40</v>
      </c>
    </row>
    <row r="101" spans="1:92" ht="16.5" x14ac:dyDescent="0.2">
      <c r="H101" s="15"/>
      <c r="I101" s="15"/>
      <c r="J101" s="15"/>
      <c r="K101" s="15"/>
      <c r="L101" s="15"/>
      <c r="M101" s="15"/>
      <c r="N101" s="15"/>
      <c r="O101" s="137"/>
      <c r="P101" s="141"/>
      <c r="Q101" s="141"/>
      <c r="R101" s="141"/>
      <c r="S101" s="141"/>
      <c r="T101" s="141"/>
      <c r="U101" s="141"/>
      <c r="V101" s="141"/>
      <c r="W101" s="141"/>
      <c r="X101" s="141"/>
      <c r="Y101" s="141"/>
      <c r="Z101" s="141"/>
      <c r="AA101" s="104">
        <v>97</v>
      </c>
      <c r="AB101" s="14">
        <f t="shared" si="43"/>
        <v>2</v>
      </c>
      <c r="AC101" s="14">
        <f>INDEX(挂机升级突破!$BU$6:$BU$57,卡牌消耗!AI101)</f>
        <v>11</v>
      </c>
      <c r="AD101" s="14">
        <f>INDEX(挂机升级突破!BV$6:BV$57,卡牌消耗!$AI101)</f>
        <v>5</v>
      </c>
      <c r="AE101" s="14">
        <f>INDEX(挂机升级突破!BW$6:BW$57,卡牌消耗!$AI101)</f>
        <v>10</v>
      </c>
      <c r="AF101" s="14" t="str">
        <f t="shared" si="44"/>
        <v>许褚</v>
      </c>
      <c r="AG101" s="14">
        <f t="shared" si="45"/>
        <v>3</v>
      </c>
      <c r="AH101" s="14" t="str">
        <f t="shared" si="46"/>
        <v>许褚魂火-45</v>
      </c>
      <c r="AI101" s="14">
        <f t="shared" si="47"/>
        <v>45</v>
      </c>
      <c r="AJ101" s="14" t="str">
        <f>INDEX(挂机升级突破!$BX$4:$CH$4,INDEX(挂机升级突破!$BU$6:$BU$57,卡牌消耗!AI101))</f>
        <v>金币</v>
      </c>
      <c r="AK101" s="14">
        <f>ROUND(INDEX(挂机升级突破!$BN$6:$BN$57,卡牌消耗!AI101)*INDEX(卡牌消耗!$B$8:$F$8,AG101)/$Q$4/50,0)*50</f>
        <v>29250</v>
      </c>
      <c r="AL101" s="14" t="str">
        <f>IF(AD101&gt;0,INDEX(挂机升级突破!$BX$4:$CH$4,AD101),"")</f>
        <v>红色基础材料</v>
      </c>
      <c r="AM101" s="14">
        <f>ROUND(INDEX(挂机升级突破!$BX$6:$CH$57,卡牌消耗!AI101,AD101)*INDEX(卡牌消耗!$B$5:$F$5,AG101)/$Q$4/5,0)*5</f>
        <v>65</v>
      </c>
      <c r="AN101" s="14" t="str">
        <f>IF(AE101&gt;0,INDEX(挂机升级突破!$BX$4:$CH$4,AE101),"")</f>
        <v>灵玉</v>
      </c>
      <c r="AO101" s="14">
        <f>IF(AE101&gt;0,ROUND(INDEX(挂机升级突破!$BX$6:$CH$57,卡牌消耗!AI101,AE101)*INDEX(卡牌消耗!$B$7:$F$7,AG101)/$Q$4,0),"")</f>
        <v>1</v>
      </c>
      <c r="AP101" s="106"/>
      <c r="AQ101" s="15"/>
      <c r="AR101" s="104">
        <v>97</v>
      </c>
      <c r="AS101" s="14">
        <f t="shared" si="48"/>
        <v>5</v>
      </c>
      <c r="AT101" s="14">
        <f>INDEX(挂机升级突破!$CM$7:$CM$26,AX101)</f>
        <v>5</v>
      </c>
      <c r="AU101" s="14">
        <f>INDEX(挂机升级突破!$CN$7:$CN$26,AX101)</f>
        <v>4</v>
      </c>
      <c r="AV101" s="14">
        <f t="shared" si="49"/>
        <v>3</v>
      </c>
      <c r="AW101" s="14" t="str">
        <f t="shared" si="50"/>
        <v>李轩辕</v>
      </c>
      <c r="AX101" s="14">
        <f t="shared" si="51"/>
        <v>17</v>
      </c>
      <c r="AY101" s="14" t="str">
        <f t="shared" si="52"/>
        <v>李轩辕17突</v>
      </c>
      <c r="AZ101" s="14" t="str">
        <f>IF(AT101&gt;0,INDEX(挂机升级突破!$CV$5:$CZ$5,卡牌消耗!AT101),"")</f>
        <v>金币</v>
      </c>
      <c r="BA101" s="14">
        <f>IF(AT101&gt;0,ROUND(INDEX(挂机升级突破!$CZ$7:$CZ$26,卡牌消耗!AX101)*INDEX(卡牌消耗!$B$8:$F$8,AV101)/$Q$4/500,0)*500,"")</f>
        <v>62500</v>
      </c>
      <c r="BB101" s="14" t="str">
        <f>IF(AU101&gt;0,INDEX(挂机升级突破!$CV$5:$CZ$5,卡牌消耗!AU101),"")</f>
        <v>铀金</v>
      </c>
      <c r="BC101" s="14">
        <f>IF(AU101&gt;0,ROUND(INDEX(挂机升级突破!$CV$7:$CY$26,卡牌消耗!AX101,卡牌消耗!AU101)*INDEX($B$6:$F$6,AV101)/$Q$4/5,0)*5,"")</f>
        <v>25</v>
      </c>
      <c r="BD101" s="104"/>
      <c r="BE101" s="104"/>
      <c r="BF101" s="106"/>
      <c r="BW101" s="50">
        <v>89</v>
      </c>
      <c r="BX101" s="50">
        <v>28</v>
      </c>
      <c r="BY101" s="21">
        <f t="shared" si="60"/>
        <v>0.11428571428571428</v>
      </c>
      <c r="BZ101" s="65">
        <f t="shared" si="61"/>
        <v>4258</v>
      </c>
      <c r="CA101" s="50" t="e">
        <f>SUM(BZ$5:BZ101)</f>
        <v>#REF!</v>
      </c>
      <c r="CD101" s="136">
        <v>97</v>
      </c>
      <c r="CE101" s="14">
        <f t="shared" si="53"/>
        <v>20</v>
      </c>
      <c r="CF101" s="14">
        <f t="shared" si="38"/>
        <v>3</v>
      </c>
      <c r="CG101" s="14">
        <f t="shared" si="39"/>
        <v>1101023</v>
      </c>
      <c r="CH101" s="136" t="s">
        <v>1127</v>
      </c>
      <c r="CI101" s="14">
        <f t="shared" si="40"/>
        <v>2</v>
      </c>
      <c r="CJ101" s="14" t="str">
        <f t="shared" si="41"/>
        <v>朱童-2星</v>
      </c>
      <c r="CK101" s="136" t="s">
        <v>1133</v>
      </c>
      <c r="CL101" s="14">
        <f t="shared" si="54"/>
        <v>5000</v>
      </c>
      <c r="CM101" s="14" t="str">
        <f t="shared" si="42"/>
        <v>朱童碎片</v>
      </c>
      <c r="CN101" s="14">
        <f t="shared" si="55"/>
        <v>80</v>
      </c>
    </row>
    <row r="102" spans="1:92" ht="16.5" x14ac:dyDescent="0.2">
      <c r="H102" s="15"/>
      <c r="I102" s="15"/>
      <c r="J102" s="15"/>
      <c r="K102" s="15"/>
      <c r="L102" s="15"/>
      <c r="M102" s="15"/>
      <c r="N102" s="15"/>
      <c r="O102" s="137"/>
      <c r="P102" s="141"/>
      <c r="Q102" s="141"/>
      <c r="R102" s="141"/>
      <c r="S102" s="141"/>
      <c r="T102" s="141"/>
      <c r="U102" s="141"/>
      <c r="V102" s="141"/>
      <c r="W102" s="141"/>
      <c r="X102" s="141"/>
      <c r="Y102" s="141"/>
      <c r="Z102" s="141"/>
      <c r="AA102" s="104">
        <v>98</v>
      </c>
      <c r="AB102" s="14">
        <f t="shared" si="43"/>
        <v>2</v>
      </c>
      <c r="AC102" s="14">
        <f>INDEX(挂机升级突破!$BU$6:$BU$57,卡牌消耗!AI102)</f>
        <v>11</v>
      </c>
      <c r="AD102" s="14">
        <f>INDEX(挂机升级突破!BV$6:BV$57,卡牌消耗!$AI102)</f>
        <v>5</v>
      </c>
      <c r="AE102" s="14">
        <f>INDEX(挂机升级突破!BW$6:BW$57,卡牌消耗!$AI102)</f>
        <v>10</v>
      </c>
      <c r="AF102" s="14" t="str">
        <f t="shared" si="44"/>
        <v>许褚</v>
      </c>
      <c r="AG102" s="14">
        <f t="shared" si="45"/>
        <v>3</v>
      </c>
      <c r="AH102" s="14" t="str">
        <f t="shared" si="46"/>
        <v>许褚魂火-46</v>
      </c>
      <c r="AI102" s="14">
        <f t="shared" si="47"/>
        <v>46</v>
      </c>
      <c r="AJ102" s="14" t="str">
        <f>INDEX(挂机升级突破!$BX$4:$CH$4,INDEX(挂机升级突破!$BU$6:$BU$57,卡牌消耗!AI102))</f>
        <v>金币</v>
      </c>
      <c r="AK102" s="14">
        <f>ROUND(INDEX(挂机升级突破!$BN$6:$BN$57,卡牌消耗!AI102)*INDEX(卡牌消耗!$B$8:$F$8,AG102)/$Q$4/50,0)*50</f>
        <v>31350</v>
      </c>
      <c r="AL102" s="14" t="str">
        <f>IF(AD102&gt;0,INDEX(挂机升级突破!$BX$4:$CH$4,AD102),"")</f>
        <v>红色基础材料</v>
      </c>
      <c r="AM102" s="14">
        <f>ROUND(INDEX(挂机升级突破!$BX$6:$CH$57,卡牌消耗!AI102,AD102)*INDEX(卡牌消耗!$B$5:$F$5,AG102)/$Q$4/5,0)*5</f>
        <v>65</v>
      </c>
      <c r="AN102" s="14" t="str">
        <f>IF(AE102&gt;0,INDEX(挂机升级突破!$BX$4:$CH$4,AE102),"")</f>
        <v>灵玉</v>
      </c>
      <c r="AO102" s="14">
        <f>IF(AE102&gt;0,ROUND(INDEX(挂机升级突破!$BX$6:$CH$57,卡牌消耗!AI102,AE102)*INDEX(卡牌消耗!$B$7:$F$7,AG102)/$Q$4,0),"")</f>
        <v>1</v>
      </c>
      <c r="AP102" s="106"/>
      <c r="AQ102" s="15"/>
      <c r="AR102" s="104">
        <v>98</v>
      </c>
      <c r="AS102" s="14">
        <f t="shared" si="48"/>
        <v>5</v>
      </c>
      <c r="AT102" s="14">
        <f>INDEX(挂机升级突破!$CM$7:$CM$26,AX102)</f>
        <v>5</v>
      </c>
      <c r="AU102" s="14">
        <f>INDEX(挂机升级突破!$CN$7:$CN$26,AX102)</f>
        <v>4</v>
      </c>
      <c r="AV102" s="14">
        <f t="shared" si="49"/>
        <v>3</v>
      </c>
      <c r="AW102" s="14" t="str">
        <f t="shared" si="50"/>
        <v>李轩辕</v>
      </c>
      <c r="AX102" s="14">
        <f t="shared" si="51"/>
        <v>18</v>
      </c>
      <c r="AY102" s="14" t="str">
        <f t="shared" si="52"/>
        <v>李轩辕18突</v>
      </c>
      <c r="AZ102" s="14" t="str">
        <f>IF(AT102&gt;0,INDEX(挂机升级突破!$CV$5:$CZ$5,卡牌消耗!AT102),"")</f>
        <v>金币</v>
      </c>
      <c r="BA102" s="14">
        <f>IF(AT102&gt;0,ROUND(INDEX(挂机升级突破!$CZ$7:$CZ$26,卡牌消耗!AX102)*INDEX(卡牌消耗!$B$8:$F$8,AV102)/$Q$4/500,0)*500,"")</f>
        <v>83500</v>
      </c>
      <c r="BB102" s="14" t="str">
        <f>IF(AU102&gt;0,INDEX(挂机升级突破!$CV$5:$CZ$5,卡牌消耗!AU102),"")</f>
        <v>铀金</v>
      </c>
      <c r="BC102" s="14">
        <f>IF(AU102&gt;0,ROUND(INDEX(挂机升级突破!$CV$7:$CY$26,卡牌消耗!AX102,卡牌消耗!AU102)*INDEX($B$6:$F$6,AV102)/$Q$4/5,0)*5,"")</f>
        <v>35</v>
      </c>
      <c r="BD102" s="104"/>
      <c r="BE102" s="104"/>
      <c r="BF102" s="106"/>
      <c r="BW102" s="50">
        <v>90</v>
      </c>
      <c r="BX102" s="50">
        <v>29</v>
      </c>
      <c r="BY102" s="21">
        <f t="shared" si="60"/>
        <v>0.11836734693877551</v>
      </c>
      <c r="BZ102" s="50">
        <f>INT(BV$94*BY102)</f>
        <v>4842</v>
      </c>
      <c r="CA102" s="50" t="e">
        <f>SUM(BZ$5:BZ102)</f>
        <v>#REF!</v>
      </c>
      <c r="CD102" s="136">
        <v>98</v>
      </c>
      <c r="CE102" s="14">
        <f t="shared" si="53"/>
        <v>20</v>
      </c>
      <c r="CF102" s="14">
        <f t="shared" si="38"/>
        <v>3</v>
      </c>
      <c r="CG102" s="14">
        <f t="shared" si="39"/>
        <v>1101023</v>
      </c>
      <c r="CH102" s="136" t="s">
        <v>1127</v>
      </c>
      <c r="CI102" s="14">
        <f t="shared" si="40"/>
        <v>3</v>
      </c>
      <c r="CJ102" s="14" t="str">
        <f t="shared" si="41"/>
        <v>朱童-3星</v>
      </c>
      <c r="CK102" s="136" t="s">
        <v>1133</v>
      </c>
      <c r="CL102" s="14">
        <f t="shared" si="54"/>
        <v>10000</v>
      </c>
      <c r="CM102" s="14" t="str">
        <f t="shared" si="42"/>
        <v>朱童碎片</v>
      </c>
      <c r="CN102" s="14">
        <f t="shared" si="55"/>
        <v>120</v>
      </c>
    </row>
    <row r="103" spans="1:92" ht="16.5" x14ac:dyDescent="0.2">
      <c r="H103" s="15"/>
      <c r="I103" s="15"/>
      <c r="J103" s="15"/>
      <c r="K103" s="15"/>
      <c r="L103" s="15"/>
      <c r="M103" s="15"/>
      <c r="N103" s="15"/>
      <c r="O103" s="137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  <c r="Z103" s="141"/>
      <c r="AA103" s="104">
        <v>99</v>
      </c>
      <c r="AB103" s="14">
        <f t="shared" si="43"/>
        <v>2</v>
      </c>
      <c r="AC103" s="14">
        <f>INDEX(挂机升级突破!$BU$6:$BU$57,卡牌消耗!AI103)</f>
        <v>11</v>
      </c>
      <c r="AD103" s="14">
        <f>INDEX(挂机升级突破!BV$6:BV$57,卡牌消耗!$AI103)</f>
        <v>5</v>
      </c>
      <c r="AE103" s="14">
        <f>INDEX(挂机升级突破!BW$6:BW$57,卡牌消耗!$AI103)</f>
        <v>10</v>
      </c>
      <c r="AF103" s="14" t="str">
        <f t="shared" si="44"/>
        <v>许褚</v>
      </c>
      <c r="AG103" s="14">
        <f t="shared" si="45"/>
        <v>3</v>
      </c>
      <c r="AH103" s="14" t="str">
        <f t="shared" si="46"/>
        <v>许褚魂火-47</v>
      </c>
      <c r="AI103" s="14">
        <f t="shared" si="47"/>
        <v>47</v>
      </c>
      <c r="AJ103" s="14" t="str">
        <f>INDEX(挂机升级突破!$BX$4:$CH$4,INDEX(挂机升级突破!$BU$6:$BU$57,卡牌消耗!AI103))</f>
        <v>金币</v>
      </c>
      <c r="AK103" s="14">
        <f>ROUND(INDEX(挂机升级突破!$BN$6:$BN$57,卡牌消耗!AI103)*INDEX(卡牌消耗!$B$8:$F$8,AG103)/$Q$4/50,0)*50</f>
        <v>151950</v>
      </c>
      <c r="AL103" s="14" t="str">
        <f>IF(AD103&gt;0,INDEX(挂机升级突破!$BX$4:$CH$4,AD103),"")</f>
        <v>红色基础材料</v>
      </c>
      <c r="AM103" s="14">
        <f>ROUND(INDEX(挂机升级突破!$BX$6:$CH$57,卡牌消耗!AI103,AD103)*INDEX(卡牌消耗!$B$5:$F$5,AG103)/$Q$4/5,0)*5</f>
        <v>65</v>
      </c>
      <c r="AN103" s="14" t="str">
        <f>IF(AE103&gt;0,INDEX(挂机升级突破!$BX$4:$CH$4,AE103),"")</f>
        <v>灵玉</v>
      </c>
      <c r="AO103" s="14">
        <f>IF(AE103&gt;0,ROUND(INDEX(挂机升级突破!$BX$6:$CH$57,卡牌消耗!AI103,AE103)*INDEX(卡牌消耗!$B$7:$F$7,AG103)/$Q$4,0),"")</f>
        <v>1</v>
      </c>
      <c r="AP103" s="106"/>
      <c r="AQ103" s="15"/>
      <c r="AR103" s="104">
        <v>99</v>
      </c>
      <c r="AS103" s="14">
        <f t="shared" si="48"/>
        <v>5</v>
      </c>
      <c r="AT103" s="14">
        <f>INDEX(挂机升级突破!$CM$7:$CM$26,AX103)</f>
        <v>5</v>
      </c>
      <c r="AU103" s="14">
        <f>INDEX(挂机升级突破!$CN$7:$CN$26,AX103)</f>
        <v>4</v>
      </c>
      <c r="AV103" s="14">
        <f t="shared" si="49"/>
        <v>3</v>
      </c>
      <c r="AW103" s="14" t="str">
        <f t="shared" si="50"/>
        <v>李轩辕</v>
      </c>
      <c r="AX103" s="14">
        <f t="shared" si="51"/>
        <v>19</v>
      </c>
      <c r="AY103" s="14" t="str">
        <f t="shared" si="52"/>
        <v>李轩辕19突</v>
      </c>
      <c r="AZ103" s="14" t="str">
        <f>IF(AT103&gt;0,INDEX(挂机升级突破!$CV$5:$CZ$5,卡牌消耗!AT103),"")</f>
        <v>金币</v>
      </c>
      <c r="BA103" s="14">
        <f>IF(AT103&gt;0,ROUND(INDEX(挂机升级突破!$CZ$7:$CZ$26,卡牌消耗!AX103)*INDEX(卡牌消耗!$B$8:$F$8,AV103)/$Q$4/500,0)*500,"")</f>
        <v>506500</v>
      </c>
      <c r="BB103" s="14" t="str">
        <f>IF(AU103&gt;0,INDEX(挂机升级突破!$CV$5:$CZ$5,卡牌消耗!AU103),"")</f>
        <v>铀金</v>
      </c>
      <c r="BC103" s="14">
        <f>IF(AU103&gt;0,ROUND(INDEX(挂机升级突破!$CV$7:$CY$26,卡牌消耗!AX103,卡牌消耗!AU103)*INDEX($B$6:$F$6,AV103)/$Q$4/5,0)*5,"")</f>
        <v>45</v>
      </c>
      <c r="BD103" s="104"/>
      <c r="BE103" s="104"/>
      <c r="BF103" s="106"/>
      <c r="BU103" s="50" t="s">
        <v>310</v>
      </c>
      <c r="BV103" s="50">
        <v>10</v>
      </c>
      <c r="BW103" s="50">
        <v>91</v>
      </c>
      <c r="BX103" s="50">
        <v>20</v>
      </c>
      <c r="BY103" s="21">
        <f t="shared" ref="BY103:BY112" si="62">BX103/BV$106</f>
        <v>8.1632653061224483E-2</v>
      </c>
      <c r="BZ103" s="65">
        <f t="shared" ref="BZ103:BZ112" si="63">INT(BV$94*BY103)</f>
        <v>3339</v>
      </c>
      <c r="CA103" s="50" t="e">
        <f>SUM(BZ$5:BZ103)</f>
        <v>#REF!</v>
      </c>
      <c r="CD103" s="136">
        <v>99</v>
      </c>
      <c r="CE103" s="14">
        <f t="shared" si="53"/>
        <v>20</v>
      </c>
      <c r="CF103" s="14">
        <f t="shared" si="38"/>
        <v>3</v>
      </c>
      <c r="CG103" s="14">
        <f t="shared" si="39"/>
        <v>1101023</v>
      </c>
      <c r="CH103" s="136" t="s">
        <v>1127</v>
      </c>
      <c r="CI103" s="14">
        <f t="shared" si="40"/>
        <v>4</v>
      </c>
      <c r="CJ103" s="14" t="str">
        <f t="shared" si="41"/>
        <v>朱童-4星</v>
      </c>
      <c r="CK103" s="136" t="s">
        <v>1133</v>
      </c>
      <c r="CL103" s="14">
        <f t="shared" si="54"/>
        <v>20000</v>
      </c>
      <c r="CM103" s="14" t="str">
        <f t="shared" si="42"/>
        <v>朱童碎片</v>
      </c>
      <c r="CN103" s="14">
        <f t="shared" si="55"/>
        <v>160</v>
      </c>
    </row>
    <row r="104" spans="1:92" ht="16.5" x14ac:dyDescent="0.2">
      <c r="H104" s="15"/>
      <c r="I104" s="15"/>
      <c r="J104" s="15"/>
      <c r="K104" s="15"/>
      <c r="L104" s="15"/>
      <c r="M104" s="15"/>
      <c r="N104" s="15"/>
      <c r="O104" s="137"/>
      <c r="P104" s="141"/>
      <c r="Q104" s="141"/>
      <c r="R104" s="141"/>
      <c r="S104" s="141"/>
      <c r="T104" s="141"/>
      <c r="U104" s="141"/>
      <c r="V104" s="141"/>
      <c r="W104" s="141"/>
      <c r="X104" s="141"/>
      <c r="Y104" s="141"/>
      <c r="Z104" s="141"/>
      <c r="AA104" s="104">
        <v>100</v>
      </c>
      <c r="AB104" s="14">
        <f t="shared" si="43"/>
        <v>2</v>
      </c>
      <c r="AC104" s="14">
        <f>INDEX(挂机升级突破!$BU$6:$BU$57,卡牌消耗!AI104)</f>
        <v>11</v>
      </c>
      <c r="AD104" s="14">
        <f>INDEX(挂机升级突破!BV$6:BV$57,卡牌消耗!$AI104)</f>
        <v>5</v>
      </c>
      <c r="AE104" s="14">
        <f>INDEX(挂机升级突破!BW$6:BW$57,卡牌消耗!$AI104)</f>
        <v>10</v>
      </c>
      <c r="AF104" s="14" t="str">
        <f t="shared" si="44"/>
        <v>许褚</v>
      </c>
      <c r="AG104" s="14">
        <f t="shared" si="45"/>
        <v>3</v>
      </c>
      <c r="AH104" s="14" t="str">
        <f t="shared" si="46"/>
        <v>许褚魂火-48</v>
      </c>
      <c r="AI104" s="14">
        <f t="shared" si="47"/>
        <v>48</v>
      </c>
      <c r="AJ104" s="14" t="str">
        <f>INDEX(挂机升级突破!$BX$4:$CH$4,INDEX(挂机升级突破!$BU$6:$BU$57,卡牌消耗!AI104))</f>
        <v>金币</v>
      </c>
      <c r="AK104" s="14">
        <f>ROUND(INDEX(挂机升级突破!$BN$6:$BN$57,卡牌消耗!AI104)*INDEX(卡牌消耗!$B$8:$F$8,AG104)/$Q$4/50,0)*50</f>
        <v>151950</v>
      </c>
      <c r="AL104" s="14" t="str">
        <f>IF(AD104&gt;0,INDEX(挂机升级突破!$BX$4:$CH$4,AD104),"")</f>
        <v>红色基础材料</v>
      </c>
      <c r="AM104" s="14">
        <f>ROUND(INDEX(挂机升级突破!$BX$6:$CH$57,卡牌消耗!AI104,AD104)*INDEX(卡牌消耗!$B$5:$F$5,AG104)/$Q$4/5,0)*5</f>
        <v>65</v>
      </c>
      <c r="AN104" s="14" t="str">
        <f>IF(AE104&gt;0,INDEX(挂机升级突破!$BX$4:$CH$4,AE104),"")</f>
        <v>灵玉</v>
      </c>
      <c r="AO104" s="14">
        <f>IF(AE104&gt;0,ROUND(INDEX(挂机升级突破!$BX$6:$CH$57,卡牌消耗!AI104,AE104)*INDEX(卡牌消耗!$B$7:$F$7,AG104)/$Q$4,0),"")</f>
        <v>1</v>
      </c>
      <c r="AP104" s="106"/>
      <c r="AQ104" s="15"/>
      <c r="AR104" s="104">
        <v>100</v>
      </c>
      <c r="AS104" s="14">
        <f t="shared" si="48"/>
        <v>5</v>
      </c>
      <c r="AT104" s="14">
        <f>INDEX(挂机升级突破!$CM$7:$CM$26,AX104)</f>
        <v>5</v>
      </c>
      <c r="AU104" s="14">
        <f>INDEX(挂机升级突破!$CN$7:$CN$26,AX104)</f>
        <v>4</v>
      </c>
      <c r="AV104" s="14">
        <f t="shared" si="49"/>
        <v>3</v>
      </c>
      <c r="AW104" s="14" t="str">
        <f t="shared" si="50"/>
        <v>李轩辕</v>
      </c>
      <c r="AX104" s="14">
        <f t="shared" si="51"/>
        <v>20</v>
      </c>
      <c r="AY104" s="14" t="str">
        <f t="shared" si="52"/>
        <v>李轩辕20突</v>
      </c>
      <c r="AZ104" s="14" t="str">
        <f>IF(AT104&gt;0,INDEX(挂机升级突破!$CV$5:$CZ$5,卡牌消耗!AT104),"")</f>
        <v>金币</v>
      </c>
      <c r="BA104" s="14">
        <f>IF(AT104&gt;0,ROUND(INDEX(挂机升级突破!$CZ$7:$CZ$26,卡牌消耗!AX104)*INDEX(卡牌消耗!$B$8:$F$8,AV104)/$Q$4/500,0)*500,"")</f>
        <v>760000</v>
      </c>
      <c r="BB104" s="14" t="str">
        <f>IF(AU104&gt;0,INDEX(挂机升级突破!$CV$5:$CZ$5,卡牌消耗!AU104),"")</f>
        <v>铀金</v>
      </c>
      <c r="BC104" s="14">
        <f>IF(AU104&gt;0,ROUND(INDEX(挂机升级突破!$CV$7:$CY$26,卡牌消耗!AX104,卡牌消耗!AU104)*INDEX($B$6:$F$6,AV104)/$Q$4/5,0)*5,"")</f>
        <v>60</v>
      </c>
      <c r="BD104" s="104"/>
      <c r="BE104" s="104"/>
      <c r="BF104" s="106"/>
      <c r="BU104" s="14" t="str">
        <f>INDEX($BH$5:$BH$19,BV103)</f>
        <v>50~55</v>
      </c>
      <c r="BV104" s="14">
        <f>INDEX($BQ$5:$BQ$19,BV103)</f>
        <v>45950</v>
      </c>
      <c r="BW104" s="50">
        <v>92</v>
      </c>
      <c r="BX104" s="50">
        <v>21</v>
      </c>
      <c r="BY104" s="21">
        <f t="shared" si="62"/>
        <v>8.5714285714285715E-2</v>
      </c>
      <c r="BZ104" s="65">
        <f t="shared" si="63"/>
        <v>3506</v>
      </c>
      <c r="CA104" s="50" t="e">
        <f>SUM(BZ$5:BZ104)</f>
        <v>#REF!</v>
      </c>
      <c r="CD104" s="136">
        <v>100</v>
      </c>
      <c r="CE104" s="14">
        <f t="shared" si="53"/>
        <v>20</v>
      </c>
      <c r="CF104" s="14">
        <f t="shared" si="38"/>
        <v>3</v>
      </c>
      <c r="CG104" s="14">
        <f t="shared" si="39"/>
        <v>1101023</v>
      </c>
      <c r="CH104" s="136" t="s">
        <v>1127</v>
      </c>
      <c r="CI104" s="14">
        <f t="shared" si="40"/>
        <v>5</v>
      </c>
      <c r="CJ104" s="14" t="str">
        <f t="shared" si="41"/>
        <v>朱童-5星</v>
      </c>
      <c r="CK104" s="136" t="s">
        <v>1133</v>
      </c>
      <c r="CL104" s="14">
        <f t="shared" si="54"/>
        <v>40000</v>
      </c>
      <c r="CM104" s="14" t="str">
        <f t="shared" si="42"/>
        <v>朱童碎片</v>
      </c>
      <c r="CN104" s="14">
        <f t="shared" si="55"/>
        <v>240</v>
      </c>
    </row>
    <row r="105" spans="1:92" ht="16.5" x14ac:dyDescent="0.2">
      <c r="H105" s="15"/>
      <c r="I105" s="15"/>
      <c r="J105" s="15"/>
      <c r="K105" s="15"/>
      <c r="L105" s="15"/>
      <c r="M105" s="15"/>
      <c r="N105" s="15"/>
      <c r="O105" s="137"/>
      <c r="P105" s="141"/>
      <c r="Q105" s="141"/>
      <c r="R105" s="141"/>
      <c r="S105" s="141"/>
      <c r="T105" s="141"/>
      <c r="U105" s="141"/>
      <c r="V105" s="141"/>
      <c r="W105" s="141"/>
      <c r="X105" s="141"/>
      <c r="Y105" s="141"/>
      <c r="Z105" s="141"/>
      <c r="AA105" s="104">
        <v>101</v>
      </c>
      <c r="AB105" s="14">
        <f t="shared" si="43"/>
        <v>2</v>
      </c>
      <c r="AC105" s="14">
        <f>INDEX(挂机升级突破!$BU$6:$BU$57,卡牌消耗!AI105)</f>
        <v>11</v>
      </c>
      <c r="AD105" s="14">
        <f>INDEX(挂机升级突破!BV$6:BV$57,卡牌消耗!$AI105)</f>
        <v>5</v>
      </c>
      <c r="AE105" s="14">
        <f>INDEX(挂机升级突破!BW$6:BW$57,卡牌消耗!$AI105)</f>
        <v>10</v>
      </c>
      <c r="AF105" s="14" t="str">
        <f t="shared" si="44"/>
        <v>许褚</v>
      </c>
      <c r="AG105" s="14">
        <f t="shared" si="45"/>
        <v>3</v>
      </c>
      <c r="AH105" s="14" t="str">
        <f t="shared" si="46"/>
        <v>许褚魂火-49</v>
      </c>
      <c r="AI105" s="14">
        <f t="shared" si="47"/>
        <v>49</v>
      </c>
      <c r="AJ105" s="14" t="str">
        <f>INDEX(挂机升级突破!$BX$4:$CH$4,INDEX(挂机升级突破!$BU$6:$BU$57,卡牌消耗!AI105))</f>
        <v>金币</v>
      </c>
      <c r="AK105" s="14">
        <f>ROUND(INDEX(挂机升级突破!$BN$6:$BN$57,卡牌消耗!AI105)*INDEX(卡牌消耗!$B$8:$F$8,AG105)/$Q$4/50,0)*50</f>
        <v>151950</v>
      </c>
      <c r="AL105" s="14" t="str">
        <f>IF(AD105&gt;0,INDEX(挂机升级突破!$BX$4:$CH$4,AD105),"")</f>
        <v>红色基础材料</v>
      </c>
      <c r="AM105" s="14">
        <f>ROUND(INDEX(挂机升级突破!$BX$6:$CH$57,卡牌消耗!AI105,AD105)*INDEX(卡牌消耗!$B$5:$F$5,AG105)/$Q$4/5,0)*5</f>
        <v>70</v>
      </c>
      <c r="AN105" s="14" t="str">
        <f>IF(AE105&gt;0,INDEX(挂机升级突破!$BX$4:$CH$4,AE105),"")</f>
        <v>灵玉</v>
      </c>
      <c r="AO105" s="14">
        <f>IF(AE105&gt;0,ROUND(INDEX(挂机升级突破!$BX$6:$CH$57,卡牌消耗!AI105,AE105)*INDEX(卡牌消耗!$B$7:$F$7,AG105)/$Q$4,0),"")</f>
        <v>1</v>
      </c>
      <c r="AP105" s="106"/>
      <c r="AQ105" s="15"/>
      <c r="AR105" s="104">
        <v>101</v>
      </c>
      <c r="AS105" s="14">
        <f t="shared" si="48"/>
        <v>6</v>
      </c>
      <c r="AT105" s="14">
        <f>INDEX(挂机升级突破!$CM$7:$CM$26,AX105)</f>
        <v>0</v>
      </c>
      <c r="AU105" s="14">
        <f>INDEX(挂机升级突破!$CN$7:$CN$26,AX105)</f>
        <v>0</v>
      </c>
      <c r="AV105" s="14">
        <f t="shared" si="49"/>
        <v>5</v>
      </c>
      <c r="AW105" s="14" t="str">
        <f t="shared" si="50"/>
        <v>项羽</v>
      </c>
      <c r="AX105" s="14">
        <f t="shared" si="51"/>
        <v>1</v>
      </c>
      <c r="AY105" s="14" t="str">
        <f t="shared" si="52"/>
        <v>项羽1突</v>
      </c>
      <c r="AZ105" s="14" t="str">
        <f>IF(AT105&gt;0,INDEX(挂机升级突破!$CV$5:$CZ$5,卡牌消耗!AT105),"")</f>
        <v/>
      </c>
      <c r="BA105" s="14" t="str">
        <f>IF(AT105&gt;0,ROUND(INDEX(挂机升级突破!$CZ$7:$CZ$26,卡牌消耗!AX105)*INDEX(卡牌消耗!$B$8:$F$8,AV105)/$Q$4/500,0)*500,"")</f>
        <v/>
      </c>
      <c r="BB105" s="14" t="str">
        <f>IF(AU105&gt;0,INDEX(挂机升级突破!$CV$5:$CZ$5,卡牌消耗!AU105),"")</f>
        <v/>
      </c>
      <c r="BC105" s="14" t="str">
        <f>IF(AU105&gt;0,ROUND(INDEX(挂机升级突破!$CV$7:$CY$26,卡牌消耗!AX105,卡牌消耗!AU105)*INDEX($B$6:$F$6,AV105)/$Q$4/5,0)*5,"")</f>
        <v/>
      </c>
      <c r="BD105" s="104"/>
      <c r="BE105" s="104"/>
      <c r="BF105" s="106"/>
      <c r="BU105" s="50" t="s">
        <v>309</v>
      </c>
      <c r="BV105" s="14">
        <f>INDEX($BR$5:$BR$19,BV103)</f>
        <v>6</v>
      </c>
      <c r="BW105" s="50">
        <v>93</v>
      </c>
      <c r="BX105" s="50">
        <v>22</v>
      </c>
      <c r="BY105" s="21">
        <f t="shared" si="62"/>
        <v>8.9795918367346933E-2</v>
      </c>
      <c r="BZ105" s="65">
        <f t="shared" si="63"/>
        <v>3673</v>
      </c>
      <c r="CA105" s="50" t="e">
        <f>SUM(BZ$5:BZ105)</f>
        <v>#REF!</v>
      </c>
      <c r="CD105" s="136">
        <v>101</v>
      </c>
      <c r="CE105" s="14">
        <f t="shared" si="53"/>
        <v>21</v>
      </c>
      <c r="CF105" s="14">
        <f t="shared" si="38"/>
        <v>4</v>
      </c>
      <c r="CG105" s="14">
        <f t="shared" si="39"/>
        <v>1101026</v>
      </c>
      <c r="CH105" s="136" t="s">
        <v>1127</v>
      </c>
      <c r="CI105" s="14">
        <f t="shared" si="40"/>
        <v>1</v>
      </c>
      <c r="CJ105" s="14" t="str">
        <f t="shared" si="41"/>
        <v>貂灵芸-1星</v>
      </c>
      <c r="CK105" s="136" t="s">
        <v>1133</v>
      </c>
      <c r="CL105" s="14">
        <f t="shared" si="54"/>
        <v>6000</v>
      </c>
      <c r="CM105" s="14" t="str">
        <f t="shared" si="42"/>
        <v>貂灵芸碎片</v>
      </c>
      <c r="CN105" s="14">
        <f t="shared" si="55"/>
        <v>80</v>
      </c>
    </row>
    <row r="106" spans="1:92" ht="16.5" x14ac:dyDescent="0.2">
      <c r="H106" s="15"/>
      <c r="I106" s="15"/>
      <c r="J106" s="15"/>
      <c r="K106" s="15"/>
      <c r="L106" s="15"/>
      <c r="M106" s="15"/>
      <c r="N106" s="15"/>
      <c r="O106" s="137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141"/>
      <c r="AA106" s="104">
        <v>102</v>
      </c>
      <c r="AB106" s="14">
        <f t="shared" si="43"/>
        <v>2</v>
      </c>
      <c r="AC106" s="14">
        <f>INDEX(挂机升级突破!$BU$6:$BU$57,卡牌消耗!AI106)</f>
        <v>11</v>
      </c>
      <c r="AD106" s="14">
        <f>INDEX(挂机升级突破!BV$6:BV$57,卡牌消耗!$AI106)</f>
        <v>5</v>
      </c>
      <c r="AE106" s="14">
        <f>INDEX(挂机升级突破!BW$6:BW$57,卡牌消耗!$AI106)</f>
        <v>10</v>
      </c>
      <c r="AF106" s="14" t="str">
        <f t="shared" si="44"/>
        <v>许褚</v>
      </c>
      <c r="AG106" s="14">
        <f t="shared" si="45"/>
        <v>3</v>
      </c>
      <c r="AH106" s="14" t="str">
        <f t="shared" si="46"/>
        <v>许褚魂火-50</v>
      </c>
      <c r="AI106" s="14">
        <f t="shared" si="47"/>
        <v>50</v>
      </c>
      <c r="AJ106" s="14" t="str">
        <f>INDEX(挂机升级突破!$BX$4:$CH$4,INDEX(挂机升级突破!$BU$6:$BU$57,卡牌消耗!AI106))</f>
        <v>金币</v>
      </c>
      <c r="AK106" s="14">
        <f>ROUND(INDEX(挂机升级突破!$BN$6:$BN$57,卡牌消耗!AI106)*INDEX(卡牌消耗!$B$8:$F$8,AG106)/$Q$4/50,0)*50</f>
        <v>253250</v>
      </c>
      <c r="AL106" s="14" t="str">
        <f>IF(AD106&gt;0,INDEX(挂机升级突破!$BX$4:$CH$4,AD106),"")</f>
        <v>红色基础材料</v>
      </c>
      <c r="AM106" s="14">
        <f>ROUND(INDEX(挂机升级突破!$BX$6:$CH$57,卡牌消耗!AI106,AD106)*INDEX(卡牌消耗!$B$5:$F$5,AG106)/$Q$4/5,0)*5</f>
        <v>70</v>
      </c>
      <c r="AN106" s="14" t="str">
        <f>IF(AE106&gt;0,INDEX(挂机升级突破!$BX$4:$CH$4,AE106),"")</f>
        <v>灵玉</v>
      </c>
      <c r="AO106" s="14">
        <f>IF(AE106&gt;0,ROUND(INDEX(挂机升级突破!$BX$6:$CH$57,卡牌消耗!AI106,AE106)*INDEX(卡牌消耗!$B$7:$F$7,AG106)/$Q$4,0),"")</f>
        <v>1</v>
      </c>
      <c r="AP106" s="106"/>
      <c r="AQ106" s="15"/>
      <c r="AR106" s="104">
        <v>102</v>
      </c>
      <c r="AS106" s="14">
        <f t="shared" si="48"/>
        <v>6</v>
      </c>
      <c r="AT106" s="14">
        <f>INDEX(挂机升级突破!$CM$7:$CM$26,AX106)</f>
        <v>5</v>
      </c>
      <c r="AU106" s="14">
        <f>INDEX(挂机升级突破!$CN$7:$CN$26,AX106)</f>
        <v>0</v>
      </c>
      <c r="AV106" s="14">
        <f t="shared" si="49"/>
        <v>5</v>
      </c>
      <c r="AW106" s="14" t="str">
        <f t="shared" si="50"/>
        <v>项羽</v>
      </c>
      <c r="AX106" s="14">
        <f t="shared" si="51"/>
        <v>2</v>
      </c>
      <c r="AY106" s="14" t="str">
        <f t="shared" si="52"/>
        <v>项羽2突</v>
      </c>
      <c r="AZ106" s="14" t="str">
        <f>IF(AT106&gt;0,INDEX(挂机升级突破!$CV$5:$CZ$5,卡牌消耗!AT106),"")</f>
        <v>金币</v>
      </c>
      <c r="BA106" s="14">
        <f>IF(AT106&gt;0,ROUND(INDEX(挂机升级突破!$CZ$7:$CZ$26,卡牌消耗!AX106)*INDEX(卡牌消耗!$B$8:$F$8,AV106)/$Q$4/500,0)*500,"")</f>
        <v>5000</v>
      </c>
      <c r="BB106" s="14" t="str">
        <f>IF(AU106&gt;0,INDEX(挂机升级突破!$CV$5:$CZ$5,卡牌消耗!AU106),"")</f>
        <v/>
      </c>
      <c r="BC106" s="14" t="str">
        <f>IF(AU106&gt;0,ROUND(INDEX(挂机升级突破!$CV$7:$CY$26,卡牌消耗!AX106,卡牌消耗!AU106)*INDEX($B$6:$F$6,AV106)/$Q$4/5,0)*5,"")</f>
        <v/>
      </c>
      <c r="BD106" s="104"/>
      <c r="BE106" s="104"/>
      <c r="BF106" s="106"/>
      <c r="BU106" s="15"/>
      <c r="BV106" s="14">
        <f>SUM(BX103:BX112)</f>
        <v>245</v>
      </c>
      <c r="BW106" s="50">
        <v>94</v>
      </c>
      <c r="BX106" s="50">
        <v>23</v>
      </c>
      <c r="BY106" s="21">
        <f t="shared" si="62"/>
        <v>9.3877551020408165E-2</v>
      </c>
      <c r="BZ106" s="65">
        <f t="shared" si="63"/>
        <v>3840</v>
      </c>
      <c r="CA106" s="50" t="e">
        <f>SUM(BZ$5:BZ106)</f>
        <v>#REF!</v>
      </c>
      <c r="CD106" s="136">
        <v>102</v>
      </c>
      <c r="CE106" s="14">
        <f t="shared" si="53"/>
        <v>21</v>
      </c>
      <c r="CF106" s="14">
        <f t="shared" si="38"/>
        <v>4</v>
      </c>
      <c r="CG106" s="14">
        <f t="shared" si="39"/>
        <v>1101026</v>
      </c>
      <c r="CH106" s="136" t="s">
        <v>1127</v>
      </c>
      <c r="CI106" s="14">
        <f t="shared" si="40"/>
        <v>2</v>
      </c>
      <c r="CJ106" s="14" t="str">
        <f t="shared" si="41"/>
        <v>貂灵芸-2星</v>
      </c>
      <c r="CK106" s="136" t="s">
        <v>1133</v>
      </c>
      <c r="CL106" s="14">
        <f t="shared" si="54"/>
        <v>8000</v>
      </c>
      <c r="CM106" s="14" t="str">
        <f t="shared" si="42"/>
        <v>貂灵芸碎片</v>
      </c>
      <c r="CN106" s="14">
        <f t="shared" si="55"/>
        <v>80</v>
      </c>
    </row>
    <row r="107" spans="1:92" ht="16.5" x14ac:dyDescent="0.2">
      <c r="H107" s="15"/>
      <c r="I107" s="15"/>
      <c r="J107" s="15"/>
      <c r="K107" s="15"/>
      <c r="L107" s="15"/>
      <c r="M107" s="15"/>
      <c r="N107" s="15"/>
      <c r="O107" s="137"/>
      <c r="P107" s="141"/>
      <c r="Q107" s="141"/>
      <c r="R107" s="141"/>
      <c r="S107" s="141"/>
      <c r="T107" s="141"/>
      <c r="U107" s="141"/>
      <c r="V107" s="141"/>
      <c r="W107" s="141"/>
      <c r="X107" s="141"/>
      <c r="Y107" s="141"/>
      <c r="Z107" s="141"/>
      <c r="AA107" s="104">
        <v>103</v>
      </c>
      <c r="AB107" s="14">
        <f t="shared" si="43"/>
        <v>2</v>
      </c>
      <c r="AC107" s="14">
        <f>INDEX(挂机升级突破!$BU$6:$BU$57,卡牌消耗!AI107)</f>
        <v>11</v>
      </c>
      <c r="AD107" s="14">
        <f>INDEX(挂机升级突破!BV$6:BV$57,卡牌消耗!$AI107)</f>
        <v>5</v>
      </c>
      <c r="AE107" s="14">
        <f>INDEX(挂机升级突破!BW$6:BW$57,卡牌消耗!$AI107)</f>
        <v>10</v>
      </c>
      <c r="AF107" s="14" t="str">
        <f t="shared" si="44"/>
        <v>许褚</v>
      </c>
      <c r="AG107" s="14">
        <f t="shared" si="45"/>
        <v>3</v>
      </c>
      <c r="AH107" s="14" t="str">
        <f t="shared" si="46"/>
        <v>许褚魂火-51</v>
      </c>
      <c r="AI107" s="14">
        <f t="shared" si="47"/>
        <v>51</v>
      </c>
      <c r="AJ107" s="14" t="str">
        <f>INDEX(挂机升级突破!$BX$4:$CH$4,INDEX(挂机升级突破!$BU$6:$BU$57,卡牌消耗!AI107))</f>
        <v>金币</v>
      </c>
      <c r="AK107" s="14">
        <f>ROUND(INDEX(挂机升级突破!$BN$6:$BN$57,卡牌消耗!AI107)*INDEX(卡牌消耗!$B$8:$F$8,AG107)/$Q$4/50,0)*50</f>
        <v>278600</v>
      </c>
      <c r="AL107" s="14" t="str">
        <f>IF(AD107&gt;0,INDEX(挂机升级突破!$BX$4:$CH$4,AD107),"")</f>
        <v>红色基础材料</v>
      </c>
      <c r="AM107" s="14">
        <f>ROUND(INDEX(挂机升级突破!$BX$6:$CH$57,卡牌消耗!AI107,AD107)*INDEX(卡牌消耗!$B$5:$F$5,AG107)/$Q$4/5,0)*5</f>
        <v>70</v>
      </c>
      <c r="AN107" s="14" t="str">
        <f>IF(AE107&gt;0,INDEX(挂机升级突破!$BX$4:$CH$4,AE107),"")</f>
        <v>灵玉</v>
      </c>
      <c r="AO107" s="14">
        <f>IF(AE107&gt;0,ROUND(INDEX(挂机升级突破!$BX$6:$CH$57,卡牌消耗!AI107,AE107)*INDEX(卡牌消耗!$B$7:$F$7,AG107)/$Q$4,0),"")</f>
        <v>1</v>
      </c>
      <c r="AP107" s="106"/>
      <c r="AQ107" s="15"/>
      <c r="AR107" s="104">
        <v>103</v>
      </c>
      <c r="AS107" s="14">
        <f t="shared" si="48"/>
        <v>6</v>
      </c>
      <c r="AT107" s="14">
        <f>INDEX(挂机升级突破!$CM$7:$CM$26,AX107)</f>
        <v>5</v>
      </c>
      <c r="AU107" s="14">
        <f>INDEX(挂机升级突破!$CN$7:$CN$26,AX107)</f>
        <v>0</v>
      </c>
      <c r="AV107" s="14">
        <f t="shared" si="49"/>
        <v>5</v>
      </c>
      <c r="AW107" s="14" t="str">
        <f t="shared" si="50"/>
        <v>项羽</v>
      </c>
      <c r="AX107" s="14">
        <f t="shared" si="51"/>
        <v>3</v>
      </c>
      <c r="AY107" s="14" t="str">
        <f t="shared" si="52"/>
        <v>项羽3突</v>
      </c>
      <c r="AZ107" s="14" t="str">
        <f>IF(AT107&gt;0,INDEX(挂机升级突破!$CV$5:$CZ$5,卡牌消耗!AT107),"")</f>
        <v>金币</v>
      </c>
      <c r="BA107" s="14">
        <f>IF(AT107&gt;0,ROUND(INDEX(挂机升级突破!$CZ$7:$CZ$26,卡牌消耗!AX107)*INDEX(卡牌消耗!$B$8:$F$8,AV107)/$Q$4/500,0)*500,"")</f>
        <v>5000</v>
      </c>
      <c r="BB107" s="14" t="str">
        <f>IF(AU107&gt;0,INDEX(挂机升级突破!$CV$5:$CZ$5,卡牌消耗!AU107),"")</f>
        <v/>
      </c>
      <c r="BC107" s="14" t="str">
        <f>IF(AU107&gt;0,ROUND(INDEX(挂机升级突破!$CV$7:$CY$26,卡牌消耗!AX107,卡牌消耗!AU107)*INDEX($B$6:$F$6,AV107)/$Q$4/5,0)*5,"")</f>
        <v/>
      </c>
      <c r="BD107" s="104"/>
      <c r="BE107" s="104"/>
      <c r="BF107" s="106"/>
      <c r="BW107" s="50">
        <v>95</v>
      </c>
      <c r="BX107" s="50">
        <v>24</v>
      </c>
      <c r="BY107" s="21">
        <f t="shared" si="62"/>
        <v>9.7959183673469383E-2</v>
      </c>
      <c r="BZ107" s="65">
        <f t="shared" si="63"/>
        <v>4007</v>
      </c>
      <c r="CA107" s="50" t="e">
        <f>SUM(BZ$5:BZ107)</f>
        <v>#REF!</v>
      </c>
      <c r="CD107" s="136">
        <v>103</v>
      </c>
      <c r="CE107" s="14">
        <f t="shared" si="53"/>
        <v>21</v>
      </c>
      <c r="CF107" s="14">
        <f t="shared" si="38"/>
        <v>4</v>
      </c>
      <c r="CG107" s="14">
        <f t="shared" si="39"/>
        <v>1101026</v>
      </c>
      <c r="CH107" s="136" t="s">
        <v>1127</v>
      </c>
      <c r="CI107" s="14">
        <f t="shared" si="40"/>
        <v>3</v>
      </c>
      <c r="CJ107" s="14" t="str">
        <f t="shared" si="41"/>
        <v>貂灵芸-3星</v>
      </c>
      <c r="CK107" s="136" t="s">
        <v>1133</v>
      </c>
      <c r="CL107" s="14">
        <f t="shared" si="54"/>
        <v>14000</v>
      </c>
      <c r="CM107" s="14" t="str">
        <f t="shared" si="42"/>
        <v>貂灵芸碎片</v>
      </c>
      <c r="CN107" s="14">
        <f t="shared" si="55"/>
        <v>160</v>
      </c>
    </row>
    <row r="108" spans="1:92" ht="16.5" x14ac:dyDescent="0.2">
      <c r="H108" s="15"/>
      <c r="I108" s="15"/>
      <c r="J108" s="15"/>
      <c r="K108" s="15"/>
      <c r="L108" s="15"/>
      <c r="M108" s="15"/>
      <c r="N108" s="15"/>
      <c r="O108" s="137"/>
      <c r="P108" s="141"/>
      <c r="Q108" s="141"/>
      <c r="R108" s="141"/>
      <c r="S108" s="141"/>
      <c r="T108" s="141"/>
      <c r="U108" s="141"/>
      <c r="V108" s="141"/>
      <c r="W108" s="141"/>
      <c r="X108" s="141"/>
      <c r="Y108" s="141"/>
      <c r="Z108" s="141"/>
      <c r="AA108" s="104">
        <v>104</v>
      </c>
      <c r="AB108" s="14">
        <f t="shared" si="43"/>
        <v>2</v>
      </c>
      <c r="AC108" s="14">
        <f>INDEX(挂机升级突破!$BU$6:$BU$57,卡牌消耗!AI108)</f>
        <v>11</v>
      </c>
      <c r="AD108" s="14">
        <f>INDEX(挂机升级突破!BV$6:BV$57,卡牌消耗!$AI108)</f>
        <v>5</v>
      </c>
      <c r="AE108" s="14">
        <f>INDEX(挂机升级突破!BW$6:BW$57,卡牌消耗!$AI108)</f>
        <v>10</v>
      </c>
      <c r="AF108" s="14" t="str">
        <f t="shared" si="44"/>
        <v>许褚</v>
      </c>
      <c r="AG108" s="14">
        <f t="shared" si="45"/>
        <v>3</v>
      </c>
      <c r="AH108" s="14" t="str">
        <f t="shared" si="46"/>
        <v>许褚魂火-52</v>
      </c>
      <c r="AI108" s="14">
        <f t="shared" si="47"/>
        <v>52</v>
      </c>
      <c r="AJ108" s="14" t="str">
        <f>INDEX(挂机升级突破!$BX$4:$CH$4,INDEX(挂机升级突破!$BU$6:$BU$57,卡牌消耗!AI108))</f>
        <v>金币</v>
      </c>
      <c r="AK108" s="14">
        <f>ROUND(INDEX(挂机升级突破!$BN$6:$BN$57,卡牌消耗!AI108)*INDEX(卡牌消耗!$B$8:$F$8,AG108)/$Q$4/50,0)*50</f>
        <v>278600</v>
      </c>
      <c r="AL108" s="14" t="str">
        <f>IF(AD108&gt;0,INDEX(挂机升级突破!$BX$4:$CH$4,AD108),"")</f>
        <v>红色基础材料</v>
      </c>
      <c r="AM108" s="14">
        <f>ROUND(INDEX(挂机升级突破!$BX$6:$CH$57,卡牌消耗!AI108,AD108)*INDEX(卡牌消耗!$B$5:$F$5,AG108)/$Q$4/5,0)*5</f>
        <v>70</v>
      </c>
      <c r="AN108" s="14" t="str">
        <f>IF(AE108&gt;0,INDEX(挂机升级突破!$BX$4:$CH$4,AE108),"")</f>
        <v>灵玉</v>
      </c>
      <c r="AO108" s="14">
        <f>IF(AE108&gt;0,ROUND(INDEX(挂机升级突破!$BX$6:$CH$57,卡牌消耗!AI108,AE108)*INDEX(卡牌消耗!$B$7:$F$7,AG108)/$Q$4,0),"")</f>
        <v>1</v>
      </c>
      <c r="AP108" s="106"/>
      <c r="AQ108" s="15"/>
      <c r="AR108" s="104">
        <v>104</v>
      </c>
      <c r="AS108" s="14">
        <f t="shared" si="48"/>
        <v>6</v>
      </c>
      <c r="AT108" s="14">
        <f>INDEX(挂机升级突破!$CM$7:$CM$26,AX108)</f>
        <v>5</v>
      </c>
      <c r="AU108" s="14">
        <f>INDEX(挂机升级突破!$CN$7:$CN$26,AX108)</f>
        <v>1</v>
      </c>
      <c r="AV108" s="14">
        <f t="shared" si="49"/>
        <v>5</v>
      </c>
      <c r="AW108" s="14" t="str">
        <f t="shared" si="50"/>
        <v>项羽</v>
      </c>
      <c r="AX108" s="14">
        <f t="shared" si="51"/>
        <v>4</v>
      </c>
      <c r="AY108" s="14" t="str">
        <f t="shared" si="52"/>
        <v>项羽4突</v>
      </c>
      <c r="AZ108" s="14" t="str">
        <f>IF(AT108&gt;0,INDEX(挂机升级突破!$CV$5:$CZ$5,卡牌消耗!AT108),"")</f>
        <v>金币</v>
      </c>
      <c r="BA108" s="14">
        <f>IF(AT108&gt;0,ROUND(INDEX(挂机升级突破!$CZ$7:$CZ$26,卡牌消耗!AX108)*INDEX(卡牌消耗!$B$8:$F$8,AV108)/$Q$4/500,0)*500,"")</f>
        <v>6000</v>
      </c>
      <c r="BB108" s="14" t="str">
        <f>IF(AU108&gt;0,INDEX(挂机升级突破!$CV$5:$CZ$5,卡牌消耗!AU108),"")</f>
        <v>玄铁</v>
      </c>
      <c r="BC108" s="14">
        <f>IF(AU108&gt;0,ROUND(INDEX(挂机升级突破!$CV$7:$CY$26,卡牌消耗!AX108,卡牌消耗!AU108)*INDEX($B$6:$F$6,AV108)/$Q$4/5,0)*5,"")</f>
        <v>85</v>
      </c>
      <c r="BD108" s="104"/>
      <c r="BE108" s="104"/>
      <c r="BF108" s="106"/>
      <c r="BW108" s="50">
        <v>96</v>
      </c>
      <c r="BX108" s="50">
        <v>25</v>
      </c>
      <c r="BY108" s="21">
        <f t="shared" si="62"/>
        <v>0.10204081632653061</v>
      </c>
      <c r="BZ108" s="65">
        <f t="shared" si="63"/>
        <v>4174</v>
      </c>
      <c r="CA108" s="50" t="e">
        <f>SUM(BZ$5:BZ108)</f>
        <v>#REF!</v>
      </c>
      <c r="CD108" s="136">
        <v>104</v>
      </c>
      <c r="CE108" s="14">
        <f t="shared" si="53"/>
        <v>21</v>
      </c>
      <c r="CF108" s="14">
        <f t="shared" si="38"/>
        <v>4</v>
      </c>
      <c r="CG108" s="14">
        <f t="shared" si="39"/>
        <v>1101026</v>
      </c>
      <c r="CH108" s="136" t="s">
        <v>1127</v>
      </c>
      <c r="CI108" s="14">
        <f t="shared" si="40"/>
        <v>4</v>
      </c>
      <c r="CJ108" s="14" t="str">
        <f t="shared" si="41"/>
        <v>貂灵芸-4星</v>
      </c>
      <c r="CK108" s="136" t="s">
        <v>1133</v>
      </c>
      <c r="CL108" s="14">
        <f t="shared" si="54"/>
        <v>32000</v>
      </c>
      <c r="CM108" s="14" t="str">
        <f t="shared" si="42"/>
        <v>貂灵芸碎片</v>
      </c>
      <c r="CN108" s="14">
        <f t="shared" si="55"/>
        <v>240</v>
      </c>
    </row>
    <row r="109" spans="1:92" ht="16.5" x14ac:dyDescent="0.2">
      <c r="H109" s="15"/>
      <c r="I109" s="15"/>
      <c r="J109" s="15"/>
      <c r="K109" s="15"/>
      <c r="L109" s="15"/>
      <c r="M109" s="15"/>
      <c r="N109" s="15"/>
      <c r="O109" s="137"/>
      <c r="P109" s="141"/>
      <c r="Q109" s="141"/>
      <c r="R109" s="141"/>
      <c r="S109" s="141"/>
      <c r="T109" s="141"/>
      <c r="U109" s="141"/>
      <c r="V109" s="141"/>
      <c r="W109" s="141"/>
      <c r="X109" s="141"/>
      <c r="Y109" s="141"/>
      <c r="Z109" s="141"/>
      <c r="AA109" s="104">
        <v>105</v>
      </c>
      <c r="AB109" s="14">
        <f t="shared" si="43"/>
        <v>3</v>
      </c>
      <c r="AC109" s="14">
        <f>INDEX(挂机升级突破!$BU$6:$BU$57,卡牌消耗!AI109)</f>
        <v>11</v>
      </c>
      <c r="AD109" s="14">
        <f>INDEX(挂机升级突破!BV$6:BV$57,卡牌消耗!$AI109)</f>
        <v>1</v>
      </c>
      <c r="AE109" s="14">
        <f>INDEX(挂机升级突破!BW$6:BW$57,卡牌消耗!$AI109)</f>
        <v>0</v>
      </c>
      <c r="AF109" s="14" t="str">
        <f t="shared" si="44"/>
        <v>典韦</v>
      </c>
      <c r="AG109" s="14">
        <f t="shared" si="45"/>
        <v>4</v>
      </c>
      <c r="AH109" s="14" t="str">
        <f t="shared" si="46"/>
        <v>典韦魂火-1</v>
      </c>
      <c r="AI109" s="14">
        <f t="shared" si="47"/>
        <v>1</v>
      </c>
      <c r="AJ109" s="14" t="str">
        <f>INDEX(挂机升级突破!$BX$4:$CH$4,INDEX(挂机升级突破!$BU$6:$BU$57,卡牌消耗!AI109))</f>
        <v>金币</v>
      </c>
      <c r="AK109" s="14">
        <f>ROUND(INDEX(挂机升级突破!$BN$6:$BN$57,卡牌消耗!AI109)*INDEX(卡牌消耗!$B$8:$F$8,AG109)/$Q$4/50,0)*50</f>
        <v>900</v>
      </c>
      <c r="AL109" s="14" t="str">
        <f>IF(AD109&gt;0,INDEX(挂机升级突破!$BX$4:$CH$4,AD109),"")</f>
        <v>绿色基础材料</v>
      </c>
      <c r="AM109" s="14">
        <f>ROUND(INDEX(挂机升级突破!$BX$6:$CH$57,卡牌消耗!AI109,AD109)*INDEX(卡牌消耗!$B$5:$F$5,AG109)/$Q$4/5,0)*5</f>
        <v>1000</v>
      </c>
      <c r="AN109" s="14" t="str">
        <f>IF(AE109&gt;0,INDEX(挂机升级突破!$BX$4:$CH$4,AE109),"")</f>
        <v/>
      </c>
      <c r="AO109" s="14" t="str">
        <f>IF(AE109&gt;0,ROUND(INDEX(挂机升级突破!$BX$6:$CH$57,卡牌消耗!AI109,AE109)*INDEX(卡牌消耗!$B$7:$F$7,AG109)/$Q$4,0),"")</f>
        <v/>
      </c>
      <c r="AP109" s="106"/>
      <c r="AQ109" s="15"/>
      <c r="AR109" s="104">
        <v>105</v>
      </c>
      <c r="AS109" s="14">
        <f t="shared" si="48"/>
        <v>6</v>
      </c>
      <c r="AT109" s="14">
        <f>INDEX(挂机升级突破!$CM$7:$CM$26,AX109)</f>
        <v>5</v>
      </c>
      <c r="AU109" s="14">
        <f>INDEX(挂机升级突破!$CN$7:$CN$26,AX109)</f>
        <v>1</v>
      </c>
      <c r="AV109" s="14">
        <f t="shared" si="49"/>
        <v>5</v>
      </c>
      <c r="AW109" s="14" t="str">
        <f t="shared" si="50"/>
        <v>项羽</v>
      </c>
      <c r="AX109" s="14">
        <f t="shared" si="51"/>
        <v>5</v>
      </c>
      <c r="AY109" s="14" t="str">
        <f t="shared" si="52"/>
        <v>项羽5突</v>
      </c>
      <c r="AZ109" s="14" t="str">
        <f>IF(AT109&gt;0,INDEX(挂机升级突破!$CV$5:$CZ$5,卡牌消耗!AT109),"")</f>
        <v>金币</v>
      </c>
      <c r="BA109" s="14">
        <f>IF(AT109&gt;0,ROUND(INDEX(挂机升级突破!$CZ$7:$CZ$26,卡牌消耗!AX109)*INDEX(卡牌消耗!$B$8:$F$8,AV109)/$Q$4/500,0)*500,"")</f>
        <v>6000</v>
      </c>
      <c r="BB109" s="14" t="str">
        <f>IF(AU109&gt;0,INDEX(挂机升级突破!$CV$5:$CZ$5,卡牌消耗!AU109),"")</f>
        <v>玄铁</v>
      </c>
      <c r="BC109" s="14">
        <f>IF(AU109&gt;0,ROUND(INDEX(挂机升级突破!$CV$7:$CY$26,卡牌消耗!AX109,卡牌消耗!AU109)*INDEX($B$6:$F$6,AV109)/$Q$4/5,0)*5,"")</f>
        <v>175</v>
      </c>
      <c r="BD109" s="104"/>
      <c r="BE109" s="104"/>
      <c r="BF109" s="106"/>
      <c r="BW109" s="50">
        <v>97</v>
      </c>
      <c r="BX109" s="50">
        <v>26</v>
      </c>
      <c r="BY109" s="21">
        <f t="shared" si="62"/>
        <v>0.10612244897959183</v>
      </c>
      <c r="BZ109" s="65">
        <f t="shared" si="63"/>
        <v>4341</v>
      </c>
      <c r="CA109" s="50" t="e">
        <f>SUM(BZ$5:BZ109)</f>
        <v>#REF!</v>
      </c>
      <c r="CD109" s="136">
        <v>105</v>
      </c>
      <c r="CE109" s="14">
        <f t="shared" si="53"/>
        <v>21</v>
      </c>
      <c r="CF109" s="14">
        <f t="shared" si="38"/>
        <v>4</v>
      </c>
      <c r="CG109" s="14">
        <f t="shared" si="39"/>
        <v>1101026</v>
      </c>
      <c r="CH109" s="136" t="s">
        <v>1127</v>
      </c>
      <c r="CI109" s="14">
        <f t="shared" si="40"/>
        <v>5</v>
      </c>
      <c r="CJ109" s="14" t="str">
        <f t="shared" si="41"/>
        <v>貂灵芸-5星</v>
      </c>
      <c r="CK109" s="136" t="s">
        <v>1133</v>
      </c>
      <c r="CL109" s="14">
        <f t="shared" si="54"/>
        <v>60000</v>
      </c>
      <c r="CM109" s="14" t="str">
        <f t="shared" si="42"/>
        <v>貂灵芸碎片</v>
      </c>
      <c r="CN109" s="14">
        <f t="shared" si="55"/>
        <v>320</v>
      </c>
    </row>
    <row r="110" spans="1:92" ht="16.5" x14ac:dyDescent="0.2">
      <c r="H110" s="15"/>
      <c r="I110" s="15"/>
      <c r="J110" s="15"/>
      <c r="K110" s="15"/>
      <c r="L110" s="15"/>
      <c r="M110" s="15"/>
      <c r="N110" s="15"/>
      <c r="O110" s="137"/>
      <c r="P110" s="141"/>
      <c r="Q110" s="141"/>
      <c r="R110" s="141"/>
      <c r="S110" s="141"/>
      <c r="T110" s="141"/>
      <c r="U110" s="141"/>
      <c r="V110" s="141"/>
      <c r="W110" s="141"/>
      <c r="X110" s="141"/>
      <c r="Y110" s="141"/>
      <c r="Z110" s="141"/>
      <c r="AA110" s="104">
        <v>106</v>
      </c>
      <c r="AB110" s="14">
        <f t="shared" si="43"/>
        <v>3</v>
      </c>
      <c r="AC110" s="14">
        <f>INDEX(挂机升级突破!$BU$6:$BU$57,卡牌消耗!AI110)</f>
        <v>11</v>
      </c>
      <c r="AD110" s="14">
        <f>INDEX(挂机升级突破!BV$6:BV$57,卡牌消耗!$AI110)</f>
        <v>1</v>
      </c>
      <c r="AE110" s="14">
        <f>INDEX(挂机升级突破!BW$6:BW$57,卡牌消耗!$AI110)</f>
        <v>0</v>
      </c>
      <c r="AF110" s="14" t="str">
        <f t="shared" si="44"/>
        <v>典韦</v>
      </c>
      <c r="AG110" s="14">
        <f t="shared" si="45"/>
        <v>4</v>
      </c>
      <c r="AH110" s="14" t="str">
        <f t="shared" si="46"/>
        <v>典韦魂火-2</v>
      </c>
      <c r="AI110" s="14">
        <f t="shared" si="47"/>
        <v>2</v>
      </c>
      <c r="AJ110" s="14" t="str">
        <f>INDEX(挂机升级突破!$BX$4:$CH$4,INDEX(挂机升级突破!$BU$6:$BU$57,卡牌消耗!AI110))</f>
        <v>金币</v>
      </c>
      <c r="AK110" s="14">
        <f>ROUND(INDEX(挂机升级突破!$BN$6:$BN$57,卡牌消耗!AI110)*INDEX(卡牌消耗!$B$8:$F$8,AG110)/$Q$4/50,0)*50</f>
        <v>1200</v>
      </c>
      <c r="AL110" s="14" t="str">
        <f>IF(AD110&gt;0,INDEX(挂机升级突破!$BX$4:$CH$4,AD110),"")</f>
        <v>绿色基础材料</v>
      </c>
      <c r="AM110" s="14">
        <f>ROUND(INDEX(挂机升级突破!$BX$6:$CH$57,卡牌消耗!AI110,AD110)*INDEX(卡牌消耗!$B$5:$F$5,AG110)/$Q$4/5,0)*5</f>
        <v>3005</v>
      </c>
      <c r="AN110" s="14" t="str">
        <f>IF(AE110&gt;0,INDEX(挂机升级突破!$BX$4:$CH$4,AE110),"")</f>
        <v/>
      </c>
      <c r="AO110" s="14" t="str">
        <f>IF(AE110&gt;0,ROUND(INDEX(挂机升级突破!$BX$6:$CH$57,卡牌消耗!AI110,AE110)*INDEX(卡牌消耗!$B$7:$F$7,AG110)/$Q$4,0),"")</f>
        <v/>
      </c>
      <c r="AP110" s="106"/>
      <c r="AQ110" s="15"/>
      <c r="AR110" s="104">
        <v>106</v>
      </c>
      <c r="AS110" s="14">
        <f t="shared" si="48"/>
        <v>6</v>
      </c>
      <c r="AT110" s="14">
        <f>INDEX(挂机升级突破!$CM$7:$CM$26,AX110)</f>
        <v>5</v>
      </c>
      <c r="AU110" s="14">
        <f>INDEX(挂机升级突破!$CN$7:$CN$26,AX110)</f>
        <v>1</v>
      </c>
      <c r="AV110" s="14">
        <f t="shared" si="49"/>
        <v>5</v>
      </c>
      <c r="AW110" s="14" t="str">
        <f t="shared" si="50"/>
        <v>项羽</v>
      </c>
      <c r="AX110" s="14">
        <f t="shared" si="51"/>
        <v>6</v>
      </c>
      <c r="AY110" s="14" t="str">
        <f t="shared" si="52"/>
        <v>项羽6突</v>
      </c>
      <c r="AZ110" s="14" t="str">
        <f>IF(AT110&gt;0,INDEX(挂机升级突破!$CV$5:$CZ$5,卡牌消耗!AT110),"")</f>
        <v>金币</v>
      </c>
      <c r="BA110" s="14">
        <f>IF(AT110&gt;0,ROUND(INDEX(挂机升级突破!$CZ$7:$CZ$26,卡牌消耗!AX110)*INDEX(卡牌消耗!$B$8:$F$8,AV110)/$Q$4/500,0)*500,"")</f>
        <v>8000</v>
      </c>
      <c r="BB110" s="14" t="str">
        <f>IF(AU110&gt;0,INDEX(挂机升级突破!$CV$5:$CZ$5,卡牌消耗!AU110),"")</f>
        <v>玄铁</v>
      </c>
      <c r="BC110" s="14">
        <f>IF(AU110&gt;0,ROUND(INDEX(挂机升级突破!$CV$7:$CY$26,卡牌消耗!AX110,卡牌消耗!AU110)*INDEX($B$6:$F$6,AV110)/$Q$4/5,0)*5,"")</f>
        <v>260</v>
      </c>
      <c r="BD110" s="104"/>
      <c r="BE110" s="104"/>
      <c r="BF110" s="106"/>
      <c r="BW110" s="50">
        <v>98</v>
      </c>
      <c r="BX110" s="50">
        <v>27</v>
      </c>
      <c r="BY110" s="21">
        <f t="shared" si="62"/>
        <v>0.11020408163265306</v>
      </c>
      <c r="BZ110" s="65">
        <f t="shared" si="63"/>
        <v>4508</v>
      </c>
      <c r="CA110" s="50" t="e">
        <f>SUM(BZ$5:BZ110)</f>
        <v>#REF!</v>
      </c>
      <c r="CD110" s="136">
        <v>106</v>
      </c>
      <c r="CE110" s="14">
        <f t="shared" si="53"/>
        <v>22</v>
      </c>
      <c r="CF110" s="14">
        <f t="shared" si="38"/>
        <v>3</v>
      </c>
      <c r="CG110" s="14">
        <f t="shared" si="39"/>
        <v>1101030</v>
      </c>
      <c r="CH110" s="136" t="s">
        <v>1127</v>
      </c>
      <c r="CI110" s="14">
        <f t="shared" si="40"/>
        <v>1</v>
      </c>
      <c r="CJ110" s="14" t="str">
        <f t="shared" si="41"/>
        <v>卢天佑-1星</v>
      </c>
      <c r="CK110" s="136" t="s">
        <v>1133</v>
      </c>
      <c r="CL110" s="14">
        <f t="shared" si="54"/>
        <v>4000</v>
      </c>
      <c r="CM110" s="14" t="str">
        <f t="shared" si="42"/>
        <v>卢天佑碎片</v>
      </c>
      <c r="CN110" s="14">
        <f t="shared" si="55"/>
        <v>40</v>
      </c>
    </row>
    <row r="111" spans="1:92" ht="16.5" x14ac:dyDescent="0.2">
      <c r="H111" s="15"/>
      <c r="I111" s="15"/>
      <c r="J111" s="15"/>
      <c r="K111" s="15"/>
      <c r="L111" s="15"/>
      <c r="M111" s="15"/>
      <c r="N111" s="15"/>
      <c r="O111" s="137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141"/>
      <c r="AA111" s="104">
        <v>107</v>
      </c>
      <c r="AB111" s="14">
        <f t="shared" si="43"/>
        <v>3</v>
      </c>
      <c r="AC111" s="14">
        <f>INDEX(挂机升级突破!$BU$6:$BU$57,卡牌消耗!AI111)</f>
        <v>11</v>
      </c>
      <c r="AD111" s="14">
        <f>INDEX(挂机升级突破!BV$6:BV$57,卡牌消耗!$AI111)</f>
        <v>1</v>
      </c>
      <c r="AE111" s="14">
        <f>INDEX(挂机升级突破!BW$6:BW$57,卡牌消耗!$AI111)</f>
        <v>0</v>
      </c>
      <c r="AF111" s="14" t="str">
        <f t="shared" si="44"/>
        <v>典韦</v>
      </c>
      <c r="AG111" s="14">
        <f t="shared" si="45"/>
        <v>4</v>
      </c>
      <c r="AH111" s="14" t="str">
        <f t="shared" si="46"/>
        <v>典韦魂火-3</v>
      </c>
      <c r="AI111" s="14">
        <f t="shared" si="47"/>
        <v>3</v>
      </c>
      <c r="AJ111" s="14" t="str">
        <f>INDEX(挂机升级突破!$BX$4:$CH$4,INDEX(挂机升级突破!$BU$6:$BU$57,卡牌消耗!AI111))</f>
        <v>金币</v>
      </c>
      <c r="AK111" s="14">
        <f>ROUND(INDEX(挂机升级突破!$BN$6:$BN$57,卡牌消耗!AI111)*INDEX(卡牌消耗!$B$8:$F$8,AG111)/$Q$4/50,0)*50</f>
        <v>1200</v>
      </c>
      <c r="AL111" s="14" t="str">
        <f>IF(AD111&gt;0,INDEX(挂机升级突破!$BX$4:$CH$4,AD111),"")</f>
        <v>绿色基础材料</v>
      </c>
      <c r="AM111" s="14">
        <f>ROUND(INDEX(挂机升级突破!$BX$6:$CH$57,卡牌消耗!AI111,AD111)*INDEX(卡牌消耗!$B$5:$F$5,AG111)/$Q$4/5,0)*5</f>
        <v>4005</v>
      </c>
      <c r="AN111" s="14" t="str">
        <f>IF(AE111&gt;0,INDEX(挂机升级突破!$BX$4:$CH$4,AE111),"")</f>
        <v/>
      </c>
      <c r="AO111" s="14" t="str">
        <f>IF(AE111&gt;0,ROUND(INDEX(挂机升级突破!$BX$6:$CH$57,卡牌消耗!AI111,AE111)*INDEX(卡牌消耗!$B$7:$F$7,AG111)/$Q$4,0),"")</f>
        <v/>
      </c>
      <c r="AP111" s="106"/>
      <c r="AQ111" s="15"/>
      <c r="AR111" s="104">
        <v>107</v>
      </c>
      <c r="AS111" s="14">
        <f t="shared" si="48"/>
        <v>6</v>
      </c>
      <c r="AT111" s="14">
        <f>INDEX(挂机升级突破!$CM$7:$CM$26,AX111)</f>
        <v>5</v>
      </c>
      <c r="AU111" s="14">
        <f>INDEX(挂机升级突破!$CN$7:$CN$26,AX111)</f>
        <v>1</v>
      </c>
      <c r="AV111" s="14">
        <f t="shared" si="49"/>
        <v>5</v>
      </c>
      <c r="AW111" s="14" t="str">
        <f t="shared" si="50"/>
        <v>项羽</v>
      </c>
      <c r="AX111" s="14">
        <f t="shared" si="51"/>
        <v>7</v>
      </c>
      <c r="AY111" s="14" t="str">
        <f t="shared" si="52"/>
        <v>项羽7突</v>
      </c>
      <c r="AZ111" s="14" t="str">
        <f>IF(AT111&gt;0,INDEX(挂机升级突破!$CV$5:$CZ$5,卡牌消耗!AT111),"")</f>
        <v>金币</v>
      </c>
      <c r="BA111" s="14">
        <f>IF(AT111&gt;0,ROUND(INDEX(挂机升级突破!$CZ$7:$CZ$26,卡牌消耗!AX111)*INDEX(卡牌消耗!$B$8:$F$8,AV111)/$Q$4/500,0)*500,"")</f>
        <v>12500</v>
      </c>
      <c r="BB111" s="14" t="str">
        <f>IF(AU111&gt;0,INDEX(挂机升级突破!$CV$5:$CZ$5,卡牌消耗!AU111),"")</f>
        <v>玄铁</v>
      </c>
      <c r="BC111" s="14">
        <f>IF(AU111&gt;0,ROUND(INDEX(挂机升级突破!$CV$7:$CY$26,卡牌消耗!AX111,卡牌消耗!AU111)*INDEX($B$6:$F$6,AV111)/$Q$4/5,0)*5,"")</f>
        <v>435</v>
      </c>
      <c r="BD111" s="104"/>
      <c r="BE111" s="104"/>
      <c r="BF111" s="106"/>
      <c r="BW111" s="50">
        <v>99</v>
      </c>
      <c r="BX111" s="50">
        <v>28</v>
      </c>
      <c r="BY111" s="21">
        <f t="shared" si="62"/>
        <v>0.11428571428571428</v>
      </c>
      <c r="BZ111" s="65">
        <f t="shared" si="63"/>
        <v>4675</v>
      </c>
      <c r="CA111" s="50" t="e">
        <f>SUM(BZ$5:BZ111)</f>
        <v>#REF!</v>
      </c>
      <c r="CD111" s="136">
        <v>107</v>
      </c>
      <c r="CE111" s="14">
        <f t="shared" si="53"/>
        <v>22</v>
      </c>
      <c r="CF111" s="14">
        <f t="shared" si="38"/>
        <v>3</v>
      </c>
      <c r="CG111" s="14">
        <f t="shared" si="39"/>
        <v>1101030</v>
      </c>
      <c r="CH111" s="136" t="s">
        <v>1127</v>
      </c>
      <c r="CI111" s="14">
        <f t="shared" si="40"/>
        <v>2</v>
      </c>
      <c r="CJ111" s="14" t="str">
        <f t="shared" si="41"/>
        <v>卢天佑-2星</v>
      </c>
      <c r="CK111" s="136" t="s">
        <v>1133</v>
      </c>
      <c r="CL111" s="14">
        <f t="shared" si="54"/>
        <v>5000</v>
      </c>
      <c r="CM111" s="14" t="str">
        <f t="shared" si="42"/>
        <v>卢天佑碎片</v>
      </c>
      <c r="CN111" s="14">
        <f t="shared" si="55"/>
        <v>80</v>
      </c>
    </row>
    <row r="112" spans="1:92" ht="16.5" x14ac:dyDescent="0.2">
      <c r="H112" s="15"/>
      <c r="I112" s="15"/>
      <c r="J112" s="15"/>
      <c r="K112" s="15"/>
      <c r="L112" s="15"/>
      <c r="M112" s="15"/>
      <c r="N112" s="15"/>
      <c r="O112" s="137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141"/>
      <c r="AA112" s="104">
        <v>108</v>
      </c>
      <c r="AB112" s="14">
        <f t="shared" si="43"/>
        <v>3</v>
      </c>
      <c r="AC112" s="14">
        <f>INDEX(挂机升级突破!$BU$6:$BU$57,卡牌消耗!AI112)</f>
        <v>11</v>
      </c>
      <c r="AD112" s="14">
        <f>INDEX(挂机升级突破!BV$6:BV$57,卡牌消耗!$AI112)</f>
        <v>1</v>
      </c>
      <c r="AE112" s="14">
        <f>INDEX(挂机升级突破!BW$6:BW$57,卡牌消耗!$AI112)</f>
        <v>0</v>
      </c>
      <c r="AF112" s="14" t="str">
        <f t="shared" si="44"/>
        <v>典韦</v>
      </c>
      <c r="AG112" s="14">
        <f t="shared" si="45"/>
        <v>4</v>
      </c>
      <c r="AH112" s="14" t="str">
        <f t="shared" si="46"/>
        <v>典韦魂火-4</v>
      </c>
      <c r="AI112" s="14">
        <f t="shared" si="47"/>
        <v>4</v>
      </c>
      <c r="AJ112" s="14" t="str">
        <f>INDEX(挂机升级突破!$BX$4:$CH$4,INDEX(挂机升级突破!$BU$6:$BU$57,卡牌消耗!AI112))</f>
        <v>金币</v>
      </c>
      <c r="AK112" s="14">
        <f>ROUND(INDEX(挂机升级突破!$BN$6:$BN$57,卡牌消耗!AI112)*INDEX(卡牌消耗!$B$8:$F$8,AG112)/$Q$4/50,0)*50</f>
        <v>1200</v>
      </c>
      <c r="AL112" s="14" t="str">
        <f>IF(AD112&gt;0,INDEX(挂机升级突破!$BX$4:$CH$4,AD112),"")</f>
        <v>绿色基础材料</v>
      </c>
      <c r="AM112" s="14">
        <f>ROUND(INDEX(挂机升级突破!$BX$6:$CH$57,卡牌消耗!AI112,AD112)*INDEX(卡牌消耗!$B$5:$F$5,AG112)/$Q$4/5,0)*5</f>
        <v>6005</v>
      </c>
      <c r="AN112" s="14" t="str">
        <f>IF(AE112&gt;0,INDEX(挂机升级突破!$BX$4:$CH$4,AE112),"")</f>
        <v/>
      </c>
      <c r="AO112" s="14" t="str">
        <f>IF(AE112&gt;0,ROUND(INDEX(挂机升级突破!$BX$6:$CH$57,卡牌消耗!AI112,AE112)*INDEX(卡牌消耗!$B$7:$F$7,AG112)/$Q$4,0),"")</f>
        <v/>
      </c>
      <c r="AP112" s="106"/>
      <c r="AQ112" s="15"/>
      <c r="AR112" s="104">
        <v>108</v>
      </c>
      <c r="AS112" s="14">
        <f t="shared" si="48"/>
        <v>6</v>
      </c>
      <c r="AT112" s="14">
        <f>INDEX(挂机升级突破!$CM$7:$CM$26,AX112)</f>
        <v>5</v>
      </c>
      <c r="AU112" s="14">
        <f>INDEX(挂机升级突破!$CN$7:$CN$26,AX112)</f>
        <v>1</v>
      </c>
      <c r="AV112" s="14">
        <f t="shared" si="49"/>
        <v>5</v>
      </c>
      <c r="AW112" s="14" t="str">
        <f t="shared" si="50"/>
        <v>项羽</v>
      </c>
      <c r="AX112" s="14">
        <f t="shared" si="51"/>
        <v>8</v>
      </c>
      <c r="AY112" s="14" t="str">
        <f t="shared" si="52"/>
        <v>项羽8突</v>
      </c>
      <c r="AZ112" s="14" t="str">
        <f>IF(AT112&gt;0,INDEX(挂机升级突破!$CV$5:$CZ$5,卡牌消耗!AT112),"")</f>
        <v>金币</v>
      </c>
      <c r="BA112" s="14">
        <f>IF(AT112&gt;0,ROUND(INDEX(挂机升级突破!$CZ$7:$CZ$26,卡牌消耗!AX112)*INDEX(卡牌消耗!$B$8:$F$8,AV112)/$Q$4/500,0)*500,"")</f>
        <v>12500</v>
      </c>
      <c r="BB112" s="14" t="str">
        <f>IF(AU112&gt;0,INDEX(挂机升级突破!$CV$5:$CZ$5,卡牌消耗!AU112),"")</f>
        <v>玄铁</v>
      </c>
      <c r="BC112" s="14">
        <f>IF(AU112&gt;0,ROUND(INDEX(挂机升级突破!$CV$7:$CY$26,卡牌消耗!AX112,卡牌消耗!AU112)*INDEX($B$6:$F$6,AV112)/$Q$4/5,0)*5,"")</f>
        <v>780</v>
      </c>
      <c r="BD112" s="104"/>
      <c r="BE112" s="104"/>
      <c r="BF112" s="106"/>
      <c r="BW112" s="50">
        <v>100</v>
      </c>
      <c r="BX112" s="50">
        <v>29</v>
      </c>
      <c r="BY112" s="21">
        <f t="shared" si="62"/>
        <v>0.11836734693877551</v>
      </c>
      <c r="BZ112" s="65">
        <f t="shared" si="63"/>
        <v>4842</v>
      </c>
      <c r="CA112" s="50" t="e">
        <f>SUM(BZ$5:BZ112)</f>
        <v>#REF!</v>
      </c>
      <c r="CD112" s="136">
        <v>108</v>
      </c>
      <c r="CE112" s="14">
        <f t="shared" si="53"/>
        <v>22</v>
      </c>
      <c r="CF112" s="14">
        <f t="shared" si="38"/>
        <v>3</v>
      </c>
      <c r="CG112" s="14">
        <f t="shared" si="39"/>
        <v>1101030</v>
      </c>
      <c r="CH112" s="136" t="s">
        <v>1127</v>
      </c>
      <c r="CI112" s="14">
        <f t="shared" si="40"/>
        <v>3</v>
      </c>
      <c r="CJ112" s="14" t="str">
        <f t="shared" si="41"/>
        <v>卢天佑-3星</v>
      </c>
      <c r="CK112" s="136" t="s">
        <v>1133</v>
      </c>
      <c r="CL112" s="14">
        <f t="shared" si="54"/>
        <v>10000</v>
      </c>
      <c r="CM112" s="14" t="str">
        <f t="shared" si="42"/>
        <v>卢天佑碎片</v>
      </c>
      <c r="CN112" s="14">
        <f t="shared" si="55"/>
        <v>120</v>
      </c>
    </row>
    <row r="113" spans="8:92" ht="16.5" x14ac:dyDescent="0.2">
      <c r="H113" s="15"/>
      <c r="I113" s="15"/>
      <c r="J113" s="15"/>
      <c r="K113" s="15"/>
      <c r="L113" s="15"/>
      <c r="M113" s="15"/>
      <c r="N113" s="15"/>
      <c r="O113" s="137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141"/>
      <c r="AA113" s="104">
        <v>109</v>
      </c>
      <c r="AB113" s="14">
        <f t="shared" si="43"/>
        <v>3</v>
      </c>
      <c r="AC113" s="14">
        <f>INDEX(挂机升级突破!$BU$6:$BU$57,卡牌消耗!AI113)</f>
        <v>11</v>
      </c>
      <c r="AD113" s="14">
        <f>INDEX(挂机升级突破!BV$6:BV$57,卡牌消耗!$AI113)</f>
        <v>1</v>
      </c>
      <c r="AE113" s="14">
        <f>INDEX(挂机升级突破!BW$6:BW$57,卡牌消耗!$AI113)</f>
        <v>0</v>
      </c>
      <c r="AF113" s="14" t="str">
        <f t="shared" si="44"/>
        <v>典韦</v>
      </c>
      <c r="AG113" s="14">
        <f t="shared" si="45"/>
        <v>4</v>
      </c>
      <c r="AH113" s="14" t="str">
        <f t="shared" si="46"/>
        <v>典韦魂火-5</v>
      </c>
      <c r="AI113" s="14">
        <f t="shared" si="47"/>
        <v>5</v>
      </c>
      <c r="AJ113" s="14" t="str">
        <f>INDEX(挂机升级突破!$BX$4:$CH$4,INDEX(挂机升级突破!$BU$6:$BU$57,卡牌消耗!AI113))</f>
        <v>金币</v>
      </c>
      <c r="AK113" s="14">
        <f>ROUND(INDEX(挂机升级突破!$BN$6:$BN$57,卡牌消耗!AI113)*INDEX(卡牌消耗!$B$8:$F$8,AG113)/$Q$4/50,0)*50</f>
        <v>1200</v>
      </c>
      <c r="AL113" s="14" t="str">
        <f>IF(AD113&gt;0,INDEX(挂机升级突破!$BX$4:$CH$4,AD113),"")</f>
        <v>绿色基础材料</v>
      </c>
      <c r="AM113" s="14">
        <f>ROUND(INDEX(挂机升级突破!$BX$6:$CH$57,卡牌消耗!AI113,AD113)*INDEX(卡牌消耗!$B$5:$F$5,AG113)/$Q$4/5,0)*5</f>
        <v>6005</v>
      </c>
      <c r="AN113" s="14" t="str">
        <f>IF(AE113&gt;0,INDEX(挂机升级突破!$BX$4:$CH$4,AE113),"")</f>
        <v/>
      </c>
      <c r="AO113" s="14" t="str">
        <f>IF(AE113&gt;0,ROUND(INDEX(挂机升级突破!$BX$6:$CH$57,卡牌消耗!AI113,AE113)*INDEX(卡牌消耗!$B$7:$F$7,AG113)/$Q$4,0),"")</f>
        <v/>
      </c>
      <c r="AP113" s="106"/>
      <c r="AQ113" s="15"/>
      <c r="AR113" s="104">
        <v>109</v>
      </c>
      <c r="AS113" s="14">
        <f t="shared" si="48"/>
        <v>6</v>
      </c>
      <c r="AT113" s="14">
        <f>INDEX(挂机升级突破!$CM$7:$CM$26,AX113)</f>
        <v>5</v>
      </c>
      <c r="AU113" s="14">
        <f>INDEX(挂机升级突破!$CN$7:$CN$26,AX113)</f>
        <v>2</v>
      </c>
      <c r="AV113" s="14">
        <f t="shared" si="49"/>
        <v>5</v>
      </c>
      <c r="AW113" s="14" t="str">
        <f t="shared" si="50"/>
        <v>项羽</v>
      </c>
      <c r="AX113" s="14">
        <f t="shared" si="51"/>
        <v>9</v>
      </c>
      <c r="AY113" s="14" t="str">
        <f t="shared" si="52"/>
        <v>项羽9突</v>
      </c>
      <c r="AZ113" s="14" t="str">
        <f>IF(AT113&gt;0,INDEX(挂机升级突破!$CV$5:$CZ$5,卡牌消耗!AT113),"")</f>
        <v>金币</v>
      </c>
      <c r="BA113" s="14">
        <f>IF(AT113&gt;0,ROUND(INDEX(挂机升级突破!$CZ$7:$CZ$26,卡牌消耗!AX113)*INDEX(卡牌消耗!$B$8:$F$8,AV113)/$Q$4/500,0)*500,"")</f>
        <v>17000</v>
      </c>
      <c r="BB113" s="14" t="str">
        <f>IF(AU113&gt;0,INDEX(挂机升级突破!$CV$5:$CZ$5,卡牌消耗!AU113),"")</f>
        <v>乌金</v>
      </c>
      <c r="BC113" s="14">
        <f>IF(AU113&gt;0,ROUND(INDEX(挂机升级突破!$CV$7:$CY$26,卡牌消耗!AX113,卡牌消耗!AU113)*INDEX($B$6:$F$6,AV113)/$Q$4/5,0)*5,"")</f>
        <v>95</v>
      </c>
      <c r="BD113" s="104"/>
      <c r="BE113" s="104"/>
      <c r="BF113" s="106"/>
      <c r="BU113" s="50" t="s">
        <v>310</v>
      </c>
      <c r="BV113" s="50">
        <v>11</v>
      </c>
      <c r="BW113" s="50">
        <v>101</v>
      </c>
      <c r="BX113" s="50">
        <v>20</v>
      </c>
      <c r="BY113" s="21">
        <f t="shared" ref="BY113:BY122" si="64">BX113/BV$116</f>
        <v>8.1632653061224483E-2</v>
      </c>
      <c r="BZ113" s="50">
        <f>INT(BV$114*BY113)</f>
        <v>3988</v>
      </c>
      <c r="CA113" s="50" t="e">
        <f>SUM(BZ$5:BZ113)</f>
        <v>#REF!</v>
      </c>
      <c r="CD113" s="136">
        <v>109</v>
      </c>
      <c r="CE113" s="14">
        <f t="shared" si="53"/>
        <v>22</v>
      </c>
      <c r="CF113" s="14">
        <f t="shared" si="38"/>
        <v>3</v>
      </c>
      <c r="CG113" s="14">
        <f t="shared" si="39"/>
        <v>1101030</v>
      </c>
      <c r="CH113" s="136" t="s">
        <v>1127</v>
      </c>
      <c r="CI113" s="14">
        <f t="shared" si="40"/>
        <v>4</v>
      </c>
      <c r="CJ113" s="14" t="str">
        <f t="shared" si="41"/>
        <v>卢天佑-4星</v>
      </c>
      <c r="CK113" s="136" t="s">
        <v>1133</v>
      </c>
      <c r="CL113" s="14">
        <f t="shared" si="54"/>
        <v>20000</v>
      </c>
      <c r="CM113" s="14" t="str">
        <f t="shared" si="42"/>
        <v>卢天佑碎片</v>
      </c>
      <c r="CN113" s="14">
        <f t="shared" si="55"/>
        <v>160</v>
      </c>
    </row>
    <row r="114" spans="8:92" ht="16.5" x14ac:dyDescent="0.2">
      <c r="H114" s="15"/>
      <c r="I114" s="15"/>
      <c r="J114" s="15"/>
      <c r="K114" s="15"/>
      <c r="L114" s="15"/>
      <c r="M114" s="15"/>
      <c r="N114" s="15"/>
      <c r="O114" s="137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141"/>
      <c r="AA114" s="104">
        <v>110</v>
      </c>
      <c r="AB114" s="14">
        <f t="shared" si="43"/>
        <v>3</v>
      </c>
      <c r="AC114" s="14">
        <f>INDEX(挂机升级突破!$BU$6:$BU$57,卡牌消耗!AI114)</f>
        <v>11</v>
      </c>
      <c r="AD114" s="14">
        <f>INDEX(挂机升级突破!BV$6:BV$57,卡牌消耗!$AI114)</f>
        <v>2</v>
      </c>
      <c r="AE114" s="14">
        <f>INDEX(挂机升级突破!BW$6:BW$57,卡牌消耗!$AI114)</f>
        <v>0</v>
      </c>
      <c r="AF114" s="14" t="str">
        <f t="shared" si="44"/>
        <v>典韦</v>
      </c>
      <c r="AG114" s="14">
        <f t="shared" si="45"/>
        <v>4</v>
      </c>
      <c r="AH114" s="14" t="str">
        <f t="shared" si="46"/>
        <v>典韦魂火-6</v>
      </c>
      <c r="AI114" s="14">
        <f t="shared" si="47"/>
        <v>6</v>
      </c>
      <c r="AJ114" s="14" t="str">
        <f>INDEX(挂机升级突破!$BX$4:$CH$4,INDEX(挂机升级突破!$BU$6:$BU$57,卡牌消耗!AI114))</f>
        <v>金币</v>
      </c>
      <c r="AK114" s="14">
        <f>ROUND(INDEX(挂机升级突破!$BN$6:$BN$57,卡牌消耗!AI114)*INDEX(卡牌消耗!$B$8:$F$8,AG114)/$Q$4/50,0)*50</f>
        <v>1500</v>
      </c>
      <c r="AL114" s="14" t="str">
        <f>IF(AD114&gt;0,INDEX(挂机升级突破!$BX$4:$CH$4,AD114),"")</f>
        <v>蓝色基础材料</v>
      </c>
      <c r="AM114" s="14">
        <f>ROUND(INDEX(挂机升级突破!$BX$6:$CH$57,卡牌消耗!AI114,AD114)*INDEX(卡牌消耗!$B$5:$F$5,AG114)/$Q$4/5,0)*5</f>
        <v>575</v>
      </c>
      <c r="AN114" s="14" t="str">
        <f>IF(AE114&gt;0,INDEX(挂机升级突破!$BX$4:$CH$4,AE114),"")</f>
        <v/>
      </c>
      <c r="AO114" s="14" t="str">
        <f>IF(AE114&gt;0,ROUND(INDEX(挂机升级突破!$BX$6:$CH$57,卡牌消耗!AI114,AE114)*INDEX(卡牌消耗!$B$7:$F$7,AG114)/$Q$4,0),"")</f>
        <v/>
      </c>
      <c r="AP114" s="106"/>
      <c r="AQ114" s="15"/>
      <c r="AR114" s="104">
        <v>110</v>
      </c>
      <c r="AS114" s="14">
        <f t="shared" si="48"/>
        <v>6</v>
      </c>
      <c r="AT114" s="14">
        <f>INDEX(挂机升级突破!$CM$7:$CM$26,AX114)</f>
        <v>5</v>
      </c>
      <c r="AU114" s="14">
        <f>INDEX(挂机升级突破!$CN$7:$CN$26,AX114)</f>
        <v>2</v>
      </c>
      <c r="AV114" s="14">
        <f t="shared" si="49"/>
        <v>5</v>
      </c>
      <c r="AW114" s="14" t="str">
        <f t="shared" si="50"/>
        <v>项羽</v>
      </c>
      <c r="AX114" s="14">
        <f t="shared" si="51"/>
        <v>10</v>
      </c>
      <c r="AY114" s="14" t="str">
        <f t="shared" si="52"/>
        <v>项羽10突</v>
      </c>
      <c r="AZ114" s="14" t="str">
        <f>IF(AT114&gt;0,INDEX(挂机升级突破!$CV$5:$CZ$5,卡牌消耗!AT114),"")</f>
        <v>金币</v>
      </c>
      <c r="BA114" s="14">
        <f>IF(AT114&gt;0,ROUND(INDEX(挂机升级突破!$CZ$7:$CZ$26,卡牌消耗!AX114)*INDEX(卡牌消耗!$B$8:$F$8,AV114)/$Q$4/500,0)*500,"")</f>
        <v>29500</v>
      </c>
      <c r="BB114" s="14" t="str">
        <f>IF(AU114&gt;0,INDEX(挂机升级突破!$CV$5:$CZ$5,卡牌消耗!AU114),"")</f>
        <v>乌金</v>
      </c>
      <c r="BC114" s="14">
        <f>IF(AU114&gt;0,ROUND(INDEX(挂机升级突破!$CV$7:$CY$26,卡牌消耗!AX114,卡牌消耗!AU114)*INDEX($B$6:$F$6,AV114)/$Q$4/5,0)*5,"")</f>
        <v>135</v>
      </c>
      <c r="BD114" s="104"/>
      <c r="BE114" s="104"/>
      <c r="BF114" s="106"/>
      <c r="BU114" s="14" t="str">
        <f>INDEX($BH$5:$BH$19,BV113)</f>
        <v>55~60</v>
      </c>
      <c r="BV114" s="14">
        <f>INDEX($BQ$5:$BQ$19,BV113)</f>
        <v>48857</v>
      </c>
      <c r="BW114" s="50">
        <v>102</v>
      </c>
      <c r="BX114" s="50">
        <v>21</v>
      </c>
      <c r="BY114" s="21">
        <f t="shared" si="64"/>
        <v>8.5714285714285715E-2</v>
      </c>
      <c r="BZ114" s="65">
        <f t="shared" ref="BZ114:BZ122" si="65">INT(BV$114*BY114)</f>
        <v>4187</v>
      </c>
      <c r="CA114" s="50" t="e">
        <f>SUM(BZ$5:BZ114)</f>
        <v>#REF!</v>
      </c>
      <c r="CD114" s="136">
        <v>110</v>
      </c>
      <c r="CE114" s="14">
        <f t="shared" si="53"/>
        <v>22</v>
      </c>
      <c r="CF114" s="14">
        <f t="shared" si="38"/>
        <v>3</v>
      </c>
      <c r="CG114" s="14">
        <f t="shared" si="39"/>
        <v>1101030</v>
      </c>
      <c r="CH114" s="136" t="s">
        <v>1127</v>
      </c>
      <c r="CI114" s="14">
        <f t="shared" si="40"/>
        <v>5</v>
      </c>
      <c r="CJ114" s="14" t="str">
        <f t="shared" si="41"/>
        <v>卢天佑-5星</v>
      </c>
      <c r="CK114" s="136" t="s">
        <v>1133</v>
      </c>
      <c r="CL114" s="14">
        <f t="shared" si="54"/>
        <v>40000</v>
      </c>
      <c r="CM114" s="14" t="str">
        <f t="shared" si="42"/>
        <v>卢天佑碎片</v>
      </c>
      <c r="CN114" s="14">
        <f t="shared" si="55"/>
        <v>240</v>
      </c>
    </row>
    <row r="115" spans="8:92" ht="16.5" x14ac:dyDescent="0.2">
      <c r="H115" s="15"/>
      <c r="I115" s="15"/>
      <c r="J115" s="15"/>
      <c r="K115" s="15"/>
      <c r="L115" s="15"/>
      <c r="M115" s="15"/>
      <c r="N115" s="15"/>
      <c r="O115" s="137"/>
      <c r="P115" s="141"/>
      <c r="Q115" s="141"/>
      <c r="R115" s="141"/>
      <c r="S115" s="141"/>
      <c r="T115" s="141"/>
      <c r="U115" s="141"/>
      <c r="V115" s="141"/>
      <c r="W115" s="141"/>
      <c r="X115" s="141"/>
      <c r="Y115" s="141"/>
      <c r="Z115" s="141"/>
      <c r="AA115" s="104">
        <v>111</v>
      </c>
      <c r="AB115" s="14">
        <f t="shared" si="43"/>
        <v>3</v>
      </c>
      <c r="AC115" s="14">
        <f>INDEX(挂机升级突破!$BU$6:$BU$57,卡牌消耗!AI115)</f>
        <v>11</v>
      </c>
      <c r="AD115" s="14">
        <f>INDEX(挂机升级突破!BV$6:BV$57,卡牌消耗!$AI115)</f>
        <v>2</v>
      </c>
      <c r="AE115" s="14">
        <f>INDEX(挂机升级突破!BW$6:BW$57,卡牌消耗!$AI115)</f>
        <v>0</v>
      </c>
      <c r="AF115" s="14" t="str">
        <f t="shared" si="44"/>
        <v>典韦</v>
      </c>
      <c r="AG115" s="14">
        <f t="shared" si="45"/>
        <v>4</v>
      </c>
      <c r="AH115" s="14" t="str">
        <f t="shared" si="46"/>
        <v>典韦魂火-7</v>
      </c>
      <c r="AI115" s="14">
        <f t="shared" si="47"/>
        <v>7</v>
      </c>
      <c r="AJ115" s="14" t="str">
        <f>INDEX(挂机升级突破!$BX$4:$CH$4,INDEX(挂机升级突破!$BU$6:$BU$57,卡牌消耗!AI115))</f>
        <v>金币</v>
      </c>
      <c r="AK115" s="14">
        <f>ROUND(INDEX(挂机升级突破!$BN$6:$BN$57,卡牌消耗!AI115)*INDEX(卡牌消耗!$B$8:$F$8,AG115)/$Q$4/50,0)*50</f>
        <v>1500</v>
      </c>
      <c r="AL115" s="14" t="str">
        <f>IF(AD115&gt;0,INDEX(挂机升级突破!$BX$4:$CH$4,AD115),"")</f>
        <v>蓝色基础材料</v>
      </c>
      <c r="AM115" s="14">
        <f>ROUND(INDEX(挂机升级突破!$BX$6:$CH$57,卡牌消耗!AI115,AD115)*INDEX(卡牌消耗!$B$5:$F$5,AG115)/$Q$4/5,0)*5</f>
        <v>575</v>
      </c>
      <c r="AN115" s="14" t="str">
        <f>IF(AE115&gt;0,INDEX(挂机升级突破!$BX$4:$CH$4,AE115),"")</f>
        <v/>
      </c>
      <c r="AO115" s="14" t="str">
        <f>IF(AE115&gt;0,ROUND(INDEX(挂机升级突破!$BX$6:$CH$57,卡牌消耗!AI115,AE115)*INDEX(卡牌消耗!$B$7:$F$7,AG115)/$Q$4,0),"")</f>
        <v/>
      </c>
      <c r="AP115" s="106"/>
      <c r="AQ115" s="15"/>
      <c r="AR115" s="104">
        <v>111</v>
      </c>
      <c r="AS115" s="14">
        <f t="shared" si="48"/>
        <v>6</v>
      </c>
      <c r="AT115" s="14">
        <f>INDEX(挂机升级突破!$CM$7:$CM$26,AX115)</f>
        <v>5</v>
      </c>
      <c r="AU115" s="14">
        <f>INDEX(挂机升级突破!$CN$7:$CN$26,AX115)</f>
        <v>2</v>
      </c>
      <c r="AV115" s="14">
        <f t="shared" si="49"/>
        <v>5</v>
      </c>
      <c r="AW115" s="14" t="str">
        <f t="shared" si="50"/>
        <v>项羽</v>
      </c>
      <c r="AX115" s="14">
        <f t="shared" si="51"/>
        <v>11</v>
      </c>
      <c r="AY115" s="14" t="str">
        <f t="shared" si="52"/>
        <v>项羽11突</v>
      </c>
      <c r="AZ115" s="14" t="str">
        <f>IF(AT115&gt;0,INDEX(挂机升级突破!$CV$5:$CZ$5,卡牌消耗!AT115),"")</f>
        <v>金币</v>
      </c>
      <c r="BA115" s="14">
        <f>IF(AT115&gt;0,ROUND(INDEX(挂机升级突破!$CZ$7:$CZ$26,卡牌消耗!AX115)*INDEX(卡牌消耗!$B$8:$F$8,AV115)/$Q$4/500,0)*500,"")</f>
        <v>29500</v>
      </c>
      <c r="BB115" s="14" t="str">
        <f>IF(AU115&gt;0,INDEX(挂机升级突破!$CV$5:$CZ$5,卡牌消耗!AU115),"")</f>
        <v>乌金</v>
      </c>
      <c r="BC115" s="14">
        <f>IF(AU115&gt;0,ROUND(INDEX(挂机升级突破!$CV$7:$CY$26,卡牌消耗!AX115,卡牌消耗!AU115)*INDEX($B$6:$F$6,AV115)/$Q$4/5,0)*5,"")</f>
        <v>180</v>
      </c>
      <c r="BD115" s="104"/>
      <c r="BE115" s="104"/>
      <c r="BF115" s="106"/>
      <c r="BU115" s="50" t="s">
        <v>309</v>
      </c>
      <c r="BV115" s="14">
        <f>INDEX($BR$5:$BR$19,BV113)</f>
        <v>7</v>
      </c>
      <c r="BW115" s="50">
        <v>103</v>
      </c>
      <c r="BX115" s="50">
        <v>22</v>
      </c>
      <c r="BY115" s="21">
        <f t="shared" si="64"/>
        <v>8.9795918367346933E-2</v>
      </c>
      <c r="BZ115" s="65">
        <f t="shared" si="65"/>
        <v>4387</v>
      </c>
      <c r="CA115" s="50" t="e">
        <f>SUM(BZ$5:BZ115)</f>
        <v>#REF!</v>
      </c>
      <c r="CD115" s="136">
        <v>111</v>
      </c>
      <c r="CE115" s="14">
        <f t="shared" si="53"/>
        <v>23</v>
      </c>
      <c r="CF115" s="14">
        <f t="shared" si="38"/>
        <v>4</v>
      </c>
      <c r="CG115" s="14">
        <f t="shared" si="39"/>
        <v>1101043</v>
      </c>
      <c r="CH115" s="136" t="s">
        <v>1127</v>
      </c>
      <c r="CI115" s="14">
        <f t="shared" si="40"/>
        <v>1</v>
      </c>
      <c r="CJ115" s="14" t="str">
        <f t="shared" si="41"/>
        <v>少年曹玄亮-1星</v>
      </c>
      <c r="CK115" s="136" t="s">
        <v>1133</v>
      </c>
      <c r="CL115" s="14">
        <f t="shared" si="54"/>
        <v>6000</v>
      </c>
      <c r="CM115" s="14" t="str">
        <f t="shared" si="42"/>
        <v>少年曹玄亮碎片</v>
      </c>
      <c r="CN115" s="14">
        <f t="shared" si="55"/>
        <v>80</v>
      </c>
    </row>
    <row r="116" spans="8:92" ht="16.5" x14ac:dyDescent="0.2">
      <c r="H116" s="15"/>
      <c r="I116" s="15"/>
      <c r="J116" s="15"/>
      <c r="K116" s="15"/>
      <c r="L116" s="15"/>
      <c r="M116" s="15"/>
      <c r="N116" s="15"/>
      <c r="O116" s="137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41"/>
      <c r="AA116" s="104">
        <v>112</v>
      </c>
      <c r="AB116" s="14">
        <f t="shared" si="43"/>
        <v>3</v>
      </c>
      <c r="AC116" s="14">
        <f>INDEX(挂机升级突破!$BU$6:$BU$57,卡牌消耗!AI116)</f>
        <v>11</v>
      </c>
      <c r="AD116" s="14">
        <f>INDEX(挂机升级突破!BV$6:BV$57,卡牌消耗!$AI116)</f>
        <v>2</v>
      </c>
      <c r="AE116" s="14">
        <f>INDEX(挂机升级突破!BW$6:BW$57,卡牌消耗!$AI116)</f>
        <v>0</v>
      </c>
      <c r="AF116" s="14" t="str">
        <f t="shared" si="44"/>
        <v>典韦</v>
      </c>
      <c r="AG116" s="14">
        <f t="shared" si="45"/>
        <v>4</v>
      </c>
      <c r="AH116" s="14" t="str">
        <f t="shared" si="46"/>
        <v>典韦魂火-8</v>
      </c>
      <c r="AI116" s="14">
        <f t="shared" si="47"/>
        <v>8</v>
      </c>
      <c r="AJ116" s="14" t="str">
        <f>INDEX(挂机升级突破!$BX$4:$CH$4,INDEX(挂机升级突破!$BU$6:$BU$57,卡牌消耗!AI116))</f>
        <v>金币</v>
      </c>
      <c r="AK116" s="14">
        <f>ROUND(INDEX(挂机升级突破!$BN$6:$BN$57,卡牌消耗!AI116)*INDEX(卡牌消耗!$B$8:$F$8,AG116)/$Q$4/50,0)*50</f>
        <v>2250</v>
      </c>
      <c r="AL116" s="14" t="str">
        <f>IF(AD116&gt;0,INDEX(挂机升级突破!$BX$4:$CH$4,AD116),"")</f>
        <v>蓝色基础材料</v>
      </c>
      <c r="AM116" s="14">
        <f>ROUND(INDEX(挂机升级突破!$BX$6:$CH$57,卡牌消耗!AI116,AD116)*INDEX(卡牌消耗!$B$5:$F$5,AG116)/$Q$4/5,0)*5</f>
        <v>1155</v>
      </c>
      <c r="AN116" s="14" t="str">
        <f>IF(AE116&gt;0,INDEX(挂机升级突破!$BX$4:$CH$4,AE116),"")</f>
        <v/>
      </c>
      <c r="AO116" s="14" t="str">
        <f>IF(AE116&gt;0,ROUND(INDEX(挂机升级突破!$BX$6:$CH$57,卡牌消耗!AI116,AE116)*INDEX(卡牌消耗!$B$7:$F$7,AG116)/$Q$4,0),"")</f>
        <v/>
      </c>
      <c r="AP116" s="106"/>
      <c r="AQ116" s="15"/>
      <c r="AR116" s="104">
        <v>112</v>
      </c>
      <c r="AS116" s="14">
        <f t="shared" si="48"/>
        <v>6</v>
      </c>
      <c r="AT116" s="14">
        <f>INDEX(挂机升级突破!$CM$7:$CM$26,AX116)</f>
        <v>5</v>
      </c>
      <c r="AU116" s="14">
        <f>INDEX(挂机升级突破!$CN$7:$CN$26,AX116)</f>
        <v>2</v>
      </c>
      <c r="AV116" s="14">
        <f t="shared" si="49"/>
        <v>5</v>
      </c>
      <c r="AW116" s="14" t="str">
        <f t="shared" si="50"/>
        <v>项羽</v>
      </c>
      <c r="AX116" s="14">
        <f t="shared" si="51"/>
        <v>12</v>
      </c>
      <c r="AY116" s="14" t="str">
        <f t="shared" si="52"/>
        <v>项羽12突</v>
      </c>
      <c r="AZ116" s="14" t="str">
        <f>IF(AT116&gt;0,INDEX(挂机升级突破!$CV$5:$CZ$5,卡牌消耗!AT116),"")</f>
        <v>金币</v>
      </c>
      <c r="BA116" s="14">
        <f>IF(AT116&gt;0,ROUND(INDEX(挂机升级突破!$CZ$7:$CZ$26,卡牌消耗!AX116)*INDEX(卡牌消耗!$B$8:$F$8,AV116)/$Q$4/500,0)*500,"")</f>
        <v>39000</v>
      </c>
      <c r="BB116" s="14" t="str">
        <f>IF(AU116&gt;0,INDEX(挂机升级突破!$CV$5:$CZ$5,卡牌消耗!AU116),"")</f>
        <v>乌金</v>
      </c>
      <c r="BC116" s="14">
        <f>IF(AU116&gt;0,ROUND(INDEX(挂机升级突破!$CV$7:$CY$26,卡牌消耗!AX116,卡牌消耗!AU116)*INDEX($B$6:$F$6,AV116)/$Q$4/5,0)*5,"")</f>
        <v>230</v>
      </c>
      <c r="BD116" s="104"/>
      <c r="BE116" s="104"/>
      <c r="BF116" s="106"/>
      <c r="BU116" s="15"/>
      <c r="BV116" s="14">
        <f>SUM(BX113:BX122)</f>
        <v>245</v>
      </c>
      <c r="BW116" s="50">
        <v>104</v>
      </c>
      <c r="BX116" s="50">
        <v>23</v>
      </c>
      <c r="BY116" s="21">
        <f t="shared" si="64"/>
        <v>9.3877551020408165E-2</v>
      </c>
      <c r="BZ116" s="65">
        <f t="shared" si="65"/>
        <v>4586</v>
      </c>
      <c r="CA116" s="50" t="e">
        <f>SUM(BZ$5:BZ116)</f>
        <v>#REF!</v>
      </c>
      <c r="CD116" s="136">
        <v>112</v>
      </c>
      <c r="CE116" s="14">
        <f t="shared" si="53"/>
        <v>23</v>
      </c>
      <c r="CF116" s="14">
        <f t="shared" si="38"/>
        <v>4</v>
      </c>
      <c r="CG116" s="14">
        <f t="shared" si="39"/>
        <v>1101043</v>
      </c>
      <c r="CH116" s="136" t="s">
        <v>1127</v>
      </c>
      <c r="CI116" s="14">
        <f t="shared" si="40"/>
        <v>2</v>
      </c>
      <c r="CJ116" s="14" t="str">
        <f t="shared" si="41"/>
        <v>少年曹玄亮-2星</v>
      </c>
      <c r="CK116" s="136" t="s">
        <v>1133</v>
      </c>
      <c r="CL116" s="14">
        <f t="shared" si="54"/>
        <v>8000</v>
      </c>
      <c r="CM116" s="14" t="str">
        <f t="shared" si="42"/>
        <v>少年曹玄亮碎片</v>
      </c>
      <c r="CN116" s="14">
        <f t="shared" si="55"/>
        <v>80</v>
      </c>
    </row>
    <row r="117" spans="8:92" ht="16.5" x14ac:dyDescent="0.2">
      <c r="H117" s="15"/>
      <c r="I117" s="15"/>
      <c r="J117" s="15"/>
      <c r="K117" s="15"/>
      <c r="L117" s="15"/>
      <c r="M117" s="15"/>
      <c r="N117" s="15"/>
      <c r="O117" s="137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41"/>
      <c r="AA117" s="104">
        <v>113</v>
      </c>
      <c r="AB117" s="14">
        <f t="shared" si="43"/>
        <v>3</v>
      </c>
      <c r="AC117" s="14">
        <f>INDEX(挂机升级突破!$BU$6:$BU$57,卡牌消耗!AI117)</f>
        <v>11</v>
      </c>
      <c r="AD117" s="14">
        <f>INDEX(挂机升级突破!BV$6:BV$57,卡牌消耗!$AI117)</f>
        <v>2</v>
      </c>
      <c r="AE117" s="14">
        <f>INDEX(挂机升级突破!BW$6:BW$57,卡牌消耗!$AI117)</f>
        <v>0</v>
      </c>
      <c r="AF117" s="14" t="str">
        <f t="shared" si="44"/>
        <v>典韦</v>
      </c>
      <c r="AG117" s="14">
        <f t="shared" si="45"/>
        <v>4</v>
      </c>
      <c r="AH117" s="14" t="str">
        <f t="shared" si="46"/>
        <v>典韦魂火-9</v>
      </c>
      <c r="AI117" s="14">
        <f t="shared" si="47"/>
        <v>9</v>
      </c>
      <c r="AJ117" s="14" t="str">
        <f>INDEX(挂机升级突破!$BX$4:$CH$4,INDEX(挂机升级突破!$BU$6:$BU$57,卡牌消耗!AI117))</f>
        <v>金币</v>
      </c>
      <c r="AK117" s="14">
        <f>ROUND(INDEX(挂机升级突破!$BN$6:$BN$57,卡牌消耗!AI117)*INDEX(卡牌消耗!$B$8:$F$8,AG117)/$Q$4/50,0)*50</f>
        <v>2250</v>
      </c>
      <c r="AL117" s="14" t="str">
        <f>IF(AD117&gt;0,INDEX(挂机升级突破!$BX$4:$CH$4,AD117),"")</f>
        <v>蓝色基础材料</v>
      </c>
      <c r="AM117" s="14">
        <f>ROUND(INDEX(挂机升级突破!$BX$6:$CH$57,卡牌消耗!AI117,AD117)*INDEX(卡牌消耗!$B$5:$F$5,AG117)/$Q$4/5,0)*5</f>
        <v>1155</v>
      </c>
      <c r="AN117" s="14" t="str">
        <f>IF(AE117&gt;0,INDEX(挂机升级突破!$BX$4:$CH$4,AE117),"")</f>
        <v/>
      </c>
      <c r="AO117" s="14" t="str">
        <f>IF(AE117&gt;0,ROUND(INDEX(挂机升级突破!$BX$6:$CH$57,卡牌消耗!AI117,AE117)*INDEX(卡牌消耗!$B$7:$F$7,AG117)/$Q$4,0),"")</f>
        <v/>
      </c>
      <c r="AP117" s="106"/>
      <c r="AQ117" s="15"/>
      <c r="AR117" s="104">
        <v>113</v>
      </c>
      <c r="AS117" s="14">
        <f t="shared" si="48"/>
        <v>6</v>
      </c>
      <c r="AT117" s="14">
        <f>INDEX(挂机升级突破!$CM$7:$CM$26,AX117)</f>
        <v>5</v>
      </c>
      <c r="AU117" s="14">
        <f>INDEX(挂机升级突破!$CN$7:$CN$26,AX117)</f>
        <v>3</v>
      </c>
      <c r="AV117" s="14">
        <f t="shared" si="49"/>
        <v>5</v>
      </c>
      <c r="AW117" s="14" t="str">
        <f t="shared" si="50"/>
        <v>项羽</v>
      </c>
      <c r="AX117" s="14">
        <f t="shared" si="51"/>
        <v>13</v>
      </c>
      <c r="AY117" s="14" t="str">
        <f t="shared" si="52"/>
        <v>项羽13突</v>
      </c>
      <c r="AZ117" s="14" t="str">
        <f>IF(AT117&gt;0,INDEX(挂机升级突破!$CV$5:$CZ$5,卡牌消耗!AT117),"")</f>
        <v>金币</v>
      </c>
      <c r="BA117" s="14">
        <f>IF(AT117&gt;0,ROUND(INDEX(挂机升级突破!$CZ$7:$CZ$26,卡牌消耗!AX117)*INDEX(卡牌消耗!$B$8:$F$8,AV117)/$Q$4/500,0)*500,"")</f>
        <v>52000</v>
      </c>
      <c r="BB117" s="14" t="str">
        <f>IF(AU117&gt;0,INDEX(挂机升级突破!$CV$5:$CZ$5,卡牌消耗!AU117),"")</f>
        <v>银母</v>
      </c>
      <c r="BC117" s="14">
        <f>IF(AU117&gt;0,ROUND(INDEX(挂机升级突破!$CV$7:$CY$26,卡牌消耗!AX117,卡牌消耗!AU117)*INDEX($B$6:$F$6,AV117)/$Q$4/5,0)*5,"")</f>
        <v>45</v>
      </c>
      <c r="BD117" s="104"/>
      <c r="BE117" s="104"/>
      <c r="BF117" s="106"/>
      <c r="BW117" s="50">
        <v>105</v>
      </c>
      <c r="BX117" s="50">
        <v>24</v>
      </c>
      <c r="BY117" s="21">
        <f t="shared" si="64"/>
        <v>9.7959183673469383E-2</v>
      </c>
      <c r="BZ117" s="65">
        <f t="shared" si="65"/>
        <v>4785</v>
      </c>
      <c r="CA117" s="50" t="e">
        <f>SUM(BZ$5:BZ117)</f>
        <v>#REF!</v>
      </c>
      <c r="CD117" s="136">
        <v>113</v>
      </c>
      <c r="CE117" s="14">
        <f t="shared" si="53"/>
        <v>23</v>
      </c>
      <c r="CF117" s="14">
        <f t="shared" si="38"/>
        <v>4</v>
      </c>
      <c r="CG117" s="14">
        <f t="shared" si="39"/>
        <v>1101043</v>
      </c>
      <c r="CH117" s="136" t="s">
        <v>1127</v>
      </c>
      <c r="CI117" s="14">
        <f t="shared" si="40"/>
        <v>3</v>
      </c>
      <c r="CJ117" s="14" t="str">
        <f t="shared" si="41"/>
        <v>少年曹玄亮-3星</v>
      </c>
      <c r="CK117" s="136" t="s">
        <v>1133</v>
      </c>
      <c r="CL117" s="14">
        <f t="shared" si="54"/>
        <v>14000</v>
      </c>
      <c r="CM117" s="14" t="str">
        <f t="shared" si="42"/>
        <v>少年曹玄亮碎片</v>
      </c>
      <c r="CN117" s="14">
        <f t="shared" si="55"/>
        <v>160</v>
      </c>
    </row>
    <row r="118" spans="8:92" ht="16.5" x14ac:dyDescent="0.2">
      <c r="H118" s="15"/>
      <c r="I118" s="15"/>
      <c r="J118" s="15"/>
      <c r="K118" s="15"/>
      <c r="L118" s="15"/>
      <c r="M118" s="15"/>
      <c r="N118" s="15"/>
      <c r="O118" s="137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  <c r="AA118" s="104">
        <v>114</v>
      </c>
      <c r="AB118" s="14">
        <f t="shared" si="43"/>
        <v>3</v>
      </c>
      <c r="AC118" s="14">
        <f>INDEX(挂机升级突破!$BU$6:$BU$57,卡牌消耗!AI118)</f>
        <v>11</v>
      </c>
      <c r="AD118" s="14">
        <f>INDEX(挂机升级突破!BV$6:BV$57,卡牌消耗!$AI118)</f>
        <v>2</v>
      </c>
      <c r="AE118" s="14">
        <f>INDEX(挂机升级突破!BW$6:BW$57,卡牌消耗!$AI118)</f>
        <v>0</v>
      </c>
      <c r="AF118" s="14" t="str">
        <f t="shared" si="44"/>
        <v>典韦</v>
      </c>
      <c r="AG118" s="14">
        <f t="shared" si="45"/>
        <v>4</v>
      </c>
      <c r="AH118" s="14" t="str">
        <f t="shared" si="46"/>
        <v>典韦魂火-10</v>
      </c>
      <c r="AI118" s="14">
        <f t="shared" si="47"/>
        <v>10</v>
      </c>
      <c r="AJ118" s="14" t="str">
        <f>INDEX(挂机升级突破!$BX$4:$CH$4,INDEX(挂机升级突破!$BU$6:$BU$57,卡牌消耗!AI118))</f>
        <v>金币</v>
      </c>
      <c r="AK118" s="14">
        <f>ROUND(INDEX(挂机升级突破!$BN$6:$BN$57,卡牌消耗!AI118)*INDEX(卡牌消耗!$B$8:$F$8,AG118)/$Q$4/50,0)*50</f>
        <v>3700</v>
      </c>
      <c r="AL118" s="14" t="str">
        <f>IF(AD118&gt;0,INDEX(挂机升级突破!$BX$4:$CH$4,AD118),"")</f>
        <v>蓝色基础材料</v>
      </c>
      <c r="AM118" s="14">
        <f>ROUND(INDEX(挂机升级突破!$BX$6:$CH$57,卡牌消耗!AI118,AD118)*INDEX(卡牌消耗!$B$5:$F$5,AG118)/$Q$4/5,0)*5</f>
        <v>1730</v>
      </c>
      <c r="AN118" s="14" t="str">
        <f>IF(AE118&gt;0,INDEX(挂机升级突破!$BX$4:$CH$4,AE118),"")</f>
        <v/>
      </c>
      <c r="AO118" s="14" t="str">
        <f>IF(AE118&gt;0,ROUND(INDEX(挂机升级突破!$BX$6:$CH$57,卡牌消耗!AI118,AE118)*INDEX(卡牌消耗!$B$7:$F$7,AG118)/$Q$4,0),"")</f>
        <v/>
      </c>
      <c r="AP118" s="106"/>
      <c r="AQ118" s="15"/>
      <c r="AR118" s="104">
        <v>114</v>
      </c>
      <c r="AS118" s="14">
        <f t="shared" si="48"/>
        <v>6</v>
      </c>
      <c r="AT118" s="14">
        <f>INDEX(挂机升级突破!$CM$7:$CM$26,AX118)</f>
        <v>5</v>
      </c>
      <c r="AU118" s="14">
        <f>INDEX(挂机升级突破!$CN$7:$CN$26,AX118)</f>
        <v>3</v>
      </c>
      <c r="AV118" s="14">
        <f t="shared" si="49"/>
        <v>5</v>
      </c>
      <c r="AW118" s="14" t="str">
        <f t="shared" si="50"/>
        <v>项羽</v>
      </c>
      <c r="AX118" s="14">
        <f t="shared" si="51"/>
        <v>14</v>
      </c>
      <c r="AY118" s="14" t="str">
        <f t="shared" si="52"/>
        <v>项羽14突</v>
      </c>
      <c r="AZ118" s="14" t="str">
        <f>IF(AT118&gt;0,INDEX(挂机升级突破!$CV$5:$CZ$5,卡牌消耗!AT118),"")</f>
        <v>金币</v>
      </c>
      <c r="BA118" s="14">
        <f>IF(AT118&gt;0,ROUND(INDEX(挂机升级突破!$CZ$7:$CZ$26,卡牌消耗!AX118)*INDEX(卡牌消耗!$B$8:$F$8,AV118)/$Q$4/500,0)*500,"")</f>
        <v>52000</v>
      </c>
      <c r="BB118" s="14" t="str">
        <f>IF(AU118&gt;0,INDEX(挂机升级突破!$CV$5:$CZ$5,卡牌消耗!AU118),"")</f>
        <v>银母</v>
      </c>
      <c r="BC118" s="14">
        <f>IF(AU118&gt;0,ROUND(INDEX(挂机升级突破!$CV$7:$CY$26,卡牌消耗!AX118,卡牌消耗!AU118)*INDEX($B$6:$F$6,AV118)/$Q$4/5,0)*5,"")</f>
        <v>60</v>
      </c>
      <c r="BD118" s="104"/>
      <c r="BE118" s="104"/>
      <c r="BF118" s="106"/>
      <c r="BW118" s="50">
        <v>106</v>
      </c>
      <c r="BX118" s="50">
        <v>25</v>
      </c>
      <c r="BY118" s="21">
        <f t="shared" si="64"/>
        <v>0.10204081632653061</v>
      </c>
      <c r="BZ118" s="65">
        <f t="shared" si="65"/>
        <v>4985</v>
      </c>
      <c r="CA118" s="50" t="e">
        <f>SUM(BZ$5:BZ118)</f>
        <v>#REF!</v>
      </c>
      <c r="CD118" s="136">
        <v>114</v>
      </c>
      <c r="CE118" s="14">
        <f t="shared" si="53"/>
        <v>23</v>
      </c>
      <c r="CF118" s="14">
        <f t="shared" si="38"/>
        <v>4</v>
      </c>
      <c r="CG118" s="14">
        <f t="shared" si="39"/>
        <v>1101043</v>
      </c>
      <c r="CH118" s="136" t="s">
        <v>1127</v>
      </c>
      <c r="CI118" s="14">
        <f t="shared" si="40"/>
        <v>4</v>
      </c>
      <c r="CJ118" s="14" t="str">
        <f t="shared" si="41"/>
        <v>少年曹玄亮-4星</v>
      </c>
      <c r="CK118" s="136" t="s">
        <v>1133</v>
      </c>
      <c r="CL118" s="14">
        <f t="shared" si="54"/>
        <v>32000</v>
      </c>
      <c r="CM118" s="14" t="str">
        <f t="shared" si="42"/>
        <v>少年曹玄亮碎片</v>
      </c>
      <c r="CN118" s="14">
        <f t="shared" si="55"/>
        <v>240</v>
      </c>
    </row>
    <row r="119" spans="8:92" ht="16.5" x14ac:dyDescent="0.2">
      <c r="H119" s="15"/>
      <c r="I119" s="15"/>
      <c r="J119" s="15"/>
      <c r="K119" s="15"/>
      <c r="L119" s="15"/>
      <c r="M119" s="15"/>
      <c r="N119" s="15"/>
      <c r="O119" s="137"/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41"/>
      <c r="AA119" s="104">
        <v>115</v>
      </c>
      <c r="AB119" s="14">
        <f t="shared" si="43"/>
        <v>3</v>
      </c>
      <c r="AC119" s="14">
        <f>INDEX(挂机升级突破!$BU$6:$BU$57,卡牌消耗!AI119)</f>
        <v>11</v>
      </c>
      <c r="AD119" s="14">
        <f>INDEX(挂机升级突破!BV$6:BV$57,卡牌消耗!$AI119)</f>
        <v>2</v>
      </c>
      <c r="AE119" s="14">
        <f>INDEX(挂机升级突破!BW$6:BW$57,卡牌消耗!$AI119)</f>
        <v>0</v>
      </c>
      <c r="AF119" s="14" t="str">
        <f t="shared" si="44"/>
        <v>典韦</v>
      </c>
      <c r="AG119" s="14">
        <f t="shared" si="45"/>
        <v>4</v>
      </c>
      <c r="AH119" s="14" t="str">
        <f t="shared" si="46"/>
        <v>典韦魂火-11</v>
      </c>
      <c r="AI119" s="14">
        <f t="shared" si="47"/>
        <v>11</v>
      </c>
      <c r="AJ119" s="14" t="str">
        <f>INDEX(挂机升级突破!$BX$4:$CH$4,INDEX(挂机升级突破!$BU$6:$BU$57,卡牌消耗!AI119))</f>
        <v>金币</v>
      </c>
      <c r="AK119" s="14">
        <f>ROUND(INDEX(挂机升级突破!$BN$6:$BN$57,卡牌消耗!AI119)*INDEX(卡牌消耗!$B$8:$F$8,AG119)/$Q$4/50,0)*50</f>
        <v>3700</v>
      </c>
      <c r="AL119" s="14" t="str">
        <f>IF(AD119&gt;0,INDEX(挂机升级突破!$BX$4:$CH$4,AD119),"")</f>
        <v>蓝色基础材料</v>
      </c>
      <c r="AM119" s="14">
        <f>ROUND(INDEX(挂机升级突破!$BX$6:$CH$57,卡牌消耗!AI119,AD119)*INDEX(卡牌消耗!$B$5:$F$5,AG119)/$Q$4/5,0)*5</f>
        <v>1730</v>
      </c>
      <c r="AN119" s="14" t="str">
        <f>IF(AE119&gt;0,INDEX(挂机升级突破!$BX$4:$CH$4,AE119),"")</f>
        <v/>
      </c>
      <c r="AO119" s="14" t="str">
        <f>IF(AE119&gt;0,ROUND(INDEX(挂机升级突破!$BX$6:$CH$57,卡牌消耗!AI119,AE119)*INDEX(卡牌消耗!$B$7:$F$7,AG119)/$Q$4,0),"")</f>
        <v/>
      </c>
      <c r="AP119" s="106"/>
      <c r="AQ119" s="15"/>
      <c r="AR119" s="104">
        <v>115</v>
      </c>
      <c r="AS119" s="14">
        <f t="shared" si="48"/>
        <v>6</v>
      </c>
      <c r="AT119" s="14">
        <f>INDEX(挂机升级突破!$CM$7:$CM$26,AX119)</f>
        <v>5</v>
      </c>
      <c r="AU119" s="14">
        <f>INDEX(挂机升级突破!$CN$7:$CN$26,AX119)</f>
        <v>3</v>
      </c>
      <c r="AV119" s="14">
        <f t="shared" si="49"/>
        <v>5</v>
      </c>
      <c r="AW119" s="14" t="str">
        <f t="shared" si="50"/>
        <v>项羽</v>
      </c>
      <c r="AX119" s="14">
        <f t="shared" si="51"/>
        <v>15</v>
      </c>
      <c r="AY119" s="14" t="str">
        <f t="shared" si="52"/>
        <v>项羽15突</v>
      </c>
      <c r="AZ119" s="14" t="str">
        <f>IF(AT119&gt;0,INDEX(挂机升级突破!$CV$5:$CZ$5,卡牌消耗!AT119),"")</f>
        <v>金币</v>
      </c>
      <c r="BA119" s="14">
        <f>IF(AT119&gt;0,ROUND(INDEX(挂机升级突破!$CZ$7:$CZ$26,卡牌消耗!AX119)*INDEX(卡牌消耗!$B$8:$F$8,AV119)/$Q$4/500,0)*500,"")</f>
        <v>69000</v>
      </c>
      <c r="BB119" s="14" t="str">
        <f>IF(AU119&gt;0,INDEX(挂机升级突破!$CV$5:$CZ$5,卡牌消耗!AU119),"")</f>
        <v>银母</v>
      </c>
      <c r="BC119" s="14">
        <f>IF(AU119&gt;0,ROUND(INDEX(挂机升级突破!$CV$7:$CY$26,卡牌消耗!AX119,卡牌消耗!AU119)*INDEX($B$6:$F$6,AV119)/$Q$4/5,0)*5,"")</f>
        <v>80</v>
      </c>
      <c r="BD119" s="104"/>
      <c r="BE119" s="104"/>
      <c r="BF119" s="106"/>
      <c r="BW119" s="50">
        <v>107</v>
      </c>
      <c r="BX119" s="50">
        <v>26</v>
      </c>
      <c r="BY119" s="21">
        <f t="shared" si="64"/>
        <v>0.10612244897959183</v>
      </c>
      <c r="BZ119" s="65">
        <f t="shared" si="65"/>
        <v>5184</v>
      </c>
      <c r="CA119" s="50" t="e">
        <f>SUM(BZ$5:BZ119)</f>
        <v>#REF!</v>
      </c>
      <c r="CD119" s="136">
        <v>115</v>
      </c>
      <c r="CE119" s="14">
        <f t="shared" si="53"/>
        <v>23</v>
      </c>
      <c r="CF119" s="14">
        <f t="shared" si="38"/>
        <v>4</v>
      </c>
      <c r="CG119" s="14">
        <f t="shared" si="39"/>
        <v>1101043</v>
      </c>
      <c r="CH119" s="136" t="s">
        <v>1127</v>
      </c>
      <c r="CI119" s="14">
        <f t="shared" si="40"/>
        <v>5</v>
      </c>
      <c r="CJ119" s="14" t="str">
        <f t="shared" si="41"/>
        <v>少年曹玄亮-5星</v>
      </c>
      <c r="CK119" s="136" t="s">
        <v>1133</v>
      </c>
      <c r="CL119" s="14">
        <f t="shared" si="54"/>
        <v>60000</v>
      </c>
      <c r="CM119" s="14" t="str">
        <f t="shared" si="42"/>
        <v>少年曹玄亮碎片</v>
      </c>
      <c r="CN119" s="14">
        <f t="shared" si="55"/>
        <v>320</v>
      </c>
    </row>
    <row r="120" spans="8:92" ht="16.5" x14ac:dyDescent="0.2">
      <c r="H120" s="15"/>
      <c r="I120" s="15"/>
      <c r="J120" s="15"/>
      <c r="K120" s="15"/>
      <c r="L120" s="15"/>
      <c r="M120" s="15"/>
      <c r="N120" s="15"/>
      <c r="O120" s="137"/>
      <c r="P120" s="141"/>
      <c r="Q120" s="141"/>
      <c r="R120" s="141"/>
      <c r="S120" s="141"/>
      <c r="T120" s="141"/>
      <c r="U120" s="141"/>
      <c r="V120" s="141"/>
      <c r="W120" s="141"/>
      <c r="X120" s="141"/>
      <c r="Y120" s="141"/>
      <c r="Z120" s="141"/>
      <c r="AA120" s="104">
        <v>116</v>
      </c>
      <c r="AB120" s="14">
        <f t="shared" si="43"/>
        <v>3</v>
      </c>
      <c r="AC120" s="14">
        <f>INDEX(挂机升级突破!$BU$6:$BU$57,卡牌消耗!AI120)</f>
        <v>11</v>
      </c>
      <c r="AD120" s="14">
        <f>INDEX(挂机升级突破!BV$6:BV$57,卡牌消耗!$AI120)</f>
        <v>2</v>
      </c>
      <c r="AE120" s="14">
        <f>INDEX(挂机升级突破!BW$6:BW$57,卡牌消耗!$AI120)</f>
        <v>0</v>
      </c>
      <c r="AF120" s="14" t="str">
        <f t="shared" si="44"/>
        <v>典韦</v>
      </c>
      <c r="AG120" s="14">
        <f t="shared" si="45"/>
        <v>4</v>
      </c>
      <c r="AH120" s="14" t="str">
        <f t="shared" si="46"/>
        <v>典韦魂火-12</v>
      </c>
      <c r="AI120" s="14">
        <f t="shared" si="47"/>
        <v>12</v>
      </c>
      <c r="AJ120" s="14" t="str">
        <f>INDEX(挂机升级突破!$BX$4:$CH$4,INDEX(挂机升级突破!$BU$6:$BU$57,卡牌消耗!AI120))</f>
        <v>金币</v>
      </c>
      <c r="AK120" s="14">
        <f>ROUND(INDEX(挂机升级突破!$BN$6:$BN$57,卡牌消耗!AI120)*INDEX(卡牌消耗!$B$8:$F$8,AG120)/$Q$4/50,0)*50</f>
        <v>3200</v>
      </c>
      <c r="AL120" s="14" t="str">
        <f>IF(AD120&gt;0,INDEX(挂机升级突破!$BX$4:$CH$4,AD120),"")</f>
        <v>蓝色基础材料</v>
      </c>
      <c r="AM120" s="14">
        <f>ROUND(INDEX(挂机升级突破!$BX$6:$CH$57,卡牌消耗!AI120,AD120)*INDEX(卡牌消耗!$B$5:$F$5,AG120)/$Q$4/5,0)*5</f>
        <v>2305</v>
      </c>
      <c r="AN120" s="14" t="str">
        <f>IF(AE120&gt;0,INDEX(挂机升级突破!$BX$4:$CH$4,AE120),"")</f>
        <v/>
      </c>
      <c r="AO120" s="14" t="str">
        <f>IF(AE120&gt;0,ROUND(INDEX(挂机升级突破!$BX$6:$CH$57,卡牌消耗!AI120,AE120)*INDEX(卡牌消耗!$B$7:$F$7,AG120)/$Q$4,0),"")</f>
        <v/>
      </c>
      <c r="AP120" s="106"/>
      <c r="AQ120" s="15"/>
      <c r="AR120" s="104">
        <v>116</v>
      </c>
      <c r="AS120" s="14">
        <f t="shared" si="48"/>
        <v>6</v>
      </c>
      <c r="AT120" s="14">
        <f>INDEX(挂机升级突破!$CM$7:$CM$26,AX120)</f>
        <v>5</v>
      </c>
      <c r="AU120" s="14">
        <f>INDEX(挂机升级突破!$CN$7:$CN$26,AX120)</f>
        <v>3</v>
      </c>
      <c r="AV120" s="14">
        <f t="shared" si="49"/>
        <v>5</v>
      </c>
      <c r="AW120" s="14" t="str">
        <f t="shared" si="50"/>
        <v>项羽</v>
      </c>
      <c r="AX120" s="14">
        <f t="shared" si="51"/>
        <v>16</v>
      </c>
      <c r="AY120" s="14" t="str">
        <f t="shared" si="52"/>
        <v>项羽16突</v>
      </c>
      <c r="AZ120" s="14" t="str">
        <f>IF(AT120&gt;0,INDEX(挂机升级突破!$CV$5:$CZ$5,卡牌消耗!AT120),"")</f>
        <v>金币</v>
      </c>
      <c r="BA120" s="14">
        <f>IF(AT120&gt;0,ROUND(INDEX(挂机升级突破!$CZ$7:$CZ$26,卡牌消耗!AX120)*INDEX(卡牌消耗!$B$8:$F$8,AV120)/$Q$4/500,0)*500,"")</f>
        <v>125500</v>
      </c>
      <c r="BB120" s="14" t="str">
        <f>IF(AU120&gt;0,INDEX(挂机升级突破!$CV$5:$CZ$5,卡牌消耗!AU120),"")</f>
        <v>银母</v>
      </c>
      <c r="BC120" s="14">
        <f>IF(AU120&gt;0,ROUND(INDEX(挂机升级突破!$CV$7:$CY$26,卡牌消耗!AX120,卡牌消耗!AU120)*INDEX($B$6:$F$6,AV120)/$Q$4/5,0)*5,"")</f>
        <v>105</v>
      </c>
      <c r="BD120" s="104"/>
      <c r="BE120" s="104"/>
      <c r="BF120" s="106"/>
      <c r="BW120" s="50">
        <v>108</v>
      </c>
      <c r="BX120" s="50">
        <v>27</v>
      </c>
      <c r="BY120" s="21">
        <f t="shared" si="64"/>
        <v>0.11020408163265306</v>
      </c>
      <c r="BZ120" s="65">
        <f t="shared" si="65"/>
        <v>5384</v>
      </c>
      <c r="CA120" s="50" t="e">
        <f>SUM(BZ$5:BZ120)</f>
        <v>#REF!</v>
      </c>
      <c r="CD120" s="136">
        <v>116</v>
      </c>
      <c r="CE120" s="14">
        <f t="shared" si="53"/>
        <v>24</v>
      </c>
      <c r="CF120" s="14">
        <f t="shared" si="38"/>
        <v>4</v>
      </c>
      <c r="CG120" s="14">
        <f t="shared" si="39"/>
        <v>1102001</v>
      </c>
      <c r="CH120" s="136" t="s">
        <v>1127</v>
      </c>
      <c r="CI120" s="14">
        <f t="shared" si="40"/>
        <v>1</v>
      </c>
      <c r="CJ120" s="14" t="str">
        <f t="shared" si="41"/>
        <v>关羽-1星</v>
      </c>
      <c r="CK120" s="136" t="s">
        <v>1133</v>
      </c>
      <c r="CL120" s="14">
        <f t="shared" si="54"/>
        <v>6000</v>
      </c>
      <c r="CM120" s="14" t="str">
        <f t="shared" si="42"/>
        <v>关羽碎片</v>
      </c>
      <c r="CN120" s="14">
        <f t="shared" si="55"/>
        <v>80</v>
      </c>
    </row>
    <row r="121" spans="8:92" ht="16.5" x14ac:dyDescent="0.2">
      <c r="H121" s="15"/>
      <c r="I121" s="15"/>
      <c r="J121" s="15"/>
      <c r="K121" s="15"/>
      <c r="L121" s="15"/>
      <c r="M121" s="15"/>
      <c r="N121" s="15"/>
      <c r="O121" s="137"/>
      <c r="P121" s="141"/>
      <c r="Q121" s="141"/>
      <c r="R121" s="141"/>
      <c r="S121" s="141"/>
      <c r="T121" s="141"/>
      <c r="U121" s="141"/>
      <c r="V121" s="141"/>
      <c r="W121" s="141"/>
      <c r="X121" s="141"/>
      <c r="Y121" s="141"/>
      <c r="Z121" s="141"/>
      <c r="AA121" s="104">
        <v>117</v>
      </c>
      <c r="AB121" s="14">
        <f t="shared" si="43"/>
        <v>3</v>
      </c>
      <c r="AC121" s="14">
        <f>INDEX(挂机升级突破!$BU$6:$BU$57,卡牌消耗!AI121)</f>
        <v>11</v>
      </c>
      <c r="AD121" s="14">
        <f>INDEX(挂机升级突破!BV$6:BV$57,卡牌消耗!$AI121)</f>
        <v>2</v>
      </c>
      <c r="AE121" s="14">
        <f>INDEX(挂机升级突破!BW$6:BW$57,卡牌消耗!$AI121)</f>
        <v>0</v>
      </c>
      <c r="AF121" s="14" t="str">
        <f t="shared" si="44"/>
        <v>典韦</v>
      </c>
      <c r="AG121" s="14">
        <f t="shared" si="45"/>
        <v>4</v>
      </c>
      <c r="AH121" s="14" t="str">
        <f t="shared" si="46"/>
        <v>典韦魂火-13</v>
      </c>
      <c r="AI121" s="14">
        <f t="shared" si="47"/>
        <v>13</v>
      </c>
      <c r="AJ121" s="14" t="str">
        <f>INDEX(挂机升级突破!$BX$4:$CH$4,INDEX(挂机升级突破!$BU$6:$BU$57,卡牌消耗!AI121))</f>
        <v>金币</v>
      </c>
      <c r="AK121" s="14">
        <f>ROUND(INDEX(挂机升级突破!$BN$6:$BN$57,卡牌消耗!AI121)*INDEX(卡牌消耗!$B$8:$F$8,AG121)/$Q$4/50,0)*50</f>
        <v>3200</v>
      </c>
      <c r="AL121" s="14" t="str">
        <f>IF(AD121&gt;0,INDEX(挂机升级突破!$BX$4:$CH$4,AD121),"")</f>
        <v>蓝色基础材料</v>
      </c>
      <c r="AM121" s="14">
        <f>ROUND(INDEX(挂机升级突破!$BX$6:$CH$57,卡牌消耗!AI121,AD121)*INDEX(卡牌消耗!$B$5:$F$5,AG121)/$Q$4/5,0)*5</f>
        <v>2305</v>
      </c>
      <c r="AN121" s="14" t="str">
        <f>IF(AE121&gt;0,INDEX(挂机升级突破!$BX$4:$CH$4,AE121),"")</f>
        <v/>
      </c>
      <c r="AO121" s="14" t="str">
        <f>IF(AE121&gt;0,ROUND(INDEX(挂机升级突破!$BX$6:$CH$57,卡牌消耗!AI121,AE121)*INDEX(卡牌消耗!$B$7:$F$7,AG121)/$Q$4,0),"")</f>
        <v/>
      </c>
      <c r="AP121" s="106"/>
      <c r="AQ121" s="15"/>
      <c r="AR121" s="104">
        <v>117</v>
      </c>
      <c r="AS121" s="14">
        <f t="shared" si="48"/>
        <v>6</v>
      </c>
      <c r="AT121" s="14">
        <f>INDEX(挂机升级突破!$CM$7:$CM$26,AX121)</f>
        <v>5</v>
      </c>
      <c r="AU121" s="14">
        <f>INDEX(挂机升级突破!$CN$7:$CN$26,AX121)</f>
        <v>4</v>
      </c>
      <c r="AV121" s="14">
        <f t="shared" si="49"/>
        <v>5</v>
      </c>
      <c r="AW121" s="14" t="str">
        <f t="shared" si="50"/>
        <v>项羽</v>
      </c>
      <c r="AX121" s="14">
        <f t="shared" si="51"/>
        <v>17</v>
      </c>
      <c r="AY121" s="14" t="str">
        <f t="shared" si="52"/>
        <v>项羽17突</v>
      </c>
      <c r="AZ121" s="14" t="str">
        <f>IF(AT121&gt;0,INDEX(挂机升级突破!$CV$5:$CZ$5,卡牌消耗!AT121),"")</f>
        <v>金币</v>
      </c>
      <c r="BA121" s="14">
        <f>IF(AT121&gt;0,ROUND(INDEX(挂机升级突破!$CZ$7:$CZ$26,卡牌消耗!AX121)*INDEX(卡牌消耗!$B$8:$F$8,AV121)/$Q$4/500,0)*500,"")</f>
        <v>125500</v>
      </c>
      <c r="BB121" s="14" t="str">
        <f>IF(AU121&gt;0,INDEX(挂机升级突破!$CV$5:$CZ$5,卡牌消耗!AU121),"")</f>
        <v>铀金</v>
      </c>
      <c r="BC121" s="14">
        <f>IF(AU121&gt;0,ROUND(INDEX(挂机升级突破!$CV$7:$CY$26,卡牌消耗!AX121,卡牌消耗!AU121)*INDEX($B$6:$F$6,AV121)/$Q$4/5,0)*5,"")</f>
        <v>35</v>
      </c>
      <c r="BD121" s="104"/>
      <c r="BE121" s="104"/>
      <c r="BF121" s="106"/>
      <c r="BW121" s="50">
        <v>109</v>
      </c>
      <c r="BX121" s="50">
        <v>28</v>
      </c>
      <c r="BY121" s="21">
        <f t="shared" si="64"/>
        <v>0.11428571428571428</v>
      </c>
      <c r="BZ121" s="65">
        <f t="shared" si="65"/>
        <v>5583</v>
      </c>
      <c r="CA121" s="50" t="e">
        <f>SUM(BZ$5:BZ121)</f>
        <v>#REF!</v>
      </c>
      <c r="CD121" s="136">
        <v>117</v>
      </c>
      <c r="CE121" s="14">
        <f t="shared" si="53"/>
        <v>24</v>
      </c>
      <c r="CF121" s="14">
        <f t="shared" si="38"/>
        <v>4</v>
      </c>
      <c r="CG121" s="14">
        <f t="shared" si="39"/>
        <v>1102001</v>
      </c>
      <c r="CH121" s="136" t="s">
        <v>1127</v>
      </c>
      <c r="CI121" s="14">
        <f t="shared" si="40"/>
        <v>2</v>
      </c>
      <c r="CJ121" s="14" t="str">
        <f t="shared" si="41"/>
        <v>关羽-2星</v>
      </c>
      <c r="CK121" s="136" t="s">
        <v>1133</v>
      </c>
      <c r="CL121" s="14">
        <f t="shared" si="54"/>
        <v>8000</v>
      </c>
      <c r="CM121" s="14" t="str">
        <f t="shared" si="42"/>
        <v>关羽碎片</v>
      </c>
      <c r="CN121" s="14">
        <f t="shared" si="55"/>
        <v>80</v>
      </c>
    </row>
    <row r="122" spans="8:92" ht="16.5" x14ac:dyDescent="0.2">
      <c r="H122" s="15"/>
      <c r="I122" s="15"/>
      <c r="J122" s="15"/>
      <c r="K122" s="15"/>
      <c r="L122" s="15"/>
      <c r="M122" s="15"/>
      <c r="N122" s="15"/>
      <c r="O122" s="137"/>
      <c r="P122" s="141"/>
      <c r="Q122" s="141"/>
      <c r="R122" s="141"/>
      <c r="S122" s="141"/>
      <c r="T122" s="141"/>
      <c r="U122" s="141"/>
      <c r="V122" s="141"/>
      <c r="W122" s="141"/>
      <c r="X122" s="141"/>
      <c r="Y122" s="141"/>
      <c r="Z122" s="141"/>
      <c r="AA122" s="104">
        <v>118</v>
      </c>
      <c r="AB122" s="14">
        <f t="shared" si="43"/>
        <v>3</v>
      </c>
      <c r="AC122" s="14">
        <f>INDEX(挂机升级突破!$BU$6:$BU$57,卡牌消耗!AI122)</f>
        <v>11</v>
      </c>
      <c r="AD122" s="14">
        <f>INDEX(挂机升级突破!BV$6:BV$57,卡牌消耗!$AI122)</f>
        <v>3</v>
      </c>
      <c r="AE122" s="14">
        <f>INDEX(挂机升级突破!BW$6:BW$57,卡牌消耗!$AI122)</f>
        <v>0</v>
      </c>
      <c r="AF122" s="14" t="str">
        <f t="shared" si="44"/>
        <v>典韦</v>
      </c>
      <c r="AG122" s="14">
        <f t="shared" si="45"/>
        <v>4</v>
      </c>
      <c r="AH122" s="14" t="str">
        <f t="shared" si="46"/>
        <v>典韦魂火-14</v>
      </c>
      <c r="AI122" s="14">
        <f t="shared" si="47"/>
        <v>14</v>
      </c>
      <c r="AJ122" s="14" t="str">
        <f>INDEX(挂机升级突破!$BX$4:$CH$4,INDEX(挂机升级突破!$BU$6:$BU$57,卡牌消耗!AI122))</f>
        <v>金币</v>
      </c>
      <c r="AK122" s="14">
        <f>ROUND(INDEX(挂机升级突破!$BN$6:$BN$57,卡牌消耗!AI122)*INDEX(卡牌消耗!$B$8:$F$8,AG122)/$Q$4/50,0)*50</f>
        <v>3500</v>
      </c>
      <c r="AL122" s="14" t="str">
        <f>IF(AD122&gt;0,INDEX(挂机升级突破!$BX$4:$CH$4,AD122),"")</f>
        <v>紫色基础材料</v>
      </c>
      <c r="AM122" s="14">
        <f>ROUND(INDEX(挂机升级突破!$BX$6:$CH$57,卡牌消耗!AI122,AD122)*INDEX(卡牌消耗!$B$5:$F$5,AG122)/$Q$4/5,0)*5</f>
        <v>200</v>
      </c>
      <c r="AN122" s="14" t="str">
        <f>IF(AE122&gt;0,INDEX(挂机升级突破!$BX$4:$CH$4,AE122),"")</f>
        <v/>
      </c>
      <c r="AO122" s="14" t="str">
        <f>IF(AE122&gt;0,ROUND(INDEX(挂机升级突破!$BX$6:$CH$57,卡牌消耗!AI122,AE122)*INDEX(卡牌消耗!$B$7:$F$7,AG122)/$Q$4,0),"")</f>
        <v/>
      </c>
      <c r="AP122" s="106"/>
      <c r="AQ122" s="15"/>
      <c r="AR122" s="104">
        <v>118</v>
      </c>
      <c r="AS122" s="14">
        <f t="shared" si="48"/>
        <v>6</v>
      </c>
      <c r="AT122" s="14">
        <f>INDEX(挂机升级突破!$CM$7:$CM$26,AX122)</f>
        <v>5</v>
      </c>
      <c r="AU122" s="14">
        <f>INDEX(挂机升级突破!$CN$7:$CN$26,AX122)</f>
        <v>4</v>
      </c>
      <c r="AV122" s="14">
        <f t="shared" si="49"/>
        <v>5</v>
      </c>
      <c r="AW122" s="14" t="str">
        <f t="shared" si="50"/>
        <v>项羽</v>
      </c>
      <c r="AX122" s="14">
        <f t="shared" si="51"/>
        <v>18</v>
      </c>
      <c r="AY122" s="14" t="str">
        <f t="shared" si="52"/>
        <v>项羽18突</v>
      </c>
      <c r="AZ122" s="14" t="str">
        <f>IF(AT122&gt;0,INDEX(挂机升级突破!$CV$5:$CZ$5,卡牌消耗!AT122),"")</f>
        <v>金币</v>
      </c>
      <c r="BA122" s="14">
        <f>IF(AT122&gt;0,ROUND(INDEX(挂机升级突破!$CZ$7:$CZ$26,卡牌消耗!AX122)*INDEX(卡牌消耗!$B$8:$F$8,AV122)/$Q$4/500,0)*500,"")</f>
        <v>167000</v>
      </c>
      <c r="BB122" s="14" t="str">
        <f>IF(AU122&gt;0,INDEX(挂机升级突破!$CV$5:$CZ$5,卡牌消耗!AU122),"")</f>
        <v>铀金</v>
      </c>
      <c r="BC122" s="14">
        <f>IF(AU122&gt;0,ROUND(INDEX(挂机升级突破!$CV$7:$CY$26,卡牌消耗!AX122,卡牌消耗!AU122)*INDEX($B$6:$F$6,AV122)/$Q$4/5,0)*5,"")</f>
        <v>50</v>
      </c>
      <c r="BD122" s="104"/>
      <c r="BE122" s="104"/>
      <c r="BF122" s="106"/>
      <c r="BW122" s="50">
        <v>110</v>
      </c>
      <c r="BX122" s="50">
        <v>29</v>
      </c>
      <c r="BY122" s="21">
        <f t="shared" si="64"/>
        <v>0.11836734693877551</v>
      </c>
      <c r="BZ122" s="65">
        <f t="shared" si="65"/>
        <v>5783</v>
      </c>
      <c r="CA122" s="50" t="e">
        <f>SUM(BZ$5:BZ122)</f>
        <v>#REF!</v>
      </c>
      <c r="CD122" s="136">
        <v>118</v>
      </c>
      <c r="CE122" s="14">
        <f t="shared" si="53"/>
        <v>24</v>
      </c>
      <c r="CF122" s="14">
        <f t="shared" si="38"/>
        <v>4</v>
      </c>
      <c r="CG122" s="14">
        <f t="shared" si="39"/>
        <v>1102001</v>
      </c>
      <c r="CH122" s="136" t="s">
        <v>1127</v>
      </c>
      <c r="CI122" s="14">
        <f t="shared" si="40"/>
        <v>3</v>
      </c>
      <c r="CJ122" s="14" t="str">
        <f t="shared" si="41"/>
        <v>关羽-3星</v>
      </c>
      <c r="CK122" s="136" t="s">
        <v>1133</v>
      </c>
      <c r="CL122" s="14">
        <f t="shared" si="54"/>
        <v>14000</v>
      </c>
      <c r="CM122" s="14" t="str">
        <f t="shared" si="42"/>
        <v>关羽碎片</v>
      </c>
      <c r="CN122" s="14">
        <f t="shared" si="55"/>
        <v>160</v>
      </c>
    </row>
    <row r="123" spans="8:92" ht="16.5" x14ac:dyDescent="0.2">
      <c r="H123" s="15"/>
      <c r="I123" s="15"/>
      <c r="J123" s="15"/>
      <c r="K123" s="15"/>
      <c r="L123" s="15"/>
      <c r="M123" s="15"/>
      <c r="N123" s="15"/>
      <c r="O123" s="137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41"/>
      <c r="AA123" s="104">
        <v>119</v>
      </c>
      <c r="AB123" s="14">
        <f t="shared" si="43"/>
        <v>3</v>
      </c>
      <c r="AC123" s="14">
        <f>INDEX(挂机升级突破!$BU$6:$BU$57,卡牌消耗!AI123)</f>
        <v>11</v>
      </c>
      <c r="AD123" s="14">
        <f>INDEX(挂机升级突破!BV$6:BV$57,卡牌消耗!$AI123)</f>
        <v>3</v>
      </c>
      <c r="AE123" s="14">
        <f>INDEX(挂机升级突破!BW$6:BW$57,卡牌消耗!$AI123)</f>
        <v>0</v>
      </c>
      <c r="AF123" s="14" t="str">
        <f t="shared" si="44"/>
        <v>典韦</v>
      </c>
      <c r="AG123" s="14">
        <f t="shared" si="45"/>
        <v>4</v>
      </c>
      <c r="AH123" s="14" t="str">
        <f t="shared" si="46"/>
        <v>典韦魂火-15</v>
      </c>
      <c r="AI123" s="14">
        <f t="shared" si="47"/>
        <v>15</v>
      </c>
      <c r="AJ123" s="14" t="str">
        <f>INDEX(挂机升级突破!$BX$4:$CH$4,INDEX(挂机升级突破!$BU$6:$BU$57,卡牌消耗!AI123))</f>
        <v>金币</v>
      </c>
      <c r="AK123" s="14">
        <f>ROUND(INDEX(挂机升级突破!$BN$6:$BN$57,卡牌消耗!AI123)*INDEX(卡牌消耗!$B$8:$F$8,AG123)/$Q$4/50,0)*50</f>
        <v>3800</v>
      </c>
      <c r="AL123" s="14" t="str">
        <f>IF(AD123&gt;0,INDEX(挂机升级突破!$BX$4:$CH$4,AD123),"")</f>
        <v>紫色基础材料</v>
      </c>
      <c r="AM123" s="14">
        <f>ROUND(INDEX(挂机升级突破!$BX$6:$CH$57,卡牌消耗!AI123,AD123)*INDEX(卡牌消耗!$B$5:$F$5,AG123)/$Q$4/5,0)*5</f>
        <v>200</v>
      </c>
      <c r="AN123" s="14" t="str">
        <f>IF(AE123&gt;0,INDEX(挂机升级突破!$BX$4:$CH$4,AE123),"")</f>
        <v/>
      </c>
      <c r="AO123" s="14" t="str">
        <f>IF(AE123&gt;0,ROUND(INDEX(挂机升级突破!$BX$6:$CH$57,卡牌消耗!AI123,AE123)*INDEX(卡牌消耗!$B$7:$F$7,AG123)/$Q$4,0),"")</f>
        <v/>
      </c>
      <c r="AP123" s="106"/>
      <c r="AQ123" s="15"/>
      <c r="AR123" s="104">
        <v>119</v>
      </c>
      <c r="AS123" s="14">
        <f t="shared" si="48"/>
        <v>6</v>
      </c>
      <c r="AT123" s="14">
        <f>INDEX(挂机升级突破!$CM$7:$CM$26,AX123)</f>
        <v>5</v>
      </c>
      <c r="AU123" s="14">
        <f>INDEX(挂机升级突破!$CN$7:$CN$26,AX123)</f>
        <v>4</v>
      </c>
      <c r="AV123" s="14">
        <f t="shared" si="49"/>
        <v>5</v>
      </c>
      <c r="AW123" s="14" t="str">
        <f t="shared" si="50"/>
        <v>项羽</v>
      </c>
      <c r="AX123" s="14">
        <f t="shared" si="51"/>
        <v>19</v>
      </c>
      <c r="AY123" s="14" t="str">
        <f t="shared" si="52"/>
        <v>项羽19突</v>
      </c>
      <c r="AZ123" s="14" t="str">
        <f>IF(AT123&gt;0,INDEX(挂机升级突破!$CV$5:$CZ$5,卡牌消耗!AT123),"")</f>
        <v>金币</v>
      </c>
      <c r="BA123" s="14">
        <f>IF(AT123&gt;0,ROUND(INDEX(挂机升级突破!$CZ$7:$CZ$26,卡牌消耗!AX123)*INDEX(卡牌消耗!$B$8:$F$8,AV123)/$Q$4/500,0)*500,"")</f>
        <v>1013000</v>
      </c>
      <c r="BB123" s="14" t="str">
        <f>IF(AU123&gt;0,INDEX(挂机升级突破!$CV$5:$CZ$5,卡牌消耗!AU123),"")</f>
        <v>铀金</v>
      </c>
      <c r="BC123" s="14">
        <f>IF(AU123&gt;0,ROUND(INDEX(挂机升级突破!$CV$7:$CY$26,卡牌消耗!AX123,卡牌消耗!AU123)*INDEX($B$6:$F$6,AV123)/$Q$4/5,0)*5,"")</f>
        <v>70</v>
      </c>
      <c r="BD123" s="104"/>
      <c r="BE123" s="104"/>
      <c r="BF123" s="106"/>
      <c r="BU123" s="50" t="s">
        <v>310</v>
      </c>
      <c r="BV123" s="50">
        <v>12</v>
      </c>
      <c r="BW123" s="50">
        <v>111</v>
      </c>
      <c r="BX123" s="50">
        <v>10</v>
      </c>
      <c r="BY123" s="21">
        <f t="shared" ref="BY123:BY132" si="66">BX123/BV$126</f>
        <v>6.8965517241379309E-2</v>
      </c>
      <c r="BZ123" s="50">
        <f>INT(BV$124*BY123)</f>
        <v>3530</v>
      </c>
      <c r="CA123" s="50" t="e">
        <f>SUM(BZ$5:BZ123)</f>
        <v>#REF!</v>
      </c>
      <c r="CD123" s="136">
        <v>119</v>
      </c>
      <c r="CE123" s="14">
        <f t="shared" si="53"/>
        <v>24</v>
      </c>
      <c r="CF123" s="14">
        <f t="shared" si="38"/>
        <v>4</v>
      </c>
      <c r="CG123" s="14">
        <f t="shared" si="39"/>
        <v>1102001</v>
      </c>
      <c r="CH123" s="136" t="s">
        <v>1127</v>
      </c>
      <c r="CI123" s="14">
        <f t="shared" si="40"/>
        <v>4</v>
      </c>
      <c r="CJ123" s="14" t="str">
        <f t="shared" si="41"/>
        <v>关羽-4星</v>
      </c>
      <c r="CK123" s="136" t="s">
        <v>1133</v>
      </c>
      <c r="CL123" s="14">
        <f t="shared" si="54"/>
        <v>32000</v>
      </c>
      <c r="CM123" s="14" t="str">
        <f t="shared" si="42"/>
        <v>关羽碎片</v>
      </c>
      <c r="CN123" s="14">
        <f t="shared" si="55"/>
        <v>240</v>
      </c>
    </row>
    <row r="124" spans="8:92" ht="16.5" x14ac:dyDescent="0.2">
      <c r="H124" s="15"/>
      <c r="I124" s="15"/>
      <c r="J124" s="15"/>
      <c r="K124" s="15"/>
      <c r="L124" s="15"/>
      <c r="M124" s="15"/>
      <c r="N124" s="15"/>
      <c r="O124" s="137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41"/>
      <c r="AA124" s="104">
        <v>120</v>
      </c>
      <c r="AB124" s="14">
        <f t="shared" si="43"/>
        <v>3</v>
      </c>
      <c r="AC124" s="14">
        <f>INDEX(挂机升级突破!$BU$6:$BU$57,卡牌消耗!AI124)</f>
        <v>11</v>
      </c>
      <c r="AD124" s="14">
        <f>INDEX(挂机升级突破!BV$6:BV$57,卡牌消耗!$AI124)</f>
        <v>3</v>
      </c>
      <c r="AE124" s="14">
        <f>INDEX(挂机升级突破!BW$6:BW$57,卡牌消耗!$AI124)</f>
        <v>0</v>
      </c>
      <c r="AF124" s="14" t="str">
        <f t="shared" si="44"/>
        <v>典韦</v>
      </c>
      <c r="AG124" s="14">
        <f t="shared" si="45"/>
        <v>4</v>
      </c>
      <c r="AH124" s="14" t="str">
        <f t="shared" si="46"/>
        <v>典韦魂火-16</v>
      </c>
      <c r="AI124" s="14">
        <f t="shared" si="47"/>
        <v>16</v>
      </c>
      <c r="AJ124" s="14" t="str">
        <f>INDEX(挂机升级突破!$BX$4:$CH$4,INDEX(挂机升级突破!$BU$6:$BU$57,卡牌消耗!AI124))</f>
        <v>金币</v>
      </c>
      <c r="AK124" s="14">
        <f>ROUND(INDEX(挂机升级突破!$BN$6:$BN$57,卡牌消耗!AI124)*INDEX(卡牌消耗!$B$8:$F$8,AG124)/$Q$4/50,0)*50</f>
        <v>3800</v>
      </c>
      <c r="AL124" s="14" t="str">
        <f>IF(AD124&gt;0,INDEX(挂机升级突破!$BX$4:$CH$4,AD124),"")</f>
        <v>紫色基础材料</v>
      </c>
      <c r="AM124" s="14">
        <f>ROUND(INDEX(挂机升级突破!$BX$6:$CH$57,卡牌消耗!AI124,AD124)*INDEX(卡牌消耗!$B$5:$F$5,AG124)/$Q$4/5,0)*5</f>
        <v>200</v>
      </c>
      <c r="AN124" s="14" t="str">
        <f>IF(AE124&gt;0,INDEX(挂机升级突破!$BX$4:$CH$4,AE124),"")</f>
        <v/>
      </c>
      <c r="AO124" s="14" t="str">
        <f>IF(AE124&gt;0,ROUND(INDEX(挂机升级突破!$BX$6:$CH$57,卡牌消耗!AI124,AE124)*INDEX(卡牌消耗!$B$7:$F$7,AG124)/$Q$4,0),"")</f>
        <v/>
      </c>
      <c r="AP124" s="106"/>
      <c r="AQ124" s="15"/>
      <c r="AR124" s="104">
        <v>120</v>
      </c>
      <c r="AS124" s="14">
        <f t="shared" si="48"/>
        <v>6</v>
      </c>
      <c r="AT124" s="14">
        <f>INDEX(挂机升级突破!$CM$7:$CM$26,AX124)</f>
        <v>5</v>
      </c>
      <c r="AU124" s="14">
        <f>INDEX(挂机升级突破!$CN$7:$CN$26,AX124)</f>
        <v>4</v>
      </c>
      <c r="AV124" s="14">
        <f t="shared" si="49"/>
        <v>5</v>
      </c>
      <c r="AW124" s="14" t="str">
        <f t="shared" si="50"/>
        <v>项羽</v>
      </c>
      <c r="AX124" s="14">
        <f t="shared" si="51"/>
        <v>20</v>
      </c>
      <c r="AY124" s="14" t="str">
        <f t="shared" si="52"/>
        <v>项羽20突</v>
      </c>
      <c r="AZ124" s="14" t="str">
        <f>IF(AT124&gt;0,INDEX(挂机升级突破!$CV$5:$CZ$5,卡牌消耗!AT124),"")</f>
        <v>金币</v>
      </c>
      <c r="BA124" s="14">
        <f>IF(AT124&gt;0,ROUND(INDEX(挂机升级突破!$CZ$7:$CZ$26,卡牌消耗!AX124)*INDEX(卡牌消耗!$B$8:$F$8,AV124)/$Q$4/500,0)*500,"")</f>
        <v>1519500</v>
      </c>
      <c r="BB124" s="14" t="str">
        <f>IF(AU124&gt;0,INDEX(挂机升级突破!$CV$5:$CZ$5,卡牌消耗!AU124),"")</f>
        <v>铀金</v>
      </c>
      <c r="BC124" s="14">
        <f>IF(AU124&gt;0,ROUND(INDEX(挂机升级突破!$CV$7:$CY$26,卡牌消耗!AX124,卡牌消耗!AU124)*INDEX($B$6:$F$6,AV124)/$Q$4/5,0)*5,"")</f>
        <v>85</v>
      </c>
      <c r="BD124" s="104"/>
      <c r="BE124" s="104"/>
      <c r="BF124" s="106"/>
      <c r="BU124" s="14" t="str">
        <f>INDEX($BH$5:$BH$19,BV123)</f>
        <v>60~65</v>
      </c>
      <c r="BV124" s="14">
        <f>INDEX($BQ$5:$BQ$19,BV123)</f>
        <v>51187</v>
      </c>
      <c r="BW124" s="50">
        <v>112</v>
      </c>
      <c r="BX124" s="50">
        <v>11</v>
      </c>
      <c r="BY124" s="21">
        <f t="shared" si="66"/>
        <v>7.586206896551724E-2</v>
      </c>
      <c r="BZ124" s="65">
        <f t="shared" ref="BZ124:BZ132" si="67">INT(BV$124*BY124)</f>
        <v>3883</v>
      </c>
      <c r="CA124" s="50" t="e">
        <f>SUM(BZ$5:BZ124)</f>
        <v>#REF!</v>
      </c>
      <c r="CD124" s="136">
        <v>120</v>
      </c>
      <c r="CE124" s="14">
        <f t="shared" si="53"/>
        <v>24</v>
      </c>
      <c r="CF124" s="14">
        <f t="shared" si="38"/>
        <v>4</v>
      </c>
      <c r="CG124" s="14">
        <f t="shared" si="39"/>
        <v>1102001</v>
      </c>
      <c r="CH124" s="136" t="s">
        <v>1127</v>
      </c>
      <c r="CI124" s="14">
        <f t="shared" si="40"/>
        <v>5</v>
      </c>
      <c r="CJ124" s="14" t="str">
        <f t="shared" si="41"/>
        <v>关羽-5星</v>
      </c>
      <c r="CK124" s="136" t="s">
        <v>1133</v>
      </c>
      <c r="CL124" s="14">
        <f t="shared" si="54"/>
        <v>60000</v>
      </c>
      <c r="CM124" s="14" t="str">
        <f t="shared" si="42"/>
        <v>关羽碎片</v>
      </c>
      <c r="CN124" s="14">
        <f t="shared" si="55"/>
        <v>320</v>
      </c>
    </row>
    <row r="125" spans="8:92" ht="16.5" x14ac:dyDescent="0.2">
      <c r="H125" s="15"/>
      <c r="I125" s="15"/>
      <c r="J125" s="15"/>
      <c r="K125" s="15"/>
      <c r="L125" s="15"/>
      <c r="M125" s="15"/>
      <c r="N125" s="15"/>
      <c r="O125" s="137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141"/>
      <c r="AA125" s="104">
        <v>121</v>
      </c>
      <c r="AB125" s="14">
        <f t="shared" si="43"/>
        <v>3</v>
      </c>
      <c r="AC125" s="14">
        <f>INDEX(挂机升级突破!$BU$6:$BU$57,卡牌消耗!AI125)</f>
        <v>11</v>
      </c>
      <c r="AD125" s="14">
        <f>INDEX(挂机升级突破!BV$6:BV$57,卡牌消耗!$AI125)</f>
        <v>3</v>
      </c>
      <c r="AE125" s="14">
        <f>INDEX(挂机升级突破!BW$6:BW$57,卡牌消耗!$AI125)</f>
        <v>0</v>
      </c>
      <c r="AF125" s="14" t="str">
        <f t="shared" si="44"/>
        <v>典韦</v>
      </c>
      <c r="AG125" s="14">
        <f t="shared" si="45"/>
        <v>4</v>
      </c>
      <c r="AH125" s="14" t="str">
        <f t="shared" si="46"/>
        <v>典韦魂火-17</v>
      </c>
      <c r="AI125" s="14">
        <f t="shared" si="47"/>
        <v>17</v>
      </c>
      <c r="AJ125" s="14" t="str">
        <f>INDEX(挂机升级突破!$BX$4:$CH$4,INDEX(挂机升级突破!$BU$6:$BU$57,卡牌消耗!AI125))</f>
        <v>金币</v>
      </c>
      <c r="AK125" s="14">
        <f>ROUND(INDEX(挂机升级突破!$BN$6:$BN$57,卡牌消耗!AI125)*INDEX(卡牌消耗!$B$8:$F$8,AG125)/$Q$4/50,0)*50</f>
        <v>4750</v>
      </c>
      <c r="AL125" s="14" t="str">
        <f>IF(AD125&gt;0,INDEX(挂机升级突破!$BX$4:$CH$4,AD125),"")</f>
        <v>紫色基础材料</v>
      </c>
      <c r="AM125" s="14">
        <f>ROUND(INDEX(挂机升级突破!$BX$6:$CH$57,卡牌消耗!AI125,AD125)*INDEX(卡牌消耗!$B$5:$F$5,AG125)/$Q$4/5,0)*5</f>
        <v>405</v>
      </c>
      <c r="AN125" s="14" t="str">
        <f>IF(AE125&gt;0,INDEX(挂机升级突破!$BX$4:$CH$4,AE125),"")</f>
        <v/>
      </c>
      <c r="AO125" s="14" t="str">
        <f>IF(AE125&gt;0,ROUND(INDEX(挂机升级突破!$BX$6:$CH$57,卡牌消耗!AI125,AE125)*INDEX(卡牌消耗!$B$7:$F$7,AG125)/$Q$4,0),"")</f>
        <v/>
      </c>
      <c r="AP125" s="106"/>
      <c r="AQ125" s="15"/>
      <c r="AR125" s="104">
        <v>121</v>
      </c>
      <c r="AS125" s="14">
        <f t="shared" si="48"/>
        <v>7</v>
      </c>
      <c r="AT125" s="14">
        <f>INDEX(挂机升级突破!$CM$7:$CM$26,AX125)</f>
        <v>0</v>
      </c>
      <c r="AU125" s="14">
        <f>INDEX(挂机升级突破!$CN$7:$CN$26,AX125)</f>
        <v>0</v>
      </c>
      <c r="AV125" s="14">
        <f t="shared" si="49"/>
        <v>4</v>
      </c>
      <c r="AW125" s="14" t="str">
        <f t="shared" si="50"/>
        <v>天使缇娜</v>
      </c>
      <c r="AX125" s="14">
        <f t="shared" si="51"/>
        <v>1</v>
      </c>
      <c r="AY125" s="14" t="str">
        <f t="shared" si="52"/>
        <v>天使缇娜1突</v>
      </c>
      <c r="AZ125" s="14" t="str">
        <f>IF(AT125&gt;0,INDEX(挂机升级突破!$CV$5:$CZ$5,卡牌消耗!AT125),"")</f>
        <v/>
      </c>
      <c r="BA125" s="14" t="str">
        <f>IF(AT125&gt;0,ROUND(INDEX(挂机升级突破!$CZ$7:$CZ$26,卡牌消耗!AX125)*INDEX(卡牌消耗!$B$8:$F$8,AV125)/$Q$4/500,0)*500,"")</f>
        <v/>
      </c>
      <c r="BB125" s="14" t="str">
        <f>IF(AU125&gt;0,INDEX(挂机升级突破!$CV$5:$CZ$5,卡牌消耗!AU125),"")</f>
        <v/>
      </c>
      <c r="BC125" s="14" t="str">
        <f>IF(AU125&gt;0,ROUND(INDEX(挂机升级突破!$CV$7:$CY$26,卡牌消耗!AX125,卡牌消耗!AU125)*INDEX($B$6:$F$6,AV125)/$Q$4/5,0)*5,"")</f>
        <v/>
      </c>
      <c r="BD125" s="104"/>
      <c r="BE125" s="104"/>
      <c r="BF125" s="106"/>
      <c r="BU125" s="50" t="s">
        <v>309</v>
      </c>
      <c r="BV125" s="14">
        <f>INDEX($BR$5:$BR$19,BV123)</f>
        <v>8</v>
      </c>
      <c r="BW125" s="50">
        <v>113</v>
      </c>
      <c r="BX125" s="50">
        <v>12</v>
      </c>
      <c r="BY125" s="21">
        <f t="shared" si="66"/>
        <v>8.2758620689655171E-2</v>
      </c>
      <c r="BZ125" s="65">
        <f t="shared" si="67"/>
        <v>4236</v>
      </c>
      <c r="CA125" s="50" t="e">
        <f>SUM(BZ$5:BZ125)</f>
        <v>#REF!</v>
      </c>
      <c r="CD125" s="136">
        <v>121</v>
      </c>
      <c r="CE125" s="14">
        <f t="shared" si="53"/>
        <v>25</v>
      </c>
      <c r="CF125" s="14">
        <f t="shared" si="38"/>
        <v>3</v>
      </c>
      <c r="CG125" s="14">
        <f t="shared" si="39"/>
        <v>1102002</v>
      </c>
      <c r="CH125" s="136" t="s">
        <v>1127</v>
      </c>
      <c r="CI125" s="14">
        <f t="shared" si="40"/>
        <v>1</v>
      </c>
      <c r="CJ125" s="14" t="str">
        <f t="shared" si="41"/>
        <v>许褚-1星</v>
      </c>
      <c r="CK125" s="136" t="s">
        <v>1133</v>
      </c>
      <c r="CL125" s="14">
        <f t="shared" si="54"/>
        <v>4000</v>
      </c>
      <c r="CM125" s="14" t="str">
        <f t="shared" si="42"/>
        <v>许褚碎片</v>
      </c>
      <c r="CN125" s="14">
        <f t="shared" si="55"/>
        <v>40</v>
      </c>
    </row>
    <row r="126" spans="8:92" ht="16.5" x14ac:dyDescent="0.2">
      <c r="H126" s="15"/>
      <c r="I126" s="15"/>
      <c r="J126" s="15"/>
      <c r="K126" s="15"/>
      <c r="L126" s="15"/>
      <c r="M126" s="15"/>
      <c r="N126" s="15"/>
      <c r="O126" s="137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41"/>
      <c r="AA126" s="104">
        <v>122</v>
      </c>
      <c r="AB126" s="14">
        <f t="shared" si="43"/>
        <v>3</v>
      </c>
      <c r="AC126" s="14">
        <f>INDEX(挂机升级突破!$BU$6:$BU$57,卡牌消耗!AI126)</f>
        <v>11</v>
      </c>
      <c r="AD126" s="14">
        <f>INDEX(挂机升级突破!BV$6:BV$57,卡牌消耗!$AI126)</f>
        <v>3</v>
      </c>
      <c r="AE126" s="14">
        <f>INDEX(挂机升级突破!BW$6:BW$57,卡牌消耗!$AI126)</f>
        <v>0</v>
      </c>
      <c r="AF126" s="14" t="str">
        <f t="shared" si="44"/>
        <v>典韦</v>
      </c>
      <c r="AG126" s="14">
        <f t="shared" si="45"/>
        <v>4</v>
      </c>
      <c r="AH126" s="14" t="str">
        <f t="shared" si="46"/>
        <v>典韦魂火-18</v>
      </c>
      <c r="AI126" s="14">
        <f t="shared" si="47"/>
        <v>18</v>
      </c>
      <c r="AJ126" s="14" t="str">
        <f>INDEX(挂机升级突破!$BX$4:$CH$4,INDEX(挂机升级突破!$BU$6:$BU$57,卡牌消耗!AI126))</f>
        <v>金币</v>
      </c>
      <c r="AK126" s="14">
        <f>ROUND(INDEX(挂机升级突破!$BN$6:$BN$57,卡牌消耗!AI126)*INDEX(卡牌消耗!$B$8:$F$8,AG126)/$Q$4/50,0)*50</f>
        <v>4750</v>
      </c>
      <c r="AL126" s="14" t="str">
        <f>IF(AD126&gt;0,INDEX(挂机升级突破!$BX$4:$CH$4,AD126),"")</f>
        <v>紫色基础材料</v>
      </c>
      <c r="AM126" s="14">
        <f>ROUND(INDEX(挂机升级突破!$BX$6:$CH$57,卡牌消耗!AI126,AD126)*INDEX(卡牌消耗!$B$5:$F$5,AG126)/$Q$4/5,0)*5</f>
        <v>405</v>
      </c>
      <c r="AN126" s="14" t="str">
        <f>IF(AE126&gt;0,INDEX(挂机升级突破!$BX$4:$CH$4,AE126),"")</f>
        <v/>
      </c>
      <c r="AO126" s="14" t="str">
        <f>IF(AE126&gt;0,ROUND(INDEX(挂机升级突破!$BX$6:$CH$57,卡牌消耗!AI126,AE126)*INDEX(卡牌消耗!$B$7:$F$7,AG126)/$Q$4,0),"")</f>
        <v/>
      </c>
      <c r="AP126" s="106"/>
      <c r="AQ126" s="15"/>
      <c r="AR126" s="104">
        <v>122</v>
      </c>
      <c r="AS126" s="14">
        <f t="shared" si="48"/>
        <v>7</v>
      </c>
      <c r="AT126" s="14">
        <f>INDEX(挂机升级突破!$CM$7:$CM$26,AX126)</f>
        <v>5</v>
      </c>
      <c r="AU126" s="14">
        <f>INDEX(挂机升级突破!$CN$7:$CN$26,AX126)</f>
        <v>0</v>
      </c>
      <c r="AV126" s="14">
        <f t="shared" si="49"/>
        <v>4</v>
      </c>
      <c r="AW126" s="14" t="str">
        <f t="shared" si="50"/>
        <v>天使缇娜</v>
      </c>
      <c r="AX126" s="14">
        <f t="shared" si="51"/>
        <v>2</v>
      </c>
      <c r="AY126" s="14" t="str">
        <f t="shared" si="52"/>
        <v>天使缇娜2突</v>
      </c>
      <c r="AZ126" s="14" t="str">
        <f>IF(AT126&gt;0,INDEX(挂机升级突破!$CV$5:$CZ$5,卡牌消耗!AT126),"")</f>
        <v>金币</v>
      </c>
      <c r="BA126" s="14">
        <f>IF(AT126&gt;0,ROUND(INDEX(挂机升级突破!$CZ$7:$CZ$26,卡牌消耗!AX126)*INDEX(卡牌消耗!$B$8:$F$8,AV126)/$Q$4/500,0)*500,"")</f>
        <v>3500</v>
      </c>
      <c r="BB126" s="14" t="str">
        <f>IF(AU126&gt;0,INDEX(挂机升级突破!$CV$5:$CZ$5,卡牌消耗!AU126),"")</f>
        <v/>
      </c>
      <c r="BC126" s="14" t="str">
        <f>IF(AU126&gt;0,ROUND(INDEX(挂机升级突破!$CV$7:$CY$26,卡牌消耗!AX126,卡牌消耗!AU126)*INDEX($B$6:$F$6,AV126)/$Q$4/5,0)*5,"")</f>
        <v/>
      </c>
      <c r="BD126" s="104"/>
      <c r="BE126" s="104"/>
      <c r="BF126" s="106"/>
      <c r="BU126" s="15"/>
      <c r="BV126" s="14">
        <f>SUM(BX123:BX132)</f>
        <v>145</v>
      </c>
      <c r="BW126" s="50">
        <v>114</v>
      </c>
      <c r="BX126" s="50">
        <v>13</v>
      </c>
      <c r="BY126" s="21">
        <f t="shared" si="66"/>
        <v>8.9655172413793102E-2</v>
      </c>
      <c r="BZ126" s="65">
        <f t="shared" si="67"/>
        <v>4589</v>
      </c>
      <c r="CA126" s="50" t="e">
        <f>SUM(BZ$5:BZ126)</f>
        <v>#REF!</v>
      </c>
      <c r="CD126" s="136">
        <v>122</v>
      </c>
      <c r="CE126" s="14">
        <f t="shared" si="53"/>
        <v>25</v>
      </c>
      <c r="CF126" s="14">
        <f t="shared" si="38"/>
        <v>3</v>
      </c>
      <c r="CG126" s="14">
        <f t="shared" si="39"/>
        <v>1102002</v>
      </c>
      <c r="CH126" s="136" t="s">
        <v>1127</v>
      </c>
      <c r="CI126" s="14">
        <f t="shared" si="40"/>
        <v>2</v>
      </c>
      <c r="CJ126" s="14" t="str">
        <f t="shared" si="41"/>
        <v>许褚-2星</v>
      </c>
      <c r="CK126" s="136" t="s">
        <v>1133</v>
      </c>
      <c r="CL126" s="14">
        <f t="shared" si="54"/>
        <v>5000</v>
      </c>
      <c r="CM126" s="14" t="str">
        <f t="shared" si="42"/>
        <v>许褚碎片</v>
      </c>
      <c r="CN126" s="14">
        <f t="shared" si="55"/>
        <v>80</v>
      </c>
    </row>
    <row r="127" spans="8:92" ht="16.5" x14ac:dyDescent="0.2">
      <c r="H127" s="15"/>
      <c r="I127" s="15"/>
      <c r="J127" s="15"/>
      <c r="K127" s="15"/>
      <c r="L127" s="15"/>
      <c r="M127" s="15"/>
      <c r="N127" s="15"/>
      <c r="O127" s="137"/>
      <c r="P127" s="141"/>
      <c r="Q127" s="141"/>
      <c r="R127" s="141"/>
      <c r="S127" s="141"/>
      <c r="T127" s="141"/>
      <c r="U127" s="141"/>
      <c r="V127" s="141"/>
      <c r="W127" s="141"/>
      <c r="X127" s="141"/>
      <c r="Y127" s="141"/>
      <c r="Z127" s="141"/>
      <c r="AA127" s="104">
        <v>123</v>
      </c>
      <c r="AB127" s="14">
        <f t="shared" si="43"/>
        <v>3</v>
      </c>
      <c r="AC127" s="14">
        <f>INDEX(挂机升级突破!$BU$6:$BU$57,卡牌消耗!AI127)</f>
        <v>11</v>
      </c>
      <c r="AD127" s="14">
        <f>INDEX(挂机升级突破!BV$6:BV$57,卡牌消耗!$AI127)</f>
        <v>3</v>
      </c>
      <c r="AE127" s="14">
        <f>INDEX(挂机升级突破!BW$6:BW$57,卡牌消耗!$AI127)</f>
        <v>0</v>
      </c>
      <c r="AF127" s="14" t="str">
        <f t="shared" si="44"/>
        <v>典韦</v>
      </c>
      <c r="AG127" s="14">
        <f t="shared" si="45"/>
        <v>4</v>
      </c>
      <c r="AH127" s="14" t="str">
        <f t="shared" si="46"/>
        <v>典韦魂火-19</v>
      </c>
      <c r="AI127" s="14">
        <f t="shared" si="47"/>
        <v>19</v>
      </c>
      <c r="AJ127" s="14" t="str">
        <f>INDEX(挂机升级突破!$BX$4:$CH$4,INDEX(挂机升级突破!$BU$6:$BU$57,卡牌消耗!AI127))</f>
        <v>金币</v>
      </c>
      <c r="AK127" s="14">
        <f>ROUND(INDEX(挂机升级突破!$BN$6:$BN$57,卡牌消耗!AI127)*INDEX(卡牌消耗!$B$8:$F$8,AG127)/$Q$4/50,0)*50</f>
        <v>4750</v>
      </c>
      <c r="AL127" s="14" t="str">
        <f>IF(AD127&gt;0,INDEX(挂机升级突破!$BX$4:$CH$4,AD127),"")</f>
        <v>紫色基础材料</v>
      </c>
      <c r="AM127" s="14">
        <f>ROUND(INDEX(挂机升级突破!$BX$6:$CH$57,卡牌消耗!AI127,AD127)*INDEX(卡牌消耗!$B$5:$F$5,AG127)/$Q$4/5,0)*5</f>
        <v>405</v>
      </c>
      <c r="AN127" s="14" t="str">
        <f>IF(AE127&gt;0,INDEX(挂机升级突破!$BX$4:$CH$4,AE127),"")</f>
        <v/>
      </c>
      <c r="AO127" s="14" t="str">
        <f>IF(AE127&gt;0,ROUND(INDEX(挂机升级突破!$BX$6:$CH$57,卡牌消耗!AI127,AE127)*INDEX(卡牌消耗!$B$7:$F$7,AG127)/$Q$4,0),"")</f>
        <v/>
      </c>
      <c r="AP127" s="106"/>
      <c r="AQ127" s="15"/>
      <c r="AR127" s="104">
        <v>123</v>
      </c>
      <c r="AS127" s="14">
        <f t="shared" si="48"/>
        <v>7</v>
      </c>
      <c r="AT127" s="14">
        <f>INDEX(挂机升级突破!$CM$7:$CM$26,AX127)</f>
        <v>5</v>
      </c>
      <c r="AU127" s="14">
        <f>INDEX(挂机升级突破!$CN$7:$CN$26,AX127)</f>
        <v>0</v>
      </c>
      <c r="AV127" s="14">
        <f t="shared" si="49"/>
        <v>4</v>
      </c>
      <c r="AW127" s="14" t="str">
        <f t="shared" si="50"/>
        <v>天使缇娜</v>
      </c>
      <c r="AX127" s="14">
        <f t="shared" si="51"/>
        <v>3</v>
      </c>
      <c r="AY127" s="14" t="str">
        <f t="shared" si="52"/>
        <v>天使缇娜3突</v>
      </c>
      <c r="AZ127" s="14" t="str">
        <f>IF(AT127&gt;0,INDEX(挂机升级突破!$CV$5:$CZ$5,卡牌消耗!AT127),"")</f>
        <v>金币</v>
      </c>
      <c r="BA127" s="14">
        <f>IF(AT127&gt;0,ROUND(INDEX(挂机升级突破!$CZ$7:$CZ$26,卡牌消耗!AX127)*INDEX(卡牌消耗!$B$8:$F$8,AV127)/$Q$4/500,0)*500,"")</f>
        <v>3500</v>
      </c>
      <c r="BB127" s="14" t="str">
        <f>IF(AU127&gt;0,INDEX(挂机升级突破!$CV$5:$CZ$5,卡牌消耗!AU127),"")</f>
        <v/>
      </c>
      <c r="BC127" s="14" t="str">
        <f>IF(AU127&gt;0,ROUND(INDEX(挂机升级突破!$CV$7:$CY$26,卡牌消耗!AX127,卡牌消耗!AU127)*INDEX($B$6:$F$6,AV127)/$Q$4/5,0)*5,"")</f>
        <v/>
      </c>
      <c r="BD127" s="104"/>
      <c r="BE127" s="104"/>
      <c r="BF127" s="106"/>
      <c r="BW127" s="50">
        <v>115</v>
      </c>
      <c r="BX127" s="50">
        <v>14</v>
      </c>
      <c r="BY127" s="21">
        <f t="shared" si="66"/>
        <v>9.6551724137931033E-2</v>
      </c>
      <c r="BZ127" s="65">
        <f t="shared" si="67"/>
        <v>4942</v>
      </c>
      <c r="CA127" s="50" t="e">
        <f>SUM(BZ$5:BZ127)</f>
        <v>#REF!</v>
      </c>
      <c r="CD127" s="136">
        <v>123</v>
      </c>
      <c r="CE127" s="14">
        <f t="shared" si="53"/>
        <v>25</v>
      </c>
      <c r="CF127" s="14">
        <f t="shared" si="38"/>
        <v>3</v>
      </c>
      <c r="CG127" s="14">
        <f t="shared" si="39"/>
        <v>1102002</v>
      </c>
      <c r="CH127" s="136" t="s">
        <v>1127</v>
      </c>
      <c r="CI127" s="14">
        <f t="shared" si="40"/>
        <v>3</v>
      </c>
      <c r="CJ127" s="14" t="str">
        <f t="shared" si="41"/>
        <v>许褚-3星</v>
      </c>
      <c r="CK127" s="136" t="s">
        <v>1133</v>
      </c>
      <c r="CL127" s="14">
        <f t="shared" si="54"/>
        <v>10000</v>
      </c>
      <c r="CM127" s="14" t="str">
        <f t="shared" si="42"/>
        <v>许褚碎片</v>
      </c>
      <c r="CN127" s="14">
        <f t="shared" si="55"/>
        <v>120</v>
      </c>
    </row>
    <row r="128" spans="8:92" ht="16.5" x14ac:dyDescent="0.2">
      <c r="H128" s="15"/>
      <c r="I128" s="15"/>
      <c r="J128" s="15"/>
      <c r="K128" s="15"/>
      <c r="L128" s="15"/>
      <c r="M128" s="15"/>
      <c r="N128" s="15"/>
      <c r="O128" s="137"/>
      <c r="P128" s="141"/>
      <c r="Q128" s="141"/>
      <c r="R128" s="141"/>
      <c r="S128" s="141"/>
      <c r="T128" s="141"/>
      <c r="U128" s="141"/>
      <c r="V128" s="141"/>
      <c r="W128" s="141"/>
      <c r="X128" s="141"/>
      <c r="Y128" s="141"/>
      <c r="Z128" s="141"/>
      <c r="AA128" s="104">
        <v>124</v>
      </c>
      <c r="AB128" s="14">
        <f t="shared" si="43"/>
        <v>3</v>
      </c>
      <c r="AC128" s="14">
        <f>INDEX(挂机升级突破!$BU$6:$BU$57,卡牌消耗!AI128)</f>
        <v>11</v>
      </c>
      <c r="AD128" s="14">
        <f>INDEX(挂机升级突破!BV$6:BV$57,卡牌消耗!$AI128)</f>
        <v>3</v>
      </c>
      <c r="AE128" s="14">
        <f>INDEX(挂机升级突破!BW$6:BW$57,卡牌消耗!$AI128)</f>
        <v>0</v>
      </c>
      <c r="AF128" s="14" t="str">
        <f t="shared" si="44"/>
        <v>典韦</v>
      </c>
      <c r="AG128" s="14">
        <f t="shared" si="45"/>
        <v>4</v>
      </c>
      <c r="AH128" s="14" t="str">
        <f t="shared" si="46"/>
        <v>典韦魂火-20</v>
      </c>
      <c r="AI128" s="14">
        <f t="shared" si="47"/>
        <v>20</v>
      </c>
      <c r="AJ128" s="14" t="str">
        <f>INDEX(挂机升级突破!$BX$4:$CH$4,INDEX(挂机升级突破!$BU$6:$BU$57,卡牌消耗!AI128))</f>
        <v>金币</v>
      </c>
      <c r="AK128" s="14">
        <f>ROUND(INDEX(挂机升级突破!$BN$6:$BN$57,卡牌消耗!AI128)*INDEX(卡牌消耗!$B$8:$F$8,AG128)/$Q$4/50,0)*50</f>
        <v>5850</v>
      </c>
      <c r="AL128" s="14" t="str">
        <f>IF(AD128&gt;0,INDEX(挂机升级突破!$BX$4:$CH$4,AD128),"")</f>
        <v>紫色基础材料</v>
      </c>
      <c r="AM128" s="14">
        <f>ROUND(INDEX(挂机升级突破!$BX$6:$CH$57,卡牌消耗!AI128,AD128)*INDEX(卡牌消耗!$B$5:$F$5,AG128)/$Q$4/5,0)*5</f>
        <v>605</v>
      </c>
      <c r="AN128" s="14" t="str">
        <f>IF(AE128&gt;0,INDEX(挂机升级突破!$BX$4:$CH$4,AE128),"")</f>
        <v/>
      </c>
      <c r="AO128" s="14" t="str">
        <f>IF(AE128&gt;0,ROUND(INDEX(挂机升级突破!$BX$6:$CH$57,卡牌消耗!AI128,AE128)*INDEX(卡牌消耗!$B$7:$F$7,AG128)/$Q$4,0),"")</f>
        <v/>
      </c>
      <c r="AP128" s="106"/>
      <c r="AQ128" s="15"/>
      <c r="AR128" s="104">
        <v>124</v>
      </c>
      <c r="AS128" s="14">
        <f t="shared" si="48"/>
        <v>7</v>
      </c>
      <c r="AT128" s="14">
        <f>INDEX(挂机升级突破!$CM$7:$CM$26,AX128)</f>
        <v>5</v>
      </c>
      <c r="AU128" s="14">
        <f>INDEX(挂机升级突破!$CN$7:$CN$26,AX128)</f>
        <v>1</v>
      </c>
      <c r="AV128" s="14">
        <f t="shared" si="49"/>
        <v>4</v>
      </c>
      <c r="AW128" s="14" t="str">
        <f t="shared" si="50"/>
        <v>天使缇娜</v>
      </c>
      <c r="AX128" s="14">
        <f t="shared" si="51"/>
        <v>4</v>
      </c>
      <c r="AY128" s="14" t="str">
        <f t="shared" si="52"/>
        <v>天使缇娜4突</v>
      </c>
      <c r="AZ128" s="14" t="str">
        <f>IF(AT128&gt;0,INDEX(挂机升级突破!$CV$5:$CZ$5,卡牌消耗!AT128),"")</f>
        <v>金币</v>
      </c>
      <c r="BA128" s="14">
        <f>IF(AT128&gt;0,ROUND(INDEX(挂机升级突破!$CZ$7:$CZ$26,卡牌消耗!AX128)*INDEX(卡牌消耗!$B$8:$F$8,AV128)/$Q$4/500,0)*500,"")</f>
        <v>4500</v>
      </c>
      <c r="BB128" s="14" t="str">
        <f>IF(AU128&gt;0,INDEX(挂机升级突破!$CV$5:$CZ$5,卡牌消耗!AU128),"")</f>
        <v>玄铁</v>
      </c>
      <c r="BC128" s="14">
        <f>IF(AU128&gt;0,ROUND(INDEX(挂机升级突破!$CV$7:$CY$26,卡牌消耗!AX128,卡牌消耗!AU128)*INDEX($B$6:$F$6,AV128)/$Q$4/5,0)*5,"")</f>
        <v>70</v>
      </c>
      <c r="BD128" s="104"/>
      <c r="BE128" s="104"/>
      <c r="BF128" s="106"/>
      <c r="BW128" s="50">
        <v>116</v>
      </c>
      <c r="BX128" s="50">
        <v>15</v>
      </c>
      <c r="BY128" s="21">
        <f t="shared" si="66"/>
        <v>0.10344827586206896</v>
      </c>
      <c r="BZ128" s="65">
        <f t="shared" si="67"/>
        <v>5295</v>
      </c>
      <c r="CA128" s="50" t="e">
        <f>SUM(BZ$5:BZ128)</f>
        <v>#REF!</v>
      </c>
      <c r="CD128" s="136">
        <v>124</v>
      </c>
      <c r="CE128" s="14">
        <f t="shared" si="53"/>
        <v>25</v>
      </c>
      <c r="CF128" s="14">
        <f t="shared" si="38"/>
        <v>3</v>
      </c>
      <c r="CG128" s="14">
        <f t="shared" si="39"/>
        <v>1102002</v>
      </c>
      <c r="CH128" s="136" t="s">
        <v>1127</v>
      </c>
      <c r="CI128" s="14">
        <f t="shared" si="40"/>
        <v>4</v>
      </c>
      <c r="CJ128" s="14" t="str">
        <f t="shared" si="41"/>
        <v>许褚-4星</v>
      </c>
      <c r="CK128" s="136" t="s">
        <v>1133</v>
      </c>
      <c r="CL128" s="14">
        <f t="shared" si="54"/>
        <v>20000</v>
      </c>
      <c r="CM128" s="14" t="str">
        <f t="shared" si="42"/>
        <v>许褚碎片</v>
      </c>
      <c r="CN128" s="14">
        <f t="shared" si="55"/>
        <v>160</v>
      </c>
    </row>
    <row r="129" spans="8:92" ht="16.5" x14ac:dyDescent="0.2">
      <c r="H129" s="15"/>
      <c r="I129" s="15"/>
      <c r="J129" s="15"/>
      <c r="K129" s="15"/>
      <c r="L129" s="15"/>
      <c r="M129" s="15"/>
      <c r="N129" s="15"/>
      <c r="O129" s="137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41"/>
      <c r="AA129" s="104">
        <v>125</v>
      </c>
      <c r="AB129" s="14">
        <f t="shared" si="43"/>
        <v>3</v>
      </c>
      <c r="AC129" s="14">
        <f>INDEX(挂机升级突破!$BU$6:$BU$57,卡牌消耗!AI129)</f>
        <v>11</v>
      </c>
      <c r="AD129" s="14">
        <f>INDEX(挂机升级突破!BV$6:BV$57,卡牌消耗!$AI129)</f>
        <v>3</v>
      </c>
      <c r="AE129" s="14">
        <f>INDEX(挂机升级突破!BW$6:BW$57,卡牌消耗!$AI129)</f>
        <v>0</v>
      </c>
      <c r="AF129" s="14" t="str">
        <f t="shared" si="44"/>
        <v>典韦</v>
      </c>
      <c r="AG129" s="14">
        <f t="shared" si="45"/>
        <v>4</v>
      </c>
      <c r="AH129" s="14" t="str">
        <f t="shared" si="46"/>
        <v>典韦魂火-21</v>
      </c>
      <c r="AI129" s="14">
        <f t="shared" si="47"/>
        <v>21</v>
      </c>
      <c r="AJ129" s="14" t="str">
        <f>INDEX(挂机升级突破!$BX$4:$CH$4,INDEX(挂机升级突破!$BU$6:$BU$57,卡牌消耗!AI129))</f>
        <v>金币</v>
      </c>
      <c r="AK129" s="14">
        <f>ROUND(INDEX(挂机升级突破!$BN$6:$BN$57,卡牌消耗!AI129)*INDEX(卡牌消耗!$B$8:$F$8,AG129)/$Q$4/50,0)*50</f>
        <v>5850</v>
      </c>
      <c r="AL129" s="14" t="str">
        <f>IF(AD129&gt;0,INDEX(挂机升级突破!$BX$4:$CH$4,AD129),"")</f>
        <v>紫色基础材料</v>
      </c>
      <c r="AM129" s="14">
        <f>ROUND(INDEX(挂机升级突破!$BX$6:$CH$57,卡牌消耗!AI129,AD129)*INDEX(卡牌消耗!$B$5:$F$5,AG129)/$Q$4/5,0)*5</f>
        <v>605</v>
      </c>
      <c r="AN129" s="14" t="str">
        <f>IF(AE129&gt;0,INDEX(挂机升级突破!$BX$4:$CH$4,AE129),"")</f>
        <v/>
      </c>
      <c r="AO129" s="14" t="str">
        <f>IF(AE129&gt;0,ROUND(INDEX(挂机升级突破!$BX$6:$CH$57,卡牌消耗!AI129,AE129)*INDEX(卡牌消耗!$B$7:$F$7,AG129)/$Q$4,0),"")</f>
        <v/>
      </c>
      <c r="AP129" s="106"/>
      <c r="AQ129" s="15"/>
      <c r="AR129" s="104">
        <v>125</v>
      </c>
      <c r="AS129" s="14">
        <f t="shared" si="48"/>
        <v>7</v>
      </c>
      <c r="AT129" s="14">
        <f>INDEX(挂机升级突破!$CM$7:$CM$26,AX129)</f>
        <v>5</v>
      </c>
      <c r="AU129" s="14">
        <f>INDEX(挂机升级突破!$CN$7:$CN$26,AX129)</f>
        <v>1</v>
      </c>
      <c r="AV129" s="14">
        <f t="shared" si="49"/>
        <v>4</v>
      </c>
      <c r="AW129" s="14" t="str">
        <f t="shared" si="50"/>
        <v>天使缇娜</v>
      </c>
      <c r="AX129" s="14">
        <f t="shared" si="51"/>
        <v>5</v>
      </c>
      <c r="AY129" s="14" t="str">
        <f t="shared" si="52"/>
        <v>天使缇娜5突</v>
      </c>
      <c r="AZ129" s="14" t="str">
        <f>IF(AT129&gt;0,INDEX(挂机升级突破!$CV$5:$CZ$5,卡牌消耗!AT129),"")</f>
        <v>金币</v>
      </c>
      <c r="BA129" s="14">
        <f>IF(AT129&gt;0,ROUND(INDEX(挂机升级突破!$CZ$7:$CZ$26,卡牌消耗!AX129)*INDEX(卡牌消耗!$B$8:$F$8,AV129)/$Q$4/500,0)*500,"")</f>
        <v>4500</v>
      </c>
      <c r="BB129" s="14" t="str">
        <f>IF(AU129&gt;0,INDEX(挂机升级突破!$CV$5:$CZ$5,卡牌消耗!AU129),"")</f>
        <v>玄铁</v>
      </c>
      <c r="BC129" s="14">
        <f>IF(AU129&gt;0,ROUND(INDEX(挂机升级突破!$CV$7:$CY$26,卡牌消耗!AX129,卡牌消耗!AU129)*INDEX($B$6:$F$6,AV129)/$Q$4/5,0)*5,"")</f>
        <v>140</v>
      </c>
      <c r="BD129" s="104"/>
      <c r="BE129" s="104"/>
      <c r="BF129" s="106"/>
      <c r="BW129" s="50">
        <v>117</v>
      </c>
      <c r="BX129" s="50">
        <v>16</v>
      </c>
      <c r="BY129" s="21">
        <f t="shared" si="66"/>
        <v>0.1103448275862069</v>
      </c>
      <c r="BZ129" s="65">
        <f t="shared" si="67"/>
        <v>5648</v>
      </c>
      <c r="CA129" s="50" t="e">
        <f>SUM(BZ$5:BZ129)</f>
        <v>#REF!</v>
      </c>
      <c r="CD129" s="136">
        <v>125</v>
      </c>
      <c r="CE129" s="14">
        <f t="shared" si="53"/>
        <v>25</v>
      </c>
      <c r="CF129" s="14">
        <f t="shared" si="38"/>
        <v>3</v>
      </c>
      <c r="CG129" s="14">
        <f t="shared" si="39"/>
        <v>1102002</v>
      </c>
      <c r="CH129" s="136" t="s">
        <v>1127</v>
      </c>
      <c r="CI129" s="14">
        <f t="shared" si="40"/>
        <v>5</v>
      </c>
      <c r="CJ129" s="14" t="str">
        <f t="shared" si="41"/>
        <v>许褚-5星</v>
      </c>
      <c r="CK129" s="136" t="s">
        <v>1133</v>
      </c>
      <c r="CL129" s="14">
        <f t="shared" si="54"/>
        <v>40000</v>
      </c>
      <c r="CM129" s="14" t="str">
        <f t="shared" si="42"/>
        <v>许褚碎片</v>
      </c>
      <c r="CN129" s="14">
        <f t="shared" si="55"/>
        <v>240</v>
      </c>
    </row>
    <row r="130" spans="8:92" ht="16.5" x14ac:dyDescent="0.2">
      <c r="H130" s="15"/>
      <c r="I130" s="15"/>
      <c r="J130" s="15"/>
      <c r="K130" s="15"/>
      <c r="L130" s="15"/>
      <c r="M130" s="15"/>
      <c r="N130" s="15"/>
      <c r="O130" s="137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41"/>
      <c r="AA130" s="104">
        <v>126</v>
      </c>
      <c r="AB130" s="14">
        <f t="shared" si="43"/>
        <v>3</v>
      </c>
      <c r="AC130" s="14">
        <f>INDEX(挂机升级突破!$BU$6:$BU$57,卡牌消耗!AI130)</f>
        <v>11</v>
      </c>
      <c r="AD130" s="14">
        <f>INDEX(挂机升级突破!BV$6:BV$57,卡牌消耗!$AI130)</f>
        <v>3</v>
      </c>
      <c r="AE130" s="14">
        <f>INDEX(挂机升级突破!BW$6:BW$57,卡牌消耗!$AI130)</f>
        <v>0</v>
      </c>
      <c r="AF130" s="14" t="str">
        <f t="shared" si="44"/>
        <v>典韦</v>
      </c>
      <c r="AG130" s="14">
        <f t="shared" si="45"/>
        <v>4</v>
      </c>
      <c r="AH130" s="14" t="str">
        <f t="shared" si="46"/>
        <v>典韦魂火-22</v>
      </c>
      <c r="AI130" s="14">
        <f t="shared" si="47"/>
        <v>22</v>
      </c>
      <c r="AJ130" s="14" t="str">
        <f>INDEX(挂机升级突破!$BX$4:$CH$4,INDEX(挂机升级突破!$BU$6:$BU$57,卡牌消耗!AI130))</f>
        <v>金币</v>
      </c>
      <c r="AK130" s="14">
        <f>ROUND(INDEX(挂机升级突破!$BN$6:$BN$57,卡牌消耗!AI130)*INDEX(卡牌消耗!$B$8:$F$8,AG130)/$Q$4/50,0)*50</f>
        <v>5850</v>
      </c>
      <c r="AL130" s="14" t="str">
        <f>IF(AD130&gt;0,INDEX(挂机升级突破!$BX$4:$CH$4,AD130),"")</f>
        <v>紫色基础材料</v>
      </c>
      <c r="AM130" s="14">
        <f>ROUND(INDEX(挂机升级突破!$BX$6:$CH$57,卡牌消耗!AI130,AD130)*INDEX(卡牌消耗!$B$5:$F$5,AG130)/$Q$4/5,0)*5</f>
        <v>605</v>
      </c>
      <c r="AN130" s="14" t="str">
        <f>IF(AE130&gt;0,INDEX(挂机升级突破!$BX$4:$CH$4,AE130),"")</f>
        <v/>
      </c>
      <c r="AO130" s="14" t="str">
        <f>IF(AE130&gt;0,ROUND(INDEX(挂机升级突破!$BX$6:$CH$57,卡牌消耗!AI130,AE130)*INDEX(卡牌消耗!$B$7:$F$7,AG130)/$Q$4,0),"")</f>
        <v/>
      </c>
      <c r="AP130" s="106"/>
      <c r="AQ130" s="15"/>
      <c r="AR130" s="104">
        <v>126</v>
      </c>
      <c r="AS130" s="14">
        <f t="shared" si="48"/>
        <v>7</v>
      </c>
      <c r="AT130" s="14">
        <f>INDEX(挂机升级突破!$CM$7:$CM$26,AX130)</f>
        <v>5</v>
      </c>
      <c r="AU130" s="14">
        <f>INDEX(挂机升级突破!$CN$7:$CN$26,AX130)</f>
        <v>1</v>
      </c>
      <c r="AV130" s="14">
        <f t="shared" si="49"/>
        <v>4</v>
      </c>
      <c r="AW130" s="14" t="str">
        <f t="shared" si="50"/>
        <v>天使缇娜</v>
      </c>
      <c r="AX130" s="14">
        <f t="shared" si="51"/>
        <v>6</v>
      </c>
      <c r="AY130" s="14" t="str">
        <f t="shared" si="52"/>
        <v>天使缇娜6突</v>
      </c>
      <c r="AZ130" s="14" t="str">
        <f>IF(AT130&gt;0,INDEX(挂机升级突破!$CV$5:$CZ$5,卡牌消耗!AT130),"")</f>
        <v>金币</v>
      </c>
      <c r="BA130" s="14">
        <f>IF(AT130&gt;0,ROUND(INDEX(挂机升级突破!$CZ$7:$CZ$26,卡牌消耗!AX130)*INDEX(卡牌消耗!$B$8:$F$8,AV130)/$Q$4/500,0)*500,"")</f>
        <v>6000</v>
      </c>
      <c r="BB130" s="14" t="str">
        <f>IF(AU130&gt;0,INDEX(挂机升级突破!$CV$5:$CZ$5,卡牌消耗!AU130),"")</f>
        <v>玄铁</v>
      </c>
      <c r="BC130" s="14">
        <f>IF(AU130&gt;0,ROUND(INDEX(挂机升级突破!$CV$7:$CY$26,卡牌消耗!AX130,卡牌消耗!AU130)*INDEX($B$6:$F$6,AV130)/$Q$4/5,0)*5,"")</f>
        <v>210</v>
      </c>
      <c r="BD130" s="104"/>
      <c r="BE130" s="104"/>
      <c r="BF130" s="106"/>
      <c r="BW130" s="50">
        <v>118</v>
      </c>
      <c r="BX130" s="50">
        <v>17</v>
      </c>
      <c r="BY130" s="21">
        <f t="shared" si="66"/>
        <v>0.11724137931034483</v>
      </c>
      <c r="BZ130" s="65">
        <f t="shared" si="67"/>
        <v>6001</v>
      </c>
      <c r="CA130" s="50" t="e">
        <f>SUM(BZ$5:BZ130)</f>
        <v>#REF!</v>
      </c>
      <c r="CD130" s="136">
        <v>126</v>
      </c>
      <c r="CE130" s="14">
        <f t="shared" si="53"/>
        <v>26</v>
      </c>
      <c r="CF130" s="14">
        <f t="shared" si="38"/>
        <v>4</v>
      </c>
      <c r="CG130" s="14">
        <f t="shared" si="39"/>
        <v>1102003</v>
      </c>
      <c r="CH130" s="136" t="s">
        <v>1127</v>
      </c>
      <c r="CI130" s="14">
        <f t="shared" si="40"/>
        <v>1</v>
      </c>
      <c r="CJ130" s="14" t="str">
        <f t="shared" si="41"/>
        <v>典韦-1星</v>
      </c>
      <c r="CK130" s="136" t="s">
        <v>1133</v>
      </c>
      <c r="CL130" s="14">
        <f t="shared" si="54"/>
        <v>6000</v>
      </c>
      <c r="CM130" s="14" t="str">
        <f t="shared" si="42"/>
        <v>典韦碎片</v>
      </c>
      <c r="CN130" s="14">
        <f t="shared" si="55"/>
        <v>80</v>
      </c>
    </row>
    <row r="131" spans="8:92" ht="16.5" x14ac:dyDescent="0.2">
      <c r="H131" s="15"/>
      <c r="I131" s="15"/>
      <c r="J131" s="15"/>
      <c r="K131" s="15"/>
      <c r="L131" s="15"/>
      <c r="M131" s="15"/>
      <c r="N131" s="15"/>
      <c r="O131" s="137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141"/>
      <c r="AA131" s="104">
        <v>127</v>
      </c>
      <c r="AB131" s="14">
        <f t="shared" si="43"/>
        <v>3</v>
      </c>
      <c r="AC131" s="14">
        <f>INDEX(挂机升级突破!$BU$6:$BU$57,卡牌消耗!AI131)</f>
        <v>11</v>
      </c>
      <c r="AD131" s="14">
        <f>INDEX(挂机升级突破!BV$6:BV$57,卡牌消耗!$AI131)</f>
        <v>4</v>
      </c>
      <c r="AE131" s="14">
        <f>INDEX(挂机升级突破!BW$6:BW$57,卡牌消耗!$AI131)</f>
        <v>0</v>
      </c>
      <c r="AF131" s="14" t="str">
        <f t="shared" si="44"/>
        <v>典韦</v>
      </c>
      <c r="AG131" s="14">
        <f t="shared" si="45"/>
        <v>4</v>
      </c>
      <c r="AH131" s="14" t="str">
        <f t="shared" si="46"/>
        <v>典韦魂火-23</v>
      </c>
      <c r="AI131" s="14">
        <f t="shared" si="47"/>
        <v>23</v>
      </c>
      <c r="AJ131" s="14" t="str">
        <f>INDEX(挂机升级突破!$BX$4:$CH$4,INDEX(挂机升级突破!$BU$6:$BU$57,卡牌消耗!AI131))</f>
        <v>金币</v>
      </c>
      <c r="AK131" s="14">
        <f>ROUND(INDEX(挂机升级突破!$BN$6:$BN$57,卡牌消耗!AI131)*INDEX(卡牌消耗!$B$8:$F$8,AG131)/$Q$4/50,0)*50</f>
        <v>8050</v>
      </c>
      <c r="AL131" s="14" t="str">
        <f>IF(AD131&gt;0,INDEX(挂机升级突破!$BX$4:$CH$4,AD131),"")</f>
        <v>橙色基础材料</v>
      </c>
      <c r="AM131" s="14">
        <f>ROUND(INDEX(挂机升级突破!$BX$6:$CH$57,卡牌消耗!AI131,AD131)*INDEX(卡牌消耗!$B$5:$F$5,AG131)/$Q$4/5,0)*5</f>
        <v>85</v>
      </c>
      <c r="AN131" s="14" t="str">
        <f>IF(AE131&gt;0,INDEX(挂机升级突破!$BX$4:$CH$4,AE131),"")</f>
        <v/>
      </c>
      <c r="AO131" s="14" t="str">
        <f>IF(AE131&gt;0,ROUND(INDEX(挂机升级突破!$BX$6:$CH$57,卡牌消耗!AI131,AE131)*INDEX(卡牌消耗!$B$7:$F$7,AG131)/$Q$4,0),"")</f>
        <v/>
      </c>
      <c r="AP131" s="106"/>
      <c r="AQ131" s="15"/>
      <c r="AR131" s="104">
        <v>127</v>
      </c>
      <c r="AS131" s="14">
        <f t="shared" si="48"/>
        <v>7</v>
      </c>
      <c r="AT131" s="14">
        <f>INDEX(挂机升级突破!$CM$7:$CM$26,AX131)</f>
        <v>5</v>
      </c>
      <c r="AU131" s="14">
        <f>INDEX(挂机升级突破!$CN$7:$CN$26,AX131)</f>
        <v>1</v>
      </c>
      <c r="AV131" s="14">
        <f t="shared" si="49"/>
        <v>4</v>
      </c>
      <c r="AW131" s="14" t="str">
        <f t="shared" si="50"/>
        <v>天使缇娜</v>
      </c>
      <c r="AX131" s="14">
        <f t="shared" si="51"/>
        <v>7</v>
      </c>
      <c r="AY131" s="14" t="str">
        <f t="shared" si="52"/>
        <v>天使缇娜7突</v>
      </c>
      <c r="AZ131" s="14" t="str">
        <f>IF(AT131&gt;0,INDEX(挂机升级突破!$CV$5:$CZ$5,卡牌消耗!AT131),"")</f>
        <v>金币</v>
      </c>
      <c r="BA131" s="14">
        <f>IF(AT131&gt;0,ROUND(INDEX(挂机升级突破!$CZ$7:$CZ$26,卡牌消耗!AX131)*INDEX(卡牌消耗!$B$8:$F$8,AV131)/$Q$4/500,0)*500,"")</f>
        <v>9500</v>
      </c>
      <c r="BB131" s="14" t="str">
        <f>IF(AU131&gt;0,INDEX(挂机升级突破!$CV$5:$CZ$5,卡牌消耗!AU131),"")</f>
        <v>玄铁</v>
      </c>
      <c r="BC131" s="14">
        <f>IF(AU131&gt;0,ROUND(INDEX(挂机升级突破!$CV$7:$CY$26,卡牌消耗!AX131,卡牌消耗!AU131)*INDEX($B$6:$F$6,AV131)/$Q$4/5,0)*5,"")</f>
        <v>345</v>
      </c>
      <c r="BD131" s="104"/>
      <c r="BE131" s="104"/>
      <c r="BF131" s="106"/>
      <c r="BW131" s="50">
        <v>119</v>
      </c>
      <c r="BX131" s="50">
        <v>18</v>
      </c>
      <c r="BY131" s="21">
        <f t="shared" si="66"/>
        <v>0.12413793103448276</v>
      </c>
      <c r="BZ131" s="65">
        <f t="shared" si="67"/>
        <v>6354</v>
      </c>
      <c r="CA131" s="50" t="e">
        <f>SUM(BZ$5:BZ131)</f>
        <v>#REF!</v>
      </c>
      <c r="CD131" s="136">
        <v>127</v>
      </c>
      <c r="CE131" s="14">
        <f t="shared" si="53"/>
        <v>26</v>
      </c>
      <c r="CF131" s="14">
        <f t="shared" si="38"/>
        <v>4</v>
      </c>
      <c r="CG131" s="14">
        <f t="shared" si="39"/>
        <v>1102003</v>
      </c>
      <c r="CH131" s="136" t="s">
        <v>1127</v>
      </c>
      <c r="CI131" s="14">
        <f t="shared" si="40"/>
        <v>2</v>
      </c>
      <c r="CJ131" s="14" t="str">
        <f t="shared" si="41"/>
        <v>典韦-2星</v>
      </c>
      <c r="CK131" s="136" t="s">
        <v>1133</v>
      </c>
      <c r="CL131" s="14">
        <f t="shared" si="54"/>
        <v>8000</v>
      </c>
      <c r="CM131" s="14" t="str">
        <f t="shared" si="42"/>
        <v>典韦碎片</v>
      </c>
      <c r="CN131" s="14">
        <f t="shared" si="55"/>
        <v>80</v>
      </c>
    </row>
    <row r="132" spans="8:92" ht="16.5" x14ac:dyDescent="0.2">
      <c r="H132" s="15"/>
      <c r="I132" s="15"/>
      <c r="J132" s="15"/>
      <c r="K132" s="15"/>
      <c r="L132" s="15"/>
      <c r="M132" s="15"/>
      <c r="N132" s="15"/>
      <c r="O132" s="137"/>
      <c r="P132" s="141"/>
      <c r="Q132" s="141"/>
      <c r="R132" s="141"/>
      <c r="S132" s="141"/>
      <c r="T132" s="141"/>
      <c r="U132" s="141"/>
      <c r="V132" s="141"/>
      <c r="W132" s="141"/>
      <c r="X132" s="141"/>
      <c r="Y132" s="141"/>
      <c r="Z132" s="141"/>
      <c r="AA132" s="104">
        <v>128</v>
      </c>
      <c r="AB132" s="14">
        <f t="shared" si="43"/>
        <v>3</v>
      </c>
      <c r="AC132" s="14">
        <f>INDEX(挂机升级突破!$BU$6:$BU$57,卡牌消耗!AI132)</f>
        <v>11</v>
      </c>
      <c r="AD132" s="14">
        <f>INDEX(挂机升级突破!BV$6:BV$57,卡牌消耗!$AI132)</f>
        <v>4</v>
      </c>
      <c r="AE132" s="14">
        <f>INDEX(挂机升级突破!BW$6:BW$57,卡牌消耗!$AI132)</f>
        <v>0</v>
      </c>
      <c r="AF132" s="14" t="str">
        <f t="shared" si="44"/>
        <v>典韦</v>
      </c>
      <c r="AG132" s="14">
        <f t="shared" si="45"/>
        <v>4</v>
      </c>
      <c r="AH132" s="14" t="str">
        <f t="shared" si="46"/>
        <v>典韦魂火-24</v>
      </c>
      <c r="AI132" s="14">
        <f t="shared" si="47"/>
        <v>24</v>
      </c>
      <c r="AJ132" s="14" t="str">
        <f>INDEX(挂机升级突破!$BX$4:$CH$4,INDEX(挂机升级突破!$BU$6:$BU$57,卡牌消耗!AI132))</f>
        <v>金币</v>
      </c>
      <c r="AK132" s="14">
        <f>ROUND(INDEX(挂机升级突破!$BN$6:$BN$57,卡牌消耗!AI132)*INDEX(卡牌消耗!$B$8:$F$8,AG132)/$Q$4/50,0)*50</f>
        <v>8050</v>
      </c>
      <c r="AL132" s="14" t="str">
        <f>IF(AD132&gt;0,INDEX(挂机升级突破!$BX$4:$CH$4,AD132),"")</f>
        <v>橙色基础材料</v>
      </c>
      <c r="AM132" s="14">
        <f>ROUND(INDEX(挂机升级突破!$BX$6:$CH$57,卡牌消耗!AI132,AD132)*INDEX(卡牌消耗!$B$5:$F$5,AG132)/$Q$4/5,0)*5</f>
        <v>85</v>
      </c>
      <c r="AN132" s="14" t="str">
        <f>IF(AE132&gt;0,INDEX(挂机升级突破!$BX$4:$CH$4,AE132),"")</f>
        <v/>
      </c>
      <c r="AO132" s="14" t="str">
        <f>IF(AE132&gt;0,ROUND(INDEX(挂机升级突破!$BX$6:$CH$57,卡牌消耗!AI132,AE132)*INDEX(卡牌消耗!$B$7:$F$7,AG132)/$Q$4,0),"")</f>
        <v/>
      </c>
      <c r="AP132" s="106"/>
      <c r="AQ132" s="15"/>
      <c r="AR132" s="104">
        <v>128</v>
      </c>
      <c r="AS132" s="14">
        <f t="shared" si="48"/>
        <v>7</v>
      </c>
      <c r="AT132" s="14">
        <f>INDEX(挂机升级突破!$CM$7:$CM$26,AX132)</f>
        <v>5</v>
      </c>
      <c r="AU132" s="14">
        <f>INDEX(挂机升级突破!$CN$7:$CN$26,AX132)</f>
        <v>1</v>
      </c>
      <c r="AV132" s="14">
        <f t="shared" si="49"/>
        <v>4</v>
      </c>
      <c r="AW132" s="14" t="str">
        <f t="shared" si="50"/>
        <v>天使缇娜</v>
      </c>
      <c r="AX132" s="14">
        <f t="shared" si="51"/>
        <v>8</v>
      </c>
      <c r="AY132" s="14" t="str">
        <f t="shared" si="52"/>
        <v>天使缇娜8突</v>
      </c>
      <c r="AZ132" s="14" t="str">
        <f>IF(AT132&gt;0,INDEX(挂机升级突破!$CV$5:$CZ$5,卡牌消耗!AT132),"")</f>
        <v>金币</v>
      </c>
      <c r="BA132" s="14">
        <f>IF(AT132&gt;0,ROUND(INDEX(挂机升级突破!$CZ$7:$CZ$26,卡牌消耗!AX132)*INDEX(卡牌消耗!$B$8:$F$8,AV132)/$Q$4/500,0)*500,"")</f>
        <v>9500</v>
      </c>
      <c r="BB132" s="14" t="str">
        <f>IF(AU132&gt;0,INDEX(挂机升级突破!$CV$5:$CZ$5,卡牌消耗!AU132),"")</f>
        <v>玄铁</v>
      </c>
      <c r="BC132" s="14">
        <f>IF(AU132&gt;0,ROUND(INDEX(挂机升级突破!$CV$7:$CY$26,卡牌消耗!AX132,卡牌消耗!AU132)*INDEX($B$6:$F$6,AV132)/$Q$4/5,0)*5,"")</f>
        <v>625</v>
      </c>
      <c r="BD132" s="104"/>
      <c r="BE132" s="104"/>
      <c r="BF132" s="106"/>
      <c r="BW132" s="50">
        <v>120</v>
      </c>
      <c r="BX132" s="50">
        <v>19</v>
      </c>
      <c r="BY132" s="21">
        <f t="shared" si="66"/>
        <v>0.1310344827586207</v>
      </c>
      <c r="BZ132" s="65">
        <f t="shared" si="67"/>
        <v>6707</v>
      </c>
      <c r="CA132" s="50" t="e">
        <f>SUM(BZ$5:BZ132)</f>
        <v>#REF!</v>
      </c>
      <c r="CD132" s="136">
        <v>128</v>
      </c>
      <c r="CE132" s="14">
        <f t="shared" si="53"/>
        <v>26</v>
      </c>
      <c r="CF132" s="14">
        <f t="shared" si="38"/>
        <v>4</v>
      </c>
      <c r="CG132" s="14">
        <f t="shared" si="39"/>
        <v>1102003</v>
      </c>
      <c r="CH132" s="136" t="s">
        <v>1127</v>
      </c>
      <c r="CI132" s="14">
        <f t="shared" si="40"/>
        <v>3</v>
      </c>
      <c r="CJ132" s="14" t="str">
        <f t="shared" si="41"/>
        <v>典韦-3星</v>
      </c>
      <c r="CK132" s="136" t="s">
        <v>1133</v>
      </c>
      <c r="CL132" s="14">
        <f t="shared" si="54"/>
        <v>14000</v>
      </c>
      <c r="CM132" s="14" t="str">
        <f t="shared" si="42"/>
        <v>典韦碎片</v>
      </c>
      <c r="CN132" s="14">
        <f t="shared" si="55"/>
        <v>160</v>
      </c>
    </row>
    <row r="133" spans="8:92" ht="16.5" x14ac:dyDescent="0.2">
      <c r="H133" s="15"/>
      <c r="I133" s="15"/>
      <c r="J133" s="15"/>
      <c r="K133" s="15"/>
      <c r="L133" s="15"/>
      <c r="M133" s="15"/>
      <c r="N133" s="15"/>
      <c r="O133" s="137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41"/>
      <c r="AA133" s="104">
        <v>129</v>
      </c>
      <c r="AB133" s="14">
        <f t="shared" si="43"/>
        <v>3</v>
      </c>
      <c r="AC133" s="14">
        <f>INDEX(挂机升级突破!$BU$6:$BU$57,卡牌消耗!AI133)</f>
        <v>11</v>
      </c>
      <c r="AD133" s="14">
        <f>INDEX(挂机升级突破!BV$6:BV$57,卡牌消耗!$AI133)</f>
        <v>4</v>
      </c>
      <c r="AE133" s="14">
        <f>INDEX(挂机升级突破!BW$6:BW$57,卡牌消耗!$AI133)</f>
        <v>0</v>
      </c>
      <c r="AF133" s="14" t="str">
        <f t="shared" si="44"/>
        <v>典韦</v>
      </c>
      <c r="AG133" s="14">
        <f t="shared" si="45"/>
        <v>4</v>
      </c>
      <c r="AH133" s="14" t="str">
        <f t="shared" si="46"/>
        <v>典韦魂火-25</v>
      </c>
      <c r="AI133" s="14">
        <f t="shared" si="47"/>
        <v>25</v>
      </c>
      <c r="AJ133" s="14" t="str">
        <f>INDEX(挂机升级突破!$BX$4:$CH$4,INDEX(挂机升级突破!$BU$6:$BU$57,卡牌消耗!AI133))</f>
        <v>金币</v>
      </c>
      <c r="AK133" s="14">
        <f>ROUND(INDEX(挂机升级突破!$BN$6:$BN$57,卡牌消耗!AI133)*INDEX(卡牌消耗!$B$8:$F$8,AG133)/$Q$4/50,0)*50</f>
        <v>8800</v>
      </c>
      <c r="AL133" s="14" t="str">
        <f>IF(AD133&gt;0,INDEX(挂机升级突破!$BX$4:$CH$4,AD133),"")</f>
        <v>橙色基础材料</v>
      </c>
      <c r="AM133" s="14">
        <f>ROUND(INDEX(挂机升级突破!$BX$6:$CH$57,卡牌消耗!AI133,AD133)*INDEX(卡牌消耗!$B$5:$F$5,AG133)/$Q$4/5,0)*5</f>
        <v>85</v>
      </c>
      <c r="AN133" s="14" t="str">
        <f>IF(AE133&gt;0,INDEX(挂机升级突破!$BX$4:$CH$4,AE133),"")</f>
        <v/>
      </c>
      <c r="AO133" s="14" t="str">
        <f>IF(AE133&gt;0,ROUND(INDEX(挂机升级突破!$BX$6:$CH$57,卡牌消耗!AI133,AE133)*INDEX(卡牌消耗!$B$7:$F$7,AG133)/$Q$4,0),"")</f>
        <v/>
      </c>
      <c r="AP133" s="106"/>
      <c r="AQ133" s="15"/>
      <c r="AR133" s="104">
        <v>129</v>
      </c>
      <c r="AS133" s="14">
        <f t="shared" si="48"/>
        <v>7</v>
      </c>
      <c r="AT133" s="14">
        <f>INDEX(挂机升级突破!$CM$7:$CM$26,AX133)</f>
        <v>5</v>
      </c>
      <c r="AU133" s="14">
        <f>INDEX(挂机升级突破!$CN$7:$CN$26,AX133)</f>
        <v>2</v>
      </c>
      <c r="AV133" s="14">
        <f t="shared" si="49"/>
        <v>4</v>
      </c>
      <c r="AW133" s="14" t="str">
        <f t="shared" si="50"/>
        <v>天使缇娜</v>
      </c>
      <c r="AX133" s="14">
        <f t="shared" si="51"/>
        <v>9</v>
      </c>
      <c r="AY133" s="14" t="str">
        <f t="shared" si="52"/>
        <v>天使缇娜9突</v>
      </c>
      <c r="AZ133" s="14" t="str">
        <f>IF(AT133&gt;0,INDEX(挂机升级突破!$CV$5:$CZ$5,卡牌消耗!AT133),"")</f>
        <v>金币</v>
      </c>
      <c r="BA133" s="14">
        <f>IF(AT133&gt;0,ROUND(INDEX(挂机升级突破!$CZ$7:$CZ$26,卡牌消耗!AX133)*INDEX(卡牌消耗!$B$8:$F$8,AV133)/$Q$4/500,0)*500,"")</f>
        <v>12500</v>
      </c>
      <c r="BB133" s="14" t="str">
        <f>IF(AU133&gt;0,INDEX(挂机升级突破!$CV$5:$CZ$5,卡牌消耗!AU133),"")</f>
        <v>乌金</v>
      </c>
      <c r="BC133" s="14">
        <f>IF(AU133&gt;0,ROUND(INDEX(挂机升级突破!$CV$7:$CY$26,卡牌消耗!AX133,卡牌消耗!AU133)*INDEX($B$6:$F$6,AV133)/$Q$4/5,0)*5,"")</f>
        <v>75</v>
      </c>
      <c r="BD133" s="104"/>
      <c r="BE133" s="104"/>
      <c r="BF133" s="106"/>
      <c r="BU133" s="50" t="s">
        <v>310</v>
      </c>
      <c r="BV133" s="50">
        <v>13</v>
      </c>
      <c r="BW133" s="50">
        <v>121</v>
      </c>
      <c r="BX133" s="50">
        <v>10</v>
      </c>
      <c r="BY133" s="21">
        <f t="shared" ref="BY133:BY142" si="68">BX133/BV$136</f>
        <v>6.8965517241379309E-2</v>
      </c>
      <c r="BZ133" s="50">
        <f>INT(BV$134*BY133)</f>
        <v>3990</v>
      </c>
      <c r="CA133" s="50" t="e">
        <f>SUM(BZ$5:BZ133)</f>
        <v>#REF!</v>
      </c>
      <c r="CD133" s="136">
        <v>129</v>
      </c>
      <c r="CE133" s="14">
        <f t="shared" si="53"/>
        <v>26</v>
      </c>
      <c r="CF133" s="14">
        <f t="shared" ref="CF133:CF196" si="69">INDEX($C$47:$C$97,CE133)</f>
        <v>4</v>
      </c>
      <c r="CG133" s="14">
        <f t="shared" ref="CG133:CG196" si="70">INDEX($A$47:$A$97,CE133)</f>
        <v>1102003</v>
      </c>
      <c r="CH133" s="136" t="s">
        <v>1127</v>
      </c>
      <c r="CI133" s="14">
        <f t="shared" ref="CI133:CI196" si="71">CD133-INDEX($E$46:$E$97,CE133)</f>
        <v>4</v>
      </c>
      <c r="CJ133" s="14" t="str">
        <f t="shared" ref="CJ133:CJ196" si="72">INDEX($B$47:$B$97,CE133)&amp;"-"&amp;CI133&amp;"星"</f>
        <v>典韦-4星</v>
      </c>
      <c r="CK133" s="136" t="s">
        <v>1133</v>
      </c>
      <c r="CL133" s="14">
        <f t="shared" si="54"/>
        <v>32000</v>
      </c>
      <c r="CM133" s="14" t="str">
        <f t="shared" ref="CM133:CM196" si="73">INDEX($B$47:$B$97,CE133)&amp;"碎片"</f>
        <v>典韦碎片</v>
      </c>
      <c r="CN133" s="14">
        <f t="shared" si="55"/>
        <v>240</v>
      </c>
    </row>
    <row r="134" spans="8:92" ht="16.5" x14ac:dyDescent="0.2">
      <c r="H134" s="15"/>
      <c r="I134" s="15"/>
      <c r="J134" s="15"/>
      <c r="K134" s="15"/>
      <c r="L134" s="15"/>
      <c r="M134" s="15"/>
      <c r="N134" s="15"/>
      <c r="O134" s="137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04">
        <v>130</v>
      </c>
      <c r="AB134" s="14">
        <f t="shared" ref="AB134:AB197" si="74">INT((AA134-1)/52)+1</f>
        <v>3</v>
      </c>
      <c r="AC134" s="14">
        <f>INDEX(挂机升级突破!$BU$6:$BU$57,卡牌消耗!AI134)</f>
        <v>11</v>
      </c>
      <c r="AD134" s="14">
        <f>INDEX(挂机升级突破!BV$6:BV$57,卡牌消耗!$AI134)</f>
        <v>4</v>
      </c>
      <c r="AE134" s="14">
        <f>INDEX(挂机升级突破!BW$6:BW$57,卡牌消耗!$AI134)</f>
        <v>0</v>
      </c>
      <c r="AF134" s="14" t="str">
        <f t="shared" ref="AF134:AF197" si="75">INDEX($B$13:$B$40,AB134)</f>
        <v>典韦</v>
      </c>
      <c r="AG134" s="14">
        <f t="shared" ref="AG134:AG197" si="76">INDEX($C$13:$C$40,AB134)</f>
        <v>4</v>
      </c>
      <c r="AH134" s="14" t="str">
        <f t="shared" ref="AH134:AH197" si="77">AF134&amp;"魂火-"&amp;AI134</f>
        <v>典韦魂火-26</v>
      </c>
      <c r="AI134" s="14">
        <f t="shared" ref="AI134:AI197" si="78">AA134-(AB134-1)*52</f>
        <v>26</v>
      </c>
      <c r="AJ134" s="14" t="str">
        <f>INDEX(挂机升级突破!$BX$4:$CH$4,INDEX(挂机升级突破!$BU$6:$BU$57,卡牌消耗!AI134))</f>
        <v>金币</v>
      </c>
      <c r="AK134" s="14">
        <f>ROUND(INDEX(挂机升级突破!$BN$6:$BN$57,卡牌消耗!AI134)*INDEX(卡牌消耗!$B$8:$F$8,AG134)/$Q$4/50,0)*50</f>
        <v>10250</v>
      </c>
      <c r="AL134" s="14" t="str">
        <f>IF(AD134&gt;0,INDEX(挂机升级突破!$BX$4:$CH$4,AD134),"")</f>
        <v>橙色基础材料</v>
      </c>
      <c r="AM134" s="14">
        <f>ROUND(INDEX(挂机升级突破!$BX$6:$CH$57,卡牌消耗!AI134,AD134)*INDEX(卡牌消耗!$B$5:$F$5,AG134)/$Q$4/5,0)*5</f>
        <v>100</v>
      </c>
      <c r="AN134" s="14" t="str">
        <f>IF(AE134&gt;0,INDEX(挂机升级突破!$BX$4:$CH$4,AE134),"")</f>
        <v/>
      </c>
      <c r="AO134" s="14" t="str">
        <f>IF(AE134&gt;0,ROUND(INDEX(挂机升级突破!$BX$6:$CH$57,卡牌消耗!AI134,AE134)*INDEX(卡牌消耗!$B$7:$F$7,AG134)/$Q$4,0),"")</f>
        <v/>
      </c>
      <c r="AP134" s="106"/>
      <c r="AQ134" s="15"/>
      <c r="AR134" s="104">
        <v>130</v>
      </c>
      <c r="AS134" s="14">
        <f t="shared" ref="AS134:AS197" si="79">INT((AR134-1)/20)+1</f>
        <v>7</v>
      </c>
      <c r="AT134" s="14">
        <f>INDEX(挂机升级突破!$CM$7:$CM$26,AX134)</f>
        <v>5</v>
      </c>
      <c r="AU134" s="14">
        <f>INDEX(挂机升级突破!$CN$7:$CN$26,AX134)</f>
        <v>2</v>
      </c>
      <c r="AV134" s="14">
        <f t="shared" ref="AV134:AV197" si="80">INDEX($C$13:$C$40,AS134)</f>
        <v>4</v>
      </c>
      <c r="AW134" s="14" t="str">
        <f t="shared" ref="AW134:AW197" si="81">INDEX($B$13:$B$40,AS134)</f>
        <v>天使缇娜</v>
      </c>
      <c r="AX134" s="14">
        <f t="shared" ref="AX134:AX197" si="82">AR134-(AS134-1)*20</f>
        <v>10</v>
      </c>
      <c r="AY134" s="14" t="str">
        <f t="shared" ref="AY134:AY197" si="83">AW134&amp;AX134&amp;"突"</f>
        <v>天使缇娜10突</v>
      </c>
      <c r="AZ134" s="14" t="str">
        <f>IF(AT134&gt;0,INDEX(挂机升级突破!$CV$5:$CZ$5,卡牌消耗!AT134),"")</f>
        <v>金币</v>
      </c>
      <c r="BA134" s="14">
        <f>IF(AT134&gt;0,ROUND(INDEX(挂机升级突破!$CZ$7:$CZ$26,卡牌消耗!AX134)*INDEX(卡牌消耗!$B$8:$F$8,AV134)/$Q$4/500,0)*500,"")</f>
        <v>22000</v>
      </c>
      <c r="BB134" s="14" t="str">
        <f>IF(AU134&gt;0,INDEX(挂机升级突破!$CV$5:$CZ$5,卡牌消耗!AU134),"")</f>
        <v>乌金</v>
      </c>
      <c r="BC134" s="14">
        <f>IF(AU134&gt;0,ROUND(INDEX(挂机升级突破!$CV$7:$CY$26,卡牌消耗!AX134,卡牌消耗!AU134)*INDEX($B$6:$F$6,AV134)/$Q$4/5,0)*5,"")</f>
        <v>110</v>
      </c>
      <c r="BD134" s="104"/>
      <c r="BE134" s="104"/>
      <c r="BF134" s="106"/>
      <c r="BU134" s="14" t="str">
        <f>INDEX($BH$5:$BH$19,BV133)</f>
        <v>65~70</v>
      </c>
      <c r="BV134" s="14">
        <f>INDEX($BQ$5:$BQ$19,BV133)</f>
        <v>57864</v>
      </c>
      <c r="BW134" s="50">
        <v>122</v>
      </c>
      <c r="BX134" s="50">
        <v>11</v>
      </c>
      <c r="BY134" s="21">
        <f t="shared" si="68"/>
        <v>7.586206896551724E-2</v>
      </c>
      <c r="BZ134" s="65">
        <f t="shared" ref="BZ134:BZ142" si="84">INT(BV$134*BY134)</f>
        <v>4389</v>
      </c>
      <c r="CA134" s="50" t="e">
        <f>SUM(BZ$5:BZ134)</f>
        <v>#REF!</v>
      </c>
      <c r="CD134" s="136">
        <v>130</v>
      </c>
      <c r="CE134" s="14">
        <f t="shared" ref="CE134:CE197" si="85">INT((CD134-1)/5)+1</f>
        <v>26</v>
      </c>
      <c r="CF134" s="14">
        <f t="shared" si="69"/>
        <v>4</v>
      </c>
      <c r="CG134" s="14">
        <f t="shared" si="70"/>
        <v>1102003</v>
      </c>
      <c r="CH134" s="136" t="s">
        <v>1127</v>
      </c>
      <c r="CI134" s="14">
        <f t="shared" si="71"/>
        <v>5</v>
      </c>
      <c r="CJ134" s="14" t="str">
        <f t="shared" si="72"/>
        <v>典韦-5星</v>
      </c>
      <c r="CK134" s="136" t="s">
        <v>1133</v>
      </c>
      <c r="CL134" s="14">
        <f t="shared" ref="CL134:CL197" si="86">INDEX($K$21:$N$25,CI134,CF134-1)</f>
        <v>60000</v>
      </c>
      <c r="CM134" s="14" t="str">
        <f t="shared" si="73"/>
        <v>典韦碎片</v>
      </c>
      <c r="CN134" s="14">
        <f t="shared" ref="CN134:CN197" si="87">INDEX($J$5:$M$9,CI134,CF134-1)</f>
        <v>320</v>
      </c>
    </row>
    <row r="135" spans="8:92" ht="16.5" x14ac:dyDescent="0.2">
      <c r="H135" s="15"/>
      <c r="I135" s="15"/>
      <c r="J135" s="15"/>
      <c r="K135" s="15"/>
      <c r="L135" s="15"/>
      <c r="M135" s="15"/>
      <c r="N135" s="15"/>
      <c r="O135" s="137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41"/>
      <c r="AA135" s="104">
        <v>131</v>
      </c>
      <c r="AB135" s="14">
        <f t="shared" si="74"/>
        <v>3</v>
      </c>
      <c r="AC135" s="14">
        <f>INDEX(挂机升级突破!$BU$6:$BU$57,卡牌消耗!AI135)</f>
        <v>11</v>
      </c>
      <c r="AD135" s="14">
        <f>INDEX(挂机升级突破!BV$6:BV$57,卡牌消耗!$AI135)</f>
        <v>4</v>
      </c>
      <c r="AE135" s="14">
        <f>INDEX(挂机升级突破!BW$6:BW$57,卡牌消耗!$AI135)</f>
        <v>0</v>
      </c>
      <c r="AF135" s="14" t="str">
        <f t="shared" si="75"/>
        <v>典韦</v>
      </c>
      <c r="AG135" s="14">
        <f t="shared" si="76"/>
        <v>4</v>
      </c>
      <c r="AH135" s="14" t="str">
        <f t="shared" si="77"/>
        <v>典韦魂火-27</v>
      </c>
      <c r="AI135" s="14">
        <f t="shared" si="78"/>
        <v>27</v>
      </c>
      <c r="AJ135" s="14" t="str">
        <f>INDEX(挂机升级突破!$BX$4:$CH$4,INDEX(挂机升级突破!$BU$6:$BU$57,卡牌消耗!AI135))</f>
        <v>金币</v>
      </c>
      <c r="AK135" s="14">
        <f>ROUND(INDEX(挂机升级突破!$BN$6:$BN$57,卡牌消耗!AI135)*INDEX(卡牌消耗!$B$8:$F$8,AG135)/$Q$4/50,0)*50</f>
        <v>10250</v>
      </c>
      <c r="AL135" s="14" t="str">
        <f>IF(AD135&gt;0,INDEX(挂机升级突破!$BX$4:$CH$4,AD135),"")</f>
        <v>橙色基础材料</v>
      </c>
      <c r="AM135" s="14">
        <f>ROUND(INDEX(挂机升级突破!$BX$6:$CH$57,卡牌消耗!AI135,AD135)*INDEX(卡牌消耗!$B$5:$F$5,AG135)/$Q$4/5,0)*5</f>
        <v>100</v>
      </c>
      <c r="AN135" s="14" t="str">
        <f>IF(AE135&gt;0,INDEX(挂机升级突破!$BX$4:$CH$4,AE135),"")</f>
        <v/>
      </c>
      <c r="AO135" s="14" t="str">
        <f>IF(AE135&gt;0,ROUND(INDEX(挂机升级突破!$BX$6:$CH$57,卡牌消耗!AI135,AE135)*INDEX(卡牌消耗!$B$7:$F$7,AG135)/$Q$4,0),"")</f>
        <v/>
      </c>
      <c r="AP135" s="106"/>
      <c r="AQ135" s="15"/>
      <c r="AR135" s="104">
        <v>131</v>
      </c>
      <c r="AS135" s="14">
        <f t="shared" si="79"/>
        <v>7</v>
      </c>
      <c r="AT135" s="14">
        <f>INDEX(挂机升级突破!$CM$7:$CM$26,AX135)</f>
        <v>5</v>
      </c>
      <c r="AU135" s="14">
        <f>INDEX(挂机升级突破!$CN$7:$CN$26,AX135)</f>
        <v>2</v>
      </c>
      <c r="AV135" s="14">
        <f t="shared" si="80"/>
        <v>4</v>
      </c>
      <c r="AW135" s="14" t="str">
        <f t="shared" si="81"/>
        <v>天使缇娜</v>
      </c>
      <c r="AX135" s="14">
        <f t="shared" si="82"/>
        <v>11</v>
      </c>
      <c r="AY135" s="14" t="str">
        <f t="shared" si="83"/>
        <v>天使缇娜11突</v>
      </c>
      <c r="AZ135" s="14" t="str">
        <f>IF(AT135&gt;0,INDEX(挂机升级突破!$CV$5:$CZ$5,卡牌消耗!AT135),"")</f>
        <v>金币</v>
      </c>
      <c r="BA135" s="14">
        <f>IF(AT135&gt;0,ROUND(INDEX(挂机升级突破!$CZ$7:$CZ$26,卡牌消耗!AX135)*INDEX(卡牌消耗!$B$8:$F$8,AV135)/$Q$4/500,0)*500,"")</f>
        <v>22000</v>
      </c>
      <c r="BB135" s="14" t="str">
        <f>IF(AU135&gt;0,INDEX(挂机升级突破!$CV$5:$CZ$5,卡牌消耗!AU135),"")</f>
        <v>乌金</v>
      </c>
      <c r="BC135" s="14">
        <f>IF(AU135&gt;0,ROUND(INDEX(挂机升级突破!$CV$7:$CY$26,卡牌消耗!AX135,卡牌消耗!AU135)*INDEX($B$6:$F$6,AV135)/$Q$4/5,0)*5,"")</f>
        <v>145</v>
      </c>
      <c r="BD135" s="104"/>
      <c r="BE135" s="104"/>
      <c r="BF135" s="106"/>
      <c r="BU135" s="50" t="s">
        <v>309</v>
      </c>
      <c r="BV135" s="14">
        <f>INDEX($BR$5:$BR$19,BV133)</f>
        <v>8.5</v>
      </c>
      <c r="BW135" s="50">
        <v>123</v>
      </c>
      <c r="BX135" s="50">
        <v>12</v>
      </c>
      <c r="BY135" s="21">
        <f t="shared" si="68"/>
        <v>8.2758620689655171E-2</v>
      </c>
      <c r="BZ135" s="65">
        <f t="shared" si="84"/>
        <v>4788</v>
      </c>
      <c r="CA135" s="50" t="e">
        <f>SUM(BZ$5:BZ135)</f>
        <v>#REF!</v>
      </c>
      <c r="CD135" s="136">
        <v>131</v>
      </c>
      <c r="CE135" s="14">
        <f t="shared" si="85"/>
        <v>27</v>
      </c>
      <c r="CF135" s="14">
        <f t="shared" si="69"/>
        <v>2</v>
      </c>
      <c r="CG135" s="14">
        <f t="shared" si="70"/>
        <v>1102004</v>
      </c>
      <c r="CH135" s="136" t="s">
        <v>1127</v>
      </c>
      <c r="CI135" s="14">
        <f t="shared" si="71"/>
        <v>1</v>
      </c>
      <c r="CJ135" s="14" t="str">
        <f t="shared" si="72"/>
        <v>唐流雨-1星</v>
      </c>
      <c r="CK135" s="136" t="s">
        <v>1133</v>
      </c>
      <c r="CL135" s="14">
        <f t="shared" si="86"/>
        <v>3000</v>
      </c>
      <c r="CM135" s="14" t="str">
        <f t="shared" si="73"/>
        <v>唐流雨碎片</v>
      </c>
      <c r="CN135" s="14">
        <f t="shared" si="87"/>
        <v>20</v>
      </c>
    </row>
    <row r="136" spans="8:92" ht="16.5" x14ac:dyDescent="0.2">
      <c r="H136" s="15"/>
      <c r="I136" s="15"/>
      <c r="J136" s="15"/>
      <c r="K136" s="15"/>
      <c r="L136" s="15"/>
      <c r="M136" s="15"/>
      <c r="N136" s="15"/>
      <c r="O136" s="137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41"/>
      <c r="AA136" s="104">
        <v>132</v>
      </c>
      <c r="AB136" s="14">
        <f t="shared" si="74"/>
        <v>3</v>
      </c>
      <c r="AC136" s="14">
        <f>INDEX(挂机升级突破!$BU$6:$BU$57,卡牌消耗!AI136)</f>
        <v>11</v>
      </c>
      <c r="AD136" s="14">
        <f>INDEX(挂机升级突破!BV$6:BV$57,卡牌消耗!$AI136)</f>
        <v>4</v>
      </c>
      <c r="AE136" s="14">
        <f>INDEX(挂机升级突破!BW$6:BW$57,卡牌消耗!$AI136)</f>
        <v>0</v>
      </c>
      <c r="AF136" s="14" t="str">
        <f t="shared" si="75"/>
        <v>典韦</v>
      </c>
      <c r="AG136" s="14">
        <f t="shared" si="76"/>
        <v>4</v>
      </c>
      <c r="AH136" s="14" t="str">
        <f t="shared" si="77"/>
        <v>典韦魂火-28</v>
      </c>
      <c r="AI136" s="14">
        <f t="shared" si="78"/>
        <v>28</v>
      </c>
      <c r="AJ136" s="14" t="str">
        <f>INDEX(挂机升级突破!$BX$4:$CH$4,INDEX(挂机升级突破!$BU$6:$BU$57,卡牌消耗!AI136))</f>
        <v>金币</v>
      </c>
      <c r="AK136" s="14">
        <f>ROUND(INDEX(挂机升级突破!$BN$6:$BN$57,卡牌消耗!AI136)*INDEX(卡牌消耗!$B$8:$F$8,AG136)/$Q$4/50,0)*50</f>
        <v>10250</v>
      </c>
      <c r="AL136" s="14" t="str">
        <f>IF(AD136&gt;0,INDEX(挂机升级突破!$BX$4:$CH$4,AD136),"")</f>
        <v>橙色基础材料</v>
      </c>
      <c r="AM136" s="14">
        <f>ROUND(INDEX(挂机升级突破!$BX$6:$CH$57,卡牌消耗!AI136,AD136)*INDEX(卡牌消耗!$B$5:$F$5,AG136)/$Q$4/5,0)*5</f>
        <v>100</v>
      </c>
      <c r="AN136" s="14" t="str">
        <f>IF(AE136&gt;0,INDEX(挂机升级突破!$BX$4:$CH$4,AE136),"")</f>
        <v/>
      </c>
      <c r="AO136" s="14" t="str">
        <f>IF(AE136&gt;0,ROUND(INDEX(挂机升级突破!$BX$6:$CH$57,卡牌消耗!AI136,AE136)*INDEX(卡牌消耗!$B$7:$F$7,AG136)/$Q$4,0),"")</f>
        <v/>
      </c>
      <c r="AP136" s="106"/>
      <c r="AQ136" s="15"/>
      <c r="AR136" s="104">
        <v>132</v>
      </c>
      <c r="AS136" s="14">
        <f t="shared" si="79"/>
        <v>7</v>
      </c>
      <c r="AT136" s="14">
        <f>INDEX(挂机升级突破!$CM$7:$CM$26,AX136)</f>
        <v>5</v>
      </c>
      <c r="AU136" s="14">
        <f>INDEX(挂机升级突破!$CN$7:$CN$26,AX136)</f>
        <v>2</v>
      </c>
      <c r="AV136" s="14">
        <f t="shared" si="80"/>
        <v>4</v>
      </c>
      <c r="AW136" s="14" t="str">
        <f t="shared" si="81"/>
        <v>天使缇娜</v>
      </c>
      <c r="AX136" s="14">
        <f t="shared" si="82"/>
        <v>12</v>
      </c>
      <c r="AY136" s="14" t="str">
        <f t="shared" si="83"/>
        <v>天使缇娜12突</v>
      </c>
      <c r="AZ136" s="14" t="str">
        <f>IF(AT136&gt;0,INDEX(挂机升级突破!$CV$5:$CZ$5,卡牌消耗!AT136),"")</f>
        <v>金币</v>
      </c>
      <c r="BA136" s="14">
        <f>IF(AT136&gt;0,ROUND(INDEX(挂机升级突破!$CZ$7:$CZ$26,卡牌消耗!AX136)*INDEX(卡牌消耗!$B$8:$F$8,AV136)/$Q$4/500,0)*500,"")</f>
        <v>29500</v>
      </c>
      <c r="BB136" s="14" t="str">
        <f>IF(AU136&gt;0,INDEX(挂机升级突破!$CV$5:$CZ$5,卡牌消耗!AU136),"")</f>
        <v>乌金</v>
      </c>
      <c r="BC136" s="14">
        <f>IF(AU136&gt;0,ROUND(INDEX(挂机升级突破!$CV$7:$CY$26,卡牌消耗!AX136,卡牌消耗!AU136)*INDEX($B$6:$F$6,AV136)/$Q$4/5,0)*5,"")</f>
        <v>185</v>
      </c>
      <c r="BD136" s="104"/>
      <c r="BE136" s="104"/>
      <c r="BF136" s="106"/>
      <c r="BU136" s="15"/>
      <c r="BV136" s="14">
        <f>SUM(BX133:BX142)</f>
        <v>145</v>
      </c>
      <c r="BW136" s="50">
        <v>124</v>
      </c>
      <c r="BX136" s="50">
        <v>13</v>
      </c>
      <c r="BY136" s="21">
        <f t="shared" si="68"/>
        <v>8.9655172413793102E-2</v>
      </c>
      <c r="BZ136" s="65">
        <f t="shared" si="84"/>
        <v>5187</v>
      </c>
      <c r="CA136" s="50" t="e">
        <f>SUM(BZ$5:BZ136)</f>
        <v>#REF!</v>
      </c>
      <c r="CD136" s="136">
        <v>132</v>
      </c>
      <c r="CE136" s="14">
        <f t="shared" si="85"/>
        <v>27</v>
      </c>
      <c r="CF136" s="14">
        <f t="shared" si="69"/>
        <v>2</v>
      </c>
      <c r="CG136" s="14">
        <f t="shared" si="70"/>
        <v>1102004</v>
      </c>
      <c r="CH136" s="136" t="s">
        <v>1127</v>
      </c>
      <c r="CI136" s="14">
        <f t="shared" si="71"/>
        <v>2</v>
      </c>
      <c r="CJ136" s="14" t="str">
        <f t="shared" si="72"/>
        <v>唐流雨-2星</v>
      </c>
      <c r="CK136" s="136" t="s">
        <v>1133</v>
      </c>
      <c r="CL136" s="14">
        <f t="shared" si="86"/>
        <v>3500</v>
      </c>
      <c r="CM136" s="14" t="str">
        <f t="shared" si="73"/>
        <v>唐流雨碎片</v>
      </c>
      <c r="CN136" s="14">
        <f t="shared" si="87"/>
        <v>40</v>
      </c>
    </row>
    <row r="137" spans="8:92" ht="16.5" x14ac:dyDescent="0.2">
      <c r="H137" s="15"/>
      <c r="I137" s="15"/>
      <c r="J137" s="15"/>
      <c r="K137" s="15"/>
      <c r="L137" s="15"/>
      <c r="M137" s="15"/>
      <c r="N137" s="15"/>
      <c r="O137" s="137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41"/>
      <c r="AA137" s="104">
        <v>133</v>
      </c>
      <c r="AB137" s="14">
        <f t="shared" si="74"/>
        <v>3</v>
      </c>
      <c r="AC137" s="14">
        <f>INDEX(挂机升级突破!$BU$6:$BU$57,卡牌消耗!AI137)</f>
        <v>11</v>
      </c>
      <c r="AD137" s="14">
        <f>INDEX(挂机升级突破!BV$6:BV$57,卡牌消耗!$AI137)</f>
        <v>4</v>
      </c>
      <c r="AE137" s="14">
        <f>INDEX(挂机升级突破!BW$6:BW$57,卡牌消耗!$AI137)</f>
        <v>0</v>
      </c>
      <c r="AF137" s="14" t="str">
        <f t="shared" si="75"/>
        <v>典韦</v>
      </c>
      <c r="AG137" s="14">
        <f t="shared" si="76"/>
        <v>4</v>
      </c>
      <c r="AH137" s="14" t="str">
        <f t="shared" si="77"/>
        <v>典韦魂火-29</v>
      </c>
      <c r="AI137" s="14">
        <f t="shared" si="78"/>
        <v>29</v>
      </c>
      <c r="AJ137" s="14" t="str">
        <f>INDEX(挂机升级突破!$BX$4:$CH$4,INDEX(挂机升级突破!$BU$6:$BU$57,卡牌消耗!AI137))</f>
        <v>金币</v>
      </c>
      <c r="AK137" s="14">
        <f>ROUND(INDEX(挂机升级突破!$BN$6:$BN$57,卡牌消耗!AI137)*INDEX(卡牌消耗!$B$8:$F$8,AG137)/$Q$4/50,0)*50</f>
        <v>10350</v>
      </c>
      <c r="AL137" s="14" t="str">
        <f>IF(AD137&gt;0,INDEX(挂机升级突破!$BX$4:$CH$4,AD137),"")</f>
        <v>橙色基础材料</v>
      </c>
      <c r="AM137" s="14">
        <f>ROUND(INDEX(挂机升级突破!$BX$6:$CH$57,卡牌消耗!AI137,AD137)*INDEX(卡牌消耗!$B$5:$F$5,AG137)/$Q$4/5,0)*5</f>
        <v>115</v>
      </c>
      <c r="AN137" s="14" t="str">
        <f>IF(AE137&gt;0,INDEX(挂机升级突破!$BX$4:$CH$4,AE137),"")</f>
        <v/>
      </c>
      <c r="AO137" s="14" t="str">
        <f>IF(AE137&gt;0,ROUND(INDEX(挂机升级突破!$BX$6:$CH$57,卡牌消耗!AI137,AE137)*INDEX(卡牌消耗!$B$7:$F$7,AG137)/$Q$4,0),"")</f>
        <v/>
      </c>
      <c r="AP137" s="106"/>
      <c r="AQ137" s="15"/>
      <c r="AR137" s="104">
        <v>133</v>
      </c>
      <c r="AS137" s="14">
        <f t="shared" si="79"/>
        <v>7</v>
      </c>
      <c r="AT137" s="14">
        <f>INDEX(挂机升级突破!$CM$7:$CM$26,AX137)</f>
        <v>5</v>
      </c>
      <c r="AU137" s="14">
        <f>INDEX(挂机升级突破!$CN$7:$CN$26,AX137)</f>
        <v>3</v>
      </c>
      <c r="AV137" s="14">
        <f t="shared" si="80"/>
        <v>4</v>
      </c>
      <c r="AW137" s="14" t="str">
        <f t="shared" si="81"/>
        <v>天使缇娜</v>
      </c>
      <c r="AX137" s="14">
        <f t="shared" si="82"/>
        <v>13</v>
      </c>
      <c r="AY137" s="14" t="str">
        <f t="shared" si="83"/>
        <v>天使缇娜13突</v>
      </c>
      <c r="AZ137" s="14" t="str">
        <f>IF(AT137&gt;0,INDEX(挂机升级突破!$CV$5:$CZ$5,卡牌消耗!AT137),"")</f>
        <v>金币</v>
      </c>
      <c r="BA137" s="14">
        <f>IF(AT137&gt;0,ROUND(INDEX(挂机升级突破!$CZ$7:$CZ$26,卡牌消耗!AX137)*INDEX(卡牌消耗!$B$8:$F$8,AV137)/$Q$4/500,0)*500,"")</f>
        <v>39000</v>
      </c>
      <c r="BB137" s="14" t="str">
        <f>IF(AU137&gt;0,INDEX(挂机升级突破!$CV$5:$CZ$5,卡牌消耗!AU137),"")</f>
        <v>银母</v>
      </c>
      <c r="BC137" s="14">
        <f>IF(AU137&gt;0,ROUND(INDEX(挂机升级突破!$CV$7:$CY$26,卡牌消耗!AX137,卡牌消耗!AU137)*INDEX($B$6:$F$6,AV137)/$Q$4/5,0)*5,"")</f>
        <v>35</v>
      </c>
      <c r="BD137" s="104"/>
      <c r="BE137" s="104"/>
      <c r="BF137" s="106"/>
      <c r="BW137" s="50">
        <v>125</v>
      </c>
      <c r="BX137" s="50">
        <v>14</v>
      </c>
      <c r="BY137" s="21">
        <f t="shared" si="68"/>
        <v>9.6551724137931033E-2</v>
      </c>
      <c r="BZ137" s="65">
        <f t="shared" si="84"/>
        <v>5586</v>
      </c>
      <c r="CA137" s="50" t="e">
        <f>SUM(BZ$5:BZ137)</f>
        <v>#REF!</v>
      </c>
      <c r="CD137" s="136">
        <v>133</v>
      </c>
      <c r="CE137" s="14">
        <f t="shared" si="85"/>
        <v>27</v>
      </c>
      <c r="CF137" s="14">
        <f t="shared" si="69"/>
        <v>2</v>
      </c>
      <c r="CG137" s="14">
        <f t="shared" si="70"/>
        <v>1102004</v>
      </c>
      <c r="CH137" s="136" t="s">
        <v>1127</v>
      </c>
      <c r="CI137" s="14">
        <f t="shared" si="71"/>
        <v>3</v>
      </c>
      <c r="CJ137" s="14" t="str">
        <f t="shared" si="72"/>
        <v>唐流雨-3星</v>
      </c>
      <c r="CK137" s="136" t="s">
        <v>1133</v>
      </c>
      <c r="CL137" s="14">
        <f t="shared" si="86"/>
        <v>7000</v>
      </c>
      <c r="CM137" s="14" t="str">
        <f t="shared" si="73"/>
        <v>唐流雨碎片</v>
      </c>
      <c r="CN137" s="14">
        <f t="shared" si="87"/>
        <v>80</v>
      </c>
    </row>
    <row r="138" spans="8:92" ht="16.5" x14ac:dyDescent="0.2">
      <c r="H138" s="15"/>
      <c r="I138" s="15"/>
      <c r="J138" s="15"/>
      <c r="K138" s="15"/>
      <c r="L138" s="15"/>
      <c r="M138" s="15"/>
      <c r="N138" s="15"/>
      <c r="O138" s="137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41"/>
      <c r="AA138" s="104">
        <v>134</v>
      </c>
      <c r="AB138" s="14">
        <f t="shared" si="74"/>
        <v>3</v>
      </c>
      <c r="AC138" s="14">
        <f>INDEX(挂机升级突破!$BU$6:$BU$57,卡牌消耗!AI138)</f>
        <v>11</v>
      </c>
      <c r="AD138" s="14">
        <f>INDEX(挂机升级突破!BV$6:BV$57,卡牌消耗!$AI138)</f>
        <v>4</v>
      </c>
      <c r="AE138" s="14">
        <f>INDEX(挂机升级突破!BW$6:BW$57,卡牌消耗!$AI138)</f>
        <v>0</v>
      </c>
      <c r="AF138" s="14" t="str">
        <f t="shared" si="75"/>
        <v>典韦</v>
      </c>
      <c r="AG138" s="14">
        <f t="shared" si="76"/>
        <v>4</v>
      </c>
      <c r="AH138" s="14" t="str">
        <f t="shared" si="77"/>
        <v>典韦魂火-30</v>
      </c>
      <c r="AI138" s="14">
        <f t="shared" si="78"/>
        <v>30</v>
      </c>
      <c r="AJ138" s="14" t="str">
        <f>INDEX(挂机升级突破!$BX$4:$CH$4,INDEX(挂机升级突破!$BU$6:$BU$57,卡牌消耗!AI138))</f>
        <v>金币</v>
      </c>
      <c r="AK138" s="14">
        <f>ROUND(INDEX(挂机升级突破!$BN$6:$BN$57,卡牌消耗!AI138)*INDEX(卡牌消耗!$B$8:$F$8,AG138)/$Q$4/50,0)*50</f>
        <v>10350</v>
      </c>
      <c r="AL138" s="14" t="str">
        <f>IF(AD138&gt;0,INDEX(挂机升级突破!$BX$4:$CH$4,AD138),"")</f>
        <v>橙色基础材料</v>
      </c>
      <c r="AM138" s="14">
        <f>ROUND(INDEX(挂机升级突破!$BX$6:$CH$57,卡牌消耗!AI138,AD138)*INDEX(卡牌消耗!$B$5:$F$5,AG138)/$Q$4/5,0)*5</f>
        <v>115</v>
      </c>
      <c r="AN138" s="14" t="str">
        <f>IF(AE138&gt;0,INDEX(挂机升级突破!$BX$4:$CH$4,AE138),"")</f>
        <v/>
      </c>
      <c r="AO138" s="14" t="str">
        <f>IF(AE138&gt;0,ROUND(INDEX(挂机升级突破!$BX$6:$CH$57,卡牌消耗!AI138,AE138)*INDEX(卡牌消耗!$B$7:$F$7,AG138)/$Q$4,0),"")</f>
        <v/>
      </c>
      <c r="AP138" s="106"/>
      <c r="AQ138" s="15"/>
      <c r="AR138" s="104">
        <v>134</v>
      </c>
      <c r="AS138" s="14">
        <f t="shared" si="79"/>
        <v>7</v>
      </c>
      <c r="AT138" s="14">
        <f>INDEX(挂机升级突破!$CM$7:$CM$26,AX138)</f>
        <v>5</v>
      </c>
      <c r="AU138" s="14">
        <f>INDEX(挂机升级突破!$CN$7:$CN$26,AX138)</f>
        <v>3</v>
      </c>
      <c r="AV138" s="14">
        <f t="shared" si="80"/>
        <v>4</v>
      </c>
      <c r="AW138" s="14" t="str">
        <f t="shared" si="81"/>
        <v>天使缇娜</v>
      </c>
      <c r="AX138" s="14">
        <f t="shared" si="82"/>
        <v>14</v>
      </c>
      <c r="AY138" s="14" t="str">
        <f t="shared" si="83"/>
        <v>天使缇娜14突</v>
      </c>
      <c r="AZ138" s="14" t="str">
        <f>IF(AT138&gt;0,INDEX(挂机升级突破!$CV$5:$CZ$5,卡牌消耗!AT138),"")</f>
        <v>金币</v>
      </c>
      <c r="BA138" s="14">
        <f>IF(AT138&gt;0,ROUND(INDEX(挂机升级突破!$CZ$7:$CZ$26,卡牌消耗!AX138)*INDEX(卡牌消耗!$B$8:$F$8,AV138)/$Q$4/500,0)*500,"")</f>
        <v>39000</v>
      </c>
      <c r="BB138" s="14" t="str">
        <f>IF(AU138&gt;0,INDEX(挂机升级突破!$CV$5:$CZ$5,卡牌消耗!AU138),"")</f>
        <v>银母</v>
      </c>
      <c r="BC138" s="14">
        <f>IF(AU138&gt;0,ROUND(INDEX(挂机升级突破!$CV$7:$CY$26,卡牌消耗!AX138,卡牌消耗!AU138)*INDEX($B$6:$F$6,AV138)/$Q$4/5,0)*5,"")</f>
        <v>50</v>
      </c>
      <c r="BD138" s="104"/>
      <c r="BE138" s="104"/>
      <c r="BF138" s="106"/>
      <c r="BW138" s="50">
        <v>126</v>
      </c>
      <c r="BX138" s="50">
        <v>15</v>
      </c>
      <c r="BY138" s="21">
        <f t="shared" si="68"/>
        <v>0.10344827586206896</v>
      </c>
      <c r="BZ138" s="65">
        <f t="shared" si="84"/>
        <v>5985</v>
      </c>
      <c r="CA138" s="50" t="e">
        <f>SUM(BZ$5:BZ138)</f>
        <v>#REF!</v>
      </c>
      <c r="CD138" s="136">
        <v>134</v>
      </c>
      <c r="CE138" s="14">
        <f t="shared" si="85"/>
        <v>27</v>
      </c>
      <c r="CF138" s="14">
        <f t="shared" si="69"/>
        <v>2</v>
      </c>
      <c r="CG138" s="14">
        <f t="shared" si="70"/>
        <v>1102004</v>
      </c>
      <c r="CH138" s="136" t="s">
        <v>1127</v>
      </c>
      <c r="CI138" s="14">
        <f t="shared" si="71"/>
        <v>4</v>
      </c>
      <c r="CJ138" s="14" t="str">
        <f t="shared" si="72"/>
        <v>唐流雨-4星</v>
      </c>
      <c r="CK138" s="136" t="s">
        <v>1133</v>
      </c>
      <c r="CL138" s="14">
        <f t="shared" si="86"/>
        <v>16000</v>
      </c>
      <c r="CM138" s="14" t="str">
        <f t="shared" si="73"/>
        <v>唐流雨碎片</v>
      </c>
      <c r="CN138" s="14">
        <f t="shared" si="87"/>
        <v>120</v>
      </c>
    </row>
    <row r="139" spans="8:92" ht="16.5" x14ac:dyDescent="0.2">
      <c r="H139" s="15"/>
      <c r="I139" s="15"/>
      <c r="J139" s="15"/>
      <c r="K139" s="15"/>
      <c r="L139" s="15"/>
      <c r="M139" s="15"/>
      <c r="N139" s="15"/>
      <c r="O139" s="137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  <c r="AA139" s="104">
        <v>135</v>
      </c>
      <c r="AB139" s="14">
        <f t="shared" si="74"/>
        <v>3</v>
      </c>
      <c r="AC139" s="14">
        <f>INDEX(挂机升级突破!$BU$6:$BU$57,卡牌消耗!AI139)</f>
        <v>11</v>
      </c>
      <c r="AD139" s="14">
        <f>INDEX(挂机升级突破!BV$6:BV$57,卡牌消耗!$AI139)</f>
        <v>4</v>
      </c>
      <c r="AE139" s="14">
        <f>INDEX(挂机升级突破!BW$6:BW$57,卡牌消耗!$AI139)</f>
        <v>0</v>
      </c>
      <c r="AF139" s="14" t="str">
        <f t="shared" si="75"/>
        <v>典韦</v>
      </c>
      <c r="AG139" s="14">
        <f t="shared" si="76"/>
        <v>4</v>
      </c>
      <c r="AH139" s="14" t="str">
        <f t="shared" si="77"/>
        <v>典韦魂火-31</v>
      </c>
      <c r="AI139" s="14">
        <f t="shared" si="78"/>
        <v>31</v>
      </c>
      <c r="AJ139" s="14" t="str">
        <f>INDEX(挂机升级突破!$BX$4:$CH$4,INDEX(挂机升级突破!$BU$6:$BU$57,卡牌消耗!AI139))</f>
        <v>金币</v>
      </c>
      <c r="AK139" s="14">
        <f>ROUND(INDEX(挂机升级突破!$BN$6:$BN$57,卡牌消耗!AI139)*INDEX(卡牌消耗!$B$8:$F$8,AG139)/$Q$4/50,0)*50</f>
        <v>10350</v>
      </c>
      <c r="AL139" s="14" t="str">
        <f>IF(AD139&gt;0,INDEX(挂机升级突破!$BX$4:$CH$4,AD139),"")</f>
        <v>橙色基础材料</v>
      </c>
      <c r="AM139" s="14">
        <f>ROUND(INDEX(挂机升级突破!$BX$6:$CH$57,卡牌消耗!AI139,AD139)*INDEX(卡牌消耗!$B$5:$F$5,AG139)/$Q$4/5,0)*5</f>
        <v>115</v>
      </c>
      <c r="AN139" s="14" t="str">
        <f>IF(AE139&gt;0,INDEX(挂机升级突破!$BX$4:$CH$4,AE139),"")</f>
        <v/>
      </c>
      <c r="AO139" s="14" t="str">
        <f>IF(AE139&gt;0,ROUND(INDEX(挂机升级突破!$BX$6:$CH$57,卡牌消耗!AI139,AE139)*INDEX(卡牌消耗!$B$7:$F$7,AG139)/$Q$4,0),"")</f>
        <v/>
      </c>
      <c r="AP139" s="106"/>
      <c r="AQ139" s="15"/>
      <c r="AR139" s="104">
        <v>135</v>
      </c>
      <c r="AS139" s="14">
        <f t="shared" si="79"/>
        <v>7</v>
      </c>
      <c r="AT139" s="14">
        <f>INDEX(挂机升级突破!$CM$7:$CM$26,AX139)</f>
        <v>5</v>
      </c>
      <c r="AU139" s="14">
        <f>INDEX(挂机升级突破!$CN$7:$CN$26,AX139)</f>
        <v>3</v>
      </c>
      <c r="AV139" s="14">
        <f t="shared" si="80"/>
        <v>4</v>
      </c>
      <c r="AW139" s="14" t="str">
        <f t="shared" si="81"/>
        <v>天使缇娜</v>
      </c>
      <c r="AX139" s="14">
        <f t="shared" si="82"/>
        <v>15</v>
      </c>
      <c r="AY139" s="14" t="str">
        <f t="shared" si="83"/>
        <v>天使缇娜15突</v>
      </c>
      <c r="AZ139" s="14" t="str">
        <f>IF(AT139&gt;0,INDEX(挂机升级突破!$CV$5:$CZ$5,卡牌消耗!AT139),"")</f>
        <v>金币</v>
      </c>
      <c r="BA139" s="14">
        <f>IF(AT139&gt;0,ROUND(INDEX(挂机升级突破!$CZ$7:$CZ$26,卡牌消耗!AX139)*INDEX(卡牌消耗!$B$8:$F$8,AV139)/$Q$4/500,0)*500,"")</f>
        <v>52000</v>
      </c>
      <c r="BB139" s="14" t="str">
        <f>IF(AU139&gt;0,INDEX(挂机升级突破!$CV$5:$CZ$5,卡牌消耗!AU139),"")</f>
        <v>银母</v>
      </c>
      <c r="BC139" s="14">
        <f>IF(AU139&gt;0,ROUND(INDEX(挂机升级突破!$CV$7:$CY$26,卡牌消耗!AX139,卡牌消耗!AU139)*INDEX($B$6:$F$6,AV139)/$Q$4/5,0)*5,"")</f>
        <v>65</v>
      </c>
      <c r="BD139" s="104"/>
      <c r="BE139" s="104"/>
      <c r="BF139" s="106"/>
      <c r="BW139" s="50">
        <v>127</v>
      </c>
      <c r="BX139" s="50">
        <v>16</v>
      </c>
      <c r="BY139" s="21">
        <f t="shared" si="68"/>
        <v>0.1103448275862069</v>
      </c>
      <c r="BZ139" s="65">
        <f t="shared" si="84"/>
        <v>6384</v>
      </c>
      <c r="CA139" s="50" t="e">
        <f>SUM(BZ$5:BZ139)</f>
        <v>#REF!</v>
      </c>
      <c r="CD139" s="136">
        <v>135</v>
      </c>
      <c r="CE139" s="14">
        <f t="shared" si="85"/>
        <v>27</v>
      </c>
      <c r="CF139" s="14">
        <f t="shared" si="69"/>
        <v>2</v>
      </c>
      <c r="CG139" s="14">
        <f t="shared" si="70"/>
        <v>1102004</v>
      </c>
      <c r="CH139" s="136" t="s">
        <v>1127</v>
      </c>
      <c r="CI139" s="14">
        <f t="shared" si="71"/>
        <v>5</v>
      </c>
      <c r="CJ139" s="14" t="str">
        <f t="shared" si="72"/>
        <v>唐流雨-5星</v>
      </c>
      <c r="CK139" s="136" t="s">
        <v>1133</v>
      </c>
      <c r="CL139" s="14">
        <f t="shared" si="86"/>
        <v>30000</v>
      </c>
      <c r="CM139" s="14" t="str">
        <f t="shared" si="73"/>
        <v>唐流雨碎片</v>
      </c>
      <c r="CN139" s="14">
        <f t="shared" si="87"/>
        <v>160</v>
      </c>
    </row>
    <row r="140" spans="8:92" ht="16.5" x14ac:dyDescent="0.2">
      <c r="H140" s="15"/>
      <c r="I140" s="15"/>
      <c r="J140" s="15"/>
      <c r="K140" s="15"/>
      <c r="L140" s="15"/>
      <c r="M140" s="15"/>
      <c r="N140" s="15"/>
      <c r="O140" s="137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41"/>
      <c r="AA140" s="104">
        <v>136</v>
      </c>
      <c r="AB140" s="14">
        <f t="shared" si="74"/>
        <v>3</v>
      </c>
      <c r="AC140" s="14">
        <f>INDEX(挂机升级突破!$BU$6:$BU$57,卡牌消耗!AI140)</f>
        <v>11</v>
      </c>
      <c r="AD140" s="14">
        <f>INDEX(挂机升级突破!BV$6:BV$57,卡牌消耗!$AI140)</f>
        <v>4</v>
      </c>
      <c r="AE140" s="14">
        <f>INDEX(挂机升级突破!BW$6:BW$57,卡牌消耗!$AI140)</f>
        <v>0</v>
      </c>
      <c r="AF140" s="14" t="str">
        <f t="shared" si="75"/>
        <v>典韦</v>
      </c>
      <c r="AG140" s="14">
        <f t="shared" si="76"/>
        <v>4</v>
      </c>
      <c r="AH140" s="14" t="str">
        <f t="shared" si="77"/>
        <v>典韦魂火-32</v>
      </c>
      <c r="AI140" s="14">
        <f t="shared" si="78"/>
        <v>32</v>
      </c>
      <c r="AJ140" s="14" t="str">
        <f>INDEX(挂机升级突破!$BX$4:$CH$4,INDEX(挂机升级突破!$BU$6:$BU$57,卡牌消耗!AI140))</f>
        <v>金币</v>
      </c>
      <c r="AK140" s="14">
        <f>ROUND(INDEX(挂机升级突破!$BN$6:$BN$57,卡牌消耗!AI140)*INDEX(卡牌消耗!$B$8:$F$8,AG140)/$Q$4/50,0)*50</f>
        <v>14250</v>
      </c>
      <c r="AL140" s="14" t="str">
        <f>IF(AD140&gt;0,INDEX(挂机升级突破!$BX$4:$CH$4,AD140),"")</f>
        <v>橙色基础材料</v>
      </c>
      <c r="AM140" s="14">
        <f>ROUND(INDEX(挂机升级突破!$BX$6:$CH$57,卡牌消耗!AI140,AD140)*INDEX(卡牌消耗!$B$5:$F$5,AG140)/$Q$4/5,0)*5</f>
        <v>115</v>
      </c>
      <c r="AN140" s="14" t="str">
        <f>IF(AE140&gt;0,INDEX(挂机升级突破!$BX$4:$CH$4,AE140),"")</f>
        <v/>
      </c>
      <c r="AO140" s="14" t="str">
        <f>IF(AE140&gt;0,ROUND(INDEX(挂机升级突破!$BX$6:$CH$57,卡牌消耗!AI140,AE140)*INDEX(卡牌消耗!$B$7:$F$7,AG140)/$Q$4,0),"")</f>
        <v/>
      </c>
      <c r="AP140" s="106"/>
      <c r="AQ140" s="15"/>
      <c r="AR140" s="104">
        <v>136</v>
      </c>
      <c r="AS140" s="14">
        <f t="shared" si="79"/>
        <v>7</v>
      </c>
      <c r="AT140" s="14">
        <f>INDEX(挂机升级突破!$CM$7:$CM$26,AX140)</f>
        <v>5</v>
      </c>
      <c r="AU140" s="14">
        <f>INDEX(挂机升级突破!$CN$7:$CN$26,AX140)</f>
        <v>3</v>
      </c>
      <c r="AV140" s="14">
        <f t="shared" si="80"/>
        <v>4</v>
      </c>
      <c r="AW140" s="14" t="str">
        <f t="shared" si="81"/>
        <v>天使缇娜</v>
      </c>
      <c r="AX140" s="14">
        <f t="shared" si="82"/>
        <v>16</v>
      </c>
      <c r="AY140" s="14" t="str">
        <f t="shared" si="83"/>
        <v>天使缇娜16突</v>
      </c>
      <c r="AZ140" s="14" t="str">
        <f>IF(AT140&gt;0,INDEX(挂机升级突破!$CV$5:$CZ$5,卡牌消耗!AT140),"")</f>
        <v>金币</v>
      </c>
      <c r="BA140" s="14">
        <f>IF(AT140&gt;0,ROUND(INDEX(挂机升级突破!$CZ$7:$CZ$26,卡牌消耗!AX140)*INDEX(卡牌消耗!$B$8:$F$8,AV140)/$Q$4/500,0)*500,"")</f>
        <v>94000</v>
      </c>
      <c r="BB140" s="14" t="str">
        <f>IF(AU140&gt;0,INDEX(挂机升级突破!$CV$5:$CZ$5,卡牌消耗!AU140),"")</f>
        <v>银母</v>
      </c>
      <c r="BC140" s="14">
        <f>IF(AU140&gt;0,ROUND(INDEX(挂机升级突破!$CV$7:$CY$26,卡牌消耗!AX140,卡牌消耗!AU140)*INDEX($B$6:$F$6,AV140)/$Q$4/5,0)*5,"")</f>
        <v>85</v>
      </c>
      <c r="BD140" s="104"/>
      <c r="BE140" s="104"/>
      <c r="BF140" s="106"/>
      <c r="BW140" s="50">
        <v>128</v>
      </c>
      <c r="BX140" s="50">
        <v>17</v>
      </c>
      <c r="BY140" s="21">
        <f t="shared" si="68"/>
        <v>0.11724137931034483</v>
      </c>
      <c r="BZ140" s="65">
        <f t="shared" si="84"/>
        <v>6784</v>
      </c>
      <c r="CA140" s="50" t="e">
        <f>SUM(BZ$5:BZ140)</f>
        <v>#REF!</v>
      </c>
      <c r="CD140" s="136">
        <v>136</v>
      </c>
      <c r="CE140" s="14">
        <f t="shared" si="85"/>
        <v>28</v>
      </c>
      <c r="CF140" s="14">
        <f t="shared" si="69"/>
        <v>3</v>
      </c>
      <c r="CG140" s="14">
        <f t="shared" si="70"/>
        <v>1102005</v>
      </c>
      <c r="CH140" s="136" t="s">
        <v>1127</v>
      </c>
      <c r="CI140" s="14">
        <f t="shared" si="71"/>
        <v>1</v>
      </c>
      <c r="CJ140" s="14" t="str">
        <f t="shared" si="72"/>
        <v>李轩辕-1星</v>
      </c>
      <c r="CK140" s="136" t="s">
        <v>1133</v>
      </c>
      <c r="CL140" s="14">
        <f t="shared" si="86"/>
        <v>4000</v>
      </c>
      <c r="CM140" s="14" t="str">
        <f t="shared" si="73"/>
        <v>李轩辕碎片</v>
      </c>
      <c r="CN140" s="14">
        <f t="shared" si="87"/>
        <v>40</v>
      </c>
    </row>
    <row r="141" spans="8:92" ht="16.5" x14ac:dyDescent="0.2">
      <c r="H141" s="15"/>
      <c r="I141" s="15"/>
      <c r="J141" s="15"/>
      <c r="K141" s="15"/>
      <c r="L141" s="15"/>
      <c r="M141" s="15"/>
      <c r="N141" s="15"/>
      <c r="O141" s="137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41"/>
      <c r="AA141" s="104">
        <v>137</v>
      </c>
      <c r="AB141" s="14">
        <f t="shared" si="74"/>
        <v>3</v>
      </c>
      <c r="AC141" s="14">
        <f>INDEX(挂机升级突破!$BU$6:$BU$57,卡牌消耗!AI141)</f>
        <v>11</v>
      </c>
      <c r="AD141" s="14">
        <f>INDEX(挂机升级突破!BV$6:BV$57,卡牌消耗!$AI141)</f>
        <v>4</v>
      </c>
      <c r="AE141" s="14">
        <f>INDEX(挂机升级突破!BW$6:BW$57,卡牌消耗!$AI141)</f>
        <v>0</v>
      </c>
      <c r="AF141" s="14" t="str">
        <f t="shared" si="75"/>
        <v>典韦</v>
      </c>
      <c r="AG141" s="14">
        <f t="shared" si="76"/>
        <v>4</v>
      </c>
      <c r="AH141" s="14" t="str">
        <f t="shared" si="77"/>
        <v>典韦魂火-33</v>
      </c>
      <c r="AI141" s="14">
        <f t="shared" si="78"/>
        <v>33</v>
      </c>
      <c r="AJ141" s="14" t="str">
        <f>INDEX(挂机升级突破!$BX$4:$CH$4,INDEX(挂机升级突破!$BU$6:$BU$57,卡牌消耗!AI141))</f>
        <v>金币</v>
      </c>
      <c r="AK141" s="14">
        <f>ROUND(INDEX(挂机升级突破!$BN$6:$BN$57,卡牌消耗!AI141)*INDEX(卡牌消耗!$B$8:$F$8,AG141)/$Q$4/50,0)*50</f>
        <v>14250</v>
      </c>
      <c r="AL141" s="14" t="str">
        <f>IF(AD141&gt;0,INDEX(挂机升级突破!$BX$4:$CH$4,AD141),"")</f>
        <v>橙色基础材料</v>
      </c>
      <c r="AM141" s="14">
        <f>ROUND(INDEX(挂机升级突破!$BX$6:$CH$57,卡牌消耗!AI141,AD141)*INDEX(卡牌消耗!$B$5:$F$5,AG141)/$Q$4/5,0)*5</f>
        <v>115</v>
      </c>
      <c r="AN141" s="14" t="str">
        <f>IF(AE141&gt;0,INDEX(挂机升级突破!$BX$4:$CH$4,AE141),"")</f>
        <v/>
      </c>
      <c r="AO141" s="14" t="str">
        <f>IF(AE141&gt;0,ROUND(INDEX(挂机升级突破!$BX$6:$CH$57,卡牌消耗!AI141,AE141)*INDEX(卡牌消耗!$B$7:$F$7,AG141)/$Q$4,0),"")</f>
        <v/>
      </c>
      <c r="AP141" s="106"/>
      <c r="AQ141" s="15"/>
      <c r="AR141" s="104">
        <v>137</v>
      </c>
      <c r="AS141" s="14">
        <f t="shared" si="79"/>
        <v>7</v>
      </c>
      <c r="AT141" s="14">
        <f>INDEX(挂机升级突破!$CM$7:$CM$26,AX141)</f>
        <v>5</v>
      </c>
      <c r="AU141" s="14">
        <f>INDEX(挂机升级突破!$CN$7:$CN$26,AX141)</f>
        <v>4</v>
      </c>
      <c r="AV141" s="14">
        <f t="shared" si="80"/>
        <v>4</v>
      </c>
      <c r="AW141" s="14" t="str">
        <f t="shared" si="81"/>
        <v>天使缇娜</v>
      </c>
      <c r="AX141" s="14">
        <f t="shared" si="82"/>
        <v>17</v>
      </c>
      <c r="AY141" s="14" t="str">
        <f t="shared" si="83"/>
        <v>天使缇娜17突</v>
      </c>
      <c r="AZ141" s="14" t="str">
        <f>IF(AT141&gt;0,INDEX(挂机升级突破!$CV$5:$CZ$5,卡牌消耗!AT141),"")</f>
        <v>金币</v>
      </c>
      <c r="BA141" s="14">
        <f>IF(AT141&gt;0,ROUND(INDEX(挂机升级突破!$CZ$7:$CZ$26,卡牌消耗!AX141)*INDEX(卡牌消耗!$B$8:$F$8,AV141)/$Q$4/500,0)*500,"")</f>
        <v>94000</v>
      </c>
      <c r="BB141" s="14" t="str">
        <f>IF(AU141&gt;0,INDEX(挂机升级突破!$CV$5:$CZ$5,卡牌消耗!AU141),"")</f>
        <v>铀金</v>
      </c>
      <c r="BC141" s="14">
        <f>IF(AU141&gt;0,ROUND(INDEX(挂机升级突破!$CV$7:$CY$26,卡牌消耗!AX141,卡牌消耗!AU141)*INDEX($B$6:$F$6,AV141)/$Q$4/5,0)*5,"")</f>
        <v>30</v>
      </c>
      <c r="BD141" s="104"/>
      <c r="BE141" s="104"/>
      <c r="BF141" s="106"/>
      <c r="BW141" s="50">
        <v>129</v>
      </c>
      <c r="BX141" s="50">
        <v>18</v>
      </c>
      <c r="BY141" s="21">
        <f t="shared" si="68"/>
        <v>0.12413793103448276</v>
      </c>
      <c r="BZ141" s="65">
        <f t="shared" si="84"/>
        <v>7183</v>
      </c>
      <c r="CA141" s="50" t="e">
        <f>SUM(BZ$5:BZ141)</f>
        <v>#REF!</v>
      </c>
      <c r="CD141" s="136">
        <v>137</v>
      </c>
      <c r="CE141" s="14">
        <f t="shared" si="85"/>
        <v>28</v>
      </c>
      <c r="CF141" s="14">
        <f t="shared" si="69"/>
        <v>3</v>
      </c>
      <c r="CG141" s="14">
        <f t="shared" si="70"/>
        <v>1102005</v>
      </c>
      <c r="CH141" s="136" t="s">
        <v>1127</v>
      </c>
      <c r="CI141" s="14">
        <f t="shared" si="71"/>
        <v>2</v>
      </c>
      <c r="CJ141" s="14" t="str">
        <f t="shared" si="72"/>
        <v>李轩辕-2星</v>
      </c>
      <c r="CK141" s="136" t="s">
        <v>1133</v>
      </c>
      <c r="CL141" s="14">
        <f t="shared" si="86"/>
        <v>5000</v>
      </c>
      <c r="CM141" s="14" t="str">
        <f t="shared" si="73"/>
        <v>李轩辕碎片</v>
      </c>
      <c r="CN141" s="14">
        <f t="shared" si="87"/>
        <v>80</v>
      </c>
    </row>
    <row r="142" spans="8:92" ht="16.5" x14ac:dyDescent="0.2">
      <c r="H142" s="15"/>
      <c r="I142" s="15"/>
      <c r="J142" s="15"/>
      <c r="K142" s="15"/>
      <c r="L142" s="15"/>
      <c r="M142" s="15"/>
      <c r="N142" s="15"/>
      <c r="O142" s="137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41"/>
      <c r="AA142" s="104">
        <v>138</v>
      </c>
      <c r="AB142" s="14">
        <f t="shared" si="74"/>
        <v>3</v>
      </c>
      <c r="AC142" s="14">
        <f>INDEX(挂机升级突破!$BU$6:$BU$57,卡牌消耗!AI142)</f>
        <v>11</v>
      </c>
      <c r="AD142" s="14">
        <f>INDEX(挂机升级突破!BV$6:BV$57,卡牌消耗!$AI142)</f>
        <v>4</v>
      </c>
      <c r="AE142" s="14">
        <f>INDEX(挂机升级突破!BW$6:BW$57,卡牌消耗!$AI142)</f>
        <v>0</v>
      </c>
      <c r="AF142" s="14" t="str">
        <f t="shared" si="75"/>
        <v>典韦</v>
      </c>
      <c r="AG142" s="14">
        <f t="shared" si="76"/>
        <v>4</v>
      </c>
      <c r="AH142" s="14" t="str">
        <f t="shared" si="77"/>
        <v>典韦魂火-34</v>
      </c>
      <c r="AI142" s="14">
        <f t="shared" si="78"/>
        <v>34</v>
      </c>
      <c r="AJ142" s="14" t="str">
        <f>INDEX(挂机升级突破!$BX$4:$CH$4,INDEX(挂机升级突破!$BU$6:$BU$57,卡牌消耗!AI142))</f>
        <v>金币</v>
      </c>
      <c r="AK142" s="14">
        <f>ROUND(INDEX(挂机升级突破!$BN$6:$BN$57,卡牌消耗!AI142)*INDEX(卡牌消耗!$B$8:$F$8,AG142)/$Q$4/50,0)*50</f>
        <v>14250</v>
      </c>
      <c r="AL142" s="14" t="str">
        <f>IF(AD142&gt;0,INDEX(挂机升级突破!$BX$4:$CH$4,AD142),"")</f>
        <v>橙色基础材料</v>
      </c>
      <c r="AM142" s="14">
        <f>ROUND(INDEX(挂机升级突破!$BX$6:$CH$57,卡牌消耗!AI142,AD142)*INDEX(卡牌消耗!$B$5:$F$5,AG142)/$Q$4/5,0)*5</f>
        <v>135</v>
      </c>
      <c r="AN142" s="14" t="str">
        <f>IF(AE142&gt;0,INDEX(挂机升级突破!$BX$4:$CH$4,AE142),"")</f>
        <v/>
      </c>
      <c r="AO142" s="14" t="str">
        <f>IF(AE142&gt;0,ROUND(INDEX(挂机升级突破!$BX$6:$CH$57,卡牌消耗!AI142,AE142)*INDEX(卡牌消耗!$B$7:$F$7,AG142)/$Q$4,0),"")</f>
        <v/>
      </c>
      <c r="AP142" s="106"/>
      <c r="AQ142" s="15"/>
      <c r="AR142" s="104">
        <v>138</v>
      </c>
      <c r="AS142" s="14">
        <f t="shared" si="79"/>
        <v>7</v>
      </c>
      <c r="AT142" s="14">
        <f>INDEX(挂机升级突破!$CM$7:$CM$26,AX142)</f>
        <v>5</v>
      </c>
      <c r="AU142" s="14">
        <f>INDEX(挂机升级突破!$CN$7:$CN$26,AX142)</f>
        <v>4</v>
      </c>
      <c r="AV142" s="14">
        <f t="shared" si="80"/>
        <v>4</v>
      </c>
      <c r="AW142" s="14" t="str">
        <f t="shared" si="81"/>
        <v>天使缇娜</v>
      </c>
      <c r="AX142" s="14">
        <f t="shared" si="82"/>
        <v>18</v>
      </c>
      <c r="AY142" s="14" t="str">
        <f t="shared" si="83"/>
        <v>天使缇娜18突</v>
      </c>
      <c r="AZ142" s="14" t="str">
        <f>IF(AT142&gt;0,INDEX(挂机升级突破!$CV$5:$CZ$5,卡牌消耗!AT142),"")</f>
        <v>金币</v>
      </c>
      <c r="BA142" s="14">
        <f>IF(AT142&gt;0,ROUND(INDEX(挂机升级突破!$CZ$7:$CZ$26,卡牌消耗!AX142)*INDEX(卡牌消耗!$B$8:$F$8,AV142)/$Q$4/500,0)*500,"")</f>
        <v>125500</v>
      </c>
      <c r="BB142" s="14" t="str">
        <f>IF(AU142&gt;0,INDEX(挂机升级突破!$CV$5:$CZ$5,卡牌消耗!AU142),"")</f>
        <v>铀金</v>
      </c>
      <c r="BC142" s="14">
        <f>IF(AU142&gt;0,ROUND(INDEX(挂机升级突破!$CV$7:$CY$26,卡牌消耗!AX142,卡牌消耗!AU142)*INDEX($B$6:$F$6,AV142)/$Q$4/5,0)*5,"")</f>
        <v>40</v>
      </c>
      <c r="BD142" s="104"/>
      <c r="BE142" s="104"/>
      <c r="BF142" s="106"/>
      <c r="BW142" s="50">
        <v>130</v>
      </c>
      <c r="BX142" s="50">
        <v>19</v>
      </c>
      <c r="BY142" s="21">
        <f t="shared" si="68"/>
        <v>0.1310344827586207</v>
      </c>
      <c r="BZ142" s="65">
        <f t="shared" si="84"/>
        <v>7582</v>
      </c>
      <c r="CA142" s="50" t="e">
        <f>SUM(BZ$5:BZ142)</f>
        <v>#REF!</v>
      </c>
      <c r="CD142" s="136">
        <v>138</v>
      </c>
      <c r="CE142" s="14">
        <f t="shared" si="85"/>
        <v>28</v>
      </c>
      <c r="CF142" s="14">
        <f t="shared" si="69"/>
        <v>3</v>
      </c>
      <c r="CG142" s="14">
        <f t="shared" si="70"/>
        <v>1102005</v>
      </c>
      <c r="CH142" s="136" t="s">
        <v>1127</v>
      </c>
      <c r="CI142" s="14">
        <f t="shared" si="71"/>
        <v>3</v>
      </c>
      <c r="CJ142" s="14" t="str">
        <f t="shared" si="72"/>
        <v>李轩辕-3星</v>
      </c>
      <c r="CK142" s="136" t="s">
        <v>1133</v>
      </c>
      <c r="CL142" s="14">
        <f t="shared" si="86"/>
        <v>10000</v>
      </c>
      <c r="CM142" s="14" t="str">
        <f t="shared" si="73"/>
        <v>李轩辕碎片</v>
      </c>
      <c r="CN142" s="14">
        <f t="shared" si="87"/>
        <v>120</v>
      </c>
    </row>
    <row r="143" spans="8:92" ht="16.5" x14ac:dyDescent="0.2">
      <c r="H143" s="15"/>
      <c r="I143" s="15"/>
      <c r="J143" s="15"/>
      <c r="K143" s="15"/>
      <c r="L143" s="15"/>
      <c r="M143" s="15"/>
      <c r="N143" s="15"/>
      <c r="O143" s="137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04">
        <v>139</v>
      </c>
      <c r="AB143" s="14">
        <f t="shared" si="74"/>
        <v>3</v>
      </c>
      <c r="AC143" s="14">
        <f>INDEX(挂机升级突破!$BU$6:$BU$57,卡牌消耗!AI143)</f>
        <v>11</v>
      </c>
      <c r="AD143" s="14">
        <f>INDEX(挂机升级突破!BV$6:BV$57,卡牌消耗!$AI143)</f>
        <v>4</v>
      </c>
      <c r="AE143" s="14">
        <f>INDEX(挂机升级突破!BW$6:BW$57,卡牌消耗!$AI143)</f>
        <v>0</v>
      </c>
      <c r="AF143" s="14" t="str">
        <f t="shared" si="75"/>
        <v>典韦</v>
      </c>
      <c r="AG143" s="14">
        <f t="shared" si="76"/>
        <v>4</v>
      </c>
      <c r="AH143" s="14" t="str">
        <f t="shared" si="77"/>
        <v>典韦魂火-35</v>
      </c>
      <c r="AI143" s="14">
        <f t="shared" si="78"/>
        <v>35</v>
      </c>
      <c r="AJ143" s="14" t="str">
        <f>INDEX(挂机升级突破!$BX$4:$CH$4,INDEX(挂机升级突破!$BU$6:$BU$57,卡牌消耗!AI143))</f>
        <v>金币</v>
      </c>
      <c r="AK143" s="14">
        <f>ROUND(INDEX(挂机升级突破!$BN$6:$BN$57,卡牌消耗!AI143)*INDEX(卡牌消耗!$B$8:$F$8,AG143)/$Q$4/50,0)*50</f>
        <v>18150</v>
      </c>
      <c r="AL143" s="14" t="str">
        <f>IF(AD143&gt;0,INDEX(挂机升级突破!$BX$4:$CH$4,AD143),"")</f>
        <v>橙色基础材料</v>
      </c>
      <c r="AM143" s="14">
        <f>ROUND(INDEX(挂机升级突破!$BX$6:$CH$57,卡牌消耗!AI143,AD143)*INDEX(卡牌消耗!$B$5:$F$5,AG143)/$Q$4/5,0)*5</f>
        <v>135</v>
      </c>
      <c r="AN143" s="14" t="str">
        <f>IF(AE143&gt;0,INDEX(挂机升级突破!$BX$4:$CH$4,AE143),"")</f>
        <v/>
      </c>
      <c r="AO143" s="14" t="str">
        <f>IF(AE143&gt;0,ROUND(INDEX(挂机升级突破!$BX$6:$CH$57,卡牌消耗!AI143,AE143)*INDEX(卡牌消耗!$B$7:$F$7,AG143)/$Q$4,0),"")</f>
        <v/>
      </c>
      <c r="AP143" s="106"/>
      <c r="AQ143" s="15"/>
      <c r="AR143" s="104">
        <v>139</v>
      </c>
      <c r="AS143" s="14">
        <f t="shared" si="79"/>
        <v>7</v>
      </c>
      <c r="AT143" s="14">
        <f>INDEX(挂机升级突破!$CM$7:$CM$26,AX143)</f>
        <v>5</v>
      </c>
      <c r="AU143" s="14">
        <f>INDEX(挂机升级突破!$CN$7:$CN$26,AX143)</f>
        <v>4</v>
      </c>
      <c r="AV143" s="14">
        <f t="shared" si="80"/>
        <v>4</v>
      </c>
      <c r="AW143" s="14" t="str">
        <f t="shared" si="81"/>
        <v>天使缇娜</v>
      </c>
      <c r="AX143" s="14">
        <f t="shared" si="82"/>
        <v>19</v>
      </c>
      <c r="AY143" s="14" t="str">
        <f t="shared" si="83"/>
        <v>天使缇娜19突</v>
      </c>
      <c r="AZ143" s="14" t="str">
        <f>IF(AT143&gt;0,INDEX(挂机升级突破!$CV$5:$CZ$5,卡牌消耗!AT143),"")</f>
        <v>金币</v>
      </c>
      <c r="BA143" s="14">
        <f>IF(AT143&gt;0,ROUND(INDEX(挂机升级突破!$CZ$7:$CZ$26,卡牌消耗!AX143)*INDEX(卡牌消耗!$B$8:$F$8,AV143)/$Q$4/500,0)*500,"")</f>
        <v>760000</v>
      </c>
      <c r="BB143" s="14" t="str">
        <f>IF(AU143&gt;0,INDEX(挂机升级突破!$CV$5:$CZ$5,卡牌消耗!AU143),"")</f>
        <v>铀金</v>
      </c>
      <c r="BC143" s="14">
        <f>IF(AU143&gt;0,ROUND(INDEX(挂机升级突破!$CV$7:$CY$26,卡牌消耗!AX143,卡牌消耗!AU143)*INDEX($B$6:$F$6,AV143)/$Q$4/5,0)*5,"")</f>
        <v>55</v>
      </c>
      <c r="BD143" s="104"/>
      <c r="BE143" s="104"/>
      <c r="BF143" s="106"/>
      <c r="BU143" s="50" t="s">
        <v>310</v>
      </c>
      <c r="BV143" s="50">
        <v>14</v>
      </c>
      <c r="BW143" s="50">
        <v>131</v>
      </c>
      <c r="BX143" s="50">
        <v>10</v>
      </c>
      <c r="BY143" s="21">
        <f t="shared" ref="BY143:BY152" si="88">BX143/BV$146</f>
        <v>6.8965517241379309E-2</v>
      </c>
      <c r="BZ143" s="50">
        <f>INT(BV$144*BY143)</f>
        <v>5063</v>
      </c>
      <c r="CA143" s="50" t="e">
        <f>SUM(BZ$5:BZ143)</f>
        <v>#REF!</v>
      </c>
      <c r="CD143" s="136">
        <v>139</v>
      </c>
      <c r="CE143" s="14">
        <f t="shared" si="85"/>
        <v>28</v>
      </c>
      <c r="CF143" s="14">
        <f t="shared" si="69"/>
        <v>3</v>
      </c>
      <c r="CG143" s="14">
        <f t="shared" si="70"/>
        <v>1102005</v>
      </c>
      <c r="CH143" s="136" t="s">
        <v>1127</v>
      </c>
      <c r="CI143" s="14">
        <f t="shared" si="71"/>
        <v>4</v>
      </c>
      <c r="CJ143" s="14" t="str">
        <f t="shared" si="72"/>
        <v>李轩辕-4星</v>
      </c>
      <c r="CK143" s="136" t="s">
        <v>1133</v>
      </c>
      <c r="CL143" s="14">
        <f t="shared" si="86"/>
        <v>20000</v>
      </c>
      <c r="CM143" s="14" t="str">
        <f t="shared" si="73"/>
        <v>李轩辕碎片</v>
      </c>
      <c r="CN143" s="14">
        <f t="shared" si="87"/>
        <v>160</v>
      </c>
    </row>
    <row r="144" spans="8:92" ht="16.5" x14ac:dyDescent="0.2">
      <c r="H144" s="15"/>
      <c r="I144" s="15"/>
      <c r="J144" s="15"/>
      <c r="K144" s="15"/>
      <c r="L144" s="15"/>
      <c r="M144" s="15"/>
      <c r="N144" s="15"/>
      <c r="O144" s="137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41"/>
      <c r="AA144" s="104">
        <v>140</v>
      </c>
      <c r="AB144" s="14">
        <f t="shared" si="74"/>
        <v>3</v>
      </c>
      <c r="AC144" s="14">
        <f>INDEX(挂机升级突破!$BU$6:$BU$57,卡牌消耗!AI144)</f>
        <v>11</v>
      </c>
      <c r="AD144" s="14">
        <f>INDEX(挂机升级突破!BV$6:BV$57,卡牌消耗!$AI144)</f>
        <v>4</v>
      </c>
      <c r="AE144" s="14">
        <f>INDEX(挂机升级突破!BW$6:BW$57,卡牌消耗!$AI144)</f>
        <v>0</v>
      </c>
      <c r="AF144" s="14" t="str">
        <f t="shared" si="75"/>
        <v>典韦</v>
      </c>
      <c r="AG144" s="14">
        <f t="shared" si="76"/>
        <v>4</v>
      </c>
      <c r="AH144" s="14" t="str">
        <f t="shared" si="77"/>
        <v>典韦魂火-36</v>
      </c>
      <c r="AI144" s="14">
        <f t="shared" si="78"/>
        <v>36</v>
      </c>
      <c r="AJ144" s="14" t="str">
        <f>INDEX(挂机升级突破!$BX$4:$CH$4,INDEX(挂机升级突破!$BU$6:$BU$57,卡牌消耗!AI144))</f>
        <v>金币</v>
      </c>
      <c r="AK144" s="14">
        <f>ROUND(INDEX(挂机升级突破!$BN$6:$BN$57,卡牌消耗!AI144)*INDEX(卡牌消耗!$B$8:$F$8,AG144)/$Q$4/50,0)*50</f>
        <v>18150</v>
      </c>
      <c r="AL144" s="14" t="str">
        <f>IF(AD144&gt;0,INDEX(挂机升级突破!$BX$4:$CH$4,AD144),"")</f>
        <v>橙色基础材料</v>
      </c>
      <c r="AM144" s="14">
        <f>ROUND(INDEX(挂机升级突破!$BX$6:$CH$57,卡牌消耗!AI144,AD144)*INDEX(卡牌消耗!$B$5:$F$5,AG144)/$Q$4/5,0)*5</f>
        <v>135</v>
      </c>
      <c r="AN144" s="14" t="str">
        <f>IF(AE144&gt;0,INDEX(挂机升级突破!$BX$4:$CH$4,AE144),"")</f>
        <v/>
      </c>
      <c r="AO144" s="14" t="str">
        <f>IF(AE144&gt;0,ROUND(INDEX(挂机升级突破!$BX$6:$CH$57,卡牌消耗!AI144,AE144)*INDEX(卡牌消耗!$B$7:$F$7,AG144)/$Q$4,0),"")</f>
        <v/>
      </c>
      <c r="AP144" s="106"/>
      <c r="AQ144" s="15"/>
      <c r="AR144" s="104">
        <v>140</v>
      </c>
      <c r="AS144" s="14">
        <f t="shared" si="79"/>
        <v>7</v>
      </c>
      <c r="AT144" s="14">
        <f>INDEX(挂机升级突破!$CM$7:$CM$26,AX144)</f>
        <v>5</v>
      </c>
      <c r="AU144" s="14">
        <f>INDEX(挂机升级突破!$CN$7:$CN$26,AX144)</f>
        <v>4</v>
      </c>
      <c r="AV144" s="14">
        <f t="shared" si="80"/>
        <v>4</v>
      </c>
      <c r="AW144" s="14" t="str">
        <f t="shared" si="81"/>
        <v>天使缇娜</v>
      </c>
      <c r="AX144" s="14">
        <f t="shared" si="82"/>
        <v>20</v>
      </c>
      <c r="AY144" s="14" t="str">
        <f t="shared" si="83"/>
        <v>天使缇娜20突</v>
      </c>
      <c r="AZ144" s="14" t="str">
        <f>IF(AT144&gt;0,INDEX(挂机升级突破!$CV$5:$CZ$5,卡牌消耗!AT144),"")</f>
        <v>金币</v>
      </c>
      <c r="BA144" s="14">
        <f>IF(AT144&gt;0,ROUND(INDEX(挂机升级突破!$CZ$7:$CZ$26,卡牌消耗!AX144)*INDEX(卡牌消耗!$B$8:$F$8,AV144)/$Q$4/500,0)*500,"")</f>
        <v>1139500</v>
      </c>
      <c r="BB144" s="14" t="str">
        <f>IF(AU144&gt;0,INDEX(挂机升级突破!$CV$5:$CZ$5,卡牌消耗!AU144),"")</f>
        <v>铀金</v>
      </c>
      <c r="BC144" s="14">
        <f>IF(AU144&gt;0,ROUND(INDEX(挂机升级突破!$CV$7:$CY$26,卡牌消耗!AX144,卡牌消耗!AU144)*INDEX($B$6:$F$6,AV144)/$Q$4/5,0)*5,"")</f>
        <v>70</v>
      </c>
      <c r="BD144" s="104"/>
      <c r="BE144" s="104"/>
      <c r="BF144" s="106"/>
      <c r="BU144" s="14" t="str">
        <f>INDEX($BH$5:$BH$19,BV143)</f>
        <v>70~75</v>
      </c>
      <c r="BV144" s="14">
        <f>INDEX($BQ$5:$BQ$19,BV143)</f>
        <v>73416</v>
      </c>
      <c r="BW144" s="50">
        <v>132</v>
      </c>
      <c r="BX144" s="50">
        <v>11</v>
      </c>
      <c r="BY144" s="21">
        <f t="shared" si="88"/>
        <v>7.586206896551724E-2</v>
      </c>
      <c r="BZ144" s="65">
        <f t="shared" ref="BZ144:BZ152" si="89">INT(BV$144*BY144)</f>
        <v>5569</v>
      </c>
      <c r="CA144" s="50" t="e">
        <f>SUM(BZ$5:BZ144)</f>
        <v>#REF!</v>
      </c>
      <c r="CD144" s="136">
        <v>140</v>
      </c>
      <c r="CE144" s="14">
        <f t="shared" si="85"/>
        <v>28</v>
      </c>
      <c r="CF144" s="14">
        <f t="shared" si="69"/>
        <v>3</v>
      </c>
      <c r="CG144" s="14">
        <f t="shared" si="70"/>
        <v>1102005</v>
      </c>
      <c r="CH144" s="136" t="s">
        <v>1127</v>
      </c>
      <c r="CI144" s="14">
        <f t="shared" si="71"/>
        <v>5</v>
      </c>
      <c r="CJ144" s="14" t="str">
        <f t="shared" si="72"/>
        <v>李轩辕-5星</v>
      </c>
      <c r="CK144" s="136" t="s">
        <v>1133</v>
      </c>
      <c r="CL144" s="14">
        <f t="shared" si="86"/>
        <v>40000</v>
      </c>
      <c r="CM144" s="14" t="str">
        <f t="shared" si="73"/>
        <v>李轩辕碎片</v>
      </c>
      <c r="CN144" s="14">
        <f t="shared" si="87"/>
        <v>240</v>
      </c>
    </row>
    <row r="145" spans="8:92" ht="16.5" x14ac:dyDescent="0.2">
      <c r="H145" s="15"/>
      <c r="I145" s="15"/>
      <c r="J145" s="15"/>
      <c r="K145" s="15"/>
      <c r="L145" s="15"/>
      <c r="M145" s="15"/>
      <c r="N145" s="15"/>
      <c r="O145" s="137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41"/>
      <c r="AA145" s="104">
        <v>141</v>
      </c>
      <c r="AB145" s="14">
        <f t="shared" si="74"/>
        <v>3</v>
      </c>
      <c r="AC145" s="14">
        <f>INDEX(挂机升级突破!$BU$6:$BU$57,卡牌消耗!AI145)</f>
        <v>11</v>
      </c>
      <c r="AD145" s="14">
        <f>INDEX(挂机升级突破!BV$6:BV$57,卡牌消耗!$AI145)</f>
        <v>4</v>
      </c>
      <c r="AE145" s="14">
        <f>INDEX(挂机升级突破!BW$6:BW$57,卡牌消耗!$AI145)</f>
        <v>0</v>
      </c>
      <c r="AF145" s="14" t="str">
        <f t="shared" si="75"/>
        <v>典韦</v>
      </c>
      <c r="AG145" s="14">
        <f t="shared" si="76"/>
        <v>4</v>
      </c>
      <c r="AH145" s="14" t="str">
        <f t="shared" si="77"/>
        <v>典韦魂火-37</v>
      </c>
      <c r="AI145" s="14">
        <f t="shared" si="78"/>
        <v>37</v>
      </c>
      <c r="AJ145" s="14" t="str">
        <f>INDEX(挂机升级突破!$BX$4:$CH$4,INDEX(挂机升级突破!$BU$6:$BU$57,卡牌消耗!AI145))</f>
        <v>金币</v>
      </c>
      <c r="AK145" s="14">
        <f>ROUND(INDEX(挂机升级突破!$BN$6:$BN$57,卡牌消耗!AI145)*INDEX(卡牌消耗!$B$8:$F$8,AG145)/$Q$4/50,0)*50</f>
        <v>19450</v>
      </c>
      <c r="AL145" s="14" t="str">
        <f>IF(AD145&gt;0,INDEX(挂机升级突破!$BX$4:$CH$4,AD145),"")</f>
        <v>橙色基础材料</v>
      </c>
      <c r="AM145" s="14">
        <f>ROUND(INDEX(挂机升级突破!$BX$6:$CH$57,卡牌消耗!AI145,AD145)*INDEX(卡牌消耗!$B$5:$F$5,AG145)/$Q$4/5,0)*5</f>
        <v>135</v>
      </c>
      <c r="AN145" s="14" t="str">
        <f>IF(AE145&gt;0,INDEX(挂机升级突破!$BX$4:$CH$4,AE145),"")</f>
        <v/>
      </c>
      <c r="AO145" s="14" t="str">
        <f>IF(AE145&gt;0,ROUND(INDEX(挂机升级突破!$BX$6:$CH$57,卡牌消耗!AI145,AE145)*INDEX(卡牌消耗!$B$7:$F$7,AG145)/$Q$4,0),"")</f>
        <v/>
      </c>
      <c r="AP145" s="106"/>
      <c r="AQ145" s="15"/>
      <c r="AR145" s="104">
        <v>141</v>
      </c>
      <c r="AS145" s="14">
        <f t="shared" si="79"/>
        <v>8</v>
      </c>
      <c r="AT145" s="14">
        <f>INDEX(挂机升级突破!$CM$7:$CM$26,AX145)</f>
        <v>0</v>
      </c>
      <c r="AU145" s="14">
        <f>INDEX(挂机升级突破!$CN$7:$CN$26,AX145)</f>
        <v>0</v>
      </c>
      <c r="AV145" s="14">
        <f t="shared" si="80"/>
        <v>4</v>
      </c>
      <c r="AW145" s="14" t="str">
        <f t="shared" si="81"/>
        <v>夏侯渊</v>
      </c>
      <c r="AX145" s="14">
        <f t="shared" si="82"/>
        <v>1</v>
      </c>
      <c r="AY145" s="14" t="str">
        <f t="shared" si="83"/>
        <v>夏侯渊1突</v>
      </c>
      <c r="AZ145" s="14" t="str">
        <f>IF(AT145&gt;0,INDEX(挂机升级突破!$CV$5:$CZ$5,卡牌消耗!AT145),"")</f>
        <v/>
      </c>
      <c r="BA145" s="14" t="str">
        <f>IF(AT145&gt;0,ROUND(INDEX(挂机升级突破!$CZ$7:$CZ$26,卡牌消耗!AX145)*INDEX(卡牌消耗!$B$8:$F$8,AV145)/$Q$4/500,0)*500,"")</f>
        <v/>
      </c>
      <c r="BB145" s="14" t="str">
        <f>IF(AU145&gt;0,INDEX(挂机升级突破!$CV$5:$CZ$5,卡牌消耗!AU145),"")</f>
        <v/>
      </c>
      <c r="BC145" s="14" t="str">
        <f>IF(AU145&gt;0,ROUND(INDEX(挂机升级突破!$CV$7:$CY$26,卡牌消耗!AX145,卡牌消耗!AU145)*INDEX($B$6:$F$6,AV145)/$Q$4/5,0)*5,"")</f>
        <v/>
      </c>
      <c r="BD145" s="104"/>
      <c r="BE145" s="104"/>
      <c r="BF145" s="106"/>
      <c r="BU145" s="50" t="s">
        <v>309</v>
      </c>
      <c r="BV145" s="14">
        <f>INDEX($BR$5:$BR$19,BV143)</f>
        <v>9</v>
      </c>
      <c r="BW145" s="50">
        <v>133</v>
      </c>
      <c r="BX145" s="50">
        <v>12</v>
      </c>
      <c r="BY145" s="21">
        <f t="shared" si="88"/>
        <v>8.2758620689655171E-2</v>
      </c>
      <c r="BZ145" s="65">
        <f t="shared" si="89"/>
        <v>6075</v>
      </c>
      <c r="CA145" s="50" t="e">
        <f>SUM(BZ$5:BZ145)</f>
        <v>#REF!</v>
      </c>
      <c r="CD145" s="136">
        <v>141</v>
      </c>
      <c r="CE145" s="14">
        <f t="shared" si="85"/>
        <v>29</v>
      </c>
      <c r="CF145" s="14">
        <f t="shared" si="69"/>
        <v>4</v>
      </c>
      <c r="CG145" s="14">
        <f t="shared" si="70"/>
        <v>1102006</v>
      </c>
      <c r="CH145" s="136" t="s">
        <v>1127</v>
      </c>
      <c r="CI145" s="14">
        <f t="shared" si="71"/>
        <v>1</v>
      </c>
      <c r="CJ145" s="14" t="str">
        <f t="shared" si="72"/>
        <v>项羽-1星</v>
      </c>
      <c r="CK145" s="136" t="s">
        <v>1133</v>
      </c>
      <c r="CL145" s="14">
        <f t="shared" si="86"/>
        <v>6000</v>
      </c>
      <c r="CM145" s="14" t="str">
        <f t="shared" si="73"/>
        <v>项羽碎片</v>
      </c>
      <c r="CN145" s="14">
        <f t="shared" si="87"/>
        <v>80</v>
      </c>
    </row>
    <row r="146" spans="8:92" ht="16.5" x14ac:dyDescent="0.2">
      <c r="H146" s="15"/>
      <c r="I146" s="15"/>
      <c r="J146" s="15"/>
      <c r="K146" s="15"/>
      <c r="L146" s="15"/>
      <c r="M146" s="15"/>
      <c r="N146" s="15"/>
      <c r="O146" s="137"/>
      <c r="P146" s="141"/>
      <c r="Q146" s="141"/>
      <c r="R146" s="141"/>
      <c r="S146" s="141"/>
      <c r="T146" s="141"/>
      <c r="U146" s="141"/>
      <c r="V146" s="141"/>
      <c r="W146" s="141"/>
      <c r="X146" s="141"/>
      <c r="Y146" s="141"/>
      <c r="Z146" s="141"/>
      <c r="AA146" s="104">
        <v>142</v>
      </c>
      <c r="AB146" s="14">
        <f t="shared" si="74"/>
        <v>3</v>
      </c>
      <c r="AC146" s="14">
        <f>INDEX(挂机升级突破!$BU$6:$BU$57,卡牌消耗!AI146)</f>
        <v>11</v>
      </c>
      <c r="AD146" s="14">
        <f>INDEX(挂机升级突破!BV$6:BV$57,卡牌消耗!$AI146)</f>
        <v>5</v>
      </c>
      <c r="AE146" s="14">
        <f>INDEX(挂机升级突破!BW$6:BW$57,卡牌消耗!$AI146)</f>
        <v>0</v>
      </c>
      <c r="AF146" s="14" t="str">
        <f t="shared" si="75"/>
        <v>典韦</v>
      </c>
      <c r="AG146" s="14">
        <f t="shared" si="76"/>
        <v>4</v>
      </c>
      <c r="AH146" s="14" t="str">
        <f t="shared" si="77"/>
        <v>典韦魂火-38</v>
      </c>
      <c r="AI146" s="14">
        <f t="shared" si="78"/>
        <v>38</v>
      </c>
      <c r="AJ146" s="14" t="str">
        <f>INDEX(挂机升级突破!$BX$4:$CH$4,INDEX(挂机升级突破!$BU$6:$BU$57,卡牌消耗!AI146))</f>
        <v>金币</v>
      </c>
      <c r="AK146" s="14">
        <f>ROUND(INDEX(挂机升级突破!$BN$6:$BN$57,卡牌消耗!AI146)*INDEX(卡牌消耗!$B$8:$F$8,AG146)/$Q$4/50,0)*50</f>
        <v>25050</v>
      </c>
      <c r="AL146" s="14" t="str">
        <f>IF(AD146&gt;0,INDEX(挂机升级突破!$BX$4:$CH$4,AD146),"")</f>
        <v>红色基础材料</v>
      </c>
      <c r="AM146" s="14">
        <f>ROUND(INDEX(挂机升级突破!$BX$6:$CH$57,卡牌消耗!AI146,AD146)*INDEX(卡牌消耗!$B$5:$F$5,AG146)/$Q$4/5,0)*5</f>
        <v>55</v>
      </c>
      <c r="AN146" s="14" t="str">
        <f>IF(AE146&gt;0,INDEX(挂机升级突破!$BX$4:$CH$4,AE146),"")</f>
        <v/>
      </c>
      <c r="AO146" s="14" t="str">
        <f>IF(AE146&gt;0,ROUND(INDEX(挂机升级突破!$BX$6:$CH$57,卡牌消耗!AI146,AE146)*INDEX(卡牌消耗!$B$7:$F$7,AG146)/$Q$4,0),"")</f>
        <v/>
      </c>
      <c r="AP146" s="106"/>
      <c r="AQ146" s="15"/>
      <c r="AR146" s="104">
        <v>142</v>
      </c>
      <c r="AS146" s="14">
        <f t="shared" si="79"/>
        <v>8</v>
      </c>
      <c r="AT146" s="14">
        <f>INDEX(挂机升级突破!$CM$7:$CM$26,AX146)</f>
        <v>5</v>
      </c>
      <c r="AU146" s="14">
        <f>INDEX(挂机升级突破!$CN$7:$CN$26,AX146)</f>
        <v>0</v>
      </c>
      <c r="AV146" s="14">
        <f t="shared" si="80"/>
        <v>4</v>
      </c>
      <c r="AW146" s="14" t="str">
        <f t="shared" si="81"/>
        <v>夏侯渊</v>
      </c>
      <c r="AX146" s="14">
        <f t="shared" si="82"/>
        <v>2</v>
      </c>
      <c r="AY146" s="14" t="str">
        <f t="shared" si="83"/>
        <v>夏侯渊2突</v>
      </c>
      <c r="AZ146" s="14" t="str">
        <f>IF(AT146&gt;0,INDEX(挂机升级突破!$CV$5:$CZ$5,卡牌消耗!AT146),"")</f>
        <v>金币</v>
      </c>
      <c r="BA146" s="14">
        <f>IF(AT146&gt;0,ROUND(INDEX(挂机升级突破!$CZ$7:$CZ$26,卡牌消耗!AX146)*INDEX(卡牌消耗!$B$8:$F$8,AV146)/$Q$4/500,0)*500,"")</f>
        <v>3500</v>
      </c>
      <c r="BB146" s="14" t="str">
        <f>IF(AU146&gt;0,INDEX(挂机升级突破!$CV$5:$CZ$5,卡牌消耗!AU146),"")</f>
        <v/>
      </c>
      <c r="BC146" s="14" t="str">
        <f>IF(AU146&gt;0,ROUND(INDEX(挂机升级突破!$CV$7:$CY$26,卡牌消耗!AX146,卡牌消耗!AU146)*INDEX($B$6:$F$6,AV146)/$Q$4/5,0)*5,"")</f>
        <v/>
      </c>
      <c r="BD146" s="104"/>
      <c r="BE146" s="104"/>
      <c r="BF146" s="106"/>
      <c r="BU146" s="15"/>
      <c r="BV146" s="14">
        <f>SUM(BX143:BX152)</f>
        <v>145</v>
      </c>
      <c r="BW146" s="50">
        <v>134</v>
      </c>
      <c r="BX146" s="50">
        <v>13</v>
      </c>
      <c r="BY146" s="21">
        <f t="shared" si="88"/>
        <v>8.9655172413793102E-2</v>
      </c>
      <c r="BZ146" s="65">
        <f t="shared" si="89"/>
        <v>6582</v>
      </c>
      <c r="CA146" s="50" t="e">
        <f>SUM(BZ$5:BZ146)</f>
        <v>#REF!</v>
      </c>
      <c r="CD146" s="136">
        <v>142</v>
      </c>
      <c r="CE146" s="14">
        <f t="shared" si="85"/>
        <v>29</v>
      </c>
      <c r="CF146" s="14">
        <f t="shared" si="69"/>
        <v>4</v>
      </c>
      <c r="CG146" s="14">
        <f t="shared" si="70"/>
        <v>1102006</v>
      </c>
      <c r="CH146" s="136" t="s">
        <v>1127</v>
      </c>
      <c r="CI146" s="14">
        <f t="shared" si="71"/>
        <v>2</v>
      </c>
      <c r="CJ146" s="14" t="str">
        <f t="shared" si="72"/>
        <v>项羽-2星</v>
      </c>
      <c r="CK146" s="136" t="s">
        <v>1133</v>
      </c>
      <c r="CL146" s="14">
        <f t="shared" si="86"/>
        <v>8000</v>
      </c>
      <c r="CM146" s="14" t="str">
        <f t="shared" si="73"/>
        <v>项羽碎片</v>
      </c>
      <c r="CN146" s="14">
        <f t="shared" si="87"/>
        <v>80</v>
      </c>
    </row>
    <row r="147" spans="8:92" ht="16.5" x14ac:dyDescent="0.2">
      <c r="H147" s="15"/>
      <c r="I147" s="15"/>
      <c r="J147" s="15"/>
      <c r="K147" s="15"/>
      <c r="L147" s="15"/>
      <c r="M147" s="15"/>
      <c r="N147" s="15"/>
      <c r="O147" s="137"/>
      <c r="P147" s="141"/>
      <c r="Q147" s="141"/>
      <c r="R147" s="141"/>
      <c r="S147" s="141"/>
      <c r="T147" s="141"/>
      <c r="U147" s="141"/>
      <c r="V147" s="141"/>
      <c r="W147" s="141"/>
      <c r="X147" s="141"/>
      <c r="Y147" s="141"/>
      <c r="Z147" s="141"/>
      <c r="AA147" s="104">
        <v>143</v>
      </c>
      <c r="AB147" s="14">
        <f t="shared" si="74"/>
        <v>3</v>
      </c>
      <c r="AC147" s="14">
        <f>INDEX(挂机升级突破!$BU$6:$BU$57,卡牌消耗!AI147)</f>
        <v>11</v>
      </c>
      <c r="AD147" s="14">
        <f>INDEX(挂机升级突破!BV$6:BV$57,卡牌消耗!$AI147)</f>
        <v>5</v>
      </c>
      <c r="AE147" s="14">
        <f>INDEX(挂机升级突破!BW$6:BW$57,卡牌消耗!$AI147)</f>
        <v>0</v>
      </c>
      <c r="AF147" s="14" t="str">
        <f t="shared" si="75"/>
        <v>典韦</v>
      </c>
      <c r="AG147" s="14">
        <f t="shared" si="76"/>
        <v>4</v>
      </c>
      <c r="AH147" s="14" t="str">
        <f t="shared" si="77"/>
        <v>典韦魂火-39</v>
      </c>
      <c r="AI147" s="14">
        <f t="shared" si="78"/>
        <v>39</v>
      </c>
      <c r="AJ147" s="14" t="str">
        <f>INDEX(挂机升级突破!$BX$4:$CH$4,INDEX(挂机升级突破!$BU$6:$BU$57,卡牌消耗!AI147))</f>
        <v>金币</v>
      </c>
      <c r="AK147" s="14">
        <f>ROUND(INDEX(挂机升级突破!$BN$6:$BN$57,卡牌消耗!AI147)*INDEX(卡牌消耗!$B$8:$F$8,AG147)/$Q$4/50,0)*50</f>
        <v>25050</v>
      </c>
      <c r="AL147" s="14" t="str">
        <f>IF(AD147&gt;0,INDEX(挂机升级突破!$BX$4:$CH$4,AD147),"")</f>
        <v>红色基础材料</v>
      </c>
      <c r="AM147" s="14">
        <f>ROUND(INDEX(挂机升级突破!$BX$6:$CH$57,卡牌消耗!AI147,AD147)*INDEX(卡牌消耗!$B$5:$F$5,AG147)/$Q$4/5,0)*5</f>
        <v>55</v>
      </c>
      <c r="AN147" s="14" t="str">
        <f>IF(AE147&gt;0,INDEX(挂机升级突破!$BX$4:$CH$4,AE147),"")</f>
        <v/>
      </c>
      <c r="AO147" s="14" t="str">
        <f>IF(AE147&gt;0,ROUND(INDEX(挂机升级突破!$BX$6:$CH$57,卡牌消耗!AI147,AE147)*INDEX(卡牌消耗!$B$7:$F$7,AG147)/$Q$4,0),"")</f>
        <v/>
      </c>
      <c r="AP147" s="106"/>
      <c r="AQ147" s="15"/>
      <c r="AR147" s="104">
        <v>143</v>
      </c>
      <c r="AS147" s="14">
        <f t="shared" si="79"/>
        <v>8</v>
      </c>
      <c r="AT147" s="14">
        <f>INDEX(挂机升级突破!$CM$7:$CM$26,AX147)</f>
        <v>5</v>
      </c>
      <c r="AU147" s="14">
        <f>INDEX(挂机升级突破!$CN$7:$CN$26,AX147)</f>
        <v>0</v>
      </c>
      <c r="AV147" s="14">
        <f t="shared" si="80"/>
        <v>4</v>
      </c>
      <c r="AW147" s="14" t="str">
        <f t="shared" si="81"/>
        <v>夏侯渊</v>
      </c>
      <c r="AX147" s="14">
        <f t="shared" si="82"/>
        <v>3</v>
      </c>
      <c r="AY147" s="14" t="str">
        <f t="shared" si="83"/>
        <v>夏侯渊3突</v>
      </c>
      <c r="AZ147" s="14" t="str">
        <f>IF(AT147&gt;0,INDEX(挂机升级突破!$CV$5:$CZ$5,卡牌消耗!AT147),"")</f>
        <v>金币</v>
      </c>
      <c r="BA147" s="14">
        <f>IF(AT147&gt;0,ROUND(INDEX(挂机升级突破!$CZ$7:$CZ$26,卡牌消耗!AX147)*INDEX(卡牌消耗!$B$8:$F$8,AV147)/$Q$4/500,0)*500,"")</f>
        <v>3500</v>
      </c>
      <c r="BB147" s="14" t="str">
        <f>IF(AU147&gt;0,INDEX(挂机升级突破!$CV$5:$CZ$5,卡牌消耗!AU147),"")</f>
        <v/>
      </c>
      <c r="BC147" s="14" t="str">
        <f>IF(AU147&gt;0,ROUND(INDEX(挂机升级突破!$CV$7:$CY$26,卡牌消耗!AX147,卡牌消耗!AU147)*INDEX($B$6:$F$6,AV147)/$Q$4/5,0)*5,"")</f>
        <v/>
      </c>
      <c r="BD147" s="104"/>
      <c r="BE147" s="104"/>
      <c r="BF147" s="106"/>
      <c r="BW147" s="50">
        <v>135</v>
      </c>
      <c r="BX147" s="50">
        <v>14</v>
      </c>
      <c r="BY147" s="21">
        <f t="shared" si="88"/>
        <v>9.6551724137931033E-2</v>
      </c>
      <c r="BZ147" s="65">
        <f t="shared" si="89"/>
        <v>7088</v>
      </c>
      <c r="CA147" s="50" t="e">
        <f>SUM(BZ$5:BZ147)</f>
        <v>#REF!</v>
      </c>
      <c r="CD147" s="136">
        <v>143</v>
      </c>
      <c r="CE147" s="14">
        <f t="shared" si="85"/>
        <v>29</v>
      </c>
      <c r="CF147" s="14">
        <f t="shared" si="69"/>
        <v>4</v>
      </c>
      <c r="CG147" s="14">
        <f t="shared" si="70"/>
        <v>1102006</v>
      </c>
      <c r="CH147" s="136" t="s">
        <v>1127</v>
      </c>
      <c r="CI147" s="14">
        <f t="shared" si="71"/>
        <v>3</v>
      </c>
      <c r="CJ147" s="14" t="str">
        <f t="shared" si="72"/>
        <v>项羽-3星</v>
      </c>
      <c r="CK147" s="136" t="s">
        <v>1133</v>
      </c>
      <c r="CL147" s="14">
        <f t="shared" si="86"/>
        <v>14000</v>
      </c>
      <c r="CM147" s="14" t="str">
        <f t="shared" si="73"/>
        <v>项羽碎片</v>
      </c>
      <c r="CN147" s="14">
        <f t="shared" si="87"/>
        <v>160</v>
      </c>
    </row>
    <row r="148" spans="8:92" ht="16.5" x14ac:dyDescent="0.2">
      <c r="H148" s="15"/>
      <c r="I148" s="15"/>
      <c r="J148" s="15"/>
      <c r="K148" s="15"/>
      <c r="L148" s="15"/>
      <c r="M148" s="15"/>
      <c r="N148" s="15"/>
      <c r="O148" s="137"/>
      <c r="P148" s="141"/>
      <c r="Q148" s="141"/>
      <c r="R148" s="141"/>
      <c r="S148" s="141"/>
      <c r="T148" s="141"/>
      <c r="U148" s="141"/>
      <c r="V148" s="141"/>
      <c r="W148" s="141"/>
      <c r="X148" s="141"/>
      <c r="Y148" s="141"/>
      <c r="Z148" s="141"/>
      <c r="AA148" s="104">
        <v>144</v>
      </c>
      <c r="AB148" s="14">
        <f t="shared" si="74"/>
        <v>3</v>
      </c>
      <c r="AC148" s="14">
        <f>INDEX(挂机升级突破!$BU$6:$BU$57,卡牌消耗!AI148)</f>
        <v>11</v>
      </c>
      <c r="AD148" s="14">
        <f>INDEX(挂机升级突破!BV$6:BV$57,卡牌消耗!$AI148)</f>
        <v>5</v>
      </c>
      <c r="AE148" s="14">
        <f>INDEX(挂机升级突破!BW$6:BW$57,卡牌消耗!$AI148)</f>
        <v>0</v>
      </c>
      <c r="AF148" s="14" t="str">
        <f t="shared" si="75"/>
        <v>典韦</v>
      </c>
      <c r="AG148" s="14">
        <f t="shared" si="76"/>
        <v>4</v>
      </c>
      <c r="AH148" s="14" t="str">
        <f t="shared" si="77"/>
        <v>典韦魂火-40</v>
      </c>
      <c r="AI148" s="14">
        <f t="shared" si="78"/>
        <v>40</v>
      </c>
      <c r="AJ148" s="14" t="str">
        <f>INDEX(挂机升级突破!$BX$4:$CH$4,INDEX(挂机升级突破!$BU$6:$BU$57,卡牌消耗!AI148))</f>
        <v>金币</v>
      </c>
      <c r="AK148" s="14">
        <f>ROUND(INDEX(挂机升级突破!$BN$6:$BN$57,卡牌消耗!AI148)*INDEX(卡牌消耗!$B$8:$F$8,AG148)/$Q$4/50,0)*50</f>
        <v>25050</v>
      </c>
      <c r="AL148" s="14" t="str">
        <f>IF(AD148&gt;0,INDEX(挂机升级突破!$BX$4:$CH$4,AD148),"")</f>
        <v>红色基础材料</v>
      </c>
      <c r="AM148" s="14">
        <f>ROUND(INDEX(挂机升级突破!$BX$6:$CH$57,卡牌消耗!AI148,AD148)*INDEX(卡牌消耗!$B$5:$F$5,AG148)/$Q$4/5,0)*5</f>
        <v>55</v>
      </c>
      <c r="AN148" s="14" t="str">
        <f>IF(AE148&gt;0,INDEX(挂机升级突破!$BX$4:$CH$4,AE148),"")</f>
        <v/>
      </c>
      <c r="AO148" s="14" t="str">
        <f>IF(AE148&gt;0,ROUND(INDEX(挂机升级突破!$BX$6:$CH$57,卡牌消耗!AI148,AE148)*INDEX(卡牌消耗!$B$7:$F$7,AG148)/$Q$4,0),"")</f>
        <v/>
      </c>
      <c r="AP148" s="106"/>
      <c r="AQ148" s="15"/>
      <c r="AR148" s="104">
        <v>144</v>
      </c>
      <c r="AS148" s="14">
        <f t="shared" si="79"/>
        <v>8</v>
      </c>
      <c r="AT148" s="14">
        <f>INDEX(挂机升级突破!$CM$7:$CM$26,AX148)</f>
        <v>5</v>
      </c>
      <c r="AU148" s="14">
        <f>INDEX(挂机升级突破!$CN$7:$CN$26,AX148)</f>
        <v>1</v>
      </c>
      <c r="AV148" s="14">
        <f t="shared" si="80"/>
        <v>4</v>
      </c>
      <c r="AW148" s="14" t="str">
        <f t="shared" si="81"/>
        <v>夏侯渊</v>
      </c>
      <c r="AX148" s="14">
        <f t="shared" si="82"/>
        <v>4</v>
      </c>
      <c r="AY148" s="14" t="str">
        <f t="shared" si="83"/>
        <v>夏侯渊4突</v>
      </c>
      <c r="AZ148" s="14" t="str">
        <f>IF(AT148&gt;0,INDEX(挂机升级突破!$CV$5:$CZ$5,卡牌消耗!AT148),"")</f>
        <v>金币</v>
      </c>
      <c r="BA148" s="14">
        <f>IF(AT148&gt;0,ROUND(INDEX(挂机升级突破!$CZ$7:$CZ$26,卡牌消耗!AX148)*INDEX(卡牌消耗!$B$8:$F$8,AV148)/$Q$4/500,0)*500,"")</f>
        <v>4500</v>
      </c>
      <c r="BB148" s="14" t="str">
        <f>IF(AU148&gt;0,INDEX(挂机升级突破!$CV$5:$CZ$5,卡牌消耗!AU148),"")</f>
        <v>玄铁</v>
      </c>
      <c r="BC148" s="14">
        <f>IF(AU148&gt;0,ROUND(INDEX(挂机升级突破!$CV$7:$CY$26,卡牌消耗!AX148,卡牌消耗!AU148)*INDEX($B$6:$F$6,AV148)/$Q$4/5,0)*5,"")</f>
        <v>70</v>
      </c>
      <c r="BD148" s="104"/>
      <c r="BE148" s="104"/>
      <c r="BF148" s="106"/>
      <c r="BW148" s="50">
        <v>136</v>
      </c>
      <c r="BX148" s="50">
        <v>15</v>
      </c>
      <c r="BY148" s="21">
        <f t="shared" si="88"/>
        <v>0.10344827586206896</v>
      </c>
      <c r="BZ148" s="65">
        <f t="shared" si="89"/>
        <v>7594</v>
      </c>
      <c r="CA148" s="50" t="e">
        <f>SUM(BZ$5:BZ148)</f>
        <v>#REF!</v>
      </c>
      <c r="CD148" s="136">
        <v>144</v>
      </c>
      <c r="CE148" s="14">
        <f t="shared" si="85"/>
        <v>29</v>
      </c>
      <c r="CF148" s="14">
        <f t="shared" si="69"/>
        <v>4</v>
      </c>
      <c r="CG148" s="14">
        <f t="shared" si="70"/>
        <v>1102006</v>
      </c>
      <c r="CH148" s="136" t="s">
        <v>1127</v>
      </c>
      <c r="CI148" s="14">
        <f t="shared" si="71"/>
        <v>4</v>
      </c>
      <c r="CJ148" s="14" t="str">
        <f t="shared" si="72"/>
        <v>项羽-4星</v>
      </c>
      <c r="CK148" s="136" t="s">
        <v>1133</v>
      </c>
      <c r="CL148" s="14">
        <f t="shared" si="86"/>
        <v>32000</v>
      </c>
      <c r="CM148" s="14" t="str">
        <f t="shared" si="73"/>
        <v>项羽碎片</v>
      </c>
      <c r="CN148" s="14">
        <f t="shared" si="87"/>
        <v>240</v>
      </c>
    </row>
    <row r="149" spans="8:92" ht="16.5" x14ac:dyDescent="0.2">
      <c r="H149" s="15"/>
      <c r="I149" s="15"/>
      <c r="J149" s="15"/>
      <c r="K149" s="15"/>
      <c r="L149" s="15"/>
      <c r="M149" s="15"/>
      <c r="N149" s="15"/>
      <c r="O149" s="137"/>
      <c r="P149" s="141"/>
      <c r="Q149" s="141"/>
      <c r="R149" s="141"/>
      <c r="S149" s="141"/>
      <c r="T149" s="141"/>
      <c r="U149" s="141"/>
      <c r="V149" s="141"/>
      <c r="W149" s="141"/>
      <c r="X149" s="141"/>
      <c r="Y149" s="141"/>
      <c r="Z149" s="141"/>
      <c r="AA149" s="104">
        <v>145</v>
      </c>
      <c r="AB149" s="14">
        <f t="shared" si="74"/>
        <v>3</v>
      </c>
      <c r="AC149" s="14">
        <f>INDEX(挂机升级突破!$BU$6:$BU$57,卡牌消耗!AI149)</f>
        <v>11</v>
      </c>
      <c r="AD149" s="14">
        <f>INDEX(挂机升级突破!BV$6:BV$57,卡牌消耗!$AI149)</f>
        <v>5</v>
      </c>
      <c r="AE149" s="14">
        <f>INDEX(挂机升级突破!BW$6:BW$57,卡牌消耗!$AI149)</f>
        <v>10</v>
      </c>
      <c r="AF149" s="14" t="str">
        <f t="shared" si="75"/>
        <v>典韦</v>
      </c>
      <c r="AG149" s="14">
        <f t="shared" si="76"/>
        <v>4</v>
      </c>
      <c r="AH149" s="14" t="str">
        <f t="shared" si="77"/>
        <v>典韦魂火-41</v>
      </c>
      <c r="AI149" s="14">
        <f t="shared" si="78"/>
        <v>41</v>
      </c>
      <c r="AJ149" s="14" t="str">
        <f>INDEX(挂机升级突破!$BX$4:$CH$4,INDEX(挂机升级突破!$BU$6:$BU$57,卡牌消耗!AI149))</f>
        <v>金币</v>
      </c>
      <c r="AK149" s="14">
        <f>ROUND(INDEX(挂机升级突破!$BN$6:$BN$57,卡牌消耗!AI149)*INDEX(卡牌消耗!$B$8:$F$8,AG149)/$Q$4/50,0)*50</f>
        <v>34450</v>
      </c>
      <c r="AL149" s="14" t="str">
        <f>IF(AD149&gt;0,INDEX(挂机升级突破!$BX$4:$CH$4,AD149),"")</f>
        <v>红色基础材料</v>
      </c>
      <c r="AM149" s="14">
        <f>ROUND(INDEX(挂机升级突破!$BX$6:$CH$57,卡牌消耗!AI149,AD149)*INDEX(卡牌消耗!$B$5:$F$5,AG149)/$Q$4/5,0)*5</f>
        <v>65</v>
      </c>
      <c r="AN149" s="14" t="str">
        <f>IF(AE149&gt;0,INDEX(挂机升级突破!$BX$4:$CH$4,AE149),"")</f>
        <v>灵玉</v>
      </c>
      <c r="AO149" s="14">
        <f>IF(AE149&gt;0,ROUND(INDEX(挂机升级突破!$BX$6:$CH$57,卡牌消耗!AI149,AE149)*INDEX(卡牌消耗!$B$7:$F$7,AG149)/$Q$4,0),"")</f>
        <v>2</v>
      </c>
      <c r="AP149" s="106"/>
      <c r="AQ149" s="15"/>
      <c r="AR149" s="104">
        <v>145</v>
      </c>
      <c r="AS149" s="14">
        <f t="shared" si="79"/>
        <v>8</v>
      </c>
      <c r="AT149" s="14">
        <f>INDEX(挂机升级突破!$CM$7:$CM$26,AX149)</f>
        <v>5</v>
      </c>
      <c r="AU149" s="14">
        <f>INDEX(挂机升级突破!$CN$7:$CN$26,AX149)</f>
        <v>1</v>
      </c>
      <c r="AV149" s="14">
        <f t="shared" si="80"/>
        <v>4</v>
      </c>
      <c r="AW149" s="14" t="str">
        <f t="shared" si="81"/>
        <v>夏侯渊</v>
      </c>
      <c r="AX149" s="14">
        <f t="shared" si="82"/>
        <v>5</v>
      </c>
      <c r="AY149" s="14" t="str">
        <f t="shared" si="83"/>
        <v>夏侯渊5突</v>
      </c>
      <c r="AZ149" s="14" t="str">
        <f>IF(AT149&gt;0,INDEX(挂机升级突破!$CV$5:$CZ$5,卡牌消耗!AT149),"")</f>
        <v>金币</v>
      </c>
      <c r="BA149" s="14">
        <f>IF(AT149&gt;0,ROUND(INDEX(挂机升级突破!$CZ$7:$CZ$26,卡牌消耗!AX149)*INDEX(卡牌消耗!$B$8:$F$8,AV149)/$Q$4/500,0)*500,"")</f>
        <v>4500</v>
      </c>
      <c r="BB149" s="14" t="str">
        <f>IF(AU149&gt;0,INDEX(挂机升级突破!$CV$5:$CZ$5,卡牌消耗!AU149),"")</f>
        <v>玄铁</v>
      </c>
      <c r="BC149" s="14">
        <f>IF(AU149&gt;0,ROUND(INDEX(挂机升级突破!$CV$7:$CY$26,卡牌消耗!AX149,卡牌消耗!AU149)*INDEX($B$6:$F$6,AV149)/$Q$4/5,0)*5,"")</f>
        <v>140</v>
      </c>
      <c r="BD149" s="104"/>
      <c r="BE149" s="104"/>
      <c r="BF149" s="106"/>
      <c r="BW149" s="50">
        <v>137</v>
      </c>
      <c r="BX149" s="50">
        <v>16</v>
      </c>
      <c r="BY149" s="21">
        <f t="shared" si="88"/>
        <v>0.1103448275862069</v>
      </c>
      <c r="BZ149" s="65">
        <f t="shared" si="89"/>
        <v>8101</v>
      </c>
      <c r="CA149" s="50" t="e">
        <f>SUM(BZ$5:BZ149)</f>
        <v>#REF!</v>
      </c>
      <c r="CD149" s="136">
        <v>145</v>
      </c>
      <c r="CE149" s="14">
        <f t="shared" si="85"/>
        <v>29</v>
      </c>
      <c r="CF149" s="14">
        <f t="shared" si="69"/>
        <v>4</v>
      </c>
      <c r="CG149" s="14">
        <f t="shared" si="70"/>
        <v>1102006</v>
      </c>
      <c r="CH149" s="136" t="s">
        <v>1127</v>
      </c>
      <c r="CI149" s="14">
        <f t="shared" si="71"/>
        <v>5</v>
      </c>
      <c r="CJ149" s="14" t="str">
        <f t="shared" si="72"/>
        <v>项羽-5星</v>
      </c>
      <c r="CK149" s="136" t="s">
        <v>1133</v>
      </c>
      <c r="CL149" s="14">
        <f t="shared" si="86"/>
        <v>60000</v>
      </c>
      <c r="CM149" s="14" t="str">
        <f t="shared" si="73"/>
        <v>项羽碎片</v>
      </c>
      <c r="CN149" s="14">
        <f t="shared" si="87"/>
        <v>320</v>
      </c>
    </row>
    <row r="150" spans="8:92" ht="16.5" x14ac:dyDescent="0.2">
      <c r="H150" s="15"/>
      <c r="I150" s="15"/>
      <c r="J150" s="15"/>
      <c r="K150" s="15"/>
      <c r="L150" s="15"/>
      <c r="M150" s="15"/>
      <c r="N150" s="15"/>
      <c r="O150" s="137"/>
      <c r="P150" s="141"/>
      <c r="Q150" s="141"/>
      <c r="R150" s="141"/>
      <c r="S150" s="141"/>
      <c r="T150" s="141"/>
      <c r="U150" s="141"/>
      <c r="V150" s="141"/>
      <c r="W150" s="141"/>
      <c r="X150" s="141"/>
      <c r="Y150" s="141"/>
      <c r="Z150" s="141"/>
      <c r="AA150" s="104">
        <v>146</v>
      </c>
      <c r="AB150" s="14">
        <f t="shared" si="74"/>
        <v>3</v>
      </c>
      <c r="AC150" s="14">
        <f>INDEX(挂机升级突破!$BU$6:$BU$57,卡牌消耗!AI150)</f>
        <v>11</v>
      </c>
      <c r="AD150" s="14">
        <f>INDEX(挂机升级突破!BV$6:BV$57,卡牌消耗!$AI150)</f>
        <v>5</v>
      </c>
      <c r="AE150" s="14">
        <f>INDEX(挂机升级突破!BW$6:BW$57,卡牌消耗!$AI150)</f>
        <v>10</v>
      </c>
      <c r="AF150" s="14" t="str">
        <f t="shared" si="75"/>
        <v>典韦</v>
      </c>
      <c r="AG150" s="14">
        <f t="shared" si="76"/>
        <v>4</v>
      </c>
      <c r="AH150" s="14" t="str">
        <f t="shared" si="77"/>
        <v>典韦魂火-42</v>
      </c>
      <c r="AI150" s="14">
        <f t="shared" si="78"/>
        <v>42</v>
      </c>
      <c r="AJ150" s="14" t="str">
        <f>INDEX(挂机升级突破!$BX$4:$CH$4,INDEX(挂机升级突破!$BU$6:$BU$57,卡牌消耗!AI150))</f>
        <v>金币</v>
      </c>
      <c r="AK150" s="14">
        <f>ROUND(INDEX(挂机升级突破!$BN$6:$BN$57,卡牌消耗!AI150)*INDEX(卡牌消耗!$B$8:$F$8,AG150)/$Q$4/50,0)*50</f>
        <v>34450</v>
      </c>
      <c r="AL150" s="14" t="str">
        <f>IF(AD150&gt;0,INDEX(挂机升级突破!$BX$4:$CH$4,AD150),"")</f>
        <v>红色基础材料</v>
      </c>
      <c r="AM150" s="14">
        <f>ROUND(INDEX(挂机升级突破!$BX$6:$CH$57,卡牌消耗!AI150,AD150)*INDEX(卡牌消耗!$B$5:$F$5,AG150)/$Q$4/5,0)*5</f>
        <v>65</v>
      </c>
      <c r="AN150" s="14" t="str">
        <f>IF(AE150&gt;0,INDEX(挂机升级突破!$BX$4:$CH$4,AE150),"")</f>
        <v>灵玉</v>
      </c>
      <c r="AO150" s="14">
        <f>IF(AE150&gt;0,ROUND(INDEX(挂机升级突破!$BX$6:$CH$57,卡牌消耗!AI150,AE150)*INDEX(卡牌消耗!$B$7:$F$7,AG150)/$Q$4,0),"")</f>
        <v>2</v>
      </c>
      <c r="AP150" s="106"/>
      <c r="AQ150" s="15"/>
      <c r="AR150" s="104">
        <v>146</v>
      </c>
      <c r="AS150" s="14">
        <f t="shared" si="79"/>
        <v>8</v>
      </c>
      <c r="AT150" s="14">
        <f>INDEX(挂机升级突破!$CM$7:$CM$26,AX150)</f>
        <v>5</v>
      </c>
      <c r="AU150" s="14">
        <f>INDEX(挂机升级突破!$CN$7:$CN$26,AX150)</f>
        <v>1</v>
      </c>
      <c r="AV150" s="14">
        <f t="shared" si="80"/>
        <v>4</v>
      </c>
      <c r="AW150" s="14" t="str">
        <f t="shared" si="81"/>
        <v>夏侯渊</v>
      </c>
      <c r="AX150" s="14">
        <f t="shared" si="82"/>
        <v>6</v>
      </c>
      <c r="AY150" s="14" t="str">
        <f t="shared" si="83"/>
        <v>夏侯渊6突</v>
      </c>
      <c r="AZ150" s="14" t="str">
        <f>IF(AT150&gt;0,INDEX(挂机升级突破!$CV$5:$CZ$5,卡牌消耗!AT150),"")</f>
        <v>金币</v>
      </c>
      <c r="BA150" s="14">
        <f>IF(AT150&gt;0,ROUND(INDEX(挂机升级突破!$CZ$7:$CZ$26,卡牌消耗!AX150)*INDEX(卡牌消耗!$B$8:$F$8,AV150)/$Q$4/500,0)*500,"")</f>
        <v>6000</v>
      </c>
      <c r="BB150" s="14" t="str">
        <f>IF(AU150&gt;0,INDEX(挂机升级突破!$CV$5:$CZ$5,卡牌消耗!AU150),"")</f>
        <v>玄铁</v>
      </c>
      <c r="BC150" s="14">
        <f>IF(AU150&gt;0,ROUND(INDEX(挂机升级突破!$CV$7:$CY$26,卡牌消耗!AX150,卡牌消耗!AU150)*INDEX($B$6:$F$6,AV150)/$Q$4/5,0)*5,"")</f>
        <v>210</v>
      </c>
      <c r="BD150" s="104"/>
      <c r="BE150" s="104"/>
      <c r="BF150" s="106"/>
      <c r="BW150" s="50">
        <v>138</v>
      </c>
      <c r="BX150" s="50">
        <v>17</v>
      </c>
      <c r="BY150" s="21">
        <f t="shared" si="88"/>
        <v>0.11724137931034483</v>
      </c>
      <c r="BZ150" s="65">
        <f t="shared" si="89"/>
        <v>8607</v>
      </c>
      <c r="CA150" s="50" t="e">
        <f>SUM(BZ$5:BZ150)</f>
        <v>#REF!</v>
      </c>
      <c r="CD150" s="136">
        <v>146</v>
      </c>
      <c r="CE150" s="14">
        <f t="shared" si="85"/>
        <v>30</v>
      </c>
      <c r="CF150" s="14">
        <f t="shared" si="69"/>
        <v>4</v>
      </c>
      <c r="CG150" s="14">
        <f t="shared" si="70"/>
        <v>1102007</v>
      </c>
      <c r="CH150" s="136" t="s">
        <v>1127</v>
      </c>
      <c r="CI150" s="14">
        <f t="shared" si="71"/>
        <v>1</v>
      </c>
      <c r="CJ150" s="14" t="str">
        <f t="shared" si="72"/>
        <v>天使缇娜-1星</v>
      </c>
      <c r="CK150" s="136" t="s">
        <v>1133</v>
      </c>
      <c r="CL150" s="14">
        <f t="shared" si="86"/>
        <v>6000</v>
      </c>
      <c r="CM150" s="14" t="str">
        <f t="shared" si="73"/>
        <v>天使缇娜碎片</v>
      </c>
      <c r="CN150" s="14">
        <f t="shared" si="87"/>
        <v>80</v>
      </c>
    </row>
    <row r="151" spans="8:92" ht="16.5" x14ac:dyDescent="0.2">
      <c r="H151" s="15"/>
      <c r="I151" s="15"/>
      <c r="J151" s="15"/>
      <c r="K151" s="15"/>
      <c r="L151" s="15"/>
      <c r="M151" s="15"/>
      <c r="N151" s="15"/>
      <c r="O151" s="137"/>
      <c r="P151" s="141"/>
      <c r="Q151" s="141"/>
      <c r="R151" s="141"/>
      <c r="S151" s="141"/>
      <c r="T151" s="141"/>
      <c r="U151" s="141"/>
      <c r="V151" s="141"/>
      <c r="W151" s="141"/>
      <c r="X151" s="141"/>
      <c r="Y151" s="141"/>
      <c r="Z151" s="141"/>
      <c r="AA151" s="104">
        <v>147</v>
      </c>
      <c r="AB151" s="14">
        <f t="shared" si="74"/>
        <v>3</v>
      </c>
      <c r="AC151" s="14">
        <f>INDEX(挂机升级突破!$BU$6:$BU$57,卡牌消耗!AI151)</f>
        <v>11</v>
      </c>
      <c r="AD151" s="14">
        <f>INDEX(挂机升级突破!BV$6:BV$57,卡牌消耗!$AI151)</f>
        <v>5</v>
      </c>
      <c r="AE151" s="14">
        <f>INDEX(挂机升级突破!BW$6:BW$57,卡牌消耗!$AI151)</f>
        <v>10</v>
      </c>
      <c r="AF151" s="14" t="str">
        <f t="shared" si="75"/>
        <v>典韦</v>
      </c>
      <c r="AG151" s="14">
        <f t="shared" si="76"/>
        <v>4</v>
      </c>
      <c r="AH151" s="14" t="str">
        <f t="shared" si="77"/>
        <v>典韦魂火-43</v>
      </c>
      <c r="AI151" s="14">
        <f t="shared" si="78"/>
        <v>43</v>
      </c>
      <c r="AJ151" s="14" t="str">
        <f>INDEX(挂机升级突破!$BX$4:$CH$4,INDEX(挂机升级突破!$BU$6:$BU$57,卡牌消耗!AI151))</f>
        <v>金币</v>
      </c>
      <c r="AK151" s="14">
        <f>ROUND(INDEX(挂机升级突破!$BN$6:$BN$57,卡牌消耗!AI151)*INDEX(卡牌消耗!$B$8:$F$8,AG151)/$Q$4/50,0)*50</f>
        <v>34450</v>
      </c>
      <c r="AL151" s="14" t="str">
        <f>IF(AD151&gt;0,INDEX(挂机升级突破!$BX$4:$CH$4,AD151),"")</f>
        <v>红色基础材料</v>
      </c>
      <c r="AM151" s="14">
        <f>ROUND(INDEX(挂机升级突破!$BX$6:$CH$57,卡牌消耗!AI151,AD151)*INDEX(卡牌消耗!$B$5:$F$5,AG151)/$Q$4/5,0)*5</f>
        <v>65</v>
      </c>
      <c r="AN151" s="14" t="str">
        <f>IF(AE151&gt;0,INDEX(挂机升级突破!$BX$4:$CH$4,AE151),"")</f>
        <v>灵玉</v>
      </c>
      <c r="AO151" s="14">
        <f>IF(AE151&gt;0,ROUND(INDEX(挂机升级突破!$BX$6:$CH$57,卡牌消耗!AI151,AE151)*INDEX(卡牌消耗!$B$7:$F$7,AG151)/$Q$4,0),"")</f>
        <v>2</v>
      </c>
      <c r="AP151" s="106"/>
      <c r="AQ151" s="15"/>
      <c r="AR151" s="104">
        <v>147</v>
      </c>
      <c r="AS151" s="14">
        <f t="shared" si="79"/>
        <v>8</v>
      </c>
      <c r="AT151" s="14">
        <f>INDEX(挂机升级突破!$CM$7:$CM$26,AX151)</f>
        <v>5</v>
      </c>
      <c r="AU151" s="14">
        <f>INDEX(挂机升级突破!$CN$7:$CN$26,AX151)</f>
        <v>1</v>
      </c>
      <c r="AV151" s="14">
        <f t="shared" si="80"/>
        <v>4</v>
      </c>
      <c r="AW151" s="14" t="str">
        <f t="shared" si="81"/>
        <v>夏侯渊</v>
      </c>
      <c r="AX151" s="14">
        <f t="shared" si="82"/>
        <v>7</v>
      </c>
      <c r="AY151" s="14" t="str">
        <f t="shared" si="83"/>
        <v>夏侯渊7突</v>
      </c>
      <c r="AZ151" s="14" t="str">
        <f>IF(AT151&gt;0,INDEX(挂机升级突破!$CV$5:$CZ$5,卡牌消耗!AT151),"")</f>
        <v>金币</v>
      </c>
      <c r="BA151" s="14">
        <f>IF(AT151&gt;0,ROUND(INDEX(挂机升级突破!$CZ$7:$CZ$26,卡牌消耗!AX151)*INDEX(卡牌消耗!$B$8:$F$8,AV151)/$Q$4/500,0)*500,"")</f>
        <v>9500</v>
      </c>
      <c r="BB151" s="14" t="str">
        <f>IF(AU151&gt;0,INDEX(挂机升级突破!$CV$5:$CZ$5,卡牌消耗!AU151),"")</f>
        <v>玄铁</v>
      </c>
      <c r="BC151" s="14">
        <f>IF(AU151&gt;0,ROUND(INDEX(挂机升级突破!$CV$7:$CY$26,卡牌消耗!AX151,卡牌消耗!AU151)*INDEX($B$6:$F$6,AV151)/$Q$4/5,0)*5,"")</f>
        <v>345</v>
      </c>
      <c r="BD151" s="104"/>
      <c r="BE151" s="104"/>
      <c r="BF151" s="106"/>
      <c r="BW151" s="50">
        <v>139</v>
      </c>
      <c r="BX151" s="50">
        <v>18</v>
      </c>
      <c r="BY151" s="21">
        <f t="shared" si="88"/>
        <v>0.12413793103448276</v>
      </c>
      <c r="BZ151" s="65">
        <f t="shared" si="89"/>
        <v>9113</v>
      </c>
      <c r="CA151" s="50" t="e">
        <f>SUM(BZ$5:BZ151)</f>
        <v>#REF!</v>
      </c>
      <c r="CD151" s="136">
        <v>147</v>
      </c>
      <c r="CE151" s="14">
        <f t="shared" si="85"/>
        <v>30</v>
      </c>
      <c r="CF151" s="14">
        <f t="shared" si="69"/>
        <v>4</v>
      </c>
      <c r="CG151" s="14">
        <f t="shared" si="70"/>
        <v>1102007</v>
      </c>
      <c r="CH151" s="136" t="s">
        <v>1127</v>
      </c>
      <c r="CI151" s="14">
        <f t="shared" si="71"/>
        <v>2</v>
      </c>
      <c r="CJ151" s="14" t="str">
        <f t="shared" si="72"/>
        <v>天使缇娜-2星</v>
      </c>
      <c r="CK151" s="136" t="s">
        <v>1133</v>
      </c>
      <c r="CL151" s="14">
        <f t="shared" si="86"/>
        <v>8000</v>
      </c>
      <c r="CM151" s="14" t="str">
        <f t="shared" si="73"/>
        <v>天使缇娜碎片</v>
      </c>
      <c r="CN151" s="14">
        <f t="shared" si="87"/>
        <v>80</v>
      </c>
    </row>
    <row r="152" spans="8:92" ht="16.5" x14ac:dyDescent="0.2">
      <c r="H152" s="15"/>
      <c r="I152" s="15"/>
      <c r="J152" s="15"/>
      <c r="K152" s="15"/>
      <c r="L152" s="15"/>
      <c r="M152" s="15"/>
      <c r="N152" s="15"/>
      <c r="O152" s="137"/>
      <c r="P152" s="141"/>
      <c r="Q152" s="141"/>
      <c r="R152" s="141"/>
      <c r="S152" s="141"/>
      <c r="T152" s="141"/>
      <c r="U152" s="141"/>
      <c r="V152" s="141"/>
      <c r="W152" s="141"/>
      <c r="X152" s="141"/>
      <c r="Y152" s="141"/>
      <c r="Z152" s="141"/>
      <c r="AA152" s="104">
        <v>148</v>
      </c>
      <c r="AB152" s="14">
        <f t="shared" si="74"/>
        <v>3</v>
      </c>
      <c r="AC152" s="14">
        <f>INDEX(挂机升级突破!$BU$6:$BU$57,卡牌消耗!AI152)</f>
        <v>11</v>
      </c>
      <c r="AD152" s="14">
        <f>INDEX(挂机升级突破!BV$6:BV$57,卡牌消耗!$AI152)</f>
        <v>5</v>
      </c>
      <c r="AE152" s="14">
        <f>INDEX(挂机升级突破!BW$6:BW$57,卡牌消耗!$AI152)</f>
        <v>10</v>
      </c>
      <c r="AF152" s="14" t="str">
        <f t="shared" si="75"/>
        <v>典韦</v>
      </c>
      <c r="AG152" s="14">
        <f t="shared" si="76"/>
        <v>4</v>
      </c>
      <c r="AH152" s="14" t="str">
        <f t="shared" si="77"/>
        <v>典韦魂火-44</v>
      </c>
      <c r="AI152" s="14">
        <f t="shared" si="78"/>
        <v>44</v>
      </c>
      <c r="AJ152" s="14" t="str">
        <f>INDEX(挂机升级突破!$BX$4:$CH$4,INDEX(挂机升级突破!$BU$6:$BU$57,卡牌消耗!AI152))</f>
        <v>金币</v>
      </c>
      <c r="AK152" s="14">
        <f>ROUND(INDEX(挂机升级突破!$BN$6:$BN$57,卡牌消耗!AI152)*INDEX(卡牌消耗!$B$8:$F$8,AG152)/$Q$4/50,0)*50</f>
        <v>43850</v>
      </c>
      <c r="AL152" s="14" t="str">
        <f>IF(AD152&gt;0,INDEX(挂机升级突破!$BX$4:$CH$4,AD152),"")</f>
        <v>红色基础材料</v>
      </c>
      <c r="AM152" s="14">
        <f>ROUND(INDEX(挂机升级突破!$BX$6:$CH$57,卡牌消耗!AI152,AD152)*INDEX(卡牌消耗!$B$5:$F$5,AG152)/$Q$4/5,0)*5</f>
        <v>75</v>
      </c>
      <c r="AN152" s="14" t="str">
        <f>IF(AE152&gt;0,INDEX(挂机升级突破!$BX$4:$CH$4,AE152),"")</f>
        <v>灵玉</v>
      </c>
      <c r="AO152" s="14">
        <f>IF(AE152&gt;0,ROUND(INDEX(挂机升级突破!$BX$6:$CH$57,卡牌消耗!AI152,AE152)*INDEX(卡牌消耗!$B$7:$F$7,AG152)/$Q$4,0),"")</f>
        <v>2</v>
      </c>
      <c r="AP152" s="106"/>
      <c r="AQ152" s="15"/>
      <c r="AR152" s="104">
        <v>148</v>
      </c>
      <c r="AS152" s="14">
        <f t="shared" si="79"/>
        <v>8</v>
      </c>
      <c r="AT152" s="14">
        <f>INDEX(挂机升级突破!$CM$7:$CM$26,AX152)</f>
        <v>5</v>
      </c>
      <c r="AU152" s="14">
        <f>INDEX(挂机升级突破!$CN$7:$CN$26,AX152)</f>
        <v>1</v>
      </c>
      <c r="AV152" s="14">
        <f t="shared" si="80"/>
        <v>4</v>
      </c>
      <c r="AW152" s="14" t="str">
        <f t="shared" si="81"/>
        <v>夏侯渊</v>
      </c>
      <c r="AX152" s="14">
        <f t="shared" si="82"/>
        <v>8</v>
      </c>
      <c r="AY152" s="14" t="str">
        <f t="shared" si="83"/>
        <v>夏侯渊8突</v>
      </c>
      <c r="AZ152" s="14" t="str">
        <f>IF(AT152&gt;0,INDEX(挂机升级突破!$CV$5:$CZ$5,卡牌消耗!AT152),"")</f>
        <v>金币</v>
      </c>
      <c r="BA152" s="14">
        <f>IF(AT152&gt;0,ROUND(INDEX(挂机升级突破!$CZ$7:$CZ$26,卡牌消耗!AX152)*INDEX(卡牌消耗!$B$8:$F$8,AV152)/$Q$4/500,0)*500,"")</f>
        <v>9500</v>
      </c>
      <c r="BB152" s="14" t="str">
        <f>IF(AU152&gt;0,INDEX(挂机升级突破!$CV$5:$CZ$5,卡牌消耗!AU152),"")</f>
        <v>玄铁</v>
      </c>
      <c r="BC152" s="14">
        <f>IF(AU152&gt;0,ROUND(INDEX(挂机升级突破!$CV$7:$CY$26,卡牌消耗!AX152,卡牌消耗!AU152)*INDEX($B$6:$F$6,AV152)/$Q$4/5,0)*5,"")</f>
        <v>625</v>
      </c>
      <c r="BD152" s="104"/>
      <c r="BE152" s="104"/>
      <c r="BF152" s="106"/>
      <c r="BW152" s="50">
        <v>140</v>
      </c>
      <c r="BX152" s="50">
        <v>19</v>
      </c>
      <c r="BY152" s="21">
        <f t="shared" si="88"/>
        <v>0.1310344827586207</v>
      </c>
      <c r="BZ152" s="65">
        <f t="shared" si="89"/>
        <v>9620</v>
      </c>
      <c r="CA152" s="50" t="e">
        <f>SUM(BZ$5:BZ152)</f>
        <v>#REF!</v>
      </c>
      <c r="CD152" s="136">
        <v>148</v>
      </c>
      <c r="CE152" s="14">
        <f t="shared" si="85"/>
        <v>30</v>
      </c>
      <c r="CF152" s="14">
        <f t="shared" si="69"/>
        <v>4</v>
      </c>
      <c r="CG152" s="14">
        <f t="shared" si="70"/>
        <v>1102007</v>
      </c>
      <c r="CH152" s="136" t="s">
        <v>1127</v>
      </c>
      <c r="CI152" s="14">
        <f t="shared" si="71"/>
        <v>3</v>
      </c>
      <c r="CJ152" s="14" t="str">
        <f t="shared" si="72"/>
        <v>天使缇娜-3星</v>
      </c>
      <c r="CK152" s="136" t="s">
        <v>1133</v>
      </c>
      <c r="CL152" s="14">
        <f t="shared" si="86"/>
        <v>14000</v>
      </c>
      <c r="CM152" s="14" t="str">
        <f t="shared" si="73"/>
        <v>天使缇娜碎片</v>
      </c>
      <c r="CN152" s="14">
        <f t="shared" si="87"/>
        <v>160</v>
      </c>
    </row>
    <row r="153" spans="8:92" ht="16.5" x14ac:dyDescent="0.2">
      <c r="H153" s="15"/>
      <c r="I153" s="15"/>
      <c r="J153" s="15"/>
      <c r="K153" s="15"/>
      <c r="L153" s="15"/>
      <c r="M153" s="15"/>
      <c r="N153" s="15"/>
      <c r="O153" s="137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04">
        <v>149</v>
      </c>
      <c r="AB153" s="14">
        <f t="shared" si="74"/>
        <v>3</v>
      </c>
      <c r="AC153" s="14">
        <f>INDEX(挂机升级突破!$BU$6:$BU$57,卡牌消耗!AI153)</f>
        <v>11</v>
      </c>
      <c r="AD153" s="14">
        <f>INDEX(挂机升级突破!BV$6:BV$57,卡牌消耗!$AI153)</f>
        <v>5</v>
      </c>
      <c r="AE153" s="14">
        <f>INDEX(挂机升级突破!BW$6:BW$57,卡牌消耗!$AI153)</f>
        <v>10</v>
      </c>
      <c r="AF153" s="14" t="str">
        <f t="shared" si="75"/>
        <v>典韦</v>
      </c>
      <c r="AG153" s="14">
        <f t="shared" si="76"/>
        <v>4</v>
      </c>
      <c r="AH153" s="14" t="str">
        <f t="shared" si="77"/>
        <v>典韦魂火-45</v>
      </c>
      <c r="AI153" s="14">
        <f t="shared" si="78"/>
        <v>45</v>
      </c>
      <c r="AJ153" s="14" t="str">
        <f>INDEX(挂机升级突破!$BX$4:$CH$4,INDEX(挂机升级突破!$BU$6:$BU$57,卡牌消耗!AI153))</f>
        <v>金币</v>
      </c>
      <c r="AK153" s="14">
        <f>ROUND(INDEX(挂机升级突破!$BN$6:$BN$57,卡牌消耗!AI153)*INDEX(卡牌消耗!$B$8:$F$8,AG153)/$Q$4/50,0)*50</f>
        <v>43850</v>
      </c>
      <c r="AL153" s="14" t="str">
        <f>IF(AD153&gt;0,INDEX(挂机升级突破!$BX$4:$CH$4,AD153),"")</f>
        <v>红色基础材料</v>
      </c>
      <c r="AM153" s="14">
        <f>ROUND(INDEX(挂机升级突破!$BX$6:$CH$57,卡牌消耗!AI153,AD153)*INDEX(卡牌消耗!$B$5:$F$5,AG153)/$Q$4/5,0)*5</f>
        <v>75</v>
      </c>
      <c r="AN153" s="14" t="str">
        <f>IF(AE153&gt;0,INDEX(挂机升级突破!$BX$4:$CH$4,AE153),"")</f>
        <v>灵玉</v>
      </c>
      <c r="AO153" s="14">
        <f>IF(AE153&gt;0,ROUND(INDEX(挂机升级突破!$BX$6:$CH$57,卡牌消耗!AI153,AE153)*INDEX(卡牌消耗!$B$7:$F$7,AG153)/$Q$4,0),"")</f>
        <v>2</v>
      </c>
      <c r="AP153" s="106"/>
      <c r="AQ153" s="15"/>
      <c r="AR153" s="104">
        <v>149</v>
      </c>
      <c r="AS153" s="14">
        <f t="shared" si="79"/>
        <v>8</v>
      </c>
      <c r="AT153" s="14">
        <f>INDEX(挂机升级突破!$CM$7:$CM$26,AX153)</f>
        <v>5</v>
      </c>
      <c r="AU153" s="14">
        <f>INDEX(挂机升级突破!$CN$7:$CN$26,AX153)</f>
        <v>2</v>
      </c>
      <c r="AV153" s="14">
        <f t="shared" si="80"/>
        <v>4</v>
      </c>
      <c r="AW153" s="14" t="str">
        <f t="shared" si="81"/>
        <v>夏侯渊</v>
      </c>
      <c r="AX153" s="14">
        <f t="shared" si="82"/>
        <v>9</v>
      </c>
      <c r="AY153" s="14" t="str">
        <f t="shared" si="83"/>
        <v>夏侯渊9突</v>
      </c>
      <c r="AZ153" s="14" t="str">
        <f>IF(AT153&gt;0,INDEX(挂机升级突破!$CV$5:$CZ$5,卡牌消耗!AT153),"")</f>
        <v>金币</v>
      </c>
      <c r="BA153" s="14">
        <f>IF(AT153&gt;0,ROUND(INDEX(挂机升级突破!$CZ$7:$CZ$26,卡牌消耗!AX153)*INDEX(卡牌消耗!$B$8:$F$8,AV153)/$Q$4/500,0)*500,"")</f>
        <v>12500</v>
      </c>
      <c r="BB153" s="14" t="str">
        <f>IF(AU153&gt;0,INDEX(挂机升级突破!$CV$5:$CZ$5,卡牌消耗!AU153),"")</f>
        <v>乌金</v>
      </c>
      <c r="BC153" s="14">
        <f>IF(AU153&gt;0,ROUND(INDEX(挂机升级突破!$CV$7:$CY$26,卡牌消耗!AX153,卡牌消耗!AU153)*INDEX($B$6:$F$6,AV153)/$Q$4/5,0)*5,"")</f>
        <v>75</v>
      </c>
      <c r="BD153" s="104"/>
      <c r="BE153" s="104"/>
      <c r="BF153" s="106"/>
      <c r="BU153" s="50" t="s">
        <v>310</v>
      </c>
      <c r="BV153" s="50">
        <v>15</v>
      </c>
      <c r="BW153" s="50">
        <v>141</v>
      </c>
      <c r="BX153" s="50">
        <v>10</v>
      </c>
      <c r="BY153" s="21">
        <f t="shared" ref="BY153:BY162" si="90">BX153/BV$156</f>
        <v>6.8965517241379309E-2</v>
      </c>
      <c r="BZ153" s="50">
        <f>INT(BV$154*BY153)</f>
        <v>5548</v>
      </c>
      <c r="CA153" s="50" t="e">
        <f>SUM(BZ$5:BZ153)</f>
        <v>#REF!</v>
      </c>
      <c r="CD153" s="136">
        <v>149</v>
      </c>
      <c r="CE153" s="14">
        <f t="shared" si="85"/>
        <v>30</v>
      </c>
      <c r="CF153" s="14">
        <f t="shared" si="69"/>
        <v>4</v>
      </c>
      <c r="CG153" s="14">
        <f t="shared" si="70"/>
        <v>1102007</v>
      </c>
      <c r="CH153" s="136" t="s">
        <v>1127</v>
      </c>
      <c r="CI153" s="14">
        <f t="shared" si="71"/>
        <v>4</v>
      </c>
      <c r="CJ153" s="14" t="str">
        <f t="shared" si="72"/>
        <v>天使缇娜-4星</v>
      </c>
      <c r="CK153" s="136" t="s">
        <v>1133</v>
      </c>
      <c r="CL153" s="14">
        <f t="shared" si="86"/>
        <v>32000</v>
      </c>
      <c r="CM153" s="14" t="str">
        <f t="shared" si="73"/>
        <v>天使缇娜碎片</v>
      </c>
      <c r="CN153" s="14">
        <f t="shared" si="87"/>
        <v>240</v>
      </c>
    </row>
    <row r="154" spans="8:92" ht="16.5" x14ac:dyDescent="0.2">
      <c r="H154" s="15"/>
      <c r="I154" s="15"/>
      <c r="J154" s="15"/>
      <c r="K154" s="15"/>
      <c r="L154" s="15"/>
      <c r="M154" s="15"/>
      <c r="N154" s="15"/>
      <c r="O154" s="137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41"/>
      <c r="AA154" s="104">
        <v>150</v>
      </c>
      <c r="AB154" s="14">
        <f t="shared" si="74"/>
        <v>3</v>
      </c>
      <c r="AC154" s="14">
        <f>INDEX(挂机升级突破!$BU$6:$BU$57,卡牌消耗!AI154)</f>
        <v>11</v>
      </c>
      <c r="AD154" s="14">
        <f>INDEX(挂机升级突破!BV$6:BV$57,卡牌消耗!$AI154)</f>
        <v>5</v>
      </c>
      <c r="AE154" s="14">
        <f>INDEX(挂机升级突破!BW$6:BW$57,卡牌消耗!$AI154)</f>
        <v>10</v>
      </c>
      <c r="AF154" s="14" t="str">
        <f t="shared" si="75"/>
        <v>典韦</v>
      </c>
      <c r="AG154" s="14">
        <f t="shared" si="76"/>
        <v>4</v>
      </c>
      <c r="AH154" s="14" t="str">
        <f t="shared" si="77"/>
        <v>典韦魂火-46</v>
      </c>
      <c r="AI154" s="14">
        <f t="shared" si="78"/>
        <v>46</v>
      </c>
      <c r="AJ154" s="14" t="str">
        <f>INDEX(挂机升级突破!$BX$4:$CH$4,INDEX(挂机升级突破!$BU$6:$BU$57,卡牌消耗!AI154))</f>
        <v>金币</v>
      </c>
      <c r="AK154" s="14">
        <f>ROUND(INDEX(挂机升级突破!$BN$6:$BN$57,卡牌消耗!AI154)*INDEX(卡牌消耗!$B$8:$F$8,AG154)/$Q$4/50,0)*50</f>
        <v>47000</v>
      </c>
      <c r="AL154" s="14" t="str">
        <f>IF(AD154&gt;0,INDEX(挂机升级突破!$BX$4:$CH$4,AD154),"")</f>
        <v>红色基础材料</v>
      </c>
      <c r="AM154" s="14">
        <f>ROUND(INDEX(挂机升级突破!$BX$6:$CH$57,卡牌消耗!AI154,AD154)*INDEX(卡牌消耗!$B$5:$F$5,AG154)/$Q$4/5,0)*5</f>
        <v>75</v>
      </c>
      <c r="AN154" s="14" t="str">
        <f>IF(AE154&gt;0,INDEX(挂机升级突破!$BX$4:$CH$4,AE154),"")</f>
        <v>灵玉</v>
      </c>
      <c r="AO154" s="14">
        <f>IF(AE154&gt;0,ROUND(INDEX(挂机升级突破!$BX$6:$CH$57,卡牌消耗!AI154,AE154)*INDEX(卡牌消耗!$B$7:$F$7,AG154)/$Q$4,0),"")</f>
        <v>2</v>
      </c>
      <c r="AP154" s="106"/>
      <c r="AQ154" s="15"/>
      <c r="AR154" s="104">
        <v>150</v>
      </c>
      <c r="AS154" s="14">
        <f t="shared" si="79"/>
        <v>8</v>
      </c>
      <c r="AT154" s="14">
        <f>INDEX(挂机升级突破!$CM$7:$CM$26,AX154)</f>
        <v>5</v>
      </c>
      <c r="AU154" s="14">
        <f>INDEX(挂机升级突破!$CN$7:$CN$26,AX154)</f>
        <v>2</v>
      </c>
      <c r="AV154" s="14">
        <f t="shared" si="80"/>
        <v>4</v>
      </c>
      <c r="AW154" s="14" t="str">
        <f t="shared" si="81"/>
        <v>夏侯渊</v>
      </c>
      <c r="AX154" s="14">
        <f t="shared" si="82"/>
        <v>10</v>
      </c>
      <c r="AY154" s="14" t="str">
        <f t="shared" si="83"/>
        <v>夏侯渊10突</v>
      </c>
      <c r="AZ154" s="14" t="str">
        <f>IF(AT154&gt;0,INDEX(挂机升级突破!$CV$5:$CZ$5,卡牌消耗!AT154),"")</f>
        <v>金币</v>
      </c>
      <c r="BA154" s="14">
        <f>IF(AT154&gt;0,ROUND(INDEX(挂机升级突破!$CZ$7:$CZ$26,卡牌消耗!AX154)*INDEX(卡牌消耗!$B$8:$F$8,AV154)/$Q$4/500,0)*500,"")</f>
        <v>22000</v>
      </c>
      <c r="BB154" s="14" t="str">
        <f>IF(AU154&gt;0,INDEX(挂机升级突破!$CV$5:$CZ$5,卡牌消耗!AU154),"")</f>
        <v>乌金</v>
      </c>
      <c r="BC154" s="14">
        <f>IF(AU154&gt;0,ROUND(INDEX(挂机升级突破!$CV$7:$CY$26,卡牌消耗!AX154,卡牌消耗!AU154)*INDEX($B$6:$F$6,AV154)/$Q$4/5,0)*5,"")</f>
        <v>110</v>
      </c>
      <c r="BD154" s="104"/>
      <c r="BE154" s="104"/>
      <c r="BF154" s="106"/>
      <c r="BU154" s="14" t="str">
        <f>INDEX($BH$5:$BH$19,BV153)</f>
        <v>75~80</v>
      </c>
      <c r="BV154" s="14">
        <f>INDEX($BQ$5:$BQ$19,BV153)</f>
        <v>80460</v>
      </c>
      <c r="BW154" s="50">
        <v>142</v>
      </c>
      <c r="BX154" s="50">
        <v>11</v>
      </c>
      <c r="BY154" s="21">
        <f t="shared" si="90"/>
        <v>7.586206896551724E-2</v>
      </c>
      <c r="BZ154" s="65">
        <f t="shared" ref="BZ154:BZ162" si="91">INT(BV$154*BY154)</f>
        <v>6103</v>
      </c>
      <c r="CA154" s="50" t="e">
        <f>SUM(BZ$5:BZ154)</f>
        <v>#REF!</v>
      </c>
      <c r="CD154" s="136">
        <v>150</v>
      </c>
      <c r="CE154" s="14">
        <f t="shared" si="85"/>
        <v>30</v>
      </c>
      <c r="CF154" s="14">
        <f t="shared" si="69"/>
        <v>4</v>
      </c>
      <c r="CG154" s="14">
        <f t="shared" si="70"/>
        <v>1102007</v>
      </c>
      <c r="CH154" s="136" t="s">
        <v>1127</v>
      </c>
      <c r="CI154" s="14">
        <f t="shared" si="71"/>
        <v>5</v>
      </c>
      <c r="CJ154" s="14" t="str">
        <f t="shared" si="72"/>
        <v>天使缇娜-5星</v>
      </c>
      <c r="CK154" s="136" t="s">
        <v>1133</v>
      </c>
      <c r="CL154" s="14">
        <f t="shared" si="86"/>
        <v>60000</v>
      </c>
      <c r="CM154" s="14" t="str">
        <f t="shared" si="73"/>
        <v>天使缇娜碎片</v>
      </c>
      <c r="CN154" s="14">
        <f t="shared" si="87"/>
        <v>320</v>
      </c>
    </row>
    <row r="155" spans="8:92" ht="16.5" x14ac:dyDescent="0.2">
      <c r="H155" s="15"/>
      <c r="I155" s="15"/>
      <c r="J155" s="15"/>
      <c r="K155" s="15"/>
      <c r="L155" s="15"/>
      <c r="M155" s="15"/>
      <c r="N155" s="15"/>
      <c r="O155" s="137"/>
      <c r="P155" s="141"/>
      <c r="Q155" s="141"/>
      <c r="R155" s="141"/>
      <c r="S155" s="141"/>
      <c r="T155" s="141"/>
      <c r="U155" s="141"/>
      <c r="V155" s="141"/>
      <c r="W155" s="141"/>
      <c r="X155" s="141"/>
      <c r="Y155" s="141"/>
      <c r="Z155" s="141"/>
      <c r="AA155" s="104">
        <v>151</v>
      </c>
      <c r="AB155" s="14">
        <f t="shared" si="74"/>
        <v>3</v>
      </c>
      <c r="AC155" s="14">
        <f>INDEX(挂机升级突破!$BU$6:$BU$57,卡牌消耗!AI155)</f>
        <v>11</v>
      </c>
      <c r="AD155" s="14">
        <f>INDEX(挂机升级突破!BV$6:BV$57,卡牌消耗!$AI155)</f>
        <v>5</v>
      </c>
      <c r="AE155" s="14">
        <f>INDEX(挂机升级突破!BW$6:BW$57,卡牌消耗!$AI155)</f>
        <v>10</v>
      </c>
      <c r="AF155" s="14" t="str">
        <f t="shared" si="75"/>
        <v>典韦</v>
      </c>
      <c r="AG155" s="14">
        <f t="shared" si="76"/>
        <v>4</v>
      </c>
      <c r="AH155" s="14" t="str">
        <f t="shared" si="77"/>
        <v>典韦魂火-47</v>
      </c>
      <c r="AI155" s="14">
        <f t="shared" si="78"/>
        <v>47</v>
      </c>
      <c r="AJ155" s="14" t="str">
        <f>INDEX(挂机升级突破!$BX$4:$CH$4,INDEX(挂机升级突破!$BU$6:$BU$57,卡牌消耗!AI155))</f>
        <v>金币</v>
      </c>
      <c r="AK155" s="14">
        <f>ROUND(INDEX(挂机升级突破!$BN$6:$BN$57,卡牌消耗!AI155)*INDEX(卡牌消耗!$B$8:$F$8,AG155)/$Q$4/50,0)*50</f>
        <v>227950</v>
      </c>
      <c r="AL155" s="14" t="str">
        <f>IF(AD155&gt;0,INDEX(挂机升级突破!$BX$4:$CH$4,AD155),"")</f>
        <v>红色基础材料</v>
      </c>
      <c r="AM155" s="14">
        <f>ROUND(INDEX(挂机升级突破!$BX$6:$CH$57,卡牌消耗!AI155,AD155)*INDEX(卡牌消耗!$B$5:$F$5,AG155)/$Q$4/5,0)*5</f>
        <v>75</v>
      </c>
      <c r="AN155" s="14" t="str">
        <f>IF(AE155&gt;0,INDEX(挂机升级突破!$BX$4:$CH$4,AE155),"")</f>
        <v>灵玉</v>
      </c>
      <c r="AO155" s="14">
        <f>IF(AE155&gt;0,ROUND(INDEX(挂机升级突破!$BX$6:$CH$57,卡牌消耗!AI155,AE155)*INDEX(卡牌消耗!$B$7:$F$7,AG155)/$Q$4,0),"")</f>
        <v>2</v>
      </c>
      <c r="AP155" s="106"/>
      <c r="AQ155" s="15"/>
      <c r="AR155" s="104">
        <v>151</v>
      </c>
      <c r="AS155" s="14">
        <f t="shared" si="79"/>
        <v>8</v>
      </c>
      <c r="AT155" s="14">
        <f>INDEX(挂机升级突破!$CM$7:$CM$26,AX155)</f>
        <v>5</v>
      </c>
      <c r="AU155" s="14">
        <f>INDEX(挂机升级突破!$CN$7:$CN$26,AX155)</f>
        <v>2</v>
      </c>
      <c r="AV155" s="14">
        <f t="shared" si="80"/>
        <v>4</v>
      </c>
      <c r="AW155" s="14" t="str">
        <f t="shared" si="81"/>
        <v>夏侯渊</v>
      </c>
      <c r="AX155" s="14">
        <f t="shared" si="82"/>
        <v>11</v>
      </c>
      <c r="AY155" s="14" t="str">
        <f t="shared" si="83"/>
        <v>夏侯渊11突</v>
      </c>
      <c r="AZ155" s="14" t="str">
        <f>IF(AT155&gt;0,INDEX(挂机升级突破!$CV$5:$CZ$5,卡牌消耗!AT155),"")</f>
        <v>金币</v>
      </c>
      <c r="BA155" s="14">
        <f>IF(AT155&gt;0,ROUND(INDEX(挂机升级突破!$CZ$7:$CZ$26,卡牌消耗!AX155)*INDEX(卡牌消耗!$B$8:$F$8,AV155)/$Q$4/500,0)*500,"")</f>
        <v>22000</v>
      </c>
      <c r="BB155" s="14" t="str">
        <f>IF(AU155&gt;0,INDEX(挂机升级突破!$CV$5:$CZ$5,卡牌消耗!AU155),"")</f>
        <v>乌金</v>
      </c>
      <c r="BC155" s="14">
        <f>IF(AU155&gt;0,ROUND(INDEX(挂机升级突破!$CV$7:$CY$26,卡牌消耗!AX155,卡牌消耗!AU155)*INDEX($B$6:$F$6,AV155)/$Q$4/5,0)*5,"")</f>
        <v>145</v>
      </c>
      <c r="BD155" s="104"/>
      <c r="BE155" s="104"/>
      <c r="BF155" s="106"/>
      <c r="BU155" s="50" t="s">
        <v>309</v>
      </c>
      <c r="BV155" s="14">
        <f>INDEX($BR$5:$BR$19,BV153)</f>
        <v>10</v>
      </c>
      <c r="BW155" s="50">
        <v>143</v>
      </c>
      <c r="BX155" s="50">
        <v>12</v>
      </c>
      <c r="BY155" s="21">
        <f t="shared" si="90"/>
        <v>8.2758620689655171E-2</v>
      </c>
      <c r="BZ155" s="65">
        <f t="shared" si="91"/>
        <v>6658</v>
      </c>
      <c r="CA155" s="50" t="e">
        <f>SUM(BZ$5:BZ155)</f>
        <v>#REF!</v>
      </c>
      <c r="CD155" s="136">
        <v>151</v>
      </c>
      <c r="CE155" s="14">
        <f t="shared" si="85"/>
        <v>31</v>
      </c>
      <c r="CF155" s="14">
        <f t="shared" si="69"/>
        <v>4</v>
      </c>
      <c r="CG155" s="14">
        <f t="shared" si="70"/>
        <v>1102008</v>
      </c>
      <c r="CH155" s="136" t="s">
        <v>1127</v>
      </c>
      <c r="CI155" s="14">
        <f t="shared" si="71"/>
        <v>1</v>
      </c>
      <c r="CJ155" s="14" t="str">
        <f t="shared" si="72"/>
        <v>夏侯渊-1星</v>
      </c>
      <c r="CK155" s="136" t="s">
        <v>1133</v>
      </c>
      <c r="CL155" s="14">
        <f t="shared" si="86"/>
        <v>6000</v>
      </c>
      <c r="CM155" s="14" t="str">
        <f t="shared" si="73"/>
        <v>夏侯渊碎片</v>
      </c>
      <c r="CN155" s="14">
        <f t="shared" si="87"/>
        <v>80</v>
      </c>
    </row>
    <row r="156" spans="8:92" ht="16.5" x14ac:dyDescent="0.2">
      <c r="H156" s="15"/>
      <c r="I156" s="15"/>
      <c r="J156" s="15"/>
      <c r="K156" s="15"/>
      <c r="L156" s="15"/>
      <c r="M156" s="15"/>
      <c r="N156" s="15"/>
      <c r="O156" s="137"/>
      <c r="P156" s="141"/>
      <c r="Q156" s="141"/>
      <c r="R156" s="141"/>
      <c r="S156" s="141"/>
      <c r="T156" s="141"/>
      <c r="U156" s="141"/>
      <c r="V156" s="141"/>
      <c r="W156" s="141"/>
      <c r="X156" s="141"/>
      <c r="Y156" s="141"/>
      <c r="Z156" s="141"/>
      <c r="AA156" s="104">
        <v>152</v>
      </c>
      <c r="AB156" s="14">
        <f t="shared" si="74"/>
        <v>3</v>
      </c>
      <c r="AC156" s="14">
        <f>INDEX(挂机升级突破!$BU$6:$BU$57,卡牌消耗!AI156)</f>
        <v>11</v>
      </c>
      <c r="AD156" s="14">
        <f>INDEX(挂机升级突破!BV$6:BV$57,卡牌消耗!$AI156)</f>
        <v>5</v>
      </c>
      <c r="AE156" s="14">
        <f>INDEX(挂机升级突破!BW$6:BW$57,卡牌消耗!$AI156)</f>
        <v>10</v>
      </c>
      <c r="AF156" s="14" t="str">
        <f t="shared" si="75"/>
        <v>典韦</v>
      </c>
      <c r="AG156" s="14">
        <f t="shared" si="76"/>
        <v>4</v>
      </c>
      <c r="AH156" s="14" t="str">
        <f t="shared" si="77"/>
        <v>典韦魂火-48</v>
      </c>
      <c r="AI156" s="14">
        <f t="shared" si="78"/>
        <v>48</v>
      </c>
      <c r="AJ156" s="14" t="str">
        <f>INDEX(挂机升级突破!$BX$4:$CH$4,INDEX(挂机升级突破!$BU$6:$BU$57,卡牌消耗!AI156))</f>
        <v>金币</v>
      </c>
      <c r="AK156" s="14">
        <f>ROUND(INDEX(挂机升级突破!$BN$6:$BN$57,卡牌消耗!AI156)*INDEX(卡牌消耗!$B$8:$F$8,AG156)/$Q$4/50,0)*50</f>
        <v>227950</v>
      </c>
      <c r="AL156" s="14" t="str">
        <f>IF(AD156&gt;0,INDEX(挂机升级突破!$BX$4:$CH$4,AD156),"")</f>
        <v>红色基础材料</v>
      </c>
      <c r="AM156" s="14">
        <f>ROUND(INDEX(挂机升级突破!$BX$6:$CH$57,卡牌消耗!AI156,AD156)*INDEX(卡牌消耗!$B$5:$F$5,AG156)/$Q$4/5,0)*5</f>
        <v>75</v>
      </c>
      <c r="AN156" s="14" t="str">
        <f>IF(AE156&gt;0,INDEX(挂机升级突破!$BX$4:$CH$4,AE156),"")</f>
        <v>灵玉</v>
      </c>
      <c r="AO156" s="14">
        <f>IF(AE156&gt;0,ROUND(INDEX(挂机升级突破!$BX$6:$CH$57,卡牌消耗!AI156,AE156)*INDEX(卡牌消耗!$B$7:$F$7,AG156)/$Q$4,0),"")</f>
        <v>2</v>
      </c>
      <c r="AP156" s="106"/>
      <c r="AQ156" s="15"/>
      <c r="AR156" s="104">
        <v>152</v>
      </c>
      <c r="AS156" s="14">
        <f t="shared" si="79"/>
        <v>8</v>
      </c>
      <c r="AT156" s="14">
        <f>INDEX(挂机升级突破!$CM$7:$CM$26,AX156)</f>
        <v>5</v>
      </c>
      <c r="AU156" s="14">
        <f>INDEX(挂机升级突破!$CN$7:$CN$26,AX156)</f>
        <v>2</v>
      </c>
      <c r="AV156" s="14">
        <f t="shared" si="80"/>
        <v>4</v>
      </c>
      <c r="AW156" s="14" t="str">
        <f t="shared" si="81"/>
        <v>夏侯渊</v>
      </c>
      <c r="AX156" s="14">
        <f t="shared" si="82"/>
        <v>12</v>
      </c>
      <c r="AY156" s="14" t="str">
        <f t="shared" si="83"/>
        <v>夏侯渊12突</v>
      </c>
      <c r="AZ156" s="14" t="str">
        <f>IF(AT156&gt;0,INDEX(挂机升级突破!$CV$5:$CZ$5,卡牌消耗!AT156),"")</f>
        <v>金币</v>
      </c>
      <c r="BA156" s="14">
        <f>IF(AT156&gt;0,ROUND(INDEX(挂机升级突破!$CZ$7:$CZ$26,卡牌消耗!AX156)*INDEX(卡牌消耗!$B$8:$F$8,AV156)/$Q$4/500,0)*500,"")</f>
        <v>29500</v>
      </c>
      <c r="BB156" s="14" t="str">
        <f>IF(AU156&gt;0,INDEX(挂机升级突破!$CV$5:$CZ$5,卡牌消耗!AU156),"")</f>
        <v>乌金</v>
      </c>
      <c r="BC156" s="14">
        <f>IF(AU156&gt;0,ROUND(INDEX(挂机升级突破!$CV$7:$CY$26,卡牌消耗!AX156,卡牌消耗!AU156)*INDEX($B$6:$F$6,AV156)/$Q$4/5,0)*5,"")</f>
        <v>185</v>
      </c>
      <c r="BD156" s="104"/>
      <c r="BE156" s="104"/>
      <c r="BF156" s="106"/>
      <c r="BU156" s="15"/>
      <c r="BV156" s="14">
        <f>SUM(BX153:BX162)</f>
        <v>145</v>
      </c>
      <c r="BW156" s="50">
        <v>144</v>
      </c>
      <c r="BX156" s="50">
        <v>13</v>
      </c>
      <c r="BY156" s="21">
        <f t="shared" si="90"/>
        <v>8.9655172413793102E-2</v>
      </c>
      <c r="BZ156" s="65">
        <f t="shared" si="91"/>
        <v>7213</v>
      </c>
      <c r="CA156" s="50" t="e">
        <f>SUM(BZ$5:BZ156)</f>
        <v>#REF!</v>
      </c>
      <c r="CD156" s="136">
        <v>152</v>
      </c>
      <c r="CE156" s="14">
        <f t="shared" si="85"/>
        <v>31</v>
      </c>
      <c r="CF156" s="14">
        <f t="shared" si="69"/>
        <v>4</v>
      </c>
      <c r="CG156" s="14">
        <f t="shared" si="70"/>
        <v>1102008</v>
      </c>
      <c r="CH156" s="136" t="s">
        <v>1127</v>
      </c>
      <c r="CI156" s="14">
        <f t="shared" si="71"/>
        <v>2</v>
      </c>
      <c r="CJ156" s="14" t="str">
        <f t="shared" si="72"/>
        <v>夏侯渊-2星</v>
      </c>
      <c r="CK156" s="136" t="s">
        <v>1133</v>
      </c>
      <c r="CL156" s="14">
        <f t="shared" si="86"/>
        <v>8000</v>
      </c>
      <c r="CM156" s="14" t="str">
        <f t="shared" si="73"/>
        <v>夏侯渊碎片</v>
      </c>
      <c r="CN156" s="14">
        <f t="shared" si="87"/>
        <v>80</v>
      </c>
    </row>
    <row r="157" spans="8:92" ht="16.5" x14ac:dyDescent="0.2">
      <c r="H157" s="15"/>
      <c r="I157" s="15"/>
      <c r="J157" s="15"/>
      <c r="K157" s="15"/>
      <c r="L157" s="15"/>
      <c r="M157" s="15"/>
      <c r="N157" s="15"/>
      <c r="O157" s="137"/>
      <c r="P157" s="141"/>
      <c r="Q157" s="141"/>
      <c r="R157" s="141"/>
      <c r="S157" s="141"/>
      <c r="T157" s="141"/>
      <c r="U157" s="141"/>
      <c r="V157" s="141"/>
      <c r="W157" s="141"/>
      <c r="X157" s="141"/>
      <c r="Y157" s="141"/>
      <c r="Z157" s="141"/>
      <c r="AA157" s="104">
        <v>153</v>
      </c>
      <c r="AB157" s="14">
        <f t="shared" si="74"/>
        <v>3</v>
      </c>
      <c r="AC157" s="14">
        <f>INDEX(挂机升级突破!$BU$6:$BU$57,卡牌消耗!AI157)</f>
        <v>11</v>
      </c>
      <c r="AD157" s="14">
        <f>INDEX(挂机升级突破!BV$6:BV$57,卡牌消耗!$AI157)</f>
        <v>5</v>
      </c>
      <c r="AE157" s="14">
        <f>INDEX(挂机升级突破!BW$6:BW$57,卡牌消耗!$AI157)</f>
        <v>10</v>
      </c>
      <c r="AF157" s="14" t="str">
        <f t="shared" si="75"/>
        <v>典韦</v>
      </c>
      <c r="AG157" s="14">
        <f t="shared" si="76"/>
        <v>4</v>
      </c>
      <c r="AH157" s="14" t="str">
        <f t="shared" si="77"/>
        <v>典韦魂火-49</v>
      </c>
      <c r="AI157" s="14">
        <f t="shared" si="78"/>
        <v>49</v>
      </c>
      <c r="AJ157" s="14" t="str">
        <f>INDEX(挂机升级突破!$BX$4:$CH$4,INDEX(挂机升级突破!$BU$6:$BU$57,卡牌消耗!AI157))</f>
        <v>金币</v>
      </c>
      <c r="AK157" s="14">
        <f>ROUND(INDEX(挂机升级突破!$BN$6:$BN$57,卡牌消耗!AI157)*INDEX(卡牌消耗!$B$8:$F$8,AG157)/$Q$4/50,0)*50</f>
        <v>227950</v>
      </c>
      <c r="AL157" s="14" t="str">
        <f>IF(AD157&gt;0,INDEX(挂机升级突破!$BX$4:$CH$4,AD157),"")</f>
        <v>红色基础材料</v>
      </c>
      <c r="AM157" s="14">
        <f>ROUND(INDEX(挂机升级突破!$BX$6:$CH$57,卡牌消耗!AI157,AD157)*INDEX(卡牌消耗!$B$5:$F$5,AG157)/$Q$4/5,0)*5</f>
        <v>85</v>
      </c>
      <c r="AN157" s="14" t="str">
        <f>IF(AE157&gt;0,INDEX(挂机升级突破!$BX$4:$CH$4,AE157),"")</f>
        <v>灵玉</v>
      </c>
      <c r="AO157" s="14">
        <f>IF(AE157&gt;0,ROUND(INDEX(挂机升级突破!$BX$6:$CH$57,卡牌消耗!AI157,AE157)*INDEX(卡牌消耗!$B$7:$F$7,AG157)/$Q$4,0),"")</f>
        <v>2</v>
      </c>
      <c r="AP157" s="106"/>
      <c r="AQ157" s="15"/>
      <c r="AR157" s="104">
        <v>153</v>
      </c>
      <c r="AS157" s="14">
        <f t="shared" si="79"/>
        <v>8</v>
      </c>
      <c r="AT157" s="14">
        <f>INDEX(挂机升级突破!$CM$7:$CM$26,AX157)</f>
        <v>5</v>
      </c>
      <c r="AU157" s="14">
        <f>INDEX(挂机升级突破!$CN$7:$CN$26,AX157)</f>
        <v>3</v>
      </c>
      <c r="AV157" s="14">
        <f t="shared" si="80"/>
        <v>4</v>
      </c>
      <c r="AW157" s="14" t="str">
        <f t="shared" si="81"/>
        <v>夏侯渊</v>
      </c>
      <c r="AX157" s="14">
        <f t="shared" si="82"/>
        <v>13</v>
      </c>
      <c r="AY157" s="14" t="str">
        <f t="shared" si="83"/>
        <v>夏侯渊13突</v>
      </c>
      <c r="AZ157" s="14" t="str">
        <f>IF(AT157&gt;0,INDEX(挂机升级突破!$CV$5:$CZ$5,卡牌消耗!AT157),"")</f>
        <v>金币</v>
      </c>
      <c r="BA157" s="14">
        <f>IF(AT157&gt;0,ROUND(INDEX(挂机升级突破!$CZ$7:$CZ$26,卡牌消耗!AX157)*INDEX(卡牌消耗!$B$8:$F$8,AV157)/$Q$4/500,0)*500,"")</f>
        <v>39000</v>
      </c>
      <c r="BB157" s="14" t="str">
        <f>IF(AU157&gt;0,INDEX(挂机升级突破!$CV$5:$CZ$5,卡牌消耗!AU157),"")</f>
        <v>银母</v>
      </c>
      <c r="BC157" s="14">
        <f>IF(AU157&gt;0,ROUND(INDEX(挂机升级突破!$CV$7:$CY$26,卡牌消耗!AX157,卡牌消耗!AU157)*INDEX($B$6:$F$6,AV157)/$Q$4/5,0)*5,"")</f>
        <v>35</v>
      </c>
      <c r="BD157" s="104"/>
      <c r="BE157" s="104"/>
      <c r="BF157" s="106"/>
      <c r="BW157" s="50">
        <v>145</v>
      </c>
      <c r="BX157" s="50">
        <v>14</v>
      </c>
      <c r="BY157" s="21">
        <f t="shared" si="90"/>
        <v>9.6551724137931033E-2</v>
      </c>
      <c r="BZ157" s="65">
        <f t="shared" si="91"/>
        <v>7768</v>
      </c>
      <c r="CA157" s="50" t="e">
        <f>SUM(BZ$5:BZ157)</f>
        <v>#REF!</v>
      </c>
      <c r="CD157" s="136">
        <v>153</v>
      </c>
      <c r="CE157" s="14">
        <f t="shared" si="85"/>
        <v>31</v>
      </c>
      <c r="CF157" s="14">
        <f t="shared" si="69"/>
        <v>4</v>
      </c>
      <c r="CG157" s="14">
        <f t="shared" si="70"/>
        <v>1102008</v>
      </c>
      <c r="CH157" s="136" t="s">
        <v>1127</v>
      </c>
      <c r="CI157" s="14">
        <f t="shared" si="71"/>
        <v>3</v>
      </c>
      <c r="CJ157" s="14" t="str">
        <f t="shared" si="72"/>
        <v>夏侯渊-3星</v>
      </c>
      <c r="CK157" s="136" t="s">
        <v>1133</v>
      </c>
      <c r="CL157" s="14">
        <f t="shared" si="86"/>
        <v>14000</v>
      </c>
      <c r="CM157" s="14" t="str">
        <f t="shared" si="73"/>
        <v>夏侯渊碎片</v>
      </c>
      <c r="CN157" s="14">
        <f t="shared" si="87"/>
        <v>160</v>
      </c>
    </row>
    <row r="158" spans="8:92" ht="16.5" x14ac:dyDescent="0.2">
      <c r="H158" s="15"/>
      <c r="I158" s="15"/>
      <c r="J158" s="15"/>
      <c r="K158" s="15"/>
      <c r="L158" s="15"/>
      <c r="M158" s="15"/>
      <c r="N158" s="15"/>
      <c r="O158" s="137"/>
      <c r="P158" s="141"/>
      <c r="Q158" s="141"/>
      <c r="R158" s="141"/>
      <c r="S158" s="141"/>
      <c r="T158" s="141"/>
      <c r="U158" s="141"/>
      <c r="V158" s="141"/>
      <c r="W158" s="141"/>
      <c r="X158" s="141"/>
      <c r="Y158" s="141"/>
      <c r="Z158" s="141"/>
      <c r="AA158" s="104">
        <v>154</v>
      </c>
      <c r="AB158" s="14">
        <f t="shared" si="74"/>
        <v>3</v>
      </c>
      <c r="AC158" s="14">
        <f>INDEX(挂机升级突破!$BU$6:$BU$57,卡牌消耗!AI158)</f>
        <v>11</v>
      </c>
      <c r="AD158" s="14">
        <f>INDEX(挂机升级突破!BV$6:BV$57,卡牌消耗!$AI158)</f>
        <v>5</v>
      </c>
      <c r="AE158" s="14">
        <f>INDEX(挂机升级突破!BW$6:BW$57,卡牌消耗!$AI158)</f>
        <v>10</v>
      </c>
      <c r="AF158" s="14" t="str">
        <f t="shared" si="75"/>
        <v>典韦</v>
      </c>
      <c r="AG158" s="14">
        <f t="shared" si="76"/>
        <v>4</v>
      </c>
      <c r="AH158" s="14" t="str">
        <f t="shared" si="77"/>
        <v>典韦魂火-50</v>
      </c>
      <c r="AI158" s="14">
        <f t="shared" si="78"/>
        <v>50</v>
      </c>
      <c r="AJ158" s="14" t="str">
        <f>INDEX(挂机升级突破!$BX$4:$CH$4,INDEX(挂机升级突破!$BU$6:$BU$57,卡牌消耗!AI158))</f>
        <v>金币</v>
      </c>
      <c r="AK158" s="14">
        <f>ROUND(INDEX(挂机升级突破!$BN$6:$BN$57,卡牌消耗!AI158)*INDEX(卡牌消耗!$B$8:$F$8,AG158)/$Q$4/50,0)*50</f>
        <v>379900</v>
      </c>
      <c r="AL158" s="14" t="str">
        <f>IF(AD158&gt;0,INDEX(挂机升级突破!$BX$4:$CH$4,AD158),"")</f>
        <v>红色基础材料</v>
      </c>
      <c r="AM158" s="14">
        <f>ROUND(INDEX(挂机升级突破!$BX$6:$CH$57,卡牌消耗!AI158,AD158)*INDEX(卡牌消耗!$B$5:$F$5,AG158)/$Q$4/5,0)*5</f>
        <v>85</v>
      </c>
      <c r="AN158" s="14" t="str">
        <f>IF(AE158&gt;0,INDEX(挂机升级突破!$BX$4:$CH$4,AE158),"")</f>
        <v>灵玉</v>
      </c>
      <c r="AO158" s="14">
        <f>IF(AE158&gt;0,ROUND(INDEX(挂机升级突破!$BX$6:$CH$57,卡牌消耗!AI158,AE158)*INDEX(卡牌消耗!$B$7:$F$7,AG158)/$Q$4,0),"")</f>
        <v>2</v>
      </c>
      <c r="AP158" s="106"/>
      <c r="AQ158" s="15"/>
      <c r="AR158" s="104">
        <v>154</v>
      </c>
      <c r="AS158" s="14">
        <f t="shared" si="79"/>
        <v>8</v>
      </c>
      <c r="AT158" s="14">
        <f>INDEX(挂机升级突破!$CM$7:$CM$26,AX158)</f>
        <v>5</v>
      </c>
      <c r="AU158" s="14">
        <f>INDEX(挂机升级突破!$CN$7:$CN$26,AX158)</f>
        <v>3</v>
      </c>
      <c r="AV158" s="14">
        <f t="shared" si="80"/>
        <v>4</v>
      </c>
      <c r="AW158" s="14" t="str">
        <f t="shared" si="81"/>
        <v>夏侯渊</v>
      </c>
      <c r="AX158" s="14">
        <f t="shared" si="82"/>
        <v>14</v>
      </c>
      <c r="AY158" s="14" t="str">
        <f t="shared" si="83"/>
        <v>夏侯渊14突</v>
      </c>
      <c r="AZ158" s="14" t="str">
        <f>IF(AT158&gt;0,INDEX(挂机升级突破!$CV$5:$CZ$5,卡牌消耗!AT158),"")</f>
        <v>金币</v>
      </c>
      <c r="BA158" s="14">
        <f>IF(AT158&gt;0,ROUND(INDEX(挂机升级突破!$CZ$7:$CZ$26,卡牌消耗!AX158)*INDEX(卡牌消耗!$B$8:$F$8,AV158)/$Q$4/500,0)*500,"")</f>
        <v>39000</v>
      </c>
      <c r="BB158" s="14" t="str">
        <f>IF(AU158&gt;0,INDEX(挂机升级突破!$CV$5:$CZ$5,卡牌消耗!AU158),"")</f>
        <v>银母</v>
      </c>
      <c r="BC158" s="14">
        <f>IF(AU158&gt;0,ROUND(INDEX(挂机升级突破!$CV$7:$CY$26,卡牌消耗!AX158,卡牌消耗!AU158)*INDEX($B$6:$F$6,AV158)/$Q$4/5,0)*5,"")</f>
        <v>50</v>
      </c>
      <c r="BD158" s="104"/>
      <c r="BE158" s="104"/>
      <c r="BF158" s="106"/>
      <c r="BW158" s="50">
        <v>146</v>
      </c>
      <c r="BX158" s="50">
        <v>15</v>
      </c>
      <c r="BY158" s="21">
        <f t="shared" si="90"/>
        <v>0.10344827586206896</v>
      </c>
      <c r="BZ158" s="65">
        <f t="shared" si="91"/>
        <v>8323</v>
      </c>
      <c r="CA158" s="50" t="e">
        <f>SUM(BZ$5:BZ158)</f>
        <v>#REF!</v>
      </c>
      <c r="CD158" s="136">
        <v>154</v>
      </c>
      <c r="CE158" s="14">
        <f t="shared" si="85"/>
        <v>31</v>
      </c>
      <c r="CF158" s="14">
        <f t="shared" si="69"/>
        <v>4</v>
      </c>
      <c r="CG158" s="14">
        <f t="shared" si="70"/>
        <v>1102008</v>
      </c>
      <c r="CH158" s="136" t="s">
        <v>1127</v>
      </c>
      <c r="CI158" s="14">
        <f t="shared" si="71"/>
        <v>4</v>
      </c>
      <c r="CJ158" s="14" t="str">
        <f t="shared" si="72"/>
        <v>夏侯渊-4星</v>
      </c>
      <c r="CK158" s="136" t="s">
        <v>1133</v>
      </c>
      <c r="CL158" s="14">
        <f t="shared" si="86"/>
        <v>32000</v>
      </c>
      <c r="CM158" s="14" t="str">
        <f t="shared" si="73"/>
        <v>夏侯渊碎片</v>
      </c>
      <c r="CN158" s="14">
        <f t="shared" si="87"/>
        <v>240</v>
      </c>
    </row>
    <row r="159" spans="8:92" ht="16.5" x14ac:dyDescent="0.2">
      <c r="H159" s="15"/>
      <c r="I159" s="15"/>
      <c r="J159" s="15"/>
      <c r="K159" s="15"/>
      <c r="L159" s="15"/>
      <c r="M159" s="15"/>
      <c r="N159" s="15"/>
      <c r="O159" s="137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04">
        <v>155</v>
      </c>
      <c r="AB159" s="14">
        <f t="shared" si="74"/>
        <v>3</v>
      </c>
      <c r="AC159" s="14">
        <f>INDEX(挂机升级突破!$BU$6:$BU$57,卡牌消耗!AI159)</f>
        <v>11</v>
      </c>
      <c r="AD159" s="14">
        <f>INDEX(挂机升级突破!BV$6:BV$57,卡牌消耗!$AI159)</f>
        <v>5</v>
      </c>
      <c r="AE159" s="14">
        <f>INDEX(挂机升级突破!BW$6:BW$57,卡牌消耗!$AI159)</f>
        <v>10</v>
      </c>
      <c r="AF159" s="14" t="str">
        <f t="shared" si="75"/>
        <v>典韦</v>
      </c>
      <c r="AG159" s="14">
        <f t="shared" si="76"/>
        <v>4</v>
      </c>
      <c r="AH159" s="14" t="str">
        <f t="shared" si="77"/>
        <v>典韦魂火-51</v>
      </c>
      <c r="AI159" s="14">
        <f t="shared" si="78"/>
        <v>51</v>
      </c>
      <c r="AJ159" s="14" t="str">
        <f>INDEX(挂机升级突破!$BX$4:$CH$4,INDEX(挂机升级突破!$BU$6:$BU$57,卡牌消耗!AI159))</f>
        <v>金币</v>
      </c>
      <c r="AK159" s="14">
        <f>ROUND(INDEX(挂机升级突破!$BN$6:$BN$57,卡牌消耗!AI159)*INDEX(卡牌消耗!$B$8:$F$8,AG159)/$Q$4/50,0)*50</f>
        <v>417900</v>
      </c>
      <c r="AL159" s="14" t="str">
        <f>IF(AD159&gt;0,INDEX(挂机升级突破!$BX$4:$CH$4,AD159),"")</f>
        <v>红色基础材料</v>
      </c>
      <c r="AM159" s="14">
        <f>ROUND(INDEX(挂机升级突破!$BX$6:$CH$57,卡牌消耗!AI159,AD159)*INDEX(卡牌消耗!$B$5:$F$5,AG159)/$Q$4/5,0)*5</f>
        <v>85</v>
      </c>
      <c r="AN159" s="14" t="str">
        <f>IF(AE159&gt;0,INDEX(挂机升级突破!$BX$4:$CH$4,AE159),"")</f>
        <v>灵玉</v>
      </c>
      <c r="AO159" s="14">
        <f>IF(AE159&gt;0,ROUND(INDEX(挂机升级突破!$BX$6:$CH$57,卡牌消耗!AI159,AE159)*INDEX(卡牌消耗!$B$7:$F$7,AG159)/$Q$4,0),"")</f>
        <v>2</v>
      </c>
      <c r="AP159" s="106"/>
      <c r="AQ159" s="15"/>
      <c r="AR159" s="104">
        <v>155</v>
      </c>
      <c r="AS159" s="14">
        <f t="shared" si="79"/>
        <v>8</v>
      </c>
      <c r="AT159" s="14">
        <f>INDEX(挂机升级突破!$CM$7:$CM$26,AX159)</f>
        <v>5</v>
      </c>
      <c r="AU159" s="14">
        <f>INDEX(挂机升级突破!$CN$7:$CN$26,AX159)</f>
        <v>3</v>
      </c>
      <c r="AV159" s="14">
        <f t="shared" si="80"/>
        <v>4</v>
      </c>
      <c r="AW159" s="14" t="str">
        <f t="shared" si="81"/>
        <v>夏侯渊</v>
      </c>
      <c r="AX159" s="14">
        <f t="shared" si="82"/>
        <v>15</v>
      </c>
      <c r="AY159" s="14" t="str">
        <f t="shared" si="83"/>
        <v>夏侯渊15突</v>
      </c>
      <c r="AZ159" s="14" t="str">
        <f>IF(AT159&gt;0,INDEX(挂机升级突破!$CV$5:$CZ$5,卡牌消耗!AT159),"")</f>
        <v>金币</v>
      </c>
      <c r="BA159" s="14">
        <f>IF(AT159&gt;0,ROUND(INDEX(挂机升级突破!$CZ$7:$CZ$26,卡牌消耗!AX159)*INDEX(卡牌消耗!$B$8:$F$8,AV159)/$Q$4/500,0)*500,"")</f>
        <v>52000</v>
      </c>
      <c r="BB159" s="14" t="str">
        <f>IF(AU159&gt;0,INDEX(挂机升级突破!$CV$5:$CZ$5,卡牌消耗!AU159),"")</f>
        <v>银母</v>
      </c>
      <c r="BC159" s="14">
        <f>IF(AU159&gt;0,ROUND(INDEX(挂机升级突破!$CV$7:$CY$26,卡牌消耗!AX159,卡牌消耗!AU159)*INDEX($B$6:$F$6,AV159)/$Q$4/5,0)*5,"")</f>
        <v>65</v>
      </c>
      <c r="BD159" s="104"/>
      <c r="BE159" s="104"/>
      <c r="BF159" s="106"/>
      <c r="BW159" s="50">
        <v>147</v>
      </c>
      <c r="BX159" s="50">
        <v>16</v>
      </c>
      <c r="BY159" s="21">
        <f t="shared" si="90"/>
        <v>0.1103448275862069</v>
      </c>
      <c r="BZ159" s="65">
        <f t="shared" si="91"/>
        <v>8878</v>
      </c>
      <c r="CA159" s="50" t="e">
        <f>SUM(BZ$5:BZ159)</f>
        <v>#REF!</v>
      </c>
      <c r="CD159" s="136">
        <v>155</v>
      </c>
      <c r="CE159" s="14">
        <f t="shared" si="85"/>
        <v>31</v>
      </c>
      <c r="CF159" s="14">
        <f t="shared" si="69"/>
        <v>4</v>
      </c>
      <c r="CG159" s="14">
        <f t="shared" si="70"/>
        <v>1102008</v>
      </c>
      <c r="CH159" s="136" t="s">
        <v>1127</v>
      </c>
      <c r="CI159" s="14">
        <f t="shared" si="71"/>
        <v>5</v>
      </c>
      <c r="CJ159" s="14" t="str">
        <f t="shared" si="72"/>
        <v>夏侯渊-5星</v>
      </c>
      <c r="CK159" s="136" t="s">
        <v>1133</v>
      </c>
      <c r="CL159" s="14">
        <f t="shared" si="86"/>
        <v>60000</v>
      </c>
      <c r="CM159" s="14" t="str">
        <f t="shared" si="73"/>
        <v>夏侯渊碎片</v>
      </c>
      <c r="CN159" s="14">
        <f t="shared" si="87"/>
        <v>320</v>
      </c>
    </row>
    <row r="160" spans="8:92" ht="16.5" x14ac:dyDescent="0.2">
      <c r="H160" s="15"/>
      <c r="I160" s="15"/>
      <c r="J160" s="15"/>
      <c r="K160" s="15"/>
      <c r="L160" s="15"/>
      <c r="M160" s="15"/>
      <c r="N160" s="15"/>
      <c r="O160" s="137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41"/>
      <c r="AA160" s="104">
        <v>156</v>
      </c>
      <c r="AB160" s="14">
        <f t="shared" si="74"/>
        <v>3</v>
      </c>
      <c r="AC160" s="14">
        <f>INDEX(挂机升级突破!$BU$6:$BU$57,卡牌消耗!AI160)</f>
        <v>11</v>
      </c>
      <c r="AD160" s="14">
        <f>INDEX(挂机升级突破!BV$6:BV$57,卡牌消耗!$AI160)</f>
        <v>5</v>
      </c>
      <c r="AE160" s="14">
        <f>INDEX(挂机升级突破!BW$6:BW$57,卡牌消耗!$AI160)</f>
        <v>10</v>
      </c>
      <c r="AF160" s="14" t="str">
        <f t="shared" si="75"/>
        <v>典韦</v>
      </c>
      <c r="AG160" s="14">
        <f t="shared" si="76"/>
        <v>4</v>
      </c>
      <c r="AH160" s="14" t="str">
        <f t="shared" si="77"/>
        <v>典韦魂火-52</v>
      </c>
      <c r="AI160" s="14">
        <f t="shared" si="78"/>
        <v>52</v>
      </c>
      <c r="AJ160" s="14" t="str">
        <f>INDEX(挂机升级突破!$BX$4:$CH$4,INDEX(挂机升级突破!$BU$6:$BU$57,卡牌消耗!AI160))</f>
        <v>金币</v>
      </c>
      <c r="AK160" s="14">
        <f>ROUND(INDEX(挂机升级突破!$BN$6:$BN$57,卡牌消耗!AI160)*INDEX(卡牌消耗!$B$8:$F$8,AG160)/$Q$4/50,0)*50</f>
        <v>417900</v>
      </c>
      <c r="AL160" s="14" t="str">
        <f>IF(AD160&gt;0,INDEX(挂机升级突破!$BX$4:$CH$4,AD160),"")</f>
        <v>红色基础材料</v>
      </c>
      <c r="AM160" s="14">
        <f>ROUND(INDEX(挂机升级突破!$BX$6:$CH$57,卡牌消耗!AI160,AD160)*INDEX(卡牌消耗!$B$5:$F$5,AG160)/$Q$4/5,0)*5</f>
        <v>85</v>
      </c>
      <c r="AN160" s="14" t="str">
        <f>IF(AE160&gt;0,INDEX(挂机升级突破!$BX$4:$CH$4,AE160),"")</f>
        <v>灵玉</v>
      </c>
      <c r="AO160" s="14">
        <f>IF(AE160&gt;0,ROUND(INDEX(挂机升级突破!$BX$6:$CH$57,卡牌消耗!AI160,AE160)*INDEX(卡牌消耗!$B$7:$F$7,AG160)/$Q$4,0),"")</f>
        <v>2</v>
      </c>
      <c r="AP160" s="106"/>
      <c r="AQ160" s="15"/>
      <c r="AR160" s="104">
        <v>156</v>
      </c>
      <c r="AS160" s="14">
        <f t="shared" si="79"/>
        <v>8</v>
      </c>
      <c r="AT160" s="14">
        <f>INDEX(挂机升级突破!$CM$7:$CM$26,AX160)</f>
        <v>5</v>
      </c>
      <c r="AU160" s="14">
        <f>INDEX(挂机升级突破!$CN$7:$CN$26,AX160)</f>
        <v>3</v>
      </c>
      <c r="AV160" s="14">
        <f t="shared" si="80"/>
        <v>4</v>
      </c>
      <c r="AW160" s="14" t="str">
        <f t="shared" si="81"/>
        <v>夏侯渊</v>
      </c>
      <c r="AX160" s="14">
        <f t="shared" si="82"/>
        <v>16</v>
      </c>
      <c r="AY160" s="14" t="str">
        <f t="shared" si="83"/>
        <v>夏侯渊16突</v>
      </c>
      <c r="AZ160" s="14" t="str">
        <f>IF(AT160&gt;0,INDEX(挂机升级突破!$CV$5:$CZ$5,卡牌消耗!AT160),"")</f>
        <v>金币</v>
      </c>
      <c r="BA160" s="14">
        <f>IF(AT160&gt;0,ROUND(INDEX(挂机升级突破!$CZ$7:$CZ$26,卡牌消耗!AX160)*INDEX(卡牌消耗!$B$8:$F$8,AV160)/$Q$4/500,0)*500,"")</f>
        <v>94000</v>
      </c>
      <c r="BB160" s="14" t="str">
        <f>IF(AU160&gt;0,INDEX(挂机升级突破!$CV$5:$CZ$5,卡牌消耗!AU160),"")</f>
        <v>银母</v>
      </c>
      <c r="BC160" s="14">
        <f>IF(AU160&gt;0,ROUND(INDEX(挂机升级突破!$CV$7:$CY$26,卡牌消耗!AX160,卡牌消耗!AU160)*INDEX($B$6:$F$6,AV160)/$Q$4/5,0)*5,"")</f>
        <v>85</v>
      </c>
      <c r="BD160" s="104"/>
      <c r="BE160" s="104"/>
      <c r="BF160" s="106"/>
      <c r="BW160" s="50">
        <v>148</v>
      </c>
      <c r="BX160" s="50">
        <v>17</v>
      </c>
      <c r="BY160" s="21">
        <f t="shared" si="90"/>
        <v>0.11724137931034483</v>
      </c>
      <c r="BZ160" s="65">
        <f t="shared" si="91"/>
        <v>9433</v>
      </c>
      <c r="CA160" s="50" t="e">
        <f>SUM(BZ$5:BZ160)</f>
        <v>#REF!</v>
      </c>
      <c r="CD160" s="136">
        <v>156</v>
      </c>
      <c r="CE160" s="14">
        <f t="shared" si="85"/>
        <v>32</v>
      </c>
      <c r="CF160" s="14">
        <f t="shared" si="69"/>
        <v>3</v>
      </c>
      <c r="CG160" s="14">
        <f t="shared" si="70"/>
        <v>1102009</v>
      </c>
      <c r="CH160" s="136" t="s">
        <v>1127</v>
      </c>
      <c r="CI160" s="14">
        <f t="shared" si="71"/>
        <v>1</v>
      </c>
      <c r="CJ160" s="14" t="str">
        <f t="shared" si="72"/>
        <v>徐晃-1星</v>
      </c>
      <c r="CK160" s="136" t="s">
        <v>1133</v>
      </c>
      <c r="CL160" s="14">
        <f t="shared" si="86"/>
        <v>4000</v>
      </c>
      <c r="CM160" s="14" t="str">
        <f t="shared" si="73"/>
        <v>徐晃碎片</v>
      </c>
      <c r="CN160" s="14">
        <f t="shared" si="87"/>
        <v>40</v>
      </c>
    </row>
    <row r="161" spans="8:92" ht="16.5" x14ac:dyDescent="0.2">
      <c r="H161" s="15"/>
      <c r="I161" s="15"/>
      <c r="J161" s="15"/>
      <c r="K161" s="15"/>
      <c r="L161" s="15"/>
      <c r="M161" s="15"/>
      <c r="N161" s="15"/>
      <c r="O161" s="137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41"/>
      <c r="AA161" s="104">
        <v>157</v>
      </c>
      <c r="AB161" s="14">
        <f t="shared" si="74"/>
        <v>4</v>
      </c>
      <c r="AC161" s="14">
        <f>INDEX(挂机升级突破!$BU$6:$BU$57,卡牌消耗!AI161)</f>
        <v>11</v>
      </c>
      <c r="AD161" s="14">
        <f>INDEX(挂机升级突破!BV$6:BV$57,卡牌消耗!$AI161)</f>
        <v>1</v>
      </c>
      <c r="AE161" s="14">
        <f>INDEX(挂机升级突破!BW$6:BW$57,卡牌消耗!$AI161)</f>
        <v>0</v>
      </c>
      <c r="AF161" s="14" t="str">
        <f t="shared" si="75"/>
        <v>唐流雨</v>
      </c>
      <c r="AG161" s="14">
        <f t="shared" si="76"/>
        <v>2</v>
      </c>
      <c r="AH161" s="14" t="str">
        <f t="shared" si="77"/>
        <v>唐流雨魂火-1</v>
      </c>
      <c r="AI161" s="14">
        <f t="shared" si="78"/>
        <v>1</v>
      </c>
      <c r="AJ161" s="14" t="str">
        <f>INDEX(挂机升级突破!$BX$4:$CH$4,INDEX(挂机升级突破!$BU$6:$BU$57,卡牌消耗!AI161))</f>
        <v>金币</v>
      </c>
      <c r="AK161" s="14">
        <f>ROUND(INDEX(挂机升级突破!$BN$6:$BN$57,卡牌消耗!AI161)*INDEX(卡牌消耗!$B$8:$F$8,AG161)/$Q$4/50,0)*50</f>
        <v>400</v>
      </c>
      <c r="AL161" s="14" t="str">
        <f>IF(AD161&gt;0,INDEX(挂机升级突破!$BX$4:$CH$4,AD161),"")</f>
        <v>绿色基础材料</v>
      </c>
      <c r="AM161" s="14">
        <f>ROUND(INDEX(挂机升级突破!$BX$6:$CH$57,卡牌消耗!AI161,AD161)*INDEX(卡牌消耗!$B$5:$F$5,AG161)/$Q$4/5,0)*5</f>
        <v>665</v>
      </c>
      <c r="AN161" s="14" t="str">
        <f>IF(AE161&gt;0,INDEX(挂机升级突破!$BX$4:$CH$4,AE161),"")</f>
        <v/>
      </c>
      <c r="AO161" s="14" t="str">
        <f>IF(AE161&gt;0,ROUND(INDEX(挂机升级突破!$BX$6:$CH$57,卡牌消耗!AI161,AE161)*INDEX(卡牌消耗!$B$7:$F$7,AG161)/$Q$4,0),"")</f>
        <v/>
      </c>
      <c r="AP161" s="106"/>
      <c r="AQ161" s="15"/>
      <c r="AR161" s="104">
        <v>157</v>
      </c>
      <c r="AS161" s="14">
        <f t="shared" si="79"/>
        <v>8</v>
      </c>
      <c r="AT161" s="14">
        <f>INDEX(挂机升级突破!$CM$7:$CM$26,AX161)</f>
        <v>5</v>
      </c>
      <c r="AU161" s="14">
        <f>INDEX(挂机升级突破!$CN$7:$CN$26,AX161)</f>
        <v>4</v>
      </c>
      <c r="AV161" s="14">
        <f t="shared" si="80"/>
        <v>4</v>
      </c>
      <c r="AW161" s="14" t="str">
        <f t="shared" si="81"/>
        <v>夏侯渊</v>
      </c>
      <c r="AX161" s="14">
        <f t="shared" si="82"/>
        <v>17</v>
      </c>
      <c r="AY161" s="14" t="str">
        <f t="shared" si="83"/>
        <v>夏侯渊17突</v>
      </c>
      <c r="AZ161" s="14" t="str">
        <f>IF(AT161&gt;0,INDEX(挂机升级突破!$CV$5:$CZ$5,卡牌消耗!AT161),"")</f>
        <v>金币</v>
      </c>
      <c r="BA161" s="14">
        <f>IF(AT161&gt;0,ROUND(INDEX(挂机升级突破!$CZ$7:$CZ$26,卡牌消耗!AX161)*INDEX(卡牌消耗!$B$8:$F$8,AV161)/$Q$4/500,0)*500,"")</f>
        <v>94000</v>
      </c>
      <c r="BB161" s="14" t="str">
        <f>IF(AU161&gt;0,INDEX(挂机升级突破!$CV$5:$CZ$5,卡牌消耗!AU161),"")</f>
        <v>铀金</v>
      </c>
      <c r="BC161" s="14">
        <f>IF(AU161&gt;0,ROUND(INDEX(挂机升级突破!$CV$7:$CY$26,卡牌消耗!AX161,卡牌消耗!AU161)*INDEX($B$6:$F$6,AV161)/$Q$4/5,0)*5,"")</f>
        <v>30</v>
      </c>
      <c r="BD161" s="104"/>
      <c r="BE161" s="104"/>
      <c r="BF161" s="106"/>
      <c r="BW161" s="50">
        <v>149</v>
      </c>
      <c r="BX161" s="50">
        <v>18</v>
      </c>
      <c r="BY161" s="21">
        <f t="shared" si="90"/>
        <v>0.12413793103448276</v>
      </c>
      <c r="BZ161" s="65">
        <f t="shared" si="91"/>
        <v>9988</v>
      </c>
      <c r="CA161" s="50" t="e">
        <f>SUM(BZ$5:BZ161)</f>
        <v>#REF!</v>
      </c>
      <c r="CD161" s="136">
        <v>157</v>
      </c>
      <c r="CE161" s="14">
        <f t="shared" si="85"/>
        <v>32</v>
      </c>
      <c r="CF161" s="14">
        <f t="shared" si="69"/>
        <v>3</v>
      </c>
      <c r="CG161" s="14">
        <f t="shared" si="70"/>
        <v>1102009</v>
      </c>
      <c r="CH161" s="136" t="s">
        <v>1127</v>
      </c>
      <c r="CI161" s="14">
        <f t="shared" si="71"/>
        <v>2</v>
      </c>
      <c r="CJ161" s="14" t="str">
        <f t="shared" si="72"/>
        <v>徐晃-2星</v>
      </c>
      <c r="CK161" s="136" t="s">
        <v>1133</v>
      </c>
      <c r="CL161" s="14">
        <f t="shared" si="86"/>
        <v>5000</v>
      </c>
      <c r="CM161" s="14" t="str">
        <f t="shared" si="73"/>
        <v>徐晃碎片</v>
      </c>
      <c r="CN161" s="14">
        <f t="shared" si="87"/>
        <v>80</v>
      </c>
    </row>
    <row r="162" spans="8:92" ht="16.5" x14ac:dyDescent="0.2">
      <c r="H162" s="15"/>
      <c r="I162" s="15"/>
      <c r="J162" s="15"/>
      <c r="K162" s="15"/>
      <c r="L162" s="15"/>
      <c r="M162" s="15"/>
      <c r="N162" s="15"/>
      <c r="O162" s="137"/>
      <c r="P162" s="141"/>
      <c r="Q162" s="141"/>
      <c r="R162" s="141"/>
      <c r="S162" s="141"/>
      <c r="T162" s="141"/>
      <c r="U162" s="141"/>
      <c r="V162" s="141"/>
      <c r="W162" s="141"/>
      <c r="X162" s="141"/>
      <c r="Y162" s="141"/>
      <c r="Z162" s="141"/>
      <c r="AA162" s="104">
        <v>158</v>
      </c>
      <c r="AB162" s="14">
        <f t="shared" si="74"/>
        <v>4</v>
      </c>
      <c r="AC162" s="14">
        <f>INDEX(挂机升级突破!$BU$6:$BU$57,卡牌消耗!AI162)</f>
        <v>11</v>
      </c>
      <c r="AD162" s="14">
        <f>INDEX(挂机升级突破!BV$6:BV$57,卡牌消耗!$AI162)</f>
        <v>1</v>
      </c>
      <c r="AE162" s="14">
        <f>INDEX(挂机升级突破!BW$6:BW$57,卡牌消耗!$AI162)</f>
        <v>0</v>
      </c>
      <c r="AF162" s="14" t="str">
        <f t="shared" si="75"/>
        <v>唐流雨</v>
      </c>
      <c r="AG162" s="14">
        <f t="shared" si="76"/>
        <v>2</v>
      </c>
      <c r="AH162" s="14" t="str">
        <f t="shared" si="77"/>
        <v>唐流雨魂火-2</v>
      </c>
      <c r="AI162" s="14">
        <f t="shared" si="78"/>
        <v>2</v>
      </c>
      <c r="AJ162" s="14" t="str">
        <f>INDEX(挂机升级突破!$BX$4:$CH$4,INDEX(挂机升级突破!$BU$6:$BU$57,卡牌消耗!AI162))</f>
        <v>金币</v>
      </c>
      <c r="AK162" s="14">
        <f>ROUND(INDEX(挂机升级突破!$BN$6:$BN$57,卡牌消耗!AI162)*INDEX(卡牌消耗!$B$8:$F$8,AG162)/$Q$4/50,0)*50</f>
        <v>550</v>
      </c>
      <c r="AL162" s="14" t="str">
        <f>IF(AD162&gt;0,INDEX(挂机升级突破!$BX$4:$CH$4,AD162),"")</f>
        <v>绿色基础材料</v>
      </c>
      <c r="AM162" s="14">
        <f>ROUND(INDEX(挂机升级突破!$BX$6:$CH$57,卡牌消耗!AI162,AD162)*INDEX(卡牌消耗!$B$5:$F$5,AG162)/$Q$4/5,0)*5</f>
        <v>2000</v>
      </c>
      <c r="AN162" s="14" t="str">
        <f>IF(AE162&gt;0,INDEX(挂机升级突破!$BX$4:$CH$4,AE162),"")</f>
        <v/>
      </c>
      <c r="AO162" s="14" t="str">
        <f>IF(AE162&gt;0,ROUND(INDEX(挂机升级突破!$BX$6:$CH$57,卡牌消耗!AI162,AE162)*INDEX(卡牌消耗!$B$7:$F$7,AG162)/$Q$4,0),"")</f>
        <v/>
      </c>
      <c r="AP162" s="106"/>
      <c r="AQ162" s="15"/>
      <c r="AR162" s="104">
        <v>158</v>
      </c>
      <c r="AS162" s="14">
        <f t="shared" si="79"/>
        <v>8</v>
      </c>
      <c r="AT162" s="14">
        <f>INDEX(挂机升级突破!$CM$7:$CM$26,AX162)</f>
        <v>5</v>
      </c>
      <c r="AU162" s="14">
        <f>INDEX(挂机升级突破!$CN$7:$CN$26,AX162)</f>
        <v>4</v>
      </c>
      <c r="AV162" s="14">
        <f t="shared" si="80"/>
        <v>4</v>
      </c>
      <c r="AW162" s="14" t="str">
        <f t="shared" si="81"/>
        <v>夏侯渊</v>
      </c>
      <c r="AX162" s="14">
        <f t="shared" si="82"/>
        <v>18</v>
      </c>
      <c r="AY162" s="14" t="str">
        <f t="shared" si="83"/>
        <v>夏侯渊18突</v>
      </c>
      <c r="AZ162" s="14" t="str">
        <f>IF(AT162&gt;0,INDEX(挂机升级突破!$CV$5:$CZ$5,卡牌消耗!AT162),"")</f>
        <v>金币</v>
      </c>
      <c r="BA162" s="14">
        <f>IF(AT162&gt;0,ROUND(INDEX(挂机升级突破!$CZ$7:$CZ$26,卡牌消耗!AX162)*INDEX(卡牌消耗!$B$8:$F$8,AV162)/$Q$4/500,0)*500,"")</f>
        <v>125500</v>
      </c>
      <c r="BB162" s="14" t="str">
        <f>IF(AU162&gt;0,INDEX(挂机升级突破!$CV$5:$CZ$5,卡牌消耗!AU162),"")</f>
        <v>铀金</v>
      </c>
      <c r="BC162" s="14">
        <f>IF(AU162&gt;0,ROUND(INDEX(挂机升级突破!$CV$7:$CY$26,卡牌消耗!AX162,卡牌消耗!AU162)*INDEX($B$6:$F$6,AV162)/$Q$4/5,0)*5,"")</f>
        <v>40</v>
      </c>
      <c r="BD162" s="104"/>
      <c r="BE162" s="104"/>
      <c r="BF162" s="106"/>
      <c r="BW162" s="50">
        <v>150</v>
      </c>
      <c r="BX162" s="50">
        <v>19</v>
      </c>
      <c r="BY162" s="21">
        <f t="shared" si="90"/>
        <v>0.1310344827586207</v>
      </c>
      <c r="BZ162" s="65">
        <f t="shared" si="91"/>
        <v>10543</v>
      </c>
      <c r="CA162" s="50" t="e">
        <f>SUM(BZ$5:BZ162)</f>
        <v>#REF!</v>
      </c>
      <c r="CD162" s="136">
        <v>158</v>
      </c>
      <c r="CE162" s="14">
        <f t="shared" si="85"/>
        <v>32</v>
      </c>
      <c r="CF162" s="14">
        <f t="shared" si="69"/>
        <v>3</v>
      </c>
      <c r="CG162" s="14">
        <f t="shared" si="70"/>
        <v>1102009</v>
      </c>
      <c r="CH162" s="136" t="s">
        <v>1127</v>
      </c>
      <c r="CI162" s="14">
        <f t="shared" si="71"/>
        <v>3</v>
      </c>
      <c r="CJ162" s="14" t="str">
        <f t="shared" si="72"/>
        <v>徐晃-3星</v>
      </c>
      <c r="CK162" s="136" t="s">
        <v>1133</v>
      </c>
      <c r="CL162" s="14">
        <f t="shared" si="86"/>
        <v>10000</v>
      </c>
      <c r="CM162" s="14" t="str">
        <f t="shared" si="73"/>
        <v>徐晃碎片</v>
      </c>
      <c r="CN162" s="14">
        <f t="shared" si="87"/>
        <v>120</v>
      </c>
    </row>
    <row r="163" spans="8:92" ht="16.5" x14ac:dyDescent="0.2">
      <c r="H163" s="15"/>
      <c r="I163" s="15"/>
      <c r="J163" s="15"/>
      <c r="K163" s="15"/>
      <c r="L163" s="15"/>
      <c r="M163" s="15"/>
      <c r="N163" s="15"/>
      <c r="O163" s="137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41"/>
      <c r="AA163" s="104">
        <v>159</v>
      </c>
      <c r="AB163" s="14">
        <f t="shared" si="74"/>
        <v>4</v>
      </c>
      <c r="AC163" s="14">
        <f>INDEX(挂机升级突破!$BU$6:$BU$57,卡牌消耗!AI163)</f>
        <v>11</v>
      </c>
      <c r="AD163" s="14">
        <f>INDEX(挂机升级突破!BV$6:BV$57,卡牌消耗!$AI163)</f>
        <v>1</v>
      </c>
      <c r="AE163" s="14">
        <f>INDEX(挂机升级突破!BW$6:BW$57,卡牌消耗!$AI163)</f>
        <v>0</v>
      </c>
      <c r="AF163" s="14" t="str">
        <f t="shared" si="75"/>
        <v>唐流雨</v>
      </c>
      <c r="AG163" s="14">
        <f t="shared" si="76"/>
        <v>2</v>
      </c>
      <c r="AH163" s="14" t="str">
        <f t="shared" si="77"/>
        <v>唐流雨魂火-3</v>
      </c>
      <c r="AI163" s="14">
        <f t="shared" si="78"/>
        <v>3</v>
      </c>
      <c r="AJ163" s="14" t="str">
        <f>INDEX(挂机升级突破!$BX$4:$CH$4,INDEX(挂机升级突破!$BU$6:$BU$57,卡牌消耗!AI163))</f>
        <v>金币</v>
      </c>
      <c r="AK163" s="14">
        <f>ROUND(INDEX(挂机升级突破!$BN$6:$BN$57,卡牌消耗!AI163)*INDEX(卡牌消耗!$B$8:$F$8,AG163)/$Q$4/50,0)*50</f>
        <v>550</v>
      </c>
      <c r="AL163" s="14" t="str">
        <f>IF(AD163&gt;0,INDEX(挂机升级突破!$BX$4:$CH$4,AD163),"")</f>
        <v>绿色基础材料</v>
      </c>
      <c r="AM163" s="14">
        <f>ROUND(INDEX(挂机升级突破!$BX$6:$CH$57,卡牌消耗!AI163,AD163)*INDEX(卡牌消耗!$B$5:$F$5,AG163)/$Q$4/5,0)*5</f>
        <v>2670</v>
      </c>
      <c r="AN163" s="14" t="str">
        <f>IF(AE163&gt;0,INDEX(挂机升级突破!$BX$4:$CH$4,AE163),"")</f>
        <v/>
      </c>
      <c r="AO163" s="14" t="str">
        <f>IF(AE163&gt;0,ROUND(INDEX(挂机升级突破!$BX$6:$CH$57,卡牌消耗!AI163,AE163)*INDEX(卡牌消耗!$B$7:$F$7,AG163)/$Q$4,0),"")</f>
        <v/>
      </c>
      <c r="AP163" s="106"/>
      <c r="AQ163" s="15"/>
      <c r="AR163" s="104">
        <v>159</v>
      </c>
      <c r="AS163" s="14">
        <f t="shared" si="79"/>
        <v>8</v>
      </c>
      <c r="AT163" s="14">
        <f>INDEX(挂机升级突破!$CM$7:$CM$26,AX163)</f>
        <v>5</v>
      </c>
      <c r="AU163" s="14">
        <f>INDEX(挂机升级突破!$CN$7:$CN$26,AX163)</f>
        <v>4</v>
      </c>
      <c r="AV163" s="14">
        <f t="shared" si="80"/>
        <v>4</v>
      </c>
      <c r="AW163" s="14" t="str">
        <f t="shared" si="81"/>
        <v>夏侯渊</v>
      </c>
      <c r="AX163" s="14">
        <f t="shared" si="82"/>
        <v>19</v>
      </c>
      <c r="AY163" s="14" t="str">
        <f t="shared" si="83"/>
        <v>夏侯渊19突</v>
      </c>
      <c r="AZ163" s="14" t="str">
        <f>IF(AT163&gt;0,INDEX(挂机升级突破!$CV$5:$CZ$5,卡牌消耗!AT163),"")</f>
        <v>金币</v>
      </c>
      <c r="BA163" s="14">
        <f>IF(AT163&gt;0,ROUND(INDEX(挂机升级突破!$CZ$7:$CZ$26,卡牌消耗!AX163)*INDEX(卡牌消耗!$B$8:$F$8,AV163)/$Q$4/500,0)*500,"")</f>
        <v>760000</v>
      </c>
      <c r="BB163" s="14" t="str">
        <f>IF(AU163&gt;0,INDEX(挂机升级突破!$CV$5:$CZ$5,卡牌消耗!AU163),"")</f>
        <v>铀金</v>
      </c>
      <c r="BC163" s="14">
        <f>IF(AU163&gt;0,ROUND(INDEX(挂机升级突破!$CV$7:$CY$26,卡牌消耗!AX163,卡牌消耗!AU163)*INDEX($B$6:$F$6,AV163)/$Q$4/5,0)*5,"")</f>
        <v>55</v>
      </c>
      <c r="BD163" s="104"/>
      <c r="BE163" s="104"/>
      <c r="BF163" s="106"/>
      <c r="BU163" s="65" t="s">
        <v>123</v>
      </c>
      <c r="BV163" s="65">
        <v>16</v>
      </c>
      <c r="BW163" s="65">
        <v>141</v>
      </c>
      <c r="BX163" s="65">
        <v>10</v>
      </c>
      <c r="BY163" s="21">
        <f t="shared" ref="BY163:BY172" si="92">BX163/BV$156</f>
        <v>6.8965517241379309E-2</v>
      </c>
      <c r="BZ163" s="65">
        <f>INT($BV$164*BY163)</f>
        <v>0</v>
      </c>
      <c r="CA163" s="65" t="e">
        <f>SUM(BZ$5:BZ163)</f>
        <v>#REF!</v>
      </c>
      <c r="CD163" s="136">
        <v>159</v>
      </c>
      <c r="CE163" s="14">
        <f t="shared" si="85"/>
        <v>32</v>
      </c>
      <c r="CF163" s="14">
        <f t="shared" si="69"/>
        <v>3</v>
      </c>
      <c r="CG163" s="14">
        <f t="shared" si="70"/>
        <v>1102009</v>
      </c>
      <c r="CH163" s="136" t="s">
        <v>1127</v>
      </c>
      <c r="CI163" s="14">
        <f t="shared" si="71"/>
        <v>4</v>
      </c>
      <c r="CJ163" s="14" t="str">
        <f t="shared" si="72"/>
        <v>徐晃-4星</v>
      </c>
      <c r="CK163" s="136" t="s">
        <v>1133</v>
      </c>
      <c r="CL163" s="14">
        <f t="shared" si="86"/>
        <v>20000</v>
      </c>
      <c r="CM163" s="14" t="str">
        <f t="shared" si="73"/>
        <v>徐晃碎片</v>
      </c>
      <c r="CN163" s="14">
        <f t="shared" si="87"/>
        <v>160</v>
      </c>
    </row>
    <row r="164" spans="8:92" ht="16.5" x14ac:dyDescent="0.2">
      <c r="H164" s="15"/>
      <c r="I164" s="15"/>
      <c r="J164" s="15"/>
      <c r="K164" s="15"/>
      <c r="L164" s="15"/>
      <c r="M164" s="15"/>
      <c r="N164" s="15"/>
      <c r="O164" s="137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41"/>
      <c r="AA164" s="104">
        <v>160</v>
      </c>
      <c r="AB164" s="14">
        <f t="shared" si="74"/>
        <v>4</v>
      </c>
      <c r="AC164" s="14">
        <f>INDEX(挂机升级突破!$BU$6:$BU$57,卡牌消耗!AI164)</f>
        <v>11</v>
      </c>
      <c r="AD164" s="14">
        <f>INDEX(挂机升级突破!BV$6:BV$57,卡牌消耗!$AI164)</f>
        <v>1</v>
      </c>
      <c r="AE164" s="14">
        <f>INDEX(挂机升级突破!BW$6:BW$57,卡牌消耗!$AI164)</f>
        <v>0</v>
      </c>
      <c r="AF164" s="14" t="str">
        <f t="shared" si="75"/>
        <v>唐流雨</v>
      </c>
      <c r="AG164" s="14">
        <f t="shared" si="76"/>
        <v>2</v>
      </c>
      <c r="AH164" s="14" t="str">
        <f t="shared" si="77"/>
        <v>唐流雨魂火-4</v>
      </c>
      <c r="AI164" s="14">
        <f t="shared" si="78"/>
        <v>4</v>
      </c>
      <c r="AJ164" s="14" t="str">
        <f>INDEX(挂机升级突破!$BX$4:$CH$4,INDEX(挂机升级突破!$BU$6:$BU$57,卡牌消耗!AI164))</f>
        <v>金币</v>
      </c>
      <c r="AK164" s="14">
        <f>ROUND(INDEX(挂机升级突破!$BN$6:$BN$57,卡牌消耗!AI164)*INDEX(卡牌消耗!$B$8:$F$8,AG164)/$Q$4/50,0)*50</f>
        <v>550</v>
      </c>
      <c r="AL164" s="14" t="str">
        <f>IF(AD164&gt;0,INDEX(挂机升级突破!$BX$4:$CH$4,AD164),"")</f>
        <v>绿色基础材料</v>
      </c>
      <c r="AM164" s="14">
        <f>ROUND(INDEX(挂机升级突破!$BX$6:$CH$57,卡牌消耗!AI164,AD164)*INDEX(卡牌消耗!$B$5:$F$5,AG164)/$Q$4/5,0)*5</f>
        <v>4005</v>
      </c>
      <c r="AN164" s="14" t="str">
        <f>IF(AE164&gt;0,INDEX(挂机升级突破!$BX$4:$CH$4,AE164),"")</f>
        <v/>
      </c>
      <c r="AO164" s="14" t="str">
        <f>IF(AE164&gt;0,ROUND(INDEX(挂机升级突破!$BX$6:$CH$57,卡牌消耗!AI164,AE164)*INDEX(卡牌消耗!$B$7:$F$7,AG164)/$Q$4,0),"")</f>
        <v/>
      </c>
      <c r="AP164" s="106"/>
      <c r="AQ164" s="15"/>
      <c r="AR164" s="104">
        <v>160</v>
      </c>
      <c r="AS164" s="14">
        <f t="shared" si="79"/>
        <v>8</v>
      </c>
      <c r="AT164" s="14">
        <f>INDEX(挂机升级突破!$CM$7:$CM$26,AX164)</f>
        <v>5</v>
      </c>
      <c r="AU164" s="14">
        <f>INDEX(挂机升级突破!$CN$7:$CN$26,AX164)</f>
        <v>4</v>
      </c>
      <c r="AV164" s="14">
        <f t="shared" si="80"/>
        <v>4</v>
      </c>
      <c r="AW164" s="14" t="str">
        <f t="shared" si="81"/>
        <v>夏侯渊</v>
      </c>
      <c r="AX164" s="14">
        <f t="shared" si="82"/>
        <v>20</v>
      </c>
      <c r="AY164" s="14" t="str">
        <f t="shared" si="83"/>
        <v>夏侯渊20突</v>
      </c>
      <c r="AZ164" s="14" t="str">
        <f>IF(AT164&gt;0,INDEX(挂机升级突破!$CV$5:$CZ$5,卡牌消耗!AT164),"")</f>
        <v>金币</v>
      </c>
      <c r="BA164" s="14">
        <f>IF(AT164&gt;0,ROUND(INDEX(挂机升级突破!$CZ$7:$CZ$26,卡牌消耗!AX164)*INDEX(卡牌消耗!$B$8:$F$8,AV164)/$Q$4/500,0)*500,"")</f>
        <v>1139500</v>
      </c>
      <c r="BB164" s="14" t="str">
        <f>IF(AU164&gt;0,INDEX(挂机升级突破!$CV$5:$CZ$5,卡牌消耗!AU164),"")</f>
        <v>铀金</v>
      </c>
      <c r="BC164" s="14">
        <f>IF(AU164&gt;0,ROUND(INDEX(挂机升级突破!$CV$7:$CY$26,卡牌消耗!AX164,卡牌消耗!AU164)*INDEX($B$6:$F$6,AV164)/$Q$4/5,0)*5,"")</f>
        <v>70</v>
      </c>
      <c r="BD164" s="104"/>
      <c r="BE164" s="104"/>
      <c r="BF164" s="106"/>
      <c r="BU164" s="14" t="str">
        <f>INDEX($BH$5:$BH$24,BV163)</f>
        <v>80~85</v>
      </c>
      <c r="BV164" s="14">
        <f>INDEX($BQ$5:$BQ$24,BV163)</f>
        <v>0</v>
      </c>
      <c r="BW164" s="65">
        <v>142</v>
      </c>
      <c r="BX164" s="65">
        <v>11</v>
      </c>
      <c r="BY164" s="21">
        <f t="shared" si="92"/>
        <v>7.586206896551724E-2</v>
      </c>
      <c r="BZ164" s="65">
        <f t="shared" ref="BZ164:BZ172" si="93">INT($BV$164*BY164)</f>
        <v>0</v>
      </c>
      <c r="CA164" s="65" t="e">
        <f>SUM(BZ$5:BZ164)</f>
        <v>#REF!</v>
      </c>
      <c r="CD164" s="136">
        <v>160</v>
      </c>
      <c r="CE164" s="14">
        <f t="shared" si="85"/>
        <v>32</v>
      </c>
      <c r="CF164" s="14">
        <f t="shared" si="69"/>
        <v>3</v>
      </c>
      <c r="CG164" s="14">
        <f t="shared" si="70"/>
        <v>1102009</v>
      </c>
      <c r="CH164" s="136" t="s">
        <v>1127</v>
      </c>
      <c r="CI164" s="14">
        <f t="shared" si="71"/>
        <v>5</v>
      </c>
      <c r="CJ164" s="14" t="str">
        <f t="shared" si="72"/>
        <v>徐晃-5星</v>
      </c>
      <c r="CK164" s="136" t="s">
        <v>1133</v>
      </c>
      <c r="CL164" s="14">
        <f t="shared" si="86"/>
        <v>40000</v>
      </c>
      <c r="CM164" s="14" t="str">
        <f t="shared" si="73"/>
        <v>徐晃碎片</v>
      </c>
      <c r="CN164" s="14">
        <f t="shared" si="87"/>
        <v>240</v>
      </c>
    </row>
    <row r="165" spans="8:92" ht="16.5" x14ac:dyDescent="0.2">
      <c r="H165" s="15"/>
      <c r="I165" s="15"/>
      <c r="J165" s="15"/>
      <c r="K165" s="15"/>
      <c r="L165" s="15"/>
      <c r="M165" s="15"/>
      <c r="N165" s="15"/>
      <c r="O165" s="137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04">
        <v>161</v>
      </c>
      <c r="AB165" s="14">
        <f t="shared" si="74"/>
        <v>4</v>
      </c>
      <c r="AC165" s="14">
        <f>INDEX(挂机升级突破!$BU$6:$BU$57,卡牌消耗!AI165)</f>
        <v>11</v>
      </c>
      <c r="AD165" s="14">
        <f>INDEX(挂机升级突破!BV$6:BV$57,卡牌消耗!$AI165)</f>
        <v>1</v>
      </c>
      <c r="AE165" s="14">
        <f>INDEX(挂机升级突破!BW$6:BW$57,卡牌消耗!$AI165)</f>
        <v>0</v>
      </c>
      <c r="AF165" s="14" t="str">
        <f t="shared" si="75"/>
        <v>唐流雨</v>
      </c>
      <c r="AG165" s="14">
        <f t="shared" si="76"/>
        <v>2</v>
      </c>
      <c r="AH165" s="14" t="str">
        <f t="shared" si="77"/>
        <v>唐流雨魂火-5</v>
      </c>
      <c r="AI165" s="14">
        <f t="shared" si="78"/>
        <v>5</v>
      </c>
      <c r="AJ165" s="14" t="str">
        <f>INDEX(挂机升级突破!$BX$4:$CH$4,INDEX(挂机升级突破!$BU$6:$BU$57,卡牌消耗!AI165))</f>
        <v>金币</v>
      </c>
      <c r="AK165" s="14">
        <f>ROUND(INDEX(挂机升级突破!$BN$6:$BN$57,卡牌消耗!AI165)*INDEX(卡牌消耗!$B$8:$F$8,AG165)/$Q$4/50,0)*50</f>
        <v>550</v>
      </c>
      <c r="AL165" s="14" t="str">
        <f>IF(AD165&gt;0,INDEX(挂机升级突破!$BX$4:$CH$4,AD165),"")</f>
        <v>绿色基础材料</v>
      </c>
      <c r="AM165" s="14">
        <f>ROUND(INDEX(挂机升级突破!$BX$6:$CH$57,卡牌消耗!AI165,AD165)*INDEX(卡牌消耗!$B$5:$F$5,AG165)/$Q$4/5,0)*5</f>
        <v>4005</v>
      </c>
      <c r="AN165" s="14" t="str">
        <f>IF(AE165&gt;0,INDEX(挂机升级突破!$BX$4:$CH$4,AE165),"")</f>
        <v/>
      </c>
      <c r="AO165" s="14" t="str">
        <f>IF(AE165&gt;0,ROUND(INDEX(挂机升级突破!$BX$6:$CH$57,卡牌消耗!AI165,AE165)*INDEX(卡牌消耗!$B$7:$F$7,AG165)/$Q$4,0),"")</f>
        <v/>
      </c>
      <c r="AP165" s="106"/>
      <c r="AQ165" s="15"/>
      <c r="AR165" s="104">
        <v>161</v>
      </c>
      <c r="AS165" s="14">
        <f t="shared" si="79"/>
        <v>9</v>
      </c>
      <c r="AT165" s="14">
        <f>INDEX(挂机升级突破!$CM$7:$CM$26,AX165)</f>
        <v>0</v>
      </c>
      <c r="AU165" s="14">
        <f>INDEX(挂机升级突破!$CN$7:$CN$26,AX165)</f>
        <v>0</v>
      </c>
      <c r="AV165" s="14">
        <f t="shared" si="80"/>
        <v>3</v>
      </c>
      <c r="AW165" s="14" t="str">
        <f t="shared" si="81"/>
        <v>徐晃</v>
      </c>
      <c r="AX165" s="14">
        <f t="shared" si="82"/>
        <v>1</v>
      </c>
      <c r="AY165" s="14" t="str">
        <f t="shared" si="83"/>
        <v>徐晃1突</v>
      </c>
      <c r="AZ165" s="14" t="str">
        <f>IF(AT165&gt;0,INDEX(挂机升级突破!$CV$5:$CZ$5,卡牌消耗!AT165),"")</f>
        <v/>
      </c>
      <c r="BA165" s="14" t="str">
        <f>IF(AT165&gt;0,ROUND(INDEX(挂机升级突破!$CZ$7:$CZ$26,卡牌消耗!AX165)*INDEX(卡牌消耗!$B$8:$F$8,AV165)/$Q$4/500,0)*500,"")</f>
        <v/>
      </c>
      <c r="BB165" s="14" t="str">
        <f>IF(AU165&gt;0,INDEX(挂机升级突破!$CV$5:$CZ$5,卡牌消耗!AU165),"")</f>
        <v/>
      </c>
      <c r="BC165" s="14" t="str">
        <f>IF(AU165&gt;0,ROUND(INDEX(挂机升级突破!$CV$7:$CY$26,卡牌消耗!AX165,卡牌消耗!AU165)*INDEX($B$6:$F$6,AV165)/$Q$4/5,0)*5,"")</f>
        <v/>
      </c>
      <c r="BD165" s="104"/>
      <c r="BE165" s="104"/>
      <c r="BF165" s="106"/>
      <c r="BU165" s="65" t="s">
        <v>309</v>
      </c>
      <c r="BV165" s="14">
        <f>INDEX($BR$5:$BR$24,BV163)</f>
        <v>0</v>
      </c>
      <c r="BW165" s="65">
        <v>143</v>
      </c>
      <c r="BX165" s="65">
        <v>12</v>
      </c>
      <c r="BY165" s="21">
        <f t="shared" si="92"/>
        <v>8.2758620689655171E-2</v>
      </c>
      <c r="BZ165" s="65">
        <f t="shared" si="93"/>
        <v>0</v>
      </c>
      <c r="CA165" s="65" t="e">
        <f>SUM(BZ$5:BZ165)</f>
        <v>#REF!</v>
      </c>
      <c r="CD165" s="136">
        <v>161</v>
      </c>
      <c r="CE165" s="14">
        <f t="shared" si="85"/>
        <v>33</v>
      </c>
      <c r="CF165" s="14">
        <f t="shared" si="69"/>
        <v>4</v>
      </c>
      <c r="CG165" s="14">
        <f t="shared" si="70"/>
        <v>1102010</v>
      </c>
      <c r="CH165" s="136" t="s">
        <v>1127</v>
      </c>
      <c r="CI165" s="14">
        <f t="shared" si="71"/>
        <v>1</v>
      </c>
      <c r="CJ165" s="14" t="str">
        <f t="shared" si="72"/>
        <v>张郃-1星</v>
      </c>
      <c r="CK165" s="136" t="s">
        <v>1133</v>
      </c>
      <c r="CL165" s="14">
        <f t="shared" si="86"/>
        <v>6000</v>
      </c>
      <c r="CM165" s="14" t="str">
        <f t="shared" si="73"/>
        <v>张郃碎片</v>
      </c>
      <c r="CN165" s="14">
        <f t="shared" si="87"/>
        <v>80</v>
      </c>
    </row>
    <row r="166" spans="8:92" ht="16.5" x14ac:dyDescent="0.2">
      <c r="H166" s="15"/>
      <c r="I166" s="15"/>
      <c r="J166" s="15"/>
      <c r="K166" s="15"/>
      <c r="L166" s="15"/>
      <c r="M166" s="15"/>
      <c r="N166" s="15"/>
      <c r="O166" s="137"/>
      <c r="P166" s="141"/>
      <c r="Q166" s="141"/>
      <c r="R166" s="141"/>
      <c r="S166" s="141"/>
      <c r="T166" s="141"/>
      <c r="U166" s="141"/>
      <c r="V166" s="141"/>
      <c r="W166" s="141"/>
      <c r="X166" s="141"/>
      <c r="Y166" s="141"/>
      <c r="Z166" s="141"/>
      <c r="AA166" s="104">
        <v>162</v>
      </c>
      <c r="AB166" s="14">
        <f t="shared" si="74"/>
        <v>4</v>
      </c>
      <c r="AC166" s="14">
        <f>INDEX(挂机升级突破!$BU$6:$BU$57,卡牌消耗!AI166)</f>
        <v>11</v>
      </c>
      <c r="AD166" s="14">
        <f>INDEX(挂机升级突破!BV$6:BV$57,卡牌消耗!$AI166)</f>
        <v>2</v>
      </c>
      <c r="AE166" s="14">
        <f>INDEX(挂机升级突破!BW$6:BW$57,卡牌消耗!$AI166)</f>
        <v>0</v>
      </c>
      <c r="AF166" s="14" t="str">
        <f t="shared" si="75"/>
        <v>唐流雨</v>
      </c>
      <c r="AG166" s="14">
        <f t="shared" si="76"/>
        <v>2</v>
      </c>
      <c r="AH166" s="14" t="str">
        <f t="shared" si="77"/>
        <v>唐流雨魂火-6</v>
      </c>
      <c r="AI166" s="14">
        <f t="shared" si="78"/>
        <v>6</v>
      </c>
      <c r="AJ166" s="14" t="str">
        <f>INDEX(挂机升级突破!$BX$4:$CH$4,INDEX(挂机升级突破!$BU$6:$BU$57,卡牌消耗!AI166))</f>
        <v>金币</v>
      </c>
      <c r="AK166" s="14">
        <f>ROUND(INDEX(挂机升级突破!$BN$6:$BN$57,卡牌消耗!AI166)*INDEX(卡牌消耗!$B$8:$F$8,AG166)/$Q$4/50,0)*50</f>
        <v>700</v>
      </c>
      <c r="AL166" s="14" t="str">
        <f>IF(AD166&gt;0,INDEX(挂机升级突破!$BX$4:$CH$4,AD166),"")</f>
        <v>蓝色基础材料</v>
      </c>
      <c r="AM166" s="14">
        <f>ROUND(INDEX(挂机升级突破!$BX$6:$CH$57,卡牌消耗!AI166,AD166)*INDEX(卡牌消耗!$B$5:$F$5,AG166)/$Q$4/5,0)*5</f>
        <v>385</v>
      </c>
      <c r="AN166" s="14" t="str">
        <f>IF(AE166&gt;0,INDEX(挂机升级突破!$BX$4:$CH$4,AE166),"")</f>
        <v/>
      </c>
      <c r="AO166" s="14" t="str">
        <f>IF(AE166&gt;0,ROUND(INDEX(挂机升级突破!$BX$6:$CH$57,卡牌消耗!AI166,AE166)*INDEX(卡牌消耗!$B$7:$F$7,AG166)/$Q$4,0),"")</f>
        <v/>
      </c>
      <c r="AP166" s="106"/>
      <c r="AQ166" s="15"/>
      <c r="AR166" s="104">
        <v>162</v>
      </c>
      <c r="AS166" s="14">
        <f t="shared" si="79"/>
        <v>9</v>
      </c>
      <c r="AT166" s="14">
        <f>INDEX(挂机升级突破!$CM$7:$CM$26,AX166)</f>
        <v>5</v>
      </c>
      <c r="AU166" s="14">
        <f>INDEX(挂机升级突破!$CN$7:$CN$26,AX166)</f>
        <v>0</v>
      </c>
      <c r="AV166" s="14">
        <f t="shared" si="80"/>
        <v>3</v>
      </c>
      <c r="AW166" s="14" t="str">
        <f t="shared" si="81"/>
        <v>徐晃</v>
      </c>
      <c r="AX166" s="14">
        <f t="shared" si="82"/>
        <v>2</v>
      </c>
      <c r="AY166" s="14" t="str">
        <f t="shared" si="83"/>
        <v>徐晃2突</v>
      </c>
      <c r="AZ166" s="14" t="str">
        <f>IF(AT166&gt;0,INDEX(挂机升级突破!$CV$5:$CZ$5,卡牌消耗!AT166),"")</f>
        <v>金币</v>
      </c>
      <c r="BA166" s="14">
        <f>IF(AT166&gt;0,ROUND(INDEX(挂机升级突破!$CZ$7:$CZ$26,卡牌消耗!AX166)*INDEX(卡牌消耗!$B$8:$F$8,AV166)/$Q$4/500,0)*500,"")</f>
        <v>2500</v>
      </c>
      <c r="BB166" s="14" t="str">
        <f>IF(AU166&gt;0,INDEX(挂机升级突破!$CV$5:$CZ$5,卡牌消耗!AU166),"")</f>
        <v/>
      </c>
      <c r="BC166" s="14" t="str">
        <f>IF(AU166&gt;0,ROUND(INDEX(挂机升级突破!$CV$7:$CY$26,卡牌消耗!AX166,卡牌消耗!AU166)*INDEX($B$6:$F$6,AV166)/$Q$4/5,0)*5,"")</f>
        <v/>
      </c>
      <c r="BD166" s="104"/>
      <c r="BE166" s="104"/>
      <c r="BF166" s="106"/>
      <c r="BU166" s="15"/>
      <c r="BV166" s="14">
        <f>SUM(BX163:BX172)</f>
        <v>145</v>
      </c>
      <c r="BW166" s="65">
        <v>144</v>
      </c>
      <c r="BX166" s="65">
        <v>13</v>
      </c>
      <c r="BY166" s="21">
        <f t="shared" si="92"/>
        <v>8.9655172413793102E-2</v>
      </c>
      <c r="BZ166" s="65">
        <f t="shared" si="93"/>
        <v>0</v>
      </c>
      <c r="CA166" s="65" t="e">
        <f>SUM(BZ$5:BZ166)</f>
        <v>#REF!</v>
      </c>
      <c r="CD166" s="136">
        <v>162</v>
      </c>
      <c r="CE166" s="14">
        <f t="shared" si="85"/>
        <v>33</v>
      </c>
      <c r="CF166" s="14">
        <f t="shared" si="69"/>
        <v>4</v>
      </c>
      <c r="CG166" s="14">
        <f t="shared" si="70"/>
        <v>1102010</v>
      </c>
      <c r="CH166" s="136" t="s">
        <v>1127</v>
      </c>
      <c r="CI166" s="14">
        <f t="shared" si="71"/>
        <v>2</v>
      </c>
      <c r="CJ166" s="14" t="str">
        <f t="shared" si="72"/>
        <v>张郃-2星</v>
      </c>
      <c r="CK166" s="136" t="s">
        <v>1133</v>
      </c>
      <c r="CL166" s="14">
        <f t="shared" si="86"/>
        <v>8000</v>
      </c>
      <c r="CM166" s="14" t="str">
        <f t="shared" si="73"/>
        <v>张郃碎片</v>
      </c>
      <c r="CN166" s="14">
        <f t="shared" si="87"/>
        <v>80</v>
      </c>
    </row>
    <row r="167" spans="8:92" ht="16.5" x14ac:dyDescent="0.2">
      <c r="H167" s="15"/>
      <c r="I167" s="15"/>
      <c r="J167" s="15"/>
      <c r="K167" s="15"/>
      <c r="L167" s="15"/>
      <c r="M167" s="15"/>
      <c r="N167" s="15"/>
      <c r="O167" s="137"/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41"/>
      <c r="AA167" s="104">
        <v>163</v>
      </c>
      <c r="AB167" s="14">
        <f t="shared" si="74"/>
        <v>4</v>
      </c>
      <c r="AC167" s="14">
        <f>INDEX(挂机升级突破!$BU$6:$BU$57,卡牌消耗!AI167)</f>
        <v>11</v>
      </c>
      <c r="AD167" s="14">
        <f>INDEX(挂机升级突破!BV$6:BV$57,卡牌消耗!$AI167)</f>
        <v>2</v>
      </c>
      <c r="AE167" s="14">
        <f>INDEX(挂机升级突破!BW$6:BW$57,卡牌消耗!$AI167)</f>
        <v>0</v>
      </c>
      <c r="AF167" s="14" t="str">
        <f t="shared" si="75"/>
        <v>唐流雨</v>
      </c>
      <c r="AG167" s="14">
        <f t="shared" si="76"/>
        <v>2</v>
      </c>
      <c r="AH167" s="14" t="str">
        <f t="shared" si="77"/>
        <v>唐流雨魂火-7</v>
      </c>
      <c r="AI167" s="14">
        <f t="shared" si="78"/>
        <v>7</v>
      </c>
      <c r="AJ167" s="14" t="str">
        <f>INDEX(挂机升级突破!$BX$4:$CH$4,INDEX(挂机升级突破!$BU$6:$BU$57,卡牌消耗!AI167))</f>
        <v>金币</v>
      </c>
      <c r="AK167" s="14">
        <f>ROUND(INDEX(挂机升级突破!$BN$6:$BN$57,卡牌消耗!AI167)*INDEX(卡牌消耗!$B$8:$F$8,AG167)/$Q$4/50,0)*50</f>
        <v>700</v>
      </c>
      <c r="AL167" s="14" t="str">
        <f>IF(AD167&gt;0,INDEX(挂机升级突破!$BX$4:$CH$4,AD167),"")</f>
        <v>蓝色基础材料</v>
      </c>
      <c r="AM167" s="14">
        <f>ROUND(INDEX(挂机升级突破!$BX$6:$CH$57,卡牌消耗!AI167,AD167)*INDEX(卡牌消耗!$B$5:$F$5,AG167)/$Q$4/5,0)*5</f>
        <v>385</v>
      </c>
      <c r="AN167" s="14" t="str">
        <f>IF(AE167&gt;0,INDEX(挂机升级突破!$BX$4:$CH$4,AE167),"")</f>
        <v/>
      </c>
      <c r="AO167" s="14" t="str">
        <f>IF(AE167&gt;0,ROUND(INDEX(挂机升级突破!$BX$6:$CH$57,卡牌消耗!AI167,AE167)*INDEX(卡牌消耗!$B$7:$F$7,AG167)/$Q$4,0),"")</f>
        <v/>
      </c>
      <c r="AP167" s="106"/>
      <c r="AQ167" s="15"/>
      <c r="AR167" s="104">
        <v>163</v>
      </c>
      <c r="AS167" s="14">
        <f t="shared" si="79"/>
        <v>9</v>
      </c>
      <c r="AT167" s="14">
        <f>INDEX(挂机升级突破!$CM$7:$CM$26,AX167)</f>
        <v>5</v>
      </c>
      <c r="AU167" s="14">
        <f>INDEX(挂机升级突破!$CN$7:$CN$26,AX167)</f>
        <v>0</v>
      </c>
      <c r="AV167" s="14">
        <f t="shared" si="80"/>
        <v>3</v>
      </c>
      <c r="AW167" s="14" t="str">
        <f t="shared" si="81"/>
        <v>徐晃</v>
      </c>
      <c r="AX167" s="14">
        <f t="shared" si="82"/>
        <v>3</v>
      </c>
      <c r="AY167" s="14" t="str">
        <f t="shared" si="83"/>
        <v>徐晃3突</v>
      </c>
      <c r="AZ167" s="14" t="str">
        <f>IF(AT167&gt;0,INDEX(挂机升级突破!$CV$5:$CZ$5,卡牌消耗!AT167),"")</f>
        <v>金币</v>
      </c>
      <c r="BA167" s="14">
        <f>IF(AT167&gt;0,ROUND(INDEX(挂机升级突破!$CZ$7:$CZ$26,卡牌消耗!AX167)*INDEX(卡牌消耗!$B$8:$F$8,AV167)/$Q$4/500,0)*500,"")</f>
        <v>2500</v>
      </c>
      <c r="BB167" s="14" t="str">
        <f>IF(AU167&gt;0,INDEX(挂机升级突破!$CV$5:$CZ$5,卡牌消耗!AU167),"")</f>
        <v/>
      </c>
      <c r="BC167" s="14" t="str">
        <f>IF(AU167&gt;0,ROUND(INDEX(挂机升级突破!$CV$7:$CY$26,卡牌消耗!AX167,卡牌消耗!AU167)*INDEX($B$6:$F$6,AV167)/$Q$4/5,0)*5,"")</f>
        <v/>
      </c>
      <c r="BD167" s="104"/>
      <c r="BE167" s="104"/>
      <c r="BF167" s="106"/>
      <c r="BW167" s="65">
        <v>145</v>
      </c>
      <c r="BX167" s="65">
        <v>14</v>
      </c>
      <c r="BY167" s="21">
        <f t="shared" si="92"/>
        <v>9.6551724137931033E-2</v>
      </c>
      <c r="BZ167" s="65">
        <f t="shared" si="93"/>
        <v>0</v>
      </c>
      <c r="CA167" s="65" t="e">
        <f>SUM(BZ$5:BZ167)</f>
        <v>#REF!</v>
      </c>
      <c r="CD167" s="136">
        <v>163</v>
      </c>
      <c r="CE167" s="14">
        <f t="shared" si="85"/>
        <v>33</v>
      </c>
      <c r="CF167" s="14">
        <f t="shared" si="69"/>
        <v>4</v>
      </c>
      <c r="CG167" s="14">
        <f t="shared" si="70"/>
        <v>1102010</v>
      </c>
      <c r="CH167" s="136" t="s">
        <v>1127</v>
      </c>
      <c r="CI167" s="14">
        <f t="shared" si="71"/>
        <v>3</v>
      </c>
      <c r="CJ167" s="14" t="str">
        <f t="shared" si="72"/>
        <v>张郃-3星</v>
      </c>
      <c r="CK167" s="136" t="s">
        <v>1133</v>
      </c>
      <c r="CL167" s="14">
        <f t="shared" si="86"/>
        <v>14000</v>
      </c>
      <c r="CM167" s="14" t="str">
        <f t="shared" si="73"/>
        <v>张郃碎片</v>
      </c>
      <c r="CN167" s="14">
        <f t="shared" si="87"/>
        <v>160</v>
      </c>
    </row>
    <row r="168" spans="8:92" ht="16.5" x14ac:dyDescent="0.2">
      <c r="H168" s="15"/>
      <c r="I168" s="15"/>
      <c r="J168" s="15"/>
      <c r="K168" s="15"/>
      <c r="L168" s="15"/>
      <c r="M168" s="15"/>
      <c r="N168" s="15"/>
      <c r="O168" s="137"/>
      <c r="P168" s="141"/>
      <c r="Q168" s="141"/>
      <c r="R168" s="141"/>
      <c r="S168" s="141"/>
      <c r="T168" s="141"/>
      <c r="U168" s="141"/>
      <c r="V168" s="141"/>
      <c r="W168" s="141"/>
      <c r="X168" s="141"/>
      <c r="Y168" s="141"/>
      <c r="Z168" s="141"/>
      <c r="AA168" s="104">
        <v>164</v>
      </c>
      <c r="AB168" s="14">
        <f t="shared" si="74"/>
        <v>4</v>
      </c>
      <c r="AC168" s="14">
        <f>INDEX(挂机升级突破!$BU$6:$BU$57,卡牌消耗!AI168)</f>
        <v>11</v>
      </c>
      <c r="AD168" s="14">
        <f>INDEX(挂机升级突破!BV$6:BV$57,卡牌消耗!$AI168)</f>
        <v>2</v>
      </c>
      <c r="AE168" s="14">
        <f>INDEX(挂机升级突破!BW$6:BW$57,卡牌消耗!$AI168)</f>
        <v>0</v>
      </c>
      <c r="AF168" s="14" t="str">
        <f t="shared" si="75"/>
        <v>唐流雨</v>
      </c>
      <c r="AG168" s="14">
        <f t="shared" si="76"/>
        <v>2</v>
      </c>
      <c r="AH168" s="14" t="str">
        <f t="shared" si="77"/>
        <v>唐流雨魂火-8</v>
      </c>
      <c r="AI168" s="14">
        <f t="shared" si="78"/>
        <v>8</v>
      </c>
      <c r="AJ168" s="14" t="str">
        <f>INDEX(挂机升级突破!$BX$4:$CH$4,INDEX(挂机升级突破!$BU$6:$BU$57,卡牌消耗!AI168))</f>
        <v>金币</v>
      </c>
      <c r="AK168" s="14">
        <f>ROUND(INDEX(挂机升级突破!$BN$6:$BN$57,卡牌消耗!AI168)*INDEX(卡牌消耗!$B$8:$F$8,AG168)/$Q$4/50,0)*50</f>
        <v>1050</v>
      </c>
      <c r="AL168" s="14" t="str">
        <f>IF(AD168&gt;0,INDEX(挂机升级突破!$BX$4:$CH$4,AD168),"")</f>
        <v>蓝色基础材料</v>
      </c>
      <c r="AM168" s="14">
        <f>ROUND(INDEX(挂机升级突破!$BX$6:$CH$57,卡牌消耗!AI168,AD168)*INDEX(卡牌消耗!$B$5:$F$5,AG168)/$Q$4/5,0)*5</f>
        <v>770</v>
      </c>
      <c r="AN168" s="14" t="str">
        <f>IF(AE168&gt;0,INDEX(挂机升级突破!$BX$4:$CH$4,AE168),"")</f>
        <v/>
      </c>
      <c r="AO168" s="14" t="str">
        <f>IF(AE168&gt;0,ROUND(INDEX(挂机升级突破!$BX$6:$CH$57,卡牌消耗!AI168,AE168)*INDEX(卡牌消耗!$B$7:$F$7,AG168)/$Q$4,0),"")</f>
        <v/>
      </c>
      <c r="AP168" s="106"/>
      <c r="AQ168" s="15"/>
      <c r="AR168" s="104">
        <v>164</v>
      </c>
      <c r="AS168" s="14">
        <f t="shared" si="79"/>
        <v>9</v>
      </c>
      <c r="AT168" s="14">
        <f>INDEX(挂机升级突破!$CM$7:$CM$26,AX168)</f>
        <v>5</v>
      </c>
      <c r="AU168" s="14">
        <f>INDEX(挂机升级突破!$CN$7:$CN$26,AX168)</f>
        <v>1</v>
      </c>
      <c r="AV168" s="14">
        <f t="shared" si="80"/>
        <v>3</v>
      </c>
      <c r="AW168" s="14" t="str">
        <f t="shared" si="81"/>
        <v>徐晃</v>
      </c>
      <c r="AX168" s="14">
        <f t="shared" si="82"/>
        <v>4</v>
      </c>
      <c r="AY168" s="14" t="str">
        <f t="shared" si="83"/>
        <v>徐晃4突</v>
      </c>
      <c r="AZ168" s="14" t="str">
        <f>IF(AT168&gt;0,INDEX(挂机升级突破!$CV$5:$CZ$5,卡牌消耗!AT168),"")</f>
        <v>金币</v>
      </c>
      <c r="BA168" s="14">
        <f>IF(AT168&gt;0,ROUND(INDEX(挂机升级突破!$CZ$7:$CZ$26,卡牌消耗!AX168)*INDEX(卡牌消耗!$B$8:$F$8,AV168)/$Q$4/500,0)*500,"")</f>
        <v>3000</v>
      </c>
      <c r="BB168" s="14" t="str">
        <f>IF(AU168&gt;0,INDEX(挂机升级突破!$CV$5:$CZ$5,卡牌消耗!AU168),"")</f>
        <v>玄铁</v>
      </c>
      <c r="BC168" s="14">
        <f>IF(AU168&gt;0,ROUND(INDEX(挂机升级突破!$CV$7:$CY$26,卡牌消耗!AX168,卡牌消耗!AU168)*INDEX($B$6:$F$6,AV168)/$Q$4/5,0)*5,"")</f>
        <v>60</v>
      </c>
      <c r="BD168" s="104"/>
      <c r="BE168" s="104"/>
      <c r="BF168" s="106"/>
      <c r="BW168" s="65">
        <v>146</v>
      </c>
      <c r="BX168" s="65">
        <v>15</v>
      </c>
      <c r="BY168" s="21">
        <f t="shared" si="92"/>
        <v>0.10344827586206896</v>
      </c>
      <c r="BZ168" s="65">
        <f t="shared" si="93"/>
        <v>0</v>
      </c>
      <c r="CA168" s="65" t="e">
        <f>SUM(BZ$5:BZ168)</f>
        <v>#REF!</v>
      </c>
      <c r="CD168" s="136">
        <v>164</v>
      </c>
      <c r="CE168" s="14">
        <f t="shared" si="85"/>
        <v>33</v>
      </c>
      <c r="CF168" s="14">
        <f t="shared" si="69"/>
        <v>4</v>
      </c>
      <c r="CG168" s="14">
        <f t="shared" si="70"/>
        <v>1102010</v>
      </c>
      <c r="CH168" s="136" t="s">
        <v>1127</v>
      </c>
      <c r="CI168" s="14">
        <f t="shared" si="71"/>
        <v>4</v>
      </c>
      <c r="CJ168" s="14" t="str">
        <f t="shared" si="72"/>
        <v>张郃-4星</v>
      </c>
      <c r="CK168" s="136" t="s">
        <v>1133</v>
      </c>
      <c r="CL168" s="14">
        <f t="shared" si="86"/>
        <v>32000</v>
      </c>
      <c r="CM168" s="14" t="str">
        <f t="shared" si="73"/>
        <v>张郃碎片</v>
      </c>
      <c r="CN168" s="14">
        <f t="shared" si="87"/>
        <v>240</v>
      </c>
    </row>
    <row r="169" spans="8:92" ht="16.5" x14ac:dyDescent="0.2">
      <c r="H169" s="15"/>
      <c r="I169" s="15"/>
      <c r="J169" s="15"/>
      <c r="K169" s="15"/>
      <c r="L169" s="15"/>
      <c r="M169" s="15"/>
      <c r="N169" s="15"/>
      <c r="O169" s="137"/>
      <c r="P169" s="141"/>
      <c r="Q169" s="141"/>
      <c r="R169" s="141"/>
      <c r="S169" s="141"/>
      <c r="T169" s="141"/>
      <c r="U169" s="141"/>
      <c r="V169" s="141"/>
      <c r="W169" s="141"/>
      <c r="X169" s="141"/>
      <c r="Y169" s="141"/>
      <c r="Z169" s="141"/>
      <c r="AA169" s="104">
        <v>165</v>
      </c>
      <c r="AB169" s="14">
        <f t="shared" si="74"/>
        <v>4</v>
      </c>
      <c r="AC169" s="14">
        <f>INDEX(挂机升级突破!$BU$6:$BU$57,卡牌消耗!AI169)</f>
        <v>11</v>
      </c>
      <c r="AD169" s="14">
        <f>INDEX(挂机升级突破!BV$6:BV$57,卡牌消耗!$AI169)</f>
        <v>2</v>
      </c>
      <c r="AE169" s="14">
        <f>INDEX(挂机升级突破!BW$6:BW$57,卡牌消耗!$AI169)</f>
        <v>0</v>
      </c>
      <c r="AF169" s="14" t="str">
        <f t="shared" si="75"/>
        <v>唐流雨</v>
      </c>
      <c r="AG169" s="14">
        <f t="shared" si="76"/>
        <v>2</v>
      </c>
      <c r="AH169" s="14" t="str">
        <f t="shared" si="77"/>
        <v>唐流雨魂火-9</v>
      </c>
      <c r="AI169" s="14">
        <f t="shared" si="78"/>
        <v>9</v>
      </c>
      <c r="AJ169" s="14" t="str">
        <f>INDEX(挂机升级突破!$BX$4:$CH$4,INDEX(挂机升级突破!$BU$6:$BU$57,卡牌消耗!AI169))</f>
        <v>金币</v>
      </c>
      <c r="AK169" s="14">
        <f>ROUND(INDEX(挂机升级突破!$BN$6:$BN$57,卡牌消耗!AI169)*INDEX(卡牌消耗!$B$8:$F$8,AG169)/$Q$4/50,0)*50</f>
        <v>1050</v>
      </c>
      <c r="AL169" s="14" t="str">
        <f>IF(AD169&gt;0,INDEX(挂机升级突破!$BX$4:$CH$4,AD169),"")</f>
        <v>蓝色基础材料</v>
      </c>
      <c r="AM169" s="14">
        <f>ROUND(INDEX(挂机升级突破!$BX$6:$CH$57,卡牌消耗!AI169,AD169)*INDEX(卡牌消耗!$B$5:$F$5,AG169)/$Q$4/5,0)*5</f>
        <v>770</v>
      </c>
      <c r="AN169" s="14" t="str">
        <f>IF(AE169&gt;0,INDEX(挂机升级突破!$BX$4:$CH$4,AE169),"")</f>
        <v/>
      </c>
      <c r="AO169" s="14" t="str">
        <f>IF(AE169&gt;0,ROUND(INDEX(挂机升级突破!$BX$6:$CH$57,卡牌消耗!AI169,AE169)*INDEX(卡牌消耗!$B$7:$F$7,AG169)/$Q$4,0),"")</f>
        <v/>
      </c>
      <c r="AP169" s="106"/>
      <c r="AQ169" s="15"/>
      <c r="AR169" s="104">
        <v>165</v>
      </c>
      <c r="AS169" s="14">
        <f t="shared" si="79"/>
        <v>9</v>
      </c>
      <c r="AT169" s="14">
        <f>INDEX(挂机升级突破!$CM$7:$CM$26,AX169)</f>
        <v>5</v>
      </c>
      <c r="AU169" s="14">
        <f>INDEX(挂机升级突破!$CN$7:$CN$26,AX169)</f>
        <v>1</v>
      </c>
      <c r="AV169" s="14">
        <f t="shared" si="80"/>
        <v>3</v>
      </c>
      <c r="AW169" s="14" t="str">
        <f t="shared" si="81"/>
        <v>徐晃</v>
      </c>
      <c r="AX169" s="14">
        <f t="shared" si="82"/>
        <v>5</v>
      </c>
      <c r="AY169" s="14" t="str">
        <f t="shared" si="83"/>
        <v>徐晃5突</v>
      </c>
      <c r="AZ169" s="14" t="str">
        <f>IF(AT169&gt;0,INDEX(挂机升级突破!$CV$5:$CZ$5,卡牌消耗!AT169),"")</f>
        <v>金币</v>
      </c>
      <c r="BA169" s="14">
        <f>IF(AT169&gt;0,ROUND(INDEX(挂机升级突破!$CZ$7:$CZ$26,卡牌消耗!AX169)*INDEX(卡牌消耗!$B$8:$F$8,AV169)/$Q$4/500,0)*500,"")</f>
        <v>3000</v>
      </c>
      <c r="BB169" s="14" t="str">
        <f>IF(AU169&gt;0,INDEX(挂机升级突破!$CV$5:$CZ$5,卡牌消耗!AU169),"")</f>
        <v>玄铁</v>
      </c>
      <c r="BC169" s="14">
        <f>IF(AU169&gt;0,ROUND(INDEX(挂机升级突破!$CV$7:$CY$26,卡牌消耗!AX169,卡牌消耗!AU169)*INDEX($B$6:$F$6,AV169)/$Q$4/5,0)*5,"")</f>
        <v>115</v>
      </c>
      <c r="BD169" s="104"/>
      <c r="BE169" s="104"/>
      <c r="BF169" s="106"/>
      <c r="BW169" s="65">
        <v>147</v>
      </c>
      <c r="BX169" s="65">
        <v>16</v>
      </c>
      <c r="BY169" s="21">
        <f t="shared" si="92"/>
        <v>0.1103448275862069</v>
      </c>
      <c r="BZ169" s="65">
        <f t="shared" si="93"/>
        <v>0</v>
      </c>
      <c r="CA169" s="65" t="e">
        <f>SUM(BZ$5:BZ169)</f>
        <v>#REF!</v>
      </c>
      <c r="CD169" s="136">
        <v>165</v>
      </c>
      <c r="CE169" s="14">
        <f t="shared" si="85"/>
        <v>33</v>
      </c>
      <c r="CF169" s="14">
        <f t="shared" si="69"/>
        <v>4</v>
      </c>
      <c r="CG169" s="14">
        <f t="shared" si="70"/>
        <v>1102010</v>
      </c>
      <c r="CH169" s="136" t="s">
        <v>1127</v>
      </c>
      <c r="CI169" s="14">
        <f t="shared" si="71"/>
        <v>5</v>
      </c>
      <c r="CJ169" s="14" t="str">
        <f t="shared" si="72"/>
        <v>张郃-5星</v>
      </c>
      <c r="CK169" s="136" t="s">
        <v>1133</v>
      </c>
      <c r="CL169" s="14">
        <f t="shared" si="86"/>
        <v>60000</v>
      </c>
      <c r="CM169" s="14" t="str">
        <f t="shared" si="73"/>
        <v>张郃碎片</v>
      </c>
      <c r="CN169" s="14">
        <f t="shared" si="87"/>
        <v>320</v>
      </c>
    </row>
    <row r="170" spans="8:92" ht="16.5" x14ac:dyDescent="0.2">
      <c r="H170" s="15"/>
      <c r="I170" s="15"/>
      <c r="J170" s="15"/>
      <c r="K170" s="15"/>
      <c r="L170" s="15"/>
      <c r="M170" s="15"/>
      <c r="N170" s="15"/>
      <c r="O170" s="137"/>
      <c r="P170" s="141"/>
      <c r="Q170" s="141"/>
      <c r="R170" s="141"/>
      <c r="S170" s="141"/>
      <c r="T170" s="141"/>
      <c r="U170" s="141"/>
      <c r="V170" s="141"/>
      <c r="W170" s="141"/>
      <c r="X170" s="141"/>
      <c r="Y170" s="141"/>
      <c r="Z170" s="141"/>
      <c r="AA170" s="104">
        <v>166</v>
      </c>
      <c r="AB170" s="14">
        <f t="shared" si="74"/>
        <v>4</v>
      </c>
      <c r="AC170" s="14">
        <f>INDEX(挂机升级突破!$BU$6:$BU$57,卡牌消耗!AI170)</f>
        <v>11</v>
      </c>
      <c r="AD170" s="14">
        <f>INDEX(挂机升级突破!BV$6:BV$57,卡牌消耗!$AI170)</f>
        <v>2</v>
      </c>
      <c r="AE170" s="14">
        <f>INDEX(挂机升级突破!BW$6:BW$57,卡牌消耗!$AI170)</f>
        <v>0</v>
      </c>
      <c r="AF170" s="14" t="str">
        <f t="shared" si="75"/>
        <v>唐流雨</v>
      </c>
      <c r="AG170" s="14">
        <f t="shared" si="76"/>
        <v>2</v>
      </c>
      <c r="AH170" s="14" t="str">
        <f t="shared" si="77"/>
        <v>唐流雨魂火-10</v>
      </c>
      <c r="AI170" s="14">
        <f t="shared" si="78"/>
        <v>10</v>
      </c>
      <c r="AJ170" s="14" t="str">
        <f>INDEX(挂机升级突破!$BX$4:$CH$4,INDEX(挂机升级突破!$BU$6:$BU$57,卡牌消耗!AI170))</f>
        <v>金币</v>
      </c>
      <c r="AK170" s="14">
        <f>ROUND(INDEX(挂机升级突破!$BN$6:$BN$57,卡牌消耗!AI170)*INDEX(卡牌消耗!$B$8:$F$8,AG170)/$Q$4/50,0)*50</f>
        <v>1750</v>
      </c>
      <c r="AL170" s="14" t="str">
        <f>IF(AD170&gt;0,INDEX(挂机升级突破!$BX$4:$CH$4,AD170),"")</f>
        <v>蓝色基础材料</v>
      </c>
      <c r="AM170" s="14">
        <f>ROUND(INDEX(挂机升级突破!$BX$6:$CH$57,卡牌消耗!AI170,AD170)*INDEX(卡牌消耗!$B$5:$F$5,AG170)/$Q$4/5,0)*5</f>
        <v>1155</v>
      </c>
      <c r="AN170" s="14" t="str">
        <f>IF(AE170&gt;0,INDEX(挂机升级突破!$BX$4:$CH$4,AE170),"")</f>
        <v/>
      </c>
      <c r="AO170" s="14" t="str">
        <f>IF(AE170&gt;0,ROUND(INDEX(挂机升级突破!$BX$6:$CH$57,卡牌消耗!AI170,AE170)*INDEX(卡牌消耗!$B$7:$F$7,AG170)/$Q$4,0),"")</f>
        <v/>
      </c>
      <c r="AP170" s="106"/>
      <c r="AQ170" s="15"/>
      <c r="AR170" s="104">
        <v>166</v>
      </c>
      <c r="AS170" s="14">
        <f t="shared" si="79"/>
        <v>9</v>
      </c>
      <c r="AT170" s="14">
        <f>INDEX(挂机升级突破!$CM$7:$CM$26,AX170)</f>
        <v>5</v>
      </c>
      <c r="AU170" s="14">
        <f>INDEX(挂机升级突破!$CN$7:$CN$26,AX170)</f>
        <v>1</v>
      </c>
      <c r="AV170" s="14">
        <f t="shared" si="80"/>
        <v>3</v>
      </c>
      <c r="AW170" s="14" t="str">
        <f t="shared" si="81"/>
        <v>徐晃</v>
      </c>
      <c r="AX170" s="14">
        <f t="shared" si="82"/>
        <v>6</v>
      </c>
      <c r="AY170" s="14" t="str">
        <f t="shared" si="83"/>
        <v>徐晃6突</v>
      </c>
      <c r="AZ170" s="14" t="str">
        <f>IF(AT170&gt;0,INDEX(挂机升级突破!$CV$5:$CZ$5,卡牌消耗!AT170),"")</f>
        <v>金币</v>
      </c>
      <c r="BA170" s="14">
        <f>IF(AT170&gt;0,ROUND(INDEX(挂机升级突破!$CZ$7:$CZ$26,卡牌消耗!AX170)*INDEX(卡牌消耗!$B$8:$F$8,AV170)/$Q$4/500,0)*500,"")</f>
        <v>4000</v>
      </c>
      <c r="BB170" s="14" t="str">
        <f>IF(AU170&gt;0,INDEX(挂机升级突破!$CV$5:$CZ$5,卡牌消耗!AU170),"")</f>
        <v>玄铁</v>
      </c>
      <c r="BC170" s="14">
        <f>IF(AU170&gt;0,ROUND(INDEX(挂机升级突破!$CV$7:$CY$26,卡牌消耗!AX170,卡牌消耗!AU170)*INDEX($B$6:$F$6,AV170)/$Q$4/5,0)*5,"")</f>
        <v>175</v>
      </c>
      <c r="BD170" s="104"/>
      <c r="BE170" s="104"/>
      <c r="BF170" s="106"/>
      <c r="BW170" s="65">
        <v>148</v>
      </c>
      <c r="BX170" s="65">
        <v>17</v>
      </c>
      <c r="BY170" s="21">
        <f t="shared" si="92"/>
        <v>0.11724137931034483</v>
      </c>
      <c r="BZ170" s="65">
        <f t="shared" si="93"/>
        <v>0</v>
      </c>
      <c r="CA170" s="65" t="e">
        <f>SUM(BZ$5:BZ170)</f>
        <v>#REF!</v>
      </c>
      <c r="CD170" s="136">
        <v>166</v>
      </c>
      <c r="CE170" s="14">
        <f t="shared" si="85"/>
        <v>34</v>
      </c>
      <c r="CF170" s="14">
        <f t="shared" si="69"/>
        <v>4</v>
      </c>
      <c r="CG170" s="14">
        <f t="shared" si="70"/>
        <v>1102011</v>
      </c>
      <c r="CH170" s="136" t="s">
        <v>1127</v>
      </c>
      <c r="CI170" s="14">
        <f t="shared" si="71"/>
        <v>1</v>
      </c>
      <c r="CJ170" s="14" t="str">
        <f t="shared" si="72"/>
        <v>张飞-1星</v>
      </c>
      <c r="CK170" s="136" t="s">
        <v>1133</v>
      </c>
      <c r="CL170" s="14">
        <f t="shared" si="86"/>
        <v>6000</v>
      </c>
      <c r="CM170" s="14" t="str">
        <f t="shared" si="73"/>
        <v>张飞碎片</v>
      </c>
      <c r="CN170" s="14">
        <f t="shared" si="87"/>
        <v>80</v>
      </c>
    </row>
    <row r="171" spans="8:92" ht="16.5" x14ac:dyDescent="0.2">
      <c r="H171" s="15"/>
      <c r="I171" s="15"/>
      <c r="J171" s="15"/>
      <c r="K171" s="15"/>
      <c r="L171" s="15"/>
      <c r="M171" s="15"/>
      <c r="N171" s="15"/>
      <c r="O171" s="137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04">
        <v>167</v>
      </c>
      <c r="AB171" s="14">
        <f t="shared" si="74"/>
        <v>4</v>
      </c>
      <c r="AC171" s="14">
        <f>INDEX(挂机升级突破!$BU$6:$BU$57,卡牌消耗!AI171)</f>
        <v>11</v>
      </c>
      <c r="AD171" s="14">
        <f>INDEX(挂机升级突破!BV$6:BV$57,卡牌消耗!$AI171)</f>
        <v>2</v>
      </c>
      <c r="AE171" s="14">
        <f>INDEX(挂机升级突破!BW$6:BW$57,卡牌消耗!$AI171)</f>
        <v>0</v>
      </c>
      <c r="AF171" s="14" t="str">
        <f t="shared" si="75"/>
        <v>唐流雨</v>
      </c>
      <c r="AG171" s="14">
        <f t="shared" si="76"/>
        <v>2</v>
      </c>
      <c r="AH171" s="14" t="str">
        <f t="shared" si="77"/>
        <v>唐流雨魂火-11</v>
      </c>
      <c r="AI171" s="14">
        <f t="shared" si="78"/>
        <v>11</v>
      </c>
      <c r="AJ171" s="14" t="str">
        <f>INDEX(挂机升级突破!$BX$4:$CH$4,INDEX(挂机升级突破!$BU$6:$BU$57,卡牌消耗!AI171))</f>
        <v>金币</v>
      </c>
      <c r="AK171" s="14">
        <f>ROUND(INDEX(挂机升级突破!$BN$6:$BN$57,卡牌消耗!AI171)*INDEX(卡牌消耗!$B$8:$F$8,AG171)/$Q$4/50,0)*50</f>
        <v>1750</v>
      </c>
      <c r="AL171" s="14" t="str">
        <f>IF(AD171&gt;0,INDEX(挂机升级突破!$BX$4:$CH$4,AD171),"")</f>
        <v>蓝色基础材料</v>
      </c>
      <c r="AM171" s="14">
        <f>ROUND(INDEX(挂机升级突破!$BX$6:$CH$57,卡牌消耗!AI171,AD171)*INDEX(卡牌消耗!$B$5:$F$5,AG171)/$Q$4/5,0)*5</f>
        <v>1155</v>
      </c>
      <c r="AN171" s="14" t="str">
        <f>IF(AE171&gt;0,INDEX(挂机升级突破!$BX$4:$CH$4,AE171),"")</f>
        <v/>
      </c>
      <c r="AO171" s="14" t="str">
        <f>IF(AE171&gt;0,ROUND(INDEX(挂机升级突破!$BX$6:$CH$57,卡牌消耗!AI171,AE171)*INDEX(卡牌消耗!$B$7:$F$7,AG171)/$Q$4,0),"")</f>
        <v/>
      </c>
      <c r="AP171" s="106"/>
      <c r="AQ171" s="15"/>
      <c r="AR171" s="104">
        <v>167</v>
      </c>
      <c r="AS171" s="14">
        <f t="shared" si="79"/>
        <v>9</v>
      </c>
      <c r="AT171" s="14">
        <f>INDEX(挂机升级突破!$CM$7:$CM$26,AX171)</f>
        <v>5</v>
      </c>
      <c r="AU171" s="14">
        <f>INDEX(挂机升级突破!$CN$7:$CN$26,AX171)</f>
        <v>1</v>
      </c>
      <c r="AV171" s="14">
        <f t="shared" si="80"/>
        <v>3</v>
      </c>
      <c r="AW171" s="14" t="str">
        <f t="shared" si="81"/>
        <v>徐晃</v>
      </c>
      <c r="AX171" s="14">
        <f t="shared" si="82"/>
        <v>7</v>
      </c>
      <c r="AY171" s="14" t="str">
        <f t="shared" si="83"/>
        <v>徐晃7突</v>
      </c>
      <c r="AZ171" s="14" t="str">
        <f>IF(AT171&gt;0,INDEX(挂机升级突破!$CV$5:$CZ$5,卡牌消耗!AT171),"")</f>
        <v>金币</v>
      </c>
      <c r="BA171" s="14">
        <f>IF(AT171&gt;0,ROUND(INDEX(挂机升级突破!$CZ$7:$CZ$26,卡牌消耗!AX171)*INDEX(卡牌消耗!$B$8:$F$8,AV171)/$Q$4/500,0)*500,"")</f>
        <v>6500</v>
      </c>
      <c r="BB171" s="14" t="str">
        <f>IF(AU171&gt;0,INDEX(挂机升级突破!$CV$5:$CZ$5,卡牌消耗!AU171),"")</f>
        <v>玄铁</v>
      </c>
      <c r="BC171" s="14">
        <f>IF(AU171&gt;0,ROUND(INDEX(挂机升级突破!$CV$7:$CY$26,卡牌消耗!AX171,卡牌消耗!AU171)*INDEX($B$6:$F$6,AV171)/$Q$4/5,0)*5,"")</f>
        <v>290</v>
      </c>
      <c r="BD171" s="104"/>
      <c r="BE171" s="104"/>
      <c r="BF171" s="106"/>
      <c r="BW171" s="65">
        <v>149</v>
      </c>
      <c r="BX171" s="65">
        <v>18</v>
      </c>
      <c r="BY171" s="21">
        <f t="shared" si="92"/>
        <v>0.12413793103448276</v>
      </c>
      <c r="BZ171" s="65">
        <f t="shared" si="93"/>
        <v>0</v>
      </c>
      <c r="CA171" s="65" t="e">
        <f>SUM(BZ$5:BZ171)</f>
        <v>#REF!</v>
      </c>
      <c r="CD171" s="136">
        <v>167</v>
      </c>
      <c r="CE171" s="14">
        <f t="shared" si="85"/>
        <v>34</v>
      </c>
      <c r="CF171" s="14">
        <f t="shared" si="69"/>
        <v>4</v>
      </c>
      <c r="CG171" s="14">
        <f t="shared" si="70"/>
        <v>1102011</v>
      </c>
      <c r="CH171" s="136" t="s">
        <v>1127</v>
      </c>
      <c r="CI171" s="14">
        <f t="shared" si="71"/>
        <v>2</v>
      </c>
      <c r="CJ171" s="14" t="str">
        <f t="shared" si="72"/>
        <v>张飞-2星</v>
      </c>
      <c r="CK171" s="136" t="s">
        <v>1133</v>
      </c>
      <c r="CL171" s="14">
        <f t="shared" si="86"/>
        <v>8000</v>
      </c>
      <c r="CM171" s="14" t="str">
        <f t="shared" si="73"/>
        <v>张飞碎片</v>
      </c>
      <c r="CN171" s="14">
        <f t="shared" si="87"/>
        <v>80</v>
      </c>
    </row>
    <row r="172" spans="8:92" ht="16.5" x14ac:dyDescent="0.2">
      <c r="H172" s="15"/>
      <c r="I172" s="15"/>
      <c r="J172" s="15"/>
      <c r="K172" s="15"/>
      <c r="L172" s="15"/>
      <c r="M172" s="15"/>
      <c r="N172" s="15"/>
      <c r="O172" s="137"/>
      <c r="P172" s="141"/>
      <c r="Q172" s="141"/>
      <c r="R172" s="141"/>
      <c r="S172" s="141"/>
      <c r="T172" s="141"/>
      <c r="U172" s="141"/>
      <c r="V172" s="141"/>
      <c r="W172" s="141"/>
      <c r="X172" s="141"/>
      <c r="Y172" s="141"/>
      <c r="Z172" s="141"/>
      <c r="AA172" s="104">
        <v>168</v>
      </c>
      <c r="AB172" s="14">
        <f t="shared" si="74"/>
        <v>4</v>
      </c>
      <c r="AC172" s="14">
        <f>INDEX(挂机升级突破!$BU$6:$BU$57,卡牌消耗!AI172)</f>
        <v>11</v>
      </c>
      <c r="AD172" s="14">
        <f>INDEX(挂机升级突破!BV$6:BV$57,卡牌消耗!$AI172)</f>
        <v>2</v>
      </c>
      <c r="AE172" s="14">
        <f>INDEX(挂机升级突破!BW$6:BW$57,卡牌消耗!$AI172)</f>
        <v>0</v>
      </c>
      <c r="AF172" s="14" t="str">
        <f t="shared" si="75"/>
        <v>唐流雨</v>
      </c>
      <c r="AG172" s="14">
        <f t="shared" si="76"/>
        <v>2</v>
      </c>
      <c r="AH172" s="14" t="str">
        <f t="shared" si="77"/>
        <v>唐流雨魂火-12</v>
      </c>
      <c r="AI172" s="14">
        <f t="shared" si="78"/>
        <v>12</v>
      </c>
      <c r="AJ172" s="14" t="str">
        <f>INDEX(挂机升级突破!$BX$4:$CH$4,INDEX(挂机升级突破!$BU$6:$BU$57,卡牌消耗!AI172))</f>
        <v>金币</v>
      </c>
      <c r="AK172" s="14">
        <f>ROUND(INDEX(挂机升级突破!$BN$6:$BN$57,卡牌消耗!AI172)*INDEX(卡牌消耗!$B$8:$F$8,AG172)/$Q$4/50,0)*50</f>
        <v>1500</v>
      </c>
      <c r="AL172" s="14" t="str">
        <f>IF(AD172&gt;0,INDEX(挂机升级突破!$BX$4:$CH$4,AD172),"")</f>
        <v>蓝色基础材料</v>
      </c>
      <c r="AM172" s="14">
        <f>ROUND(INDEX(挂机升级突破!$BX$6:$CH$57,卡牌消耗!AI172,AD172)*INDEX(卡牌消耗!$B$5:$F$5,AG172)/$Q$4/5,0)*5</f>
        <v>1535</v>
      </c>
      <c r="AN172" s="14" t="str">
        <f>IF(AE172&gt;0,INDEX(挂机升级突破!$BX$4:$CH$4,AE172),"")</f>
        <v/>
      </c>
      <c r="AO172" s="14" t="str">
        <f>IF(AE172&gt;0,ROUND(INDEX(挂机升级突破!$BX$6:$CH$57,卡牌消耗!AI172,AE172)*INDEX(卡牌消耗!$B$7:$F$7,AG172)/$Q$4,0),"")</f>
        <v/>
      </c>
      <c r="AP172" s="106"/>
      <c r="AQ172" s="15"/>
      <c r="AR172" s="104">
        <v>168</v>
      </c>
      <c r="AS172" s="14">
        <f t="shared" si="79"/>
        <v>9</v>
      </c>
      <c r="AT172" s="14">
        <f>INDEX(挂机升级突破!$CM$7:$CM$26,AX172)</f>
        <v>5</v>
      </c>
      <c r="AU172" s="14">
        <f>INDEX(挂机升级突破!$CN$7:$CN$26,AX172)</f>
        <v>1</v>
      </c>
      <c r="AV172" s="14">
        <f t="shared" si="80"/>
        <v>3</v>
      </c>
      <c r="AW172" s="14" t="str">
        <f t="shared" si="81"/>
        <v>徐晃</v>
      </c>
      <c r="AX172" s="14">
        <f t="shared" si="82"/>
        <v>8</v>
      </c>
      <c r="AY172" s="14" t="str">
        <f t="shared" si="83"/>
        <v>徐晃8突</v>
      </c>
      <c r="AZ172" s="14" t="str">
        <f>IF(AT172&gt;0,INDEX(挂机升级突破!$CV$5:$CZ$5,卡牌消耗!AT172),"")</f>
        <v>金币</v>
      </c>
      <c r="BA172" s="14">
        <f>IF(AT172&gt;0,ROUND(INDEX(挂机升级突破!$CZ$7:$CZ$26,卡牌消耗!AX172)*INDEX(卡牌消耗!$B$8:$F$8,AV172)/$Q$4/500,0)*500,"")</f>
        <v>6500</v>
      </c>
      <c r="BB172" s="14" t="str">
        <f>IF(AU172&gt;0,INDEX(挂机升级突破!$CV$5:$CZ$5,卡牌消耗!AU172),"")</f>
        <v>玄铁</v>
      </c>
      <c r="BC172" s="14">
        <f>IF(AU172&gt;0,ROUND(INDEX(挂机升级突破!$CV$7:$CY$26,卡牌消耗!AX172,卡牌消耗!AU172)*INDEX($B$6:$F$6,AV172)/$Q$4/5,0)*5,"")</f>
        <v>520</v>
      </c>
      <c r="BD172" s="104"/>
      <c r="BE172" s="104"/>
      <c r="BF172" s="106"/>
      <c r="BW172" s="65">
        <v>150</v>
      </c>
      <c r="BX172" s="65">
        <v>19</v>
      </c>
      <c r="BY172" s="21">
        <f t="shared" si="92"/>
        <v>0.1310344827586207</v>
      </c>
      <c r="BZ172" s="65">
        <f t="shared" si="93"/>
        <v>0</v>
      </c>
      <c r="CA172" s="65" t="e">
        <f>SUM(BZ$5:BZ172)</f>
        <v>#REF!</v>
      </c>
      <c r="CD172" s="136">
        <v>168</v>
      </c>
      <c r="CE172" s="14">
        <f t="shared" si="85"/>
        <v>34</v>
      </c>
      <c r="CF172" s="14">
        <f t="shared" si="69"/>
        <v>4</v>
      </c>
      <c r="CG172" s="14">
        <f t="shared" si="70"/>
        <v>1102011</v>
      </c>
      <c r="CH172" s="136" t="s">
        <v>1127</v>
      </c>
      <c r="CI172" s="14">
        <f t="shared" si="71"/>
        <v>3</v>
      </c>
      <c r="CJ172" s="14" t="str">
        <f t="shared" si="72"/>
        <v>张飞-3星</v>
      </c>
      <c r="CK172" s="136" t="s">
        <v>1133</v>
      </c>
      <c r="CL172" s="14">
        <f t="shared" si="86"/>
        <v>14000</v>
      </c>
      <c r="CM172" s="14" t="str">
        <f t="shared" si="73"/>
        <v>张飞碎片</v>
      </c>
      <c r="CN172" s="14">
        <f t="shared" si="87"/>
        <v>160</v>
      </c>
    </row>
    <row r="173" spans="8:92" ht="16.5" x14ac:dyDescent="0.2">
      <c r="H173" s="15"/>
      <c r="I173" s="15"/>
      <c r="J173" s="15"/>
      <c r="K173" s="15"/>
      <c r="L173" s="15"/>
      <c r="M173" s="15"/>
      <c r="N173" s="15"/>
      <c r="O173" s="137"/>
      <c r="P173" s="141"/>
      <c r="Q173" s="141"/>
      <c r="R173" s="141"/>
      <c r="S173" s="141"/>
      <c r="T173" s="141"/>
      <c r="U173" s="141"/>
      <c r="V173" s="141"/>
      <c r="W173" s="141"/>
      <c r="X173" s="141"/>
      <c r="Y173" s="141"/>
      <c r="Z173" s="141"/>
      <c r="AA173" s="104">
        <v>169</v>
      </c>
      <c r="AB173" s="14">
        <f t="shared" si="74"/>
        <v>4</v>
      </c>
      <c r="AC173" s="14">
        <f>INDEX(挂机升级突破!$BU$6:$BU$57,卡牌消耗!AI173)</f>
        <v>11</v>
      </c>
      <c r="AD173" s="14">
        <f>INDEX(挂机升级突破!BV$6:BV$57,卡牌消耗!$AI173)</f>
        <v>2</v>
      </c>
      <c r="AE173" s="14">
        <f>INDEX(挂机升级突破!BW$6:BW$57,卡牌消耗!$AI173)</f>
        <v>0</v>
      </c>
      <c r="AF173" s="14" t="str">
        <f t="shared" si="75"/>
        <v>唐流雨</v>
      </c>
      <c r="AG173" s="14">
        <f t="shared" si="76"/>
        <v>2</v>
      </c>
      <c r="AH173" s="14" t="str">
        <f t="shared" si="77"/>
        <v>唐流雨魂火-13</v>
      </c>
      <c r="AI173" s="14">
        <f t="shared" si="78"/>
        <v>13</v>
      </c>
      <c r="AJ173" s="14" t="str">
        <f>INDEX(挂机升级突破!$BX$4:$CH$4,INDEX(挂机升级突破!$BU$6:$BU$57,卡牌消耗!AI173))</f>
        <v>金币</v>
      </c>
      <c r="AK173" s="14">
        <f>ROUND(INDEX(挂机升级突破!$BN$6:$BN$57,卡牌消耗!AI173)*INDEX(卡牌消耗!$B$8:$F$8,AG173)/$Q$4/50,0)*50</f>
        <v>1500</v>
      </c>
      <c r="AL173" s="14" t="str">
        <f>IF(AD173&gt;0,INDEX(挂机升级突破!$BX$4:$CH$4,AD173),"")</f>
        <v>蓝色基础材料</v>
      </c>
      <c r="AM173" s="14">
        <f>ROUND(INDEX(挂机升级突破!$BX$6:$CH$57,卡牌消耗!AI173,AD173)*INDEX(卡牌消耗!$B$5:$F$5,AG173)/$Q$4/5,0)*5</f>
        <v>1535</v>
      </c>
      <c r="AN173" s="14" t="str">
        <f>IF(AE173&gt;0,INDEX(挂机升级突破!$BX$4:$CH$4,AE173),"")</f>
        <v/>
      </c>
      <c r="AO173" s="14" t="str">
        <f>IF(AE173&gt;0,ROUND(INDEX(挂机升级突破!$BX$6:$CH$57,卡牌消耗!AI173,AE173)*INDEX(卡牌消耗!$B$7:$F$7,AG173)/$Q$4,0),"")</f>
        <v/>
      </c>
      <c r="AP173" s="106"/>
      <c r="AQ173" s="15"/>
      <c r="AR173" s="104">
        <v>169</v>
      </c>
      <c r="AS173" s="14">
        <f t="shared" si="79"/>
        <v>9</v>
      </c>
      <c r="AT173" s="14">
        <f>INDEX(挂机升级突破!$CM$7:$CM$26,AX173)</f>
        <v>5</v>
      </c>
      <c r="AU173" s="14">
        <f>INDEX(挂机升级突破!$CN$7:$CN$26,AX173)</f>
        <v>2</v>
      </c>
      <c r="AV173" s="14">
        <f t="shared" si="80"/>
        <v>3</v>
      </c>
      <c r="AW173" s="14" t="str">
        <f t="shared" si="81"/>
        <v>徐晃</v>
      </c>
      <c r="AX173" s="14">
        <f t="shared" si="82"/>
        <v>9</v>
      </c>
      <c r="AY173" s="14" t="str">
        <f t="shared" si="83"/>
        <v>徐晃9突</v>
      </c>
      <c r="AZ173" s="14" t="str">
        <f>IF(AT173&gt;0,INDEX(挂机升级突破!$CV$5:$CZ$5,卡牌消耗!AT173),"")</f>
        <v>金币</v>
      </c>
      <c r="BA173" s="14">
        <f>IF(AT173&gt;0,ROUND(INDEX(挂机升级突破!$CZ$7:$CZ$26,卡牌消耗!AX173)*INDEX(卡牌消耗!$B$8:$F$8,AV173)/$Q$4/500,0)*500,"")</f>
        <v>8500</v>
      </c>
      <c r="BB173" s="14" t="str">
        <f>IF(AU173&gt;0,INDEX(挂机升级突破!$CV$5:$CZ$5,卡牌消耗!AU173),"")</f>
        <v>乌金</v>
      </c>
      <c r="BC173" s="14">
        <f>IF(AU173&gt;0,ROUND(INDEX(挂机升级突破!$CV$7:$CY$26,卡牌消耗!AX173,卡牌消耗!AU173)*INDEX($B$6:$F$6,AV173)/$Q$4/5,0)*5,"")</f>
        <v>65</v>
      </c>
      <c r="BD173" s="104"/>
      <c r="BE173" s="104"/>
      <c r="BF173" s="106"/>
      <c r="BU173" s="65" t="s">
        <v>123</v>
      </c>
      <c r="BV173" s="65">
        <v>17</v>
      </c>
      <c r="BW173" s="65">
        <v>141</v>
      </c>
      <c r="BX173" s="65">
        <v>10</v>
      </c>
      <c r="BY173" s="21">
        <f t="shared" ref="BY173:BY182" si="94">BX173/BV$156</f>
        <v>6.8965517241379309E-2</v>
      </c>
      <c r="BZ173" s="65">
        <f>INT($BV$174*BY173)</f>
        <v>0</v>
      </c>
      <c r="CA173" s="65" t="e">
        <f>SUM(BZ$5:BZ173)</f>
        <v>#REF!</v>
      </c>
      <c r="CD173" s="136">
        <v>169</v>
      </c>
      <c r="CE173" s="14">
        <f t="shared" si="85"/>
        <v>34</v>
      </c>
      <c r="CF173" s="14">
        <f t="shared" si="69"/>
        <v>4</v>
      </c>
      <c r="CG173" s="14">
        <f t="shared" si="70"/>
        <v>1102011</v>
      </c>
      <c r="CH173" s="136" t="s">
        <v>1127</v>
      </c>
      <c r="CI173" s="14">
        <f t="shared" si="71"/>
        <v>4</v>
      </c>
      <c r="CJ173" s="14" t="str">
        <f t="shared" si="72"/>
        <v>张飞-4星</v>
      </c>
      <c r="CK173" s="136" t="s">
        <v>1133</v>
      </c>
      <c r="CL173" s="14">
        <f t="shared" si="86"/>
        <v>32000</v>
      </c>
      <c r="CM173" s="14" t="str">
        <f t="shared" si="73"/>
        <v>张飞碎片</v>
      </c>
      <c r="CN173" s="14">
        <f t="shared" si="87"/>
        <v>240</v>
      </c>
    </row>
    <row r="174" spans="8:92" ht="16.5" x14ac:dyDescent="0.2">
      <c r="H174" s="15"/>
      <c r="I174" s="15"/>
      <c r="J174" s="15"/>
      <c r="K174" s="15"/>
      <c r="L174" s="15"/>
      <c r="M174" s="15"/>
      <c r="N174" s="15"/>
      <c r="O174" s="137"/>
      <c r="P174" s="141"/>
      <c r="Q174" s="141"/>
      <c r="R174" s="141"/>
      <c r="S174" s="141"/>
      <c r="T174" s="141"/>
      <c r="U174" s="141"/>
      <c r="V174" s="141"/>
      <c r="W174" s="141"/>
      <c r="X174" s="141"/>
      <c r="Y174" s="141"/>
      <c r="Z174" s="141"/>
      <c r="AA174" s="104">
        <v>170</v>
      </c>
      <c r="AB174" s="14">
        <f t="shared" si="74"/>
        <v>4</v>
      </c>
      <c r="AC174" s="14">
        <f>INDEX(挂机升级突破!$BU$6:$BU$57,卡牌消耗!AI174)</f>
        <v>11</v>
      </c>
      <c r="AD174" s="14">
        <f>INDEX(挂机升级突破!BV$6:BV$57,卡牌消耗!$AI174)</f>
        <v>3</v>
      </c>
      <c r="AE174" s="14">
        <f>INDEX(挂机升级突破!BW$6:BW$57,卡牌消耗!$AI174)</f>
        <v>0</v>
      </c>
      <c r="AF174" s="14" t="str">
        <f t="shared" si="75"/>
        <v>唐流雨</v>
      </c>
      <c r="AG174" s="14">
        <f t="shared" si="76"/>
        <v>2</v>
      </c>
      <c r="AH174" s="14" t="str">
        <f t="shared" si="77"/>
        <v>唐流雨魂火-14</v>
      </c>
      <c r="AI174" s="14">
        <f t="shared" si="78"/>
        <v>14</v>
      </c>
      <c r="AJ174" s="14" t="str">
        <f>INDEX(挂机升级突破!$BX$4:$CH$4,INDEX(挂机升级突破!$BU$6:$BU$57,卡牌消耗!AI174))</f>
        <v>金币</v>
      </c>
      <c r="AK174" s="14">
        <f>ROUND(INDEX(挂机升级突破!$BN$6:$BN$57,卡牌消耗!AI174)*INDEX(卡牌消耗!$B$8:$F$8,AG174)/$Q$4/50,0)*50</f>
        <v>1650</v>
      </c>
      <c r="AL174" s="14" t="str">
        <f>IF(AD174&gt;0,INDEX(挂机升级突破!$BX$4:$CH$4,AD174),"")</f>
        <v>紫色基础材料</v>
      </c>
      <c r="AM174" s="14">
        <f>ROUND(INDEX(挂机升级突破!$BX$6:$CH$57,卡牌消耗!AI174,AD174)*INDEX(卡牌消耗!$B$5:$F$5,AG174)/$Q$4/5,0)*5</f>
        <v>135</v>
      </c>
      <c r="AN174" s="14" t="str">
        <f>IF(AE174&gt;0,INDEX(挂机升级突破!$BX$4:$CH$4,AE174),"")</f>
        <v/>
      </c>
      <c r="AO174" s="14" t="str">
        <f>IF(AE174&gt;0,ROUND(INDEX(挂机升级突破!$BX$6:$CH$57,卡牌消耗!AI174,AE174)*INDEX(卡牌消耗!$B$7:$F$7,AG174)/$Q$4,0),"")</f>
        <v/>
      </c>
      <c r="AP174" s="106"/>
      <c r="AQ174" s="15"/>
      <c r="AR174" s="104">
        <v>170</v>
      </c>
      <c r="AS174" s="14">
        <f t="shared" si="79"/>
        <v>9</v>
      </c>
      <c r="AT174" s="14">
        <f>INDEX(挂机升级突破!$CM$7:$CM$26,AX174)</f>
        <v>5</v>
      </c>
      <c r="AU174" s="14">
        <f>INDEX(挂机升级突破!$CN$7:$CN$26,AX174)</f>
        <v>2</v>
      </c>
      <c r="AV174" s="14">
        <f t="shared" si="80"/>
        <v>3</v>
      </c>
      <c r="AW174" s="14" t="str">
        <f t="shared" si="81"/>
        <v>徐晃</v>
      </c>
      <c r="AX174" s="14">
        <f t="shared" si="82"/>
        <v>10</v>
      </c>
      <c r="AY174" s="14" t="str">
        <f t="shared" si="83"/>
        <v>徐晃10突</v>
      </c>
      <c r="AZ174" s="14" t="str">
        <f>IF(AT174&gt;0,INDEX(挂机升级突破!$CV$5:$CZ$5,卡牌消耗!AT174),"")</f>
        <v>金币</v>
      </c>
      <c r="BA174" s="14">
        <f>IF(AT174&gt;0,ROUND(INDEX(挂机升级突破!$CZ$7:$CZ$26,卡牌消耗!AX174)*INDEX(卡牌消耗!$B$8:$F$8,AV174)/$Q$4/500,0)*500,"")</f>
        <v>14500</v>
      </c>
      <c r="BB174" s="14" t="str">
        <f>IF(AU174&gt;0,INDEX(挂机升级突破!$CV$5:$CZ$5,卡牌消耗!AU174),"")</f>
        <v>乌金</v>
      </c>
      <c r="BC174" s="14">
        <f>IF(AU174&gt;0,ROUND(INDEX(挂机升级突破!$CV$7:$CY$26,卡牌消耗!AX174,卡牌消耗!AU174)*INDEX($B$6:$F$6,AV174)/$Q$4/5,0)*5,"")</f>
        <v>90</v>
      </c>
      <c r="BD174" s="104"/>
      <c r="BE174" s="104"/>
      <c r="BF174" s="106"/>
      <c r="BU174" s="14" t="str">
        <f>INDEX($BH$5:$BH$24,BV173)</f>
        <v>85~90</v>
      </c>
      <c r="BV174" s="14">
        <f>INDEX($BQ$5:$BQ$24,BV173)</f>
        <v>0</v>
      </c>
      <c r="BW174" s="65">
        <v>142</v>
      </c>
      <c r="BX174" s="65">
        <v>11</v>
      </c>
      <c r="BY174" s="21">
        <f t="shared" si="94"/>
        <v>7.586206896551724E-2</v>
      </c>
      <c r="BZ174" s="65">
        <f t="shared" ref="BZ174:BZ182" si="95">INT($BV$174*BY174)</f>
        <v>0</v>
      </c>
      <c r="CA174" s="65" t="e">
        <f>SUM(BZ$5:BZ174)</f>
        <v>#REF!</v>
      </c>
      <c r="CD174" s="136">
        <v>170</v>
      </c>
      <c r="CE174" s="14">
        <f t="shared" si="85"/>
        <v>34</v>
      </c>
      <c r="CF174" s="14">
        <f t="shared" si="69"/>
        <v>4</v>
      </c>
      <c r="CG174" s="14">
        <f t="shared" si="70"/>
        <v>1102011</v>
      </c>
      <c r="CH174" s="136" t="s">
        <v>1127</v>
      </c>
      <c r="CI174" s="14">
        <f t="shared" si="71"/>
        <v>5</v>
      </c>
      <c r="CJ174" s="14" t="str">
        <f t="shared" si="72"/>
        <v>张飞-5星</v>
      </c>
      <c r="CK174" s="136" t="s">
        <v>1133</v>
      </c>
      <c r="CL174" s="14">
        <f t="shared" si="86"/>
        <v>60000</v>
      </c>
      <c r="CM174" s="14" t="str">
        <f t="shared" si="73"/>
        <v>张飞碎片</v>
      </c>
      <c r="CN174" s="14">
        <f t="shared" si="87"/>
        <v>320</v>
      </c>
    </row>
    <row r="175" spans="8:92" ht="16.5" x14ac:dyDescent="0.2">
      <c r="H175" s="15"/>
      <c r="I175" s="15"/>
      <c r="J175" s="15"/>
      <c r="K175" s="15"/>
      <c r="L175" s="15"/>
      <c r="M175" s="15"/>
      <c r="N175" s="15"/>
      <c r="O175" s="137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04">
        <v>171</v>
      </c>
      <c r="AB175" s="14">
        <f t="shared" si="74"/>
        <v>4</v>
      </c>
      <c r="AC175" s="14">
        <f>INDEX(挂机升级突破!$BU$6:$BU$57,卡牌消耗!AI175)</f>
        <v>11</v>
      </c>
      <c r="AD175" s="14">
        <f>INDEX(挂机升级突破!BV$6:BV$57,卡牌消耗!$AI175)</f>
        <v>3</v>
      </c>
      <c r="AE175" s="14">
        <f>INDEX(挂机升级突破!BW$6:BW$57,卡牌消耗!$AI175)</f>
        <v>0</v>
      </c>
      <c r="AF175" s="14" t="str">
        <f t="shared" si="75"/>
        <v>唐流雨</v>
      </c>
      <c r="AG175" s="14">
        <f t="shared" si="76"/>
        <v>2</v>
      </c>
      <c r="AH175" s="14" t="str">
        <f t="shared" si="77"/>
        <v>唐流雨魂火-15</v>
      </c>
      <c r="AI175" s="14">
        <f t="shared" si="78"/>
        <v>15</v>
      </c>
      <c r="AJ175" s="14" t="str">
        <f>INDEX(挂机升级突破!$BX$4:$CH$4,INDEX(挂机升级突破!$BU$6:$BU$57,卡牌消耗!AI175))</f>
        <v>金币</v>
      </c>
      <c r="AK175" s="14">
        <f>ROUND(INDEX(挂机升级突破!$BN$6:$BN$57,卡牌消耗!AI175)*INDEX(卡牌消耗!$B$8:$F$8,AG175)/$Q$4/50,0)*50</f>
        <v>1800</v>
      </c>
      <c r="AL175" s="14" t="str">
        <f>IF(AD175&gt;0,INDEX(挂机升级突破!$BX$4:$CH$4,AD175),"")</f>
        <v>紫色基础材料</v>
      </c>
      <c r="AM175" s="14">
        <f>ROUND(INDEX(挂机升级突破!$BX$6:$CH$57,卡牌消耗!AI175,AD175)*INDEX(卡牌消耗!$B$5:$F$5,AG175)/$Q$4/5,0)*5</f>
        <v>135</v>
      </c>
      <c r="AN175" s="14" t="str">
        <f>IF(AE175&gt;0,INDEX(挂机升级突破!$BX$4:$CH$4,AE175),"")</f>
        <v/>
      </c>
      <c r="AO175" s="14" t="str">
        <f>IF(AE175&gt;0,ROUND(INDEX(挂机升级突破!$BX$6:$CH$57,卡牌消耗!AI175,AE175)*INDEX(卡牌消耗!$B$7:$F$7,AG175)/$Q$4,0),"")</f>
        <v/>
      </c>
      <c r="AP175" s="106"/>
      <c r="AQ175" s="15"/>
      <c r="AR175" s="104">
        <v>171</v>
      </c>
      <c r="AS175" s="14">
        <f t="shared" si="79"/>
        <v>9</v>
      </c>
      <c r="AT175" s="14">
        <f>INDEX(挂机升级突破!$CM$7:$CM$26,AX175)</f>
        <v>5</v>
      </c>
      <c r="AU175" s="14">
        <f>INDEX(挂机升级突破!$CN$7:$CN$26,AX175)</f>
        <v>2</v>
      </c>
      <c r="AV175" s="14">
        <f t="shared" si="80"/>
        <v>3</v>
      </c>
      <c r="AW175" s="14" t="str">
        <f t="shared" si="81"/>
        <v>徐晃</v>
      </c>
      <c r="AX175" s="14">
        <f t="shared" si="82"/>
        <v>11</v>
      </c>
      <c r="AY175" s="14" t="str">
        <f t="shared" si="83"/>
        <v>徐晃11突</v>
      </c>
      <c r="AZ175" s="14" t="str">
        <f>IF(AT175&gt;0,INDEX(挂机升级突破!$CV$5:$CZ$5,卡牌消耗!AT175),"")</f>
        <v>金币</v>
      </c>
      <c r="BA175" s="14">
        <f>IF(AT175&gt;0,ROUND(INDEX(挂机升级突破!$CZ$7:$CZ$26,卡牌消耗!AX175)*INDEX(卡牌消耗!$B$8:$F$8,AV175)/$Q$4/500,0)*500,"")</f>
        <v>14500</v>
      </c>
      <c r="BB175" s="14" t="str">
        <f>IF(AU175&gt;0,INDEX(挂机升级突破!$CV$5:$CZ$5,卡牌消耗!AU175),"")</f>
        <v>乌金</v>
      </c>
      <c r="BC175" s="14">
        <f>IF(AU175&gt;0,ROUND(INDEX(挂机升级突破!$CV$7:$CY$26,卡牌消耗!AX175,卡牌消耗!AU175)*INDEX($B$6:$F$6,AV175)/$Q$4/5,0)*5,"")</f>
        <v>120</v>
      </c>
      <c r="BD175" s="104"/>
      <c r="BE175" s="104"/>
      <c r="BF175" s="106"/>
      <c r="BU175" s="65" t="s">
        <v>309</v>
      </c>
      <c r="BV175" s="14">
        <f>INDEX($BR$5:$BR$24,BV173)</f>
        <v>0</v>
      </c>
      <c r="BW175" s="65">
        <v>143</v>
      </c>
      <c r="BX175" s="65">
        <v>12</v>
      </c>
      <c r="BY175" s="21">
        <f t="shared" si="94"/>
        <v>8.2758620689655171E-2</v>
      </c>
      <c r="BZ175" s="65">
        <f t="shared" si="95"/>
        <v>0</v>
      </c>
      <c r="CA175" s="65" t="e">
        <f>SUM(BZ$5:BZ175)</f>
        <v>#REF!</v>
      </c>
      <c r="CD175" s="136">
        <v>171</v>
      </c>
      <c r="CE175" s="14">
        <f t="shared" si="85"/>
        <v>35</v>
      </c>
      <c r="CF175" s="14">
        <f t="shared" si="69"/>
        <v>4</v>
      </c>
      <c r="CG175" s="14">
        <f t="shared" si="70"/>
        <v>1102012</v>
      </c>
      <c r="CH175" s="136" t="s">
        <v>1127</v>
      </c>
      <c r="CI175" s="14">
        <f t="shared" si="71"/>
        <v>1</v>
      </c>
      <c r="CJ175" s="14" t="str">
        <f t="shared" si="72"/>
        <v>夏侯惇-1星</v>
      </c>
      <c r="CK175" s="136" t="s">
        <v>1133</v>
      </c>
      <c r="CL175" s="14">
        <f t="shared" si="86"/>
        <v>6000</v>
      </c>
      <c r="CM175" s="14" t="str">
        <f t="shared" si="73"/>
        <v>夏侯惇碎片</v>
      </c>
      <c r="CN175" s="14">
        <f t="shared" si="87"/>
        <v>80</v>
      </c>
    </row>
    <row r="176" spans="8:92" ht="16.5" x14ac:dyDescent="0.2">
      <c r="H176" s="15"/>
      <c r="I176" s="15"/>
      <c r="J176" s="15"/>
      <c r="K176" s="15"/>
      <c r="L176" s="15"/>
      <c r="M176" s="15"/>
      <c r="N176" s="15"/>
      <c r="O176" s="137"/>
      <c r="P176" s="141"/>
      <c r="Q176" s="141"/>
      <c r="R176" s="141"/>
      <c r="S176" s="141"/>
      <c r="T176" s="141"/>
      <c r="U176" s="141"/>
      <c r="V176" s="141"/>
      <c r="W176" s="141"/>
      <c r="X176" s="141"/>
      <c r="Y176" s="141"/>
      <c r="Z176" s="141"/>
      <c r="AA176" s="104">
        <v>172</v>
      </c>
      <c r="AB176" s="14">
        <f t="shared" si="74"/>
        <v>4</v>
      </c>
      <c r="AC176" s="14">
        <f>INDEX(挂机升级突破!$BU$6:$BU$57,卡牌消耗!AI176)</f>
        <v>11</v>
      </c>
      <c r="AD176" s="14">
        <f>INDEX(挂机升级突破!BV$6:BV$57,卡牌消耗!$AI176)</f>
        <v>3</v>
      </c>
      <c r="AE176" s="14">
        <f>INDEX(挂机升级突破!BW$6:BW$57,卡牌消耗!$AI176)</f>
        <v>0</v>
      </c>
      <c r="AF176" s="14" t="str">
        <f t="shared" si="75"/>
        <v>唐流雨</v>
      </c>
      <c r="AG176" s="14">
        <f t="shared" si="76"/>
        <v>2</v>
      </c>
      <c r="AH176" s="14" t="str">
        <f t="shared" si="77"/>
        <v>唐流雨魂火-16</v>
      </c>
      <c r="AI176" s="14">
        <f t="shared" si="78"/>
        <v>16</v>
      </c>
      <c r="AJ176" s="14" t="str">
        <f>INDEX(挂机升级突破!$BX$4:$CH$4,INDEX(挂机升级突破!$BU$6:$BU$57,卡牌消耗!AI176))</f>
        <v>金币</v>
      </c>
      <c r="AK176" s="14">
        <f>ROUND(INDEX(挂机升级突破!$BN$6:$BN$57,卡牌消耗!AI176)*INDEX(卡牌消耗!$B$8:$F$8,AG176)/$Q$4/50,0)*50</f>
        <v>1800</v>
      </c>
      <c r="AL176" s="14" t="str">
        <f>IF(AD176&gt;0,INDEX(挂机升级突破!$BX$4:$CH$4,AD176),"")</f>
        <v>紫色基础材料</v>
      </c>
      <c r="AM176" s="14">
        <f>ROUND(INDEX(挂机升级突破!$BX$6:$CH$57,卡牌消耗!AI176,AD176)*INDEX(卡牌消耗!$B$5:$F$5,AG176)/$Q$4/5,0)*5</f>
        <v>135</v>
      </c>
      <c r="AN176" s="14" t="str">
        <f>IF(AE176&gt;0,INDEX(挂机升级突破!$BX$4:$CH$4,AE176),"")</f>
        <v/>
      </c>
      <c r="AO176" s="14" t="str">
        <f>IF(AE176&gt;0,ROUND(INDEX(挂机升级突破!$BX$6:$CH$57,卡牌消耗!AI176,AE176)*INDEX(卡牌消耗!$B$7:$F$7,AG176)/$Q$4,0),"")</f>
        <v/>
      </c>
      <c r="AP176" s="106"/>
      <c r="AQ176" s="15"/>
      <c r="AR176" s="104">
        <v>172</v>
      </c>
      <c r="AS176" s="14">
        <f t="shared" si="79"/>
        <v>9</v>
      </c>
      <c r="AT176" s="14">
        <f>INDEX(挂机升级突破!$CM$7:$CM$26,AX176)</f>
        <v>5</v>
      </c>
      <c r="AU176" s="14">
        <f>INDEX(挂机升级突破!$CN$7:$CN$26,AX176)</f>
        <v>2</v>
      </c>
      <c r="AV176" s="14">
        <f t="shared" si="80"/>
        <v>3</v>
      </c>
      <c r="AW176" s="14" t="str">
        <f t="shared" si="81"/>
        <v>徐晃</v>
      </c>
      <c r="AX176" s="14">
        <f t="shared" si="82"/>
        <v>12</v>
      </c>
      <c r="AY176" s="14" t="str">
        <f t="shared" si="83"/>
        <v>徐晃12突</v>
      </c>
      <c r="AZ176" s="14" t="str">
        <f>IF(AT176&gt;0,INDEX(挂机升级突破!$CV$5:$CZ$5,卡牌消耗!AT176),"")</f>
        <v>金币</v>
      </c>
      <c r="BA176" s="14">
        <f>IF(AT176&gt;0,ROUND(INDEX(挂机升级突破!$CZ$7:$CZ$26,卡牌消耗!AX176)*INDEX(卡牌消耗!$B$8:$F$8,AV176)/$Q$4/500,0)*500,"")</f>
        <v>19500</v>
      </c>
      <c r="BB176" s="14" t="str">
        <f>IF(AU176&gt;0,INDEX(挂机升级突破!$CV$5:$CZ$5,卡牌消耗!AU176),"")</f>
        <v>乌金</v>
      </c>
      <c r="BC176" s="14">
        <f>IF(AU176&gt;0,ROUND(INDEX(挂机升级突破!$CV$7:$CY$26,卡牌消耗!AX176,卡牌消耗!AU176)*INDEX($B$6:$F$6,AV176)/$Q$4/5,0)*5,"")</f>
        <v>155</v>
      </c>
      <c r="BD176" s="104"/>
      <c r="BE176" s="104"/>
      <c r="BF176" s="106"/>
      <c r="BU176" s="15"/>
      <c r="BV176" s="14">
        <f>SUM(BX173:BX182)</f>
        <v>145</v>
      </c>
      <c r="BW176" s="65">
        <v>144</v>
      </c>
      <c r="BX176" s="65">
        <v>13</v>
      </c>
      <c r="BY176" s="21">
        <f t="shared" si="94"/>
        <v>8.9655172413793102E-2</v>
      </c>
      <c r="BZ176" s="65">
        <f t="shared" si="95"/>
        <v>0</v>
      </c>
      <c r="CA176" s="65" t="e">
        <f>SUM(BZ$5:BZ176)</f>
        <v>#REF!</v>
      </c>
      <c r="CD176" s="136">
        <v>172</v>
      </c>
      <c r="CE176" s="14">
        <f t="shared" si="85"/>
        <v>35</v>
      </c>
      <c r="CF176" s="14">
        <f t="shared" si="69"/>
        <v>4</v>
      </c>
      <c r="CG176" s="14">
        <f t="shared" si="70"/>
        <v>1102012</v>
      </c>
      <c r="CH176" s="136" t="s">
        <v>1127</v>
      </c>
      <c r="CI176" s="14">
        <f t="shared" si="71"/>
        <v>2</v>
      </c>
      <c r="CJ176" s="14" t="str">
        <f t="shared" si="72"/>
        <v>夏侯惇-2星</v>
      </c>
      <c r="CK176" s="136" t="s">
        <v>1133</v>
      </c>
      <c r="CL176" s="14">
        <f t="shared" si="86"/>
        <v>8000</v>
      </c>
      <c r="CM176" s="14" t="str">
        <f t="shared" si="73"/>
        <v>夏侯惇碎片</v>
      </c>
      <c r="CN176" s="14">
        <f t="shared" si="87"/>
        <v>80</v>
      </c>
    </row>
    <row r="177" spans="8:92" ht="16.5" x14ac:dyDescent="0.2">
      <c r="H177" s="15"/>
      <c r="I177" s="15"/>
      <c r="J177" s="15"/>
      <c r="K177" s="15"/>
      <c r="L177" s="15"/>
      <c r="M177" s="15"/>
      <c r="N177" s="15"/>
      <c r="O177" s="137"/>
      <c r="P177" s="141"/>
      <c r="Q177" s="141"/>
      <c r="R177" s="141"/>
      <c r="S177" s="141"/>
      <c r="T177" s="141"/>
      <c r="U177" s="141"/>
      <c r="V177" s="141"/>
      <c r="W177" s="141"/>
      <c r="X177" s="141"/>
      <c r="Y177" s="141"/>
      <c r="Z177" s="141"/>
      <c r="AA177" s="104">
        <v>173</v>
      </c>
      <c r="AB177" s="14">
        <f t="shared" si="74"/>
        <v>4</v>
      </c>
      <c r="AC177" s="14">
        <f>INDEX(挂机升级突破!$BU$6:$BU$57,卡牌消耗!AI177)</f>
        <v>11</v>
      </c>
      <c r="AD177" s="14">
        <f>INDEX(挂机升级突破!BV$6:BV$57,卡牌消耗!$AI177)</f>
        <v>3</v>
      </c>
      <c r="AE177" s="14">
        <f>INDEX(挂机升级突破!BW$6:BW$57,卡牌消耗!$AI177)</f>
        <v>0</v>
      </c>
      <c r="AF177" s="14" t="str">
        <f t="shared" si="75"/>
        <v>唐流雨</v>
      </c>
      <c r="AG177" s="14">
        <f t="shared" si="76"/>
        <v>2</v>
      </c>
      <c r="AH177" s="14" t="str">
        <f t="shared" si="77"/>
        <v>唐流雨魂火-17</v>
      </c>
      <c r="AI177" s="14">
        <f t="shared" si="78"/>
        <v>17</v>
      </c>
      <c r="AJ177" s="14" t="str">
        <f>INDEX(挂机升级突破!$BX$4:$CH$4,INDEX(挂机升级突破!$BU$6:$BU$57,卡牌消耗!AI177))</f>
        <v>金币</v>
      </c>
      <c r="AK177" s="14">
        <f>ROUND(INDEX(挂机升级突破!$BN$6:$BN$57,卡牌消耗!AI177)*INDEX(卡牌消耗!$B$8:$F$8,AG177)/$Q$4/50,0)*50</f>
        <v>2250</v>
      </c>
      <c r="AL177" s="14" t="str">
        <f>IF(AD177&gt;0,INDEX(挂机升级突破!$BX$4:$CH$4,AD177),"")</f>
        <v>紫色基础材料</v>
      </c>
      <c r="AM177" s="14">
        <f>ROUND(INDEX(挂机升级突破!$BX$6:$CH$57,卡牌消耗!AI177,AD177)*INDEX(卡牌消耗!$B$5:$F$5,AG177)/$Q$4/5,0)*5</f>
        <v>270</v>
      </c>
      <c r="AN177" s="14" t="str">
        <f>IF(AE177&gt;0,INDEX(挂机升级突破!$BX$4:$CH$4,AE177),"")</f>
        <v/>
      </c>
      <c r="AO177" s="14" t="str">
        <f>IF(AE177&gt;0,ROUND(INDEX(挂机升级突破!$BX$6:$CH$57,卡牌消耗!AI177,AE177)*INDEX(卡牌消耗!$B$7:$F$7,AG177)/$Q$4,0),"")</f>
        <v/>
      </c>
      <c r="AP177" s="106"/>
      <c r="AQ177" s="15"/>
      <c r="AR177" s="104">
        <v>173</v>
      </c>
      <c r="AS177" s="14">
        <f t="shared" si="79"/>
        <v>9</v>
      </c>
      <c r="AT177" s="14">
        <f>INDEX(挂机升级突破!$CM$7:$CM$26,AX177)</f>
        <v>5</v>
      </c>
      <c r="AU177" s="14">
        <f>INDEX(挂机升级突破!$CN$7:$CN$26,AX177)</f>
        <v>3</v>
      </c>
      <c r="AV177" s="14">
        <f t="shared" si="80"/>
        <v>3</v>
      </c>
      <c r="AW177" s="14" t="str">
        <f t="shared" si="81"/>
        <v>徐晃</v>
      </c>
      <c r="AX177" s="14">
        <f t="shared" si="82"/>
        <v>13</v>
      </c>
      <c r="AY177" s="14" t="str">
        <f t="shared" si="83"/>
        <v>徐晃13突</v>
      </c>
      <c r="AZ177" s="14" t="str">
        <f>IF(AT177&gt;0,INDEX(挂机升级突破!$CV$5:$CZ$5,卡牌消耗!AT177),"")</f>
        <v>金币</v>
      </c>
      <c r="BA177" s="14">
        <f>IF(AT177&gt;0,ROUND(INDEX(挂机升级突破!$CZ$7:$CZ$26,卡牌消耗!AX177)*INDEX(卡牌消耗!$B$8:$F$8,AV177)/$Q$4/500,0)*500,"")</f>
        <v>26000</v>
      </c>
      <c r="BB177" s="14" t="str">
        <f>IF(AU177&gt;0,INDEX(挂机升级突破!$CV$5:$CZ$5,卡牌消耗!AU177),"")</f>
        <v>银母</v>
      </c>
      <c r="BC177" s="14">
        <f>IF(AU177&gt;0,ROUND(INDEX(挂机升级突破!$CV$7:$CY$26,卡牌消耗!AX177,卡牌消耗!AU177)*INDEX($B$6:$F$6,AV177)/$Q$4/5,0)*5,"")</f>
        <v>30</v>
      </c>
      <c r="BD177" s="104"/>
      <c r="BE177" s="104"/>
      <c r="BF177" s="106"/>
      <c r="BW177" s="65">
        <v>145</v>
      </c>
      <c r="BX177" s="65">
        <v>14</v>
      </c>
      <c r="BY177" s="21">
        <f t="shared" si="94"/>
        <v>9.6551724137931033E-2</v>
      </c>
      <c r="BZ177" s="65">
        <f t="shared" si="95"/>
        <v>0</v>
      </c>
      <c r="CA177" s="65" t="e">
        <f>SUM(BZ$5:BZ177)</f>
        <v>#REF!</v>
      </c>
      <c r="CD177" s="136">
        <v>173</v>
      </c>
      <c r="CE177" s="14">
        <f t="shared" si="85"/>
        <v>35</v>
      </c>
      <c r="CF177" s="14">
        <f t="shared" si="69"/>
        <v>4</v>
      </c>
      <c r="CG177" s="14">
        <f t="shared" si="70"/>
        <v>1102012</v>
      </c>
      <c r="CH177" s="136" t="s">
        <v>1127</v>
      </c>
      <c r="CI177" s="14">
        <f t="shared" si="71"/>
        <v>3</v>
      </c>
      <c r="CJ177" s="14" t="str">
        <f t="shared" si="72"/>
        <v>夏侯惇-3星</v>
      </c>
      <c r="CK177" s="136" t="s">
        <v>1133</v>
      </c>
      <c r="CL177" s="14">
        <f t="shared" si="86"/>
        <v>14000</v>
      </c>
      <c r="CM177" s="14" t="str">
        <f t="shared" si="73"/>
        <v>夏侯惇碎片</v>
      </c>
      <c r="CN177" s="14">
        <f t="shared" si="87"/>
        <v>160</v>
      </c>
    </row>
    <row r="178" spans="8:92" ht="16.5" x14ac:dyDescent="0.2">
      <c r="H178" s="15"/>
      <c r="I178" s="15"/>
      <c r="J178" s="15"/>
      <c r="K178" s="15"/>
      <c r="L178" s="15"/>
      <c r="M178" s="15"/>
      <c r="N178" s="15"/>
      <c r="O178" s="137"/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41"/>
      <c r="AA178" s="104">
        <v>174</v>
      </c>
      <c r="AB178" s="14">
        <f t="shared" si="74"/>
        <v>4</v>
      </c>
      <c r="AC178" s="14">
        <f>INDEX(挂机升级突破!$BU$6:$BU$57,卡牌消耗!AI178)</f>
        <v>11</v>
      </c>
      <c r="AD178" s="14">
        <f>INDEX(挂机升级突破!BV$6:BV$57,卡牌消耗!$AI178)</f>
        <v>3</v>
      </c>
      <c r="AE178" s="14">
        <f>INDEX(挂机升级突破!BW$6:BW$57,卡牌消耗!$AI178)</f>
        <v>0</v>
      </c>
      <c r="AF178" s="14" t="str">
        <f t="shared" si="75"/>
        <v>唐流雨</v>
      </c>
      <c r="AG178" s="14">
        <f t="shared" si="76"/>
        <v>2</v>
      </c>
      <c r="AH178" s="14" t="str">
        <f t="shared" si="77"/>
        <v>唐流雨魂火-18</v>
      </c>
      <c r="AI178" s="14">
        <f t="shared" si="78"/>
        <v>18</v>
      </c>
      <c r="AJ178" s="14" t="str">
        <f>INDEX(挂机升级突破!$BX$4:$CH$4,INDEX(挂机升级突破!$BU$6:$BU$57,卡牌消耗!AI178))</f>
        <v>金币</v>
      </c>
      <c r="AK178" s="14">
        <f>ROUND(INDEX(挂机升级突破!$BN$6:$BN$57,卡牌消耗!AI178)*INDEX(卡牌消耗!$B$8:$F$8,AG178)/$Q$4/50,0)*50</f>
        <v>2250</v>
      </c>
      <c r="AL178" s="14" t="str">
        <f>IF(AD178&gt;0,INDEX(挂机升级突破!$BX$4:$CH$4,AD178),"")</f>
        <v>紫色基础材料</v>
      </c>
      <c r="AM178" s="14">
        <f>ROUND(INDEX(挂机升级突破!$BX$6:$CH$57,卡牌消耗!AI178,AD178)*INDEX(卡牌消耗!$B$5:$F$5,AG178)/$Q$4/5,0)*5</f>
        <v>270</v>
      </c>
      <c r="AN178" s="14" t="str">
        <f>IF(AE178&gt;0,INDEX(挂机升级突破!$BX$4:$CH$4,AE178),"")</f>
        <v/>
      </c>
      <c r="AO178" s="14" t="str">
        <f>IF(AE178&gt;0,ROUND(INDEX(挂机升级突破!$BX$6:$CH$57,卡牌消耗!AI178,AE178)*INDEX(卡牌消耗!$B$7:$F$7,AG178)/$Q$4,0),"")</f>
        <v/>
      </c>
      <c r="AP178" s="106"/>
      <c r="AQ178" s="15"/>
      <c r="AR178" s="104">
        <v>174</v>
      </c>
      <c r="AS178" s="14">
        <f t="shared" si="79"/>
        <v>9</v>
      </c>
      <c r="AT178" s="14">
        <f>INDEX(挂机升级突破!$CM$7:$CM$26,AX178)</f>
        <v>5</v>
      </c>
      <c r="AU178" s="14">
        <f>INDEX(挂机升级突破!$CN$7:$CN$26,AX178)</f>
        <v>3</v>
      </c>
      <c r="AV178" s="14">
        <f t="shared" si="80"/>
        <v>3</v>
      </c>
      <c r="AW178" s="14" t="str">
        <f t="shared" si="81"/>
        <v>徐晃</v>
      </c>
      <c r="AX178" s="14">
        <f t="shared" si="82"/>
        <v>14</v>
      </c>
      <c r="AY178" s="14" t="str">
        <f t="shared" si="83"/>
        <v>徐晃14突</v>
      </c>
      <c r="AZ178" s="14" t="str">
        <f>IF(AT178&gt;0,INDEX(挂机升级突破!$CV$5:$CZ$5,卡牌消耗!AT178),"")</f>
        <v>金币</v>
      </c>
      <c r="BA178" s="14">
        <f>IF(AT178&gt;0,ROUND(INDEX(挂机升级突破!$CZ$7:$CZ$26,卡牌消耗!AX178)*INDEX(卡牌消耗!$B$8:$F$8,AV178)/$Q$4/500,0)*500,"")</f>
        <v>26000</v>
      </c>
      <c r="BB178" s="14" t="str">
        <f>IF(AU178&gt;0,INDEX(挂机升级突破!$CV$5:$CZ$5,卡牌消耗!AU178),"")</f>
        <v>银母</v>
      </c>
      <c r="BC178" s="14">
        <f>IF(AU178&gt;0,ROUND(INDEX(挂机升级突破!$CV$7:$CY$26,卡牌消耗!AX178,卡牌消耗!AU178)*INDEX($B$6:$F$6,AV178)/$Q$4/5,0)*5,"")</f>
        <v>40</v>
      </c>
      <c r="BD178" s="104"/>
      <c r="BE178" s="104"/>
      <c r="BF178" s="106"/>
      <c r="BW178" s="65">
        <v>146</v>
      </c>
      <c r="BX178" s="65">
        <v>15</v>
      </c>
      <c r="BY178" s="21">
        <f t="shared" si="94"/>
        <v>0.10344827586206896</v>
      </c>
      <c r="BZ178" s="65">
        <f t="shared" si="95"/>
        <v>0</v>
      </c>
      <c r="CA178" s="65" t="e">
        <f>SUM(BZ$5:BZ178)</f>
        <v>#REF!</v>
      </c>
      <c r="CD178" s="136">
        <v>174</v>
      </c>
      <c r="CE178" s="14">
        <f t="shared" si="85"/>
        <v>35</v>
      </c>
      <c r="CF178" s="14">
        <f t="shared" si="69"/>
        <v>4</v>
      </c>
      <c r="CG178" s="14">
        <f t="shared" si="70"/>
        <v>1102012</v>
      </c>
      <c r="CH178" s="136" t="s">
        <v>1127</v>
      </c>
      <c r="CI178" s="14">
        <f t="shared" si="71"/>
        <v>4</v>
      </c>
      <c r="CJ178" s="14" t="str">
        <f t="shared" si="72"/>
        <v>夏侯惇-4星</v>
      </c>
      <c r="CK178" s="136" t="s">
        <v>1133</v>
      </c>
      <c r="CL178" s="14">
        <f t="shared" si="86"/>
        <v>32000</v>
      </c>
      <c r="CM178" s="14" t="str">
        <f t="shared" si="73"/>
        <v>夏侯惇碎片</v>
      </c>
      <c r="CN178" s="14">
        <f t="shared" si="87"/>
        <v>240</v>
      </c>
    </row>
    <row r="179" spans="8:92" ht="16.5" x14ac:dyDescent="0.2">
      <c r="H179" s="15"/>
      <c r="I179" s="15"/>
      <c r="J179" s="15"/>
      <c r="K179" s="15"/>
      <c r="L179" s="15"/>
      <c r="M179" s="15"/>
      <c r="N179" s="15"/>
      <c r="O179" s="137"/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41"/>
      <c r="AA179" s="104">
        <v>175</v>
      </c>
      <c r="AB179" s="14">
        <f t="shared" si="74"/>
        <v>4</v>
      </c>
      <c r="AC179" s="14">
        <f>INDEX(挂机升级突破!$BU$6:$BU$57,卡牌消耗!AI179)</f>
        <v>11</v>
      </c>
      <c r="AD179" s="14">
        <f>INDEX(挂机升级突破!BV$6:BV$57,卡牌消耗!$AI179)</f>
        <v>3</v>
      </c>
      <c r="AE179" s="14">
        <f>INDEX(挂机升级突破!BW$6:BW$57,卡牌消耗!$AI179)</f>
        <v>0</v>
      </c>
      <c r="AF179" s="14" t="str">
        <f t="shared" si="75"/>
        <v>唐流雨</v>
      </c>
      <c r="AG179" s="14">
        <f t="shared" si="76"/>
        <v>2</v>
      </c>
      <c r="AH179" s="14" t="str">
        <f t="shared" si="77"/>
        <v>唐流雨魂火-19</v>
      </c>
      <c r="AI179" s="14">
        <f t="shared" si="78"/>
        <v>19</v>
      </c>
      <c r="AJ179" s="14" t="str">
        <f>INDEX(挂机升级突破!$BX$4:$CH$4,INDEX(挂机升级突破!$BU$6:$BU$57,卡牌消耗!AI179))</f>
        <v>金币</v>
      </c>
      <c r="AK179" s="14">
        <f>ROUND(INDEX(挂机升级突破!$BN$6:$BN$57,卡牌消耗!AI179)*INDEX(卡牌消耗!$B$8:$F$8,AG179)/$Q$4/50,0)*50</f>
        <v>2250</v>
      </c>
      <c r="AL179" s="14" t="str">
        <f>IF(AD179&gt;0,INDEX(挂机升级突破!$BX$4:$CH$4,AD179),"")</f>
        <v>紫色基础材料</v>
      </c>
      <c r="AM179" s="14">
        <f>ROUND(INDEX(挂机升级突破!$BX$6:$CH$57,卡牌消耗!AI179,AD179)*INDEX(卡牌消耗!$B$5:$F$5,AG179)/$Q$4/5,0)*5</f>
        <v>270</v>
      </c>
      <c r="AN179" s="14" t="str">
        <f>IF(AE179&gt;0,INDEX(挂机升级突破!$BX$4:$CH$4,AE179),"")</f>
        <v/>
      </c>
      <c r="AO179" s="14" t="str">
        <f>IF(AE179&gt;0,ROUND(INDEX(挂机升级突破!$BX$6:$CH$57,卡牌消耗!AI179,AE179)*INDEX(卡牌消耗!$B$7:$F$7,AG179)/$Q$4,0),"")</f>
        <v/>
      </c>
      <c r="AP179" s="106"/>
      <c r="AQ179" s="15"/>
      <c r="AR179" s="104">
        <v>175</v>
      </c>
      <c r="AS179" s="14">
        <f t="shared" si="79"/>
        <v>9</v>
      </c>
      <c r="AT179" s="14">
        <f>INDEX(挂机升级突破!$CM$7:$CM$26,AX179)</f>
        <v>5</v>
      </c>
      <c r="AU179" s="14">
        <f>INDEX(挂机升级突破!$CN$7:$CN$26,AX179)</f>
        <v>3</v>
      </c>
      <c r="AV179" s="14">
        <f t="shared" si="80"/>
        <v>3</v>
      </c>
      <c r="AW179" s="14" t="str">
        <f t="shared" si="81"/>
        <v>徐晃</v>
      </c>
      <c r="AX179" s="14">
        <f t="shared" si="82"/>
        <v>15</v>
      </c>
      <c r="AY179" s="14" t="str">
        <f t="shared" si="83"/>
        <v>徐晃15突</v>
      </c>
      <c r="AZ179" s="14" t="str">
        <f>IF(AT179&gt;0,INDEX(挂机升级突破!$CV$5:$CZ$5,卡牌消耗!AT179),"")</f>
        <v>金币</v>
      </c>
      <c r="BA179" s="14">
        <f>IF(AT179&gt;0,ROUND(INDEX(挂机升级突破!$CZ$7:$CZ$26,卡牌消耗!AX179)*INDEX(卡牌消耗!$B$8:$F$8,AV179)/$Q$4/500,0)*500,"")</f>
        <v>34500</v>
      </c>
      <c r="BB179" s="14" t="str">
        <f>IF(AU179&gt;0,INDEX(挂机升级突破!$CV$5:$CZ$5,卡牌消耗!AU179),"")</f>
        <v>银母</v>
      </c>
      <c r="BC179" s="14">
        <f>IF(AU179&gt;0,ROUND(INDEX(挂机升级突破!$CV$7:$CY$26,卡牌消耗!AX179,卡牌消耗!AU179)*INDEX($B$6:$F$6,AV179)/$Q$4/5,0)*5,"")</f>
        <v>55</v>
      </c>
      <c r="BD179" s="104"/>
      <c r="BE179" s="104"/>
      <c r="BF179" s="106"/>
      <c r="BW179" s="65">
        <v>147</v>
      </c>
      <c r="BX179" s="65">
        <v>16</v>
      </c>
      <c r="BY179" s="21">
        <f t="shared" si="94"/>
        <v>0.1103448275862069</v>
      </c>
      <c r="BZ179" s="65">
        <f t="shared" si="95"/>
        <v>0</v>
      </c>
      <c r="CA179" s="65" t="e">
        <f>SUM(BZ$5:BZ179)</f>
        <v>#REF!</v>
      </c>
      <c r="CD179" s="136">
        <v>175</v>
      </c>
      <c r="CE179" s="14">
        <f t="shared" si="85"/>
        <v>35</v>
      </c>
      <c r="CF179" s="14">
        <f t="shared" si="69"/>
        <v>4</v>
      </c>
      <c r="CG179" s="14">
        <f t="shared" si="70"/>
        <v>1102012</v>
      </c>
      <c r="CH179" s="136" t="s">
        <v>1127</v>
      </c>
      <c r="CI179" s="14">
        <f t="shared" si="71"/>
        <v>5</v>
      </c>
      <c r="CJ179" s="14" t="str">
        <f t="shared" si="72"/>
        <v>夏侯惇-5星</v>
      </c>
      <c r="CK179" s="136" t="s">
        <v>1133</v>
      </c>
      <c r="CL179" s="14">
        <f t="shared" si="86"/>
        <v>60000</v>
      </c>
      <c r="CM179" s="14" t="str">
        <f t="shared" si="73"/>
        <v>夏侯惇碎片</v>
      </c>
      <c r="CN179" s="14">
        <f t="shared" si="87"/>
        <v>320</v>
      </c>
    </row>
    <row r="180" spans="8:92" ht="16.5" x14ac:dyDescent="0.2">
      <c r="H180" s="15"/>
      <c r="I180" s="15"/>
      <c r="J180" s="15"/>
      <c r="K180" s="15"/>
      <c r="L180" s="15"/>
      <c r="M180" s="15"/>
      <c r="N180" s="15"/>
      <c r="O180" s="137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04">
        <v>176</v>
      </c>
      <c r="AB180" s="14">
        <f t="shared" si="74"/>
        <v>4</v>
      </c>
      <c r="AC180" s="14">
        <f>INDEX(挂机升级突破!$BU$6:$BU$57,卡牌消耗!AI180)</f>
        <v>11</v>
      </c>
      <c r="AD180" s="14">
        <f>INDEX(挂机升级突破!BV$6:BV$57,卡牌消耗!$AI180)</f>
        <v>3</v>
      </c>
      <c r="AE180" s="14">
        <f>INDEX(挂机升级突破!BW$6:BW$57,卡牌消耗!$AI180)</f>
        <v>0</v>
      </c>
      <c r="AF180" s="14" t="str">
        <f t="shared" si="75"/>
        <v>唐流雨</v>
      </c>
      <c r="AG180" s="14">
        <f t="shared" si="76"/>
        <v>2</v>
      </c>
      <c r="AH180" s="14" t="str">
        <f t="shared" si="77"/>
        <v>唐流雨魂火-20</v>
      </c>
      <c r="AI180" s="14">
        <f t="shared" si="78"/>
        <v>20</v>
      </c>
      <c r="AJ180" s="14" t="str">
        <f>INDEX(挂机升级突破!$BX$4:$CH$4,INDEX(挂机升级突破!$BU$6:$BU$57,卡牌消耗!AI180))</f>
        <v>金币</v>
      </c>
      <c r="AK180" s="14">
        <f>ROUND(INDEX(挂机升级突破!$BN$6:$BN$57,卡牌消耗!AI180)*INDEX(卡牌消耗!$B$8:$F$8,AG180)/$Q$4/50,0)*50</f>
        <v>2750</v>
      </c>
      <c r="AL180" s="14" t="str">
        <f>IF(AD180&gt;0,INDEX(挂机升级突破!$BX$4:$CH$4,AD180),"")</f>
        <v>紫色基础材料</v>
      </c>
      <c r="AM180" s="14">
        <f>ROUND(INDEX(挂机升级突破!$BX$6:$CH$57,卡牌消耗!AI180,AD180)*INDEX(卡牌消耗!$B$5:$F$5,AG180)/$Q$4/5,0)*5</f>
        <v>405</v>
      </c>
      <c r="AN180" s="14" t="str">
        <f>IF(AE180&gt;0,INDEX(挂机升级突破!$BX$4:$CH$4,AE180),"")</f>
        <v/>
      </c>
      <c r="AO180" s="14" t="str">
        <f>IF(AE180&gt;0,ROUND(INDEX(挂机升级突破!$BX$6:$CH$57,卡牌消耗!AI180,AE180)*INDEX(卡牌消耗!$B$7:$F$7,AG180)/$Q$4,0),"")</f>
        <v/>
      </c>
      <c r="AP180" s="106"/>
      <c r="AQ180" s="15"/>
      <c r="AR180" s="104">
        <v>176</v>
      </c>
      <c r="AS180" s="14">
        <f t="shared" si="79"/>
        <v>9</v>
      </c>
      <c r="AT180" s="14">
        <f>INDEX(挂机升级突破!$CM$7:$CM$26,AX180)</f>
        <v>5</v>
      </c>
      <c r="AU180" s="14">
        <f>INDEX(挂机升级突破!$CN$7:$CN$26,AX180)</f>
        <v>3</v>
      </c>
      <c r="AV180" s="14">
        <f t="shared" si="80"/>
        <v>3</v>
      </c>
      <c r="AW180" s="14" t="str">
        <f t="shared" si="81"/>
        <v>徐晃</v>
      </c>
      <c r="AX180" s="14">
        <f t="shared" si="82"/>
        <v>16</v>
      </c>
      <c r="AY180" s="14" t="str">
        <f t="shared" si="83"/>
        <v>徐晃16突</v>
      </c>
      <c r="AZ180" s="14" t="str">
        <f>IF(AT180&gt;0,INDEX(挂机升级突破!$CV$5:$CZ$5,卡牌消耗!AT180),"")</f>
        <v>金币</v>
      </c>
      <c r="BA180" s="14">
        <f>IF(AT180&gt;0,ROUND(INDEX(挂机升级突破!$CZ$7:$CZ$26,卡牌消耗!AX180)*INDEX(卡牌消耗!$B$8:$F$8,AV180)/$Q$4/500,0)*500,"")</f>
        <v>62500</v>
      </c>
      <c r="BB180" s="14" t="str">
        <f>IF(AU180&gt;0,INDEX(挂机升级突破!$CV$5:$CZ$5,卡牌消耗!AU180),"")</f>
        <v>银母</v>
      </c>
      <c r="BC180" s="14">
        <f>IF(AU180&gt;0,ROUND(INDEX(挂机升级突破!$CV$7:$CY$26,卡牌消耗!AX180,卡牌消耗!AU180)*INDEX($B$6:$F$6,AV180)/$Q$4/5,0)*5,"")</f>
        <v>70</v>
      </c>
      <c r="BD180" s="104"/>
      <c r="BE180" s="104"/>
      <c r="BF180" s="106"/>
      <c r="BW180" s="65">
        <v>148</v>
      </c>
      <c r="BX180" s="65">
        <v>17</v>
      </c>
      <c r="BY180" s="21">
        <f t="shared" si="94"/>
        <v>0.11724137931034483</v>
      </c>
      <c r="BZ180" s="65">
        <f t="shared" si="95"/>
        <v>0</v>
      </c>
      <c r="CA180" s="65" t="e">
        <f>SUM(BZ$5:BZ180)</f>
        <v>#REF!</v>
      </c>
      <c r="CD180" s="136">
        <v>176</v>
      </c>
      <c r="CE180" s="14">
        <f t="shared" si="85"/>
        <v>36</v>
      </c>
      <c r="CF180" s="14">
        <f t="shared" si="69"/>
        <v>2</v>
      </c>
      <c r="CG180" s="14">
        <f t="shared" si="70"/>
        <v>1102013</v>
      </c>
      <c r="CH180" s="136" t="s">
        <v>1127</v>
      </c>
      <c r="CI180" s="14">
        <f t="shared" si="71"/>
        <v>1</v>
      </c>
      <c r="CJ180" s="14" t="str">
        <f t="shared" si="72"/>
        <v>塞伯罗斯-1星</v>
      </c>
      <c r="CK180" s="136" t="s">
        <v>1133</v>
      </c>
      <c r="CL180" s="14">
        <f t="shared" si="86"/>
        <v>3000</v>
      </c>
      <c r="CM180" s="14" t="str">
        <f t="shared" si="73"/>
        <v>塞伯罗斯碎片</v>
      </c>
      <c r="CN180" s="14">
        <f t="shared" si="87"/>
        <v>20</v>
      </c>
    </row>
    <row r="181" spans="8:92" ht="16.5" x14ac:dyDescent="0.2">
      <c r="H181" s="15"/>
      <c r="I181" s="15"/>
      <c r="J181" s="15"/>
      <c r="K181" s="15"/>
      <c r="L181" s="15"/>
      <c r="M181" s="15"/>
      <c r="N181" s="15"/>
      <c r="O181" s="137"/>
      <c r="P181" s="141"/>
      <c r="Q181" s="141"/>
      <c r="R181" s="141"/>
      <c r="S181" s="141"/>
      <c r="T181" s="141"/>
      <c r="U181" s="141"/>
      <c r="V181" s="141"/>
      <c r="W181" s="141"/>
      <c r="X181" s="141"/>
      <c r="Y181" s="141"/>
      <c r="Z181" s="141"/>
      <c r="AA181" s="104">
        <v>177</v>
      </c>
      <c r="AB181" s="14">
        <f t="shared" si="74"/>
        <v>4</v>
      </c>
      <c r="AC181" s="14">
        <f>INDEX(挂机升级突破!$BU$6:$BU$57,卡牌消耗!AI181)</f>
        <v>11</v>
      </c>
      <c r="AD181" s="14">
        <f>INDEX(挂机升级突破!BV$6:BV$57,卡牌消耗!$AI181)</f>
        <v>3</v>
      </c>
      <c r="AE181" s="14">
        <f>INDEX(挂机升级突破!BW$6:BW$57,卡牌消耗!$AI181)</f>
        <v>0</v>
      </c>
      <c r="AF181" s="14" t="str">
        <f t="shared" si="75"/>
        <v>唐流雨</v>
      </c>
      <c r="AG181" s="14">
        <f t="shared" si="76"/>
        <v>2</v>
      </c>
      <c r="AH181" s="14" t="str">
        <f t="shared" si="77"/>
        <v>唐流雨魂火-21</v>
      </c>
      <c r="AI181" s="14">
        <f t="shared" si="78"/>
        <v>21</v>
      </c>
      <c r="AJ181" s="14" t="str">
        <f>INDEX(挂机升级突破!$BX$4:$CH$4,INDEX(挂机升级突破!$BU$6:$BU$57,卡牌消耗!AI181))</f>
        <v>金币</v>
      </c>
      <c r="AK181" s="14">
        <f>ROUND(INDEX(挂机升级突破!$BN$6:$BN$57,卡牌消耗!AI181)*INDEX(卡牌消耗!$B$8:$F$8,AG181)/$Q$4/50,0)*50</f>
        <v>2750</v>
      </c>
      <c r="AL181" s="14" t="str">
        <f>IF(AD181&gt;0,INDEX(挂机升级突破!$BX$4:$CH$4,AD181),"")</f>
        <v>紫色基础材料</v>
      </c>
      <c r="AM181" s="14">
        <f>ROUND(INDEX(挂机升级突破!$BX$6:$CH$57,卡牌消耗!AI181,AD181)*INDEX(卡牌消耗!$B$5:$F$5,AG181)/$Q$4/5,0)*5</f>
        <v>405</v>
      </c>
      <c r="AN181" s="14" t="str">
        <f>IF(AE181&gt;0,INDEX(挂机升级突破!$BX$4:$CH$4,AE181),"")</f>
        <v/>
      </c>
      <c r="AO181" s="14" t="str">
        <f>IF(AE181&gt;0,ROUND(INDEX(挂机升级突破!$BX$6:$CH$57,卡牌消耗!AI181,AE181)*INDEX(卡牌消耗!$B$7:$F$7,AG181)/$Q$4,0),"")</f>
        <v/>
      </c>
      <c r="AP181" s="106"/>
      <c r="AQ181" s="15"/>
      <c r="AR181" s="104">
        <v>177</v>
      </c>
      <c r="AS181" s="14">
        <f t="shared" si="79"/>
        <v>9</v>
      </c>
      <c r="AT181" s="14">
        <f>INDEX(挂机升级突破!$CM$7:$CM$26,AX181)</f>
        <v>5</v>
      </c>
      <c r="AU181" s="14">
        <f>INDEX(挂机升级突破!$CN$7:$CN$26,AX181)</f>
        <v>4</v>
      </c>
      <c r="AV181" s="14">
        <f t="shared" si="80"/>
        <v>3</v>
      </c>
      <c r="AW181" s="14" t="str">
        <f t="shared" si="81"/>
        <v>徐晃</v>
      </c>
      <c r="AX181" s="14">
        <f t="shared" si="82"/>
        <v>17</v>
      </c>
      <c r="AY181" s="14" t="str">
        <f t="shared" si="83"/>
        <v>徐晃17突</v>
      </c>
      <c r="AZ181" s="14" t="str">
        <f>IF(AT181&gt;0,INDEX(挂机升级突破!$CV$5:$CZ$5,卡牌消耗!AT181),"")</f>
        <v>金币</v>
      </c>
      <c r="BA181" s="14">
        <f>IF(AT181&gt;0,ROUND(INDEX(挂机升级突破!$CZ$7:$CZ$26,卡牌消耗!AX181)*INDEX(卡牌消耗!$B$8:$F$8,AV181)/$Q$4/500,0)*500,"")</f>
        <v>62500</v>
      </c>
      <c r="BB181" s="14" t="str">
        <f>IF(AU181&gt;0,INDEX(挂机升级突破!$CV$5:$CZ$5,卡牌消耗!AU181),"")</f>
        <v>铀金</v>
      </c>
      <c r="BC181" s="14">
        <f>IF(AU181&gt;0,ROUND(INDEX(挂机升级突破!$CV$7:$CY$26,卡牌消耗!AX181,卡牌消耗!AU181)*INDEX($B$6:$F$6,AV181)/$Q$4/5,0)*5,"")</f>
        <v>25</v>
      </c>
      <c r="BD181" s="104"/>
      <c r="BE181" s="104"/>
      <c r="BF181" s="106"/>
      <c r="BW181" s="65">
        <v>149</v>
      </c>
      <c r="BX181" s="65">
        <v>18</v>
      </c>
      <c r="BY181" s="21">
        <f t="shared" si="94"/>
        <v>0.12413793103448276</v>
      </c>
      <c r="BZ181" s="65">
        <f t="shared" si="95"/>
        <v>0</v>
      </c>
      <c r="CA181" s="65" t="e">
        <f>SUM(BZ$5:BZ181)</f>
        <v>#REF!</v>
      </c>
      <c r="CD181" s="136">
        <v>177</v>
      </c>
      <c r="CE181" s="14">
        <f t="shared" si="85"/>
        <v>36</v>
      </c>
      <c r="CF181" s="14">
        <f t="shared" si="69"/>
        <v>2</v>
      </c>
      <c r="CG181" s="14">
        <f t="shared" si="70"/>
        <v>1102013</v>
      </c>
      <c r="CH181" s="136" t="s">
        <v>1127</v>
      </c>
      <c r="CI181" s="14">
        <f t="shared" si="71"/>
        <v>2</v>
      </c>
      <c r="CJ181" s="14" t="str">
        <f t="shared" si="72"/>
        <v>塞伯罗斯-2星</v>
      </c>
      <c r="CK181" s="136" t="s">
        <v>1133</v>
      </c>
      <c r="CL181" s="14">
        <f t="shared" si="86"/>
        <v>3500</v>
      </c>
      <c r="CM181" s="14" t="str">
        <f t="shared" si="73"/>
        <v>塞伯罗斯碎片</v>
      </c>
      <c r="CN181" s="14">
        <f t="shared" si="87"/>
        <v>40</v>
      </c>
    </row>
    <row r="182" spans="8:92" ht="16.5" x14ac:dyDescent="0.2">
      <c r="H182" s="15"/>
      <c r="I182" s="15"/>
      <c r="J182" s="15"/>
      <c r="K182" s="15"/>
      <c r="L182" s="15"/>
      <c r="M182" s="15"/>
      <c r="N182" s="15"/>
      <c r="O182" s="137"/>
      <c r="P182" s="141"/>
      <c r="Q182" s="141"/>
      <c r="R182" s="141"/>
      <c r="S182" s="141"/>
      <c r="T182" s="141"/>
      <c r="U182" s="141"/>
      <c r="V182" s="141"/>
      <c r="W182" s="141"/>
      <c r="X182" s="141"/>
      <c r="Y182" s="141"/>
      <c r="Z182" s="141"/>
      <c r="AA182" s="104">
        <v>178</v>
      </c>
      <c r="AB182" s="14">
        <f t="shared" si="74"/>
        <v>4</v>
      </c>
      <c r="AC182" s="14">
        <f>INDEX(挂机升级突破!$BU$6:$BU$57,卡牌消耗!AI182)</f>
        <v>11</v>
      </c>
      <c r="AD182" s="14">
        <f>INDEX(挂机升级突破!BV$6:BV$57,卡牌消耗!$AI182)</f>
        <v>3</v>
      </c>
      <c r="AE182" s="14">
        <f>INDEX(挂机升级突破!BW$6:BW$57,卡牌消耗!$AI182)</f>
        <v>0</v>
      </c>
      <c r="AF182" s="14" t="str">
        <f t="shared" si="75"/>
        <v>唐流雨</v>
      </c>
      <c r="AG182" s="14">
        <f t="shared" si="76"/>
        <v>2</v>
      </c>
      <c r="AH182" s="14" t="str">
        <f t="shared" si="77"/>
        <v>唐流雨魂火-22</v>
      </c>
      <c r="AI182" s="14">
        <f t="shared" si="78"/>
        <v>22</v>
      </c>
      <c r="AJ182" s="14" t="str">
        <f>INDEX(挂机升级突破!$BX$4:$CH$4,INDEX(挂机升级突破!$BU$6:$BU$57,卡牌消耗!AI182))</f>
        <v>金币</v>
      </c>
      <c r="AK182" s="14">
        <f>ROUND(INDEX(挂机升级突破!$BN$6:$BN$57,卡牌消耗!AI182)*INDEX(卡牌消耗!$B$8:$F$8,AG182)/$Q$4/50,0)*50</f>
        <v>2750</v>
      </c>
      <c r="AL182" s="14" t="str">
        <f>IF(AD182&gt;0,INDEX(挂机升级突破!$BX$4:$CH$4,AD182),"")</f>
        <v>紫色基础材料</v>
      </c>
      <c r="AM182" s="14">
        <f>ROUND(INDEX(挂机升级突破!$BX$6:$CH$57,卡牌消耗!AI182,AD182)*INDEX(卡牌消耗!$B$5:$F$5,AG182)/$Q$4/5,0)*5</f>
        <v>405</v>
      </c>
      <c r="AN182" s="14" t="str">
        <f>IF(AE182&gt;0,INDEX(挂机升级突破!$BX$4:$CH$4,AE182),"")</f>
        <v/>
      </c>
      <c r="AO182" s="14" t="str">
        <f>IF(AE182&gt;0,ROUND(INDEX(挂机升级突破!$BX$6:$CH$57,卡牌消耗!AI182,AE182)*INDEX(卡牌消耗!$B$7:$F$7,AG182)/$Q$4,0),"")</f>
        <v/>
      </c>
      <c r="AP182" s="106"/>
      <c r="AQ182" s="15"/>
      <c r="AR182" s="104">
        <v>178</v>
      </c>
      <c r="AS182" s="14">
        <f t="shared" si="79"/>
        <v>9</v>
      </c>
      <c r="AT182" s="14">
        <f>INDEX(挂机升级突破!$CM$7:$CM$26,AX182)</f>
        <v>5</v>
      </c>
      <c r="AU182" s="14">
        <f>INDEX(挂机升级突破!$CN$7:$CN$26,AX182)</f>
        <v>4</v>
      </c>
      <c r="AV182" s="14">
        <f t="shared" si="80"/>
        <v>3</v>
      </c>
      <c r="AW182" s="14" t="str">
        <f t="shared" si="81"/>
        <v>徐晃</v>
      </c>
      <c r="AX182" s="14">
        <f t="shared" si="82"/>
        <v>18</v>
      </c>
      <c r="AY182" s="14" t="str">
        <f t="shared" si="83"/>
        <v>徐晃18突</v>
      </c>
      <c r="AZ182" s="14" t="str">
        <f>IF(AT182&gt;0,INDEX(挂机升级突破!$CV$5:$CZ$5,卡牌消耗!AT182),"")</f>
        <v>金币</v>
      </c>
      <c r="BA182" s="14">
        <f>IF(AT182&gt;0,ROUND(INDEX(挂机升级突破!$CZ$7:$CZ$26,卡牌消耗!AX182)*INDEX(卡牌消耗!$B$8:$F$8,AV182)/$Q$4/500,0)*500,"")</f>
        <v>83500</v>
      </c>
      <c r="BB182" s="14" t="str">
        <f>IF(AU182&gt;0,INDEX(挂机升级突破!$CV$5:$CZ$5,卡牌消耗!AU182),"")</f>
        <v>铀金</v>
      </c>
      <c r="BC182" s="14">
        <f>IF(AU182&gt;0,ROUND(INDEX(挂机升级突破!$CV$7:$CY$26,卡牌消耗!AX182,卡牌消耗!AU182)*INDEX($B$6:$F$6,AV182)/$Q$4/5,0)*5,"")</f>
        <v>35</v>
      </c>
      <c r="BD182" s="104"/>
      <c r="BE182" s="104"/>
      <c r="BF182" s="106"/>
      <c r="BW182" s="65">
        <v>150</v>
      </c>
      <c r="BX182" s="65">
        <v>19</v>
      </c>
      <c r="BY182" s="21">
        <f t="shared" si="94"/>
        <v>0.1310344827586207</v>
      </c>
      <c r="BZ182" s="65">
        <f t="shared" si="95"/>
        <v>0</v>
      </c>
      <c r="CA182" s="65" t="e">
        <f>SUM(BZ$5:BZ182)</f>
        <v>#REF!</v>
      </c>
      <c r="CD182" s="136">
        <v>178</v>
      </c>
      <c r="CE182" s="14">
        <f t="shared" si="85"/>
        <v>36</v>
      </c>
      <c r="CF182" s="14">
        <f t="shared" si="69"/>
        <v>2</v>
      </c>
      <c r="CG182" s="14">
        <f t="shared" si="70"/>
        <v>1102013</v>
      </c>
      <c r="CH182" s="136" t="s">
        <v>1127</v>
      </c>
      <c r="CI182" s="14">
        <f t="shared" si="71"/>
        <v>3</v>
      </c>
      <c r="CJ182" s="14" t="str">
        <f t="shared" si="72"/>
        <v>塞伯罗斯-3星</v>
      </c>
      <c r="CK182" s="136" t="s">
        <v>1133</v>
      </c>
      <c r="CL182" s="14">
        <f t="shared" si="86"/>
        <v>7000</v>
      </c>
      <c r="CM182" s="14" t="str">
        <f t="shared" si="73"/>
        <v>塞伯罗斯碎片</v>
      </c>
      <c r="CN182" s="14">
        <f t="shared" si="87"/>
        <v>80</v>
      </c>
    </row>
    <row r="183" spans="8:92" ht="16.5" x14ac:dyDescent="0.2">
      <c r="H183" s="15"/>
      <c r="I183" s="15"/>
      <c r="J183" s="15"/>
      <c r="K183" s="15"/>
      <c r="L183" s="15"/>
      <c r="M183" s="15"/>
      <c r="N183" s="15"/>
      <c r="O183" s="137"/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41"/>
      <c r="AA183" s="104">
        <v>179</v>
      </c>
      <c r="AB183" s="14">
        <f t="shared" si="74"/>
        <v>4</v>
      </c>
      <c r="AC183" s="14">
        <f>INDEX(挂机升级突破!$BU$6:$BU$57,卡牌消耗!AI183)</f>
        <v>11</v>
      </c>
      <c r="AD183" s="14">
        <f>INDEX(挂机升级突破!BV$6:BV$57,卡牌消耗!$AI183)</f>
        <v>4</v>
      </c>
      <c r="AE183" s="14">
        <f>INDEX(挂机升级突破!BW$6:BW$57,卡牌消耗!$AI183)</f>
        <v>0</v>
      </c>
      <c r="AF183" s="14" t="str">
        <f t="shared" si="75"/>
        <v>唐流雨</v>
      </c>
      <c r="AG183" s="14">
        <f t="shared" si="76"/>
        <v>2</v>
      </c>
      <c r="AH183" s="14" t="str">
        <f t="shared" si="77"/>
        <v>唐流雨魂火-23</v>
      </c>
      <c r="AI183" s="14">
        <f t="shared" si="78"/>
        <v>23</v>
      </c>
      <c r="AJ183" s="14" t="str">
        <f>INDEX(挂机升级突破!$BX$4:$CH$4,INDEX(挂机升级突破!$BU$6:$BU$57,卡牌消耗!AI183))</f>
        <v>金币</v>
      </c>
      <c r="AK183" s="14">
        <f>ROUND(INDEX(挂机升级突破!$BN$6:$BN$57,卡牌消耗!AI183)*INDEX(卡牌消耗!$B$8:$F$8,AG183)/$Q$4/50,0)*50</f>
        <v>3750</v>
      </c>
      <c r="AL183" s="14" t="str">
        <f>IF(AD183&gt;0,INDEX(挂机升级突破!$BX$4:$CH$4,AD183),"")</f>
        <v>橙色基础材料</v>
      </c>
      <c r="AM183" s="14">
        <f>ROUND(INDEX(挂机升级突破!$BX$6:$CH$57,卡牌消耗!AI183,AD183)*INDEX(卡牌消耗!$B$5:$F$5,AG183)/$Q$4/5,0)*5</f>
        <v>55</v>
      </c>
      <c r="AN183" s="14" t="str">
        <f>IF(AE183&gt;0,INDEX(挂机升级突破!$BX$4:$CH$4,AE183),"")</f>
        <v/>
      </c>
      <c r="AO183" s="14" t="str">
        <f>IF(AE183&gt;0,ROUND(INDEX(挂机升级突破!$BX$6:$CH$57,卡牌消耗!AI183,AE183)*INDEX(卡牌消耗!$B$7:$F$7,AG183)/$Q$4,0),"")</f>
        <v/>
      </c>
      <c r="AP183" s="106"/>
      <c r="AQ183" s="15"/>
      <c r="AR183" s="104">
        <v>179</v>
      </c>
      <c r="AS183" s="14">
        <f t="shared" si="79"/>
        <v>9</v>
      </c>
      <c r="AT183" s="14">
        <f>INDEX(挂机升级突破!$CM$7:$CM$26,AX183)</f>
        <v>5</v>
      </c>
      <c r="AU183" s="14">
        <f>INDEX(挂机升级突破!$CN$7:$CN$26,AX183)</f>
        <v>4</v>
      </c>
      <c r="AV183" s="14">
        <f t="shared" si="80"/>
        <v>3</v>
      </c>
      <c r="AW183" s="14" t="str">
        <f t="shared" si="81"/>
        <v>徐晃</v>
      </c>
      <c r="AX183" s="14">
        <f t="shared" si="82"/>
        <v>19</v>
      </c>
      <c r="AY183" s="14" t="str">
        <f t="shared" si="83"/>
        <v>徐晃19突</v>
      </c>
      <c r="AZ183" s="14" t="str">
        <f>IF(AT183&gt;0,INDEX(挂机升级突破!$CV$5:$CZ$5,卡牌消耗!AT183),"")</f>
        <v>金币</v>
      </c>
      <c r="BA183" s="14">
        <f>IF(AT183&gt;0,ROUND(INDEX(挂机升级突破!$CZ$7:$CZ$26,卡牌消耗!AX183)*INDEX(卡牌消耗!$B$8:$F$8,AV183)/$Q$4/500,0)*500,"")</f>
        <v>506500</v>
      </c>
      <c r="BB183" s="14" t="str">
        <f>IF(AU183&gt;0,INDEX(挂机升级突破!$CV$5:$CZ$5,卡牌消耗!AU183),"")</f>
        <v>铀金</v>
      </c>
      <c r="BC183" s="14">
        <f>IF(AU183&gt;0,ROUND(INDEX(挂机升级突破!$CV$7:$CY$26,卡牌消耗!AX183,卡牌消耗!AU183)*INDEX($B$6:$F$6,AV183)/$Q$4/5,0)*5,"")</f>
        <v>45</v>
      </c>
      <c r="BD183" s="104"/>
      <c r="BE183" s="104"/>
      <c r="BF183" s="106"/>
      <c r="BU183" s="65" t="s">
        <v>123</v>
      </c>
      <c r="BV183" s="65">
        <v>18</v>
      </c>
      <c r="BW183" s="65">
        <v>141</v>
      </c>
      <c r="BX183" s="65">
        <v>10</v>
      </c>
      <c r="BY183" s="21">
        <f t="shared" ref="BY183:BY192" si="96">BX183/BV$156</f>
        <v>6.8965517241379309E-2</v>
      </c>
      <c r="BZ183" s="65">
        <f>INT($BV$184*BY183)</f>
        <v>0</v>
      </c>
      <c r="CA183" s="65" t="e">
        <f>SUM(BZ$5:BZ183)</f>
        <v>#REF!</v>
      </c>
      <c r="CD183" s="136">
        <v>179</v>
      </c>
      <c r="CE183" s="14">
        <f t="shared" si="85"/>
        <v>36</v>
      </c>
      <c r="CF183" s="14">
        <f t="shared" si="69"/>
        <v>2</v>
      </c>
      <c r="CG183" s="14">
        <f t="shared" si="70"/>
        <v>1102013</v>
      </c>
      <c r="CH183" s="136" t="s">
        <v>1127</v>
      </c>
      <c r="CI183" s="14">
        <f t="shared" si="71"/>
        <v>4</v>
      </c>
      <c r="CJ183" s="14" t="str">
        <f t="shared" si="72"/>
        <v>塞伯罗斯-4星</v>
      </c>
      <c r="CK183" s="136" t="s">
        <v>1133</v>
      </c>
      <c r="CL183" s="14">
        <f t="shared" si="86"/>
        <v>16000</v>
      </c>
      <c r="CM183" s="14" t="str">
        <f t="shared" si="73"/>
        <v>塞伯罗斯碎片</v>
      </c>
      <c r="CN183" s="14">
        <f t="shared" si="87"/>
        <v>120</v>
      </c>
    </row>
    <row r="184" spans="8:92" ht="16.5" x14ac:dyDescent="0.2">
      <c r="H184" s="15"/>
      <c r="I184" s="15"/>
      <c r="J184" s="15"/>
      <c r="K184" s="15"/>
      <c r="L184" s="15"/>
      <c r="M184" s="15"/>
      <c r="N184" s="15"/>
      <c r="O184" s="137"/>
      <c r="P184" s="141"/>
      <c r="Q184" s="141"/>
      <c r="R184" s="141"/>
      <c r="S184" s="141"/>
      <c r="T184" s="141"/>
      <c r="U184" s="141"/>
      <c r="V184" s="141"/>
      <c r="W184" s="141"/>
      <c r="X184" s="141"/>
      <c r="Y184" s="141"/>
      <c r="Z184" s="141"/>
      <c r="AA184" s="104">
        <v>180</v>
      </c>
      <c r="AB184" s="14">
        <f t="shared" si="74"/>
        <v>4</v>
      </c>
      <c r="AC184" s="14">
        <f>INDEX(挂机升级突破!$BU$6:$BU$57,卡牌消耗!AI184)</f>
        <v>11</v>
      </c>
      <c r="AD184" s="14">
        <f>INDEX(挂机升级突破!BV$6:BV$57,卡牌消耗!$AI184)</f>
        <v>4</v>
      </c>
      <c r="AE184" s="14">
        <f>INDEX(挂机升级突破!BW$6:BW$57,卡牌消耗!$AI184)</f>
        <v>0</v>
      </c>
      <c r="AF184" s="14" t="str">
        <f t="shared" si="75"/>
        <v>唐流雨</v>
      </c>
      <c r="AG184" s="14">
        <f t="shared" si="76"/>
        <v>2</v>
      </c>
      <c r="AH184" s="14" t="str">
        <f t="shared" si="77"/>
        <v>唐流雨魂火-24</v>
      </c>
      <c r="AI184" s="14">
        <f t="shared" si="78"/>
        <v>24</v>
      </c>
      <c r="AJ184" s="14" t="str">
        <f>INDEX(挂机升级突破!$BX$4:$CH$4,INDEX(挂机升级突破!$BU$6:$BU$57,卡牌消耗!AI184))</f>
        <v>金币</v>
      </c>
      <c r="AK184" s="14">
        <f>ROUND(INDEX(挂机升级突破!$BN$6:$BN$57,卡牌消耗!AI184)*INDEX(卡牌消耗!$B$8:$F$8,AG184)/$Q$4/50,0)*50</f>
        <v>3750</v>
      </c>
      <c r="AL184" s="14" t="str">
        <f>IF(AD184&gt;0,INDEX(挂机升级突破!$BX$4:$CH$4,AD184),"")</f>
        <v>橙色基础材料</v>
      </c>
      <c r="AM184" s="14">
        <f>ROUND(INDEX(挂机升级突破!$BX$6:$CH$57,卡牌消耗!AI184,AD184)*INDEX(卡牌消耗!$B$5:$F$5,AG184)/$Q$4/5,0)*5</f>
        <v>55</v>
      </c>
      <c r="AN184" s="14" t="str">
        <f>IF(AE184&gt;0,INDEX(挂机升级突破!$BX$4:$CH$4,AE184),"")</f>
        <v/>
      </c>
      <c r="AO184" s="14" t="str">
        <f>IF(AE184&gt;0,ROUND(INDEX(挂机升级突破!$BX$6:$CH$57,卡牌消耗!AI184,AE184)*INDEX(卡牌消耗!$B$7:$F$7,AG184)/$Q$4,0),"")</f>
        <v/>
      </c>
      <c r="AP184" s="106"/>
      <c r="AQ184" s="15"/>
      <c r="AR184" s="104">
        <v>180</v>
      </c>
      <c r="AS184" s="14">
        <f t="shared" si="79"/>
        <v>9</v>
      </c>
      <c r="AT184" s="14">
        <f>INDEX(挂机升级突破!$CM$7:$CM$26,AX184)</f>
        <v>5</v>
      </c>
      <c r="AU184" s="14">
        <f>INDEX(挂机升级突破!$CN$7:$CN$26,AX184)</f>
        <v>4</v>
      </c>
      <c r="AV184" s="14">
        <f t="shared" si="80"/>
        <v>3</v>
      </c>
      <c r="AW184" s="14" t="str">
        <f t="shared" si="81"/>
        <v>徐晃</v>
      </c>
      <c r="AX184" s="14">
        <f t="shared" si="82"/>
        <v>20</v>
      </c>
      <c r="AY184" s="14" t="str">
        <f t="shared" si="83"/>
        <v>徐晃20突</v>
      </c>
      <c r="AZ184" s="14" t="str">
        <f>IF(AT184&gt;0,INDEX(挂机升级突破!$CV$5:$CZ$5,卡牌消耗!AT184),"")</f>
        <v>金币</v>
      </c>
      <c r="BA184" s="14">
        <f>IF(AT184&gt;0,ROUND(INDEX(挂机升级突破!$CZ$7:$CZ$26,卡牌消耗!AX184)*INDEX(卡牌消耗!$B$8:$F$8,AV184)/$Q$4/500,0)*500,"")</f>
        <v>760000</v>
      </c>
      <c r="BB184" s="14" t="str">
        <f>IF(AU184&gt;0,INDEX(挂机升级突破!$CV$5:$CZ$5,卡牌消耗!AU184),"")</f>
        <v>铀金</v>
      </c>
      <c r="BC184" s="14">
        <f>IF(AU184&gt;0,ROUND(INDEX(挂机升级突破!$CV$7:$CY$26,卡牌消耗!AX184,卡牌消耗!AU184)*INDEX($B$6:$F$6,AV184)/$Q$4/5,0)*5,"")</f>
        <v>60</v>
      </c>
      <c r="BD184" s="104"/>
      <c r="BE184" s="104"/>
      <c r="BF184" s="106"/>
      <c r="BU184" s="14" t="str">
        <f>INDEX($BH$5:$BH$24,BV183)</f>
        <v>90~95</v>
      </c>
      <c r="BV184" s="14">
        <f>INDEX($BQ$5:$BQ$24,BV183)</f>
        <v>0</v>
      </c>
      <c r="BW184" s="65">
        <v>142</v>
      </c>
      <c r="BX184" s="65">
        <v>11</v>
      </c>
      <c r="BY184" s="21">
        <f t="shared" si="96"/>
        <v>7.586206896551724E-2</v>
      </c>
      <c r="BZ184" s="65">
        <f t="shared" ref="BZ184:BZ192" si="97">INT($BV$184*BY184)</f>
        <v>0</v>
      </c>
      <c r="CA184" s="65" t="e">
        <f>SUM(BZ$5:BZ184)</f>
        <v>#REF!</v>
      </c>
      <c r="CD184" s="136">
        <v>180</v>
      </c>
      <c r="CE184" s="14">
        <f t="shared" si="85"/>
        <v>36</v>
      </c>
      <c r="CF184" s="14">
        <f t="shared" si="69"/>
        <v>2</v>
      </c>
      <c r="CG184" s="14">
        <f t="shared" si="70"/>
        <v>1102013</v>
      </c>
      <c r="CH184" s="136" t="s">
        <v>1127</v>
      </c>
      <c r="CI184" s="14">
        <f t="shared" si="71"/>
        <v>5</v>
      </c>
      <c r="CJ184" s="14" t="str">
        <f t="shared" si="72"/>
        <v>塞伯罗斯-5星</v>
      </c>
      <c r="CK184" s="136" t="s">
        <v>1133</v>
      </c>
      <c r="CL184" s="14">
        <f t="shared" si="86"/>
        <v>30000</v>
      </c>
      <c r="CM184" s="14" t="str">
        <f t="shared" si="73"/>
        <v>塞伯罗斯碎片</v>
      </c>
      <c r="CN184" s="14">
        <f t="shared" si="87"/>
        <v>160</v>
      </c>
    </row>
    <row r="185" spans="8:92" ht="16.5" x14ac:dyDescent="0.2">
      <c r="H185" s="15"/>
      <c r="I185" s="15"/>
      <c r="J185" s="15"/>
      <c r="K185" s="15"/>
      <c r="L185" s="15"/>
      <c r="M185" s="15"/>
      <c r="N185" s="15"/>
      <c r="O185" s="137"/>
      <c r="P185" s="141"/>
      <c r="Q185" s="141"/>
      <c r="R185" s="141"/>
      <c r="S185" s="141"/>
      <c r="T185" s="141"/>
      <c r="U185" s="141"/>
      <c r="V185" s="141"/>
      <c r="W185" s="141"/>
      <c r="X185" s="141"/>
      <c r="Y185" s="141"/>
      <c r="Z185" s="141"/>
      <c r="AA185" s="104">
        <v>181</v>
      </c>
      <c r="AB185" s="14">
        <f t="shared" si="74"/>
        <v>4</v>
      </c>
      <c r="AC185" s="14">
        <f>INDEX(挂机升级突破!$BU$6:$BU$57,卡牌消耗!AI185)</f>
        <v>11</v>
      </c>
      <c r="AD185" s="14">
        <f>INDEX(挂机升级突破!BV$6:BV$57,卡牌消耗!$AI185)</f>
        <v>4</v>
      </c>
      <c r="AE185" s="14">
        <f>INDEX(挂机升级突破!BW$6:BW$57,卡牌消耗!$AI185)</f>
        <v>0</v>
      </c>
      <c r="AF185" s="14" t="str">
        <f t="shared" si="75"/>
        <v>唐流雨</v>
      </c>
      <c r="AG185" s="14">
        <f t="shared" si="76"/>
        <v>2</v>
      </c>
      <c r="AH185" s="14" t="str">
        <f t="shared" si="77"/>
        <v>唐流雨魂火-25</v>
      </c>
      <c r="AI185" s="14">
        <f t="shared" si="78"/>
        <v>25</v>
      </c>
      <c r="AJ185" s="14" t="str">
        <f>INDEX(挂机升级突破!$BX$4:$CH$4,INDEX(挂机升级突破!$BU$6:$BU$57,卡牌消耗!AI185))</f>
        <v>金币</v>
      </c>
      <c r="AK185" s="14">
        <f>ROUND(INDEX(挂机升级突破!$BN$6:$BN$57,卡牌消耗!AI185)*INDEX(卡牌消耗!$B$8:$F$8,AG185)/$Q$4/50,0)*50</f>
        <v>4100</v>
      </c>
      <c r="AL185" s="14" t="str">
        <f>IF(AD185&gt;0,INDEX(挂机升级突破!$BX$4:$CH$4,AD185),"")</f>
        <v>橙色基础材料</v>
      </c>
      <c r="AM185" s="14">
        <f>ROUND(INDEX(挂机升级突破!$BX$6:$CH$57,卡牌消耗!AI185,AD185)*INDEX(卡牌消耗!$B$5:$F$5,AG185)/$Q$4/5,0)*5</f>
        <v>55</v>
      </c>
      <c r="AN185" s="14" t="str">
        <f>IF(AE185&gt;0,INDEX(挂机升级突破!$BX$4:$CH$4,AE185),"")</f>
        <v/>
      </c>
      <c r="AO185" s="14" t="str">
        <f>IF(AE185&gt;0,ROUND(INDEX(挂机升级突破!$BX$6:$CH$57,卡牌消耗!AI185,AE185)*INDEX(卡牌消耗!$B$7:$F$7,AG185)/$Q$4,0),"")</f>
        <v/>
      </c>
      <c r="AP185" s="106"/>
      <c r="AQ185" s="15"/>
      <c r="AR185" s="104">
        <v>181</v>
      </c>
      <c r="AS185" s="14">
        <f t="shared" si="79"/>
        <v>10</v>
      </c>
      <c r="AT185" s="14">
        <f>INDEX(挂机升级突破!$CM$7:$CM$26,AX185)</f>
        <v>0</v>
      </c>
      <c r="AU185" s="14">
        <f>INDEX(挂机升级突破!$CN$7:$CN$26,AX185)</f>
        <v>0</v>
      </c>
      <c r="AV185" s="14">
        <f t="shared" si="80"/>
        <v>4</v>
      </c>
      <c r="AW185" s="14" t="str">
        <f t="shared" si="81"/>
        <v>张郃</v>
      </c>
      <c r="AX185" s="14">
        <f t="shared" si="82"/>
        <v>1</v>
      </c>
      <c r="AY185" s="14" t="str">
        <f t="shared" si="83"/>
        <v>张郃1突</v>
      </c>
      <c r="AZ185" s="14" t="str">
        <f>IF(AT185&gt;0,INDEX(挂机升级突破!$CV$5:$CZ$5,卡牌消耗!AT185),"")</f>
        <v/>
      </c>
      <c r="BA185" s="14" t="str">
        <f>IF(AT185&gt;0,ROUND(INDEX(挂机升级突破!$CZ$7:$CZ$26,卡牌消耗!AX185)*INDEX(卡牌消耗!$B$8:$F$8,AV185)/$Q$4/500,0)*500,"")</f>
        <v/>
      </c>
      <c r="BB185" s="14" t="str">
        <f>IF(AU185&gt;0,INDEX(挂机升级突破!$CV$5:$CZ$5,卡牌消耗!AU185),"")</f>
        <v/>
      </c>
      <c r="BC185" s="14" t="str">
        <f>IF(AU185&gt;0,ROUND(INDEX(挂机升级突破!$CV$7:$CY$26,卡牌消耗!AX185,卡牌消耗!AU185)*INDEX($B$6:$F$6,AV185)/$Q$4/5,0)*5,"")</f>
        <v/>
      </c>
      <c r="BD185" s="104"/>
      <c r="BE185" s="104"/>
      <c r="BF185" s="106"/>
      <c r="BU185" s="65" t="s">
        <v>309</v>
      </c>
      <c r="BV185" s="14">
        <f>INDEX($BR$5:$BR$24,BV183)</f>
        <v>0</v>
      </c>
      <c r="BW185" s="65">
        <v>143</v>
      </c>
      <c r="BX185" s="65">
        <v>12</v>
      </c>
      <c r="BY185" s="21">
        <f t="shared" si="96"/>
        <v>8.2758620689655171E-2</v>
      </c>
      <c r="BZ185" s="65">
        <f t="shared" si="97"/>
        <v>0</v>
      </c>
      <c r="CA185" s="65" t="e">
        <f>SUM(BZ$5:BZ185)</f>
        <v>#REF!</v>
      </c>
      <c r="CD185" s="136">
        <v>181</v>
      </c>
      <c r="CE185" s="14">
        <f t="shared" si="85"/>
        <v>37</v>
      </c>
      <c r="CF185" s="14">
        <f t="shared" si="69"/>
        <v>3</v>
      </c>
      <c r="CG185" s="14">
        <f t="shared" si="70"/>
        <v>1102014</v>
      </c>
      <c r="CH185" s="136" t="s">
        <v>1127</v>
      </c>
      <c r="CI185" s="14">
        <f t="shared" si="71"/>
        <v>1</v>
      </c>
      <c r="CJ185" s="14" t="str">
        <f t="shared" si="72"/>
        <v>石灵明-1星</v>
      </c>
      <c r="CK185" s="136" t="s">
        <v>1133</v>
      </c>
      <c r="CL185" s="14">
        <f t="shared" si="86"/>
        <v>4000</v>
      </c>
      <c r="CM185" s="14" t="str">
        <f t="shared" si="73"/>
        <v>石灵明碎片</v>
      </c>
      <c r="CN185" s="14">
        <f t="shared" si="87"/>
        <v>40</v>
      </c>
    </row>
    <row r="186" spans="8:92" ht="16.5" x14ac:dyDescent="0.2">
      <c r="H186" s="15"/>
      <c r="I186" s="15"/>
      <c r="J186" s="15"/>
      <c r="K186" s="15"/>
      <c r="L186" s="15"/>
      <c r="M186" s="15"/>
      <c r="N186" s="15"/>
      <c r="O186" s="137"/>
      <c r="P186" s="141"/>
      <c r="Q186" s="141"/>
      <c r="R186" s="141"/>
      <c r="S186" s="141"/>
      <c r="T186" s="141"/>
      <c r="U186" s="141"/>
      <c r="V186" s="141"/>
      <c r="W186" s="141"/>
      <c r="X186" s="141"/>
      <c r="Y186" s="141"/>
      <c r="Z186" s="141"/>
      <c r="AA186" s="104">
        <v>182</v>
      </c>
      <c r="AB186" s="14">
        <f t="shared" si="74"/>
        <v>4</v>
      </c>
      <c r="AC186" s="14">
        <f>INDEX(挂机升级突破!$BU$6:$BU$57,卡牌消耗!AI186)</f>
        <v>11</v>
      </c>
      <c r="AD186" s="14">
        <f>INDEX(挂机升级突破!BV$6:BV$57,卡牌消耗!$AI186)</f>
        <v>4</v>
      </c>
      <c r="AE186" s="14">
        <f>INDEX(挂机升级突破!BW$6:BW$57,卡牌消耗!$AI186)</f>
        <v>0</v>
      </c>
      <c r="AF186" s="14" t="str">
        <f t="shared" si="75"/>
        <v>唐流雨</v>
      </c>
      <c r="AG186" s="14">
        <f t="shared" si="76"/>
        <v>2</v>
      </c>
      <c r="AH186" s="14" t="str">
        <f t="shared" si="77"/>
        <v>唐流雨魂火-26</v>
      </c>
      <c r="AI186" s="14">
        <f t="shared" si="78"/>
        <v>26</v>
      </c>
      <c r="AJ186" s="14" t="str">
        <f>INDEX(挂机升级突破!$BX$4:$CH$4,INDEX(挂机升级突破!$BU$6:$BU$57,卡牌消耗!AI186))</f>
        <v>金币</v>
      </c>
      <c r="AK186" s="14">
        <f>ROUND(INDEX(挂机升级突破!$BN$6:$BN$57,卡牌消耗!AI186)*INDEX(卡牌消耗!$B$8:$F$8,AG186)/$Q$4/50,0)*50</f>
        <v>4800</v>
      </c>
      <c r="AL186" s="14" t="str">
        <f>IF(AD186&gt;0,INDEX(挂机升级突破!$BX$4:$CH$4,AD186),"")</f>
        <v>橙色基础材料</v>
      </c>
      <c r="AM186" s="14">
        <f>ROUND(INDEX(挂机升级突破!$BX$6:$CH$57,卡牌消耗!AI186,AD186)*INDEX(卡牌消耗!$B$5:$F$5,AG186)/$Q$4/5,0)*5</f>
        <v>65</v>
      </c>
      <c r="AN186" s="14" t="str">
        <f>IF(AE186&gt;0,INDEX(挂机升级突破!$BX$4:$CH$4,AE186),"")</f>
        <v/>
      </c>
      <c r="AO186" s="14" t="str">
        <f>IF(AE186&gt;0,ROUND(INDEX(挂机升级突破!$BX$6:$CH$57,卡牌消耗!AI186,AE186)*INDEX(卡牌消耗!$B$7:$F$7,AG186)/$Q$4,0),"")</f>
        <v/>
      </c>
      <c r="AP186" s="106"/>
      <c r="AQ186" s="15"/>
      <c r="AR186" s="104">
        <v>182</v>
      </c>
      <c r="AS186" s="14">
        <f t="shared" si="79"/>
        <v>10</v>
      </c>
      <c r="AT186" s="14">
        <f>INDEX(挂机升级突破!$CM$7:$CM$26,AX186)</f>
        <v>5</v>
      </c>
      <c r="AU186" s="14">
        <f>INDEX(挂机升级突破!$CN$7:$CN$26,AX186)</f>
        <v>0</v>
      </c>
      <c r="AV186" s="14">
        <f t="shared" si="80"/>
        <v>4</v>
      </c>
      <c r="AW186" s="14" t="str">
        <f t="shared" si="81"/>
        <v>张郃</v>
      </c>
      <c r="AX186" s="14">
        <f t="shared" si="82"/>
        <v>2</v>
      </c>
      <c r="AY186" s="14" t="str">
        <f t="shared" si="83"/>
        <v>张郃2突</v>
      </c>
      <c r="AZ186" s="14" t="str">
        <f>IF(AT186&gt;0,INDEX(挂机升级突破!$CV$5:$CZ$5,卡牌消耗!AT186),"")</f>
        <v>金币</v>
      </c>
      <c r="BA186" s="14">
        <f>IF(AT186&gt;0,ROUND(INDEX(挂机升级突破!$CZ$7:$CZ$26,卡牌消耗!AX186)*INDEX(卡牌消耗!$B$8:$F$8,AV186)/$Q$4/500,0)*500,"")</f>
        <v>3500</v>
      </c>
      <c r="BB186" s="14" t="str">
        <f>IF(AU186&gt;0,INDEX(挂机升级突破!$CV$5:$CZ$5,卡牌消耗!AU186),"")</f>
        <v/>
      </c>
      <c r="BC186" s="14" t="str">
        <f>IF(AU186&gt;0,ROUND(INDEX(挂机升级突破!$CV$7:$CY$26,卡牌消耗!AX186,卡牌消耗!AU186)*INDEX($B$6:$F$6,AV186)/$Q$4/5,0)*5,"")</f>
        <v/>
      </c>
      <c r="BD186" s="104"/>
      <c r="BE186" s="104"/>
      <c r="BF186" s="106"/>
      <c r="BU186" s="15"/>
      <c r="BV186" s="14">
        <f>SUM(BX183:BX192)</f>
        <v>145</v>
      </c>
      <c r="BW186" s="65">
        <v>144</v>
      </c>
      <c r="BX186" s="65">
        <v>13</v>
      </c>
      <c r="BY186" s="21">
        <f t="shared" si="96"/>
        <v>8.9655172413793102E-2</v>
      </c>
      <c r="BZ186" s="65">
        <f t="shared" si="97"/>
        <v>0</v>
      </c>
      <c r="CA186" s="65" t="e">
        <f>SUM(BZ$5:BZ186)</f>
        <v>#REF!</v>
      </c>
      <c r="CD186" s="136">
        <v>182</v>
      </c>
      <c r="CE186" s="14">
        <f t="shared" si="85"/>
        <v>37</v>
      </c>
      <c r="CF186" s="14">
        <f t="shared" si="69"/>
        <v>3</v>
      </c>
      <c r="CG186" s="14">
        <f t="shared" si="70"/>
        <v>1102014</v>
      </c>
      <c r="CH186" s="136" t="s">
        <v>1127</v>
      </c>
      <c r="CI186" s="14">
        <f t="shared" si="71"/>
        <v>2</v>
      </c>
      <c r="CJ186" s="14" t="str">
        <f t="shared" si="72"/>
        <v>石灵明-2星</v>
      </c>
      <c r="CK186" s="136" t="s">
        <v>1133</v>
      </c>
      <c r="CL186" s="14">
        <f t="shared" si="86"/>
        <v>5000</v>
      </c>
      <c r="CM186" s="14" t="str">
        <f t="shared" si="73"/>
        <v>石灵明碎片</v>
      </c>
      <c r="CN186" s="14">
        <f t="shared" si="87"/>
        <v>80</v>
      </c>
    </row>
    <row r="187" spans="8:92" ht="16.5" x14ac:dyDescent="0.2">
      <c r="H187" s="15"/>
      <c r="I187" s="15"/>
      <c r="J187" s="15"/>
      <c r="K187" s="15"/>
      <c r="L187" s="15"/>
      <c r="M187" s="15"/>
      <c r="N187" s="15"/>
      <c r="O187" s="137"/>
      <c r="P187" s="141"/>
      <c r="Q187" s="141"/>
      <c r="R187" s="141"/>
      <c r="S187" s="141"/>
      <c r="T187" s="141"/>
      <c r="U187" s="141"/>
      <c r="V187" s="141"/>
      <c r="W187" s="141"/>
      <c r="X187" s="141"/>
      <c r="Y187" s="141"/>
      <c r="Z187" s="141"/>
      <c r="AA187" s="104">
        <v>183</v>
      </c>
      <c r="AB187" s="14">
        <f t="shared" si="74"/>
        <v>4</v>
      </c>
      <c r="AC187" s="14">
        <f>INDEX(挂机升级突破!$BU$6:$BU$57,卡牌消耗!AI187)</f>
        <v>11</v>
      </c>
      <c r="AD187" s="14">
        <f>INDEX(挂机升级突破!BV$6:BV$57,卡牌消耗!$AI187)</f>
        <v>4</v>
      </c>
      <c r="AE187" s="14">
        <f>INDEX(挂机升级突破!BW$6:BW$57,卡牌消耗!$AI187)</f>
        <v>0</v>
      </c>
      <c r="AF187" s="14" t="str">
        <f t="shared" si="75"/>
        <v>唐流雨</v>
      </c>
      <c r="AG187" s="14">
        <f t="shared" si="76"/>
        <v>2</v>
      </c>
      <c r="AH187" s="14" t="str">
        <f t="shared" si="77"/>
        <v>唐流雨魂火-27</v>
      </c>
      <c r="AI187" s="14">
        <f t="shared" si="78"/>
        <v>27</v>
      </c>
      <c r="AJ187" s="14" t="str">
        <f>INDEX(挂机升级突破!$BX$4:$CH$4,INDEX(挂机升级突破!$BU$6:$BU$57,卡牌消耗!AI187))</f>
        <v>金币</v>
      </c>
      <c r="AK187" s="14">
        <f>ROUND(INDEX(挂机升级突破!$BN$6:$BN$57,卡牌消耗!AI187)*INDEX(卡牌消耗!$B$8:$F$8,AG187)/$Q$4/50,0)*50</f>
        <v>4800</v>
      </c>
      <c r="AL187" s="14" t="str">
        <f>IF(AD187&gt;0,INDEX(挂机升级突破!$BX$4:$CH$4,AD187),"")</f>
        <v>橙色基础材料</v>
      </c>
      <c r="AM187" s="14">
        <f>ROUND(INDEX(挂机升级突破!$BX$6:$CH$57,卡牌消耗!AI187,AD187)*INDEX(卡牌消耗!$B$5:$F$5,AG187)/$Q$4/5,0)*5</f>
        <v>65</v>
      </c>
      <c r="AN187" s="14" t="str">
        <f>IF(AE187&gt;0,INDEX(挂机升级突破!$BX$4:$CH$4,AE187),"")</f>
        <v/>
      </c>
      <c r="AO187" s="14" t="str">
        <f>IF(AE187&gt;0,ROUND(INDEX(挂机升级突破!$BX$6:$CH$57,卡牌消耗!AI187,AE187)*INDEX(卡牌消耗!$B$7:$F$7,AG187)/$Q$4,0),"")</f>
        <v/>
      </c>
      <c r="AP187" s="106"/>
      <c r="AQ187" s="15"/>
      <c r="AR187" s="104">
        <v>183</v>
      </c>
      <c r="AS187" s="14">
        <f t="shared" si="79"/>
        <v>10</v>
      </c>
      <c r="AT187" s="14">
        <f>INDEX(挂机升级突破!$CM$7:$CM$26,AX187)</f>
        <v>5</v>
      </c>
      <c r="AU187" s="14">
        <f>INDEX(挂机升级突破!$CN$7:$CN$26,AX187)</f>
        <v>0</v>
      </c>
      <c r="AV187" s="14">
        <f t="shared" si="80"/>
        <v>4</v>
      </c>
      <c r="AW187" s="14" t="str">
        <f t="shared" si="81"/>
        <v>张郃</v>
      </c>
      <c r="AX187" s="14">
        <f t="shared" si="82"/>
        <v>3</v>
      </c>
      <c r="AY187" s="14" t="str">
        <f t="shared" si="83"/>
        <v>张郃3突</v>
      </c>
      <c r="AZ187" s="14" t="str">
        <f>IF(AT187&gt;0,INDEX(挂机升级突破!$CV$5:$CZ$5,卡牌消耗!AT187),"")</f>
        <v>金币</v>
      </c>
      <c r="BA187" s="14">
        <f>IF(AT187&gt;0,ROUND(INDEX(挂机升级突破!$CZ$7:$CZ$26,卡牌消耗!AX187)*INDEX(卡牌消耗!$B$8:$F$8,AV187)/$Q$4/500,0)*500,"")</f>
        <v>3500</v>
      </c>
      <c r="BB187" s="14" t="str">
        <f>IF(AU187&gt;0,INDEX(挂机升级突破!$CV$5:$CZ$5,卡牌消耗!AU187),"")</f>
        <v/>
      </c>
      <c r="BC187" s="14" t="str">
        <f>IF(AU187&gt;0,ROUND(INDEX(挂机升级突破!$CV$7:$CY$26,卡牌消耗!AX187,卡牌消耗!AU187)*INDEX($B$6:$F$6,AV187)/$Q$4/5,0)*5,"")</f>
        <v/>
      </c>
      <c r="BD187" s="104"/>
      <c r="BE187" s="104"/>
      <c r="BF187" s="106"/>
      <c r="BW187" s="65">
        <v>145</v>
      </c>
      <c r="BX187" s="65">
        <v>14</v>
      </c>
      <c r="BY187" s="21">
        <f t="shared" si="96"/>
        <v>9.6551724137931033E-2</v>
      </c>
      <c r="BZ187" s="65">
        <f t="shared" si="97"/>
        <v>0</v>
      </c>
      <c r="CA187" s="65" t="e">
        <f>SUM(BZ$5:BZ187)</f>
        <v>#REF!</v>
      </c>
      <c r="CD187" s="136">
        <v>183</v>
      </c>
      <c r="CE187" s="14">
        <f t="shared" si="85"/>
        <v>37</v>
      </c>
      <c r="CF187" s="14">
        <f t="shared" si="69"/>
        <v>3</v>
      </c>
      <c r="CG187" s="14">
        <f t="shared" si="70"/>
        <v>1102014</v>
      </c>
      <c r="CH187" s="136" t="s">
        <v>1127</v>
      </c>
      <c r="CI187" s="14">
        <f t="shared" si="71"/>
        <v>3</v>
      </c>
      <c r="CJ187" s="14" t="str">
        <f t="shared" si="72"/>
        <v>石灵明-3星</v>
      </c>
      <c r="CK187" s="136" t="s">
        <v>1133</v>
      </c>
      <c r="CL187" s="14">
        <f t="shared" si="86"/>
        <v>10000</v>
      </c>
      <c r="CM187" s="14" t="str">
        <f t="shared" si="73"/>
        <v>石灵明碎片</v>
      </c>
      <c r="CN187" s="14">
        <f t="shared" si="87"/>
        <v>120</v>
      </c>
    </row>
    <row r="188" spans="8:92" ht="16.5" x14ac:dyDescent="0.2">
      <c r="H188" s="15"/>
      <c r="I188" s="15"/>
      <c r="J188" s="15"/>
      <c r="K188" s="15"/>
      <c r="L188" s="15"/>
      <c r="M188" s="15"/>
      <c r="N188" s="15"/>
      <c r="O188" s="137"/>
      <c r="P188" s="141"/>
      <c r="Q188" s="141"/>
      <c r="R188" s="141"/>
      <c r="S188" s="141"/>
      <c r="T188" s="141"/>
      <c r="U188" s="141"/>
      <c r="V188" s="141"/>
      <c r="W188" s="141"/>
      <c r="X188" s="141"/>
      <c r="Y188" s="141"/>
      <c r="Z188" s="141"/>
      <c r="AA188" s="104">
        <v>184</v>
      </c>
      <c r="AB188" s="14">
        <f t="shared" si="74"/>
        <v>4</v>
      </c>
      <c r="AC188" s="14">
        <f>INDEX(挂机升级突破!$BU$6:$BU$57,卡牌消耗!AI188)</f>
        <v>11</v>
      </c>
      <c r="AD188" s="14">
        <f>INDEX(挂机升级突破!BV$6:BV$57,卡牌消耗!$AI188)</f>
        <v>4</v>
      </c>
      <c r="AE188" s="14">
        <f>INDEX(挂机升级突破!BW$6:BW$57,卡牌消耗!$AI188)</f>
        <v>0</v>
      </c>
      <c r="AF188" s="14" t="str">
        <f t="shared" si="75"/>
        <v>唐流雨</v>
      </c>
      <c r="AG188" s="14">
        <f t="shared" si="76"/>
        <v>2</v>
      </c>
      <c r="AH188" s="14" t="str">
        <f t="shared" si="77"/>
        <v>唐流雨魂火-28</v>
      </c>
      <c r="AI188" s="14">
        <f t="shared" si="78"/>
        <v>28</v>
      </c>
      <c r="AJ188" s="14" t="str">
        <f>INDEX(挂机升级突破!$BX$4:$CH$4,INDEX(挂机升级突破!$BU$6:$BU$57,卡牌消耗!AI188))</f>
        <v>金币</v>
      </c>
      <c r="AK188" s="14">
        <f>ROUND(INDEX(挂机升级突破!$BN$6:$BN$57,卡牌消耗!AI188)*INDEX(卡牌消耗!$B$8:$F$8,AG188)/$Q$4/50,0)*50</f>
        <v>4800</v>
      </c>
      <c r="AL188" s="14" t="str">
        <f>IF(AD188&gt;0,INDEX(挂机升级突破!$BX$4:$CH$4,AD188),"")</f>
        <v>橙色基础材料</v>
      </c>
      <c r="AM188" s="14">
        <f>ROUND(INDEX(挂机升级突破!$BX$6:$CH$57,卡牌消耗!AI188,AD188)*INDEX(卡牌消耗!$B$5:$F$5,AG188)/$Q$4/5,0)*5</f>
        <v>65</v>
      </c>
      <c r="AN188" s="14" t="str">
        <f>IF(AE188&gt;0,INDEX(挂机升级突破!$BX$4:$CH$4,AE188),"")</f>
        <v/>
      </c>
      <c r="AO188" s="14" t="str">
        <f>IF(AE188&gt;0,ROUND(INDEX(挂机升级突破!$BX$6:$CH$57,卡牌消耗!AI188,AE188)*INDEX(卡牌消耗!$B$7:$F$7,AG188)/$Q$4,0),"")</f>
        <v/>
      </c>
      <c r="AP188" s="106"/>
      <c r="AQ188" s="15"/>
      <c r="AR188" s="104">
        <v>184</v>
      </c>
      <c r="AS188" s="14">
        <f t="shared" si="79"/>
        <v>10</v>
      </c>
      <c r="AT188" s="14">
        <f>INDEX(挂机升级突破!$CM$7:$CM$26,AX188)</f>
        <v>5</v>
      </c>
      <c r="AU188" s="14">
        <f>INDEX(挂机升级突破!$CN$7:$CN$26,AX188)</f>
        <v>1</v>
      </c>
      <c r="AV188" s="14">
        <f t="shared" si="80"/>
        <v>4</v>
      </c>
      <c r="AW188" s="14" t="str">
        <f t="shared" si="81"/>
        <v>张郃</v>
      </c>
      <c r="AX188" s="14">
        <f t="shared" si="82"/>
        <v>4</v>
      </c>
      <c r="AY188" s="14" t="str">
        <f t="shared" si="83"/>
        <v>张郃4突</v>
      </c>
      <c r="AZ188" s="14" t="str">
        <f>IF(AT188&gt;0,INDEX(挂机升级突破!$CV$5:$CZ$5,卡牌消耗!AT188),"")</f>
        <v>金币</v>
      </c>
      <c r="BA188" s="14">
        <f>IF(AT188&gt;0,ROUND(INDEX(挂机升级突破!$CZ$7:$CZ$26,卡牌消耗!AX188)*INDEX(卡牌消耗!$B$8:$F$8,AV188)/$Q$4/500,0)*500,"")</f>
        <v>4500</v>
      </c>
      <c r="BB188" s="14" t="str">
        <f>IF(AU188&gt;0,INDEX(挂机升级突破!$CV$5:$CZ$5,卡牌消耗!AU188),"")</f>
        <v>玄铁</v>
      </c>
      <c r="BC188" s="14">
        <f>IF(AU188&gt;0,ROUND(INDEX(挂机升级突破!$CV$7:$CY$26,卡牌消耗!AX188,卡牌消耗!AU188)*INDEX($B$6:$F$6,AV188)/$Q$4/5,0)*5,"")</f>
        <v>70</v>
      </c>
      <c r="BD188" s="104"/>
      <c r="BE188" s="104"/>
      <c r="BF188" s="106"/>
      <c r="BW188" s="65">
        <v>146</v>
      </c>
      <c r="BX188" s="65">
        <v>15</v>
      </c>
      <c r="BY188" s="21">
        <f t="shared" si="96"/>
        <v>0.10344827586206896</v>
      </c>
      <c r="BZ188" s="65">
        <f t="shared" si="97"/>
        <v>0</v>
      </c>
      <c r="CA188" s="65" t="e">
        <f>SUM(BZ$5:BZ188)</f>
        <v>#REF!</v>
      </c>
      <c r="CD188" s="136">
        <v>184</v>
      </c>
      <c r="CE188" s="14">
        <f t="shared" si="85"/>
        <v>37</v>
      </c>
      <c r="CF188" s="14">
        <f t="shared" si="69"/>
        <v>3</v>
      </c>
      <c r="CG188" s="14">
        <f t="shared" si="70"/>
        <v>1102014</v>
      </c>
      <c r="CH188" s="136" t="s">
        <v>1127</v>
      </c>
      <c r="CI188" s="14">
        <f t="shared" si="71"/>
        <v>4</v>
      </c>
      <c r="CJ188" s="14" t="str">
        <f t="shared" si="72"/>
        <v>石灵明-4星</v>
      </c>
      <c r="CK188" s="136" t="s">
        <v>1133</v>
      </c>
      <c r="CL188" s="14">
        <f t="shared" si="86"/>
        <v>20000</v>
      </c>
      <c r="CM188" s="14" t="str">
        <f t="shared" si="73"/>
        <v>石灵明碎片</v>
      </c>
      <c r="CN188" s="14">
        <f t="shared" si="87"/>
        <v>160</v>
      </c>
    </row>
    <row r="189" spans="8:92" ht="16.5" x14ac:dyDescent="0.2">
      <c r="H189" s="15"/>
      <c r="I189" s="15"/>
      <c r="J189" s="15"/>
      <c r="K189" s="15"/>
      <c r="L189" s="15"/>
      <c r="M189" s="15"/>
      <c r="N189" s="15"/>
      <c r="O189" s="137"/>
      <c r="P189" s="141"/>
      <c r="Q189" s="141"/>
      <c r="R189" s="141"/>
      <c r="S189" s="141"/>
      <c r="T189" s="141"/>
      <c r="U189" s="141"/>
      <c r="V189" s="141"/>
      <c r="W189" s="141"/>
      <c r="X189" s="141"/>
      <c r="Y189" s="141"/>
      <c r="Z189" s="141"/>
      <c r="AA189" s="104">
        <v>185</v>
      </c>
      <c r="AB189" s="14">
        <f t="shared" si="74"/>
        <v>4</v>
      </c>
      <c r="AC189" s="14">
        <f>INDEX(挂机升级突破!$BU$6:$BU$57,卡牌消耗!AI189)</f>
        <v>11</v>
      </c>
      <c r="AD189" s="14">
        <f>INDEX(挂机升级突破!BV$6:BV$57,卡牌消耗!$AI189)</f>
        <v>4</v>
      </c>
      <c r="AE189" s="14">
        <f>INDEX(挂机升级突破!BW$6:BW$57,卡牌消耗!$AI189)</f>
        <v>0</v>
      </c>
      <c r="AF189" s="14" t="str">
        <f t="shared" si="75"/>
        <v>唐流雨</v>
      </c>
      <c r="AG189" s="14">
        <f t="shared" si="76"/>
        <v>2</v>
      </c>
      <c r="AH189" s="14" t="str">
        <f t="shared" si="77"/>
        <v>唐流雨魂火-29</v>
      </c>
      <c r="AI189" s="14">
        <f t="shared" si="78"/>
        <v>29</v>
      </c>
      <c r="AJ189" s="14" t="str">
        <f>INDEX(挂机升级突破!$BX$4:$CH$4,INDEX(挂机升级突破!$BU$6:$BU$57,卡牌消耗!AI189))</f>
        <v>金币</v>
      </c>
      <c r="AK189" s="14">
        <f>ROUND(INDEX(挂机升级突破!$BN$6:$BN$57,卡牌消耗!AI189)*INDEX(卡牌消耗!$B$8:$F$8,AG189)/$Q$4/50,0)*50</f>
        <v>4850</v>
      </c>
      <c r="AL189" s="14" t="str">
        <f>IF(AD189&gt;0,INDEX(挂机升级突破!$BX$4:$CH$4,AD189),"")</f>
        <v>橙色基础材料</v>
      </c>
      <c r="AM189" s="14">
        <f>ROUND(INDEX(挂机升级突破!$BX$6:$CH$57,卡牌消耗!AI189,AD189)*INDEX(卡牌消耗!$B$5:$F$5,AG189)/$Q$4/5,0)*5</f>
        <v>80</v>
      </c>
      <c r="AN189" s="14" t="str">
        <f>IF(AE189&gt;0,INDEX(挂机升级突破!$BX$4:$CH$4,AE189),"")</f>
        <v/>
      </c>
      <c r="AO189" s="14" t="str">
        <f>IF(AE189&gt;0,ROUND(INDEX(挂机升级突破!$BX$6:$CH$57,卡牌消耗!AI189,AE189)*INDEX(卡牌消耗!$B$7:$F$7,AG189)/$Q$4,0),"")</f>
        <v/>
      </c>
      <c r="AP189" s="106"/>
      <c r="AQ189" s="15"/>
      <c r="AR189" s="104">
        <v>185</v>
      </c>
      <c r="AS189" s="14">
        <f t="shared" si="79"/>
        <v>10</v>
      </c>
      <c r="AT189" s="14">
        <f>INDEX(挂机升级突破!$CM$7:$CM$26,AX189)</f>
        <v>5</v>
      </c>
      <c r="AU189" s="14">
        <f>INDEX(挂机升级突破!$CN$7:$CN$26,AX189)</f>
        <v>1</v>
      </c>
      <c r="AV189" s="14">
        <f t="shared" si="80"/>
        <v>4</v>
      </c>
      <c r="AW189" s="14" t="str">
        <f t="shared" si="81"/>
        <v>张郃</v>
      </c>
      <c r="AX189" s="14">
        <f t="shared" si="82"/>
        <v>5</v>
      </c>
      <c r="AY189" s="14" t="str">
        <f t="shared" si="83"/>
        <v>张郃5突</v>
      </c>
      <c r="AZ189" s="14" t="str">
        <f>IF(AT189&gt;0,INDEX(挂机升级突破!$CV$5:$CZ$5,卡牌消耗!AT189),"")</f>
        <v>金币</v>
      </c>
      <c r="BA189" s="14">
        <f>IF(AT189&gt;0,ROUND(INDEX(挂机升级突破!$CZ$7:$CZ$26,卡牌消耗!AX189)*INDEX(卡牌消耗!$B$8:$F$8,AV189)/$Q$4/500,0)*500,"")</f>
        <v>4500</v>
      </c>
      <c r="BB189" s="14" t="str">
        <f>IF(AU189&gt;0,INDEX(挂机升级突破!$CV$5:$CZ$5,卡牌消耗!AU189),"")</f>
        <v>玄铁</v>
      </c>
      <c r="BC189" s="14">
        <f>IF(AU189&gt;0,ROUND(INDEX(挂机升级突破!$CV$7:$CY$26,卡牌消耗!AX189,卡牌消耗!AU189)*INDEX($B$6:$F$6,AV189)/$Q$4/5,0)*5,"")</f>
        <v>140</v>
      </c>
      <c r="BD189" s="104"/>
      <c r="BE189" s="104"/>
      <c r="BF189" s="106"/>
      <c r="BW189" s="65">
        <v>147</v>
      </c>
      <c r="BX189" s="65">
        <v>16</v>
      </c>
      <c r="BY189" s="21">
        <f t="shared" si="96"/>
        <v>0.1103448275862069</v>
      </c>
      <c r="BZ189" s="65">
        <f t="shared" si="97"/>
        <v>0</v>
      </c>
      <c r="CA189" s="65" t="e">
        <f>SUM(BZ$5:BZ189)</f>
        <v>#REF!</v>
      </c>
      <c r="CD189" s="136">
        <v>185</v>
      </c>
      <c r="CE189" s="14">
        <f t="shared" si="85"/>
        <v>37</v>
      </c>
      <c r="CF189" s="14">
        <f t="shared" si="69"/>
        <v>3</v>
      </c>
      <c r="CG189" s="14">
        <f t="shared" si="70"/>
        <v>1102014</v>
      </c>
      <c r="CH189" s="136" t="s">
        <v>1127</v>
      </c>
      <c r="CI189" s="14">
        <f t="shared" si="71"/>
        <v>5</v>
      </c>
      <c r="CJ189" s="14" t="str">
        <f t="shared" si="72"/>
        <v>石灵明-5星</v>
      </c>
      <c r="CK189" s="136" t="s">
        <v>1133</v>
      </c>
      <c r="CL189" s="14">
        <f t="shared" si="86"/>
        <v>40000</v>
      </c>
      <c r="CM189" s="14" t="str">
        <f t="shared" si="73"/>
        <v>石灵明碎片</v>
      </c>
      <c r="CN189" s="14">
        <f t="shared" si="87"/>
        <v>240</v>
      </c>
    </row>
    <row r="190" spans="8:92" ht="16.5" x14ac:dyDescent="0.2">
      <c r="H190" s="15"/>
      <c r="I190" s="15"/>
      <c r="J190" s="15"/>
      <c r="K190" s="15"/>
      <c r="L190" s="15"/>
      <c r="M190" s="15"/>
      <c r="N190" s="15"/>
      <c r="O190" s="137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41"/>
      <c r="AA190" s="104">
        <v>186</v>
      </c>
      <c r="AB190" s="14">
        <f t="shared" si="74"/>
        <v>4</v>
      </c>
      <c r="AC190" s="14">
        <f>INDEX(挂机升级突破!$BU$6:$BU$57,卡牌消耗!AI190)</f>
        <v>11</v>
      </c>
      <c r="AD190" s="14">
        <f>INDEX(挂机升级突破!BV$6:BV$57,卡牌消耗!$AI190)</f>
        <v>4</v>
      </c>
      <c r="AE190" s="14">
        <f>INDEX(挂机升级突破!BW$6:BW$57,卡牌消耗!$AI190)</f>
        <v>0</v>
      </c>
      <c r="AF190" s="14" t="str">
        <f t="shared" si="75"/>
        <v>唐流雨</v>
      </c>
      <c r="AG190" s="14">
        <f t="shared" si="76"/>
        <v>2</v>
      </c>
      <c r="AH190" s="14" t="str">
        <f t="shared" si="77"/>
        <v>唐流雨魂火-30</v>
      </c>
      <c r="AI190" s="14">
        <f t="shared" si="78"/>
        <v>30</v>
      </c>
      <c r="AJ190" s="14" t="str">
        <f>INDEX(挂机升级突破!$BX$4:$CH$4,INDEX(挂机升级突破!$BU$6:$BU$57,卡牌消耗!AI190))</f>
        <v>金币</v>
      </c>
      <c r="AK190" s="14">
        <f>ROUND(INDEX(挂机升级突破!$BN$6:$BN$57,卡牌消耗!AI190)*INDEX(卡牌消耗!$B$8:$F$8,AG190)/$Q$4/50,0)*50</f>
        <v>4850</v>
      </c>
      <c r="AL190" s="14" t="str">
        <f>IF(AD190&gt;0,INDEX(挂机升级突破!$BX$4:$CH$4,AD190),"")</f>
        <v>橙色基础材料</v>
      </c>
      <c r="AM190" s="14">
        <f>ROUND(INDEX(挂机升级突破!$BX$6:$CH$57,卡牌消耗!AI190,AD190)*INDEX(卡牌消耗!$B$5:$F$5,AG190)/$Q$4/5,0)*5</f>
        <v>80</v>
      </c>
      <c r="AN190" s="14" t="str">
        <f>IF(AE190&gt;0,INDEX(挂机升级突破!$BX$4:$CH$4,AE190),"")</f>
        <v/>
      </c>
      <c r="AO190" s="14" t="str">
        <f>IF(AE190&gt;0,ROUND(INDEX(挂机升级突破!$BX$6:$CH$57,卡牌消耗!AI190,AE190)*INDEX(卡牌消耗!$B$7:$F$7,AG190)/$Q$4,0),"")</f>
        <v/>
      </c>
      <c r="AP190" s="106"/>
      <c r="AQ190" s="15"/>
      <c r="AR190" s="104">
        <v>186</v>
      </c>
      <c r="AS190" s="14">
        <f t="shared" si="79"/>
        <v>10</v>
      </c>
      <c r="AT190" s="14">
        <f>INDEX(挂机升级突破!$CM$7:$CM$26,AX190)</f>
        <v>5</v>
      </c>
      <c r="AU190" s="14">
        <f>INDEX(挂机升级突破!$CN$7:$CN$26,AX190)</f>
        <v>1</v>
      </c>
      <c r="AV190" s="14">
        <f t="shared" si="80"/>
        <v>4</v>
      </c>
      <c r="AW190" s="14" t="str">
        <f t="shared" si="81"/>
        <v>张郃</v>
      </c>
      <c r="AX190" s="14">
        <f t="shared" si="82"/>
        <v>6</v>
      </c>
      <c r="AY190" s="14" t="str">
        <f t="shared" si="83"/>
        <v>张郃6突</v>
      </c>
      <c r="AZ190" s="14" t="str">
        <f>IF(AT190&gt;0,INDEX(挂机升级突破!$CV$5:$CZ$5,卡牌消耗!AT190),"")</f>
        <v>金币</v>
      </c>
      <c r="BA190" s="14">
        <f>IF(AT190&gt;0,ROUND(INDEX(挂机升级突破!$CZ$7:$CZ$26,卡牌消耗!AX190)*INDEX(卡牌消耗!$B$8:$F$8,AV190)/$Q$4/500,0)*500,"")</f>
        <v>6000</v>
      </c>
      <c r="BB190" s="14" t="str">
        <f>IF(AU190&gt;0,INDEX(挂机升级突破!$CV$5:$CZ$5,卡牌消耗!AU190),"")</f>
        <v>玄铁</v>
      </c>
      <c r="BC190" s="14">
        <f>IF(AU190&gt;0,ROUND(INDEX(挂机升级突破!$CV$7:$CY$26,卡牌消耗!AX190,卡牌消耗!AU190)*INDEX($B$6:$F$6,AV190)/$Q$4/5,0)*5,"")</f>
        <v>210</v>
      </c>
      <c r="BD190" s="104"/>
      <c r="BE190" s="104"/>
      <c r="BF190" s="106"/>
      <c r="BW190" s="65">
        <v>148</v>
      </c>
      <c r="BX190" s="65">
        <v>17</v>
      </c>
      <c r="BY190" s="21">
        <f t="shared" si="96"/>
        <v>0.11724137931034483</v>
      </c>
      <c r="BZ190" s="65">
        <f t="shared" si="97"/>
        <v>0</v>
      </c>
      <c r="CA190" s="65" t="e">
        <f>SUM(BZ$5:BZ190)</f>
        <v>#REF!</v>
      </c>
      <c r="CD190" s="136">
        <v>186</v>
      </c>
      <c r="CE190" s="14">
        <f t="shared" si="85"/>
        <v>38</v>
      </c>
      <c r="CF190" s="14">
        <f t="shared" si="69"/>
        <v>2</v>
      </c>
      <c r="CG190" s="14">
        <f t="shared" si="70"/>
        <v>1102015</v>
      </c>
      <c r="CH190" s="136" t="s">
        <v>1127</v>
      </c>
      <c r="CI190" s="14">
        <f t="shared" si="71"/>
        <v>1</v>
      </c>
      <c r="CJ190" s="14" t="str">
        <f t="shared" si="72"/>
        <v>于禁-1星</v>
      </c>
      <c r="CK190" s="136" t="s">
        <v>1133</v>
      </c>
      <c r="CL190" s="14">
        <f t="shared" si="86"/>
        <v>3000</v>
      </c>
      <c r="CM190" s="14" t="str">
        <f t="shared" si="73"/>
        <v>于禁碎片</v>
      </c>
      <c r="CN190" s="14">
        <f t="shared" si="87"/>
        <v>20</v>
      </c>
    </row>
    <row r="191" spans="8:92" ht="16.5" x14ac:dyDescent="0.2">
      <c r="H191" s="15"/>
      <c r="I191" s="15"/>
      <c r="J191" s="15"/>
      <c r="K191" s="15"/>
      <c r="L191" s="15"/>
      <c r="M191" s="15"/>
      <c r="N191" s="15"/>
      <c r="O191" s="137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41"/>
      <c r="AA191" s="104">
        <v>187</v>
      </c>
      <c r="AB191" s="14">
        <f t="shared" si="74"/>
        <v>4</v>
      </c>
      <c r="AC191" s="14">
        <f>INDEX(挂机升级突破!$BU$6:$BU$57,卡牌消耗!AI191)</f>
        <v>11</v>
      </c>
      <c r="AD191" s="14">
        <f>INDEX(挂机升级突破!BV$6:BV$57,卡牌消耗!$AI191)</f>
        <v>4</v>
      </c>
      <c r="AE191" s="14">
        <f>INDEX(挂机升级突破!BW$6:BW$57,卡牌消耗!$AI191)</f>
        <v>0</v>
      </c>
      <c r="AF191" s="14" t="str">
        <f t="shared" si="75"/>
        <v>唐流雨</v>
      </c>
      <c r="AG191" s="14">
        <f t="shared" si="76"/>
        <v>2</v>
      </c>
      <c r="AH191" s="14" t="str">
        <f t="shared" si="77"/>
        <v>唐流雨魂火-31</v>
      </c>
      <c r="AI191" s="14">
        <f t="shared" si="78"/>
        <v>31</v>
      </c>
      <c r="AJ191" s="14" t="str">
        <f>INDEX(挂机升级突破!$BX$4:$CH$4,INDEX(挂机升级突破!$BU$6:$BU$57,卡牌消耗!AI191))</f>
        <v>金币</v>
      </c>
      <c r="AK191" s="14">
        <f>ROUND(INDEX(挂机升级突破!$BN$6:$BN$57,卡牌消耗!AI191)*INDEX(卡牌消耗!$B$8:$F$8,AG191)/$Q$4/50,0)*50</f>
        <v>4850</v>
      </c>
      <c r="AL191" s="14" t="str">
        <f>IF(AD191&gt;0,INDEX(挂机升级突破!$BX$4:$CH$4,AD191),"")</f>
        <v>橙色基础材料</v>
      </c>
      <c r="AM191" s="14">
        <f>ROUND(INDEX(挂机升级突破!$BX$6:$CH$57,卡牌消耗!AI191,AD191)*INDEX(卡牌消耗!$B$5:$F$5,AG191)/$Q$4/5,0)*5</f>
        <v>80</v>
      </c>
      <c r="AN191" s="14" t="str">
        <f>IF(AE191&gt;0,INDEX(挂机升级突破!$BX$4:$CH$4,AE191),"")</f>
        <v/>
      </c>
      <c r="AO191" s="14" t="str">
        <f>IF(AE191&gt;0,ROUND(INDEX(挂机升级突破!$BX$6:$CH$57,卡牌消耗!AI191,AE191)*INDEX(卡牌消耗!$B$7:$F$7,AG191)/$Q$4,0),"")</f>
        <v/>
      </c>
      <c r="AP191" s="106"/>
      <c r="AQ191" s="15"/>
      <c r="AR191" s="104">
        <v>187</v>
      </c>
      <c r="AS191" s="14">
        <f t="shared" si="79"/>
        <v>10</v>
      </c>
      <c r="AT191" s="14">
        <f>INDEX(挂机升级突破!$CM$7:$CM$26,AX191)</f>
        <v>5</v>
      </c>
      <c r="AU191" s="14">
        <f>INDEX(挂机升级突破!$CN$7:$CN$26,AX191)</f>
        <v>1</v>
      </c>
      <c r="AV191" s="14">
        <f t="shared" si="80"/>
        <v>4</v>
      </c>
      <c r="AW191" s="14" t="str">
        <f t="shared" si="81"/>
        <v>张郃</v>
      </c>
      <c r="AX191" s="14">
        <f t="shared" si="82"/>
        <v>7</v>
      </c>
      <c r="AY191" s="14" t="str">
        <f t="shared" si="83"/>
        <v>张郃7突</v>
      </c>
      <c r="AZ191" s="14" t="str">
        <f>IF(AT191&gt;0,INDEX(挂机升级突破!$CV$5:$CZ$5,卡牌消耗!AT191),"")</f>
        <v>金币</v>
      </c>
      <c r="BA191" s="14">
        <f>IF(AT191&gt;0,ROUND(INDEX(挂机升级突破!$CZ$7:$CZ$26,卡牌消耗!AX191)*INDEX(卡牌消耗!$B$8:$F$8,AV191)/$Q$4/500,0)*500,"")</f>
        <v>9500</v>
      </c>
      <c r="BB191" s="14" t="str">
        <f>IF(AU191&gt;0,INDEX(挂机升级突破!$CV$5:$CZ$5,卡牌消耗!AU191),"")</f>
        <v>玄铁</v>
      </c>
      <c r="BC191" s="14">
        <f>IF(AU191&gt;0,ROUND(INDEX(挂机升级突破!$CV$7:$CY$26,卡牌消耗!AX191,卡牌消耗!AU191)*INDEX($B$6:$F$6,AV191)/$Q$4/5,0)*5,"")</f>
        <v>345</v>
      </c>
      <c r="BD191" s="104"/>
      <c r="BE191" s="104"/>
      <c r="BF191" s="106"/>
      <c r="BW191" s="65">
        <v>149</v>
      </c>
      <c r="BX191" s="65">
        <v>18</v>
      </c>
      <c r="BY191" s="21">
        <f t="shared" si="96"/>
        <v>0.12413793103448276</v>
      </c>
      <c r="BZ191" s="65">
        <f t="shared" si="97"/>
        <v>0</v>
      </c>
      <c r="CA191" s="65" t="e">
        <f>SUM(BZ$5:BZ191)</f>
        <v>#REF!</v>
      </c>
      <c r="CD191" s="136">
        <v>187</v>
      </c>
      <c r="CE191" s="14">
        <f t="shared" si="85"/>
        <v>38</v>
      </c>
      <c r="CF191" s="14">
        <f t="shared" si="69"/>
        <v>2</v>
      </c>
      <c r="CG191" s="14">
        <f t="shared" si="70"/>
        <v>1102015</v>
      </c>
      <c r="CH191" s="136" t="s">
        <v>1127</v>
      </c>
      <c r="CI191" s="14">
        <f t="shared" si="71"/>
        <v>2</v>
      </c>
      <c r="CJ191" s="14" t="str">
        <f t="shared" si="72"/>
        <v>于禁-2星</v>
      </c>
      <c r="CK191" s="136" t="s">
        <v>1133</v>
      </c>
      <c r="CL191" s="14">
        <f t="shared" si="86"/>
        <v>3500</v>
      </c>
      <c r="CM191" s="14" t="str">
        <f t="shared" si="73"/>
        <v>于禁碎片</v>
      </c>
      <c r="CN191" s="14">
        <f t="shared" si="87"/>
        <v>40</v>
      </c>
    </row>
    <row r="192" spans="8:92" ht="16.5" x14ac:dyDescent="0.2">
      <c r="H192" s="15"/>
      <c r="I192" s="15"/>
      <c r="J192" s="15"/>
      <c r="K192" s="15"/>
      <c r="L192" s="15"/>
      <c r="M192" s="15"/>
      <c r="N192" s="15"/>
      <c r="O192" s="137"/>
      <c r="P192" s="141"/>
      <c r="Q192" s="141"/>
      <c r="R192" s="141"/>
      <c r="S192" s="141"/>
      <c r="T192" s="141"/>
      <c r="U192" s="141"/>
      <c r="V192" s="141"/>
      <c r="W192" s="141"/>
      <c r="X192" s="141"/>
      <c r="Y192" s="141"/>
      <c r="Z192" s="141"/>
      <c r="AA192" s="104">
        <v>188</v>
      </c>
      <c r="AB192" s="14">
        <f t="shared" si="74"/>
        <v>4</v>
      </c>
      <c r="AC192" s="14">
        <f>INDEX(挂机升级突破!$BU$6:$BU$57,卡牌消耗!AI192)</f>
        <v>11</v>
      </c>
      <c r="AD192" s="14">
        <f>INDEX(挂机升级突破!BV$6:BV$57,卡牌消耗!$AI192)</f>
        <v>4</v>
      </c>
      <c r="AE192" s="14">
        <f>INDEX(挂机升级突破!BW$6:BW$57,卡牌消耗!$AI192)</f>
        <v>0</v>
      </c>
      <c r="AF192" s="14" t="str">
        <f t="shared" si="75"/>
        <v>唐流雨</v>
      </c>
      <c r="AG192" s="14">
        <f t="shared" si="76"/>
        <v>2</v>
      </c>
      <c r="AH192" s="14" t="str">
        <f t="shared" si="77"/>
        <v>唐流雨魂火-32</v>
      </c>
      <c r="AI192" s="14">
        <f t="shared" si="78"/>
        <v>32</v>
      </c>
      <c r="AJ192" s="14" t="str">
        <f>INDEX(挂机升级突破!$BX$4:$CH$4,INDEX(挂机升级突破!$BU$6:$BU$57,卡牌消耗!AI192))</f>
        <v>金币</v>
      </c>
      <c r="AK192" s="14">
        <f>ROUND(INDEX(挂机升级突破!$BN$6:$BN$57,卡牌消耗!AI192)*INDEX(卡牌消耗!$B$8:$F$8,AG192)/$Q$4/50,0)*50</f>
        <v>6650</v>
      </c>
      <c r="AL192" s="14" t="str">
        <f>IF(AD192&gt;0,INDEX(挂机升级突破!$BX$4:$CH$4,AD192),"")</f>
        <v>橙色基础材料</v>
      </c>
      <c r="AM192" s="14">
        <f>ROUND(INDEX(挂机升级突破!$BX$6:$CH$57,卡牌消耗!AI192,AD192)*INDEX(卡牌消耗!$B$5:$F$5,AG192)/$Q$4/5,0)*5</f>
        <v>80</v>
      </c>
      <c r="AN192" s="14" t="str">
        <f>IF(AE192&gt;0,INDEX(挂机升级突破!$BX$4:$CH$4,AE192),"")</f>
        <v/>
      </c>
      <c r="AO192" s="14" t="str">
        <f>IF(AE192&gt;0,ROUND(INDEX(挂机升级突破!$BX$6:$CH$57,卡牌消耗!AI192,AE192)*INDEX(卡牌消耗!$B$7:$F$7,AG192)/$Q$4,0),"")</f>
        <v/>
      </c>
      <c r="AP192" s="106"/>
      <c r="AQ192" s="15"/>
      <c r="AR192" s="104">
        <v>188</v>
      </c>
      <c r="AS192" s="14">
        <f t="shared" si="79"/>
        <v>10</v>
      </c>
      <c r="AT192" s="14">
        <f>INDEX(挂机升级突破!$CM$7:$CM$26,AX192)</f>
        <v>5</v>
      </c>
      <c r="AU192" s="14">
        <f>INDEX(挂机升级突破!$CN$7:$CN$26,AX192)</f>
        <v>1</v>
      </c>
      <c r="AV192" s="14">
        <f t="shared" si="80"/>
        <v>4</v>
      </c>
      <c r="AW192" s="14" t="str">
        <f t="shared" si="81"/>
        <v>张郃</v>
      </c>
      <c r="AX192" s="14">
        <f t="shared" si="82"/>
        <v>8</v>
      </c>
      <c r="AY192" s="14" t="str">
        <f t="shared" si="83"/>
        <v>张郃8突</v>
      </c>
      <c r="AZ192" s="14" t="str">
        <f>IF(AT192&gt;0,INDEX(挂机升级突破!$CV$5:$CZ$5,卡牌消耗!AT192),"")</f>
        <v>金币</v>
      </c>
      <c r="BA192" s="14">
        <f>IF(AT192&gt;0,ROUND(INDEX(挂机升级突破!$CZ$7:$CZ$26,卡牌消耗!AX192)*INDEX(卡牌消耗!$B$8:$F$8,AV192)/$Q$4/500,0)*500,"")</f>
        <v>9500</v>
      </c>
      <c r="BB192" s="14" t="str">
        <f>IF(AU192&gt;0,INDEX(挂机升级突破!$CV$5:$CZ$5,卡牌消耗!AU192),"")</f>
        <v>玄铁</v>
      </c>
      <c r="BC192" s="14">
        <f>IF(AU192&gt;0,ROUND(INDEX(挂机升级突破!$CV$7:$CY$26,卡牌消耗!AX192,卡牌消耗!AU192)*INDEX($B$6:$F$6,AV192)/$Q$4/5,0)*5,"")</f>
        <v>625</v>
      </c>
      <c r="BD192" s="104"/>
      <c r="BE192" s="104"/>
      <c r="BF192" s="106"/>
      <c r="BW192" s="65">
        <v>150</v>
      </c>
      <c r="BX192" s="65">
        <v>19</v>
      </c>
      <c r="BY192" s="21">
        <f t="shared" si="96"/>
        <v>0.1310344827586207</v>
      </c>
      <c r="BZ192" s="65">
        <f t="shared" si="97"/>
        <v>0</v>
      </c>
      <c r="CA192" s="65" t="e">
        <f>SUM(BZ$5:BZ192)</f>
        <v>#REF!</v>
      </c>
      <c r="CD192" s="136">
        <v>188</v>
      </c>
      <c r="CE192" s="14">
        <f t="shared" si="85"/>
        <v>38</v>
      </c>
      <c r="CF192" s="14">
        <f t="shared" si="69"/>
        <v>2</v>
      </c>
      <c r="CG192" s="14">
        <f t="shared" si="70"/>
        <v>1102015</v>
      </c>
      <c r="CH192" s="136" t="s">
        <v>1127</v>
      </c>
      <c r="CI192" s="14">
        <f t="shared" si="71"/>
        <v>3</v>
      </c>
      <c r="CJ192" s="14" t="str">
        <f t="shared" si="72"/>
        <v>于禁-3星</v>
      </c>
      <c r="CK192" s="136" t="s">
        <v>1133</v>
      </c>
      <c r="CL192" s="14">
        <f t="shared" si="86"/>
        <v>7000</v>
      </c>
      <c r="CM192" s="14" t="str">
        <f t="shared" si="73"/>
        <v>于禁碎片</v>
      </c>
      <c r="CN192" s="14">
        <f t="shared" si="87"/>
        <v>80</v>
      </c>
    </row>
    <row r="193" spans="8:92" ht="16.5" x14ac:dyDescent="0.2">
      <c r="H193" s="15"/>
      <c r="I193" s="15"/>
      <c r="J193" s="15"/>
      <c r="K193" s="15"/>
      <c r="L193" s="15"/>
      <c r="M193" s="15"/>
      <c r="N193" s="15"/>
      <c r="O193" s="137"/>
      <c r="P193" s="141"/>
      <c r="Q193" s="141"/>
      <c r="R193" s="141"/>
      <c r="S193" s="141"/>
      <c r="T193" s="141"/>
      <c r="U193" s="141"/>
      <c r="V193" s="141"/>
      <c r="W193" s="141"/>
      <c r="X193" s="141"/>
      <c r="Y193" s="141"/>
      <c r="Z193" s="141"/>
      <c r="AA193" s="104">
        <v>189</v>
      </c>
      <c r="AB193" s="14">
        <f t="shared" si="74"/>
        <v>4</v>
      </c>
      <c r="AC193" s="14">
        <f>INDEX(挂机升级突破!$BU$6:$BU$57,卡牌消耗!AI193)</f>
        <v>11</v>
      </c>
      <c r="AD193" s="14">
        <f>INDEX(挂机升级突破!BV$6:BV$57,卡牌消耗!$AI193)</f>
        <v>4</v>
      </c>
      <c r="AE193" s="14">
        <f>INDEX(挂机升级突破!BW$6:BW$57,卡牌消耗!$AI193)</f>
        <v>0</v>
      </c>
      <c r="AF193" s="14" t="str">
        <f t="shared" si="75"/>
        <v>唐流雨</v>
      </c>
      <c r="AG193" s="14">
        <f t="shared" si="76"/>
        <v>2</v>
      </c>
      <c r="AH193" s="14" t="str">
        <f t="shared" si="77"/>
        <v>唐流雨魂火-33</v>
      </c>
      <c r="AI193" s="14">
        <f t="shared" si="78"/>
        <v>33</v>
      </c>
      <c r="AJ193" s="14" t="str">
        <f>INDEX(挂机升级突破!$BX$4:$CH$4,INDEX(挂机升级突破!$BU$6:$BU$57,卡牌消耗!AI193))</f>
        <v>金币</v>
      </c>
      <c r="AK193" s="14">
        <f>ROUND(INDEX(挂机升级突破!$BN$6:$BN$57,卡牌消耗!AI193)*INDEX(卡牌消耗!$B$8:$F$8,AG193)/$Q$4/50,0)*50</f>
        <v>6650</v>
      </c>
      <c r="AL193" s="14" t="str">
        <f>IF(AD193&gt;0,INDEX(挂机升级突破!$BX$4:$CH$4,AD193),"")</f>
        <v>橙色基础材料</v>
      </c>
      <c r="AM193" s="14">
        <f>ROUND(INDEX(挂机升级突破!$BX$6:$CH$57,卡牌消耗!AI193,AD193)*INDEX(卡牌消耗!$B$5:$F$5,AG193)/$Q$4/5,0)*5</f>
        <v>80</v>
      </c>
      <c r="AN193" s="14" t="str">
        <f>IF(AE193&gt;0,INDEX(挂机升级突破!$BX$4:$CH$4,AE193),"")</f>
        <v/>
      </c>
      <c r="AO193" s="14" t="str">
        <f>IF(AE193&gt;0,ROUND(INDEX(挂机升级突破!$BX$6:$CH$57,卡牌消耗!AI193,AE193)*INDEX(卡牌消耗!$B$7:$F$7,AG193)/$Q$4,0),"")</f>
        <v/>
      </c>
      <c r="AP193" s="106"/>
      <c r="AQ193" s="15"/>
      <c r="AR193" s="104">
        <v>189</v>
      </c>
      <c r="AS193" s="14">
        <f t="shared" si="79"/>
        <v>10</v>
      </c>
      <c r="AT193" s="14">
        <f>INDEX(挂机升级突破!$CM$7:$CM$26,AX193)</f>
        <v>5</v>
      </c>
      <c r="AU193" s="14">
        <f>INDEX(挂机升级突破!$CN$7:$CN$26,AX193)</f>
        <v>2</v>
      </c>
      <c r="AV193" s="14">
        <f t="shared" si="80"/>
        <v>4</v>
      </c>
      <c r="AW193" s="14" t="str">
        <f t="shared" si="81"/>
        <v>张郃</v>
      </c>
      <c r="AX193" s="14">
        <f t="shared" si="82"/>
        <v>9</v>
      </c>
      <c r="AY193" s="14" t="str">
        <f t="shared" si="83"/>
        <v>张郃9突</v>
      </c>
      <c r="AZ193" s="14" t="str">
        <f>IF(AT193&gt;0,INDEX(挂机升级突破!$CV$5:$CZ$5,卡牌消耗!AT193),"")</f>
        <v>金币</v>
      </c>
      <c r="BA193" s="14">
        <f>IF(AT193&gt;0,ROUND(INDEX(挂机升级突破!$CZ$7:$CZ$26,卡牌消耗!AX193)*INDEX(卡牌消耗!$B$8:$F$8,AV193)/$Q$4/500,0)*500,"")</f>
        <v>12500</v>
      </c>
      <c r="BB193" s="14" t="str">
        <f>IF(AU193&gt;0,INDEX(挂机升级突破!$CV$5:$CZ$5,卡牌消耗!AU193),"")</f>
        <v>乌金</v>
      </c>
      <c r="BC193" s="14">
        <f>IF(AU193&gt;0,ROUND(INDEX(挂机升级突破!$CV$7:$CY$26,卡牌消耗!AX193,卡牌消耗!AU193)*INDEX($B$6:$F$6,AV193)/$Q$4/5,0)*5,"")</f>
        <v>75</v>
      </c>
      <c r="BD193" s="104"/>
      <c r="BE193" s="104"/>
      <c r="BF193" s="106"/>
      <c r="BU193" s="65" t="s">
        <v>123</v>
      </c>
      <c r="BV193" s="65">
        <v>19</v>
      </c>
      <c r="BW193" s="65">
        <v>141</v>
      </c>
      <c r="BX193" s="65">
        <v>10</v>
      </c>
      <c r="BY193" s="21">
        <f t="shared" ref="BY193:BY202" si="98">BX193/BV$156</f>
        <v>6.8965517241379309E-2</v>
      </c>
      <c r="BZ193" s="65">
        <f>INT($BV$194*BY193)</f>
        <v>0</v>
      </c>
      <c r="CA193" s="65" t="e">
        <f>SUM(BZ$5:BZ193)</f>
        <v>#REF!</v>
      </c>
      <c r="CD193" s="136">
        <v>189</v>
      </c>
      <c r="CE193" s="14">
        <f t="shared" si="85"/>
        <v>38</v>
      </c>
      <c r="CF193" s="14">
        <f t="shared" si="69"/>
        <v>2</v>
      </c>
      <c r="CG193" s="14">
        <f t="shared" si="70"/>
        <v>1102015</v>
      </c>
      <c r="CH193" s="136" t="s">
        <v>1127</v>
      </c>
      <c r="CI193" s="14">
        <f t="shared" si="71"/>
        <v>4</v>
      </c>
      <c r="CJ193" s="14" t="str">
        <f t="shared" si="72"/>
        <v>于禁-4星</v>
      </c>
      <c r="CK193" s="136" t="s">
        <v>1133</v>
      </c>
      <c r="CL193" s="14">
        <f t="shared" si="86"/>
        <v>16000</v>
      </c>
      <c r="CM193" s="14" t="str">
        <f t="shared" si="73"/>
        <v>于禁碎片</v>
      </c>
      <c r="CN193" s="14">
        <f t="shared" si="87"/>
        <v>120</v>
      </c>
    </row>
    <row r="194" spans="8:92" ht="16.5" x14ac:dyDescent="0.2">
      <c r="H194" s="15"/>
      <c r="I194" s="15"/>
      <c r="J194" s="15"/>
      <c r="K194" s="15"/>
      <c r="L194" s="15"/>
      <c r="M194" s="15"/>
      <c r="N194" s="15"/>
      <c r="O194" s="137"/>
      <c r="P194" s="141"/>
      <c r="Q194" s="141"/>
      <c r="R194" s="141"/>
      <c r="S194" s="141"/>
      <c r="T194" s="141"/>
      <c r="U194" s="141"/>
      <c r="V194" s="141"/>
      <c r="W194" s="141"/>
      <c r="X194" s="141"/>
      <c r="Y194" s="141"/>
      <c r="Z194" s="141"/>
      <c r="AA194" s="104">
        <v>190</v>
      </c>
      <c r="AB194" s="14">
        <f t="shared" si="74"/>
        <v>4</v>
      </c>
      <c r="AC194" s="14">
        <f>INDEX(挂机升级突破!$BU$6:$BU$57,卡牌消耗!AI194)</f>
        <v>11</v>
      </c>
      <c r="AD194" s="14">
        <f>INDEX(挂机升级突破!BV$6:BV$57,卡牌消耗!$AI194)</f>
        <v>4</v>
      </c>
      <c r="AE194" s="14">
        <f>INDEX(挂机升级突破!BW$6:BW$57,卡牌消耗!$AI194)</f>
        <v>0</v>
      </c>
      <c r="AF194" s="14" t="str">
        <f t="shared" si="75"/>
        <v>唐流雨</v>
      </c>
      <c r="AG194" s="14">
        <f t="shared" si="76"/>
        <v>2</v>
      </c>
      <c r="AH194" s="14" t="str">
        <f t="shared" si="77"/>
        <v>唐流雨魂火-34</v>
      </c>
      <c r="AI194" s="14">
        <f t="shared" si="78"/>
        <v>34</v>
      </c>
      <c r="AJ194" s="14" t="str">
        <f>INDEX(挂机升级突破!$BX$4:$CH$4,INDEX(挂机升级突破!$BU$6:$BU$57,卡牌消耗!AI194))</f>
        <v>金币</v>
      </c>
      <c r="AK194" s="14">
        <f>ROUND(INDEX(挂机升级突破!$BN$6:$BN$57,卡牌消耗!AI194)*INDEX(卡牌消耗!$B$8:$F$8,AG194)/$Q$4/50,0)*50</f>
        <v>6650</v>
      </c>
      <c r="AL194" s="14" t="str">
        <f>IF(AD194&gt;0,INDEX(挂机升级突破!$BX$4:$CH$4,AD194),"")</f>
        <v>橙色基础材料</v>
      </c>
      <c r="AM194" s="14">
        <f>ROUND(INDEX(挂机升级突破!$BX$6:$CH$57,卡牌消耗!AI194,AD194)*INDEX(卡牌消耗!$B$5:$F$5,AG194)/$Q$4/5,0)*5</f>
        <v>90</v>
      </c>
      <c r="AN194" s="14" t="str">
        <f>IF(AE194&gt;0,INDEX(挂机升级突破!$BX$4:$CH$4,AE194),"")</f>
        <v/>
      </c>
      <c r="AO194" s="14" t="str">
        <f>IF(AE194&gt;0,ROUND(INDEX(挂机升级突破!$BX$6:$CH$57,卡牌消耗!AI194,AE194)*INDEX(卡牌消耗!$B$7:$F$7,AG194)/$Q$4,0),"")</f>
        <v/>
      </c>
      <c r="AP194" s="106"/>
      <c r="AQ194" s="15"/>
      <c r="AR194" s="104">
        <v>190</v>
      </c>
      <c r="AS194" s="14">
        <f t="shared" si="79"/>
        <v>10</v>
      </c>
      <c r="AT194" s="14">
        <f>INDEX(挂机升级突破!$CM$7:$CM$26,AX194)</f>
        <v>5</v>
      </c>
      <c r="AU194" s="14">
        <f>INDEX(挂机升级突破!$CN$7:$CN$26,AX194)</f>
        <v>2</v>
      </c>
      <c r="AV194" s="14">
        <f t="shared" si="80"/>
        <v>4</v>
      </c>
      <c r="AW194" s="14" t="str">
        <f t="shared" si="81"/>
        <v>张郃</v>
      </c>
      <c r="AX194" s="14">
        <f t="shared" si="82"/>
        <v>10</v>
      </c>
      <c r="AY194" s="14" t="str">
        <f t="shared" si="83"/>
        <v>张郃10突</v>
      </c>
      <c r="AZ194" s="14" t="str">
        <f>IF(AT194&gt;0,INDEX(挂机升级突破!$CV$5:$CZ$5,卡牌消耗!AT194),"")</f>
        <v>金币</v>
      </c>
      <c r="BA194" s="14">
        <f>IF(AT194&gt;0,ROUND(INDEX(挂机升级突破!$CZ$7:$CZ$26,卡牌消耗!AX194)*INDEX(卡牌消耗!$B$8:$F$8,AV194)/$Q$4/500,0)*500,"")</f>
        <v>22000</v>
      </c>
      <c r="BB194" s="14" t="str">
        <f>IF(AU194&gt;0,INDEX(挂机升级突破!$CV$5:$CZ$5,卡牌消耗!AU194),"")</f>
        <v>乌金</v>
      </c>
      <c r="BC194" s="14">
        <f>IF(AU194&gt;0,ROUND(INDEX(挂机升级突破!$CV$7:$CY$26,卡牌消耗!AX194,卡牌消耗!AU194)*INDEX($B$6:$F$6,AV194)/$Q$4/5,0)*5,"")</f>
        <v>110</v>
      </c>
      <c r="BD194" s="104"/>
      <c r="BE194" s="104"/>
      <c r="BF194" s="106"/>
      <c r="BU194" s="14" t="str">
        <f>INDEX($BH$5:$BH$24,BV193)</f>
        <v>95~100</v>
      </c>
      <c r="BV194" s="14">
        <f>INDEX($BQ$5:$BQ$24,BV193)</f>
        <v>0</v>
      </c>
      <c r="BW194" s="65">
        <v>142</v>
      </c>
      <c r="BX194" s="65">
        <v>11</v>
      </c>
      <c r="BY194" s="21">
        <f t="shared" si="98"/>
        <v>7.586206896551724E-2</v>
      </c>
      <c r="BZ194" s="65">
        <f t="shared" ref="BZ194:BZ202" si="99">INT($BV$194*BY194)</f>
        <v>0</v>
      </c>
      <c r="CA194" s="65" t="e">
        <f>SUM(BZ$5:BZ194)</f>
        <v>#REF!</v>
      </c>
      <c r="CD194" s="136">
        <v>190</v>
      </c>
      <c r="CE194" s="14">
        <f t="shared" si="85"/>
        <v>38</v>
      </c>
      <c r="CF194" s="14">
        <f t="shared" si="69"/>
        <v>2</v>
      </c>
      <c r="CG194" s="14">
        <f t="shared" si="70"/>
        <v>1102015</v>
      </c>
      <c r="CH194" s="136" t="s">
        <v>1127</v>
      </c>
      <c r="CI194" s="14">
        <f t="shared" si="71"/>
        <v>5</v>
      </c>
      <c r="CJ194" s="14" t="str">
        <f t="shared" si="72"/>
        <v>于禁-5星</v>
      </c>
      <c r="CK194" s="136" t="s">
        <v>1133</v>
      </c>
      <c r="CL194" s="14">
        <f t="shared" si="86"/>
        <v>30000</v>
      </c>
      <c r="CM194" s="14" t="str">
        <f t="shared" si="73"/>
        <v>于禁碎片</v>
      </c>
      <c r="CN194" s="14">
        <f t="shared" si="87"/>
        <v>160</v>
      </c>
    </row>
    <row r="195" spans="8:92" ht="16.5" x14ac:dyDescent="0.2">
      <c r="H195" s="15"/>
      <c r="I195" s="15"/>
      <c r="J195" s="15"/>
      <c r="K195" s="15"/>
      <c r="L195" s="15"/>
      <c r="M195" s="15"/>
      <c r="N195" s="15"/>
      <c r="O195" s="137"/>
      <c r="P195" s="141"/>
      <c r="Q195" s="141"/>
      <c r="R195" s="141"/>
      <c r="S195" s="141"/>
      <c r="T195" s="141"/>
      <c r="U195" s="141"/>
      <c r="V195" s="141"/>
      <c r="W195" s="141"/>
      <c r="X195" s="141"/>
      <c r="Y195" s="141"/>
      <c r="Z195" s="141"/>
      <c r="AA195" s="104">
        <v>191</v>
      </c>
      <c r="AB195" s="14">
        <f t="shared" si="74"/>
        <v>4</v>
      </c>
      <c r="AC195" s="14">
        <f>INDEX(挂机升级突破!$BU$6:$BU$57,卡牌消耗!AI195)</f>
        <v>11</v>
      </c>
      <c r="AD195" s="14">
        <f>INDEX(挂机升级突破!BV$6:BV$57,卡牌消耗!$AI195)</f>
        <v>4</v>
      </c>
      <c r="AE195" s="14">
        <f>INDEX(挂机升级突破!BW$6:BW$57,卡牌消耗!$AI195)</f>
        <v>0</v>
      </c>
      <c r="AF195" s="14" t="str">
        <f t="shared" si="75"/>
        <v>唐流雨</v>
      </c>
      <c r="AG195" s="14">
        <f t="shared" si="76"/>
        <v>2</v>
      </c>
      <c r="AH195" s="14" t="str">
        <f t="shared" si="77"/>
        <v>唐流雨魂火-35</v>
      </c>
      <c r="AI195" s="14">
        <f t="shared" si="78"/>
        <v>35</v>
      </c>
      <c r="AJ195" s="14" t="str">
        <f>INDEX(挂机升级突破!$BX$4:$CH$4,INDEX(挂机升级突破!$BU$6:$BU$57,卡牌消耗!AI195))</f>
        <v>金币</v>
      </c>
      <c r="AK195" s="14">
        <f>ROUND(INDEX(挂机升级突破!$BN$6:$BN$57,卡牌消耗!AI195)*INDEX(卡牌消耗!$B$8:$F$8,AG195)/$Q$4/50,0)*50</f>
        <v>8450</v>
      </c>
      <c r="AL195" s="14" t="str">
        <f>IF(AD195&gt;0,INDEX(挂机升级突破!$BX$4:$CH$4,AD195),"")</f>
        <v>橙色基础材料</v>
      </c>
      <c r="AM195" s="14">
        <f>ROUND(INDEX(挂机升级突破!$BX$6:$CH$57,卡牌消耗!AI195,AD195)*INDEX(卡牌消耗!$B$5:$F$5,AG195)/$Q$4/5,0)*5</f>
        <v>90</v>
      </c>
      <c r="AN195" s="14" t="str">
        <f>IF(AE195&gt;0,INDEX(挂机升级突破!$BX$4:$CH$4,AE195),"")</f>
        <v/>
      </c>
      <c r="AO195" s="14" t="str">
        <f>IF(AE195&gt;0,ROUND(INDEX(挂机升级突破!$BX$6:$CH$57,卡牌消耗!AI195,AE195)*INDEX(卡牌消耗!$B$7:$F$7,AG195)/$Q$4,0),"")</f>
        <v/>
      </c>
      <c r="AP195" s="106"/>
      <c r="AQ195" s="15"/>
      <c r="AR195" s="104">
        <v>191</v>
      </c>
      <c r="AS195" s="14">
        <f t="shared" si="79"/>
        <v>10</v>
      </c>
      <c r="AT195" s="14">
        <f>INDEX(挂机升级突破!$CM$7:$CM$26,AX195)</f>
        <v>5</v>
      </c>
      <c r="AU195" s="14">
        <f>INDEX(挂机升级突破!$CN$7:$CN$26,AX195)</f>
        <v>2</v>
      </c>
      <c r="AV195" s="14">
        <f t="shared" si="80"/>
        <v>4</v>
      </c>
      <c r="AW195" s="14" t="str">
        <f t="shared" si="81"/>
        <v>张郃</v>
      </c>
      <c r="AX195" s="14">
        <f t="shared" si="82"/>
        <v>11</v>
      </c>
      <c r="AY195" s="14" t="str">
        <f t="shared" si="83"/>
        <v>张郃11突</v>
      </c>
      <c r="AZ195" s="14" t="str">
        <f>IF(AT195&gt;0,INDEX(挂机升级突破!$CV$5:$CZ$5,卡牌消耗!AT195),"")</f>
        <v>金币</v>
      </c>
      <c r="BA195" s="14">
        <f>IF(AT195&gt;0,ROUND(INDEX(挂机升级突破!$CZ$7:$CZ$26,卡牌消耗!AX195)*INDEX(卡牌消耗!$B$8:$F$8,AV195)/$Q$4/500,0)*500,"")</f>
        <v>22000</v>
      </c>
      <c r="BB195" s="14" t="str">
        <f>IF(AU195&gt;0,INDEX(挂机升级突破!$CV$5:$CZ$5,卡牌消耗!AU195),"")</f>
        <v>乌金</v>
      </c>
      <c r="BC195" s="14">
        <f>IF(AU195&gt;0,ROUND(INDEX(挂机升级突破!$CV$7:$CY$26,卡牌消耗!AX195,卡牌消耗!AU195)*INDEX($B$6:$F$6,AV195)/$Q$4/5,0)*5,"")</f>
        <v>145</v>
      </c>
      <c r="BD195" s="104"/>
      <c r="BE195" s="104"/>
      <c r="BF195" s="106"/>
      <c r="BU195" s="65" t="s">
        <v>309</v>
      </c>
      <c r="BV195" s="14">
        <f>INDEX($BR$5:$BR$24,BV193)</f>
        <v>0</v>
      </c>
      <c r="BW195" s="65">
        <v>143</v>
      </c>
      <c r="BX195" s="65">
        <v>12</v>
      </c>
      <c r="BY195" s="21">
        <f t="shared" si="98"/>
        <v>8.2758620689655171E-2</v>
      </c>
      <c r="BZ195" s="65">
        <f t="shared" si="99"/>
        <v>0</v>
      </c>
      <c r="CA195" s="65" t="e">
        <f>SUM(BZ$5:BZ195)</f>
        <v>#REF!</v>
      </c>
      <c r="CD195" s="136">
        <v>191</v>
      </c>
      <c r="CE195" s="14">
        <f t="shared" si="85"/>
        <v>39</v>
      </c>
      <c r="CF195" s="14">
        <f t="shared" si="69"/>
        <v>4</v>
      </c>
      <c r="CG195" s="14">
        <f t="shared" si="70"/>
        <v>1102016</v>
      </c>
      <c r="CH195" s="136" t="s">
        <v>1127</v>
      </c>
      <c r="CI195" s="14">
        <f t="shared" si="71"/>
        <v>1</v>
      </c>
      <c r="CJ195" s="14" t="str">
        <f t="shared" si="72"/>
        <v>西方龙-1星</v>
      </c>
      <c r="CK195" s="136" t="s">
        <v>1133</v>
      </c>
      <c r="CL195" s="14">
        <f t="shared" si="86"/>
        <v>6000</v>
      </c>
      <c r="CM195" s="14" t="str">
        <f t="shared" si="73"/>
        <v>西方龙碎片</v>
      </c>
      <c r="CN195" s="14">
        <f t="shared" si="87"/>
        <v>80</v>
      </c>
    </row>
    <row r="196" spans="8:92" ht="16.5" x14ac:dyDescent="0.2">
      <c r="H196" s="15"/>
      <c r="I196" s="15"/>
      <c r="J196" s="15"/>
      <c r="K196" s="15"/>
      <c r="L196" s="15"/>
      <c r="M196" s="15"/>
      <c r="N196" s="15"/>
      <c r="O196" s="137"/>
      <c r="P196" s="141"/>
      <c r="Q196" s="141"/>
      <c r="R196" s="141"/>
      <c r="S196" s="141"/>
      <c r="T196" s="141"/>
      <c r="U196" s="141"/>
      <c r="V196" s="141"/>
      <c r="W196" s="141"/>
      <c r="X196" s="141"/>
      <c r="Y196" s="141"/>
      <c r="Z196" s="141"/>
      <c r="AA196" s="104">
        <v>192</v>
      </c>
      <c r="AB196" s="14">
        <f t="shared" si="74"/>
        <v>4</v>
      </c>
      <c r="AC196" s="14">
        <f>INDEX(挂机升级突破!$BU$6:$BU$57,卡牌消耗!AI196)</f>
        <v>11</v>
      </c>
      <c r="AD196" s="14">
        <f>INDEX(挂机升级突破!BV$6:BV$57,卡牌消耗!$AI196)</f>
        <v>4</v>
      </c>
      <c r="AE196" s="14">
        <f>INDEX(挂机升级突破!BW$6:BW$57,卡牌消耗!$AI196)</f>
        <v>0</v>
      </c>
      <c r="AF196" s="14" t="str">
        <f t="shared" si="75"/>
        <v>唐流雨</v>
      </c>
      <c r="AG196" s="14">
        <f t="shared" si="76"/>
        <v>2</v>
      </c>
      <c r="AH196" s="14" t="str">
        <f t="shared" si="77"/>
        <v>唐流雨魂火-36</v>
      </c>
      <c r="AI196" s="14">
        <f t="shared" si="78"/>
        <v>36</v>
      </c>
      <c r="AJ196" s="14" t="str">
        <f>INDEX(挂机升级突破!$BX$4:$CH$4,INDEX(挂机升级突破!$BU$6:$BU$57,卡牌消耗!AI196))</f>
        <v>金币</v>
      </c>
      <c r="AK196" s="14">
        <f>ROUND(INDEX(挂机升级突破!$BN$6:$BN$57,卡牌消耗!AI196)*INDEX(卡牌消耗!$B$8:$F$8,AG196)/$Q$4/50,0)*50</f>
        <v>8450</v>
      </c>
      <c r="AL196" s="14" t="str">
        <f>IF(AD196&gt;0,INDEX(挂机升级突破!$BX$4:$CH$4,AD196),"")</f>
        <v>橙色基础材料</v>
      </c>
      <c r="AM196" s="14">
        <f>ROUND(INDEX(挂机升级突破!$BX$6:$CH$57,卡牌消耗!AI196,AD196)*INDEX(卡牌消耗!$B$5:$F$5,AG196)/$Q$4/5,0)*5</f>
        <v>90</v>
      </c>
      <c r="AN196" s="14" t="str">
        <f>IF(AE196&gt;0,INDEX(挂机升级突破!$BX$4:$CH$4,AE196),"")</f>
        <v/>
      </c>
      <c r="AO196" s="14" t="str">
        <f>IF(AE196&gt;0,ROUND(INDEX(挂机升级突破!$BX$6:$CH$57,卡牌消耗!AI196,AE196)*INDEX(卡牌消耗!$B$7:$F$7,AG196)/$Q$4,0),"")</f>
        <v/>
      </c>
      <c r="AP196" s="106"/>
      <c r="AQ196" s="15"/>
      <c r="AR196" s="104">
        <v>192</v>
      </c>
      <c r="AS196" s="14">
        <f t="shared" si="79"/>
        <v>10</v>
      </c>
      <c r="AT196" s="14">
        <f>INDEX(挂机升级突破!$CM$7:$CM$26,AX196)</f>
        <v>5</v>
      </c>
      <c r="AU196" s="14">
        <f>INDEX(挂机升级突破!$CN$7:$CN$26,AX196)</f>
        <v>2</v>
      </c>
      <c r="AV196" s="14">
        <f t="shared" si="80"/>
        <v>4</v>
      </c>
      <c r="AW196" s="14" t="str">
        <f t="shared" si="81"/>
        <v>张郃</v>
      </c>
      <c r="AX196" s="14">
        <f t="shared" si="82"/>
        <v>12</v>
      </c>
      <c r="AY196" s="14" t="str">
        <f t="shared" si="83"/>
        <v>张郃12突</v>
      </c>
      <c r="AZ196" s="14" t="str">
        <f>IF(AT196&gt;0,INDEX(挂机升级突破!$CV$5:$CZ$5,卡牌消耗!AT196),"")</f>
        <v>金币</v>
      </c>
      <c r="BA196" s="14">
        <f>IF(AT196&gt;0,ROUND(INDEX(挂机升级突破!$CZ$7:$CZ$26,卡牌消耗!AX196)*INDEX(卡牌消耗!$B$8:$F$8,AV196)/$Q$4/500,0)*500,"")</f>
        <v>29500</v>
      </c>
      <c r="BB196" s="14" t="str">
        <f>IF(AU196&gt;0,INDEX(挂机升级突破!$CV$5:$CZ$5,卡牌消耗!AU196),"")</f>
        <v>乌金</v>
      </c>
      <c r="BC196" s="14">
        <f>IF(AU196&gt;0,ROUND(INDEX(挂机升级突破!$CV$7:$CY$26,卡牌消耗!AX196,卡牌消耗!AU196)*INDEX($B$6:$F$6,AV196)/$Q$4/5,0)*5,"")</f>
        <v>185</v>
      </c>
      <c r="BD196" s="104"/>
      <c r="BE196" s="104"/>
      <c r="BF196" s="106"/>
      <c r="BU196" s="15"/>
      <c r="BV196" s="14">
        <f>SUM(BX193:BX202)</f>
        <v>145</v>
      </c>
      <c r="BW196" s="65">
        <v>144</v>
      </c>
      <c r="BX196" s="65">
        <v>13</v>
      </c>
      <c r="BY196" s="21">
        <f t="shared" si="98"/>
        <v>8.9655172413793102E-2</v>
      </c>
      <c r="BZ196" s="65">
        <f t="shared" si="99"/>
        <v>0</v>
      </c>
      <c r="CA196" s="65" t="e">
        <f>SUM(BZ$5:BZ196)</f>
        <v>#REF!</v>
      </c>
      <c r="CD196" s="136">
        <v>192</v>
      </c>
      <c r="CE196" s="14">
        <f t="shared" si="85"/>
        <v>39</v>
      </c>
      <c r="CF196" s="14">
        <f t="shared" si="69"/>
        <v>4</v>
      </c>
      <c r="CG196" s="14">
        <f t="shared" si="70"/>
        <v>1102016</v>
      </c>
      <c r="CH196" s="136" t="s">
        <v>1127</v>
      </c>
      <c r="CI196" s="14">
        <f t="shared" si="71"/>
        <v>2</v>
      </c>
      <c r="CJ196" s="14" t="str">
        <f t="shared" si="72"/>
        <v>西方龙-2星</v>
      </c>
      <c r="CK196" s="136" t="s">
        <v>1133</v>
      </c>
      <c r="CL196" s="14">
        <f t="shared" si="86"/>
        <v>8000</v>
      </c>
      <c r="CM196" s="14" t="str">
        <f t="shared" si="73"/>
        <v>西方龙碎片</v>
      </c>
      <c r="CN196" s="14">
        <f t="shared" si="87"/>
        <v>80</v>
      </c>
    </row>
    <row r="197" spans="8:92" ht="16.5" x14ac:dyDescent="0.2">
      <c r="H197" s="15"/>
      <c r="I197" s="15"/>
      <c r="J197" s="15"/>
      <c r="K197" s="15"/>
      <c r="L197" s="15"/>
      <c r="M197" s="15"/>
      <c r="N197" s="15"/>
      <c r="O197" s="137"/>
      <c r="P197" s="141"/>
      <c r="Q197" s="141"/>
      <c r="R197" s="141"/>
      <c r="S197" s="141"/>
      <c r="T197" s="141"/>
      <c r="U197" s="141"/>
      <c r="V197" s="141"/>
      <c r="W197" s="141"/>
      <c r="X197" s="141"/>
      <c r="Y197" s="141"/>
      <c r="Z197" s="141"/>
      <c r="AA197" s="104">
        <v>193</v>
      </c>
      <c r="AB197" s="14">
        <f t="shared" si="74"/>
        <v>4</v>
      </c>
      <c r="AC197" s="14">
        <f>INDEX(挂机升级突破!$BU$6:$BU$57,卡牌消耗!AI197)</f>
        <v>11</v>
      </c>
      <c r="AD197" s="14">
        <f>INDEX(挂机升级突破!BV$6:BV$57,卡牌消耗!$AI197)</f>
        <v>4</v>
      </c>
      <c r="AE197" s="14">
        <f>INDEX(挂机升级突破!BW$6:BW$57,卡牌消耗!$AI197)</f>
        <v>0</v>
      </c>
      <c r="AF197" s="14" t="str">
        <f t="shared" si="75"/>
        <v>唐流雨</v>
      </c>
      <c r="AG197" s="14">
        <f t="shared" si="76"/>
        <v>2</v>
      </c>
      <c r="AH197" s="14" t="str">
        <f t="shared" si="77"/>
        <v>唐流雨魂火-37</v>
      </c>
      <c r="AI197" s="14">
        <f t="shared" si="78"/>
        <v>37</v>
      </c>
      <c r="AJ197" s="14" t="str">
        <f>INDEX(挂机升级突破!$BX$4:$CH$4,INDEX(挂机升级突破!$BU$6:$BU$57,卡牌消耗!AI197))</f>
        <v>金币</v>
      </c>
      <c r="AK197" s="14">
        <f>ROUND(INDEX(挂机升级突破!$BN$6:$BN$57,卡牌消耗!AI197)*INDEX(卡牌消耗!$B$8:$F$8,AG197)/$Q$4/50,0)*50</f>
        <v>9050</v>
      </c>
      <c r="AL197" s="14" t="str">
        <f>IF(AD197&gt;0,INDEX(挂机升级突破!$BX$4:$CH$4,AD197),"")</f>
        <v>橙色基础材料</v>
      </c>
      <c r="AM197" s="14">
        <f>ROUND(INDEX(挂机升级突破!$BX$6:$CH$57,卡牌消耗!AI197,AD197)*INDEX(卡牌消耗!$B$5:$F$5,AG197)/$Q$4/5,0)*5</f>
        <v>90</v>
      </c>
      <c r="AN197" s="14" t="str">
        <f>IF(AE197&gt;0,INDEX(挂机升级突破!$BX$4:$CH$4,AE197),"")</f>
        <v/>
      </c>
      <c r="AO197" s="14" t="str">
        <f>IF(AE197&gt;0,ROUND(INDEX(挂机升级突破!$BX$6:$CH$57,卡牌消耗!AI197,AE197)*INDEX(卡牌消耗!$B$7:$F$7,AG197)/$Q$4,0),"")</f>
        <v/>
      </c>
      <c r="AP197" s="106"/>
      <c r="AQ197" s="15"/>
      <c r="AR197" s="104">
        <v>193</v>
      </c>
      <c r="AS197" s="14">
        <f t="shared" si="79"/>
        <v>10</v>
      </c>
      <c r="AT197" s="14">
        <f>INDEX(挂机升级突破!$CM$7:$CM$26,AX197)</f>
        <v>5</v>
      </c>
      <c r="AU197" s="14">
        <f>INDEX(挂机升级突破!$CN$7:$CN$26,AX197)</f>
        <v>3</v>
      </c>
      <c r="AV197" s="14">
        <f t="shared" si="80"/>
        <v>4</v>
      </c>
      <c r="AW197" s="14" t="str">
        <f t="shared" si="81"/>
        <v>张郃</v>
      </c>
      <c r="AX197" s="14">
        <f t="shared" si="82"/>
        <v>13</v>
      </c>
      <c r="AY197" s="14" t="str">
        <f t="shared" si="83"/>
        <v>张郃13突</v>
      </c>
      <c r="AZ197" s="14" t="str">
        <f>IF(AT197&gt;0,INDEX(挂机升级突破!$CV$5:$CZ$5,卡牌消耗!AT197),"")</f>
        <v>金币</v>
      </c>
      <c r="BA197" s="14">
        <f>IF(AT197&gt;0,ROUND(INDEX(挂机升级突破!$CZ$7:$CZ$26,卡牌消耗!AX197)*INDEX(卡牌消耗!$B$8:$F$8,AV197)/$Q$4/500,0)*500,"")</f>
        <v>39000</v>
      </c>
      <c r="BB197" s="14" t="str">
        <f>IF(AU197&gt;0,INDEX(挂机升级突破!$CV$5:$CZ$5,卡牌消耗!AU197),"")</f>
        <v>银母</v>
      </c>
      <c r="BC197" s="14">
        <f>IF(AU197&gt;0,ROUND(INDEX(挂机升级突破!$CV$7:$CY$26,卡牌消耗!AX197,卡牌消耗!AU197)*INDEX($B$6:$F$6,AV197)/$Q$4/5,0)*5,"")</f>
        <v>35</v>
      </c>
      <c r="BD197" s="104"/>
      <c r="BE197" s="104"/>
      <c r="BF197" s="106"/>
      <c r="BW197" s="65">
        <v>145</v>
      </c>
      <c r="BX197" s="65">
        <v>14</v>
      </c>
      <c r="BY197" s="21">
        <f t="shared" si="98"/>
        <v>9.6551724137931033E-2</v>
      </c>
      <c r="BZ197" s="65">
        <f t="shared" si="99"/>
        <v>0</v>
      </c>
      <c r="CA197" s="65" t="e">
        <f>SUM(BZ$5:BZ197)</f>
        <v>#REF!</v>
      </c>
      <c r="CD197" s="136">
        <v>193</v>
      </c>
      <c r="CE197" s="14">
        <f t="shared" si="85"/>
        <v>39</v>
      </c>
      <c r="CF197" s="14">
        <f t="shared" ref="CF197:CF254" si="100">INDEX($C$47:$C$97,CE197)</f>
        <v>4</v>
      </c>
      <c r="CG197" s="14">
        <f t="shared" ref="CG197:CG254" si="101">INDEX($A$47:$A$97,CE197)</f>
        <v>1102016</v>
      </c>
      <c r="CH197" s="136" t="s">
        <v>1127</v>
      </c>
      <c r="CI197" s="14">
        <f t="shared" ref="CI197:CI254" si="102">CD197-INDEX($E$46:$E$97,CE197)</f>
        <v>3</v>
      </c>
      <c r="CJ197" s="14" t="str">
        <f t="shared" ref="CJ197:CJ254" si="103">INDEX($B$47:$B$97,CE197)&amp;"-"&amp;CI197&amp;"星"</f>
        <v>西方龙-3星</v>
      </c>
      <c r="CK197" s="136" t="s">
        <v>1133</v>
      </c>
      <c r="CL197" s="14">
        <f t="shared" si="86"/>
        <v>14000</v>
      </c>
      <c r="CM197" s="14" t="str">
        <f t="shared" ref="CM197:CM254" si="104">INDEX($B$47:$B$97,CE197)&amp;"碎片"</f>
        <v>西方龙碎片</v>
      </c>
      <c r="CN197" s="14">
        <f t="shared" si="87"/>
        <v>160</v>
      </c>
    </row>
    <row r="198" spans="8:92" ht="16.5" x14ac:dyDescent="0.2">
      <c r="H198" s="15"/>
      <c r="I198" s="15"/>
      <c r="J198" s="15"/>
      <c r="K198" s="15"/>
      <c r="L198" s="15"/>
      <c r="M198" s="15"/>
      <c r="N198" s="15"/>
      <c r="O198" s="137"/>
      <c r="P198" s="141"/>
      <c r="Q198" s="141"/>
      <c r="R198" s="141"/>
      <c r="S198" s="141"/>
      <c r="T198" s="141"/>
      <c r="U198" s="141"/>
      <c r="V198" s="141"/>
      <c r="W198" s="141"/>
      <c r="X198" s="141"/>
      <c r="Y198" s="141"/>
      <c r="Z198" s="141"/>
      <c r="AA198" s="104">
        <v>194</v>
      </c>
      <c r="AB198" s="14">
        <f t="shared" ref="AB198:AB261" si="105">INT((AA198-1)/52)+1</f>
        <v>4</v>
      </c>
      <c r="AC198" s="14">
        <f>INDEX(挂机升级突破!$BU$6:$BU$57,卡牌消耗!AI198)</f>
        <v>11</v>
      </c>
      <c r="AD198" s="14">
        <f>INDEX(挂机升级突破!BV$6:BV$57,卡牌消耗!$AI198)</f>
        <v>5</v>
      </c>
      <c r="AE198" s="14">
        <f>INDEX(挂机升级突破!BW$6:BW$57,卡牌消耗!$AI198)</f>
        <v>0</v>
      </c>
      <c r="AF198" s="14" t="str">
        <f t="shared" ref="AF198:AF261" si="106">INDEX($B$13:$B$40,AB198)</f>
        <v>唐流雨</v>
      </c>
      <c r="AG198" s="14">
        <f t="shared" ref="AG198:AG261" si="107">INDEX($C$13:$C$40,AB198)</f>
        <v>2</v>
      </c>
      <c r="AH198" s="14" t="str">
        <f t="shared" ref="AH198:AH261" si="108">AF198&amp;"魂火-"&amp;AI198</f>
        <v>唐流雨魂火-38</v>
      </c>
      <c r="AI198" s="14">
        <f t="shared" ref="AI198:AI261" si="109">AA198-(AB198-1)*52</f>
        <v>38</v>
      </c>
      <c r="AJ198" s="14" t="str">
        <f>INDEX(挂机升级突破!$BX$4:$CH$4,INDEX(挂机升级突破!$BU$6:$BU$57,卡牌消耗!AI198))</f>
        <v>金币</v>
      </c>
      <c r="AK198" s="14">
        <f>ROUND(INDEX(挂机升级突破!$BN$6:$BN$57,卡牌消耗!AI198)*INDEX(卡牌消耗!$B$8:$F$8,AG198)/$Q$4/50,0)*50</f>
        <v>11700</v>
      </c>
      <c r="AL198" s="14" t="str">
        <f>IF(AD198&gt;0,INDEX(挂机升级突破!$BX$4:$CH$4,AD198),"")</f>
        <v>红色基础材料</v>
      </c>
      <c r="AM198" s="14">
        <f>ROUND(INDEX(挂机升级突破!$BX$6:$CH$57,卡牌消耗!AI198,AD198)*INDEX(卡牌消耗!$B$5:$F$5,AG198)/$Q$4/5,0)*5</f>
        <v>35</v>
      </c>
      <c r="AN198" s="14" t="str">
        <f>IF(AE198&gt;0,INDEX(挂机升级突破!$BX$4:$CH$4,AE198),"")</f>
        <v/>
      </c>
      <c r="AO198" s="14" t="str">
        <f>IF(AE198&gt;0,ROUND(INDEX(挂机升级突破!$BX$6:$CH$57,卡牌消耗!AI198,AE198)*INDEX(卡牌消耗!$B$7:$F$7,AG198)/$Q$4,0),"")</f>
        <v/>
      </c>
      <c r="AP198" s="106"/>
      <c r="AQ198" s="15"/>
      <c r="AR198" s="104">
        <v>194</v>
      </c>
      <c r="AS198" s="14">
        <f t="shared" ref="AS198:AS261" si="110">INT((AR198-1)/20)+1</f>
        <v>10</v>
      </c>
      <c r="AT198" s="14">
        <f>INDEX(挂机升级突破!$CM$7:$CM$26,AX198)</f>
        <v>5</v>
      </c>
      <c r="AU198" s="14">
        <f>INDEX(挂机升级突破!$CN$7:$CN$26,AX198)</f>
        <v>3</v>
      </c>
      <c r="AV198" s="14">
        <f t="shared" ref="AV198:AV261" si="111">INDEX($C$13:$C$40,AS198)</f>
        <v>4</v>
      </c>
      <c r="AW198" s="14" t="str">
        <f t="shared" ref="AW198:AW261" si="112">INDEX($B$13:$B$40,AS198)</f>
        <v>张郃</v>
      </c>
      <c r="AX198" s="14">
        <f t="shared" ref="AX198:AX261" si="113">AR198-(AS198-1)*20</f>
        <v>14</v>
      </c>
      <c r="AY198" s="14" t="str">
        <f t="shared" ref="AY198:AY261" si="114">AW198&amp;AX198&amp;"突"</f>
        <v>张郃14突</v>
      </c>
      <c r="AZ198" s="14" t="str">
        <f>IF(AT198&gt;0,INDEX(挂机升级突破!$CV$5:$CZ$5,卡牌消耗!AT198),"")</f>
        <v>金币</v>
      </c>
      <c r="BA198" s="14">
        <f>IF(AT198&gt;0,ROUND(INDEX(挂机升级突破!$CZ$7:$CZ$26,卡牌消耗!AX198)*INDEX(卡牌消耗!$B$8:$F$8,AV198)/$Q$4/500,0)*500,"")</f>
        <v>39000</v>
      </c>
      <c r="BB198" s="14" t="str">
        <f>IF(AU198&gt;0,INDEX(挂机升级突破!$CV$5:$CZ$5,卡牌消耗!AU198),"")</f>
        <v>银母</v>
      </c>
      <c r="BC198" s="14">
        <f>IF(AU198&gt;0,ROUND(INDEX(挂机升级突破!$CV$7:$CY$26,卡牌消耗!AX198,卡牌消耗!AU198)*INDEX($B$6:$F$6,AV198)/$Q$4/5,0)*5,"")</f>
        <v>50</v>
      </c>
      <c r="BD198" s="104"/>
      <c r="BE198" s="104"/>
      <c r="BF198" s="106"/>
      <c r="BW198" s="65">
        <v>146</v>
      </c>
      <c r="BX198" s="65">
        <v>15</v>
      </c>
      <c r="BY198" s="21">
        <f t="shared" si="98"/>
        <v>0.10344827586206896</v>
      </c>
      <c r="BZ198" s="65">
        <f t="shared" si="99"/>
        <v>0</v>
      </c>
      <c r="CA198" s="65" t="e">
        <f>SUM(BZ$5:BZ198)</f>
        <v>#REF!</v>
      </c>
      <c r="CD198" s="136">
        <v>194</v>
      </c>
      <c r="CE198" s="14">
        <f t="shared" ref="CE198:CE254" si="115">INT((CD198-1)/5)+1</f>
        <v>39</v>
      </c>
      <c r="CF198" s="14">
        <f t="shared" si="100"/>
        <v>4</v>
      </c>
      <c r="CG198" s="14">
        <f t="shared" si="101"/>
        <v>1102016</v>
      </c>
      <c r="CH198" s="136" t="s">
        <v>1127</v>
      </c>
      <c r="CI198" s="14">
        <f t="shared" si="102"/>
        <v>4</v>
      </c>
      <c r="CJ198" s="14" t="str">
        <f t="shared" si="103"/>
        <v>西方龙-4星</v>
      </c>
      <c r="CK198" s="136" t="s">
        <v>1133</v>
      </c>
      <c r="CL198" s="14">
        <f t="shared" ref="CL198:CL254" si="116">INDEX($K$21:$N$25,CI198,CF198-1)</f>
        <v>32000</v>
      </c>
      <c r="CM198" s="14" t="str">
        <f t="shared" si="104"/>
        <v>西方龙碎片</v>
      </c>
      <c r="CN198" s="14">
        <f t="shared" ref="CN198:CN254" si="117">INDEX($J$5:$M$9,CI198,CF198-1)</f>
        <v>240</v>
      </c>
    </row>
    <row r="199" spans="8:92" ht="16.5" x14ac:dyDescent="0.2">
      <c r="H199" s="15"/>
      <c r="I199" s="15"/>
      <c r="J199" s="15"/>
      <c r="K199" s="15"/>
      <c r="L199" s="15"/>
      <c r="M199" s="15"/>
      <c r="N199" s="15"/>
      <c r="O199" s="137"/>
      <c r="P199" s="141"/>
      <c r="Q199" s="141"/>
      <c r="R199" s="141"/>
      <c r="S199" s="141"/>
      <c r="T199" s="141"/>
      <c r="U199" s="141"/>
      <c r="V199" s="141"/>
      <c r="W199" s="141"/>
      <c r="X199" s="141"/>
      <c r="Y199" s="141"/>
      <c r="Z199" s="141"/>
      <c r="AA199" s="104">
        <v>195</v>
      </c>
      <c r="AB199" s="14">
        <f t="shared" si="105"/>
        <v>4</v>
      </c>
      <c r="AC199" s="14">
        <f>INDEX(挂机升级突破!$BU$6:$BU$57,卡牌消耗!AI199)</f>
        <v>11</v>
      </c>
      <c r="AD199" s="14">
        <f>INDEX(挂机升级突破!BV$6:BV$57,卡牌消耗!$AI199)</f>
        <v>5</v>
      </c>
      <c r="AE199" s="14">
        <f>INDEX(挂机升级突破!BW$6:BW$57,卡牌消耗!$AI199)</f>
        <v>0</v>
      </c>
      <c r="AF199" s="14" t="str">
        <f t="shared" si="106"/>
        <v>唐流雨</v>
      </c>
      <c r="AG199" s="14">
        <f t="shared" si="107"/>
        <v>2</v>
      </c>
      <c r="AH199" s="14" t="str">
        <f t="shared" si="108"/>
        <v>唐流雨魂火-39</v>
      </c>
      <c r="AI199" s="14">
        <f t="shared" si="109"/>
        <v>39</v>
      </c>
      <c r="AJ199" s="14" t="str">
        <f>INDEX(挂机升级突破!$BX$4:$CH$4,INDEX(挂机升级突破!$BU$6:$BU$57,卡牌消耗!AI199))</f>
        <v>金币</v>
      </c>
      <c r="AK199" s="14">
        <f>ROUND(INDEX(挂机升级突破!$BN$6:$BN$57,卡牌消耗!AI199)*INDEX(卡牌消耗!$B$8:$F$8,AG199)/$Q$4/50,0)*50</f>
        <v>11700</v>
      </c>
      <c r="AL199" s="14" t="str">
        <f>IF(AD199&gt;0,INDEX(挂机升级突破!$BX$4:$CH$4,AD199),"")</f>
        <v>红色基础材料</v>
      </c>
      <c r="AM199" s="14">
        <f>ROUND(INDEX(挂机升级突破!$BX$6:$CH$57,卡牌消耗!AI199,AD199)*INDEX(卡牌消耗!$B$5:$F$5,AG199)/$Q$4/5,0)*5</f>
        <v>35</v>
      </c>
      <c r="AN199" s="14" t="str">
        <f>IF(AE199&gt;0,INDEX(挂机升级突破!$BX$4:$CH$4,AE199),"")</f>
        <v/>
      </c>
      <c r="AO199" s="14" t="str">
        <f>IF(AE199&gt;0,ROUND(INDEX(挂机升级突破!$BX$6:$CH$57,卡牌消耗!AI199,AE199)*INDEX(卡牌消耗!$B$7:$F$7,AG199)/$Q$4,0),"")</f>
        <v/>
      </c>
      <c r="AP199" s="106"/>
      <c r="AQ199" s="15"/>
      <c r="AR199" s="104">
        <v>195</v>
      </c>
      <c r="AS199" s="14">
        <f t="shared" si="110"/>
        <v>10</v>
      </c>
      <c r="AT199" s="14">
        <f>INDEX(挂机升级突破!$CM$7:$CM$26,AX199)</f>
        <v>5</v>
      </c>
      <c r="AU199" s="14">
        <f>INDEX(挂机升级突破!$CN$7:$CN$26,AX199)</f>
        <v>3</v>
      </c>
      <c r="AV199" s="14">
        <f t="shared" si="111"/>
        <v>4</v>
      </c>
      <c r="AW199" s="14" t="str">
        <f t="shared" si="112"/>
        <v>张郃</v>
      </c>
      <c r="AX199" s="14">
        <f t="shared" si="113"/>
        <v>15</v>
      </c>
      <c r="AY199" s="14" t="str">
        <f t="shared" si="114"/>
        <v>张郃15突</v>
      </c>
      <c r="AZ199" s="14" t="str">
        <f>IF(AT199&gt;0,INDEX(挂机升级突破!$CV$5:$CZ$5,卡牌消耗!AT199),"")</f>
        <v>金币</v>
      </c>
      <c r="BA199" s="14">
        <f>IF(AT199&gt;0,ROUND(INDEX(挂机升级突破!$CZ$7:$CZ$26,卡牌消耗!AX199)*INDEX(卡牌消耗!$B$8:$F$8,AV199)/$Q$4/500,0)*500,"")</f>
        <v>52000</v>
      </c>
      <c r="BB199" s="14" t="str">
        <f>IF(AU199&gt;0,INDEX(挂机升级突破!$CV$5:$CZ$5,卡牌消耗!AU199),"")</f>
        <v>银母</v>
      </c>
      <c r="BC199" s="14">
        <f>IF(AU199&gt;0,ROUND(INDEX(挂机升级突破!$CV$7:$CY$26,卡牌消耗!AX199,卡牌消耗!AU199)*INDEX($B$6:$F$6,AV199)/$Q$4/5,0)*5,"")</f>
        <v>65</v>
      </c>
      <c r="BD199" s="104"/>
      <c r="BE199" s="104"/>
      <c r="BF199" s="106"/>
      <c r="BW199" s="65">
        <v>147</v>
      </c>
      <c r="BX199" s="65">
        <v>16</v>
      </c>
      <c r="BY199" s="21">
        <f t="shared" si="98"/>
        <v>0.1103448275862069</v>
      </c>
      <c r="BZ199" s="65">
        <f t="shared" si="99"/>
        <v>0</v>
      </c>
      <c r="CA199" s="65" t="e">
        <f>SUM(BZ$5:BZ199)</f>
        <v>#REF!</v>
      </c>
      <c r="CD199" s="136">
        <v>195</v>
      </c>
      <c r="CE199" s="14">
        <f t="shared" si="115"/>
        <v>39</v>
      </c>
      <c r="CF199" s="14">
        <f t="shared" si="100"/>
        <v>4</v>
      </c>
      <c r="CG199" s="14">
        <f t="shared" si="101"/>
        <v>1102016</v>
      </c>
      <c r="CH199" s="136" t="s">
        <v>1127</v>
      </c>
      <c r="CI199" s="14">
        <f t="shared" si="102"/>
        <v>5</v>
      </c>
      <c r="CJ199" s="14" t="str">
        <f t="shared" si="103"/>
        <v>西方龙-5星</v>
      </c>
      <c r="CK199" s="136" t="s">
        <v>1133</v>
      </c>
      <c r="CL199" s="14">
        <f t="shared" si="116"/>
        <v>60000</v>
      </c>
      <c r="CM199" s="14" t="str">
        <f t="shared" si="104"/>
        <v>西方龙碎片</v>
      </c>
      <c r="CN199" s="14">
        <f t="shared" si="117"/>
        <v>320</v>
      </c>
    </row>
    <row r="200" spans="8:92" ht="16.5" x14ac:dyDescent="0.2">
      <c r="H200" s="15"/>
      <c r="I200" s="15"/>
      <c r="J200" s="15"/>
      <c r="K200" s="15"/>
      <c r="L200" s="15"/>
      <c r="M200" s="15"/>
      <c r="N200" s="15"/>
      <c r="O200" s="137"/>
      <c r="P200" s="141"/>
      <c r="Q200" s="141"/>
      <c r="R200" s="141"/>
      <c r="S200" s="141"/>
      <c r="T200" s="141"/>
      <c r="U200" s="141"/>
      <c r="V200" s="141"/>
      <c r="W200" s="141"/>
      <c r="X200" s="141"/>
      <c r="Y200" s="141"/>
      <c r="Z200" s="141"/>
      <c r="AA200" s="104">
        <v>196</v>
      </c>
      <c r="AB200" s="14">
        <f t="shared" si="105"/>
        <v>4</v>
      </c>
      <c r="AC200" s="14">
        <f>INDEX(挂机升级突破!$BU$6:$BU$57,卡牌消耗!AI200)</f>
        <v>11</v>
      </c>
      <c r="AD200" s="14">
        <f>INDEX(挂机升级突破!BV$6:BV$57,卡牌消耗!$AI200)</f>
        <v>5</v>
      </c>
      <c r="AE200" s="14">
        <f>INDEX(挂机升级突破!BW$6:BW$57,卡牌消耗!$AI200)</f>
        <v>0</v>
      </c>
      <c r="AF200" s="14" t="str">
        <f t="shared" si="106"/>
        <v>唐流雨</v>
      </c>
      <c r="AG200" s="14">
        <f t="shared" si="107"/>
        <v>2</v>
      </c>
      <c r="AH200" s="14" t="str">
        <f t="shared" si="108"/>
        <v>唐流雨魂火-40</v>
      </c>
      <c r="AI200" s="14">
        <f t="shared" si="109"/>
        <v>40</v>
      </c>
      <c r="AJ200" s="14" t="str">
        <f>INDEX(挂机升级突破!$BX$4:$CH$4,INDEX(挂机升级突破!$BU$6:$BU$57,卡牌消耗!AI200))</f>
        <v>金币</v>
      </c>
      <c r="AK200" s="14">
        <f>ROUND(INDEX(挂机升级突破!$BN$6:$BN$57,卡牌消耗!AI200)*INDEX(卡牌消耗!$B$8:$F$8,AG200)/$Q$4/50,0)*50</f>
        <v>11700</v>
      </c>
      <c r="AL200" s="14" t="str">
        <f>IF(AD200&gt;0,INDEX(挂机升级突破!$BX$4:$CH$4,AD200),"")</f>
        <v>红色基础材料</v>
      </c>
      <c r="AM200" s="14">
        <f>ROUND(INDEX(挂机升级突破!$BX$6:$CH$57,卡牌消耗!AI200,AD200)*INDEX(卡牌消耗!$B$5:$F$5,AG200)/$Q$4/5,0)*5</f>
        <v>35</v>
      </c>
      <c r="AN200" s="14" t="str">
        <f>IF(AE200&gt;0,INDEX(挂机升级突破!$BX$4:$CH$4,AE200),"")</f>
        <v/>
      </c>
      <c r="AO200" s="14" t="str">
        <f>IF(AE200&gt;0,ROUND(INDEX(挂机升级突破!$BX$6:$CH$57,卡牌消耗!AI200,AE200)*INDEX(卡牌消耗!$B$7:$F$7,AG200)/$Q$4,0),"")</f>
        <v/>
      </c>
      <c r="AP200" s="106"/>
      <c r="AQ200" s="15"/>
      <c r="AR200" s="104">
        <v>196</v>
      </c>
      <c r="AS200" s="14">
        <f t="shared" si="110"/>
        <v>10</v>
      </c>
      <c r="AT200" s="14">
        <f>INDEX(挂机升级突破!$CM$7:$CM$26,AX200)</f>
        <v>5</v>
      </c>
      <c r="AU200" s="14">
        <f>INDEX(挂机升级突破!$CN$7:$CN$26,AX200)</f>
        <v>3</v>
      </c>
      <c r="AV200" s="14">
        <f t="shared" si="111"/>
        <v>4</v>
      </c>
      <c r="AW200" s="14" t="str">
        <f t="shared" si="112"/>
        <v>张郃</v>
      </c>
      <c r="AX200" s="14">
        <f t="shared" si="113"/>
        <v>16</v>
      </c>
      <c r="AY200" s="14" t="str">
        <f t="shared" si="114"/>
        <v>张郃16突</v>
      </c>
      <c r="AZ200" s="14" t="str">
        <f>IF(AT200&gt;0,INDEX(挂机升级突破!$CV$5:$CZ$5,卡牌消耗!AT200),"")</f>
        <v>金币</v>
      </c>
      <c r="BA200" s="14">
        <f>IF(AT200&gt;0,ROUND(INDEX(挂机升级突破!$CZ$7:$CZ$26,卡牌消耗!AX200)*INDEX(卡牌消耗!$B$8:$F$8,AV200)/$Q$4/500,0)*500,"")</f>
        <v>94000</v>
      </c>
      <c r="BB200" s="14" t="str">
        <f>IF(AU200&gt;0,INDEX(挂机升级突破!$CV$5:$CZ$5,卡牌消耗!AU200),"")</f>
        <v>银母</v>
      </c>
      <c r="BC200" s="14">
        <f>IF(AU200&gt;0,ROUND(INDEX(挂机升级突破!$CV$7:$CY$26,卡牌消耗!AX200,卡牌消耗!AU200)*INDEX($B$6:$F$6,AV200)/$Q$4/5,0)*5,"")</f>
        <v>85</v>
      </c>
      <c r="BD200" s="104"/>
      <c r="BE200" s="104"/>
      <c r="BF200" s="106"/>
      <c r="BW200" s="65">
        <v>148</v>
      </c>
      <c r="BX200" s="65">
        <v>17</v>
      </c>
      <c r="BY200" s="21">
        <f t="shared" si="98"/>
        <v>0.11724137931034483</v>
      </c>
      <c r="BZ200" s="65">
        <f t="shared" si="99"/>
        <v>0</v>
      </c>
      <c r="CA200" s="65" t="e">
        <f>SUM(BZ$5:BZ200)</f>
        <v>#REF!</v>
      </c>
      <c r="CD200" s="136">
        <v>196</v>
      </c>
      <c r="CE200" s="14">
        <f t="shared" si="115"/>
        <v>40</v>
      </c>
      <c r="CF200" s="14">
        <f t="shared" si="100"/>
        <v>3</v>
      </c>
      <c r="CG200" s="14">
        <f t="shared" si="101"/>
        <v>1102017</v>
      </c>
      <c r="CH200" s="136" t="s">
        <v>1127</v>
      </c>
      <c r="CI200" s="14">
        <f t="shared" si="102"/>
        <v>1</v>
      </c>
      <c r="CJ200" s="14" t="str">
        <f t="shared" si="103"/>
        <v>飞廉-1星</v>
      </c>
      <c r="CK200" s="136" t="s">
        <v>1133</v>
      </c>
      <c r="CL200" s="14">
        <f t="shared" si="116"/>
        <v>4000</v>
      </c>
      <c r="CM200" s="14" t="str">
        <f t="shared" si="104"/>
        <v>飞廉碎片</v>
      </c>
      <c r="CN200" s="14">
        <f t="shared" si="117"/>
        <v>40</v>
      </c>
    </row>
    <row r="201" spans="8:92" ht="16.5" x14ac:dyDescent="0.2">
      <c r="H201" s="15"/>
      <c r="I201" s="15"/>
      <c r="J201" s="15"/>
      <c r="K201" s="15"/>
      <c r="L201" s="15"/>
      <c r="M201" s="15"/>
      <c r="N201" s="15"/>
      <c r="O201" s="137"/>
      <c r="P201" s="141"/>
      <c r="Q201" s="141"/>
      <c r="R201" s="141"/>
      <c r="S201" s="141"/>
      <c r="T201" s="141"/>
      <c r="U201" s="141"/>
      <c r="V201" s="141"/>
      <c r="W201" s="141"/>
      <c r="X201" s="141"/>
      <c r="Y201" s="141"/>
      <c r="Z201" s="141"/>
      <c r="AA201" s="104">
        <v>197</v>
      </c>
      <c r="AB201" s="14">
        <f t="shared" si="105"/>
        <v>4</v>
      </c>
      <c r="AC201" s="14">
        <f>INDEX(挂机升级突破!$BU$6:$BU$57,卡牌消耗!AI201)</f>
        <v>11</v>
      </c>
      <c r="AD201" s="14">
        <f>INDEX(挂机升级突破!BV$6:BV$57,卡牌消耗!$AI201)</f>
        <v>5</v>
      </c>
      <c r="AE201" s="14">
        <f>INDEX(挂机升级突破!BW$6:BW$57,卡牌消耗!$AI201)</f>
        <v>10</v>
      </c>
      <c r="AF201" s="14" t="str">
        <f t="shared" si="106"/>
        <v>唐流雨</v>
      </c>
      <c r="AG201" s="14">
        <f t="shared" si="107"/>
        <v>2</v>
      </c>
      <c r="AH201" s="14" t="str">
        <f t="shared" si="108"/>
        <v>唐流雨魂火-41</v>
      </c>
      <c r="AI201" s="14">
        <f t="shared" si="109"/>
        <v>41</v>
      </c>
      <c r="AJ201" s="14" t="str">
        <f>INDEX(挂机升级突破!$BX$4:$CH$4,INDEX(挂机升级突破!$BU$6:$BU$57,卡牌消耗!AI201))</f>
        <v>金币</v>
      </c>
      <c r="AK201" s="14">
        <f>ROUND(INDEX(挂机升级突破!$BN$6:$BN$57,卡牌消耗!AI201)*INDEX(卡牌消耗!$B$8:$F$8,AG201)/$Q$4/50,0)*50</f>
        <v>16100</v>
      </c>
      <c r="AL201" s="14" t="str">
        <f>IF(AD201&gt;0,INDEX(挂机升级突破!$BX$4:$CH$4,AD201),"")</f>
        <v>红色基础材料</v>
      </c>
      <c r="AM201" s="14">
        <f>ROUND(INDEX(挂机升级突破!$BX$6:$CH$57,卡牌消耗!AI201,AD201)*INDEX(卡牌消耗!$B$5:$F$5,AG201)/$Q$4/5,0)*5</f>
        <v>45</v>
      </c>
      <c r="AN201" s="14" t="str">
        <f>IF(AE201&gt;0,INDEX(挂机升级突破!$BX$4:$CH$4,AE201),"")</f>
        <v>灵玉</v>
      </c>
      <c r="AO201" s="14">
        <f>IF(AE201&gt;0,ROUND(INDEX(挂机升级突破!$BX$6:$CH$57,卡牌消耗!AI201,AE201)*INDEX(卡牌消耗!$B$7:$F$7,AG201)/$Q$4,0),"")</f>
        <v>1</v>
      </c>
      <c r="AP201" s="106"/>
      <c r="AQ201" s="15"/>
      <c r="AR201" s="104">
        <v>197</v>
      </c>
      <c r="AS201" s="14">
        <f t="shared" si="110"/>
        <v>10</v>
      </c>
      <c r="AT201" s="14">
        <f>INDEX(挂机升级突破!$CM$7:$CM$26,AX201)</f>
        <v>5</v>
      </c>
      <c r="AU201" s="14">
        <f>INDEX(挂机升级突破!$CN$7:$CN$26,AX201)</f>
        <v>4</v>
      </c>
      <c r="AV201" s="14">
        <f t="shared" si="111"/>
        <v>4</v>
      </c>
      <c r="AW201" s="14" t="str">
        <f t="shared" si="112"/>
        <v>张郃</v>
      </c>
      <c r="AX201" s="14">
        <f t="shared" si="113"/>
        <v>17</v>
      </c>
      <c r="AY201" s="14" t="str">
        <f t="shared" si="114"/>
        <v>张郃17突</v>
      </c>
      <c r="AZ201" s="14" t="str">
        <f>IF(AT201&gt;0,INDEX(挂机升级突破!$CV$5:$CZ$5,卡牌消耗!AT201),"")</f>
        <v>金币</v>
      </c>
      <c r="BA201" s="14">
        <f>IF(AT201&gt;0,ROUND(INDEX(挂机升级突破!$CZ$7:$CZ$26,卡牌消耗!AX201)*INDEX(卡牌消耗!$B$8:$F$8,AV201)/$Q$4/500,0)*500,"")</f>
        <v>94000</v>
      </c>
      <c r="BB201" s="14" t="str">
        <f>IF(AU201&gt;0,INDEX(挂机升级突破!$CV$5:$CZ$5,卡牌消耗!AU201),"")</f>
        <v>铀金</v>
      </c>
      <c r="BC201" s="14">
        <f>IF(AU201&gt;0,ROUND(INDEX(挂机升级突破!$CV$7:$CY$26,卡牌消耗!AX201,卡牌消耗!AU201)*INDEX($B$6:$F$6,AV201)/$Q$4/5,0)*5,"")</f>
        <v>30</v>
      </c>
      <c r="BD201" s="104"/>
      <c r="BE201" s="104"/>
      <c r="BF201" s="106"/>
      <c r="BW201" s="65">
        <v>149</v>
      </c>
      <c r="BX201" s="65">
        <v>18</v>
      </c>
      <c r="BY201" s="21">
        <f t="shared" si="98"/>
        <v>0.12413793103448276</v>
      </c>
      <c r="BZ201" s="65">
        <f t="shared" si="99"/>
        <v>0</v>
      </c>
      <c r="CA201" s="65" t="e">
        <f>SUM(BZ$5:BZ201)</f>
        <v>#REF!</v>
      </c>
      <c r="CD201" s="136">
        <v>197</v>
      </c>
      <c r="CE201" s="14">
        <f t="shared" si="115"/>
        <v>40</v>
      </c>
      <c r="CF201" s="14">
        <f t="shared" si="100"/>
        <v>3</v>
      </c>
      <c r="CG201" s="14">
        <f t="shared" si="101"/>
        <v>1102017</v>
      </c>
      <c r="CH201" s="136" t="s">
        <v>1127</v>
      </c>
      <c r="CI201" s="14">
        <f t="shared" si="102"/>
        <v>2</v>
      </c>
      <c r="CJ201" s="14" t="str">
        <f t="shared" si="103"/>
        <v>飞廉-2星</v>
      </c>
      <c r="CK201" s="136" t="s">
        <v>1133</v>
      </c>
      <c r="CL201" s="14">
        <f t="shared" si="116"/>
        <v>5000</v>
      </c>
      <c r="CM201" s="14" t="str">
        <f t="shared" si="104"/>
        <v>飞廉碎片</v>
      </c>
      <c r="CN201" s="14">
        <f t="shared" si="117"/>
        <v>80</v>
      </c>
    </row>
    <row r="202" spans="8:92" ht="16.5" x14ac:dyDescent="0.2">
      <c r="H202" s="15"/>
      <c r="I202" s="15"/>
      <c r="J202" s="15"/>
      <c r="K202" s="15"/>
      <c r="L202" s="15"/>
      <c r="M202" s="15"/>
      <c r="N202" s="15"/>
      <c r="O202" s="137"/>
      <c r="P202" s="141"/>
      <c r="Q202" s="141"/>
      <c r="R202" s="141"/>
      <c r="S202" s="141"/>
      <c r="T202" s="141"/>
      <c r="U202" s="141"/>
      <c r="V202" s="141"/>
      <c r="W202" s="141"/>
      <c r="X202" s="141"/>
      <c r="Y202" s="141"/>
      <c r="Z202" s="141"/>
      <c r="AA202" s="104">
        <v>198</v>
      </c>
      <c r="AB202" s="14">
        <f t="shared" si="105"/>
        <v>4</v>
      </c>
      <c r="AC202" s="14">
        <f>INDEX(挂机升级突破!$BU$6:$BU$57,卡牌消耗!AI202)</f>
        <v>11</v>
      </c>
      <c r="AD202" s="14">
        <f>INDEX(挂机升级突破!BV$6:BV$57,卡牌消耗!$AI202)</f>
        <v>5</v>
      </c>
      <c r="AE202" s="14">
        <f>INDEX(挂机升级突破!BW$6:BW$57,卡牌消耗!$AI202)</f>
        <v>10</v>
      </c>
      <c r="AF202" s="14" t="str">
        <f t="shared" si="106"/>
        <v>唐流雨</v>
      </c>
      <c r="AG202" s="14">
        <f t="shared" si="107"/>
        <v>2</v>
      </c>
      <c r="AH202" s="14" t="str">
        <f t="shared" si="108"/>
        <v>唐流雨魂火-42</v>
      </c>
      <c r="AI202" s="14">
        <f t="shared" si="109"/>
        <v>42</v>
      </c>
      <c r="AJ202" s="14" t="str">
        <f>INDEX(挂机升级突破!$BX$4:$CH$4,INDEX(挂机升级突破!$BU$6:$BU$57,卡牌消耗!AI202))</f>
        <v>金币</v>
      </c>
      <c r="AK202" s="14">
        <f>ROUND(INDEX(挂机升级突破!$BN$6:$BN$57,卡牌消耗!AI202)*INDEX(卡牌消耗!$B$8:$F$8,AG202)/$Q$4/50,0)*50</f>
        <v>16100</v>
      </c>
      <c r="AL202" s="14" t="str">
        <f>IF(AD202&gt;0,INDEX(挂机升级突破!$BX$4:$CH$4,AD202),"")</f>
        <v>红色基础材料</v>
      </c>
      <c r="AM202" s="14">
        <f>ROUND(INDEX(挂机升级突破!$BX$6:$CH$57,卡牌消耗!AI202,AD202)*INDEX(卡牌消耗!$B$5:$F$5,AG202)/$Q$4/5,0)*5</f>
        <v>45</v>
      </c>
      <c r="AN202" s="14" t="str">
        <f>IF(AE202&gt;0,INDEX(挂机升级突破!$BX$4:$CH$4,AE202),"")</f>
        <v>灵玉</v>
      </c>
      <c r="AO202" s="14">
        <f>IF(AE202&gt;0,ROUND(INDEX(挂机升级突破!$BX$6:$CH$57,卡牌消耗!AI202,AE202)*INDEX(卡牌消耗!$B$7:$F$7,AG202)/$Q$4,0),"")</f>
        <v>1</v>
      </c>
      <c r="AP202" s="106"/>
      <c r="AQ202" s="15"/>
      <c r="AR202" s="104">
        <v>198</v>
      </c>
      <c r="AS202" s="14">
        <f t="shared" si="110"/>
        <v>10</v>
      </c>
      <c r="AT202" s="14">
        <f>INDEX(挂机升级突破!$CM$7:$CM$26,AX202)</f>
        <v>5</v>
      </c>
      <c r="AU202" s="14">
        <f>INDEX(挂机升级突破!$CN$7:$CN$26,AX202)</f>
        <v>4</v>
      </c>
      <c r="AV202" s="14">
        <f t="shared" si="111"/>
        <v>4</v>
      </c>
      <c r="AW202" s="14" t="str">
        <f t="shared" si="112"/>
        <v>张郃</v>
      </c>
      <c r="AX202" s="14">
        <f t="shared" si="113"/>
        <v>18</v>
      </c>
      <c r="AY202" s="14" t="str">
        <f t="shared" si="114"/>
        <v>张郃18突</v>
      </c>
      <c r="AZ202" s="14" t="str">
        <f>IF(AT202&gt;0,INDEX(挂机升级突破!$CV$5:$CZ$5,卡牌消耗!AT202),"")</f>
        <v>金币</v>
      </c>
      <c r="BA202" s="14">
        <f>IF(AT202&gt;0,ROUND(INDEX(挂机升级突破!$CZ$7:$CZ$26,卡牌消耗!AX202)*INDEX(卡牌消耗!$B$8:$F$8,AV202)/$Q$4/500,0)*500,"")</f>
        <v>125500</v>
      </c>
      <c r="BB202" s="14" t="str">
        <f>IF(AU202&gt;0,INDEX(挂机升级突破!$CV$5:$CZ$5,卡牌消耗!AU202),"")</f>
        <v>铀金</v>
      </c>
      <c r="BC202" s="14">
        <f>IF(AU202&gt;0,ROUND(INDEX(挂机升级突破!$CV$7:$CY$26,卡牌消耗!AX202,卡牌消耗!AU202)*INDEX($B$6:$F$6,AV202)/$Q$4/5,0)*5,"")</f>
        <v>40</v>
      </c>
      <c r="BD202" s="104"/>
      <c r="BE202" s="104"/>
      <c r="BF202" s="106"/>
      <c r="BW202" s="65">
        <v>150</v>
      </c>
      <c r="BX202" s="65">
        <v>19</v>
      </c>
      <c r="BY202" s="21">
        <f t="shared" si="98"/>
        <v>0.1310344827586207</v>
      </c>
      <c r="BZ202" s="65">
        <f t="shared" si="99"/>
        <v>0</v>
      </c>
      <c r="CA202" s="65" t="e">
        <f>SUM(BZ$5:BZ202)</f>
        <v>#REF!</v>
      </c>
      <c r="CD202" s="136">
        <v>198</v>
      </c>
      <c r="CE202" s="14">
        <f t="shared" si="115"/>
        <v>40</v>
      </c>
      <c r="CF202" s="14">
        <f t="shared" si="100"/>
        <v>3</v>
      </c>
      <c r="CG202" s="14">
        <f t="shared" si="101"/>
        <v>1102017</v>
      </c>
      <c r="CH202" s="136" t="s">
        <v>1127</v>
      </c>
      <c r="CI202" s="14">
        <f t="shared" si="102"/>
        <v>3</v>
      </c>
      <c r="CJ202" s="14" t="str">
        <f t="shared" si="103"/>
        <v>飞廉-3星</v>
      </c>
      <c r="CK202" s="136" t="s">
        <v>1133</v>
      </c>
      <c r="CL202" s="14">
        <f t="shared" si="116"/>
        <v>10000</v>
      </c>
      <c r="CM202" s="14" t="str">
        <f t="shared" si="104"/>
        <v>飞廉碎片</v>
      </c>
      <c r="CN202" s="14">
        <f t="shared" si="117"/>
        <v>120</v>
      </c>
    </row>
    <row r="203" spans="8:92" ht="16.5" x14ac:dyDescent="0.2">
      <c r="H203" s="15"/>
      <c r="I203" s="15"/>
      <c r="J203" s="15"/>
      <c r="K203" s="15"/>
      <c r="L203" s="15"/>
      <c r="M203" s="15"/>
      <c r="N203" s="15"/>
      <c r="O203" s="137"/>
      <c r="P203" s="141"/>
      <c r="Q203" s="141"/>
      <c r="R203" s="141"/>
      <c r="S203" s="141"/>
      <c r="T203" s="141"/>
      <c r="U203" s="141"/>
      <c r="V203" s="141"/>
      <c r="W203" s="141"/>
      <c r="X203" s="141"/>
      <c r="Y203" s="141"/>
      <c r="Z203" s="141"/>
      <c r="AA203" s="104">
        <v>199</v>
      </c>
      <c r="AB203" s="14">
        <f t="shared" si="105"/>
        <v>4</v>
      </c>
      <c r="AC203" s="14">
        <f>INDEX(挂机升级突破!$BU$6:$BU$57,卡牌消耗!AI203)</f>
        <v>11</v>
      </c>
      <c r="AD203" s="14">
        <f>INDEX(挂机升级突破!BV$6:BV$57,卡牌消耗!$AI203)</f>
        <v>5</v>
      </c>
      <c r="AE203" s="14">
        <f>INDEX(挂机升级突破!BW$6:BW$57,卡牌消耗!$AI203)</f>
        <v>10</v>
      </c>
      <c r="AF203" s="14" t="str">
        <f t="shared" si="106"/>
        <v>唐流雨</v>
      </c>
      <c r="AG203" s="14">
        <f t="shared" si="107"/>
        <v>2</v>
      </c>
      <c r="AH203" s="14" t="str">
        <f t="shared" si="108"/>
        <v>唐流雨魂火-43</v>
      </c>
      <c r="AI203" s="14">
        <f t="shared" si="109"/>
        <v>43</v>
      </c>
      <c r="AJ203" s="14" t="str">
        <f>INDEX(挂机升级突破!$BX$4:$CH$4,INDEX(挂机升级突破!$BU$6:$BU$57,卡牌消耗!AI203))</f>
        <v>金币</v>
      </c>
      <c r="AK203" s="14">
        <f>ROUND(INDEX(挂机升级突破!$BN$6:$BN$57,卡牌消耗!AI203)*INDEX(卡牌消耗!$B$8:$F$8,AG203)/$Q$4/50,0)*50</f>
        <v>16100</v>
      </c>
      <c r="AL203" s="14" t="str">
        <f>IF(AD203&gt;0,INDEX(挂机升级突破!$BX$4:$CH$4,AD203),"")</f>
        <v>红色基础材料</v>
      </c>
      <c r="AM203" s="14">
        <f>ROUND(INDEX(挂机升级突破!$BX$6:$CH$57,卡牌消耗!AI203,AD203)*INDEX(卡牌消耗!$B$5:$F$5,AG203)/$Q$4/5,0)*5</f>
        <v>45</v>
      </c>
      <c r="AN203" s="14" t="str">
        <f>IF(AE203&gt;0,INDEX(挂机升级突破!$BX$4:$CH$4,AE203),"")</f>
        <v>灵玉</v>
      </c>
      <c r="AO203" s="14">
        <f>IF(AE203&gt;0,ROUND(INDEX(挂机升级突破!$BX$6:$CH$57,卡牌消耗!AI203,AE203)*INDEX(卡牌消耗!$B$7:$F$7,AG203)/$Q$4,0),"")</f>
        <v>1</v>
      </c>
      <c r="AP203" s="106"/>
      <c r="AQ203" s="15"/>
      <c r="AR203" s="104">
        <v>199</v>
      </c>
      <c r="AS203" s="14">
        <f t="shared" si="110"/>
        <v>10</v>
      </c>
      <c r="AT203" s="14">
        <f>INDEX(挂机升级突破!$CM$7:$CM$26,AX203)</f>
        <v>5</v>
      </c>
      <c r="AU203" s="14">
        <f>INDEX(挂机升级突破!$CN$7:$CN$26,AX203)</f>
        <v>4</v>
      </c>
      <c r="AV203" s="14">
        <f t="shared" si="111"/>
        <v>4</v>
      </c>
      <c r="AW203" s="14" t="str">
        <f t="shared" si="112"/>
        <v>张郃</v>
      </c>
      <c r="AX203" s="14">
        <f t="shared" si="113"/>
        <v>19</v>
      </c>
      <c r="AY203" s="14" t="str">
        <f t="shared" si="114"/>
        <v>张郃19突</v>
      </c>
      <c r="AZ203" s="14" t="str">
        <f>IF(AT203&gt;0,INDEX(挂机升级突破!$CV$5:$CZ$5,卡牌消耗!AT203),"")</f>
        <v>金币</v>
      </c>
      <c r="BA203" s="14">
        <f>IF(AT203&gt;0,ROUND(INDEX(挂机升级突破!$CZ$7:$CZ$26,卡牌消耗!AX203)*INDEX(卡牌消耗!$B$8:$F$8,AV203)/$Q$4/500,0)*500,"")</f>
        <v>760000</v>
      </c>
      <c r="BB203" s="14" t="str">
        <f>IF(AU203&gt;0,INDEX(挂机升级突破!$CV$5:$CZ$5,卡牌消耗!AU203),"")</f>
        <v>铀金</v>
      </c>
      <c r="BC203" s="14">
        <f>IF(AU203&gt;0,ROUND(INDEX(挂机升级突破!$CV$7:$CY$26,卡牌消耗!AX203,卡牌消耗!AU203)*INDEX($B$6:$F$6,AV203)/$Q$4/5,0)*5,"")</f>
        <v>55</v>
      </c>
      <c r="BD203" s="104"/>
      <c r="BE203" s="104"/>
      <c r="BF203" s="106"/>
      <c r="BU203" s="65" t="s">
        <v>123</v>
      </c>
      <c r="BV203" s="65">
        <v>20</v>
      </c>
      <c r="BW203" s="65">
        <v>141</v>
      </c>
      <c r="BX203" s="65">
        <v>10</v>
      </c>
      <c r="BY203" s="21">
        <f t="shared" ref="BY203:BY212" si="118">BX203/BV$156</f>
        <v>6.8965517241379309E-2</v>
      </c>
      <c r="BZ203" s="65">
        <f>INT($BV$204*BY203)</f>
        <v>0</v>
      </c>
      <c r="CA203" s="65" t="e">
        <f>SUM(BZ$5:BZ203)</f>
        <v>#REF!</v>
      </c>
      <c r="CD203" s="136">
        <v>199</v>
      </c>
      <c r="CE203" s="14">
        <f t="shared" si="115"/>
        <v>40</v>
      </c>
      <c r="CF203" s="14">
        <f t="shared" si="100"/>
        <v>3</v>
      </c>
      <c r="CG203" s="14">
        <f t="shared" si="101"/>
        <v>1102017</v>
      </c>
      <c r="CH203" s="136" t="s">
        <v>1127</v>
      </c>
      <c r="CI203" s="14">
        <f t="shared" si="102"/>
        <v>4</v>
      </c>
      <c r="CJ203" s="14" t="str">
        <f t="shared" si="103"/>
        <v>飞廉-4星</v>
      </c>
      <c r="CK203" s="136" t="s">
        <v>1133</v>
      </c>
      <c r="CL203" s="14">
        <f t="shared" si="116"/>
        <v>20000</v>
      </c>
      <c r="CM203" s="14" t="str">
        <f t="shared" si="104"/>
        <v>飞廉碎片</v>
      </c>
      <c r="CN203" s="14">
        <f t="shared" si="117"/>
        <v>160</v>
      </c>
    </row>
    <row r="204" spans="8:92" ht="16.5" x14ac:dyDescent="0.2">
      <c r="H204" s="15"/>
      <c r="I204" s="15"/>
      <c r="J204" s="15"/>
      <c r="K204" s="15"/>
      <c r="L204" s="15"/>
      <c r="M204" s="15"/>
      <c r="N204" s="15"/>
      <c r="O204" s="137"/>
      <c r="P204" s="141"/>
      <c r="Q204" s="141"/>
      <c r="R204" s="141"/>
      <c r="S204" s="141"/>
      <c r="T204" s="141"/>
      <c r="U204" s="141"/>
      <c r="V204" s="141"/>
      <c r="W204" s="141"/>
      <c r="X204" s="141"/>
      <c r="Y204" s="141"/>
      <c r="Z204" s="141"/>
      <c r="AA204" s="104">
        <v>200</v>
      </c>
      <c r="AB204" s="14">
        <f t="shared" si="105"/>
        <v>4</v>
      </c>
      <c r="AC204" s="14">
        <f>INDEX(挂机升级突破!$BU$6:$BU$57,卡牌消耗!AI204)</f>
        <v>11</v>
      </c>
      <c r="AD204" s="14">
        <f>INDEX(挂机升级突破!BV$6:BV$57,卡牌消耗!$AI204)</f>
        <v>5</v>
      </c>
      <c r="AE204" s="14">
        <f>INDEX(挂机升级突破!BW$6:BW$57,卡牌消耗!$AI204)</f>
        <v>10</v>
      </c>
      <c r="AF204" s="14" t="str">
        <f t="shared" si="106"/>
        <v>唐流雨</v>
      </c>
      <c r="AG204" s="14">
        <f t="shared" si="107"/>
        <v>2</v>
      </c>
      <c r="AH204" s="14" t="str">
        <f t="shared" si="108"/>
        <v>唐流雨魂火-44</v>
      </c>
      <c r="AI204" s="14">
        <f t="shared" si="109"/>
        <v>44</v>
      </c>
      <c r="AJ204" s="14" t="str">
        <f>INDEX(挂机升级突破!$BX$4:$CH$4,INDEX(挂机升级突破!$BU$6:$BU$57,卡牌消耗!AI204))</f>
        <v>金币</v>
      </c>
      <c r="AK204" s="14">
        <f>ROUND(INDEX(挂机升级突破!$BN$6:$BN$57,卡牌消耗!AI204)*INDEX(卡牌消耗!$B$8:$F$8,AG204)/$Q$4/50,0)*50</f>
        <v>20450</v>
      </c>
      <c r="AL204" s="14" t="str">
        <f>IF(AD204&gt;0,INDEX(挂机升级突破!$BX$4:$CH$4,AD204),"")</f>
        <v>红色基础材料</v>
      </c>
      <c r="AM204" s="14">
        <f>ROUND(INDEX(挂机升级突破!$BX$6:$CH$57,卡牌消耗!AI204,AD204)*INDEX(卡牌消耗!$B$5:$F$5,AG204)/$Q$4/5,0)*5</f>
        <v>50</v>
      </c>
      <c r="AN204" s="14" t="str">
        <f>IF(AE204&gt;0,INDEX(挂机升级突破!$BX$4:$CH$4,AE204),"")</f>
        <v>灵玉</v>
      </c>
      <c r="AO204" s="14">
        <f>IF(AE204&gt;0,ROUND(INDEX(挂机升级突破!$BX$6:$CH$57,卡牌消耗!AI204,AE204)*INDEX(卡牌消耗!$B$7:$F$7,AG204)/$Q$4,0),"")</f>
        <v>1</v>
      </c>
      <c r="AP204" s="106"/>
      <c r="AQ204" s="15"/>
      <c r="AR204" s="104">
        <v>200</v>
      </c>
      <c r="AS204" s="14">
        <f t="shared" si="110"/>
        <v>10</v>
      </c>
      <c r="AT204" s="14">
        <f>INDEX(挂机升级突破!$CM$7:$CM$26,AX204)</f>
        <v>5</v>
      </c>
      <c r="AU204" s="14">
        <f>INDEX(挂机升级突破!$CN$7:$CN$26,AX204)</f>
        <v>4</v>
      </c>
      <c r="AV204" s="14">
        <f t="shared" si="111"/>
        <v>4</v>
      </c>
      <c r="AW204" s="14" t="str">
        <f t="shared" si="112"/>
        <v>张郃</v>
      </c>
      <c r="AX204" s="14">
        <f t="shared" si="113"/>
        <v>20</v>
      </c>
      <c r="AY204" s="14" t="str">
        <f t="shared" si="114"/>
        <v>张郃20突</v>
      </c>
      <c r="AZ204" s="14" t="str">
        <f>IF(AT204&gt;0,INDEX(挂机升级突破!$CV$5:$CZ$5,卡牌消耗!AT204),"")</f>
        <v>金币</v>
      </c>
      <c r="BA204" s="14">
        <f>IF(AT204&gt;0,ROUND(INDEX(挂机升级突破!$CZ$7:$CZ$26,卡牌消耗!AX204)*INDEX(卡牌消耗!$B$8:$F$8,AV204)/$Q$4/500,0)*500,"")</f>
        <v>1139500</v>
      </c>
      <c r="BB204" s="14" t="str">
        <f>IF(AU204&gt;0,INDEX(挂机升级突破!$CV$5:$CZ$5,卡牌消耗!AU204),"")</f>
        <v>铀金</v>
      </c>
      <c r="BC204" s="14">
        <f>IF(AU204&gt;0,ROUND(INDEX(挂机升级突破!$CV$7:$CY$26,卡牌消耗!AX204,卡牌消耗!AU204)*INDEX($B$6:$F$6,AV204)/$Q$4/5,0)*5,"")</f>
        <v>70</v>
      </c>
      <c r="BD204" s="104"/>
      <c r="BE204" s="104"/>
      <c r="BF204" s="106"/>
      <c r="BU204" s="14" t="str">
        <f>INDEX($BH$5:$BH$24,BV203)</f>
        <v>100~105</v>
      </c>
      <c r="BV204" s="14">
        <f>INDEX($BQ$5:$BQ$24,BV203)</f>
        <v>0</v>
      </c>
      <c r="BW204" s="65">
        <v>142</v>
      </c>
      <c r="BX204" s="65">
        <v>11</v>
      </c>
      <c r="BY204" s="21">
        <f t="shared" si="118"/>
        <v>7.586206896551724E-2</v>
      </c>
      <c r="BZ204" s="65">
        <f t="shared" ref="BZ204:BZ212" si="119">INT($BV$204*BY204)</f>
        <v>0</v>
      </c>
      <c r="CA204" s="65" t="e">
        <f>SUM(BZ$5:BZ204)</f>
        <v>#REF!</v>
      </c>
      <c r="CD204" s="136">
        <v>200</v>
      </c>
      <c r="CE204" s="14">
        <f t="shared" si="115"/>
        <v>40</v>
      </c>
      <c r="CF204" s="14">
        <f t="shared" si="100"/>
        <v>3</v>
      </c>
      <c r="CG204" s="14">
        <f t="shared" si="101"/>
        <v>1102017</v>
      </c>
      <c r="CH204" s="136" t="s">
        <v>1127</v>
      </c>
      <c r="CI204" s="14">
        <f t="shared" si="102"/>
        <v>5</v>
      </c>
      <c r="CJ204" s="14" t="str">
        <f t="shared" si="103"/>
        <v>飞廉-5星</v>
      </c>
      <c r="CK204" s="136" t="s">
        <v>1133</v>
      </c>
      <c r="CL204" s="14">
        <f t="shared" si="116"/>
        <v>40000</v>
      </c>
      <c r="CM204" s="14" t="str">
        <f t="shared" si="104"/>
        <v>飞廉碎片</v>
      </c>
      <c r="CN204" s="14">
        <f t="shared" si="117"/>
        <v>240</v>
      </c>
    </row>
    <row r="205" spans="8:92" ht="16.5" x14ac:dyDescent="0.2">
      <c r="H205" s="15"/>
      <c r="I205" s="15"/>
      <c r="J205" s="15"/>
      <c r="K205" s="15"/>
      <c r="L205" s="15"/>
      <c r="M205" s="15"/>
      <c r="N205" s="15"/>
      <c r="O205" s="137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04">
        <v>201</v>
      </c>
      <c r="AB205" s="14">
        <f t="shared" si="105"/>
        <v>4</v>
      </c>
      <c r="AC205" s="14">
        <f>INDEX(挂机升级突破!$BU$6:$BU$57,卡牌消耗!AI205)</f>
        <v>11</v>
      </c>
      <c r="AD205" s="14">
        <f>INDEX(挂机升级突破!BV$6:BV$57,卡牌消耗!$AI205)</f>
        <v>5</v>
      </c>
      <c r="AE205" s="14">
        <f>INDEX(挂机升级突破!BW$6:BW$57,卡牌消耗!$AI205)</f>
        <v>10</v>
      </c>
      <c r="AF205" s="14" t="str">
        <f t="shared" si="106"/>
        <v>唐流雨</v>
      </c>
      <c r="AG205" s="14">
        <f t="shared" si="107"/>
        <v>2</v>
      </c>
      <c r="AH205" s="14" t="str">
        <f t="shared" si="108"/>
        <v>唐流雨魂火-45</v>
      </c>
      <c r="AI205" s="14">
        <f t="shared" si="109"/>
        <v>45</v>
      </c>
      <c r="AJ205" s="14" t="str">
        <f>INDEX(挂机升级突破!$BX$4:$CH$4,INDEX(挂机升级突破!$BU$6:$BU$57,卡牌消耗!AI205))</f>
        <v>金币</v>
      </c>
      <c r="AK205" s="14">
        <f>ROUND(INDEX(挂机升级突破!$BN$6:$BN$57,卡牌消耗!AI205)*INDEX(卡牌消耗!$B$8:$F$8,AG205)/$Q$4/50,0)*50</f>
        <v>20450</v>
      </c>
      <c r="AL205" s="14" t="str">
        <f>IF(AD205&gt;0,INDEX(挂机升级突破!$BX$4:$CH$4,AD205),"")</f>
        <v>红色基础材料</v>
      </c>
      <c r="AM205" s="14">
        <f>ROUND(INDEX(挂机升级突破!$BX$6:$CH$57,卡牌消耗!AI205,AD205)*INDEX(卡牌消耗!$B$5:$F$5,AG205)/$Q$4/5,0)*5</f>
        <v>50</v>
      </c>
      <c r="AN205" s="14" t="str">
        <f>IF(AE205&gt;0,INDEX(挂机升级突破!$BX$4:$CH$4,AE205),"")</f>
        <v>灵玉</v>
      </c>
      <c r="AO205" s="14">
        <f>IF(AE205&gt;0,ROUND(INDEX(挂机升级突破!$BX$6:$CH$57,卡牌消耗!AI205,AE205)*INDEX(卡牌消耗!$B$7:$F$7,AG205)/$Q$4,0),"")</f>
        <v>1</v>
      </c>
      <c r="AP205" s="106"/>
      <c r="AQ205" s="15"/>
      <c r="AR205" s="104">
        <v>201</v>
      </c>
      <c r="AS205" s="14">
        <f t="shared" si="110"/>
        <v>11</v>
      </c>
      <c r="AT205" s="14">
        <f>INDEX(挂机升级突破!$CM$7:$CM$26,AX205)</f>
        <v>0</v>
      </c>
      <c r="AU205" s="14">
        <f>INDEX(挂机升级突破!$CN$7:$CN$26,AX205)</f>
        <v>0</v>
      </c>
      <c r="AV205" s="14">
        <f t="shared" si="111"/>
        <v>4</v>
      </c>
      <c r="AW205" s="14" t="str">
        <f t="shared" si="112"/>
        <v>张飞</v>
      </c>
      <c r="AX205" s="14">
        <f t="shared" si="113"/>
        <v>1</v>
      </c>
      <c r="AY205" s="14" t="str">
        <f t="shared" si="114"/>
        <v>张飞1突</v>
      </c>
      <c r="AZ205" s="14" t="str">
        <f>IF(AT205&gt;0,INDEX(挂机升级突破!$CV$5:$CZ$5,卡牌消耗!AT205),"")</f>
        <v/>
      </c>
      <c r="BA205" s="14" t="str">
        <f>IF(AT205&gt;0,ROUND(INDEX(挂机升级突破!$CZ$7:$CZ$26,卡牌消耗!AX205)*INDEX(卡牌消耗!$B$8:$F$8,AV205)/$Q$4/500,0)*500,"")</f>
        <v/>
      </c>
      <c r="BB205" s="14" t="str">
        <f>IF(AU205&gt;0,INDEX(挂机升级突破!$CV$5:$CZ$5,卡牌消耗!AU205),"")</f>
        <v/>
      </c>
      <c r="BC205" s="14" t="str">
        <f>IF(AU205&gt;0,ROUND(INDEX(挂机升级突破!$CV$7:$CY$26,卡牌消耗!AX205,卡牌消耗!AU205)*INDEX($B$6:$F$6,AV205)/$Q$4/5,0)*5,"")</f>
        <v/>
      </c>
      <c r="BD205" s="104"/>
      <c r="BE205" s="104"/>
      <c r="BF205" s="106"/>
      <c r="BU205" s="65" t="s">
        <v>309</v>
      </c>
      <c r="BV205" s="14">
        <f>INDEX($BR$5:$BR$24,BV203)</f>
        <v>0</v>
      </c>
      <c r="BW205" s="65">
        <v>143</v>
      </c>
      <c r="BX205" s="65">
        <v>12</v>
      </c>
      <c r="BY205" s="21">
        <f t="shared" si="118"/>
        <v>8.2758620689655171E-2</v>
      </c>
      <c r="BZ205" s="65">
        <f t="shared" si="119"/>
        <v>0</v>
      </c>
      <c r="CA205" s="65" t="e">
        <f>SUM(BZ$5:BZ205)</f>
        <v>#REF!</v>
      </c>
      <c r="CD205" s="136">
        <v>201</v>
      </c>
      <c r="CE205" s="14">
        <f t="shared" si="115"/>
        <v>41</v>
      </c>
      <c r="CF205" s="14">
        <f t="shared" si="100"/>
        <v>2</v>
      </c>
      <c r="CG205" s="14">
        <f t="shared" si="101"/>
        <v>1102018</v>
      </c>
      <c r="CH205" s="136" t="s">
        <v>1127</v>
      </c>
      <c r="CI205" s="14">
        <f t="shared" si="102"/>
        <v>1</v>
      </c>
      <c r="CJ205" s="14" t="str">
        <f t="shared" si="103"/>
        <v>噬日-1星</v>
      </c>
      <c r="CK205" s="136" t="s">
        <v>1133</v>
      </c>
      <c r="CL205" s="14">
        <f t="shared" si="116"/>
        <v>3000</v>
      </c>
      <c r="CM205" s="14" t="str">
        <f t="shared" si="104"/>
        <v>噬日碎片</v>
      </c>
      <c r="CN205" s="14">
        <f t="shared" si="117"/>
        <v>20</v>
      </c>
    </row>
    <row r="206" spans="8:92" ht="16.5" x14ac:dyDescent="0.2">
      <c r="H206" s="15"/>
      <c r="I206" s="15"/>
      <c r="J206" s="15"/>
      <c r="K206" s="15"/>
      <c r="L206" s="15"/>
      <c r="M206" s="15"/>
      <c r="N206" s="15"/>
      <c r="O206" s="137"/>
      <c r="P206" s="141"/>
      <c r="Q206" s="141"/>
      <c r="R206" s="141"/>
      <c r="S206" s="141"/>
      <c r="T206" s="141"/>
      <c r="U206" s="141"/>
      <c r="V206" s="141"/>
      <c r="W206" s="141"/>
      <c r="X206" s="141"/>
      <c r="Y206" s="141"/>
      <c r="Z206" s="141"/>
      <c r="AA206" s="104">
        <v>202</v>
      </c>
      <c r="AB206" s="14">
        <f t="shared" si="105"/>
        <v>4</v>
      </c>
      <c r="AC206" s="14">
        <f>INDEX(挂机升级突破!$BU$6:$BU$57,卡牌消耗!AI206)</f>
        <v>11</v>
      </c>
      <c r="AD206" s="14">
        <f>INDEX(挂机升级突破!BV$6:BV$57,卡牌消耗!$AI206)</f>
        <v>5</v>
      </c>
      <c r="AE206" s="14">
        <f>INDEX(挂机升级突破!BW$6:BW$57,卡牌消耗!$AI206)</f>
        <v>10</v>
      </c>
      <c r="AF206" s="14" t="str">
        <f t="shared" si="106"/>
        <v>唐流雨</v>
      </c>
      <c r="AG206" s="14">
        <f t="shared" si="107"/>
        <v>2</v>
      </c>
      <c r="AH206" s="14" t="str">
        <f t="shared" si="108"/>
        <v>唐流雨魂火-46</v>
      </c>
      <c r="AI206" s="14">
        <f t="shared" si="109"/>
        <v>46</v>
      </c>
      <c r="AJ206" s="14" t="str">
        <f>INDEX(挂机升级突破!$BX$4:$CH$4,INDEX(挂机升级突破!$BU$6:$BU$57,卡牌消耗!AI206))</f>
        <v>金币</v>
      </c>
      <c r="AK206" s="14">
        <f>ROUND(INDEX(挂机升级突破!$BN$6:$BN$57,卡牌消耗!AI206)*INDEX(卡牌消耗!$B$8:$F$8,AG206)/$Q$4/50,0)*50</f>
        <v>21950</v>
      </c>
      <c r="AL206" s="14" t="str">
        <f>IF(AD206&gt;0,INDEX(挂机升级突破!$BX$4:$CH$4,AD206),"")</f>
        <v>红色基础材料</v>
      </c>
      <c r="AM206" s="14">
        <f>ROUND(INDEX(挂机升级突破!$BX$6:$CH$57,卡牌消耗!AI206,AD206)*INDEX(卡牌消耗!$B$5:$F$5,AG206)/$Q$4/5,0)*5</f>
        <v>50</v>
      </c>
      <c r="AN206" s="14" t="str">
        <f>IF(AE206&gt;0,INDEX(挂机升级突破!$BX$4:$CH$4,AE206),"")</f>
        <v>灵玉</v>
      </c>
      <c r="AO206" s="14">
        <f>IF(AE206&gt;0,ROUND(INDEX(挂机升级突破!$BX$6:$CH$57,卡牌消耗!AI206,AE206)*INDEX(卡牌消耗!$B$7:$F$7,AG206)/$Q$4,0),"")</f>
        <v>1</v>
      </c>
      <c r="AP206" s="106"/>
      <c r="AQ206" s="15"/>
      <c r="AR206" s="104">
        <v>202</v>
      </c>
      <c r="AS206" s="14">
        <f t="shared" si="110"/>
        <v>11</v>
      </c>
      <c r="AT206" s="14">
        <f>INDEX(挂机升级突破!$CM$7:$CM$26,AX206)</f>
        <v>5</v>
      </c>
      <c r="AU206" s="14">
        <f>INDEX(挂机升级突破!$CN$7:$CN$26,AX206)</f>
        <v>0</v>
      </c>
      <c r="AV206" s="14">
        <f t="shared" si="111"/>
        <v>4</v>
      </c>
      <c r="AW206" s="14" t="str">
        <f t="shared" si="112"/>
        <v>张飞</v>
      </c>
      <c r="AX206" s="14">
        <f t="shared" si="113"/>
        <v>2</v>
      </c>
      <c r="AY206" s="14" t="str">
        <f t="shared" si="114"/>
        <v>张飞2突</v>
      </c>
      <c r="AZ206" s="14" t="str">
        <f>IF(AT206&gt;0,INDEX(挂机升级突破!$CV$5:$CZ$5,卡牌消耗!AT206),"")</f>
        <v>金币</v>
      </c>
      <c r="BA206" s="14">
        <f>IF(AT206&gt;0,ROUND(INDEX(挂机升级突破!$CZ$7:$CZ$26,卡牌消耗!AX206)*INDEX(卡牌消耗!$B$8:$F$8,AV206)/$Q$4/500,0)*500,"")</f>
        <v>3500</v>
      </c>
      <c r="BB206" s="14" t="str">
        <f>IF(AU206&gt;0,INDEX(挂机升级突破!$CV$5:$CZ$5,卡牌消耗!AU206),"")</f>
        <v/>
      </c>
      <c r="BC206" s="14" t="str">
        <f>IF(AU206&gt;0,ROUND(INDEX(挂机升级突破!$CV$7:$CY$26,卡牌消耗!AX206,卡牌消耗!AU206)*INDEX($B$6:$F$6,AV206)/$Q$4/5,0)*5,"")</f>
        <v/>
      </c>
      <c r="BD206" s="104"/>
      <c r="BE206" s="104"/>
      <c r="BF206" s="106"/>
      <c r="BU206" s="15"/>
      <c r="BV206" s="14">
        <f>SUM(BX203:BX212)</f>
        <v>145</v>
      </c>
      <c r="BW206" s="65">
        <v>144</v>
      </c>
      <c r="BX206" s="65">
        <v>13</v>
      </c>
      <c r="BY206" s="21">
        <f t="shared" si="118"/>
        <v>8.9655172413793102E-2</v>
      </c>
      <c r="BZ206" s="65">
        <f t="shared" si="119"/>
        <v>0</v>
      </c>
      <c r="CA206" s="65" t="e">
        <f>SUM(BZ$5:BZ206)</f>
        <v>#REF!</v>
      </c>
      <c r="CD206" s="136">
        <v>202</v>
      </c>
      <c r="CE206" s="14">
        <f t="shared" si="115"/>
        <v>41</v>
      </c>
      <c r="CF206" s="14">
        <f t="shared" si="100"/>
        <v>2</v>
      </c>
      <c r="CG206" s="14">
        <f t="shared" si="101"/>
        <v>1102018</v>
      </c>
      <c r="CH206" s="136" t="s">
        <v>1127</v>
      </c>
      <c r="CI206" s="14">
        <f t="shared" si="102"/>
        <v>2</v>
      </c>
      <c r="CJ206" s="14" t="str">
        <f t="shared" si="103"/>
        <v>噬日-2星</v>
      </c>
      <c r="CK206" s="136" t="s">
        <v>1133</v>
      </c>
      <c r="CL206" s="14">
        <f t="shared" si="116"/>
        <v>3500</v>
      </c>
      <c r="CM206" s="14" t="str">
        <f t="shared" si="104"/>
        <v>噬日碎片</v>
      </c>
      <c r="CN206" s="14">
        <f t="shared" si="117"/>
        <v>40</v>
      </c>
    </row>
    <row r="207" spans="8:92" ht="16.5" x14ac:dyDescent="0.2">
      <c r="H207" s="15"/>
      <c r="I207" s="15"/>
      <c r="J207" s="15"/>
      <c r="K207" s="15"/>
      <c r="L207" s="15"/>
      <c r="M207" s="15"/>
      <c r="N207" s="15"/>
      <c r="O207" s="137"/>
      <c r="P207" s="141"/>
      <c r="Q207" s="141"/>
      <c r="R207" s="141"/>
      <c r="S207" s="141"/>
      <c r="T207" s="141"/>
      <c r="U207" s="141"/>
      <c r="V207" s="141"/>
      <c r="W207" s="141"/>
      <c r="X207" s="141"/>
      <c r="Y207" s="141"/>
      <c r="Z207" s="141"/>
      <c r="AA207" s="104">
        <v>203</v>
      </c>
      <c r="AB207" s="14">
        <f t="shared" si="105"/>
        <v>4</v>
      </c>
      <c r="AC207" s="14">
        <f>INDEX(挂机升级突破!$BU$6:$BU$57,卡牌消耗!AI207)</f>
        <v>11</v>
      </c>
      <c r="AD207" s="14">
        <f>INDEX(挂机升级突破!BV$6:BV$57,卡牌消耗!$AI207)</f>
        <v>5</v>
      </c>
      <c r="AE207" s="14">
        <f>INDEX(挂机升级突破!BW$6:BW$57,卡牌消耗!$AI207)</f>
        <v>10</v>
      </c>
      <c r="AF207" s="14" t="str">
        <f t="shared" si="106"/>
        <v>唐流雨</v>
      </c>
      <c r="AG207" s="14">
        <f t="shared" si="107"/>
        <v>2</v>
      </c>
      <c r="AH207" s="14" t="str">
        <f t="shared" si="108"/>
        <v>唐流雨魂火-47</v>
      </c>
      <c r="AI207" s="14">
        <f t="shared" si="109"/>
        <v>47</v>
      </c>
      <c r="AJ207" s="14" t="str">
        <f>INDEX(挂机升级突破!$BX$4:$CH$4,INDEX(挂机升级突破!$BU$6:$BU$57,卡牌消耗!AI207))</f>
        <v>金币</v>
      </c>
      <c r="AK207" s="14">
        <f>ROUND(INDEX(挂机升级突破!$BN$6:$BN$57,卡牌消耗!AI207)*INDEX(卡牌消耗!$B$8:$F$8,AG207)/$Q$4/50,0)*50</f>
        <v>106350</v>
      </c>
      <c r="AL207" s="14" t="str">
        <f>IF(AD207&gt;0,INDEX(挂机升级突破!$BX$4:$CH$4,AD207),"")</f>
        <v>红色基础材料</v>
      </c>
      <c r="AM207" s="14">
        <f>ROUND(INDEX(挂机升级突破!$BX$6:$CH$57,卡牌消耗!AI207,AD207)*INDEX(卡牌消耗!$B$5:$F$5,AG207)/$Q$4/5,0)*5</f>
        <v>50</v>
      </c>
      <c r="AN207" s="14" t="str">
        <f>IF(AE207&gt;0,INDEX(挂机升级突破!$BX$4:$CH$4,AE207),"")</f>
        <v>灵玉</v>
      </c>
      <c r="AO207" s="14">
        <f>IF(AE207&gt;0,ROUND(INDEX(挂机升级突破!$BX$6:$CH$57,卡牌消耗!AI207,AE207)*INDEX(卡牌消耗!$B$7:$F$7,AG207)/$Q$4,0),"")</f>
        <v>1</v>
      </c>
      <c r="AP207" s="106"/>
      <c r="AQ207" s="15"/>
      <c r="AR207" s="104">
        <v>203</v>
      </c>
      <c r="AS207" s="14">
        <f t="shared" si="110"/>
        <v>11</v>
      </c>
      <c r="AT207" s="14">
        <f>INDEX(挂机升级突破!$CM$7:$CM$26,AX207)</f>
        <v>5</v>
      </c>
      <c r="AU207" s="14">
        <f>INDEX(挂机升级突破!$CN$7:$CN$26,AX207)</f>
        <v>0</v>
      </c>
      <c r="AV207" s="14">
        <f t="shared" si="111"/>
        <v>4</v>
      </c>
      <c r="AW207" s="14" t="str">
        <f t="shared" si="112"/>
        <v>张飞</v>
      </c>
      <c r="AX207" s="14">
        <f t="shared" si="113"/>
        <v>3</v>
      </c>
      <c r="AY207" s="14" t="str">
        <f t="shared" si="114"/>
        <v>张飞3突</v>
      </c>
      <c r="AZ207" s="14" t="str">
        <f>IF(AT207&gt;0,INDEX(挂机升级突破!$CV$5:$CZ$5,卡牌消耗!AT207),"")</f>
        <v>金币</v>
      </c>
      <c r="BA207" s="14">
        <f>IF(AT207&gt;0,ROUND(INDEX(挂机升级突破!$CZ$7:$CZ$26,卡牌消耗!AX207)*INDEX(卡牌消耗!$B$8:$F$8,AV207)/$Q$4/500,0)*500,"")</f>
        <v>3500</v>
      </c>
      <c r="BB207" s="14" t="str">
        <f>IF(AU207&gt;0,INDEX(挂机升级突破!$CV$5:$CZ$5,卡牌消耗!AU207),"")</f>
        <v/>
      </c>
      <c r="BC207" s="14" t="str">
        <f>IF(AU207&gt;0,ROUND(INDEX(挂机升级突破!$CV$7:$CY$26,卡牌消耗!AX207,卡牌消耗!AU207)*INDEX($B$6:$F$6,AV207)/$Q$4/5,0)*5,"")</f>
        <v/>
      </c>
      <c r="BD207" s="104"/>
      <c r="BE207" s="104"/>
      <c r="BF207" s="106"/>
      <c r="BW207" s="65">
        <v>145</v>
      </c>
      <c r="BX207" s="65">
        <v>14</v>
      </c>
      <c r="BY207" s="21">
        <f t="shared" si="118"/>
        <v>9.6551724137931033E-2</v>
      </c>
      <c r="BZ207" s="65">
        <f t="shared" si="119"/>
        <v>0</v>
      </c>
      <c r="CA207" s="65" t="e">
        <f>SUM(BZ$5:BZ207)</f>
        <v>#REF!</v>
      </c>
      <c r="CD207" s="136">
        <v>203</v>
      </c>
      <c r="CE207" s="14">
        <f t="shared" si="115"/>
        <v>41</v>
      </c>
      <c r="CF207" s="14">
        <f t="shared" si="100"/>
        <v>2</v>
      </c>
      <c r="CG207" s="14">
        <f t="shared" si="101"/>
        <v>1102018</v>
      </c>
      <c r="CH207" s="136" t="s">
        <v>1127</v>
      </c>
      <c r="CI207" s="14">
        <f t="shared" si="102"/>
        <v>3</v>
      </c>
      <c r="CJ207" s="14" t="str">
        <f t="shared" si="103"/>
        <v>噬日-3星</v>
      </c>
      <c r="CK207" s="136" t="s">
        <v>1133</v>
      </c>
      <c r="CL207" s="14">
        <f t="shared" si="116"/>
        <v>7000</v>
      </c>
      <c r="CM207" s="14" t="str">
        <f t="shared" si="104"/>
        <v>噬日碎片</v>
      </c>
      <c r="CN207" s="14">
        <f t="shared" si="117"/>
        <v>80</v>
      </c>
    </row>
    <row r="208" spans="8:92" ht="16.5" x14ac:dyDescent="0.2">
      <c r="H208" s="15"/>
      <c r="I208" s="15"/>
      <c r="J208" s="15"/>
      <c r="K208" s="15"/>
      <c r="L208" s="15"/>
      <c r="M208" s="15"/>
      <c r="N208" s="15"/>
      <c r="O208" s="137"/>
      <c r="P208" s="141"/>
      <c r="Q208" s="141"/>
      <c r="R208" s="141"/>
      <c r="S208" s="141"/>
      <c r="T208" s="141"/>
      <c r="U208" s="141"/>
      <c r="V208" s="141"/>
      <c r="W208" s="141"/>
      <c r="X208" s="141"/>
      <c r="Y208" s="141"/>
      <c r="Z208" s="141"/>
      <c r="AA208" s="104">
        <v>204</v>
      </c>
      <c r="AB208" s="14">
        <f t="shared" si="105"/>
        <v>4</v>
      </c>
      <c r="AC208" s="14">
        <f>INDEX(挂机升级突破!$BU$6:$BU$57,卡牌消耗!AI208)</f>
        <v>11</v>
      </c>
      <c r="AD208" s="14">
        <f>INDEX(挂机升级突破!BV$6:BV$57,卡牌消耗!$AI208)</f>
        <v>5</v>
      </c>
      <c r="AE208" s="14">
        <f>INDEX(挂机升级突破!BW$6:BW$57,卡牌消耗!$AI208)</f>
        <v>10</v>
      </c>
      <c r="AF208" s="14" t="str">
        <f t="shared" si="106"/>
        <v>唐流雨</v>
      </c>
      <c r="AG208" s="14">
        <f t="shared" si="107"/>
        <v>2</v>
      </c>
      <c r="AH208" s="14" t="str">
        <f t="shared" si="108"/>
        <v>唐流雨魂火-48</v>
      </c>
      <c r="AI208" s="14">
        <f t="shared" si="109"/>
        <v>48</v>
      </c>
      <c r="AJ208" s="14" t="str">
        <f>INDEX(挂机升级突破!$BX$4:$CH$4,INDEX(挂机升级突破!$BU$6:$BU$57,卡牌消耗!AI208))</f>
        <v>金币</v>
      </c>
      <c r="AK208" s="14">
        <f>ROUND(INDEX(挂机升级突破!$BN$6:$BN$57,卡牌消耗!AI208)*INDEX(卡牌消耗!$B$8:$F$8,AG208)/$Q$4/50,0)*50</f>
        <v>106350</v>
      </c>
      <c r="AL208" s="14" t="str">
        <f>IF(AD208&gt;0,INDEX(挂机升级突破!$BX$4:$CH$4,AD208),"")</f>
        <v>红色基础材料</v>
      </c>
      <c r="AM208" s="14">
        <f>ROUND(INDEX(挂机升级突破!$BX$6:$CH$57,卡牌消耗!AI208,AD208)*INDEX(卡牌消耗!$B$5:$F$5,AG208)/$Q$4/5,0)*5</f>
        <v>50</v>
      </c>
      <c r="AN208" s="14" t="str">
        <f>IF(AE208&gt;0,INDEX(挂机升级突破!$BX$4:$CH$4,AE208),"")</f>
        <v>灵玉</v>
      </c>
      <c r="AO208" s="14">
        <f>IF(AE208&gt;0,ROUND(INDEX(挂机升级突破!$BX$6:$CH$57,卡牌消耗!AI208,AE208)*INDEX(卡牌消耗!$B$7:$F$7,AG208)/$Q$4,0),"")</f>
        <v>1</v>
      </c>
      <c r="AP208" s="106"/>
      <c r="AQ208" s="15"/>
      <c r="AR208" s="104">
        <v>204</v>
      </c>
      <c r="AS208" s="14">
        <f t="shared" si="110"/>
        <v>11</v>
      </c>
      <c r="AT208" s="14">
        <f>INDEX(挂机升级突破!$CM$7:$CM$26,AX208)</f>
        <v>5</v>
      </c>
      <c r="AU208" s="14">
        <f>INDEX(挂机升级突破!$CN$7:$CN$26,AX208)</f>
        <v>1</v>
      </c>
      <c r="AV208" s="14">
        <f t="shared" si="111"/>
        <v>4</v>
      </c>
      <c r="AW208" s="14" t="str">
        <f t="shared" si="112"/>
        <v>张飞</v>
      </c>
      <c r="AX208" s="14">
        <f t="shared" si="113"/>
        <v>4</v>
      </c>
      <c r="AY208" s="14" t="str">
        <f t="shared" si="114"/>
        <v>张飞4突</v>
      </c>
      <c r="AZ208" s="14" t="str">
        <f>IF(AT208&gt;0,INDEX(挂机升级突破!$CV$5:$CZ$5,卡牌消耗!AT208),"")</f>
        <v>金币</v>
      </c>
      <c r="BA208" s="14">
        <f>IF(AT208&gt;0,ROUND(INDEX(挂机升级突破!$CZ$7:$CZ$26,卡牌消耗!AX208)*INDEX(卡牌消耗!$B$8:$F$8,AV208)/$Q$4/500,0)*500,"")</f>
        <v>4500</v>
      </c>
      <c r="BB208" s="14" t="str">
        <f>IF(AU208&gt;0,INDEX(挂机升级突破!$CV$5:$CZ$5,卡牌消耗!AU208),"")</f>
        <v>玄铁</v>
      </c>
      <c r="BC208" s="14">
        <f>IF(AU208&gt;0,ROUND(INDEX(挂机升级突破!$CV$7:$CY$26,卡牌消耗!AX208,卡牌消耗!AU208)*INDEX($B$6:$F$6,AV208)/$Q$4/5,0)*5,"")</f>
        <v>70</v>
      </c>
      <c r="BD208" s="104"/>
      <c r="BE208" s="104"/>
      <c r="BF208" s="106"/>
      <c r="BW208" s="65">
        <v>146</v>
      </c>
      <c r="BX208" s="65">
        <v>15</v>
      </c>
      <c r="BY208" s="21">
        <f t="shared" si="118"/>
        <v>0.10344827586206896</v>
      </c>
      <c r="BZ208" s="65">
        <f t="shared" si="119"/>
        <v>0</v>
      </c>
      <c r="CA208" s="65" t="e">
        <f>SUM(BZ$5:BZ208)</f>
        <v>#REF!</v>
      </c>
      <c r="CD208" s="136">
        <v>204</v>
      </c>
      <c r="CE208" s="14">
        <f t="shared" si="115"/>
        <v>41</v>
      </c>
      <c r="CF208" s="14">
        <f t="shared" si="100"/>
        <v>2</v>
      </c>
      <c r="CG208" s="14">
        <f t="shared" si="101"/>
        <v>1102018</v>
      </c>
      <c r="CH208" s="136" t="s">
        <v>1127</v>
      </c>
      <c r="CI208" s="14">
        <f t="shared" si="102"/>
        <v>4</v>
      </c>
      <c r="CJ208" s="14" t="str">
        <f t="shared" si="103"/>
        <v>噬日-4星</v>
      </c>
      <c r="CK208" s="136" t="s">
        <v>1133</v>
      </c>
      <c r="CL208" s="14">
        <f t="shared" si="116"/>
        <v>16000</v>
      </c>
      <c r="CM208" s="14" t="str">
        <f t="shared" si="104"/>
        <v>噬日碎片</v>
      </c>
      <c r="CN208" s="14">
        <f t="shared" si="117"/>
        <v>120</v>
      </c>
    </row>
    <row r="209" spans="8:92" ht="16.5" x14ac:dyDescent="0.2">
      <c r="H209" s="15"/>
      <c r="I209" s="15"/>
      <c r="J209" s="15"/>
      <c r="K209" s="15"/>
      <c r="L209" s="15"/>
      <c r="M209" s="15"/>
      <c r="N209" s="15"/>
      <c r="O209" s="137"/>
      <c r="P209" s="141"/>
      <c r="Q209" s="141"/>
      <c r="R209" s="141"/>
      <c r="S209" s="141"/>
      <c r="T209" s="141"/>
      <c r="U209" s="141"/>
      <c r="V209" s="141"/>
      <c r="W209" s="141"/>
      <c r="X209" s="141"/>
      <c r="Y209" s="141"/>
      <c r="Z209" s="141"/>
      <c r="AA209" s="104">
        <v>205</v>
      </c>
      <c r="AB209" s="14">
        <f t="shared" si="105"/>
        <v>4</v>
      </c>
      <c r="AC209" s="14">
        <f>INDEX(挂机升级突破!$BU$6:$BU$57,卡牌消耗!AI209)</f>
        <v>11</v>
      </c>
      <c r="AD209" s="14">
        <f>INDEX(挂机升级突破!BV$6:BV$57,卡牌消耗!$AI209)</f>
        <v>5</v>
      </c>
      <c r="AE209" s="14">
        <f>INDEX(挂机升级突破!BW$6:BW$57,卡牌消耗!$AI209)</f>
        <v>10</v>
      </c>
      <c r="AF209" s="14" t="str">
        <f t="shared" si="106"/>
        <v>唐流雨</v>
      </c>
      <c r="AG209" s="14">
        <f t="shared" si="107"/>
        <v>2</v>
      </c>
      <c r="AH209" s="14" t="str">
        <f t="shared" si="108"/>
        <v>唐流雨魂火-49</v>
      </c>
      <c r="AI209" s="14">
        <f t="shared" si="109"/>
        <v>49</v>
      </c>
      <c r="AJ209" s="14" t="str">
        <f>INDEX(挂机升级突破!$BX$4:$CH$4,INDEX(挂机升级突破!$BU$6:$BU$57,卡牌消耗!AI209))</f>
        <v>金币</v>
      </c>
      <c r="AK209" s="14">
        <f>ROUND(INDEX(挂机升级突破!$BN$6:$BN$57,卡牌消耗!AI209)*INDEX(卡牌消耗!$B$8:$F$8,AG209)/$Q$4/50,0)*50</f>
        <v>106350</v>
      </c>
      <c r="AL209" s="14" t="str">
        <f>IF(AD209&gt;0,INDEX(挂机升级突破!$BX$4:$CH$4,AD209),"")</f>
        <v>红色基础材料</v>
      </c>
      <c r="AM209" s="14">
        <f>ROUND(INDEX(挂机升级突破!$BX$6:$CH$57,卡牌消耗!AI209,AD209)*INDEX(卡牌消耗!$B$5:$F$5,AG209)/$Q$4/5,0)*5</f>
        <v>55</v>
      </c>
      <c r="AN209" s="14" t="str">
        <f>IF(AE209&gt;0,INDEX(挂机升级突破!$BX$4:$CH$4,AE209),"")</f>
        <v>灵玉</v>
      </c>
      <c r="AO209" s="14">
        <f>IF(AE209&gt;0,ROUND(INDEX(挂机升级突破!$BX$6:$CH$57,卡牌消耗!AI209,AE209)*INDEX(卡牌消耗!$B$7:$F$7,AG209)/$Q$4,0),"")</f>
        <v>1</v>
      </c>
      <c r="AP209" s="106"/>
      <c r="AQ209" s="15"/>
      <c r="AR209" s="104">
        <v>205</v>
      </c>
      <c r="AS209" s="14">
        <f t="shared" si="110"/>
        <v>11</v>
      </c>
      <c r="AT209" s="14">
        <f>INDEX(挂机升级突破!$CM$7:$CM$26,AX209)</f>
        <v>5</v>
      </c>
      <c r="AU209" s="14">
        <f>INDEX(挂机升级突破!$CN$7:$CN$26,AX209)</f>
        <v>1</v>
      </c>
      <c r="AV209" s="14">
        <f t="shared" si="111"/>
        <v>4</v>
      </c>
      <c r="AW209" s="14" t="str">
        <f t="shared" si="112"/>
        <v>张飞</v>
      </c>
      <c r="AX209" s="14">
        <f t="shared" si="113"/>
        <v>5</v>
      </c>
      <c r="AY209" s="14" t="str">
        <f t="shared" si="114"/>
        <v>张飞5突</v>
      </c>
      <c r="AZ209" s="14" t="str">
        <f>IF(AT209&gt;0,INDEX(挂机升级突破!$CV$5:$CZ$5,卡牌消耗!AT209),"")</f>
        <v>金币</v>
      </c>
      <c r="BA209" s="14">
        <f>IF(AT209&gt;0,ROUND(INDEX(挂机升级突破!$CZ$7:$CZ$26,卡牌消耗!AX209)*INDEX(卡牌消耗!$B$8:$F$8,AV209)/$Q$4/500,0)*500,"")</f>
        <v>4500</v>
      </c>
      <c r="BB209" s="14" t="str">
        <f>IF(AU209&gt;0,INDEX(挂机升级突破!$CV$5:$CZ$5,卡牌消耗!AU209),"")</f>
        <v>玄铁</v>
      </c>
      <c r="BC209" s="14">
        <f>IF(AU209&gt;0,ROUND(INDEX(挂机升级突破!$CV$7:$CY$26,卡牌消耗!AX209,卡牌消耗!AU209)*INDEX($B$6:$F$6,AV209)/$Q$4/5,0)*5,"")</f>
        <v>140</v>
      </c>
      <c r="BD209" s="104"/>
      <c r="BE209" s="104"/>
      <c r="BF209" s="106"/>
      <c r="BW209" s="65">
        <v>147</v>
      </c>
      <c r="BX209" s="65">
        <v>16</v>
      </c>
      <c r="BY209" s="21">
        <f t="shared" si="118"/>
        <v>0.1103448275862069</v>
      </c>
      <c r="BZ209" s="65">
        <f t="shared" si="119"/>
        <v>0</v>
      </c>
      <c r="CA209" s="65" t="e">
        <f>SUM(BZ$5:BZ209)</f>
        <v>#REF!</v>
      </c>
      <c r="CD209" s="136">
        <v>205</v>
      </c>
      <c r="CE209" s="14">
        <f t="shared" si="115"/>
        <v>41</v>
      </c>
      <c r="CF209" s="14">
        <f t="shared" si="100"/>
        <v>2</v>
      </c>
      <c r="CG209" s="14">
        <f t="shared" si="101"/>
        <v>1102018</v>
      </c>
      <c r="CH209" s="136" t="s">
        <v>1127</v>
      </c>
      <c r="CI209" s="14">
        <f t="shared" si="102"/>
        <v>5</v>
      </c>
      <c r="CJ209" s="14" t="str">
        <f t="shared" si="103"/>
        <v>噬日-5星</v>
      </c>
      <c r="CK209" s="136" t="s">
        <v>1133</v>
      </c>
      <c r="CL209" s="14">
        <f t="shared" si="116"/>
        <v>30000</v>
      </c>
      <c r="CM209" s="14" t="str">
        <f t="shared" si="104"/>
        <v>噬日碎片</v>
      </c>
      <c r="CN209" s="14">
        <f t="shared" si="117"/>
        <v>160</v>
      </c>
    </row>
    <row r="210" spans="8:92" ht="16.5" x14ac:dyDescent="0.2">
      <c r="H210" s="15"/>
      <c r="I210" s="15"/>
      <c r="J210" s="15"/>
      <c r="K210" s="15"/>
      <c r="L210" s="15"/>
      <c r="M210" s="15"/>
      <c r="N210" s="15"/>
      <c r="O210" s="137"/>
      <c r="P210" s="141"/>
      <c r="Q210" s="141"/>
      <c r="R210" s="141"/>
      <c r="S210" s="141"/>
      <c r="T210" s="141"/>
      <c r="U210" s="141"/>
      <c r="V210" s="141"/>
      <c r="W210" s="141"/>
      <c r="X210" s="141"/>
      <c r="Y210" s="141"/>
      <c r="Z210" s="141"/>
      <c r="AA210" s="104">
        <v>206</v>
      </c>
      <c r="AB210" s="14">
        <f t="shared" si="105"/>
        <v>4</v>
      </c>
      <c r="AC210" s="14">
        <f>INDEX(挂机升级突破!$BU$6:$BU$57,卡牌消耗!AI210)</f>
        <v>11</v>
      </c>
      <c r="AD210" s="14">
        <f>INDEX(挂机升级突破!BV$6:BV$57,卡牌消耗!$AI210)</f>
        <v>5</v>
      </c>
      <c r="AE210" s="14">
        <f>INDEX(挂机升级突破!BW$6:BW$57,卡牌消耗!$AI210)</f>
        <v>10</v>
      </c>
      <c r="AF210" s="14" t="str">
        <f t="shared" si="106"/>
        <v>唐流雨</v>
      </c>
      <c r="AG210" s="14">
        <f t="shared" si="107"/>
        <v>2</v>
      </c>
      <c r="AH210" s="14" t="str">
        <f t="shared" si="108"/>
        <v>唐流雨魂火-50</v>
      </c>
      <c r="AI210" s="14">
        <f t="shared" si="109"/>
        <v>50</v>
      </c>
      <c r="AJ210" s="14" t="str">
        <f>INDEX(挂机升级突破!$BX$4:$CH$4,INDEX(挂机升级突破!$BU$6:$BU$57,卡牌消耗!AI210))</f>
        <v>金币</v>
      </c>
      <c r="AK210" s="14">
        <f>ROUND(INDEX(挂机升级突破!$BN$6:$BN$57,卡牌消耗!AI210)*INDEX(卡牌消耗!$B$8:$F$8,AG210)/$Q$4/50,0)*50</f>
        <v>177300</v>
      </c>
      <c r="AL210" s="14" t="str">
        <f>IF(AD210&gt;0,INDEX(挂机升级突破!$BX$4:$CH$4,AD210),"")</f>
        <v>红色基础材料</v>
      </c>
      <c r="AM210" s="14">
        <f>ROUND(INDEX(挂机升级突破!$BX$6:$CH$57,卡牌消耗!AI210,AD210)*INDEX(卡牌消耗!$B$5:$F$5,AG210)/$Q$4/5,0)*5</f>
        <v>55</v>
      </c>
      <c r="AN210" s="14" t="str">
        <f>IF(AE210&gt;0,INDEX(挂机升级突破!$BX$4:$CH$4,AE210),"")</f>
        <v>灵玉</v>
      </c>
      <c r="AO210" s="14">
        <f>IF(AE210&gt;0,ROUND(INDEX(挂机升级突破!$BX$6:$CH$57,卡牌消耗!AI210,AE210)*INDEX(卡牌消耗!$B$7:$F$7,AG210)/$Q$4,0),"")</f>
        <v>1</v>
      </c>
      <c r="AP210" s="106"/>
      <c r="AQ210" s="15"/>
      <c r="AR210" s="104">
        <v>206</v>
      </c>
      <c r="AS210" s="14">
        <f t="shared" si="110"/>
        <v>11</v>
      </c>
      <c r="AT210" s="14">
        <f>INDEX(挂机升级突破!$CM$7:$CM$26,AX210)</f>
        <v>5</v>
      </c>
      <c r="AU210" s="14">
        <f>INDEX(挂机升级突破!$CN$7:$CN$26,AX210)</f>
        <v>1</v>
      </c>
      <c r="AV210" s="14">
        <f t="shared" si="111"/>
        <v>4</v>
      </c>
      <c r="AW210" s="14" t="str">
        <f t="shared" si="112"/>
        <v>张飞</v>
      </c>
      <c r="AX210" s="14">
        <f t="shared" si="113"/>
        <v>6</v>
      </c>
      <c r="AY210" s="14" t="str">
        <f t="shared" si="114"/>
        <v>张飞6突</v>
      </c>
      <c r="AZ210" s="14" t="str">
        <f>IF(AT210&gt;0,INDEX(挂机升级突破!$CV$5:$CZ$5,卡牌消耗!AT210),"")</f>
        <v>金币</v>
      </c>
      <c r="BA210" s="14">
        <f>IF(AT210&gt;0,ROUND(INDEX(挂机升级突破!$CZ$7:$CZ$26,卡牌消耗!AX210)*INDEX(卡牌消耗!$B$8:$F$8,AV210)/$Q$4/500,0)*500,"")</f>
        <v>6000</v>
      </c>
      <c r="BB210" s="14" t="str">
        <f>IF(AU210&gt;0,INDEX(挂机升级突破!$CV$5:$CZ$5,卡牌消耗!AU210),"")</f>
        <v>玄铁</v>
      </c>
      <c r="BC210" s="14">
        <f>IF(AU210&gt;0,ROUND(INDEX(挂机升级突破!$CV$7:$CY$26,卡牌消耗!AX210,卡牌消耗!AU210)*INDEX($B$6:$F$6,AV210)/$Q$4/5,0)*5,"")</f>
        <v>210</v>
      </c>
      <c r="BD210" s="104"/>
      <c r="BE210" s="104"/>
      <c r="BF210" s="106"/>
      <c r="BW210" s="65">
        <v>148</v>
      </c>
      <c r="BX210" s="65">
        <v>17</v>
      </c>
      <c r="BY210" s="21">
        <f t="shared" si="118"/>
        <v>0.11724137931034483</v>
      </c>
      <c r="BZ210" s="65">
        <f t="shared" si="119"/>
        <v>0</v>
      </c>
      <c r="CA210" s="65" t="e">
        <f>SUM(BZ$5:BZ210)</f>
        <v>#REF!</v>
      </c>
      <c r="CD210" s="136">
        <v>206</v>
      </c>
      <c r="CE210" s="14">
        <f t="shared" si="115"/>
        <v>42</v>
      </c>
      <c r="CF210" s="14">
        <f t="shared" si="100"/>
        <v>2</v>
      </c>
      <c r="CG210" s="14">
        <f t="shared" si="101"/>
        <v>1102019</v>
      </c>
      <c r="CH210" s="136" t="s">
        <v>1127</v>
      </c>
      <c r="CI210" s="14">
        <f t="shared" si="102"/>
        <v>1</v>
      </c>
      <c r="CJ210" s="14" t="str">
        <f t="shared" si="103"/>
        <v>食火蜥-1星</v>
      </c>
      <c r="CK210" s="136" t="s">
        <v>1133</v>
      </c>
      <c r="CL210" s="14">
        <f t="shared" si="116"/>
        <v>3000</v>
      </c>
      <c r="CM210" s="14" t="str">
        <f t="shared" si="104"/>
        <v>食火蜥碎片</v>
      </c>
      <c r="CN210" s="14">
        <f t="shared" si="117"/>
        <v>20</v>
      </c>
    </row>
    <row r="211" spans="8:92" ht="16.5" x14ac:dyDescent="0.2">
      <c r="H211" s="15"/>
      <c r="I211" s="15"/>
      <c r="J211" s="15"/>
      <c r="K211" s="15"/>
      <c r="L211" s="15"/>
      <c r="M211" s="15"/>
      <c r="N211" s="15"/>
      <c r="O211" s="137"/>
      <c r="P211" s="141"/>
      <c r="Q211" s="141"/>
      <c r="R211" s="141"/>
      <c r="S211" s="141"/>
      <c r="T211" s="141"/>
      <c r="U211" s="141"/>
      <c r="V211" s="141"/>
      <c r="W211" s="141"/>
      <c r="X211" s="141"/>
      <c r="Y211" s="141"/>
      <c r="Z211" s="141"/>
      <c r="AA211" s="104">
        <v>207</v>
      </c>
      <c r="AB211" s="14">
        <f t="shared" si="105"/>
        <v>4</v>
      </c>
      <c r="AC211" s="14">
        <f>INDEX(挂机升级突破!$BU$6:$BU$57,卡牌消耗!AI211)</f>
        <v>11</v>
      </c>
      <c r="AD211" s="14">
        <f>INDEX(挂机升级突破!BV$6:BV$57,卡牌消耗!$AI211)</f>
        <v>5</v>
      </c>
      <c r="AE211" s="14">
        <f>INDEX(挂机升级突破!BW$6:BW$57,卡牌消耗!$AI211)</f>
        <v>10</v>
      </c>
      <c r="AF211" s="14" t="str">
        <f t="shared" si="106"/>
        <v>唐流雨</v>
      </c>
      <c r="AG211" s="14">
        <f t="shared" si="107"/>
        <v>2</v>
      </c>
      <c r="AH211" s="14" t="str">
        <f t="shared" si="108"/>
        <v>唐流雨魂火-51</v>
      </c>
      <c r="AI211" s="14">
        <f t="shared" si="109"/>
        <v>51</v>
      </c>
      <c r="AJ211" s="14" t="str">
        <f>INDEX(挂机升级突破!$BX$4:$CH$4,INDEX(挂机升级突破!$BU$6:$BU$57,卡牌消耗!AI211))</f>
        <v>金币</v>
      </c>
      <c r="AK211" s="14">
        <f>ROUND(INDEX(挂机升级突破!$BN$6:$BN$57,卡牌消耗!AI211)*INDEX(卡牌消耗!$B$8:$F$8,AG211)/$Q$4/50,0)*50</f>
        <v>195000</v>
      </c>
      <c r="AL211" s="14" t="str">
        <f>IF(AD211&gt;0,INDEX(挂机升级突破!$BX$4:$CH$4,AD211),"")</f>
        <v>红色基础材料</v>
      </c>
      <c r="AM211" s="14">
        <f>ROUND(INDEX(挂机升级突破!$BX$6:$CH$57,卡牌消耗!AI211,AD211)*INDEX(卡牌消耗!$B$5:$F$5,AG211)/$Q$4/5,0)*5</f>
        <v>55</v>
      </c>
      <c r="AN211" s="14" t="str">
        <f>IF(AE211&gt;0,INDEX(挂机升级突破!$BX$4:$CH$4,AE211),"")</f>
        <v>灵玉</v>
      </c>
      <c r="AO211" s="14">
        <f>IF(AE211&gt;0,ROUND(INDEX(挂机升级突破!$BX$6:$CH$57,卡牌消耗!AI211,AE211)*INDEX(卡牌消耗!$B$7:$F$7,AG211)/$Q$4,0),"")</f>
        <v>1</v>
      </c>
      <c r="AP211" s="106"/>
      <c r="AQ211" s="15"/>
      <c r="AR211" s="104">
        <v>207</v>
      </c>
      <c r="AS211" s="14">
        <f t="shared" si="110"/>
        <v>11</v>
      </c>
      <c r="AT211" s="14">
        <f>INDEX(挂机升级突破!$CM$7:$CM$26,AX211)</f>
        <v>5</v>
      </c>
      <c r="AU211" s="14">
        <f>INDEX(挂机升级突破!$CN$7:$CN$26,AX211)</f>
        <v>1</v>
      </c>
      <c r="AV211" s="14">
        <f t="shared" si="111"/>
        <v>4</v>
      </c>
      <c r="AW211" s="14" t="str">
        <f t="shared" si="112"/>
        <v>张飞</v>
      </c>
      <c r="AX211" s="14">
        <f t="shared" si="113"/>
        <v>7</v>
      </c>
      <c r="AY211" s="14" t="str">
        <f t="shared" si="114"/>
        <v>张飞7突</v>
      </c>
      <c r="AZ211" s="14" t="str">
        <f>IF(AT211&gt;0,INDEX(挂机升级突破!$CV$5:$CZ$5,卡牌消耗!AT211),"")</f>
        <v>金币</v>
      </c>
      <c r="BA211" s="14">
        <f>IF(AT211&gt;0,ROUND(INDEX(挂机升级突破!$CZ$7:$CZ$26,卡牌消耗!AX211)*INDEX(卡牌消耗!$B$8:$F$8,AV211)/$Q$4/500,0)*500,"")</f>
        <v>9500</v>
      </c>
      <c r="BB211" s="14" t="str">
        <f>IF(AU211&gt;0,INDEX(挂机升级突破!$CV$5:$CZ$5,卡牌消耗!AU211),"")</f>
        <v>玄铁</v>
      </c>
      <c r="BC211" s="14">
        <f>IF(AU211&gt;0,ROUND(INDEX(挂机升级突破!$CV$7:$CY$26,卡牌消耗!AX211,卡牌消耗!AU211)*INDEX($B$6:$F$6,AV211)/$Q$4/5,0)*5,"")</f>
        <v>345</v>
      </c>
      <c r="BD211" s="104"/>
      <c r="BE211" s="104"/>
      <c r="BF211" s="106"/>
      <c r="BW211" s="65">
        <v>149</v>
      </c>
      <c r="BX211" s="65">
        <v>18</v>
      </c>
      <c r="BY211" s="21">
        <f t="shared" si="118"/>
        <v>0.12413793103448276</v>
      </c>
      <c r="BZ211" s="65">
        <f t="shared" si="119"/>
        <v>0</v>
      </c>
      <c r="CA211" s="65" t="e">
        <f>SUM(BZ$5:BZ211)</f>
        <v>#REF!</v>
      </c>
      <c r="CD211" s="136">
        <v>207</v>
      </c>
      <c r="CE211" s="14">
        <f t="shared" si="115"/>
        <v>42</v>
      </c>
      <c r="CF211" s="14">
        <f t="shared" si="100"/>
        <v>2</v>
      </c>
      <c r="CG211" s="14">
        <f t="shared" si="101"/>
        <v>1102019</v>
      </c>
      <c r="CH211" s="136" t="s">
        <v>1127</v>
      </c>
      <c r="CI211" s="14">
        <f t="shared" si="102"/>
        <v>2</v>
      </c>
      <c r="CJ211" s="14" t="str">
        <f t="shared" si="103"/>
        <v>食火蜥-2星</v>
      </c>
      <c r="CK211" s="136" t="s">
        <v>1133</v>
      </c>
      <c r="CL211" s="14">
        <f t="shared" si="116"/>
        <v>3500</v>
      </c>
      <c r="CM211" s="14" t="str">
        <f t="shared" si="104"/>
        <v>食火蜥碎片</v>
      </c>
      <c r="CN211" s="14">
        <f t="shared" si="117"/>
        <v>40</v>
      </c>
    </row>
    <row r="212" spans="8:92" ht="16.5" x14ac:dyDescent="0.2">
      <c r="H212" s="15"/>
      <c r="I212" s="15"/>
      <c r="J212" s="15"/>
      <c r="K212" s="15"/>
      <c r="L212" s="15"/>
      <c r="M212" s="15"/>
      <c r="N212" s="15"/>
      <c r="O212" s="137"/>
      <c r="P212" s="141"/>
      <c r="Q212" s="141"/>
      <c r="R212" s="141"/>
      <c r="S212" s="141"/>
      <c r="T212" s="141"/>
      <c r="U212" s="141"/>
      <c r="V212" s="141"/>
      <c r="W212" s="141"/>
      <c r="X212" s="141"/>
      <c r="Y212" s="141"/>
      <c r="Z212" s="141"/>
      <c r="AA212" s="104">
        <v>208</v>
      </c>
      <c r="AB212" s="14">
        <f t="shared" si="105"/>
        <v>4</v>
      </c>
      <c r="AC212" s="14">
        <f>INDEX(挂机升级突破!$BU$6:$BU$57,卡牌消耗!AI212)</f>
        <v>11</v>
      </c>
      <c r="AD212" s="14">
        <f>INDEX(挂机升级突破!BV$6:BV$57,卡牌消耗!$AI212)</f>
        <v>5</v>
      </c>
      <c r="AE212" s="14">
        <f>INDEX(挂机升级突破!BW$6:BW$57,卡牌消耗!$AI212)</f>
        <v>10</v>
      </c>
      <c r="AF212" s="14" t="str">
        <f t="shared" si="106"/>
        <v>唐流雨</v>
      </c>
      <c r="AG212" s="14">
        <f t="shared" si="107"/>
        <v>2</v>
      </c>
      <c r="AH212" s="14" t="str">
        <f t="shared" si="108"/>
        <v>唐流雨魂火-52</v>
      </c>
      <c r="AI212" s="14">
        <f t="shared" si="109"/>
        <v>52</v>
      </c>
      <c r="AJ212" s="14" t="str">
        <f>INDEX(挂机升级突破!$BX$4:$CH$4,INDEX(挂机升级突破!$BU$6:$BU$57,卡牌消耗!AI212))</f>
        <v>金币</v>
      </c>
      <c r="AK212" s="14">
        <f>ROUND(INDEX(挂机升级突破!$BN$6:$BN$57,卡牌消耗!AI212)*INDEX(卡牌消耗!$B$8:$F$8,AG212)/$Q$4/50,0)*50</f>
        <v>195000</v>
      </c>
      <c r="AL212" s="14" t="str">
        <f>IF(AD212&gt;0,INDEX(挂机升级突破!$BX$4:$CH$4,AD212),"")</f>
        <v>红色基础材料</v>
      </c>
      <c r="AM212" s="14">
        <f>ROUND(INDEX(挂机升级突破!$BX$6:$CH$57,卡牌消耗!AI212,AD212)*INDEX(卡牌消耗!$B$5:$F$5,AG212)/$Q$4/5,0)*5</f>
        <v>55</v>
      </c>
      <c r="AN212" s="14" t="str">
        <f>IF(AE212&gt;0,INDEX(挂机升级突破!$BX$4:$CH$4,AE212),"")</f>
        <v>灵玉</v>
      </c>
      <c r="AO212" s="14">
        <f>IF(AE212&gt;0,ROUND(INDEX(挂机升级突破!$BX$6:$CH$57,卡牌消耗!AI212,AE212)*INDEX(卡牌消耗!$B$7:$F$7,AG212)/$Q$4,0),"")</f>
        <v>1</v>
      </c>
      <c r="AP212" s="106"/>
      <c r="AQ212" s="15"/>
      <c r="AR212" s="104">
        <v>208</v>
      </c>
      <c r="AS212" s="14">
        <f t="shared" si="110"/>
        <v>11</v>
      </c>
      <c r="AT212" s="14">
        <f>INDEX(挂机升级突破!$CM$7:$CM$26,AX212)</f>
        <v>5</v>
      </c>
      <c r="AU212" s="14">
        <f>INDEX(挂机升级突破!$CN$7:$CN$26,AX212)</f>
        <v>1</v>
      </c>
      <c r="AV212" s="14">
        <f t="shared" si="111"/>
        <v>4</v>
      </c>
      <c r="AW212" s="14" t="str">
        <f t="shared" si="112"/>
        <v>张飞</v>
      </c>
      <c r="AX212" s="14">
        <f t="shared" si="113"/>
        <v>8</v>
      </c>
      <c r="AY212" s="14" t="str">
        <f t="shared" si="114"/>
        <v>张飞8突</v>
      </c>
      <c r="AZ212" s="14" t="str">
        <f>IF(AT212&gt;0,INDEX(挂机升级突破!$CV$5:$CZ$5,卡牌消耗!AT212),"")</f>
        <v>金币</v>
      </c>
      <c r="BA212" s="14">
        <f>IF(AT212&gt;0,ROUND(INDEX(挂机升级突破!$CZ$7:$CZ$26,卡牌消耗!AX212)*INDEX(卡牌消耗!$B$8:$F$8,AV212)/$Q$4/500,0)*500,"")</f>
        <v>9500</v>
      </c>
      <c r="BB212" s="14" t="str">
        <f>IF(AU212&gt;0,INDEX(挂机升级突破!$CV$5:$CZ$5,卡牌消耗!AU212),"")</f>
        <v>玄铁</v>
      </c>
      <c r="BC212" s="14">
        <f>IF(AU212&gt;0,ROUND(INDEX(挂机升级突破!$CV$7:$CY$26,卡牌消耗!AX212,卡牌消耗!AU212)*INDEX($B$6:$F$6,AV212)/$Q$4/5,0)*5,"")</f>
        <v>625</v>
      </c>
      <c r="BD212" s="104"/>
      <c r="BE212" s="104"/>
      <c r="BF212" s="106"/>
      <c r="BW212" s="65">
        <v>150</v>
      </c>
      <c r="BX212" s="65">
        <v>19</v>
      </c>
      <c r="BY212" s="21">
        <f t="shared" si="118"/>
        <v>0.1310344827586207</v>
      </c>
      <c r="BZ212" s="65">
        <f t="shared" si="119"/>
        <v>0</v>
      </c>
      <c r="CA212" s="65" t="e">
        <f>SUM(BZ$5:BZ212)</f>
        <v>#REF!</v>
      </c>
      <c r="CD212" s="136">
        <v>208</v>
      </c>
      <c r="CE212" s="14">
        <f t="shared" si="115"/>
        <v>42</v>
      </c>
      <c r="CF212" s="14">
        <f t="shared" si="100"/>
        <v>2</v>
      </c>
      <c r="CG212" s="14">
        <f t="shared" si="101"/>
        <v>1102019</v>
      </c>
      <c r="CH212" s="136" t="s">
        <v>1127</v>
      </c>
      <c r="CI212" s="14">
        <f t="shared" si="102"/>
        <v>3</v>
      </c>
      <c r="CJ212" s="14" t="str">
        <f t="shared" si="103"/>
        <v>食火蜥-3星</v>
      </c>
      <c r="CK212" s="136" t="s">
        <v>1133</v>
      </c>
      <c r="CL212" s="14">
        <f t="shared" si="116"/>
        <v>7000</v>
      </c>
      <c r="CM212" s="14" t="str">
        <f t="shared" si="104"/>
        <v>食火蜥碎片</v>
      </c>
      <c r="CN212" s="14">
        <f t="shared" si="117"/>
        <v>80</v>
      </c>
    </row>
    <row r="213" spans="8:92" ht="16.5" x14ac:dyDescent="0.2">
      <c r="H213" s="15"/>
      <c r="I213" s="15"/>
      <c r="J213" s="15"/>
      <c r="K213" s="15"/>
      <c r="L213" s="15"/>
      <c r="M213" s="15"/>
      <c r="N213" s="15"/>
      <c r="O213" s="137"/>
      <c r="P213" s="141"/>
      <c r="Q213" s="141"/>
      <c r="R213" s="141"/>
      <c r="S213" s="141"/>
      <c r="T213" s="141"/>
      <c r="U213" s="141"/>
      <c r="V213" s="141"/>
      <c r="W213" s="141"/>
      <c r="X213" s="141"/>
      <c r="Y213" s="141"/>
      <c r="Z213" s="141"/>
      <c r="AA213" s="104">
        <v>209</v>
      </c>
      <c r="AB213" s="14">
        <f t="shared" si="105"/>
        <v>5</v>
      </c>
      <c r="AC213" s="14">
        <f>INDEX(挂机升级突破!$BU$6:$BU$57,卡牌消耗!AI213)</f>
        <v>11</v>
      </c>
      <c r="AD213" s="14">
        <f>INDEX(挂机升级突破!BV$6:BV$57,卡牌消耗!$AI213)</f>
        <v>1</v>
      </c>
      <c r="AE213" s="14">
        <f>INDEX(挂机升级突破!BW$6:BW$57,卡牌消耗!$AI213)</f>
        <v>0</v>
      </c>
      <c r="AF213" s="14" t="str">
        <f t="shared" si="106"/>
        <v>李轩辕</v>
      </c>
      <c r="AG213" s="14">
        <f t="shared" si="107"/>
        <v>3</v>
      </c>
      <c r="AH213" s="14" t="str">
        <f t="shared" si="108"/>
        <v>李轩辕魂火-1</v>
      </c>
      <c r="AI213" s="14">
        <f t="shared" si="109"/>
        <v>1</v>
      </c>
      <c r="AJ213" s="14" t="str">
        <f>INDEX(挂机升级突破!$BX$4:$CH$4,INDEX(挂机升级突破!$BU$6:$BU$57,卡牌消耗!AI213))</f>
        <v>金币</v>
      </c>
      <c r="AK213" s="14">
        <f>ROUND(INDEX(挂机升级突破!$BN$6:$BN$57,卡牌消耗!AI213)*INDEX(卡牌消耗!$B$8:$F$8,AG213)/$Q$4/50,0)*50</f>
        <v>600</v>
      </c>
      <c r="AL213" s="14" t="str">
        <f>IF(AD213&gt;0,INDEX(挂机升级突破!$BX$4:$CH$4,AD213),"")</f>
        <v>绿色基础材料</v>
      </c>
      <c r="AM213" s="14">
        <f>ROUND(INDEX(挂机升级突破!$BX$6:$CH$57,卡牌消耗!AI213,AD213)*INDEX(卡牌消耗!$B$5:$F$5,AG213)/$Q$4/5,0)*5</f>
        <v>835</v>
      </c>
      <c r="AN213" s="14" t="str">
        <f>IF(AE213&gt;0,INDEX(挂机升级突破!$BX$4:$CH$4,AE213),"")</f>
        <v/>
      </c>
      <c r="AO213" s="14" t="str">
        <f>IF(AE213&gt;0,ROUND(INDEX(挂机升级突破!$BX$6:$CH$57,卡牌消耗!AI213,AE213)*INDEX(卡牌消耗!$B$7:$F$7,AG213)/$Q$4,0),"")</f>
        <v/>
      </c>
      <c r="AP213" s="106"/>
      <c r="AQ213" s="15"/>
      <c r="AR213" s="104">
        <v>209</v>
      </c>
      <c r="AS213" s="14">
        <f t="shared" si="110"/>
        <v>11</v>
      </c>
      <c r="AT213" s="14">
        <f>INDEX(挂机升级突破!$CM$7:$CM$26,AX213)</f>
        <v>5</v>
      </c>
      <c r="AU213" s="14">
        <f>INDEX(挂机升级突破!$CN$7:$CN$26,AX213)</f>
        <v>2</v>
      </c>
      <c r="AV213" s="14">
        <f t="shared" si="111"/>
        <v>4</v>
      </c>
      <c r="AW213" s="14" t="str">
        <f t="shared" si="112"/>
        <v>张飞</v>
      </c>
      <c r="AX213" s="14">
        <f t="shared" si="113"/>
        <v>9</v>
      </c>
      <c r="AY213" s="14" t="str">
        <f t="shared" si="114"/>
        <v>张飞9突</v>
      </c>
      <c r="AZ213" s="14" t="str">
        <f>IF(AT213&gt;0,INDEX(挂机升级突破!$CV$5:$CZ$5,卡牌消耗!AT213),"")</f>
        <v>金币</v>
      </c>
      <c r="BA213" s="14">
        <f>IF(AT213&gt;0,ROUND(INDEX(挂机升级突破!$CZ$7:$CZ$26,卡牌消耗!AX213)*INDEX(卡牌消耗!$B$8:$F$8,AV213)/$Q$4/500,0)*500,"")</f>
        <v>12500</v>
      </c>
      <c r="BB213" s="14" t="str">
        <f>IF(AU213&gt;0,INDEX(挂机升级突破!$CV$5:$CZ$5,卡牌消耗!AU213),"")</f>
        <v>乌金</v>
      </c>
      <c r="BC213" s="14">
        <f>IF(AU213&gt;0,ROUND(INDEX(挂机升级突破!$CV$7:$CY$26,卡牌消耗!AX213,卡牌消耗!AU213)*INDEX($B$6:$F$6,AV213)/$Q$4/5,0)*5,"")</f>
        <v>75</v>
      </c>
      <c r="BD213" s="104"/>
      <c r="BE213" s="104"/>
      <c r="BF213" s="106"/>
      <c r="CD213" s="136">
        <v>209</v>
      </c>
      <c r="CE213" s="14">
        <f t="shared" si="115"/>
        <v>42</v>
      </c>
      <c r="CF213" s="14">
        <f t="shared" si="100"/>
        <v>2</v>
      </c>
      <c r="CG213" s="14">
        <f t="shared" si="101"/>
        <v>1102019</v>
      </c>
      <c r="CH213" s="136" t="s">
        <v>1127</v>
      </c>
      <c r="CI213" s="14">
        <f t="shared" si="102"/>
        <v>4</v>
      </c>
      <c r="CJ213" s="14" t="str">
        <f t="shared" si="103"/>
        <v>食火蜥-4星</v>
      </c>
      <c r="CK213" s="136" t="s">
        <v>1133</v>
      </c>
      <c r="CL213" s="14">
        <f t="shared" si="116"/>
        <v>16000</v>
      </c>
      <c r="CM213" s="14" t="str">
        <f t="shared" si="104"/>
        <v>食火蜥碎片</v>
      </c>
      <c r="CN213" s="14">
        <f t="shared" si="117"/>
        <v>120</v>
      </c>
    </row>
    <row r="214" spans="8:92" ht="16.5" x14ac:dyDescent="0.2">
      <c r="H214" s="15"/>
      <c r="I214" s="15"/>
      <c r="J214" s="15"/>
      <c r="K214" s="15"/>
      <c r="L214" s="15"/>
      <c r="M214" s="15"/>
      <c r="N214" s="15"/>
      <c r="O214" s="137"/>
      <c r="P214" s="141"/>
      <c r="Q214" s="141"/>
      <c r="R214" s="141"/>
      <c r="S214" s="141"/>
      <c r="T214" s="141"/>
      <c r="U214" s="141"/>
      <c r="V214" s="141"/>
      <c r="W214" s="141"/>
      <c r="X214" s="141"/>
      <c r="Y214" s="141"/>
      <c r="Z214" s="141"/>
      <c r="AA214" s="104">
        <v>210</v>
      </c>
      <c r="AB214" s="14">
        <f t="shared" si="105"/>
        <v>5</v>
      </c>
      <c r="AC214" s="14">
        <f>INDEX(挂机升级突破!$BU$6:$BU$57,卡牌消耗!AI214)</f>
        <v>11</v>
      </c>
      <c r="AD214" s="14">
        <f>INDEX(挂机升级突破!BV$6:BV$57,卡牌消耗!$AI214)</f>
        <v>1</v>
      </c>
      <c r="AE214" s="14">
        <f>INDEX(挂机升级突破!BW$6:BW$57,卡牌消耗!$AI214)</f>
        <v>0</v>
      </c>
      <c r="AF214" s="14" t="str">
        <f t="shared" si="106"/>
        <v>李轩辕</v>
      </c>
      <c r="AG214" s="14">
        <f t="shared" si="107"/>
        <v>3</v>
      </c>
      <c r="AH214" s="14" t="str">
        <f t="shared" si="108"/>
        <v>李轩辕魂火-2</v>
      </c>
      <c r="AI214" s="14">
        <f t="shared" si="109"/>
        <v>2</v>
      </c>
      <c r="AJ214" s="14" t="str">
        <f>INDEX(挂机升级突破!$BX$4:$CH$4,INDEX(挂机升级突破!$BU$6:$BU$57,卡牌消耗!AI214))</f>
        <v>金币</v>
      </c>
      <c r="AK214" s="14">
        <f>ROUND(INDEX(挂机升级突破!$BN$6:$BN$57,卡牌消耗!AI214)*INDEX(卡牌消耗!$B$8:$F$8,AG214)/$Q$4/50,0)*50</f>
        <v>800</v>
      </c>
      <c r="AL214" s="14" t="str">
        <f>IF(AD214&gt;0,INDEX(挂机升级突破!$BX$4:$CH$4,AD214),"")</f>
        <v>绿色基础材料</v>
      </c>
      <c r="AM214" s="14">
        <f>ROUND(INDEX(挂机升级突破!$BX$6:$CH$57,卡牌消耗!AI214,AD214)*INDEX(卡牌消耗!$B$5:$F$5,AG214)/$Q$4/5,0)*5</f>
        <v>2505</v>
      </c>
      <c r="AN214" s="14" t="str">
        <f>IF(AE214&gt;0,INDEX(挂机升级突破!$BX$4:$CH$4,AE214),"")</f>
        <v/>
      </c>
      <c r="AO214" s="14" t="str">
        <f>IF(AE214&gt;0,ROUND(INDEX(挂机升级突破!$BX$6:$CH$57,卡牌消耗!AI214,AE214)*INDEX(卡牌消耗!$B$7:$F$7,AG214)/$Q$4,0),"")</f>
        <v/>
      </c>
      <c r="AP214" s="106"/>
      <c r="AQ214" s="15"/>
      <c r="AR214" s="104">
        <v>210</v>
      </c>
      <c r="AS214" s="14">
        <f t="shared" si="110"/>
        <v>11</v>
      </c>
      <c r="AT214" s="14">
        <f>INDEX(挂机升级突破!$CM$7:$CM$26,AX214)</f>
        <v>5</v>
      </c>
      <c r="AU214" s="14">
        <f>INDEX(挂机升级突破!$CN$7:$CN$26,AX214)</f>
        <v>2</v>
      </c>
      <c r="AV214" s="14">
        <f t="shared" si="111"/>
        <v>4</v>
      </c>
      <c r="AW214" s="14" t="str">
        <f t="shared" si="112"/>
        <v>张飞</v>
      </c>
      <c r="AX214" s="14">
        <f t="shared" si="113"/>
        <v>10</v>
      </c>
      <c r="AY214" s="14" t="str">
        <f t="shared" si="114"/>
        <v>张飞10突</v>
      </c>
      <c r="AZ214" s="14" t="str">
        <f>IF(AT214&gt;0,INDEX(挂机升级突破!$CV$5:$CZ$5,卡牌消耗!AT214),"")</f>
        <v>金币</v>
      </c>
      <c r="BA214" s="14">
        <f>IF(AT214&gt;0,ROUND(INDEX(挂机升级突破!$CZ$7:$CZ$26,卡牌消耗!AX214)*INDEX(卡牌消耗!$B$8:$F$8,AV214)/$Q$4/500,0)*500,"")</f>
        <v>22000</v>
      </c>
      <c r="BB214" s="14" t="str">
        <f>IF(AU214&gt;0,INDEX(挂机升级突破!$CV$5:$CZ$5,卡牌消耗!AU214),"")</f>
        <v>乌金</v>
      </c>
      <c r="BC214" s="14">
        <f>IF(AU214&gt;0,ROUND(INDEX(挂机升级突破!$CV$7:$CY$26,卡牌消耗!AX214,卡牌消耗!AU214)*INDEX($B$6:$F$6,AV214)/$Q$4/5,0)*5,"")</f>
        <v>110</v>
      </c>
      <c r="BD214" s="104"/>
      <c r="BE214" s="104"/>
      <c r="BF214" s="106"/>
      <c r="CD214" s="136">
        <v>210</v>
      </c>
      <c r="CE214" s="14">
        <f t="shared" si="115"/>
        <v>42</v>
      </c>
      <c r="CF214" s="14">
        <f t="shared" si="100"/>
        <v>2</v>
      </c>
      <c r="CG214" s="14">
        <f t="shared" si="101"/>
        <v>1102019</v>
      </c>
      <c r="CH214" s="136" t="s">
        <v>1127</v>
      </c>
      <c r="CI214" s="14">
        <f t="shared" si="102"/>
        <v>5</v>
      </c>
      <c r="CJ214" s="14" t="str">
        <f t="shared" si="103"/>
        <v>食火蜥-5星</v>
      </c>
      <c r="CK214" s="136" t="s">
        <v>1133</v>
      </c>
      <c r="CL214" s="14">
        <f t="shared" si="116"/>
        <v>30000</v>
      </c>
      <c r="CM214" s="14" t="str">
        <f t="shared" si="104"/>
        <v>食火蜥碎片</v>
      </c>
      <c r="CN214" s="14">
        <f t="shared" si="117"/>
        <v>160</v>
      </c>
    </row>
    <row r="215" spans="8:92" ht="16.5" x14ac:dyDescent="0.2">
      <c r="H215" s="15"/>
      <c r="I215" s="15"/>
      <c r="J215" s="15"/>
      <c r="K215" s="15"/>
      <c r="L215" s="15"/>
      <c r="M215" s="15"/>
      <c r="N215" s="15"/>
      <c r="O215" s="137"/>
      <c r="P215" s="141"/>
      <c r="Q215" s="141"/>
      <c r="R215" s="141"/>
      <c r="S215" s="141"/>
      <c r="T215" s="141"/>
      <c r="U215" s="141"/>
      <c r="V215" s="141"/>
      <c r="W215" s="141"/>
      <c r="X215" s="141"/>
      <c r="Y215" s="141"/>
      <c r="Z215" s="141"/>
      <c r="AA215" s="104">
        <v>211</v>
      </c>
      <c r="AB215" s="14">
        <f t="shared" si="105"/>
        <v>5</v>
      </c>
      <c r="AC215" s="14">
        <f>INDEX(挂机升级突破!$BU$6:$BU$57,卡牌消耗!AI215)</f>
        <v>11</v>
      </c>
      <c r="AD215" s="14">
        <f>INDEX(挂机升级突破!BV$6:BV$57,卡牌消耗!$AI215)</f>
        <v>1</v>
      </c>
      <c r="AE215" s="14">
        <f>INDEX(挂机升级突破!BW$6:BW$57,卡牌消耗!$AI215)</f>
        <v>0</v>
      </c>
      <c r="AF215" s="14" t="str">
        <f t="shared" si="106"/>
        <v>李轩辕</v>
      </c>
      <c r="AG215" s="14">
        <f t="shared" si="107"/>
        <v>3</v>
      </c>
      <c r="AH215" s="14" t="str">
        <f t="shared" si="108"/>
        <v>李轩辕魂火-3</v>
      </c>
      <c r="AI215" s="14">
        <f t="shared" si="109"/>
        <v>3</v>
      </c>
      <c r="AJ215" s="14" t="str">
        <f>INDEX(挂机升级突破!$BX$4:$CH$4,INDEX(挂机升级突破!$BU$6:$BU$57,卡牌消耗!AI215))</f>
        <v>金币</v>
      </c>
      <c r="AK215" s="14">
        <f>ROUND(INDEX(挂机升级突破!$BN$6:$BN$57,卡牌消耗!AI215)*INDEX(卡牌消耗!$B$8:$F$8,AG215)/$Q$4/50,0)*50</f>
        <v>800</v>
      </c>
      <c r="AL215" s="14" t="str">
        <f>IF(AD215&gt;0,INDEX(挂机升级突破!$BX$4:$CH$4,AD215),"")</f>
        <v>绿色基础材料</v>
      </c>
      <c r="AM215" s="14">
        <f>ROUND(INDEX(挂机升级突破!$BX$6:$CH$57,卡牌消耗!AI215,AD215)*INDEX(卡牌消耗!$B$5:$F$5,AG215)/$Q$4/5,0)*5</f>
        <v>3335</v>
      </c>
      <c r="AN215" s="14" t="str">
        <f>IF(AE215&gt;0,INDEX(挂机升级突破!$BX$4:$CH$4,AE215),"")</f>
        <v/>
      </c>
      <c r="AO215" s="14" t="str">
        <f>IF(AE215&gt;0,ROUND(INDEX(挂机升级突破!$BX$6:$CH$57,卡牌消耗!AI215,AE215)*INDEX(卡牌消耗!$B$7:$F$7,AG215)/$Q$4,0),"")</f>
        <v/>
      </c>
      <c r="AP215" s="106"/>
      <c r="AQ215" s="15"/>
      <c r="AR215" s="104">
        <v>211</v>
      </c>
      <c r="AS215" s="14">
        <f t="shared" si="110"/>
        <v>11</v>
      </c>
      <c r="AT215" s="14">
        <f>INDEX(挂机升级突破!$CM$7:$CM$26,AX215)</f>
        <v>5</v>
      </c>
      <c r="AU215" s="14">
        <f>INDEX(挂机升级突破!$CN$7:$CN$26,AX215)</f>
        <v>2</v>
      </c>
      <c r="AV215" s="14">
        <f t="shared" si="111"/>
        <v>4</v>
      </c>
      <c r="AW215" s="14" t="str">
        <f t="shared" si="112"/>
        <v>张飞</v>
      </c>
      <c r="AX215" s="14">
        <f t="shared" si="113"/>
        <v>11</v>
      </c>
      <c r="AY215" s="14" t="str">
        <f t="shared" si="114"/>
        <v>张飞11突</v>
      </c>
      <c r="AZ215" s="14" t="str">
        <f>IF(AT215&gt;0,INDEX(挂机升级突破!$CV$5:$CZ$5,卡牌消耗!AT215),"")</f>
        <v>金币</v>
      </c>
      <c r="BA215" s="14">
        <f>IF(AT215&gt;0,ROUND(INDEX(挂机升级突破!$CZ$7:$CZ$26,卡牌消耗!AX215)*INDEX(卡牌消耗!$B$8:$F$8,AV215)/$Q$4/500,0)*500,"")</f>
        <v>22000</v>
      </c>
      <c r="BB215" s="14" t="str">
        <f>IF(AU215&gt;0,INDEX(挂机升级突破!$CV$5:$CZ$5,卡牌消耗!AU215),"")</f>
        <v>乌金</v>
      </c>
      <c r="BC215" s="14">
        <f>IF(AU215&gt;0,ROUND(INDEX(挂机升级突破!$CV$7:$CY$26,卡牌消耗!AX215,卡牌消耗!AU215)*INDEX($B$6:$F$6,AV215)/$Q$4/5,0)*5,"")</f>
        <v>145</v>
      </c>
      <c r="BD215" s="104"/>
      <c r="BE215" s="104"/>
      <c r="BF215" s="106"/>
      <c r="CD215" s="136">
        <v>211</v>
      </c>
      <c r="CE215" s="14">
        <f t="shared" si="115"/>
        <v>43</v>
      </c>
      <c r="CF215" s="14">
        <f t="shared" si="100"/>
        <v>3</v>
      </c>
      <c r="CG215" s="14">
        <f t="shared" si="101"/>
        <v>1102020</v>
      </c>
      <c r="CH215" s="136" t="s">
        <v>1127</v>
      </c>
      <c r="CI215" s="14">
        <f t="shared" si="102"/>
        <v>1</v>
      </c>
      <c r="CJ215" s="14" t="str">
        <f t="shared" si="103"/>
        <v>高顺-1星</v>
      </c>
      <c r="CK215" s="136" t="s">
        <v>1133</v>
      </c>
      <c r="CL215" s="14">
        <f t="shared" si="116"/>
        <v>4000</v>
      </c>
      <c r="CM215" s="14" t="str">
        <f t="shared" si="104"/>
        <v>高顺碎片</v>
      </c>
      <c r="CN215" s="14">
        <f t="shared" si="117"/>
        <v>40</v>
      </c>
    </row>
    <row r="216" spans="8:92" ht="16.5" x14ac:dyDescent="0.2">
      <c r="H216" s="15"/>
      <c r="I216" s="15"/>
      <c r="J216" s="15"/>
      <c r="K216" s="15"/>
      <c r="L216" s="15"/>
      <c r="M216" s="15"/>
      <c r="N216" s="15"/>
      <c r="O216" s="137"/>
      <c r="P216" s="141"/>
      <c r="Q216" s="141"/>
      <c r="R216" s="141"/>
      <c r="S216" s="141"/>
      <c r="T216" s="141"/>
      <c r="U216" s="141"/>
      <c r="V216" s="141"/>
      <c r="W216" s="141"/>
      <c r="X216" s="141"/>
      <c r="Y216" s="141"/>
      <c r="Z216" s="141"/>
      <c r="AA216" s="104">
        <v>212</v>
      </c>
      <c r="AB216" s="14">
        <f t="shared" si="105"/>
        <v>5</v>
      </c>
      <c r="AC216" s="14">
        <f>INDEX(挂机升级突破!$BU$6:$BU$57,卡牌消耗!AI216)</f>
        <v>11</v>
      </c>
      <c r="AD216" s="14">
        <f>INDEX(挂机升级突破!BV$6:BV$57,卡牌消耗!$AI216)</f>
        <v>1</v>
      </c>
      <c r="AE216" s="14">
        <f>INDEX(挂机升级突破!BW$6:BW$57,卡牌消耗!$AI216)</f>
        <v>0</v>
      </c>
      <c r="AF216" s="14" t="str">
        <f t="shared" si="106"/>
        <v>李轩辕</v>
      </c>
      <c r="AG216" s="14">
        <f t="shared" si="107"/>
        <v>3</v>
      </c>
      <c r="AH216" s="14" t="str">
        <f t="shared" si="108"/>
        <v>李轩辕魂火-4</v>
      </c>
      <c r="AI216" s="14">
        <f t="shared" si="109"/>
        <v>4</v>
      </c>
      <c r="AJ216" s="14" t="str">
        <f>INDEX(挂机升级突破!$BX$4:$CH$4,INDEX(挂机升级突破!$BU$6:$BU$57,卡牌消耗!AI216))</f>
        <v>金币</v>
      </c>
      <c r="AK216" s="14">
        <f>ROUND(INDEX(挂机升级突破!$BN$6:$BN$57,卡牌消耗!AI216)*INDEX(卡牌消耗!$B$8:$F$8,AG216)/$Q$4/50,0)*50</f>
        <v>800</v>
      </c>
      <c r="AL216" s="14" t="str">
        <f>IF(AD216&gt;0,INDEX(挂机升级突破!$BX$4:$CH$4,AD216),"")</f>
        <v>绿色基础材料</v>
      </c>
      <c r="AM216" s="14">
        <f>ROUND(INDEX(挂机升级突破!$BX$6:$CH$57,卡牌消耗!AI216,AD216)*INDEX(卡牌消耗!$B$5:$F$5,AG216)/$Q$4/5,0)*5</f>
        <v>5005</v>
      </c>
      <c r="AN216" s="14" t="str">
        <f>IF(AE216&gt;0,INDEX(挂机升级突破!$BX$4:$CH$4,AE216),"")</f>
        <v/>
      </c>
      <c r="AO216" s="14" t="str">
        <f>IF(AE216&gt;0,ROUND(INDEX(挂机升级突破!$BX$6:$CH$57,卡牌消耗!AI216,AE216)*INDEX(卡牌消耗!$B$7:$F$7,AG216)/$Q$4,0),"")</f>
        <v/>
      </c>
      <c r="AP216" s="106"/>
      <c r="AQ216" s="15"/>
      <c r="AR216" s="104">
        <v>212</v>
      </c>
      <c r="AS216" s="14">
        <f t="shared" si="110"/>
        <v>11</v>
      </c>
      <c r="AT216" s="14">
        <f>INDEX(挂机升级突破!$CM$7:$CM$26,AX216)</f>
        <v>5</v>
      </c>
      <c r="AU216" s="14">
        <f>INDEX(挂机升级突破!$CN$7:$CN$26,AX216)</f>
        <v>2</v>
      </c>
      <c r="AV216" s="14">
        <f t="shared" si="111"/>
        <v>4</v>
      </c>
      <c r="AW216" s="14" t="str">
        <f t="shared" si="112"/>
        <v>张飞</v>
      </c>
      <c r="AX216" s="14">
        <f t="shared" si="113"/>
        <v>12</v>
      </c>
      <c r="AY216" s="14" t="str">
        <f t="shared" si="114"/>
        <v>张飞12突</v>
      </c>
      <c r="AZ216" s="14" t="str">
        <f>IF(AT216&gt;0,INDEX(挂机升级突破!$CV$5:$CZ$5,卡牌消耗!AT216),"")</f>
        <v>金币</v>
      </c>
      <c r="BA216" s="14">
        <f>IF(AT216&gt;0,ROUND(INDEX(挂机升级突破!$CZ$7:$CZ$26,卡牌消耗!AX216)*INDEX(卡牌消耗!$B$8:$F$8,AV216)/$Q$4/500,0)*500,"")</f>
        <v>29500</v>
      </c>
      <c r="BB216" s="14" t="str">
        <f>IF(AU216&gt;0,INDEX(挂机升级突破!$CV$5:$CZ$5,卡牌消耗!AU216),"")</f>
        <v>乌金</v>
      </c>
      <c r="BC216" s="14">
        <f>IF(AU216&gt;0,ROUND(INDEX(挂机升级突破!$CV$7:$CY$26,卡牌消耗!AX216,卡牌消耗!AU216)*INDEX($B$6:$F$6,AV216)/$Q$4/5,0)*5,"")</f>
        <v>185</v>
      </c>
      <c r="BD216" s="104"/>
      <c r="BE216" s="104"/>
      <c r="BF216" s="106"/>
      <c r="CD216" s="136">
        <v>212</v>
      </c>
      <c r="CE216" s="14">
        <f t="shared" si="115"/>
        <v>43</v>
      </c>
      <c r="CF216" s="14">
        <f t="shared" si="100"/>
        <v>3</v>
      </c>
      <c r="CG216" s="14">
        <f t="shared" si="101"/>
        <v>1102020</v>
      </c>
      <c r="CH216" s="136" t="s">
        <v>1127</v>
      </c>
      <c r="CI216" s="14">
        <f t="shared" si="102"/>
        <v>2</v>
      </c>
      <c r="CJ216" s="14" t="str">
        <f t="shared" si="103"/>
        <v>高顺-2星</v>
      </c>
      <c r="CK216" s="136" t="s">
        <v>1133</v>
      </c>
      <c r="CL216" s="14">
        <f t="shared" si="116"/>
        <v>5000</v>
      </c>
      <c r="CM216" s="14" t="str">
        <f t="shared" si="104"/>
        <v>高顺碎片</v>
      </c>
      <c r="CN216" s="14">
        <f t="shared" si="117"/>
        <v>80</v>
      </c>
    </row>
    <row r="217" spans="8:92" ht="16.5" x14ac:dyDescent="0.2">
      <c r="H217" s="15"/>
      <c r="I217" s="15"/>
      <c r="J217" s="15"/>
      <c r="K217" s="15"/>
      <c r="L217" s="15"/>
      <c r="M217" s="15"/>
      <c r="N217" s="15"/>
      <c r="O217" s="137"/>
      <c r="P217" s="141"/>
      <c r="Q217" s="141"/>
      <c r="R217" s="141"/>
      <c r="S217" s="141"/>
      <c r="T217" s="141"/>
      <c r="U217" s="141"/>
      <c r="V217" s="141"/>
      <c r="W217" s="141"/>
      <c r="X217" s="141"/>
      <c r="Y217" s="141"/>
      <c r="Z217" s="141"/>
      <c r="AA217" s="104">
        <v>213</v>
      </c>
      <c r="AB217" s="14">
        <f t="shared" si="105"/>
        <v>5</v>
      </c>
      <c r="AC217" s="14">
        <f>INDEX(挂机升级突破!$BU$6:$BU$57,卡牌消耗!AI217)</f>
        <v>11</v>
      </c>
      <c r="AD217" s="14">
        <f>INDEX(挂机升级突破!BV$6:BV$57,卡牌消耗!$AI217)</f>
        <v>1</v>
      </c>
      <c r="AE217" s="14">
        <f>INDEX(挂机升级突破!BW$6:BW$57,卡牌消耗!$AI217)</f>
        <v>0</v>
      </c>
      <c r="AF217" s="14" t="str">
        <f t="shared" si="106"/>
        <v>李轩辕</v>
      </c>
      <c r="AG217" s="14">
        <f t="shared" si="107"/>
        <v>3</v>
      </c>
      <c r="AH217" s="14" t="str">
        <f t="shared" si="108"/>
        <v>李轩辕魂火-5</v>
      </c>
      <c r="AI217" s="14">
        <f t="shared" si="109"/>
        <v>5</v>
      </c>
      <c r="AJ217" s="14" t="str">
        <f>INDEX(挂机升级突破!$BX$4:$CH$4,INDEX(挂机升级突破!$BU$6:$BU$57,卡牌消耗!AI217))</f>
        <v>金币</v>
      </c>
      <c r="AK217" s="14">
        <f>ROUND(INDEX(挂机升级突破!$BN$6:$BN$57,卡牌消耗!AI217)*INDEX(卡牌消耗!$B$8:$F$8,AG217)/$Q$4/50,0)*50</f>
        <v>800</v>
      </c>
      <c r="AL217" s="14" t="str">
        <f>IF(AD217&gt;0,INDEX(挂机升级突破!$BX$4:$CH$4,AD217),"")</f>
        <v>绿色基础材料</v>
      </c>
      <c r="AM217" s="14">
        <f>ROUND(INDEX(挂机升级突破!$BX$6:$CH$57,卡牌消耗!AI217,AD217)*INDEX(卡牌消耗!$B$5:$F$5,AG217)/$Q$4/5,0)*5</f>
        <v>5005</v>
      </c>
      <c r="AN217" s="14" t="str">
        <f>IF(AE217&gt;0,INDEX(挂机升级突破!$BX$4:$CH$4,AE217),"")</f>
        <v/>
      </c>
      <c r="AO217" s="14" t="str">
        <f>IF(AE217&gt;0,ROUND(INDEX(挂机升级突破!$BX$6:$CH$57,卡牌消耗!AI217,AE217)*INDEX(卡牌消耗!$B$7:$F$7,AG217)/$Q$4,0),"")</f>
        <v/>
      </c>
      <c r="AP217" s="106"/>
      <c r="AQ217" s="15"/>
      <c r="AR217" s="104">
        <v>213</v>
      </c>
      <c r="AS217" s="14">
        <f t="shared" si="110"/>
        <v>11</v>
      </c>
      <c r="AT217" s="14">
        <f>INDEX(挂机升级突破!$CM$7:$CM$26,AX217)</f>
        <v>5</v>
      </c>
      <c r="AU217" s="14">
        <f>INDEX(挂机升级突破!$CN$7:$CN$26,AX217)</f>
        <v>3</v>
      </c>
      <c r="AV217" s="14">
        <f t="shared" si="111"/>
        <v>4</v>
      </c>
      <c r="AW217" s="14" t="str">
        <f t="shared" si="112"/>
        <v>张飞</v>
      </c>
      <c r="AX217" s="14">
        <f t="shared" si="113"/>
        <v>13</v>
      </c>
      <c r="AY217" s="14" t="str">
        <f t="shared" si="114"/>
        <v>张飞13突</v>
      </c>
      <c r="AZ217" s="14" t="str">
        <f>IF(AT217&gt;0,INDEX(挂机升级突破!$CV$5:$CZ$5,卡牌消耗!AT217),"")</f>
        <v>金币</v>
      </c>
      <c r="BA217" s="14">
        <f>IF(AT217&gt;0,ROUND(INDEX(挂机升级突破!$CZ$7:$CZ$26,卡牌消耗!AX217)*INDEX(卡牌消耗!$B$8:$F$8,AV217)/$Q$4/500,0)*500,"")</f>
        <v>39000</v>
      </c>
      <c r="BB217" s="14" t="str">
        <f>IF(AU217&gt;0,INDEX(挂机升级突破!$CV$5:$CZ$5,卡牌消耗!AU217),"")</f>
        <v>银母</v>
      </c>
      <c r="BC217" s="14">
        <f>IF(AU217&gt;0,ROUND(INDEX(挂机升级突破!$CV$7:$CY$26,卡牌消耗!AX217,卡牌消耗!AU217)*INDEX($B$6:$F$6,AV217)/$Q$4/5,0)*5,"")</f>
        <v>35</v>
      </c>
      <c r="BD217" s="104"/>
      <c r="BE217" s="104"/>
      <c r="BF217" s="106"/>
      <c r="CD217" s="136">
        <v>213</v>
      </c>
      <c r="CE217" s="14">
        <f t="shared" si="115"/>
        <v>43</v>
      </c>
      <c r="CF217" s="14">
        <f t="shared" si="100"/>
        <v>3</v>
      </c>
      <c r="CG217" s="14">
        <f t="shared" si="101"/>
        <v>1102020</v>
      </c>
      <c r="CH217" s="136" t="s">
        <v>1127</v>
      </c>
      <c r="CI217" s="14">
        <f t="shared" si="102"/>
        <v>3</v>
      </c>
      <c r="CJ217" s="14" t="str">
        <f t="shared" si="103"/>
        <v>高顺-3星</v>
      </c>
      <c r="CK217" s="136" t="s">
        <v>1133</v>
      </c>
      <c r="CL217" s="14">
        <f t="shared" si="116"/>
        <v>10000</v>
      </c>
      <c r="CM217" s="14" t="str">
        <f t="shared" si="104"/>
        <v>高顺碎片</v>
      </c>
      <c r="CN217" s="14">
        <f t="shared" si="117"/>
        <v>120</v>
      </c>
    </row>
    <row r="218" spans="8:92" ht="16.5" x14ac:dyDescent="0.2">
      <c r="H218" s="15"/>
      <c r="I218" s="15"/>
      <c r="J218" s="15"/>
      <c r="K218" s="15"/>
      <c r="L218" s="15"/>
      <c r="M218" s="15"/>
      <c r="N218" s="15"/>
      <c r="O218" s="137"/>
      <c r="P218" s="141"/>
      <c r="Q218" s="141"/>
      <c r="R218" s="141"/>
      <c r="S218" s="141"/>
      <c r="T218" s="141"/>
      <c r="U218" s="141"/>
      <c r="V218" s="141"/>
      <c r="W218" s="141"/>
      <c r="X218" s="141"/>
      <c r="Y218" s="141"/>
      <c r="Z218" s="141"/>
      <c r="AA218" s="104">
        <v>214</v>
      </c>
      <c r="AB218" s="14">
        <f t="shared" si="105"/>
        <v>5</v>
      </c>
      <c r="AC218" s="14">
        <f>INDEX(挂机升级突破!$BU$6:$BU$57,卡牌消耗!AI218)</f>
        <v>11</v>
      </c>
      <c r="AD218" s="14">
        <f>INDEX(挂机升级突破!BV$6:BV$57,卡牌消耗!$AI218)</f>
        <v>2</v>
      </c>
      <c r="AE218" s="14">
        <f>INDEX(挂机升级突破!BW$6:BW$57,卡牌消耗!$AI218)</f>
        <v>0</v>
      </c>
      <c r="AF218" s="14" t="str">
        <f t="shared" si="106"/>
        <v>李轩辕</v>
      </c>
      <c r="AG218" s="14">
        <f t="shared" si="107"/>
        <v>3</v>
      </c>
      <c r="AH218" s="14" t="str">
        <f t="shared" si="108"/>
        <v>李轩辕魂火-6</v>
      </c>
      <c r="AI218" s="14">
        <f t="shared" si="109"/>
        <v>6</v>
      </c>
      <c r="AJ218" s="14" t="str">
        <f>INDEX(挂机升级突破!$BX$4:$CH$4,INDEX(挂机升级突破!$BU$6:$BU$57,卡牌消耗!AI218))</f>
        <v>金币</v>
      </c>
      <c r="AK218" s="14">
        <f>ROUND(INDEX(挂机升级突破!$BN$6:$BN$57,卡牌消耗!AI218)*INDEX(卡牌消耗!$B$8:$F$8,AG218)/$Q$4/50,0)*50</f>
        <v>1000</v>
      </c>
      <c r="AL218" s="14" t="str">
        <f>IF(AD218&gt;0,INDEX(挂机升级突破!$BX$4:$CH$4,AD218),"")</f>
        <v>蓝色基础材料</v>
      </c>
      <c r="AM218" s="14">
        <f>ROUND(INDEX(挂机升级突破!$BX$6:$CH$57,卡牌消耗!AI218,AD218)*INDEX(卡牌消耗!$B$5:$F$5,AG218)/$Q$4/5,0)*5</f>
        <v>480</v>
      </c>
      <c r="AN218" s="14" t="str">
        <f>IF(AE218&gt;0,INDEX(挂机升级突破!$BX$4:$CH$4,AE218),"")</f>
        <v/>
      </c>
      <c r="AO218" s="14" t="str">
        <f>IF(AE218&gt;0,ROUND(INDEX(挂机升级突破!$BX$6:$CH$57,卡牌消耗!AI218,AE218)*INDEX(卡牌消耗!$B$7:$F$7,AG218)/$Q$4,0),"")</f>
        <v/>
      </c>
      <c r="AP218" s="106"/>
      <c r="AQ218" s="15"/>
      <c r="AR218" s="104">
        <v>214</v>
      </c>
      <c r="AS218" s="14">
        <f t="shared" si="110"/>
        <v>11</v>
      </c>
      <c r="AT218" s="14">
        <f>INDEX(挂机升级突破!$CM$7:$CM$26,AX218)</f>
        <v>5</v>
      </c>
      <c r="AU218" s="14">
        <f>INDEX(挂机升级突破!$CN$7:$CN$26,AX218)</f>
        <v>3</v>
      </c>
      <c r="AV218" s="14">
        <f t="shared" si="111"/>
        <v>4</v>
      </c>
      <c r="AW218" s="14" t="str">
        <f t="shared" si="112"/>
        <v>张飞</v>
      </c>
      <c r="AX218" s="14">
        <f t="shared" si="113"/>
        <v>14</v>
      </c>
      <c r="AY218" s="14" t="str">
        <f t="shared" si="114"/>
        <v>张飞14突</v>
      </c>
      <c r="AZ218" s="14" t="str">
        <f>IF(AT218&gt;0,INDEX(挂机升级突破!$CV$5:$CZ$5,卡牌消耗!AT218),"")</f>
        <v>金币</v>
      </c>
      <c r="BA218" s="14">
        <f>IF(AT218&gt;0,ROUND(INDEX(挂机升级突破!$CZ$7:$CZ$26,卡牌消耗!AX218)*INDEX(卡牌消耗!$B$8:$F$8,AV218)/$Q$4/500,0)*500,"")</f>
        <v>39000</v>
      </c>
      <c r="BB218" s="14" t="str">
        <f>IF(AU218&gt;0,INDEX(挂机升级突破!$CV$5:$CZ$5,卡牌消耗!AU218),"")</f>
        <v>银母</v>
      </c>
      <c r="BC218" s="14">
        <f>IF(AU218&gt;0,ROUND(INDEX(挂机升级突破!$CV$7:$CY$26,卡牌消耗!AX218,卡牌消耗!AU218)*INDEX($B$6:$F$6,AV218)/$Q$4/5,0)*5,"")</f>
        <v>50</v>
      </c>
      <c r="BD218" s="104"/>
      <c r="BE218" s="104"/>
      <c r="BF218" s="106"/>
      <c r="CD218" s="136">
        <v>214</v>
      </c>
      <c r="CE218" s="14">
        <f t="shared" si="115"/>
        <v>43</v>
      </c>
      <c r="CF218" s="14">
        <f t="shared" si="100"/>
        <v>3</v>
      </c>
      <c r="CG218" s="14">
        <f t="shared" si="101"/>
        <v>1102020</v>
      </c>
      <c r="CH218" s="136" t="s">
        <v>1127</v>
      </c>
      <c r="CI218" s="14">
        <f t="shared" si="102"/>
        <v>4</v>
      </c>
      <c r="CJ218" s="14" t="str">
        <f t="shared" si="103"/>
        <v>高顺-4星</v>
      </c>
      <c r="CK218" s="136" t="s">
        <v>1133</v>
      </c>
      <c r="CL218" s="14">
        <f t="shared" si="116"/>
        <v>20000</v>
      </c>
      <c r="CM218" s="14" t="str">
        <f t="shared" si="104"/>
        <v>高顺碎片</v>
      </c>
      <c r="CN218" s="14">
        <f t="shared" si="117"/>
        <v>160</v>
      </c>
    </row>
    <row r="219" spans="8:92" ht="16.5" x14ac:dyDescent="0.2">
      <c r="H219" s="15"/>
      <c r="I219" s="15"/>
      <c r="J219" s="15"/>
      <c r="K219" s="15"/>
      <c r="L219" s="15"/>
      <c r="M219" s="15"/>
      <c r="N219" s="15"/>
      <c r="O219" s="137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04">
        <v>215</v>
      </c>
      <c r="AB219" s="14">
        <f t="shared" si="105"/>
        <v>5</v>
      </c>
      <c r="AC219" s="14">
        <f>INDEX(挂机升级突破!$BU$6:$BU$57,卡牌消耗!AI219)</f>
        <v>11</v>
      </c>
      <c r="AD219" s="14">
        <f>INDEX(挂机升级突破!BV$6:BV$57,卡牌消耗!$AI219)</f>
        <v>2</v>
      </c>
      <c r="AE219" s="14">
        <f>INDEX(挂机升级突破!BW$6:BW$57,卡牌消耗!$AI219)</f>
        <v>0</v>
      </c>
      <c r="AF219" s="14" t="str">
        <f t="shared" si="106"/>
        <v>李轩辕</v>
      </c>
      <c r="AG219" s="14">
        <f t="shared" si="107"/>
        <v>3</v>
      </c>
      <c r="AH219" s="14" t="str">
        <f t="shared" si="108"/>
        <v>李轩辕魂火-7</v>
      </c>
      <c r="AI219" s="14">
        <f t="shared" si="109"/>
        <v>7</v>
      </c>
      <c r="AJ219" s="14" t="str">
        <f>INDEX(挂机升级突破!$BX$4:$CH$4,INDEX(挂机升级突破!$BU$6:$BU$57,卡牌消耗!AI219))</f>
        <v>金币</v>
      </c>
      <c r="AK219" s="14">
        <f>ROUND(INDEX(挂机升级突破!$BN$6:$BN$57,卡牌消耗!AI219)*INDEX(卡牌消耗!$B$8:$F$8,AG219)/$Q$4/50,0)*50</f>
        <v>1000</v>
      </c>
      <c r="AL219" s="14" t="str">
        <f>IF(AD219&gt;0,INDEX(挂机升级突破!$BX$4:$CH$4,AD219),"")</f>
        <v>蓝色基础材料</v>
      </c>
      <c r="AM219" s="14">
        <f>ROUND(INDEX(挂机升级突破!$BX$6:$CH$57,卡牌消耗!AI219,AD219)*INDEX(卡牌消耗!$B$5:$F$5,AG219)/$Q$4/5,0)*5</f>
        <v>480</v>
      </c>
      <c r="AN219" s="14" t="str">
        <f>IF(AE219&gt;0,INDEX(挂机升级突破!$BX$4:$CH$4,AE219),"")</f>
        <v/>
      </c>
      <c r="AO219" s="14" t="str">
        <f>IF(AE219&gt;0,ROUND(INDEX(挂机升级突破!$BX$6:$CH$57,卡牌消耗!AI219,AE219)*INDEX(卡牌消耗!$B$7:$F$7,AG219)/$Q$4,0),"")</f>
        <v/>
      </c>
      <c r="AP219" s="106"/>
      <c r="AQ219" s="15"/>
      <c r="AR219" s="104">
        <v>215</v>
      </c>
      <c r="AS219" s="14">
        <f t="shared" si="110"/>
        <v>11</v>
      </c>
      <c r="AT219" s="14">
        <f>INDEX(挂机升级突破!$CM$7:$CM$26,AX219)</f>
        <v>5</v>
      </c>
      <c r="AU219" s="14">
        <f>INDEX(挂机升级突破!$CN$7:$CN$26,AX219)</f>
        <v>3</v>
      </c>
      <c r="AV219" s="14">
        <f t="shared" si="111"/>
        <v>4</v>
      </c>
      <c r="AW219" s="14" t="str">
        <f t="shared" si="112"/>
        <v>张飞</v>
      </c>
      <c r="AX219" s="14">
        <f t="shared" si="113"/>
        <v>15</v>
      </c>
      <c r="AY219" s="14" t="str">
        <f t="shared" si="114"/>
        <v>张飞15突</v>
      </c>
      <c r="AZ219" s="14" t="str">
        <f>IF(AT219&gt;0,INDEX(挂机升级突破!$CV$5:$CZ$5,卡牌消耗!AT219),"")</f>
        <v>金币</v>
      </c>
      <c r="BA219" s="14">
        <f>IF(AT219&gt;0,ROUND(INDEX(挂机升级突破!$CZ$7:$CZ$26,卡牌消耗!AX219)*INDEX(卡牌消耗!$B$8:$F$8,AV219)/$Q$4/500,0)*500,"")</f>
        <v>52000</v>
      </c>
      <c r="BB219" s="14" t="str">
        <f>IF(AU219&gt;0,INDEX(挂机升级突破!$CV$5:$CZ$5,卡牌消耗!AU219),"")</f>
        <v>银母</v>
      </c>
      <c r="BC219" s="14">
        <f>IF(AU219&gt;0,ROUND(INDEX(挂机升级突破!$CV$7:$CY$26,卡牌消耗!AX219,卡牌消耗!AU219)*INDEX($B$6:$F$6,AV219)/$Q$4/5,0)*5,"")</f>
        <v>65</v>
      </c>
      <c r="BD219" s="104"/>
      <c r="BE219" s="104"/>
      <c r="BF219" s="106"/>
      <c r="CD219" s="136">
        <v>215</v>
      </c>
      <c r="CE219" s="14">
        <f t="shared" si="115"/>
        <v>43</v>
      </c>
      <c r="CF219" s="14">
        <f t="shared" si="100"/>
        <v>3</v>
      </c>
      <c r="CG219" s="14">
        <f t="shared" si="101"/>
        <v>1102020</v>
      </c>
      <c r="CH219" s="136" t="s">
        <v>1127</v>
      </c>
      <c r="CI219" s="14">
        <f t="shared" si="102"/>
        <v>5</v>
      </c>
      <c r="CJ219" s="14" t="str">
        <f t="shared" si="103"/>
        <v>高顺-5星</v>
      </c>
      <c r="CK219" s="136" t="s">
        <v>1133</v>
      </c>
      <c r="CL219" s="14">
        <f t="shared" si="116"/>
        <v>40000</v>
      </c>
      <c r="CM219" s="14" t="str">
        <f t="shared" si="104"/>
        <v>高顺碎片</v>
      </c>
      <c r="CN219" s="14">
        <f t="shared" si="117"/>
        <v>240</v>
      </c>
    </row>
    <row r="220" spans="8:92" ht="16.5" x14ac:dyDescent="0.2">
      <c r="H220" s="15"/>
      <c r="I220" s="15"/>
      <c r="J220" s="15"/>
      <c r="K220" s="15"/>
      <c r="L220" s="15"/>
      <c r="M220" s="15"/>
      <c r="N220" s="15"/>
      <c r="O220" s="137"/>
      <c r="P220" s="141"/>
      <c r="Q220" s="141"/>
      <c r="R220" s="141"/>
      <c r="S220" s="141"/>
      <c r="T220" s="141"/>
      <c r="U220" s="141"/>
      <c r="V220" s="141"/>
      <c r="W220" s="141"/>
      <c r="X220" s="141"/>
      <c r="Y220" s="141"/>
      <c r="Z220" s="141"/>
      <c r="AA220" s="104">
        <v>216</v>
      </c>
      <c r="AB220" s="14">
        <f t="shared" si="105"/>
        <v>5</v>
      </c>
      <c r="AC220" s="14">
        <f>INDEX(挂机升级突破!$BU$6:$BU$57,卡牌消耗!AI220)</f>
        <v>11</v>
      </c>
      <c r="AD220" s="14">
        <f>INDEX(挂机升级突破!BV$6:BV$57,卡牌消耗!$AI220)</f>
        <v>2</v>
      </c>
      <c r="AE220" s="14">
        <f>INDEX(挂机升级突破!BW$6:BW$57,卡牌消耗!$AI220)</f>
        <v>0</v>
      </c>
      <c r="AF220" s="14" t="str">
        <f t="shared" si="106"/>
        <v>李轩辕</v>
      </c>
      <c r="AG220" s="14">
        <f t="shared" si="107"/>
        <v>3</v>
      </c>
      <c r="AH220" s="14" t="str">
        <f t="shared" si="108"/>
        <v>李轩辕魂火-8</v>
      </c>
      <c r="AI220" s="14">
        <f t="shared" si="109"/>
        <v>8</v>
      </c>
      <c r="AJ220" s="14" t="str">
        <f>INDEX(挂机升级突破!$BX$4:$CH$4,INDEX(挂机升级突破!$BU$6:$BU$57,卡牌消耗!AI220))</f>
        <v>金币</v>
      </c>
      <c r="AK220" s="14">
        <f>ROUND(INDEX(挂机升级突破!$BN$6:$BN$57,卡牌消耗!AI220)*INDEX(卡牌消耗!$B$8:$F$8,AG220)/$Q$4/50,0)*50</f>
        <v>1500</v>
      </c>
      <c r="AL220" s="14" t="str">
        <f>IF(AD220&gt;0,INDEX(挂机升级突破!$BX$4:$CH$4,AD220),"")</f>
        <v>蓝色基础材料</v>
      </c>
      <c r="AM220" s="14">
        <f>ROUND(INDEX(挂机升级突破!$BX$6:$CH$57,卡牌消耗!AI220,AD220)*INDEX(卡牌消耗!$B$5:$F$5,AG220)/$Q$4/5,0)*5</f>
        <v>960</v>
      </c>
      <c r="AN220" s="14" t="str">
        <f>IF(AE220&gt;0,INDEX(挂机升级突破!$BX$4:$CH$4,AE220),"")</f>
        <v/>
      </c>
      <c r="AO220" s="14" t="str">
        <f>IF(AE220&gt;0,ROUND(INDEX(挂机升级突破!$BX$6:$CH$57,卡牌消耗!AI220,AE220)*INDEX(卡牌消耗!$B$7:$F$7,AG220)/$Q$4,0),"")</f>
        <v/>
      </c>
      <c r="AP220" s="106"/>
      <c r="AQ220" s="15"/>
      <c r="AR220" s="104">
        <v>216</v>
      </c>
      <c r="AS220" s="14">
        <f t="shared" si="110"/>
        <v>11</v>
      </c>
      <c r="AT220" s="14">
        <f>INDEX(挂机升级突破!$CM$7:$CM$26,AX220)</f>
        <v>5</v>
      </c>
      <c r="AU220" s="14">
        <f>INDEX(挂机升级突破!$CN$7:$CN$26,AX220)</f>
        <v>3</v>
      </c>
      <c r="AV220" s="14">
        <f t="shared" si="111"/>
        <v>4</v>
      </c>
      <c r="AW220" s="14" t="str">
        <f t="shared" si="112"/>
        <v>张飞</v>
      </c>
      <c r="AX220" s="14">
        <f t="shared" si="113"/>
        <v>16</v>
      </c>
      <c r="AY220" s="14" t="str">
        <f t="shared" si="114"/>
        <v>张飞16突</v>
      </c>
      <c r="AZ220" s="14" t="str">
        <f>IF(AT220&gt;0,INDEX(挂机升级突破!$CV$5:$CZ$5,卡牌消耗!AT220),"")</f>
        <v>金币</v>
      </c>
      <c r="BA220" s="14">
        <f>IF(AT220&gt;0,ROUND(INDEX(挂机升级突破!$CZ$7:$CZ$26,卡牌消耗!AX220)*INDEX(卡牌消耗!$B$8:$F$8,AV220)/$Q$4/500,0)*500,"")</f>
        <v>94000</v>
      </c>
      <c r="BB220" s="14" t="str">
        <f>IF(AU220&gt;0,INDEX(挂机升级突破!$CV$5:$CZ$5,卡牌消耗!AU220),"")</f>
        <v>银母</v>
      </c>
      <c r="BC220" s="14">
        <f>IF(AU220&gt;0,ROUND(INDEX(挂机升级突破!$CV$7:$CY$26,卡牌消耗!AX220,卡牌消耗!AU220)*INDEX($B$6:$F$6,AV220)/$Q$4/5,0)*5,"")</f>
        <v>85</v>
      </c>
      <c r="BD220" s="104"/>
      <c r="BE220" s="104"/>
      <c r="BF220" s="106"/>
      <c r="CD220" s="136">
        <v>216</v>
      </c>
      <c r="CE220" s="14">
        <f t="shared" si="115"/>
        <v>44</v>
      </c>
      <c r="CF220" s="14">
        <f t="shared" si="100"/>
        <v>3</v>
      </c>
      <c r="CG220" s="14">
        <f t="shared" si="101"/>
        <v>1102021</v>
      </c>
      <c r="CH220" s="136" t="s">
        <v>1127</v>
      </c>
      <c r="CI220" s="14">
        <f t="shared" si="102"/>
        <v>1</v>
      </c>
      <c r="CJ220" s="14" t="str">
        <f t="shared" si="103"/>
        <v>烈风螳螂-1星</v>
      </c>
      <c r="CK220" s="136" t="s">
        <v>1133</v>
      </c>
      <c r="CL220" s="14">
        <f t="shared" si="116"/>
        <v>4000</v>
      </c>
      <c r="CM220" s="14" t="str">
        <f t="shared" si="104"/>
        <v>烈风螳螂碎片</v>
      </c>
      <c r="CN220" s="14">
        <f t="shared" si="117"/>
        <v>40</v>
      </c>
    </row>
    <row r="221" spans="8:92" ht="16.5" x14ac:dyDescent="0.2">
      <c r="H221" s="15"/>
      <c r="I221" s="15"/>
      <c r="J221" s="15"/>
      <c r="K221" s="15"/>
      <c r="L221" s="15"/>
      <c r="M221" s="15"/>
      <c r="N221" s="15"/>
      <c r="O221" s="137"/>
      <c r="P221" s="141"/>
      <c r="Q221" s="141"/>
      <c r="R221" s="141"/>
      <c r="S221" s="141"/>
      <c r="T221" s="141"/>
      <c r="U221" s="141"/>
      <c r="V221" s="141"/>
      <c r="W221" s="141"/>
      <c r="X221" s="141"/>
      <c r="Y221" s="141"/>
      <c r="Z221" s="141"/>
      <c r="AA221" s="104">
        <v>217</v>
      </c>
      <c r="AB221" s="14">
        <f t="shared" si="105"/>
        <v>5</v>
      </c>
      <c r="AC221" s="14">
        <f>INDEX(挂机升级突破!$BU$6:$BU$57,卡牌消耗!AI221)</f>
        <v>11</v>
      </c>
      <c r="AD221" s="14">
        <f>INDEX(挂机升级突破!BV$6:BV$57,卡牌消耗!$AI221)</f>
        <v>2</v>
      </c>
      <c r="AE221" s="14">
        <f>INDEX(挂机升级突破!BW$6:BW$57,卡牌消耗!$AI221)</f>
        <v>0</v>
      </c>
      <c r="AF221" s="14" t="str">
        <f t="shared" si="106"/>
        <v>李轩辕</v>
      </c>
      <c r="AG221" s="14">
        <f t="shared" si="107"/>
        <v>3</v>
      </c>
      <c r="AH221" s="14" t="str">
        <f t="shared" si="108"/>
        <v>李轩辕魂火-9</v>
      </c>
      <c r="AI221" s="14">
        <f t="shared" si="109"/>
        <v>9</v>
      </c>
      <c r="AJ221" s="14" t="str">
        <f>INDEX(挂机升级突破!$BX$4:$CH$4,INDEX(挂机升级突破!$BU$6:$BU$57,卡牌消耗!AI221))</f>
        <v>金币</v>
      </c>
      <c r="AK221" s="14">
        <f>ROUND(INDEX(挂机升级突破!$BN$6:$BN$57,卡牌消耗!AI221)*INDEX(卡牌消耗!$B$8:$F$8,AG221)/$Q$4/50,0)*50</f>
        <v>1500</v>
      </c>
      <c r="AL221" s="14" t="str">
        <f>IF(AD221&gt;0,INDEX(挂机升级突破!$BX$4:$CH$4,AD221),"")</f>
        <v>蓝色基础材料</v>
      </c>
      <c r="AM221" s="14">
        <f>ROUND(INDEX(挂机升级突破!$BX$6:$CH$57,卡牌消耗!AI221,AD221)*INDEX(卡牌消耗!$B$5:$F$5,AG221)/$Q$4/5,0)*5</f>
        <v>960</v>
      </c>
      <c r="AN221" s="14" t="str">
        <f>IF(AE221&gt;0,INDEX(挂机升级突破!$BX$4:$CH$4,AE221),"")</f>
        <v/>
      </c>
      <c r="AO221" s="14" t="str">
        <f>IF(AE221&gt;0,ROUND(INDEX(挂机升级突破!$BX$6:$CH$57,卡牌消耗!AI221,AE221)*INDEX(卡牌消耗!$B$7:$F$7,AG221)/$Q$4,0),"")</f>
        <v/>
      </c>
      <c r="AP221" s="106"/>
      <c r="AQ221" s="15"/>
      <c r="AR221" s="104">
        <v>217</v>
      </c>
      <c r="AS221" s="14">
        <f t="shared" si="110"/>
        <v>11</v>
      </c>
      <c r="AT221" s="14">
        <f>INDEX(挂机升级突破!$CM$7:$CM$26,AX221)</f>
        <v>5</v>
      </c>
      <c r="AU221" s="14">
        <f>INDEX(挂机升级突破!$CN$7:$CN$26,AX221)</f>
        <v>4</v>
      </c>
      <c r="AV221" s="14">
        <f t="shared" si="111"/>
        <v>4</v>
      </c>
      <c r="AW221" s="14" t="str">
        <f t="shared" si="112"/>
        <v>张飞</v>
      </c>
      <c r="AX221" s="14">
        <f t="shared" si="113"/>
        <v>17</v>
      </c>
      <c r="AY221" s="14" t="str">
        <f t="shared" si="114"/>
        <v>张飞17突</v>
      </c>
      <c r="AZ221" s="14" t="str">
        <f>IF(AT221&gt;0,INDEX(挂机升级突破!$CV$5:$CZ$5,卡牌消耗!AT221),"")</f>
        <v>金币</v>
      </c>
      <c r="BA221" s="14">
        <f>IF(AT221&gt;0,ROUND(INDEX(挂机升级突破!$CZ$7:$CZ$26,卡牌消耗!AX221)*INDEX(卡牌消耗!$B$8:$F$8,AV221)/$Q$4/500,0)*500,"")</f>
        <v>94000</v>
      </c>
      <c r="BB221" s="14" t="str">
        <f>IF(AU221&gt;0,INDEX(挂机升级突破!$CV$5:$CZ$5,卡牌消耗!AU221),"")</f>
        <v>铀金</v>
      </c>
      <c r="BC221" s="14">
        <f>IF(AU221&gt;0,ROUND(INDEX(挂机升级突破!$CV$7:$CY$26,卡牌消耗!AX221,卡牌消耗!AU221)*INDEX($B$6:$F$6,AV221)/$Q$4/5,0)*5,"")</f>
        <v>30</v>
      </c>
      <c r="BD221" s="104"/>
      <c r="BE221" s="104"/>
      <c r="BF221" s="106"/>
      <c r="CD221" s="136">
        <v>217</v>
      </c>
      <c r="CE221" s="14">
        <f t="shared" si="115"/>
        <v>44</v>
      </c>
      <c r="CF221" s="14">
        <f t="shared" si="100"/>
        <v>3</v>
      </c>
      <c r="CG221" s="14">
        <f t="shared" si="101"/>
        <v>1102021</v>
      </c>
      <c r="CH221" s="136" t="s">
        <v>1127</v>
      </c>
      <c r="CI221" s="14">
        <f t="shared" si="102"/>
        <v>2</v>
      </c>
      <c r="CJ221" s="14" t="str">
        <f t="shared" si="103"/>
        <v>烈风螳螂-2星</v>
      </c>
      <c r="CK221" s="136" t="s">
        <v>1133</v>
      </c>
      <c r="CL221" s="14">
        <f t="shared" si="116"/>
        <v>5000</v>
      </c>
      <c r="CM221" s="14" t="str">
        <f t="shared" si="104"/>
        <v>烈风螳螂碎片</v>
      </c>
      <c r="CN221" s="14">
        <f t="shared" si="117"/>
        <v>80</v>
      </c>
    </row>
    <row r="222" spans="8:92" ht="16.5" x14ac:dyDescent="0.2">
      <c r="H222" s="15"/>
      <c r="I222" s="15"/>
      <c r="J222" s="15"/>
      <c r="K222" s="15"/>
      <c r="L222" s="15"/>
      <c r="M222" s="15"/>
      <c r="N222" s="15"/>
      <c r="O222" s="137"/>
      <c r="P222" s="141"/>
      <c r="Q222" s="141"/>
      <c r="R222" s="141"/>
      <c r="S222" s="141"/>
      <c r="T222" s="141"/>
      <c r="U222" s="141"/>
      <c r="V222" s="141"/>
      <c r="W222" s="141"/>
      <c r="X222" s="141"/>
      <c r="Y222" s="141"/>
      <c r="Z222" s="141"/>
      <c r="AA222" s="104">
        <v>218</v>
      </c>
      <c r="AB222" s="14">
        <f t="shared" si="105"/>
        <v>5</v>
      </c>
      <c r="AC222" s="14">
        <f>INDEX(挂机升级突破!$BU$6:$BU$57,卡牌消耗!AI222)</f>
        <v>11</v>
      </c>
      <c r="AD222" s="14">
        <f>INDEX(挂机升级突破!BV$6:BV$57,卡牌消耗!$AI222)</f>
        <v>2</v>
      </c>
      <c r="AE222" s="14">
        <f>INDEX(挂机升级突破!BW$6:BW$57,卡牌消耗!$AI222)</f>
        <v>0</v>
      </c>
      <c r="AF222" s="14" t="str">
        <f t="shared" si="106"/>
        <v>李轩辕</v>
      </c>
      <c r="AG222" s="14">
        <f t="shared" si="107"/>
        <v>3</v>
      </c>
      <c r="AH222" s="14" t="str">
        <f t="shared" si="108"/>
        <v>李轩辕魂火-10</v>
      </c>
      <c r="AI222" s="14">
        <f t="shared" si="109"/>
        <v>10</v>
      </c>
      <c r="AJ222" s="14" t="str">
        <f>INDEX(挂机升级突破!$BX$4:$CH$4,INDEX(挂机升级突破!$BU$6:$BU$57,卡牌消耗!AI222))</f>
        <v>金币</v>
      </c>
      <c r="AK222" s="14">
        <f>ROUND(INDEX(挂机升级突破!$BN$6:$BN$57,卡牌消耗!AI222)*INDEX(卡牌消耗!$B$8:$F$8,AG222)/$Q$4/50,0)*50</f>
        <v>2450</v>
      </c>
      <c r="AL222" s="14" t="str">
        <f>IF(AD222&gt;0,INDEX(挂机升级突破!$BX$4:$CH$4,AD222),"")</f>
        <v>蓝色基础材料</v>
      </c>
      <c r="AM222" s="14">
        <f>ROUND(INDEX(挂机升级突破!$BX$6:$CH$57,卡牌消耗!AI222,AD222)*INDEX(卡牌消耗!$B$5:$F$5,AG222)/$Q$4/5,0)*5</f>
        <v>1440</v>
      </c>
      <c r="AN222" s="14" t="str">
        <f>IF(AE222&gt;0,INDEX(挂机升级突破!$BX$4:$CH$4,AE222),"")</f>
        <v/>
      </c>
      <c r="AO222" s="14" t="str">
        <f>IF(AE222&gt;0,ROUND(INDEX(挂机升级突破!$BX$6:$CH$57,卡牌消耗!AI222,AE222)*INDEX(卡牌消耗!$B$7:$F$7,AG222)/$Q$4,0),"")</f>
        <v/>
      </c>
      <c r="AP222" s="106"/>
      <c r="AQ222" s="15"/>
      <c r="AR222" s="104">
        <v>218</v>
      </c>
      <c r="AS222" s="14">
        <f t="shared" si="110"/>
        <v>11</v>
      </c>
      <c r="AT222" s="14">
        <f>INDEX(挂机升级突破!$CM$7:$CM$26,AX222)</f>
        <v>5</v>
      </c>
      <c r="AU222" s="14">
        <f>INDEX(挂机升级突破!$CN$7:$CN$26,AX222)</f>
        <v>4</v>
      </c>
      <c r="AV222" s="14">
        <f t="shared" si="111"/>
        <v>4</v>
      </c>
      <c r="AW222" s="14" t="str">
        <f t="shared" si="112"/>
        <v>张飞</v>
      </c>
      <c r="AX222" s="14">
        <f t="shared" si="113"/>
        <v>18</v>
      </c>
      <c r="AY222" s="14" t="str">
        <f t="shared" si="114"/>
        <v>张飞18突</v>
      </c>
      <c r="AZ222" s="14" t="str">
        <f>IF(AT222&gt;0,INDEX(挂机升级突破!$CV$5:$CZ$5,卡牌消耗!AT222),"")</f>
        <v>金币</v>
      </c>
      <c r="BA222" s="14">
        <f>IF(AT222&gt;0,ROUND(INDEX(挂机升级突破!$CZ$7:$CZ$26,卡牌消耗!AX222)*INDEX(卡牌消耗!$B$8:$F$8,AV222)/$Q$4/500,0)*500,"")</f>
        <v>125500</v>
      </c>
      <c r="BB222" s="14" t="str">
        <f>IF(AU222&gt;0,INDEX(挂机升级突破!$CV$5:$CZ$5,卡牌消耗!AU222),"")</f>
        <v>铀金</v>
      </c>
      <c r="BC222" s="14">
        <f>IF(AU222&gt;0,ROUND(INDEX(挂机升级突破!$CV$7:$CY$26,卡牌消耗!AX222,卡牌消耗!AU222)*INDEX($B$6:$F$6,AV222)/$Q$4/5,0)*5,"")</f>
        <v>40</v>
      </c>
      <c r="BD222" s="104"/>
      <c r="BE222" s="104"/>
      <c r="BF222" s="106"/>
      <c r="CD222" s="136">
        <v>218</v>
      </c>
      <c r="CE222" s="14">
        <f t="shared" si="115"/>
        <v>44</v>
      </c>
      <c r="CF222" s="14">
        <f t="shared" si="100"/>
        <v>3</v>
      </c>
      <c r="CG222" s="14">
        <f t="shared" si="101"/>
        <v>1102021</v>
      </c>
      <c r="CH222" s="136" t="s">
        <v>1127</v>
      </c>
      <c r="CI222" s="14">
        <f t="shared" si="102"/>
        <v>3</v>
      </c>
      <c r="CJ222" s="14" t="str">
        <f t="shared" si="103"/>
        <v>烈风螳螂-3星</v>
      </c>
      <c r="CK222" s="136" t="s">
        <v>1133</v>
      </c>
      <c r="CL222" s="14">
        <f t="shared" si="116"/>
        <v>10000</v>
      </c>
      <c r="CM222" s="14" t="str">
        <f t="shared" si="104"/>
        <v>烈风螳螂碎片</v>
      </c>
      <c r="CN222" s="14">
        <f t="shared" si="117"/>
        <v>120</v>
      </c>
    </row>
    <row r="223" spans="8:92" ht="16.5" x14ac:dyDescent="0.2">
      <c r="H223" s="15"/>
      <c r="I223" s="15"/>
      <c r="J223" s="15"/>
      <c r="K223" s="15"/>
      <c r="L223" s="15"/>
      <c r="M223" s="15"/>
      <c r="N223" s="15"/>
      <c r="O223" s="137"/>
      <c r="P223" s="141"/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  <c r="AA223" s="104">
        <v>219</v>
      </c>
      <c r="AB223" s="14">
        <f t="shared" si="105"/>
        <v>5</v>
      </c>
      <c r="AC223" s="14">
        <f>INDEX(挂机升级突破!$BU$6:$BU$57,卡牌消耗!AI223)</f>
        <v>11</v>
      </c>
      <c r="AD223" s="14">
        <f>INDEX(挂机升级突破!BV$6:BV$57,卡牌消耗!$AI223)</f>
        <v>2</v>
      </c>
      <c r="AE223" s="14">
        <f>INDEX(挂机升级突破!BW$6:BW$57,卡牌消耗!$AI223)</f>
        <v>0</v>
      </c>
      <c r="AF223" s="14" t="str">
        <f t="shared" si="106"/>
        <v>李轩辕</v>
      </c>
      <c r="AG223" s="14">
        <f t="shared" si="107"/>
        <v>3</v>
      </c>
      <c r="AH223" s="14" t="str">
        <f t="shared" si="108"/>
        <v>李轩辕魂火-11</v>
      </c>
      <c r="AI223" s="14">
        <f t="shared" si="109"/>
        <v>11</v>
      </c>
      <c r="AJ223" s="14" t="str">
        <f>INDEX(挂机升级突破!$BX$4:$CH$4,INDEX(挂机升级突破!$BU$6:$BU$57,卡牌消耗!AI223))</f>
        <v>金币</v>
      </c>
      <c r="AK223" s="14">
        <f>ROUND(INDEX(挂机升级突破!$BN$6:$BN$57,卡牌消耗!AI223)*INDEX(卡牌消耗!$B$8:$F$8,AG223)/$Q$4/50,0)*50</f>
        <v>2450</v>
      </c>
      <c r="AL223" s="14" t="str">
        <f>IF(AD223&gt;0,INDEX(挂机升级突破!$BX$4:$CH$4,AD223),"")</f>
        <v>蓝色基础材料</v>
      </c>
      <c r="AM223" s="14">
        <f>ROUND(INDEX(挂机升级突破!$BX$6:$CH$57,卡牌消耗!AI223,AD223)*INDEX(卡牌消耗!$B$5:$F$5,AG223)/$Q$4/5,0)*5</f>
        <v>1440</v>
      </c>
      <c r="AN223" s="14" t="str">
        <f>IF(AE223&gt;0,INDEX(挂机升级突破!$BX$4:$CH$4,AE223),"")</f>
        <v/>
      </c>
      <c r="AO223" s="14" t="str">
        <f>IF(AE223&gt;0,ROUND(INDEX(挂机升级突破!$BX$6:$CH$57,卡牌消耗!AI223,AE223)*INDEX(卡牌消耗!$B$7:$F$7,AG223)/$Q$4,0),"")</f>
        <v/>
      </c>
      <c r="AP223" s="106"/>
      <c r="AQ223" s="15"/>
      <c r="AR223" s="104">
        <v>219</v>
      </c>
      <c r="AS223" s="14">
        <f t="shared" si="110"/>
        <v>11</v>
      </c>
      <c r="AT223" s="14">
        <f>INDEX(挂机升级突破!$CM$7:$CM$26,AX223)</f>
        <v>5</v>
      </c>
      <c r="AU223" s="14">
        <f>INDEX(挂机升级突破!$CN$7:$CN$26,AX223)</f>
        <v>4</v>
      </c>
      <c r="AV223" s="14">
        <f t="shared" si="111"/>
        <v>4</v>
      </c>
      <c r="AW223" s="14" t="str">
        <f t="shared" si="112"/>
        <v>张飞</v>
      </c>
      <c r="AX223" s="14">
        <f t="shared" si="113"/>
        <v>19</v>
      </c>
      <c r="AY223" s="14" t="str">
        <f t="shared" si="114"/>
        <v>张飞19突</v>
      </c>
      <c r="AZ223" s="14" t="str">
        <f>IF(AT223&gt;0,INDEX(挂机升级突破!$CV$5:$CZ$5,卡牌消耗!AT223),"")</f>
        <v>金币</v>
      </c>
      <c r="BA223" s="14">
        <f>IF(AT223&gt;0,ROUND(INDEX(挂机升级突破!$CZ$7:$CZ$26,卡牌消耗!AX223)*INDEX(卡牌消耗!$B$8:$F$8,AV223)/$Q$4/500,0)*500,"")</f>
        <v>760000</v>
      </c>
      <c r="BB223" s="14" t="str">
        <f>IF(AU223&gt;0,INDEX(挂机升级突破!$CV$5:$CZ$5,卡牌消耗!AU223),"")</f>
        <v>铀金</v>
      </c>
      <c r="BC223" s="14">
        <f>IF(AU223&gt;0,ROUND(INDEX(挂机升级突破!$CV$7:$CY$26,卡牌消耗!AX223,卡牌消耗!AU223)*INDEX($B$6:$F$6,AV223)/$Q$4/5,0)*5,"")</f>
        <v>55</v>
      </c>
      <c r="BD223" s="104"/>
      <c r="BE223" s="104"/>
      <c r="BF223" s="106"/>
      <c r="CD223" s="136">
        <v>219</v>
      </c>
      <c r="CE223" s="14">
        <f t="shared" si="115"/>
        <v>44</v>
      </c>
      <c r="CF223" s="14">
        <f t="shared" si="100"/>
        <v>3</v>
      </c>
      <c r="CG223" s="14">
        <f t="shared" si="101"/>
        <v>1102021</v>
      </c>
      <c r="CH223" s="136" t="s">
        <v>1127</v>
      </c>
      <c r="CI223" s="14">
        <f t="shared" si="102"/>
        <v>4</v>
      </c>
      <c r="CJ223" s="14" t="str">
        <f t="shared" si="103"/>
        <v>烈风螳螂-4星</v>
      </c>
      <c r="CK223" s="136" t="s">
        <v>1133</v>
      </c>
      <c r="CL223" s="14">
        <f t="shared" si="116"/>
        <v>20000</v>
      </c>
      <c r="CM223" s="14" t="str">
        <f t="shared" si="104"/>
        <v>烈风螳螂碎片</v>
      </c>
      <c r="CN223" s="14">
        <f t="shared" si="117"/>
        <v>160</v>
      </c>
    </row>
    <row r="224" spans="8:92" ht="16.5" x14ac:dyDescent="0.2">
      <c r="H224" s="15"/>
      <c r="I224" s="15"/>
      <c r="J224" s="15"/>
      <c r="K224" s="15"/>
      <c r="L224" s="15"/>
      <c r="M224" s="15"/>
      <c r="N224" s="15"/>
      <c r="O224" s="137"/>
      <c r="P224" s="141"/>
      <c r="Q224" s="141"/>
      <c r="R224" s="141"/>
      <c r="S224" s="141"/>
      <c r="T224" s="141"/>
      <c r="U224" s="141"/>
      <c r="V224" s="141"/>
      <c r="W224" s="141"/>
      <c r="X224" s="141"/>
      <c r="Y224" s="141"/>
      <c r="Z224" s="141"/>
      <c r="AA224" s="104">
        <v>220</v>
      </c>
      <c r="AB224" s="14">
        <f t="shared" si="105"/>
        <v>5</v>
      </c>
      <c r="AC224" s="14">
        <f>INDEX(挂机升级突破!$BU$6:$BU$57,卡牌消耗!AI224)</f>
        <v>11</v>
      </c>
      <c r="AD224" s="14">
        <f>INDEX(挂机升级突破!BV$6:BV$57,卡牌消耗!$AI224)</f>
        <v>2</v>
      </c>
      <c r="AE224" s="14">
        <f>INDEX(挂机升级突破!BW$6:BW$57,卡牌消耗!$AI224)</f>
        <v>0</v>
      </c>
      <c r="AF224" s="14" t="str">
        <f t="shared" si="106"/>
        <v>李轩辕</v>
      </c>
      <c r="AG224" s="14">
        <f t="shared" si="107"/>
        <v>3</v>
      </c>
      <c r="AH224" s="14" t="str">
        <f t="shared" si="108"/>
        <v>李轩辕魂火-12</v>
      </c>
      <c r="AI224" s="14">
        <f t="shared" si="109"/>
        <v>12</v>
      </c>
      <c r="AJ224" s="14" t="str">
        <f>INDEX(挂机升级突破!$BX$4:$CH$4,INDEX(挂机升级突破!$BU$6:$BU$57,卡牌消耗!AI224))</f>
        <v>金币</v>
      </c>
      <c r="AK224" s="14">
        <f>ROUND(INDEX(挂机升级突破!$BN$6:$BN$57,卡牌消耗!AI224)*INDEX(卡牌消耗!$B$8:$F$8,AG224)/$Q$4/50,0)*50</f>
        <v>2100</v>
      </c>
      <c r="AL224" s="14" t="str">
        <f>IF(AD224&gt;0,INDEX(挂机升级突破!$BX$4:$CH$4,AD224),"")</f>
        <v>蓝色基础材料</v>
      </c>
      <c r="AM224" s="14">
        <f>ROUND(INDEX(挂机升级突破!$BX$6:$CH$57,卡牌消耗!AI224,AD224)*INDEX(卡牌消耗!$B$5:$F$5,AG224)/$Q$4/5,0)*5</f>
        <v>1920</v>
      </c>
      <c r="AN224" s="14" t="str">
        <f>IF(AE224&gt;0,INDEX(挂机升级突破!$BX$4:$CH$4,AE224),"")</f>
        <v/>
      </c>
      <c r="AO224" s="14" t="str">
        <f>IF(AE224&gt;0,ROUND(INDEX(挂机升级突破!$BX$6:$CH$57,卡牌消耗!AI224,AE224)*INDEX(卡牌消耗!$B$7:$F$7,AG224)/$Q$4,0),"")</f>
        <v/>
      </c>
      <c r="AP224" s="106"/>
      <c r="AQ224" s="15"/>
      <c r="AR224" s="104">
        <v>220</v>
      </c>
      <c r="AS224" s="14">
        <f t="shared" si="110"/>
        <v>11</v>
      </c>
      <c r="AT224" s="14">
        <f>INDEX(挂机升级突破!$CM$7:$CM$26,AX224)</f>
        <v>5</v>
      </c>
      <c r="AU224" s="14">
        <f>INDEX(挂机升级突破!$CN$7:$CN$26,AX224)</f>
        <v>4</v>
      </c>
      <c r="AV224" s="14">
        <f t="shared" si="111"/>
        <v>4</v>
      </c>
      <c r="AW224" s="14" t="str">
        <f t="shared" si="112"/>
        <v>张飞</v>
      </c>
      <c r="AX224" s="14">
        <f t="shared" si="113"/>
        <v>20</v>
      </c>
      <c r="AY224" s="14" t="str">
        <f t="shared" si="114"/>
        <v>张飞20突</v>
      </c>
      <c r="AZ224" s="14" t="str">
        <f>IF(AT224&gt;0,INDEX(挂机升级突破!$CV$5:$CZ$5,卡牌消耗!AT224),"")</f>
        <v>金币</v>
      </c>
      <c r="BA224" s="14">
        <f>IF(AT224&gt;0,ROUND(INDEX(挂机升级突破!$CZ$7:$CZ$26,卡牌消耗!AX224)*INDEX(卡牌消耗!$B$8:$F$8,AV224)/$Q$4/500,0)*500,"")</f>
        <v>1139500</v>
      </c>
      <c r="BB224" s="14" t="str">
        <f>IF(AU224&gt;0,INDEX(挂机升级突破!$CV$5:$CZ$5,卡牌消耗!AU224),"")</f>
        <v>铀金</v>
      </c>
      <c r="BC224" s="14">
        <f>IF(AU224&gt;0,ROUND(INDEX(挂机升级突破!$CV$7:$CY$26,卡牌消耗!AX224,卡牌消耗!AU224)*INDEX($B$6:$F$6,AV224)/$Q$4/5,0)*5,"")</f>
        <v>70</v>
      </c>
      <c r="BD224" s="104"/>
      <c r="BE224" s="104"/>
      <c r="BF224" s="106"/>
      <c r="CD224" s="136">
        <v>220</v>
      </c>
      <c r="CE224" s="14">
        <f t="shared" si="115"/>
        <v>44</v>
      </c>
      <c r="CF224" s="14">
        <f t="shared" si="100"/>
        <v>3</v>
      </c>
      <c r="CG224" s="14">
        <f t="shared" si="101"/>
        <v>1102021</v>
      </c>
      <c r="CH224" s="136" t="s">
        <v>1127</v>
      </c>
      <c r="CI224" s="14">
        <f t="shared" si="102"/>
        <v>5</v>
      </c>
      <c r="CJ224" s="14" t="str">
        <f t="shared" si="103"/>
        <v>烈风螳螂-5星</v>
      </c>
      <c r="CK224" s="136" t="s">
        <v>1133</v>
      </c>
      <c r="CL224" s="14">
        <f t="shared" si="116"/>
        <v>40000</v>
      </c>
      <c r="CM224" s="14" t="str">
        <f t="shared" si="104"/>
        <v>烈风螳螂碎片</v>
      </c>
      <c r="CN224" s="14">
        <f t="shared" si="117"/>
        <v>240</v>
      </c>
    </row>
    <row r="225" spans="8:92" ht="16.5" x14ac:dyDescent="0.2">
      <c r="H225" s="15"/>
      <c r="I225" s="15"/>
      <c r="J225" s="15"/>
      <c r="K225" s="15"/>
      <c r="L225" s="15"/>
      <c r="M225" s="15"/>
      <c r="N225" s="15"/>
      <c r="O225" s="137"/>
      <c r="P225" s="141"/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  <c r="AA225" s="104">
        <v>221</v>
      </c>
      <c r="AB225" s="14">
        <f t="shared" si="105"/>
        <v>5</v>
      </c>
      <c r="AC225" s="14">
        <f>INDEX(挂机升级突破!$BU$6:$BU$57,卡牌消耗!AI225)</f>
        <v>11</v>
      </c>
      <c r="AD225" s="14">
        <f>INDEX(挂机升级突破!BV$6:BV$57,卡牌消耗!$AI225)</f>
        <v>2</v>
      </c>
      <c r="AE225" s="14">
        <f>INDEX(挂机升级突破!BW$6:BW$57,卡牌消耗!$AI225)</f>
        <v>0</v>
      </c>
      <c r="AF225" s="14" t="str">
        <f t="shared" si="106"/>
        <v>李轩辕</v>
      </c>
      <c r="AG225" s="14">
        <f t="shared" si="107"/>
        <v>3</v>
      </c>
      <c r="AH225" s="14" t="str">
        <f t="shared" si="108"/>
        <v>李轩辕魂火-13</v>
      </c>
      <c r="AI225" s="14">
        <f t="shared" si="109"/>
        <v>13</v>
      </c>
      <c r="AJ225" s="14" t="str">
        <f>INDEX(挂机升级突破!$BX$4:$CH$4,INDEX(挂机升级突破!$BU$6:$BU$57,卡牌消耗!AI225))</f>
        <v>金币</v>
      </c>
      <c r="AK225" s="14">
        <f>ROUND(INDEX(挂机升级突破!$BN$6:$BN$57,卡牌消耗!AI225)*INDEX(卡牌消耗!$B$8:$F$8,AG225)/$Q$4/50,0)*50</f>
        <v>2100</v>
      </c>
      <c r="AL225" s="14" t="str">
        <f>IF(AD225&gt;0,INDEX(挂机升级突破!$BX$4:$CH$4,AD225),"")</f>
        <v>蓝色基础材料</v>
      </c>
      <c r="AM225" s="14">
        <f>ROUND(INDEX(挂机升级突破!$BX$6:$CH$57,卡牌消耗!AI225,AD225)*INDEX(卡牌消耗!$B$5:$F$5,AG225)/$Q$4/5,0)*5</f>
        <v>1920</v>
      </c>
      <c r="AN225" s="14" t="str">
        <f>IF(AE225&gt;0,INDEX(挂机升级突破!$BX$4:$CH$4,AE225),"")</f>
        <v/>
      </c>
      <c r="AO225" s="14" t="str">
        <f>IF(AE225&gt;0,ROUND(INDEX(挂机升级突破!$BX$6:$CH$57,卡牌消耗!AI225,AE225)*INDEX(卡牌消耗!$B$7:$F$7,AG225)/$Q$4,0),"")</f>
        <v/>
      </c>
      <c r="AP225" s="106"/>
      <c r="AQ225" s="15"/>
      <c r="AR225" s="104">
        <v>221</v>
      </c>
      <c r="AS225" s="14">
        <f t="shared" si="110"/>
        <v>12</v>
      </c>
      <c r="AT225" s="14">
        <f>INDEX(挂机升级突破!$CM$7:$CM$26,AX225)</f>
        <v>0</v>
      </c>
      <c r="AU225" s="14">
        <f>INDEX(挂机升级突破!$CN$7:$CN$26,AX225)</f>
        <v>0</v>
      </c>
      <c r="AV225" s="14">
        <f t="shared" si="111"/>
        <v>5</v>
      </c>
      <c r="AW225" s="14" t="str">
        <f t="shared" si="112"/>
        <v>夏侯惇</v>
      </c>
      <c r="AX225" s="14">
        <f t="shared" si="113"/>
        <v>1</v>
      </c>
      <c r="AY225" s="14" t="str">
        <f t="shared" si="114"/>
        <v>夏侯惇1突</v>
      </c>
      <c r="AZ225" s="14" t="str">
        <f>IF(AT225&gt;0,INDEX(挂机升级突破!$CV$5:$CZ$5,卡牌消耗!AT225),"")</f>
        <v/>
      </c>
      <c r="BA225" s="14" t="str">
        <f>IF(AT225&gt;0,ROUND(INDEX(挂机升级突破!$CZ$7:$CZ$26,卡牌消耗!AX225)*INDEX(卡牌消耗!$B$8:$F$8,AV225)/$Q$4/500,0)*500,"")</f>
        <v/>
      </c>
      <c r="BB225" s="14" t="str">
        <f>IF(AU225&gt;0,INDEX(挂机升级突破!$CV$5:$CZ$5,卡牌消耗!AU225),"")</f>
        <v/>
      </c>
      <c r="BC225" s="14" t="str">
        <f>IF(AU225&gt;0,ROUND(INDEX(挂机升级突破!$CV$7:$CY$26,卡牌消耗!AX225,卡牌消耗!AU225)*INDEX($B$6:$F$6,AV225)/$Q$4/5,0)*5,"")</f>
        <v/>
      </c>
      <c r="BD225" s="104"/>
      <c r="BE225" s="104"/>
      <c r="BF225" s="106"/>
      <c r="CD225" s="136">
        <v>221</v>
      </c>
      <c r="CE225" s="14">
        <f t="shared" si="115"/>
        <v>45</v>
      </c>
      <c r="CF225" s="14">
        <f t="shared" si="100"/>
        <v>2</v>
      </c>
      <c r="CG225" s="14">
        <f t="shared" si="101"/>
        <v>1102050</v>
      </c>
      <c r="CH225" s="136" t="s">
        <v>1127</v>
      </c>
      <c r="CI225" s="14">
        <f t="shared" si="102"/>
        <v>1</v>
      </c>
      <c r="CJ225" s="14" t="str">
        <f t="shared" si="103"/>
        <v>柠檬精-1星</v>
      </c>
      <c r="CK225" s="136" t="s">
        <v>1133</v>
      </c>
      <c r="CL225" s="14">
        <f t="shared" si="116"/>
        <v>3000</v>
      </c>
      <c r="CM225" s="14" t="str">
        <f t="shared" si="104"/>
        <v>柠檬精碎片</v>
      </c>
      <c r="CN225" s="14">
        <f t="shared" si="117"/>
        <v>20</v>
      </c>
    </row>
    <row r="226" spans="8:92" ht="16.5" x14ac:dyDescent="0.2">
      <c r="H226" s="15"/>
      <c r="I226" s="15"/>
      <c r="J226" s="15"/>
      <c r="K226" s="15"/>
      <c r="L226" s="15"/>
      <c r="M226" s="15"/>
      <c r="N226" s="15"/>
      <c r="O226" s="137"/>
      <c r="P226" s="141"/>
      <c r="Q226" s="141"/>
      <c r="R226" s="141"/>
      <c r="S226" s="141"/>
      <c r="T226" s="141"/>
      <c r="U226" s="141"/>
      <c r="V226" s="141"/>
      <c r="W226" s="141"/>
      <c r="X226" s="141"/>
      <c r="Y226" s="141"/>
      <c r="Z226" s="141"/>
      <c r="AA226" s="104">
        <v>222</v>
      </c>
      <c r="AB226" s="14">
        <f t="shared" si="105"/>
        <v>5</v>
      </c>
      <c r="AC226" s="14">
        <f>INDEX(挂机升级突破!$BU$6:$BU$57,卡牌消耗!AI226)</f>
        <v>11</v>
      </c>
      <c r="AD226" s="14">
        <f>INDEX(挂机升级突破!BV$6:BV$57,卡牌消耗!$AI226)</f>
        <v>3</v>
      </c>
      <c r="AE226" s="14">
        <f>INDEX(挂机升级突破!BW$6:BW$57,卡牌消耗!$AI226)</f>
        <v>0</v>
      </c>
      <c r="AF226" s="14" t="str">
        <f t="shared" si="106"/>
        <v>李轩辕</v>
      </c>
      <c r="AG226" s="14">
        <f t="shared" si="107"/>
        <v>3</v>
      </c>
      <c r="AH226" s="14" t="str">
        <f t="shared" si="108"/>
        <v>李轩辕魂火-14</v>
      </c>
      <c r="AI226" s="14">
        <f t="shared" si="109"/>
        <v>14</v>
      </c>
      <c r="AJ226" s="14" t="str">
        <f>INDEX(挂机升级突破!$BX$4:$CH$4,INDEX(挂机升级突破!$BU$6:$BU$57,卡牌消耗!AI226))</f>
        <v>金币</v>
      </c>
      <c r="AK226" s="14">
        <f>ROUND(INDEX(挂机升级突破!$BN$6:$BN$57,卡牌消耗!AI226)*INDEX(卡牌消耗!$B$8:$F$8,AG226)/$Q$4/50,0)*50</f>
        <v>2350</v>
      </c>
      <c r="AL226" s="14" t="str">
        <f>IF(AD226&gt;0,INDEX(挂机升级突破!$BX$4:$CH$4,AD226),"")</f>
        <v>紫色基础材料</v>
      </c>
      <c r="AM226" s="14">
        <f>ROUND(INDEX(挂机升级突破!$BX$6:$CH$57,卡牌消耗!AI226,AD226)*INDEX(卡牌消耗!$B$5:$F$5,AG226)/$Q$4/5,0)*5</f>
        <v>170</v>
      </c>
      <c r="AN226" s="14" t="str">
        <f>IF(AE226&gt;0,INDEX(挂机升级突破!$BX$4:$CH$4,AE226),"")</f>
        <v/>
      </c>
      <c r="AO226" s="14" t="str">
        <f>IF(AE226&gt;0,ROUND(INDEX(挂机升级突破!$BX$6:$CH$57,卡牌消耗!AI226,AE226)*INDEX(卡牌消耗!$B$7:$F$7,AG226)/$Q$4,0),"")</f>
        <v/>
      </c>
      <c r="AP226" s="106"/>
      <c r="AQ226" s="15"/>
      <c r="AR226" s="104">
        <v>222</v>
      </c>
      <c r="AS226" s="14">
        <f t="shared" si="110"/>
        <v>12</v>
      </c>
      <c r="AT226" s="14">
        <f>INDEX(挂机升级突破!$CM$7:$CM$26,AX226)</f>
        <v>5</v>
      </c>
      <c r="AU226" s="14">
        <f>INDEX(挂机升级突破!$CN$7:$CN$26,AX226)</f>
        <v>0</v>
      </c>
      <c r="AV226" s="14">
        <f t="shared" si="111"/>
        <v>5</v>
      </c>
      <c r="AW226" s="14" t="str">
        <f t="shared" si="112"/>
        <v>夏侯惇</v>
      </c>
      <c r="AX226" s="14">
        <f t="shared" si="113"/>
        <v>2</v>
      </c>
      <c r="AY226" s="14" t="str">
        <f t="shared" si="114"/>
        <v>夏侯惇2突</v>
      </c>
      <c r="AZ226" s="14" t="str">
        <f>IF(AT226&gt;0,INDEX(挂机升级突破!$CV$5:$CZ$5,卡牌消耗!AT226),"")</f>
        <v>金币</v>
      </c>
      <c r="BA226" s="14">
        <f>IF(AT226&gt;0,ROUND(INDEX(挂机升级突破!$CZ$7:$CZ$26,卡牌消耗!AX226)*INDEX(卡牌消耗!$B$8:$F$8,AV226)/$Q$4/500,0)*500,"")</f>
        <v>5000</v>
      </c>
      <c r="BB226" s="14" t="str">
        <f>IF(AU226&gt;0,INDEX(挂机升级突破!$CV$5:$CZ$5,卡牌消耗!AU226),"")</f>
        <v/>
      </c>
      <c r="BC226" s="14" t="str">
        <f>IF(AU226&gt;0,ROUND(INDEX(挂机升级突破!$CV$7:$CY$26,卡牌消耗!AX226,卡牌消耗!AU226)*INDEX($B$6:$F$6,AV226)/$Q$4/5,0)*5,"")</f>
        <v/>
      </c>
      <c r="BD226" s="104"/>
      <c r="BE226" s="104"/>
      <c r="BF226" s="106"/>
      <c r="CD226" s="136">
        <v>222</v>
      </c>
      <c r="CE226" s="14">
        <f t="shared" si="115"/>
        <v>45</v>
      </c>
      <c r="CF226" s="14">
        <f t="shared" si="100"/>
        <v>2</v>
      </c>
      <c r="CG226" s="14">
        <f t="shared" si="101"/>
        <v>1102050</v>
      </c>
      <c r="CH226" s="136" t="s">
        <v>1127</v>
      </c>
      <c r="CI226" s="14">
        <f t="shared" si="102"/>
        <v>2</v>
      </c>
      <c r="CJ226" s="14" t="str">
        <f t="shared" si="103"/>
        <v>柠檬精-2星</v>
      </c>
      <c r="CK226" s="136" t="s">
        <v>1133</v>
      </c>
      <c r="CL226" s="14">
        <f t="shared" si="116"/>
        <v>3500</v>
      </c>
      <c r="CM226" s="14" t="str">
        <f t="shared" si="104"/>
        <v>柠檬精碎片</v>
      </c>
      <c r="CN226" s="14">
        <f t="shared" si="117"/>
        <v>40</v>
      </c>
    </row>
    <row r="227" spans="8:92" ht="16.5" x14ac:dyDescent="0.2">
      <c r="H227" s="15"/>
      <c r="I227" s="15"/>
      <c r="J227" s="15"/>
      <c r="K227" s="15"/>
      <c r="L227" s="15"/>
      <c r="M227" s="15"/>
      <c r="N227" s="15"/>
      <c r="O227" s="137"/>
      <c r="P227" s="141"/>
      <c r="Q227" s="141"/>
      <c r="R227" s="141"/>
      <c r="S227" s="141"/>
      <c r="T227" s="141"/>
      <c r="U227" s="141"/>
      <c r="V227" s="141"/>
      <c r="W227" s="141"/>
      <c r="X227" s="141"/>
      <c r="Y227" s="141"/>
      <c r="Z227" s="141"/>
      <c r="AA227" s="104">
        <v>223</v>
      </c>
      <c r="AB227" s="14">
        <f t="shared" si="105"/>
        <v>5</v>
      </c>
      <c r="AC227" s="14">
        <f>INDEX(挂机升级突破!$BU$6:$BU$57,卡牌消耗!AI227)</f>
        <v>11</v>
      </c>
      <c r="AD227" s="14">
        <f>INDEX(挂机升级突破!BV$6:BV$57,卡牌消耗!$AI227)</f>
        <v>3</v>
      </c>
      <c r="AE227" s="14">
        <f>INDEX(挂机升级突破!BW$6:BW$57,卡牌消耗!$AI227)</f>
        <v>0</v>
      </c>
      <c r="AF227" s="14" t="str">
        <f t="shared" si="106"/>
        <v>李轩辕</v>
      </c>
      <c r="AG227" s="14">
        <f t="shared" si="107"/>
        <v>3</v>
      </c>
      <c r="AH227" s="14" t="str">
        <f t="shared" si="108"/>
        <v>李轩辕魂火-15</v>
      </c>
      <c r="AI227" s="14">
        <f t="shared" si="109"/>
        <v>15</v>
      </c>
      <c r="AJ227" s="14" t="str">
        <f>INDEX(挂机升级突破!$BX$4:$CH$4,INDEX(挂机升级突破!$BU$6:$BU$57,卡牌消耗!AI227))</f>
        <v>金币</v>
      </c>
      <c r="AK227" s="14">
        <f>ROUND(INDEX(挂机升级突破!$BN$6:$BN$57,卡牌消耗!AI227)*INDEX(卡牌消耗!$B$8:$F$8,AG227)/$Q$4/50,0)*50</f>
        <v>2550</v>
      </c>
      <c r="AL227" s="14" t="str">
        <f>IF(AD227&gt;0,INDEX(挂机升级突破!$BX$4:$CH$4,AD227),"")</f>
        <v>紫色基础材料</v>
      </c>
      <c r="AM227" s="14">
        <f>ROUND(INDEX(挂机升级突破!$BX$6:$CH$57,卡牌消耗!AI227,AD227)*INDEX(卡牌消耗!$B$5:$F$5,AG227)/$Q$4/5,0)*5</f>
        <v>170</v>
      </c>
      <c r="AN227" s="14" t="str">
        <f>IF(AE227&gt;0,INDEX(挂机升级突破!$BX$4:$CH$4,AE227),"")</f>
        <v/>
      </c>
      <c r="AO227" s="14" t="str">
        <f>IF(AE227&gt;0,ROUND(INDEX(挂机升级突破!$BX$6:$CH$57,卡牌消耗!AI227,AE227)*INDEX(卡牌消耗!$B$7:$F$7,AG227)/$Q$4,0),"")</f>
        <v/>
      </c>
      <c r="AP227" s="106"/>
      <c r="AQ227" s="15"/>
      <c r="AR227" s="104">
        <v>223</v>
      </c>
      <c r="AS227" s="14">
        <f t="shared" si="110"/>
        <v>12</v>
      </c>
      <c r="AT227" s="14">
        <f>INDEX(挂机升级突破!$CM$7:$CM$26,AX227)</f>
        <v>5</v>
      </c>
      <c r="AU227" s="14">
        <f>INDEX(挂机升级突破!$CN$7:$CN$26,AX227)</f>
        <v>0</v>
      </c>
      <c r="AV227" s="14">
        <f t="shared" si="111"/>
        <v>5</v>
      </c>
      <c r="AW227" s="14" t="str">
        <f t="shared" si="112"/>
        <v>夏侯惇</v>
      </c>
      <c r="AX227" s="14">
        <f t="shared" si="113"/>
        <v>3</v>
      </c>
      <c r="AY227" s="14" t="str">
        <f t="shared" si="114"/>
        <v>夏侯惇3突</v>
      </c>
      <c r="AZ227" s="14" t="str">
        <f>IF(AT227&gt;0,INDEX(挂机升级突破!$CV$5:$CZ$5,卡牌消耗!AT227),"")</f>
        <v>金币</v>
      </c>
      <c r="BA227" s="14">
        <f>IF(AT227&gt;0,ROUND(INDEX(挂机升级突破!$CZ$7:$CZ$26,卡牌消耗!AX227)*INDEX(卡牌消耗!$B$8:$F$8,AV227)/$Q$4/500,0)*500,"")</f>
        <v>5000</v>
      </c>
      <c r="BB227" s="14" t="str">
        <f>IF(AU227&gt;0,INDEX(挂机升级突破!$CV$5:$CZ$5,卡牌消耗!AU227),"")</f>
        <v/>
      </c>
      <c r="BC227" s="14" t="str">
        <f>IF(AU227&gt;0,ROUND(INDEX(挂机升级突破!$CV$7:$CY$26,卡牌消耗!AX227,卡牌消耗!AU227)*INDEX($B$6:$F$6,AV227)/$Q$4/5,0)*5,"")</f>
        <v/>
      </c>
      <c r="BD227" s="104"/>
      <c r="BE227" s="104"/>
      <c r="BF227" s="106"/>
      <c r="CD227" s="136">
        <v>223</v>
      </c>
      <c r="CE227" s="14">
        <f t="shared" si="115"/>
        <v>45</v>
      </c>
      <c r="CF227" s="14">
        <f t="shared" si="100"/>
        <v>2</v>
      </c>
      <c r="CG227" s="14">
        <f t="shared" si="101"/>
        <v>1102050</v>
      </c>
      <c r="CH227" s="136" t="s">
        <v>1127</v>
      </c>
      <c r="CI227" s="14">
        <f t="shared" si="102"/>
        <v>3</v>
      </c>
      <c r="CJ227" s="14" t="str">
        <f t="shared" si="103"/>
        <v>柠檬精-3星</v>
      </c>
      <c r="CK227" s="136" t="s">
        <v>1133</v>
      </c>
      <c r="CL227" s="14">
        <f t="shared" si="116"/>
        <v>7000</v>
      </c>
      <c r="CM227" s="14" t="str">
        <f t="shared" si="104"/>
        <v>柠檬精碎片</v>
      </c>
      <c r="CN227" s="14">
        <f t="shared" si="117"/>
        <v>80</v>
      </c>
    </row>
    <row r="228" spans="8:92" ht="16.5" x14ac:dyDescent="0.2">
      <c r="H228" s="15"/>
      <c r="I228" s="15"/>
      <c r="J228" s="15"/>
      <c r="K228" s="15"/>
      <c r="L228" s="15"/>
      <c r="M228" s="15"/>
      <c r="N228" s="15"/>
      <c r="O228" s="137"/>
      <c r="P228" s="141"/>
      <c r="Q228" s="141"/>
      <c r="R228" s="141"/>
      <c r="S228" s="141"/>
      <c r="T228" s="141"/>
      <c r="U228" s="141"/>
      <c r="V228" s="141"/>
      <c r="W228" s="141"/>
      <c r="X228" s="141"/>
      <c r="Y228" s="141"/>
      <c r="Z228" s="141"/>
      <c r="AA228" s="104">
        <v>224</v>
      </c>
      <c r="AB228" s="14">
        <f t="shared" si="105"/>
        <v>5</v>
      </c>
      <c r="AC228" s="14">
        <f>INDEX(挂机升级突破!$BU$6:$BU$57,卡牌消耗!AI228)</f>
        <v>11</v>
      </c>
      <c r="AD228" s="14">
        <f>INDEX(挂机升级突破!BV$6:BV$57,卡牌消耗!$AI228)</f>
        <v>3</v>
      </c>
      <c r="AE228" s="14">
        <f>INDEX(挂机升级突破!BW$6:BW$57,卡牌消耗!$AI228)</f>
        <v>0</v>
      </c>
      <c r="AF228" s="14" t="str">
        <f t="shared" si="106"/>
        <v>李轩辕</v>
      </c>
      <c r="AG228" s="14">
        <f t="shared" si="107"/>
        <v>3</v>
      </c>
      <c r="AH228" s="14" t="str">
        <f t="shared" si="108"/>
        <v>李轩辕魂火-16</v>
      </c>
      <c r="AI228" s="14">
        <f t="shared" si="109"/>
        <v>16</v>
      </c>
      <c r="AJ228" s="14" t="str">
        <f>INDEX(挂机升级突破!$BX$4:$CH$4,INDEX(挂机升级突破!$BU$6:$BU$57,卡牌消耗!AI228))</f>
        <v>金币</v>
      </c>
      <c r="AK228" s="14">
        <f>ROUND(INDEX(挂机升级突破!$BN$6:$BN$57,卡牌消耗!AI228)*INDEX(卡牌消耗!$B$8:$F$8,AG228)/$Q$4/50,0)*50</f>
        <v>2550</v>
      </c>
      <c r="AL228" s="14" t="str">
        <f>IF(AD228&gt;0,INDEX(挂机升级突破!$BX$4:$CH$4,AD228),"")</f>
        <v>紫色基础材料</v>
      </c>
      <c r="AM228" s="14">
        <f>ROUND(INDEX(挂机升级突破!$BX$6:$CH$57,卡牌消耗!AI228,AD228)*INDEX(卡牌消耗!$B$5:$F$5,AG228)/$Q$4/5,0)*5</f>
        <v>170</v>
      </c>
      <c r="AN228" s="14" t="str">
        <f>IF(AE228&gt;0,INDEX(挂机升级突破!$BX$4:$CH$4,AE228),"")</f>
        <v/>
      </c>
      <c r="AO228" s="14" t="str">
        <f>IF(AE228&gt;0,ROUND(INDEX(挂机升级突破!$BX$6:$CH$57,卡牌消耗!AI228,AE228)*INDEX(卡牌消耗!$B$7:$F$7,AG228)/$Q$4,0),"")</f>
        <v/>
      </c>
      <c r="AP228" s="106"/>
      <c r="AQ228" s="15"/>
      <c r="AR228" s="104">
        <v>224</v>
      </c>
      <c r="AS228" s="14">
        <f t="shared" si="110"/>
        <v>12</v>
      </c>
      <c r="AT228" s="14">
        <f>INDEX(挂机升级突破!$CM$7:$CM$26,AX228)</f>
        <v>5</v>
      </c>
      <c r="AU228" s="14">
        <f>INDEX(挂机升级突破!$CN$7:$CN$26,AX228)</f>
        <v>1</v>
      </c>
      <c r="AV228" s="14">
        <f t="shared" si="111"/>
        <v>5</v>
      </c>
      <c r="AW228" s="14" t="str">
        <f t="shared" si="112"/>
        <v>夏侯惇</v>
      </c>
      <c r="AX228" s="14">
        <f t="shared" si="113"/>
        <v>4</v>
      </c>
      <c r="AY228" s="14" t="str">
        <f t="shared" si="114"/>
        <v>夏侯惇4突</v>
      </c>
      <c r="AZ228" s="14" t="str">
        <f>IF(AT228&gt;0,INDEX(挂机升级突破!$CV$5:$CZ$5,卡牌消耗!AT228),"")</f>
        <v>金币</v>
      </c>
      <c r="BA228" s="14">
        <f>IF(AT228&gt;0,ROUND(INDEX(挂机升级突破!$CZ$7:$CZ$26,卡牌消耗!AX228)*INDEX(卡牌消耗!$B$8:$F$8,AV228)/$Q$4/500,0)*500,"")</f>
        <v>6000</v>
      </c>
      <c r="BB228" s="14" t="str">
        <f>IF(AU228&gt;0,INDEX(挂机升级突破!$CV$5:$CZ$5,卡牌消耗!AU228),"")</f>
        <v>玄铁</v>
      </c>
      <c r="BC228" s="14">
        <f>IF(AU228&gt;0,ROUND(INDEX(挂机升级突破!$CV$7:$CY$26,卡牌消耗!AX228,卡牌消耗!AU228)*INDEX($B$6:$F$6,AV228)/$Q$4/5,0)*5,"")</f>
        <v>85</v>
      </c>
      <c r="BD228" s="104"/>
      <c r="BE228" s="104"/>
      <c r="BF228" s="106"/>
      <c r="CD228" s="136">
        <v>224</v>
      </c>
      <c r="CE228" s="14">
        <f t="shared" si="115"/>
        <v>45</v>
      </c>
      <c r="CF228" s="14">
        <f t="shared" si="100"/>
        <v>2</v>
      </c>
      <c r="CG228" s="14">
        <f t="shared" si="101"/>
        <v>1102050</v>
      </c>
      <c r="CH228" s="136" t="s">
        <v>1127</v>
      </c>
      <c r="CI228" s="14">
        <f t="shared" si="102"/>
        <v>4</v>
      </c>
      <c r="CJ228" s="14" t="str">
        <f t="shared" si="103"/>
        <v>柠檬精-4星</v>
      </c>
      <c r="CK228" s="136" t="s">
        <v>1133</v>
      </c>
      <c r="CL228" s="14">
        <f t="shared" si="116"/>
        <v>16000</v>
      </c>
      <c r="CM228" s="14" t="str">
        <f t="shared" si="104"/>
        <v>柠檬精碎片</v>
      </c>
      <c r="CN228" s="14">
        <f t="shared" si="117"/>
        <v>120</v>
      </c>
    </row>
    <row r="229" spans="8:92" ht="16.5" x14ac:dyDescent="0.2">
      <c r="H229" s="15"/>
      <c r="I229" s="15"/>
      <c r="J229" s="15"/>
      <c r="K229" s="15"/>
      <c r="L229" s="15"/>
      <c r="M229" s="15"/>
      <c r="N229" s="15"/>
      <c r="O229" s="137"/>
      <c r="P229" s="141"/>
      <c r="Q229" s="141"/>
      <c r="R229" s="141"/>
      <c r="S229" s="141"/>
      <c r="T229" s="141"/>
      <c r="U229" s="141"/>
      <c r="V229" s="141"/>
      <c r="W229" s="141"/>
      <c r="X229" s="141"/>
      <c r="Y229" s="141"/>
      <c r="Z229" s="141"/>
      <c r="AA229" s="104">
        <v>225</v>
      </c>
      <c r="AB229" s="14">
        <f t="shared" si="105"/>
        <v>5</v>
      </c>
      <c r="AC229" s="14">
        <f>INDEX(挂机升级突破!$BU$6:$BU$57,卡牌消耗!AI229)</f>
        <v>11</v>
      </c>
      <c r="AD229" s="14">
        <f>INDEX(挂机升级突破!BV$6:BV$57,卡牌消耗!$AI229)</f>
        <v>3</v>
      </c>
      <c r="AE229" s="14">
        <f>INDEX(挂机升级突破!BW$6:BW$57,卡牌消耗!$AI229)</f>
        <v>0</v>
      </c>
      <c r="AF229" s="14" t="str">
        <f t="shared" si="106"/>
        <v>李轩辕</v>
      </c>
      <c r="AG229" s="14">
        <f t="shared" si="107"/>
        <v>3</v>
      </c>
      <c r="AH229" s="14" t="str">
        <f t="shared" si="108"/>
        <v>李轩辕魂火-17</v>
      </c>
      <c r="AI229" s="14">
        <f t="shared" si="109"/>
        <v>17</v>
      </c>
      <c r="AJ229" s="14" t="str">
        <f>INDEX(挂机升级突破!$BX$4:$CH$4,INDEX(挂机升级突破!$BU$6:$BU$57,卡牌消耗!AI229))</f>
        <v>金币</v>
      </c>
      <c r="AK229" s="14">
        <f>ROUND(INDEX(挂机升级突破!$BN$6:$BN$57,卡牌消耗!AI229)*INDEX(卡牌消耗!$B$8:$F$8,AG229)/$Q$4/50,0)*50</f>
        <v>3200</v>
      </c>
      <c r="AL229" s="14" t="str">
        <f>IF(AD229&gt;0,INDEX(挂机升级突破!$BX$4:$CH$4,AD229),"")</f>
        <v>紫色基础材料</v>
      </c>
      <c r="AM229" s="14">
        <f>ROUND(INDEX(挂机升级突破!$BX$6:$CH$57,卡牌消耗!AI229,AD229)*INDEX(卡牌消耗!$B$5:$F$5,AG229)/$Q$4/5,0)*5</f>
        <v>335</v>
      </c>
      <c r="AN229" s="14" t="str">
        <f>IF(AE229&gt;0,INDEX(挂机升级突破!$BX$4:$CH$4,AE229),"")</f>
        <v/>
      </c>
      <c r="AO229" s="14" t="str">
        <f>IF(AE229&gt;0,ROUND(INDEX(挂机升级突破!$BX$6:$CH$57,卡牌消耗!AI229,AE229)*INDEX(卡牌消耗!$B$7:$F$7,AG229)/$Q$4,0),"")</f>
        <v/>
      </c>
      <c r="AP229" s="106"/>
      <c r="AQ229" s="15"/>
      <c r="AR229" s="104">
        <v>225</v>
      </c>
      <c r="AS229" s="14">
        <f t="shared" si="110"/>
        <v>12</v>
      </c>
      <c r="AT229" s="14">
        <f>INDEX(挂机升级突破!$CM$7:$CM$26,AX229)</f>
        <v>5</v>
      </c>
      <c r="AU229" s="14">
        <f>INDEX(挂机升级突破!$CN$7:$CN$26,AX229)</f>
        <v>1</v>
      </c>
      <c r="AV229" s="14">
        <f t="shared" si="111"/>
        <v>5</v>
      </c>
      <c r="AW229" s="14" t="str">
        <f t="shared" si="112"/>
        <v>夏侯惇</v>
      </c>
      <c r="AX229" s="14">
        <f t="shared" si="113"/>
        <v>5</v>
      </c>
      <c r="AY229" s="14" t="str">
        <f t="shared" si="114"/>
        <v>夏侯惇5突</v>
      </c>
      <c r="AZ229" s="14" t="str">
        <f>IF(AT229&gt;0,INDEX(挂机升级突破!$CV$5:$CZ$5,卡牌消耗!AT229),"")</f>
        <v>金币</v>
      </c>
      <c r="BA229" s="14">
        <f>IF(AT229&gt;0,ROUND(INDEX(挂机升级突破!$CZ$7:$CZ$26,卡牌消耗!AX229)*INDEX(卡牌消耗!$B$8:$F$8,AV229)/$Q$4/500,0)*500,"")</f>
        <v>6000</v>
      </c>
      <c r="BB229" s="14" t="str">
        <f>IF(AU229&gt;0,INDEX(挂机升级突破!$CV$5:$CZ$5,卡牌消耗!AU229),"")</f>
        <v>玄铁</v>
      </c>
      <c r="BC229" s="14">
        <f>IF(AU229&gt;0,ROUND(INDEX(挂机升级突破!$CV$7:$CY$26,卡牌消耗!AX229,卡牌消耗!AU229)*INDEX($B$6:$F$6,AV229)/$Q$4/5,0)*5,"")</f>
        <v>175</v>
      </c>
      <c r="BD229" s="104"/>
      <c r="BE229" s="104"/>
      <c r="BF229" s="106"/>
      <c r="CD229" s="136">
        <v>225</v>
      </c>
      <c r="CE229" s="14">
        <f t="shared" si="115"/>
        <v>45</v>
      </c>
      <c r="CF229" s="14">
        <f t="shared" si="100"/>
        <v>2</v>
      </c>
      <c r="CG229" s="14">
        <f t="shared" si="101"/>
        <v>1102050</v>
      </c>
      <c r="CH229" s="136" t="s">
        <v>1127</v>
      </c>
      <c r="CI229" s="14">
        <f t="shared" si="102"/>
        <v>5</v>
      </c>
      <c r="CJ229" s="14" t="str">
        <f t="shared" si="103"/>
        <v>柠檬精-5星</v>
      </c>
      <c r="CK229" s="136" t="s">
        <v>1133</v>
      </c>
      <c r="CL229" s="14">
        <f t="shared" si="116"/>
        <v>30000</v>
      </c>
      <c r="CM229" s="14" t="str">
        <f t="shared" si="104"/>
        <v>柠檬精碎片</v>
      </c>
      <c r="CN229" s="14">
        <f t="shared" si="117"/>
        <v>160</v>
      </c>
    </row>
    <row r="230" spans="8:92" ht="16.5" x14ac:dyDescent="0.2">
      <c r="H230" s="15"/>
      <c r="I230" s="15"/>
      <c r="J230" s="15"/>
      <c r="K230" s="15"/>
      <c r="L230" s="15"/>
      <c r="M230" s="15"/>
      <c r="N230" s="15"/>
      <c r="O230" s="137"/>
      <c r="P230" s="141"/>
      <c r="Q230" s="141"/>
      <c r="R230" s="141"/>
      <c r="S230" s="141"/>
      <c r="T230" s="141"/>
      <c r="U230" s="141"/>
      <c r="V230" s="141"/>
      <c r="W230" s="141"/>
      <c r="X230" s="141"/>
      <c r="Y230" s="141"/>
      <c r="Z230" s="141"/>
      <c r="AA230" s="104">
        <v>226</v>
      </c>
      <c r="AB230" s="14">
        <f t="shared" si="105"/>
        <v>5</v>
      </c>
      <c r="AC230" s="14">
        <f>INDEX(挂机升级突破!$BU$6:$BU$57,卡牌消耗!AI230)</f>
        <v>11</v>
      </c>
      <c r="AD230" s="14">
        <f>INDEX(挂机升级突破!BV$6:BV$57,卡牌消耗!$AI230)</f>
        <v>3</v>
      </c>
      <c r="AE230" s="14">
        <f>INDEX(挂机升级突破!BW$6:BW$57,卡牌消耗!$AI230)</f>
        <v>0</v>
      </c>
      <c r="AF230" s="14" t="str">
        <f t="shared" si="106"/>
        <v>李轩辕</v>
      </c>
      <c r="AG230" s="14">
        <f t="shared" si="107"/>
        <v>3</v>
      </c>
      <c r="AH230" s="14" t="str">
        <f t="shared" si="108"/>
        <v>李轩辕魂火-18</v>
      </c>
      <c r="AI230" s="14">
        <f t="shared" si="109"/>
        <v>18</v>
      </c>
      <c r="AJ230" s="14" t="str">
        <f>INDEX(挂机升级突破!$BX$4:$CH$4,INDEX(挂机升级突破!$BU$6:$BU$57,卡牌消耗!AI230))</f>
        <v>金币</v>
      </c>
      <c r="AK230" s="14">
        <f>ROUND(INDEX(挂机升级突破!$BN$6:$BN$57,卡牌消耗!AI230)*INDEX(卡牌消耗!$B$8:$F$8,AG230)/$Q$4/50,0)*50</f>
        <v>3200</v>
      </c>
      <c r="AL230" s="14" t="str">
        <f>IF(AD230&gt;0,INDEX(挂机升级突破!$BX$4:$CH$4,AD230),"")</f>
        <v>紫色基础材料</v>
      </c>
      <c r="AM230" s="14">
        <f>ROUND(INDEX(挂机升级突破!$BX$6:$CH$57,卡牌消耗!AI230,AD230)*INDEX(卡牌消耗!$B$5:$F$5,AG230)/$Q$4/5,0)*5</f>
        <v>335</v>
      </c>
      <c r="AN230" s="14" t="str">
        <f>IF(AE230&gt;0,INDEX(挂机升级突破!$BX$4:$CH$4,AE230),"")</f>
        <v/>
      </c>
      <c r="AO230" s="14" t="str">
        <f>IF(AE230&gt;0,ROUND(INDEX(挂机升级突破!$BX$6:$CH$57,卡牌消耗!AI230,AE230)*INDEX(卡牌消耗!$B$7:$F$7,AG230)/$Q$4,0),"")</f>
        <v/>
      </c>
      <c r="AP230" s="106"/>
      <c r="AQ230" s="15"/>
      <c r="AR230" s="104">
        <v>226</v>
      </c>
      <c r="AS230" s="14">
        <f t="shared" si="110"/>
        <v>12</v>
      </c>
      <c r="AT230" s="14">
        <f>INDEX(挂机升级突破!$CM$7:$CM$26,AX230)</f>
        <v>5</v>
      </c>
      <c r="AU230" s="14">
        <f>INDEX(挂机升级突破!$CN$7:$CN$26,AX230)</f>
        <v>1</v>
      </c>
      <c r="AV230" s="14">
        <f t="shared" si="111"/>
        <v>5</v>
      </c>
      <c r="AW230" s="14" t="str">
        <f t="shared" si="112"/>
        <v>夏侯惇</v>
      </c>
      <c r="AX230" s="14">
        <f t="shared" si="113"/>
        <v>6</v>
      </c>
      <c r="AY230" s="14" t="str">
        <f t="shared" si="114"/>
        <v>夏侯惇6突</v>
      </c>
      <c r="AZ230" s="14" t="str">
        <f>IF(AT230&gt;0,INDEX(挂机升级突破!$CV$5:$CZ$5,卡牌消耗!AT230),"")</f>
        <v>金币</v>
      </c>
      <c r="BA230" s="14">
        <f>IF(AT230&gt;0,ROUND(INDEX(挂机升级突破!$CZ$7:$CZ$26,卡牌消耗!AX230)*INDEX(卡牌消耗!$B$8:$F$8,AV230)/$Q$4/500,0)*500,"")</f>
        <v>8000</v>
      </c>
      <c r="BB230" s="14" t="str">
        <f>IF(AU230&gt;0,INDEX(挂机升级突破!$CV$5:$CZ$5,卡牌消耗!AU230),"")</f>
        <v>玄铁</v>
      </c>
      <c r="BC230" s="14">
        <f>IF(AU230&gt;0,ROUND(INDEX(挂机升级突破!$CV$7:$CY$26,卡牌消耗!AX230,卡牌消耗!AU230)*INDEX($B$6:$F$6,AV230)/$Q$4/5,0)*5,"")</f>
        <v>260</v>
      </c>
      <c r="BD230" s="104"/>
      <c r="BE230" s="104"/>
      <c r="BF230" s="106"/>
      <c r="CD230" s="136">
        <v>226</v>
      </c>
      <c r="CE230" s="14">
        <f t="shared" si="115"/>
        <v>46</v>
      </c>
      <c r="CF230" s="14">
        <f t="shared" si="100"/>
        <v>2</v>
      </c>
      <c r="CG230" s="14">
        <f t="shared" si="101"/>
        <v>1102023</v>
      </c>
      <c r="CH230" s="136" t="s">
        <v>1127</v>
      </c>
      <c r="CI230" s="14">
        <f t="shared" si="102"/>
        <v>1</v>
      </c>
      <c r="CJ230" s="14" t="str">
        <f t="shared" si="103"/>
        <v>异邦刀客-1星</v>
      </c>
      <c r="CK230" s="136" t="s">
        <v>1133</v>
      </c>
      <c r="CL230" s="14">
        <f t="shared" si="116"/>
        <v>3000</v>
      </c>
      <c r="CM230" s="14" t="str">
        <f t="shared" si="104"/>
        <v>异邦刀客碎片</v>
      </c>
      <c r="CN230" s="14">
        <f t="shared" si="117"/>
        <v>20</v>
      </c>
    </row>
    <row r="231" spans="8:92" ht="16.5" x14ac:dyDescent="0.2">
      <c r="H231" s="15"/>
      <c r="I231" s="15"/>
      <c r="J231" s="15"/>
      <c r="K231" s="15"/>
      <c r="L231" s="15"/>
      <c r="M231" s="15"/>
      <c r="N231" s="15"/>
      <c r="O231" s="137"/>
      <c r="P231" s="141"/>
      <c r="Q231" s="141"/>
      <c r="R231" s="141"/>
      <c r="S231" s="141"/>
      <c r="T231" s="141"/>
      <c r="U231" s="141"/>
      <c r="V231" s="141"/>
      <c r="W231" s="141"/>
      <c r="X231" s="141"/>
      <c r="Y231" s="141"/>
      <c r="Z231" s="141"/>
      <c r="AA231" s="104">
        <v>227</v>
      </c>
      <c r="AB231" s="14">
        <f t="shared" si="105"/>
        <v>5</v>
      </c>
      <c r="AC231" s="14">
        <f>INDEX(挂机升级突破!$BU$6:$BU$57,卡牌消耗!AI231)</f>
        <v>11</v>
      </c>
      <c r="AD231" s="14">
        <f>INDEX(挂机升级突破!BV$6:BV$57,卡牌消耗!$AI231)</f>
        <v>3</v>
      </c>
      <c r="AE231" s="14">
        <f>INDEX(挂机升级突破!BW$6:BW$57,卡牌消耗!$AI231)</f>
        <v>0</v>
      </c>
      <c r="AF231" s="14" t="str">
        <f t="shared" si="106"/>
        <v>李轩辕</v>
      </c>
      <c r="AG231" s="14">
        <f t="shared" si="107"/>
        <v>3</v>
      </c>
      <c r="AH231" s="14" t="str">
        <f t="shared" si="108"/>
        <v>李轩辕魂火-19</v>
      </c>
      <c r="AI231" s="14">
        <f t="shared" si="109"/>
        <v>19</v>
      </c>
      <c r="AJ231" s="14" t="str">
        <f>INDEX(挂机升级突破!$BX$4:$CH$4,INDEX(挂机升级突破!$BU$6:$BU$57,卡牌消耗!AI231))</f>
        <v>金币</v>
      </c>
      <c r="AK231" s="14">
        <f>ROUND(INDEX(挂机升级突破!$BN$6:$BN$57,卡牌消耗!AI231)*INDEX(卡牌消耗!$B$8:$F$8,AG231)/$Q$4/50,0)*50</f>
        <v>3200</v>
      </c>
      <c r="AL231" s="14" t="str">
        <f>IF(AD231&gt;0,INDEX(挂机升级突破!$BX$4:$CH$4,AD231),"")</f>
        <v>紫色基础材料</v>
      </c>
      <c r="AM231" s="14">
        <f>ROUND(INDEX(挂机升级突破!$BX$6:$CH$57,卡牌消耗!AI231,AD231)*INDEX(卡牌消耗!$B$5:$F$5,AG231)/$Q$4/5,0)*5</f>
        <v>335</v>
      </c>
      <c r="AN231" s="14" t="str">
        <f>IF(AE231&gt;0,INDEX(挂机升级突破!$BX$4:$CH$4,AE231),"")</f>
        <v/>
      </c>
      <c r="AO231" s="14" t="str">
        <f>IF(AE231&gt;0,ROUND(INDEX(挂机升级突破!$BX$6:$CH$57,卡牌消耗!AI231,AE231)*INDEX(卡牌消耗!$B$7:$F$7,AG231)/$Q$4,0),"")</f>
        <v/>
      </c>
      <c r="AP231" s="106"/>
      <c r="AQ231" s="15"/>
      <c r="AR231" s="104">
        <v>227</v>
      </c>
      <c r="AS231" s="14">
        <f t="shared" si="110"/>
        <v>12</v>
      </c>
      <c r="AT231" s="14">
        <f>INDEX(挂机升级突破!$CM$7:$CM$26,AX231)</f>
        <v>5</v>
      </c>
      <c r="AU231" s="14">
        <f>INDEX(挂机升级突破!$CN$7:$CN$26,AX231)</f>
        <v>1</v>
      </c>
      <c r="AV231" s="14">
        <f t="shared" si="111"/>
        <v>5</v>
      </c>
      <c r="AW231" s="14" t="str">
        <f t="shared" si="112"/>
        <v>夏侯惇</v>
      </c>
      <c r="AX231" s="14">
        <f t="shared" si="113"/>
        <v>7</v>
      </c>
      <c r="AY231" s="14" t="str">
        <f t="shared" si="114"/>
        <v>夏侯惇7突</v>
      </c>
      <c r="AZ231" s="14" t="str">
        <f>IF(AT231&gt;0,INDEX(挂机升级突破!$CV$5:$CZ$5,卡牌消耗!AT231),"")</f>
        <v>金币</v>
      </c>
      <c r="BA231" s="14">
        <f>IF(AT231&gt;0,ROUND(INDEX(挂机升级突破!$CZ$7:$CZ$26,卡牌消耗!AX231)*INDEX(卡牌消耗!$B$8:$F$8,AV231)/$Q$4/500,0)*500,"")</f>
        <v>12500</v>
      </c>
      <c r="BB231" s="14" t="str">
        <f>IF(AU231&gt;0,INDEX(挂机升级突破!$CV$5:$CZ$5,卡牌消耗!AU231),"")</f>
        <v>玄铁</v>
      </c>
      <c r="BC231" s="14">
        <f>IF(AU231&gt;0,ROUND(INDEX(挂机升级突破!$CV$7:$CY$26,卡牌消耗!AX231,卡牌消耗!AU231)*INDEX($B$6:$F$6,AV231)/$Q$4/5,0)*5,"")</f>
        <v>435</v>
      </c>
      <c r="BD231" s="104"/>
      <c r="BE231" s="104"/>
      <c r="BF231" s="106"/>
      <c r="CD231" s="136">
        <v>227</v>
      </c>
      <c r="CE231" s="14">
        <f t="shared" si="115"/>
        <v>46</v>
      </c>
      <c r="CF231" s="14">
        <f t="shared" si="100"/>
        <v>2</v>
      </c>
      <c r="CG231" s="14">
        <f t="shared" si="101"/>
        <v>1102023</v>
      </c>
      <c r="CH231" s="136" t="s">
        <v>1127</v>
      </c>
      <c r="CI231" s="14">
        <f t="shared" si="102"/>
        <v>2</v>
      </c>
      <c r="CJ231" s="14" t="str">
        <f t="shared" si="103"/>
        <v>异邦刀客-2星</v>
      </c>
      <c r="CK231" s="136" t="s">
        <v>1133</v>
      </c>
      <c r="CL231" s="14">
        <f t="shared" si="116"/>
        <v>3500</v>
      </c>
      <c r="CM231" s="14" t="str">
        <f t="shared" si="104"/>
        <v>异邦刀客碎片</v>
      </c>
      <c r="CN231" s="14">
        <f t="shared" si="117"/>
        <v>40</v>
      </c>
    </row>
    <row r="232" spans="8:92" ht="16.5" x14ac:dyDescent="0.2">
      <c r="H232" s="15"/>
      <c r="I232" s="15"/>
      <c r="J232" s="15"/>
      <c r="K232" s="15"/>
      <c r="L232" s="15"/>
      <c r="M232" s="15"/>
      <c r="N232" s="15"/>
      <c r="O232" s="137"/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  <c r="AA232" s="104">
        <v>228</v>
      </c>
      <c r="AB232" s="14">
        <f t="shared" si="105"/>
        <v>5</v>
      </c>
      <c r="AC232" s="14">
        <f>INDEX(挂机升级突破!$BU$6:$BU$57,卡牌消耗!AI232)</f>
        <v>11</v>
      </c>
      <c r="AD232" s="14">
        <f>INDEX(挂机升级突破!BV$6:BV$57,卡牌消耗!$AI232)</f>
        <v>3</v>
      </c>
      <c r="AE232" s="14">
        <f>INDEX(挂机升级突破!BW$6:BW$57,卡牌消耗!$AI232)</f>
        <v>0</v>
      </c>
      <c r="AF232" s="14" t="str">
        <f t="shared" si="106"/>
        <v>李轩辕</v>
      </c>
      <c r="AG232" s="14">
        <f t="shared" si="107"/>
        <v>3</v>
      </c>
      <c r="AH232" s="14" t="str">
        <f t="shared" si="108"/>
        <v>李轩辕魂火-20</v>
      </c>
      <c r="AI232" s="14">
        <f t="shared" si="109"/>
        <v>20</v>
      </c>
      <c r="AJ232" s="14" t="str">
        <f>INDEX(挂机升级突破!$BX$4:$CH$4,INDEX(挂机升级突破!$BU$6:$BU$57,卡牌消耗!AI232))</f>
        <v>金币</v>
      </c>
      <c r="AK232" s="14">
        <f>ROUND(INDEX(挂机升级突破!$BN$6:$BN$57,卡牌消耗!AI232)*INDEX(卡牌消耗!$B$8:$F$8,AG232)/$Q$4/50,0)*50</f>
        <v>3900</v>
      </c>
      <c r="AL232" s="14" t="str">
        <f>IF(AD232&gt;0,INDEX(挂机升级突破!$BX$4:$CH$4,AD232),"")</f>
        <v>紫色基础材料</v>
      </c>
      <c r="AM232" s="14">
        <f>ROUND(INDEX(挂机升级突破!$BX$6:$CH$57,卡牌消耗!AI232,AD232)*INDEX(卡牌消耗!$B$5:$F$5,AG232)/$Q$4/5,0)*5</f>
        <v>505</v>
      </c>
      <c r="AN232" s="14" t="str">
        <f>IF(AE232&gt;0,INDEX(挂机升级突破!$BX$4:$CH$4,AE232),"")</f>
        <v/>
      </c>
      <c r="AO232" s="14" t="str">
        <f>IF(AE232&gt;0,ROUND(INDEX(挂机升级突破!$BX$6:$CH$57,卡牌消耗!AI232,AE232)*INDEX(卡牌消耗!$B$7:$F$7,AG232)/$Q$4,0),"")</f>
        <v/>
      </c>
      <c r="AP232" s="106"/>
      <c r="AQ232" s="15"/>
      <c r="AR232" s="104">
        <v>228</v>
      </c>
      <c r="AS232" s="14">
        <f t="shared" si="110"/>
        <v>12</v>
      </c>
      <c r="AT232" s="14">
        <f>INDEX(挂机升级突破!$CM$7:$CM$26,AX232)</f>
        <v>5</v>
      </c>
      <c r="AU232" s="14">
        <f>INDEX(挂机升级突破!$CN$7:$CN$26,AX232)</f>
        <v>1</v>
      </c>
      <c r="AV232" s="14">
        <f t="shared" si="111"/>
        <v>5</v>
      </c>
      <c r="AW232" s="14" t="str">
        <f t="shared" si="112"/>
        <v>夏侯惇</v>
      </c>
      <c r="AX232" s="14">
        <f t="shared" si="113"/>
        <v>8</v>
      </c>
      <c r="AY232" s="14" t="str">
        <f t="shared" si="114"/>
        <v>夏侯惇8突</v>
      </c>
      <c r="AZ232" s="14" t="str">
        <f>IF(AT232&gt;0,INDEX(挂机升级突破!$CV$5:$CZ$5,卡牌消耗!AT232),"")</f>
        <v>金币</v>
      </c>
      <c r="BA232" s="14">
        <f>IF(AT232&gt;0,ROUND(INDEX(挂机升级突破!$CZ$7:$CZ$26,卡牌消耗!AX232)*INDEX(卡牌消耗!$B$8:$F$8,AV232)/$Q$4/500,0)*500,"")</f>
        <v>12500</v>
      </c>
      <c r="BB232" s="14" t="str">
        <f>IF(AU232&gt;0,INDEX(挂机升级突破!$CV$5:$CZ$5,卡牌消耗!AU232),"")</f>
        <v>玄铁</v>
      </c>
      <c r="BC232" s="14">
        <f>IF(AU232&gt;0,ROUND(INDEX(挂机升级突破!$CV$7:$CY$26,卡牌消耗!AX232,卡牌消耗!AU232)*INDEX($B$6:$F$6,AV232)/$Q$4/5,0)*5,"")</f>
        <v>780</v>
      </c>
      <c r="BD232" s="104"/>
      <c r="BE232" s="104"/>
      <c r="BF232" s="106"/>
      <c r="CD232" s="136">
        <v>228</v>
      </c>
      <c r="CE232" s="14">
        <f t="shared" si="115"/>
        <v>46</v>
      </c>
      <c r="CF232" s="14">
        <f t="shared" si="100"/>
        <v>2</v>
      </c>
      <c r="CG232" s="14">
        <f t="shared" si="101"/>
        <v>1102023</v>
      </c>
      <c r="CH232" s="136" t="s">
        <v>1127</v>
      </c>
      <c r="CI232" s="14">
        <f t="shared" si="102"/>
        <v>3</v>
      </c>
      <c r="CJ232" s="14" t="str">
        <f t="shared" si="103"/>
        <v>异邦刀客-3星</v>
      </c>
      <c r="CK232" s="136" t="s">
        <v>1133</v>
      </c>
      <c r="CL232" s="14">
        <f t="shared" si="116"/>
        <v>7000</v>
      </c>
      <c r="CM232" s="14" t="str">
        <f t="shared" si="104"/>
        <v>异邦刀客碎片</v>
      </c>
      <c r="CN232" s="14">
        <f t="shared" si="117"/>
        <v>80</v>
      </c>
    </row>
    <row r="233" spans="8:92" ht="16.5" x14ac:dyDescent="0.2">
      <c r="H233" s="15"/>
      <c r="I233" s="15"/>
      <c r="J233" s="15"/>
      <c r="K233" s="15"/>
      <c r="L233" s="15"/>
      <c r="M233" s="15"/>
      <c r="N233" s="15"/>
      <c r="O233" s="137"/>
      <c r="P233" s="141"/>
      <c r="Q233" s="141"/>
      <c r="R233" s="141"/>
      <c r="S233" s="141"/>
      <c r="T233" s="141"/>
      <c r="U233" s="141"/>
      <c r="V233" s="141"/>
      <c r="W233" s="141"/>
      <c r="X233" s="141"/>
      <c r="Y233" s="141"/>
      <c r="Z233" s="141"/>
      <c r="AA233" s="104">
        <v>229</v>
      </c>
      <c r="AB233" s="14">
        <f t="shared" si="105"/>
        <v>5</v>
      </c>
      <c r="AC233" s="14">
        <f>INDEX(挂机升级突破!$BU$6:$BU$57,卡牌消耗!AI233)</f>
        <v>11</v>
      </c>
      <c r="AD233" s="14">
        <f>INDEX(挂机升级突破!BV$6:BV$57,卡牌消耗!$AI233)</f>
        <v>3</v>
      </c>
      <c r="AE233" s="14">
        <f>INDEX(挂机升级突破!BW$6:BW$57,卡牌消耗!$AI233)</f>
        <v>0</v>
      </c>
      <c r="AF233" s="14" t="str">
        <f t="shared" si="106"/>
        <v>李轩辕</v>
      </c>
      <c r="AG233" s="14">
        <f t="shared" si="107"/>
        <v>3</v>
      </c>
      <c r="AH233" s="14" t="str">
        <f t="shared" si="108"/>
        <v>李轩辕魂火-21</v>
      </c>
      <c r="AI233" s="14">
        <f t="shared" si="109"/>
        <v>21</v>
      </c>
      <c r="AJ233" s="14" t="str">
        <f>INDEX(挂机升级突破!$BX$4:$CH$4,INDEX(挂机升级突破!$BU$6:$BU$57,卡牌消耗!AI233))</f>
        <v>金币</v>
      </c>
      <c r="AK233" s="14">
        <f>ROUND(INDEX(挂机升级突破!$BN$6:$BN$57,卡牌消耗!AI233)*INDEX(卡牌消耗!$B$8:$F$8,AG233)/$Q$4/50,0)*50</f>
        <v>3900</v>
      </c>
      <c r="AL233" s="14" t="str">
        <f>IF(AD233&gt;0,INDEX(挂机升级突破!$BX$4:$CH$4,AD233),"")</f>
        <v>紫色基础材料</v>
      </c>
      <c r="AM233" s="14">
        <f>ROUND(INDEX(挂机升级突破!$BX$6:$CH$57,卡牌消耗!AI233,AD233)*INDEX(卡牌消耗!$B$5:$F$5,AG233)/$Q$4/5,0)*5</f>
        <v>505</v>
      </c>
      <c r="AN233" s="14" t="str">
        <f>IF(AE233&gt;0,INDEX(挂机升级突破!$BX$4:$CH$4,AE233),"")</f>
        <v/>
      </c>
      <c r="AO233" s="14" t="str">
        <f>IF(AE233&gt;0,ROUND(INDEX(挂机升级突破!$BX$6:$CH$57,卡牌消耗!AI233,AE233)*INDEX(卡牌消耗!$B$7:$F$7,AG233)/$Q$4,0),"")</f>
        <v/>
      </c>
      <c r="AP233" s="106"/>
      <c r="AQ233" s="15"/>
      <c r="AR233" s="104">
        <v>229</v>
      </c>
      <c r="AS233" s="14">
        <f t="shared" si="110"/>
        <v>12</v>
      </c>
      <c r="AT233" s="14">
        <f>INDEX(挂机升级突破!$CM$7:$CM$26,AX233)</f>
        <v>5</v>
      </c>
      <c r="AU233" s="14">
        <f>INDEX(挂机升级突破!$CN$7:$CN$26,AX233)</f>
        <v>2</v>
      </c>
      <c r="AV233" s="14">
        <f t="shared" si="111"/>
        <v>5</v>
      </c>
      <c r="AW233" s="14" t="str">
        <f t="shared" si="112"/>
        <v>夏侯惇</v>
      </c>
      <c r="AX233" s="14">
        <f t="shared" si="113"/>
        <v>9</v>
      </c>
      <c r="AY233" s="14" t="str">
        <f t="shared" si="114"/>
        <v>夏侯惇9突</v>
      </c>
      <c r="AZ233" s="14" t="str">
        <f>IF(AT233&gt;0,INDEX(挂机升级突破!$CV$5:$CZ$5,卡牌消耗!AT233),"")</f>
        <v>金币</v>
      </c>
      <c r="BA233" s="14">
        <f>IF(AT233&gt;0,ROUND(INDEX(挂机升级突破!$CZ$7:$CZ$26,卡牌消耗!AX233)*INDEX(卡牌消耗!$B$8:$F$8,AV233)/$Q$4/500,0)*500,"")</f>
        <v>17000</v>
      </c>
      <c r="BB233" s="14" t="str">
        <f>IF(AU233&gt;0,INDEX(挂机升级突破!$CV$5:$CZ$5,卡牌消耗!AU233),"")</f>
        <v>乌金</v>
      </c>
      <c r="BC233" s="14">
        <f>IF(AU233&gt;0,ROUND(INDEX(挂机升级突破!$CV$7:$CY$26,卡牌消耗!AX233,卡牌消耗!AU233)*INDEX($B$6:$F$6,AV233)/$Q$4/5,0)*5,"")</f>
        <v>95</v>
      </c>
      <c r="BD233" s="104"/>
      <c r="BE233" s="104"/>
      <c r="BF233" s="106"/>
      <c r="CD233" s="136">
        <v>229</v>
      </c>
      <c r="CE233" s="14">
        <f t="shared" si="115"/>
        <v>46</v>
      </c>
      <c r="CF233" s="14">
        <f t="shared" si="100"/>
        <v>2</v>
      </c>
      <c r="CG233" s="14">
        <f t="shared" si="101"/>
        <v>1102023</v>
      </c>
      <c r="CH233" s="136" t="s">
        <v>1127</v>
      </c>
      <c r="CI233" s="14">
        <f t="shared" si="102"/>
        <v>4</v>
      </c>
      <c r="CJ233" s="14" t="str">
        <f t="shared" si="103"/>
        <v>异邦刀客-4星</v>
      </c>
      <c r="CK233" s="136" t="s">
        <v>1133</v>
      </c>
      <c r="CL233" s="14">
        <f t="shared" si="116"/>
        <v>16000</v>
      </c>
      <c r="CM233" s="14" t="str">
        <f t="shared" si="104"/>
        <v>异邦刀客碎片</v>
      </c>
      <c r="CN233" s="14">
        <f t="shared" si="117"/>
        <v>120</v>
      </c>
    </row>
    <row r="234" spans="8:92" ht="16.5" x14ac:dyDescent="0.2">
      <c r="H234" s="15"/>
      <c r="I234" s="15"/>
      <c r="J234" s="15"/>
      <c r="K234" s="15"/>
      <c r="L234" s="15"/>
      <c r="M234" s="15"/>
      <c r="N234" s="15"/>
      <c r="O234" s="137"/>
      <c r="P234" s="141"/>
      <c r="Q234" s="141"/>
      <c r="R234" s="141"/>
      <c r="S234" s="141"/>
      <c r="T234" s="141"/>
      <c r="U234" s="141"/>
      <c r="V234" s="141"/>
      <c r="W234" s="141"/>
      <c r="X234" s="141"/>
      <c r="Y234" s="141"/>
      <c r="Z234" s="141"/>
      <c r="AA234" s="104">
        <v>230</v>
      </c>
      <c r="AB234" s="14">
        <f t="shared" si="105"/>
        <v>5</v>
      </c>
      <c r="AC234" s="14">
        <f>INDEX(挂机升级突破!$BU$6:$BU$57,卡牌消耗!AI234)</f>
        <v>11</v>
      </c>
      <c r="AD234" s="14">
        <f>INDEX(挂机升级突破!BV$6:BV$57,卡牌消耗!$AI234)</f>
        <v>3</v>
      </c>
      <c r="AE234" s="14">
        <f>INDEX(挂机升级突破!BW$6:BW$57,卡牌消耗!$AI234)</f>
        <v>0</v>
      </c>
      <c r="AF234" s="14" t="str">
        <f t="shared" si="106"/>
        <v>李轩辕</v>
      </c>
      <c r="AG234" s="14">
        <f t="shared" si="107"/>
        <v>3</v>
      </c>
      <c r="AH234" s="14" t="str">
        <f t="shared" si="108"/>
        <v>李轩辕魂火-22</v>
      </c>
      <c r="AI234" s="14">
        <f t="shared" si="109"/>
        <v>22</v>
      </c>
      <c r="AJ234" s="14" t="str">
        <f>INDEX(挂机升级突破!$BX$4:$CH$4,INDEX(挂机升级突破!$BU$6:$BU$57,卡牌消耗!AI234))</f>
        <v>金币</v>
      </c>
      <c r="AK234" s="14">
        <f>ROUND(INDEX(挂机升级突破!$BN$6:$BN$57,卡牌消耗!AI234)*INDEX(卡牌消耗!$B$8:$F$8,AG234)/$Q$4/50,0)*50</f>
        <v>3900</v>
      </c>
      <c r="AL234" s="14" t="str">
        <f>IF(AD234&gt;0,INDEX(挂机升级突破!$BX$4:$CH$4,AD234),"")</f>
        <v>紫色基础材料</v>
      </c>
      <c r="AM234" s="14">
        <f>ROUND(INDEX(挂机升级突破!$BX$6:$CH$57,卡牌消耗!AI234,AD234)*INDEX(卡牌消耗!$B$5:$F$5,AG234)/$Q$4/5,0)*5</f>
        <v>505</v>
      </c>
      <c r="AN234" s="14" t="str">
        <f>IF(AE234&gt;0,INDEX(挂机升级突破!$BX$4:$CH$4,AE234),"")</f>
        <v/>
      </c>
      <c r="AO234" s="14" t="str">
        <f>IF(AE234&gt;0,ROUND(INDEX(挂机升级突破!$BX$6:$CH$57,卡牌消耗!AI234,AE234)*INDEX(卡牌消耗!$B$7:$F$7,AG234)/$Q$4,0),"")</f>
        <v/>
      </c>
      <c r="AP234" s="106"/>
      <c r="AQ234" s="15"/>
      <c r="AR234" s="104">
        <v>230</v>
      </c>
      <c r="AS234" s="14">
        <f t="shared" si="110"/>
        <v>12</v>
      </c>
      <c r="AT234" s="14">
        <f>INDEX(挂机升级突破!$CM$7:$CM$26,AX234)</f>
        <v>5</v>
      </c>
      <c r="AU234" s="14">
        <f>INDEX(挂机升级突破!$CN$7:$CN$26,AX234)</f>
        <v>2</v>
      </c>
      <c r="AV234" s="14">
        <f t="shared" si="111"/>
        <v>5</v>
      </c>
      <c r="AW234" s="14" t="str">
        <f t="shared" si="112"/>
        <v>夏侯惇</v>
      </c>
      <c r="AX234" s="14">
        <f t="shared" si="113"/>
        <v>10</v>
      </c>
      <c r="AY234" s="14" t="str">
        <f t="shared" si="114"/>
        <v>夏侯惇10突</v>
      </c>
      <c r="AZ234" s="14" t="str">
        <f>IF(AT234&gt;0,INDEX(挂机升级突破!$CV$5:$CZ$5,卡牌消耗!AT234),"")</f>
        <v>金币</v>
      </c>
      <c r="BA234" s="14">
        <f>IF(AT234&gt;0,ROUND(INDEX(挂机升级突破!$CZ$7:$CZ$26,卡牌消耗!AX234)*INDEX(卡牌消耗!$B$8:$F$8,AV234)/$Q$4/500,0)*500,"")</f>
        <v>29500</v>
      </c>
      <c r="BB234" s="14" t="str">
        <f>IF(AU234&gt;0,INDEX(挂机升级突破!$CV$5:$CZ$5,卡牌消耗!AU234),"")</f>
        <v>乌金</v>
      </c>
      <c r="BC234" s="14">
        <f>IF(AU234&gt;0,ROUND(INDEX(挂机升级突破!$CV$7:$CY$26,卡牌消耗!AX234,卡牌消耗!AU234)*INDEX($B$6:$F$6,AV234)/$Q$4/5,0)*5,"")</f>
        <v>135</v>
      </c>
      <c r="BD234" s="104"/>
      <c r="BE234" s="104"/>
      <c r="BF234" s="106"/>
      <c r="CD234" s="136">
        <v>230</v>
      </c>
      <c r="CE234" s="14">
        <f t="shared" si="115"/>
        <v>46</v>
      </c>
      <c r="CF234" s="14">
        <f t="shared" si="100"/>
        <v>2</v>
      </c>
      <c r="CG234" s="14">
        <f t="shared" si="101"/>
        <v>1102023</v>
      </c>
      <c r="CH234" s="136" t="s">
        <v>1127</v>
      </c>
      <c r="CI234" s="14">
        <f t="shared" si="102"/>
        <v>5</v>
      </c>
      <c r="CJ234" s="14" t="str">
        <f t="shared" si="103"/>
        <v>异邦刀客-5星</v>
      </c>
      <c r="CK234" s="136" t="s">
        <v>1133</v>
      </c>
      <c r="CL234" s="14">
        <f t="shared" si="116"/>
        <v>30000</v>
      </c>
      <c r="CM234" s="14" t="str">
        <f t="shared" si="104"/>
        <v>异邦刀客碎片</v>
      </c>
      <c r="CN234" s="14">
        <f t="shared" si="117"/>
        <v>160</v>
      </c>
    </row>
    <row r="235" spans="8:92" ht="16.5" x14ac:dyDescent="0.2">
      <c r="H235" s="15"/>
      <c r="I235" s="15"/>
      <c r="J235" s="15"/>
      <c r="K235" s="15"/>
      <c r="L235" s="15"/>
      <c r="M235" s="15"/>
      <c r="N235" s="15"/>
      <c r="O235" s="137"/>
      <c r="P235" s="141"/>
      <c r="Q235" s="141"/>
      <c r="R235" s="141"/>
      <c r="S235" s="141"/>
      <c r="T235" s="141"/>
      <c r="U235" s="141"/>
      <c r="V235" s="141"/>
      <c r="W235" s="141"/>
      <c r="X235" s="141"/>
      <c r="Y235" s="141"/>
      <c r="Z235" s="141"/>
      <c r="AA235" s="104">
        <v>231</v>
      </c>
      <c r="AB235" s="14">
        <f t="shared" si="105"/>
        <v>5</v>
      </c>
      <c r="AC235" s="14">
        <f>INDEX(挂机升级突破!$BU$6:$BU$57,卡牌消耗!AI235)</f>
        <v>11</v>
      </c>
      <c r="AD235" s="14">
        <f>INDEX(挂机升级突破!BV$6:BV$57,卡牌消耗!$AI235)</f>
        <v>4</v>
      </c>
      <c r="AE235" s="14">
        <f>INDEX(挂机升级突破!BW$6:BW$57,卡牌消耗!$AI235)</f>
        <v>0</v>
      </c>
      <c r="AF235" s="14" t="str">
        <f t="shared" si="106"/>
        <v>李轩辕</v>
      </c>
      <c r="AG235" s="14">
        <f t="shared" si="107"/>
        <v>3</v>
      </c>
      <c r="AH235" s="14" t="str">
        <f t="shared" si="108"/>
        <v>李轩辕魂火-23</v>
      </c>
      <c r="AI235" s="14">
        <f t="shared" si="109"/>
        <v>23</v>
      </c>
      <c r="AJ235" s="14" t="str">
        <f>INDEX(挂机升级突破!$BX$4:$CH$4,INDEX(挂机升级突破!$BU$6:$BU$57,卡牌消耗!AI235))</f>
        <v>金币</v>
      </c>
      <c r="AK235" s="14">
        <f>ROUND(INDEX(挂机升级突破!$BN$6:$BN$57,卡牌消耗!AI235)*INDEX(卡牌消耗!$B$8:$F$8,AG235)/$Q$4/50,0)*50</f>
        <v>5350</v>
      </c>
      <c r="AL235" s="14" t="str">
        <f>IF(AD235&gt;0,INDEX(挂机升级突破!$BX$4:$CH$4,AD235),"")</f>
        <v>橙色基础材料</v>
      </c>
      <c r="AM235" s="14">
        <f>ROUND(INDEX(挂机升级突破!$BX$6:$CH$57,卡牌消耗!AI235,AD235)*INDEX(卡牌消耗!$B$5:$F$5,AG235)/$Q$4/5,0)*5</f>
        <v>70</v>
      </c>
      <c r="AN235" s="14" t="str">
        <f>IF(AE235&gt;0,INDEX(挂机升级突破!$BX$4:$CH$4,AE235),"")</f>
        <v/>
      </c>
      <c r="AO235" s="14" t="str">
        <f>IF(AE235&gt;0,ROUND(INDEX(挂机升级突破!$BX$6:$CH$57,卡牌消耗!AI235,AE235)*INDEX(卡牌消耗!$B$7:$F$7,AG235)/$Q$4,0),"")</f>
        <v/>
      </c>
      <c r="AP235" s="106"/>
      <c r="AQ235" s="15"/>
      <c r="AR235" s="104">
        <v>231</v>
      </c>
      <c r="AS235" s="14">
        <f t="shared" si="110"/>
        <v>12</v>
      </c>
      <c r="AT235" s="14">
        <f>INDEX(挂机升级突破!$CM$7:$CM$26,AX235)</f>
        <v>5</v>
      </c>
      <c r="AU235" s="14">
        <f>INDEX(挂机升级突破!$CN$7:$CN$26,AX235)</f>
        <v>2</v>
      </c>
      <c r="AV235" s="14">
        <f t="shared" si="111"/>
        <v>5</v>
      </c>
      <c r="AW235" s="14" t="str">
        <f t="shared" si="112"/>
        <v>夏侯惇</v>
      </c>
      <c r="AX235" s="14">
        <f t="shared" si="113"/>
        <v>11</v>
      </c>
      <c r="AY235" s="14" t="str">
        <f t="shared" si="114"/>
        <v>夏侯惇11突</v>
      </c>
      <c r="AZ235" s="14" t="str">
        <f>IF(AT235&gt;0,INDEX(挂机升级突破!$CV$5:$CZ$5,卡牌消耗!AT235),"")</f>
        <v>金币</v>
      </c>
      <c r="BA235" s="14">
        <f>IF(AT235&gt;0,ROUND(INDEX(挂机升级突破!$CZ$7:$CZ$26,卡牌消耗!AX235)*INDEX(卡牌消耗!$B$8:$F$8,AV235)/$Q$4/500,0)*500,"")</f>
        <v>29500</v>
      </c>
      <c r="BB235" s="14" t="str">
        <f>IF(AU235&gt;0,INDEX(挂机升级突破!$CV$5:$CZ$5,卡牌消耗!AU235),"")</f>
        <v>乌金</v>
      </c>
      <c r="BC235" s="14">
        <f>IF(AU235&gt;0,ROUND(INDEX(挂机升级突破!$CV$7:$CY$26,卡牌消耗!AX235,卡牌消耗!AU235)*INDEX($B$6:$F$6,AV235)/$Q$4/5,0)*5,"")</f>
        <v>180</v>
      </c>
      <c r="BD235" s="104"/>
      <c r="BE235" s="104"/>
      <c r="BF235" s="106"/>
      <c r="CD235" s="136">
        <v>231</v>
      </c>
      <c r="CE235" s="14">
        <f t="shared" si="115"/>
        <v>47</v>
      </c>
      <c r="CF235" s="14">
        <f t="shared" si="100"/>
        <v>3</v>
      </c>
      <c r="CG235" s="14">
        <f t="shared" si="101"/>
        <v>1102024</v>
      </c>
      <c r="CH235" s="136" t="s">
        <v>1127</v>
      </c>
      <c r="CI235" s="14">
        <f t="shared" si="102"/>
        <v>1</v>
      </c>
      <c r="CJ235" s="14" t="str">
        <f t="shared" si="103"/>
        <v>朱仙-1星</v>
      </c>
      <c r="CK235" s="136" t="s">
        <v>1133</v>
      </c>
      <c r="CL235" s="14">
        <f t="shared" si="116"/>
        <v>4000</v>
      </c>
      <c r="CM235" s="14" t="str">
        <f t="shared" si="104"/>
        <v>朱仙碎片</v>
      </c>
      <c r="CN235" s="14">
        <f t="shared" si="117"/>
        <v>40</v>
      </c>
    </row>
    <row r="236" spans="8:92" ht="16.5" x14ac:dyDescent="0.2">
      <c r="H236" s="15"/>
      <c r="I236" s="15"/>
      <c r="J236" s="15"/>
      <c r="K236" s="15"/>
      <c r="L236" s="15"/>
      <c r="M236" s="15"/>
      <c r="N236" s="15"/>
      <c r="O236" s="137"/>
      <c r="P236" s="141"/>
      <c r="Q236" s="141"/>
      <c r="R236" s="141"/>
      <c r="S236" s="141"/>
      <c r="T236" s="141"/>
      <c r="U236" s="141"/>
      <c r="V236" s="141"/>
      <c r="W236" s="141"/>
      <c r="X236" s="141"/>
      <c r="Y236" s="141"/>
      <c r="Z236" s="141"/>
      <c r="AA236" s="104">
        <v>232</v>
      </c>
      <c r="AB236" s="14">
        <f t="shared" si="105"/>
        <v>5</v>
      </c>
      <c r="AC236" s="14">
        <f>INDEX(挂机升级突破!$BU$6:$BU$57,卡牌消耗!AI236)</f>
        <v>11</v>
      </c>
      <c r="AD236" s="14">
        <f>INDEX(挂机升级突破!BV$6:BV$57,卡牌消耗!$AI236)</f>
        <v>4</v>
      </c>
      <c r="AE236" s="14">
        <f>INDEX(挂机升级突破!BW$6:BW$57,卡牌消耗!$AI236)</f>
        <v>0</v>
      </c>
      <c r="AF236" s="14" t="str">
        <f t="shared" si="106"/>
        <v>李轩辕</v>
      </c>
      <c r="AG236" s="14">
        <f t="shared" si="107"/>
        <v>3</v>
      </c>
      <c r="AH236" s="14" t="str">
        <f t="shared" si="108"/>
        <v>李轩辕魂火-24</v>
      </c>
      <c r="AI236" s="14">
        <f t="shared" si="109"/>
        <v>24</v>
      </c>
      <c r="AJ236" s="14" t="str">
        <f>INDEX(挂机升级突破!$BX$4:$CH$4,INDEX(挂机升级突破!$BU$6:$BU$57,卡牌消耗!AI236))</f>
        <v>金币</v>
      </c>
      <c r="AK236" s="14">
        <f>ROUND(INDEX(挂机升级突破!$BN$6:$BN$57,卡牌消耗!AI236)*INDEX(卡牌消耗!$B$8:$F$8,AG236)/$Q$4/50,0)*50</f>
        <v>5350</v>
      </c>
      <c r="AL236" s="14" t="str">
        <f>IF(AD236&gt;0,INDEX(挂机升级突破!$BX$4:$CH$4,AD236),"")</f>
        <v>橙色基础材料</v>
      </c>
      <c r="AM236" s="14">
        <f>ROUND(INDEX(挂机升级突破!$BX$6:$CH$57,卡牌消耗!AI236,AD236)*INDEX(卡牌消耗!$B$5:$F$5,AG236)/$Q$4/5,0)*5</f>
        <v>70</v>
      </c>
      <c r="AN236" s="14" t="str">
        <f>IF(AE236&gt;0,INDEX(挂机升级突破!$BX$4:$CH$4,AE236),"")</f>
        <v/>
      </c>
      <c r="AO236" s="14" t="str">
        <f>IF(AE236&gt;0,ROUND(INDEX(挂机升级突破!$BX$6:$CH$57,卡牌消耗!AI236,AE236)*INDEX(卡牌消耗!$B$7:$F$7,AG236)/$Q$4,0),"")</f>
        <v/>
      </c>
      <c r="AP236" s="106"/>
      <c r="AQ236" s="15"/>
      <c r="AR236" s="104">
        <v>232</v>
      </c>
      <c r="AS236" s="14">
        <f t="shared" si="110"/>
        <v>12</v>
      </c>
      <c r="AT236" s="14">
        <f>INDEX(挂机升级突破!$CM$7:$CM$26,AX236)</f>
        <v>5</v>
      </c>
      <c r="AU236" s="14">
        <f>INDEX(挂机升级突破!$CN$7:$CN$26,AX236)</f>
        <v>2</v>
      </c>
      <c r="AV236" s="14">
        <f t="shared" si="111"/>
        <v>5</v>
      </c>
      <c r="AW236" s="14" t="str">
        <f t="shared" si="112"/>
        <v>夏侯惇</v>
      </c>
      <c r="AX236" s="14">
        <f t="shared" si="113"/>
        <v>12</v>
      </c>
      <c r="AY236" s="14" t="str">
        <f t="shared" si="114"/>
        <v>夏侯惇12突</v>
      </c>
      <c r="AZ236" s="14" t="str">
        <f>IF(AT236&gt;0,INDEX(挂机升级突破!$CV$5:$CZ$5,卡牌消耗!AT236),"")</f>
        <v>金币</v>
      </c>
      <c r="BA236" s="14">
        <f>IF(AT236&gt;0,ROUND(INDEX(挂机升级突破!$CZ$7:$CZ$26,卡牌消耗!AX236)*INDEX(卡牌消耗!$B$8:$F$8,AV236)/$Q$4/500,0)*500,"")</f>
        <v>39000</v>
      </c>
      <c r="BB236" s="14" t="str">
        <f>IF(AU236&gt;0,INDEX(挂机升级突破!$CV$5:$CZ$5,卡牌消耗!AU236),"")</f>
        <v>乌金</v>
      </c>
      <c r="BC236" s="14">
        <f>IF(AU236&gt;0,ROUND(INDEX(挂机升级突破!$CV$7:$CY$26,卡牌消耗!AX236,卡牌消耗!AU236)*INDEX($B$6:$F$6,AV236)/$Q$4/5,0)*5,"")</f>
        <v>230</v>
      </c>
      <c r="BD236" s="104"/>
      <c r="BE236" s="104"/>
      <c r="BF236" s="106"/>
      <c r="CD236" s="136">
        <v>232</v>
      </c>
      <c r="CE236" s="14">
        <f t="shared" si="115"/>
        <v>47</v>
      </c>
      <c r="CF236" s="14">
        <f t="shared" si="100"/>
        <v>3</v>
      </c>
      <c r="CG236" s="14">
        <f t="shared" si="101"/>
        <v>1102024</v>
      </c>
      <c r="CH236" s="136" t="s">
        <v>1127</v>
      </c>
      <c r="CI236" s="14">
        <f t="shared" si="102"/>
        <v>2</v>
      </c>
      <c r="CJ236" s="14" t="str">
        <f t="shared" si="103"/>
        <v>朱仙-2星</v>
      </c>
      <c r="CK236" s="136" t="s">
        <v>1133</v>
      </c>
      <c r="CL236" s="14">
        <f t="shared" si="116"/>
        <v>5000</v>
      </c>
      <c r="CM236" s="14" t="str">
        <f t="shared" si="104"/>
        <v>朱仙碎片</v>
      </c>
      <c r="CN236" s="14">
        <f t="shared" si="117"/>
        <v>80</v>
      </c>
    </row>
    <row r="237" spans="8:92" ht="16.5" x14ac:dyDescent="0.2">
      <c r="H237" s="15"/>
      <c r="I237" s="15"/>
      <c r="J237" s="15"/>
      <c r="K237" s="15"/>
      <c r="L237" s="15"/>
      <c r="M237" s="15"/>
      <c r="N237" s="15"/>
      <c r="O237" s="137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  <c r="AA237" s="104">
        <v>233</v>
      </c>
      <c r="AB237" s="14">
        <f t="shared" si="105"/>
        <v>5</v>
      </c>
      <c r="AC237" s="14">
        <f>INDEX(挂机升级突破!$BU$6:$BU$57,卡牌消耗!AI237)</f>
        <v>11</v>
      </c>
      <c r="AD237" s="14">
        <f>INDEX(挂机升级突破!BV$6:BV$57,卡牌消耗!$AI237)</f>
        <v>4</v>
      </c>
      <c r="AE237" s="14">
        <f>INDEX(挂机升级突破!BW$6:BW$57,卡牌消耗!$AI237)</f>
        <v>0</v>
      </c>
      <c r="AF237" s="14" t="str">
        <f t="shared" si="106"/>
        <v>李轩辕</v>
      </c>
      <c r="AG237" s="14">
        <f t="shared" si="107"/>
        <v>3</v>
      </c>
      <c r="AH237" s="14" t="str">
        <f t="shared" si="108"/>
        <v>李轩辕魂火-25</v>
      </c>
      <c r="AI237" s="14">
        <f t="shared" si="109"/>
        <v>25</v>
      </c>
      <c r="AJ237" s="14" t="str">
        <f>INDEX(挂机升级突破!$BX$4:$CH$4,INDEX(挂机升级突破!$BU$6:$BU$57,卡牌消耗!AI237))</f>
        <v>金币</v>
      </c>
      <c r="AK237" s="14">
        <f>ROUND(INDEX(挂机升级突破!$BN$6:$BN$57,卡牌消耗!AI237)*INDEX(卡牌消耗!$B$8:$F$8,AG237)/$Q$4/50,0)*50</f>
        <v>5850</v>
      </c>
      <c r="AL237" s="14" t="str">
        <f>IF(AD237&gt;0,INDEX(挂机升级突破!$BX$4:$CH$4,AD237),"")</f>
        <v>橙色基础材料</v>
      </c>
      <c r="AM237" s="14">
        <f>ROUND(INDEX(挂机升级突破!$BX$6:$CH$57,卡牌消耗!AI237,AD237)*INDEX(卡牌消耗!$B$5:$F$5,AG237)/$Q$4/5,0)*5</f>
        <v>70</v>
      </c>
      <c r="AN237" s="14" t="str">
        <f>IF(AE237&gt;0,INDEX(挂机升级突破!$BX$4:$CH$4,AE237),"")</f>
        <v/>
      </c>
      <c r="AO237" s="14" t="str">
        <f>IF(AE237&gt;0,ROUND(INDEX(挂机升级突破!$BX$6:$CH$57,卡牌消耗!AI237,AE237)*INDEX(卡牌消耗!$B$7:$F$7,AG237)/$Q$4,0),"")</f>
        <v/>
      </c>
      <c r="AP237" s="106"/>
      <c r="AQ237" s="15"/>
      <c r="AR237" s="104">
        <v>233</v>
      </c>
      <c r="AS237" s="14">
        <f t="shared" si="110"/>
        <v>12</v>
      </c>
      <c r="AT237" s="14">
        <f>INDEX(挂机升级突破!$CM$7:$CM$26,AX237)</f>
        <v>5</v>
      </c>
      <c r="AU237" s="14">
        <f>INDEX(挂机升级突破!$CN$7:$CN$26,AX237)</f>
        <v>3</v>
      </c>
      <c r="AV237" s="14">
        <f t="shared" si="111"/>
        <v>5</v>
      </c>
      <c r="AW237" s="14" t="str">
        <f t="shared" si="112"/>
        <v>夏侯惇</v>
      </c>
      <c r="AX237" s="14">
        <f t="shared" si="113"/>
        <v>13</v>
      </c>
      <c r="AY237" s="14" t="str">
        <f t="shared" si="114"/>
        <v>夏侯惇13突</v>
      </c>
      <c r="AZ237" s="14" t="str">
        <f>IF(AT237&gt;0,INDEX(挂机升级突破!$CV$5:$CZ$5,卡牌消耗!AT237),"")</f>
        <v>金币</v>
      </c>
      <c r="BA237" s="14">
        <f>IF(AT237&gt;0,ROUND(INDEX(挂机升级突破!$CZ$7:$CZ$26,卡牌消耗!AX237)*INDEX(卡牌消耗!$B$8:$F$8,AV237)/$Q$4/500,0)*500,"")</f>
        <v>52000</v>
      </c>
      <c r="BB237" s="14" t="str">
        <f>IF(AU237&gt;0,INDEX(挂机升级突破!$CV$5:$CZ$5,卡牌消耗!AU237),"")</f>
        <v>银母</v>
      </c>
      <c r="BC237" s="14">
        <f>IF(AU237&gt;0,ROUND(INDEX(挂机升级突破!$CV$7:$CY$26,卡牌消耗!AX237,卡牌消耗!AU237)*INDEX($B$6:$F$6,AV237)/$Q$4/5,0)*5,"")</f>
        <v>45</v>
      </c>
      <c r="BD237" s="104"/>
      <c r="BE237" s="104"/>
      <c r="BF237" s="106"/>
      <c r="CD237" s="136">
        <v>233</v>
      </c>
      <c r="CE237" s="14">
        <f t="shared" si="115"/>
        <v>47</v>
      </c>
      <c r="CF237" s="14">
        <f t="shared" si="100"/>
        <v>3</v>
      </c>
      <c r="CG237" s="14">
        <f t="shared" si="101"/>
        <v>1102024</v>
      </c>
      <c r="CH237" s="136" t="s">
        <v>1127</v>
      </c>
      <c r="CI237" s="14">
        <f t="shared" si="102"/>
        <v>3</v>
      </c>
      <c r="CJ237" s="14" t="str">
        <f t="shared" si="103"/>
        <v>朱仙-3星</v>
      </c>
      <c r="CK237" s="136" t="s">
        <v>1133</v>
      </c>
      <c r="CL237" s="14">
        <f t="shared" si="116"/>
        <v>10000</v>
      </c>
      <c r="CM237" s="14" t="str">
        <f t="shared" si="104"/>
        <v>朱仙碎片</v>
      </c>
      <c r="CN237" s="14">
        <f t="shared" si="117"/>
        <v>120</v>
      </c>
    </row>
    <row r="238" spans="8:92" ht="16.5" x14ac:dyDescent="0.2">
      <c r="H238" s="15"/>
      <c r="I238" s="15"/>
      <c r="J238" s="15"/>
      <c r="K238" s="15"/>
      <c r="L238" s="15"/>
      <c r="M238" s="15"/>
      <c r="N238" s="15"/>
      <c r="O238" s="137"/>
      <c r="P238" s="141"/>
      <c r="Q238" s="141"/>
      <c r="R238" s="141"/>
      <c r="S238" s="141"/>
      <c r="T238" s="141"/>
      <c r="U238" s="141"/>
      <c r="V238" s="141"/>
      <c r="W238" s="141"/>
      <c r="X238" s="141"/>
      <c r="Y238" s="141"/>
      <c r="Z238" s="141"/>
      <c r="AA238" s="104">
        <v>234</v>
      </c>
      <c r="AB238" s="14">
        <f t="shared" si="105"/>
        <v>5</v>
      </c>
      <c r="AC238" s="14">
        <f>INDEX(挂机升级突破!$BU$6:$BU$57,卡牌消耗!AI238)</f>
        <v>11</v>
      </c>
      <c r="AD238" s="14">
        <f>INDEX(挂机升级突破!BV$6:BV$57,卡牌消耗!$AI238)</f>
        <v>4</v>
      </c>
      <c r="AE238" s="14">
        <f>INDEX(挂机升级突破!BW$6:BW$57,卡牌消耗!$AI238)</f>
        <v>0</v>
      </c>
      <c r="AF238" s="14" t="str">
        <f t="shared" si="106"/>
        <v>李轩辕</v>
      </c>
      <c r="AG238" s="14">
        <f t="shared" si="107"/>
        <v>3</v>
      </c>
      <c r="AH238" s="14" t="str">
        <f t="shared" si="108"/>
        <v>李轩辕魂火-26</v>
      </c>
      <c r="AI238" s="14">
        <f t="shared" si="109"/>
        <v>26</v>
      </c>
      <c r="AJ238" s="14" t="str">
        <f>INDEX(挂机升级突破!$BX$4:$CH$4,INDEX(挂机升级突破!$BU$6:$BU$57,卡牌消耗!AI238))</f>
        <v>金币</v>
      </c>
      <c r="AK238" s="14">
        <f>ROUND(INDEX(挂机升级突破!$BN$6:$BN$57,卡牌消耗!AI238)*INDEX(卡牌消耗!$B$8:$F$8,AG238)/$Q$4/50,0)*50</f>
        <v>6850</v>
      </c>
      <c r="AL238" s="14" t="str">
        <f>IF(AD238&gt;0,INDEX(挂机升级突破!$BX$4:$CH$4,AD238),"")</f>
        <v>橙色基础材料</v>
      </c>
      <c r="AM238" s="14">
        <f>ROUND(INDEX(挂机升级突破!$BX$6:$CH$57,卡牌消耗!AI238,AD238)*INDEX(卡牌消耗!$B$5:$F$5,AG238)/$Q$4/5,0)*5</f>
        <v>85</v>
      </c>
      <c r="AN238" s="14" t="str">
        <f>IF(AE238&gt;0,INDEX(挂机升级突破!$BX$4:$CH$4,AE238),"")</f>
        <v/>
      </c>
      <c r="AO238" s="14" t="str">
        <f>IF(AE238&gt;0,ROUND(INDEX(挂机升级突破!$BX$6:$CH$57,卡牌消耗!AI238,AE238)*INDEX(卡牌消耗!$B$7:$F$7,AG238)/$Q$4,0),"")</f>
        <v/>
      </c>
      <c r="AP238" s="106"/>
      <c r="AQ238" s="15"/>
      <c r="AR238" s="104">
        <v>234</v>
      </c>
      <c r="AS238" s="14">
        <f t="shared" si="110"/>
        <v>12</v>
      </c>
      <c r="AT238" s="14">
        <f>INDEX(挂机升级突破!$CM$7:$CM$26,AX238)</f>
        <v>5</v>
      </c>
      <c r="AU238" s="14">
        <f>INDEX(挂机升级突破!$CN$7:$CN$26,AX238)</f>
        <v>3</v>
      </c>
      <c r="AV238" s="14">
        <f t="shared" si="111"/>
        <v>5</v>
      </c>
      <c r="AW238" s="14" t="str">
        <f t="shared" si="112"/>
        <v>夏侯惇</v>
      </c>
      <c r="AX238" s="14">
        <f t="shared" si="113"/>
        <v>14</v>
      </c>
      <c r="AY238" s="14" t="str">
        <f t="shared" si="114"/>
        <v>夏侯惇14突</v>
      </c>
      <c r="AZ238" s="14" t="str">
        <f>IF(AT238&gt;0,INDEX(挂机升级突破!$CV$5:$CZ$5,卡牌消耗!AT238),"")</f>
        <v>金币</v>
      </c>
      <c r="BA238" s="14">
        <f>IF(AT238&gt;0,ROUND(INDEX(挂机升级突破!$CZ$7:$CZ$26,卡牌消耗!AX238)*INDEX(卡牌消耗!$B$8:$F$8,AV238)/$Q$4/500,0)*500,"")</f>
        <v>52000</v>
      </c>
      <c r="BB238" s="14" t="str">
        <f>IF(AU238&gt;0,INDEX(挂机升级突破!$CV$5:$CZ$5,卡牌消耗!AU238),"")</f>
        <v>银母</v>
      </c>
      <c r="BC238" s="14">
        <f>IF(AU238&gt;0,ROUND(INDEX(挂机升级突破!$CV$7:$CY$26,卡牌消耗!AX238,卡牌消耗!AU238)*INDEX($B$6:$F$6,AV238)/$Q$4/5,0)*5,"")</f>
        <v>60</v>
      </c>
      <c r="BD238" s="104"/>
      <c r="BE238" s="104"/>
      <c r="BF238" s="106"/>
      <c r="CD238" s="136">
        <v>234</v>
      </c>
      <c r="CE238" s="14">
        <f t="shared" si="115"/>
        <v>47</v>
      </c>
      <c r="CF238" s="14">
        <f t="shared" si="100"/>
        <v>3</v>
      </c>
      <c r="CG238" s="14">
        <f t="shared" si="101"/>
        <v>1102024</v>
      </c>
      <c r="CH238" s="136" t="s">
        <v>1127</v>
      </c>
      <c r="CI238" s="14">
        <f t="shared" si="102"/>
        <v>4</v>
      </c>
      <c r="CJ238" s="14" t="str">
        <f t="shared" si="103"/>
        <v>朱仙-4星</v>
      </c>
      <c r="CK238" s="136" t="s">
        <v>1133</v>
      </c>
      <c r="CL238" s="14">
        <f t="shared" si="116"/>
        <v>20000</v>
      </c>
      <c r="CM238" s="14" t="str">
        <f t="shared" si="104"/>
        <v>朱仙碎片</v>
      </c>
      <c r="CN238" s="14">
        <f t="shared" si="117"/>
        <v>160</v>
      </c>
    </row>
    <row r="239" spans="8:92" ht="16.5" x14ac:dyDescent="0.2">
      <c r="H239" s="15"/>
      <c r="I239" s="15"/>
      <c r="J239" s="15"/>
      <c r="K239" s="15"/>
      <c r="L239" s="15"/>
      <c r="M239" s="15"/>
      <c r="N239" s="15"/>
      <c r="O239" s="137"/>
      <c r="P239" s="141"/>
      <c r="Q239" s="141"/>
      <c r="R239" s="141"/>
      <c r="S239" s="141"/>
      <c r="T239" s="141"/>
      <c r="U239" s="141"/>
      <c r="V239" s="141"/>
      <c r="W239" s="141"/>
      <c r="X239" s="141"/>
      <c r="Y239" s="141"/>
      <c r="Z239" s="141"/>
      <c r="AA239" s="104">
        <v>235</v>
      </c>
      <c r="AB239" s="14">
        <f t="shared" si="105"/>
        <v>5</v>
      </c>
      <c r="AC239" s="14">
        <f>INDEX(挂机升级突破!$BU$6:$BU$57,卡牌消耗!AI239)</f>
        <v>11</v>
      </c>
      <c r="AD239" s="14">
        <f>INDEX(挂机升级突破!BV$6:BV$57,卡牌消耗!$AI239)</f>
        <v>4</v>
      </c>
      <c r="AE239" s="14">
        <f>INDEX(挂机升级突破!BW$6:BW$57,卡牌消耗!$AI239)</f>
        <v>0</v>
      </c>
      <c r="AF239" s="14" t="str">
        <f t="shared" si="106"/>
        <v>李轩辕</v>
      </c>
      <c r="AG239" s="14">
        <f t="shared" si="107"/>
        <v>3</v>
      </c>
      <c r="AH239" s="14" t="str">
        <f t="shared" si="108"/>
        <v>李轩辕魂火-27</v>
      </c>
      <c r="AI239" s="14">
        <f t="shared" si="109"/>
        <v>27</v>
      </c>
      <c r="AJ239" s="14" t="str">
        <f>INDEX(挂机升级突破!$BX$4:$CH$4,INDEX(挂机升级突破!$BU$6:$BU$57,卡牌消耗!AI239))</f>
        <v>金币</v>
      </c>
      <c r="AK239" s="14">
        <f>ROUND(INDEX(挂机升级突破!$BN$6:$BN$57,卡牌消耗!AI239)*INDEX(卡牌消耗!$B$8:$F$8,AG239)/$Q$4/50,0)*50</f>
        <v>6850</v>
      </c>
      <c r="AL239" s="14" t="str">
        <f>IF(AD239&gt;0,INDEX(挂机升级突破!$BX$4:$CH$4,AD239),"")</f>
        <v>橙色基础材料</v>
      </c>
      <c r="AM239" s="14">
        <f>ROUND(INDEX(挂机升级突破!$BX$6:$CH$57,卡牌消耗!AI239,AD239)*INDEX(卡牌消耗!$B$5:$F$5,AG239)/$Q$4/5,0)*5</f>
        <v>85</v>
      </c>
      <c r="AN239" s="14" t="str">
        <f>IF(AE239&gt;0,INDEX(挂机升级突破!$BX$4:$CH$4,AE239),"")</f>
        <v/>
      </c>
      <c r="AO239" s="14" t="str">
        <f>IF(AE239&gt;0,ROUND(INDEX(挂机升级突破!$BX$6:$CH$57,卡牌消耗!AI239,AE239)*INDEX(卡牌消耗!$B$7:$F$7,AG239)/$Q$4,0),"")</f>
        <v/>
      </c>
      <c r="AP239" s="106"/>
      <c r="AQ239" s="15"/>
      <c r="AR239" s="104">
        <v>235</v>
      </c>
      <c r="AS239" s="14">
        <f t="shared" si="110"/>
        <v>12</v>
      </c>
      <c r="AT239" s="14">
        <f>INDEX(挂机升级突破!$CM$7:$CM$26,AX239)</f>
        <v>5</v>
      </c>
      <c r="AU239" s="14">
        <f>INDEX(挂机升级突破!$CN$7:$CN$26,AX239)</f>
        <v>3</v>
      </c>
      <c r="AV239" s="14">
        <f t="shared" si="111"/>
        <v>5</v>
      </c>
      <c r="AW239" s="14" t="str">
        <f t="shared" si="112"/>
        <v>夏侯惇</v>
      </c>
      <c r="AX239" s="14">
        <f t="shared" si="113"/>
        <v>15</v>
      </c>
      <c r="AY239" s="14" t="str">
        <f t="shared" si="114"/>
        <v>夏侯惇15突</v>
      </c>
      <c r="AZ239" s="14" t="str">
        <f>IF(AT239&gt;0,INDEX(挂机升级突破!$CV$5:$CZ$5,卡牌消耗!AT239),"")</f>
        <v>金币</v>
      </c>
      <c r="BA239" s="14">
        <f>IF(AT239&gt;0,ROUND(INDEX(挂机升级突破!$CZ$7:$CZ$26,卡牌消耗!AX239)*INDEX(卡牌消耗!$B$8:$F$8,AV239)/$Q$4/500,0)*500,"")</f>
        <v>69000</v>
      </c>
      <c r="BB239" s="14" t="str">
        <f>IF(AU239&gt;0,INDEX(挂机升级突破!$CV$5:$CZ$5,卡牌消耗!AU239),"")</f>
        <v>银母</v>
      </c>
      <c r="BC239" s="14">
        <f>IF(AU239&gt;0,ROUND(INDEX(挂机升级突破!$CV$7:$CY$26,卡牌消耗!AX239,卡牌消耗!AU239)*INDEX($B$6:$F$6,AV239)/$Q$4/5,0)*5,"")</f>
        <v>80</v>
      </c>
      <c r="BD239" s="104"/>
      <c r="BE239" s="104"/>
      <c r="BF239" s="106"/>
      <c r="CD239" s="136">
        <v>235</v>
      </c>
      <c r="CE239" s="14">
        <f t="shared" si="115"/>
        <v>47</v>
      </c>
      <c r="CF239" s="14">
        <f t="shared" si="100"/>
        <v>3</v>
      </c>
      <c r="CG239" s="14">
        <f t="shared" si="101"/>
        <v>1102024</v>
      </c>
      <c r="CH239" s="136" t="s">
        <v>1127</v>
      </c>
      <c r="CI239" s="14">
        <f t="shared" si="102"/>
        <v>5</v>
      </c>
      <c r="CJ239" s="14" t="str">
        <f t="shared" si="103"/>
        <v>朱仙-5星</v>
      </c>
      <c r="CK239" s="136" t="s">
        <v>1133</v>
      </c>
      <c r="CL239" s="14">
        <f t="shared" si="116"/>
        <v>40000</v>
      </c>
      <c r="CM239" s="14" t="str">
        <f t="shared" si="104"/>
        <v>朱仙碎片</v>
      </c>
      <c r="CN239" s="14">
        <f t="shared" si="117"/>
        <v>240</v>
      </c>
    </row>
    <row r="240" spans="8:92" ht="16.5" x14ac:dyDescent="0.2">
      <c r="H240" s="15"/>
      <c r="I240" s="15"/>
      <c r="J240" s="15"/>
      <c r="K240" s="15"/>
      <c r="L240" s="15"/>
      <c r="M240" s="15"/>
      <c r="N240" s="15"/>
      <c r="O240" s="137"/>
      <c r="P240" s="141"/>
      <c r="Q240" s="141"/>
      <c r="R240" s="141"/>
      <c r="S240" s="141"/>
      <c r="T240" s="141"/>
      <c r="U240" s="141"/>
      <c r="V240" s="141"/>
      <c r="W240" s="141"/>
      <c r="X240" s="141"/>
      <c r="Y240" s="141"/>
      <c r="Z240" s="141"/>
      <c r="AA240" s="104">
        <v>236</v>
      </c>
      <c r="AB240" s="14">
        <f t="shared" si="105"/>
        <v>5</v>
      </c>
      <c r="AC240" s="14">
        <f>INDEX(挂机升级突破!$BU$6:$BU$57,卡牌消耗!AI240)</f>
        <v>11</v>
      </c>
      <c r="AD240" s="14">
        <f>INDEX(挂机升级突破!BV$6:BV$57,卡牌消耗!$AI240)</f>
        <v>4</v>
      </c>
      <c r="AE240" s="14">
        <f>INDEX(挂机升级突破!BW$6:BW$57,卡牌消耗!$AI240)</f>
        <v>0</v>
      </c>
      <c r="AF240" s="14" t="str">
        <f t="shared" si="106"/>
        <v>李轩辕</v>
      </c>
      <c r="AG240" s="14">
        <f t="shared" si="107"/>
        <v>3</v>
      </c>
      <c r="AH240" s="14" t="str">
        <f t="shared" si="108"/>
        <v>李轩辕魂火-28</v>
      </c>
      <c r="AI240" s="14">
        <f t="shared" si="109"/>
        <v>28</v>
      </c>
      <c r="AJ240" s="14" t="str">
        <f>INDEX(挂机升级突破!$BX$4:$CH$4,INDEX(挂机升级突破!$BU$6:$BU$57,卡牌消耗!AI240))</f>
        <v>金币</v>
      </c>
      <c r="AK240" s="14">
        <f>ROUND(INDEX(挂机升级突破!$BN$6:$BN$57,卡牌消耗!AI240)*INDEX(卡牌消耗!$B$8:$F$8,AG240)/$Q$4/50,0)*50</f>
        <v>6850</v>
      </c>
      <c r="AL240" s="14" t="str">
        <f>IF(AD240&gt;0,INDEX(挂机升级突破!$BX$4:$CH$4,AD240),"")</f>
        <v>橙色基础材料</v>
      </c>
      <c r="AM240" s="14">
        <f>ROUND(INDEX(挂机升级突破!$BX$6:$CH$57,卡牌消耗!AI240,AD240)*INDEX(卡牌消耗!$B$5:$F$5,AG240)/$Q$4/5,0)*5</f>
        <v>85</v>
      </c>
      <c r="AN240" s="14" t="str">
        <f>IF(AE240&gt;0,INDEX(挂机升级突破!$BX$4:$CH$4,AE240),"")</f>
        <v/>
      </c>
      <c r="AO240" s="14" t="str">
        <f>IF(AE240&gt;0,ROUND(INDEX(挂机升级突破!$BX$6:$CH$57,卡牌消耗!AI240,AE240)*INDEX(卡牌消耗!$B$7:$F$7,AG240)/$Q$4,0),"")</f>
        <v/>
      </c>
      <c r="AP240" s="106"/>
      <c r="AQ240" s="15"/>
      <c r="AR240" s="104">
        <v>236</v>
      </c>
      <c r="AS240" s="14">
        <f t="shared" si="110"/>
        <v>12</v>
      </c>
      <c r="AT240" s="14">
        <f>INDEX(挂机升级突破!$CM$7:$CM$26,AX240)</f>
        <v>5</v>
      </c>
      <c r="AU240" s="14">
        <f>INDEX(挂机升级突破!$CN$7:$CN$26,AX240)</f>
        <v>3</v>
      </c>
      <c r="AV240" s="14">
        <f t="shared" si="111"/>
        <v>5</v>
      </c>
      <c r="AW240" s="14" t="str">
        <f t="shared" si="112"/>
        <v>夏侯惇</v>
      </c>
      <c r="AX240" s="14">
        <f t="shared" si="113"/>
        <v>16</v>
      </c>
      <c r="AY240" s="14" t="str">
        <f t="shared" si="114"/>
        <v>夏侯惇16突</v>
      </c>
      <c r="AZ240" s="14" t="str">
        <f>IF(AT240&gt;0,INDEX(挂机升级突破!$CV$5:$CZ$5,卡牌消耗!AT240),"")</f>
        <v>金币</v>
      </c>
      <c r="BA240" s="14">
        <f>IF(AT240&gt;0,ROUND(INDEX(挂机升级突破!$CZ$7:$CZ$26,卡牌消耗!AX240)*INDEX(卡牌消耗!$B$8:$F$8,AV240)/$Q$4/500,0)*500,"")</f>
        <v>125500</v>
      </c>
      <c r="BB240" s="14" t="str">
        <f>IF(AU240&gt;0,INDEX(挂机升级突破!$CV$5:$CZ$5,卡牌消耗!AU240),"")</f>
        <v>银母</v>
      </c>
      <c r="BC240" s="14">
        <f>IF(AU240&gt;0,ROUND(INDEX(挂机升级突破!$CV$7:$CY$26,卡牌消耗!AX240,卡牌消耗!AU240)*INDEX($B$6:$F$6,AV240)/$Q$4/5,0)*5,"")</f>
        <v>105</v>
      </c>
      <c r="BD240" s="104"/>
      <c r="BE240" s="104"/>
      <c r="BF240" s="106"/>
      <c r="CD240" s="136">
        <v>236</v>
      </c>
      <c r="CE240" s="14">
        <f t="shared" si="115"/>
        <v>48</v>
      </c>
      <c r="CF240" s="14">
        <f t="shared" si="100"/>
        <v>3</v>
      </c>
      <c r="CG240" s="14">
        <f t="shared" si="101"/>
        <v>1102026</v>
      </c>
      <c r="CH240" s="136" t="s">
        <v>1127</v>
      </c>
      <c r="CI240" s="14">
        <f t="shared" si="102"/>
        <v>1</v>
      </c>
      <c r="CJ240" s="14" t="str">
        <f t="shared" si="103"/>
        <v>雷震子-1星</v>
      </c>
      <c r="CK240" s="136" t="s">
        <v>1133</v>
      </c>
      <c r="CL240" s="14">
        <f t="shared" si="116"/>
        <v>4000</v>
      </c>
      <c r="CM240" s="14" t="str">
        <f t="shared" si="104"/>
        <v>雷震子碎片</v>
      </c>
      <c r="CN240" s="14">
        <f t="shared" si="117"/>
        <v>40</v>
      </c>
    </row>
    <row r="241" spans="8:92" ht="16.5" x14ac:dyDescent="0.2">
      <c r="H241" s="15"/>
      <c r="I241" s="15"/>
      <c r="J241" s="15"/>
      <c r="K241" s="15"/>
      <c r="L241" s="15"/>
      <c r="M241" s="15"/>
      <c r="N241" s="15"/>
      <c r="O241" s="137"/>
      <c r="P241" s="141"/>
      <c r="Q241" s="141"/>
      <c r="R241" s="141"/>
      <c r="S241" s="141"/>
      <c r="T241" s="141"/>
      <c r="U241" s="141"/>
      <c r="V241" s="141"/>
      <c r="W241" s="141"/>
      <c r="X241" s="141"/>
      <c r="Y241" s="141"/>
      <c r="Z241" s="141"/>
      <c r="AA241" s="104">
        <v>237</v>
      </c>
      <c r="AB241" s="14">
        <f t="shared" si="105"/>
        <v>5</v>
      </c>
      <c r="AC241" s="14">
        <f>INDEX(挂机升级突破!$BU$6:$BU$57,卡牌消耗!AI241)</f>
        <v>11</v>
      </c>
      <c r="AD241" s="14">
        <f>INDEX(挂机升级突破!BV$6:BV$57,卡牌消耗!$AI241)</f>
        <v>4</v>
      </c>
      <c r="AE241" s="14">
        <f>INDEX(挂机升级突破!BW$6:BW$57,卡牌消耗!$AI241)</f>
        <v>0</v>
      </c>
      <c r="AF241" s="14" t="str">
        <f t="shared" si="106"/>
        <v>李轩辕</v>
      </c>
      <c r="AG241" s="14">
        <f t="shared" si="107"/>
        <v>3</v>
      </c>
      <c r="AH241" s="14" t="str">
        <f t="shared" si="108"/>
        <v>李轩辕魂火-29</v>
      </c>
      <c r="AI241" s="14">
        <f t="shared" si="109"/>
        <v>29</v>
      </c>
      <c r="AJ241" s="14" t="str">
        <f>INDEX(挂机升级突破!$BX$4:$CH$4,INDEX(挂机升级突破!$BU$6:$BU$57,卡牌消耗!AI241))</f>
        <v>金币</v>
      </c>
      <c r="AK241" s="14">
        <f>ROUND(INDEX(挂机升级突破!$BN$6:$BN$57,卡牌消耗!AI241)*INDEX(卡牌消耗!$B$8:$F$8,AG241)/$Q$4/50,0)*50</f>
        <v>6900</v>
      </c>
      <c r="AL241" s="14" t="str">
        <f>IF(AD241&gt;0,INDEX(挂机升级突破!$BX$4:$CH$4,AD241),"")</f>
        <v>橙色基础材料</v>
      </c>
      <c r="AM241" s="14">
        <f>ROUND(INDEX(挂机升级突破!$BX$6:$CH$57,卡牌消耗!AI241,AD241)*INDEX(卡牌消耗!$B$5:$F$5,AG241)/$Q$4/5,0)*5</f>
        <v>100</v>
      </c>
      <c r="AN241" s="14" t="str">
        <f>IF(AE241&gt;0,INDEX(挂机升级突破!$BX$4:$CH$4,AE241),"")</f>
        <v/>
      </c>
      <c r="AO241" s="14" t="str">
        <f>IF(AE241&gt;0,ROUND(INDEX(挂机升级突破!$BX$6:$CH$57,卡牌消耗!AI241,AE241)*INDEX(卡牌消耗!$B$7:$F$7,AG241)/$Q$4,0),"")</f>
        <v/>
      </c>
      <c r="AP241" s="106"/>
      <c r="AQ241" s="15"/>
      <c r="AR241" s="104">
        <v>237</v>
      </c>
      <c r="AS241" s="14">
        <f t="shared" si="110"/>
        <v>12</v>
      </c>
      <c r="AT241" s="14">
        <f>INDEX(挂机升级突破!$CM$7:$CM$26,AX241)</f>
        <v>5</v>
      </c>
      <c r="AU241" s="14">
        <f>INDEX(挂机升级突破!$CN$7:$CN$26,AX241)</f>
        <v>4</v>
      </c>
      <c r="AV241" s="14">
        <f t="shared" si="111"/>
        <v>5</v>
      </c>
      <c r="AW241" s="14" t="str">
        <f t="shared" si="112"/>
        <v>夏侯惇</v>
      </c>
      <c r="AX241" s="14">
        <f t="shared" si="113"/>
        <v>17</v>
      </c>
      <c r="AY241" s="14" t="str">
        <f t="shared" si="114"/>
        <v>夏侯惇17突</v>
      </c>
      <c r="AZ241" s="14" t="str">
        <f>IF(AT241&gt;0,INDEX(挂机升级突破!$CV$5:$CZ$5,卡牌消耗!AT241),"")</f>
        <v>金币</v>
      </c>
      <c r="BA241" s="14">
        <f>IF(AT241&gt;0,ROUND(INDEX(挂机升级突破!$CZ$7:$CZ$26,卡牌消耗!AX241)*INDEX(卡牌消耗!$B$8:$F$8,AV241)/$Q$4/500,0)*500,"")</f>
        <v>125500</v>
      </c>
      <c r="BB241" s="14" t="str">
        <f>IF(AU241&gt;0,INDEX(挂机升级突破!$CV$5:$CZ$5,卡牌消耗!AU241),"")</f>
        <v>铀金</v>
      </c>
      <c r="BC241" s="14">
        <f>IF(AU241&gt;0,ROUND(INDEX(挂机升级突破!$CV$7:$CY$26,卡牌消耗!AX241,卡牌消耗!AU241)*INDEX($B$6:$F$6,AV241)/$Q$4/5,0)*5,"")</f>
        <v>35</v>
      </c>
      <c r="BD241" s="104"/>
      <c r="BE241" s="104"/>
      <c r="BF241" s="106"/>
      <c r="CD241" s="136">
        <v>237</v>
      </c>
      <c r="CE241" s="14">
        <f t="shared" si="115"/>
        <v>48</v>
      </c>
      <c r="CF241" s="14">
        <f t="shared" si="100"/>
        <v>3</v>
      </c>
      <c r="CG241" s="14">
        <f t="shared" si="101"/>
        <v>1102026</v>
      </c>
      <c r="CH241" s="136" t="s">
        <v>1127</v>
      </c>
      <c r="CI241" s="14">
        <f t="shared" si="102"/>
        <v>2</v>
      </c>
      <c r="CJ241" s="14" t="str">
        <f t="shared" si="103"/>
        <v>雷震子-2星</v>
      </c>
      <c r="CK241" s="136" t="s">
        <v>1133</v>
      </c>
      <c r="CL241" s="14">
        <f t="shared" si="116"/>
        <v>5000</v>
      </c>
      <c r="CM241" s="14" t="str">
        <f t="shared" si="104"/>
        <v>雷震子碎片</v>
      </c>
      <c r="CN241" s="14">
        <f t="shared" si="117"/>
        <v>80</v>
      </c>
    </row>
    <row r="242" spans="8:92" ht="16.5" x14ac:dyDescent="0.2">
      <c r="H242" s="15"/>
      <c r="I242" s="15"/>
      <c r="J242" s="15"/>
      <c r="K242" s="15"/>
      <c r="L242" s="15"/>
      <c r="M242" s="15"/>
      <c r="N242" s="15"/>
      <c r="O242" s="137"/>
      <c r="P242" s="141"/>
      <c r="Q242" s="141"/>
      <c r="R242" s="141"/>
      <c r="S242" s="141"/>
      <c r="T242" s="141"/>
      <c r="U242" s="141"/>
      <c r="V242" s="141"/>
      <c r="W242" s="141"/>
      <c r="X242" s="141"/>
      <c r="Y242" s="141"/>
      <c r="Z242" s="141"/>
      <c r="AA242" s="104">
        <v>238</v>
      </c>
      <c r="AB242" s="14">
        <f t="shared" si="105"/>
        <v>5</v>
      </c>
      <c r="AC242" s="14">
        <f>INDEX(挂机升级突破!$BU$6:$BU$57,卡牌消耗!AI242)</f>
        <v>11</v>
      </c>
      <c r="AD242" s="14">
        <f>INDEX(挂机升级突破!BV$6:BV$57,卡牌消耗!$AI242)</f>
        <v>4</v>
      </c>
      <c r="AE242" s="14">
        <f>INDEX(挂机升级突破!BW$6:BW$57,卡牌消耗!$AI242)</f>
        <v>0</v>
      </c>
      <c r="AF242" s="14" t="str">
        <f t="shared" si="106"/>
        <v>李轩辕</v>
      </c>
      <c r="AG242" s="14">
        <f t="shared" si="107"/>
        <v>3</v>
      </c>
      <c r="AH242" s="14" t="str">
        <f t="shared" si="108"/>
        <v>李轩辕魂火-30</v>
      </c>
      <c r="AI242" s="14">
        <f t="shared" si="109"/>
        <v>30</v>
      </c>
      <c r="AJ242" s="14" t="str">
        <f>INDEX(挂机升级突破!$BX$4:$CH$4,INDEX(挂机升级突破!$BU$6:$BU$57,卡牌消耗!AI242))</f>
        <v>金币</v>
      </c>
      <c r="AK242" s="14">
        <f>ROUND(INDEX(挂机升级突破!$BN$6:$BN$57,卡牌消耗!AI242)*INDEX(卡牌消耗!$B$8:$F$8,AG242)/$Q$4/50,0)*50</f>
        <v>6900</v>
      </c>
      <c r="AL242" s="14" t="str">
        <f>IF(AD242&gt;0,INDEX(挂机升级突破!$BX$4:$CH$4,AD242),"")</f>
        <v>橙色基础材料</v>
      </c>
      <c r="AM242" s="14">
        <f>ROUND(INDEX(挂机升级突破!$BX$6:$CH$57,卡牌消耗!AI242,AD242)*INDEX(卡牌消耗!$B$5:$F$5,AG242)/$Q$4/5,0)*5</f>
        <v>100</v>
      </c>
      <c r="AN242" s="14" t="str">
        <f>IF(AE242&gt;0,INDEX(挂机升级突破!$BX$4:$CH$4,AE242),"")</f>
        <v/>
      </c>
      <c r="AO242" s="14" t="str">
        <f>IF(AE242&gt;0,ROUND(INDEX(挂机升级突破!$BX$6:$CH$57,卡牌消耗!AI242,AE242)*INDEX(卡牌消耗!$B$7:$F$7,AG242)/$Q$4,0),"")</f>
        <v/>
      </c>
      <c r="AP242" s="106"/>
      <c r="AQ242" s="15"/>
      <c r="AR242" s="104">
        <v>238</v>
      </c>
      <c r="AS242" s="14">
        <f t="shared" si="110"/>
        <v>12</v>
      </c>
      <c r="AT242" s="14">
        <f>INDEX(挂机升级突破!$CM$7:$CM$26,AX242)</f>
        <v>5</v>
      </c>
      <c r="AU242" s="14">
        <f>INDEX(挂机升级突破!$CN$7:$CN$26,AX242)</f>
        <v>4</v>
      </c>
      <c r="AV242" s="14">
        <f t="shared" si="111"/>
        <v>5</v>
      </c>
      <c r="AW242" s="14" t="str">
        <f t="shared" si="112"/>
        <v>夏侯惇</v>
      </c>
      <c r="AX242" s="14">
        <f t="shared" si="113"/>
        <v>18</v>
      </c>
      <c r="AY242" s="14" t="str">
        <f t="shared" si="114"/>
        <v>夏侯惇18突</v>
      </c>
      <c r="AZ242" s="14" t="str">
        <f>IF(AT242&gt;0,INDEX(挂机升级突破!$CV$5:$CZ$5,卡牌消耗!AT242),"")</f>
        <v>金币</v>
      </c>
      <c r="BA242" s="14">
        <f>IF(AT242&gt;0,ROUND(INDEX(挂机升级突破!$CZ$7:$CZ$26,卡牌消耗!AX242)*INDEX(卡牌消耗!$B$8:$F$8,AV242)/$Q$4/500,0)*500,"")</f>
        <v>167000</v>
      </c>
      <c r="BB242" s="14" t="str">
        <f>IF(AU242&gt;0,INDEX(挂机升级突破!$CV$5:$CZ$5,卡牌消耗!AU242),"")</f>
        <v>铀金</v>
      </c>
      <c r="BC242" s="14">
        <f>IF(AU242&gt;0,ROUND(INDEX(挂机升级突破!$CV$7:$CY$26,卡牌消耗!AX242,卡牌消耗!AU242)*INDEX($B$6:$F$6,AV242)/$Q$4/5,0)*5,"")</f>
        <v>50</v>
      </c>
      <c r="BD242" s="104"/>
      <c r="BE242" s="104"/>
      <c r="BF242" s="106"/>
      <c r="CD242" s="136">
        <v>238</v>
      </c>
      <c r="CE242" s="14">
        <f t="shared" si="115"/>
        <v>48</v>
      </c>
      <c r="CF242" s="14">
        <f t="shared" si="100"/>
        <v>3</v>
      </c>
      <c r="CG242" s="14">
        <f t="shared" si="101"/>
        <v>1102026</v>
      </c>
      <c r="CH242" s="136" t="s">
        <v>1127</v>
      </c>
      <c r="CI242" s="14">
        <f t="shared" si="102"/>
        <v>3</v>
      </c>
      <c r="CJ242" s="14" t="str">
        <f t="shared" si="103"/>
        <v>雷震子-3星</v>
      </c>
      <c r="CK242" s="136" t="s">
        <v>1133</v>
      </c>
      <c r="CL242" s="14">
        <f t="shared" si="116"/>
        <v>10000</v>
      </c>
      <c r="CM242" s="14" t="str">
        <f t="shared" si="104"/>
        <v>雷震子碎片</v>
      </c>
      <c r="CN242" s="14">
        <f t="shared" si="117"/>
        <v>120</v>
      </c>
    </row>
    <row r="243" spans="8:92" ht="16.5" x14ac:dyDescent="0.2">
      <c r="H243" s="15"/>
      <c r="I243" s="15"/>
      <c r="J243" s="15"/>
      <c r="K243" s="15"/>
      <c r="L243" s="15"/>
      <c r="M243" s="15"/>
      <c r="N243" s="15"/>
      <c r="O243" s="137"/>
      <c r="P243" s="141"/>
      <c r="Q243" s="141"/>
      <c r="R243" s="141"/>
      <c r="S243" s="141"/>
      <c r="T243" s="141"/>
      <c r="U243" s="141"/>
      <c r="V243" s="141"/>
      <c r="W243" s="141"/>
      <c r="X243" s="141"/>
      <c r="Y243" s="141"/>
      <c r="Z243" s="141"/>
      <c r="AA243" s="104">
        <v>239</v>
      </c>
      <c r="AB243" s="14">
        <f t="shared" si="105"/>
        <v>5</v>
      </c>
      <c r="AC243" s="14">
        <f>INDEX(挂机升级突破!$BU$6:$BU$57,卡牌消耗!AI243)</f>
        <v>11</v>
      </c>
      <c r="AD243" s="14">
        <f>INDEX(挂机升级突破!BV$6:BV$57,卡牌消耗!$AI243)</f>
        <v>4</v>
      </c>
      <c r="AE243" s="14">
        <f>INDEX(挂机升级突破!BW$6:BW$57,卡牌消耗!$AI243)</f>
        <v>0</v>
      </c>
      <c r="AF243" s="14" t="str">
        <f t="shared" si="106"/>
        <v>李轩辕</v>
      </c>
      <c r="AG243" s="14">
        <f t="shared" si="107"/>
        <v>3</v>
      </c>
      <c r="AH243" s="14" t="str">
        <f t="shared" si="108"/>
        <v>李轩辕魂火-31</v>
      </c>
      <c r="AI243" s="14">
        <f t="shared" si="109"/>
        <v>31</v>
      </c>
      <c r="AJ243" s="14" t="str">
        <f>INDEX(挂机升级突破!$BX$4:$CH$4,INDEX(挂机升级突破!$BU$6:$BU$57,卡牌消耗!AI243))</f>
        <v>金币</v>
      </c>
      <c r="AK243" s="14">
        <f>ROUND(INDEX(挂机升级突破!$BN$6:$BN$57,卡牌消耗!AI243)*INDEX(卡牌消耗!$B$8:$F$8,AG243)/$Q$4/50,0)*50</f>
        <v>6900</v>
      </c>
      <c r="AL243" s="14" t="str">
        <f>IF(AD243&gt;0,INDEX(挂机升级突破!$BX$4:$CH$4,AD243),"")</f>
        <v>橙色基础材料</v>
      </c>
      <c r="AM243" s="14">
        <f>ROUND(INDEX(挂机升级突破!$BX$6:$CH$57,卡牌消耗!AI243,AD243)*INDEX(卡牌消耗!$B$5:$F$5,AG243)/$Q$4/5,0)*5</f>
        <v>100</v>
      </c>
      <c r="AN243" s="14" t="str">
        <f>IF(AE243&gt;0,INDEX(挂机升级突破!$BX$4:$CH$4,AE243),"")</f>
        <v/>
      </c>
      <c r="AO243" s="14" t="str">
        <f>IF(AE243&gt;0,ROUND(INDEX(挂机升级突破!$BX$6:$CH$57,卡牌消耗!AI243,AE243)*INDEX(卡牌消耗!$B$7:$F$7,AG243)/$Q$4,0),"")</f>
        <v/>
      </c>
      <c r="AP243" s="106"/>
      <c r="AQ243" s="15"/>
      <c r="AR243" s="104">
        <v>239</v>
      </c>
      <c r="AS243" s="14">
        <f t="shared" si="110"/>
        <v>12</v>
      </c>
      <c r="AT243" s="14">
        <f>INDEX(挂机升级突破!$CM$7:$CM$26,AX243)</f>
        <v>5</v>
      </c>
      <c r="AU243" s="14">
        <f>INDEX(挂机升级突破!$CN$7:$CN$26,AX243)</f>
        <v>4</v>
      </c>
      <c r="AV243" s="14">
        <f t="shared" si="111"/>
        <v>5</v>
      </c>
      <c r="AW243" s="14" t="str">
        <f t="shared" si="112"/>
        <v>夏侯惇</v>
      </c>
      <c r="AX243" s="14">
        <f t="shared" si="113"/>
        <v>19</v>
      </c>
      <c r="AY243" s="14" t="str">
        <f t="shared" si="114"/>
        <v>夏侯惇19突</v>
      </c>
      <c r="AZ243" s="14" t="str">
        <f>IF(AT243&gt;0,INDEX(挂机升级突破!$CV$5:$CZ$5,卡牌消耗!AT243),"")</f>
        <v>金币</v>
      </c>
      <c r="BA243" s="14">
        <f>IF(AT243&gt;0,ROUND(INDEX(挂机升级突破!$CZ$7:$CZ$26,卡牌消耗!AX243)*INDEX(卡牌消耗!$B$8:$F$8,AV243)/$Q$4/500,0)*500,"")</f>
        <v>1013000</v>
      </c>
      <c r="BB243" s="14" t="str">
        <f>IF(AU243&gt;0,INDEX(挂机升级突破!$CV$5:$CZ$5,卡牌消耗!AU243),"")</f>
        <v>铀金</v>
      </c>
      <c r="BC243" s="14">
        <f>IF(AU243&gt;0,ROUND(INDEX(挂机升级突破!$CV$7:$CY$26,卡牌消耗!AX243,卡牌消耗!AU243)*INDEX($B$6:$F$6,AV243)/$Q$4/5,0)*5,"")</f>
        <v>70</v>
      </c>
      <c r="BD243" s="104"/>
      <c r="BE243" s="104"/>
      <c r="BF243" s="106"/>
      <c r="CD243" s="136">
        <v>239</v>
      </c>
      <c r="CE243" s="14">
        <f t="shared" si="115"/>
        <v>48</v>
      </c>
      <c r="CF243" s="14">
        <f t="shared" si="100"/>
        <v>3</v>
      </c>
      <c r="CG243" s="14">
        <f t="shared" si="101"/>
        <v>1102026</v>
      </c>
      <c r="CH243" s="136" t="s">
        <v>1127</v>
      </c>
      <c r="CI243" s="14">
        <f t="shared" si="102"/>
        <v>4</v>
      </c>
      <c r="CJ243" s="14" t="str">
        <f t="shared" si="103"/>
        <v>雷震子-4星</v>
      </c>
      <c r="CK243" s="136" t="s">
        <v>1133</v>
      </c>
      <c r="CL243" s="14">
        <f t="shared" si="116"/>
        <v>20000</v>
      </c>
      <c r="CM243" s="14" t="str">
        <f t="shared" si="104"/>
        <v>雷震子碎片</v>
      </c>
      <c r="CN243" s="14">
        <f t="shared" si="117"/>
        <v>160</v>
      </c>
    </row>
    <row r="244" spans="8:92" ht="16.5" x14ac:dyDescent="0.2">
      <c r="H244" s="15"/>
      <c r="I244" s="15"/>
      <c r="J244" s="15"/>
      <c r="K244" s="15"/>
      <c r="L244" s="15"/>
      <c r="M244" s="15"/>
      <c r="N244" s="15"/>
      <c r="O244" s="137"/>
      <c r="P244" s="141"/>
      <c r="Q244" s="141"/>
      <c r="R244" s="141"/>
      <c r="S244" s="141"/>
      <c r="T244" s="141"/>
      <c r="U244" s="141"/>
      <c r="V244" s="141"/>
      <c r="W244" s="141"/>
      <c r="X244" s="141"/>
      <c r="Y244" s="141"/>
      <c r="Z244" s="141"/>
      <c r="AA244" s="104">
        <v>240</v>
      </c>
      <c r="AB244" s="14">
        <f t="shared" si="105"/>
        <v>5</v>
      </c>
      <c r="AC244" s="14">
        <f>INDEX(挂机升级突破!$BU$6:$BU$57,卡牌消耗!AI244)</f>
        <v>11</v>
      </c>
      <c r="AD244" s="14">
        <f>INDEX(挂机升级突破!BV$6:BV$57,卡牌消耗!$AI244)</f>
        <v>4</v>
      </c>
      <c r="AE244" s="14">
        <f>INDEX(挂机升级突破!BW$6:BW$57,卡牌消耗!$AI244)</f>
        <v>0</v>
      </c>
      <c r="AF244" s="14" t="str">
        <f t="shared" si="106"/>
        <v>李轩辕</v>
      </c>
      <c r="AG244" s="14">
        <f t="shared" si="107"/>
        <v>3</v>
      </c>
      <c r="AH244" s="14" t="str">
        <f t="shared" si="108"/>
        <v>李轩辕魂火-32</v>
      </c>
      <c r="AI244" s="14">
        <f t="shared" si="109"/>
        <v>32</v>
      </c>
      <c r="AJ244" s="14" t="str">
        <f>INDEX(挂机升级突破!$BX$4:$CH$4,INDEX(挂机升级突破!$BU$6:$BU$57,卡牌消耗!AI244))</f>
        <v>金币</v>
      </c>
      <c r="AK244" s="14">
        <f>ROUND(INDEX(挂机升级突破!$BN$6:$BN$57,卡牌消耗!AI244)*INDEX(卡牌消耗!$B$8:$F$8,AG244)/$Q$4/50,0)*50</f>
        <v>9500</v>
      </c>
      <c r="AL244" s="14" t="str">
        <f>IF(AD244&gt;0,INDEX(挂机升级突破!$BX$4:$CH$4,AD244),"")</f>
        <v>橙色基础材料</v>
      </c>
      <c r="AM244" s="14">
        <f>ROUND(INDEX(挂机升级突破!$BX$6:$CH$57,卡牌消耗!AI244,AD244)*INDEX(卡牌消耗!$B$5:$F$5,AG244)/$Q$4/5,0)*5</f>
        <v>100</v>
      </c>
      <c r="AN244" s="14" t="str">
        <f>IF(AE244&gt;0,INDEX(挂机升级突破!$BX$4:$CH$4,AE244),"")</f>
        <v/>
      </c>
      <c r="AO244" s="14" t="str">
        <f>IF(AE244&gt;0,ROUND(INDEX(挂机升级突破!$BX$6:$CH$57,卡牌消耗!AI244,AE244)*INDEX(卡牌消耗!$B$7:$F$7,AG244)/$Q$4,0),"")</f>
        <v/>
      </c>
      <c r="AP244" s="106"/>
      <c r="AQ244" s="15"/>
      <c r="AR244" s="104">
        <v>240</v>
      </c>
      <c r="AS244" s="14">
        <f t="shared" si="110"/>
        <v>12</v>
      </c>
      <c r="AT244" s="14">
        <f>INDEX(挂机升级突破!$CM$7:$CM$26,AX244)</f>
        <v>5</v>
      </c>
      <c r="AU244" s="14">
        <f>INDEX(挂机升级突破!$CN$7:$CN$26,AX244)</f>
        <v>4</v>
      </c>
      <c r="AV244" s="14">
        <f t="shared" si="111"/>
        <v>5</v>
      </c>
      <c r="AW244" s="14" t="str">
        <f t="shared" si="112"/>
        <v>夏侯惇</v>
      </c>
      <c r="AX244" s="14">
        <f t="shared" si="113"/>
        <v>20</v>
      </c>
      <c r="AY244" s="14" t="str">
        <f t="shared" si="114"/>
        <v>夏侯惇20突</v>
      </c>
      <c r="AZ244" s="14" t="str">
        <f>IF(AT244&gt;0,INDEX(挂机升级突破!$CV$5:$CZ$5,卡牌消耗!AT244),"")</f>
        <v>金币</v>
      </c>
      <c r="BA244" s="14">
        <f>IF(AT244&gt;0,ROUND(INDEX(挂机升级突破!$CZ$7:$CZ$26,卡牌消耗!AX244)*INDEX(卡牌消耗!$B$8:$F$8,AV244)/$Q$4/500,0)*500,"")</f>
        <v>1519500</v>
      </c>
      <c r="BB244" s="14" t="str">
        <f>IF(AU244&gt;0,INDEX(挂机升级突破!$CV$5:$CZ$5,卡牌消耗!AU244),"")</f>
        <v>铀金</v>
      </c>
      <c r="BC244" s="14">
        <f>IF(AU244&gt;0,ROUND(INDEX(挂机升级突破!$CV$7:$CY$26,卡牌消耗!AX244,卡牌消耗!AU244)*INDEX($B$6:$F$6,AV244)/$Q$4/5,0)*5,"")</f>
        <v>85</v>
      </c>
      <c r="BD244" s="104"/>
      <c r="BE244" s="104"/>
      <c r="BF244" s="106"/>
      <c r="CD244" s="136">
        <v>240</v>
      </c>
      <c r="CE244" s="14">
        <f t="shared" si="115"/>
        <v>48</v>
      </c>
      <c r="CF244" s="14">
        <f t="shared" si="100"/>
        <v>3</v>
      </c>
      <c r="CG244" s="14">
        <f t="shared" si="101"/>
        <v>1102026</v>
      </c>
      <c r="CH244" s="136" t="s">
        <v>1127</v>
      </c>
      <c r="CI244" s="14">
        <f t="shared" si="102"/>
        <v>5</v>
      </c>
      <c r="CJ244" s="14" t="str">
        <f t="shared" si="103"/>
        <v>雷震子-5星</v>
      </c>
      <c r="CK244" s="136" t="s">
        <v>1133</v>
      </c>
      <c r="CL244" s="14">
        <f t="shared" si="116"/>
        <v>40000</v>
      </c>
      <c r="CM244" s="14" t="str">
        <f t="shared" si="104"/>
        <v>雷震子碎片</v>
      </c>
      <c r="CN244" s="14">
        <f t="shared" si="117"/>
        <v>240</v>
      </c>
    </row>
    <row r="245" spans="8:92" ht="16.5" x14ac:dyDescent="0.2">
      <c r="H245" s="15"/>
      <c r="I245" s="15"/>
      <c r="J245" s="15"/>
      <c r="K245" s="15"/>
      <c r="L245" s="15"/>
      <c r="M245" s="15"/>
      <c r="N245" s="15"/>
      <c r="O245" s="137"/>
      <c r="P245" s="141"/>
      <c r="Q245" s="141"/>
      <c r="R245" s="141"/>
      <c r="S245" s="141"/>
      <c r="T245" s="141"/>
      <c r="U245" s="141"/>
      <c r="V245" s="141"/>
      <c r="W245" s="141"/>
      <c r="X245" s="141"/>
      <c r="Y245" s="141"/>
      <c r="Z245" s="141"/>
      <c r="AA245" s="104">
        <v>241</v>
      </c>
      <c r="AB245" s="14">
        <f t="shared" si="105"/>
        <v>5</v>
      </c>
      <c r="AC245" s="14">
        <f>INDEX(挂机升级突破!$BU$6:$BU$57,卡牌消耗!AI245)</f>
        <v>11</v>
      </c>
      <c r="AD245" s="14">
        <f>INDEX(挂机升级突破!BV$6:BV$57,卡牌消耗!$AI245)</f>
        <v>4</v>
      </c>
      <c r="AE245" s="14">
        <f>INDEX(挂机升级突破!BW$6:BW$57,卡牌消耗!$AI245)</f>
        <v>0</v>
      </c>
      <c r="AF245" s="14" t="str">
        <f t="shared" si="106"/>
        <v>李轩辕</v>
      </c>
      <c r="AG245" s="14">
        <f t="shared" si="107"/>
        <v>3</v>
      </c>
      <c r="AH245" s="14" t="str">
        <f t="shared" si="108"/>
        <v>李轩辕魂火-33</v>
      </c>
      <c r="AI245" s="14">
        <f t="shared" si="109"/>
        <v>33</v>
      </c>
      <c r="AJ245" s="14" t="str">
        <f>INDEX(挂机升级突破!$BX$4:$CH$4,INDEX(挂机升级突破!$BU$6:$BU$57,卡牌消耗!AI245))</f>
        <v>金币</v>
      </c>
      <c r="AK245" s="14">
        <f>ROUND(INDEX(挂机升级突破!$BN$6:$BN$57,卡牌消耗!AI245)*INDEX(卡牌消耗!$B$8:$F$8,AG245)/$Q$4/50,0)*50</f>
        <v>9500</v>
      </c>
      <c r="AL245" s="14" t="str">
        <f>IF(AD245&gt;0,INDEX(挂机升级突破!$BX$4:$CH$4,AD245),"")</f>
        <v>橙色基础材料</v>
      </c>
      <c r="AM245" s="14">
        <f>ROUND(INDEX(挂机升级突破!$BX$6:$CH$57,卡牌消耗!AI245,AD245)*INDEX(卡牌消耗!$B$5:$F$5,AG245)/$Q$4/5,0)*5</f>
        <v>100</v>
      </c>
      <c r="AN245" s="14" t="str">
        <f>IF(AE245&gt;0,INDEX(挂机升级突破!$BX$4:$CH$4,AE245),"")</f>
        <v/>
      </c>
      <c r="AO245" s="14" t="str">
        <f>IF(AE245&gt;0,ROUND(INDEX(挂机升级突破!$BX$6:$CH$57,卡牌消耗!AI245,AE245)*INDEX(卡牌消耗!$B$7:$F$7,AG245)/$Q$4,0),"")</f>
        <v/>
      </c>
      <c r="AP245" s="106"/>
      <c r="AQ245" s="15"/>
      <c r="AR245" s="104">
        <v>241</v>
      </c>
      <c r="AS245" s="14">
        <f t="shared" si="110"/>
        <v>13</v>
      </c>
      <c r="AT245" s="14">
        <f>INDEX(挂机升级突破!$CM$7:$CM$26,AX245)</f>
        <v>0</v>
      </c>
      <c r="AU245" s="14">
        <f>INDEX(挂机升级突破!$CN$7:$CN$26,AX245)</f>
        <v>0</v>
      </c>
      <c r="AV245" s="14">
        <f t="shared" si="111"/>
        <v>2</v>
      </c>
      <c r="AW245" s="14" t="str">
        <f t="shared" si="112"/>
        <v>塞伯罗斯</v>
      </c>
      <c r="AX245" s="14">
        <f t="shared" si="113"/>
        <v>1</v>
      </c>
      <c r="AY245" s="14" t="str">
        <f t="shared" si="114"/>
        <v>塞伯罗斯1突</v>
      </c>
      <c r="AZ245" s="14" t="str">
        <f>IF(AT245&gt;0,INDEX(挂机升级突破!$CV$5:$CZ$5,卡牌消耗!AT245),"")</f>
        <v/>
      </c>
      <c r="BA245" s="14" t="str">
        <f>IF(AT245&gt;0,ROUND(INDEX(挂机升级突破!$CZ$7:$CZ$26,卡牌消耗!AX245)*INDEX(卡牌消耗!$B$8:$F$8,AV245)/$Q$4/500,0)*500,"")</f>
        <v/>
      </c>
      <c r="BB245" s="14" t="str">
        <f>IF(AU245&gt;0,INDEX(挂机升级突破!$CV$5:$CZ$5,卡牌消耗!AU245),"")</f>
        <v/>
      </c>
      <c r="BC245" s="14" t="str">
        <f>IF(AU245&gt;0,ROUND(INDEX(挂机升级突破!$CV$7:$CY$26,卡牌消耗!AX245,卡牌消耗!AU245)*INDEX($B$6:$F$6,AV245)/$Q$4/5,0)*5,"")</f>
        <v/>
      </c>
      <c r="BD245" s="104"/>
      <c r="BE245" s="104"/>
      <c r="BF245" s="106"/>
      <c r="CD245" s="136">
        <v>241</v>
      </c>
      <c r="CE245" s="14">
        <f t="shared" si="115"/>
        <v>49</v>
      </c>
      <c r="CF245" s="14">
        <f t="shared" si="100"/>
        <v>5</v>
      </c>
      <c r="CG245" s="14">
        <f t="shared" si="101"/>
        <v>1102028</v>
      </c>
      <c r="CH245" s="136" t="s">
        <v>1127</v>
      </c>
      <c r="CI245" s="14">
        <f t="shared" si="102"/>
        <v>1</v>
      </c>
      <c r="CJ245" s="14" t="str">
        <f t="shared" si="103"/>
        <v>吕布-1星</v>
      </c>
      <c r="CK245" s="136" t="s">
        <v>1133</v>
      </c>
      <c r="CL245" s="14">
        <f t="shared" si="116"/>
        <v>9000</v>
      </c>
      <c r="CM245" s="14" t="str">
        <f t="shared" si="104"/>
        <v>吕布碎片</v>
      </c>
      <c r="CN245" s="14">
        <f t="shared" si="117"/>
        <v>80</v>
      </c>
    </row>
    <row r="246" spans="8:92" ht="16.5" x14ac:dyDescent="0.2">
      <c r="H246" s="15"/>
      <c r="I246" s="15"/>
      <c r="J246" s="15"/>
      <c r="K246" s="15"/>
      <c r="L246" s="15"/>
      <c r="M246" s="15"/>
      <c r="N246" s="15"/>
      <c r="O246" s="137"/>
      <c r="P246" s="141"/>
      <c r="Q246" s="141"/>
      <c r="R246" s="141"/>
      <c r="S246" s="141"/>
      <c r="T246" s="141"/>
      <c r="U246" s="141"/>
      <c r="V246" s="141"/>
      <c r="W246" s="141"/>
      <c r="X246" s="141"/>
      <c r="Y246" s="141"/>
      <c r="Z246" s="141"/>
      <c r="AA246" s="104">
        <v>242</v>
      </c>
      <c r="AB246" s="14">
        <f t="shared" si="105"/>
        <v>5</v>
      </c>
      <c r="AC246" s="14">
        <f>INDEX(挂机升级突破!$BU$6:$BU$57,卡牌消耗!AI246)</f>
        <v>11</v>
      </c>
      <c r="AD246" s="14">
        <f>INDEX(挂机升级突破!BV$6:BV$57,卡牌消耗!$AI246)</f>
        <v>4</v>
      </c>
      <c r="AE246" s="14">
        <f>INDEX(挂机升级突破!BW$6:BW$57,卡牌消耗!$AI246)</f>
        <v>0</v>
      </c>
      <c r="AF246" s="14" t="str">
        <f t="shared" si="106"/>
        <v>李轩辕</v>
      </c>
      <c r="AG246" s="14">
        <f t="shared" si="107"/>
        <v>3</v>
      </c>
      <c r="AH246" s="14" t="str">
        <f t="shared" si="108"/>
        <v>李轩辕魂火-34</v>
      </c>
      <c r="AI246" s="14">
        <f t="shared" si="109"/>
        <v>34</v>
      </c>
      <c r="AJ246" s="14" t="str">
        <f>INDEX(挂机升级突破!$BX$4:$CH$4,INDEX(挂机升级突破!$BU$6:$BU$57,卡牌消耗!AI246))</f>
        <v>金币</v>
      </c>
      <c r="AK246" s="14">
        <f>ROUND(INDEX(挂机升级突破!$BN$6:$BN$57,卡牌消耗!AI246)*INDEX(卡牌消耗!$B$8:$F$8,AG246)/$Q$4/50,0)*50</f>
        <v>9500</v>
      </c>
      <c r="AL246" s="14" t="str">
        <f>IF(AD246&gt;0,INDEX(挂机升级突破!$BX$4:$CH$4,AD246),"")</f>
        <v>橙色基础材料</v>
      </c>
      <c r="AM246" s="14">
        <f>ROUND(INDEX(挂机升级突破!$BX$6:$CH$57,卡牌消耗!AI246,AD246)*INDEX(卡牌消耗!$B$5:$F$5,AG246)/$Q$4/5,0)*5</f>
        <v>110</v>
      </c>
      <c r="AN246" s="14" t="str">
        <f>IF(AE246&gt;0,INDEX(挂机升级突破!$BX$4:$CH$4,AE246),"")</f>
        <v/>
      </c>
      <c r="AO246" s="14" t="str">
        <f>IF(AE246&gt;0,ROUND(INDEX(挂机升级突破!$BX$6:$CH$57,卡牌消耗!AI246,AE246)*INDEX(卡牌消耗!$B$7:$F$7,AG246)/$Q$4,0),"")</f>
        <v/>
      </c>
      <c r="AP246" s="106"/>
      <c r="AQ246" s="15"/>
      <c r="AR246" s="104">
        <v>242</v>
      </c>
      <c r="AS246" s="14">
        <f t="shared" si="110"/>
        <v>13</v>
      </c>
      <c r="AT246" s="14">
        <f>INDEX(挂机升级突破!$CM$7:$CM$26,AX246)</f>
        <v>5</v>
      </c>
      <c r="AU246" s="14">
        <f>INDEX(挂机升级突破!$CN$7:$CN$26,AX246)</f>
        <v>0</v>
      </c>
      <c r="AV246" s="14">
        <f t="shared" si="111"/>
        <v>2</v>
      </c>
      <c r="AW246" s="14" t="str">
        <f t="shared" si="112"/>
        <v>塞伯罗斯</v>
      </c>
      <c r="AX246" s="14">
        <f t="shared" si="113"/>
        <v>2</v>
      </c>
      <c r="AY246" s="14" t="str">
        <f t="shared" si="114"/>
        <v>塞伯罗斯2突</v>
      </c>
      <c r="AZ246" s="14" t="str">
        <f>IF(AT246&gt;0,INDEX(挂机升级突破!$CV$5:$CZ$5,卡牌消耗!AT246),"")</f>
        <v>金币</v>
      </c>
      <c r="BA246" s="14">
        <f>IF(AT246&gt;0,ROUND(INDEX(挂机升级突破!$CZ$7:$CZ$26,卡牌消耗!AX246)*INDEX(卡牌消耗!$B$8:$F$8,AV246)/$Q$4/500,0)*500,"")</f>
        <v>1500</v>
      </c>
      <c r="BB246" s="14" t="str">
        <f>IF(AU246&gt;0,INDEX(挂机升级突破!$CV$5:$CZ$5,卡牌消耗!AU246),"")</f>
        <v/>
      </c>
      <c r="BC246" s="14" t="str">
        <f>IF(AU246&gt;0,ROUND(INDEX(挂机升级突破!$CV$7:$CY$26,卡牌消耗!AX246,卡牌消耗!AU246)*INDEX($B$6:$F$6,AV246)/$Q$4/5,0)*5,"")</f>
        <v/>
      </c>
      <c r="BD246" s="104"/>
      <c r="BE246" s="104"/>
      <c r="BF246" s="106"/>
      <c r="CD246" s="136">
        <v>242</v>
      </c>
      <c r="CE246" s="14">
        <f t="shared" si="115"/>
        <v>49</v>
      </c>
      <c r="CF246" s="14">
        <f t="shared" si="100"/>
        <v>5</v>
      </c>
      <c r="CG246" s="14">
        <f t="shared" si="101"/>
        <v>1102028</v>
      </c>
      <c r="CH246" s="136" t="s">
        <v>1127</v>
      </c>
      <c r="CI246" s="14">
        <f t="shared" si="102"/>
        <v>2</v>
      </c>
      <c r="CJ246" s="14" t="str">
        <f t="shared" si="103"/>
        <v>吕布-2星</v>
      </c>
      <c r="CK246" s="136" t="s">
        <v>1133</v>
      </c>
      <c r="CL246" s="14">
        <f t="shared" si="116"/>
        <v>12000</v>
      </c>
      <c r="CM246" s="14" t="str">
        <f t="shared" si="104"/>
        <v>吕布碎片</v>
      </c>
      <c r="CN246" s="14">
        <f t="shared" si="117"/>
        <v>80</v>
      </c>
    </row>
    <row r="247" spans="8:92" ht="16.5" x14ac:dyDescent="0.2">
      <c r="H247" s="15"/>
      <c r="I247" s="15"/>
      <c r="J247" s="15"/>
      <c r="K247" s="15"/>
      <c r="L247" s="15"/>
      <c r="M247" s="15"/>
      <c r="N247" s="15"/>
      <c r="O247" s="137"/>
      <c r="P247" s="141"/>
      <c r="Q247" s="141"/>
      <c r="R247" s="141"/>
      <c r="S247" s="141"/>
      <c r="T247" s="141"/>
      <c r="U247" s="141"/>
      <c r="V247" s="141"/>
      <c r="W247" s="141"/>
      <c r="X247" s="141"/>
      <c r="Y247" s="141"/>
      <c r="Z247" s="141"/>
      <c r="AA247" s="104">
        <v>243</v>
      </c>
      <c r="AB247" s="14">
        <f t="shared" si="105"/>
        <v>5</v>
      </c>
      <c r="AC247" s="14">
        <f>INDEX(挂机升级突破!$BU$6:$BU$57,卡牌消耗!AI247)</f>
        <v>11</v>
      </c>
      <c r="AD247" s="14">
        <f>INDEX(挂机升级突破!BV$6:BV$57,卡牌消耗!$AI247)</f>
        <v>4</v>
      </c>
      <c r="AE247" s="14">
        <f>INDEX(挂机升级突破!BW$6:BW$57,卡牌消耗!$AI247)</f>
        <v>0</v>
      </c>
      <c r="AF247" s="14" t="str">
        <f t="shared" si="106"/>
        <v>李轩辕</v>
      </c>
      <c r="AG247" s="14">
        <f t="shared" si="107"/>
        <v>3</v>
      </c>
      <c r="AH247" s="14" t="str">
        <f t="shared" si="108"/>
        <v>李轩辕魂火-35</v>
      </c>
      <c r="AI247" s="14">
        <f t="shared" si="109"/>
        <v>35</v>
      </c>
      <c r="AJ247" s="14" t="str">
        <f>INDEX(挂机升级突破!$BX$4:$CH$4,INDEX(挂机升级突破!$BU$6:$BU$57,卡牌消耗!AI247))</f>
        <v>金币</v>
      </c>
      <c r="AK247" s="14">
        <f>ROUND(INDEX(挂机升级突破!$BN$6:$BN$57,卡牌消耗!AI247)*INDEX(卡牌消耗!$B$8:$F$8,AG247)/$Q$4/50,0)*50</f>
        <v>12100</v>
      </c>
      <c r="AL247" s="14" t="str">
        <f>IF(AD247&gt;0,INDEX(挂机升级突破!$BX$4:$CH$4,AD247),"")</f>
        <v>橙色基础材料</v>
      </c>
      <c r="AM247" s="14">
        <f>ROUND(INDEX(挂机升级突破!$BX$6:$CH$57,卡牌消耗!AI247,AD247)*INDEX(卡牌消耗!$B$5:$F$5,AG247)/$Q$4/5,0)*5</f>
        <v>110</v>
      </c>
      <c r="AN247" s="14" t="str">
        <f>IF(AE247&gt;0,INDEX(挂机升级突破!$BX$4:$CH$4,AE247),"")</f>
        <v/>
      </c>
      <c r="AO247" s="14" t="str">
        <f>IF(AE247&gt;0,ROUND(INDEX(挂机升级突破!$BX$6:$CH$57,卡牌消耗!AI247,AE247)*INDEX(卡牌消耗!$B$7:$F$7,AG247)/$Q$4,0),"")</f>
        <v/>
      </c>
      <c r="AP247" s="106"/>
      <c r="AQ247" s="15"/>
      <c r="AR247" s="104">
        <v>243</v>
      </c>
      <c r="AS247" s="14">
        <f t="shared" si="110"/>
        <v>13</v>
      </c>
      <c r="AT247" s="14">
        <f>INDEX(挂机升级突破!$CM$7:$CM$26,AX247)</f>
        <v>5</v>
      </c>
      <c r="AU247" s="14">
        <f>INDEX(挂机升级突破!$CN$7:$CN$26,AX247)</f>
        <v>0</v>
      </c>
      <c r="AV247" s="14">
        <f t="shared" si="111"/>
        <v>2</v>
      </c>
      <c r="AW247" s="14" t="str">
        <f t="shared" si="112"/>
        <v>塞伯罗斯</v>
      </c>
      <c r="AX247" s="14">
        <f t="shared" si="113"/>
        <v>3</v>
      </c>
      <c r="AY247" s="14" t="str">
        <f t="shared" si="114"/>
        <v>塞伯罗斯3突</v>
      </c>
      <c r="AZ247" s="14" t="str">
        <f>IF(AT247&gt;0,INDEX(挂机升级突破!$CV$5:$CZ$5,卡牌消耗!AT247),"")</f>
        <v>金币</v>
      </c>
      <c r="BA247" s="14">
        <f>IF(AT247&gt;0,ROUND(INDEX(挂机升级突破!$CZ$7:$CZ$26,卡牌消耗!AX247)*INDEX(卡牌消耗!$B$8:$F$8,AV247)/$Q$4/500,0)*500,"")</f>
        <v>1500</v>
      </c>
      <c r="BB247" s="14" t="str">
        <f>IF(AU247&gt;0,INDEX(挂机升级突破!$CV$5:$CZ$5,卡牌消耗!AU247),"")</f>
        <v/>
      </c>
      <c r="BC247" s="14" t="str">
        <f>IF(AU247&gt;0,ROUND(INDEX(挂机升级突破!$CV$7:$CY$26,卡牌消耗!AX247,卡牌消耗!AU247)*INDEX($B$6:$F$6,AV247)/$Q$4/5,0)*5,"")</f>
        <v/>
      </c>
      <c r="BD247" s="104"/>
      <c r="BE247" s="104"/>
      <c r="BF247" s="106"/>
      <c r="CD247" s="136">
        <v>243</v>
      </c>
      <c r="CE247" s="14">
        <f t="shared" si="115"/>
        <v>49</v>
      </c>
      <c r="CF247" s="14">
        <f t="shared" si="100"/>
        <v>5</v>
      </c>
      <c r="CG247" s="14">
        <f t="shared" si="101"/>
        <v>1102028</v>
      </c>
      <c r="CH247" s="136" t="s">
        <v>1127</v>
      </c>
      <c r="CI247" s="14">
        <f t="shared" si="102"/>
        <v>3</v>
      </c>
      <c r="CJ247" s="14" t="str">
        <f t="shared" si="103"/>
        <v>吕布-3星</v>
      </c>
      <c r="CK247" s="136" t="s">
        <v>1133</v>
      </c>
      <c r="CL247" s="14">
        <f t="shared" si="116"/>
        <v>20000</v>
      </c>
      <c r="CM247" s="14" t="str">
        <f t="shared" si="104"/>
        <v>吕布碎片</v>
      </c>
      <c r="CN247" s="14">
        <f t="shared" si="117"/>
        <v>160</v>
      </c>
    </row>
    <row r="248" spans="8:92" ht="16.5" x14ac:dyDescent="0.2">
      <c r="H248" s="15"/>
      <c r="I248" s="15"/>
      <c r="J248" s="15"/>
      <c r="K248" s="15"/>
      <c r="L248" s="15"/>
      <c r="M248" s="15"/>
      <c r="N248" s="15"/>
      <c r="O248" s="137"/>
      <c r="P248" s="141"/>
      <c r="Q248" s="141"/>
      <c r="R248" s="141"/>
      <c r="S248" s="141"/>
      <c r="T248" s="141"/>
      <c r="U248" s="141"/>
      <c r="V248" s="141"/>
      <c r="W248" s="141"/>
      <c r="X248" s="141"/>
      <c r="Y248" s="141"/>
      <c r="Z248" s="141"/>
      <c r="AA248" s="104">
        <v>244</v>
      </c>
      <c r="AB248" s="14">
        <f t="shared" si="105"/>
        <v>5</v>
      </c>
      <c r="AC248" s="14">
        <f>INDEX(挂机升级突破!$BU$6:$BU$57,卡牌消耗!AI248)</f>
        <v>11</v>
      </c>
      <c r="AD248" s="14">
        <f>INDEX(挂机升级突破!BV$6:BV$57,卡牌消耗!$AI248)</f>
        <v>4</v>
      </c>
      <c r="AE248" s="14">
        <f>INDEX(挂机升级突破!BW$6:BW$57,卡牌消耗!$AI248)</f>
        <v>0</v>
      </c>
      <c r="AF248" s="14" t="str">
        <f t="shared" si="106"/>
        <v>李轩辕</v>
      </c>
      <c r="AG248" s="14">
        <f t="shared" si="107"/>
        <v>3</v>
      </c>
      <c r="AH248" s="14" t="str">
        <f t="shared" si="108"/>
        <v>李轩辕魂火-36</v>
      </c>
      <c r="AI248" s="14">
        <f t="shared" si="109"/>
        <v>36</v>
      </c>
      <c r="AJ248" s="14" t="str">
        <f>INDEX(挂机升级突破!$BX$4:$CH$4,INDEX(挂机升级突破!$BU$6:$BU$57,卡牌消耗!AI248))</f>
        <v>金币</v>
      </c>
      <c r="AK248" s="14">
        <f>ROUND(INDEX(挂机升级突破!$BN$6:$BN$57,卡牌消耗!AI248)*INDEX(卡牌消耗!$B$8:$F$8,AG248)/$Q$4/50,0)*50</f>
        <v>12100</v>
      </c>
      <c r="AL248" s="14" t="str">
        <f>IF(AD248&gt;0,INDEX(挂机升级突破!$BX$4:$CH$4,AD248),"")</f>
        <v>橙色基础材料</v>
      </c>
      <c r="AM248" s="14">
        <f>ROUND(INDEX(挂机升级突破!$BX$6:$CH$57,卡牌消耗!AI248,AD248)*INDEX(卡牌消耗!$B$5:$F$5,AG248)/$Q$4/5,0)*5</f>
        <v>110</v>
      </c>
      <c r="AN248" s="14" t="str">
        <f>IF(AE248&gt;0,INDEX(挂机升级突破!$BX$4:$CH$4,AE248),"")</f>
        <v/>
      </c>
      <c r="AO248" s="14" t="str">
        <f>IF(AE248&gt;0,ROUND(INDEX(挂机升级突破!$BX$6:$CH$57,卡牌消耗!AI248,AE248)*INDEX(卡牌消耗!$B$7:$F$7,AG248)/$Q$4,0),"")</f>
        <v/>
      </c>
      <c r="AP248" s="106"/>
      <c r="AQ248" s="15"/>
      <c r="AR248" s="104">
        <v>244</v>
      </c>
      <c r="AS248" s="14">
        <f t="shared" si="110"/>
        <v>13</v>
      </c>
      <c r="AT248" s="14">
        <f>INDEX(挂机升级突破!$CM$7:$CM$26,AX248)</f>
        <v>5</v>
      </c>
      <c r="AU248" s="14">
        <f>INDEX(挂机升级突破!$CN$7:$CN$26,AX248)</f>
        <v>1</v>
      </c>
      <c r="AV248" s="14">
        <f t="shared" si="111"/>
        <v>2</v>
      </c>
      <c r="AW248" s="14" t="str">
        <f t="shared" si="112"/>
        <v>塞伯罗斯</v>
      </c>
      <c r="AX248" s="14">
        <f t="shared" si="113"/>
        <v>4</v>
      </c>
      <c r="AY248" s="14" t="str">
        <f t="shared" si="114"/>
        <v>塞伯罗斯4突</v>
      </c>
      <c r="AZ248" s="14" t="str">
        <f>IF(AT248&gt;0,INDEX(挂机升级突破!$CV$5:$CZ$5,卡牌消耗!AT248),"")</f>
        <v>金币</v>
      </c>
      <c r="BA248" s="14">
        <f>IF(AT248&gt;0,ROUND(INDEX(挂机升级突破!$CZ$7:$CZ$26,卡牌消耗!AX248)*INDEX(卡牌消耗!$B$8:$F$8,AV248)/$Q$4/500,0)*500,"")</f>
        <v>2000</v>
      </c>
      <c r="BB248" s="14" t="str">
        <f>IF(AU248&gt;0,INDEX(挂机升级突破!$CV$5:$CZ$5,卡牌消耗!AU248),"")</f>
        <v>玄铁</v>
      </c>
      <c r="BC248" s="14">
        <f>IF(AU248&gt;0,ROUND(INDEX(挂机升级突破!$CV$7:$CY$26,卡牌消耗!AX248,卡牌消耗!AU248)*INDEX($B$6:$F$6,AV248)/$Q$4/5,0)*5,"")</f>
        <v>45</v>
      </c>
      <c r="BD248" s="104"/>
      <c r="BE248" s="104"/>
      <c r="BF248" s="106"/>
      <c r="CD248" s="136">
        <v>244</v>
      </c>
      <c r="CE248" s="14">
        <f t="shared" si="115"/>
        <v>49</v>
      </c>
      <c r="CF248" s="14">
        <f t="shared" si="100"/>
        <v>5</v>
      </c>
      <c r="CG248" s="14">
        <f t="shared" si="101"/>
        <v>1102028</v>
      </c>
      <c r="CH248" s="136" t="s">
        <v>1127</v>
      </c>
      <c r="CI248" s="14">
        <f t="shared" si="102"/>
        <v>4</v>
      </c>
      <c r="CJ248" s="14" t="str">
        <f t="shared" si="103"/>
        <v>吕布-4星</v>
      </c>
      <c r="CK248" s="136" t="s">
        <v>1133</v>
      </c>
      <c r="CL248" s="14">
        <f t="shared" si="116"/>
        <v>50000</v>
      </c>
      <c r="CM248" s="14" t="str">
        <f t="shared" si="104"/>
        <v>吕布碎片</v>
      </c>
      <c r="CN248" s="14">
        <f t="shared" si="117"/>
        <v>240</v>
      </c>
    </row>
    <row r="249" spans="8:92" ht="16.5" x14ac:dyDescent="0.2">
      <c r="H249" s="15"/>
      <c r="I249" s="15"/>
      <c r="J249" s="15"/>
      <c r="K249" s="15"/>
      <c r="L249" s="15"/>
      <c r="M249" s="15"/>
      <c r="N249" s="15"/>
      <c r="O249" s="137"/>
      <c r="P249" s="141"/>
      <c r="Q249" s="141"/>
      <c r="R249" s="141"/>
      <c r="S249" s="141"/>
      <c r="T249" s="141"/>
      <c r="U249" s="141"/>
      <c r="V249" s="141"/>
      <c r="W249" s="141"/>
      <c r="X249" s="141"/>
      <c r="Y249" s="141"/>
      <c r="Z249" s="141"/>
      <c r="AA249" s="104">
        <v>245</v>
      </c>
      <c r="AB249" s="14">
        <f t="shared" si="105"/>
        <v>5</v>
      </c>
      <c r="AC249" s="14">
        <f>INDEX(挂机升级突破!$BU$6:$BU$57,卡牌消耗!AI249)</f>
        <v>11</v>
      </c>
      <c r="AD249" s="14">
        <f>INDEX(挂机升级突破!BV$6:BV$57,卡牌消耗!$AI249)</f>
        <v>4</v>
      </c>
      <c r="AE249" s="14">
        <f>INDEX(挂机升级突破!BW$6:BW$57,卡牌消耗!$AI249)</f>
        <v>0</v>
      </c>
      <c r="AF249" s="14" t="str">
        <f t="shared" si="106"/>
        <v>李轩辕</v>
      </c>
      <c r="AG249" s="14">
        <f t="shared" si="107"/>
        <v>3</v>
      </c>
      <c r="AH249" s="14" t="str">
        <f t="shared" si="108"/>
        <v>李轩辕魂火-37</v>
      </c>
      <c r="AI249" s="14">
        <f t="shared" si="109"/>
        <v>37</v>
      </c>
      <c r="AJ249" s="14" t="str">
        <f>INDEX(挂机升级突破!$BX$4:$CH$4,INDEX(挂机升级突破!$BU$6:$BU$57,卡牌消耗!AI249))</f>
        <v>金币</v>
      </c>
      <c r="AK249" s="14">
        <f>ROUND(INDEX(挂机升级突破!$BN$6:$BN$57,卡牌消耗!AI249)*INDEX(卡牌消耗!$B$8:$F$8,AG249)/$Q$4/50,0)*50</f>
        <v>12950</v>
      </c>
      <c r="AL249" s="14" t="str">
        <f>IF(AD249&gt;0,INDEX(挂机升级突破!$BX$4:$CH$4,AD249),"")</f>
        <v>橙色基础材料</v>
      </c>
      <c r="AM249" s="14">
        <f>ROUND(INDEX(挂机升级突破!$BX$6:$CH$57,卡牌消耗!AI249,AD249)*INDEX(卡牌消耗!$B$5:$F$5,AG249)/$Q$4/5,0)*5</f>
        <v>110</v>
      </c>
      <c r="AN249" s="14" t="str">
        <f>IF(AE249&gt;0,INDEX(挂机升级突破!$BX$4:$CH$4,AE249),"")</f>
        <v/>
      </c>
      <c r="AO249" s="14" t="str">
        <f>IF(AE249&gt;0,ROUND(INDEX(挂机升级突破!$BX$6:$CH$57,卡牌消耗!AI249,AE249)*INDEX(卡牌消耗!$B$7:$F$7,AG249)/$Q$4,0),"")</f>
        <v/>
      </c>
      <c r="AP249" s="106"/>
      <c r="AQ249" s="15"/>
      <c r="AR249" s="104">
        <v>245</v>
      </c>
      <c r="AS249" s="14">
        <f t="shared" si="110"/>
        <v>13</v>
      </c>
      <c r="AT249" s="14">
        <f>INDEX(挂机升级突破!$CM$7:$CM$26,AX249)</f>
        <v>5</v>
      </c>
      <c r="AU249" s="14">
        <f>INDEX(挂机升级突破!$CN$7:$CN$26,AX249)</f>
        <v>1</v>
      </c>
      <c r="AV249" s="14">
        <f t="shared" si="111"/>
        <v>2</v>
      </c>
      <c r="AW249" s="14" t="str">
        <f t="shared" si="112"/>
        <v>塞伯罗斯</v>
      </c>
      <c r="AX249" s="14">
        <f t="shared" si="113"/>
        <v>5</v>
      </c>
      <c r="AY249" s="14" t="str">
        <f t="shared" si="114"/>
        <v>塞伯罗斯5突</v>
      </c>
      <c r="AZ249" s="14" t="str">
        <f>IF(AT249&gt;0,INDEX(挂机升级突破!$CV$5:$CZ$5,卡牌消耗!AT249),"")</f>
        <v>金币</v>
      </c>
      <c r="BA249" s="14">
        <f>IF(AT249&gt;0,ROUND(INDEX(挂机升级突破!$CZ$7:$CZ$26,卡牌消耗!AX249)*INDEX(卡牌消耗!$B$8:$F$8,AV249)/$Q$4/500,0)*500,"")</f>
        <v>2000</v>
      </c>
      <c r="BB249" s="14" t="str">
        <f>IF(AU249&gt;0,INDEX(挂机升级突破!$CV$5:$CZ$5,卡牌消耗!AU249),"")</f>
        <v>玄铁</v>
      </c>
      <c r="BC249" s="14">
        <f>IF(AU249&gt;0,ROUND(INDEX(挂机升级突破!$CV$7:$CY$26,卡牌消耗!AX249,卡牌消耗!AU249)*INDEX($B$6:$F$6,AV249)/$Q$4/5,0)*5,"")</f>
        <v>95</v>
      </c>
      <c r="BD249" s="104"/>
      <c r="BE249" s="104"/>
      <c r="BF249" s="106"/>
      <c r="CD249" s="136">
        <v>245</v>
      </c>
      <c r="CE249" s="14">
        <f t="shared" si="115"/>
        <v>49</v>
      </c>
      <c r="CF249" s="14">
        <f t="shared" si="100"/>
        <v>5</v>
      </c>
      <c r="CG249" s="14">
        <f t="shared" si="101"/>
        <v>1102028</v>
      </c>
      <c r="CH249" s="136" t="s">
        <v>1127</v>
      </c>
      <c r="CI249" s="14">
        <f t="shared" si="102"/>
        <v>5</v>
      </c>
      <c r="CJ249" s="14" t="str">
        <f t="shared" si="103"/>
        <v>吕布-5星</v>
      </c>
      <c r="CK249" s="136" t="s">
        <v>1133</v>
      </c>
      <c r="CL249" s="14">
        <f t="shared" si="116"/>
        <v>90000</v>
      </c>
      <c r="CM249" s="14" t="str">
        <f t="shared" si="104"/>
        <v>吕布碎片</v>
      </c>
      <c r="CN249" s="14">
        <f t="shared" si="117"/>
        <v>320</v>
      </c>
    </row>
    <row r="250" spans="8:92" ht="16.5" x14ac:dyDescent="0.2">
      <c r="H250" s="15"/>
      <c r="I250" s="15"/>
      <c r="J250" s="15"/>
      <c r="K250" s="15"/>
      <c r="L250" s="15"/>
      <c r="M250" s="15"/>
      <c r="N250" s="15"/>
      <c r="O250" s="137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  <c r="AA250" s="104">
        <v>246</v>
      </c>
      <c r="AB250" s="14">
        <f t="shared" si="105"/>
        <v>5</v>
      </c>
      <c r="AC250" s="14">
        <f>INDEX(挂机升级突破!$BU$6:$BU$57,卡牌消耗!AI250)</f>
        <v>11</v>
      </c>
      <c r="AD250" s="14">
        <f>INDEX(挂机升级突破!BV$6:BV$57,卡牌消耗!$AI250)</f>
        <v>5</v>
      </c>
      <c r="AE250" s="14">
        <f>INDEX(挂机升级突破!BW$6:BW$57,卡牌消耗!$AI250)</f>
        <v>0</v>
      </c>
      <c r="AF250" s="14" t="str">
        <f t="shared" si="106"/>
        <v>李轩辕</v>
      </c>
      <c r="AG250" s="14">
        <f t="shared" si="107"/>
        <v>3</v>
      </c>
      <c r="AH250" s="14" t="str">
        <f t="shared" si="108"/>
        <v>李轩辕魂火-38</v>
      </c>
      <c r="AI250" s="14">
        <f t="shared" si="109"/>
        <v>38</v>
      </c>
      <c r="AJ250" s="14" t="str">
        <f>INDEX(挂机升级突破!$BX$4:$CH$4,INDEX(挂机升级突破!$BU$6:$BU$57,卡牌消耗!AI250))</f>
        <v>金币</v>
      </c>
      <c r="AK250" s="14">
        <f>ROUND(INDEX(挂机升级突破!$BN$6:$BN$57,卡牌消耗!AI250)*INDEX(卡牌消耗!$B$8:$F$8,AG250)/$Q$4/50,0)*50</f>
        <v>16700</v>
      </c>
      <c r="AL250" s="14" t="str">
        <f>IF(AD250&gt;0,INDEX(挂机升级突破!$BX$4:$CH$4,AD250),"")</f>
        <v>红色基础材料</v>
      </c>
      <c r="AM250" s="14">
        <f>ROUND(INDEX(挂机升级突破!$BX$6:$CH$57,卡牌消耗!AI250,AD250)*INDEX(卡牌消耗!$B$5:$F$5,AG250)/$Q$4/5,0)*5</f>
        <v>45</v>
      </c>
      <c r="AN250" s="14" t="str">
        <f>IF(AE250&gt;0,INDEX(挂机升级突破!$BX$4:$CH$4,AE250),"")</f>
        <v/>
      </c>
      <c r="AO250" s="14" t="str">
        <f>IF(AE250&gt;0,ROUND(INDEX(挂机升级突破!$BX$6:$CH$57,卡牌消耗!AI250,AE250)*INDEX(卡牌消耗!$B$7:$F$7,AG250)/$Q$4,0),"")</f>
        <v/>
      </c>
      <c r="AP250" s="106"/>
      <c r="AQ250" s="15"/>
      <c r="AR250" s="104">
        <v>246</v>
      </c>
      <c r="AS250" s="14">
        <f t="shared" si="110"/>
        <v>13</v>
      </c>
      <c r="AT250" s="14">
        <f>INDEX(挂机升级突破!$CM$7:$CM$26,AX250)</f>
        <v>5</v>
      </c>
      <c r="AU250" s="14">
        <f>INDEX(挂机升级突破!$CN$7:$CN$26,AX250)</f>
        <v>1</v>
      </c>
      <c r="AV250" s="14">
        <f t="shared" si="111"/>
        <v>2</v>
      </c>
      <c r="AW250" s="14" t="str">
        <f t="shared" si="112"/>
        <v>塞伯罗斯</v>
      </c>
      <c r="AX250" s="14">
        <f t="shared" si="113"/>
        <v>6</v>
      </c>
      <c r="AY250" s="14" t="str">
        <f t="shared" si="114"/>
        <v>塞伯罗斯6突</v>
      </c>
      <c r="AZ250" s="14" t="str">
        <f>IF(AT250&gt;0,INDEX(挂机升级突破!$CV$5:$CZ$5,卡牌消耗!AT250),"")</f>
        <v>金币</v>
      </c>
      <c r="BA250" s="14">
        <f>IF(AT250&gt;0,ROUND(INDEX(挂机升级突破!$CZ$7:$CZ$26,卡牌消耗!AX250)*INDEX(卡牌消耗!$B$8:$F$8,AV250)/$Q$4/500,0)*500,"")</f>
        <v>3000</v>
      </c>
      <c r="BB250" s="14" t="str">
        <f>IF(AU250&gt;0,INDEX(挂机升级突破!$CV$5:$CZ$5,卡牌消耗!AU250),"")</f>
        <v>玄铁</v>
      </c>
      <c r="BC250" s="14">
        <f>IF(AU250&gt;0,ROUND(INDEX(挂机升级突破!$CV$7:$CY$26,卡牌消耗!AX250,卡牌消耗!AU250)*INDEX($B$6:$F$6,AV250)/$Q$4/5,0)*5,"")</f>
        <v>140</v>
      </c>
      <c r="BD250" s="104"/>
      <c r="BE250" s="104"/>
      <c r="BF250" s="106"/>
      <c r="CD250" s="136">
        <v>246</v>
      </c>
      <c r="CE250" s="14">
        <f t="shared" si="115"/>
        <v>50</v>
      </c>
      <c r="CF250" s="14">
        <f t="shared" si="100"/>
        <v>3</v>
      </c>
      <c r="CG250" s="14">
        <f t="shared" si="101"/>
        <v>1102030</v>
      </c>
      <c r="CH250" s="136" t="s">
        <v>1127</v>
      </c>
      <c r="CI250" s="14">
        <f t="shared" si="102"/>
        <v>1</v>
      </c>
      <c r="CJ250" s="14" t="str">
        <f t="shared" si="103"/>
        <v>燕青-1星</v>
      </c>
      <c r="CK250" s="136" t="s">
        <v>1133</v>
      </c>
      <c r="CL250" s="14">
        <f t="shared" si="116"/>
        <v>4000</v>
      </c>
      <c r="CM250" s="14" t="str">
        <f t="shared" si="104"/>
        <v>燕青碎片</v>
      </c>
      <c r="CN250" s="14">
        <f t="shared" si="117"/>
        <v>40</v>
      </c>
    </row>
    <row r="251" spans="8:92" ht="16.5" x14ac:dyDescent="0.2">
      <c r="H251" s="15"/>
      <c r="I251" s="15"/>
      <c r="J251" s="15"/>
      <c r="K251" s="15"/>
      <c r="L251" s="15"/>
      <c r="M251" s="15"/>
      <c r="N251" s="15"/>
      <c r="O251" s="137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  <c r="Z251" s="141"/>
      <c r="AA251" s="104">
        <v>247</v>
      </c>
      <c r="AB251" s="14">
        <f t="shared" si="105"/>
        <v>5</v>
      </c>
      <c r="AC251" s="14">
        <f>INDEX(挂机升级突破!$BU$6:$BU$57,卡牌消耗!AI251)</f>
        <v>11</v>
      </c>
      <c r="AD251" s="14">
        <f>INDEX(挂机升级突破!BV$6:BV$57,卡牌消耗!$AI251)</f>
        <v>5</v>
      </c>
      <c r="AE251" s="14">
        <f>INDEX(挂机升级突破!BW$6:BW$57,卡牌消耗!$AI251)</f>
        <v>0</v>
      </c>
      <c r="AF251" s="14" t="str">
        <f t="shared" si="106"/>
        <v>李轩辕</v>
      </c>
      <c r="AG251" s="14">
        <f t="shared" si="107"/>
        <v>3</v>
      </c>
      <c r="AH251" s="14" t="str">
        <f t="shared" si="108"/>
        <v>李轩辕魂火-39</v>
      </c>
      <c r="AI251" s="14">
        <f t="shared" si="109"/>
        <v>39</v>
      </c>
      <c r="AJ251" s="14" t="str">
        <f>INDEX(挂机升级突破!$BX$4:$CH$4,INDEX(挂机升级突破!$BU$6:$BU$57,卡牌消耗!AI251))</f>
        <v>金币</v>
      </c>
      <c r="AK251" s="14">
        <f>ROUND(INDEX(挂机升级突破!$BN$6:$BN$57,卡牌消耗!AI251)*INDEX(卡牌消耗!$B$8:$F$8,AG251)/$Q$4/50,0)*50</f>
        <v>16700</v>
      </c>
      <c r="AL251" s="14" t="str">
        <f>IF(AD251&gt;0,INDEX(挂机升级突破!$BX$4:$CH$4,AD251),"")</f>
        <v>红色基础材料</v>
      </c>
      <c r="AM251" s="14">
        <f>ROUND(INDEX(挂机升级突破!$BX$6:$CH$57,卡牌消耗!AI251,AD251)*INDEX(卡牌消耗!$B$5:$F$5,AG251)/$Q$4/5,0)*5</f>
        <v>45</v>
      </c>
      <c r="AN251" s="14" t="str">
        <f>IF(AE251&gt;0,INDEX(挂机升级突破!$BX$4:$CH$4,AE251),"")</f>
        <v/>
      </c>
      <c r="AO251" s="14" t="str">
        <f>IF(AE251&gt;0,ROUND(INDEX(挂机升级突破!$BX$6:$CH$57,卡牌消耗!AI251,AE251)*INDEX(卡牌消耗!$B$7:$F$7,AG251)/$Q$4,0),"")</f>
        <v/>
      </c>
      <c r="AP251" s="106"/>
      <c r="AQ251" s="15"/>
      <c r="AR251" s="104">
        <v>247</v>
      </c>
      <c r="AS251" s="14">
        <f t="shared" si="110"/>
        <v>13</v>
      </c>
      <c r="AT251" s="14">
        <f>INDEX(挂机升级突破!$CM$7:$CM$26,AX251)</f>
        <v>5</v>
      </c>
      <c r="AU251" s="14">
        <f>INDEX(挂机升级突破!$CN$7:$CN$26,AX251)</f>
        <v>1</v>
      </c>
      <c r="AV251" s="14">
        <f t="shared" si="111"/>
        <v>2</v>
      </c>
      <c r="AW251" s="14" t="str">
        <f t="shared" si="112"/>
        <v>塞伯罗斯</v>
      </c>
      <c r="AX251" s="14">
        <f t="shared" si="113"/>
        <v>7</v>
      </c>
      <c r="AY251" s="14" t="str">
        <f t="shared" si="114"/>
        <v>塞伯罗斯7突</v>
      </c>
      <c r="AZ251" s="14" t="str">
        <f>IF(AT251&gt;0,INDEX(挂机升级突破!$CV$5:$CZ$5,卡牌消耗!AT251),"")</f>
        <v>金币</v>
      </c>
      <c r="BA251" s="14">
        <f>IF(AT251&gt;0,ROUND(INDEX(挂机升级突破!$CZ$7:$CZ$26,卡牌消耗!AX251)*INDEX(卡牌消耗!$B$8:$F$8,AV251)/$Q$4/500,0)*500,"")</f>
        <v>4500</v>
      </c>
      <c r="BB251" s="14" t="str">
        <f>IF(AU251&gt;0,INDEX(挂机升级突破!$CV$5:$CZ$5,卡牌消耗!AU251),"")</f>
        <v>玄铁</v>
      </c>
      <c r="BC251" s="14">
        <f>IF(AU251&gt;0,ROUND(INDEX(挂机升级突破!$CV$7:$CY$26,卡牌消耗!AX251,卡牌消耗!AU251)*INDEX($B$6:$F$6,AV251)/$Q$4/5,0)*5,"")</f>
        <v>230</v>
      </c>
      <c r="BD251" s="104"/>
      <c r="BE251" s="104"/>
      <c r="BF251" s="106"/>
      <c r="CD251" s="136">
        <v>247</v>
      </c>
      <c r="CE251" s="14">
        <f t="shared" si="115"/>
        <v>50</v>
      </c>
      <c r="CF251" s="14">
        <f t="shared" si="100"/>
        <v>3</v>
      </c>
      <c r="CG251" s="14">
        <f t="shared" si="101"/>
        <v>1102030</v>
      </c>
      <c r="CH251" s="136" t="s">
        <v>1127</v>
      </c>
      <c r="CI251" s="14">
        <f t="shared" si="102"/>
        <v>2</v>
      </c>
      <c r="CJ251" s="14" t="str">
        <f t="shared" si="103"/>
        <v>燕青-2星</v>
      </c>
      <c r="CK251" s="136" t="s">
        <v>1133</v>
      </c>
      <c r="CL251" s="14">
        <f t="shared" si="116"/>
        <v>5000</v>
      </c>
      <c r="CM251" s="14" t="str">
        <f t="shared" si="104"/>
        <v>燕青碎片</v>
      </c>
      <c r="CN251" s="14">
        <f t="shared" si="117"/>
        <v>80</v>
      </c>
    </row>
    <row r="252" spans="8:92" ht="16.5" x14ac:dyDescent="0.2">
      <c r="H252" s="15"/>
      <c r="I252" s="15"/>
      <c r="J252" s="15"/>
      <c r="K252" s="15"/>
      <c r="L252" s="15"/>
      <c r="M252" s="15"/>
      <c r="N252" s="15"/>
      <c r="O252" s="137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  <c r="AA252" s="104">
        <v>248</v>
      </c>
      <c r="AB252" s="14">
        <f t="shared" si="105"/>
        <v>5</v>
      </c>
      <c r="AC252" s="14">
        <f>INDEX(挂机升级突破!$BU$6:$BU$57,卡牌消耗!AI252)</f>
        <v>11</v>
      </c>
      <c r="AD252" s="14">
        <f>INDEX(挂机升级突破!BV$6:BV$57,卡牌消耗!$AI252)</f>
        <v>5</v>
      </c>
      <c r="AE252" s="14">
        <f>INDEX(挂机升级突破!BW$6:BW$57,卡牌消耗!$AI252)</f>
        <v>0</v>
      </c>
      <c r="AF252" s="14" t="str">
        <f t="shared" si="106"/>
        <v>李轩辕</v>
      </c>
      <c r="AG252" s="14">
        <f t="shared" si="107"/>
        <v>3</v>
      </c>
      <c r="AH252" s="14" t="str">
        <f t="shared" si="108"/>
        <v>李轩辕魂火-40</v>
      </c>
      <c r="AI252" s="14">
        <f t="shared" si="109"/>
        <v>40</v>
      </c>
      <c r="AJ252" s="14" t="str">
        <f>INDEX(挂机升级突破!$BX$4:$CH$4,INDEX(挂机升级突破!$BU$6:$BU$57,卡牌消耗!AI252))</f>
        <v>金币</v>
      </c>
      <c r="AK252" s="14">
        <f>ROUND(INDEX(挂机升级突破!$BN$6:$BN$57,卡牌消耗!AI252)*INDEX(卡牌消耗!$B$8:$F$8,AG252)/$Q$4/50,0)*50</f>
        <v>16700</v>
      </c>
      <c r="AL252" s="14" t="str">
        <f>IF(AD252&gt;0,INDEX(挂机升级突破!$BX$4:$CH$4,AD252),"")</f>
        <v>红色基础材料</v>
      </c>
      <c r="AM252" s="14">
        <f>ROUND(INDEX(挂机升级突破!$BX$6:$CH$57,卡牌消耗!AI252,AD252)*INDEX(卡牌消耗!$B$5:$F$5,AG252)/$Q$4/5,0)*5</f>
        <v>45</v>
      </c>
      <c r="AN252" s="14" t="str">
        <f>IF(AE252&gt;0,INDEX(挂机升级突破!$BX$4:$CH$4,AE252),"")</f>
        <v/>
      </c>
      <c r="AO252" s="14" t="str">
        <f>IF(AE252&gt;0,ROUND(INDEX(挂机升级突破!$BX$6:$CH$57,卡牌消耗!AI252,AE252)*INDEX(卡牌消耗!$B$7:$F$7,AG252)/$Q$4,0),"")</f>
        <v/>
      </c>
      <c r="AP252" s="106"/>
      <c r="AQ252" s="15"/>
      <c r="AR252" s="104">
        <v>248</v>
      </c>
      <c r="AS252" s="14">
        <f t="shared" si="110"/>
        <v>13</v>
      </c>
      <c r="AT252" s="14">
        <f>INDEX(挂机升级突破!$CM$7:$CM$26,AX252)</f>
        <v>5</v>
      </c>
      <c r="AU252" s="14">
        <f>INDEX(挂机升级突破!$CN$7:$CN$26,AX252)</f>
        <v>1</v>
      </c>
      <c r="AV252" s="14">
        <f t="shared" si="111"/>
        <v>2</v>
      </c>
      <c r="AW252" s="14" t="str">
        <f t="shared" si="112"/>
        <v>塞伯罗斯</v>
      </c>
      <c r="AX252" s="14">
        <f t="shared" si="113"/>
        <v>8</v>
      </c>
      <c r="AY252" s="14" t="str">
        <f t="shared" si="114"/>
        <v>塞伯罗斯8突</v>
      </c>
      <c r="AZ252" s="14" t="str">
        <f>IF(AT252&gt;0,INDEX(挂机升级突破!$CV$5:$CZ$5,卡牌消耗!AT252),"")</f>
        <v>金币</v>
      </c>
      <c r="BA252" s="14">
        <f>IF(AT252&gt;0,ROUND(INDEX(挂机升级突破!$CZ$7:$CZ$26,卡牌消耗!AX252)*INDEX(卡牌消耗!$B$8:$F$8,AV252)/$Q$4/500,0)*500,"")</f>
        <v>4500</v>
      </c>
      <c r="BB252" s="14" t="str">
        <f>IF(AU252&gt;0,INDEX(挂机升级突破!$CV$5:$CZ$5,卡牌消耗!AU252),"")</f>
        <v>玄铁</v>
      </c>
      <c r="BC252" s="14">
        <f>IF(AU252&gt;0,ROUND(INDEX(挂机升级突破!$CV$7:$CY$26,卡牌消耗!AX252,卡牌消耗!AU252)*INDEX($B$6:$F$6,AV252)/$Q$4/5,0)*5,"")</f>
        <v>415</v>
      </c>
      <c r="BD252" s="104"/>
      <c r="BE252" s="104"/>
      <c r="BF252" s="106"/>
      <c r="CD252" s="136">
        <v>248</v>
      </c>
      <c r="CE252" s="14">
        <f t="shared" si="115"/>
        <v>50</v>
      </c>
      <c r="CF252" s="14">
        <f t="shared" si="100"/>
        <v>3</v>
      </c>
      <c r="CG252" s="14">
        <f t="shared" si="101"/>
        <v>1102030</v>
      </c>
      <c r="CH252" s="136" t="s">
        <v>1127</v>
      </c>
      <c r="CI252" s="14">
        <f t="shared" si="102"/>
        <v>3</v>
      </c>
      <c r="CJ252" s="14" t="str">
        <f t="shared" si="103"/>
        <v>燕青-3星</v>
      </c>
      <c r="CK252" s="136" t="s">
        <v>1133</v>
      </c>
      <c r="CL252" s="14">
        <f t="shared" si="116"/>
        <v>10000</v>
      </c>
      <c r="CM252" s="14" t="str">
        <f t="shared" si="104"/>
        <v>燕青碎片</v>
      </c>
      <c r="CN252" s="14">
        <f t="shared" si="117"/>
        <v>120</v>
      </c>
    </row>
    <row r="253" spans="8:92" ht="16.5" x14ac:dyDescent="0.2">
      <c r="H253" s="15"/>
      <c r="I253" s="15"/>
      <c r="J253" s="15"/>
      <c r="K253" s="15"/>
      <c r="L253" s="15"/>
      <c r="M253" s="15"/>
      <c r="N253" s="15"/>
      <c r="O253" s="137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  <c r="Z253" s="141"/>
      <c r="AA253" s="104">
        <v>249</v>
      </c>
      <c r="AB253" s="14">
        <f t="shared" si="105"/>
        <v>5</v>
      </c>
      <c r="AC253" s="14">
        <f>INDEX(挂机升级突破!$BU$6:$BU$57,卡牌消耗!AI253)</f>
        <v>11</v>
      </c>
      <c r="AD253" s="14">
        <f>INDEX(挂机升级突破!BV$6:BV$57,卡牌消耗!$AI253)</f>
        <v>5</v>
      </c>
      <c r="AE253" s="14">
        <f>INDEX(挂机升级突破!BW$6:BW$57,卡牌消耗!$AI253)</f>
        <v>10</v>
      </c>
      <c r="AF253" s="14" t="str">
        <f t="shared" si="106"/>
        <v>李轩辕</v>
      </c>
      <c r="AG253" s="14">
        <f t="shared" si="107"/>
        <v>3</v>
      </c>
      <c r="AH253" s="14" t="str">
        <f t="shared" si="108"/>
        <v>李轩辕魂火-41</v>
      </c>
      <c r="AI253" s="14">
        <f t="shared" si="109"/>
        <v>41</v>
      </c>
      <c r="AJ253" s="14" t="str">
        <f>INDEX(挂机升级突破!$BX$4:$CH$4,INDEX(挂机升级突破!$BU$6:$BU$57,卡牌消耗!AI253))</f>
        <v>金币</v>
      </c>
      <c r="AK253" s="14">
        <f>ROUND(INDEX(挂机升级突破!$BN$6:$BN$57,卡牌消耗!AI253)*INDEX(卡牌消耗!$B$8:$F$8,AG253)/$Q$4/50,0)*50</f>
        <v>23000</v>
      </c>
      <c r="AL253" s="14" t="str">
        <f>IF(AD253&gt;0,INDEX(挂机升级突破!$BX$4:$CH$4,AD253),"")</f>
        <v>红色基础材料</v>
      </c>
      <c r="AM253" s="14">
        <f>ROUND(INDEX(挂机升级突破!$BX$6:$CH$57,卡牌消耗!AI253,AD253)*INDEX(卡牌消耗!$B$5:$F$5,AG253)/$Q$4/5,0)*5</f>
        <v>55</v>
      </c>
      <c r="AN253" s="14" t="str">
        <f>IF(AE253&gt;0,INDEX(挂机升级突破!$BX$4:$CH$4,AE253),"")</f>
        <v>灵玉</v>
      </c>
      <c r="AO253" s="14">
        <f>IF(AE253&gt;0,ROUND(INDEX(挂机升级突破!$BX$6:$CH$57,卡牌消耗!AI253,AE253)*INDEX(卡牌消耗!$B$7:$F$7,AG253)/$Q$4,0),"")</f>
        <v>1</v>
      </c>
      <c r="AP253" s="106"/>
      <c r="AQ253" s="15"/>
      <c r="AR253" s="104">
        <v>249</v>
      </c>
      <c r="AS253" s="14">
        <f t="shared" si="110"/>
        <v>13</v>
      </c>
      <c r="AT253" s="14">
        <f>INDEX(挂机升级突破!$CM$7:$CM$26,AX253)</f>
        <v>5</v>
      </c>
      <c r="AU253" s="14">
        <f>INDEX(挂机升级突破!$CN$7:$CN$26,AX253)</f>
        <v>2</v>
      </c>
      <c r="AV253" s="14">
        <f t="shared" si="111"/>
        <v>2</v>
      </c>
      <c r="AW253" s="14" t="str">
        <f t="shared" si="112"/>
        <v>塞伯罗斯</v>
      </c>
      <c r="AX253" s="14">
        <f t="shared" si="113"/>
        <v>9</v>
      </c>
      <c r="AY253" s="14" t="str">
        <f t="shared" si="114"/>
        <v>塞伯罗斯9突</v>
      </c>
      <c r="AZ253" s="14" t="str">
        <f>IF(AT253&gt;0,INDEX(挂机升级突破!$CV$5:$CZ$5,卡牌消耗!AT253),"")</f>
        <v>金币</v>
      </c>
      <c r="BA253" s="14">
        <f>IF(AT253&gt;0,ROUND(INDEX(挂机升级突破!$CZ$7:$CZ$26,卡牌消耗!AX253)*INDEX(卡牌消耗!$B$8:$F$8,AV253)/$Q$4/500,0)*500,"")</f>
        <v>6000</v>
      </c>
      <c r="BB253" s="14" t="str">
        <f>IF(AU253&gt;0,INDEX(挂机升级突破!$CV$5:$CZ$5,卡牌消耗!AU253),"")</f>
        <v>乌金</v>
      </c>
      <c r="BC253" s="14">
        <f>IF(AU253&gt;0,ROUND(INDEX(挂机升级突破!$CV$7:$CY$26,卡牌消耗!AX253,卡牌消耗!AU253)*INDEX($B$6:$F$6,AV253)/$Q$4/5,0)*5,"")</f>
        <v>50</v>
      </c>
      <c r="BD253" s="104"/>
      <c r="BE253" s="104"/>
      <c r="BF253" s="106"/>
      <c r="CD253" s="136">
        <v>249</v>
      </c>
      <c r="CE253" s="14">
        <f t="shared" si="115"/>
        <v>50</v>
      </c>
      <c r="CF253" s="14">
        <f t="shared" si="100"/>
        <v>3</v>
      </c>
      <c r="CG253" s="14">
        <f t="shared" si="101"/>
        <v>1102030</v>
      </c>
      <c r="CH253" s="136" t="s">
        <v>1127</v>
      </c>
      <c r="CI253" s="14">
        <f t="shared" si="102"/>
        <v>4</v>
      </c>
      <c r="CJ253" s="14" t="str">
        <f t="shared" si="103"/>
        <v>燕青-4星</v>
      </c>
      <c r="CK253" s="136" t="s">
        <v>1133</v>
      </c>
      <c r="CL253" s="14">
        <f t="shared" si="116"/>
        <v>20000</v>
      </c>
      <c r="CM253" s="14" t="str">
        <f t="shared" si="104"/>
        <v>燕青碎片</v>
      </c>
      <c r="CN253" s="14">
        <f t="shared" si="117"/>
        <v>160</v>
      </c>
    </row>
    <row r="254" spans="8:92" ht="16.5" x14ac:dyDescent="0.2">
      <c r="H254" s="15"/>
      <c r="I254" s="15"/>
      <c r="J254" s="15"/>
      <c r="K254" s="15"/>
      <c r="L254" s="15"/>
      <c r="M254" s="15"/>
      <c r="N254" s="15"/>
      <c r="O254" s="137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  <c r="Z254" s="141"/>
      <c r="AA254" s="104">
        <v>250</v>
      </c>
      <c r="AB254" s="14">
        <f t="shared" si="105"/>
        <v>5</v>
      </c>
      <c r="AC254" s="14">
        <f>INDEX(挂机升级突破!$BU$6:$BU$57,卡牌消耗!AI254)</f>
        <v>11</v>
      </c>
      <c r="AD254" s="14">
        <f>INDEX(挂机升级突破!BV$6:BV$57,卡牌消耗!$AI254)</f>
        <v>5</v>
      </c>
      <c r="AE254" s="14">
        <f>INDEX(挂机升级突破!BW$6:BW$57,卡牌消耗!$AI254)</f>
        <v>10</v>
      </c>
      <c r="AF254" s="14" t="str">
        <f t="shared" si="106"/>
        <v>李轩辕</v>
      </c>
      <c r="AG254" s="14">
        <f t="shared" si="107"/>
        <v>3</v>
      </c>
      <c r="AH254" s="14" t="str">
        <f t="shared" si="108"/>
        <v>李轩辕魂火-42</v>
      </c>
      <c r="AI254" s="14">
        <f t="shared" si="109"/>
        <v>42</v>
      </c>
      <c r="AJ254" s="14" t="str">
        <f>INDEX(挂机升级突破!$BX$4:$CH$4,INDEX(挂机升级突破!$BU$6:$BU$57,卡牌消耗!AI254))</f>
        <v>金币</v>
      </c>
      <c r="AK254" s="14">
        <f>ROUND(INDEX(挂机升级突破!$BN$6:$BN$57,卡牌消耗!AI254)*INDEX(卡牌消耗!$B$8:$F$8,AG254)/$Q$4/50,0)*50</f>
        <v>23000</v>
      </c>
      <c r="AL254" s="14" t="str">
        <f>IF(AD254&gt;0,INDEX(挂机升级突破!$BX$4:$CH$4,AD254),"")</f>
        <v>红色基础材料</v>
      </c>
      <c r="AM254" s="14">
        <f>ROUND(INDEX(挂机升级突破!$BX$6:$CH$57,卡牌消耗!AI254,AD254)*INDEX(卡牌消耗!$B$5:$F$5,AG254)/$Q$4/5,0)*5</f>
        <v>55</v>
      </c>
      <c r="AN254" s="14" t="str">
        <f>IF(AE254&gt;0,INDEX(挂机升级突破!$BX$4:$CH$4,AE254),"")</f>
        <v>灵玉</v>
      </c>
      <c r="AO254" s="14">
        <f>IF(AE254&gt;0,ROUND(INDEX(挂机升级突破!$BX$6:$CH$57,卡牌消耗!AI254,AE254)*INDEX(卡牌消耗!$B$7:$F$7,AG254)/$Q$4,0),"")</f>
        <v>1</v>
      </c>
      <c r="AP254" s="106"/>
      <c r="AQ254" s="15"/>
      <c r="AR254" s="104">
        <v>250</v>
      </c>
      <c r="AS254" s="14">
        <f t="shared" si="110"/>
        <v>13</v>
      </c>
      <c r="AT254" s="14">
        <f>INDEX(挂机升级突破!$CM$7:$CM$26,AX254)</f>
        <v>5</v>
      </c>
      <c r="AU254" s="14">
        <f>INDEX(挂机升级突破!$CN$7:$CN$26,AX254)</f>
        <v>2</v>
      </c>
      <c r="AV254" s="14">
        <f t="shared" si="111"/>
        <v>2</v>
      </c>
      <c r="AW254" s="14" t="str">
        <f t="shared" si="112"/>
        <v>塞伯罗斯</v>
      </c>
      <c r="AX254" s="14">
        <f t="shared" si="113"/>
        <v>10</v>
      </c>
      <c r="AY254" s="14" t="str">
        <f t="shared" si="114"/>
        <v>塞伯罗斯10突</v>
      </c>
      <c r="AZ254" s="14" t="str">
        <f>IF(AT254&gt;0,INDEX(挂机升级突破!$CV$5:$CZ$5,卡牌消耗!AT254),"")</f>
        <v>金币</v>
      </c>
      <c r="BA254" s="14">
        <f>IF(AT254&gt;0,ROUND(INDEX(挂机升级突破!$CZ$7:$CZ$26,卡牌消耗!AX254)*INDEX(卡牌消耗!$B$8:$F$8,AV254)/$Q$4/500,0)*500,"")</f>
        <v>10000</v>
      </c>
      <c r="BB254" s="14" t="str">
        <f>IF(AU254&gt;0,INDEX(挂机升级突破!$CV$5:$CZ$5,卡牌消耗!AU254),"")</f>
        <v>乌金</v>
      </c>
      <c r="BC254" s="14">
        <f>IF(AU254&gt;0,ROUND(INDEX(挂机升级突破!$CV$7:$CY$26,卡牌消耗!AX254,卡牌消耗!AU254)*INDEX($B$6:$F$6,AV254)/$Q$4/5,0)*5,"")</f>
        <v>70</v>
      </c>
      <c r="BD254" s="104"/>
      <c r="BE254" s="104"/>
      <c r="BF254" s="106"/>
      <c r="CD254" s="136">
        <v>250</v>
      </c>
      <c r="CE254" s="14">
        <f t="shared" si="115"/>
        <v>50</v>
      </c>
      <c r="CF254" s="14">
        <f t="shared" si="100"/>
        <v>3</v>
      </c>
      <c r="CG254" s="14">
        <f t="shared" si="101"/>
        <v>1102030</v>
      </c>
      <c r="CH254" s="136" t="s">
        <v>1127</v>
      </c>
      <c r="CI254" s="14">
        <f t="shared" si="102"/>
        <v>5</v>
      </c>
      <c r="CJ254" s="14" t="str">
        <f t="shared" si="103"/>
        <v>燕青-5星</v>
      </c>
      <c r="CK254" s="136" t="s">
        <v>1133</v>
      </c>
      <c r="CL254" s="14">
        <f t="shared" si="116"/>
        <v>40000</v>
      </c>
      <c r="CM254" s="14" t="str">
        <f t="shared" si="104"/>
        <v>燕青碎片</v>
      </c>
      <c r="CN254" s="14">
        <f t="shared" si="117"/>
        <v>240</v>
      </c>
    </row>
    <row r="255" spans="8:92" ht="16.5" x14ac:dyDescent="0.2">
      <c r="H255" s="15"/>
      <c r="I255" s="15"/>
      <c r="J255" s="15"/>
      <c r="K255" s="15"/>
      <c r="L255" s="15"/>
      <c r="M255" s="15"/>
      <c r="N255" s="15"/>
      <c r="O255" s="137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  <c r="Z255" s="141"/>
      <c r="AA255" s="104">
        <v>251</v>
      </c>
      <c r="AB255" s="14">
        <f t="shared" si="105"/>
        <v>5</v>
      </c>
      <c r="AC255" s="14">
        <f>INDEX(挂机升级突破!$BU$6:$BU$57,卡牌消耗!AI255)</f>
        <v>11</v>
      </c>
      <c r="AD255" s="14">
        <f>INDEX(挂机升级突破!BV$6:BV$57,卡牌消耗!$AI255)</f>
        <v>5</v>
      </c>
      <c r="AE255" s="14">
        <f>INDEX(挂机升级突破!BW$6:BW$57,卡牌消耗!$AI255)</f>
        <v>10</v>
      </c>
      <c r="AF255" s="14" t="str">
        <f t="shared" si="106"/>
        <v>李轩辕</v>
      </c>
      <c r="AG255" s="14">
        <f t="shared" si="107"/>
        <v>3</v>
      </c>
      <c r="AH255" s="14" t="str">
        <f t="shared" si="108"/>
        <v>李轩辕魂火-43</v>
      </c>
      <c r="AI255" s="14">
        <f t="shared" si="109"/>
        <v>43</v>
      </c>
      <c r="AJ255" s="14" t="str">
        <f>INDEX(挂机升级突破!$BX$4:$CH$4,INDEX(挂机升级突破!$BU$6:$BU$57,卡牌消耗!AI255))</f>
        <v>金币</v>
      </c>
      <c r="AK255" s="14">
        <f>ROUND(INDEX(挂机升级突破!$BN$6:$BN$57,卡牌消耗!AI255)*INDEX(卡牌消耗!$B$8:$F$8,AG255)/$Q$4/50,0)*50</f>
        <v>23000</v>
      </c>
      <c r="AL255" s="14" t="str">
        <f>IF(AD255&gt;0,INDEX(挂机升级突破!$BX$4:$CH$4,AD255),"")</f>
        <v>红色基础材料</v>
      </c>
      <c r="AM255" s="14">
        <f>ROUND(INDEX(挂机升级突破!$BX$6:$CH$57,卡牌消耗!AI255,AD255)*INDEX(卡牌消耗!$B$5:$F$5,AG255)/$Q$4/5,0)*5</f>
        <v>55</v>
      </c>
      <c r="AN255" s="14" t="str">
        <f>IF(AE255&gt;0,INDEX(挂机升级突破!$BX$4:$CH$4,AE255),"")</f>
        <v>灵玉</v>
      </c>
      <c r="AO255" s="14">
        <f>IF(AE255&gt;0,ROUND(INDEX(挂机升级突破!$BX$6:$CH$57,卡牌消耗!AI255,AE255)*INDEX(卡牌消耗!$B$7:$F$7,AG255)/$Q$4,0),"")</f>
        <v>1</v>
      </c>
      <c r="AP255" s="106"/>
      <c r="AQ255" s="15"/>
      <c r="AR255" s="104">
        <v>251</v>
      </c>
      <c r="AS255" s="14">
        <f t="shared" si="110"/>
        <v>13</v>
      </c>
      <c r="AT255" s="14">
        <f>INDEX(挂机升级突破!$CM$7:$CM$26,AX255)</f>
        <v>5</v>
      </c>
      <c r="AU255" s="14">
        <f>INDEX(挂机升级突破!$CN$7:$CN$26,AX255)</f>
        <v>2</v>
      </c>
      <c r="AV255" s="14">
        <f t="shared" si="111"/>
        <v>2</v>
      </c>
      <c r="AW255" s="14" t="str">
        <f t="shared" si="112"/>
        <v>塞伯罗斯</v>
      </c>
      <c r="AX255" s="14">
        <f t="shared" si="113"/>
        <v>11</v>
      </c>
      <c r="AY255" s="14" t="str">
        <f t="shared" si="114"/>
        <v>塞伯罗斯11突</v>
      </c>
      <c r="AZ255" s="14" t="str">
        <f>IF(AT255&gt;0,INDEX(挂机升级突破!$CV$5:$CZ$5,卡牌消耗!AT255),"")</f>
        <v>金币</v>
      </c>
      <c r="BA255" s="14">
        <f>IF(AT255&gt;0,ROUND(INDEX(挂机升级突破!$CZ$7:$CZ$26,卡牌消耗!AX255)*INDEX(卡牌消耗!$B$8:$F$8,AV255)/$Q$4/500,0)*500,"")</f>
        <v>10000</v>
      </c>
      <c r="BB255" s="14" t="str">
        <f>IF(AU255&gt;0,INDEX(挂机升级突破!$CV$5:$CZ$5,卡牌消耗!AU255),"")</f>
        <v>乌金</v>
      </c>
      <c r="BC255" s="14">
        <f>IF(AU255&gt;0,ROUND(INDEX(挂机升级突破!$CV$7:$CY$26,卡牌消耗!AX255,卡牌消耗!AU255)*INDEX($B$6:$F$6,AV255)/$Q$4/5,0)*5,"")</f>
        <v>95</v>
      </c>
      <c r="BD255" s="104"/>
      <c r="BE255" s="104"/>
      <c r="BF255" s="106"/>
      <c r="CD255" s="139">
        <v>251</v>
      </c>
      <c r="CE255" s="14">
        <f t="shared" ref="CE255:CE259" si="120">INT((CD255-1)/5)+1</f>
        <v>51</v>
      </c>
      <c r="CF255" s="14">
        <f t="shared" ref="CF255:CF259" si="121">INDEX($C$47:$C$97,CE255)</f>
        <v>4</v>
      </c>
      <c r="CG255" s="14">
        <f t="shared" ref="CG255:CG259" si="122">INDEX($A$47:$A$97,CE255)</f>
        <v>1102031</v>
      </c>
      <c r="CH255" s="139" t="s">
        <v>1127</v>
      </c>
      <c r="CI255" s="14">
        <f t="shared" ref="CI255:CI259" si="123">CD255-INDEX($E$46:$E$97,CE255)</f>
        <v>1</v>
      </c>
      <c r="CJ255" s="14" t="str">
        <f t="shared" ref="CJ255:CJ259" si="124">INDEX($B$47:$B$97,CE255)&amp;"-"&amp;CI255&amp;"星"</f>
        <v>秦琼-1星</v>
      </c>
      <c r="CK255" s="139" t="s">
        <v>70</v>
      </c>
      <c r="CL255" s="14">
        <f t="shared" ref="CL255:CL259" si="125">INDEX($K$21:$N$25,CI255,CF255-1)</f>
        <v>6000</v>
      </c>
      <c r="CM255" s="14" t="str">
        <f t="shared" ref="CM255:CM259" si="126">INDEX($B$47:$B$97,CE255)&amp;"碎片"</f>
        <v>秦琼碎片</v>
      </c>
      <c r="CN255" s="14">
        <f t="shared" ref="CN255:CN259" si="127">INDEX($J$5:$M$9,CI255,CF255-1)</f>
        <v>80</v>
      </c>
    </row>
    <row r="256" spans="8:92" ht="16.5" x14ac:dyDescent="0.2">
      <c r="H256" s="15"/>
      <c r="I256" s="15"/>
      <c r="J256" s="15"/>
      <c r="K256" s="15"/>
      <c r="L256" s="15"/>
      <c r="M256" s="15"/>
      <c r="N256" s="15"/>
      <c r="O256" s="137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  <c r="AA256" s="104">
        <v>252</v>
      </c>
      <c r="AB256" s="14">
        <f t="shared" si="105"/>
        <v>5</v>
      </c>
      <c r="AC256" s="14">
        <f>INDEX(挂机升级突破!$BU$6:$BU$57,卡牌消耗!AI256)</f>
        <v>11</v>
      </c>
      <c r="AD256" s="14">
        <f>INDEX(挂机升级突破!BV$6:BV$57,卡牌消耗!$AI256)</f>
        <v>5</v>
      </c>
      <c r="AE256" s="14">
        <f>INDEX(挂机升级突破!BW$6:BW$57,卡牌消耗!$AI256)</f>
        <v>10</v>
      </c>
      <c r="AF256" s="14" t="str">
        <f t="shared" si="106"/>
        <v>李轩辕</v>
      </c>
      <c r="AG256" s="14">
        <f t="shared" si="107"/>
        <v>3</v>
      </c>
      <c r="AH256" s="14" t="str">
        <f t="shared" si="108"/>
        <v>李轩辕魂火-44</v>
      </c>
      <c r="AI256" s="14">
        <f t="shared" si="109"/>
        <v>44</v>
      </c>
      <c r="AJ256" s="14" t="str">
        <f>INDEX(挂机升级突破!$BX$4:$CH$4,INDEX(挂机升级突破!$BU$6:$BU$57,卡牌消耗!AI256))</f>
        <v>金币</v>
      </c>
      <c r="AK256" s="14">
        <f>ROUND(INDEX(挂机升级突破!$BN$6:$BN$57,卡牌消耗!AI256)*INDEX(卡牌消耗!$B$8:$F$8,AG256)/$Q$4/50,0)*50</f>
        <v>29250</v>
      </c>
      <c r="AL256" s="14" t="str">
        <f>IF(AD256&gt;0,INDEX(挂机升级突破!$BX$4:$CH$4,AD256),"")</f>
        <v>红色基础材料</v>
      </c>
      <c r="AM256" s="14">
        <f>ROUND(INDEX(挂机升级突破!$BX$6:$CH$57,卡牌消耗!AI256,AD256)*INDEX(卡牌消耗!$B$5:$F$5,AG256)/$Q$4/5,0)*5</f>
        <v>65</v>
      </c>
      <c r="AN256" s="14" t="str">
        <f>IF(AE256&gt;0,INDEX(挂机升级突破!$BX$4:$CH$4,AE256),"")</f>
        <v>灵玉</v>
      </c>
      <c r="AO256" s="14">
        <f>IF(AE256&gt;0,ROUND(INDEX(挂机升级突破!$BX$6:$CH$57,卡牌消耗!AI256,AE256)*INDEX(卡牌消耗!$B$7:$F$7,AG256)/$Q$4,0),"")</f>
        <v>1</v>
      </c>
      <c r="AP256" s="106"/>
      <c r="AQ256" s="15"/>
      <c r="AR256" s="104">
        <v>252</v>
      </c>
      <c r="AS256" s="14">
        <f t="shared" si="110"/>
        <v>13</v>
      </c>
      <c r="AT256" s="14">
        <f>INDEX(挂机升级突破!$CM$7:$CM$26,AX256)</f>
        <v>5</v>
      </c>
      <c r="AU256" s="14">
        <f>INDEX(挂机升级突破!$CN$7:$CN$26,AX256)</f>
        <v>2</v>
      </c>
      <c r="AV256" s="14">
        <f t="shared" si="111"/>
        <v>2</v>
      </c>
      <c r="AW256" s="14" t="str">
        <f t="shared" si="112"/>
        <v>塞伯罗斯</v>
      </c>
      <c r="AX256" s="14">
        <f t="shared" si="113"/>
        <v>12</v>
      </c>
      <c r="AY256" s="14" t="str">
        <f t="shared" si="114"/>
        <v>塞伯罗斯12突</v>
      </c>
      <c r="AZ256" s="14" t="str">
        <f>IF(AT256&gt;0,INDEX(挂机升级突破!$CV$5:$CZ$5,卡牌消耗!AT256),"")</f>
        <v>金币</v>
      </c>
      <c r="BA256" s="14">
        <f>IF(AT256&gt;0,ROUND(INDEX(挂机升级突破!$CZ$7:$CZ$26,卡牌消耗!AX256)*INDEX(卡牌消耗!$B$8:$F$8,AV256)/$Q$4/500,0)*500,"")</f>
        <v>13500</v>
      </c>
      <c r="BB256" s="14" t="str">
        <f>IF(AU256&gt;0,INDEX(挂机升级突破!$CV$5:$CZ$5,卡牌消耗!AU256),"")</f>
        <v>乌金</v>
      </c>
      <c r="BC256" s="14">
        <f>IF(AU256&gt;0,ROUND(INDEX(挂机升级突破!$CV$7:$CY$26,卡牌消耗!AX256,卡牌消耗!AU256)*INDEX($B$6:$F$6,AV256)/$Q$4/5,0)*5,"")</f>
        <v>125</v>
      </c>
      <c r="BD256" s="104"/>
      <c r="BE256" s="104"/>
      <c r="BF256" s="106"/>
      <c r="CD256" s="139">
        <v>252</v>
      </c>
      <c r="CE256" s="14">
        <f t="shared" si="120"/>
        <v>51</v>
      </c>
      <c r="CF256" s="14">
        <f t="shared" si="121"/>
        <v>4</v>
      </c>
      <c r="CG256" s="14">
        <f t="shared" si="122"/>
        <v>1102031</v>
      </c>
      <c r="CH256" s="139" t="s">
        <v>1127</v>
      </c>
      <c r="CI256" s="14">
        <f t="shared" si="123"/>
        <v>2</v>
      </c>
      <c r="CJ256" s="14" t="str">
        <f t="shared" si="124"/>
        <v>秦琼-2星</v>
      </c>
      <c r="CK256" s="139" t="s">
        <v>70</v>
      </c>
      <c r="CL256" s="14">
        <f t="shared" si="125"/>
        <v>8000</v>
      </c>
      <c r="CM256" s="14" t="str">
        <f t="shared" si="126"/>
        <v>秦琼碎片</v>
      </c>
      <c r="CN256" s="14">
        <f t="shared" si="127"/>
        <v>80</v>
      </c>
    </row>
    <row r="257" spans="8:92" ht="16.5" x14ac:dyDescent="0.2">
      <c r="H257" s="15"/>
      <c r="I257" s="15"/>
      <c r="J257" s="15"/>
      <c r="K257" s="15"/>
      <c r="L257" s="15"/>
      <c r="M257" s="15"/>
      <c r="N257" s="15"/>
      <c r="O257" s="137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  <c r="AA257" s="104">
        <v>253</v>
      </c>
      <c r="AB257" s="14">
        <f t="shared" si="105"/>
        <v>5</v>
      </c>
      <c r="AC257" s="14">
        <f>INDEX(挂机升级突破!$BU$6:$BU$57,卡牌消耗!AI257)</f>
        <v>11</v>
      </c>
      <c r="AD257" s="14">
        <f>INDEX(挂机升级突破!BV$6:BV$57,卡牌消耗!$AI257)</f>
        <v>5</v>
      </c>
      <c r="AE257" s="14">
        <f>INDEX(挂机升级突破!BW$6:BW$57,卡牌消耗!$AI257)</f>
        <v>10</v>
      </c>
      <c r="AF257" s="14" t="str">
        <f t="shared" si="106"/>
        <v>李轩辕</v>
      </c>
      <c r="AG257" s="14">
        <f t="shared" si="107"/>
        <v>3</v>
      </c>
      <c r="AH257" s="14" t="str">
        <f t="shared" si="108"/>
        <v>李轩辕魂火-45</v>
      </c>
      <c r="AI257" s="14">
        <f t="shared" si="109"/>
        <v>45</v>
      </c>
      <c r="AJ257" s="14" t="str">
        <f>INDEX(挂机升级突破!$BX$4:$CH$4,INDEX(挂机升级突破!$BU$6:$BU$57,卡牌消耗!AI257))</f>
        <v>金币</v>
      </c>
      <c r="AK257" s="14">
        <f>ROUND(INDEX(挂机升级突破!$BN$6:$BN$57,卡牌消耗!AI257)*INDEX(卡牌消耗!$B$8:$F$8,AG257)/$Q$4/50,0)*50</f>
        <v>29250</v>
      </c>
      <c r="AL257" s="14" t="str">
        <f>IF(AD257&gt;0,INDEX(挂机升级突破!$BX$4:$CH$4,AD257),"")</f>
        <v>红色基础材料</v>
      </c>
      <c r="AM257" s="14">
        <f>ROUND(INDEX(挂机升级突破!$BX$6:$CH$57,卡牌消耗!AI257,AD257)*INDEX(卡牌消耗!$B$5:$F$5,AG257)/$Q$4/5,0)*5</f>
        <v>65</v>
      </c>
      <c r="AN257" s="14" t="str">
        <f>IF(AE257&gt;0,INDEX(挂机升级突破!$BX$4:$CH$4,AE257),"")</f>
        <v>灵玉</v>
      </c>
      <c r="AO257" s="14">
        <f>IF(AE257&gt;0,ROUND(INDEX(挂机升级突破!$BX$6:$CH$57,卡牌消耗!AI257,AE257)*INDEX(卡牌消耗!$B$7:$F$7,AG257)/$Q$4,0),"")</f>
        <v>1</v>
      </c>
      <c r="AP257" s="106"/>
      <c r="AQ257" s="15"/>
      <c r="AR257" s="104">
        <v>253</v>
      </c>
      <c r="AS257" s="14">
        <f t="shared" si="110"/>
        <v>13</v>
      </c>
      <c r="AT257" s="14">
        <f>INDEX(挂机升级突破!$CM$7:$CM$26,AX257)</f>
        <v>5</v>
      </c>
      <c r="AU257" s="14">
        <f>INDEX(挂机升级突破!$CN$7:$CN$26,AX257)</f>
        <v>3</v>
      </c>
      <c r="AV257" s="14">
        <f t="shared" si="111"/>
        <v>2</v>
      </c>
      <c r="AW257" s="14" t="str">
        <f t="shared" si="112"/>
        <v>塞伯罗斯</v>
      </c>
      <c r="AX257" s="14">
        <f t="shared" si="113"/>
        <v>13</v>
      </c>
      <c r="AY257" s="14" t="str">
        <f t="shared" si="114"/>
        <v>塞伯罗斯13突</v>
      </c>
      <c r="AZ257" s="14" t="str">
        <f>IF(AT257&gt;0,INDEX(挂机升级突破!$CV$5:$CZ$5,卡牌消耗!AT257),"")</f>
        <v>金币</v>
      </c>
      <c r="BA257" s="14">
        <f>IF(AT257&gt;0,ROUND(INDEX(挂机升级突破!$CZ$7:$CZ$26,卡牌消耗!AX257)*INDEX(卡牌消耗!$B$8:$F$8,AV257)/$Q$4/500,0)*500,"")</f>
        <v>18000</v>
      </c>
      <c r="BB257" s="14" t="str">
        <f>IF(AU257&gt;0,INDEX(挂机升级突破!$CV$5:$CZ$5,卡牌消耗!AU257),"")</f>
        <v>银母</v>
      </c>
      <c r="BC257" s="14">
        <f>IF(AU257&gt;0,ROUND(INDEX(挂机升级突破!$CV$7:$CY$26,卡牌消耗!AX257,卡牌消耗!AU257)*INDEX($B$6:$F$6,AV257)/$Q$4/5,0)*5,"")</f>
        <v>25</v>
      </c>
      <c r="BD257" s="104"/>
      <c r="BE257" s="104"/>
      <c r="BF257" s="106"/>
      <c r="CD257" s="139">
        <v>253</v>
      </c>
      <c r="CE257" s="14">
        <f t="shared" si="120"/>
        <v>51</v>
      </c>
      <c r="CF257" s="14">
        <f t="shared" si="121"/>
        <v>4</v>
      </c>
      <c r="CG257" s="14">
        <f t="shared" si="122"/>
        <v>1102031</v>
      </c>
      <c r="CH257" s="139" t="s">
        <v>1127</v>
      </c>
      <c r="CI257" s="14">
        <f t="shared" si="123"/>
        <v>3</v>
      </c>
      <c r="CJ257" s="14" t="str">
        <f t="shared" si="124"/>
        <v>秦琼-3星</v>
      </c>
      <c r="CK257" s="139" t="s">
        <v>70</v>
      </c>
      <c r="CL257" s="14">
        <f t="shared" si="125"/>
        <v>14000</v>
      </c>
      <c r="CM257" s="14" t="str">
        <f t="shared" si="126"/>
        <v>秦琼碎片</v>
      </c>
      <c r="CN257" s="14">
        <f t="shared" si="127"/>
        <v>160</v>
      </c>
    </row>
    <row r="258" spans="8:92" ht="16.5" x14ac:dyDescent="0.2">
      <c r="H258" s="15"/>
      <c r="I258" s="15"/>
      <c r="J258" s="15"/>
      <c r="K258" s="15"/>
      <c r="L258" s="15"/>
      <c r="M258" s="15"/>
      <c r="N258" s="15"/>
      <c r="O258" s="137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  <c r="Z258" s="141"/>
      <c r="AA258" s="104">
        <v>254</v>
      </c>
      <c r="AB258" s="14">
        <f t="shared" si="105"/>
        <v>5</v>
      </c>
      <c r="AC258" s="14">
        <f>INDEX(挂机升级突破!$BU$6:$BU$57,卡牌消耗!AI258)</f>
        <v>11</v>
      </c>
      <c r="AD258" s="14">
        <f>INDEX(挂机升级突破!BV$6:BV$57,卡牌消耗!$AI258)</f>
        <v>5</v>
      </c>
      <c r="AE258" s="14">
        <f>INDEX(挂机升级突破!BW$6:BW$57,卡牌消耗!$AI258)</f>
        <v>10</v>
      </c>
      <c r="AF258" s="14" t="str">
        <f t="shared" si="106"/>
        <v>李轩辕</v>
      </c>
      <c r="AG258" s="14">
        <f t="shared" si="107"/>
        <v>3</v>
      </c>
      <c r="AH258" s="14" t="str">
        <f t="shared" si="108"/>
        <v>李轩辕魂火-46</v>
      </c>
      <c r="AI258" s="14">
        <f t="shared" si="109"/>
        <v>46</v>
      </c>
      <c r="AJ258" s="14" t="str">
        <f>INDEX(挂机升级突破!$BX$4:$CH$4,INDEX(挂机升级突破!$BU$6:$BU$57,卡牌消耗!AI258))</f>
        <v>金币</v>
      </c>
      <c r="AK258" s="14">
        <f>ROUND(INDEX(挂机升级突破!$BN$6:$BN$57,卡牌消耗!AI258)*INDEX(卡牌消耗!$B$8:$F$8,AG258)/$Q$4/50,0)*50</f>
        <v>31350</v>
      </c>
      <c r="AL258" s="14" t="str">
        <f>IF(AD258&gt;0,INDEX(挂机升级突破!$BX$4:$CH$4,AD258),"")</f>
        <v>红色基础材料</v>
      </c>
      <c r="AM258" s="14">
        <f>ROUND(INDEX(挂机升级突破!$BX$6:$CH$57,卡牌消耗!AI258,AD258)*INDEX(卡牌消耗!$B$5:$F$5,AG258)/$Q$4/5,0)*5</f>
        <v>65</v>
      </c>
      <c r="AN258" s="14" t="str">
        <f>IF(AE258&gt;0,INDEX(挂机升级突破!$BX$4:$CH$4,AE258),"")</f>
        <v>灵玉</v>
      </c>
      <c r="AO258" s="14">
        <f>IF(AE258&gt;0,ROUND(INDEX(挂机升级突破!$BX$6:$CH$57,卡牌消耗!AI258,AE258)*INDEX(卡牌消耗!$B$7:$F$7,AG258)/$Q$4,0),"")</f>
        <v>1</v>
      </c>
      <c r="AP258" s="106"/>
      <c r="AQ258" s="15"/>
      <c r="AR258" s="104">
        <v>254</v>
      </c>
      <c r="AS258" s="14">
        <f t="shared" si="110"/>
        <v>13</v>
      </c>
      <c r="AT258" s="14">
        <f>INDEX(挂机升级突破!$CM$7:$CM$26,AX258)</f>
        <v>5</v>
      </c>
      <c r="AU258" s="14">
        <f>INDEX(挂机升级突破!$CN$7:$CN$26,AX258)</f>
        <v>3</v>
      </c>
      <c r="AV258" s="14">
        <f t="shared" si="111"/>
        <v>2</v>
      </c>
      <c r="AW258" s="14" t="str">
        <f t="shared" si="112"/>
        <v>塞伯罗斯</v>
      </c>
      <c r="AX258" s="14">
        <f t="shared" si="113"/>
        <v>14</v>
      </c>
      <c r="AY258" s="14" t="str">
        <f t="shared" si="114"/>
        <v>塞伯罗斯14突</v>
      </c>
      <c r="AZ258" s="14" t="str">
        <f>IF(AT258&gt;0,INDEX(挂机升级突破!$CV$5:$CZ$5,卡牌消耗!AT258),"")</f>
        <v>金币</v>
      </c>
      <c r="BA258" s="14">
        <f>IF(AT258&gt;0,ROUND(INDEX(挂机升级突破!$CZ$7:$CZ$26,卡牌消耗!AX258)*INDEX(卡牌消耗!$B$8:$F$8,AV258)/$Q$4/500,0)*500,"")</f>
        <v>18000</v>
      </c>
      <c r="BB258" s="14" t="str">
        <f>IF(AU258&gt;0,INDEX(挂机升级突破!$CV$5:$CZ$5,卡牌消耗!AU258),"")</f>
        <v>银母</v>
      </c>
      <c r="BC258" s="14">
        <f>IF(AU258&gt;0,ROUND(INDEX(挂机升级突破!$CV$7:$CY$26,卡牌消耗!AX258,卡牌消耗!AU258)*INDEX($B$6:$F$6,AV258)/$Q$4/5,0)*5,"")</f>
        <v>30</v>
      </c>
      <c r="BD258" s="104"/>
      <c r="BE258" s="104"/>
      <c r="BF258" s="106"/>
      <c r="CD258" s="139">
        <v>254</v>
      </c>
      <c r="CE258" s="14">
        <f t="shared" si="120"/>
        <v>51</v>
      </c>
      <c r="CF258" s="14">
        <f t="shared" si="121"/>
        <v>4</v>
      </c>
      <c r="CG258" s="14">
        <f t="shared" si="122"/>
        <v>1102031</v>
      </c>
      <c r="CH258" s="139" t="s">
        <v>1127</v>
      </c>
      <c r="CI258" s="14">
        <f t="shared" si="123"/>
        <v>4</v>
      </c>
      <c r="CJ258" s="14" t="str">
        <f t="shared" si="124"/>
        <v>秦琼-4星</v>
      </c>
      <c r="CK258" s="139" t="s">
        <v>70</v>
      </c>
      <c r="CL258" s="14">
        <f t="shared" si="125"/>
        <v>32000</v>
      </c>
      <c r="CM258" s="14" t="str">
        <f t="shared" si="126"/>
        <v>秦琼碎片</v>
      </c>
      <c r="CN258" s="14">
        <f t="shared" si="127"/>
        <v>240</v>
      </c>
    </row>
    <row r="259" spans="8:92" ht="16.5" x14ac:dyDescent="0.2">
      <c r="H259" s="15"/>
      <c r="I259" s="15"/>
      <c r="J259" s="15"/>
      <c r="K259" s="15"/>
      <c r="L259" s="15"/>
      <c r="M259" s="15"/>
      <c r="N259" s="15"/>
      <c r="O259" s="137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  <c r="Z259" s="141"/>
      <c r="AA259" s="104">
        <v>255</v>
      </c>
      <c r="AB259" s="14">
        <f t="shared" si="105"/>
        <v>5</v>
      </c>
      <c r="AC259" s="14">
        <f>INDEX(挂机升级突破!$BU$6:$BU$57,卡牌消耗!AI259)</f>
        <v>11</v>
      </c>
      <c r="AD259" s="14">
        <f>INDEX(挂机升级突破!BV$6:BV$57,卡牌消耗!$AI259)</f>
        <v>5</v>
      </c>
      <c r="AE259" s="14">
        <f>INDEX(挂机升级突破!BW$6:BW$57,卡牌消耗!$AI259)</f>
        <v>10</v>
      </c>
      <c r="AF259" s="14" t="str">
        <f t="shared" si="106"/>
        <v>李轩辕</v>
      </c>
      <c r="AG259" s="14">
        <f t="shared" si="107"/>
        <v>3</v>
      </c>
      <c r="AH259" s="14" t="str">
        <f t="shared" si="108"/>
        <v>李轩辕魂火-47</v>
      </c>
      <c r="AI259" s="14">
        <f t="shared" si="109"/>
        <v>47</v>
      </c>
      <c r="AJ259" s="14" t="str">
        <f>INDEX(挂机升级突破!$BX$4:$CH$4,INDEX(挂机升级突破!$BU$6:$BU$57,卡牌消耗!AI259))</f>
        <v>金币</v>
      </c>
      <c r="AK259" s="14">
        <f>ROUND(INDEX(挂机升级突破!$BN$6:$BN$57,卡牌消耗!AI259)*INDEX(卡牌消耗!$B$8:$F$8,AG259)/$Q$4/50,0)*50</f>
        <v>151950</v>
      </c>
      <c r="AL259" s="14" t="str">
        <f>IF(AD259&gt;0,INDEX(挂机升级突破!$BX$4:$CH$4,AD259),"")</f>
        <v>红色基础材料</v>
      </c>
      <c r="AM259" s="14">
        <f>ROUND(INDEX(挂机升级突破!$BX$6:$CH$57,卡牌消耗!AI259,AD259)*INDEX(卡牌消耗!$B$5:$F$5,AG259)/$Q$4/5,0)*5</f>
        <v>65</v>
      </c>
      <c r="AN259" s="14" t="str">
        <f>IF(AE259&gt;0,INDEX(挂机升级突破!$BX$4:$CH$4,AE259),"")</f>
        <v>灵玉</v>
      </c>
      <c r="AO259" s="14">
        <f>IF(AE259&gt;0,ROUND(INDEX(挂机升级突破!$BX$6:$CH$57,卡牌消耗!AI259,AE259)*INDEX(卡牌消耗!$B$7:$F$7,AG259)/$Q$4,0),"")</f>
        <v>1</v>
      </c>
      <c r="AP259" s="106"/>
      <c r="AQ259" s="15"/>
      <c r="AR259" s="104">
        <v>255</v>
      </c>
      <c r="AS259" s="14">
        <f t="shared" si="110"/>
        <v>13</v>
      </c>
      <c r="AT259" s="14">
        <f>INDEX(挂机升级突破!$CM$7:$CM$26,AX259)</f>
        <v>5</v>
      </c>
      <c r="AU259" s="14">
        <f>INDEX(挂机升级突破!$CN$7:$CN$26,AX259)</f>
        <v>3</v>
      </c>
      <c r="AV259" s="14">
        <f t="shared" si="111"/>
        <v>2</v>
      </c>
      <c r="AW259" s="14" t="str">
        <f t="shared" si="112"/>
        <v>塞伯罗斯</v>
      </c>
      <c r="AX259" s="14">
        <f t="shared" si="113"/>
        <v>15</v>
      </c>
      <c r="AY259" s="14" t="str">
        <f t="shared" si="114"/>
        <v>塞伯罗斯15突</v>
      </c>
      <c r="AZ259" s="14" t="str">
        <f>IF(AT259&gt;0,INDEX(挂机升级突破!$CV$5:$CZ$5,卡牌消耗!AT259),"")</f>
        <v>金币</v>
      </c>
      <c r="BA259" s="14">
        <f>IF(AT259&gt;0,ROUND(INDEX(挂机升级突破!$CZ$7:$CZ$26,卡牌消耗!AX259)*INDEX(卡牌消耗!$B$8:$F$8,AV259)/$Q$4/500,0)*500,"")</f>
        <v>24000</v>
      </c>
      <c r="BB259" s="14" t="str">
        <f>IF(AU259&gt;0,INDEX(挂机升级突破!$CV$5:$CZ$5,卡牌消耗!AU259),"")</f>
        <v>银母</v>
      </c>
      <c r="BC259" s="14">
        <f>IF(AU259&gt;0,ROUND(INDEX(挂机升级突破!$CV$7:$CY$26,卡牌消耗!AX259,卡牌消耗!AU259)*INDEX($B$6:$F$6,AV259)/$Q$4/5,0)*5,"")</f>
        <v>45</v>
      </c>
      <c r="BD259" s="104"/>
      <c r="BE259" s="104"/>
      <c r="BF259" s="106"/>
      <c r="CD259" s="139">
        <v>255</v>
      </c>
      <c r="CE259" s="14">
        <f t="shared" si="120"/>
        <v>51</v>
      </c>
      <c r="CF259" s="14">
        <f t="shared" si="121"/>
        <v>4</v>
      </c>
      <c r="CG259" s="14">
        <f t="shared" si="122"/>
        <v>1102031</v>
      </c>
      <c r="CH259" s="139" t="s">
        <v>1127</v>
      </c>
      <c r="CI259" s="14">
        <f t="shared" si="123"/>
        <v>5</v>
      </c>
      <c r="CJ259" s="14" t="str">
        <f t="shared" si="124"/>
        <v>秦琼-5星</v>
      </c>
      <c r="CK259" s="139" t="s">
        <v>70</v>
      </c>
      <c r="CL259" s="14">
        <f t="shared" si="125"/>
        <v>60000</v>
      </c>
      <c r="CM259" s="14" t="str">
        <f t="shared" si="126"/>
        <v>秦琼碎片</v>
      </c>
      <c r="CN259" s="14">
        <f t="shared" si="127"/>
        <v>320</v>
      </c>
    </row>
    <row r="260" spans="8:92" ht="16.5" x14ac:dyDescent="0.2">
      <c r="H260" s="15"/>
      <c r="I260" s="15"/>
      <c r="J260" s="15"/>
      <c r="K260" s="15"/>
      <c r="L260" s="15"/>
      <c r="M260" s="15"/>
      <c r="N260" s="15"/>
      <c r="O260" s="137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  <c r="Z260" s="141"/>
      <c r="AA260" s="104">
        <v>256</v>
      </c>
      <c r="AB260" s="14">
        <f t="shared" si="105"/>
        <v>5</v>
      </c>
      <c r="AC260" s="14">
        <f>INDEX(挂机升级突破!$BU$6:$BU$57,卡牌消耗!AI260)</f>
        <v>11</v>
      </c>
      <c r="AD260" s="14">
        <f>INDEX(挂机升级突破!BV$6:BV$57,卡牌消耗!$AI260)</f>
        <v>5</v>
      </c>
      <c r="AE260" s="14">
        <f>INDEX(挂机升级突破!BW$6:BW$57,卡牌消耗!$AI260)</f>
        <v>10</v>
      </c>
      <c r="AF260" s="14" t="str">
        <f t="shared" si="106"/>
        <v>李轩辕</v>
      </c>
      <c r="AG260" s="14">
        <f t="shared" si="107"/>
        <v>3</v>
      </c>
      <c r="AH260" s="14" t="str">
        <f t="shared" si="108"/>
        <v>李轩辕魂火-48</v>
      </c>
      <c r="AI260" s="14">
        <f t="shared" si="109"/>
        <v>48</v>
      </c>
      <c r="AJ260" s="14" t="str">
        <f>INDEX(挂机升级突破!$BX$4:$CH$4,INDEX(挂机升级突破!$BU$6:$BU$57,卡牌消耗!AI260))</f>
        <v>金币</v>
      </c>
      <c r="AK260" s="14">
        <f>ROUND(INDEX(挂机升级突破!$BN$6:$BN$57,卡牌消耗!AI260)*INDEX(卡牌消耗!$B$8:$F$8,AG260)/$Q$4/50,0)*50</f>
        <v>151950</v>
      </c>
      <c r="AL260" s="14" t="str">
        <f>IF(AD260&gt;0,INDEX(挂机升级突破!$BX$4:$CH$4,AD260),"")</f>
        <v>红色基础材料</v>
      </c>
      <c r="AM260" s="14">
        <f>ROUND(INDEX(挂机升级突破!$BX$6:$CH$57,卡牌消耗!AI260,AD260)*INDEX(卡牌消耗!$B$5:$F$5,AG260)/$Q$4/5,0)*5</f>
        <v>65</v>
      </c>
      <c r="AN260" s="14" t="str">
        <f>IF(AE260&gt;0,INDEX(挂机升级突破!$BX$4:$CH$4,AE260),"")</f>
        <v>灵玉</v>
      </c>
      <c r="AO260" s="14">
        <f>IF(AE260&gt;0,ROUND(INDEX(挂机升级突破!$BX$6:$CH$57,卡牌消耗!AI260,AE260)*INDEX(卡牌消耗!$B$7:$F$7,AG260)/$Q$4,0),"")</f>
        <v>1</v>
      </c>
      <c r="AP260" s="106"/>
      <c r="AQ260" s="15"/>
      <c r="AR260" s="104">
        <v>256</v>
      </c>
      <c r="AS260" s="14">
        <f t="shared" si="110"/>
        <v>13</v>
      </c>
      <c r="AT260" s="14">
        <f>INDEX(挂机升级突破!$CM$7:$CM$26,AX260)</f>
        <v>5</v>
      </c>
      <c r="AU260" s="14">
        <f>INDEX(挂机升级突破!$CN$7:$CN$26,AX260)</f>
        <v>3</v>
      </c>
      <c r="AV260" s="14">
        <f t="shared" si="111"/>
        <v>2</v>
      </c>
      <c r="AW260" s="14" t="str">
        <f t="shared" si="112"/>
        <v>塞伯罗斯</v>
      </c>
      <c r="AX260" s="14">
        <f t="shared" si="113"/>
        <v>16</v>
      </c>
      <c r="AY260" s="14" t="str">
        <f t="shared" si="114"/>
        <v>塞伯罗斯16突</v>
      </c>
      <c r="AZ260" s="14" t="str">
        <f>IF(AT260&gt;0,INDEX(挂机升级突破!$CV$5:$CZ$5,卡牌消耗!AT260),"")</f>
        <v>金币</v>
      </c>
      <c r="BA260" s="14">
        <f>IF(AT260&gt;0,ROUND(INDEX(挂机升级突破!$CZ$7:$CZ$26,卡牌消耗!AX260)*INDEX(卡牌消耗!$B$8:$F$8,AV260)/$Q$4/500,0)*500,"")</f>
        <v>44000</v>
      </c>
      <c r="BB260" s="14" t="str">
        <f>IF(AU260&gt;0,INDEX(挂机升级突破!$CV$5:$CZ$5,卡牌消耗!AU260),"")</f>
        <v>银母</v>
      </c>
      <c r="BC260" s="14">
        <f>IF(AU260&gt;0,ROUND(INDEX(挂机升级突破!$CV$7:$CY$26,卡牌消耗!AX260,卡牌消耗!AU260)*INDEX($B$6:$F$6,AV260)/$Q$4/5,0)*5,"")</f>
        <v>55</v>
      </c>
      <c r="BD260" s="104"/>
      <c r="BE260" s="104"/>
      <c r="BF260" s="106"/>
    </row>
    <row r="261" spans="8:92" ht="16.5" x14ac:dyDescent="0.2">
      <c r="H261" s="15"/>
      <c r="I261" s="15"/>
      <c r="J261" s="15"/>
      <c r="K261" s="15"/>
      <c r="L261" s="15"/>
      <c r="M261" s="15"/>
      <c r="N261" s="15"/>
      <c r="O261" s="137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  <c r="Z261" s="141"/>
      <c r="AA261" s="104">
        <v>257</v>
      </c>
      <c r="AB261" s="14">
        <f t="shared" si="105"/>
        <v>5</v>
      </c>
      <c r="AC261" s="14">
        <f>INDEX(挂机升级突破!$BU$6:$BU$57,卡牌消耗!AI261)</f>
        <v>11</v>
      </c>
      <c r="AD261" s="14">
        <f>INDEX(挂机升级突破!BV$6:BV$57,卡牌消耗!$AI261)</f>
        <v>5</v>
      </c>
      <c r="AE261" s="14">
        <f>INDEX(挂机升级突破!BW$6:BW$57,卡牌消耗!$AI261)</f>
        <v>10</v>
      </c>
      <c r="AF261" s="14" t="str">
        <f t="shared" si="106"/>
        <v>李轩辕</v>
      </c>
      <c r="AG261" s="14">
        <f t="shared" si="107"/>
        <v>3</v>
      </c>
      <c r="AH261" s="14" t="str">
        <f t="shared" si="108"/>
        <v>李轩辕魂火-49</v>
      </c>
      <c r="AI261" s="14">
        <f t="shared" si="109"/>
        <v>49</v>
      </c>
      <c r="AJ261" s="14" t="str">
        <f>INDEX(挂机升级突破!$BX$4:$CH$4,INDEX(挂机升级突破!$BU$6:$BU$57,卡牌消耗!AI261))</f>
        <v>金币</v>
      </c>
      <c r="AK261" s="14">
        <f>ROUND(INDEX(挂机升级突破!$BN$6:$BN$57,卡牌消耗!AI261)*INDEX(卡牌消耗!$B$8:$F$8,AG261)/$Q$4/50,0)*50</f>
        <v>151950</v>
      </c>
      <c r="AL261" s="14" t="str">
        <f>IF(AD261&gt;0,INDEX(挂机升级突破!$BX$4:$CH$4,AD261),"")</f>
        <v>红色基础材料</v>
      </c>
      <c r="AM261" s="14">
        <f>ROUND(INDEX(挂机升级突破!$BX$6:$CH$57,卡牌消耗!AI261,AD261)*INDEX(卡牌消耗!$B$5:$F$5,AG261)/$Q$4/5,0)*5</f>
        <v>70</v>
      </c>
      <c r="AN261" s="14" t="str">
        <f>IF(AE261&gt;0,INDEX(挂机升级突破!$BX$4:$CH$4,AE261),"")</f>
        <v>灵玉</v>
      </c>
      <c r="AO261" s="14">
        <f>IF(AE261&gt;0,ROUND(INDEX(挂机升级突破!$BX$6:$CH$57,卡牌消耗!AI261,AE261)*INDEX(卡牌消耗!$B$7:$F$7,AG261)/$Q$4,0),"")</f>
        <v>1</v>
      </c>
      <c r="AP261" s="106"/>
      <c r="AQ261" s="15"/>
      <c r="AR261" s="104">
        <v>257</v>
      </c>
      <c r="AS261" s="14">
        <f t="shared" si="110"/>
        <v>13</v>
      </c>
      <c r="AT261" s="14">
        <f>INDEX(挂机升级突破!$CM$7:$CM$26,AX261)</f>
        <v>5</v>
      </c>
      <c r="AU261" s="14">
        <f>INDEX(挂机升级突破!$CN$7:$CN$26,AX261)</f>
        <v>4</v>
      </c>
      <c r="AV261" s="14">
        <f t="shared" si="111"/>
        <v>2</v>
      </c>
      <c r="AW261" s="14" t="str">
        <f t="shared" si="112"/>
        <v>塞伯罗斯</v>
      </c>
      <c r="AX261" s="14">
        <f t="shared" si="113"/>
        <v>17</v>
      </c>
      <c r="AY261" s="14" t="str">
        <f t="shared" si="114"/>
        <v>塞伯罗斯17突</v>
      </c>
      <c r="AZ261" s="14" t="str">
        <f>IF(AT261&gt;0,INDEX(挂机升级突破!$CV$5:$CZ$5,卡牌消耗!AT261),"")</f>
        <v>金币</v>
      </c>
      <c r="BA261" s="14">
        <f>IF(AT261&gt;0,ROUND(INDEX(挂机升级突破!$CZ$7:$CZ$26,卡牌消耗!AX261)*INDEX(卡牌消耗!$B$8:$F$8,AV261)/$Q$4/500,0)*500,"")</f>
        <v>44000</v>
      </c>
      <c r="BB261" s="14" t="str">
        <f>IF(AU261&gt;0,INDEX(挂机升级突破!$CV$5:$CZ$5,卡牌消耗!AU261),"")</f>
        <v>铀金</v>
      </c>
      <c r="BC261" s="14">
        <f>IF(AU261&gt;0,ROUND(INDEX(挂机升级突破!$CV$7:$CY$26,卡牌消耗!AX261,卡牌消耗!AU261)*INDEX($B$6:$F$6,AV261)/$Q$4/5,0)*5,"")</f>
        <v>20</v>
      </c>
      <c r="BD261" s="104"/>
      <c r="BE261" s="104"/>
      <c r="BF261" s="106"/>
    </row>
    <row r="262" spans="8:92" ht="16.5" x14ac:dyDescent="0.2">
      <c r="H262" s="15"/>
      <c r="I262" s="15"/>
      <c r="J262" s="15"/>
      <c r="K262" s="15"/>
      <c r="L262" s="15"/>
      <c r="M262" s="15"/>
      <c r="N262" s="15"/>
      <c r="O262" s="137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  <c r="Z262" s="141"/>
      <c r="AA262" s="104">
        <v>258</v>
      </c>
      <c r="AB262" s="14">
        <f t="shared" ref="AB262:AB325" si="128">INT((AA262-1)/52)+1</f>
        <v>5</v>
      </c>
      <c r="AC262" s="14">
        <f>INDEX(挂机升级突破!$BU$6:$BU$57,卡牌消耗!AI262)</f>
        <v>11</v>
      </c>
      <c r="AD262" s="14">
        <f>INDEX(挂机升级突破!BV$6:BV$57,卡牌消耗!$AI262)</f>
        <v>5</v>
      </c>
      <c r="AE262" s="14">
        <f>INDEX(挂机升级突破!BW$6:BW$57,卡牌消耗!$AI262)</f>
        <v>10</v>
      </c>
      <c r="AF262" s="14" t="str">
        <f t="shared" ref="AF262:AF325" si="129">INDEX($B$13:$B$40,AB262)</f>
        <v>李轩辕</v>
      </c>
      <c r="AG262" s="14">
        <f t="shared" ref="AG262:AG325" si="130">INDEX($C$13:$C$40,AB262)</f>
        <v>3</v>
      </c>
      <c r="AH262" s="14" t="str">
        <f t="shared" ref="AH262:AH325" si="131">AF262&amp;"魂火-"&amp;AI262</f>
        <v>李轩辕魂火-50</v>
      </c>
      <c r="AI262" s="14">
        <f t="shared" ref="AI262:AI325" si="132">AA262-(AB262-1)*52</f>
        <v>50</v>
      </c>
      <c r="AJ262" s="14" t="str">
        <f>INDEX(挂机升级突破!$BX$4:$CH$4,INDEX(挂机升级突破!$BU$6:$BU$57,卡牌消耗!AI262))</f>
        <v>金币</v>
      </c>
      <c r="AK262" s="14">
        <f>ROUND(INDEX(挂机升级突破!$BN$6:$BN$57,卡牌消耗!AI262)*INDEX(卡牌消耗!$B$8:$F$8,AG262)/$Q$4/50,0)*50</f>
        <v>253250</v>
      </c>
      <c r="AL262" s="14" t="str">
        <f>IF(AD262&gt;0,INDEX(挂机升级突破!$BX$4:$CH$4,AD262),"")</f>
        <v>红色基础材料</v>
      </c>
      <c r="AM262" s="14">
        <f>ROUND(INDEX(挂机升级突破!$BX$6:$CH$57,卡牌消耗!AI262,AD262)*INDEX(卡牌消耗!$B$5:$F$5,AG262)/$Q$4/5,0)*5</f>
        <v>70</v>
      </c>
      <c r="AN262" s="14" t="str">
        <f>IF(AE262&gt;0,INDEX(挂机升级突破!$BX$4:$CH$4,AE262),"")</f>
        <v>灵玉</v>
      </c>
      <c r="AO262" s="14">
        <f>IF(AE262&gt;0,ROUND(INDEX(挂机升级突破!$BX$6:$CH$57,卡牌消耗!AI262,AE262)*INDEX(卡牌消耗!$B$7:$F$7,AG262)/$Q$4,0),"")</f>
        <v>1</v>
      </c>
      <c r="AP262" s="106"/>
      <c r="AQ262" s="15"/>
      <c r="AR262" s="104">
        <v>258</v>
      </c>
      <c r="AS262" s="14">
        <f t="shared" ref="AS262:AS325" si="133">INT((AR262-1)/20)+1</f>
        <v>13</v>
      </c>
      <c r="AT262" s="14">
        <f>INDEX(挂机升级突破!$CM$7:$CM$26,AX262)</f>
        <v>5</v>
      </c>
      <c r="AU262" s="14">
        <f>INDEX(挂机升级突破!$CN$7:$CN$26,AX262)</f>
        <v>4</v>
      </c>
      <c r="AV262" s="14">
        <f t="shared" ref="AV262:AV325" si="134">INDEX($C$13:$C$40,AS262)</f>
        <v>2</v>
      </c>
      <c r="AW262" s="14" t="str">
        <f t="shared" ref="AW262:AW325" si="135">INDEX($B$13:$B$40,AS262)</f>
        <v>塞伯罗斯</v>
      </c>
      <c r="AX262" s="14">
        <f t="shared" ref="AX262:AX325" si="136">AR262-(AS262-1)*20</f>
        <v>18</v>
      </c>
      <c r="AY262" s="14" t="str">
        <f t="shared" ref="AY262:AY325" si="137">AW262&amp;AX262&amp;"突"</f>
        <v>塞伯罗斯18突</v>
      </c>
      <c r="AZ262" s="14" t="str">
        <f>IF(AT262&gt;0,INDEX(挂机升级突破!$CV$5:$CZ$5,卡牌消耗!AT262),"")</f>
        <v>金币</v>
      </c>
      <c r="BA262" s="14">
        <f>IF(AT262&gt;0,ROUND(INDEX(挂机升级突破!$CZ$7:$CZ$26,卡牌消耗!AX262)*INDEX(卡牌消耗!$B$8:$F$8,AV262)/$Q$4/500,0)*500,"")</f>
        <v>58500</v>
      </c>
      <c r="BB262" s="14" t="str">
        <f>IF(AU262&gt;0,INDEX(挂机升级突破!$CV$5:$CZ$5,卡牌消耗!AU262),"")</f>
        <v>铀金</v>
      </c>
      <c r="BC262" s="14">
        <f>IF(AU262&gt;0,ROUND(INDEX(挂机升级突破!$CV$7:$CY$26,卡牌消耗!AX262,卡牌消耗!AU262)*INDEX($B$6:$F$6,AV262)/$Q$4/5,0)*5,"")</f>
        <v>25</v>
      </c>
      <c r="BD262" s="104"/>
      <c r="BE262" s="104"/>
      <c r="BF262" s="106"/>
    </row>
    <row r="263" spans="8:92" ht="16.5" x14ac:dyDescent="0.2">
      <c r="H263" s="15"/>
      <c r="I263" s="15"/>
      <c r="J263" s="15"/>
      <c r="K263" s="15"/>
      <c r="L263" s="15"/>
      <c r="M263" s="15"/>
      <c r="N263" s="15"/>
      <c r="O263" s="137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  <c r="Z263" s="141"/>
      <c r="AA263" s="104">
        <v>259</v>
      </c>
      <c r="AB263" s="14">
        <f t="shared" si="128"/>
        <v>5</v>
      </c>
      <c r="AC263" s="14">
        <f>INDEX(挂机升级突破!$BU$6:$BU$57,卡牌消耗!AI263)</f>
        <v>11</v>
      </c>
      <c r="AD263" s="14">
        <f>INDEX(挂机升级突破!BV$6:BV$57,卡牌消耗!$AI263)</f>
        <v>5</v>
      </c>
      <c r="AE263" s="14">
        <f>INDEX(挂机升级突破!BW$6:BW$57,卡牌消耗!$AI263)</f>
        <v>10</v>
      </c>
      <c r="AF263" s="14" t="str">
        <f t="shared" si="129"/>
        <v>李轩辕</v>
      </c>
      <c r="AG263" s="14">
        <f t="shared" si="130"/>
        <v>3</v>
      </c>
      <c r="AH263" s="14" t="str">
        <f t="shared" si="131"/>
        <v>李轩辕魂火-51</v>
      </c>
      <c r="AI263" s="14">
        <f t="shared" si="132"/>
        <v>51</v>
      </c>
      <c r="AJ263" s="14" t="str">
        <f>INDEX(挂机升级突破!$BX$4:$CH$4,INDEX(挂机升级突破!$BU$6:$BU$57,卡牌消耗!AI263))</f>
        <v>金币</v>
      </c>
      <c r="AK263" s="14">
        <f>ROUND(INDEX(挂机升级突破!$BN$6:$BN$57,卡牌消耗!AI263)*INDEX(卡牌消耗!$B$8:$F$8,AG263)/$Q$4/50,0)*50</f>
        <v>278600</v>
      </c>
      <c r="AL263" s="14" t="str">
        <f>IF(AD263&gt;0,INDEX(挂机升级突破!$BX$4:$CH$4,AD263),"")</f>
        <v>红色基础材料</v>
      </c>
      <c r="AM263" s="14">
        <f>ROUND(INDEX(挂机升级突破!$BX$6:$CH$57,卡牌消耗!AI263,AD263)*INDEX(卡牌消耗!$B$5:$F$5,AG263)/$Q$4/5,0)*5</f>
        <v>70</v>
      </c>
      <c r="AN263" s="14" t="str">
        <f>IF(AE263&gt;0,INDEX(挂机升级突破!$BX$4:$CH$4,AE263),"")</f>
        <v>灵玉</v>
      </c>
      <c r="AO263" s="14">
        <f>IF(AE263&gt;0,ROUND(INDEX(挂机升级突破!$BX$6:$CH$57,卡牌消耗!AI263,AE263)*INDEX(卡牌消耗!$B$7:$F$7,AG263)/$Q$4,0),"")</f>
        <v>1</v>
      </c>
      <c r="AP263" s="106"/>
      <c r="AQ263" s="15"/>
      <c r="AR263" s="104">
        <v>259</v>
      </c>
      <c r="AS263" s="14">
        <f t="shared" si="133"/>
        <v>13</v>
      </c>
      <c r="AT263" s="14">
        <f>INDEX(挂机升级突破!$CM$7:$CM$26,AX263)</f>
        <v>5</v>
      </c>
      <c r="AU263" s="14">
        <f>INDEX(挂机升级突破!$CN$7:$CN$26,AX263)</f>
        <v>4</v>
      </c>
      <c r="AV263" s="14">
        <f t="shared" si="134"/>
        <v>2</v>
      </c>
      <c r="AW263" s="14" t="str">
        <f t="shared" si="135"/>
        <v>塞伯罗斯</v>
      </c>
      <c r="AX263" s="14">
        <f t="shared" si="136"/>
        <v>19</v>
      </c>
      <c r="AY263" s="14" t="str">
        <f t="shared" si="137"/>
        <v>塞伯罗斯19突</v>
      </c>
      <c r="AZ263" s="14" t="str">
        <f>IF(AT263&gt;0,INDEX(挂机升级突破!$CV$5:$CZ$5,卡牌消耗!AT263),"")</f>
        <v>金币</v>
      </c>
      <c r="BA263" s="14">
        <f>IF(AT263&gt;0,ROUND(INDEX(挂机升级突破!$CZ$7:$CZ$26,卡牌消耗!AX263)*INDEX(卡牌消耗!$B$8:$F$8,AV263)/$Q$4/500,0)*500,"")</f>
        <v>354500</v>
      </c>
      <c r="BB263" s="14" t="str">
        <f>IF(AU263&gt;0,INDEX(挂机升级突破!$CV$5:$CZ$5,卡牌消耗!AU263),"")</f>
        <v>铀金</v>
      </c>
      <c r="BC263" s="14">
        <f>IF(AU263&gt;0,ROUND(INDEX(挂机升级突破!$CV$7:$CY$26,卡牌消耗!AX263,卡牌消耗!AU263)*INDEX($B$6:$F$6,AV263)/$Q$4/5,0)*5,"")</f>
        <v>35</v>
      </c>
      <c r="BD263" s="104"/>
      <c r="BE263" s="104"/>
      <c r="BF263" s="106"/>
    </row>
    <row r="264" spans="8:92" ht="16.5" x14ac:dyDescent="0.2">
      <c r="H264" s="15"/>
      <c r="I264" s="15"/>
      <c r="J264" s="15"/>
      <c r="K264" s="15"/>
      <c r="L264" s="15"/>
      <c r="M264" s="15"/>
      <c r="N264" s="15"/>
      <c r="O264" s="137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  <c r="Z264" s="141"/>
      <c r="AA264" s="104">
        <v>260</v>
      </c>
      <c r="AB264" s="14">
        <f t="shared" si="128"/>
        <v>5</v>
      </c>
      <c r="AC264" s="14">
        <f>INDEX(挂机升级突破!$BU$6:$BU$57,卡牌消耗!AI264)</f>
        <v>11</v>
      </c>
      <c r="AD264" s="14">
        <f>INDEX(挂机升级突破!BV$6:BV$57,卡牌消耗!$AI264)</f>
        <v>5</v>
      </c>
      <c r="AE264" s="14">
        <f>INDEX(挂机升级突破!BW$6:BW$57,卡牌消耗!$AI264)</f>
        <v>10</v>
      </c>
      <c r="AF264" s="14" t="str">
        <f t="shared" si="129"/>
        <v>李轩辕</v>
      </c>
      <c r="AG264" s="14">
        <f t="shared" si="130"/>
        <v>3</v>
      </c>
      <c r="AH264" s="14" t="str">
        <f t="shared" si="131"/>
        <v>李轩辕魂火-52</v>
      </c>
      <c r="AI264" s="14">
        <f t="shared" si="132"/>
        <v>52</v>
      </c>
      <c r="AJ264" s="14" t="str">
        <f>INDEX(挂机升级突破!$BX$4:$CH$4,INDEX(挂机升级突破!$BU$6:$BU$57,卡牌消耗!AI264))</f>
        <v>金币</v>
      </c>
      <c r="AK264" s="14">
        <f>ROUND(INDEX(挂机升级突破!$BN$6:$BN$57,卡牌消耗!AI264)*INDEX(卡牌消耗!$B$8:$F$8,AG264)/$Q$4/50,0)*50</f>
        <v>278600</v>
      </c>
      <c r="AL264" s="14" t="str">
        <f>IF(AD264&gt;0,INDEX(挂机升级突破!$BX$4:$CH$4,AD264),"")</f>
        <v>红色基础材料</v>
      </c>
      <c r="AM264" s="14">
        <f>ROUND(INDEX(挂机升级突破!$BX$6:$CH$57,卡牌消耗!AI264,AD264)*INDEX(卡牌消耗!$B$5:$F$5,AG264)/$Q$4/5,0)*5</f>
        <v>70</v>
      </c>
      <c r="AN264" s="14" t="str">
        <f>IF(AE264&gt;0,INDEX(挂机升级突破!$BX$4:$CH$4,AE264),"")</f>
        <v>灵玉</v>
      </c>
      <c r="AO264" s="14">
        <f>IF(AE264&gt;0,ROUND(INDEX(挂机升级突破!$BX$6:$CH$57,卡牌消耗!AI264,AE264)*INDEX(卡牌消耗!$B$7:$F$7,AG264)/$Q$4,0),"")</f>
        <v>1</v>
      </c>
      <c r="AP264" s="106"/>
      <c r="AQ264" s="15"/>
      <c r="AR264" s="104">
        <v>260</v>
      </c>
      <c r="AS264" s="14">
        <f t="shared" si="133"/>
        <v>13</v>
      </c>
      <c r="AT264" s="14">
        <f>INDEX(挂机升级突破!$CM$7:$CM$26,AX264)</f>
        <v>5</v>
      </c>
      <c r="AU264" s="14">
        <f>INDEX(挂机升级突破!$CN$7:$CN$26,AX264)</f>
        <v>4</v>
      </c>
      <c r="AV264" s="14">
        <f t="shared" si="134"/>
        <v>2</v>
      </c>
      <c r="AW264" s="14" t="str">
        <f t="shared" si="135"/>
        <v>塞伯罗斯</v>
      </c>
      <c r="AX264" s="14">
        <f t="shared" si="136"/>
        <v>20</v>
      </c>
      <c r="AY264" s="14" t="str">
        <f t="shared" si="137"/>
        <v>塞伯罗斯20突</v>
      </c>
      <c r="AZ264" s="14" t="str">
        <f>IF(AT264&gt;0,INDEX(挂机升级突破!$CV$5:$CZ$5,卡牌消耗!AT264),"")</f>
        <v>金币</v>
      </c>
      <c r="BA264" s="14">
        <f>IF(AT264&gt;0,ROUND(INDEX(挂机升级突破!$CZ$7:$CZ$26,卡牌消耗!AX264)*INDEX(卡牌消耗!$B$8:$F$8,AV264)/$Q$4/500,0)*500,"")</f>
        <v>532000</v>
      </c>
      <c r="BB264" s="14" t="str">
        <f>IF(AU264&gt;0,INDEX(挂机升级突破!$CV$5:$CZ$5,卡牌消耗!AU264),"")</f>
        <v>铀金</v>
      </c>
      <c r="BC264" s="14">
        <f>IF(AU264&gt;0,ROUND(INDEX(挂机升级突破!$CV$7:$CY$26,卡牌消耗!AX264,卡牌消耗!AU264)*INDEX($B$6:$F$6,AV264)/$Q$4/5,0)*5,"")</f>
        <v>45</v>
      </c>
      <c r="BD264" s="104"/>
      <c r="BE264" s="104"/>
      <c r="BF264" s="106"/>
    </row>
    <row r="265" spans="8:92" ht="16.5" x14ac:dyDescent="0.2">
      <c r="H265" s="15"/>
      <c r="I265" s="15"/>
      <c r="J265" s="15"/>
      <c r="K265" s="15"/>
      <c r="L265" s="15"/>
      <c r="M265" s="15"/>
      <c r="N265" s="15"/>
      <c r="O265" s="137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  <c r="Z265" s="141"/>
      <c r="AA265" s="104">
        <v>261</v>
      </c>
      <c r="AB265" s="14">
        <f t="shared" si="128"/>
        <v>6</v>
      </c>
      <c r="AC265" s="14">
        <f>INDEX(挂机升级突破!$BU$6:$BU$57,卡牌消耗!AI265)</f>
        <v>11</v>
      </c>
      <c r="AD265" s="14">
        <f>INDEX(挂机升级突破!BV$6:BV$57,卡牌消耗!$AI265)</f>
        <v>1</v>
      </c>
      <c r="AE265" s="14">
        <f>INDEX(挂机升级突破!BW$6:BW$57,卡牌消耗!$AI265)</f>
        <v>0</v>
      </c>
      <c r="AF265" s="14" t="str">
        <f t="shared" si="129"/>
        <v>项羽</v>
      </c>
      <c r="AG265" s="14">
        <f t="shared" si="130"/>
        <v>5</v>
      </c>
      <c r="AH265" s="14" t="str">
        <f t="shared" si="131"/>
        <v>项羽魂火-1</v>
      </c>
      <c r="AI265" s="14">
        <f t="shared" si="132"/>
        <v>1</v>
      </c>
      <c r="AJ265" s="14" t="str">
        <f>INDEX(挂机升级突破!$BX$4:$CH$4,INDEX(挂机升级突破!$BU$6:$BU$57,卡牌消耗!AI265))</f>
        <v>金币</v>
      </c>
      <c r="AK265" s="14">
        <f>ROUND(INDEX(挂机升级突破!$BN$6:$BN$57,卡牌消耗!AI265)*INDEX(卡牌消耗!$B$8:$F$8,AG265)/$Q$4/50,0)*50</f>
        <v>1200</v>
      </c>
      <c r="AL265" s="14" t="str">
        <f>IF(AD265&gt;0,INDEX(挂机升级突破!$BX$4:$CH$4,AD265),"")</f>
        <v>绿色基础材料</v>
      </c>
      <c r="AM265" s="14">
        <f>ROUND(INDEX(挂机升级突破!$BX$6:$CH$57,卡牌消耗!AI265,AD265)*INDEX(卡牌消耗!$B$5:$F$5,AG265)/$Q$4/5,0)*5</f>
        <v>1250</v>
      </c>
      <c r="AN265" s="14" t="str">
        <f>IF(AE265&gt;0,INDEX(挂机升级突破!$BX$4:$CH$4,AE265),"")</f>
        <v/>
      </c>
      <c r="AO265" s="14" t="str">
        <f>IF(AE265&gt;0,ROUND(INDEX(挂机升级突破!$BX$6:$CH$57,卡牌消耗!AI265,AE265)*INDEX(卡牌消耗!$B$7:$F$7,AG265)/$Q$4,0),"")</f>
        <v/>
      </c>
      <c r="AP265" s="106"/>
      <c r="AQ265" s="15"/>
      <c r="AR265" s="104">
        <v>261</v>
      </c>
      <c r="AS265" s="14">
        <f t="shared" si="133"/>
        <v>14</v>
      </c>
      <c r="AT265" s="14">
        <f>INDEX(挂机升级突破!$CM$7:$CM$26,AX265)</f>
        <v>0</v>
      </c>
      <c r="AU265" s="14">
        <f>INDEX(挂机升级突破!$CN$7:$CN$26,AX265)</f>
        <v>0</v>
      </c>
      <c r="AV265" s="14">
        <f t="shared" si="134"/>
        <v>3</v>
      </c>
      <c r="AW265" s="14" t="str">
        <f t="shared" si="135"/>
        <v>石灵明</v>
      </c>
      <c r="AX265" s="14">
        <f t="shared" si="136"/>
        <v>1</v>
      </c>
      <c r="AY265" s="14" t="str">
        <f t="shared" si="137"/>
        <v>石灵明1突</v>
      </c>
      <c r="AZ265" s="14" t="str">
        <f>IF(AT265&gt;0,INDEX(挂机升级突破!$CV$5:$CZ$5,卡牌消耗!AT265),"")</f>
        <v/>
      </c>
      <c r="BA265" s="14" t="str">
        <f>IF(AT265&gt;0,ROUND(INDEX(挂机升级突破!$CZ$7:$CZ$26,卡牌消耗!AX265)*INDEX(卡牌消耗!$B$8:$F$8,AV265)/$Q$4/500,0)*500,"")</f>
        <v/>
      </c>
      <c r="BB265" s="14" t="str">
        <f>IF(AU265&gt;0,INDEX(挂机升级突破!$CV$5:$CZ$5,卡牌消耗!AU265),"")</f>
        <v/>
      </c>
      <c r="BC265" s="14" t="str">
        <f>IF(AU265&gt;0,ROUND(INDEX(挂机升级突破!$CV$7:$CY$26,卡牌消耗!AX265,卡牌消耗!AU265)*INDEX($B$6:$F$6,AV265)/$Q$4/5,0)*5,"")</f>
        <v/>
      </c>
      <c r="BD265" s="104"/>
      <c r="BE265" s="104"/>
      <c r="BF265" s="106"/>
    </row>
    <row r="266" spans="8:92" ht="16.5" x14ac:dyDescent="0.2">
      <c r="H266" s="15"/>
      <c r="I266" s="15"/>
      <c r="J266" s="15"/>
      <c r="K266" s="15"/>
      <c r="L266" s="15"/>
      <c r="M266" s="15"/>
      <c r="N266" s="15"/>
      <c r="O266" s="137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  <c r="Z266" s="141"/>
      <c r="AA266" s="104">
        <v>262</v>
      </c>
      <c r="AB266" s="14">
        <f t="shared" si="128"/>
        <v>6</v>
      </c>
      <c r="AC266" s="14">
        <f>INDEX(挂机升级突破!$BU$6:$BU$57,卡牌消耗!AI266)</f>
        <v>11</v>
      </c>
      <c r="AD266" s="14">
        <f>INDEX(挂机升级突破!BV$6:BV$57,卡牌消耗!$AI266)</f>
        <v>1</v>
      </c>
      <c r="AE266" s="14">
        <f>INDEX(挂机升级突破!BW$6:BW$57,卡牌消耗!$AI266)</f>
        <v>0</v>
      </c>
      <c r="AF266" s="14" t="str">
        <f t="shared" si="129"/>
        <v>项羽</v>
      </c>
      <c r="AG266" s="14">
        <f t="shared" si="130"/>
        <v>5</v>
      </c>
      <c r="AH266" s="14" t="str">
        <f t="shared" si="131"/>
        <v>项羽魂火-2</v>
      </c>
      <c r="AI266" s="14">
        <f t="shared" si="132"/>
        <v>2</v>
      </c>
      <c r="AJ266" s="14" t="str">
        <f>INDEX(挂机升级突破!$BX$4:$CH$4,INDEX(挂机升级突破!$BU$6:$BU$57,卡牌消耗!AI266))</f>
        <v>金币</v>
      </c>
      <c r="AK266" s="14">
        <f>ROUND(INDEX(挂机升级突破!$BN$6:$BN$57,卡牌消耗!AI266)*INDEX(卡牌消耗!$B$8:$F$8,AG266)/$Q$4/50,0)*50</f>
        <v>1650</v>
      </c>
      <c r="AL266" s="14" t="str">
        <f>IF(AD266&gt;0,INDEX(挂机升级突破!$BX$4:$CH$4,AD266),"")</f>
        <v>绿色基础材料</v>
      </c>
      <c r="AM266" s="14">
        <f>ROUND(INDEX(挂机升级突破!$BX$6:$CH$57,卡牌消耗!AI266,AD266)*INDEX(卡牌消耗!$B$5:$F$5,AG266)/$Q$4/5,0)*5</f>
        <v>3755</v>
      </c>
      <c r="AN266" s="14" t="str">
        <f>IF(AE266&gt;0,INDEX(挂机升级突破!$BX$4:$CH$4,AE266),"")</f>
        <v/>
      </c>
      <c r="AO266" s="14" t="str">
        <f>IF(AE266&gt;0,ROUND(INDEX(挂机升级突破!$BX$6:$CH$57,卡牌消耗!AI266,AE266)*INDEX(卡牌消耗!$B$7:$F$7,AG266)/$Q$4,0),"")</f>
        <v/>
      </c>
      <c r="AP266" s="106"/>
      <c r="AQ266" s="15"/>
      <c r="AR266" s="104">
        <v>262</v>
      </c>
      <c r="AS266" s="14">
        <f t="shared" si="133"/>
        <v>14</v>
      </c>
      <c r="AT266" s="14">
        <f>INDEX(挂机升级突破!$CM$7:$CM$26,AX266)</f>
        <v>5</v>
      </c>
      <c r="AU266" s="14">
        <f>INDEX(挂机升级突破!$CN$7:$CN$26,AX266)</f>
        <v>0</v>
      </c>
      <c r="AV266" s="14">
        <f t="shared" si="134"/>
        <v>3</v>
      </c>
      <c r="AW266" s="14" t="str">
        <f t="shared" si="135"/>
        <v>石灵明</v>
      </c>
      <c r="AX266" s="14">
        <f t="shared" si="136"/>
        <v>2</v>
      </c>
      <c r="AY266" s="14" t="str">
        <f t="shared" si="137"/>
        <v>石灵明2突</v>
      </c>
      <c r="AZ266" s="14" t="str">
        <f>IF(AT266&gt;0,INDEX(挂机升级突破!$CV$5:$CZ$5,卡牌消耗!AT266),"")</f>
        <v>金币</v>
      </c>
      <c r="BA266" s="14">
        <f>IF(AT266&gt;0,ROUND(INDEX(挂机升级突破!$CZ$7:$CZ$26,卡牌消耗!AX266)*INDEX(卡牌消耗!$B$8:$F$8,AV266)/$Q$4/500,0)*500,"")</f>
        <v>2500</v>
      </c>
      <c r="BB266" s="14" t="str">
        <f>IF(AU266&gt;0,INDEX(挂机升级突破!$CV$5:$CZ$5,卡牌消耗!AU266),"")</f>
        <v/>
      </c>
      <c r="BC266" s="14" t="str">
        <f>IF(AU266&gt;0,ROUND(INDEX(挂机升级突破!$CV$7:$CY$26,卡牌消耗!AX266,卡牌消耗!AU266)*INDEX($B$6:$F$6,AV266)/$Q$4/5,0)*5,"")</f>
        <v/>
      </c>
      <c r="BD266" s="104"/>
      <c r="BE266" s="104"/>
      <c r="BF266" s="106"/>
    </row>
    <row r="267" spans="8:92" ht="16.5" x14ac:dyDescent="0.2">
      <c r="H267" s="15"/>
      <c r="I267" s="15"/>
      <c r="J267" s="15"/>
      <c r="K267" s="15"/>
      <c r="L267" s="15"/>
      <c r="M267" s="15"/>
      <c r="N267" s="15"/>
      <c r="O267" s="137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  <c r="Z267" s="141"/>
      <c r="AA267" s="104">
        <v>263</v>
      </c>
      <c r="AB267" s="14">
        <f t="shared" si="128"/>
        <v>6</v>
      </c>
      <c r="AC267" s="14">
        <f>INDEX(挂机升级突破!$BU$6:$BU$57,卡牌消耗!AI267)</f>
        <v>11</v>
      </c>
      <c r="AD267" s="14">
        <f>INDEX(挂机升级突破!BV$6:BV$57,卡牌消耗!$AI267)</f>
        <v>1</v>
      </c>
      <c r="AE267" s="14">
        <f>INDEX(挂机升级突破!BW$6:BW$57,卡牌消耗!$AI267)</f>
        <v>0</v>
      </c>
      <c r="AF267" s="14" t="str">
        <f t="shared" si="129"/>
        <v>项羽</v>
      </c>
      <c r="AG267" s="14">
        <f t="shared" si="130"/>
        <v>5</v>
      </c>
      <c r="AH267" s="14" t="str">
        <f t="shared" si="131"/>
        <v>项羽魂火-3</v>
      </c>
      <c r="AI267" s="14">
        <f t="shared" si="132"/>
        <v>3</v>
      </c>
      <c r="AJ267" s="14" t="str">
        <f>INDEX(挂机升级突破!$BX$4:$CH$4,INDEX(挂机升级突破!$BU$6:$BU$57,卡牌消耗!AI267))</f>
        <v>金币</v>
      </c>
      <c r="AK267" s="14">
        <f>ROUND(INDEX(挂机升级突破!$BN$6:$BN$57,卡牌消耗!AI267)*INDEX(卡牌消耗!$B$8:$F$8,AG267)/$Q$4/50,0)*50</f>
        <v>1650</v>
      </c>
      <c r="AL267" s="14" t="str">
        <f>IF(AD267&gt;0,INDEX(挂机升级突破!$BX$4:$CH$4,AD267),"")</f>
        <v>绿色基础材料</v>
      </c>
      <c r="AM267" s="14">
        <f>ROUND(INDEX(挂机升级突破!$BX$6:$CH$57,卡牌消耗!AI267,AD267)*INDEX(卡牌消耗!$B$5:$F$5,AG267)/$Q$4/5,0)*5</f>
        <v>5005</v>
      </c>
      <c r="AN267" s="14" t="str">
        <f>IF(AE267&gt;0,INDEX(挂机升级突破!$BX$4:$CH$4,AE267),"")</f>
        <v/>
      </c>
      <c r="AO267" s="14" t="str">
        <f>IF(AE267&gt;0,ROUND(INDEX(挂机升级突破!$BX$6:$CH$57,卡牌消耗!AI267,AE267)*INDEX(卡牌消耗!$B$7:$F$7,AG267)/$Q$4,0),"")</f>
        <v/>
      </c>
      <c r="AP267" s="106"/>
      <c r="AQ267" s="15"/>
      <c r="AR267" s="104">
        <v>263</v>
      </c>
      <c r="AS267" s="14">
        <f t="shared" si="133"/>
        <v>14</v>
      </c>
      <c r="AT267" s="14">
        <f>INDEX(挂机升级突破!$CM$7:$CM$26,AX267)</f>
        <v>5</v>
      </c>
      <c r="AU267" s="14">
        <f>INDEX(挂机升级突破!$CN$7:$CN$26,AX267)</f>
        <v>0</v>
      </c>
      <c r="AV267" s="14">
        <f t="shared" si="134"/>
        <v>3</v>
      </c>
      <c r="AW267" s="14" t="str">
        <f t="shared" si="135"/>
        <v>石灵明</v>
      </c>
      <c r="AX267" s="14">
        <f t="shared" si="136"/>
        <v>3</v>
      </c>
      <c r="AY267" s="14" t="str">
        <f t="shared" si="137"/>
        <v>石灵明3突</v>
      </c>
      <c r="AZ267" s="14" t="str">
        <f>IF(AT267&gt;0,INDEX(挂机升级突破!$CV$5:$CZ$5,卡牌消耗!AT267),"")</f>
        <v>金币</v>
      </c>
      <c r="BA267" s="14">
        <f>IF(AT267&gt;0,ROUND(INDEX(挂机升级突破!$CZ$7:$CZ$26,卡牌消耗!AX267)*INDEX(卡牌消耗!$B$8:$F$8,AV267)/$Q$4/500,0)*500,"")</f>
        <v>2500</v>
      </c>
      <c r="BB267" s="14" t="str">
        <f>IF(AU267&gt;0,INDEX(挂机升级突破!$CV$5:$CZ$5,卡牌消耗!AU267),"")</f>
        <v/>
      </c>
      <c r="BC267" s="14" t="str">
        <f>IF(AU267&gt;0,ROUND(INDEX(挂机升级突破!$CV$7:$CY$26,卡牌消耗!AX267,卡牌消耗!AU267)*INDEX($B$6:$F$6,AV267)/$Q$4/5,0)*5,"")</f>
        <v/>
      </c>
      <c r="BD267" s="104"/>
      <c r="BE267" s="104"/>
      <c r="BF267" s="106"/>
    </row>
    <row r="268" spans="8:92" ht="16.5" x14ac:dyDescent="0.2">
      <c r="H268" s="15"/>
      <c r="I268" s="15"/>
      <c r="J268" s="15"/>
      <c r="K268" s="15"/>
      <c r="L268" s="15"/>
      <c r="M268" s="15"/>
      <c r="N268" s="15"/>
      <c r="O268" s="137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  <c r="Z268" s="141"/>
      <c r="AA268" s="104">
        <v>264</v>
      </c>
      <c r="AB268" s="14">
        <f t="shared" si="128"/>
        <v>6</v>
      </c>
      <c r="AC268" s="14">
        <f>INDEX(挂机升级突破!$BU$6:$BU$57,卡牌消耗!AI268)</f>
        <v>11</v>
      </c>
      <c r="AD268" s="14">
        <f>INDEX(挂机升级突破!BV$6:BV$57,卡牌消耗!$AI268)</f>
        <v>1</v>
      </c>
      <c r="AE268" s="14">
        <f>INDEX(挂机升级突破!BW$6:BW$57,卡牌消耗!$AI268)</f>
        <v>0</v>
      </c>
      <c r="AF268" s="14" t="str">
        <f t="shared" si="129"/>
        <v>项羽</v>
      </c>
      <c r="AG268" s="14">
        <f t="shared" si="130"/>
        <v>5</v>
      </c>
      <c r="AH268" s="14" t="str">
        <f t="shared" si="131"/>
        <v>项羽魂火-4</v>
      </c>
      <c r="AI268" s="14">
        <f t="shared" si="132"/>
        <v>4</v>
      </c>
      <c r="AJ268" s="14" t="str">
        <f>INDEX(挂机升级突破!$BX$4:$CH$4,INDEX(挂机升级突破!$BU$6:$BU$57,卡牌消耗!AI268))</f>
        <v>金币</v>
      </c>
      <c r="AK268" s="14">
        <f>ROUND(INDEX(挂机升级突破!$BN$6:$BN$57,卡牌消耗!AI268)*INDEX(卡牌消耗!$B$8:$F$8,AG268)/$Q$4/50,0)*50</f>
        <v>1650</v>
      </c>
      <c r="AL268" s="14" t="str">
        <f>IF(AD268&gt;0,INDEX(挂机升级突破!$BX$4:$CH$4,AD268),"")</f>
        <v>绿色基础材料</v>
      </c>
      <c r="AM268" s="14">
        <f>ROUND(INDEX(挂机升级突破!$BX$6:$CH$57,卡牌消耗!AI268,AD268)*INDEX(卡牌消耗!$B$5:$F$5,AG268)/$Q$4/5,0)*5</f>
        <v>7510</v>
      </c>
      <c r="AN268" s="14" t="str">
        <f>IF(AE268&gt;0,INDEX(挂机升级突破!$BX$4:$CH$4,AE268),"")</f>
        <v/>
      </c>
      <c r="AO268" s="14" t="str">
        <f>IF(AE268&gt;0,ROUND(INDEX(挂机升级突破!$BX$6:$CH$57,卡牌消耗!AI268,AE268)*INDEX(卡牌消耗!$B$7:$F$7,AG268)/$Q$4,0),"")</f>
        <v/>
      </c>
      <c r="AP268" s="106"/>
      <c r="AQ268" s="15"/>
      <c r="AR268" s="104">
        <v>264</v>
      </c>
      <c r="AS268" s="14">
        <f t="shared" si="133"/>
        <v>14</v>
      </c>
      <c r="AT268" s="14">
        <f>INDEX(挂机升级突破!$CM$7:$CM$26,AX268)</f>
        <v>5</v>
      </c>
      <c r="AU268" s="14">
        <f>INDEX(挂机升级突破!$CN$7:$CN$26,AX268)</f>
        <v>1</v>
      </c>
      <c r="AV268" s="14">
        <f t="shared" si="134"/>
        <v>3</v>
      </c>
      <c r="AW268" s="14" t="str">
        <f t="shared" si="135"/>
        <v>石灵明</v>
      </c>
      <c r="AX268" s="14">
        <f t="shared" si="136"/>
        <v>4</v>
      </c>
      <c r="AY268" s="14" t="str">
        <f t="shared" si="137"/>
        <v>石灵明4突</v>
      </c>
      <c r="AZ268" s="14" t="str">
        <f>IF(AT268&gt;0,INDEX(挂机升级突破!$CV$5:$CZ$5,卡牌消耗!AT268),"")</f>
        <v>金币</v>
      </c>
      <c r="BA268" s="14">
        <f>IF(AT268&gt;0,ROUND(INDEX(挂机升级突破!$CZ$7:$CZ$26,卡牌消耗!AX268)*INDEX(卡牌消耗!$B$8:$F$8,AV268)/$Q$4/500,0)*500,"")</f>
        <v>3000</v>
      </c>
      <c r="BB268" s="14" t="str">
        <f>IF(AU268&gt;0,INDEX(挂机升级突破!$CV$5:$CZ$5,卡牌消耗!AU268),"")</f>
        <v>玄铁</v>
      </c>
      <c r="BC268" s="14">
        <f>IF(AU268&gt;0,ROUND(INDEX(挂机升级突破!$CV$7:$CY$26,卡牌消耗!AX268,卡牌消耗!AU268)*INDEX($B$6:$F$6,AV268)/$Q$4/5,0)*5,"")</f>
        <v>60</v>
      </c>
      <c r="BD268" s="104"/>
      <c r="BE268" s="104"/>
      <c r="BF268" s="106"/>
    </row>
    <row r="269" spans="8:92" ht="16.5" x14ac:dyDescent="0.2">
      <c r="H269" s="15"/>
      <c r="I269" s="15"/>
      <c r="J269" s="15"/>
      <c r="K269" s="15"/>
      <c r="L269" s="15"/>
      <c r="M269" s="15"/>
      <c r="N269" s="15"/>
      <c r="O269" s="137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  <c r="Z269" s="141"/>
      <c r="AA269" s="104">
        <v>265</v>
      </c>
      <c r="AB269" s="14">
        <f t="shared" si="128"/>
        <v>6</v>
      </c>
      <c r="AC269" s="14">
        <f>INDEX(挂机升级突破!$BU$6:$BU$57,卡牌消耗!AI269)</f>
        <v>11</v>
      </c>
      <c r="AD269" s="14">
        <f>INDEX(挂机升级突破!BV$6:BV$57,卡牌消耗!$AI269)</f>
        <v>1</v>
      </c>
      <c r="AE269" s="14">
        <f>INDEX(挂机升级突破!BW$6:BW$57,卡牌消耗!$AI269)</f>
        <v>0</v>
      </c>
      <c r="AF269" s="14" t="str">
        <f t="shared" si="129"/>
        <v>项羽</v>
      </c>
      <c r="AG269" s="14">
        <f t="shared" si="130"/>
        <v>5</v>
      </c>
      <c r="AH269" s="14" t="str">
        <f t="shared" si="131"/>
        <v>项羽魂火-5</v>
      </c>
      <c r="AI269" s="14">
        <f t="shared" si="132"/>
        <v>5</v>
      </c>
      <c r="AJ269" s="14" t="str">
        <f>INDEX(挂机升级突破!$BX$4:$CH$4,INDEX(挂机升级突破!$BU$6:$BU$57,卡牌消耗!AI269))</f>
        <v>金币</v>
      </c>
      <c r="AK269" s="14">
        <f>ROUND(INDEX(挂机升级突破!$BN$6:$BN$57,卡牌消耗!AI269)*INDEX(卡牌消耗!$B$8:$F$8,AG269)/$Q$4/50,0)*50</f>
        <v>1650</v>
      </c>
      <c r="AL269" s="14" t="str">
        <f>IF(AD269&gt;0,INDEX(挂机升级突破!$BX$4:$CH$4,AD269),"")</f>
        <v>绿色基础材料</v>
      </c>
      <c r="AM269" s="14">
        <f>ROUND(INDEX(挂机升级突破!$BX$6:$CH$57,卡牌消耗!AI269,AD269)*INDEX(卡牌消耗!$B$5:$F$5,AG269)/$Q$4/5,0)*5</f>
        <v>7510</v>
      </c>
      <c r="AN269" s="14" t="str">
        <f>IF(AE269&gt;0,INDEX(挂机升级突破!$BX$4:$CH$4,AE269),"")</f>
        <v/>
      </c>
      <c r="AO269" s="14" t="str">
        <f>IF(AE269&gt;0,ROUND(INDEX(挂机升级突破!$BX$6:$CH$57,卡牌消耗!AI269,AE269)*INDEX(卡牌消耗!$B$7:$F$7,AG269)/$Q$4,0),"")</f>
        <v/>
      </c>
      <c r="AP269" s="106"/>
      <c r="AQ269" s="15"/>
      <c r="AR269" s="104">
        <v>265</v>
      </c>
      <c r="AS269" s="14">
        <f t="shared" si="133"/>
        <v>14</v>
      </c>
      <c r="AT269" s="14">
        <f>INDEX(挂机升级突破!$CM$7:$CM$26,AX269)</f>
        <v>5</v>
      </c>
      <c r="AU269" s="14">
        <f>INDEX(挂机升级突破!$CN$7:$CN$26,AX269)</f>
        <v>1</v>
      </c>
      <c r="AV269" s="14">
        <f t="shared" si="134"/>
        <v>3</v>
      </c>
      <c r="AW269" s="14" t="str">
        <f t="shared" si="135"/>
        <v>石灵明</v>
      </c>
      <c r="AX269" s="14">
        <f t="shared" si="136"/>
        <v>5</v>
      </c>
      <c r="AY269" s="14" t="str">
        <f t="shared" si="137"/>
        <v>石灵明5突</v>
      </c>
      <c r="AZ269" s="14" t="str">
        <f>IF(AT269&gt;0,INDEX(挂机升级突破!$CV$5:$CZ$5,卡牌消耗!AT269),"")</f>
        <v>金币</v>
      </c>
      <c r="BA269" s="14">
        <f>IF(AT269&gt;0,ROUND(INDEX(挂机升级突破!$CZ$7:$CZ$26,卡牌消耗!AX269)*INDEX(卡牌消耗!$B$8:$F$8,AV269)/$Q$4/500,0)*500,"")</f>
        <v>3000</v>
      </c>
      <c r="BB269" s="14" t="str">
        <f>IF(AU269&gt;0,INDEX(挂机升级突破!$CV$5:$CZ$5,卡牌消耗!AU269),"")</f>
        <v>玄铁</v>
      </c>
      <c r="BC269" s="14">
        <f>IF(AU269&gt;0,ROUND(INDEX(挂机升级突破!$CV$7:$CY$26,卡牌消耗!AX269,卡牌消耗!AU269)*INDEX($B$6:$F$6,AV269)/$Q$4/5,0)*5,"")</f>
        <v>115</v>
      </c>
      <c r="BD269" s="104"/>
      <c r="BE269" s="104"/>
      <c r="BF269" s="106"/>
    </row>
    <row r="270" spans="8:92" ht="16.5" x14ac:dyDescent="0.2">
      <c r="H270" s="15"/>
      <c r="I270" s="15"/>
      <c r="J270" s="15"/>
      <c r="K270" s="15"/>
      <c r="L270" s="15"/>
      <c r="M270" s="15"/>
      <c r="N270" s="15"/>
      <c r="O270" s="137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  <c r="Z270" s="141"/>
      <c r="AA270" s="104">
        <v>266</v>
      </c>
      <c r="AB270" s="14">
        <f t="shared" si="128"/>
        <v>6</v>
      </c>
      <c r="AC270" s="14">
        <f>INDEX(挂机升级突破!$BU$6:$BU$57,卡牌消耗!AI270)</f>
        <v>11</v>
      </c>
      <c r="AD270" s="14">
        <f>INDEX(挂机升级突破!BV$6:BV$57,卡牌消耗!$AI270)</f>
        <v>2</v>
      </c>
      <c r="AE270" s="14">
        <f>INDEX(挂机升级突破!BW$6:BW$57,卡牌消耗!$AI270)</f>
        <v>0</v>
      </c>
      <c r="AF270" s="14" t="str">
        <f t="shared" si="129"/>
        <v>项羽</v>
      </c>
      <c r="AG270" s="14">
        <f t="shared" si="130"/>
        <v>5</v>
      </c>
      <c r="AH270" s="14" t="str">
        <f t="shared" si="131"/>
        <v>项羽魂火-6</v>
      </c>
      <c r="AI270" s="14">
        <f t="shared" si="132"/>
        <v>6</v>
      </c>
      <c r="AJ270" s="14" t="str">
        <f>INDEX(挂机升级突破!$BX$4:$CH$4,INDEX(挂机升级突破!$BU$6:$BU$57,卡牌消耗!AI270))</f>
        <v>金币</v>
      </c>
      <c r="AK270" s="14">
        <f>ROUND(INDEX(挂机升级突破!$BN$6:$BN$57,卡牌消耗!AI270)*INDEX(卡牌消耗!$B$8:$F$8,AG270)/$Q$4/50,0)*50</f>
        <v>2000</v>
      </c>
      <c r="AL270" s="14" t="str">
        <f>IF(AD270&gt;0,INDEX(挂机升级突破!$BX$4:$CH$4,AD270),"")</f>
        <v>蓝色基础材料</v>
      </c>
      <c r="AM270" s="14">
        <f>ROUND(INDEX(挂机升级突破!$BX$6:$CH$57,卡牌消耗!AI270,AD270)*INDEX(卡牌消耗!$B$5:$F$5,AG270)/$Q$4/5,0)*5</f>
        <v>720</v>
      </c>
      <c r="AN270" s="14" t="str">
        <f>IF(AE270&gt;0,INDEX(挂机升级突破!$BX$4:$CH$4,AE270),"")</f>
        <v/>
      </c>
      <c r="AO270" s="14" t="str">
        <f>IF(AE270&gt;0,ROUND(INDEX(挂机升级突破!$BX$6:$CH$57,卡牌消耗!AI270,AE270)*INDEX(卡牌消耗!$B$7:$F$7,AG270)/$Q$4,0),"")</f>
        <v/>
      </c>
      <c r="AP270" s="106"/>
      <c r="AQ270" s="15"/>
      <c r="AR270" s="104">
        <v>266</v>
      </c>
      <c r="AS270" s="14">
        <f t="shared" si="133"/>
        <v>14</v>
      </c>
      <c r="AT270" s="14">
        <f>INDEX(挂机升级突破!$CM$7:$CM$26,AX270)</f>
        <v>5</v>
      </c>
      <c r="AU270" s="14">
        <f>INDEX(挂机升级突破!$CN$7:$CN$26,AX270)</f>
        <v>1</v>
      </c>
      <c r="AV270" s="14">
        <f t="shared" si="134"/>
        <v>3</v>
      </c>
      <c r="AW270" s="14" t="str">
        <f t="shared" si="135"/>
        <v>石灵明</v>
      </c>
      <c r="AX270" s="14">
        <f t="shared" si="136"/>
        <v>6</v>
      </c>
      <c r="AY270" s="14" t="str">
        <f t="shared" si="137"/>
        <v>石灵明6突</v>
      </c>
      <c r="AZ270" s="14" t="str">
        <f>IF(AT270&gt;0,INDEX(挂机升级突破!$CV$5:$CZ$5,卡牌消耗!AT270),"")</f>
        <v>金币</v>
      </c>
      <c r="BA270" s="14">
        <f>IF(AT270&gt;0,ROUND(INDEX(挂机升级突破!$CZ$7:$CZ$26,卡牌消耗!AX270)*INDEX(卡牌消耗!$B$8:$F$8,AV270)/$Q$4/500,0)*500,"")</f>
        <v>4000</v>
      </c>
      <c r="BB270" s="14" t="str">
        <f>IF(AU270&gt;0,INDEX(挂机升级突破!$CV$5:$CZ$5,卡牌消耗!AU270),"")</f>
        <v>玄铁</v>
      </c>
      <c r="BC270" s="14">
        <f>IF(AU270&gt;0,ROUND(INDEX(挂机升级突破!$CV$7:$CY$26,卡牌消耗!AX270,卡牌消耗!AU270)*INDEX($B$6:$F$6,AV270)/$Q$4/5,0)*5,"")</f>
        <v>175</v>
      </c>
      <c r="BD270" s="104"/>
      <c r="BE270" s="104"/>
      <c r="BF270" s="106"/>
    </row>
    <row r="271" spans="8:92" ht="16.5" x14ac:dyDescent="0.2">
      <c r="H271" s="15"/>
      <c r="I271" s="15"/>
      <c r="J271" s="15"/>
      <c r="K271" s="15"/>
      <c r="L271" s="15"/>
      <c r="M271" s="15"/>
      <c r="N271" s="15"/>
      <c r="O271" s="137"/>
      <c r="P271" s="141"/>
      <c r="Q271" s="141"/>
      <c r="R271" s="141"/>
      <c r="S271" s="141"/>
      <c r="T271" s="141"/>
      <c r="U271" s="141"/>
      <c r="V271" s="141"/>
      <c r="W271" s="141"/>
      <c r="X271" s="141"/>
      <c r="Y271" s="141"/>
      <c r="Z271" s="141"/>
      <c r="AA271" s="104">
        <v>267</v>
      </c>
      <c r="AB271" s="14">
        <f t="shared" si="128"/>
        <v>6</v>
      </c>
      <c r="AC271" s="14">
        <f>INDEX(挂机升级突破!$BU$6:$BU$57,卡牌消耗!AI271)</f>
        <v>11</v>
      </c>
      <c r="AD271" s="14">
        <f>INDEX(挂机升级突破!BV$6:BV$57,卡牌消耗!$AI271)</f>
        <v>2</v>
      </c>
      <c r="AE271" s="14">
        <f>INDEX(挂机升级突破!BW$6:BW$57,卡牌消耗!$AI271)</f>
        <v>0</v>
      </c>
      <c r="AF271" s="14" t="str">
        <f t="shared" si="129"/>
        <v>项羽</v>
      </c>
      <c r="AG271" s="14">
        <f t="shared" si="130"/>
        <v>5</v>
      </c>
      <c r="AH271" s="14" t="str">
        <f t="shared" si="131"/>
        <v>项羽魂火-7</v>
      </c>
      <c r="AI271" s="14">
        <f t="shared" si="132"/>
        <v>7</v>
      </c>
      <c r="AJ271" s="14" t="str">
        <f>INDEX(挂机升级突破!$BX$4:$CH$4,INDEX(挂机升级突破!$BU$6:$BU$57,卡牌消耗!AI271))</f>
        <v>金币</v>
      </c>
      <c r="AK271" s="14">
        <f>ROUND(INDEX(挂机升级突破!$BN$6:$BN$57,卡牌消耗!AI271)*INDEX(卡牌消耗!$B$8:$F$8,AG271)/$Q$4/50,0)*50</f>
        <v>2000</v>
      </c>
      <c r="AL271" s="14" t="str">
        <f>IF(AD271&gt;0,INDEX(挂机升级突破!$BX$4:$CH$4,AD271),"")</f>
        <v>蓝色基础材料</v>
      </c>
      <c r="AM271" s="14">
        <f>ROUND(INDEX(挂机升级突破!$BX$6:$CH$57,卡牌消耗!AI271,AD271)*INDEX(卡牌消耗!$B$5:$F$5,AG271)/$Q$4/5,0)*5</f>
        <v>720</v>
      </c>
      <c r="AN271" s="14" t="str">
        <f>IF(AE271&gt;0,INDEX(挂机升级突破!$BX$4:$CH$4,AE271),"")</f>
        <v/>
      </c>
      <c r="AO271" s="14" t="str">
        <f>IF(AE271&gt;0,ROUND(INDEX(挂机升级突破!$BX$6:$CH$57,卡牌消耗!AI271,AE271)*INDEX(卡牌消耗!$B$7:$F$7,AG271)/$Q$4,0),"")</f>
        <v/>
      </c>
      <c r="AP271" s="106"/>
      <c r="AQ271" s="15"/>
      <c r="AR271" s="104">
        <v>267</v>
      </c>
      <c r="AS271" s="14">
        <f t="shared" si="133"/>
        <v>14</v>
      </c>
      <c r="AT271" s="14">
        <f>INDEX(挂机升级突破!$CM$7:$CM$26,AX271)</f>
        <v>5</v>
      </c>
      <c r="AU271" s="14">
        <f>INDEX(挂机升级突破!$CN$7:$CN$26,AX271)</f>
        <v>1</v>
      </c>
      <c r="AV271" s="14">
        <f t="shared" si="134"/>
        <v>3</v>
      </c>
      <c r="AW271" s="14" t="str">
        <f t="shared" si="135"/>
        <v>石灵明</v>
      </c>
      <c r="AX271" s="14">
        <f t="shared" si="136"/>
        <v>7</v>
      </c>
      <c r="AY271" s="14" t="str">
        <f t="shared" si="137"/>
        <v>石灵明7突</v>
      </c>
      <c r="AZ271" s="14" t="str">
        <f>IF(AT271&gt;0,INDEX(挂机升级突破!$CV$5:$CZ$5,卡牌消耗!AT271),"")</f>
        <v>金币</v>
      </c>
      <c r="BA271" s="14">
        <f>IF(AT271&gt;0,ROUND(INDEX(挂机升级突破!$CZ$7:$CZ$26,卡牌消耗!AX271)*INDEX(卡牌消耗!$B$8:$F$8,AV271)/$Q$4/500,0)*500,"")</f>
        <v>6500</v>
      </c>
      <c r="BB271" s="14" t="str">
        <f>IF(AU271&gt;0,INDEX(挂机升级突破!$CV$5:$CZ$5,卡牌消耗!AU271),"")</f>
        <v>玄铁</v>
      </c>
      <c r="BC271" s="14">
        <f>IF(AU271&gt;0,ROUND(INDEX(挂机升级突破!$CV$7:$CY$26,卡牌消耗!AX271,卡牌消耗!AU271)*INDEX($B$6:$F$6,AV271)/$Q$4/5,0)*5,"")</f>
        <v>290</v>
      </c>
      <c r="BD271" s="104"/>
      <c r="BE271" s="104"/>
      <c r="BF271" s="106"/>
    </row>
    <row r="272" spans="8:92" ht="16.5" x14ac:dyDescent="0.2">
      <c r="H272" s="15"/>
      <c r="I272" s="15"/>
      <c r="J272" s="15"/>
      <c r="K272" s="15"/>
      <c r="L272" s="15"/>
      <c r="M272" s="15"/>
      <c r="N272" s="15"/>
      <c r="O272" s="137"/>
      <c r="P272" s="141"/>
      <c r="Q272" s="141"/>
      <c r="R272" s="141"/>
      <c r="S272" s="141"/>
      <c r="T272" s="141"/>
      <c r="U272" s="141"/>
      <c r="V272" s="141"/>
      <c r="W272" s="141"/>
      <c r="X272" s="141"/>
      <c r="Y272" s="141"/>
      <c r="Z272" s="141"/>
      <c r="AA272" s="104">
        <v>268</v>
      </c>
      <c r="AB272" s="14">
        <f t="shared" si="128"/>
        <v>6</v>
      </c>
      <c r="AC272" s="14">
        <f>INDEX(挂机升级突破!$BU$6:$BU$57,卡牌消耗!AI272)</f>
        <v>11</v>
      </c>
      <c r="AD272" s="14">
        <f>INDEX(挂机升级突破!BV$6:BV$57,卡牌消耗!$AI272)</f>
        <v>2</v>
      </c>
      <c r="AE272" s="14">
        <f>INDEX(挂机升级突破!BW$6:BW$57,卡牌消耗!$AI272)</f>
        <v>0</v>
      </c>
      <c r="AF272" s="14" t="str">
        <f t="shared" si="129"/>
        <v>项羽</v>
      </c>
      <c r="AG272" s="14">
        <f t="shared" si="130"/>
        <v>5</v>
      </c>
      <c r="AH272" s="14" t="str">
        <f t="shared" si="131"/>
        <v>项羽魂火-8</v>
      </c>
      <c r="AI272" s="14">
        <f t="shared" si="132"/>
        <v>8</v>
      </c>
      <c r="AJ272" s="14" t="str">
        <f>INDEX(挂机升级突破!$BX$4:$CH$4,INDEX(挂机升级突破!$BU$6:$BU$57,卡牌消耗!AI272))</f>
        <v>金币</v>
      </c>
      <c r="AK272" s="14">
        <f>ROUND(INDEX(挂机升级突破!$BN$6:$BN$57,卡牌消耗!AI272)*INDEX(卡牌消耗!$B$8:$F$8,AG272)/$Q$4/50,0)*50</f>
        <v>2950</v>
      </c>
      <c r="AL272" s="14" t="str">
        <f>IF(AD272&gt;0,INDEX(挂机升级突破!$BX$4:$CH$4,AD272),"")</f>
        <v>蓝色基础材料</v>
      </c>
      <c r="AM272" s="14">
        <f>ROUND(INDEX(挂机升级突破!$BX$6:$CH$57,卡牌消耗!AI272,AD272)*INDEX(卡牌消耗!$B$5:$F$5,AG272)/$Q$4/5,0)*5</f>
        <v>1440</v>
      </c>
      <c r="AN272" s="14" t="str">
        <f>IF(AE272&gt;0,INDEX(挂机升级突破!$BX$4:$CH$4,AE272),"")</f>
        <v/>
      </c>
      <c r="AO272" s="14" t="str">
        <f>IF(AE272&gt;0,ROUND(INDEX(挂机升级突破!$BX$6:$CH$57,卡牌消耗!AI272,AE272)*INDEX(卡牌消耗!$B$7:$F$7,AG272)/$Q$4,0),"")</f>
        <v/>
      </c>
      <c r="AP272" s="106"/>
      <c r="AQ272" s="15"/>
      <c r="AR272" s="104">
        <v>268</v>
      </c>
      <c r="AS272" s="14">
        <f t="shared" si="133"/>
        <v>14</v>
      </c>
      <c r="AT272" s="14">
        <f>INDEX(挂机升级突破!$CM$7:$CM$26,AX272)</f>
        <v>5</v>
      </c>
      <c r="AU272" s="14">
        <f>INDEX(挂机升级突破!$CN$7:$CN$26,AX272)</f>
        <v>1</v>
      </c>
      <c r="AV272" s="14">
        <f t="shared" si="134"/>
        <v>3</v>
      </c>
      <c r="AW272" s="14" t="str">
        <f t="shared" si="135"/>
        <v>石灵明</v>
      </c>
      <c r="AX272" s="14">
        <f t="shared" si="136"/>
        <v>8</v>
      </c>
      <c r="AY272" s="14" t="str">
        <f t="shared" si="137"/>
        <v>石灵明8突</v>
      </c>
      <c r="AZ272" s="14" t="str">
        <f>IF(AT272&gt;0,INDEX(挂机升级突破!$CV$5:$CZ$5,卡牌消耗!AT272),"")</f>
        <v>金币</v>
      </c>
      <c r="BA272" s="14">
        <f>IF(AT272&gt;0,ROUND(INDEX(挂机升级突破!$CZ$7:$CZ$26,卡牌消耗!AX272)*INDEX(卡牌消耗!$B$8:$F$8,AV272)/$Q$4/500,0)*500,"")</f>
        <v>6500</v>
      </c>
      <c r="BB272" s="14" t="str">
        <f>IF(AU272&gt;0,INDEX(挂机升级突破!$CV$5:$CZ$5,卡牌消耗!AU272),"")</f>
        <v>玄铁</v>
      </c>
      <c r="BC272" s="14">
        <f>IF(AU272&gt;0,ROUND(INDEX(挂机升级突破!$CV$7:$CY$26,卡牌消耗!AX272,卡牌消耗!AU272)*INDEX($B$6:$F$6,AV272)/$Q$4/5,0)*5,"")</f>
        <v>520</v>
      </c>
      <c r="BD272" s="104"/>
      <c r="BE272" s="104"/>
      <c r="BF272" s="106"/>
    </row>
    <row r="273" spans="8:58" ht="16.5" x14ac:dyDescent="0.2">
      <c r="H273" s="15"/>
      <c r="I273" s="15"/>
      <c r="J273" s="15"/>
      <c r="K273" s="15"/>
      <c r="L273" s="15"/>
      <c r="M273" s="15"/>
      <c r="N273" s="15"/>
      <c r="O273" s="137"/>
      <c r="P273" s="141"/>
      <c r="Q273" s="141"/>
      <c r="R273" s="141"/>
      <c r="S273" s="141"/>
      <c r="T273" s="141"/>
      <c r="U273" s="141"/>
      <c r="V273" s="141"/>
      <c r="W273" s="141"/>
      <c r="X273" s="141"/>
      <c r="Y273" s="141"/>
      <c r="Z273" s="141"/>
      <c r="AA273" s="104">
        <v>269</v>
      </c>
      <c r="AB273" s="14">
        <f t="shared" si="128"/>
        <v>6</v>
      </c>
      <c r="AC273" s="14">
        <f>INDEX(挂机升级突破!$BU$6:$BU$57,卡牌消耗!AI273)</f>
        <v>11</v>
      </c>
      <c r="AD273" s="14">
        <f>INDEX(挂机升级突破!BV$6:BV$57,卡牌消耗!$AI273)</f>
        <v>2</v>
      </c>
      <c r="AE273" s="14">
        <f>INDEX(挂机升级突破!BW$6:BW$57,卡牌消耗!$AI273)</f>
        <v>0</v>
      </c>
      <c r="AF273" s="14" t="str">
        <f t="shared" si="129"/>
        <v>项羽</v>
      </c>
      <c r="AG273" s="14">
        <f t="shared" si="130"/>
        <v>5</v>
      </c>
      <c r="AH273" s="14" t="str">
        <f t="shared" si="131"/>
        <v>项羽魂火-9</v>
      </c>
      <c r="AI273" s="14">
        <f t="shared" si="132"/>
        <v>9</v>
      </c>
      <c r="AJ273" s="14" t="str">
        <f>INDEX(挂机升级突破!$BX$4:$CH$4,INDEX(挂机升级突破!$BU$6:$BU$57,卡牌消耗!AI273))</f>
        <v>金币</v>
      </c>
      <c r="AK273" s="14">
        <f>ROUND(INDEX(挂机升级突破!$BN$6:$BN$57,卡牌消耗!AI273)*INDEX(卡牌消耗!$B$8:$F$8,AG273)/$Q$4/50,0)*50</f>
        <v>2950</v>
      </c>
      <c r="AL273" s="14" t="str">
        <f>IF(AD273&gt;0,INDEX(挂机升级突破!$BX$4:$CH$4,AD273),"")</f>
        <v>蓝色基础材料</v>
      </c>
      <c r="AM273" s="14">
        <f>ROUND(INDEX(挂机升级突破!$BX$6:$CH$57,卡牌消耗!AI273,AD273)*INDEX(卡牌消耗!$B$5:$F$5,AG273)/$Q$4/5,0)*5</f>
        <v>1440</v>
      </c>
      <c r="AN273" s="14" t="str">
        <f>IF(AE273&gt;0,INDEX(挂机升级突破!$BX$4:$CH$4,AE273),"")</f>
        <v/>
      </c>
      <c r="AO273" s="14" t="str">
        <f>IF(AE273&gt;0,ROUND(INDEX(挂机升级突破!$BX$6:$CH$57,卡牌消耗!AI273,AE273)*INDEX(卡牌消耗!$B$7:$F$7,AG273)/$Q$4,0),"")</f>
        <v/>
      </c>
      <c r="AP273" s="106"/>
      <c r="AQ273" s="15"/>
      <c r="AR273" s="104">
        <v>269</v>
      </c>
      <c r="AS273" s="14">
        <f t="shared" si="133"/>
        <v>14</v>
      </c>
      <c r="AT273" s="14">
        <f>INDEX(挂机升级突破!$CM$7:$CM$26,AX273)</f>
        <v>5</v>
      </c>
      <c r="AU273" s="14">
        <f>INDEX(挂机升级突破!$CN$7:$CN$26,AX273)</f>
        <v>2</v>
      </c>
      <c r="AV273" s="14">
        <f t="shared" si="134"/>
        <v>3</v>
      </c>
      <c r="AW273" s="14" t="str">
        <f t="shared" si="135"/>
        <v>石灵明</v>
      </c>
      <c r="AX273" s="14">
        <f t="shared" si="136"/>
        <v>9</v>
      </c>
      <c r="AY273" s="14" t="str">
        <f t="shared" si="137"/>
        <v>石灵明9突</v>
      </c>
      <c r="AZ273" s="14" t="str">
        <f>IF(AT273&gt;0,INDEX(挂机升级突破!$CV$5:$CZ$5,卡牌消耗!AT273),"")</f>
        <v>金币</v>
      </c>
      <c r="BA273" s="14">
        <f>IF(AT273&gt;0,ROUND(INDEX(挂机升级突破!$CZ$7:$CZ$26,卡牌消耗!AX273)*INDEX(卡牌消耗!$B$8:$F$8,AV273)/$Q$4/500,0)*500,"")</f>
        <v>8500</v>
      </c>
      <c r="BB273" s="14" t="str">
        <f>IF(AU273&gt;0,INDEX(挂机升级突破!$CV$5:$CZ$5,卡牌消耗!AU273),"")</f>
        <v>乌金</v>
      </c>
      <c r="BC273" s="14">
        <f>IF(AU273&gt;0,ROUND(INDEX(挂机升级突破!$CV$7:$CY$26,卡牌消耗!AX273,卡牌消耗!AU273)*INDEX($B$6:$F$6,AV273)/$Q$4/5,0)*5,"")</f>
        <v>65</v>
      </c>
      <c r="BD273" s="104"/>
      <c r="BE273" s="104"/>
      <c r="BF273" s="106"/>
    </row>
    <row r="274" spans="8:58" ht="16.5" x14ac:dyDescent="0.2">
      <c r="H274" s="15"/>
      <c r="I274" s="15"/>
      <c r="J274" s="15"/>
      <c r="K274" s="15"/>
      <c r="L274" s="15"/>
      <c r="M274" s="15"/>
      <c r="N274" s="15"/>
      <c r="O274" s="137"/>
      <c r="P274" s="141"/>
      <c r="Q274" s="141"/>
      <c r="R274" s="141"/>
      <c r="S274" s="141"/>
      <c r="T274" s="141"/>
      <c r="U274" s="141"/>
      <c r="V274" s="141"/>
      <c r="W274" s="141"/>
      <c r="X274" s="141"/>
      <c r="Y274" s="141"/>
      <c r="Z274" s="141"/>
      <c r="AA274" s="104">
        <v>270</v>
      </c>
      <c r="AB274" s="14">
        <f t="shared" si="128"/>
        <v>6</v>
      </c>
      <c r="AC274" s="14">
        <f>INDEX(挂机升级突破!$BU$6:$BU$57,卡牌消耗!AI274)</f>
        <v>11</v>
      </c>
      <c r="AD274" s="14">
        <f>INDEX(挂机升级突破!BV$6:BV$57,卡牌消耗!$AI274)</f>
        <v>2</v>
      </c>
      <c r="AE274" s="14">
        <f>INDEX(挂机升级突破!BW$6:BW$57,卡牌消耗!$AI274)</f>
        <v>0</v>
      </c>
      <c r="AF274" s="14" t="str">
        <f t="shared" si="129"/>
        <v>项羽</v>
      </c>
      <c r="AG274" s="14">
        <f t="shared" si="130"/>
        <v>5</v>
      </c>
      <c r="AH274" s="14" t="str">
        <f t="shared" si="131"/>
        <v>项羽魂火-10</v>
      </c>
      <c r="AI274" s="14">
        <f t="shared" si="132"/>
        <v>10</v>
      </c>
      <c r="AJ274" s="14" t="str">
        <f>INDEX(挂机升级突破!$BX$4:$CH$4,INDEX(挂机升级突破!$BU$6:$BU$57,卡牌消耗!AI274))</f>
        <v>金币</v>
      </c>
      <c r="AK274" s="14">
        <f>ROUND(INDEX(挂机升级突破!$BN$6:$BN$57,卡牌消耗!AI274)*INDEX(卡牌消耗!$B$8:$F$8,AG274)/$Q$4/50,0)*50</f>
        <v>4950</v>
      </c>
      <c r="AL274" s="14" t="str">
        <f>IF(AD274&gt;0,INDEX(挂机升级突破!$BX$4:$CH$4,AD274),"")</f>
        <v>蓝色基础材料</v>
      </c>
      <c r="AM274" s="14">
        <f>ROUND(INDEX(挂机升级突破!$BX$6:$CH$57,卡牌消耗!AI274,AD274)*INDEX(卡牌消耗!$B$5:$F$5,AG274)/$Q$4/5,0)*5</f>
        <v>2160</v>
      </c>
      <c r="AN274" s="14" t="str">
        <f>IF(AE274&gt;0,INDEX(挂机升级突破!$BX$4:$CH$4,AE274),"")</f>
        <v/>
      </c>
      <c r="AO274" s="14" t="str">
        <f>IF(AE274&gt;0,ROUND(INDEX(挂机升级突破!$BX$6:$CH$57,卡牌消耗!AI274,AE274)*INDEX(卡牌消耗!$B$7:$F$7,AG274)/$Q$4,0),"")</f>
        <v/>
      </c>
      <c r="AP274" s="106"/>
      <c r="AQ274" s="15"/>
      <c r="AR274" s="104">
        <v>270</v>
      </c>
      <c r="AS274" s="14">
        <f t="shared" si="133"/>
        <v>14</v>
      </c>
      <c r="AT274" s="14">
        <f>INDEX(挂机升级突破!$CM$7:$CM$26,AX274)</f>
        <v>5</v>
      </c>
      <c r="AU274" s="14">
        <f>INDEX(挂机升级突破!$CN$7:$CN$26,AX274)</f>
        <v>2</v>
      </c>
      <c r="AV274" s="14">
        <f t="shared" si="134"/>
        <v>3</v>
      </c>
      <c r="AW274" s="14" t="str">
        <f t="shared" si="135"/>
        <v>石灵明</v>
      </c>
      <c r="AX274" s="14">
        <f t="shared" si="136"/>
        <v>10</v>
      </c>
      <c r="AY274" s="14" t="str">
        <f t="shared" si="137"/>
        <v>石灵明10突</v>
      </c>
      <c r="AZ274" s="14" t="str">
        <f>IF(AT274&gt;0,INDEX(挂机升级突破!$CV$5:$CZ$5,卡牌消耗!AT274),"")</f>
        <v>金币</v>
      </c>
      <c r="BA274" s="14">
        <f>IF(AT274&gt;0,ROUND(INDEX(挂机升级突破!$CZ$7:$CZ$26,卡牌消耗!AX274)*INDEX(卡牌消耗!$B$8:$F$8,AV274)/$Q$4/500,0)*500,"")</f>
        <v>14500</v>
      </c>
      <c r="BB274" s="14" t="str">
        <f>IF(AU274&gt;0,INDEX(挂机升级突破!$CV$5:$CZ$5,卡牌消耗!AU274),"")</f>
        <v>乌金</v>
      </c>
      <c r="BC274" s="14">
        <f>IF(AU274&gt;0,ROUND(INDEX(挂机升级突破!$CV$7:$CY$26,卡牌消耗!AX274,卡牌消耗!AU274)*INDEX($B$6:$F$6,AV274)/$Q$4/5,0)*5,"")</f>
        <v>90</v>
      </c>
      <c r="BD274" s="104"/>
      <c r="BE274" s="104"/>
      <c r="BF274" s="106"/>
    </row>
    <row r="275" spans="8:58" ht="16.5" x14ac:dyDescent="0.2">
      <c r="H275" s="15"/>
      <c r="I275" s="15"/>
      <c r="J275" s="15"/>
      <c r="K275" s="15"/>
      <c r="L275" s="15"/>
      <c r="M275" s="15"/>
      <c r="N275" s="15"/>
      <c r="O275" s="137"/>
      <c r="P275" s="141"/>
      <c r="Q275" s="141"/>
      <c r="R275" s="141"/>
      <c r="S275" s="141"/>
      <c r="T275" s="141"/>
      <c r="U275" s="141"/>
      <c r="V275" s="141"/>
      <c r="W275" s="141"/>
      <c r="X275" s="141"/>
      <c r="Y275" s="141"/>
      <c r="Z275" s="141"/>
      <c r="AA275" s="104">
        <v>271</v>
      </c>
      <c r="AB275" s="14">
        <f t="shared" si="128"/>
        <v>6</v>
      </c>
      <c r="AC275" s="14">
        <f>INDEX(挂机升级突破!$BU$6:$BU$57,卡牌消耗!AI275)</f>
        <v>11</v>
      </c>
      <c r="AD275" s="14">
        <f>INDEX(挂机升级突破!BV$6:BV$57,卡牌消耗!$AI275)</f>
        <v>2</v>
      </c>
      <c r="AE275" s="14">
        <f>INDEX(挂机升级突破!BW$6:BW$57,卡牌消耗!$AI275)</f>
        <v>0</v>
      </c>
      <c r="AF275" s="14" t="str">
        <f t="shared" si="129"/>
        <v>项羽</v>
      </c>
      <c r="AG275" s="14">
        <f t="shared" si="130"/>
        <v>5</v>
      </c>
      <c r="AH275" s="14" t="str">
        <f t="shared" si="131"/>
        <v>项羽魂火-11</v>
      </c>
      <c r="AI275" s="14">
        <f t="shared" si="132"/>
        <v>11</v>
      </c>
      <c r="AJ275" s="14" t="str">
        <f>INDEX(挂机升级突破!$BX$4:$CH$4,INDEX(挂机升级突破!$BU$6:$BU$57,卡牌消耗!AI275))</f>
        <v>金币</v>
      </c>
      <c r="AK275" s="14">
        <f>ROUND(INDEX(挂机升级突破!$BN$6:$BN$57,卡牌消耗!AI275)*INDEX(卡牌消耗!$B$8:$F$8,AG275)/$Q$4/50,0)*50</f>
        <v>4950</v>
      </c>
      <c r="AL275" s="14" t="str">
        <f>IF(AD275&gt;0,INDEX(挂机升级突破!$BX$4:$CH$4,AD275),"")</f>
        <v>蓝色基础材料</v>
      </c>
      <c r="AM275" s="14">
        <f>ROUND(INDEX(挂机升级突破!$BX$6:$CH$57,卡牌消耗!AI275,AD275)*INDEX(卡牌消耗!$B$5:$F$5,AG275)/$Q$4/5,0)*5</f>
        <v>2160</v>
      </c>
      <c r="AN275" s="14" t="str">
        <f>IF(AE275&gt;0,INDEX(挂机升级突破!$BX$4:$CH$4,AE275),"")</f>
        <v/>
      </c>
      <c r="AO275" s="14" t="str">
        <f>IF(AE275&gt;0,ROUND(INDEX(挂机升级突破!$BX$6:$CH$57,卡牌消耗!AI275,AE275)*INDEX(卡牌消耗!$B$7:$F$7,AG275)/$Q$4,0),"")</f>
        <v/>
      </c>
      <c r="AP275" s="106"/>
      <c r="AQ275" s="15"/>
      <c r="AR275" s="104">
        <v>271</v>
      </c>
      <c r="AS275" s="14">
        <f t="shared" si="133"/>
        <v>14</v>
      </c>
      <c r="AT275" s="14">
        <f>INDEX(挂机升级突破!$CM$7:$CM$26,AX275)</f>
        <v>5</v>
      </c>
      <c r="AU275" s="14">
        <f>INDEX(挂机升级突破!$CN$7:$CN$26,AX275)</f>
        <v>2</v>
      </c>
      <c r="AV275" s="14">
        <f t="shared" si="134"/>
        <v>3</v>
      </c>
      <c r="AW275" s="14" t="str">
        <f t="shared" si="135"/>
        <v>石灵明</v>
      </c>
      <c r="AX275" s="14">
        <f t="shared" si="136"/>
        <v>11</v>
      </c>
      <c r="AY275" s="14" t="str">
        <f t="shared" si="137"/>
        <v>石灵明11突</v>
      </c>
      <c r="AZ275" s="14" t="str">
        <f>IF(AT275&gt;0,INDEX(挂机升级突破!$CV$5:$CZ$5,卡牌消耗!AT275),"")</f>
        <v>金币</v>
      </c>
      <c r="BA275" s="14">
        <f>IF(AT275&gt;0,ROUND(INDEX(挂机升级突破!$CZ$7:$CZ$26,卡牌消耗!AX275)*INDEX(卡牌消耗!$B$8:$F$8,AV275)/$Q$4/500,0)*500,"")</f>
        <v>14500</v>
      </c>
      <c r="BB275" s="14" t="str">
        <f>IF(AU275&gt;0,INDEX(挂机升级突破!$CV$5:$CZ$5,卡牌消耗!AU275),"")</f>
        <v>乌金</v>
      </c>
      <c r="BC275" s="14">
        <f>IF(AU275&gt;0,ROUND(INDEX(挂机升级突破!$CV$7:$CY$26,卡牌消耗!AX275,卡牌消耗!AU275)*INDEX($B$6:$F$6,AV275)/$Q$4/5,0)*5,"")</f>
        <v>120</v>
      </c>
      <c r="BD275" s="104"/>
      <c r="BE275" s="104"/>
      <c r="BF275" s="106"/>
    </row>
    <row r="276" spans="8:58" ht="16.5" x14ac:dyDescent="0.2">
      <c r="H276" s="15"/>
      <c r="I276" s="15"/>
      <c r="J276" s="15"/>
      <c r="K276" s="15"/>
      <c r="L276" s="15"/>
      <c r="M276" s="15"/>
      <c r="N276" s="15"/>
      <c r="O276" s="137"/>
      <c r="P276" s="141"/>
      <c r="Q276" s="141"/>
      <c r="R276" s="141"/>
      <c r="S276" s="141"/>
      <c r="T276" s="141"/>
      <c r="U276" s="141"/>
      <c r="V276" s="141"/>
      <c r="W276" s="141"/>
      <c r="X276" s="141"/>
      <c r="Y276" s="141"/>
      <c r="Z276" s="141"/>
      <c r="AA276" s="104">
        <v>272</v>
      </c>
      <c r="AB276" s="14">
        <f t="shared" si="128"/>
        <v>6</v>
      </c>
      <c r="AC276" s="14">
        <f>INDEX(挂机升级突破!$BU$6:$BU$57,卡牌消耗!AI276)</f>
        <v>11</v>
      </c>
      <c r="AD276" s="14">
        <f>INDEX(挂机升级突破!BV$6:BV$57,卡牌消耗!$AI276)</f>
        <v>2</v>
      </c>
      <c r="AE276" s="14">
        <f>INDEX(挂机升级突破!BW$6:BW$57,卡牌消耗!$AI276)</f>
        <v>0</v>
      </c>
      <c r="AF276" s="14" t="str">
        <f t="shared" si="129"/>
        <v>项羽</v>
      </c>
      <c r="AG276" s="14">
        <f t="shared" si="130"/>
        <v>5</v>
      </c>
      <c r="AH276" s="14" t="str">
        <f t="shared" si="131"/>
        <v>项羽魂火-12</v>
      </c>
      <c r="AI276" s="14">
        <f t="shared" si="132"/>
        <v>12</v>
      </c>
      <c r="AJ276" s="14" t="str">
        <f>INDEX(挂机升级突破!$BX$4:$CH$4,INDEX(挂机升级突破!$BU$6:$BU$57,卡牌消耗!AI276))</f>
        <v>金币</v>
      </c>
      <c r="AK276" s="14">
        <f>ROUND(INDEX(挂机升级突破!$BN$6:$BN$57,卡牌消耗!AI276)*INDEX(卡牌消耗!$B$8:$F$8,AG276)/$Q$4/50,0)*50</f>
        <v>4250</v>
      </c>
      <c r="AL276" s="14" t="str">
        <f>IF(AD276&gt;0,INDEX(挂机升级突破!$BX$4:$CH$4,AD276),"")</f>
        <v>蓝色基础材料</v>
      </c>
      <c r="AM276" s="14">
        <f>ROUND(INDEX(挂机升级突破!$BX$6:$CH$57,卡牌消耗!AI276,AD276)*INDEX(卡牌消耗!$B$5:$F$5,AG276)/$Q$4/5,0)*5</f>
        <v>2880</v>
      </c>
      <c r="AN276" s="14" t="str">
        <f>IF(AE276&gt;0,INDEX(挂机升级突破!$BX$4:$CH$4,AE276),"")</f>
        <v/>
      </c>
      <c r="AO276" s="14" t="str">
        <f>IF(AE276&gt;0,ROUND(INDEX(挂机升级突破!$BX$6:$CH$57,卡牌消耗!AI276,AE276)*INDEX(卡牌消耗!$B$7:$F$7,AG276)/$Q$4,0),"")</f>
        <v/>
      </c>
      <c r="AP276" s="106"/>
      <c r="AQ276" s="15"/>
      <c r="AR276" s="104">
        <v>272</v>
      </c>
      <c r="AS276" s="14">
        <f t="shared" si="133"/>
        <v>14</v>
      </c>
      <c r="AT276" s="14">
        <f>INDEX(挂机升级突破!$CM$7:$CM$26,AX276)</f>
        <v>5</v>
      </c>
      <c r="AU276" s="14">
        <f>INDEX(挂机升级突破!$CN$7:$CN$26,AX276)</f>
        <v>2</v>
      </c>
      <c r="AV276" s="14">
        <f t="shared" si="134"/>
        <v>3</v>
      </c>
      <c r="AW276" s="14" t="str">
        <f t="shared" si="135"/>
        <v>石灵明</v>
      </c>
      <c r="AX276" s="14">
        <f t="shared" si="136"/>
        <v>12</v>
      </c>
      <c r="AY276" s="14" t="str">
        <f t="shared" si="137"/>
        <v>石灵明12突</v>
      </c>
      <c r="AZ276" s="14" t="str">
        <f>IF(AT276&gt;0,INDEX(挂机升级突破!$CV$5:$CZ$5,卡牌消耗!AT276),"")</f>
        <v>金币</v>
      </c>
      <c r="BA276" s="14">
        <f>IF(AT276&gt;0,ROUND(INDEX(挂机升级突破!$CZ$7:$CZ$26,卡牌消耗!AX276)*INDEX(卡牌消耗!$B$8:$F$8,AV276)/$Q$4/500,0)*500,"")</f>
        <v>19500</v>
      </c>
      <c r="BB276" s="14" t="str">
        <f>IF(AU276&gt;0,INDEX(挂机升级突破!$CV$5:$CZ$5,卡牌消耗!AU276),"")</f>
        <v>乌金</v>
      </c>
      <c r="BC276" s="14">
        <f>IF(AU276&gt;0,ROUND(INDEX(挂机升级突破!$CV$7:$CY$26,卡牌消耗!AX276,卡牌消耗!AU276)*INDEX($B$6:$F$6,AV276)/$Q$4/5,0)*5,"")</f>
        <v>155</v>
      </c>
      <c r="BD276" s="104"/>
      <c r="BE276" s="104"/>
      <c r="BF276" s="106"/>
    </row>
    <row r="277" spans="8:58" ht="16.5" x14ac:dyDescent="0.2">
      <c r="H277" s="15"/>
      <c r="I277" s="15"/>
      <c r="J277" s="15"/>
      <c r="K277" s="15"/>
      <c r="L277" s="15"/>
      <c r="M277" s="15"/>
      <c r="N277" s="15"/>
      <c r="O277" s="137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  <c r="AA277" s="104">
        <v>273</v>
      </c>
      <c r="AB277" s="14">
        <f t="shared" si="128"/>
        <v>6</v>
      </c>
      <c r="AC277" s="14">
        <f>INDEX(挂机升级突破!$BU$6:$BU$57,卡牌消耗!AI277)</f>
        <v>11</v>
      </c>
      <c r="AD277" s="14">
        <f>INDEX(挂机升级突破!BV$6:BV$57,卡牌消耗!$AI277)</f>
        <v>2</v>
      </c>
      <c r="AE277" s="14">
        <f>INDEX(挂机升级突破!BW$6:BW$57,卡牌消耗!$AI277)</f>
        <v>0</v>
      </c>
      <c r="AF277" s="14" t="str">
        <f t="shared" si="129"/>
        <v>项羽</v>
      </c>
      <c r="AG277" s="14">
        <f t="shared" si="130"/>
        <v>5</v>
      </c>
      <c r="AH277" s="14" t="str">
        <f t="shared" si="131"/>
        <v>项羽魂火-13</v>
      </c>
      <c r="AI277" s="14">
        <f t="shared" si="132"/>
        <v>13</v>
      </c>
      <c r="AJ277" s="14" t="str">
        <f>INDEX(挂机升级突破!$BX$4:$CH$4,INDEX(挂机升级突破!$BU$6:$BU$57,卡牌消耗!AI277))</f>
        <v>金币</v>
      </c>
      <c r="AK277" s="14">
        <f>ROUND(INDEX(挂机升级突破!$BN$6:$BN$57,卡牌消耗!AI277)*INDEX(卡牌消耗!$B$8:$F$8,AG277)/$Q$4/50,0)*50</f>
        <v>4250</v>
      </c>
      <c r="AL277" s="14" t="str">
        <f>IF(AD277&gt;0,INDEX(挂机升级突破!$BX$4:$CH$4,AD277),"")</f>
        <v>蓝色基础材料</v>
      </c>
      <c r="AM277" s="14">
        <f>ROUND(INDEX(挂机升级突破!$BX$6:$CH$57,卡牌消耗!AI277,AD277)*INDEX(卡牌消耗!$B$5:$F$5,AG277)/$Q$4/5,0)*5</f>
        <v>2880</v>
      </c>
      <c r="AN277" s="14" t="str">
        <f>IF(AE277&gt;0,INDEX(挂机升级突破!$BX$4:$CH$4,AE277),"")</f>
        <v/>
      </c>
      <c r="AO277" s="14" t="str">
        <f>IF(AE277&gt;0,ROUND(INDEX(挂机升级突破!$BX$6:$CH$57,卡牌消耗!AI277,AE277)*INDEX(卡牌消耗!$B$7:$F$7,AG277)/$Q$4,0),"")</f>
        <v/>
      </c>
      <c r="AP277" s="106"/>
      <c r="AQ277" s="15"/>
      <c r="AR277" s="104">
        <v>273</v>
      </c>
      <c r="AS277" s="14">
        <f t="shared" si="133"/>
        <v>14</v>
      </c>
      <c r="AT277" s="14">
        <f>INDEX(挂机升级突破!$CM$7:$CM$26,AX277)</f>
        <v>5</v>
      </c>
      <c r="AU277" s="14">
        <f>INDEX(挂机升级突破!$CN$7:$CN$26,AX277)</f>
        <v>3</v>
      </c>
      <c r="AV277" s="14">
        <f t="shared" si="134"/>
        <v>3</v>
      </c>
      <c r="AW277" s="14" t="str">
        <f t="shared" si="135"/>
        <v>石灵明</v>
      </c>
      <c r="AX277" s="14">
        <f t="shared" si="136"/>
        <v>13</v>
      </c>
      <c r="AY277" s="14" t="str">
        <f t="shared" si="137"/>
        <v>石灵明13突</v>
      </c>
      <c r="AZ277" s="14" t="str">
        <f>IF(AT277&gt;0,INDEX(挂机升级突破!$CV$5:$CZ$5,卡牌消耗!AT277),"")</f>
        <v>金币</v>
      </c>
      <c r="BA277" s="14">
        <f>IF(AT277&gt;0,ROUND(INDEX(挂机升级突破!$CZ$7:$CZ$26,卡牌消耗!AX277)*INDEX(卡牌消耗!$B$8:$F$8,AV277)/$Q$4/500,0)*500,"")</f>
        <v>26000</v>
      </c>
      <c r="BB277" s="14" t="str">
        <f>IF(AU277&gt;0,INDEX(挂机升级突破!$CV$5:$CZ$5,卡牌消耗!AU277),"")</f>
        <v>银母</v>
      </c>
      <c r="BC277" s="14">
        <f>IF(AU277&gt;0,ROUND(INDEX(挂机升级突破!$CV$7:$CY$26,卡牌消耗!AX277,卡牌消耗!AU277)*INDEX($B$6:$F$6,AV277)/$Q$4/5,0)*5,"")</f>
        <v>30</v>
      </c>
      <c r="BD277" s="104"/>
      <c r="BE277" s="104"/>
      <c r="BF277" s="106"/>
    </row>
    <row r="278" spans="8:58" ht="16.5" x14ac:dyDescent="0.2">
      <c r="H278" s="15"/>
      <c r="I278" s="15"/>
      <c r="J278" s="15"/>
      <c r="K278" s="15"/>
      <c r="L278" s="15"/>
      <c r="M278" s="15"/>
      <c r="N278" s="15"/>
      <c r="O278" s="137"/>
      <c r="P278" s="141"/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  <c r="AA278" s="104">
        <v>274</v>
      </c>
      <c r="AB278" s="14">
        <f t="shared" si="128"/>
        <v>6</v>
      </c>
      <c r="AC278" s="14">
        <f>INDEX(挂机升级突破!$BU$6:$BU$57,卡牌消耗!AI278)</f>
        <v>11</v>
      </c>
      <c r="AD278" s="14">
        <f>INDEX(挂机升级突破!BV$6:BV$57,卡牌消耗!$AI278)</f>
        <v>3</v>
      </c>
      <c r="AE278" s="14">
        <f>INDEX(挂机升级突破!BW$6:BW$57,卡牌消耗!$AI278)</f>
        <v>0</v>
      </c>
      <c r="AF278" s="14" t="str">
        <f t="shared" si="129"/>
        <v>项羽</v>
      </c>
      <c r="AG278" s="14">
        <f t="shared" si="130"/>
        <v>5</v>
      </c>
      <c r="AH278" s="14" t="str">
        <f t="shared" si="131"/>
        <v>项羽魂火-14</v>
      </c>
      <c r="AI278" s="14">
        <f t="shared" si="132"/>
        <v>14</v>
      </c>
      <c r="AJ278" s="14" t="str">
        <f>INDEX(挂机升级突破!$BX$4:$CH$4,INDEX(挂机升级突破!$BU$6:$BU$57,卡牌消耗!AI278))</f>
        <v>金币</v>
      </c>
      <c r="AK278" s="14">
        <f>ROUND(INDEX(挂机升级突破!$BN$6:$BN$57,卡牌消耗!AI278)*INDEX(卡牌消耗!$B$8:$F$8,AG278)/$Q$4/50,0)*50</f>
        <v>4650</v>
      </c>
      <c r="AL278" s="14" t="str">
        <f>IF(AD278&gt;0,INDEX(挂机升级突破!$BX$4:$CH$4,AD278),"")</f>
        <v>紫色基础材料</v>
      </c>
      <c r="AM278" s="14">
        <f>ROUND(INDEX(挂机升级突破!$BX$6:$CH$57,卡牌消耗!AI278,AD278)*INDEX(卡牌消耗!$B$5:$F$5,AG278)/$Q$4/5,0)*5</f>
        <v>250</v>
      </c>
      <c r="AN278" s="14" t="str">
        <f>IF(AE278&gt;0,INDEX(挂机升级突破!$BX$4:$CH$4,AE278),"")</f>
        <v/>
      </c>
      <c r="AO278" s="14" t="str">
        <f>IF(AE278&gt;0,ROUND(INDEX(挂机升级突破!$BX$6:$CH$57,卡牌消耗!AI278,AE278)*INDEX(卡牌消耗!$B$7:$F$7,AG278)/$Q$4,0),"")</f>
        <v/>
      </c>
      <c r="AP278" s="106"/>
      <c r="AQ278" s="15"/>
      <c r="AR278" s="104">
        <v>274</v>
      </c>
      <c r="AS278" s="14">
        <f t="shared" si="133"/>
        <v>14</v>
      </c>
      <c r="AT278" s="14">
        <f>INDEX(挂机升级突破!$CM$7:$CM$26,AX278)</f>
        <v>5</v>
      </c>
      <c r="AU278" s="14">
        <f>INDEX(挂机升级突破!$CN$7:$CN$26,AX278)</f>
        <v>3</v>
      </c>
      <c r="AV278" s="14">
        <f t="shared" si="134"/>
        <v>3</v>
      </c>
      <c r="AW278" s="14" t="str">
        <f t="shared" si="135"/>
        <v>石灵明</v>
      </c>
      <c r="AX278" s="14">
        <f t="shared" si="136"/>
        <v>14</v>
      </c>
      <c r="AY278" s="14" t="str">
        <f t="shared" si="137"/>
        <v>石灵明14突</v>
      </c>
      <c r="AZ278" s="14" t="str">
        <f>IF(AT278&gt;0,INDEX(挂机升级突破!$CV$5:$CZ$5,卡牌消耗!AT278),"")</f>
        <v>金币</v>
      </c>
      <c r="BA278" s="14">
        <f>IF(AT278&gt;0,ROUND(INDEX(挂机升级突破!$CZ$7:$CZ$26,卡牌消耗!AX278)*INDEX(卡牌消耗!$B$8:$F$8,AV278)/$Q$4/500,0)*500,"")</f>
        <v>26000</v>
      </c>
      <c r="BB278" s="14" t="str">
        <f>IF(AU278&gt;0,INDEX(挂机升级突破!$CV$5:$CZ$5,卡牌消耗!AU278),"")</f>
        <v>银母</v>
      </c>
      <c r="BC278" s="14">
        <f>IF(AU278&gt;0,ROUND(INDEX(挂机升级突破!$CV$7:$CY$26,卡牌消耗!AX278,卡牌消耗!AU278)*INDEX($B$6:$F$6,AV278)/$Q$4/5,0)*5,"")</f>
        <v>40</v>
      </c>
      <c r="BD278" s="104"/>
      <c r="BE278" s="104"/>
      <c r="BF278" s="106"/>
    </row>
    <row r="279" spans="8:58" ht="16.5" x14ac:dyDescent="0.2">
      <c r="H279" s="15"/>
      <c r="I279" s="15"/>
      <c r="J279" s="15"/>
      <c r="K279" s="15"/>
      <c r="L279" s="15"/>
      <c r="M279" s="15"/>
      <c r="N279" s="15"/>
      <c r="O279" s="137"/>
      <c r="P279" s="141"/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  <c r="AA279" s="104">
        <v>275</v>
      </c>
      <c r="AB279" s="14">
        <f t="shared" si="128"/>
        <v>6</v>
      </c>
      <c r="AC279" s="14">
        <f>INDEX(挂机升级突破!$BU$6:$BU$57,卡牌消耗!AI279)</f>
        <v>11</v>
      </c>
      <c r="AD279" s="14">
        <f>INDEX(挂机升级突破!BV$6:BV$57,卡牌消耗!$AI279)</f>
        <v>3</v>
      </c>
      <c r="AE279" s="14">
        <f>INDEX(挂机升级突破!BW$6:BW$57,卡牌消耗!$AI279)</f>
        <v>0</v>
      </c>
      <c r="AF279" s="14" t="str">
        <f t="shared" si="129"/>
        <v>项羽</v>
      </c>
      <c r="AG279" s="14">
        <f t="shared" si="130"/>
        <v>5</v>
      </c>
      <c r="AH279" s="14" t="str">
        <f t="shared" si="131"/>
        <v>项羽魂火-15</v>
      </c>
      <c r="AI279" s="14">
        <f t="shared" si="132"/>
        <v>15</v>
      </c>
      <c r="AJ279" s="14" t="str">
        <f>INDEX(挂机升级突破!$BX$4:$CH$4,INDEX(挂机升级突破!$BU$6:$BU$57,卡牌消耗!AI279))</f>
        <v>金币</v>
      </c>
      <c r="AK279" s="14">
        <f>ROUND(INDEX(挂机升级突破!$BN$6:$BN$57,卡牌消耗!AI279)*INDEX(卡牌消耗!$B$8:$F$8,AG279)/$Q$4/50,0)*50</f>
        <v>5100</v>
      </c>
      <c r="AL279" s="14" t="str">
        <f>IF(AD279&gt;0,INDEX(挂机升级突破!$BX$4:$CH$4,AD279),"")</f>
        <v>紫色基础材料</v>
      </c>
      <c r="AM279" s="14">
        <f>ROUND(INDEX(挂机升级突破!$BX$6:$CH$57,卡牌消耗!AI279,AD279)*INDEX(卡牌消耗!$B$5:$F$5,AG279)/$Q$4/5,0)*5</f>
        <v>250</v>
      </c>
      <c r="AN279" s="14" t="str">
        <f>IF(AE279&gt;0,INDEX(挂机升级突破!$BX$4:$CH$4,AE279),"")</f>
        <v/>
      </c>
      <c r="AO279" s="14" t="str">
        <f>IF(AE279&gt;0,ROUND(INDEX(挂机升级突破!$BX$6:$CH$57,卡牌消耗!AI279,AE279)*INDEX(卡牌消耗!$B$7:$F$7,AG279)/$Q$4,0),"")</f>
        <v/>
      </c>
      <c r="AP279" s="106"/>
      <c r="AQ279" s="15"/>
      <c r="AR279" s="104">
        <v>275</v>
      </c>
      <c r="AS279" s="14">
        <f t="shared" si="133"/>
        <v>14</v>
      </c>
      <c r="AT279" s="14">
        <f>INDEX(挂机升级突破!$CM$7:$CM$26,AX279)</f>
        <v>5</v>
      </c>
      <c r="AU279" s="14">
        <f>INDEX(挂机升级突破!$CN$7:$CN$26,AX279)</f>
        <v>3</v>
      </c>
      <c r="AV279" s="14">
        <f t="shared" si="134"/>
        <v>3</v>
      </c>
      <c r="AW279" s="14" t="str">
        <f t="shared" si="135"/>
        <v>石灵明</v>
      </c>
      <c r="AX279" s="14">
        <f t="shared" si="136"/>
        <v>15</v>
      </c>
      <c r="AY279" s="14" t="str">
        <f t="shared" si="137"/>
        <v>石灵明15突</v>
      </c>
      <c r="AZ279" s="14" t="str">
        <f>IF(AT279&gt;0,INDEX(挂机升级突破!$CV$5:$CZ$5,卡牌消耗!AT279),"")</f>
        <v>金币</v>
      </c>
      <c r="BA279" s="14">
        <f>IF(AT279&gt;0,ROUND(INDEX(挂机升级突破!$CZ$7:$CZ$26,卡牌消耗!AX279)*INDEX(卡牌消耗!$B$8:$F$8,AV279)/$Q$4/500,0)*500,"")</f>
        <v>34500</v>
      </c>
      <c r="BB279" s="14" t="str">
        <f>IF(AU279&gt;0,INDEX(挂机升级突破!$CV$5:$CZ$5,卡牌消耗!AU279),"")</f>
        <v>银母</v>
      </c>
      <c r="BC279" s="14">
        <f>IF(AU279&gt;0,ROUND(INDEX(挂机升级突破!$CV$7:$CY$26,卡牌消耗!AX279,卡牌消耗!AU279)*INDEX($B$6:$F$6,AV279)/$Q$4/5,0)*5,"")</f>
        <v>55</v>
      </c>
      <c r="BD279" s="104"/>
      <c r="BE279" s="104"/>
      <c r="BF279" s="106"/>
    </row>
    <row r="280" spans="8:58" ht="16.5" x14ac:dyDescent="0.2">
      <c r="H280" s="15"/>
      <c r="I280" s="15"/>
      <c r="J280" s="15"/>
      <c r="K280" s="15"/>
      <c r="L280" s="15"/>
      <c r="M280" s="15"/>
      <c r="N280" s="15"/>
      <c r="O280" s="137"/>
      <c r="P280" s="141"/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  <c r="AA280" s="104">
        <v>276</v>
      </c>
      <c r="AB280" s="14">
        <f t="shared" si="128"/>
        <v>6</v>
      </c>
      <c r="AC280" s="14">
        <f>INDEX(挂机升级突破!$BU$6:$BU$57,卡牌消耗!AI280)</f>
        <v>11</v>
      </c>
      <c r="AD280" s="14">
        <f>INDEX(挂机升级突破!BV$6:BV$57,卡牌消耗!$AI280)</f>
        <v>3</v>
      </c>
      <c r="AE280" s="14">
        <f>INDEX(挂机升级突破!BW$6:BW$57,卡牌消耗!$AI280)</f>
        <v>0</v>
      </c>
      <c r="AF280" s="14" t="str">
        <f t="shared" si="129"/>
        <v>项羽</v>
      </c>
      <c r="AG280" s="14">
        <f t="shared" si="130"/>
        <v>5</v>
      </c>
      <c r="AH280" s="14" t="str">
        <f t="shared" si="131"/>
        <v>项羽魂火-16</v>
      </c>
      <c r="AI280" s="14">
        <f t="shared" si="132"/>
        <v>16</v>
      </c>
      <c r="AJ280" s="14" t="str">
        <f>INDEX(挂机升级突破!$BX$4:$CH$4,INDEX(挂机升级突破!$BU$6:$BU$57,卡牌消耗!AI280))</f>
        <v>金币</v>
      </c>
      <c r="AK280" s="14">
        <f>ROUND(INDEX(挂机升级突破!$BN$6:$BN$57,卡牌消耗!AI280)*INDEX(卡牌消耗!$B$8:$F$8,AG280)/$Q$4/50,0)*50</f>
        <v>5100</v>
      </c>
      <c r="AL280" s="14" t="str">
        <f>IF(AD280&gt;0,INDEX(挂机升级突破!$BX$4:$CH$4,AD280),"")</f>
        <v>紫色基础材料</v>
      </c>
      <c r="AM280" s="14">
        <f>ROUND(INDEX(挂机升级突破!$BX$6:$CH$57,卡牌消耗!AI280,AD280)*INDEX(卡牌消耗!$B$5:$F$5,AG280)/$Q$4/5,0)*5</f>
        <v>250</v>
      </c>
      <c r="AN280" s="14" t="str">
        <f>IF(AE280&gt;0,INDEX(挂机升级突破!$BX$4:$CH$4,AE280),"")</f>
        <v/>
      </c>
      <c r="AO280" s="14" t="str">
        <f>IF(AE280&gt;0,ROUND(INDEX(挂机升级突破!$BX$6:$CH$57,卡牌消耗!AI280,AE280)*INDEX(卡牌消耗!$B$7:$F$7,AG280)/$Q$4,0),"")</f>
        <v/>
      </c>
      <c r="AP280" s="106"/>
      <c r="AQ280" s="15"/>
      <c r="AR280" s="104">
        <v>276</v>
      </c>
      <c r="AS280" s="14">
        <f t="shared" si="133"/>
        <v>14</v>
      </c>
      <c r="AT280" s="14">
        <f>INDEX(挂机升级突破!$CM$7:$CM$26,AX280)</f>
        <v>5</v>
      </c>
      <c r="AU280" s="14">
        <f>INDEX(挂机升级突破!$CN$7:$CN$26,AX280)</f>
        <v>3</v>
      </c>
      <c r="AV280" s="14">
        <f t="shared" si="134"/>
        <v>3</v>
      </c>
      <c r="AW280" s="14" t="str">
        <f t="shared" si="135"/>
        <v>石灵明</v>
      </c>
      <c r="AX280" s="14">
        <f t="shared" si="136"/>
        <v>16</v>
      </c>
      <c r="AY280" s="14" t="str">
        <f t="shared" si="137"/>
        <v>石灵明16突</v>
      </c>
      <c r="AZ280" s="14" t="str">
        <f>IF(AT280&gt;0,INDEX(挂机升级突破!$CV$5:$CZ$5,卡牌消耗!AT280),"")</f>
        <v>金币</v>
      </c>
      <c r="BA280" s="14">
        <f>IF(AT280&gt;0,ROUND(INDEX(挂机升级突破!$CZ$7:$CZ$26,卡牌消耗!AX280)*INDEX(卡牌消耗!$B$8:$F$8,AV280)/$Q$4/500,0)*500,"")</f>
        <v>62500</v>
      </c>
      <c r="BB280" s="14" t="str">
        <f>IF(AU280&gt;0,INDEX(挂机升级突破!$CV$5:$CZ$5,卡牌消耗!AU280),"")</f>
        <v>银母</v>
      </c>
      <c r="BC280" s="14">
        <f>IF(AU280&gt;0,ROUND(INDEX(挂机升级突破!$CV$7:$CY$26,卡牌消耗!AX280,卡牌消耗!AU280)*INDEX($B$6:$F$6,AV280)/$Q$4/5,0)*5,"")</f>
        <v>70</v>
      </c>
      <c r="BD280" s="104"/>
      <c r="BE280" s="104"/>
      <c r="BF280" s="106"/>
    </row>
    <row r="281" spans="8:58" ht="16.5" x14ac:dyDescent="0.2">
      <c r="H281" s="15"/>
      <c r="I281" s="15"/>
      <c r="J281" s="15"/>
      <c r="K281" s="15"/>
      <c r="L281" s="15"/>
      <c r="M281" s="15"/>
      <c r="N281" s="15"/>
      <c r="O281" s="137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  <c r="AA281" s="104">
        <v>277</v>
      </c>
      <c r="AB281" s="14">
        <f t="shared" si="128"/>
        <v>6</v>
      </c>
      <c r="AC281" s="14">
        <f>INDEX(挂机升级突破!$BU$6:$BU$57,卡牌消耗!AI281)</f>
        <v>11</v>
      </c>
      <c r="AD281" s="14">
        <f>INDEX(挂机升级突破!BV$6:BV$57,卡牌消耗!$AI281)</f>
        <v>3</v>
      </c>
      <c r="AE281" s="14">
        <f>INDEX(挂机升级突破!BW$6:BW$57,卡牌消耗!$AI281)</f>
        <v>0</v>
      </c>
      <c r="AF281" s="14" t="str">
        <f t="shared" si="129"/>
        <v>项羽</v>
      </c>
      <c r="AG281" s="14">
        <f t="shared" si="130"/>
        <v>5</v>
      </c>
      <c r="AH281" s="14" t="str">
        <f t="shared" si="131"/>
        <v>项羽魂火-17</v>
      </c>
      <c r="AI281" s="14">
        <f t="shared" si="132"/>
        <v>17</v>
      </c>
      <c r="AJ281" s="14" t="str">
        <f>INDEX(挂机升级突破!$BX$4:$CH$4,INDEX(挂机升级突破!$BU$6:$BU$57,卡牌消耗!AI281))</f>
        <v>金币</v>
      </c>
      <c r="AK281" s="14">
        <f>ROUND(INDEX(挂机升级突破!$BN$6:$BN$57,卡牌消耗!AI281)*INDEX(卡牌消耗!$B$8:$F$8,AG281)/$Q$4/50,0)*50</f>
        <v>6350</v>
      </c>
      <c r="AL281" s="14" t="str">
        <f>IF(AD281&gt;0,INDEX(挂机升级突破!$BX$4:$CH$4,AD281),"")</f>
        <v>紫色基础材料</v>
      </c>
      <c r="AM281" s="14">
        <f>ROUND(INDEX(挂机升级突破!$BX$6:$CH$57,卡牌消耗!AI281,AD281)*INDEX(卡牌消耗!$B$5:$F$5,AG281)/$Q$4/5,0)*5</f>
        <v>505</v>
      </c>
      <c r="AN281" s="14" t="str">
        <f>IF(AE281&gt;0,INDEX(挂机升级突破!$BX$4:$CH$4,AE281),"")</f>
        <v/>
      </c>
      <c r="AO281" s="14" t="str">
        <f>IF(AE281&gt;0,ROUND(INDEX(挂机升级突破!$BX$6:$CH$57,卡牌消耗!AI281,AE281)*INDEX(卡牌消耗!$B$7:$F$7,AG281)/$Q$4,0),"")</f>
        <v/>
      </c>
      <c r="AP281" s="106"/>
      <c r="AQ281" s="15"/>
      <c r="AR281" s="104">
        <v>277</v>
      </c>
      <c r="AS281" s="14">
        <f t="shared" si="133"/>
        <v>14</v>
      </c>
      <c r="AT281" s="14">
        <f>INDEX(挂机升级突破!$CM$7:$CM$26,AX281)</f>
        <v>5</v>
      </c>
      <c r="AU281" s="14">
        <f>INDEX(挂机升级突破!$CN$7:$CN$26,AX281)</f>
        <v>4</v>
      </c>
      <c r="AV281" s="14">
        <f t="shared" si="134"/>
        <v>3</v>
      </c>
      <c r="AW281" s="14" t="str">
        <f t="shared" si="135"/>
        <v>石灵明</v>
      </c>
      <c r="AX281" s="14">
        <f t="shared" si="136"/>
        <v>17</v>
      </c>
      <c r="AY281" s="14" t="str">
        <f t="shared" si="137"/>
        <v>石灵明17突</v>
      </c>
      <c r="AZ281" s="14" t="str">
        <f>IF(AT281&gt;0,INDEX(挂机升级突破!$CV$5:$CZ$5,卡牌消耗!AT281),"")</f>
        <v>金币</v>
      </c>
      <c r="BA281" s="14">
        <f>IF(AT281&gt;0,ROUND(INDEX(挂机升级突破!$CZ$7:$CZ$26,卡牌消耗!AX281)*INDEX(卡牌消耗!$B$8:$F$8,AV281)/$Q$4/500,0)*500,"")</f>
        <v>62500</v>
      </c>
      <c r="BB281" s="14" t="str">
        <f>IF(AU281&gt;0,INDEX(挂机升级突破!$CV$5:$CZ$5,卡牌消耗!AU281),"")</f>
        <v>铀金</v>
      </c>
      <c r="BC281" s="14">
        <f>IF(AU281&gt;0,ROUND(INDEX(挂机升级突破!$CV$7:$CY$26,卡牌消耗!AX281,卡牌消耗!AU281)*INDEX($B$6:$F$6,AV281)/$Q$4/5,0)*5,"")</f>
        <v>25</v>
      </c>
      <c r="BD281" s="104"/>
      <c r="BE281" s="104"/>
      <c r="BF281" s="106"/>
    </row>
    <row r="282" spans="8:58" ht="16.5" x14ac:dyDescent="0.2">
      <c r="H282" s="15"/>
      <c r="I282" s="15"/>
      <c r="J282" s="15"/>
      <c r="K282" s="15"/>
      <c r="L282" s="15"/>
      <c r="M282" s="15"/>
      <c r="N282" s="15"/>
      <c r="O282" s="137"/>
      <c r="P282" s="141"/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  <c r="AA282" s="104">
        <v>278</v>
      </c>
      <c r="AB282" s="14">
        <f t="shared" si="128"/>
        <v>6</v>
      </c>
      <c r="AC282" s="14">
        <f>INDEX(挂机升级突破!$BU$6:$BU$57,卡牌消耗!AI282)</f>
        <v>11</v>
      </c>
      <c r="AD282" s="14">
        <f>INDEX(挂机升级突破!BV$6:BV$57,卡牌消耗!$AI282)</f>
        <v>3</v>
      </c>
      <c r="AE282" s="14">
        <f>INDEX(挂机升级突破!BW$6:BW$57,卡牌消耗!$AI282)</f>
        <v>0</v>
      </c>
      <c r="AF282" s="14" t="str">
        <f t="shared" si="129"/>
        <v>项羽</v>
      </c>
      <c r="AG282" s="14">
        <f t="shared" si="130"/>
        <v>5</v>
      </c>
      <c r="AH282" s="14" t="str">
        <f t="shared" si="131"/>
        <v>项羽魂火-18</v>
      </c>
      <c r="AI282" s="14">
        <f t="shared" si="132"/>
        <v>18</v>
      </c>
      <c r="AJ282" s="14" t="str">
        <f>INDEX(挂机升级突破!$BX$4:$CH$4,INDEX(挂机升级突破!$BU$6:$BU$57,卡牌消耗!AI282))</f>
        <v>金币</v>
      </c>
      <c r="AK282" s="14">
        <f>ROUND(INDEX(挂机升级突破!$BN$6:$BN$57,卡牌消耗!AI282)*INDEX(卡牌消耗!$B$8:$F$8,AG282)/$Q$4/50,0)*50</f>
        <v>6350</v>
      </c>
      <c r="AL282" s="14" t="str">
        <f>IF(AD282&gt;0,INDEX(挂机升级突破!$BX$4:$CH$4,AD282),"")</f>
        <v>紫色基础材料</v>
      </c>
      <c r="AM282" s="14">
        <f>ROUND(INDEX(挂机升级突破!$BX$6:$CH$57,卡牌消耗!AI282,AD282)*INDEX(卡牌消耗!$B$5:$F$5,AG282)/$Q$4/5,0)*5</f>
        <v>505</v>
      </c>
      <c r="AN282" s="14" t="str">
        <f>IF(AE282&gt;0,INDEX(挂机升级突破!$BX$4:$CH$4,AE282),"")</f>
        <v/>
      </c>
      <c r="AO282" s="14" t="str">
        <f>IF(AE282&gt;0,ROUND(INDEX(挂机升级突破!$BX$6:$CH$57,卡牌消耗!AI282,AE282)*INDEX(卡牌消耗!$B$7:$F$7,AG282)/$Q$4,0),"")</f>
        <v/>
      </c>
      <c r="AP282" s="106"/>
      <c r="AQ282" s="15"/>
      <c r="AR282" s="104">
        <v>278</v>
      </c>
      <c r="AS282" s="14">
        <f t="shared" si="133"/>
        <v>14</v>
      </c>
      <c r="AT282" s="14">
        <f>INDEX(挂机升级突破!$CM$7:$CM$26,AX282)</f>
        <v>5</v>
      </c>
      <c r="AU282" s="14">
        <f>INDEX(挂机升级突破!$CN$7:$CN$26,AX282)</f>
        <v>4</v>
      </c>
      <c r="AV282" s="14">
        <f t="shared" si="134"/>
        <v>3</v>
      </c>
      <c r="AW282" s="14" t="str">
        <f t="shared" si="135"/>
        <v>石灵明</v>
      </c>
      <c r="AX282" s="14">
        <f t="shared" si="136"/>
        <v>18</v>
      </c>
      <c r="AY282" s="14" t="str">
        <f t="shared" si="137"/>
        <v>石灵明18突</v>
      </c>
      <c r="AZ282" s="14" t="str">
        <f>IF(AT282&gt;0,INDEX(挂机升级突破!$CV$5:$CZ$5,卡牌消耗!AT282),"")</f>
        <v>金币</v>
      </c>
      <c r="BA282" s="14">
        <f>IF(AT282&gt;0,ROUND(INDEX(挂机升级突破!$CZ$7:$CZ$26,卡牌消耗!AX282)*INDEX(卡牌消耗!$B$8:$F$8,AV282)/$Q$4/500,0)*500,"")</f>
        <v>83500</v>
      </c>
      <c r="BB282" s="14" t="str">
        <f>IF(AU282&gt;0,INDEX(挂机升级突破!$CV$5:$CZ$5,卡牌消耗!AU282),"")</f>
        <v>铀金</v>
      </c>
      <c r="BC282" s="14">
        <f>IF(AU282&gt;0,ROUND(INDEX(挂机升级突破!$CV$7:$CY$26,卡牌消耗!AX282,卡牌消耗!AU282)*INDEX($B$6:$F$6,AV282)/$Q$4/5,0)*5,"")</f>
        <v>35</v>
      </c>
      <c r="BD282" s="104"/>
      <c r="BE282" s="104"/>
      <c r="BF282" s="106"/>
    </row>
    <row r="283" spans="8:58" ht="16.5" x14ac:dyDescent="0.2">
      <c r="H283" s="15"/>
      <c r="I283" s="15"/>
      <c r="J283" s="15"/>
      <c r="K283" s="15"/>
      <c r="L283" s="15"/>
      <c r="M283" s="15"/>
      <c r="N283" s="15"/>
      <c r="O283" s="137"/>
      <c r="P283" s="141"/>
      <c r="Q283" s="141"/>
      <c r="R283" s="141"/>
      <c r="S283" s="141"/>
      <c r="T283" s="141"/>
      <c r="U283" s="141"/>
      <c r="V283" s="141"/>
      <c r="W283" s="141"/>
      <c r="X283" s="141"/>
      <c r="Y283" s="141"/>
      <c r="Z283" s="141"/>
      <c r="AA283" s="104">
        <v>279</v>
      </c>
      <c r="AB283" s="14">
        <f t="shared" si="128"/>
        <v>6</v>
      </c>
      <c r="AC283" s="14">
        <f>INDEX(挂机升级突破!$BU$6:$BU$57,卡牌消耗!AI283)</f>
        <v>11</v>
      </c>
      <c r="AD283" s="14">
        <f>INDEX(挂机升级突破!BV$6:BV$57,卡牌消耗!$AI283)</f>
        <v>3</v>
      </c>
      <c r="AE283" s="14">
        <f>INDEX(挂机升级突破!BW$6:BW$57,卡牌消耗!$AI283)</f>
        <v>0</v>
      </c>
      <c r="AF283" s="14" t="str">
        <f t="shared" si="129"/>
        <v>项羽</v>
      </c>
      <c r="AG283" s="14">
        <f t="shared" si="130"/>
        <v>5</v>
      </c>
      <c r="AH283" s="14" t="str">
        <f t="shared" si="131"/>
        <v>项羽魂火-19</v>
      </c>
      <c r="AI283" s="14">
        <f t="shared" si="132"/>
        <v>19</v>
      </c>
      <c r="AJ283" s="14" t="str">
        <f>INDEX(挂机升级突破!$BX$4:$CH$4,INDEX(挂机升级突破!$BU$6:$BU$57,卡牌消耗!AI283))</f>
        <v>金币</v>
      </c>
      <c r="AK283" s="14">
        <f>ROUND(INDEX(挂机升级突破!$BN$6:$BN$57,卡牌消耗!AI283)*INDEX(卡牌消耗!$B$8:$F$8,AG283)/$Q$4/50,0)*50</f>
        <v>6350</v>
      </c>
      <c r="AL283" s="14" t="str">
        <f>IF(AD283&gt;0,INDEX(挂机升级突破!$BX$4:$CH$4,AD283),"")</f>
        <v>紫色基础材料</v>
      </c>
      <c r="AM283" s="14">
        <f>ROUND(INDEX(挂机升级突破!$BX$6:$CH$57,卡牌消耗!AI283,AD283)*INDEX(卡牌消耗!$B$5:$F$5,AG283)/$Q$4/5,0)*5</f>
        <v>505</v>
      </c>
      <c r="AN283" s="14" t="str">
        <f>IF(AE283&gt;0,INDEX(挂机升级突破!$BX$4:$CH$4,AE283),"")</f>
        <v/>
      </c>
      <c r="AO283" s="14" t="str">
        <f>IF(AE283&gt;0,ROUND(INDEX(挂机升级突破!$BX$6:$CH$57,卡牌消耗!AI283,AE283)*INDEX(卡牌消耗!$B$7:$F$7,AG283)/$Q$4,0),"")</f>
        <v/>
      </c>
      <c r="AP283" s="106"/>
      <c r="AQ283" s="15"/>
      <c r="AR283" s="104">
        <v>279</v>
      </c>
      <c r="AS283" s="14">
        <f t="shared" si="133"/>
        <v>14</v>
      </c>
      <c r="AT283" s="14">
        <f>INDEX(挂机升级突破!$CM$7:$CM$26,AX283)</f>
        <v>5</v>
      </c>
      <c r="AU283" s="14">
        <f>INDEX(挂机升级突破!$CN$7:$CN$26,AX283)</f>
        <v>4</v>
      </c>
      <c r="AV283" s="14">
        <f t="shared" si="134"/>
        <v>3</v>
      </c>
      <c r="AW283" s="14" t="str">
        <f t="shared" si="135"/>
        <v>石灵明</v>
      </c>
      <c r="AX283" s="14">
        <f t="shared" si="136"/>
        <v>19</v>
      </c>
      <c r="AY283" s="14" t="str">
        <f t="shared" si="137"/>
        <v>石灵明19突</v>
      </c>
      <c r="AZ283" s="14" t="str">
        <f>IF(AT283&gt;0,INDEX(挂机升级突破!$CV$5:$CZ$5,卡牌消耗!AT283),"")</f>
        <v>金币</v>
      </c>
      <c r="BA283" s="14">
        <f>IF(AT283&gt;0,ROUND(INDEX(挂机升级突破!$CZ$7:$CZ$26,卡牌消耗!AX283)*INDEX(卡牌消耗!$B$8:$F$8,AV283)/$Q$4/500,0)*500,"")</f>
        <v>506500</v>
      </c>
      <c r="BB283" s="14" t="str">
        <f>IF(AU283&gt;0,INDEX(挂机升级突破!$CV$5:$CZ$5,卡牌消耗!AU283),"")</f>
        <v>铀金</v>
      </c>
      <c r="BC283" s="14">
        <f>IF(AU283&gt;0,ROUND(INDEX(挂机升级突破!$CV$7:$CY$26,卡牌消耗!AX283,卡牌消耗!AU283)*INDEX($B$6:$F$6,AV283)/$Q$4/5,0)*5,"")</f>
        <v>45</v>
      </c>
      <c r="BD283" s="104"/>
      <c r="BE283" s="104"/>
      <c r="BF283" s="106"/>
    </row>
    <row r="284" spans="8:58" ht="16.5" x14ac:dyDescent="0.2">
      <c r="H284" s="15"/>
      <c r="I284" s="15"/>
      <c r="J284" s="15"/>
      <c r="K284" s="15"/>
      <c r="L284" s="15"/>
      <c r="M284" s="15"/>
      <c r="N284" s="15"/>
      <c r="O284" s="137"/>
      <c r="P284" s="141"/>
      <c r="Q284" s="141"/>
      <c r="R284" s="141"/>
      <c r="S284" s="141"/>
      <c r="T284" s="141"/>
      <c r="U284" s="141"/>
      <c r="V284" s="141"/>
      <c r="W284" s="141"/>
      <c r="X284" s="141"/>
      <c r="Y284" s="141"/>
      <c r="Z284" s="141"/>
      <c r="AA284" s="104">
        <v>280</v>
      </c>
      <c r="AB284" s="14">
        <f t="shared" si="128"/>
        <v>6</v>
      </c>
      <c r="AC284" s="14">
        <f>INDEX(挂机升级突破!$BU$6:$BU$57,卡牌消耗!AI284)</f>
        <v>11</v>
      </c>
      <c r="AD284" s="14">
        <f>INDEX(挂机升级突破!BV$6:BV$57,卡牌消耗!$AI284)</f>
        <v>3</v>
      </c>
      <c r="AE284" s="14">
        <f>INDEX(挂机升级突破!BW$6:BW$57,卡牌消耗!$AI284)</f>
        <v>0</v>
      </c>
      <c r="AF284" s="14" t="str">
        <f t="shared" si="129"/>
        <v>项羽</v>
      </c>
      <c r="AG284" s="14">
        <f t="shared" si="130"/>
        <v>5</v>
      </c>
      <c r="AH284" s="14" t="str">
        <f t="shared" si="131"/>
        <v>项羽魂火-20</v>
      </c>
      <c r="AI284" s="14">
        <f t="shared" si="132"/>
        <v>20</v>
      </c>
      <c r="AJ284" s="14" t="str">
        <f>INDEX(挂机升级突破!$BX$4:$CH$4,INDEX(挂机升级突破!$BU$6:$BU$57,卡牌消耗!AI284))</f>
        <v>金币</v>
      </c>
      <c r="AK284" s="14">
        <f>ROUND(INDEX(挂机升级突破!$BN$6:$BN$57,卡牌消耗!AI284)*INDEX(卡牌消耗!$B$8:$F$8,AG284)/$Q$4/50,0)*50</f>
        <v>7800</v>
      </c>
      <c r="AL284" s="14" t="str">
        <f>IF(AD284&gt;0,INDEX(挂机升级突破!$BX$4:$CH$4,AD284),"")</f>
        <v>紫色基础材料</v>
      </c>
      <c r="AM284" s="14">
        <f>ROUND(INDEX(挂机升级突破!$BX$6:$CH$57,卡牌消耗!AI284,AD284)*INDEX(卡牌消耗!$B$5:$F$5,AG284)/$Q$4/5,0)*5</f>
        <v>755</v>
      </c>
      <c r="AN284" s="14" t="str">
        <f>IF(AE284&gt;0,INDEX(挂机升级突破!$BX$4:$CH$4,AE284),"")</f>
        <v/>
      </c>
      <c r="AO284" s="14" t="str">
        <f>IF(AE284&gt;0,ROUND(INDEX(挂机升级突破!$BX$6:$CH$57,卡牌消耗!AI284,AE284)*INDEX(卡牌消耗!$B$7:$F$7,AG284)/$Q$4,0),"")</f>
        <v/>
      </c>
      <c r="AP284" s="106"/>
      <c r="AQ284" s="15"/>
      <c r="AR284" s="104">
        <v>280</v>
      </c>
      <c r="AS284" s="14">
        <f t="shared" si="133"/>
        <v>14</v>
      </c>
      <c r="AT284" s="14">
        <f>INDEX(挂机升级突破!$CM$7:$CM$26,AX284)</f>
        <v>5</v>
      </c>
      <c r="AU284" s="14">
        <f>INDEX(挂机升级突破!$CN$7:$CN$26,AX284)</f>
        <v>4</v>
      </c>
      <c r="AV284" s="14">
        <f t="shared" si="134"/>
        <v>3</v>
      </c>
      <c r="AW284" s="14" t="str">
        <f t="shared" si="135"/>
        <v>石灵明</v>
      </c>
      <c r="AX284" s="14">
        <f t="shared" si="136"/>
        <v>20</v>
      </c>
      <c r="AY284" s="14" t="str">
        <f t="shared" si="137"/>
        <v>石灵明20突</v>
      </c>
      <c r="AZ284" s="14" t="str">
        <f>IF(AT284&gt;0,INDEX(挂机升级突破!$CV$5:$CZ$5,卡牌消耗!AT284),"")</f>
        <v>金币</v>
      </c>
      <c r="BA284" s="14">
        <f>IF(AT284&gt;0,ROUND(INDEX(挂机升级突破!$CZ$7:$CZ$26,卡牌消耗!AX284)*INDEX(卡牌消耗!$B$8:$F$8,AV284)/$Q$4/500,0)*500,"")</f>
        <v>760000</v>
      </c>
      <c r="BB284" s="14" t="str">
        <f>IF(AU284&gt;0,INDEX(挂机升级突破!$CV$5:$CZ$5,卡牌消耗!AU284),"")</f>
        <v>铀金</v>
      </c>
      <c r="BC284" s="14">
        <f>IF(AU284&gt;0,ROUND(INDEX(挂机升级突破!$CV$7:$CY$26,卡牌消耗!AX284,卡牌消耗!AU284)*INDEX($B$6:$F$6,AV284)/$Q$4/5,0)*5,"")</f>
        <v>60</v>
      </c>
      <c r="BD284" s="104"/>
      <c r="BE284" s="104"/>
      <c r="BF284" s="106"/>
    </row>
    <row r="285" spans="8:58" ht="16.5" x14ac:dyDescent="0.2">
      <c r="H285" s="15"/>
      <c r="I285" s="15"/>
      <c r="J285" s="15"/>
      <c r="K285" s="15"/>
      <c r="L285" s="15"/>
      <c r="M285" s="15"/>
      <c r="N285" s="15"/>
      <c r="O285" s="137"/>
      <c r="P285" s="141"/>
      <c r="Q285" s="141"/>
      <c r="R285" s="141"/>
      <c r="S285" s="141"/>
      <c r="T285" s="141"/>
      <c r="U285" s="141"/>
      <c r="V285" s="141"/>
      <c r="W285" s="141"/>
      <c r="X285" s="141"/>
      <c r="Y285" s="141"/>
      <c r="Z285" s="141"/>
      <c r="AA285" s="104">
        <v>281</v>
      </c>
      <c r="AB285" s="14">
        <f t="shared" si="128"/>
        <v>6</v>
      </c>
      <c r="AC285" s="14">
        <f>INDEX(挂机升级突破!$BU$6:$BU$57,卡牌消耗!AI285)</f>
        <v>11</v>
      </c>
      <c r="AD285" s="14">
        <f>INDEX(挂机升级突破!BV$6:BV$57,卡牌消耗!$AI285)</f>
        <v>3</v>
      </c>
      <c r="AE285" s="14">
        <f>INDEX(挂机升级突破!BW$6:BW$57,卡牌消耗!$AI285)</f>
        <v>0</v>
      </c>
      <c r="AF285" s="14" t="str">
        <f t="shared" si="129"/>
        <v>项羽</v>
      </c>
      <c r="AG285" s="14">
        <f t="shared" si="130"/>
        <v>5</v>
      </c>
      <c r="AH285" s="14" t="str">
        <f t="shared" si="131"/>
        <v>项羽魂火-21</v>
      </c>
      <c r="AI285" s="14">
        <f t="shared" si="132"/>
        <v>21</v>
      </c>
      <c r="AJ285" s="14" t="str">
        <f>INDEX(挂机升级突破!$BX$4:$CH$4,INDEX(挂机升级突破!$BU$6:$BU$57,卡牌消耗!AI285))</f>
        <v>金币</v>
      </c>
      <c r="AK285" s="14">
        <f>ROUND(INDEX(挂机升级突破!$BN$6:$BN$57,卡牌消耗!AI285)*INDEX(卡牌消耗!$B$8:$F$8,AG285)/$Q$4/50,0)*50</f>
        <v>7800</v>
      </c>
      <c r="AL285" s="14" t="str">
        <f>IF(AD285&gt;0,INDEX(挂机升级突破!$BX$4:$CH$4,AD285),"")</f>
        <v>紫色基础材料</v>
      </c>
      <c r="AM285" s="14">
        <f>ROUND(INDEX(挂机升级突破!$BX$6:$CH$57,卡牌消耗!AI285,AD285)*INDEX(卡牌消耗!$B$5:$F$5,AG285)/$Q$4/5,0)*5</f>
        <v>755</v>
      </c>
      <c r="AN285" s="14" t="str">
        <f>IF(AE285&gt;0,INDEX(挂机升级突破!$BX$4:$CH$4,AE285),"")</f>
        <v/>
      </c>
      <c r="AO285" s="14" t="str">
        <f>IF(AE285&gt;0,ROUND(INDEX(挂机升级突破!$BX$6:$CH$57,卡牌消耗!AI285,AE285)*INDEX(卡牌消耗!$B$7:$F$7,AG285)/$Q$4,0),"")</f>
        <v/>
      </c>
      <c r="AP285" s="106"/>
      <c r="AQ285" s="15"/>
      <c r="AR285" s="104">
        <v>281</v>
      </c>
      <c r="AS285" s="14">
        <f t="shared" si="133"/>
        <v>15</v>
      </c>
      <c r="AT285" s="14">
        <f>INDEX(挂机升级突破!$CM$7:$CM$26,AX285)</f>
        <v>0</v>
      </c>
      <c r="AU285" s="14">
        <f>INDEX(挂机升级突破!$CN$7:$CN$26,AX285)</f>
        <v>0</v>
      </c>
      <c r="AV285" s="14">
        <f t="shared" si="134"/>
        <v>2</v>
      </c>
      <c r="AW285" s="14" t="str">
        <f t="shared" si="135"/>
        <v>于禁</v>
      </c>
      <c r="AX285" s="14">
        <f t="shared" si="136"/>
        <v>1</v>
      </c>
      <c r="AY285" s="14" t="str">
        <f t="shared" si="137"/>
        <v>于禁1突</v>
      </c>
      <c r="AZ285" s="14" t="str">
        <f>IF(AT285&gt;0,INDEX(挂机升级突破!$CV$5:$CZ$5,卡牌消耗!AT285),"")</f>
        <v/>
      </c>
      <c r="BA285" s="14" t="str">
        <f>IF(AT285&gt;0,ROUND(INDEX(挂机升级突破!$CZ$7:$CZ$26,卡牌消耗!AX285)*INDEX(卡牌消耗!$B$8:$F$8,AV285)/$Q$4/500,0)*500,"")</f>
        <v/>
      </c>
      <c r="BB285" s="14" t="str">
        <f>IF(AU285&gt;0,INDEX(挂机升级突破!$CV$5:$CZ$5,卡牌消耗!AU285),"")</f>
        <v/>
      </c>
      <c r="BC285" s="14" t="str">
        <f>IF(AU285&gt;0,ROUND(INDEX(挂机升级突破!$CV$7:$CY$26,卡牌消耗!AX285,卡牌消耗!AU285)*INDEX($B$6:$F$6,AV285)/$Q$4/5,0)*5,"")</f>
        <v/>
      </c>
      <c r="BD285" s="104"/>
      <c r="BE285" s="104"/>
      <c r="BF285" s="106"/>
    </row>
    <row r="286" spans="8:58" ht="16.5" x14ac:dyDescent="0.2">
      <c r="H286" s="15"/>
      <c r="I286" s="15"/>
      <c r="J286" s="15"/>
      <c r="K286" s="15"/>
      <c r="L286" s="15"/>
      <c r="M286" s="15"/>
      <c r="N286" s="15"/>
      <c r="O286" s="137"/>
      <c r="P286" s="141"/>
      <c r="Q286" s="141"/>
      <c r="R286" s="141"/>
      <c r="S286" s="141"/>
      <c r="T286" s="141"/>
      <c r="U286" s="141"/>
      <c r="V286" s="141"/>
      <c r="W286" s="141"/>
      <c r="X286" s="141"/>
      <c r="Y286" s="141"/>
      <c r="Z286" s="141"/>
      <c r="AA286" s="104">
        <v>282</v>
      </c>
      <c r="AB286" s="14">
        <f t="shared" si="128"/>
        <v>6</v>
      </c>
      <c r="AC286" s="14">
        <f>INDEX(挂机升级突破!$BU$6:$BU$57,卡牌消耗!AI286)</f>
        <v>11</v>
      </c>
      <c r="AD286" s="14">
        <f>INDEX(挂机升级突破!BV$6:BV$57,卡牌消耗!$AI286)</f>
        <v>3</v>
      </c>
      <c r="AE286" s="14">
        <f>INDEX(挂机升级突破!BW$6:BW$57,卡牌消耗!$AI286)</f>
        <v>0</v>
      </c>
      <c r="AF286" s="14" t="str">
        <f t="shared" si="129"/>
        <v>项羽</v>
      </c>
      <c r="AG286" s="14">
        <f t="shared" si="130"/>
        <v>5</v>
      </c>
      <c r="AH286" s="14" t="str">
        <f t="shared" si="131"/>
        <v>项羽魂火-22</v>
      </c>
      <c r="AI286" s="14">
        <f t="shared" si="132"/>
        <v>22</v>
      </c>
      <c r="AJ286" s="14" t="str">
        <f>INDEX(挂机升级突破!$BX$4:$CH$4,INDEX(挂机升级突破!$BU$6:$BU$57,卡牌消耗!AI286))</f>
        <v>金币</v>
      </c>
      <c r="AK286" s="14">
        <f>ROUND(INDEX(挂机升级突破!$BN$6:$BN$57,卡牌消耗!AI286)*INDEX(卡牌消耗!$B$8:$F$8,AG286)/$Q$4/50,0)*50</f>
        <v>7800</v>
      </c>
      <c r="AL286" s="14" t="str">
        <f>IF(AD286&gt;0,INDEX(挂机升级突破!$BX$4:$CH$4,AD286),"")</f>
        <v>紫色基础材料</v>
      </c>
      <c r="AM286" s="14">
        <f>ROUND(INDEX(挂机升级突破!$BX$6:$CH$57,卡牌消耗!AI286,AD286)*INDEX(卡牌消耗!$B$5:$F$5,AG286)/$Q$4/5,0)*5</f>
        <v>755</v>
      </c>
      <c r="AN286" s="14" t="str">
        <f>IF(AE286&gt;0,INDEX(挂机升级突破!$BX$4:$CH$4,AE286),"")</f>
        <v/>
      </c>
      <c r="AO286" s="14" t="str">
        <f>IF(AE286&gt;0,ROUND(INDEX(挂机升级突破!$BX$6:$CH$57,卡牌消耗!AI286,AE286)*INDEX(卡牌消耗!$B$7:$F$7,AG286)/$Q$4,0),"")</f>
        <v/>
      </c>
      <c r="AP286" s="106"/>
      <c r="AQ286" s="15"/>
      <c r="AR286" s="104">
        <v>282</v>
      </c>
      <c r="AS286" s="14">
        <f t="shared" si="133"/>
        <v>15</v>
      </c>
      <c r="AT286" s="14">
        <f>INDEX(挂机升级突破!$CM$7:$CM$26,AX286)</f>
        <v>5</v>
      </c>
      <c r="AU286" s="14">
        <f>INDEX(挂机升级突破!$CN$7:$CN$26,AX286)</f>
        <v>0</v>
      </c>
      <c r="AV286" s="14">
        <f t="shared" si="134"/>
        <v>2</v>
      </c>
      <c r="AW286" s="14" t="str">
        <f t="shared" si="135"/>
        <v>于禁</v>
      </c>
      <c r="AX286" s="14">
        <f t="shared" si="136"/>
        <v>2</v>
      </c>
      <c r="AY286" s="14" t="str">
        <f t="shared" si="137"/>
        <v>于禁2突</v>
      </c>
      <c r="AZ286" s="14" t="str">
        <f>IF(AT286&gt;0,INDEX(挂机升级突破!$CV$5:$CZ$5,卡牌消耗!AT286),"")</f>
        <v>金币</v>
      </c>
      <c r="BA286" s="14">
        <f>IF(AT286&gt;0,ROUND(INDEX(挂机升级突破!$CZ$7:$CZ$26,卡牌消耗!AX286)*INDEX(卡牌消耗!$B$8:$F$8,AV286)/$Q$4/500,0)*500,"")</f>
        <v>1500</v>
      </c>
      <c r="BB286" s="14" t="str">
        <f>IF(AU286&gt;0,INDEX(挂机升级突破!$CV$5:$CZ$5,卡牌消耗!AU286),"")</f>
        <v/>
      </c>
      <c r="BC286" s="14" t="str">
        <f>IF(AU286&gt;0,ROUND(INDEX(挂机升级突破!$CV$7:$CY$26,卡牌消耗!AX286,卡牌消耗!AU286)*INDEX($B$6:$F$6,AV286)/$Q$4/5,0)*5,"")</f>
        <v/>
      </c>
      <c r="BD286" s="104"/>
      <c r="BE286" s="104"/>
      <c r="BF286" s="106"/>
    </row>
    <row r="287" spans="8:58" ht="16.5" x14ac:dyDescent="0.2">
      <c r="H287" s="15"/>
      <c r="I287" s="15"/>
      <c r="J287" s="15"/>
      <c r="K287" s="15"/>
      <c r="L287" s="15"/>
      <c r="M287" s="15"/>
      <c r="N287" s="15"/>
      <c r="O287" s="137"/>
      <c r="P287" s="141"/>
      <c r="Q287" s="141"/>
      <c r="R287" s="141"/>
      <c r="S287" s="141"/>
      <c r="T287" s="141"/>
      <c r="U287" s="141"/>
      <c r="V287" s="141"/>
      <c r="W287" s="141"/>
      <c r="X287" s="141"/>
      <c r="Y287" s="141"/>
      <c r="Z287" s="141"/>
      <c r="AA287" s="104">
        <v>283</v>
      </c>
      <c r="AB287" s="14">
        <f t="shared" si="128"/>
        <v>6</v>
      </c>
      <c r="AC287" s="14">
        <f>INDEX(挂机升级突破!$BU$6:$BU$57,卡牌消耗!AI287)</f>
        <v>11</v>
      </c>
      <c r="AD287" s="14">
        <f>INDEX(挂机升级突破!BV$6:BV$57,卡牌消耗!$AI287)</f>
        <v>4</v>
      </c>
      <c r="AE287" s="14">
        <f>INDEX(挂机升级突破!BW$6:BW$57,卡牌消耗!$AI287)</f>
        <v>0</v>
      </c>
      <c r="AF287" s="14" t="str">
        <f t="shared" si="129"/>
        <v>项羽</v>
      </c>
      <c r="AG287" s="14">
        <f t="shared" si="130"/>
        <v>5</v>
      </c>
      <c r="AH287" s="14" t="str">
        <f t="shared" si="131"/>
        <v>项羽魂火-23</v>
      </c>
      <c r="AI287" s="14">
        <f t="shared" si="132"/>
        <v>23</v>
      </c>
      <c r="AJ287" s="14" t="str">
        <f>INDEX(挂机升级突破!$BX$4:$CH$4,INDEX(挂机升级突破!$BU$6:$BU$57,卡牌消耗!AI287))</f>
        <v>金币</v>
      </c>
      <c r="AK287" s="14">
        <f>ROUND(INDEX(挂机升级突破!$BN$6:$BN$57,卡牌消耗!AI287)*INDEX(卡牌消耗!$B$8:$F$8,AG287)/$Q$4/50,0)*50</f>
        <v>10750</v>
      </c>
      <c r="AL287" s="14" t="str">
        <f>IF(AD287&gt;0,INDEX(挂机升级突破!$BX$4:$CH$4,AD287),"")</f>
        <v>橙色基础材料</v>
      </c>
      <c r="AM287" s="14">
        <f>ROUND(INDEX(挂机升级突破!$BX$6:$CH$57,卡牌消耗!AI287,AD287)*INDEX(卡牌消耗!$B$5:$F$5,AG287)/$Q$4/5,0)*5</f>
        <v>105</v>
      </c>
      <c r="AN287" s="14" t="str">
        <f>IF(AE287&gt;0,INDEX(挂机升级突破!$BX$4:$CH$4,AE287),"")</f>
        <v/>
      </c>
      <c r="AO287" s="14" t="str">
        <f>IF(AE287&gt;0,ROUND(INDEX(挂机升级突破!$BX$6:$CH$57,卡牌消耗!AI287,AE287)*INDEX(卡牌消耗!$B$7:$F$7,AG287)/$Q$4,0),"")</f>
        <v/>
      </c>
      <c r="AP287" s="106"/>
      <c r="AQ287" s="15"/>
      <c r="AR287" s="104">
        <v>283</v>
      </c>
      <c r="AS287" s="14">
        <f t="shared" si="133"/>
        <v>15</v>
      </c>
      <c r="AT287" s="14">
        <f>INDEX(挂机升级突破!$CM$7:$CM$26,AX287)</f>
        <v>5</v>
      </c>
      <c r="AU287" s="14">
        <f>INDEX(挂机升级突破!$CN$7:$CN$26,AX287)</f>
        <v>0</v>
      </c>
      <c r="AV287" s="14">
        <f t="shared" si="134"/>
        <v>2</v>
      </c>
      <c r="AW287" s="14" t="str">
        <f t="shared" si="135"/>
        <v>于禁</v>
      </c>
      <c r="AX287" s="14">
        <f t="shared" si="136"/>
        <v>3</v>
      </c>
      <c r="AY287" s="14" t="str">
        <f t="shared" si="137"/>
        <v>于禁3突</v>
      </c>
      <c r="AZ287" s="14" t="str">
        <f>IF(AT287&gt;0,INDEX(挂机升级突破!$CV$5:$CZ$5,卡牌消耗!AT287),"")</f>
        <v>金币</v>
      </c>
      <c r="BA287" s="14">
        <f>IF(AT287&gt;0,ROUND(INDEX(挂机升级突破!$CZ$7:$CZ$26,卡牌消耗!AX287)*INDEX(卡牌消耗!$B$8:$F$8,AV287)/$Q$4/500,0)*500,"")</f>
        <v>1500</v>
      </c>
      <c r="BB287" s="14" t="str">
        <f>IF(AU287&gt;0,INDEX(挂机升级突破!$CV$5:$CZ$5,卡牌消耗!AU287),"")</f>
        <v/>
      </c>
      <c r="BC287" s="14" t="str">
        <f>IF(AU287&gt;0,ROUND(INDEX(挂机升级突破!$CV$7:$CY$26,卡牌消耗!AX287,卡牌消耗!AU287)*INDEX($B$6:$F$6,AV287)/$Q$4/5,0)*5,"")</f>
        <v/>
      </c>
      <c r="BD287" s="104"/>
      <c r="BE287" s="104"/>
      <c r="BF287" s="106"/>
    </row>
    <row r="288" spans="8:58" ht="16.5" x14ac:dyDescent="0.2">
      <c r="H288" s="15"/>
      <c r="I288" s="15"/>
      <c r="J288" s="15"/>
      <c r="K288" s="15"/>
      <c r="L288" s="15"/>
      <c r="M288" s="15"/>
      <c r="N288" s="15"/>
      <c r="O288" s="137"/>
      <c r="P288" s="141"/>
      <c r="Q288" s="141"/>
      <c r="R288" s="141"/>
      <c r="S288" s="141"/>
      <c r="T288" s="141"/>
      <c r="U288" s="141"/>
      <c r="V288" s="141"/>
      <c r="W288" s="141"/>
      <c r="X288" s="141"/>
      <c r="Y288" s="141"/>
      <c r="Z288" s="141"/>
      <c r="AA288" s="104">
        <v>284</v>
      </c>
      <c r="AB288" s="14">
        <f t="shared" si="128"/>
        <v>6</v>
      </c>
      <c r="AC288" s="14">
        <f>INDEX(挂机升级突破!$BU$6:$BU$57,卡牌消耗!AI288)</f>
        <v>11</v>
      </c>
      <c r="AD288" s="14">
        <f>INDEX(挂机升级突破!BV$6:BV$57,卡牌消耗!$AI288)</f>
        <v>4</v>
      </c>
      <c r="AE288" s="14">
        <f>INDEX(挂机升级突破!BW$6:BW$57,卡牌消耗!$AI288)</f>
        <v>0</v>
      </c>
      <c r="AF288" s="14" t="str">
        <f t="shared" si="129"/>
        <v>项羽</v>
      </c>
      <c r="AG288" s="14">
        <f t="shared" si="130"/>
        <v>5</v>
      </c>
      <c r="AH288" s="14" t="str">
        <f t="shared" si="131"/>
        <v>项羽魂火-24</v>
      </c>
      <c r="AI288" s="14">
        <f t="shared" si="132"/>
        <v>24</v>
      </c>
      <c r="AJ288" s="14" t="str">
        <f>INDEX(挂机升级突破!$BX$4:$CH$4,INDEX(挂机升级突破!$BU$6:$BU$57,卡牌消耗!AI288))</f>
        <v>金币</v>
      </c>
      <c r="AK288" s="14">
        <f>ROUND(INDEX(挂机升级突破!$BN$6:$BN$57,卡牌消耗!AI288)*INDEX(卡牌消耗!$B$8:$F$8,AG288)/$Q$4/50,0)*50</f>
        <v>10750</v>
      </c>
      <c r="AL288" s="14" t="str">
        <f>IF(AD288&gt;0,INDEX(挂机升级突破!$BX$4:$CH$4,AD288),"")</f>
        <v>橙色基础材料</v>
      </c>
      <c r="AM288" s="14">
        <f>ROUND(INDEX(挂机升级突破!$BX$6:$CH$57,卡牌消耗!AI288,AD288)*INDEX(卡牌消耗!$B$5:$F$5,AG288)/$Q$4/5,0)*5</f>
        <v>105</v>
      </c>
      <c r="AN288" s="14" t="str">
        <f>IF(AE288&gt;0,INDEX(挂机升级突破!$BX$4:$CH$4,AE288),"")</f>
        <v/>
      </c>
      <c r="AO288" s="14" t="str">
        <f>IF(AE288&gt;0,ROUND(INDEX(挂机升级突破!$BX$6:$CH$57,卡牌消耗!AI288,AE288)*INDEX(卡牌消耗!$B$7:$F$7,AG288)/$Q$4,0),"")</f>
        <v/>
      </c>
      <c r="AP288" s="106"/>
      <c r="AQ288" s="15"/>
      <c r="AR288" s="104">
        <v>284</v>
      </c>
      <c r="AS288" s="14">
        <f t="shared" si="133"/>
        <v>15</v>
      </c>
      <c r="AT288" s="14">
        <f>INDEX(挂机升级突破!$CM$7:$CM$26,AX288)</f>
        <v>5</v>
      </c>
      <c r="AU288" s="14">
        <f>INDEX(挂机升级突破!$CN$7:$CN$26,AX288)</f>
        <v>1</v>
      </c>
      <c r="AV288" s="14">
        <f t="shared" si="134"/>
        <v>2</v>
      </c>
      <c r="AW288" s="14" t="str">
        <f t="shared" si="135"/>
        <v>于禁</v>
      </c>
      <c r="AX288" s="14">
        <f t="shared" si="136"/>
        <v>4</v>
      </c>
      <c r="AY288" s="14" t="str">
        <f t="shared" si="137"/>
        <v>于禁4突</v>
      </c>
      <c r="AZ288" s="14" t="str">
        <f>IF(AT288&gt;0,INDEX(挂机升级突破!$CV$5:$CZ$5,卡牌消耗!AT288),"")</f>
        <v>金币</v>
      </c>
      <c r="BA288" s="14">
        <f>IF(AT288&gt;0,ROUND(INDEX(挂机升级突破!$CZ$7:$CZ$26,卡牌消耗!AX288)*INDEX(卡牌消耗!$B$8:$F$8,AV288)/$Q$4/500,0)*500,"")</f>
        <v>2000</v>
      </c>
      <c r="BB288" s="14" t="str">
        <f>IF(AU288&gt;0,INDEX(挂机升级突破!$CV$5:$CZ$5,卡牌消耗!AU288),"")</f>
        <v>玄铁</v>
      </c>
      <c r="BC288" s="14">
        <f>IF(AU288&gt;0,ROUND(INDEX(挂机升级突破!$CV$7:$CY$26,卡牌消耗!AX288,卡牌消耗!AU288)*INDEX($B$6:$F$6,AV288)/$Q$4/5,0)*5,"")</f>
        <v>45</v>
      </c>
      <c r="BD288" s="104"/>
      <c r="BE288" s="104"/>
      <c r="BF288" s="106"/>
    </row>
    <row r="289" spans="8:58" ht="16.5" x14ac:dyDescent="0.2">
      <c r="H289" s="15"/>
      <c r="I289" s="15"/>
      <c r="J289" s="15"/>
      <c r="K289" s="15"/>
      <c r="L289" s="15"/>
      <c r="M289" s="15"/>
      <c r="N289" s="15"/>
      <c r="O289" s="137"/>
      <c r="P289" s="141"/>
      <c r="Q289" s="141"/>
      <c r="R289" s="141"/>
      <c r="S289" s="141"/>
      <c r="T289" s="141"/>
      <c r="U289" s="141"/>
      <c r="V289" s="141"/>
      <c r="W289" s="141"/>
      <c r="X289" s="141"/>
      <c r="Y289" s="141"/>
      <c r="Z289" s="141"/>
      <c r="AA289" s="104">
        <v>285</v>
      </c>
      <c r="AB289" s="14">
        <f t="shared" si="128"/>
        <v>6</v>
      </c>
      <c r="AC289" s="14">
        <f>INDEX(挂机升级突破!$BU$6:$BU$57,卡牌消耗!AI289)</f>
        <v>11</v>
      </c>
      <c r="AD289" s="14">
        <f>INDEX(挂机升级突破!BV$6:BV$57,卡牌消耗!$AI289)</f>
        <v>4</v>
      </c>
      <c r="AE289" s="14">
        <f>INDEX(挂机升级突破!BW$6:BW$57,卡牌消耗!$AI289)</f>
        <v>0</v>
      </c>
      <c r="AF289" s="14" t="str">
        <f t="shared" si="129"/>
        <v>项羽</v>
      </c>
      <c r="AG289" s="14">
        <f t="shared" si="130"/>
        <v>5</v>
      </c>
      <c r="AH289" s="14" t="str">
        <f t="shared" si="131"/>
        <v>项羽魂火-25</v>
      </c>
      <c r="AI289" s="14">
        <f t="shared" si="132"/>
        <v>25</v>
      </c>
      <c r="AJ289" s="14" t="str">
        <f>INDEX(挂机升级突破!$BX$4:$CH$4,INDEX(挂机升级突破!$BU$6:$BU$57,卡牌消耗!AI289))</f>
        <v>金币</v>
      </c>
      <c r="AK289" s="14">
        <f>ROUND(INDEX(挂机升级突破!$BN$6:$BN$57,卡牌消耗!AI289)*INDEX(卡牌消耗!$B$8:$F$8,AG289)/$Q$4/50,0)*50</f>
        <v>11700</v>
      </c>
      <c r="AL289" s="14" t="str">
        <f>IF(AD289&gt;0,INDEX(挂机升级突破!$BX$4:$CH$4,AD289),"")</f>
        <v>橙色基础材料</v>
      </c>
      <c r="AM289" s="14">
        <f>ROUND(INDEX(挂机升级突破!$BX$6:$CH$57,卡牌消耗!AI289,AD289)*INDEX(卡牌消耗!$B$5:$F$5,AG289)/$Q$4/5,0)*5</f>
        <v>105</v>
      </c>
      <c r="AN289" s="14" t="str">
        <f>IF(AE289&gt;0,INDEX(挂机升级突破!$BX$4:$CH$4,AE289),"")</f>
        <v/>
      </c>
      <c r="AO289" s="14" t="str">
        <f>IF(AE289&gt;0,ROUND(INDEX(挂机升级突破!$BX$6:$CH$57,卡牌消耗!AI289,AE289)*INDEX(卡牌消耗!$B$7:$F$7,AG289)/$Q$4,0),"")</f>
        <v/>
      </c>
      <c r="AP289" s="106"/>
      <c r="AQ289" s="15"/>
      <c r="AR289" s="104">
        <v>285</v>
      </c>
      <c r="AS289" s="14">
        <f t="shared" si="133"/>
        <v>15</v>
      </c>
      <c r="AT289" s="14">
        <f>INDEX(挂机升级突破!$CM$7:$CM$26,AX289)</f>
        <v>5</v>
      </c>
      <c r="AU289" s="14">
        <f>INDEX(挂机升级突破!$CN$7:$CN$26,AX289)</f>
        <v>1</v>
      </c>
      <c r="AV289" s="14">
        <f t="shared" si="134"/>
        <v>2</v>
      </c>
      <c r="AW289" s="14" t="str">
        <f t="shared" si="135"/>
        <v>于禁</v>
      </c>
      <c r="AX289" s="14">
        <f t="shared" si="136"/>
        <v>5</v>
      </c>
      <c r="AY289" s="14" t="str">
        <f t="shared" si="137"/>
        <v>于禁5突</v>
      </c>
      <c r="AZ289" s="14" t="str">
        <f>IF(AT289&gt;0,INDEX(挂机升级突破!$CV$5:$CZ$5,卡牌消耗!AT289),"")</f>
        <v>金币</v>
      </c>
      <c r="BA289" s="14">
        <f>IF(AT289&gt;0,ROUND(INDEX(挂机升级突破!$CZ$7:$CZ$26,卡牌消耗!AX289)*INDEX(卡牌消耗!$B$8:$F$8,AV289)/$Q$4/500,0)*500,"")</f>
        <v>2000</v>
      </c>
      <c r="BB289" s="14" t="str">
        <f>IF(AU289&gt;0,INDEX(挂机升级突破!$CV$5:$CZ$5,卡牌消耗!AU289),"")</f>
        <v>玄铁</v>
      </c>
      <c r="BC289" s="14">
        <f>IF(AU289&gt;0,ROUND(INDEX(挂机升级突破!$CV$7:$CY$26,卡牌消耗!AX289,卡牌消耗!AU289)*INDEX($B$6:$F$6,AV289)/$Q$4/5,0)*5,"")</f>
        <v>95</v>
      </c>
      <c r="BD289" s="104"/>
      <c r="BE289" s="104"/>
      <c r="BF289" s="106"/>
    </row>
    <row r="290" spans="8:58" ht="16.5" x14ac:dyDescent="0.2">
      <c r="H290" s="15"/>
      <c r="I290" s="15"/>
      <c r="J290" s="15"/>
      <c r="K290" s="15"/>
      <c r="L290" s="15"/>
      <c r="M290" s="15"/>
      <c r="N290" s="15"/>
      <c r="O290" s="137"/>
      <c r="P290" s="141"/>
      <c r="Q290" s="141"/>
      <c r="R290" s="141"/>
      <c r="S290" s="141"/>
      <c r="T290" s="141"/>
      <c r="U290" s="141"/>
      <c r="V290" s="141"/>
      <c r="W290" s="141"/>
      <c r="X290" s="141"/>
      <c r="Y290" s="141"/>
      <c r="Z290" s="141"/>
      <c r="AA290" s="104">
        <v>286</v>
      </c>
      <c r="AB290" s="14">
        <f t="shared" si="128"/>
        <v>6</v>
      </c>
      <c r="AC290" s="14">
        <f>INDEX(挂机升级突破!$BU$6:$BU$57,卡牌消耗!AI290)</f>
        <v>11</v>
      </c>
      <c r="AD290" s="14">
        <f>INDEX(挂机升级突破!BV$6:BV$57,卡牌消耗!$AI290)</f>
        <v>4</v>
      </c>
      <c r="AE290" s="14">
        <f>INDEX(挂机升级突破!BW$6:BW$57,卡牌消耗!$AI290)</f>
        <v>0</v>
      </c>
      <c r="AF290" s="14" t="str">
        <f t="shared" si="129"/>
        <v>项羽</v>
      </c>
      <c r="AG290" s="14">
        <f t="shared" si="130"/>
        <v>5</v>
      </c>
      <c r="AH290" s="14" t="str">
        <f t="shared" si="131"/>
        <v>项羽魂火-26</v>
      </c>
      <c r="AI290" s="14">
        <f t="shared" si="132"/>
        <v>26</v>
      </c>
      <c r="AJ290" s="14" t="str">
        <f>INDEX(挂机升级突破!$BX$4:$CH$4,INDEX(挂机升级突破!$BU$6:$BU$57,卡牌消耗!AI290))</f>
        <v>金币</v>
      </c>
      <c r="AK290" s="14">
        <f>ROUND(INDEX(挂机升级突破!$BN$6:$BN$57,卡牌消耗!AI290)*INDEX(卡牌消耗!$B$8:$F$8,AG290)/$Q$4/50,0)*50</f>
        <v>13650</v>
      </c>
      <c r="AL290" s="14" t="str">
        <f>IF(AD290&gt;0,INDEX(挂机升级突破!$BX$4:$CH$4,AD290),"")</f>
        <v>橙色基础材料</v>
      </c>
      <c r="AM290" s="14">
        <f>ROUND(INDEX(挂机升级突破!$BX$6:$CH$57,卡牌消耗!AI290,AD290)*INDEX(卡牌消耗!$B$5:$F$5,AG290)/$Q$4/5,0)*5</f>
        <v>125</v>
      </c>
      <c r="AN290" s="14" t="str">
        <f>IF(AE290&gt;0,INDEX(挂机升级突破!$BX$4:$CH$4,AE290),"")</f>
        <v/>
      </c>
      <c r="AO290" s="14" t="str">
        <f>IF(AE290&gt;0,ROUND(INDEX(挂机升级突破!$BX$6:$CH$57,卡牌消耗!AI290,AE290)*INDEX(卡牌消耗!$B$7:$F$7,AG290)/$Q$4,0),"")</f>
        <v/>
      </c>
      <c r="AP290" s="106"/>
      <c r="AQ290" s="15"/>
      <c r="AR290" s="104">
        <v>286</v>
      </c>
      <c r="AS290" s="14">
        <f t="shared" si="133"/>
        <v>15</v>
      </c>
      <c r="AT290" s="14">
        <f>INDEX(挂机升级突破!$CM$7:$CM$26,AX290)</f>
        <v>5</v>
      </c>
      <c r="AU290" s="14">
        <f>INDEX(挂机升级突破!$CN$7:$CN$26,AX290)</f>
        <v>1</v>
      </c>
      <c r="AV290" s="14">
        <f t="shared" si="134"/>
        <v>2</v>
      </c>
      <c r="AW290" s="14" t="str">
        <f t="shared" si="135"/>
        <v>于禁</v>
      </c>
      <c r="AX290" s="14">
        <f t="shared" si="136"/>
        <v>6</v>
      </c>
      <c r="AY290" s="14" t="str">
        <f t="shared" si="137"/>
        <v>于禁6突</v>
      </c>
      <c r="AZ290" s="14" t="str">
        <f>IF(AT290&gt;0,INDEX(挂机升级突破!$CV$5:$CZ$5,卡牌消耗!AT290),"")</f>
        <v>金币</v>
      </c>
      <c r="BA290" s="14">
        <f>IF(AT290&gt;0,ROUND(INDEX(挂机升级突破!$CZ$7:$CZ$26,卡牌消耗!AX290)*INDEX(卡牌消耗!$B$8:$F$8,AV290)/$Q$4/500,0)*500,"")</f>
        <v>3000</v>
      </c>
      <c r="BB290" s="14" t="str">
        <f>IF(AU290&gt;0,INDEX(挂机升级突破!$CV$5:$CZ$5,卡牌消耗!AU290),"")</f>
        <v>玄铁</v>
      </c>
      <c r="BC290" s="14">
        <f>IF(AU290&gt;0,ROUND(INDEX(挂机升级突破!$CV$7:$CY$26,卡牌消耗!AX290,卡牌消耗!AU290)*INDEX($B$6:$F$6,AV290)/$Q$4/5,0)*5,"")</f>
        <v>140</v>
      </c>
      <c r="BD290" s="104"/>
      <c r="BE290" s="104"/>
      <c r="BF290" s="106"/>
    </row>
    <row r="291" spans="8:58" ht="16.5" x14ac:dyDescent="0.2">
      <c r="H291" s="15"/>
      <c r="I291" s="15"/>
      <c r="J291" s="15"/>
      <c r="K291" s="15"/>
      <c r="L291" s="15"/>
      <c r="M291" s="15"/>
      <c r="N291" s="15"/>
      <c r="O291" s="137"/>
      <c r="P291" s="141"/>
      <c r="Q291" s="141"/>
      <c r="R291" s="141"/>
      <c r="S291" s="141"/>
      <c r="T291" s="141"/>
      <c r="U291" s="141"/>
      <c r="V291" s="141"/>
      <c r="W291" s="141"/>
      <c r="X291" s="141"/>
      <c r="Y291" s="141"/>
      <c r="Z291" s="141"/>
      <c r="AA291" s="104">
        <v>287</v>
      </c>
      <c r="AB291" s="14">
        <f t="shared" si="128"/>
        <v>6</v>
      </c>
      <c r="AC291" s="14">
        <f>INDEX(挂机升级突破!$BU$6:$BU$57,卡牌消耗!AI291)</f>
        <v>11</v>
      </c>
      <c r="AD291" s="14">
        <f>INDEX(挂机升级突破!BV$6:BV$57,卡牌消耗!$AI291)</f>
        <v>4</v>
      </c>
      <c r="AE291" s="14">
        <f>INDEX(挂机升级突破!BW$6:BW$57,卡牌消耗!$AI291)</f>
        <v>0</v>
      </c>
      <c r="AF291" s="14" t="str">
        <f t="shared" si="129"/>
        <v>项羽</v>
      </c>
      <c r="AG291" s="14">
        <f t="shared" si="130"/>
        <v>5</v>
      </c>
      <c r="AH291" s="14" t="str">
        <f t="shared" si="131"/>
        <v>项羽魂火-27</v>
      </c>
      <c r="AI291" s="14">
        <f t="shared" si="132"/>
        <v>27</v>
      </c>
      <c r="AJ291" s="14" t="str">
        <f>INDEX(挂机升级突破!$BX$4:$CH$4,INDEX(挂机升级突破!$BU$6:$BU$57,卡牌消耗!AI291))</f>
        <v>金币</v>
      </c>
      <c r="AK291" s="14">
        <f>ROUND(INDEX(挂机升级突破!$BN$6:$BN$57,卡牌消耗!AI291)*INDEX(卡牌消耗!$B$8:$F$8,AG291)/$Q$4/50,0)*50</f>
        <v>13650</v>
      </c>
      <c r="AL291" s="14" t="str">
        <f>IF(AD291&gt;0,INDEX(挂机升级突破!$BX$4:$CH$4,AD291),"")</f>
        <v>橙色基础材料</v>
      </c>
      <c r="AM291" s="14">
        <f>ROUND(INDEX(挂机升级突破!$BX$6:$CH$57,卡牌消耗!AI291,AD291)*INDEX(卡牌消耗!$B$5:$F$5,AG291)/$Q$4/5,0)*5</f>
        <v>125</v>
      </c>
      <c r="AN291" s="14" t="str">
        <f>IF(AE291&gt;0,INDEX(挂机升级突破!$BX$4:$CH$4,AE291),"")</f>
        <v/>
      </c>
      <c r="AO291" s="14" t="str">
        <f>IF(AE291&gt;0,ROUND(INDEX(挂机升级突破!$BX$6:$CH$57,卡牌消耗!AI291,AE291)*INDEX(卡牌消耗!$B$7:$F$7,AG291)/$Q$4,0),"")</f>
        <v/>
      </c>
      <c r="AP291" s="106"/>
      <c r="AQ291" s="15"/>
      <c r="AR291" s="104">
        <v>287</v>
      </c>
      <c r="AS291" s="14">
        <f t="shared" si="133"/>
        <v>15</v>
      </c>
      <c r="AT291" s="14">
        <f>INDEX(挂机升级突破!$CM$7:$CM$26,AX291)</f>
        <v>5</v>
      </c>
      <c r="AU291" s="14">
        <f>INDEX(挂机升级突破!$CN$7:$CN$26,AX291)</f>
        <v>1</v>
      </c>
      <c r="AV291" s="14">
        <f t="shared" si="134"/>
        <v>2</v>
      </c>
      <c r="AW291" s="14" t="str">
        <f t="shared" si="135"/>
        <v>于禁</v>
      </c>
      <c r="AX291" s="14">
        <f t="shared" si="136"/>
        <v>7</v>
      </c>
      <c r="AY291" s="14" t="str">
        <f t="shared" si="137"/>
        <v>于禁7突</v>
      </c>
      <c r="AZ291" s="14" t="str">
        <f>IF(AT291&gt;0,INDEX(挂机升级突破!$CV$5:$CZ$5,卡牌消耗!AT291),"")</f>
        <v>金币</v>
      </c>
      <c r="BA291" s="14">
        <f>IF(AT291&gt;0,ROUND(INDEX(挂机升级突破!$CZ$7:$CZ$26,卡牌消耗!AX291)*INDEX(卡牌消耗!$B$8:$F$8,AV291)/$Q$4/500,0)*500,"")</f>
        <v>4500</v>
      </c>
      <c r="BB291" s="14" t="str">
        <f>IF(AU291&gt;0,INDEX(挂机升级突破!$CV$5:$CZ$5,卡牌消耗!AU291),"")</f>
        <v>玄铁</v>
      </c>
      <c r="BC291" s="14">
        <f>IF(AU291&gt;0,ROUND(INDEX(挂机升级突破!$CV$7:$CY$26,卡牌消耗!AX291,卡牌消耗!AU291)*INDEX($B$6:$F$6,AV291)/$Q$4/5,0)*5,"")</f>
        <v>230</v>
      </c>
      <c r="BD291" s="104"/>
      <c r="BE291" s="104"/>
      <c r="BF291" s="106"/>
    </row>
    <row r="292" spans="8:58" ht="16.5" x14ac:dyDescent="0.2">
      <c r="H292" s="15"/>
      <c r="I292" s="15"/>
      <c r="J292" s="15"/>
      <c r="K292" s="15"/>
      <c r="L292" s="15"/>
      <c r="M292" s="15"/>
      <c r="N292" s="15"/>
      <c r="O292" s="137"/>
      <c r="P292" s="141"/>
      <c r="Q292" s="141"/>
      <c r="R292" s="141"/>
      <c r="S292" s="141"/>
      <c r="T292" s="141"/>
      <c r="U292" s="141"/>
      <c r="V292" s="141"/>
      <c r="W292" s="141"/>
      <c r="X292" s="141"/>
      <c r="Y292" s="141"/>
      <c r="Z292" s="141"/>
      <c r="AA292" s="104">
        <v>288</v>
      </c>
      <c r="AB292" s="14">
        <f t="shared" si="128"/>
        <v>6</v>
      </c>
      <c r="AC292" s="14">
        <f>INDEX(挂机升级突破!$BU$6:$BU$57,卡牌消耗!AI292)</f>
        <v>11</v>
      </c>
      <c r="AD292" s="14">
        <f>INDEX(挂机升级突破!BV$6:BV$57,卡牌消耗!$AI292)</f>
        <v>4</v>
      </c>
      <c r="AE292" s="14">
        <f>INDEX(挂机升级突破!BW$6:BW$57,卡牌消耗!$AI292)</f>
        <v>0</v>
      </c>
      <c r="AF292" s="14" t="str">
        <f t="shared" si="129"/>
        <v>项羽</v>
      </c>
      <c r="AG292" s="14">
        <f t="shared" si="130"/>
        <v>5</v>
      </c>
      <c r="AH292" s="14" t="str">
        <f t="shared" si="131"/>
        <v>项羽魂火-28</v>
      </c>
      <c r="AI292" s="14">
        <f t="shared" si="132"/>
        <v>28</v>
      </c>
      <c r="AJ292" s="14" t="str">
        <f>INDEX(挂机升级突破!$BX$4:$CH$4,INDEX(挂机升级突破!$BU$6:$BU$57,卡牌消耗!AI292))</f>
        <v>金币</v>
      </c>
      <c r="AK292" s="14">
        <f>ROUND(INDEX(挂机升级突破!$BN$6:$BN$57,卡牌消耗!AI292)*INDEX(卡牌消耗!$B$8:$F$8,AG292)/$Q$4/50,0)*50</f>
        <v>13650</v>
      </c>
      <c r="AL292" s="14" t="str">
        <f>IF(AD292&gt;0,INDEX(挂机升级突破!$BX$4:$CH$4,AD292),"")</f>
        <v>橙色基础材料</v>
      </c>
      <c r="AM292" s="14">
        <f>ROUND(INDEX(挂机升级突破!$BX$6:$CH$57,卡牌消耗!AI292,AD292)*INDEX(卡牌消耗!$B$5:$F$5,AG292)/$Q$4/5,0)*5</f>
        <v>125</v>
      </c>
      <c r="AN292" s="14" t="str">
        <f>IF(AE292&gt;0,INDEX(挂机升级突破!$BX$4:$CH$4,AE292),"")</f>
        <v/>
      </c>
      <c r="AO292" s="14" t="str">
        <f>IF(AE292&gt;0,ROUND(INDEX(挂机升级突破!$BX$6:$CH$57,卡牌消耗!AI292,AE292)*INDEX(卡牌消耗!$B$7:$F$7,AG292)/$Q$4,0),"")</f>
        <v/>
      </c>
      <c r="AP292" s="106"/>
      <c r="AQ292" s="15"/>
      <c r="AR292" s="104">
        <v>288</v>
      </c>
      <c r="AS292" s="14">
        <f t="shared" si="133"/>
        <v>15</v>
      </c>
      <c r="AT292" s="14">
        <f>INDEX(挂机升级突破!$CM$7:$CM$26,AX292)</f>
        <v>5</v>
      </c>
      <c r="AU292" s="14">
        <f>INDEX(挂机升级突破!$CN$7:$CN$26,AX292)</f>
        <v>1</v>
      </c>
      <c r="AV292" s="14">
        <f t="shared" si="134"/>
        <v>2</v>
      </c>
      <c r="AW292" s="14" t="str">
        <f t="shared" si="135"/>
        <v>于禁</v>
      </c>
      <c r="AX292" s="14">
        <f t="shared" si="136"/>
        <v>8</v>
      </c>
      <c r="AY292" s="14" t="str">
        <f t="shared" si="137"/>
        <v>于禁8突</v>
      </c>
      <c r="AZ292" s="14" t="str">
        <f>IF(AT292&gt;0,INDEX(挂机升级突破!$CV$5:$CZ$5,卡牌消耗!AT292),"")</f>
        <v>金币</v>
      </c>
      <c r="BA292" s="14">
        <f>IF(AT292&gt;0,ROUND(INDEX(挂机升级突破!$CZ$7:$CZ$26,卡牌消耗!AX292)*INDEX(卡牌消耗!$B$8:$F$8,AV292)/$Q$4/500,0)*500,"")</f>
        <v>4500</v>
      </c>
      <c r="BB292" s="14" t="str">
        <f>IF(AU292&gt;0,INDEX(挂机升级突破!$CV$5:$CZ$5,卡牌消耗!AU292),"")</f>
        <v>玄铁</v>
      </c>
      <c r="BC292" s="14">
        <f>IF(AU292&gt;0,ROUND(INDEX(挂机升级突破!$CV$7:$CY$26,卡牌消耗!AX292,卡牌消耗!AU292)*INDEX($B$6:$F$6,AV292)/$Q$4/5,0)*5,"")</f>
        <v>415</v>
      </c>
      <c r="BD292" s="104"/>
      <c r="BE292" s="104"/>
      <c r="BF292" s="106"/>
    </row>
    <row r="293" spans="8:58" ht="16.5" x14ac:dyDescent="0.2">
      <c r="H293" s="15"/>
      <c r="I293" s="15"/>
      <c r="J293" s="15"/>
      <c r="K293" s="15"/>
      <c r="L293" s="15"/>
      <c r="M293" s="15"/>
      <c r="N293" s="15"/>
      <c r="O293" s="137"/>
      <c r="P293" s="141"/>
      <c r="Q293" s="141"/>
      <c r="R293" s="141"/>
      <c r="S293" s="141"/>
      <c r="T293" s="141"/>
      <c r="U293" s="141"/>
      <c r="V293" s="141"/>
      <c r="W293" s="141"/>
      <c r="X293" s="141"/>
      <c r="Y293" s="141"/>
      <c r="Z293" s="141"/>
      <c r="AA293" s="104">
        <v>289</v>
      </c>
      <c r="AB293" s="14">
        <f t="shared" si="128"/>
        <v>6</v>
      </c>
      <c r="AC293" s="14">
        <f>INDEX(挂机升级突破!$BU$6:$BU$57,卡牌消耗!AI293)</f>
        <v>11</v>
      </c>
      <c r="AD293" s="14">
        <f>INDEX(挂机升级突破!BV$6:BV$57,卡牌消耗!$AI293)</f>
        <v>4</v>
      </c>
      <c r="AE293" s="14">
        <f>INDEX(挂机升级突破!BW$6:BW$57,卡牌消耗!$AI293)</f>
        <v>0</v>
      </c>
      <c r="AF293" s="14" t="str">
        <f t="shared" si="129"/>
        <v>项羽</v>
      </c>
      <c r="AG293" s="14">
        <f t="shared" si="130"/>
        <v>5</v>
      </c>
      <c r="AH293" s="14" t="str">
        <f t="shared" si="131"/>
        <v>项羽魂火-29</v>
      </c>
      <c r="AI293" s="14">
        <f t="shared" si="132"/>
        <v>29</v>
      </c>
      <c r="AJ293" s="14" t="str">
        <f>INDEX(挂机升级突破!$BX$4:$CH$4,INDEX(挂机升级突破!$BU$6:$BU$57,卡牌消耗!AI293))</f>
        <v>金币</v>
      </c>
      <c r="AK293" s="14">
        <f>ROUND(INDEX(挂机升级突破!$BN$6:$BN$57,卡牌消耗!AI293)*INDEX(卡牌消耗!$B$8:$F$8,AG293)/$Q$4/50,0)*50</f>
        <v>13850</v>
      </c>
      <c r="AL293" s="14" t="str">
        <f>IF(AD293&gt;0,INDEX(挂机升级突破!$BX$4:$CH$4,AD293),"")</f>
        <v>橙色基础材料</v>
      </c>
      <c r="AM293" s="14">
        <f>ROUND(INDEX(挂机升级突破!$BX$6:$CH$57,卡牌消耗!AI293,AD293)*INDEX(卡牌消耗!$B$5:$F$5,AG293)/$Q$4/5,0)*5</f>
        <v>145</v>
      </c>
      <c r="AN293" s="14" t="str">
        <f>IF(AE293&gt;0,INDEX(挂机升级突破!$BX$4:$CH$4,AE293),"")</f>
        <v/>
      </c>
      <c r="AO293" s="14" t="str">
        <f>IF(AE293&gt;0,ROUND(INDEX(挂机升级突破!$BX$6:$CH$57,卡牌消耗!AI293,AE293)*INDEX(卡牌消耗!$B$7:$F$7,AG293)/$Q$4,0),"")</f>
        <v/>
      </c>
      <c r="AP293" s="106"/>
      <c r="AQ293" s="15"/>
      <c r="AR293" s="104">
        <v>289</v>
      </c>
      <c r="AS293" s="14">
        <f t="shared" si="133"/>
        <v>15</v>
      </c>
      <c r="AT293" s="14">
        <f>INDEX(挂机升级突破!$CM$7:$CM$26,AX293)</f>
        <v>5</v>
      </c>
      <c r="AU293" s="14">
        <f>INDEX(挂机升级突破!$CN$7:$CN$26,AX293)</f>
        <v>2</v>
      </c>
      <c r="AV293" s="14">
        <f t="shared" si="134"/>
        <v>2</v>
      </c>
      <c r="AW293" s="14" t="str">
        <f t="shared" si="135"/>
        <v>于禁</v>
      </c>
      <c r="AX293" s="14">
        <f t="shared" si="136"/>
        <v>9</v>
      </c>
      <c r="AY293" s="14" t="str">
        <f t="shared" si="137"/>
        <v>于禁9突</v>
      </c>
      <c r="AZ293" s="14" t="str">
        <f>IF(AT293&gt;0,INDEX(挂机升级突破!$CV$5:$CZ$5,卡牌消耗!AT293),"")</f>
        <v>金币</v>
      </c>
      <c r="BA293" s="14">
        <f>IF(AT293&gt;0,ROUND(INDEX(挂机升级突破!$CZ$7:$CZ$26,卡牌消耗!AX293)*INDEX(卡牌消耗!$B$8:$F$8,AV293)/$Q$4/500,0)*500,"")</f>
        <v>6000</v>
      </c>
      <c r="BB293" s="14" t="str">
        <f>IF(AU293&gt;0,INDEX(挂机升级突破!$CV$5:$CZ$5,卡牌消耗!AU293),"")</f>
        <v>乌金</v>
      </c>
      <c r="BC293" s="14">
        <f>IF(AU293&gt;0,ROUND(INDEX(挂机升级突破!$CV$7:$CY$26,卡牌消耗!AX293,卡牌消耗!AU293)*INDEX($B$6:$F$6,AV293)/$Q$4/5,0)*5,"")</f>
        <v>50</v>
      </c>
      <c r="BD293" s="104"/>
      <c r="BE293" s="104"/>
      <c r="BF293" s="106"/>
    </row>
    <row r="294" spans="8:58" ht="16.5" x14ac:dyDescent="0.2">
      <c r="H294" s="15"/>
      <c r="I294" s="15"/>
      <c r="J294" s="15"/>
      <c r="K294" s="15"/>
      <c r="L294" s="15"/>
      <c r="M294" s="15"/>
      <c r="N294" s="15"/>
      <c r="O294" s="137"/>
      <c r="P294" s="141"/>
      <c r="Q294" s="141"/>
      <c r="R294" s="141"/>
      <c r="S294" s="141"/>
      <c r="T294" s="141"/>
      <c r="U294" s="141"/>
      <c r="V294" s="141"/>
      <c r="W294" s="141"/>
      <c r="X294" s="141"/>
      <c r="Y294" s="141"/>
      <c r="Z294" s="141"/>
      <c r="AA294" s="104">
        <v>290</v>
      </c>
      <c r="AB294" s="14">
        <f t="shared" si="128"/>
        <v>6</v>
      </c>
      <c r="AC294" s="14">
        <f>INDEX(挂机升级突破!$BU$6:$BU$57,卡牌消耗!AI294)</f>
        <v>11</v>
      </c>
      <c r="AD294" s="14">
        <f>INDEX(挂机升级突破!BV$6:BV$57,卡牌消耗!$AI294)</f>
        <v>4</v>
      </c>
      <c r="AE294" s="14">
        <f>INDEX(挂机升级突破!BW$6:BW$57,卡牌消耗!$AI294)</f>
        <v>0</v>
      </c>
      <c r="AF294" s="14" t="str">
        <f t="shared" si="129"/>
        <v>项羽</v>
      </c>
      <c r="AG294" s="14">
        <f t="shared" si="130"/>
        <v>5</v>
      </c>
      <c r="AH294" s="14" t="str">
        <f t="shared" si="131"/>
        <v>项羽魂火-30</v>
      </c>
      <c r="AI294" s="14">
        <f t="shared" si="132"/>
        <v>30</v>
      </c>
      <c r="AJ294" s="14" t="str">
        <f>INDEX(挂机升级突破!$BX$4:$CH$4,INDEX(挂机升级突破!$BU$6:$BU$57,卡牌消耗!AI294))</f>
        <v>金币</v>
      </c>
      <c r="AK294" s="14">
        <f>ROUND(INDEX(挂机升级突破!$BN$6:$BN$57,卡牌消耗!AI294)*INDEX(卡牌消耗!$B$8:$F$8,AG294)/$Q$4/50,0)*50</f>
        <v>13850</v>
      </c>
      <c r="AL294" s="14" t="str">
        <f>IF(AD294&gt;0,INDEX(挂机升级突破!$BX$4:$CH$4,AD294),"")</f>
        <v>橙色基础材料</v>
      </c>
      <c r="AM294" s="14">
        <f>ROUND(INDEX(挂机升级突破!$BX$6:$CH$57,卡牌消耗!AI294,AD294)*INDEX(卡牌消耗!$B$5:$F$5,AG294)/$Q$4/5,0)*5</f>
        <v>145</v>
      </c>
      <c r="AN294" s="14" t="str">
        <f>IF(AE294&gt;0,INDEX(挂机升级突破!$BX$4:$CH$4,AE294),"")</f>
        <v/>
      </c>
      <c r="AO294" s="14" t="str">
        <f>IF(AE294&gt;0,ROUND(INDEX(挂机升级突破!$BX$6:$CH$57,卡牌消耗!AI294,AE294)*INDEX(卡牌消耗!$B$7:$F$7,AG294)/$Q$4,0),"")</f>
        <v/>
      </c>
      <c r="AP294" s="106"/>
      <c r="AQ294" s="15"/>
      <c r="AR294" s="104">
        <v>290</v>
      </c>
      <c r="AS294" s="14">
        <f t="shared" si="133"/>
        <v>15</v>
      </c>
      <c r="AT294" s="14">
        <f>INDEX(挂机升级突破!$CM$7:$CM$26,AX294)</f>
        <v>5</v>
      </c>
      <c r="AU294" s="14">
        <f>INDEX(挂机升级突破!$CN$7:$CN$26,AX294)</f>
        <v>2</v>
      </c>
      <c r="AV294" s="14">
        <f t="shared" si="134"/>
        <v>2</v>
      </c>
      <c r="AW294" s="14" t="str">
        <f t="shared" si="135"/>
        <v>于禁</v>
      </c>
      <c r="AX294" s="14">
        <f t="shared" si="136"/>
        <v>10</v>
      </c>
      <c r="AY294" s="14" t="str">
        <f t="shared" si="137"/>
        <v>于禁10突</v>
      </c>
      <c r="AZ294" s="14" t="str">
        <f>IF(AT294&gt;0,INDEX(挂机升级突破!$CV$5:$CZ$5,卡牌消耗!AT294),"")</f>
        <v>金币</v>
      </c>
      <c r="BA294" s="14">
        <f>IF(AT294&gt;0,ROUND(INDEX(挂机升级突破!$CZ$7:$CZ$26,卡牌消耗!AX294)*INDEX(卡牌消耗!$B$8:$F$8,AV294)/$Q$4/500,0)*500,"")</f>
        <v>10000</v>
      </c>
      <c r="BB294" s="14" t="str">
        <f>IF(AU294&gt;0,INDEX(挂机升级突破!$CV$5:$CZ$5,卡牌消耗!AU294),"")</f>
        <v>乌金</v>
      </c>
      <c r="BC294" s="14">
        <f>IF(AU294&gt;0,ROUND(INDEX(挂机升级突破!$CV$7:$CY$26,卡牌消耗!AX294,卡牌消耗!AU294)*INDEX($B$6:$F$6,AV294)/$Q$4/5,0)*5,"")</f>
        <v>70</v>
      </c>
      <c r="BD294" s="104"/>
      <c r="BE294" s="104"/>
      <c r="BF294" s="106"/>
    </row>
    <row r="295" spans="8:58" ht="16.5" x14ac:dyDescent="0.2">
      <c r="H295" s="15"/>
      <c r="I295" s="15"/>
      <c r="J295" s="15"/>
      <c r="K295" s="15"/>
      <c r="L295" s="15"/>
      <c r="M295" s="15"/>
      <c r="N295" s="15"/>
      <c r="O295" s="137"/>
      <c r="P295" s="141"/>
      <c r="Q295" s="141"/>
      <c r="R295" s="141"/>
      <c r="S295" s="141"/>
      <c r="T295" s="141"/>
      <c r="U295" s="141"/>
      <c r="V295" s="141"/>
      <c r="W295" s="141"/>
      <c r="X295" s="141"/>
      <c r="Y295" s="141"/>
      <c r="Z295" s="141"/>
      <c r="AA295" s="104">
        <v>291</v>
      </c>
      <c r="AB295" s="14">
        <f t="shared" si="128"/>
        <v>6</v>
      </c>
      <c r="AC295" s="14">
        <f>INDEX(挂机升级突破!$BU$6:$BU$57,卡牌消耗!AI295)</f>
        <v>11</v>
      </c>
      <c r="AD295" s="14">
        <f>INDEX(挂机升级突破!BV$6:BV$57,卡牌消耗!$AI295)</f>
        <v>4</v>
      </c>
      <c r="AE295" s="14">
        <f>INDEX(挂机升级突破!BW$6:BW$57,卡牌消耗!$AI295)</f>
        <v>0</v>
      </c>
      <c r="AF295" s="14" t="str">
        <f t="shared" si="129"/>
        <v>项羽</v>
      </c>
      <c r="AG295" s="14">
        <f t="shared" si="130"/>
        <v>5</v>
      </c>
      <c r="AH295" s="14" t="str">
        <f t="shared" si="131"/>
        <v>项羽魂火-31</v>
      </c>
      <c r="AI295" s="14">
        <f t="shared" si="132"/>
        <v>31</v>
      </c>
      <c r="AJ295" s="14" t="str">
        <f>INDEX(挂机升级突破!$BX$4:$CH$4,INDEX(挂机升级突破!$BU$6:$BU$57,卡牌消耗!AI295))</f>
        <v>金币</v>
      </c>
      <c r="AK295" s="14">
        <f>ROUND(INDEX(挂机升级突破!$BN$6:$BN$57,卡牌消耗!AI295)*INDEX(卡牌消耗!$B$8:$F$8,AG295)/$Q$4/50,0)*50</f>
        <v>13850</v>
      </c>
      <c r="AL295" s="14" t="str">
        <f>IF(AD295&gt;0,INDEX(挂机升级突破!$BX$4:$CH$4,AD295),"")</f>
        <v>橙色基础材料</v>
      </c>
      <c r="AM295" s="14">
        <f>ROUND(INDEX(挂机升级突破!$BX$6:$CH$57,卡牌消耗!AI295,AD295)*INDEX(卡牌消耗!$B$5:$F$5,AG295)/$Q$4/5,0)*5</f>
        <v>145</v>
      </c>
      <c r="AN295" s="14" t="str">
        <f>IF(AE295&gt;0,INDEX(挂机升级突破!$BX$4:$CH$4,AE295),"")</f>
        <v/>
      </c>
      <c r="AO295" s="14" t="str">
        <f>IF(AE295&gt;0,ROUND(INDEX(挂机升级突破!$BX$6:$CH$57,卡牌消耗!AI295,AE295)*INDEX(卡牌消耗!$B$7:$F$7,AG295)/$Q$4,0),"")</f>
        <v/>
      </c>
      <c r="AP295" s="106"/>
      <c r="AQ295" s="15"/>
      <c r="AR295" s="104">
        <v>291</v>
      </c>
      <c r="AS295" s="14">
        <f t="shared" si="133"/>
        <v>15</v>
      </c>
      <c r="AT295" s="14">
        <f>INDEX(挂机升级突破!$CM$7:$CM$26,AX295)</f>
        <v>5</v>
      </c>
      <c r="AU295" s="14">
        <f>INDEX(挂机升级突破!$CN$7:$CN$26,AX295)</f>
        <v>2</v>
      </c>
      <c r="AV295" s="14">
        <f t="shared" si="134"/>
        <v>2</v>
      </c>
      <c r="AW295" s="14" t="str">
        <f t="shared" si="135"/>
        <v>于禁</v>
      </c>
      <c r="AX295" s="14">
        <f t="shared" si="136"/>
        <v>11</v>
      </c>
      <c r="AY295" s="14" t="str">
        <f t="shared" si="137"/>
        <v>于禁11突</v>
      </c>
      <c r="AZ295" s="14" t="str">
        <f>IF(AT295&gt;0,INDEX(挂机升级突破!$CV$5:$CZ$5,卡牌消耗!AT295),"")</f>
        <v>金币</v>
      </c>
      <c r="BA295" s="14">
        <f>IF(AT295&gt;0,ROUND(INDEX(挂机升级突破!$CZ$7:$CZ$26,卡牌消耗!AX295)*INDEX(卡牌消耗!$B$8:$F$8,AV295)/$Q$4/500,0)*500,"")</f>
        <v>10000</v>
      </c>
      <c r="BB295" s="14" t="str">
        <f>IF(AU295&gt;0,INDEX(挂机升级突破!$CV$5:$CZ$5,卡牌消耗!AU295),"")</f>
        <v>乌金</v>
      </c>
      <c r="BC295" s="14">
        <f>IF(AU295&gt;0,ROUND(INDEX(挂机升级突破!$CV$7:$CY$26,卡牌消耗!AX295,卡牌消耗!AU295)*INDEX($B$6:$F$6,AV295)/$Q$4/5,0)*5,"")</f>
        <v>95</v>
      </c>
      <c r="BD295" s="104"/>
      <c r="BE295" s="104"/>
      <c r="BF295" s="106"/>
    </row>
    <row r="296" spans="8:58" ht="16.5" x14ac:dyDescent="0.2">
      <c r="H296" s="15"/>
      <c r="I296" s="15"/>
      <c r="J296" s="15"/>
      <c r="K296" s="15"/>
      <c r="L296" s="15"/>
      <c r="M296" s="15"/>
      <c r="N296" s="15"/>
      <c r="O296" s="137"/>
      <c r="P296" s="141"/>
      <c r="Q296" s="141"/>
      <c r="R296" s="141"/>
      <c r="S296" s="141"/>
      <c r="T296" s="141"/>
      <c r="U296" s="141"/>
      <c r="V296" s="141"/>
      <c r="W296" s="141"/>
      <c r="X296" s="141"/>
      <c r="Y296" s="141"/>
      <c r="Z296" s="141"/>
      <c r="AA296" s="104">
        <v>292</v>
      </c>
      <c r="AB296" s="14">
        <f t="shared" si="128"/>
        <v>6</v>
      </c>
      <c r="AC296" s="14">
        <f>INDEX(挂机升级突破!$BU$6:$BU$57,卡牌消耗!AI296)</f>
        <v>11</v>
      </c>
      <c r="AD296" s="14">
        <f>INDEX(挂机升级突破!BV$6:BV$57,卡牌消耗!$AI296)</f>
        <v>4</v>
      </c>
      <c r="AE296" s="14">
        <f>INDEX(挂机升级突破!BW$6:BW$57,卡牌消耗!$AI296)</f>
        <v>0</v>
      </c>
      <c r="AF296" s="14" t="str">
        <f t="shared" si="129"/>
        <v>项羽</v>
      </c>
      <c r="AG296" s="14">
        <f t="shared" si="130"/>
        <v>5</v>
      </c>
      <c r="AH296" s="14" t="str">
        <f t="shared" si="131"/>
        <v>项羽魂火-32</v>
      </c>
      <c r="AI296" s="14">
        <f t="shared" si="132"/>
        <v>32</v>
      </c>
      <c r="AJ296" s="14" t="str">
        <f>INDEX(挂机升级突破!$BX$4:$CH$4,INDEX(挂机升级突破!$BU$6:$BU$57,卡牌消耗!AI296))</f>
        <v>金币</v>
      </c>
      <c r="AK296" s="14">
        <f>ROUND(INDEX(挂机升级突破!$BN$6:$BN$57,卡牌消耗!AI296)*INDEX(卡牌消耗!$B$8:$F$8,AG296)/$Q$4/50,0)*50</f>
        <v>19000</v>
      </c>
      <c r="AL296" s="14" t="str">
        <f>IF(AD296&gt;0,INDEX(挂机升级突破!$BX$4:$CH$4,AD296),"")</f>
        <v>橙色基础材料</v>
      </c>
      <c r="AM296" s="14">
        <f>ROUND(INDEX(挂机升级突破!$BX$6:$CH$57,卡牌消耗!AI296,AD296)*INDEX(卡牌消耗!$B$5:$F$5,AG296)/$Q$4/5,0)*5</f>
        <v>145</v>
      </c>
      <c r="AN296" s="14" t="str">
        <f>IF(AE296&gt;0,INDEX(挂机升级突破!$BX$4:$CH$4,AE296),"")</f>
        <v/>
      </c>
      <c r="AO296" s="14" t="str">
        <f>IF(AE296&gt;0,ROUND(INDEX(挂机升级突破!$BX$6:$CH$57,卡牌消耗!AI296,AE296)*INDEX(卡牌消耗!$B$7:$F$7,AG296)/$Q$4,0),"")</f>
        <v/>
      </c>
      <c r="AP296" s="106"/>
      <c r="AQ296" s="15"/>
      <c r="AR296" s="104">
        <v>292</v>
      </c>
      <c r="AS296" s="14">
        <f t="shared" si="133"/>
        <v>15</v>
      </c>
      <c r="AT296" s="14">
        <f>INDEX(挂机升级突破!$CM$7:$CM$26,AX296)</f>
        <v>5</v>
      </c>
      <c r="AU296" s="14">
        <f>INDEX(挂机升级突破!$CN$7:$CN$26,AX296)</f>
        <v>2</v>
      </c>
      <c r="AV296" s="14">
        <f t="shared" si="134"/>
        <v>2</v>
      </c>
      <c r="AW296" s="14" t="str">
        <f t="shared" si="135"/>
        <v>于禁</v>
      </c>
      <c r="AX296" s="14">
        <f t="shared" si="136"/>
        <v>12</v>
      </c>
      <c r="AY296" s="14" t="str">
        <f t="shared" si="137"/>
        <v>于禁12突</v>
      </c>
      <c r="AZ296" s="14" t="str">
        <f>IF(AT296&gt;0,INDEX(挂机升级突破!$CV$5:$CZ$5,卡牌消耗!AT296),"")</f>
        <v>金币</v>
      </c>
      <c r="BA296" s="14">
        <f>IF(AT296&gt;0,ROUND(INDEX(挂机升级突破!$CZ$7:$CZ$26,卡牌消耗!AX296)*INDEX(卡牌消耗!$B$8:$F$8,AV296)/$Q$4/500,0)*500,"")</f>
        <v>13500</v>
      </c>
      <c r="BB296" s="14" t="str">
        <f>IF(AU296&gt;0,INDEX(挂机升级突破!$CV$5:$CZ$5,卡牌消耗!AU296),"")</f>
        <v>乌金</v>
      </c>
      <c r="BC296" s="14">
        <f>IF(AU296&gt;0,ROUND(INDEX(挂机升级突破!$CV$7:$CY$26,卡牌消耗!AX296,卡牌消耗!AU296)*INDEX($B$6:$F$6,AV296)/$Q$4/5,0)*5,"")</f>
        <v>125</v>
      </c>
      <c r="BD296" s="104"/>
      <c r="BE296" s="104"/>
      <c r="BF296" s="106"/>
    </row>
    <row r="297" spans="8:58" ht="16.5" x14ac:dyDescent="0.2">
      <c r="H297" s="15"/>
      <c r="I297" s="15"/>
      <c r="J297" s="15"/>
      <c r="K297" s="15"/>
      <c r="L297" s="15"/>
      <c r="M297" s="15"/>
      <c r="N297" s="15"/>
      <c r="O297" s="137"/>
      <c r="P297" s="141"/>
      <c r="Q297" s="141"/>
      <c r="R297" s="141"/>
      <c r="S297" s="141"/>
      <c r="T297" s="141"/>
      <c r="U297" s="141"/>
      <c r="V297" s="141"/>
      <c r="W297" s="141"/>
      <c r="X297" s="141"/>
      <c r="Y297" s="141"/>
      <c r="Z297" s="141"/>
      <c r="AA297" s="104">
        <v>293</v>
      </c>
      <c r="AB297" s="14">
        <f t="shared" si="128"/>
        <v>6</v>
      </c>
      <c r="AC297" s="14">
        <f>INDEX(挂机升级突破!$BU$6:$BU$57,卡牌消耗!AI297)</f>
        <v>11</v>
      </c>
      <c r="AD297" s="14">
        <f>INDEX(挂机升级突破!BV$6:BV$57,卡牌消耗!$AI297)</f>
        <v>4</v>
      </c>
      <c r="AE297" s="14">
        <f>INDEX(挂机升级突破!BW$6:BW$57,卡牌消耗!$AI297)</f>
        <v>0</v>
      </c>
      <c r="AF297" s="14" t="str">
        <f t="shared" si="129"/>
        <v>项羽</v>
      </c>
      <c r="AG297" s="14">
        <f t="shared" si="130"/>
        <v>5</v>
      </c>
      <c r="AH297" s="14" t="str">
        <f t="shared" si="131"/>
        <v>项羽魂火-33</v>
      </c>
      <c r="AI297" s="14">
        <f t="shared" si="132"/>
        <v>33</v>
      </c>
      <c r="AJ297" s="14" t="str">
        <f>INDEX(挂机升级突破!$BX$4:$CH$4,INDEX(挂机升级突破!$BU$6:$BU$57,卡牌消耗!AI297))</f>
        <v>金币</v>
      </c>
      <c r="AK297" s="14">
        <f>ROUND(INDEX(挂机升级突破!$BN$6:$BN$57,卡牌消耗!AI297)*INDEX(卡牌消耗!$B$8:$F$8,AG297)/$Q$4/50,0)*50</f>
        <v>19000</v>
      </c>
      <c r="AL297" s="14" t="str">
        <f>IF(AD297&gt;0,INDEX(挂机升级突破!$BX$4:$CH$4,AD297),"")</f>
        <v>橙色基础材料</v>
      </c>
      <c r="AM297" s="14">
        <f>ROUND(INDEX(挂机升级突破!$BX$6:$CH$57,卡牌消耗!AI297,AD297)*INDEX(卡牌消耗!$B$5:$F$5,AG297)/$Q$4/5,0)*5</f>
        <v>145</v>
      </c>
      <c r="AN297" s="14" t="str">
        <f>IF(AE297&gt;0,INDEX(挂机升级突破!$BX$4:$CH$4,AE297),"")</f>
        <v/>
      </c>
      <c r="AO297" s="14" t="str">
        <f>IF(AE297&gt;0,ROUND(INDEX(挂机升级突破!$BX$6:$CH$57,卡牌消耗!AI297,AE297)*INDEX(卡牌消耗!$B$7:$F$7,AG297)/$Q$4,0),"")</f>
        <v/>
      </c>
      <c r="AP297" s="106"/>
      <c r="AQ297" s="15"/>
      <c r="AR297" s="104">
        <v>293</v>
      </c>
      <c r="AS297" s="14">
        <f t="shared" si="133"/>
        <v>15</v>
      </c>
      <c r="AT297" s="14">
        <f>INDEX(挂机升级突破!$CM$7:$CM$26,AX297)</f>
        <v>5</v>
      </c>
      <c r="AU297" s="14">
        <f>INDEX(挂机升级突破!$CN$7:$CN$26,AX297)</f>
        <v>3</v>
      </c>
      <c r="AV297" s="14">
        <f t="shared" si="134"/>
        <v>2</v>
      </c>
      <c r="AW297" s="14" t="str">
        <f t="shared" si="135"/>
        <v>于禁</v>
      </c>
      <c r="AX297" s="14">
        <f t="shared" si="136"/>
        <v>13</v>
      </c>
      <c r="AY297" s="14" t="str">
        <f t="shared" si="137"/>
        <v>于禁13突</v>
      </c>
      <c r="AZ297" s="14" t="str">
        <f>IF(AT297&gt;0,INDEX(挂机升级突破!$CV$5:$CZ$5,卡牌消耗!AT297),"")</f>
        <v>金币</v>
      </c>
      <c r="BA297" s="14">
        <f>IF(AT297&gt;0,ROUND(INDEX(挂机升级突破!$CZ$7:$CZ$26,卡牌消耗!AX297)*INDEX(卡牌消耗!$B$8:$F$8,AV297)/$Q$4/500,0)*500,"")</f>
        <v>18000</v>
      </c>
      <c r="BB297" s="14" t="str">
        <f>IF(AU297&gt;0,INDEX(挂机升级突破!$CV$5:$CZ$5,卡牌消耗!AU297),"")</f>
        <v>银母</v>
      </c>
      <c r="BC297" s="14">
        <f>IF(AU297&gt;0,ROUND(INDEX(挂机升级突破!$CV$7:$CY$26,卡牌消耗!AX297,卡牌消耗!AU297)*INDEX($B$6:$F$6,AV297)/$Q$4/5,0)*5,"")</f>
        <v>25</v>
      </c>
      <c r="BD297" s="104"/>
      <c r="BE297" s="104"/>
      <c r="BF297" s="106"/>
    </row>
    <row r="298" spans="8:58" ht="16.5" x14ac:dyDescent="0.2">
      <c r="H298" s="15"/>
      <c r="I298" s="15"/>
      <c r="J298" s="15"/>
      <c r="K298" s="15"/>
      <c r="L298" s="15"/>
      <c r="M298" s="15"/>
      <c r="N298" s="15"/>
      <c r="O298" s="137"/>
      <c r="P298" s="141"/>
      <c r="Q298" s="141"/>
      <c r="R298" s="141"/>
      <c r="S298" s="141"/>
      <c r="T298" s="141"/>
      <c r="U298" s="141"/>
      <c r="V298" s="141"/>
      <c r="W298" s="141"/>
      <c r="X298" s="141"/>
      <c r="Y298" s="141"/>
      <c r="Z298" s="141"/>
      <c r="AA298" s="104">
        <v>294</v>
      </c>
      <c r="AB298" s="14">
        <f t="shared" si="128"/>
        <v>6</v>
      </c>
      <c r="AC298" s="14">
        <f>INDEX(挂机升级突破!$BU$6:$BU$57,卡牌消耗!AI298)</f>
        <v>11</v>
      </c>
      <c r="AD298" s="14">
        <f>INDEX(挂机升级突破!BV$6:BV$57,卡牌消耗!$AI298)</f>
        <v>4</v>
      </c>
      <c r="AE298" s="14">
        <f>INDEX(挂机升级突破!BW$6:BW$57,卡牌消耗!$AI298)</f>
        <v>0</v>
      </c>
      <c r="AF298" s="14" t="str">
        <f t="shared" si="129"/>
        <v>项羽</v>
      </c>
      <c r="AG298" s="14">
        <f t="shared" si="130"/>
        <v>5</v>
      </c>
      <c r="AH298" s="14" t="str">
        <f t="shared" si="131"/>
        <v>项羽魂火-34</v>
      </c>
      <c r="AI298" s="14">
        <f t="shared" si="132"/>
        <v>34</v>
      </c>
      <c r="AJ298" s="14" t="str">
        <f>INDEX(挂机升级突破!$BX$4:$CH$4,INDEX(挂机升级突破!$BU$6:$BU$57,卡牌消耗!AI298))</f>
        <v>金币</v>
      </c>
      <c r="AK298" s="14">
        <f>ROUND(INDEX(挂机升级突破!$BN$6:$BN$57,卡牌消耗!AI298)*INDEX(卡牌消耗!$B$8:$F$8,AG298)/$Q$4/50,0)*50</f>
        <v>19000</v>
      </c>
      <c r="AL298" s="14" t="str">
        <f>IF(AD298&gt;0,INDEX(挂机升级突破!$BX$4:$CH$4,AD298),"")</f>
        <v>橙色基础材料</v>
      </c>
      <c r="AM298" s="14">
        <f>ROUND(INDEX(挂机升级突破!$BX$6:$CH$57,卡牌消耗!AI298,AD298)*INDEX(卡牌消耗!$B$5:$F$5,AG298)/$Q$4/5,0)*5</f>
        <v>165</v>
      </c>
      <c r="AN298" s="14" t="str">
        <f>IF(AE298&gt;0,INDEX(挂机升级突破!$BX$4:$CH$4,AE298),"")</f>
        <v/>
      </c>
      <c r="AO298" s="14" t="str">
        <f>IF(AE298&gt;0,ROUND(INDEX(挂机升级突破!$BX$6:$CH$57,卡牌消耗!AI298,AE298)*INDEX(卡牌消耗!$B$7:$F$7,AG298)/$Q$4,0),"")</f>
        <v/>
      </c>
      <c r="AP298" s="106"/>
      <c r="AQ298" s="15"/>
      <c r="AR298" s="104">
        <v>294</v>
      </c>
      <c r="AS298" s="14">
        <f t="shared" si="133"/>
        <v>15</v>
      </c>
      <c r="AT298" s="14">
        <f>INDEX(挂机升级突破!$CM$7:$CM$26,AX298)</f>
        <v>5</v>
      </c>
      <c r="AU298" s="14">
        <f>INDEX(挂机升级突破!$CN$7:$CN$26,AX298)</f>
        <v>3</v>
      </c>
      <c r="AV298" s="14">
        <f t="shared" si="134"/>
        <v>2</v>
      </c>
      <c r="AW298" s="14" t="str">
        <f t="shared" si="135"/>
        <v>于禁</v>
      </c>
      <c r="AX298" s="14">
        <f t="shared" si="136"/>
        <v>14</v>
      </c>
      <c r="AY298" s="14" t="str">
        <f t="shared" si="137"/>
        <v>于禁14突</v>
      </c>
      <c r="AZ298" s="14" t="str">
        <f>IF(AT298&gt;0,INDEX(挂机升级突破!$CV$5:$CZ$5,卡牌消耗!AT298),"")</f>
        <v>金币</v>
      </c>
      <c r="BA298" s="14">
        <f>IF(AT298&gt;0,ROUND(INDEX(挂机升级突破!$CZ$7:$CZ$26,卡牌消耗!AX298)*INDEX(卡牌消耗!$B$8:$F$8,AV298)/$Q$4/500,0)*500,"")</f>
        <v>18000</v>
      </c>
      <c r="BB298" s="14" t="str">
        <f>IF(AU298&gt;0,INDEX(挂机升级突破!$CV$5:$CZ$5,卡牌消耗!AU298),"")</f>
        <v>银母</v>
      </c>
      <c r="BC298" s="14">
        <f>IF(AU298&gt;0,ROUND(INDEX(挂机升级突破!$CV$7:$CY$26,卡牌消耗!AX298,卡牌消耗!AU298)*INDEX($B$6:$F$6,AV298)/$Q$4/5,0)*5,"")</f>
        <v>30</v>
      </c>
      <c r="BD298" s="104"/>
      <c r="BE298" s="104"/>
      <c r="BF298" s="106"/>
    </row>
    <row r="299" spans="8:58" ht="16.5" x14ac:dyDescent="0.2">
      <c r="H299" s="15"/>
      <c r="I299" s="15"/>
      <c r="J299" s="15"/>
      <c r="K299" s="15"/>
      <c r="L299" s="15"/>
      <c r="M299" s="15"/>
      <c r="N299" s="15"/>
      <c r="O299" s="137"/>
      <c r="P299" s="141"/>
      <c r="Q299" s="141"/>
      <c r="R299" s="141"/>
      <c r="S299" s="141"/>
      <c r="T299" s="141"/>
      <c r="U299" s="141"/>
      <c r="V299" s="141"/>
      <c r="W299" s="141"/>
      <c r="X299" s="141"/>
      <c r="Y299" s="141"/>
      <c r="Z299" s="141"/>
      <c r="AA299" s="104">
        <v>295</v>
      </c>
      <c r="AB299" s="14">
        <f t="shared" si="128"/>
        <v>6</v>
      </c>
      <c r="AC299" s="14">
        <f>INDEX(挂机升级突破!$BU$6:$BU$57,卡牌消耗!AI299)</f>
        <v>11</v>
      </c>
      <c r="AD299" s="14">
        <f>INDEX(挂机升级突破!BV$6:BV$57,卡牌消耗!$AI299)</f>
        <v>4</v>
      </c>
      <c r="AE299" s="14">
        <f>INDEX(挂机升级突破!BW$6:BW$57,卡牌消耗!$AI299)</f>
        <v>0</v>
      </c>
      <c r="AF299" s="14" t="str">
        <f t="shared" si="129"/>
        <v>项羽</v>
      </c>
      <c r="AG299" s="14">
        <f t="shared" si="130"/>
        <v>5</v>
      </c>
      <c r="AH299" s="14" t="str">
        <f t="shared" si="131"/>
        <v>项羽魂火-35</v>
      </c>
      <c r="AI299" s="14">
        <f t="shared" si="132"/>
        <v>35</v>
      </c>
      <c r="AJ299" s="14" t="str">
        <f>INDEX(挂机升级突破!$BX$4:$CH$4,INDEX(挂机升级突破!$BU$6:$BU$57,卡牌消耗!AI299))</f>
        <v>金币</v>
      </c>
      <c r="AK299" s="14">
        <f>ROUND(INDEX(挂机升级突破!$BN$6:$BN$57,卡牌消耗!AI299)*INDEX(卡牌消耗!$B$8:$F$8,AG299)/$Q$4/50,0)*50</f>
        <v>24200</v>
      </c>
      <c r="AL299" s="14" t="str">
        <f>IF(AD299&gt;0,INDEX(挂机升级突破!$BX$4:$CH$4,AD299),"")</f>
        <v>橙色基础材料</v>
      </c>
      <c r="AM299" s="14">
        <f>ROUND(INDEX(挂机升级突破!$BX$6:$CH$57,卡牌消耗!AI299,AD299)*INDEX(卡牌消耗!$B$5:$F$5,AG299)/$Q$4/5,0)*5</f>
        <v>165</v>
      </c>
      <c r="AN299" s="14" t="str">
        <f>IF(AE299&gt;0,INDEX(挂机升级突破!$BX$4:$CH$4,AE299),"")</f>
        <v/>
      </c>
      <c r="AO299" s="14" t="str">
        <f>IF(AE299&gt;0,ROUND(INDEX(挂机升级突破!$BX$6:$CH$57,卡牌消耗!AI299,AE299)*INDEX(卡牌消耗!$B$7:$F$7,AG299)/$Q$4,0),"")</f>
        <v/>
      </c>
      <c r="AP299" s="106"/>
      <c r="AQ299" s="15"/>
      <c r="AR299" s="104">
        <v>295</v>
      </c>
      <c r="AS299" s="14">
        <f t="shared" si="133"/>
        <v>15</v>
      </c>
      <c r="AT299" s="14">
        <f>INDEX(挂机升级突破!$CM$7:$CM$26,AX299)</f>
        <v>5</v>
      </c>
      <c r="AU299" s="14">
        <f>INDEX(挂机升级突破!$CN$7:$CN$26,AX299)</f>
        <v>3</v>
      </c>
      <c r="AV299" s="14">
        <f t="shared" si="134"/>
        <v>2</v>
      </c>
      <c r="AW299" s="14" t="str">
        <f t="shared" si="135"/>
        <v>于禁</v>
      </c>
      <c r="AX299" s="14">
        <f t="shared" si="136"/>
        <v>15</v>
      </c>
      <c r="AY299" s="14" t="str">
        <f t="shared" si="137"/>
        <v>于禁15突</v>
      </c>
      <c r="AZ299" s="14" t="str">
        <f>IF(AT299&gt;0,INDEX(挂机升级突破!$CV$5:$CZ$5,卡牌消耗!AT299),"")</f>
        <v>金币</v>
      </c>
      <c r="BA299" s="14">
        <f>IF(AT299&gt;0,ROUND(INDEX(挂机升级突破!$CZ$7:$CZ$26,卡牌消耗!AX299)*INDEX(卡牌消耗!$B$8:$F$8,AV299)/$Q$4/500,0)*500,"")</f>
        <v>24000</v>
      </c>
      <c r="BB299" s="14" t="str">
        <f>IF(AU299&gt;0,INDEX(挂机升级突破!$CV$5:$CZ$5,卡牌消耗!AU299),"")</f>
        <v>银母</v>
      </c>
      <c r="BC299" s="14">
        <f>IF(AU299&gt;0,ROUND(INDEX(挂机升级突破!$CV$7:$CY$26,卡牌消耗!AX299,卡牌消耗!AU299)*INDEX($B$6:$F$6,AV299)/$Q$4/5,0)*5,"")</f>
        <v>45</v>
      </c>
      <c r="BD299" s="104"/>
      <c r="BE299" s="104"/>
      <c r="BF299" s="106"/>
    </row>
    <row r="300" spans="8:58" ht="16.5" x14ac:dyDescent="0.2">
      <c r="H300" s="15"/>
      <c r="I300" s="15"/>
      <c r="J300" s="15"/>
      <c r="K300" s="15"/>
      <c r="L300" s="15"/>
      <c r="M300" s="15"/>
      <c r="N300" s="15"/>
      <c r="O300" s="137"/>
      <c r="P300" s="141"/>
      <c r="Q300" s="141"/>
      <c r="R300" s="141"/>
      <c r="S300" s="141"/>
      <c r="T300" s="141"/>
      <c r="U300" s="141"/>
      <c r="V300" s="141"/>
      <c r="W300" s="141"/>
      <c r="X300" s="141"/>
      <c r="Y300" s="141"/>
      <c r="Z300" s="141"/>
      <c r="AA300" s="104">
        <v>296</v>
      </c>
      <c r="AB300" s="14">
        <f t="shared" si="128"/>
        <v>6</v>
      </c>
      <c r="AC300" s="14">
        <f>INDEX(挂机升级突破!$BU$6:$BU$57,卡牌消耗!AI300)</f>
        <v>11</v>
      </c>
      <c r="AD300" s="14">
        <f>INDEX(挂机升级突破!BV$6:BV$57,卡牌消耗!$AI300)</f>
        <v>4</v>
      </c>
      <c r="AE300" s="14">
        <f>INDEX(挂机升级突破!BW$6:BW$57,卡牌消耗!$AI300)</f>
        <v>0</v>
      </c>
      <c r="AF300" s="14" t="str">
        <f t="shared" si="129"/>
        <v>项羽</v>
      </c>
      <c r="AG300" s="14">
        <f t="shared" si="130"/>
        <v>5</v>
      </c>
      <c r="AH300" s="14" t="str">
        <f t="shared" si="131"/>
        <v>项羽魂火-36</v>
      </c>
      <c r="AI300" s="14">
        <f t="shared" si="132"/>
        <v>36</v>
      </c>
      <c r="AJ300" s="14" t="str">
        <f>INDEX(挂机升级突破!$BX$4:$CH$4,INDEX(挂机升级突破!$BU$6:$BU$57,卡牌消耗!AI300))</f>
        <v>金币</v>
      </c>
      <c r="AK300" s="14">
        <f>ROUND(INDEX(挂机升级突破!$BN$6:$BN$57,卡牌消耗!AI300)*INDEX(卡牌消耗!$B$8:$F$8,AG300)/$Q$4/50,0)*50</f>
        <v>24200</v>
      </c>
      <c r="AL300" s="14" t="str">
        <f>IF(AD300&gt;0,INDEX(挂机升级突破!$BX$4:$CH$4,AD300),"")</f>
        <v>橙色基础材料</v>
      </c>
      <c r="AM300" s="14">
        <f>ROUND(INDEX(挂机升级突破!$BX$6:$CH$57,卡牌消耗!AI300,AD300)*INDEX(卡牌消耗!$B$5:$F$5,AG300)/$Q$4/5,0)*5</f>
        <v>165</v>
      </c>
      <c r="AN300" s="14" t="str">
        <f>IF(AE300&gt;0,INDEX(挂机升级突破!$BX$4:$CH$4,AE300),"")</f>
        <v/>
      </c>
      <c r="AO300" s="14" t="str">
        <f>IF(AE300&gt;0,ROUND(INDEX(挂机升级突破!$BX$6:$CH$57,卡牌消耗!AI300,AE300)*INDEX(卡牌消耗!$B$7:$F$7,AG300)/$Q$4,0),"")</f>
        <v/>
      </c>
      <c r="AP300" s="106"/>
      <c r="AQ300" s="15"/>
      <c r="AR300" s="104">
        <v>296</v>
      </c>
      <c r="AS300" s="14">
        <f t="shared" si="133"/>
        <v>15</v>
      </c>
      <c r="AT300" s="14">
        <f>INDEX(挂机升级突破!$CM$7:$CM$26,AX300)</f>
        <v>5</v>
      </c>
      <c r="AU300" s="14">
        <f>INDEX(挂机升级突破!$CN$7:$CN$26,AX300)</f>
        <v>3</v>
      </c>
      <c r="AV300" s="14">
        <f t="shared" si="134"/>
        <v>2</v>
      </c>
      <c r="AW300" s="14" t="str">
        <f t="shared" si="135"/>
        <v>于禁</v>
      </c>
      <c r="AX300" s="14">
        <f t="shared" si="136"/>
        <v>16</v>
      </c>
      <c r="AY300" s="14" t="str">
        <f t="shared" si="137"/>
        <v>于禁16突</v>
      </c>
      <c r="AZ300" s="14" t="str">
        <f>IF(AT300&gt;0,INDEX(挂机升级突破!$CV$5:$CZ$5,卡牌消耗!AT300),"")</f>
        <v>金币</v>
      </c>
      <c r="BA300" s="14">
        <f>IF(AT300&gt;0,ROUND(INDEX(挂机升级突破!$CZ$7:$CZ$26,卡牌消耗!AX300)*INDEX(卡牌消耗!$B$8:$F$8,AV300)/$Q$4/500,0)*500,"")</f>
        <v>44000</v>
      </c>
      <c r="BB300" s="14" t="str">
        <f>IF(AU300&gt;0,INDEX(挂机升级突破!$CV$5:$CZ$5,卡牌消耗!AU300),"")</f>
        <v>银母</v>
      </c>
      <c r="BC300" s="14">
        <f>IF(AU300&gt;0,ROUND(INDEX(挂机升级突破!$CV$7:$CY$26,卡牌消耗!AX300,卡牌消耗!AU300)*INDEX($B$6:$F$6,AV300)/$Q$4/5,0)*5,"")</f>
        <v>55</v>
      </c>
      <c r="BD300" s="104"/>
      <c r="BE300" s="104"/>
      <c r="BF300" s="106"/>
    </row>
    <row r="301" spans="8:58" ht="16.5" x14ac:dyDescent="0.2">
      <c r="H301" s="15"/>
      <c r="I301" s="15"/>
      <c r="J301" s="15"/>
      <c r="K301" s="15"/>
      <c r="L301" s="15"/>
      <c r="M301" s="15"/>
      <c r="N301" s="15"/>
      <c r="O301" s="137"/>
      <c r="P301" s="141"/>
      <c r="Q301" s="141"/>
      <c r="R301" s="141"/>
      <c r="S301" s="141"/>
      <c r="T301" s="141"/>
      <c r="U301" s="141"/>
      <c r="V301" s="141"/>
      <c r="W301" s="141"/>
      <c r="X301" s="141"/>
      <c r="Y301" s="141"/>
      <c r="Z301" s="141"/>
      <c r="AA301" s="104">
        <v>297</v>
      </c>
      <c r="AB301" s="14">
        <f t="shared" si="128"/>
        <v>6</v>
      </c>
      <c r="AC301" s="14">
        <f>INDEX(挂机升级突破!$BU$6:$BU$57,卡牌消耗!AI301)</f>
        <v>11</v>
      </c>
      <c r="AD301" s="14">
        <f>INDEX(挂机升级突破!BV$6:BV$57,卡牌消耗!$AI301)</f>
        <v>4</v>
      </c>
      <c r="AE301" s="14">
        <f>INDEX(挂机升级突破!BW$6:BW$57,卡牌消耗!$AI301)</f>
        <v>0</v>
      </c>
      <c r="AF301" s="14" t="str">
        <f t="shared" si="129"/>
        <v>项羽</v>
      </c>
      <c r="AG301" s="14">
        <f t="shared" si="130"/>
        <v>5</v>
      </c>
      <c r="AH301" s="14" t="str">
        <f t="shared" si="131"/>
        <v>项羽魂火-37</v>
      </c>
      <c r="AI301" s="14">
        <f t="shared" si="132"/>
        <v>37</v>
      </c>
      <c r="AJ301" s="14" t="str">
        <f>INDEX(挂机升级突破!$BX$4:$CH$4,INDEX(挂机升级突破!$BU$6:$BU$57,卡牌消耗!AI301))</f>
        <v>金币</v>
      </c>
      <c r="AK301" s="14">
        <f>ROUND(INDEX(挂机升级突破!$BN$6:$BN$57,卡牌消耗!AI301)*INDEX(卡牌消耗!$B$8:$F$8,AG301)/$Q$4/50,0)*50</f>
        <v>25900</v>
      </c>
      <c r="AL301" s="14" t="str">
        <f>IF(AD301&gt;0,INDEX(挂机升级突破!$BX$4:$CH$4,AD301),"")</f>
        <v>橙色基础材料</v>
      </c>
      <c r="AM301" s="14">
        <f>ROUND(INDEX(挂机升级突破!$BX$6:$CH$57,卡牌消耗!AI301,AD301)*INDEX(卡牌消耗!$B$5:$F$5,AG301)/$Q$4/5,0)*5</f>
        <v>165</v>
      </c>
      <c r="AN301" s="14" t="str">
        <f>IF(AE301&gt;0,INDEX(挂机升级突破!$BX$4:$CH$4,AE301),"")</f>
        <v/>
      </c>
      <c r="AO301" s="14" t="str">
        <f>IF(AE301&gt;0,ROUND(INDEX(挂机升级突破!$BX$6:$CH$57,卡牌消耗!AI301,AE301)*INDEX(卡牌消耗!$B$7:$F$7,AG301)/$Q$4,0),"")</f>
        <v/>
      </c>
      <c r="AP301" s="106"/>
      <c r="AQ301" s="15"/>
      <c r="AR301" s="104">
        <v>297</v>
      </c>
      <c r="AS301" s="14">
        <f t="shared" si="133"/>
        <v>15</v>
      </c>
      <c r="AT301" s="14">
        <f>INDEX(挂机升级突破!$CM$7:$CM$26,AX301)</f>
        <v>5</v>
      </c>
      <c r="AU301" s="14">
        <f>INDEX(挂机升级突破!$CN$7:$CN$26,AX301)</f>
        <v>4</v>
      </c>
      <c r="AV301" s="14">
        <f t="shared" si="134"/>
        <v>2</v>
      </c>
      <c r="AW301" s="14" t="str">
        <f t="shared" si="135"/>
        <v>于禁</v>
      </c>
      <c r="AX301" s="14">
        <f t="shared" si="136"/>
        <v>17</v>
      </c>
      <c r="AY301" s="14" t="str">
        <f t="shared" si="137"/>
        <v>于禁17突</v>
      </c>
      <c r="AZ301" s="14" t="str">
        <f>IF(AT301&gt;0,INDEX(挂机升级突破!$CV$5:$CZ$5,卡牌消耗!AT301),"")</f>
        <v>金币</v>
      </c>
      <c r="BA301" s="14">
        <f>IF(AT301&gt;0,ROUND(INDEX(挂机升级突破!$CZ$7:$CZ$26,卡牌消耗!AX301)*INDEX(卡牌消耗!$B$8:$F$8,AV301)/$Q$4/500,0)*500,"")</f>
        <v>44000</v>
      </c>
      <c r="BB301" s="14" t="str">
        <f>IF(AU301&gt;0,INDEX(挂机升级突破!$CV$5:$CZ$5,卡牌消耗!AU301),"")</f>
        <v>铀金</v>
      </c>
      <c r="BC301" s="14">
        <f>IF(AU301&gt;0,ROUND(INDEX(挂机升级突破!$CV$7:$CY$26,卡牌消耗!AX301,卡牌消耗!AU301)*INDEX($B$6:$F$6,AV301)/$Q$4/5,0)*5,"")</f>
        <v>20</v>
      </c>
      <c r="BD301" s="104"/>
      <c r="BE301" s="104"/>
      <c r="BF301" s="106"/>
    </row>
    <row r="302" spans="8:58" ht="16.5" x14ac:dyDescent="0.2">
      <c r="H302" s="15"/>
      <c r="I302" s="15"/>
      <c r="J302" s="15"/>
      <c r="K302" s="15"/>
      <c r="L302" s="15"/>
      <c r="M302" s="15"/>
      <c r="N302" s="15"/>
      <c r="O302" s="137"/>
      <c r="P302" s="141"/>
      <c r="Q302" s="141"/>
      <c r="R302" s="141"/>
      <c r="S302" s="141"/>
      <c r="T302" s="141"/>
      <c r="U302" s="141"/>
      <c r="V302" s="141"/>
      <c r="W302" s="141"/>
      <c r="X302" s="141"/>
      <c r="Y302" s="141"/>
      <c r="Z302" s="141"/>
      <c r="AA302" s="104">
        <v>298</v>
      </c>
      <c r="AB302" s="14">
        <f t="shared" si="128"/>
        <v>6</v>
      </c>
      <c r="AC302" s="14">
        <f>INDEX(挂机升级突破!$BU$6:$BU$57,卡牌消耗!AI302)</f>
        <v>11</v>
      </c>
      <c r="AD302" s="14">
        <f>INDEX(挂机升级突破!BV$6:BV$57,卡牌消耗!$AI302)</f>
        <v>5</v>
      </c>
      <c r="AE302" s="14">
        <f>INDEX(挂机升级突破!BW$6:BW$57,卡牌消耗!$AI302)</f>
        <v>0</v>
      </c>
      <c r="AF302" s="14" t="str">
        <f t="shared" si="129"/>
        <v>项羽</v>
      </c>
      <c r="AG302" s="14">
        <f t="shared" si="130"/>
        <v>5</v>
      </c>
      <c r="AH302" s="14" t="str">
        <f t="shared" si="131"/>
        <v>项羽魂火-38</v>
      </c>
      <c r="AI302" s="14">
        <f t="shared" si="132"/>
        <v>38</v>
      </c>
      <c r="AJ302" s="14" t="str">
        <f>INDEX(挂机升级突破!$BX$4:$CH$4,INDEX(挂机升级突破!$BU$6:$BU$57,卡牌消耗!AI302))</f>
        <v>金币</v>
      </c>
      <c r="AK302" s="14">
        <f>ROUND(INDEX(挂机升级突破!$BN$6:$BN$57,卡牌消耗!AI302)*INDEX(卡牌消耗!$B$8:$F$8,AG302)/$Q$4/50,0)*50</f>
        <v>33450</v>
      </c>
      <c r="AL302" s="14" t="str">
        <f>IF(AD302&gt;0,INDEX(挂机升级突破!$BX$4:$CH$4,AD302),"")</f>
        <v>红色基础材料</v>
      </c>
      <c r="AM302" s="14">
        <f>ROUND(INDEX(挂机升级突破!$BX$6:$CH$57,卡牌消耗!AI302,AD302)*INDEX(卡牌消耗!$B$5:$F$5,AG302)/$Q$4/5,0)*5</f>
        <v>65</v>
      </c>
      <c r="AN302" s="14" t="str">
        <f>IF(AE302&gt;0,INDEX(挂机升级突破!$BX$4:$CH$4,AE302),"")</f>
        <v/>
      </c>
      <c r="AO302" s="14" t="str">
        <f>IF(AE302&gt;0,ROUND(INDEX(挂机升级突破!$BX$6:$CH$57,卡牌消耗!AI302,AE302)*INDEX(卡牌消耗!$B$7:$F$7,AG302)/$Q$4,0),"")</f>
        <v/>
      </c>
      <c r="AP302" s="106"/>
      <c r="AQ302" s="15"/>
      <c r="AR302" s="104">
        <v>298</v>
      </c>
      <c r="AS302" s="14">
        <f t="shared" si="133"/>
        <v>15</v>
      </c>
      <c r="AT302" s="14">
        <f>INDEX(挂机升级突破!$CM$7:$CM$26,AX302)</f>
        <v>5</v>
      </c>
      <c r="AU302" s="14">
        <f>INDEX(挂机升级突破!$CN$7:$CN$26,AX302)</f>
        <v>4</v>
      </c>
      <c r="AV302" s="14">
        <f t="shared" si="134"/>
        <v>2</v>
      </c>
      <c r="AW302" s="14" t="str">
        <f t="shared" si="135"/>
        <v>于禁</v>
      </c>
      <c r="AX302" s="14">
        <f t="shared" si="136"/>
        <v>18</v>
      </c>
      <c r="AY302" s="14" t="str">
        <f t="shared" si="137"/>
        <v>于禁18突</v>
      </c>
      <c r="AZ302" s="14" t="str">
        <f>IF(AT302&gt;0,INDEX(挂机升级突破!$CV$5:$CZ$5,卡牌消耗!AT302),"")</f>
        <v>金币</v>
      </c>
      <c r="BA302" s="14">
        <f>IF(AT302&gt;0,ROUND(INDEX(挂机升级突破!$CZ$7:$CZ$26,卡牌消耗!AX302)*INDEX(卡牌消耗!$B$8:$F$8,AV302)/$Q$4/500,0)*500,"")</f>
        <v>58500</v>
      </c>
      <c r="BB302" s="14" t="str">
        <f>IF(AU302&gt;0,INDEX(挂机升级突破!$CV$5:$CZ$5,卡牌消耗!AU302),"")</f>
        <v>铀金</v>
      </c>
      <c r="BC302" s="14">
        <f>IF(AU302&gt;0,ROUND(INDEX(挂机升级突破!$CV$7:$CY$26,卡牌消耗!AX302,卡牌消耗!AU302)*INDEX($B$6:$F$6,AV302)/$Q$4/5,0)*5,"")</f>
        <v>25</v>
      </c>
      <c r="BD302" s="104"/>
      <c r="BE302" s="104"/>
      <c r="BF302" s="106"/>
    </row>
    <row r="303" spans="8:58" ht="16.5" x14ac:dyDescent="0.2">
      <c r="H303" s="15"/>
      <c r="I303" s="15"/>
      <c r="J303" s="15"/>
      <c r="K303" s="15"/>
      <c r="L303" s="15"/>
      <c r="M303" s="15"/>
      <c r="N303" s="15"/>
      <c r="O303" s="137"/>
      <c r="P303" s="141"/>
      <c r="Q303" s="141"/>
      <c r="R303" s="141"/>
      <c r="S303" s="141"/>
      <c r="T303" s="141"/>
      <c r="U303" s="141"/>
      <c r="V303" s="141"/>
      <c r="W303" s="141"/>
      <c r="X303" s="141"/>
      <c r="Y303" s="141"/>
      <c r="Z303" s="141"/>
      <c r="AA303" s="104">
        <v>299</v>
      </c>
      <c r="AB303" s="14">
        <f t="shared" si="128"/>
        <v>6</v>
      </c>
      <c r="AC303" s="14">
        <f>INDEX(挂机升级突破!$BU$6:$BU$57,卡牌消耗!AI303)</f>
        <v>11</v>
      </c>
      <c r="AD303" s="14">
        <f>INDEX(挂机升级突破!BV$6:BV$57,卡牌消耗!$AI303)</f>
        <v>5</v>
      </c>
      <c r="AE303" s="14">
        <f>INDEX(挂机升级突破!BW$6:BW$57,卡牌消耗!$AI303)</f>
        <v>0</v>
      </c>
      <c r="AF303" s="14" t="str">
        <f t="shared" si="129"/>
        <v>项羽</v>
      </c>
      <c r="AG303" s="14">
        <f t="shared" si="130"/>
        <v>5</v>
      </c>
      <c r="AH303" s="14" t="str">
        <f t="shared" si="131"/>
        <v>项羽魂火-39</v>
      </c>
      <c r="AI303" s="14">
        <f t="shared" si="132"/>
        <v>39</v>
      </c>
      <c r="AJ303" s="14" t="str">
        <f>INDEX(挂机升级突破!$BX$4:$CH$4,INDEX(挂机升级突破!$BU$6:$BU$57,卡牌消耗!AI303))</f>
        <v>金币</v>
      </c>
      <c r="AK303" s="14">
        <f>ROUND(INDEX(挂机升级突破!$BN$6:$BN$57,卡牌消耗!AI303)*INDEX(卡牌消耗!$B$8:$F$8,AG303)/$Q$4/50,0)*50</f>
        <v>33450</v>
      </c>
      <c r="AL303" s="14" t="str">
        <f>IF(AD303&gt;0,INDEX(挂机升级突破!$BX$4:$CH$4,AD303),"")</f>
        <v>红色基础材料</v>
      </c>
      <c r="AM303" s="14">
        <f>ROUND(INDEX(挂机升级突破!$BX$6:$CH$57,卡牌消耗!AI303,AD303)*INDEX(卡牌消耗!$B$5:$F$5,AG303)/$Q$4/5,0)*5</f>
        <v>65</v>
      </c>
      <c r="AN303" s="14" t="str">
        <f>IF(AE303&gt;0,INDEX(挂机升级突破!$BX$4:$CH$4,AE303),"")</f>
        <v/>
      </c>
      <c r="AO303" s="14" t="str">
        <f>IF(AE303&gt;0,ROUND(INDEX(挂机升级突破!$BX$6:$CH$57,卡牌消耗!AI303,AE303)*INDEX(卡牌消耗!$B$7:$F$7,AG303)/$Q$4,0),"")</f>
        <v/>
      </c>
      <c r="AP303" s="106"/>
      <c r="AQ303" s="15"/>
      <c r="AR303" s="104">
        <v>299</v>
      </c>
      <c r="AS303" s="14">
        <f t="shared" si="133"/>
        <v>15</v>
      </c>
      <c r="AT303" s="14">
        <f>INDEX(挂机升级突破!$CM$7:$CM$26,AX303)</f>
        <v>5</v>
      </c>
      <c r="AU303" s="14">
        <f>INDEX(挂机升级突破!$CN$7:$CN$26,AX303)</f>
        <v>4</v>
      </c>
      <c r="AV303" s="14">
        <f t="shared" si="134"/>
        <v>2</v>
      </c>
      <c r="AW303" s="14" t="str">
        <f t="shared" si="135"/>
        <v>于禁</v>
      </c>
      <c r="AX303" s="14">
        <f t="shared" si="136"/>
        <v>19</v>
      </c>
      <c r="AY303" s="14" t="str">
        <f t="shared" si="137"/>
        <v>于禁19突</v>
      </c>
      <c r="AZ303" s="14" t="str">
        <f>IF(AT303&gt;0,INDEX(挂机升级突破!$CV$5:$CZ$5,卡牌消耗!AT303),"")</f>
        <v>金币</v>
      </c>
      <c r="BA303" s="14">
        <f>IF(AT303&gt;0,ROUND(INDEX(挂机升级突破!$CZ$7:$CZ$26,卡牌消耗!AX303)*INDEX(卡牌消耗!$B$8:$F$8,AV303)/$Q$4/500,0)*500,"")</f>
        <v>354500</v>
      </c>
      <c r="BB303" s="14" t="str">
        <f>IF(AU303&gt;0,INDEX(挂机升级突破!$CV$5:$CZ$5,卡牌消耗!AU303),"")</f>
        <v>铀金</v>
      </c>
      <c r="BC303" s="14">
        <f>IF(AU303&gt;0,ROUND(INDEX(挂机升级突破!$CV$7:$CY$26,卡牌消耗!AX303,卡牌消耗!AU303)*INDEX($B$6:$F$6,AV303)/$Q$4/5,0)*5,"")</f>
        <v>35</v>
      </c>
      <c r="BD303" s="104"/>
      <c r="BE303" s="104"/>
      <c r="BF303" s="106"/>
    </row>
    <row r="304" spans="8:58" ht="16.5" x14ac:dyDescent="0.2">
      <c r="H304" s="15"/>
      <c r="I304" s="15"/>
      <c r="J304" s="15"/>
      <c r="K304" s="15"/>
      <c r="L304" s="15"/>
      <c r="M304" s="15"/>
      <c r="N304" s="15"/>
      <c r="O304" s="137"/>
      <c r="P304" s="141"/>
      <c r="Q304" s="141"/>
      <c r="R304" s="141"/>
      <c r="S304" s="141"/>
      <c r="T304" s="141"/>
      <c r="U304" s="141"/>
      <c r="V304" s="141"/>
      <c r="W304" s="141"/>
      <c r="X304" s="141"/>
      <c r="Y304" s="141"/>
      <c r="Z304" s="141"/>
      <c r="AA304" s="104">
        <v>300</v>
      </c>
      <c r="AB304" s="14">
        <f t="shared" si="128"/>
        <v>6</v>
      </c>
      <c r="AC304" s="14">
        <f>INDEX(挂机升级突破!$BU$6:$BU$57,卡牌消耗!AI304)</f>
        <v>11</v>
      </c>
      <c r="AD304" s="14">
        <f>INDEX(挂机升级突破!BV$6:BV$57,卡牌消耗!$AI304)</f>
        <v>5</v>
      </c>
      <c r="AE304" s="14">
        <f>INDEX(挂机升级突破!BW$6:BW$57,卡牌消耗!$AI304)</f>
        <v>0</v>
      </c>
      <c r="AF304" s="14" t="str">
        <f t="shared" si="129"/>
        <v>项羽</v>
      </c>
      <c r="AG304" s="14">
        <f t="shared" si="130"/>
        <v>5</v>
      </c>
      <c r="AH304" s="14" t="str">
        <f t="shared" si="131"/>
        <v>项羽魂火-40</v>
      </c>
      <c r="AI304" s="14">
        <f t="shared" si="132"/>
        <v>40</v>
      </c>
      <c r="AJ304" s="14" t="str">
        <f>INDEX(挂机升级突破!$BX$4:$CH$4,INDEX(挂机升级突破!$BU$6:$BU$57,卡牌消耗!AI304))</f>
        <v>金币</v>
      </c>
      <c r="AK304" s="14">
        <f>ROUND(INDEX(挂机升级突破!$BN$6:$BN$57,卡牌消耗!AI304)*INDEX(卡牌消耗!$B$8:$F$8,AG304)/$Q$4/50,0)*50</f>
        <v>33450</v>
      </c>
      <c r="AL304" s="14" t="str">
        <f>IF(AD304&gt;0,INDEX(挂机升级突破!$BX$4:$CH$4,AD304),"")</f>
        <v>红色基础材料</v>
      </c>
      <c r="AM304" s="14">
        <f>ROUND(INDEX(挂机升级突破!$BX$6:$CH$57,卡牌消耗!AI304,AD304)*INDEX(卡牌消耗!$B$5:$F$5,AG304)/$Q$4/5,0)*5</f>
        <v>65</v>
      </c>
      <c r="AN304" s="14" t="str">
        <f>IF(AE304&gt;0,INDEX(挂机升级突破!$BX$4:$CH$4,AE304),"")</f>
        <v/>
      </c>
      <c r="AO304" s="14" t="str">
        <f>IF(AE304&gt;0,ROUND(INDEX(挂机升级突破!$BX$6:$CH$57,卡牌消耗!AI304,AE304)*INDEX(卡牌消耗!$B$7:$F$7,AG304)/$Q$4,0),"")</f>
        <v/>
      </c>
      <c r="AP304" s="106"/>
      <c r="AQ304" s="15"/>
      <c r="AR304" s="104">
        <v>300</v>
      </c>
      <c r="AS304" s="14">
        <f t="shared" si="133"/>
        <v>15</v>
      </c>
      <c r="AT304" s="14">
        <f>INDEX(挂机升级突破!$CM$7:$CM$26,AX304)</f>
        <v>5</v>
      </c>
      <c r="AU304" s="14">
        <f>INDEX(挂机升级突破!$CN$7:$CN$26,AX304)</f>
        <v>4</v>
      </c>
      <c r="AV304" s="14">
        <f t="shared" si="134"/>
        <v>2</v>
      </c>
      <c r="AW304" s="14" t="str">
        <f t="shared" si="135"/>
        <v>于禁</v>
      </c>
      <c r="AX304" s="14">
        <f t="shared" si="136"/>
        <v>20</v>
      </c>
      <c r="AY304" s="14" t="str">
        <f t="shared" si="137"/>
        <v>于禁20突</v>
      </c>
      <c r="AZ304" s="14" t="str">
        <f>IF(AT304&gt;0,INDEX(挂机升级突破!$CV$5:$CZ$5,卡牌消耗!AT304),"")</f>
        <v>金币</v>
      </c>
      <c r="BA304" s="14">
        <f>IF(AT304&gt;0,ROUND(INDEX(挂机升级突破!$CZ$7:$CZ$26,卡牌消耗!AX304)*INDEX(卡牌消耗!$B$8:$F$8,AV304)/$Q$4/500,0)*500,"")</f>
        <v>532000</v>
      </c>
      <c r="BB304" s="14" t="str">
        <f>IF(AU304&gt;0,INDEX(挂机升级突破!$CV$5:$CZ$5,卡牌消耗!AU304),"")</f>
        <v>铀金</v>
      </c>
      <c r="BC304" s="14">
        <f>IF(AU304&gt;0,ROUND(INDEX(挂机升级突破!$CV$7:$CY$26,卡牌消耗!AX304,卡牌消耗!AU304)*INDEX($B$6:$F$6,AV304)/$Q$4/5,0)*5,"")</f>
        <v>45</v>
      </c>
      <c r="BD304" s="104"/>
      <c r="BE304" s="104"/>
      <c r="BF304" s="106"/>
    </row>
    <row r="305" spans="8:58" ht="16.5" x14ac:dyDescent="0.2">
      <c r="H305" s="15"/>
      <c r="I305" s="15"/>
      <c r="J305" s="15"/>
      <c r="K305" s="15"/>
      <c r="L305" s="15"/>
      <c r="M305" s="15"/>
      <c r="N305" s="15"/>
      <c r="O305" s="137"/>
      <c r="P305" s="141"/>
      <c r="Q305" s="141"/>
      <c r="R305" s="141"/>
      <c r="S305" s="141"/>
      <c r="T305" s="141"/>
      <c r="U305" s="141"/>
      <c r="V305" s="141"/>
      <c r="W305" s="141"/>
      <c r="X305" s="141"/>
      <c r="Y305" s="141"/>
      <c r="Z305" s="141"/>
      <c r="AA305" s="104">
        <v>301</v>
      </c>
      <c r="AB305" s="14">
        <f t="shared" si="128"/>
        <v>6</v>
      </c>
      <c r="AC305" s="14">
        <f>INDEX(挂机升级突破!$BU$6:$BU$57,卡牌消耗!AI305)</f>
        <v>11</v>
      </c>
      <c r="AD305" s="14">
        <f>INDEX(挂机升级突破!BV$6:BV$57,卡牌消耗!$AI305)</f>
        <v>5</v>
      </c>
      <c r="AE305" s="14">
        <f>INDEX(挂机升级突破!BW$6:BW$57,卡牌消耗!$AI305)</f>
        <v>10</v>
      </c>
      <c r="AF305" s="14" t="str">
        <f t="shared" si="129"/>
        <v>项羽</v>
      </c>
      <c r="AG305" s="14">
        <f t="shared" si="130"/>
        <v>5</v>
      </c>
      <c r="AH305" s="14" t="str">
        <f t="shared" si="131"/>
        <v>项羽魂火-41</v>
      </c>
      <c r="AI305" s="14">
        <f t="shared" si="132"/>
        <v>41</v>
      </c>
      <c r="AJ305" s="14" t="str">
        <f>INDEX(挂机升级突破!$BX$4:$CH$4,INDEX(挂机升级突破!$BU$6:$BU$57,卡牌消耗!AI305))</f>
        <v>金币</v>
      </c>
      <c r="AK305" s="14">
        <f>ROUND(INDEX(挂机升级突破!$BN$6:$BN$57,卡牌消耗!AI305)*INDEX(卡牌消耗!$B$8:$F$8,AG305)/$Q$4/50,0)*50</f>
        <v>45950</v>
      </c>
      <c r="AL305" s="14" t="str">
        <f>IF(AD305&gt;0,INDEX(挂机升级突破!$BX$4:$CH$4,AD305),"")</f>
        <v>红色基础材料</v>
      </c>
      <c r="AM305" s="14">
        <f>ROUND(INDEX(挂机升级突破!$BX$6:$CH$57,卡牌消耗!AI305,AD305)*INDEX(卡牌消耗!$B$5:$F$5,AG305)/$Q$4/5,0)*5</f>
        <v>80</v>
      </c>
      <c r="AN305" s="14" t="str">
        <f>IF(AE305&gt;0,INDEX(挂机升级突破!$BX$4:$CH$4,AE305),"")</f>
        <v>灵玉</v>
      </c>
      <c r="AO305" s="14">
        <f>IF(AE305&gt;0,ROUND(INDEX(挂机升级突破!$BX$6:$CH$57,卡牌消耗!AI305,AE305)*INDEX(卡牌消耗!$B$7:$F$7,AG305)/$Q$4,0),"")</f>
        <v>2</v>
      </c>
      <c r="AP305" s="106"/>
      <c r="AQ305" s="15"/>
      <c r="AR305" s="104">
        <v>301</v>
      </c>
      <c r="AS305" s="14">
        <f t="shared" si="133"/>
        <v>16</v>
      </c>
      <c r="AT305" s="14">
        <f>INDEX(挂机升级突破!$CM$7:$CM$26,AX305)</f>
        <v>0</v>
      </c>
      <c r="AU305" s="14">
        <f>INDEX(挂机升级突破!$CN$7:$CN$26,AX305)</f>
        <v>0</v>
      </c>
      <c r="AV305" s="14">
        <f t="shared" si="134"/>
        <v>4</v>
      </c>
      <c r="AW305" s="14" t="str">
        <f t="shared" si="135"/>
        <v>西方龙</v>
      </c>
      <c r="AX305" s="14">
        <f t="shared" si="136"/>
        <v>1</v>
      </c>
      <c r="AY305" s="14" t="str">
        <f t="shared" si="137"/>
        <v>西方龙1突</v>
      </c>
      <c r="AZ305" s="14" t="str">
        <f>IF(AT305&gt;0,INDEX(挂机升级突破!$CV$5:$CZ$5,卡牌消耗!AT305),"")</f>
        <v/>
      </c>
      <c r="BA305" s="14" t="str">
        <f>IF(AT305&gt;0,ROUND(INDEX(挂机升级突破!$CZ$7:$CZ$26,卡牌消耗!AX305)*INDEX(卡牌消耗!$B$8:$F$8,AV305)/$Q$4/500,0)*500,"")</f>
        <v/>
      </c>
      <c r="BB305" s="14" t="str">
        <f>IF(AU305&gt;0,INDEX(挂机升级突破!$CV$5:$CZ$5,卡牌消耗!AU305),"")</f>
        <v/>
      </c>
      <c r="BC305" s="14" t="str">
        <f>IF(AU305&gt;0,ROUND(INDEX(挂机升级突破!$CV$7:$CY$26,卡牌消耗!AX305,卡牌消耗!AU305)*INDEX($B$6:$F$6,AV305)/$Q$4/5,0)*5,"")</f>
        <v/>
      </c>
      <c r="BD305" s="104"/>
      <c r="BE305" s="104"/>
      <c r="BF305" s="106"/>
    </row>
    <row r="306" spans="8:58" ht="16.5" x14ac:dyDescent="0.2">
      <c r="H306" s="15"/>
      <c r="I306" s="15"/>
      <c r="J306" s="15"/>
      <c r="K306" s="15"/>
      <c r="L306" s="15"/>
      <c r="M306" s="15"/>
      <c r="N306" s="15"/>
      <c r="O306" s="137"/>
      <c r="P306" s="141"/>
      <c r="Q306" s="141"/>
      <c r="R306" s="141"/>
      <c r="S306" s="141"/>
      <c r="T306" s="141"/>
      <c r="U306" s="141"/>
      <c r="V306" s="141"/>
      <c r="W306" s="141"/>
      <c r="X306" s="141"/>
      <c r="Y306" s="141"/>
      <c r="Z306" s="141"/>
      <c r="AA306" s="104">
        <v>302</v>
      </c>
      <c r="AB306" s="14">
        <f t="shared" si="128"/>
        <v>6</v>
      </c>
      <c r="AC306" s="14">
        <f>INDEX(挂机升级突破!$BU$6:$BU$57,卡牌消耗!AI306)</f>
        <v>11</v>
      </c>
      <c r="AD306" s="14">
        <f>INDEX(挂机升级突破!BV$6:BV$57,卡牌消耗!$AI306)</f>
        <v>5</v>
      </c>
      <c r="AE306" s="14">
        <f>INDEX(挂机升级突破!BW$6:BW$57,卡牌消耗!$AI306)</f>
        <v>10</v>
      </c>
      <c r="AF306" s="14" t="str">
        <f t="shared" si="129"/>
        <v>项羽</v>
      </c>
      <c r="AG306" s="14">
        <f t="shared" si="130"/>
        <v>5</v>
      </c>
      <c r="AH306" s="14" t="str">
        <f t="shared" si="131"/>
        <v>项羽魂火-42</v>
      </c>
      <c r="AI306" s="14">
        <f t="shared" si="132"/>
        <v>42</v>
      </c>
      <c r="AJ306" s="14" t="str">
        <f>INDEX(挂机升级突破!$BX$4:$CH$4,INDEX(挂机升级突破!$BU$6:$BU$57,卡牌消耗!AI306))</f>
        <v>金币</v>
      </c>
      <c r="AK306" s="14">
        <f>ROUND(INDEX(挂机升级突破!$BN$6:$BN$57,卡牌消耗!AI306)*INDEX(卡牌消耗!$B$8:$F$8,AG306)/$Q$4/50,0)*50</f>
        <v>45950</v>
      </c>
      <c r="AL306" s="14" t="str">
        <f>IF(AD306&gt;0,INDEX(挂机升级突破!$BX$4:$CH$4,AD306),"")</f>
        <v>红色基础材料</v>
      </c>
      <c r="AM306" s="14">
        <f>ROUND(INDEX(挂机升级突破!$BX$6:$CH$57,卡牌消耗!AI306,AD306)*INDEX(卡牌消耗!$B$5:$F$5,AG306)/$Q$4/5,0)*5</f>
        <v>80</v>
      </c>
      <c r="AN306" s="14" t="str">
        <f>IF(AE306&gt;0,INDEX(挂机升级突破!$BX$4:$CH$4,AE306),"")</f>
        <v>灵玉</v>
      </c>
      <c r="AO306" s="14">
        <f>IF(AE306&gt;0,ROUND(INDEX(挂机升级突破!$BX$6:$CH$57,卡牌消耗!AI306,AE306)*INDEX(卡牌消耗!$B$7:$F$7,AG306)/$Q$4,0),"")</f>
        <v>2</v>
      </c>
      <c r="AP306" s="106"/>
      <c r="AQ306" s="15"/>
      <c r="AR306" s="104">
        <v>302</v>
      </c>
      <c r="AS306" s="14">
        <f t="shared" si="133"/>
        <v>16</v>
      </c>
      <c r="AT306" s="14">
        <f>INDEX(挂机升级突破!$CM$7:$CM$26,AX306)</f>
        <v>5</v>
      </c>
      <c r="AU306" s="14">
        <f>INDEX(挂机升级突破!$CN$7:$CN$26,AX306)</f>
        <v>0</v>
      </c>
      <c r="AV306" s="14">
        <f t="shared" si="134"/>
        <v>4</v>
      </c>
      <c r="AW306" s="14" t="str">
        <f t="shared" si="135"/>
        <v>西方龙</v>
      </c>
      <c r="AX306" s="14">
        <f t="shared" si="136"/>
        <v>2</v>
      </c>
      <c r="AY306" s="14" t="str">
        <f t="shared" si="137"/>
        <v>西方龙2突</v>
      </c>
      <c r="AZ306" s="14" t="str">
        <f>IF(AT306&gt;0,INDEX(挂机升级突破!$CV$5:$CZ$5,卡牌消耗!AT306),"")</f>
        <v>金币</v>
      </c>
      <c r="BA306" s="14">
        <f>IF(AT306&gt;0,ROUND(INDEX(挂机升级突破!$CZ$7:$CZ$26,卡牌消耗!AX306)*INDEX(卡牌消耗!$B$8:$F$8,AV306)/$Q$4/500,0)*500,"")</f>
        <v>3500</v>
      </c>
      <c r="BB306" s="14" t="str">
        <f>IF(AU306&gt;0,INDEX(挂机升级突破!$CV$5:$CZ$5,卡牌消耗!AU306),"")</f>
        <v/>
      </c>
      <c r="BC306" s="14" t="str">
        <f>IF(AU306&gt;0,ROUND(INDEX(挂机升级突破!$CV$7:$CY$26,卡牌消耗!AX306,卡牌消耗!AU306)*INDEX($B$6:$F$6,AV306)/$Q$4/5,0)*5,"")</f>
        <v/>
      </c>
      <c r="BD306" s="104"/>
      <c r="BE306" s="104"/>
      <c r="BF306" s="106"/>
    </row>
    <row r="307" spans="8:58" ht="16.5" x14ac:dyDescent="0.2">
      <c r="H307" s="15"/>
      <c r="I307" s="15"/>
      <c r="J307" s="15"/>
      <c r="K307" s="15"/>
      <c r="L307" s="15"/>
      <c r="M307" s="15"/>
      <c r="N307" s="15"/>
      <c r="O307" s="137"/>
      <c r="P307" s="141"/>
      <c r="Q307" s="141"/>
      <c r="R307" s="141"/>
      <c r="S307" s="141"/>
      <c r="T307" s="141"/>
      <c r="U307" s="141"/>
      <c r="V307" s="141"/>
      <c r="W307" s="141"/>
      <c r="X307" s="141"/>
      <c r="Y307" s="141"/>
      <c r="Z307" s="141"/>
      <c r="AA307" s="104">
        <v>303</v>
      </c>
      <c r="AB307" s="14">
        <f t="shared" si="128"/>
        <v>6</v>
      </c>
      <c r="AC307" s="14">
        <f>INDEX(挂机升级突破!$BU$6:$BU$57,卡牌消耗!AI307)</f>
        <v>11</v>
      </c>
      <c r="AD307" s="14">
        <f>INDEX(挂机升级突破!BV$6:BV$57,卡牌消耗!$AI307)</f>
        <v>5</v>
      </c>
      <c r="AE307" s="14">
        <f>INDEX(挂机升级突破!BW$6:BW$57,卡牌消耗!$AI307)</f>
        <v>10</v>
      </c>
      <c r="AF307" s="14" t="str">
        <f t="shared" si="129"/>
        <v>项羽</v>
      </c>
      <c r="AG307" s="14">
        <f t="shared" si="130"/>
        <v>5</v>
      </c>
      <c r="AH307" s="14" t="str">
        <f t="shared" si="131"/>
        <v>项羽魂火-43</v>
      </c>
      <c r="AI307" s="14">
        <f t="shared" si="132"/>
        <v>43</v>
      </c>
      <c r="AJ307" s="14" t="str">
        <f>INDEX(挂机升级突破!$BX$4:$CH$4,INDEX(挂机升级突破!$BU$6:$BU$57,卡牌消耗!AI307))</f>
        <v>金币</v>
      </c>
      <c r="AK307" s="14">
        <f>ROUND(INDEX(挂机升级突破!$BN$6:$BN$57,卡牌消耗!AI307)*INDEX(卡牌消耗!$B$8:$F$8,AG307)/$Q$4/50,0)*50</f>
        <v>45950</v>
      </c>
      <c r="AL307" s="14" t="str">
        <f>IF(AD307&gt;0,INDEX(挂机升级突破!$BX$4:$CH$4,AD307),"")</f>
        <v>红色基础材料</v>
      </c>
      <c r="AM307" s="14">
        <f>ROUND(INDEX(挂机升级突破!$BX$6:$CH$57,卡牌消耗!AI307,AD307)*INDEX(卡牌消耗!$B$5:$F$5,AG307)/$Q$4/5,0)*5</f>
        <v>80</v>
      </c>
      <c r="AN307" s="14" t="str">
        <f>IF(AE307&gt;0,INDEX(挂机升级突破!$BX$4:$CH$4,AE307),"")</f>
        <v>灵玉</v>
      </c>
      <c r="AO307" s="14">
        <f>IF(AE307&gt;0,ROUND(INDEX(挂机升级突破!$BX$6:$CH$57,卡牌消耗!AI307,AE307)*INDEX(卡牌消耗!$B$7:$F$7,AG307)/$Q$4,0),"")</f>
        <v>2</v>
      </c>
      <c r="AP307" s="106"/>
      <c r="AQ307" s="15"/>
      <c r="AR307" s="104">
        <v>303</v>
      </c>
      <c r="AS307" s="14">
        <f t="shared" si="133"/>
        <v>16</v>
      </c>
      <c r="AT307" s="14">
        <f>INDEX(挂机升级突破!$CM$7:$CM$26,AX307)</f>
        <v>5</v>
      </c>
      <c r="AU307" s="14">
        <f>INDEX(挂机升级突破!$CN$7:$CN$26,AX307)</f>
        <v>0</v>
      </c>
      <c r="AV307" s="14">
        <f t="shared" si="134"/>
        <v>4</v>
      </c>
      <c r="AW307" s="14" t="str">
        <f t="shared" si="135"/>
        <v>西方龙</v>
      </c>
      <c r="AX307" s="14">
        <f t="shared" si="136"/>
        <v>3</v>
      </c>
      <c r="AY307" s="14" t="str">
        <f t="shared" si="137"/>
        <v>西方龙3突</v>
      </c>
      <c r="AZ307" s="14" t="str">
        <f>IF(AT307&gt;0,INDEX(挂机升级突破!$CV$5:$CZ$5,卡牌消耗!AT307),"")</f>
        <v>金币</v>
      </c>
      <c r="BA307" s="14">
        <f>IF(AT307&gt;0,ROUND(INDEX(挂机升级突破!$CZ$7:$CZ$26,卡牌消耗!AX307)*INDEX(卡牌消耗!$B$8:$F$8,AV307)/$Q$4/500,0)*500,"")</f>
        <v>3500</v>
      </c>
      <c r="BB307" s="14" t="str">
        <f>IF(AU307&gt;0,INDEX(挂机升级突破!$CV$5:$CZ$5,卡牌消耗!AU307),"")</f>
        <v/>
      </c>
      <c r="BC307" s="14" t="str">
        <f>IF(AU307&gt;0,ROUND(INDEX(挂机升级突破!$CV$7:$CY$26,卡牌消耗!AX307,卡牌消耗!AU307)*INDEX($B$6:$F$6,AV307)/$Q$4/5,0)*5,"")</f>
        <v/>
      </c>
      <c r="BD307" s="104"/>
      <c r="BE307" s="104"/>
      <c r="BF307" s="106"/>
    </row>
    <row r="308" spans="8:58" ht="16.5" x14ac:dyDescent="0.2">
      <c r="H308" s="15"/>
      <c r="I308" s="15"/>
      <c r="J308" s="15"/>
      <c r="K308" s="15"/>
      <c r="L308" s="15"/>
      <c r="M308" s="15"/>
      <c r="N308" s="15"/>
      <c r="O308" s="137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  <c r="AA308" s="104">
        <v>304</v>
      </c>
      <c r="AB308" s="14">
        <f t="shared" si="128"/>
        <v>6</v>
      </c>
      <c r="AC308" s="14">
        <f>INDEX(挂机升级突破!$BU$6:$BU$57,卡牌消耗!AI308)</f>
        <v>11</v>
      </c>
      <c r="AD308" s="14">
        <f>INDEX(挂机升级突破!BV$6:BV$57,卡牌消耗!$AI308)</f>
        <v>5</v>
      </c>
      <c r="AE308" s="14">
        <f>INDEX(挂机升级突破!BW$6:BW$57,卡牌消耗!$AI308)</f>
        <v>10</v>
      </c>
      <c r="AF308" s="14" t="str">
        <f t="shared" si="129"/>
        <v>项羽</v>
      </c>
      <c r="AG308" s="14">
        <f t="shared" si="130"/>
        <v>5</v>
      </c>
      <c r="AH308" s="14" t="str">
        <f t="shared" si="131"/>
        <v>项羽魂火-44</v>
      </c>
      <c r="AI308" s="14">
        <f t="shared" si="132"/>
        <v>44</v>
      </c>
      <c r="AJ308" s="14" t="str">
        <f>INDEX(挂机升级突破!$BX$4:$CH$4,INDEX(挂机升级突破!$BU$6:$BU$57,卡牌消耗!AI308))</f>
        <v>金币</v>
      </c>
      <c r="AK308" s="14">
        <f>ROUND(INDEX(挂机升级突破!$BN$6:$BN$57,卡牌消耗!AI308)*INDEX(卡牌消耗!$B$8:$F$8,AG308)/$Q$4/50,0)*50</f>
        <v>58500</v>
      </c>
      <c r="AL308" s="14" t="str">
        <f>IF(AD308&gt;0,INDEX(挂机升级突破!$BX$4:$CH$4,AD308),"")</f>
        <v>红色基础材料</v>
      </c>
      <c r="AM308" s="14">
        <f>ROUND(INDEX(挂机升级突破!$BX$6:$CH$57,卡牌消耗!AI308,AD308)*INDEX(卡牌消耗!$B$5:$F$5,AG308)/$Q$4/5,0)*5</f>
        <v>95</v>
      </c>
      <c r="AN308" s="14" t="str">
        <f>IF(AE308&gt;0,INDEX(挂机升级突破!$BX$4:$CH$4,AE308),"")</f>
        <v>灵玉</v>
      </c>
      <c r="AO308" s="14">
        <f>IF(AE308&gt;0,ROUND(INDEX(挂机升级突破!$BX$6:$CH$57,卡牌消耗!AI308,AE308)*INDEX(卡牌消耗!$B$7:$F$7,AG308)/$Q$4,0),"")</f>
        <v>2</v>
      </c>
      <c r="AP308" s="106"/>
      <c r="AQ308" s="15"/>
      <c r="AR308" s="104">
        <v>304</v>
      </c>
      <c r="AS308" s="14">
        <f t="shared" si="133"/>
        <v>16</v>
      </c>
      <c r="AT308" s="14">
        <f>INDEX(挂机升级突破!$CM$7:$CM$26,AX308)</f>
        <v>5</v>
      </c>
      <c r="AU308" s="14">
        <f>INDEX(挂机升级突破!$CN$7:$CN$26,AX308)</f>
        <v>1</v>
      </c>
      <c r="AV308" s="14">
        <f t="shared" si="134"/>
        <v>4</v>
      </c>
      <c r="AW308" s="14" t="str">
        <f t="shared" si="135"/>
        <v>西方龙</v>
      </c>
      <c r="AX308" s="14">
        <f t="shared" si="136"/>
        <v>4</v>
      </c>
      <c r="AY308" s="14" t="str">
        <f t="shared" si="137"/>
        <v>西方龙4突</v>
      </c>
      <c r="AZ308" s="14" t="str">
        <f>IF(AT308&gt;0,INDEX(挂机升级突破!$CV$5:$CZ$5,卡牌消耗!AT308),"")</f>
        <v>金币</v>
      </c>
      <c r="BA308" s="14">
        <f>IF(AT308&gt;0,ROUND(INDEX(挂机升级突破!$CZ$7:$CZ$26,卡牌消耗!AX308)*INDEX(卡牌消耗!$B$8:$F$8,AV308)/$Q$4/500,0)*500,"")</f>
        <v>4500</v>
      </c>
      <c r="BB308" s="14" t="str">
        <f>IF(AU308&gt;0,INDEX(挂机升级突破!$CV$5:$CZ$5,卡牌消耗!AU308),"")</f>
        <v>玄铁</v>
      </c>
      <c r="BC308" s="14">
        <f>IF(AU308&gt;0,ROUND(INDEX(挂机升级突破!$CV$7:$CY$26,卡牌消耗!AX308,卡牌消耗!AU308)*INDEX($B$6:$F$6,AV308)/$Q$4/5,0)*5,"")</f>
        <v>70</v>
      </c>
      <c r="BD308" s="104"/>
      <c r="BE308" s="104"/>
      <c r="BF308" s="106"/>
    </row>
    <row r="309" spans="8:58" ht="16.5" x14ac:dyDescent="0.2">
      <c r="H309" s="15"/>
      <c r="I309" s="15"/>
      <c r="J309" s="15"/>
      <c r="K309" s="15"/>
      <c r="L309" s="15"/>
      <c r="M309" s="15"/>
      <c r="N309" s="15"/>
      <c r="O309" s="137"/>
      <c r="P309" s="141"/>
      <c r="Q309" s="141"/>
      <c r="R309" s="141"/>
      <c r="S309" s="141"/>
      <c r="T309" s="141"/>
      <c r="U309" s="141"/>
      <c r="V309" s="141"/>
      <c r="W309" s="141"/>
      <c r="X309" s="141"/>
      <c r="Y309" s="141"/>
      <c r="Z309" s="141"/>
      <c r="AA309" s="104">
        <v>305</v>
      </c>
      <c r="AB309" s="14">
        <f t="shared" si="128"/>
        <v>6</v>
      </c>
      <c r="AC309" s="14">
        <f>INDEX(挂机升级突破!$BU$6:$BU$57,卡牌消耗!AI309)</f>
        <v>11</v>
      </c>
      <c r="AD309" s="14">
        <f>INDEX(挂机升级突破!BV$6:BV$57,卡牌消耗!$AI309)</f>
        <v>5</v>
      </c>
      <c r="AE309" s="14">
        <f>INDEX(挂机升级突破!BW$6:BW$57,卡牌消耗!$AI309)</f>
        <v>10</v>
      </c>
      <c r="AF309" s="14" t="str">
        <f t="shared" si="129"/>
        <v>项羽</v>
      </c>
      <c r="AG309" s="14">
        <f t="shared" si="130"/>
        <v>5</v>
      </c>
      <c r="AH309" s="14" t="str">
        <f t="shared" si="131"/>
        <v>项羽魂火-45</v>
      </c>
      <c r="AI309" s="14">
        <f t="shared" si="132"/>
        <v>45</v>
      </c>
      <c r="AJ309" s="14" t="str">
        <f>INDEX(挂机升级突破!$BX$4:$CH$4,INDEX(挂机升级突破!$BU$6:$BU$57,卡牌消耗!AI309))</f>
        <v>金币</v>
      </c>
      <c r="AK309" s="14">
        <f>ROUND(INDEX(挂机升级突破!$BN$6:$BN$57,卡牌消耗!AI309)*INDEX(卡牌消耗!$B$8:$F$8,AG309)/$Q$4/50,0)*50</f>
        <v>58500</v>
      </c>
      <c r="AL309" s="14" t="str">
        <f>IF(AD309&gt;0,INDEX(挂机升级突破!$BX$4:$CH$4,AD309),"")</f>
        <v>红色基础材料</v>
      </c>
      <c r="AM309" s="14">
        <f>ROUND(INDEX(挂机升级突破!$BX$6:$CH$57,卡牌消耗!AI309,AD309)*INDEX(卡牌消耗!$B$5:$F$5,AG309)/$Q$4/5,0)*5</f>
        <v>95</v>
      </c>
      <c r="AN309" s="14" t="str">
        <f>IF(AE309&gt;0,INDEX(挂机升级突破!$BX$4:$CH$4,AE309),"")</f>
        <v>灵玉</v>
      </c>
      <c r="AO309" s="14">
        <f>IF(AE309&gt;0,ROUND(INDEX(挂机升级突破!$BX$6:$CH$57,卡牌消耗!AI309,AE309)*INDEX(卡牌消耗!$B$7:$F$7,AG309)/$Q$4,0),"")</f>
        <v>2</v>
      </c>
      <c r="AP309" s="106"/>
      <c r="AQ309" s="15"/>
      <c r="AR309" s="104">
        <v>305</v>
      </c>
      <c r="AS309" s="14">
        <f t="shared" si="133"/>
        <v>16</v>
      </c>
      <c r="AT309" s="14">
        <f>INDEX(挂机升级突破!$CM$7:$CM$26,AX309)</f>
        <v>5</v>
      </c>
      <c r="AU309" s="14">
        <f>INDEX(挂机升级突破!$CN$7:$CN$26,AX309)</f>
        <v>1</v>
      </c>
      <c r="AV309" s="14">
        <f t="shared" si="134"/>
        <v>4</v>
      </c>
      <c r="AW309" s="14" t="str">
        <f t="shared" si="135"/>
        <v>西方龙</v>
      </c>
      <c r="AX309" s="14">
        <f t="shared" si="136"/>
        <v>5</v>
      </c>
      <c r="AY309" s="14" t="str">
        <f t="shared" si="137"/>
        <v>西方龙5突</v>
      </c>
      <c r="AZ309" s="14" t="str">
        <f>IF(AT309&gt;0,INDEX(挂机升级突破!$CV$5:$CZ$5,卡牌消耗!AT309),"")</f>
        <v>金币</v>
      </c>
      <c r="BA309" s="14">
        <f>IF(AT309&gt;0,ROUND(INDEX(挂机升级突破!$CZ$7:$CZ$26,卡牌消耗!AX309)*INDEX(卡牌消耗!$B$8:$F$8,AV309)/$Q$4/500,0)*500,"")</f>
        <v>4500</v>
      </c>
      <c r="BB309" s="14" t="str">
        <f>IF(AU309&gt;0,INDEX(挂机升级突破!$CV$5:$CZ$5,卡牌消耗!AU309),"")</f>
        <v>玄铁</v>
      </c>
      <c r="BC309" s="14">
        <f>IF(AU309&gt;0,ROUND(INDEX(挂机升级突破!$CV$7:$CY$26,卡牌消耗!AX309,卡牌消耗!AU309)*INDEX($B$6:$F$6,AV309)/$Q$4/5,0)*5,"")</f>
        <v>140</v>
      </c>
      <c r="BD309" s="104"/>
      <c r="BE309" s="104"/>
      <c r="BF309" s="106"/>
    </row>
    <row r="310" spans="8:58" ht="16.5" x14ac:dyDescent="0.2">
      <c r="H310" s="15"/>
      <c r="I310" s="15"/>
      <c r="J310" s="15"/>
      <c r="K310" s="15"/>
      <c r="L310" s="15"/>
      <c r="M310" s="15"/>
      <c r="N310" s="15"/>
      <c r="O310" s="137"/>
      <c r="P310" s="141"/>
      <c r="Q310" s="141"/>
      <c r="R310" s="141"/>
      <c r="S310" s="141"/>
      <c r="T310" s="141"/>
      <c r="U310" s="141"/>
      <c r="V310" s="141"/>
      <c r="W310" s="141"/>
      <c r="X310" s="141"/>
      <c r="Y310" s="141"/>
      <c r="Z310" s="141"/>
      <c r="AA310" s="104">
        <v>306</v>
      </c>
      <c r="AB310" s="14">
        <f t="shared" si="128"/>
        <v>6</v>
      </c>
      <c r="AC310" s="14">
        <f>INDEX(挂机升级突破!$BU$6:$BU$57,卡牌消耗!AI310)</f>
        <v>11</v>
      </c>
      <c r="AD310" s="14">
        <f>INDEX(挂机升级突破!BV$6:BV$57,卡牌消耗!$AI310)</f>
        <v>5</v>
      </c>
      <c r="AE310" s="14">
        <f>INDEX(挂机升级突破!BW$6:BW$57,卡牌消耗!$AI310)</f>
        <v>10</v>
      </c>
      <c r="AF310" s="14" t="str">
        <f t="shared" si="129"/>
        <v>项羽</v>
      </c>
      <c r="AG310" s="14">
        <f t="shared" si="130"/>
        <v>5</v>
      </c>
      <c r="AH310" s="14" t="str">
        <f t="shared" si="131"/>
        <v>项羽魂火-46</v>
      </c>
      <c r="AI310" s="14">
        <f t="shared" si="132"/>
        <v>46</v>
      </c>
      <c r="AJ310" s="14" t="str">
        <f>INDEX(挂机升级突破!$BX$4:$CH$4,INDEX(挂机升级突破!$BU$6:$BU$57,卡牌消耗!AI310))</f>
        <v>金币</v>
      </c>
      <c r="AK310" s="14">
        <f>ROUND(INDEX(挂机升级突破!$BN$6:$BN$57,卡牌消耗!AI310)*INDEX(卡牌消耗!$B$8:$F$8,AG310)/$Q$4/50,0)*50</f>
        <v>62650</v>
      </c>
      <c r="AL310" s="14" t="str">
        <f>IF(AD310&gt;0,INDEX(挂机升级突破!$BX$4:$CH$4,AD310),"")</f>
        <v>红色基础材料</v>
      </c>
      <c r="AM310" s="14">
        <f>ROUND(INDEX(挂机升级突破!$BX$6:$CH$57,卡牌消耗!AI310,AD310)*INDEX(卡牌消耗!$B$5:$F$5,AG310)/$Q$4/5,0)*5</f>
        <v>95</v>
      </c>
      <c r="AN310" s="14" t="str">
        <f>IF(AE310&gt;0,INDEX(挂机升级突破!$BX$4:$CH$4,AE310),"")</f>
        <v>灵玉</v>
      </c>
      <c r="AO310" s="14">
        <f>IF(AE310&gt;0,ROUND(INDEX(挂机升级突破!$BX$6:$CH$57,卡牌消耗!AI310,AE310)*INDEX(卡牌消耗!$B$7:$F$7,AG310)/$Q$4,0),"")</f>
        <v>2</v>
      </c>
      <c r="AP310" s="106"/>
      <c r="AQ310" s="15"/>
      <c r="AR310" s="104">
        <v>306</v>
      </c>
      <c r="AS310" s="14">
        <f t="shared" si="133"/>
        <v>16</v>
      </c>
      <c r="AT310" s="14">
        <f>INDEX(挂机升级突破!$CM$7:$CM$26,AX310)</f>
        <v>5</v>
      </c>
      <c r="AU310" s="14">
        <f>INDEX(挂机升级突破!$CN$7:$CN$26,AX310)</f>
        <v>1</v>
      </c>
      <c r="AV310" s="14">
        <f t="shared" si="134"/>
        <v>4</v>
      </c>
      <c r="AW310" s="14" t="str">
        <f t="shared" si="135"/>
        <v>西方龙</v>
      </c>
      <c r="AX310" s="14">
        <f t="shared" si="136"/>
        <v>6</v>
      </c>
      <c r="AY310" s="14" t="str">
        <f t="shared" si="137"/>
        <v>西方龙6突</v>
      </c>
      <c r="AZ310" s="14" t="str">
        <f>IF(AT310&gt;0,INDEX(挂机升级突破!$CV$5:$CZ$5,卡牌消耗!AT310),"")</f>
        <v>金币</v>
      </c>
      <c r="BA310" s="14">
        <f>IF(AT310&gt;0,ROUND(INDEX(挂机升级突破!$CZ$7:$CZ$26,卡牌消耗!AX310)*INDEX(卡牌消耗!$B$8:$F$8,AV310)/$Q$4/500,0)*500,"")</f>
        <v>6000</v>
      </c>
      <c r="BB310" s="14" t="str">
        <f>IF(AU310&gt;0,INDEX(挂机升级突破!$CV$5:$CZ$5,卡牌消耗!AU310),"")</f>
        <v>玄铁</v>
      </c>
      <c r="BC310" s="14">
        <f>IF(AU310&gt;0,ROUND(INDEX(挂机升级突破!$CV$7:$CY$26,卡牌消耗!AX310,卡牌消耗!AU310)*INDEX($B$6:$F$6,AV310)/$Q$4/5,0)*5,"")</f>
        <v>210</v>
      </c>
      <c r="BD310" s="104"/>
      <c r="BE310" s="104"/>
      <c r="BF310" s="106"/>
    </row>
    <row r="311" spans="8:58" ht="16.5" x14ac:dyDescent="0.2">
      <c r="H311" s="15"/>
      <c r="I311" s="15"/>
      <c r="J311" s="15"/>
      <c r="K311" s="15"/>
      <c r="L311" s="15"/>
      <c r="M311" s="15"/>
      <c r="N311" s="15"/>
      <c r="O311" s="137"/>
      <c r="P311" s="141"/>
      <c r="Q311" s="141"/>
      <c r="R311" s="141"/>
      <c r="S311" s="141"/>
      <c r="T311" s="141"/>
      <c r="U311" s="141"/>
      <c r="V311" s="141"/>
      <c r="W311" s="141"/>
      <c r="X311" s="141"/>
      <c r="Y311" s="141"/>
      <c r="Z311" s="141"/>
      <c r="AA311" s="104">
        <v>307</v>
      </c>
      <c r="AB311" s="14">
        <f t="shared" si="128"/>
        <v>6</v>
      </c>
      <c r="AC311" s="14">
        <f>INDEX(挂机升级突破!$BU$6:$BU$57,卡牌消耗!AI311)</f>
        <v>11</v>
      </c>
      <c r="AD311" s="14">
        <f>INDEX(挂机升级突破!BV$6:BV$57,卡牌消耗!$AI311)</f>
        <v>5</v>
      </c>
      <c r="AE311" s="14">
        <f>INDEX(挂机升级突破!BW$6:BW$57,卡牌消耗!$AI311)</f>
        <v>10</v>
      </c>
      <c r="AF311" s="14" t="str">
        <f t="shared" si="129"/>
        <v>项羽</v>
      </c>
      <c r="AG311" s="14">
        <f t="shared" si="130"/>
        <v>5</v>
      </c>
      <c r="AH311" s="14" t="str">
        <f t="shared" si="131"/>
        <v>项羽魂火-47</v>
      </c>
      <c r="AI311" s="14">
        <f t="shared" si="132"/>
        <v>47</v>
      </c>
      <c r="AJ311" s="14" t="str">
        <f>INDEX(挂机升级突破!$BX$4:$CH$4,INDEX(挂机升级突破!$BU$6:$BU$57,卡牌消耗!AI311))</f>
        <v>金币</v>
      </c>
      <c r="AK311" s="14">
        <f>ROUND(INDEX(挂机升级突破!$BN$6:$BN$57,卡牌消耗!AI311)*INDEX(卡牌消耗!$B$8:$F$8,AG311)/$Q$4/50,0)*50</f>
        <v>303900</v>
      </c>
      <c r="AL311" s="14" t="str">
        <f>IF(AD311&gt;0,INDEX(挂机升级突破!$BX$4:$CH$4,AD311),"")</f>
        <v>红色基础材料</v>
      </c>
      <c r="AM311" s="14">
        <f>ROUND(INDEX(挂机升级突破!$BX$6:$CH$57,卡牌消耗!AI311,AD311)*INDEX(卡牌消耗!$B$5:$F$5,AG311)/$Q$4/5,0)*5</f>
        <v>95</v>
      </c>
      <c r="AN311" s="14" t="str">
        <f>IF(AE311&gt;0,INDEX(挂机升级突破!$BX$4:$CH$4,AE311),"")</f>
        <v>灵玉</v>
      </c>
      <c r="AO311" s="14">
        <f>IF(AE311&gt;0,ROUND(INDEX(挂机升级突破!$BX$6:$CH$57,卡牌消耗!AI311,AE311)*INDEX(卡牌消耗!$B$7:$F$7,AG311)/$Q$4,0),"")</f>
        <v>2</v>
      </c>
      <c r="AP311" s="106"/>
      <c r="AQ311" s="15"/>
      <c r="AR311" s="104">
        <v>307</v>
      </c>
      <c r="AS311" s="14">
        <f t="shared" si="133"/>
        <v>16</v>
      </c>
      <c r="AT311" s="14">
        <f>INDEX(挂机升级突破!$CM$7:$CM$26,AX311)</f>
        <v>5</v>
      </c>
      <c r="AU311" s="14">
        <f>INDEX(挂机升级突破!$CN$7:$CN$26,AX311)</f>
        <v>1</v>
      </c>
      <c r="AV311" s="14">
        <f t="shared" si="134"/>
        <v>4</v>
      </c>
      <c r="AW311" s="14" t="str">
        <f t="shared" si="135"/>
        <v>西方龙</v>
      </c>
      <c r="AX311" s="14">
        <f t="shared" si="136"/>
        <v>7</v>
      </c>
      <c r="AY311" s="14" t="str">
        <f t="shared" si="137"/>
        <v>西方龙7突</v>
      </c>
      <c r="AZ311" s="14" t="str">
        <f>IF(AT311&gt;0,INDEX(挂机升级突破!$CV$5:$CZ$5,卡牌消耗!AT311),"")</f>
        <v>金币</v>
      </c>
      <c r="BA311" s="14">
        <f>IF(AT311&gt;0,ROUND(INDEX(挂机升级突破!$CZ$7:$CZ$26,卡牌消耗!AX311)*INDEX(卡牌消耗!$B$8:$F$8,AV311)/$Q$4/500,0)*500,"")</f>
        <v>9500</v>
      </c>
      <c r="BB311" s="14" t="str">
        <f>IF(AU311&gt;0,INDEX(挂机升级突破!$CV$5:$CZ$5,卡牌消耗!AU311),"")</f>
        <v>玄铁</v>
      </c>
      <c r="BC311" s="14">
        <f>IF(AU311&gt;0,ROUND(INDEX(挂机升级突破!$CV$7:$CY$26,卡牌消耗!AX311,卡牌消耗!AU311)*INDEX($B$6:$F$6,AV311)/$Q$4/5,0)*5,"")</f>
        <v>345</v>
      </c>
      <c r="BD311" s="104"/>
      <c r="BE311" s="104"/>
      <c r="BF311" s="106"/>
    </row>
    <row r="312" spans="8:58" ht="16.5" x14ac:dyDescent="0.2">
      <c r="H312" s="15"/>
      <c r="I312" s="15"/>
      <c r="J312" s="15"/>
      <c r="K312" s="15"/>
      <c r="L312" s="15"/>
      <c r="M312" s="15"/>
      <c r="N312" s="15"/>
      <c r="O312" s="137"/>
      <c r="P312" s="141"/>
      <c r="Q312" s="141"/>
      <c r="R312" s="141"/>
      <c r="S312" s="141"/>
      <c r="T312" s="141"/>
      <c r="U312" s="141"/>
      <c r="V312" s="141"/>
      <c r="W312" s="141"/>
      <c r="X312" s="141"/>
      <c r="Y312" s="141"/>
      <c r="Z312" s="141"/>
      <c r="AA312" s="104">
        <v>308</v>
      </c>
      <c r="AB312" s="14">
        <f t="shared" si="128"/>
        <v>6</v>
      </c>
      <c r="AC312" s="14">
        <f>INDEX(挂机升级突破!$BU$6:$BU$57,卡牌消耗!AI312)</f>
        <v>11</v>
      </c>
      <c r="AD312" s="14">
        <f>INDEX(挂机升级突破!BV$6:BV$57,卡牌消耗!$AI312)</f>
        <v>5</v>
      </c>
      <c r="AE312" s="14">
        <f>INDEX(挂机升级突破!BW$6:BW$57,卡牌消耗!$AI312)</f>
        <v>10</v>
      </c>
      <c r="AF312" s="14" t="str">
        <f t="shared" si="129"/>
        <v>项羽</v>
      </c>
      <c r="AG312" s="14">
        <f t="shared" si="130"/>
        <v>5</v>
      </c>
      <c r="AH312" s="14" t="str">
        <f t="shared" si="131"/>
        <v>项羽魂火-48</v>
      </c>
      <c r="AI312" s="14">
        <f t="shared" si="132"/>
        <v>48</v>
      </c>
      <c r="AJ312" s="14" t="str">
        <f>INDEX(挂机升级突破!$BX$4:$CH$4,INDEX(挂机升级突破!$BU$6:$BU$57,卡牌消耗!AI312))</f>
        <v>金币</v>
      </c>
      <c r="AK312" s="14">
        <f>ROUND(INDEX(挂机升级突破!$BN$6:$BN$57,卡牌消耗!AI312)*INDEX(卡牌消耗!$B$8:$F$8,AG312)/$Q$4/50,0)*50</f>
        <v>303900</v>
      </c>
      <c r="AL312" s="14" t="str">
        <f>IF(AD312&gt;0,INDEX(挂机升级突破!$BX$4:$CH$4,AD312),"")</f>
        <v>红色基础材料</v>
      </c>
      <c r="AM312" s="14">
        <f>ROUND(INDEX(挂机升级突破!$BX$6:$CH$57,卡牌消耗!AI312,AD312)*INDEX(卡牌消耗!$B$5:$F$5,AG312)/$Q$4/5,0)*5</f>
        <v>95</v>
      </c>
      <c r="AN312" s="14" t="str">
        <f>IF(AE312&gt;0,INDEX(挂机升级突破!$BX$4:$CH$4,AE312),"")</f>
        <v>灵玉</v>
      </c>
      <c r="AO312" s="14">
        <f>IF(AE312&gt;0,ROUND(INDEX(挂机升级突破!$BX$6:$CH$57,卡牌消耗!AI312,AE312)*INDEX(卡牌消耗!$B$7:$F$7,AG312)/$Q$4,0),"")</f>
        <v>2</v>
      </c>
      <c r="AP312" s="106"/>
      <c r="AQ312" s="15"/>
      <c r="AR312" s="104">
        <v>308</v>
      </c>
      <c r="AS312" s="14">
        <f t="shared" si="133"/>
        <v>16</v>
      </c>
      <c r="AT312" s="14">
        <f>INDEX(挂机升级突破!$CM$7:$CM$26,AX312)</f>
        <v>5</v>
      </c>
      <c r="AU312" s="14">
        <f>INDEX(挂机升级突破!$CN$7:$CN$26,AX312)</f>
        <v>1</v>
      </c>
      <c r="AV312" s="14">
        <f t="shared" si="134"/>
        <v>4</v>
      </c>
      <c r="AW312" s="14" t="str">
        <f t="shared" si="135"/>
        <v>西方龙</v>
      </c>
      <c r="AX312" s="14">
        <f t="shared" si="136"/>
        <v>8</v>
      </c>
      <c r="AY312" s="14" t="str">
        <f t="shared" si="137"/>
        <v>西方龙8突</v>
      </c>
      <c r="AZ312" s="14" t="str">
        <f>IF(AT312&gt;0,INDEX(挂机升级突破!$CV$5:$CZ$5,卡牌消耗!AT312),"")</f>
        <v>金币</v>
      </c>
      <c r="BA312" s="14">
        <f>IF(AT312&gt;0,ROUND(INDEX(挂机升级突破!$CZ$7:$CZ$26,卡牌消耗!AX312)*INDEX(卡牌消耗!$B$8:$F$8,AV312)/$Q$4/500,0)*500,"")</f>
        <v>9500</v>
      </c>
      <c r="BB312" s="14" t="str">
        <f>IF(AU312&gt;0,INDEX(挂机升级突破!$CV$5:$CZ$5,卡牌消耗!AU312),"")</f>
        <v>玄铁</v>
      </c>
      <c r="BC312" s="14">
        <f>IF(AU312&gt;0,ROUND(INDEX(挂机升级突破!$CV$7:$CY$26,卡牌消耗!AX312,卡牌消耗!AU312)*INDEX($B$6:$F$6,AV312)/$Q$4/5,0)*5,"")</f>
        <v>625</v>
      </c>
      <c r="BD312" s="104"/>
      <c r="BE312" s="104"/>
      <c r="BF312" s="106"/>
    </row>
    <row r="313" spans="8:58" ht="16.5" x14ac:dyDescent="0.2">
      <c r="H313" s="15"/>
      <c r="I313" s="15"/>
      <c r="J313" s="15"/>
      <c r="K313" s="15"/>
      <c r="L313" s="15"/>
      <c r="M313" s="15"/>
      <c r="N313" s="15"/>
      <c r="O313" s="137"/>
      <c r="P313" s="141"/>
      <c r="Q313" s="141"/>
      <c r="R313" s="141"/>
      <c r="S313" s="141"/>
      <c r="T313" s="141"/>
      <c r="U313" s="141"/>
      <c r="V313" s="141"/>
      <c r="W313" s="141"/>
      <c r="X313" s="141"/>
      <c r="Y313" s="141"/>
      <c r="Z313" s="141"/>
      <c r="AA313" s="104">
        <v>309</v>
      </c>
      <c r="AB313" s="14">
        <f t="shared" si="128"/>
        <v>6</v>
      </c>
      <c r="AC313" s="14">
        <f>INDEX(挂机升级突破!$BU$6:$BU$57,卡牌消耗!AI313)</f>
        <v>11</v>
      </c>
      <c r="AD313" s="14">
        <f>INDEX(挂机升级突破!BV$6:BV$57,卡牌消耗!$AI313)</f>
        <v>5</v>
      </c>
      <c r="AE313" s="14">
        <f>INDEX(挂机升级突破!BW$6:BW$57,卡牌消耗!$AI313)</f>
        <v>10</v>
      </c>
      <c r="AF313" s="14" t="str">
        <f t="shared" si="129"/>
        <v>项羽</v>
      </c>
      <c r="AG313" s="14">
        <f t="shared" si="130"/>
        <v>5</v>
      </c>
      <c r="AH313" s="14" t="str">
        <f t="shared" si="131"/>
        <v>项羽魂火-49</v>
      </c>
      <c r="AI313" s="14">
        <f t="shared" si="132"/>
        <v>49</v>
      </c>
      <c r="AJ313" s="14" t="str">
        <f>INDEX(挂机升级突破!$BX$4:$CH$4,INDEX(挂机升级突破!$BU$6:$BU$57,卡牌消耗!AI313))</f>
        <v>金币</v>
      </c>
      <c r="AK313" s="14">
        <f>ROUND(INDEX(挂机升级突破!$BN$6:$BN$57,卡牌消耗!AI313)*INDEX(卡牌消耗!$B$8:$F$8,AG313)/$Q$4/50,0)*50</f>
        <v>303900</v>
      </c>
      <c r="AL313" s="14" t="str">
        <f>IF(AD313&gt;0,INDEX(挂机升级突破!$BX$4:$CH$4,AD313),"")</f>
        <v>红色基础材料</v>
      </c>
      <c r="AM313" s="14">
        <f>ROUND(INDEX(挂机升级突破!$BX$6:$CH$57,卡牌消耗!AI313,AD313)*INDEX(卡牌消耗!$B$5:$F$5,AG313)/$Q$4/5,0)*5</f>
        <v>110</v>
      </c>
      <c r="AN313" s="14" t="str">
        <f>IF(AE313&gt;0,INDEX(挂机升级突破!$BX$4:$CH$4,AE313),"")</f>
        <v>灵玉</v>
      </c>
      <c r="AO313" s="14">
        <f>IF(AE313&gt;0,ROUND(INDEX(挂机升级突破!$BX$6:$CH$57,卡牌消耗!AI313,AE313)*INDEX(卡牌消耗!$B$7:$F$7,AG313)/$Q$4,0),"")</f>
        <v>2</v>
      </c>
      <c r="AP313" s="106"/>
      <c r="AQ313" s="15"/>
      <c r="AR313" s="104">
        <v>309</v>
      </c>
      <c r="AS313" s="14">
        <f t="shared" si="133"/>
        <v>16</v>
      </c>
      <c r="AT313" s="14">
        <f>INDEX(挂机升级突破!$CM$7:$CM$26,AX313)</f>
        <v>5</v>
      </c>
      <c r="AU313" s="14">
        <f>INDEX(挂机升级突破!$CN$7:$CN$26,AX313)</f>
        <v>2</v>
      </c>
      <c r="AV313" s="14">
        <f t="shared" si="134"/>
        <v>4</v>
      </c>
      <c r="AW313" s="14" t="str">
        <f t="shared" si="135"/>
        <v>西方龙</v>
      </c>
      <c r="AX313" s="14">
        <f t="shared" si="136"/>
        <v>9</v>
      </c>
      <c r="AY313" s="14" t="str">
        <f t="shared" si="137"/>
        <v>西方龙9突</v>
      </c>
      <c r="AZ313" s="14" t="str">
        <f>IF(AT313&gt;0,INDEX(挂机升级突破!$CV$5:$CZ$5,卡牌消耗!AT313),"")</f>
        <v>金币</v>
      </c>
      <c r="BA313" s="14">
        <f>IF(AT313&gt;0,ROUND(INDEX(挂机升级突破!$CZ$7:$CZ$26,卡牌消耗!AX313)*INDEX(卡牌消耗!$B$8:$F$8,AV313)/$Q$4/500,0)*500,"")</f>
        <v>12500</v>
      </c>
      <c r="BB313" s="14" t="str">
        <f>IF(AU313&gt;0,INDEX(挂机升级突破!$CV$5:$CZ$5,卡牌消耗!AU313),"")</f>
        <v>乌金</v>
      </c>
      <c r="BC313" s="14">
        <f>IF(AU313&gt;0,ROUND(INDEX(挂机升级突破!$CV$7:$CY$26,卡牌消耗!AX313,卡牌消耗!AU313)*INDEX($B$6:$F$6,AV313)/$Q$4/5,0)*5,"")</f>
        <v>75</v>
      </c>
      <c r="BD313" s="104"/>
      <c r="BE313" s="104"/>
      <c r="BF313" s="106"/>
    </row>
    <row r="314" spans="8:58" ht="16.5" x14ac:dyDescent="0.2">
      <c r="H314" s="15"/>
      <c r="I314" s="15"/>
      <c r="J314" s="15"/>
      <c r="K314" s="15"/>
      <c r="L314" s="15"/>
      <c r="M314" s="15"/>
      <c r="N314" s="15"/>
      <c r="O314" s="137"/>
      <c r="P314" s="141"/>
      <c r="Q314" s="141"/>
      <c r="R314" s="141"/>
      <c r="S314" s="141"/>
      <c r="T314" s="141"/>
      <c r="U314" s="141"/>
      <c r="V314" s="141"/>
      <c r="W314" s="141"/>
      <c r="X314" s="141"/>
      <c r="Y314" s="141"/>
      <c r="Z314" s="141"/>
      <c r="AA314" s="104">
        <v>310</v>
      </c>
      <c r="AB314" s="14">
        <f t="shared" si="128"/>
        <v>6</v>
      </c>
      <c r="AC314" s="14">
        <f>INDEX(挂机升级突破!$BU$6:$BU$57,卡牌消耗!AI314)</f>
        <v>11</v>
      </c>
      <c r="AD314" s="14">
        <f>INDEX(挂机升级突破!BV$6:BV$57,卡牌消耗!$AI314)</f>
        <v>5</v>
      </c>
      <c r="AE314" s="14">
        <f>INDEX(挂机升级突破!BW$6:BW$57,卡牌消耗!$AI314)</f>
        <v>10</v>
      </c>
      <c r="AF314" s="14" t="str">
        <f t="shared" si="129"/>
        <v>项羽</v>
      </c>
      <c r="AG314" s="14">
        <f t="shared" si="130"/>
        <v>5</v>
      </c>
      <c r="AH314" s="14" t="str">
        <f t="shared" si="131"/>
        <v>项羽魂火-50</v>
      </c>
      <c r="AI314" s="14">
        <f t="shared" si="132"/>
        <v>50</v>
      </c>
      <c r="AJ314" s="14" t="str">
        <f>INDEX(挂机升级突破!$BX$4:$CH$4,INDEX(挂机升级突破!$BU$6:$BU$57,卡牌消耗!AI314))</f>
        <v>金币</v>
      </c>
      <c r="AK314" s="14">
        <f>ROUND(INDEX(挂机升级突破!$BN$6:$BN$57,卡牌消耗!AI314)*INDEX(卡牌消耗!$B$8:$F$8,AG314)/$Q$4/50,0)*50</f>
        <v>506550</v>
      </c>
      <c r="AL314" s="14" t="str">
        <f>IF(AD314&gt;0,INDEX(挂机升级突破!$BX$4:$CH$4,AD314),"")</f>
        <v>红色基础材料</v>
      </c>
      <c r="AM314" s="14">
        <f>ROUND(INDEX(挂机升级突破!$BX$6:$CH$57,卡牌消耗!AI314,AD314)*INDEX(卡牌消耗!$B$5:$F$5,AG314)/$Q$4/5,0)*5</f>
        <v>110</v>
      </c>
      <c r="AN314" s="14" t="str">
        <f>IF(AE314&gt;0,INDEX(挂机升级突破!$BX$4:$CH$4,AE314),"")</f>
        <v>灵玉</v>
      </c>
      <c r="AO314" s="14">
        <f>IF(AE314&gt;0,ROUND(INDEX(挂机升级突破!$BX$6:$CH$57,卡牌消耗!AI314,AE314)*INDEX(卡牌消耗!$B$7:$F$7,AG314)/$Q$4,0),"")</f>
        <v>2</v>
      </c>
      <c r="AP314" s="106"/>
      <c r="AQ314" s="15"/>
      <c r="AR314" s="104">
        <v>310</v>
      </c>
      <c r="AS314" s="14">
        <f t="shared" si="133"/>
        <v>16</v>
      </c>
      <c r="AT314" s="14">
        <f>INDEX(挂机升级突破!$CM$7:$CM$26,AX314)</f>
        <v>5</v>
      </c>
      <c r="AU314" s="14">
        <f>INDEX(挂机升级突破!$CN$7:$CN$26,AX314)</f>
        <v>2</v>
      </c>
      <c r="AV314" s="14">
        <f t="shared" si="134"/>
        <v>4</v>
      </c>
      <c r="AW314" s="14" t="str">
        <f t="shared" si="135"/>
        <v>西方龙</v>
      </c>
      <c r="AX314" s="14">
        <f t="shared" si="136"/>
        <v>10</v>
      </c>
      <c r="AY314" s="14" t="str">
        <f t="shared" si="137"/>
        <v>西方龙10突</v>
      </c>
      <c r="AZ314" s="14" t="str">
        <f>IF(AT314&gt;0,INDEX(挂机升级突破!$CV$5:$CZ$5,卡牌消耗!AT314),"")</f>
        <v>金币</v>
      </c>
      <c r="BA314" s="14">
        <f>IF(AT314&gt;0,ROUND(INDEX(挂机升级突破!$CZ$7:$CZ$26,卡牌消耗!AX314)*INDEX(卡牌消耗!$B$8:$F$8,AV314)/$Q$4/500,0)*500,"")</f>
        <v>22000</v>
      </c>
      <c r="BB314" s="14" t="str">
        <f>IF(AU314&gt;0,INDEX(挂机升级突破!$CV$5:$CZ$5,卡牌消耗!AU314),"")</f>
        <v>乌金</v>
      </c>
      <c r="BC314" s="14">
        <f>IF(AU314&gt;0,ROUND(INDEX(挂机升级突破!$CV$7:$CY$26,卡牌消耗!AX314,卡牌消耗!AU314)*INDEX($B$6:$F$6,AV314)/$Q$4/5,0)*5,"")</f>
        <v>110</v>
      </c>
      <c r="BD314" s="104"/>
      <c r="BE314" s="104"/>
      <c r="BF314" s="106"/>
    </row>
    <row r="315" spans="8:58" ht="16.5" x14ac:dyDescent="0.2">
      <c r="H315" s="15"/>
      <c r="I315" s="15"/>
      <c r="J315" s="15"/>
      <c r="K315" s="15"/>
      <c r="L315" s="15"/>
      <c r="M315" s="15"/>
      <c r="N315" s="15"/>
      <c r="O315" s="137"/>
      <c r="P315" s="141"/>
      <c r="Q315" s="141"/>
      <c r="R315" s="141"/>
      <c r="S315" s="141"/>
      <c r="T315" s="141"/>
      <c r="U315" s="141"/>
      <c r="V315" s="141"/>
      <c r="W315" s="141"/>
      <c r="X315" s="141"/>
      <c r="Y315" s="141"/>
      <c r="Z315" s="141"/>
      <c r="AA315" s="104">
        <v>311</v>
      </c>
      <c r="AB315" s="14">
        <f t="shared" si="128"/>
        <v>6</v>
      </c>
      <c r="AC315" s="14">
        <f>INDEX(挂机升级突破!$BU$6:$BU$57,卡牌消耗!AI315)</f>
        <v>11</v>
      </c>
      <c r="AD315" s="14">
        <f>INDEX(挂机升级突破!BV$6:BV$57,卡牌消耗!$AI315)</f>
        <v>5</v>
      </c>
      <c r="AE315" s="14">
        <f>INDEX(挂机升级突破!BW$6:BW$57,卡牌消耗!$AI315)</f>
        <v>10</v>
      </c>
      <c r="AF315" s="14" t="str">
        <f t="shared" si="129"/>
        <v>项羽</v>
      </c>
      <c r="AG315" s="14">
        <f t="shared" si="130"/>
        <v>5</v>
      </c>
      <c r="AH315" s="14" t="str">
        <f t="shared" si="131"/>
        <v>项羽魂火-51</v>
      </c>
      <c r="AI315" s="14">
        <f t="shared" si="132"/>
        <v>51</v>
      </c>
      <c r="AJ315" s="14" t="str">
        <f>INDEX(挂机升级突破!$BX$4:$CH$4,INDEX(挂机升级突破!$BU$6:$BU$57,卡牌消耗!AI315))</f>
        <v>金币</v>
      </c>
      <c r="AK315" s="14">
        <f>ROUND(INDEX(挂机升级突破!$BN$6:$BN$57,卡牌消耗!AI315)*INDEX(卡牌消耗!$B$8:$F$8,AG315)/$Q$4/50,0)*50</f>
        <v>557200</v>
      </c>
      <c r="AL315" s="14" t="str">
        <f>IF(AD315&gt;0,INDEX(挂机升级突破!$BX$4:$CH$4,AD315),"")</f>
        <v>红色基础材料</v>
      </c>
      <c r="AM315" s="14">
        <f>ROUND(INDEX(挂机升级突破!$BX$6:$CH$57,卡牌消耗!AI315,AD315)*INDEX(卡牌消耗!$B$5:$F$5,AG315)/$Q$4/5,0)*5</f>
        <v>110</v>
      </c>
      <c r="AN315" s="14" t="str">
        <f>IF(AE315&gt;0,INDEX(挂机升级突破!$BX$4:$CH$4,AE315),"")</f>
        <v>灵玉</v>
      </c>
      <c r="AO315" s="14">
        <f>IF(AE315&gt;0,ROUND(INDEX(挂机升级突破!$BX$6:$CH$57,卡牌消耗!AI315,AE315)*INDEX(卡牌消耗!$B$7:$F$7,AG315)/$Q$4,0),"")</f>
        <v>2</v>
      </c>
      <c r="AP315" s="106"/>
      <c r="AQ315" s="15"/>
      <c r="AR315" s="104">
        <v>311</v>
      </c>
      <c r="AS315" s="14">
        <f t="shared" si="133"/>
        <v>16</v>
      </c>
      <c r="AT315" s="14">
        <f>INDEX(挂机升级突破!$CM$7:$CM$26,AX315)</f>
        <v>5</v>
      </c>
      <c r="AU315" s="14">
        <f>INDEX(挂机升级突破!$CN$7:$CN$26,AX315)</f>
        <v>2</v>
      </c>
      <c r="AV315" s="14">
        <f t="shared" si="134"/>
        <v>4</v>
      </c>
      <c r="AW315" s="14" t="str">
        <f t="shared" si="135"/>
        <v>西方龙</v>
      </c>
      <c r="AX315" s="14">
        <f t="shared" si="136"/>
        <v>11</v>
      </c>
      <c r="AY315" s="14" t="str">
        <f t="shared" si="137"/>
        <v>西方龙11突</v>
      </c>
      <c r="AZ315" s="14" t="str">
        <f>IF(AT315&gt;0,INDEX(挂机升级突破!$CV$5:$CZ$5,卡牌消耗!AT315),"")</f>
        <v>金币</v>
      </c>
      <c r="BA315" s="14">
        <f>IF(AT315&gt;0,ROUND(INDEX(挂机升级突破!$CZ$7:$CZ$26,卡牌消耗!AX315)*INDEX(卡牌消耗!$B$8:$F$8,AV315)/$Q$4/500,0)*500,"")</f>
        <v>22000</v>
      </c>
      <c r="BB315" s="14" t="str">
        <f>IF(AU315&gt;0,INDEX(挂机升级突破!$CV$5:$CZ$5,卡牌消耗!AU315),"")</f>
        <v>乌金</v>
      </c>
      <c r="BC315" s="14">
        <f>IF(AU315&gt;0,ROUND(INDEX(挂机升级突破!$CV$7:$CY$26,卡牌消耗!AX315,卡牌消耗!AU315)*INDEX($B$6:$F$6,AV315)/$Q$4/5,0)*5,"")</f>
        <v>145</v>
      </c>
      <c r="BD315" s="104"/>
      <c r="BE315" s="104"/>
      <c r="BF315" s="106"/>
    </row>
    <row r="316" spans="8:58" ht="16.5" x14ac:dyDescent="0.2">
      <c r="H316" s="15"/>
      <c r="I316" s="15"/>
      <c r="J316" s="15"/>
      <c r="K316" s="15"/>
      <c r="L316" s="15"/>
      <c r="M316" s="15"/>
      <c r="N316" s="15"/>
      <c r="O316" s="137"/>
      <c r="P316" s="141"/>
      <c r="Q316" s="141"/>
      <c r="R316" s="141"/>
      <c r="S316" s="141"/>
      <c r="T316" s="141"/>
      <c r="U316" s="141"/>
      <c r="V316" s="141"/>
      <c r="W316" s="141"/>
      <c r="X316" s="141"/>
      <c r="Y316" s="141"/>
      <c r="Z316" s="141"/>
      <c r="AA316" s="104">
        <v>312</v>
      </c>
      <c r="AB316" s="14">
        <f t="shared" si="128"/>
        <v>6</v>
      </c>
      <c r="AC316" s="14">
        <f>INDEX(挂机升级突破!$BU$6:$BU$57,卡牌消耗!AI316)</f>
        <v>11</v>
      </c>
      <c r="AD316" s="14">
        <f>INDEX(挂机升级突破!BV$6:BV$57,卡牌消耗!$AI316)</f>
        <v>5</v>
      </c>
      <c r="AE316" s="14">
        <f>INDEX(挂机升级突破!BW$6:BW$57,卡牌消耗!$AI316)</f>
        <v>10</v>
      </c>
      <c r="AF316" s="14" t="str">
        <f t="shared" si="129"/>
        <v>项羽</v>
      </c>
      <c r="AG316" s="14">
        <f t="shared" si="130"/>
        <v>5</v>
      </c>
      <c r="AH316" s="14" t="str">
        <f t="shared" si="131"/>
        <v>项羽魂火-52</v>
      </c>
      <c r="AI316" s="14">
        <f t="shared" si="132"/>
        <v>52</v>
      </c>
      <c r="AJ316" s="14" t="str">
        <f>INDEX(挂机升级突破!$BX$4:$CH$4,INDEX(挂机升级突破!$BU$6:$BU$57,卡牌消耗!AI316))</f>
        <v>金币</v>
      </c>
      <c r="AK316" s="14">
        <f>ROUND(INDEX(挂机升级突破!$BN$6:$BN$57,卡牌消耗!AI316)*INDEX(卡牌消耗!$B$8:$F$8,AG316)/$Q$4/50,0)*50</f>
        <v>557200</v>
      </c>
      <c r="AL316" s="14" t="str">
        <f>IF(AD316&gt;0,INDEX(挂机升级突破!$BX$4:$CH$4,AD316),"")</f>
        <v>红色基础材料</v>
      </c>
      <c r="AM316" s="14">
        <f>ROUND(INDEX(挂机升级突破!$BX$6:$CH$57,卡牌消耗!AI316,AD316)*INDEX(卡牌消耗!$B$5:$F$5,AG316)/$Q$4/5,0)*5</f>
        <v>110</v>
      </c>
      <c r="AN316" s="14" t="str">
        <f>IF(AE316&gt;0,INDEX(挂机升级突破!$BX$4:$CH$4,AE316),"")</f>
        <v>灵玉</v>
      </c>
      <c r="AO316" s="14">
        <f>IF(AE316&gt;0,ROUND(INDEX(挂机升级突破!$BX$6:$CH$57,卡牌消耗!AI316,AE316)*INDEX(卡牌消耗!$B$7:$F$7,AG316)/$Q$4,0),"")</f>
        <v>2</v>
      </c>
      <c r="AP316" s="106"/>
      <c r="AQ316" s="15"/>
      <c r="AR316" s="104">
        <v>312</v>
      </c>
      <c r="AS316" s="14">
        <f t="shared" si="133"/>
        <v>16</v>
      </c>
      <c r="AT316" s="14">
        <f>INDEX(挂机升级突破!$CM$7:$CM$26,AX316)</f>
        <v>5</v>
      </c>
      <c r="AU316" s="14">
        <f>INDEX(挂机升级突破!$CN$7:$CN$26,AX316)</f>
        <v>2</v>
      </c>
      <c r="AV316" s="14">
        <f t="shared" si="134"/>
        <v>4</v>
      </c>
      <c r="AW316" s="14" t="str">
        <f t="shared" si="135"/>
        <v>西方龙</v>
      </c>
      <c r="AX316" s="14">
        <f t="shared" si="136"/>
        <v>12</v>
      </c>
      <c r="AY316" s="14" t="str">
        <f t="shared" si="137"/>
        <v>西方龙12突</v>
      </c>
      <c r="AZ316" s="14" t="str">
        <f>IF(AT316&gt;0,INDEX(挂机升级突破!$CV$5:$CZ$5,卡牌消耗!AT316),"")</f>
        <v>金币</v>
      </c>
      <c r="BA316" s="14">
        <f>IF(AT316&gt;0,ROUND(INDEX(挂机升级突破!$CZ$7:$CZ$26,卡牌消耗!AX316)*INDEX(卡牌消耗!$B$8:$F$8,AV316)/$Q$4/500,0)*500,"")</f>
        <v>29500</v>
      </c>
      <c r="BB316" s="14" t="str">
        <f>IF(AU316&gt;0,INDEX(挂机升级突破!$CV$5:$CZ$5,卡牌消耗!AU316),"")</f>
        <v>乌金</v>
      </c>
      <c r="BC316" s="14">
        <f>IF(AU316&gt;0,ROUND(INDEX(挂机升级突破!$CV$7:$CY$26,卡牌消耗!AX316,卡牌消耗!AU316)*INDEX($B$6:$F$6,AV316)/$Q$4/5,0)*5,"")</f>
        <v>185</v>
      </c>
      <c r="BD316" s="104"/>
      <c r="BE316" s="104"/>
      <c r="BF316" s="106"/>
    </row>
    <row r="317" spans="8:58" ht="16.5" x14ac:dyDescent="0.2">
      <c r="H317" s="15"/>
      <c r="I317" s="15"/>
      <c r="J317" s="15"/>
      <c r="K317" s="15"/>
      <c r="L317" s="15"/>
      <c r="M317" s="15"/>
      <c r="N317" s="15"/>
      <c r="O317" s="137"/>
      <c r="P317" s="141"/>
      <c r="Q317" s="141"/>
      <c r="R317" s="141"/>
      <c r="S317" s="141"/>
      <c r="T317" s="141"/>
      <c r="U317" s="141"/>
      <c r="V317" s="141"/>
      <c r="W317" s="141"/>
      <c r="X317" s="141"/>
      <c r="Y317" s="141"/>
      <c r="Z317" s="141"/>
      <c r="AA317" s="104">
        <v>313</v>
      </c>
      <c r="AB317" s="14">
        <f t="shared" si="128"/>
        <v>7</v>
      </c>
      <c r="AC317" s="14">
        <f>INDEX(挂机升级突破!$BU$6:$BU$57,卡牌消耗!AI317)</f>
        <v>11</v>
      </c>
      <c r="AD317" s="14">
        <f>INDEX(挂机升级突破!BV$6:BV$57,卡牌消耗!$AI317)</f>
        <v>1</v>
      </c>
      <c r="AE317" s="14">
        <f>INDEX(挂机升级突破!BW$6:BW$57,卡牌消耗!$AI317)</f>
        <v>0</v>
      </c>
      <c r="AF317" s="14" t="str">
        <f t="shared" si="129"/>
        <v>天使缇娜</v>
      </c>
      <c r="AG317" s="14">
        <f t="shared" si="130"/>
        <v>4</v>
      </c>
      <c r="AH317" s="14" t="str">
        <f t="shared" si="131"/>
        <v>天使缇娜魂火-1</v>
      </c>
      <c r="AI317" s="14">
        <f t="shared" si="132"/>
        <v>1</v>
      </c>
      <c r="AJ317" s="14" t="str">
        <f>INDEX(挂机升级突破!$BX$4:$CH$4,INDEX(挂机升级突破!$BU$6:$BU$57,卡牌消耗!AI317))</f>
        <v>金币</v>
      </c>
      <c r="AK317" s="14">
        <f>ROUND(INDEX(挂机升级突破!$BN$6:$BN$57,卡牌消耗!AI317)*INDEX(卡牌消耗!$B$8:$F$8,AG317)/$Q$4/50,0)*50</f>
        <v>900</v>
      </c>
      <c r="AL317" s="14" t="str">
        <f>IF(AD317&gt;0,INDEX(挂机升级突破!$BX$4:$CH$4,AD317),"")</f>
        <v>绿色基础材料</v>
      </c>
      <c r="AM317" s="14">
        <f>ROUND(INDEX(挂机升级突破!$BX$6:$CH$57,卡牌消耗!AI317,AD317)*INDEX(卡牌消耗!$B$5:$F$5,AG317)/$Q$4/5,0)*5</f>
        <v>1000</v>
      </c>
      <c r="AN317" s="14" t="str">
        <f>IF(AE317&gt;0,INDEX(挂机升级突破!$BX$4:$CH$4,AE317),"")</f>
        <v/>
      </c>
      <c r="AO317" s="14" t="str">
        <f>IF(AE317&gt;0,ROUND(INDEX(挂机升级突破!$BX$6:$CH$57,卡牌消耗!AI317,AE317)*INDEX(卡牌消耗!$B$7:$F$7,AG317)/$Q$4,0),"")</f>
        <v/>
      </c>
      <c r="AP317" s="106"/>
      <c r="AQ317" s="15"/>
      <c r="AR317" s="104">
        <v>313</v>
      </c>
      <c r="AS317" s="14">
        <f t="shared" si="133"/>
        <v>16</v>
      </c>
      <c r="AT317" s="14">
        <f>INDEX(挂机升级突破!$CM$7:$CM$26,AX317)</f>
        <v>5</v>
      </c>
      <c r="AU317" s="14">
        <f>INDEX(挂机升级突破!$CN$7:$CN$26,AX317)</f>
        <v>3</v>
      </c>
      <c r="AV317" s="14">
        <f t="shared" si="134"/>
        <v>4</v>
      </c>
      <c r="AW317" s="14" t="str">
        <f t="shared" si="135"/>
        <v>西方龙</v>
      </c>
      <c r="AX317" s="14">
        <f t="shared" si="136"/>
        <v>13</v>
      </c>
      <c r="AY317" s="14" t="str">
        <f t="shared" si="137"/>
        <v>西方龙13突</v>
      </c>
      <c r="AZ317" s="14" t="str">
        <f>IF(AT317&gt;0,INDEX(挂机升级突破!$CV$5:$CZ$5,卡牌消耗!AT317),"")</f>
        <v>金币</v>
      </c>
      <c r="BA317" s="14">
        <f>IF(AT317&gt;0,ROUND(INDEX(挂机升级突破!$CZ$7:$CZ$26,卡牌消耗!AX317)*INDEX(卡牌消耗!$B$8:$F$8,AV317)/$Q$4/500,0)*500,"")</f>
        <v>39000</v>
      </c>
      <c r="BB317" s="14" t="str">
        <f>IF(AU317&gt;0,INDEX(挂机升级突破!$CV$5:$CZ$5,卡牌消耗!AU317),"")</f>
        <v>银母</v>
      </c>
      <c r="BC317" s="14">
        <f>IF(AU317&gt;0,ROUND(INDEX(挂机升级突破!$CV$7:$CY$26,卡牌消耗!AX317,卡牌消耗!AU317)*INDEX($B$6:$F$6,AV317)/$Q$4/5,0)*5,"")</f>
        <v>35</v>
      </c>
      <c r="BD317" s="104"/>
      <c r="BE317" s="104"/>
      <c r="BF317" s="106"/>
    </row>
    <row r="318" spans="8:58" ht="16.5" x14ac:dyDescent="0.2">
      <c r="H318" s="15"/>
      <c r="I318" s="15"/>
      <c r="J318" s="15"/>
      <c r="K318" s="15"/>
      <c r="L318" s="15"/>
      <c r="M318" s="15"/>
      <c r="N318" s="15"/>
      <c r="O318" s="137"/>
      <c r="P318" s="141"/>
      <c r="Q318" s="141"/>
      <c r="R318" s="141"/>
      <c r="S318" s="141"/>
      <c r="T318" s="141"/>
      <c r="U318" s="141"/>
      <c r="V318" s="141"/>
      <c r="W318" s="141"/>
      <c r="X318" s="141"/>
      <c r="Y318" s="141"/>
      <c r="Z318" s="141"/>
      <c r="AA318" s="104">
        <v>314</v>
      </c>
      <c r="AB318" s="14">
        <f t="shared" si="128"/>
        <v>7</v>
      </c>
      <c r="AC318" s="14">
        <f>INDEX(挂机升级突破!$BU$6:$BU$57,卡牌消耗!AI318)</f>
        <v>11</v>
      </c>
      <c r="AD318" s="14">
        <f>INDEX(挂机升级突破!BV$6:BV$57,卡牌消耗!$AI318)</f>
        <v>1</v>
      </c>
      <c r="AE318" s="14">
        <f>INDEX(挂机升级突破!BW$6:BW$57,卡牌消耗!$AI318)</f>
        <v>0</v>
      </c>
      <c r="AF318" s="14" t="str">
        <f t="shared" si="129"/>
        <v>天使缇娜</v>
      </c>
      <c r="AG318" s="14">
        <f t="shared" si="130"/>
        <v>4</v>
      </c>
      <c r="AH318" s="14" t="str">
        <f t="shared" si="131"/>
        <v>天使缇娜魂火-2</v>
      </c>
      <c r="AI318" s="14">
        <f t="shared" si="132"/>
        <v>2</v>
      </c>
      <c r="AJ318" s="14" t="str">
        <f>INDEX(挂机升级突破!$BX$4:$CH$4,INDEX(挂机升级突破!$BU$6:$BU$57,卡牌消耗!AI318))</f>
        <v>金币</v>
      </c>
      <c r="AK318" s="14">
        <f>ROUND(INDEX(挂机升级突破!$BN$6:$BN$57,卡牌消耗!AI318)*INDEX(卡牌消耗!$B$8:$F$8,AG318)/$Q$4/50,0)*50</f>
        <v>1200</v>
      </c>
      <c r="AL318" s="14" t="str">
        <f>IF(AD318&gt;0,INDEX(挂机升级突破!$BX$4:$CH$4,AD318),"")</f>
        <v>绿色基础材料</v>
      </c>
      <c r="AM318" s="14">
        <f>ROUND(INDEX(挂机升级突破!$BX$6:$CH$57,卡牌消耗!AI318,AD318)*INDEX(卡牌消耗!$B$5:$F$5,AG318)/$Q$4/5,0)*5</f>
        <v>3005</v>
      </c>
      <c r="AN318" s="14" t="str">
        <f>IF(AE318&gt;0,INDEX(挂机升级突破!$BX$4:$CH$4,AE318),"")</f>
        <v/>
      </c>
      <c r="AO318" s="14" t="str">
        <f>IF(AE318&gt;0,ROUND(INDEX(挂机升级突破!$BX$6:$CH$57,卡牌消耗!AI318,AE318)*INDEX(卡牌消耗!$B$7:$F$7,AG318)/$Q$4,0),"")</f>
        <v/>
      </c>
      <c r="AP318" s="106"/>
      <c r="AQ318" s="15"/>
      <c r="AR318" s="104">
        <v>314</v>
      </c>
      <c r="AS318" s="14">
        <f t="shared" si="133"/>
        <v>16</v>
      </c>
      <c r="AT318" s="14">
        <f>INDEX(挂机升级突破!$CM$7:$CM$26,AX318)</f>
        <v>5</v>
      </c>
      <c r="AU318" s="14">
        <f>INDEX(挂机升级突破!$CN$7:$CN$26,AX318)</f>
        <v>3</v>
      </c>
      <c r="AV318" s="14">
        <f t="shared" si="134"/>
        <v>4</v>
      </c>
      <c r="AW318" s="14" t="str">
        <f t="shared" si="135"/>
        <v>西方龙</v>
      </c>
      <c r="AX318" s="14">
        <f t="shared" si="136"/>
        <v>14</v>
      </c>
      <c r="AY318" s="14" t="str">
        <f t="shared" si="137"/>
        <v>西方龙14突</v>
      </c>
      <c r="AZ318" s="14" t="str">
        <f>IF(AT318&gt;0,INDEX(挂机升级突破!$CV$5:$CZ$5,卡牌消耗!AT318),"")</f>
        <v>金币</v>
      </c>
      <c r="BA318" s="14">
        <f>IF(AT318&gt;0,ROUND(INDEX(挂机升级突破!$CZ$7:$CZ$26,卡牌消耗!AX318)*INDEX(卡牌消耗!$B$8:$F$8,AV318)/$Q$4/500,0)*500,"")</f>
        <v>39000</v>
      </c>
      <c r="BB318" s="14" t="str">
        <f>IF(AU318&gt;0,INDEX(挂机升级突破!$CV$5:$CZ$5,卡牌消耗!AU318),"")</f>
        <v>银母</v>
      </c>
      <c r="BC318" s="14">
        <f>IF(AU318&gt;0,ROUND(INDEX(挂机升级突破!$CV$7:$CY$26,卡牌消耗!AX318,卡牌消耗!AU318)*INDEX($B$6:$F$6,AV318)/$Q$4/5,0)*5,"")</f>
        <v>50</v>
      </c>
      <c r="BD318" s="104"/>
      <c r="BE318" s="104"/>
      <c r="BF318" s="106"/>
    </row>
    <row r="319" spans="8:58" ht="16.5" x14ac:dyDescent="0.2">
      <c r="H319" s="15"/>
      <c r="I319" s="15"/>
      <c r="J319" s="15"/>
      <c r="K319" s="15"/>
      <c r="L319" s="15"/>
      <c r="M319" s="15"/>
      <c r="N319" s="15"/>
      <c r="O319" s="137"/>
      <c r="P319" s="141"/>
      <c r="Q319" s="141"/>
      <c r="R319" s="141"/>
      <c r="S319" s="141"/>
      <c r="T319" s="141"/>
      <c r="U319" s="141"/>
      <c r="V319" s="141"/>
      <c r="W319" s="141"/>
      <c r="X319" s="141"/>
      <c r="Y319" s="141"/>
      <c r="Z319" s="141"/>
      <c r="AA319" s="104">
        <v>315</v>
      </c>
      <c r="AB319" s="14">
        <f t="shared" si="128"/>
        <v>7</v>
      </c>
      <c r="AC319" s="14">
        <f>INDEX(挂机升级突破!$BU$6:$BU$57,卡牌消耗!AI319)</f>
        <v>11</v>
      </c>
      <c r="AD319" s="14">
        <f>INDEX(挂机升级突破!BV$6:BV$57,卡牌消耗!$AI319)</f>
        <v>1</v>
      </c>
      <c r="AE319" s="14">
        <f>INDEX(挂机升级突破!BW$6:BW$57,卡牌消耗!$AI319)</f>
        <v>0</v>
      </c>
      <c r="AF319" s="14" t="str">
        <f t="shared" si="129"/>
        <v>天使缇娜</v>
      </c>
      <c r="AG319" s="14">
        <f t="shared" si="130"/>
        <v>4</v>
      </c>
      <c r="AH319" s="14" t="str">
        <f t="shared" si="131"/>
        <v>天使缇娜魂火-3</v>
      </c>
      <c r="AI319" s="14">
        <f t="shared" si="132"/>
        <v>3</v>
      </c>
      <c r="AJ319" s="14" t="str">
        <f>INDEX(挂机升级突破!$BX$4:$CH$4,INDEX(挂机升级突破!$BU$6:$BU$57,卡牌消耗!AI319))</f>
        <v>金币</v>
      </c>
      <c r="AK319" s="14">
        <f>ROUND(INDEX(挂机升级突破!$BN$6:$BN$57,卡牌消耗!AI319)*INDEX(卡牌消耗!$B$8:$F$8,AG319)/$Q$4/50,0)*50</f>
        <v>1200</v>
      </c>
      <c r="AL319" s="14" t="str">
        <f>IF(AD319&gt;0,INDEX(挂机升级突破!$BX$4:$CH$4,AD319),"")</f>
        <v>绿色基础材料</v>
      </c>
      <c r="AM319" s="14">
        <f>ROUND(INDEX(挂机升级突破!$BX$6:$CH$57,卡牌消耗!AI319,AD319)*INDEX(卡牌消耗!$B$5:$F$5,AG319)/$Q$4/5,0)*5</f>
        <v>4005</v>
      </c>
      <c r="AN319" s="14" t="str">
        <f>IF(AE319&gt;0,INDEX(挂机升级突破!$BX$4:$CH$4,AE319),"")</f>
        <v/>
      </c>
      <c r="AO319" s="14" t="str">
        <f>IF(AE319&gt;0,ROUND(INDEX(挂机升级突破!$BX$6:$CH$57,卡牌消耗!AI319,AE319)*INDEX(卡牌消耗!$B$7:$F$7,AG319)/$Q$4,0),"")</f>
        <v/>
      </c>
      <c r="AP319" s="106"/>
      <c r="AQ319" s="15"/>
      <c r="AR319" s="104">
        <v>315</v>
      </c>
      <c r="AS319" s="14">
        <f t="shared" si="133"/>
        <v>16</v>
      </c>
      <c r="AT319" s="14">
        <f>INDEX(挂机升级突破!$CM$7:$CM$26,AX319)</f>
        <v>5</v>
      </c>
      <c r="AU319" s="14">
        <f>INDEX(挂机升级突破!$CN$7:$CN$26,AX319)</f>
        <v>3</v>
      </c>
      <c r="AV319" s="14">
        <f t="shared" si="134"/>
        <v>4</v>
      </c>
      <c r="AW319" s="14" t="str">
        <f t="shared" si="135"/>
        <v>西方龙</v>
      </c>
      <c r="AX319" s="14">
        <f t="shared" si="136"/>
        <v>15</v>
      </c>
      <c r="AY319" s="14" t="str">
        <f t="shared" si="137"/>
        <v>西方龙15突</v>
      </c>
      <c r="AZ319" s="14" t="str">
        <f>IF(AT319&gt;0,INDEX(挂机升级突破!$CV$5:$CZ$5,卡牌消耗!AT319),"")</f>
        <v>金币</v>
      </c>
      <c r="BA319" s="14">
        <f>IF(AT319&gt;0,ROUND(INDEX(挂机升级突破!$CZ$7:$CZ$26,卡牌消耗!AX319)*INDEX(卡牌消耗!$B$8:$F$8,AV319)/$Q$4/500,0)*500,"")</f>
        <v>52000</v>
      </c>
      <c r="BB319" s="14" t="str">
        <f>IF(AU319&gt;0,INDEX(挂机升级突破!$CV$5:$CZ$5,卡牌消耗!AU319),"")</f>
        <v>银母</v>
      </c>
      <c r="BC319" s="14">
        <f>IF(AU319&gt;0,ROUND(INDEX(挂机升级突破!$CV$7:$CY$26,卡牌消耗!AX319,卡牌消耗!AU319)*INDEX($B$6:$F$6,AV319)/$Q$4/5,0)*5,"")</f>
        <v>65</v>
      </c>
      <c r="BD319" s="104"/>
      <c r="BE319" s="104"/>
      <c r="BF319" s="106"/>
    </row>
    <row r="320" spans="8:58" ht="16.5" x14ac:dyDescent="0.2">
      <c r="H320" s="15"/>
      <c r="I320" s="15"/>
      <c r="J320" s="15"/>
      <c r="K320" s="15"/>
      <c r="L320" s="15"/>
      <c r="M320" s="15"/>
      <c r="N320" s="15"/>
      <c r="O320" s="137"/>
      <c r="P320" s="141"/>
      <c r="Q320" s="141"/>
      <c r="R320" s="141"/>
      <c r="S320" s="141"/>
      <c r="T320" s="141"/>
      <c r="U320" s="141"/>
      <c r="V320" s="141"/>
      <c r="W320" s="141"/>
      <c r="X320" s="141"/>
      <c r="Y320" s="141"/>
      <c r="Z320" s="141"/>
      <c r="AA320" s="104">
        <v>316</v>
      </c>
      <c r="AB320" s="14">
        <f t="shared" si="128"/>
        <v>7</v>
      </c>
      <c r="AC320" s="14">
        <f>INDEX(挂机升级突破!$BU$6:$BU$57,卡牌消耗!AI320)</f>
        <v>11</v>
      </c>
      <c r="AD320" s="14">
        <f>INDEX(挂机升级突破!BV$6:BV$57,卡牌消耗!$AI320)</f>
        <v>1</v>
      </c>
      <c r="AE320" s="14">
        <f>INDEX(挂机升级突破!BW$6:BW$57,卡牌消耗!$AI320)</f>
        <v>0</v>
      </c>
      <c r="AF320" s="14" t="str">
        <f t="shared" si="129"/>
        <v>天使缇娜</v>
      </c>
      <c r="AG320" s="14">
        <f t="shared" si="130"/>
        <v>4</v>
      </c>
      <c r="AH320" s="14" t="str">
        <f t="shared" si="131"/>
        <v>天使缇娜魂火-4</v>
      </c>
      <c r="AI320" s="14">
        <f t="shared" si="132"/>
        <v>4</v>
      </c>
      <c r="AJ320" s="14" t="str">
        <f>INDEX(挂机升级突破!$BX$4:$CH$4,INDEX(挂机升级突破!$BU$6:$BU$57,卡牌消耗!AI320))</f>
        <v>金币</v>
      </c>
      <c r="AK320" s="14">
        <f>ROUND(INDEX(挂机升级突破!$BN$6:$BN$57,卡牌消耗!AI320)*INDEX(卡牌消耗!$B$8:$F$8,AG320)/$Q$4/50,0)*50</f>
        <v>1200</v>
      </c>
      <c r="AL320" s="14" t="str">
        <f>IF(AD320&gt;0,INDEX(挂机升级突破!$BX$4:$CH$4,AD320),"")</f>
        <v>绿色基础材料</v>
      </c>
      <c r="AM320" s="14">
        <f>ROUND(INDEX(挂机升级突破!$BX$6:$CH$57,卡牌消耗!AI320,AD320)*INDEX(卡牌消耗!$B$5:$F$5,AG320)/$Q$4/5,0)*5</f>
        <v>6005</v>
      </c>
      <c r="AN320" s="14" t="str">
        <f>IF(AE320&gt;0,INDEX(挂机升级突破!$BX$4:$CH$4,AE320),"")</f>
        <v/>
      </c>
      <c r="AO320" s="14" t="str">
        <f>IF(AE320&gt;0,ROUND(INDEX(挂机升级突破!$BX$6:$CH$57,卡牌消耗!AI320,AE320)*INDEX(卡牌消耗!$B$7:$F$7,AG320)/$Q$4,0),"")</f>
        <v/>
      </c>
      <c r="AP320" s="106"/>
      <c r="AQ320" s="15"/>
      <c r="AR320" s="104">
        <v>316</v>
      </c>
      <c r="AS320" s="14">
        <f t="shared" si="133"/>
        <v>16</v>
      </c>
      <c r="AT320" s="14">
        <f>INDEX(挂机升级突破!$CM$7:$CM$26,AX320)</f>
        <v>5</v>
      </c>
      <c r="AU320" s="14">
        <f>INDEX(挂机升级突破!$CN$7:$CN$26,AX320)</f>
        <v>3</v>
      </c>
      <c r="AV320" s="14">
        <f t="shared" si="134"/>
        <v>4</v>
      </c>
      <c r="AW320" s="14" t="str">
        <f t="shared" si="135"/>
        <v>西方龙</v>
      </c>
      <c r="AX320" s="14">
        <f t="shared" si="136"/>
        <v>16</v>
      </c>
      <c r="AY320" s="14" t="str">
        <f t="shared" si="137"/>
        <v>西方龙16突</v>
      </c>
      <c r="AZ320" s="14" t="str">
        <f>IF(AT320&gt;0,INDEX(挂机升级突破!$CV$5:$CZ$5,卡牌消耗!AT320),"")</f>
        <v>金币</v>
      </c>
      <c r="BA320" s="14">
        <f>IF(AT320&gt;0,ROUND(INDEX(挂机升级突破!$CZ$7:$CZ$26,卡牌消耗!AX320)*INDEX(卡牌消耗!$B$8:$F$8,AV320)/$Q$4/500,0)*500,"")</f>
        <v>94000</v>
      </c>
      <c r="BB320" s="14" t="str">
        <f>IF(AU320&gt;0,INDEX(挂机升级突破!$CV$5:$CZ$5,卡牌消耗!AU320),"")</f>
        <v>银母</v>
      </c>
      <c r="BC320" s="14">
        <f>IF(AU320&gt;0,ROUND(INDEX(挂机升级突破!$CV$7:$CY$26,卡牌消耗!AX320,卡牌消耗!AU320)*INDEX($B$6:$F$6,AV320)/$Q$4/5,0)*5,"")</f>
        <v>85</v>
      </c>
      <c r="BD320" s="104"/>
      <c r="BE320" s="104"/>
      <c r="BF320" s="106"/>
    </row>
    <row r="321" spans="8:58" ht="16.5" x14ac:dyDescent="0.2">
      <c r="H321" s="15"/>
      <c r="I321" s="15"/>
      <c r="J321" s="15"/>
      <c r="K321" s="15"/>
      <c r="L321" s="15"/>
      <c r="M321" s="15"/>
      <c r="N321" s="15"/>
      <c r="O321" s="137"/>
      <c r="P321" s="141"/>
      <c r="Q321" s="141"/>
      <c r="R321" s="141"/>
      <c r="S321" s="141"/>
      <c r="T321" s="141"/>
      <c r="U321" s="141"/>
      <c r="V321" s="141"/>
      <c r="W321" s="141"/>
      <c r="X321" s="141"/>
      <c r="Y321" s="141"/>
      <c r="Z321" s="141"/>
      <c r="AA321" s="104">
        <v>317</v>
      </c>
      <c r="AB321" s="14">
        <f t="shared" si="128"/>
        <v>7</v>
      </c>
      <c r="AC321" s="14">
        <f>INDEX(挂机升级突破!$BU$6:$BU$57,卡牌消耗!AI321)</f>
        <v>11</v>
      </c>
      <c r="AD321" s="14">
        <f>INDEX(挂机升级突破!BV$6:BV$57,卡牌消耗!$AI321)</f>
        <v>1</v>
      </c>
      <c r="AE321" s="14">
        <f>INDEX(挂机升级突破!BW$6:BW$57,卡牌消耗!$AI321)</f>
        <v>0</v>
      </c>
      <c r="AF321" s="14" t="str">
        <f t="shared" si="129"/>
        <v>天使缇娜</v>
      </c>
      <c r="AG321" s="14">
        <f t="shared" si="130"/>
        <v>4</v>
      </c>
      <c r="AH321" s="14" t="str">
        <f t="shared" si="131"/>
        <v>天使缇娜魂火-5</v>
      </c>
      <c r="AI321" s="14">
        <f t="shared" si="132"/>
        <v>5</v>
      </c>
      <c r="AJ321" s="14" t="str">
        <f>INDEX(挂机升级突破!$BX$4:$CH$4,INDEX(挂机升级突破!$BU$6:$BU$57,卡牌消耗!AI321))</f>
        <v>金币</v>
      </c>
      <c r="AK321" s="14">
        <f>ROUND(INDEX(挂机升级突破!$BN$6:$BN$57,卡牌消耗!AI321)*INDEX(卡牌消耗!$B$8:$F$8,AG321)/$Q$4/50,0)*50</f>
        <v>1200</v>
      </c>
      <c r="AL321" s="14" t="str">
        <f>IF(AD321&gt;0,INDEX(挂机升级突破!$BX$4:$CH$4,AD321),"")</f>
        <v>绿色基础材料</v>
      </c>
      <c r="AM321" s="14">
        <f>ROUND(INDEX(挂机升级突破!$BX$6:$CH$57,卡牌消耗!AI321,AD321)*INDEX(卡牌消耗!$B$5:$F$5,AG321)/$Q$4/5,0)*5</f>
        <v>6005</v>
      </c>
      <c r="AN321" s="14" t="str">
        <f>IF(AE321&gt;0,INDEX(挂机升级突破!$BX$4:$CH$4,AE321),"")</f>
        <v/>
      </c>
      <c r="AO321" s="14" t="str">
        <f>IF(AE321&gt;0,ROUND(INDEX(挂机升级突破!$BX$6:$CH$57,卡牌消耗!AI321,AE321)*INDEX(卡牌消耗!$B$7:$F$7,AG321)/$Q$4,0),"")</f>
        <v/>
      </c>
      <c r="AP321" s="106"/>
      <c r="AQ321" s="15"/>
      <c r="AR321" s="104">
        <v>317</v>
      </c>
      <c r="AS321" s="14">
        <f t="shared" si="133"/>
        <v>16</v>
      </c>
      <c r="AT321" s="14">
        <f>INDEX(挂机升级突破!$CM$7:$CM$26,AX321)</f>
        <v>5</v>
      </c>
      <c r="AU321" s="14">
        <f>INDEX(挂机升级突破!$CN$7:$CN$26,AX321)</f>
        <v>4</v>
      </c>
      <c r="AV321" s="14">
        <f t="shared" si="134"/>
        <v>4</v>
      </c>
      <c r="AW321" s="14" t="str">
        <f t="shared" si="135"/>
        <v>西方龙</v>
      </c>
      <c r="AX321" s="14">
        <f t="shared" si="136"/>
        <v>17</v>
      </c>
      <c r="AY321" s="14" t="str">
        <f t="shared" si="137"/>
        <v>西方龙17突</v>
      </c>
      <c r="AZ321" s="14" t="str">
        <f>IF(AT321&gt;0,INDEX(挂机升级突破!$CV$5:$CZ$5,卡牌消耗!AT321),"")</f>
        <v>金币</v>
      </c>
      <c r="BA321" s="14">
        <f>IF(AT321&gt;0,ROUND(INDEX(挂机升级突破!$CZ$7:$CZ$26,卡牌消耗!AX321)*INDEX(卡牌消耗!$B$8:$F$8,AV321)/$Q$4/500,0)*500,"")</f>
        <v>94000</v>
      </c>
      <c r="BB321" s="14" t="str">
        <f>IF(AU321&gt;0,INDEX(挂机升级突破!$CV$5:$CZ$5,卡牌消耗!AU321),"")</f>
        <v>铀金</v>
      </c>
      <c r="BC321" s="14">
        <f>IF(AU321&gt;0,ROUND(INDEX(挂机升级突破!$CV$7:$CY$26,卡牌消耗!AX321,卡牌消耗!AU321)*INDEX($B$6:$F$6,AV321)/$Q$4/5,0)*5,"")</f>
        <v>30</v>
      </c>
      <c r="BD321" s="104"/>
      <c r="BE321" s="104"/>
      <c r="BF321" s="106"/>
    </row>
    <row r="322" spans="8:58" ht="16.5" x14ac:dyDescent="0.2">
      <c r="H322" s="15"/>
      <c r="I322" s="15"/>
      <c r="J322" s="15"/>
      <c r="K322" s="15"/>
      <c r="L322" s="15"/>
      <c r="M322" s="15"/>
      <c r="N322" s="15"/>
      <c r="O322" s="137"/>
      <c r="P322" s="141"/>
      <c r="Q322" s="141"/>
      <c r="R322" s="141"/>
      <c r="S322" s="141"/>
      <c r="T322" s="141"/>
      <c r="U322" s="141"/>
      <c r="V322" s="141"/>
      <c r="W322" s="141"/>
      <c r="X322" s="141"/>
      <c r="Y322" s="141"/>
      <c r="Z322" s="141"/>
      <c r="AA322" s="104">
        <v>318</v>
      </c>
      <c r="AB322" s="14">
        <f t="shared" si="128"/>
        <v>7</v>
      </c>
      <c r="AC322" s="14">
        <f>INDEX(挂机升级突破!$BU$6:$BU$57,卡牌消耗!AI322)</f>
        <v>11</v>
      </c>
      <c r="AD322" s="14">
        <f>INDEX(挂机升级突破!BV$6:BV$57,卡牌消耗!$AI322)</f>
        <v>2</v>
      </c>
      <c r="AE322" s="14">
        <f>INDEX(挂机升级突破!BW$6:BW$57,卡牌消耗!$AI322)</f>
        <v>0</v>
      </c>
      <c r="AF322" s="14" t="str">
        <f t="shared" si="129"/>
        <v>天使缇娜</v>
      </c>
      <c r="AG322" s="14">
        <f t="shared" si="130"/>
        <v>4</v>
      </c>
      <c r="AH322" s="14" t="str">
        <f t="shared" si="131"/>
        <v>天使缇娜魂火-6</v>
      </c>
      <c r="AI322" s="14">
        <f t="shared" si="132"/>
        <v>6</v>
      </c>
      <c r="AJ322" s="14" t="str">
        <f>INDEX(挂机升级突破!$BX$4:$CH$4,INDEX(挂机升级突破!$BU$6:$BU$57,卡牌消耗!AI322))</f>
        <v>金币</v>
      </c>
      <c r="AK322" s="14">
        <f>ROUND(INDEX(挂机升级突破!$BN$6:$BN$57,卡牌消耗!AI322)*INDEX(卡牌消耗!$B$8:$F$8,AG322)/$Q$4/50,0)*50</f>
        <v>1500</v>
      </c>
      <c r="AL322" s="14" t="str">
        <f>IF(AD322&gt;0,INDEX(挂机升级突破!$BX$4:$CH$4,AD322),"")</f>
        <v>蓝色基础材料</v>
      </c>
      <c r="AM322" s="14">
        <f>ROUND(INDEX(挂机升级突破!$BX$6:$CH$57,卡牌消耗!AI322,AD322)*INDEX(卡牌消耗!$B$5:$F$5,AG322)/$Q$4/5,0)*5</f>
        <v>575</v>
      </c>
      <c r="AN322" s="14" t="str">
        <f>IF(AE322&gt;0,INDEX(挂机升级突破!$BX$4:$CH$4,AE322),"")</f>
        <v/>
      </c>
      <c r="AO322" s="14" t="str">
        <f>IF(AE322&gt;0,ROUND(INDEX(挂机升级突破!$BX$6:$CH$57,卡牌消耗!AI322,AE322)*INDEX(卡牌消耗!$B$7:$F$7,AG322)/$Q$4,0),"")</f>
        <v/>
      </c>
      <c r="AP322" s="106"/>
      <c r="AQ322" s="15"/>
      <c r="AR322" s="104">
        <v>318</v>
      </c>
      <c r="AS322" s="14">
        <f t="shared" si="133"/>
        <v>16</v>
      </c>
      <c r="AT322" s="14">
        <f>INDEX(挂机升级突破!$CM$7:$CM$26,AX322)</f>
        <v>5</v>
      </c>
      <c r="AU322" s="14">
        <f>INDEX(挂机升级突破!$CN$7:$CN$26,AX322)</f>
        <v>4</v>
      </c>
      <c r="AV322" s="14">
        <f t="shared" si="134"/>
        <v>4</v>
      </c>
      <c r="AW322" s="14" t="str">
        <f t="shared" si="135"/>
        <v>西方龙</v>
      </c>
      <c r="AX322" s="14">
        <f t="shared" si="136"/>
        <v>18</v>
      </c>
      <c r="AY322" s="14" t="str">
        <f t="shared" si="137"/>
        <v>西方龙18突</v>
      </c>
      <c r="AZ322" s="14" t="str">
        <f>IF(AT322&gt;0,INDEX(挂机升级突破!$CV$5:$CZ$5,卡牌消耗!AT322),"")</f>
        <v>金币</v>
      </c>
      <c r="BA322" s="14">
        <f>IF(AT322&gt;0,ROUND(INDEX(挂机升级突破!$CZ$7:$CZ$26,卡牌消耗!AX322)*INDEX(卡牌消耗!$B$8:$F$8,AV322)/$Q$4/500,0)*500,"")</f>
        <v>125500</v>
      </c>
      <c r="BB322" s="14" t="str">
        <f>IF(AU322&gt;0,INDEX(挂机升级突破!$CV$5:$CZ$5,卡牌消耗!AU322),"")</f>
        <v>铀金</v>
      </c>
      <c r="BC322" s="14">
        <f>IF(AU322&gt;0,ROUND(INDEX(挂机升级突破!$CV$7:$CY$26,卡牌消耗!AX322,卡牌消耗!AU322)*INDEX($B$6:$F$6,AV322)/$Q$4/5,0)*5,"")</f>
        <v>40</v>
      </c>
      <c r="BD322" s="104"/>
      <c r="BE322" s="104"/>
      <c r="BF322" s="106"/>
    </row>
    <row r="323" spans="8:58" ht="16.5" x14ac:dyDescent="0.2">
      <c r="H323" s="15"/>
      <c r="I323" s="15"/>
      <c r="J323" s="15"/>
      <c r="K323" s="15"/>
      <c r="L323" s="15"/>
      <c r="M323" s="15"/>
      <c r="N323" s="15"/>
      <c r="O323" s="137"/>
      <c r="P323" s="141"/>
      <c r="Q323" s="141"/>
      <c r="R323" s="141"/>
      <c r="S323" s="141"/>
      <c r="T323" s="141"/>
      <c r="U323" s="141"/>
      <c r="V323" s="141"/>
      <c r="W323" s="141"/>
      <c r="X323" s="141"/>
      <c r="Y323" s="141"/>
      <c r="Z323" s="141"/>
      <c r="AA323" s="104">
        <v>319</v>
      </c>
      <c r="AB323" s="14">
        <f t="shared" si="128"/>
        <v>7</v>
      </c>
      <c r="AC323" s="14">
        <f>INDEX(挂机升级突破!$BU$6:$BU$57,卡牌消耗!AI323)</f>
        <v>11</v>
      </c>
      <c r="AD323" s="14">
        <f>INDEX(挂机升级突破!BV$6:BV$57,卡牌消耗!$AI323)</f>
        <v>2</v>
      </c>
      <c r="AE323" s="14">
        <f>INDEX(挂机升级突破!BW$6:BW$57,卡牌消耗!$AI323)</f>
        <v>0</v>
      </c>
      <c r="AF323" s="14" t="str">
        <f t="shared" si="129"/>
        <v>天使缇娜</v>
      </c>
      <c r="AG323" s="14">
        <f t="shared" si="130"/>
        <v>4</v>
      </c>
      <c r="AH323" s="14" t="str">
        <f t="shared" si="131"/>
        <v>天使缇娜魂火-7</v>
      </c>
      <c r="AI323" s="14">
        <f t="shared" si="132"/>
        <v>7</v>
      </c>
      <c r="AJ323" s="14" t="str">
        <f>INDEX(挂机升级突破!$BX$4:$CH$4,INDEX(挂机升级突破!$BU$6:$BU$57,卡牌消耗!AI323))</f>
        <v>金币</v>
      </c>
      <c r="AK323" s="14">
        <f>ROUND(INDEX(挂机升级突破!$BN$6:$BN$57,卡牌消耗!AI323)*INDEX(卡牌消耗!$B$8:$F$8,AG323)/$Q$4/50,0)*50</f>
        <v>1500</v>
      </c>
      <c r="AL323" s="14" t="str">
        <f>IF(AD323&gt;0,INDEX(挂机升级突破!$BX$4:$CH$4,AD323),"")</f>
        <v>蓝色基础材料</v>
      </c>
      <c r="AM323" s="14">
        <f>ROUND(INDEX(挂机升级突破!$BX$6:$CH$57,卡牌消耗!AI323,AD323)*INDEX(卡牌消耗!$B$5:$F$5,AG323)/$Q$4/5,0)*5</f>
        <v>575</v>
      </c>
      <c r="AN323" s="14" t="str">
        <f>IF(AE323&gt;0,INDEX(挂机升级突破!$BX$4:$CH$4,AE323),"")</f>
        <v/>
      </c>
      <c r="AO323" s="14" t="str">
        <f>IF(AE323&gt;0,ROUND(INDEX(挂机升级突破!$BX$6:$CH$57,卡牌消耗!AI323,AE323)*INDEX(卡牌消耗!$B$7:$F$7,AG323)/$Q$4,0),"")</f>
        <v/>
      </c>
      <c r="AP323" s="106"/>
      <c r="AQ323" s="15"/>
      <c r="AR323" s="104">
        <v>319</v>
      </c>
      <c r="AS323" s="14">
        <f t="shared" si="133"/>
        <v>16</v>
      </c>
      <c r="AT323" s="14">
        <f>INDEX(挂机升级突破!$CM$7:$CM$26,AX323)</f>
        <v>5</v>
      </c>
      <c r="AU323" s="14">
        <f>INDEX(挂机升级突破!$CN$7:$CN$26,AX323)</f>
        <v>4</v>
      </c>
      <c r="AV323" s="14">
        <f t="shared" si="134"/>
        <v>4</v>
      </c>
      <c r="AW323" s="14" t="str">
        <f t="shared" si="135"/>
        <v>西方龙</v>
      </c>
      <c r="AX323" s="14">
        <f t="shared" si="136"/>
        <v>19</v>
      </c>
      <c r="AY323" s="14" t="str">
        <f t="shared" si="137"/>
        <v>西方龙19突</v>
      </c>
      <c r="AZ323" s="14" t="str">
        <f>IF(AT323&gt;0,INDEX(挂机升级突破!$CV$5:$CZ$5,卡牌消耗!AT323),"")</f>
        <v>金币</v>
      </c>
      <c r="BA323" s="14">
        <f>IF(AT323&gt;0,ROUND(INDEX(挂机升级突破!$CZ$7:$CZ$26,卡牌消耗!AX323)*INDEX(卡牌消耗!$B$8:$F$8,AV323)/$Q$4/500,0)*500,"")</f>
        <v>760000</v>
      </c>
      <c r="BB323" s="14" t="str">
        <f>IF(AU323&gt;0,INDEX(挂机升级突破!$CV$5:$CZ$5,卡牌消耗!AU323),"")</f>
        <v>铀金</v>
      </c>
      <c r="BC323" s="14">
        <f>IF(AU323&gt;0,ROUND(INDEX(挂机升级突破!$CV$7:$CY$26,卡牌消耗!AX323,卡牌消耗!AU323)*INDEX($B$6:$F$6,AV323)/$Q$4/5,0)*5,"")</f>
        <v>55</v>
      </c>
      <c r="BD323" s="104"/>
      <c r="BE323" s="104"/>
      <c r="BF323" s="106"/>
    </row>
    <row r="324" spans="8:58" ht="16.5" x14ac:dyDescent="0.2">
      <c r="H324" s="15"/>
      <c r="I324" s="15"/>
      <c r="J324" s="15"/>
      <c r="K324" s="15"/>
      <c r="L324" s="15"/>
      <c r="M324" s="15"/>
      <c r="N324" s="15"/>
      <c r="O324" s="137"/>
      <c r="P324" s="141"/>
      <c r="Q324" s="141"/>
      <c r="R324" s="141"/>
      <c r="S324" s="141"/>
      <c r="T324" s="141"/>
      <c r="U324" s="141"/>
      <c r="V324" s="141"/>
      <c r="W324" s="141"/>
      <c r="X324" s="141"/>
      <c r="Y324" s="141"/>
      <c r="Z324" s="141"/>
      <c r="AA324" s="104">
        <v>320</v>
      </c>
      <c r="AB324" s="14">
        <f t="shared" si="128"/>
        <v>7</v>
      </c>
      <c r="AC324" s="14">
        <f>INDEX(挂机升级突破!$BU$6:$BU$57,卡牌消耗!AI324)</f>
        <v>11</v>
      </c>
      <c r="AD324" s="14">
        <f>INDEX(挂机升级突破!BV$6:BV$57,卡牌消耗!$AI324)</f>
        <v>2</v>
      </c>
      <c r="AE324" s="14">
        <f>INDEX(挂机升级突破!BW$6:BW$57,卡牌消耗!$AI324)</f>
        <v>0</v>
      </c>
      <c r="AF324" s="14" t="str">
        <f t="shared" si="129"/>
        <v>天使缇娜</v>
      </c>
      <c r="AG324" s="14">
        <f t="shared" si="130"/>
        <v>4</v>
      </c>
      <c r="AH324" s="14" t="str">
        <f t="shared" si="131"/>
        <v>天使缇娜魂火-8</v>
      </c>
      <c r="AI324" s="14">
        <f t="shared" si="132"/>
        <v>8</v>
      </c>
      <c r="AJ324" s="14" t="str">
        <f>INDEX(挂机升级突破!$BX$4:$CH$4,INDEX(挂机升级突破!$BU$6:$BU$57,卡牌消耗!AI324))</f>
        <v>金币</v>
      </c>
      <c r="AK324" s="14">
        <f>ROUND(INDEX(挂机升级突破!$BN$6:$BN$57,卡牌消耗!AI324)*INDEX(卡牌消耗!$B$8:$F$8,AG324)/$Q$4/50,0)*50</f>
        <v>2250</v>
      </c>
      <c r="AL324" s="14" t="str">
        <f>IF(AD324&gt;0,INDEX(挂机升级突破!$BX$4:$CH$4,AD324),"")</f>
        <v>蓝色基础材料</v>
      </c>
      <c r="AM324" s="14">
        <f>ROUND(INDEX(挂机升级突破!$BX$6:$CH$57,卡牌消耗!AI324,AD324)*INDEX(卡牌消耗!$B$5:$F$5,AG324)/$Q$4/5,0)*5</f>
        <v>1155</v>
      </c>
      <c r="AN324" s="14" t="str">
        <f>IF(AE324&gt;0,INDEX(挂机升级突破!$BX$4:$CH$4,AE324),"")</f>
        <v/>
      </c>
      <c r="AO324" s="14" t="str">
        <f>IF(AE324&gt;0,ROUND(INDEX(挂机升级突破!$BX$6:$CH$57,卡牌消耗!AI324,AE324)*INDEX(卡牌消耗!$B$7:$F$7,AG324)/$Q$4,0),"")</f>
        <v/>
      </c>
      <c r="AP324" s="106"/>
      <c r="AQ324" s="15"/>
      <c r="AR324" s="104">
        <v>320</v>
      </c>
      <c r="AS324" s="14">
        <f t="shared" si="133"/>
        <v>16</v>
      </c>
      <c r="AT324" s="14">
        <f>INDEX(挂机升级突破!$CM$7:$CM$26,AX324)</f>
        <v>5</v>
      </c>
      <c r="AU324" s="14">
        <f>INDEX(挂机升级突破!$CN$7:$CN$26,AX324)</f>
        <v>4</v>
      </c>
      <c r="AV324" s="14">
        <f t="shared" si="134"/>
        <v>4</v>
      </c>
      <c r="AW324" s="14" t="str">
        <f t="shared" si="135"/>
        <v>西方龙</v>
      </c>
      <c r="AX324" s="14">
        <f t="shared" si="136"/>
        <v>20</v>
      </c>
      <c r="AY324" s="14" t="str">
        <f t="shared" si="137"/>
        <v>西方龙20突</v>
      </c>
      <c r="AZ324" s="14" t="str">
        <f>IF(AT324&gt;0,INDEX(挂机升级突破!$CV$5:$CZ$5,卡牌消耗!AT324),"")</f>
        <v>金币</v>
      </c>
      <c r="BA324" s="14">
        <f>IF(AT324&gt;0,ROUND(INDEX(挂机升级突破!$CZ$7:$CZ$26,卡牌消耗!AX324)*INDEX(卡牌消耗!$B$8:$F$8,AV324)/$Q$4/500,0)*500,"")</f>
        <v>1139500</v>
      </c>
      <c r="BB324" s="14" t="str">
        <f>IF(AU324&gt;0,INDEX(挂机升级突破!$CV$5:$CZ$5,卡牌消耗!AU324),"")</f>
        <v>铀金</v>
      </c>
      <c r="BC324" s="14">
        <f>IF(AU324&gt;0,ROUND(INDEX(挂机升级突破!$CV$7:$CY$26,卡牌消耗!AX324,卡牌消耗!AU324)*INDEX($B$6:$F$6,AV324)/$Q$4/5,0)*5,"")</f>
        <v>70</v>
      </c>
      <c r="BD324" s="104"/>
      <c r="BE324" s="104"/>
      <c r="BF324" s="106"/>
    </row>
    <row r="325" spans="8:58" ht="16.5" x14ac:dyDescent="0.2">
      <c r="H325" s="15"/>
      <c r="I325" s="15"/>
      <c r="J325" s="15"/>
      <c r="K325" s="15"/>
      <c r="L325" s="15"/>
      <c r="M325" s="15"/>
      <c r="N325" s="15"/>
      <c r="O325" s="137"/>
      <c r="P325" s="141"/>
      <c r="Q325" s="141"/>
      <c r="R325" s="141"/>
      <c r="S325" s="141"/>
      <c r="T325" s="141"/>
      <c r="U325" s="141"/>
      <c r="V325" s="141"/>
      <c r="W325" s="141"/>
      <c r="X325" s="141"/>
      <c r="Y325" s="141"/>
      <c r="Z325" s="141"/>
      <c r="AA325" s="104">
        <v>321</v>
      </c>
      <c r="AB325" s="14">
        <f t="shared" si="128"/>
        <v>7</v>
      </c>
      <c r="AC325" s="14">
        <f>INDEX(挂机升级突破!$BU$6:$BU$57,卡牌消耗!AI325)</f>
        <v>11</v>
      </c>
      <c r="AD325" s="14">
        <f>INDEX(挂机升级突破!BV$6:BV$57,卡牌消耗!$AI325)</f>
        <v>2</v>
      </c>
      <c r="AE325" s="14">
        <f>INDEX(挂机升级突破!BW$6:BW$57,卡牌消耗!$AI325)</f>
        <v>0</v>
      </c>
      <c r="AF325" s="14" t="str">
        <f t="shared" si="129"/>
        <v>天使缇娜</v>
      </c>
      <c r="AG325" s="14">
        <f t="shared" si="130"/>
        <v>4</v>
      </c>
      <c r="AH325" s="14" t="str">
        <f t="shared" si="131"/>
        <v>天使缇娜魂火-9</v>
      </c>
      <c r="AI325" s="14">
        <f t="shared" si="132"/>
        <v>9</v>
      </c>
      <c r="AJ325" s="14" t="str">
        <f>INDEX(挂机升级突破!$BX$4:$CH$4,INDEX(挂机升级突破!$BU$6:$BU$57,卡牌消耗!AI325))</f>
        <v>金币</v>
      </c>
      <c r="AK325" s="14">
        <f>ROUND(INDEX(挂机升级突破!$BN$6:$BN$57,卡牌消耗!AI325)*INDEX(卡牌消耗!$B$8:$F$8,AG325)/$Q$4/50,0)*50</f>
        <v>2250</v>
      </c>
      <c r="AL325" s="14" t="str">
        <f>IF(AD325&gt;0,INDEX(挂机升级突破!$BX$4:$CH$4,AD325),"")</f>
        <v>蓝色基础材料</v>
      </c>
      <c r="AM325" s="14">
        <f>ROUND(INDEX(挂机升级突破!$BX$6:$CH$57,卡牌消耗!AI325,AD325)*INDEX(卡牌消耗!$B$5:$F$5,AG325)/$Q$4/5,0)*5</f>
        <v>1155</v>
      </c>
      <c r="AN325" s="14" t="str">
        <f>IF(AE325&gt;0,INDEX(挂机升级突破!$BX$4:$CH$4,AE325),"")</f>
        <v/>
      </c>
      <c r="AO325" s="14" t="str">
        <f>IF(AE325&gt;0,ROUND(INDEX(挂机升级突破!$BX$6:$CH$57,卡牌消耗!AI325,AE325)*INDEX(卡牌消耗!$B$7:$F$7,AG325)/$Q$4,0),"")</f>
        <v/>
      </c>
      <c r="AP325" s="106"/>
      <c r="AQ325" s="15"/>
      <c r="AR325" s="104">
        <v>321</v>
      </c>
      <c r="AS325" s="14">
        <f t="shared" si="133"/>
        <v>17</v>
      </c>
      <c r="AT325" s="14">
        <f>INDEX(挂机升级突破!$CM$7:$CM$26,AX325)</f>
        <v>0</v>
      </c>
      <c r="AU325" s="14">
        <f>INDEX(挂机升级突破!$CN$7:$CN$26,AX325)</f>
        <v>0</v>
      </c>
      <c r="AV325" s="14">
        <f t="shared" si="134"/>
        <v>3</v>
      </c>
      <c r="AW325" s="14" t="str">
        <f t="shared" si="135"/>
        <v>飞廉</v>
      </c>
      <c r="AX325" s="14">
        <f t="shared" si="136"/>
        <v>1</v>
      </c>
      <c r="AY325" s="14" t="str">
        <f t="shared" si="137"/>
        <v>飞廉1突</v>
      </c>
      <c r="AZ325" s="14" t="str">
        <f>IF(AT325&gt;0,INDEX(挂机升级突破!$CV$5:$CZ$5,卡牌消耗!AT325),"")</f>
        <v/>
      </c>
      <c r="BA325" s="14" t="str">
        <f>IF(AT325&gt;0,ROUND(INDEX(挂机升级突破!$CZ$7:$CZ$26,卡牌消耗!AX325)*INDEX(卡牌消耗!$B$8:$F$8,AV325)/$Q$4/500,0)*500,"")</f>
        <v/>
      </c>
      <c r="BB325" s="14" t="str">
        <f>IF(AU325&gt;0,INDEX(挂机升级突破!$CV$5:$CZ$5,卡牌消耗!AU325),"")</f>
        <v/>
      </c>
      <c r="BC325" s="14" t="str">
        <f>IF(AU325&gt;0,ROUND(INDEX(挂机升级突破!$CV$7:$CY$26,卡牌消耗!AX325,卡牌消耗!AU325)*INDEX($B$6:$F$6,AV325)/$Q$4/5,0)*5,"")</f>
        <v/>
      </c>
      <c r="BD325" s="104"/>
      <c r="BE325" s="104"/>
      <c r="BF325" s="106"/>
    </row>
    <row r="326" spans="8:58" ht="16.5" x14ac:dyDescent="0.2">
      <c r="H326" s="15"/>
      <c r="I326" s="15"/>
      <c r="J326" s="15"/>
      <c r="K326" s="15"/>
      <c r="L326" s="15"/>
      <c r="M326" s="15"/>
      <c r="N326" s="15"/>
      <c r="O326" s="137"/>
      <c r="P326" s="141"/>
      <c r="Q326" s="141"/>
      <c r="R326" s="141"/>
      <c r="S326" s="141"/>
      <c r="T326" s="141"/>
      <c r="U326" s="141"/>
      <c r="V326" s="141"/>
      <c r="W326" s="141"/>
      <c r="X326" s="141"/>
      <c r="Y326" s="141"/>
      <c r="Z326" s="141"/>
      <c r="AA326" s="104">
        <v>322</v>
      </c>
      <c r="AB326" s="14">
        <f t="shared" ref="AB326:AB389" si="138">INT((AA326-1)/52)+1</f>
        <v>7</v>
      </c>
      <c r="AC326" s="14">
        <f>INDEX(挂机升级突破!$BU$6:$BU$57,卡牌消耗!AI326)</f>
        <v>11</v>
      </c>
      <c r="AD326" s="14">
        <f>INDEX(挂机升级突破!BV$6:BV$57,卡牌消耗!$AI326)</f>
        <v>2</v>
      </c>
      <c r="AE326" s="14">
        <f>INDEX(挂机升级突破!BW$6:BW$57,卡牌消耗!$AI326)</f>
        <v>0</v>
      </c>
      <c r="AF326" s="14" t="str">
        <f t="shared" ref="AF326:AF389" si="139">INDEX($B$13:$B$40,AB326)</f>
        <v>天使缇娜</v>
      </c>
      <c r="AG326" s="14">
        <f t="shared" ref="AG326:AG389" si="140">INDEX($C$13:$C$40,AB326)</f>
        <v>4</v>
      </c>
      <c r="AH326" s="14" t="str">
        <f t="shared" ref="AH326:AH389" si="141">AF326&amp;"魂火-"&amp;AI326</f>
        <v>天使缇娜魂火-10</v>
      </c>
      <c r="AI326" s="14">
        <f t="shared" ref="AI326:AI389" si="142">AA326-(AB326-1)*52</f>
        <v>10</v>
      </c>
      <c r="AJ326" s="14" t="str">
        <f>INDEX(挂机升级突破!$BX$4:$CH$4,INDEX(挂机升级突破!$BU$6:$BU$57,卡牌消耗!AI326))</f>
        <v>金币</v>
      </c>
      <c r="AK326" s="14">
        <f>ROUND(INDEX(挂机升级突破!$BN$6:$BN$57,卡牌消耗!AI326)*INDEX(卡牌消耗!$B$8:$F$8,AG326)/$Q$4/50,0)*50</f>
        <v>3700</v>
      </c>
      <c r="AL326" s="14" t="str">
        <f>IF(AD326&gt;0,INDEX(挂机升级突破!$BX$4:$CH$4,AD326),"")</f>
        <v>蓝色基础材料</v>
      </c>
      <c r="AM326" s="14">
        <f>ROUND(INDEX(挂机升级突破!$BX$6:$CH$57,卡牌消耗!AI326,AD326)*INDEX(卡牌消耗!$B$5:$F$5,AG326)/$Q$4/5,0)*5</f>
        <v>1730</v>
      </c>
      <c r="AN326" s="14" t="str">
        <f>IF(AE326&gt;0,INDEX(挂机升级突破!$BX$4:$CH$4,AE326),"")</f>
        <v/>
      </c>
      <c r="AO326" s="14" t="str">
        <f>IF(AE326&gt;0,ROUND(INDEX(挂机升级突破!$BX$6:$CH$57,卡牌消耗!AI326,AE326)*INDEX(卡牌消耗!$B$7:$F$7,AG326)/$Q$4,0),"")</f>
        <v/>
      </c>
      <c r="AP326" s="106"/>
      <c r="AQ326" s="15"/>
      <c r="AR326" s="104">
        <v>322</v>
      </c>
      <c r="AS326" s="14">
        <f t="shared" ref="AS326:AS389" si="143">INT((AR326-1)/20)+1</f>
        <v>17</v>
      </c>
      <c r="AT326" s="14">
        <f>INDEX(挂机升级突破!$CM$7:$CM$26,AX326)</f>
        <v>5</v>
      </c>
      <c r="AU326" s="14">
        <f>INDEX(挂机升级突破!$CN$7:$CN$26,AX326)</f>
        <v>0</v>
      </c>
      <c r="AV326" s="14">
        <f t="shared" ref="AV326:AV389" si="144">INDEX($C$13:$C$40,AS326)</f>
        <v>3</v>
      </c>
      <c r="AW326" s="14" t="str">
        <f t="shared" ref="AW326:AW389" si="145">INDEX($B$13:$B$40,AS326)</f>
        <v>飞廉</v>
      </c>
      <c r="AX326" s="14">
        <f t="shared" ref="AX326:AX389" si="146">AR326-(AS326-1)*20</f>
        <v>2</v>
      </c>
      <c r="AY326" s="14" t="str">
        <f t="shared" ref="AY326:AY389" si="147">AW326&amp;AX326&amp;"突"</f>
        <v>飞廉2突</v>
      </c>
      <c r="AZ326" s="14" t="str">
        <f>IF(AT326&gt;0,INDEX(挂机升级突破!$CV$5:$CZ$5,卡牌消耗!AT326),"")</f>
        <v>金币</v>
      </c>
      <c r="BA326" s="14">
        <f>IF(AT326&gt;0,ROUND(INDEX(挂机升级突破!$CZ$7:$CZ$26,卡牌消耗!AX326)*INDEX(卡牌消耗!$B$8:$F$8,AV326)/$Q$4/500,0)*500,"")</f>
        <v>2500</v>
      </c>
      <c r="BB326" s="14" t="str">
        <f>IF(AU326&gt;0,INDEX(挂机升级突破!$CV$5:$CZ$5,卡牌消耗!AU326),"")</f>
        <v/>
      </c>
      <c r="BC326" s="14" t="str">
        <f>IF(AU326&gt;0,ROUND(INDEX(挂机升级突破!$CV$7:$CY$26,卡牌消耗!AX326,卡牌消耗!AU326)*INDEX($B$6:$F$6,AV326)/$Q$4/5,0)*5,"")</f>
        <v/>
      </c>
      <c r="BD326" s="104"/>
      <c r="BE326" s="104"/>
      <c r="BF326" s="106"/>
    </row>
    <row r="327" spans="8:58" ht="16.5" x14ac:dyDescent="0.2">
      <c r="H327" s="15"/>
      <c r="I327" s="15"/>
      <c r="J327" s="15"/>
      <c r="K327" s="15"/>
      <c r="L327" s="15"/>
      <c r="M327" s="15"/>
      <c r="N327" s="15"/>
      <c r="O327" s="137"/>
      <c r="P327" s="141"/>
      <c r="Q327" s="141"/>
      <c r="R327" s="141"/>
      <c r="S327" s="141"/>
      <c r="T327" s="141"/>
      <c r="U327" s="141"/>
      <c r="V327" s="141"/>
      <c r="W327" s="141"/>
      <c r="X327" s="141"/>
      <c r="Y327" s="141"/>
      <c r="Z327" s="141"/>
      <c r="AA327" s="104">
        <v>323</v>
      </c>
      <c r="AB327" s="14">
        <f t="shared" si="138"/>
        <v>7</v>
      </c>
      <c r="AC327" s="14">
        <f>INDEX(挂机升级突破!$BU$6:$BU$57,卡牌消耗!AI327)</f>
        <v>11</v>
      </c>
      <c r="AD327" s="14">
        <f>INDEX(挂机升级突破!BV$6:BV$57,卡牌消耗!$AI327)</f>
        <v>2</v>
      </c>
      <c r="AE327" s="14">
        <f>INDEX(挂机升级突破!BW$6:BW$57,卡牌消耗!$AI327)</f>
        <v>0</v>
      </c>
      <c r="AF327" s="14" t="str">
        <f t="shared" si="139"/>
        <v>天使缇娜</v>
      </c>
      <c r="AG327" s="14">
        <f t="shared" si="140"/>
        <v>4</v>
      </c>
      <c r="AH327" s="14" t="str">
        <f t="shared" si="141"/>
        <v>天使缇娜魂火-11</v>
      </c>
      <c r="AI327" s="14">
        <f t="shared" si="142"/>
        <v>11</v>
      </c>
      <c r="AJ327" s="14" t="str">
        <f>INDEX(挂机升级突破!$BX$4:$CH$4,INDEX(挂机升级突破!$BU$6:$BU$57,卡牌消耗!AI327))</f>
        <v>金币</v>
      </c>
      <c r="AK327" s="14">
        <f>ROUND(INDEX(挂机升级突破!$BN$6:$BN$57,卡牌消耗!AI327)*INDEX(卡牌消耗!$B$8:$F$8,AG327)/$Q$4/50,0)*50</f>
        <v>3700</v>
      </c>
      <c r="AL327" s="14" t="str">
        <f>IF(AD327&gt;0,INDEX(挂机升级突破!$BX$4:$CH$4,AD327),"")</f>
        <v>蓝色基础材料</v>
      </c>
      <c r="AM327" s="14">
        <f>ROUND(INDEX(挂机升级突破!$BX$6:$CH$57,卡牌消耗!AI327,AD327)*INDEX(卡牌消耗!$B$5:$F$5,AG327)/$Q$4/5,0)*5</f>
        <v>1730</v>
      </c>
      <c r="AN327" s="14" t="str">
        <f>IF(AE327&gt;0,INDEX(挂机升级突破!$BX$4:$CH$4,AE327),"")</f>
        <v/>
      </c>
      <c r="AO327" s="14" t="str">
        <f>IF(AE327&gt;0,ROUND(INDEX(挂机升级突破!$BX$6:$CH$57,卡牌消耗!AI327,AE327)*INDEX(卡牌消耗!$B$7:$F$7,AG327)/$Q$4,0),"")</f>
        <v/>
      </c>
      <c r="AP327" s="106"/>
      <c r="AQ327" s="15"/>
      <c r="AR327" s="104">
        <v>323</v>
      </c>
      <c r="AS327" s="14">
        <f t="shared" si="143"/>
        <v>17</v>
      </c>
      <c r="AT327" s="14">
        <f>INDEX(挂机升级突破!$CM$7:$CM$26,AX327)</f>
        <v>5</v>
      </c>
      <c r="AU327" s="14">
        <f>INDEX(挂机升级突破!$CN$7:$CN$26,AX327)</f>
        <v>0</v>
      </c>
      <c r="AV327" s="14">
        <f t="shared" si="144"/>
        <v>3</v>
      </c>
      <c r="AW327" s="14" t="str">
        <f t="shared" si="145"/>
        <v>飞廉</v>
      </c>
      <c r="AX327" s="14">
        <f t="shared" si="146"/>
        <v>3</v>
      </c>
      <c r="AY327" s="14" t="str">
        <f t="shared" si="147"/>
        <v>飞廉3突</v>
      </c>
      <c r="AZ327" s="14" t="str">
        <f>IF(AT327&gt;0,INDEX(挂机升级突破!$CV$5:$CZ$5,卡牌消耗!AT327),"")</f>
        <v>金币</v>
      </c>
      <c r="BA327" s="14">
        <f>IF(AT327&gt;0,ROUND(INDEX(挂机升级突破!$CZ$7:$CZ$26,卡牌消耗!AX327)*INDEX(卡牌消耗!$B$8:$F$8,AV327)/$Q$4/500,0)*500,"")</f>
        <v>2500</v>
      </c>
      <c r="BB327" s="14" t="str">
        <f>IF(AU327&gt;0,INDEX(挂机升级突破!$CV$5:$CZ$5,卡牌消耗!AU327),"")</f>
        <v/>
      </c>
      <c r="BC327" s="14" t="str">
        <f>IF(AU327&gt;0,ROUND(INDEX(挂机升级突破!$CV$7:$CY$26,卡牌消耗!AX327,卡牌消耗!AU327)*INDEX($B$6:$F$6,AV327)/$Q$4/5,0)*5,"")</f>
        <v/>
      </c>
      <c r="BD327" s="104"/>
      <c r="BE327" s="104"/>
      <c r="BF327" s="106"/>
    </row>
    <row r="328" spans="8:58" ht="16.5" x14ac:dyDescent="0.2">
      <c r="H328" s="15"/>
      <c r="I328" s="15"/>
      <c r="J328" s="15"/>
      <c r="K328" s="15"/>
      <c r="L328" s="15"/>
      <c r="M328" s="15"/>
      <c r="N328" s="15"/>
      <c r="O328" s="137"/>
      <c r="P328" s="141"/>
      <c r="Q328" s="141"/>
      <c r="R328" s="141"/>
      <c r="S328" s="141"/>
      <c r="T328" s="141"/>
      <c r="U328" s="141"/>
      <c r="V328" s="141"/>
      <c r="W328" s="141"/>
      <c r="X328" s="141"/>
      <c r="Y328" s="141"/>
      <c r="Z328" s="141"/>
      <c r="AA328" s="104">
        <v>324</v>
      </c>
      <c r="AB328" s="14">
        <f t="shared" si="138"/>
        <v>7</v>
      </c>
      <c r="AC328" s="14">
        <f>INDEX(挂机升级突破!$BU$6:$BU$57,卡牌消耗!AI328)</f>
        <v>11</v>
      </c>
      <c r="AD328" s="14">
        <f>INDEX(挂机升级突破!BV$6:BV$57,卡牌消耗!$AI328)</f>
        <v>2</v>
      </c>
      <c r="AE328" s="14">
        <f>INDEX(挂机升级突破!BW$6:BW$57,卡牌消耗!$AI328)</f>
        <v>0</v>
      </c>
      <c r="AF328" s="14" t="str">
        <f t="shared" si="139"/>
        <v>天使缇娜</v>
      </c>
      <c r="AG328" s="14">
        <f t="shared" si="140"/>
        <v>4</v>
      </c>
      <c r="AH328" s="14" t="str">
        <f t="shared" si="141"/>
        <v>天使缇娜魂火-12</v>
      </c>
      <c r="AI328" s="14">
        <f t="shared" si="142"/>
        <v>12</v>
      </c>
      <c r="AJ328" s="14" t="str">
        <f>INDEX(挂机升级突破!$BX$4:$CH$4,INDEX(挂机升级突破!$BU$6:$BU$57,卡牌消耗!AI328))</f>
        <v>金币</v>
      </c>
      <c r="AK328" s="14">
        <f>ROUND(INDEX(挂机升级突破!$BN$6:$BN$57,卡牌消耗!AI328)*INDEX(卡牌消耗!$B$8:$F$8,AG328)/$Q$4/50,0)*50</f>
        <v>3200</v>
      </c>
      <c r="AL328" s="14" t="str">
        <f>IF(AD328&gt;0,INDEX(挂机升级突破!$BX$4:$CH$4,AD328),"")</f>
        <v>蓝色基础材料</v>
      </c>
      <c r="AM328" s="14">
        <f>ROUND(INDEX(挂机升级突破!$BX$6:$CH$57,卡牌消耗!AI328,AD328)*INDEX(卡牌消耗!$B$5:$F$5,AG328)/$Q$4/5,0)*5</f>
        <v>2305</v>
      </c>
      <c r="AN328" s="14" t="str">
        <f>IF(AE328&gt;0,INDEX(挂机升级突破!$BX$4:$CH$4,AE328),"")</f>
        <v/>
      </c>
      <c r="AO328" s="14" t="str">
        <f>IF(AE328&gt;0,ROUND(INDEX(挂机升级突破!$BX$6:$CH$57,卡牌消耗!AI328,AE328)*INDEX(卡牌消耗!$B$7:$F$7,AG328)/$Q$4,0),"")</f>
        <v/>
      </c>
      <c r="AP328" s="106"/>
      <c r="AQ328" s="15"/>
      <c r="AR328" s="104">
        <v>324</v>
      </c>
      <c r="AS328" s="14">
        <f t="shared" si="143"/>
        <v>17</v>
      </c>
      <c r="AT328" s="14">
        <f>INDEX(挂机升级突破!$CM$7:$CM$26,AX328)</f>
        <v>5</v>
      </c>
      <c r="AU328" s="14">
        <f>INDEX(挂机升级突破!$CN$7:$CN$26,AX328)</f>
        <v>1</v>
      </c>
      <c r="AV328" s="14">
        <f t="shared" si="144"/>
        <v>3</v>
      </c>
      <c r="AW328" s="14" t="str">
        <f t="shared" si="145"/>
        <v>飞廉</v>
      </c>
      <c r="AX328" s="14">
        <f t="shared" si="146"/>
        <v>4</v>
      </c>
      <c r="AY328" s="14" t="str">
        <f t="shared" si="147"/>
        <v>飞廉4突</v>
      </c>
      <c r="AZ328" s="14" t="str">
        <f>IF(AT328&gt;0,INDEX(挂机升级突破!$CV$5:$CZ$5,卡牌消耗!AT328),"")</f>
        <v>金币</v>
      </c>
      <c r="BA328" s="14">
        <f>IF(AT328&gt;0,ROUND(INDEX(挂机升级突破!$CZ$7:$CZ$26,卡牌消耗!AX328)*INDEX(卡牌消耗!$B$8:$F$8,AV328)/$Q$4/500,0)*500,"")</f>
        <v>3000</v>
      </c>
      <c r="BB328" s="14" t="str">
        <f>IF(AU328&gt;0,INDEX(挂机升级突破!$CV$5:$CZ$5,卡牌消耗!AU328),"")</f>
        <v>玄铁</v>
      </c>
      <c r="BC328" s="14">
        <f>IF(AU328&gt;0,ROUND(INDEX(挂机升级突破!$CV$7:$CY$26,卡牌消耗!AX328,卡牌消耗!AU328)*INDEX($B$6:$F$6,AV328)/$Q$4/5,0)*5,"")</f>
        <v>60</v>
      </c>
      <c r="BD328" s="104"/>
      <c r="BE328" s="104"/>
      <c r="BF328" s="106"/>
    </row>
    <row r="329" spans="8:58" ht="16.5" x14ac:dyDescent="0.2">
      <c r="H329" s="15"/>
      <c r="I329" s="15"/>
      <c r="J329" s="15"/>
      <c r="K329" s="15"/>
      <c r="L329" s="15"/>
      <c r="M329" s="15"/>
      <c r="N329" s="15"/>
      <c r="O329" s="137"/>
      <c r="P329" s="141"/>
      <c r="Q329" s="141"/>
      <c r="R329" s="141"/>
      <c r="S329" s="141"/>
      <c r="T329" s="141"/>
      <c r="U329" s="141"/>
      <c r="V329" s="141"/>
      <c r="W329" s="141"/>
      <c r="X329" s="141"/>
      <c r="Y329" s="141"/>
      <c r="Z329" s="141"/>
      <c r="AA329" s="104">
        <v>325</v>
      </c>
      <c r="AB329" s="14">
        <f t="shared" si="138"/>
        <v>7</v>
      </c>
      <c r="AC329" s="14">
        <f>INDEX(挂机升级突破!$BU$6:$BU$57,卡牌消耗!AI329)</f>
        <v>11</v>
      </c>
      <c r="AD329" s="14">
        <f>INDEX(挂机升级突破!BV$6:BV$57,卡牌消耗!$AI329)</f>
        <v>2</v>
      </c>
      <c r="AE329" s="14">
        <f>INDEX(挂机升级突破!BW$6:BW$57,卡牌消耗!$AI329)</f>
        <v>0</v>
      </c>
      <c r="AF329" s="14" t="str">
        <f t="shared" si="139"/>
        <v>天使缇娜</v>
      </c>
      <c r="AG329" s="14">
        <f t="shared" si="140"/>
        <v>4</v>
      </c>
      <c r="AH329" s="14" t="str">
        <f t="shared" si="141"/>
        <v>天使缇娜魂火-13</v>
      </c>
      <c r="AI329" s="14">
        <f t="shared" si="142"/>
        <v>13</v>
      </c>
      <c r="AJ329" s="14" t="str">
        <f>INDEX(挂机升级突破!$BX$4:$CH$4,INDEX(挂机升级突破!$BU$6:$BU$57,卡牌消耗!AI329))</f>
        <v>金币</v>
      </c>
      <c r="AK329" s="14">
        <f>ROUND(INDEX(挂机升级突破!$BN$6:$BN$57,卡牌消耗!AI329)*INDEX(卡牌消耗!$B$8:$F$8,AG329)/$Q$4/50,0)*50</f>
        <v>3200</v>
      </c>
      <c r="AL329" s="14" t="str">
        <f>IF(AD329&gt;0,INDEX(挂机升级突破!$BX$4:$CH$4,AD329),"")</f>
        <v>蓝色基础材料</v>
      </c>
      <c r="AM329" s="14">
        <f>ROUND(INDEX(挂机升级突破!$BX$6:$CH$57,卡牌消耗!AI329,AD329)*INDEX(卡牌消耗!$B$5:$F$5,AG329)/$Q$4/5,0)*5</f>
        <v>2305</v>
      </c>
      <c r="AN329" s="14" t="str">
        <f>IF(AE329&gt;0,INDEX(挂机升级突破!$BX$4:$CH$4,AE329),"")</f>
        <v/>
      </c>
      <c r="AO329" s="14" t="str">
        <f>IF(AE329&gt;0,ROUND(INDEX(挂机升级突破!$BX$6:$CH$57,卡牌消耗!AI329,AE329)*INDEX(卡牌消耗!$B$7:$F$7,AG329)/$Q$4,0),"")</f>
        <v/>
      </c>
      <c r="AP329" s="106"/>
      <c r="AQ329" s="15"/>
      <c r="AR329" s="104">
        <v>325</v>
      </c>
      <c r="AS329" s="14">
        <f t="shared" si="143"/>
        <v>17</v>
      </c>
      <c r="AT329" s="14">
        <f>INDEX(挂机升级突破!$CM$7:$CM$26,AX329)</f>
        <v>5</v>
      </c>
      <c r="AU329" s="14">
        <f>INDEX(挂机升级突破!$CN$7:$CN$26,AX329)</f>
        <v>1</v>
      </c>
      <c r="AV329" s="14">
        <f t="shared" si="144"/>
        <v>3</v>
      </c>
      <c r="AW329" s="14" t="str">
        <f t="shared" si="145"/>
        <v>飞廉</v>
      </c>
      <c r="AX329" s="14">
        <f t="shared" si="146"/>
        <v>5</v>
      </c>
      <c r="AY329" s="14" t="str">
        <f t="shared" si="147"/>
        <v>飞廉5突</v>
      </c>
      <c r="AZ329" s="14" t="str">
        <f>IF(AT329&gt;0,INDEX(挂机升级突破!$CV$5:$CZ$5,卡牌消耗!AT329),"")</f>
        <v>金币</v>
      </c>
      <c r="BA329" s="14">
        <f>IF(AT329&gt;0,ROUND(INDEX(挂机升级突破!$CZ$7:$CZ$26,卡牌消耗!AX329)*INDEX(卡牌消耗!$B$8:$F$8,AV329)/$Q$4/500,0)*500,"")</f>
        <v>3000</v>
      </c>
      <c r="BB329" s="14" t="str">
        <f>IF(AU329&gt;0,INDEX(挂机升级突破!$CV$5:$CZ$5,卡牌消耗!AU329),"")</f>
        <v>玄铁</v>
      </c>
      <c r="BC329" s="14">
        <f>IF(AU329&gt;0,ROUND(INDEX(挂机升级突破!$CV$7:$CY$26,卡牌消耗!AX329,卡牌消耗!AU329)*INDEX($B$6:$F$6,AV329)/$Q$4/5,0)*5,"")</f>
        <v>115</v>
      </c>
      <c r="BD329" s="104"/>
      <c r="BE329" s="104"/>
      <c r="BF329" s="106"/>
    </row>
    <row r="330" spans="8:58" ht="16.5" x14ac:dyDescent="0.2">
      <c r="H330" s="15"/>
      <c r="I330" s="15"/>
      <c r="J330" s="15"/>
      <c r="K330" s="15"/>
      <c r="L330" s="15"/>
      <c r="M330" s="15"/>
      <c r="N330" s="15"/>
      <c r="O330" s="137"/>
      <c r="P330" s="141"/>
      <c r="Q330" s="141"/>
      <c r="R330" s="141"/>
      <c r="S330" s="141"/>
      <c r="T330" s="141"/>
      <c r="U330" s="141"/>
      <c r="V330" s="141"/>
      <c r="W330" s="141"/>
      <c r="X330" s="141"/>
      <c r="Y330" s="141"/>
      <c r="Z330" s="141"/>
      <c r="AA330" s="104">
        <v>326</v>
      </c>
      <c r="AB330" s="14">
        <f t="shared" si="138"/>
        <v>7</v>
      </c>
      <c r="AC330" s="14">
        <f>INDEX(挂机升级突破!$BU$6:$BU$57,卡牌消耗!AI330)</f>
        <v>11</v>
      </c>
      <c r="AD330" s="14">
        <f>INDEX(挂机升级突破!BV$6:BV$57,卡牌消耗!$AI330)</f>
        <v>3</v>
      </c>
      <c r="AE330" s="14">
        <f>INDEX(挂机升级突破!BW$6:BW$57,卡牌消耗!$AI330)</f>
        <v>0</v>
      </c>
      <c r="AF330" s="14" t="str">
        <f t="shared" si="139"/>
        <v>天使缇娜</v>
      </c>
      <c r="AG330" s="14">
        <f t="shared" si="140"/>
        <v>4</v>
      </c>
      <c r="AH330" s="14" t="str">
        <f t="shared" si="141"/>
        <v>天使缇娜魂火-14</v>
      </c>
      <c r="AI330" s="14">
        <f t="shared" si="142"/>
        <v>14</v>
      </c>
      <c r="AJ330" s="14" t="str">
        <f>INDEX(挂机升级突破!$BX$4:$CH$4,INDEX(挂机升级突破!$BU$6:$BU$57,卡牌消耗!AI330))</f>
        <v>金币</v>
      </c>
      <c r="AK330" s="14">
        <f>ROUND(INDEX(挂机升级突破!$BN$6:$BN$57,卡牌消耗!AI330)*INDEX(卡牌消耗!$B$8:$F$8,AG330)/$Q$4/50,0)*50</f>
        <v>3500</v>
      </c>
      <c r="AL330" s="14" t="str">
        <f>IF(AD330&gt;0,INDEX(挂机升级突破!$BX$4:$CH$4,AD330),"")</f>
        <v>紫色基础材料</v>
      </c>
      <c r="AM330" s="14">
        <f>ROUND(INDEX(挂机升级突破!$BX$6:$CH$57,卡牌消耗!AI330,AD330)*INDEX(卡牌消耗!$B$5:$F$5,AG330)/$Q$4/5,0)*5</f>
        <v>200</v>
      </c>
      <c r="AN330" s="14" t="str">
        <f>IF(AE330&gt;0,INDEX(挂机升级突破!$BX$4:$CH$4,AE330),"")</f>
        <v/>
      </c>
      <c r="AO330" s="14" t="str">
        <f>IF(AE330&gt;0,ROUND(INDEX(挂机升级突破!$BX$6:$CH$57,卡牌消耗!AI330,AE330)*INDEX(卡牌消耗!$B$7:$F$7,AG330)/$Q$4,0),"")</f>
        <v/>
      </c>
      <c r="AP330" s="106"/>
      <c r="AQ330" s="15"/>
      <c r="AR330" s="104">
        <v>326</v>
      </c>
      <c r="AS330" s="14">
        <f t="shared" si="143"/>
        <v>17</v>
      </c>
      <c r="AT330" s="14">
        <f>INDEX(挂机升级突破!$CM$7:$CM$26,AX330)</f>
        <v>5</v>
      </c>
      <c r="AU330" s="14">
        <f>INDEX(挂机升级突破!$CN$7:$CN$26,AX330)</f>
        <v>1</v>
      </c>
      <c r="AV330" s="14">
        <f t="shared" si="144"/>
        <v>3</v>
      </c>
      <c r="AW330" s="14" t="str">
        <f t="shared" si="145"/>
        <v>飞廉</v>
      </c>
      <c r="AX330" s="14">
        <f t="shared" si="146"/>
        <v>6</v>
      </c>
      <c r="AY330" s="14" t="str">
        <f t="shared" si="147"/>
        <v>飞廉6突</v>
      </c>
      <c r="AZ330" s="14" t="str">
        <f>IF(AT330&gt;0,INDEX(挂机升级突破!$CV$5:$CZ$5,卡牌消耗!AT330),"")</f>
        <v>金币</v>
      </c>
      <c r="BA330" s="14">
        <f>IF(AT330&gt;0,ROUND(INDEX(挂机升级突破!$CZ$7:$CZ$26,卡牌消耗!AX330)*INDEX(卡牌消耗!$B$8:$F$8,AV330)/$Q$4/500,0)*500,"")</f>
        <v>4000</v>
      </c>
      <c r="BB330" s="14" t="str">
        <f>IF(AU330&gt;0,INDEX(挂机升级突破!$CV$5:$CZ$5,卡牌消耗!AU330),"")</f>
        <v>玄铁</v>
      </c>
      <c r="BC330" s="14">
        <f>IF(AU330&gt;0,ROUND(INDEX(挂机升级突破!$CV$7:$CY$26,卡牌消耗!AX330,卡牌消耗!AU330)*INDEX($B$6:$F$6,AV330)/$Q$4/5,0)*5,"")</f>
        <v>175</v>
      </c>
      <c r="BD330" s="104"/>
      <c r="BE330" s="104"/>
      <c r="BF330" s="106"/>
    </row>
    <row r="331" spans="8:58" ht="16.5" x14ac:dyDescent="0.2">
      <c r="H331" s="15"/>
      <c r="I331" s="15"/>
      <c r="J331" s="15"/>
      <c r="K331" s="15"/>
      <c r="L331" s="15"/>
      <c r="M331" s="15"/>
      <c r="N331" s="15"/>
      <c r="O331" s="137"/>
      <c r="P331" s="141"/>
      <c r="Q331" s="141"/>
      <c r="R331" s="141"/>
      <c r="S331" s="141"/>
      <c r="T331" s="141"/>
      <c r="U331" s="141"/>
      <c r="V331" s="141"/>
      <c r="W331" s="141"/>
      <c r="X331" s="141"/>
      <c r="Y331" s="141"/>
      <c r="Z331" s="141"/>
      <c r="AA331" s="104">
        <v>327</v>
      </c>
      <c r="AB331" s="14">
        <f t="shared" si="138"/>
        <v>7</v>
      </c>
      <c r="AC331" s="14">
        <f>INDEX(挂机升级突破!$BU$6:$BU$57,卡牌消耗!AI331)</f>
        <v>11</v>
      </c>
      <c r="AD331" s="14">
        <f>INDEX(挂机升级突破!BV$6:BV$57,卡牌消耗!$AI331)</f>
        <v>3</v>
      </c>
      <c r="AE331" s="14">
        <f>INDEX(挂机升级突破!BW$6:BW$57,卡牌消耗!$AI331)</f>
        <v>0</v>
      </c>
      <c r="AF331" s="14" t="str">
        <f t="shared" si="139"/>
        <v>天使缇娜</v>
      </c>
      <c r="AG331" s="14">
        <f t="shared" si="140"/>
        <v>4</v>
      </c>
      <c r="AH331" s="14" t="str">
        <f t="shared" si="141"/>
        <v>天使缇娜魂火-15</v>
      </c>
      <c r="AI331" s="14">
        <f t="shared" si="142"/>
        <v>15</v>
      </c>
      <c r="AJ331" s="14" t="str">
        <f>INDEX(挂机升级突破!$BX$4:$CH$4,INDEX(挂机升级突破!$BU$6:$BU$57,卡牌消耗!AI331))</f>
        <v>金币</v>
      </c>
      <c r="AK331" s="14">
        <f>ROUND(INDEX(挂机升级突破!$BN$6:$BN$57,卡牌消耗!AI331)*INDEX(卡牌消耗!$B$8:$F$8,AG331)/$Q$4/50,0)*50</f>
        <v>3800</v>
      </c>
      <c r="AL331" s="14" t="str">
        <f>IF(AD331&gt;0,INDEX(挂机升级突破!$BX$4:$CH$4,AD331),"")</f>
        <v>紫色基础材料</v>
      </c>
      <c r="AM331" s="14">
        <f>ROUND(INDEX(挂机升级突破!$BX$6:$CH$57,卡牌消耗!AI331,AD331)*INDEX(卡牌消耗!$B$5:$F$5,AG331)/$Q$4/5,0)*5</f>
        <v>200</v>
      </c>
      <c r="AN331" s="14" t="str">
        <f>IF(AE331&gt;0,INDEX(挂机升级突破!$BX$4:$CH$4,AE331),"")</f>
        <v/>
      </c>
      <c r="AO331" s="14" t="str">
        <f>IF(AE331&gt;0,ROUND(INDEX(挂机升级突破!$BX$6:$CH$57,卡牌消耗!AI331,AE331)*INDEX(卡牌消耗!$B$7:$F$7,AG331)/$Q$4,0),"")</f>
        <v/>
      </c>
      <c r="AP331" s="106"/>
      <c r="AQ331" s="15"/>
      <c r="AR331" s="104">
        <v>327</v>
      </c>
      <c r="AS331" s="14">
        <f t="shared" si="143"/>
        <v>17</v>
      </c>
      <c r="AT331" s="14">
        <f>INDEX(挂机升级突破!$CM$7:$CM$26,AX331)</f>
        <v>5</v>
      </c>
      <c r="AU331" s="14">
        <f>INDEX(挂机升级突破!$CN$7:$CN$26,AX331)</f>
        <v>1</v>
      </c>
      <c r="AV331" s="14">
        <f t="shared" si="144"/>
        <v>3</v>
      </c>
      <c r="AW331" s="14" t="str">
        <f t="shared" si="145"/>
        <v>飞廉</v>
      </c>
      <c r="AX331" s="14">
        <f t="shared" si="146"/>
        <v>7</v>
      </c>
      <c r="AY331" s="14" t="str">
        <f t="shared" si="147"/>
        <v>飞廉7突</v>
      </c>
      <c r="AZ331" s="14" t="str">
        <f>IF(AT331&gt;0,INDEX(挂机升级突破!$CV$5:$CZ$5,卡牌消耗!AT331),"")</f>
        <v>金币</v>
      </c>
      <c r="BA331" s="14">
        <f>IF(AT331&gt;0,ROUND(INDEX(挂机升级突破!$CZ$7:$CZ$26,卡牌消耗!AX331)*INDEX(卡牌消耗!$B$8:$F$8,AV331)/$Q$4/500,0)*500,"")</f>
        <v>6500</v>
      </c>
      <c r="BB331" s="14" t="str">
        <f>IF(AU331&gt;0,INDEX(挂机升级突破!$CV$5:$CZ$5,卡牌消耗!AU331),"")</f>
        <v>玄铁</v>
      </c>
      <c r="BC331" s="14">
        <f>IF(AU331&gt;0,ROUND(INDEX(挂机升级突破!$CV$7:$CY$26,卡牌消耗!AX331,卡牌消耗!AU331)*INDEX($B$6:$F$6,AV331)/$Q$4/5,0)*5,"")</f>
        <v>290</v>
      </c>
      <c r="BD331" s="104"/>
      <c r="BE331" s="104"/>
      <c r="BF331" s="106"/>
    </row>
    <row r="332" spans="8:58" ht="16.5" x14ac:dyDescent="0.2">
      <c r="H332" s="15"/>
      <c r="I332" s="15"/>
      <c r="J332" s="15"/>
      <c r="K332" s="15"/>
      <c r="L332" s="15"/>
      <c r="M332" s="15"/>
      <c r="N332" s="15"/>
      <c r="O332" s="137"/>
      <c r="P332" s="141"/>
      <c r="Q332" s="141"/>
      <c r="R332" s="141"/>
      <c r="S332" s="141"/>
      <c r="T332" s="141"/>
      <c r="U332" s="141"/>
      <c r="V332" s="141"/>
      <c r="W332" s="141"/>
      <c r="X332" s="141"/>
      <c r="Y332" s="141"/>
      <c r="Z332" s="141"/>
      <c r="AA332" s="104">
        <v>328</v>
      </c>
      <c r="AB332" s="14">
        <f t="shared" si="138"/>
        <v>7</v>
      </c>
      <c r="AC332" s="14">
        <f>INDEX(挂机升级突破!$BU$6:$BU$57,卡牌消耗!AI332)</f>
        <v>11</v>
      </c>
      <c r="AD332" s="14">
        <f>INDEX(挂机升级突破!BV$6:BV$57,卡牌消耗!$AI332)</f>
        <v>3</v>
      </c>
      <c r="AE332" s="14">
        <f>INDEX(挂机升级突破!BW$6:BW$57,卡牌消耗!$AI332)</f>
        <v>0</v>
      </c>
      <c r="AF332" s="14" t="str">
        <f t="shared" si="139"/>
        <v>天使缇娜</v>
      </c>
      <c r="AG332" s="14">
        <f t="shared" si="140"/>
        <v>4</v>
      </c>
      <c r="AH332" s="14" t="str">
        <f t="shared" si="141"/>
        <v>天使缇娜魂火-16</v>
      </c>
      <c r="AI332" s="14">
        <f t="shared" si="142"/>
        <v>16</v>
      </c>
      <c r="AJ332" s="14" t="str">
        <f>INDEX(挂机升级突破!$BX$4:$CH$4,INDEX(挂机升级突破!$BU$6:$BU$57,卡牌消耗!AI332))</f>
        <v>金币</v>
      </c>
      <c r="AK332" s="14">
        <f>ROUND(INDEX(挂机升级突破!$BN$6:$BN$57,卡牌消耗!AI332)*INDEX(卡牌消耗!$B$8:$F$8,AG332)/$Q$4/50,0)*50</f>
        <v>3800</v>
      </c>
      <c r="AL332" s="14" t="str">
        <f>IF(AD332&gt;0,INDEX(挂机升级突破!$BX$4:$CH$4,AD332),"")</f>
        <v>紫色基础材料</v>
      </c>
      <c r="AM332" s="14">
        <f>ROUND(INDEX(挂机升级突破!$BX$6:$CH$57,卡牌消耗!AI332,AD332)*INDEX(卡牌消耗!$B$5:$F$5,AG332)/$Q$4/5,0)*5</f>
        <v>200</v>
      </c>
      <c r="AN332" s="14" t="str">
        <f>IF(AE332&gt;0,INDEX(挂机升级突破!$BX$4:$CH$4,AE332),"")</f>
        <v/>
      </c>
      <c r="AO332" s="14" t="str">
        <f>IF(AE332&gt;0,ROUND(INDEX(挂机升级突破!$BX$6:$CH$57,卡牌消耗!AI332,AE332)*INDEX(卡牌消耗!$B$7:$F$7,AG332)/$Q$4,0),"")</f>
        <v/>
      </c>
      <c r="AP332" s="106"/>
      <c r="AQ332" s="15"/>
      <c r="AR332" s="104">
        <v>328</v>
      </c>
      <c r="AS332" s="14">
        <f t="shared" si="143"/>
        <v>17</v>
      </c>
      <c r="AT332" s="14">
        <f>INDEX(挂机升级突破!$CM$7:$CM$26,AX332)</f>
        <v>5</v>
      </c>
      <c r="AU332" s="14">
        <f>INDEX(挂机升级突破!$CN$7:$CN$26,AX332)</f>
        <v>1</v>
      </c>
      <c r="AV332" s="14">
        <f t="shared" si="144"/>
        <v>3</v>
      </c>
      <c r="AW332" s="14" t="str">
        <f t="shared" si="145"/>
        <v>飞廉</v>
      </c>
      <c r="AX332" s="14">
        <f t="shared" si="146"/>
        <v>8</v>
      </c>
      <c r="AY332" s="14" t="str">
        <f t="shared" si="147"/>
        <v>飞廉8突</v>
      </c>
      <c r="AZ332" s="14" t="str">
        <f>IF(AT332&gt;0,INDEX(挂机升级突破!$CV$5:$CZ$5,卡牌消耗!AT332),"")</f>
        <v>金币</v>
      </c>
      <c r="BA332" s="14">
        <f>IF(AT332&gt;0,ROUND(INDEX(挂机升级突破!$CZ$7:$CZ$26,卡牌消耗!AX332)*INDEX(卡牌消耗!$B$8:$F$8,AV332)/$Q$4/500,0)*500,"")</f>
        <v>6500</v>
      </c>
      <c r="BB332" s="14" t="str">
        <f>IF(AU332&gt;0,INDEX(挂机升级突破!$CV$5:$CZ$5,卡牌消耗!AU332),"")</f>
        <v>玄铁</v>
      </c>
      <c r="BC332" s="14">
        <f>IF(AU332&gt;0,ROUND(INDEX(挂机升级突破!$CV$7:$CY$26,卡牌消耗!AX332,卡牌消耗!AU332)*INDEX($B$6:$F$6,AV332)/$Q$4/5,0)*5,"")</f>
        <v>520</v>
      </c>
      <c r="BD332" s="104"/>
      <c r="BE332" s="104"/>
      <c r="BF332" s="106"/>
    </row>
    <row r="333" spans="8:58" ht="16.5" x14ac:dyDescent="0.2">
      <c r="H333" s="15"/>
      <c r="I333" s="15"/>
      <c r="J333" s="15"/>
      <c r="K333" s="15"/>
      <c r="L333" s="15"/>
      <c r="M333" s="15"/>
      <c r="N333" s="15"/>
      <c r="O333" s="137"/>
      <c r="P333" s="141"/>
      <c r="Q333" s="141"/>
      <c r="R333" s="141"/>
      <c r="S333" s="141"/>
      <c r="T333" s="141"/>
      <c r="U333" s="141"/>
      <c r="V333" s="141"/>
      <c r="W333" s="141"/>
      <c r="X333" s="141"/>
      <c r="Y333" s="141"/>
      <c r="Z333" s="141"/>
      <c r="AA333" s="104">
        <v>329</v>
      </c>
      <c r="AB333" s="14">
        <f t="shared" si="138"/>
        <v>7</v>
      </c>
      <c r="AC333" s="14">
        <f>INDEX(挂机升级突破!$BU$6:$BU$57,卡牌消耗!AI333)</f>
        <v>11</v>
      </c>
      <c r="AD333" s="14">
        <f>INDEX(挂机升级突破!BV$6:BV$57,卡牌消耗!$AI333)</f>
        <v>3</v>
      </c>
      <c r="AE333" s="14">
        <f>INDEX(挂机升级突破!BW$6:BW$57,卡牌消耗!$AI333)</f>
        <v>0</v>
      </c>
      <c r="AF333" s="14" t="str">
        <f t="shared" si="139"/>
        <v>天使缇娜</v>
      </c>
      <c r="AG333" s="14">
        <f t="shared" si="140"/>
        <v>4</v>
      </c>
      <c r="AH333" s="14" t="str">
        <f t="shared" si="141"/>
        <v>天使缇娜魂火-17</v>
      </c>
      <c r="AI333" s="14">
        <f t="shared" si="142"/>
        <v>17</v>
      </c>
      <c r="AJ333" s="14" t="str">
        <f>INDEX(挂机升级突破!$BX$4:$CH$4,INDEX(挂机升级突破!$BU$6:$BU$57,卡牌消耗!AI333))</f>
        <v>金币</v>
      </c>
      <c r="AK333" s="14">
        <f>ROUND(INDEX(挂机升级突破!$BN$6:$BN$57,卡牌消耗!AI333)*INDEX(卡牌消耗!$B$8:$F$8,AG333)/$Q$4/50,0)*50</f>
        <v>4750</v>
      </c>
      <c r="AL333" s="14" t="str">
        <f>IF(AD333&gt;0,INDEX(挂机升级突破!$BX$4:$CH$4,AD333),"")</f>
        <v>紫色基础材料</v>
      </c>
      <c r="AM333" s="14">
        <f>ROUND(INDEX(挂机升级突破!$BX$6:$CH$57,卡牌消耗!AI333,AD333)*INDEX(卡牌消耗!$B$5:$F$5,AG333)/$Q$4/5,0)*5</f>
        <v>405</v>
      </c>
      <c r="AN333" s="14" t="str">
        <f>IF(AE333&gt;0,INDEX(挂机升级突破!$BX$4:$CH$4,AE333),"")</f>
        <v/>
      </c>
      <c r="AO333" s="14" t="str">
        <f>IF(AE333&gt;0,ROUND(INDEX(挂机升级突破!$BX$6:$CH$57,卡牌消耗!AI333,AE333)*INDEX(卡牌消耗!$B$7:$F$7,AG333)/$Q$4,0),"")</f>
        <v/>
      </c>
      <c r="AP333" s="106"/>
      <c r="AQ333" s="15"/>
      <c r="AR333" s="104">
        <v>329</v>
      </c>
      <c r="AS333" s="14">
        <f t="shared" si="143"/>
        <v>17</v>
      </c>
      <c r="AT333" s="14">
        <f>INDEX(挂机升级突破!$CM$7:$CM$26,AX333)</f>
        <v>5</v>
      </c>
      <c r="AU333" s="14">
        <f>INDEX(挂机升级突破!$CN$7:$CN$26,AX333)</f>
        <v>2</v>
      </c>
      <c r="AV333" s="14">
        <f t="shared" si="144"/>
        <v>3</v>
      </c>
      <c r="AW333" s="14" t="str">
        <f t="shared" si="145"/>
        <v>飞廉</v>
      </c>
      <c r="AX333" s="14">
        <f t="shared" si="146"/>
        <v>9</v>
      </c>
      <c r="AY333" s="14" t="str">
        <f t="shared" si="147"/>
        <v>飞廉9突</v>
      </c>
      <c r="AZ333" s="14" t="str">
        <f>IF(AT333&gt;0,INDEX(挂机升级突破!$CV$5:$CZ$5,卡牌消耗!AT333),"")</f>
        <v>金币</v>
      </c>
      <c r="BA333" s="14">
        <f>IF(AT333&gt;0,ROUND(INDEX(挂机升级突破!$CZ$7:$CZ$26,卡牌消耗!AX333)*INDEX(卡牌消耗!$B$8:$F$8,AV333)/$Q$4/500,0)*500,"")</f>
        <v>8500</v>
      </c>
      <c r="BB333" s="14" t="str">
        <f>IF(AU333&gt;0,INDEX(挂机升级突破!$CV$5:$CZ$5,卡牌消耗!AU333),"")</f>
        <v>乌金</v>
      </c>
      <c r="BC333" s="14">
        <f>IF(AU333&gt;0,ROUND(INDEX(挂机升级突破!$CV$7:$CY$26,卡牌消耗!AX333,卡牌消耗!AU333)*INDEX($B$6:$F$6,AV333)/$Q$4/5,0)*5,"")</f>
        <v>65</v>
      </c>
      <c r="BD333" s="104"/>
      <c r="BE333" s="104"/>
      <c r="BF333" s="106"/>
    </row>
    <row r="334" spans="8:58" ht="16.5" x14ac:dyDescent="0.2">
      <c r="H334" s="15"/>
      <c r="I334" s="15"/>
      <c r="J334" s="15"/>
      <c r="K334" s="15"/>
      <c r="L334" s="15"/>
      <c r="M334" s="15"/>
      <c r="N334" s="15"/>
      <c r="O334" s="137"/>
      <c r="P334" s="141"/>
      <c r="Q334" s="141"/>
      <c r="R334" s="141"/>
      <c r="S334" s="141"/>
      <c r="T334" s="141"/>
      <c r="U334" s="141"/>
      <c r="V334" s="141"/>
      <c r="W334" s="141"/>
      <c r="X334" s="141"/>
      <c r="Y334" s="141"/>
      <c r="Z334" s="141"/>
      <c r="AA334" s="104">
        <v>330</v>
      </c>
      <c r="AB334" s="14">
        <f t="shared" si="138"/>
        <v>7</v>
      </c>
      <c r="AC334" s="14">
        <f>INDEX(挂机升级突破!$BU$6:$BU$57,卡牌消耗!AI334)</f>
        <v>11</v>
      </c>
      <c r="AD334" s="14">
        <f>INDEX(挂机升级突破!BV$6:BV$57,卡牌消耗!$AI334)</f>
        <v>3</v>
      </c>
      <c r="AE334" s="14">
        <f>INDEX(挂机升级突破!BW$6:BW$57,卡牌消耗!$AI334)</f>
        <v>0</v>
      </c>
      <c r="AF334" s="14" t="str">
        <f t="shared" si="139"/>
        <v>天使缇娜</v>
      </c>
      <c r="AG334" s="14">
        <f t="shared" si="140"/>
        <v>4</v>
      </c>
      <c r="AH334" s="14" t="str">
        <f t="shared" si="141"/>
        <v>天使缇娜魂火-18</v>
      </c>
      <c r="AI334" s="14">
        <f t="shared" si="142"/>
        <v>18</v>
      </c>
      <c r="AJ334" s="14" t="str">
        <f>INDEX(挂机升级突破!$BX$4:$CH$4,INDEX(挂机升级突破!$BU$6:$BU$57,卡牌消耗!AI334))</f>
        <v>金币</v>
      </c>
      <c r="AK334" s="14">
        <f>ROUND(INDEX(挂机升级突破!$BN$6:$BN$57,卡牌消耗!AI334)*INDEX(卡牌消耗!$B$8:$F$8,AG334)/$Q$4/50,0)*50</f>
        <v>4750</v>
      </c>
      <c r="AL334" s="14" t="str">
        <f>IF(AD334&gt;0,INDEX(挂机升级突破!$BX$4:$CH$4,AD334),"")</f>
        <v>紫色基础材料</v>
      </c>
      <c r="AM334" s="14">
        <f>ROUND(INDEX(挂机升级突破!$BX$6:$CH$57,卡牌消耗!AI334,AD334)*INDEX(卡牌消耗!$B$5:$F$5,AG334)/$Q$4/5,0)*5</f>
        <v>405</v>
      </c>
      <c r="AN334" s="14" t="str">
        <f>IF(AE334&gt;0,INDEX(挂机升级突破!$BX$4:$CH$4,AE334),"")</f>
        <v/>
      </c>
      <c r="AO334" s="14" t="str">
        <f>IF(AE334&gt;0,ROUND(INDEX(挂机升级突破!$BX$6:$CH$57,卡牌消耗!AI334,AE334)*INDEX(卡牌消耗!$B$7:$F$7,AG334)/$Q$4,0),"")</f>
        <v/>
      </c>
      <c r="AP334" s="106"/>
      <c r="AQ334" s="15"/>
      <c r="AR334" s="104">
        <v>330</v>
      </c>
      <c r="AS334" s="14">
        <f t="shared" si="143"/>
        <v>17</v>
      </c>
      <c r="AT334" s="14">
        <f>INDEX(挂机升级突破!$CM$7:$CM$26,AX334)</f>
        <v>5</v>
      </c>
      <c r="AU334" s="14">
        <f>INDEX(挂机升级突破!$CN$7:$CN$26,AX334)</f>
        <v>2</v>
      </c>
      <c r="AV334" s="14">
        <f t="shared" si="144"/>
        <v>3</v>
      </c>
      <c r="AW334" s="14" t="str">
        <f t="shared" si="145"/>
        <v>飞廉</v>
      </c>
      <c r="AX334" s="14">
        <f t="shared" si="146"/>
        <v>10</v>
      </c>
      <c r="AY334" s="14" t="str">
        <f t="shared" si="147"/>
        <v>飞廉10突</v>
      </c>
      <c r="AZ334" s="14" t="str">
        <f>IF(AT334&gt;0,INDEX(挂机升级突破!$CV$5:$CZ$5,卡牌消耗!AT334),"")</f>
        <v>金币</v>
      </c>
      <c r="BA334" s="14">
        <f>IF(AT334&gt;0,ROUND(INDEX(挂机升级突破!$CZ$7:$CZ$26,卡牌消耗!AX334)*INDEX(卡牌消耗!$B$8:$F$8,AV334)/$Q$4/500,0)*500,"")</f>
        <v>14500</v>
      </c>
      <c r="BB334" s="14" t="str">
        <f>IF(AU334&gt;0,INDEX(挂机升级突破!$CV$5:$CZ$5,卡牌消耗!AU334),"")</f>
        <v>乌金</v>
      </c>
      <c r="BC334" s="14">
        <f>IF(AU334&gt;0,ROUND(INDEX(挂机升级突破!$CV$7:$CY$26,卡牌消耗!AX334,卡牌消耗!AU334)*INDEX($B$6:$F$6,AV334)/$Q$4/5,0)*5,"")</f>
        <v>90</v>
      </c>
      <c r="BD334" s="104"/>
      <c r="BE334" s="104"/>
      <c r="BF334" s="106"/>
    </row>
    <row r="335" spans="8:58" ht="16.5" x14ac:dyDescent="0.2">
      <c r="H335" s="15"/>
      <c r="I335" s="15"/>
      <c r="J335" s="15"/>
      <c r="K335" s="15"/>
      <c r="L335" s="15"/>
      <c r="M335" s="15"/>
      <c r="N335" s="15"/>
      <c r="O335" s="137"/>
      <c r="P335" s="141"/>
      <c r="Q335" s="141"/>
      <c r="R335" s="141"/>
      <c r="S335" s="141"/>
      <c r="T335" s="141"/>
      <c r="U335" s="141"/>
      <c r="V335" s="141"/>
      <c r="W335" s="141"/>
      <c r="X335" s="141"/>
      <c r="Y335" s="141"/>
      <c r="Z335" s="141"/>
      <c r="AA335" s="104">
        <v>331</v>
      </c>
      <c r="AB335" s="14">
        <f t="shared" si="138"/>
        <v>7</v>
      </c>
      <c r="AC335" s="14">
        <f>INDEX(挂机升级突破!$BU$6:$BU$57,卡牌消耗!AI335)</f>
        <v>11</v>
      </c>
      <c r="AD335" s="14">
        <f>INDEX(挂机升级突破!BV$6:BV$57,卡牌消耗!$AI335)</f>
        <v>3</v>
      </c>
      <c r="AE335" s="14">
        <f>INDEX(挂机升级突破!BW$6:BW$57,卡牌消耗!$AI335)</f>
        <v>0</v>
      </c>
      <c r="AF335" s="14" t="str">
        <f t="shared" si="139"/>
        <v>天使缇娜</v>
      </c>
      <c r="AG335" s="14">
        <f t="shared" si="140"/>
        <v>4</v>
      </c>
      <c r="AH335" s="14" t="str">
        <f t="shared" si="141"/>
        <v>天使缇娜魂火-19</v>
      </c>
      <c r="AI335" s="14">
        <f t="shared" si="142"/>
        <v>19</v>
      </c>
      <c r="AJ335" s="14" t="str">
        <f>INDEX(挂机升级突破!$BX$4:$CH$4,INDEX(挂机升级突破!$BU$6:$BU$57,卡牌消耗!AI335))</f>
        <v>金币</v>
      </c>
      <c r="AK335" s="14">
        <f>ROUND(INDEX(挂机升级突破!$BN$6:$BN$57,卡牌消耗!AI335)*INDEX(卡牌消耗!$B$8:$F$8,AG335)/$Q$4/50,0)*50</f>
        <v>4750</v>
      </c>
      <c r="AL335" s="14" t="str">
        <f>IF(AD335&gt;0,INDEX(挂机升级突破!$BX$4:$CH$4,AD335),"")</f>
        <v>紫色基础材料</v>
      </c>
      <c r="AM335" s="14">
        <f>ROUND(INDEX(挂机升级突破!$BX$6:$CH$57,卡牌消耗!AI335,AD335)*INDEX(卡牌消耗!$B$5:$F$5,AG335)/$Q$4/5,0)*5</f>
        <v>405</v>
      </c>
      <c r="AN335" s="14" t="str">
        <f>IF(AE335&gt;0,INDEX(挂机升级突破!$BX$4:$CH$4,AE335),"")</f>
        <v/>
      </c>
      <c r="AO335" s="14" t="str">
        <f>IF(AE335&gt;0,ROUND(INDEX(挂机升级突破!$BX$6:$CH$57,卡牌消耗!AI335,AE335)*INDEX(卡牌消耗!$B$7:$F$7,AG335)/$Q$4,0),"")</f>
        <v/>
      </c>
      <c r="AP335" s="106"/>
      <c r="AQ335" s="15"/>
      <c r="AR335" s="104">
        <v>331</v>
      </c>
      <c r="AS335" s="14">
        <f t="shared" si="143"/>
        <v>17</v>
      </c>
      <c r="AT335" s="14">
        <f>INDEX(挂机升级突破!$CM$7:$CM$26,AX335)</f>
        <v>5</v>
      </c>
      <c r="AU335" s="14">
        <f>INDEX(挂机升级突破!$CN$7:$CN$26,AX335)</f>
        <v>2</v>
      </c>
      <c r="AV335" s="14">
        <f t="shared" si="144"/>
        <v>3</v>
      </c>
      <c r="AW335" s="14" t="str">
        <f t="shared" si="145"/>
        <v>飞廉</v>
      </c>
      <c r="AX335" s="14">
        <f t="shared" si="146"/>
        <v>11</v>
      </c>
      <c r="AY335" s="14" t="str">
        <f t="shared" si="147"/>
        <v>飞廉11突</v>
      </c>
      <c r="AZ335" s="14" t="str">
        <f>IF(AT335&gt;0,INDEX(挂机升级突破!$CV$5:$CZ$5,卡牌消耗!AT335),"")</f>
        <v>金币</v>
      </c>
      <c r="BA335" s="14">
        <f>IF(AT335&gt;0,ROUND(INDEX(挂机升级突破!$CZ$7:$CZ$26,卡牌消耗!AX335)*INDEX(卡牌消耗!$B$8:$F$8,AV335)/$Q$4/500,0)*500,"")</f>
        <v>14500</v>
      </c>
      <c r="BB335" s="14" t="str">
        <f>IF(AU335&gt;0,INDEX(挂机升级突破!$CV$5:$CZ$5,卡牌消耗!AU335),"")</f>
        <v>乌金</v>
      </c>
      <c r="BC335" s="14">
        <f>IF(AU335&gt;0,ROUND(INDEX(挂机升级突破!$CV$7:$CY$26,卡牌消耗!AX335,卡牌消耗!AU335)*INDEX($B$6:$F$6,AV335)/$Q$4/5,0)*5,"")</f>
        <v>120</v>
      </c>
      <c r="BD335" s="104"/>
      <c r="BE335" s="104"/>
      <c r="BF335" s="106"/>
    </row>
    <row r="336" spans="8:58" ht="16.5" x14ac:dyDescent="0.2">
      <c r="H336" s="15"/>
      <c r="I336" s="15"/>
      <c r="J336" s="15"/>
      <c r="K336" s="15"/>
      <c r="L336" s="15"/>
      <c r="M336" s="15"/>
      <c r="N336" s="15"/>
      <c r="O336" s="137"/>
      <c r="P336" s="141"/>
      <c r="Q336" s="141"/>
      <c r="R336" s="141"/>
      <c r="S336" s="141"/>
      <c r="T336" s="141"/>
      <c r="U336" s="141"/>
      <c r="V336" s="141"/>
      <c r="W336" s="141"/>
      <c r="X336" s="141"/>
      <c r="Y336" s="141"/>
      <c r="Z336" s="141"/>
      <c r="AA336" s="104">
        <v>332</v>
      </c>
      <c r="AB336" s="14">
        <f t="shared" si="138"/>
        <v>7</v>
      </c>
      <c r="AC336" s="14">
        <f>INDEX(挂机升级突破!$BU$6:$BU$57,卡牌消耗!AI336)</f>
        <v>11</v>
      </c>
      <c r="AD336" s="14">
        <f>INDEX(挂机升级突破!BV$6:BV$57,卡牌消耗!$AI336)</f>
        <v>3</v>
      </c>
      <c r="AE336" s="14">
        <f>INDEX(挂机升级突破!BW$6:BW$57,卡牌消耗!$AI336)</f>
        <v>0</v>
      </c>
      <c r="AF336" s="14" t="str">
        <f t="shared" si="139"/>
        <v>天使缇娜</v>
      </c>
      <c r="AG336" s="14">
        <f t="shared" si="140"/>
        <v>4</v>
      </c>
      <c r="AH336" s="14" t="str">
        <f t="shared" si="141"/>
        <v>天使缇娜魂火-20</v>
      </c>
      <c r="AI336" s="14">
        <f t="shared" si="142"/>
        <v>20</v>
      </c>
      <c r="AJ336" s="14" t="str">
        <f>INDEX(挂机升级突破!$BX$4:$CH$4,INDEX(挂机升级突破!$BU$6:$BU$57,卡牌消耗!AI336))</f>
        <v>金币</v>
      </c>
      <c r="AK336" s="14">
        <f>ROUND(INDEX(挂机升级突破!$BN$6:$BN$57,卡牌消耗!AI336)*INDEX(卡牌消耗!$B$8:$F$8,AG336)/$Q$4/50,0)*50</f>
        <v>5850</v>
      </c>
      <c r="AL336" s="14" t="str">
        <f>IF(AD336&gt;0,INDEX(挂机升级突破!$BX$4:$CH$4,AD336),"")</f>
        <v>紫色基础材料</v>
      </c>
      <c r="AM336" s="14">
        <f>ROUND(INDEX(挂机升级突破!$BX$6:$CH$57,卡牌消耗!AI336,AD336)*INDEX(卡牌消耗!$B$5:$F$5,AG336)/$Q$4/5,0)*5</f>
        <v>605</v>
      </c>
      <c r="AN336" s="14" t="str">
        <f>IF(AE336&gt;0,INDEX(挂机升级突破!$BX$4:$CH$4,AE336),"")</f>
        <v/>
      </c>
      <c r="AO336" s="14" t="str">
        <f>IF(AE336&gt;0,ROUND(INDEX(挂机升级突破!$BX$6:$CH$57,卡牌消耗!AI336,AE336)*INDEX(卡牌消耗!$B$7:$F$7,AG336)/$Q$4,0),"")</f>
        <v/>
      </c>
      <c r="AP336" s="106"/>
      <c r="AQ336" s="15"/>
      <c r="AR336" s="104">
        <v>332</v>
      </c>
      <c r="AS336" s="14">
        <f t="shared" si="143"/>
        <v>17</v>
      </c>
      <c r="AT336" s="14">
        <f>INDEX(挂机升级突破!$CM$7:$CM$26,AX336)</f>
        <v>5</v>
      </c>
      <c r="AU336" s="14">
        <f>INDEX(挂机升级突破!$CN$7:$CN$26,AX336)</f>
        <v>2</v>
      </c>
      <c r="AV336" s="14">
        <f t="shared" si="144"/>
        <v>3</v>
      </c>
      <c r="AW336" s="14" t="str">
        <f t="shared" si="145"/>
        <v>飞廉</v>
      </c>
      <c r="AX336" s="14">
        <f t="shared" si="146"/>
        <v>12</v>
      </c>
      <c r="AY336" s="14" t="str">
        <f t="shared" si="147"/>
        <v>飞廉12突</v>
      </c>
      <c r="AZ336" s="14" t="str">
        <f>IF(AT336&gt;0,INDEX(挂机升级突破!$CV$5:$CZ$5,卡牌消耗!AT336),"")</f>
        <v>金币</v>
      </c>
      <c r="BA336" s="14">
        <f>IF(AT336&gt;0,ROUND(INDEX(挂机升级突破!$CZ$7:$CZ$26,卡牌消耗!AX336)*INDEX(卡牌消耗!$B$8:$F$8,AV336)/$Q$4/500,0)*500,"")</f>
        <v>19500</v>
      </c>
      <c r="BB336" s="14" t="str">
        <f>IF(AU336&gt;0,INDEX(挂机升级突破!$CV$5:$CZ$5,卡牌消耗!AU336),"")</f>
        <v>乌金</v>
      </c>
      <c r="BC336" s="14">
        <f>IF(AU336&gt;0,ROUND(INDEX(挂机升级突破!$CV$7:$CY$26,卡牌消耗!AX336,卡牌消耗!AU336)*INDEX($B$6:$F$6,AV336)/$Q$4/5,0)*5,"")</f>
        <v>155</v>
      </c>
      <c r="BD336" s="104"/>
      <c r="BE336" s="104"/>
      <c r="BF336" s="106"/>
    </row>
    <row r="337" spans="8:58" ht="16.5" x14ac:dyDescent="0.2">
      <c r="H337" s="15"/>
      <c r="I337" s="15"/>
      <c r="J337" s="15"/>
      <c r="K337" s="15"/>
      <c r="L337" s="15"/>
      <c r="M337" s="15"/>
      <c r="N337" s="15"/>
      <c r="O337" s="137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04">
        <v>333</v>
      </c>
      <c r="AB337" s="14">
        <f t="shared" si="138"/>
        <v>7</v>
      </c>
      <c r="AC337" s="14">
        <f>INDEX(挂机升级突破!$BU$6:$BU$57,卡牌消耗!AI337)</f>
        <v>11</v>
      </c>
      <c r="AD337" s="14">
        <f>INDEX(挂机升级突破!BV$6:BV$57,卡牌消耗!$AI337)</f>
        <v>3</v>
      </c>
      <c r="AE337" s="14">
        <f>INDEX(挂机升级突破!BW$6:BW$57,卡牌消耗!$AI337)</f>
        <v>0</v>
      </c>
      <c r="AF337" s="14" t="str">
        <f t="shared" si="139"/>
        <v>天使缇娜</v>
      </c>
      <c r="AG337" s="14">
        <f t="shared" si="140"/>
        <v>4</v>
      </c>
      <c r="AH337" s="14" t="str">
        <f t="shared" si="141"/>
        <v>天使缇娜魂火-21</v>
      </c>
      <c r="AI337" s="14">
        <f t="shared" si="142"/>
        <v>21</v>
      </c>
      <c r="AJ337" s="14" t="str">
        <f>INDEX(挂机升级突破!$BX$4:$CH$4,INDEX(挂机升级突破!$BU$6:$BU$57,卡牌消耗!AI337))</f>
        <v>金币</v>
      </c>
      <c r="AK337" s="14">
        <f>ROUND(INDEX(挂机升级突破!$BN$6:$BN$57,卡牌消耗!AI337)*INDEX(卡牌消耗!$B$8:$F$8,AG337)/$Q$4/50,0)*50</f>
        <v>5850</v>
      </c>
      <c r="AL337" s="14" t="str">
        <f>IF(AD337&gt;0,INDEX(挂机升级突破!$BX$4:$CH$4,AD337),"")</f>
        <v>紫色基础材料</v>
      </c>
      <c r="AM337" s="14">
        <f>ROUND(INDEX(挂机升级突破!$BX$6:$CH$57,卡牌消耗!AI337,AD337)*INDEX(卡牌消耗!$B$5:$F$5,AG337)/$Q$4/5,0)*5</f>
        <v>605</v>
      </c>
      <c r="AN337" s="14" t="str">
        <f>IF(AE337&gt;0,INDEX(挂机升级突破!$BX$4:$CH$4,AE337),"")</f>
        <v/>
      </c>
      <c r="AO337" s="14" t="str">
        <f>IF(AE337&gt;0,ROUND(INDEX(挂机升级突破!$BX$6:$CH$57,卡牌消耗!AI337,AE337)*INDEX(卡牌消耗!$B$7:$F$7,AG337)/$Q$4,0),"")</f>
        <v/>
      </c>
      <c r="AP337" s="106"/>
      <c r="AQ337" s="15"/>
      <c r="AR337" s="104">
        <v>333</v>
      </c>
      <c r="AS337" s="14">
        <f t="shared" si="143"/>
        <v>17</v>
      </c>
      <c r="AT337" s="14">
        <f>INDEX(挂机升级突破!$CM$7:$CM$26,AX337)</f>
        <v>5</v>
      </c>
      <c r="AU337" s="14">
        <f>INDEX(挂机升级突破!$CN$7:$CN$26,AX337)</f>
        <v>3</v>
      </c>
      <c r="AV337" s="14">
        <f t="shared" si="144"/>
        <v>3</v>
      </c>
      <c r="AW337" s="14" t="str">
        <f t="shared" si="145"/>
        <v>飞廉</v>
      </c>
      <c r="AX337" s="14">
        <f t="shared" si="146"/>
        <v>13</v>
      </c>
      <c r="AY337" s="14" t="str">
        <f t="shared" si="147"/>
        <v>飞廉13突</v>
      </c>
      <c r="AZ337" s="14" t="str">
        <f>IF(AT337&gt;0,INDEX(挂机升级突破!$CV$5:$CZ$5,卡牌消耗!AT337),"")</f>
        <v>金币</v>
      </c>
      <c r="BA337" s="14">
        <f>IF(AT337&gt;0,ROUND(INDEX(挂机升级突破!$CZ$7:$CZ$26,卡牌消耗!AX337)*INDEX(卡牌消耗!$B$8:$F$8,AV337)/$Q$4/500,0)*500,"")</f>
        <v>26000</v>
      </c>
      <c r="BB337" s="14" t="str">
        <f>IF(AU337&gt;0,INDEX(挂机升级突破!$CV$5:$CZ$5,卡牌消耗!AU337),"")</f>
        <v>银母</v>
      </c>
      <c r="BC337" s="14">
        <f>IF(AU337&gt;0,ROUND(INDEX(挂机升级突破!$CV$7:$CY$26,卡牌消耗!AX337,卡牌消耗!AU337)*INDEX($B$6:$F$6,AV337)/$Q$4/5,0)*5,"")</f>
        <v>30</v>
      </c>
      <c r="BD337" s="104"/>
      <c r="BE337" s="104"/>
      <c r="BF337" s="106"/>
    </row>
    <row r="338" spans="8:58" ht="16.5" x14ac:dyDescent="0.2">
      <c r="H338" s="15"/>
      <c r="I338" s="15"/>
      <c r="J338" s="15"/>
      <c r="K338" s="15"/>
      <c r="L338" s="15"/>
      <c r="M338" s="15"/>
      <c r="N338" s="15"/>
      <c r="O338" s="137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04">
        <v>334</v>
      </c>
      <c r="AB338" s="14">
        <f t="shared" si="138"/>
        <v>7</v>
      </c>
      <c r="AC338" s="14">
        <f>INDEX(挂机升级突破!$BU$6:$BU$57,卡牌消耗!AI338)</f>
        <v>11</v>
      </c>
      <c r="AD338" s="14">
        <f>INDEX(挂机升级突破!BV$6:BV$57,卡牌消耗!$AI338)</f>
        <v>3</v>
      </c>
      <c r="AE338" s="14">
        <f>INDEX(挂机升级突破!BW$6:BW$57,卡牌消耗!$AI338)</f>
        <v>0</v>
      </c>
      <c r="AF338" s="14" t="str">
        <f t="shared" si="139"/>
        <v>天使缇娜</v>
      </c>
      <c r="AG338" s="14">
        <f t="shared" si="140"/>
        <v>4</v>
      </c>
      <c r="AH338" s="14" t="str">
        <f t="shared" si="141"/>
        <v>天使缇娜魂火-22</v>
      </c>
      <c r="AI338" s="14">
        <f t="shared" si="142"/>
        <v>22</v>
      </c>
      <c r="AJ338" s="14" t="str">
        <f>INDEX(挂机升级突破!$BX$4:$CH$4,INDEX(挂机升级突破!$BU$6:$BU$57,卡牌消耗!AI338))</f>
        <v>金币</v>
      </c>
      <c r="AK338" s="14">
        <f>ROUND(INDEX(挂机升级突破!$BN$6:$BN$57,卡牌消耗!AI338)*INDEX(卡牌消耗!$B$8:$F$8,AG338)/$Q$4/50,0)*50</f>
        <v>5850</v>
      </c>
      <c r="AL338" s="14" t="str">
        <f>IF(AD338&gt;0,INDEX(挂机升级突破!$BX$4:$CH$4,AD338),"")</f>
        <v>紫色基础材料</v>
      </c>
      <c r="AM338" s="14">
        <f>ROUND(INDEX(挂机升级突破!$BX$6:$CH$57,卡牌消耗!AI338,AD338)*INDEX(卡牌消耗!$B$5:$F$5,AG338)/$Q$4/5,0)*5</f>
        <v>605</v>
      </c>
      <c r="AN338" s="14" t="str">
        <f>IF(AE338&gt;0,INDEX(挂机升级突破!$BX$4:$CH$4,AE338),"")</f>
        <v/>
      </c>
      <c r="AO338" s="14" t="str">
        <f>IF(AE338&gt;0,ROUND(INDEX(挂机升级突破!$BX$6:$CH$57,卡牌消耗!AI338,AE338)*INDEX(卡牌消耗!$B$7:$F$7,AG338)/$Q$4,0),"")</f>
        <v/>
      </c>
      <c r="AP338" s="106"/>
      <c r="AQ338" s="15"/>
      <c r="AR338" s="104">
        <v>334</v>
      </c>
      <c r="AS338" s="14">
        <f t="shared" si="143"/>
        <v>17</v>
      </c>
      <c r="AT338" s="14">
        <f>INDEX(挂机升级突破!$CM$7:$CM$26,AX338)</f>
        <v>5</v>
      </c>
      <c r="AU338" s="14">
        <f>INDEX(挂机升级突破!$CN$7:$CN$26,AX338)</f>
        <v>3</v>
      </c>
      <c r="AV338" s="14">
        <f t="shared" si="144"/>
        <v>3</v>
      </c>
      <c r="AW338" s="14" t="str">
        <f t="shared" si="145"/>
        <v>飞廉</v>
      </c>
      <c r="AX338" s="14">
        <f t="shared" si="146"/>
        <v>14</v>
      </c>
      <c r="AY338" s="14" t="str">
        <f t="shared" si="147"/>
        <v>飞廉14突</v>
      </c>
      <c r="AZ338" s="14" t="str">
        <f>IF(AT338&gt;0,INDEX(挂机升级突破!$CV$5:$CZ$5,卡牌消耗!AT338),"")</f>
        <v>金币</v>
      </c>
      <c r="BA338" s="14">
        <f>IF(AT338&gt;0,ROUND(INDEX(挂机升级突破!$CZ$7:$CZ$26,卡牌消耗!AX338)*INDEX(卡牌消耗!$B$8:$F$8,AV338)/$Q$4/500,0)*500,"")</f>
        <v>26000</v>
      </c>
      <c r="BB338" s="14" t="str">
        <f>IF(AU338&gt;0,INDEX(挂机升级突破!$CV$5:$CZ$5,卡牌消耗!AU338),"")</f>
        <v>银母</v>
      </c>
      <c r="BC338" s="14">
        <f>IF(AU338&gt;0,ROUND(INDEX(挂机升级突破!$CV$7:$CY$26,卡牌消耗!AX338,卡牌消耗!AU338)*INDEX($B$6:$F$6,AV338)/$Q$4/5,0)*5,"")</f>
        <v>40</v>
      </c>
      <c r="BD338" s="104"/>
      <c r="BE338" s="104"/>
      <c r="BF338" s="106"/>
    </row>
    <row r="339" spans="8:58" ht="16.5" x14ac:dyDescent="0.2">
      <c r="H339" s="15"/>
      <c r="I339" s="15"/>
      <c r="J339" s="15"/>
      <c r="K339" s="15"/>
      <c r="L339" s="15"/>
      <c r="M339" s="15"/>
      <c r="N339" s="15"/>
      <c r="O339" s="137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04">
        <v>335</v>
      </c>
      <c r="AB339" s="14">
        <f t="shared" si="138"/>
        <v>7</v>
      </c>
      <c r="AC339" s="14">
        <f>INDEX(挂机升级突破!$BU$6:$BU$57,卡牌消耗!AI339)</f>
        <v>11</v>
      </c>
      <c r="AD339" s="14">
        <f>INDEX(挂机升级突破!BV$6:BV$57,卡牌消耗!$AI339)</f>
        <v>4</v>
      </c>
      <c r="AE339" s="14">
        <f>INDEX(挂机升级突破!BW$6:BW$57,卡牌消耗!$AI339)</f>
        <v>0</v>
      </c>
      <c r="AF339" s="14" t="str">
        <f t="shared" si="139"/>
        <v>天使缇娜</v>
      </c>
      <c r="AG339" s="14">
        <f t="shared" si="140"/>
        <v>4</v>
      </c>
      <c r="AH339" s="14" t="str">
        <f t="shared" si="141"/>
        <v>天使缇娜魂火-23</v>
      </c>
      <c r="AI339" s="14">
        <f t="shared" si="142"/>
        <v>23</v>
      </c>
      <c r="AJ339" s="14" t="str">
        <f>INDEX(挂机升级突破!$BX$4:$CH$4,INDEX(挂机升级突破!$BU$6:$BU$57,卡牌消耗!AI339))</f>
        <v>金币</v>
      </c>
      <c r="AK339" s="14">
        <f>ROUND(INDEX(挂机升级突破!$BN$6:$BN$57,卡牌消耗!AI339)*INDEX(卡牌消耗!$B$8:$F$8,AG339)/$Q$4/50,0)*50</f>
        <v>8050</v>
      </c>
      <c r="AL339" s="14" t="str">
        <f>IF(AD339&gt;0,INDEX(挂机升级突破!$BX$4:$CH$4,AD339),"")</f>
        <v>橙色基础材料</v>
      </c>
      <c r="AM339" s="14">
        <f>ROUND(INDEX(挂机升级突破!$BX$6:$CH$57,卡牌消耗!AI339,AD339)*INDEX(卡牌消耗!$B$5:$F$5,AG339)/$Q$4/5,0)*5</f>
        <v>85</v>
      </c>
      <c r="AN339" s="14" t="str">
        <f>IF(AE339&gt;0,INDEX(挂机升级突破!$BX$4:$CH$4,AE339),"")</f>
        <v/>
      </c>
      <c r="AO339" s="14" t="str">
        <f>IF(AE339&gt;0,ROUND(INDEX(挂机升级突破!$BX$6:$CH$57,卡牌消耗!AI339,AE339)*INDEX(卡牌消耗!$B$7:$F$7,AG339)/$Q$4,0),"")</f>
        <v/>
      </c>
      <c r="AP339" s="106"/>
      <c r="AQ339" s="15"/>
      <c r="AR339" s="104">
        <v>335</v>
      </c>
      <c r="AS339" s="14">
        <f t="shared" si="143"/>
        <v>17</v>
      </c>
      <c r="AT339" s="14">
        <f>INDEX(挂机升级突破!$CM$7:$CM$26,AX339)</f>
        <v>5</v>
      </c>
      <c r="AU339" s="14">
        <f>INDEX(挂机升级突破!$CN$7:$CN$26,AX339)</f>
        <v>3</v>
      </c>
      <c r="AV339" s="14">
        <f t="shared" si="144"/>
        <v>3</v>
      </c>
      <c r="AW339" s="14" t="str">
        <f t="shared" si="145"/>
        <v>飞廉</v>
      </c>
      <c r="AX339" s="14">
        <f t="shared" si="146"/>
        <v>15</v>
      </c>
      <c r="AY339" s="14" t="str">
        <f t="shared" si="147"/>
        <v>飞廉15突</v>
      </c>
      <c r="AZ339" s="14" t="str">
        <f>IF(AT339&gt;0,INDEX(挂机升级突破!$CV$5:$CZ$5,卡牌消耗!AT339),"")</f>
        <v>金币</v>
      </c>
      <c r="BA339" s="14">
        <f>IF(AT339&gt;0,ROUND(INDEX(挂机升级突破!$CZ$7:$CZ$26,卡牌消耗!AX339)*INDEX(卡牌消耗!$B$8:$F$8,AV339)/$Q$4/500,0)*500,"")</f>
        <v>34500</v>
      </c>
      <c r="BB339" s="14" t="str">
        <f>IF(AU339&gt;0,INDEX(挂机升级突破!$CV$5:$CZ$5,卡牌消耗!AU339),"")</f>
        <v>银母</v>
      </c>
      <c r="BC339" s="14">
        <f>IF(AU339&gt;0,ROUND(INDEX(挂机升级突破!$CV$7:$CY$26,卡牌消耗!AX339,卡牌消耗!AU339)*INDEX($B$6:$F$6,AV339)/$Q$4/5,0)*5,"")</f>
        <v>55</v>
      </c>
      <c r="BD339" s="104"/>
      <c r="BE339" s="104"/>
      <c r="BF339" s="106"/>
    </row>
    <row r="340" spans="8:58" ht="16.5" x14ac:dyDescent="0.2">
      <c r="H340" s="15"/>
      <c r="I340" s="15"/>
      <c r="J340" s="15"/>
      <c r="K340" s="15"/>
      <c r="L340" s="15"/>
      <c r="M340" s="15"/>
      <c r="N340" s="15"/>
      <c r="O340" s="137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04">
        <v>336</v>
      </c>
      <c r="AB340" s="14">
        <f t="shared" si="138"/>
        <v>7</v>
      </c>
      <c r="AC340" s="14">
        <f>INDEX(挂机升级突破!$BU$6:$BU$57,卡牌消耗!AI340)</f>
        <v>11</v>
      </c>
      <c r="AD340" s="14">
        <f>INDEX(挂机升级突破!BV$6:BV$57,卡牌消耗!$AI340)</f>
        <v>4</v>
      </c>
      <c r="AE340" s="14">
        <f>INDEX(挂机升级突破!BW$6:BW$57,卡牌消耗!$AI340)</f>
        <v>0</v>
      </c>
      <c r="AF340" s="14" t="str">
        <f t="shared" si="139"/>
        <v>天使缇娜</v>
      </c>
      <c r="AG340" s="14">
        <f t="shared" si="140"/>
        <v>4</v>
      </c>
      <c r="AH340" s="14" t="str">
        <f t="shared" si="141"/>
        <v>天使缇娜魂火-24</v>
      </c>
      <c r="AI340" s="14">
        <f t="shared" si="142"/>
        <v>24</v>
      </c>
      <c r="AJ340" s="14" t="str">
        <f>INDEX(挂机升级突破!$BX$4:$CH$4,INDEX(挂机升级突破!$BU$6:$BU$57,卡牌消耗!AI340))</f>
        <v>金币</v>
      </c>
      <c r="AK340" s="14">
        <f>ROUND(INDEX(挂机升级突破!$BN$6:$BN$57,卡牌消耗!AI340)*INDEX(卡牌消耗!$B$8:$F$8,AG340)/$Q$4/50,0)*50</f>
        <v>8050</v>
      </c>
      <c r="AL340" s="14" t="str">
        <f>IF(AD340&gt;0,INDEX(挂机升级突破!$BX$4:$CH$4,AD340),"")</f>
        <v>橙色基础材料</v>
      </c>
      <c r="AM340" s="14">
        <f>ROUND(INDEX(挂机升级突破!$BX$6:$CH$57,卡牌消耗!AI340,AD340)*INDEX(卡牌消耗!$B$5:$F$5,AG340)/$Q$4/5,0)*5</f>
        <v>85</v>
      </c>
      <c r="AN340" s="14" t="str">
        <f>IF(AE340&gt;0,INDEX(挂机升级突破!$BX$4:$CH$4,AE340),"")</f>
        <v/>
      </c>
      <c r="AO340" s="14" t="str">
        <f>IF(AE340&gt;0,ROUND(INDEX(挂机升级突破!$BX$6:$CH$57,卡牌消耗!AI340,AE340)*INDEX(卡牌消耗!$B$7:$F$7,AG340)/$Q$4,0),"")</f>
        <v/>
      </c>
      <c r="AP340" s="106"/>
      <c r="AQ340" s="15"/>
      <c r="AR340" s="104">
        <v>336</v>
      </c>
      <c r="AS340" s="14">
        <f t="shared" si="143"/>
        <v>17</v>
      </c>
      <c r="AT340" s="14">
        <f>INDEX(挂机升级突破!$CM$7:$CM$26,AX340)</f>
        <v>5</v>
      </c>
      <c r="AU340" s="14">
        <f>INDEX(挂机升级突破!$CN$7:$CN$26,AX340)</f>
        <v>3</v>
      </c>
      <c r="AV340" s="14">
        <f t="shared" si="144"/>
        <v>3</v>
      </c>
      <c r="AW340" s="14" t="str">
        <f t="shared" si="145"/>
        <v>飞廉</v>
      </c>
      <c r="AX340" s="14">
        <f t="shared" si="146"/>
        <v>16</v>
      </c>
      <c r="AY340" s="14" t="str">
        <f t="shared" si="147"/>
        <v>飞廉16突</v>
      </c>
      <c r="AZ340" s="14" t="str">
        <f>IF(AT340&gt;0,INDEX(挂机升级突破!$CV$5:$CZ$5,卡牌消耗!AT340),"")</f>
        <v>金币</v>
      </c>
      <c r="BA340" s="14">
        <f>IF(AT340&gt;0,ROUND(INDEX(挂机升级突破!$CZ$7:$CZ$26,卡牌消耗!AX340)*INDEX(卡牌消耗!$B$8:$F$8,AV340)/$Q$4/500,0)*500,"")</f>
        <v>62500</v>
      </c>
      <c r="BB340" s="14" t="str">
        <f>IF(AU340&gt;0,INDEX(挂机升级突破!$CV$5:$CZ$5,卡牌消耗!AU340),"")</f>
        <v>银母</v>
      </c>
      <c r="BC340" s="14">
        <f>IF(AU340&gt;0,ROUND(INDEX(挂机升级突破!$CV$7:$CY$26,卡牌消耗!AX340,卡牌消耗!AU340)*INDEX($B$6:$F$6,AV340)/$Q$4/5,0)*5,"")</f>
        <v>70</v>
      </c>
      <c r="BD340" s="104"/>
      <c r="BE340" s="104"/>
      <c r="BF340" s="106"/>
    </row>
    <row r="341" spans="8:58" ht="16.5" x14ac:dyDescent="0.2">
      <c r="H341" s="15"/>
      <c r="I341" s="15"/>
      <c r="J341" s="15"/>
      <c r="K341" s="15"/>
      <c r="L341" s="15"/>
      <c r="M341" s="15"/>
      <c r="N341" s="15"/>
      <c r="O341" s="137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04">
        <v>337</v>
      </c>
      <c r="AB341" s="14">
        <f t="shared" si="138"/>
        <v>7</v>
      </c>
      <c r="AC341" s="14">
        <f>INDEX(挂机升级突破!$BU$6:$BU$57,卡牌消耗!AI341)</f>
        <v>11</v>
      </c>
      <c r="AD341" s="14">
        <f>INDEX(挂机升级突破!BV$6:BV$57,卡牌消耗!$AI341)</f>
        <v>4</v>
      </c>
      <c r="AE341" s="14">
        <f>INDEX(挂机升级突破!BW$6:BW$57,卡牌消耗!$AI341)</f>
        <v>0</v>
      </c>
      <c r="AF341" s="14" t="str">
        <f t="shared" si="139"/>
        <v>天使缇娜</v>
      </c>
      <c r="AG341" s="14">
        <f t="shared" si="140"/>
        <v>4</v>
      </c>
      <c r="AH341" s="14" t="str">
        <f t="shared" si="141"/>
        <v>天使缇娜魂火-25</v>
      </c>
      <c r="AI341" s="14">
        <f t="shared" si="142"/>
        <v>25</v>
      </c>
      <c r="AJ341" s="14" t="str">
        <f>INDEX(挂机升级突破!$BX$4:$CH$4,INDEX(挂机升级突破!$BU$6:$BU$57,卡牌消耗!AI341))</f>
        <v>金币</v>
      </c>
      <c r="AK341" s="14">
        <f>ROUND(INDEX(挂机升级突破!$BN$6:$BN$57,卡牌消耗!AI341)*INDEX(卡牌消耗!$B$8:$F$8,AG341)/$Q$4/50,0)*50</f>
        <v>8800</v>
      </c>
      <c r="AL341" s="14" t="str">
        <f>IF(AD341&gt;0,INDEX(挂机升级突破!$BX$4:$CH$4,AD341),"")</f>
        <v>橙色基础材料</v>
      </c>
      <c r="AM341" s="14">
        <f>ROUND(INDEX(挂机升级突破!$BX$6:$CH$57,卡牌消耗!AI341,AD341)*INDEX(卡牌消耗!$B$5:$F$5,AG341)/$Q$4/5,0)*5</f>
        <v>85</v>
      </c>
      <c r="AN341" s="14" t="str">
        <f>IF(AE341&gt;0,INDEX(挂机升级突破!$BX$4:$CH$4,AE341),"")</f>
        <v/>
      </c>
      <c r="AO341" s="14" t="str">
        <f>IF(AE341&gt;0,ROUND(INDEX(挂机升级突破!$BX$6:$CH$57,卡牌消耗!AI341,AE341)*INDEX(卡牌消耗!$B$7:$F$7,AG341)/$Q$4,0),"")</f>
        <v/>
      </c>
      <c r="AP341" s="106"/>
      <c r="AQ341" s="15"/>
      <c r="AR341" s="104">
        <v>337</v>
      </c>
      <c r="AS341" s="14">
        <f t="shared" si="143"/>
        <v>17</v>
      </c>
      <c r="AT341" s="14">
        <f>INDEX(挂机升级突破!$CM$7:$CM$26,AX341)</f>
        <v>5</v>
      </c>
      <c r="AU341" s="14">
        <f>INDEX(挂机升级突破!$CN$7:$CN$26,AX341)</f>
        <v>4</v>
      </c>
      <c r="AV341" s="14">
        <f t="shared" si="144"/>
        <v>3</v>
      </c>
      <c r="AW341" s="14" t="str">
        <f t="shared" si="145"/>
        <v>飞廉</v>
      </c>
      <c r="AX341" s="14">
        <f t="shared" si="146"/>
        <v>17</v>
      </c>
      <c r="AY341" s="14" t="str">
        <f t="shared" si="147"/>
        <v>飞廉17突</v>
      </c>
      <c r="AZ341" s="14" t="str">
        <f>IF(AT341&gt;0,INDEX(挂机升级突破!$CV$5:$CZ$5,卡牌消耗!AT341),"")</f>
        <v>金币</v>
      </c>
      <c r="BA341" s="14">
        <f>IF(AT341&gt;0,ROUND(INDEX(挂机升级突破!$CZ$7:$CZ$26,卡牌消耗!AX341)*INDEX(卡牌消耗!$B$8:$F$8,AV341)/$Q$4/500,0)*500,"")</f>
        <v>62500</v>
      </c>
      <c r="BB341" s="14" t="str">
        <f>IF(AU341&gt;0,INDEX(挂机升级突破!$CV$5:$CZ$5,卡牌消耗!AU341),"")</f>
        <v>铀金</v>
      </c>
      <c r="BC341" s="14">
        <f>IF(AU341&gt;0,ROUND(INDEX(挂机升级突破!$CV$7:$CY$26,卡牌消耗!AX341,卡牌消耗!AU341)*INDEX($B$6:$F$6,AV341)/$Q$4/5,0)*5,"")</f>
        <v>25</v>
      </c>
      <c r="BD341" s="104"/>
      <c r="BE341" s="104"/>
      <c r="BF341" s="106"/>
    </row>
    <row r="342" spans="8:58" ht="16.5" x14ac:dyDescent="0.2">
      <c r="H342" s="15"/>
      <c r="I342" s="15"/>
      <c r="J342" s="15"/>
      <c r="K342" s="15"/>
      <c r="L342" s="15"/>
      <c r="M342" s="15"/>
      <c r="N342" s="15"/>
      <c r="O342" s="137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04">
        <v>338</v>
      </c>
      <c r="AB342" s="14">
        <f t="shared" si="138"/>
        <v>7</v>
      </c>
      <c r="AC342" s="14">
        <f>INDEX(挂机升级突破!$BU$6:$BU$57,卡牌消耗!AI342)</f>
        <v>11</v>
      </c>
      <c r="AD342" s="14">
        <f>INDEX(挂机升级突破!BV$6:BV$57,卡牌消耗!$AI342)</f>
        <v>4</v>
      </c>
      <c r="AE342" s="14">
        <f>INDEX(挂机升级突破!BW$6:BW$57,卡牌消耗!$AI342)</f>
        <v>0</v>
      </c>
      <c r="AF342" s="14" t="str">
        <f t="shared" si="139"/>
        <v>天使缇娜</v>
      </c>
      <c r="AG342" s="14">
        <f t="shared" si="140"/>
        <v>4</v>
      </c>
      <c r="AH342" s="14" t="str">
        <f t="shared" si="141"/>
        <v>天使缇娜魂火-26</v>
      </c>
      <c r="AI342" s="14">
        <f t="shared" si="142"/>
        <v>26</v>
      </c>
      <c r="AJ342" s="14" t="str">
        <f>INDEX(挂机升级突破!$BX$4:$CH$4,INDEX(挂机升级突破!$BU$6:$BU$57,卡牌消耗!AI342))</f>
        <v>金币</v>
      </c>
      <c r="AK342" s="14">
        <f>ROUND(INDEX(挂机升级突破!$BN$6:$BN$57,卡牌消耗!AI342)*INDEX(卡牌消耗!$B$8:$F$8,AG342)/$Q$4/50,0)*50</f>
        <v>10250</v>
      </c>
      <c r="AL342" s="14" t="str">
        <f>IF(AD342&gt;0,INDEX(挂机升级突破!$BX$4:$CH$4,AD342),"")</f>
        <v>橙色基础材料</v>
      </c>
      <c r="AM342" s="14">
        <f>ROUND(INDEX(挂机升级突破!$BX$6:$CH$57,卡牌消耗!AI342,AD342)*INDEX(卡牌消耗!$B$5:$F$5,AG342)/$Q$4/5,0)*5</f>
        <v>100</v>
      </c>
      <c r="AN342" s="14" t="str">
        <f>IF(AE342&gt;0,INDEX(挂机升级突破!$BX$4:$CH$4,AE342),"")</f>
        <v/>
      </c>
      <c r="AO342" s="14" t="str">
        <f>IF(AE342&gt;0,ROUND(INDEX(挂机升级突破!$BX$6:$CH$57,卡牌消耗!AI342,AE342)*INDEX(卡牌消耗!$B$7:$F$7,AG342)/$Q$4,0),"")</f>
        <v/>
      </c>
      <c r="AP342" s="106"/>
      <c r="AQ342" s="15"/>
      <c r="AR342" s="104">
        <v>338</v>
      </c>
      <c r="AS342" s="14">
        <f t="shared" si="143"/>
        <v>17</v>
      </c>
      <c r="AT342" s="14">
        <f>INDEX(挂机升级突破!$CM$7:$CM$26,AX342)</f>
        <v>5</v>
      </c>
      <c r="AU342" s="14">
        <f>INDEX(挂机升级突破!$CN$7:$CN$26,AX342)</f>
        <v>4</v>
      </c>
      <c r="AV342" s="14">
        <f t="shared" si="144"/>
        <v>3</v>
      </c>
      <c r="AW342" s="14" t="str">
        <f t="shared" si="145"/>
        <v>飞廉</v>
      </c>
      <c r="AX342" s="14">
        <f t="shared" si="146"/>
        <v>18</v>
      </c>
      <c r="AY342" s="14" t="str">
        <f t="shared" si="147"/>
        <v>飞廉18突</v>
      </c>
      <c r="AZ342" s="14" t="str">
        <f>IF(AT342&gt;0,INDEX(挂机升级突破!$CV$5:$CZ$5,卡牌消耗!AT342),"")</f>
        <v>金币</v>
      </c>
      <c r="BA342" s="14">
        <f>IF(AT342&gt;0,ROUND(INDEX(挂机升级突破!$CZ$7:$CZ$26,卡牌消耗!AX342)*INDEX(卡牌消耗!$B$8:$F$8,AV342)/$Q$4/500,0)*500,"")</f>
        <v>83500</v>
      </c>
      <c r="BB342" s="14" t="str">
        <f>IF(AU342&gt;0,INDEX(挂机升级突破!$CV$5:$CZ$5,卡牌消耗!AU342),"")</f>
        <v>铀金</v>
      </c>
      <c r="BC342" s="14">
        <f>IF(AU342&gt;0,ROUND(INDEX(挂机升级突破!$CV$7:$CY$26,卡牌消耗!AX342,卡牌消耗!AU342)*INDEX($B$6:$F$6,AV342)/$Q$4/5,0)*5,"")</f>
        <v>35</v>
      </c>
      <c r="BD342" s="104"/>
      <c r="BE342" s="104"/>
      <c r="BF342" s="106"/>
    </row>
    <row r="343" spans="8:58" ht="16.5" x14ac:dyDescent="0.2">
      <c r="H343" s="15"/>
      <c r="I343" s="15"/>
      <c r="J343" s="15"/>
      <c r="K343" s="15"/>
      <c r="L343" s="15"/>
      <c r="M343" s="15"/>
      <c r="N343" s="15"/>
      <c r="O343" s="137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04">
        <v>339</v>
      </c>
      <c r="AB343" s="14">
        <f t="shared" si="138"/>
        <v>7</v>
      </c>
      <c r="AC343" s="14">
        <f>INDEX(挂机升级突破!$BU$6:$BU$57,卡牌消耗!AI343)</f>
        <v>11</v>
      </c>
      <c r="AD343" s="14">
        <f>INDEX(挂机升级突破!BV$6:BV$57,卡牌消耗!$AI343)</f>
        <v>4</v>
      </c>
      <c r="AE343" s="14">
        <f>INDEX(挂机升级突破!BW$6:BW$57,卡牌消耗!$AI343)</f>
        <v>0</v>
      </c>
      <c r="AF343" s="14" t="str">
        <f t="shared" si="139"/>
        <v>天使缇娜</v>
      </c>
      <c r="AG343" s="14">
        <f t="shared" si="140"/>
        <v>4</v>
      </c>
      <c r="AH343" s="14" t="str">
        <f t="shared" si="141"/>
        <v>天使缇娜魂火-27</v>
      </c>
      <c r="AI343" s="14">
        <f t="shared" si="142"/>
        <v>27</v>
      </c>
      <c r="AJ343" s="14" t="str">
        <f>INDEX(挂机升级突破!$BX$4:$CH$4,INDEX(挂机升级突破!$BU$6:$BU$57,卡牌消耗!AI343))</f>
        <v>金币</v>
      </c>
      <c r="AK343" s="14">
        <f>ROUND(INDEX(挂机升级突破!$BN$6:$BN$57,卡牌消耗!AI343)*INDEX(卡牌消耗!$B$8:$F$8,AG343)/$Q$4/50,0)*50</f>
        <v>10250</v>
      </c>
      <c r="AL343" s="14" t="str">
        <f>IF(AD343&gt;0,INDEX(挂机升级突破!$BX$4:$CH$4,AD343),"")</f>
        <v>橙色基础材料</v>
      </c>
      <c r="AM343" s="14">
        <f>ROUND(INDEX(挂机升级突破!$BX$6:$CH$57,卡牌消耗!AI343,AD343)*INDEX(卡牌消耗!$B$5:$F$5,AG343)/$Q$4/5,0)*5</f>
        <v>100</v>
      </c>
      <c r="AN343" s="14" t="str">
        <f>IF(AE343&gt;0,INDEX(挂机升级突破!$BX$4:$CH$4,AE343),"")</f>
        <v/>
      </c>
      <c r="AO343" s="14" t="str">
        <f>IF(AE343&gt;0,ROUND(INDEX(挂机升级突破!$BX$6:$CH$57,卡牌消耗!AI343,AE343)*INDEX(卡牌消耗!$B$7:$F$7,AG343)/$Q$4,0),"")</f>
        <v/>
      </c>
      <c r="AP343" s="106"/>
      <c r="AQ343" s="15"/>
      <c r="AR343" s="104">
        <v>339</v>
      </c>
      <c r="AS343" s="14">
        <f t="shared" si="143"/>
        <v>17</v>
      </c>
      <c r="AT343" s="14">
        <f>INDEX(挂机升级突破!$CM$7:$CM$26,AX343)</f>
        <v>5</v>
      </c>
      <c r="AU343" s="14">
        <f>INDEX(挂机升级突破!$CN$7:$CN$26,AX343)</f>
        <v>4</v>
      </c>
      <c r="AV343" s="14">
        <f t="shared" si="144"/>
        <v>3</v>
      </c>
      <c r="AW343" s="14" t="str">
        <f t="shared" si="145"/>
        <v>飞廉</v>
      </c>
      <c r="AX343" s="14">
        <f t="shared" si="146"/>
        <v>19</v>
      </c>
      <c r="AY343" s="14" t="str">
        <f t="shared" si="147"/>
        <v>飞廉19突</v>
      </c>
      <c r="AZ343" s="14" t="str">
        <f>IF(AT343&gt;0,INDEX(挂机升级突破!$CV$5:$CZ$5,卡牌消耗!AT343),"")</f>
        <v>金币</v>
      </c>
      <c r="BA343" s="14">
        <f>IF(AT343&gt;0,ROUND(INDEX(挂机升级突破!$CZ$7:$CZ$26,卡牌消耗!AX343)*INDEX(卡牌消耗!$B$8:$F$8,AV343)/$Q$4/500,0)*500,"")</f>
        <v>506500</v>
      </c>
      <c r="BB343" s="14" t="str">
        <f>IF(AU343&gt;0,INDEX(挂机升级突破!$CV$5:$CZ$5,卡牌消耗!AU343),"")</f>
        <v>铀金</v>
      </c>
      <c r="BC343" s="14">
        <f>IF(AU343&gt;0,ROUND(INDEX(挂机升级突破!$CV$7:$CY$26,卡牌消耗!AX343,卡牌消耗!AU343)*INDEX($B$6:$F$6,AV343)/$Q$4/5,0)*5,"")</f>
        <v>45</v>
      </c>
      <c r="BD343" s="104"/>
      <c r="BE343" s="104"/>
      <c r="BF343" s="106"/>
    </row>
    <row r="344" spans="8:58" ht="16.5" x14ac:dyDescent="0.2">
      <c r="H344" s="15"/>
      <c r="I344" s="15"/>
      <c r="J344" s="15"/>
      <c r="K344" s="15"/>
      <c r="L344" s="15"/>
      <c r="M344" s="15"/>
      <c r="N344" s="15"/>
      <c r="O344" s="137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04">
        <v>340</v>
      </c>
      <c r="AB344" s="14">
        <f t="shared" si="138"/>
        <v>7</v>
      </c>
      <c r="AC344" s="14">
        <f>INDEX(挂机升级突破!$BU$6:$BU$57,卡牌消耗!AI344)</f>
        <v>11</v>
      </c>
      <c r="AD344" s="14">
        <f>INDEX(挂机升级突破!BV$6:BV$57,卡牌消耗!$AI344)</f>
        <v>4</v>
      </c>
      <c r="AE344" s="14">
        <f>INDEX(挂机升级突破!BW$6:BW$57,卡牌消耗!$AI344)</f>
        <v>0</v>
      </c>
      <c r="AF344" s="14" t="str">
        <f t="shared" si="139"/>
        <v>天使缇娜</v>
      </c>
      <c r="AG344" s="14">
        <f t="shared" si="140"/>
        <v>4</v>
      </c>
      <c r="AH344" s="14" t="str">
        <f t="shared" si="141"/>
        <v>天使缇娜魂火-28</v>
      </c>
      <c r="AI344" s="14">
        <f t="shared" si="142"/>
        <v>28</v>
      </c>
      <c r="AJ344" s="14" t="str">
        <f>INDEX(挂机升级突破!$BX$4:$CH$4,INDEX(挂机升级突破!$BU$6:$BU$57,卡牌消耗!AI344))</f>
        <v>金币</v>
      </c>
      <c r="AK344" s="14">
        <f>ROUND(INDEX(挂机升级突破!$BN$6:$BN$57,卡牌消耗!AI344)*INDEX(卡牌消耗!$B$8:$F$8,AG344)/$Q$4/50,0)*50</f>
        <v>10250</v>
      </c>
      <c r="AL344" s="14" t="str">
        <f>IF(AD344&gt;0,INDEX(挂机升级突破!$BX$4:$CH$4,AD344),"")</f>
        <v>橙色基础材料</v>
      </c>
      <c r="AM344" s="14">
        <f>ROUND(INDEX(挂机升级突破!$BX$6:$CH$57,卡牌消耗!AI344,AD344)*INDEX(卡牌消耗!$B$5:$F$5,AG344)/$Q$4/5,0)*5</f>
        <v>100</v>
      </c>
      <c r="AN344" s="14" t="str">
        <f>IF(AE344&gt;0,INDEX(挂机升级突破!$BX$4:$CH$4,AE344),"")</f>
        <v/>
      </c>
      <c r="AO344" s="14" t="str">
        <f>IF(AE344&gt;0,ROUND(INDEX(挂机升级突破!$BX$6:$CH$57,卡牌消耗!AI344,AE344)*INDEX(卡牌消耗!$B$7:$F$7,AG344)/$Q$4,0),"")</f>
        <v/>
      </c>
      <c r="AP344" s="106"/>
      <c r="AQ344" s="15"/>
      <c r="AR344" s="104">
        <v>340</v>
      </c>
      <c r="AS344" s="14">
        <f t="shared" si="143"/>
        <v>17</v>
      </c>
      <c r="AT344" s="14">
        <f>INDEX(挂机升级突破!$CM$7:$CM$26,AX344)</f>
        <v>5</v>
      </c>
      <c r="AU344" s="14">
        <f>INDEX(挂机升级突破!$CN$7:$CN$26,AX344)</f>
        <v>4</v>
      </c>
      <c r="AV344" s="14">
        <f t="shared" si="144"/>
        <v>3</v>
      </c>
      <c r="AW344" s="14" t="str">
        <f t="shared" si="145"/>
        <v>飞廉</v>
      </c>
      <c r="AX344" s="14">
        <f t="shared" si="146"/>
        <v>20</v>
      </c>
      <c r="AY344" s="14" t="str">
        <f t="shared" si="147"/>
        <v>飞廉20突</v>
      </c>
      <c r="AZ344" s="14" t="str">
        <f>IF(AT344&gt;0,INDEX(挂机升级突破!$CV$5:$CZ$5,卡牌消耗!AT344),"")</f>
        <v>金币</v>
      </c>
      <c r="BA344" s="14">
        <f>IF(AT344&gt;0,ROUND(INDEX(挂机升级突破!$CZ$7:$CZ$26,卡牌消耗!AX344)*INDEX(卡牌消耗!$B$8:$F$8,AV344)/$Q$4/500,0)*500,"")</f>
        <v>760000</v>
      </c>
      <c r="BB344" s="14" t="str">
        <f>IF(AU344&gt;0,INDEX(挂机升级突破!$CV$5:$CZ$5,卡牌消耗!AU344),"")</f>
        <v>铀金</v>
      </c>
      <c r="BC344" s="14">
        <f>IF(AU344&gt;0,ROUND(INDEX(挂机升级突破!$CV$7:$CY$26,卡牌消耗!AX344,卡牌消耗!AU344)*INDEX($B$6:$F$6,AV344)/$Q$4/5,0)*5,"")</f>
        <v>60</v>
      </c>
      <c r="BD344" s="104"/>
      <c r="BE344" s="104"/>
      <c r="BF344" s="106"/>
    </row>
    <row r="345" spans="8:58" ht="16.5" x14ac:dyDescent="0.2">
      <c r="H345" s="15"/>
      <c r="I345" s="15"/>
      <c r="J345" s="15"/>
      <c r="K345" s="15"/>
      <c r="L345" s="15"/>
      <c r="M345" s="15"/>
      <c r="N345" s="15"/>
      <c r="O345" s="137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04">
        <v>341</v>
      </c>
      <c r="AB345" s="14">
        <f t="shared" si="138"/>
        <v>7</v>
      </c>
      <c r="AC345" s="14">
        <f>INDEX(挂机升级突破!$BU$6:$BU$57,卡牌消耗!AI345)</f>
        <v>11</v>
      </c>
      <c r="AD345" s="14">
        <f>INDEX(挂机升级突破!BV$6:BV$57,卡牌消耗!$AI345)</f>
        <v>4</v>
      </c>
      <c r="AE345" s="14">
        <f>INDEX(挂机升级突破!BW$6:BW$57,卡牌消耗!$AI345)</f>
        <v>0</v>
      </c>
      <c r="AF345" s="14" t="str">
        <f t="shared" si="139"/>
        <v>天使缇娜</v>
      </c>
      <c r="AG345" s="14">
        <f t="shared" si="140"/>
        <v>4</v>
      </c>
      <c r="AH345" s="14" t="str">
        <f t="shared" si="141"/>
        <v>天使缇娜魂火-29</v>
      </c>
      <c r="AI345" s="14">
        <f t="shared" si="142"/>
        <v>29</v>
      </c>
      <c r="AJ345" s="14" t="str">
        <f>INDEX(挂机升级突破!$BX$4:$CH$4,INDEX(挂机升级突破!$BU$6:$BU$57,卡牌消耗!AI345))</f>
        <v>金币</v>
      </c>
      <c r="AK345" s="14">
        <f>ROUND(INDEX(挂机升级突破!$BN$6:$BN$57,卡牌消耗!AI345)*INDEX(卡牌消耗!$B$8:$F$8,AG345)/$Q$4/50,0)*50</f>
        <v>10350</v>
      </c>
      <c r="AL345" s="14" t="str">
        <f>IF(AD345&gt;0,INDEX(挂机升级突破!$BX$4:$CH$4,AD345),"")</f>
        <v>橙色基础材料</v>
      </c>
      <c r="AM345" s="14">
        <f>ROUND(INDEX(挂机升级突破!$BX$6:$CH$57,卡牌消耗!AI345,AD345)*INDEX(卡牌消耗!$B$5:$F$5,AG345)/$Q$4/5,0)*5</f>
        <v>115</v>
      </c>
      <c r="AN345" s="14" t="str">
        <f>IF(AE345&gt;0,INDEX(挂机升级突破!$BX$4:$CH$4,AE345),"")</f>
        <v/>
      </c>
      <c r="AO345" s="14" t="str">
        <f>IF(AE345&gt;0,ROUND(INDEX(挂机升级突破!$BX$6:$CH$57,卡牌消耗!AI345,AE345)*INDEX(卡牌消耗!$B$7:$F$7,AG345)/$Q$4,0),"")</f>
        <v/>
      </c>
      <c r="AP345" s="106"/>
      <c r="AQ345" s="15"/>
      <c r="AR345" s="104">
        <v>341</v>
      </c>
      <c r="AS345" s="14">
        <f t="shared" si="143"/>
        <v>18</v>
      </c>
      <c r="AT345" s="14">
        <f>INDEX(挂机升级突破!$CM$7:$CM$26,AX345)</f>
        <v>0</v>
      </c>
      <c r="AU345" s="14">
        <f>INDEX(挂机升级突破!$CN$7:$CN$26,AX345)</f>
        <v>0</v>
      </c>
      <c r="AV345" s="14">
        <f t="shared" si="144"/>
        <v>2</v>
      </c>
      <c r="AW345" s="14" t="str">
        <f t="shared" si="145"/>
        <v>噬日</v>
      </c>
      <c r="AX345" s="14">
        <f t="shared" si="146"/>
        <v>1</v>
      </c>
      <c r="AY345" s="14" t="str">
        <f t="shared" si="147"/>
        <v>噬日1突</v>
      </c>
      <c r="AZ345" s="14" t="str">
        <f>IF(AT345&gt;0,INDEX(挂机升级突破!$CV$5:$CZ$5,卡牌消耗!AT345),"")</f>
        <v/>
      </c>
      <c r="BA345" s="14" t="str">
        <f>IF(AT345&gt;0,ROUND(INDEX(挂机升级突破!$CZ$7:$CZ$26,卡牌消耗!AX345)*INDEX(卡牌消耗!$B$8:$F$8,AV345)/$Q$4/500,0)*500,"")</f>
        <v/>
      </c>
      <c r="BB345" s="14" t="str">
        <f>IF(AU345&gt;0,INDEX(挂机升级突破!$CV$5:$CZ$5,卡牌消耗!AU345),"")</f>
        <v/>
      </c>
      <c r="BC345" s="14" t="str">
        <f>IF(AU345&gt;0,ROUND(INDEX(挂机升级突破!$CV$7:$CY$26,卡牌消耗!AX345,卡牌消耗!AU345)*INDEX($B$6:$F$6,AV345)/$Q$4/5,0)*5,"")</f>
        <v/>
      </c>
      <c r="BD345" s="104"/>
      <c r="BE345" s="104"/>
      <c r="BF345" s="106"/>
    </row>
    <row r="346" spans="8:58" ht="16.5" x14ac:dyDescent="0.2">
      <c r="H346" s="15"/>
      <c r="I346" s="15"/>
      <c r="J346" s="15"/>
      <c r="K346" s="15"/>
      <c r="L346" s="15"/>
      <c r="M346" s="15"/>
      <c r="N346" s="15"/>
      <c r="O346" s="137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04">
        <v>342</v>
      </c>
      <c r="AB346" s="14">
        <f t="shared" si="138"/>
        <v>7</v>
      </c>
      <c r="AC346" s="14">
        <f>INDEX(挂机升级突破!$BU$6:$BU$57,卡牌消耗!AI346)</f>
        <v>11</v>
      </c>
      <c r="AD346" s="14">
        <f>INDEX(挂机升级突破!BV$6:BV$57,卡牌消耗!$AI346)</f>
        <v>4</v>
      </c>
      <c r="AE346" s="14">
        <f>INDEX(挂机升级突破!BW$6:BW$57,卡牌消耗!$AI346)</f>
        <v>0</v>
      </c>
      <c r="AF346" s="14" t="str">
        <f t="shared" si="139"/>
        <v>天使缇娜</v>
      </c>
      <c r="AG346" s="14">
        <f t="shared" si="140"/>
        <v>4</v>
      </c>
      <c r="AH346" s="14" t="str">
        <f t="shared" si="141"/>
        <v>天使缇娜魂火-30</v>
      </c>
      <c r="AI346" s="14">
        <f t="shared" si="142"/>
        <v>30</v>
      </c>
      <c r="AJ346" s="14" t="str">
        <f>INDEX(挂机升级突破!$BX$4:$CH$4,INDEX(挂机升级突破!$BU$6:$BU$57,卡牌消耗!AI346))</f>
        <v>金币</v>
      </c>
      <c r="AK346" s="14">
        <f>ROUND(INDEX(挂机升级突破!$BN$6:$BN$57,卡牌消耗!AI346)*INDEX(卡牌消耗!$B$8:$F$8,AG346)/$Q$4/50,0)*50</f>
        <v>10350</v>
      </c>
      <c r="AL346" s="14" t="str">
        <f>IF(AD346&gt;0,INDEX(挂机升级突破!$BX$4:$CH$4,AD346),"")</f>
        <v>橙色基础材料</v>
      </c>
      <c r="AM346" s="14">
        <f>ROUND(INDEX(挂机升级突破!$BX$6:$CH$57,卡牌消耗!AI346,AD346)*INDEX(卡牌消耗!$B$5:$F$5,AG346)/$Q$4/5,0)*5</f>
        <v>115</v>
      </c>
      <c r="AN346" s="14" t="str">
        <f>IF(AE346&gt;0,INDEX(挂机升级突破!$BX$4:$CH$4,AE346),"")</f>
        <v/>
      </c>
      <c r="AO346" s="14" t="str">
        <f>IF(AE346&gt;0,ROUND(INDEX(挂机升级突破!$BX$6:$CH$57,卡牌消耗!AI346,AE346)*INDEX(卡牌消耗!$B$7:$F$7,AG346)/$Q$4,0),"")</f>
        <v/>
      </c>
      <c r="AP346" s="106"/>
      <c r="AQ346" s="15"/>
      <c r="AR346" s="104">
        <v>342</v>
      </c>
      <c r="AS346" s="14">
        <f t="shared" si="143"/>
        <v>18</v>
      </c>
      <c r="AT346" s="14">
        <f>INDEX(挂机升级突破!$CM$7:$CM$26,AX346)</f>
        <v>5</v>
      </c>
      <c r="AU346" s="14">
        <f>INDEX(挂机升级突破!$CN$7:$CN$26,AX346)</f>
        <v>0</v>
      </c>
      <c r="AV346" s="14">
        <f t="shared" si="144"/>
        <v>2</v>
      </c>
      <c r="AW346" s="14" t="str">
        <f t="shared" si="145"/>
        <v>噬日</v>
      </c>
      <c r="AX346" s="14">
        <f t="shared" si="146"/>
        <v>2</v>
      </c>
      <c r="AY346" s="14" t="str">
        <f t="shared" si="147"/>
        <v>噬日2突</v>
      </c>
      <c r="AZ346" s="14" t="str">
        <f>IF(AT346&gt;0,INDEX(挂机升级突破!$CV$5:$CZ$5,卡牌消耗!AT346),"")</f>
        <v>金币</v>
      </c>
      <c r="BA346" s="14">
        <f>IF(AT346&gt;0,ROUND(INDEX(挂机升级突破!$CZ$7:$CZ$26,卡牌消耗!AX346)*INDEX(卡牌消耗!$B$8:$F$8,AV346)/$Q$4/500,0)*500,"")</f>
        <v>1500</v>
      </c>
      <c r="BB346" s="14" t="str">
        <f>IF(AU346&gt;0,INDEX(挂机升级突破!$CV$5:$CZ$5,卡牌消耗!AU346),"")</f>
        <v/>
      </c>
      <c r="BC346" s="14" t="str">
        <f>IF(AU346&gt;0,ROUND(INDEX(挂机升级突破!$CV$7:$CY$26,卡牌消耗!AX346,卡牌消耗!AU346)*INDEX($B$6:$F$6,AV346)/$Q$4/5,0)*5,"")</f>
        <v/>
      </c>
      <c r="BD346" s="104"/>
      <c r="BE346" s="104"/>
      <c r="BF346" s="106"/>
    </row>
    <row r="347" spans="8:58" ht="16.5" x14ac:dyDescent="0.2">
      <c r="H347" s="15"/>
      <c r="I347" s="15"/>
      <c r="J347" s="15"/>
      <c r="K347" s="15"/>
      <c r="L347" s="15"/>
      <c r="M347" s="15"/>
      <c r="N347" s="15"/>
      <c r="O347" s="137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04">
        <v>343</v>
      </c>
      <c r="AB347" s="14">
        <f t="shared" si="138"/>
        <v>7</v>
      </c>
      <c r="AC347" s="14">
        <f>INDEX(挂机升级突破!$BU$6:$BU$57,卡牌消耗!AI347)</f>
        <v>11</v>
      </c>
      <c r="AD347" s="14">
        <f>INDEX(挂机升级突破!BV$6:BV$57,卡牌消耗!$AI347)</f>
        <v>4</v>
      </c>
      <c r="AE347" s="14">
        <f>INDEX(挂机升级突破!BW$6:BW$57,卡牌消耗!$AI347)</f>
        <v>0</v>
      </c>
      <c r="AF347" s="14" t="str">
        <f t="shared" si="139"/>
        <v>天使缇娜</v>
      </c>
      <c r="AG347" s="14">
        <f t="shared" si="140"/>
        <v>4</v>
      </c>
      <c r="AH347" s="14" t="str">
        <f t="shared" si="141"/>
        <v>天使缇娜魂火-31</v>
      </c>
      <c r="AI347" s="14">
        <f t="shared" si="142"/>
        <v>31</v>
      </c>
      <c r="AJ347" s="14" t="str">
        <f>INDEX(挂机升级突破!$BX$4:$CH$4,INDEX(挂机升级突破!$BU$6:$BU$57,卡牌消耗!AI347))</f>
        <v>金币</v>
      </c>
      <c r="AK347" s="14">
        <f>ROUND(INDEX(挂机升级突破!$BN$6:$BN$57,卡牌消耗!AI347)*INDEX(卡牌消耗!$B$8:$F$8,AG347)/$Q$4/50,0)*50</f>
        <v>10350</v>
      </c>
      <c r="AL347" s="14" t="str">
        <f>IF(AD347&gt;0,INDEX(挂机升级突破!$BX$4:$CH$4,AD347),"")</f>
        <v>橙色基础材料</v>
      </c>
      <c r="AM347" s="14">
        <f>ROUND(INDEX(挂机升级突破!$BX$6:$CH$57,卡牌消耗!AI347,AD347)*INDEX(卡牌消耗!$B$5:$F$5,AG347)/$Q$4/5,0)*5</f>
        <v>115</v>
      </c>
      <c r="AN347" s="14" t="str">
        <f>IF(AE347&gt;0,INDEX(挂机升级突破!$BX$4:$CH$4,AE347),"")</f>
        <v/>
      </c>
      <c r="AO347" s="14" t="str">
        <f>IF(AE347&gt;0,ROUND(INDEX(挂机升级突破!$BX$6:$CH$57,卡牌消耗!AI347,AE347)*INDEX(卡牌消耗!$B$7:$F$7,AG347)/$Q$4,0),"")</f>
        <v/>
      </c>
      <c r="AP347" s="106"/>
      <c r="AQ347" s="15"/>
      <c r="AR347" s="104">
        <v>343</v>
      </c>
      <c r="AS347" s="14">
        <f t="shared" si="143"/>
        <v>18</v>
      </c>
      <c r="AT347" s="14">
        <f>INDEX(挂机升级突破!$CM$7:$CM$26,AX347)</f>
        <v>5</v>
      </c>
      <c r="AU347" s="14">
        <f>INDEX(挂机升级突破!$CN$7:$CN$26,AX347)</f>
        <v>0</v>
      </c>
      <c r="AV347" s="14">
        <f t="shared" si="144"/>
        <v>2</v>
      </c>
      <c r="AW347" s="14" t="str">
        <f t="shared" si="145"/>
        <v>噬日</v>
      </c>
      <c r="AX347" s="14">
        <f t="shared" si="146"/>
        <v>3</v>
      </c>
      <c r="AY347" s="14" t="str">
        <f t="shared" si="147"/>
        <v>噬日3突</v>
      </c>
      <c r="AZ347" s="14" t="str">
        <f>IF(AT347&gt;0,INDEX(挂机升级突破!$CV$5:$CZ$5,卡牌消耗!AT347),"")</f>
        <v>金币</v>
      </c>
      <c r="BA347" s="14">
        <f>IF(AT347&gt;0,ROUND(INDEX(挂机升级突破!$CZ$7:$CZ$26,卡牌消耗!AX347)*INDEX(卡牌消耗!$B$8:$F$8,AV347)/$Q$4/500,0)*500,"")</f>
        <v>1500</v>
      </c>
      <c r="BB347" s="14" t="str">
        <f>IF(AU347&gt;0,INDEX(挂机升级突破!$CV$5:$CZ$5,卡牌消耗!AU347),"")</f>
        <v/>
      </c>
      <c r="BC347" s="14" t="str">
        <f>IF(AU347&gt;0,ROUND(INDEX(挂机升级突破!$CV$7:$CY$26,卡牌消耗!AX347,卡牌消耗!AU347)*INDEX($B$6:$F$6,AV347)/$Q$4/5,0)*5,"")</f>
        <v/>
      </c>
      <c r="BD347" s="104"/>
      <c r="BE347" s="104"/>
      <c r="BF347" s="106"/>
    </row>
    <row r="348" spans="8:58" ht="16.5" x14ac:dyDescent="0.2">
      <c r="H348" s="15"/>
      <c r="I348" s="15"/>
      <c r="J348" s="15"/>
      <c r="K348" s="15"/>
      <c r="L348" s="15"/>
      <c r="M348" s="15"/>
      <c r="N348" s="15"/>
      <c r="O348" s="137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04">
        <v>344</v>
      </c>
      <c r="AB348" s="14">
        <f t="shared" si="138"/>
        <v>7</v>
      </c>
      <c r="AC348" s="14">
        <f>INDEX(挂机升级突破!$BU$6:$BU$57,卡牌消耗!AI348)</f>
        <v>11</v>
      </c>
      <c r="AD348" s="14">
        <f>INDEX(挂机升级突破!BV$6:BV$57,卡牌消耗!$AI348)</f>
        <v>4</v>
      </c>
      <c r="AE348" s="14">
        <f>INDEX(挂机升级突破!BW$6:BW$57,卡牌消耗!$AI348)</f>
        <v>0</v>
      </c>
      <c r="AF348" s="14" t="str">
        <f t="shared" si="139"/>
        <v>天使缇娜</v>
      </c>
      <c r="AG348" s="14">
        <f t="shared" si="140"/>
        <v>4</v>
      </c>
      <c r="AH348" s="14" t="str">
        <f t="shared" si="141"/>
        <v>天使缇娜魂火-32</v>
      </c>
      <c r="AI348" s="14">
        <f t="shared" si="142"/>
        <v>32</v>
      </c>
      <c r="AJ348" s="14" t="str">
        <f>INDEX(挂机升级突破!$BX$4:$CH$4,INDEX(挂机升级突破!$BU$6:$BU$57,卡牌消耗!AI348))</f>
        <v>金币</v>
      </c>
      <c r="AK348" s="14">
        <f>ROUND(INDEX(挂机升级突破!$BN$6:$BN$57,卡牌消耗!AI348)*INDEX(卡牌消耗!$B$8:$F$8,AG348)/$Q$4/50,0)*50</f>
        <v>14250</v>
      </c>
      <c r="AL348" s="14" t="str">
        <f>IF(AD348&gt;0,INDEX(挂机升级突破!$BX$4:$CH$4,AD348),"")</f>
        <v>橙色基础材料</v>
      </c>
      <c r="AM348" s="14">
        <f>ROUND(INDEX(挂机升级突破!$BX$6:$CH$57,卡牌消耗!AI348,AD348)*INDEX(卡牌消耗!$B$5:$F$5,AG348)/$Q$4/5,0)*5</f>
        <v>115</v>
      </c>
      <c r="AN348" s="14" t="str">
        <f>IF(AE348&gt;0,INDEX(挂机升级突破!$BX$4:$CH$4,AE348),"")</f>
        <v/>
      </c>
      <c r="AO348" s="14" t="str">
        <f>IF(AE348&gt;0,ROUND(INDEX(挂机升级突破!$BX$6:$CH$57,卡牌消耗!AI348,AE348)*INDEX(卡牌消耗!$B$7:$F$7,AG348)/$Q$4,0),"")</f>
        <v/>
      </c>
      <c r="AP348" s="106"/>
      <c r="AQ348" s="15"/>
      <c r="AR348" s="104">
        <v>344</v>
      </c>
      <c r="AS348" s="14">
        <f t="shared" si="143"/>
        <v>18</v>
      </c>
      <c r="AT348" s="14">
        <f>INDEX(挂机升级突破!$CM$7:$CM$26,AX348)</f>
        <v>5</v>
      </c>
      <c r="AU348" s="14">
        <f>INDEX(挂机升级突破!$CN$7:$CN$26,AX348)</f>
        <v>1</v>
      </c>
      <c r="AV348" s="14">
        <f t="shared" si="144"/>
        <v>2</v>
      </c>
      <c r="AW348" s="14" t="str">
        <f t="shared" si="145"/>
        <v>噬日</v>
      </c>
      <c r="AX348" s="14">
        <f t="shared" si="146"/>
        <v>4</v>
      </c>
      <c r="AY348" s="14" t="str">
        <f t="shared" si="147"/>
        <v>噬日4突</v>
      </c>
      <c r="AZ348" s="14" t="str">
        <f>IF(AT348&gt;0,INDEX(挂机升级突破!$CV$5:$CZ$5,卡牌消耗!AT348),"")</f>
        <v>金币</v>
      </c>
      <c r="BA348" s="14">
        <f>IF(AT348&gt;0,ROUND(INDEX(挂机升级突破!$CZ$7:$CZ$26,卡牌消耗!AX348)*INDEX(卡牌消耗!$B$8:$F$8,AV348)/$Q$4/500,0)*500,"")</f>
        <v>2000</v>
      </c>
      <c r="BB348" s="14" t="str">
        <f>IF(AU348&gt;0,INDEX(挂机升级突破!$CV$5:$CZ$5,卡牌消耗!AU348),"")</f>
        <v>玄铁</v>
      </c>
      <c r="BC348" s="14">
        <f>IF(AU348&gt;0,ROUND(INDEX(挂机升级突破!$CV$7:$CY$26,卡牌消耗!AX348,卡牌消耗!AU348)*INDEX($B$6:$F$6,AV348)/$Q$4/5,0)*5,"")</f>
        <v>45</v>
      </c>
      <c r="BD348" s="104"/>
      <c r="BE348" s="104"/>
      <c r="BF348" s="106"/>
    </row>
    <row r="349" spans="8:58" ht="16.5" x14ac:dyDescent="0.2">
      <c r="H349" s="15"/>
      <c r="I349" s="15"/>
      <c r="J349" s="15"/>
      <c r="K349" s="15"/>
      <c r="L349" s="15"/>
      <c r="M349" s="15"/>
      <c r="N349" s="15"/>
      <c r="O349" s="137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04">
        <v>345</v>
      </c>
      <c r="AB349" s="14">
        <f t="shared" si="138"/>
        <v>7</v>
      </c>
      <c r="AC349" s="14">
        <f>INDEX(挂机升级突破!$BU$6:$BU$57,卡牌消耗!AI349)</f>
        <v>11</v>
      </c>
      <c r="AD349" s="14">
        <f>INDEX(挂机升级突破!BV$6:BV$57,卡牌消耗!$AI349)</f>
        <v>4</v>
      </c>
      <c r="AE349" s="14">
        <f>INDEX(挂机升级突破!BW$6:BW$57,卡牌消耗!$AI349)</f>
        <v>0</v>
      </c>
      <c r="AF349" s="14" t="str">
        <f t="shared" si="139"/>
        <v>天使缇娜</v>
      </c>
      <c r="AG349" s="14">
        <f t="shared" si="140"/>
        <v>4</v>
      </c>
      <c r="AH349" s="14" t="str">
        <f t="shared" si="141"/>
        <v>天使缇娜魂火-33</v>
      </c>
      <c r="AI349" s="14">
        <f t="shared" si="142"/>
        <v>33</v>
      </c>
      <c r="AJ349" s="14" t="str">
        <f>INDEX(挂机升级突破!$BX$4:$CH$4,INDEX(挂机升级突破!$BU$6:$BU$57,卡牌消耗!AI349))</f>
        <v>金币</v>
      </c>
      <c r="AK349" s="14">
        <f>ROUND(INDEX(挂机升级突破!$BN$6:$BN$57,卡牌消耗!AI349)*INDEX(卡牌消耗!$B$8:$F$8,AG349)/$Q$4/50,0)*50</f>
        <v>14250</v>
      </c>
      <c r="AL349" s="14" t="str">
        <f>IF(AD349&gt;0,INDEX(挂机升级突破!$BX$4:$CH$4,AD349),"")</f>
        <v>橙色基础材料</v>
      </c>
      <c r="AM349" s="14">
        <f>ROUND(INDEX(挂机升级突破!$BX$6:$CH$57,卡牌消耗!AI349,AD349)*INDEX(卡牌消耗!$B$5:$F$5,AG349)/$Q$4/5,0)*5</f>
        <v>115</v>
      </c>
      <c r="AN349" s="14" t="str">
        <f>IF(AE349&gt;0,INDEX(挂机升级突破!$BX$4:$CH$4,AE349),"")</f>
        <v/>
      </c>
      <c r="AO349" s="14" t="str">
        <f>IF(AE349&gt;0,ROUND(INDEX(挂机升级突破!$BX$6:$CH$57,卡牌消耗!AI349,AE349)*INDEX(卡牌消耗!$B$7:$F$7,AG349)/$Q$4,0),"")</f>
        <v/>
      </c>
      <c r="AP349" s="106"/>
      <c r="AQ349" s="15"/>
      <c r="AR349" s="104">
        <v>345</v>
      </c>
      <c r="AS349" s="14">
        <f t="shared" si="143"/>
        <v>18</v>
      </c>
      <c r="AT349" s="14">
        <f>INDEX(挂机升级突破!$CM$7:$CM$26,AX349)</f>
        <v>5</v>
      </c>
      <c r="AU349" s="14">
        <f>INDEX(挂机升级突破!$CN$7:$CN$26,AX349)</f>
        <v>1</v>
      </c>
      <c r="AV349" s="14">
        <f t="shared" si="144"/>
        <v>2</v>
      </c>
      <c r="AW349" s="14" t="str">
        <f t="shared" si="145"/>
        <v>噬日</v>
      </c>
      <c r="AX349" s="14">
        <f t="shared" si="146"/>
        <v>5</v>
      </c>
      <c r="AY349" s="14" t="str">
        <f t="shared" si="147"/>
        <v>噬日5突</v>
      </c>
      <c r="AZ349" s="14" t="str">
        <f>IF(AT349&gt;0,INDEX(挂机升级突破!$CV$5:$CZ$5,卡牌消耗!AT349),"")</f>
        <v>金币</v>
      </c>
      <c r="BA349" s="14">
        <f>IF(AT349&gt;0,ROUND(INDEX(挂机升级突破!$CZ$7:$CZ$26,卡牌消耗!AX349)*INDEX(卡牌消耗!$B$8:$F$8,AV349)/$Q$4/500,0)*500,"")</f>
        <v>2000</v>
      </c>
      <c r="BB349" s="14" t="str">
        <f>IF(AU349&gt;0,INDEX(挂机升级突破!$CV$5:$CZ$5,卡牌消耗!AU349),"")</f>
        <v>玄铁</v>
      </c>
      <c r="BC349" s="14">
        <f>IF(AU349&gt;0,ROUND(INDEX(挂机升级突破!$CV$7:$CY$26,卡牌消耗!AX349,卡牌消耗!AU349)*INDEX($B$6:$F$6,AV349)/$Q$4/5,0)*5,"")</f>
        <v>95</v>
      </c>
      <c r="BD349" s="104"/>
      <c r="BE349" s="104"/>
      <c r="BF349" s="106"/>
    </row>
    <row r="350" spans="8:58" ht="16.5" x14ac:dyDescent="0.2">
      <c r="H350" s="15"/>
      <c r="I350" s="15"/>
      <c r="J350" s="15"/>
      <c r="K350" s="15"/>
      <c r="L350" s="15"/>
      <c r="M350" s="15"/>
      <c r="N350" s="15"/>
      <c r="O350" s="137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04">
        <v>346</v>
      </c>
      <c r="AB350" s="14">
        <f t="shared" si="138"/>
        <v>7</v>
      </c>
      <c r="AC350" s="14">
        <f>INDEX(挂机升级突破!$BU$6:$BU$57,卡牌消耗!AI350)</f>
        <v>11</v>
      </c>
      <c r="AD350" s="14">
        <f>INDEX(挂机升级突破!BV$6:BV$57,卡牌消耗!$AI350)</f>
        <v>4</v>
      </c>
      <c r="AE350" s="14">
        <f>INDEX(挂机升级突破!BW$6:BW$57,卡牌消耗!$AI350)</f>
        <v>0</v>
      </c>
      <c r="AF350" s="14" t="str">
        <f t="shared" si="139"/>
        <v>天使缇娜</v>
      </c>
      <c r="AG350" s="14">
        <f t="shared" si="140"/>
        <v>4</v>
      </c>
      <c r="AH350" s="14" t="str">
        <f t="shared" si="141"/>
        <v>天使缇娜魂火-34</v>
      </c>
      <c r="AI350" s="14">
        <f t="shared" si="142"/>
        <v>34</v>
      </c>
      <c r="AJ350" s="14" t="str">
        <f>INDEX(挂机升级突破!$BX$4:$CH$4,INDEX(挂机升级突破!$BU$6:$BU$57,卡牌消耗!AI350))</f>
        <v>金币</v>
      </c>
      <c r="AK350" s="14">
        <f>ROUND(INDEX(挂机升级突破!$BN$6:$BN$57,卡牌消耗!AI350)*INDEX(卡牌消耗!$B$8:$F$8,AG350)/$Q$4/50,0)*50</f>
        <v>14250</v>
      </c>
      <c r="AL350" s="14" t="str">
        <f>IF(AD350&gt;0,INDEX(挂机升级突破!$BX$4:$CH$4,AD350),"")</f>
        <v>橙色基础材料</v>
      </c>
      <c r="AM350" s="14">
        <f>ROUND(INDEX(挂机升级突破!$BX$6:$CH$57,卡牌消耗!AI350,AD350)*INDEX(卡牌消耗!$B$5:$F$5,AG350)/$Q$4/5,0)*5</f>
        <v>135</v>
      </c>
      <c r="AN350" s="14" t="str">
        <f>IF(AE350&gt;0,INDEX(挂机升级突破!$BX$4:$CH$4,AE350),"")</f>
        <v/>
      </c>
      <c r="AO350" s="14" t="str">
        <f>IF(AE350&gt;0,ROUND(INDEX(挂机升级突破!$BX$6:$CH$57,卡牌消耗!AI350,AE350)*INDEX(卡牌消耗!$B$7:$F$7,AG350)/$Q$4,0),"")</f>
        <v/>
      </c>
      <c r="AP350" s="106"/>
      <c r="AQ350" s="15"/>
      <c r="AR350" s="104">
        <v>346</v>
      </c>
      <c r="AS350" s="14">
        <f t="shared" si="143"/>
        <v>18</v>
      </c>
      <c r="AT350" s="14">
        <f>INDEX(挂机升级突破!$CM$7:$CM$26,AX350)</f>
        <v>5</v>
      </c>
      <c r="AU350" s="14">
        <f>INDEX(挂机升级突破!$CN$7:$CN$26,AX350)</f>
        <v>1</v>
      </c>
      <c r="AV350" s="14">
        <f t="shared" si="144"/>
        <v>2</v>
      </c>
      <c r="AW350" s="14" t="str">
        <f t="shared" si="145"/>
        <v>噬日</v>
      </c>
      <c r="AX350" s="14">
        <f t="shared" si="146"/>
        <v>6</v>
      </c>
      <c r="AY350" s="14" t="str">
        <f t="shared" si="147"/>
        <v>噬日6突</v>
      </c>
      <c r="AZ350" s="14" t="str">
        <f>IF(AT350&gt;0,INDEX(挂机升级突破!$CV$5:$CZ$5,卡牌消耗!AT350),"")</f>
        <v>金币</v>
      </c>
      <c r="BA350" s="14">
        <f>IF(AT350&gt;0,ROUND(INDEX(挂机升级突破!$CZ$7:$CZ$26,卡牌消耗!AX350)*INDEX(卡牌消耗!$B$8:$F$8,AV350)/$Q$4/500,0)*500,"")</f>
        <v>3000</v>
      </c>
      <c r="BB350" s="14" t="str">
        <f>IF(AU350&gt;0,INDEX(挂机升级突破!$CV$5:$CZ$5,卡牌消耗!AU350),"")</f>
        <v>玄铁</v>
      </c>
      <c r="BC350" s="14">
        <f>IF(AU350&gt;0,ROUND(INDEX(挂机升级突破!$CV$7:$CY$26,卡牌消耗!AX350,卡牌消耗!AU350)*INDEX($B$6:$F$6,AV350)/$Q$4/5,0)*5,"")</f>
        <v>140</v>
      </c>
      <c r="BD350" s="104"/>
      <c r="BE350" s="104"/>
      <c r="BF350" s="106"/>
    </row>
    <row r="351" spans="8:58" ht="16.5" x14ac:dyDescent="0.2">
      <c r="H351" s="15"/>
      <c r="I351" s="15"/>
      <c r="J351" s="15"/>
      <c r="K351" s="15"/>
      <c r="L351" s="15"/>
      <c r="M351" s="15"/>
      <c r="N351" s="15"/>
      <c r="O351" s="137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04">
        <v>347</v>
      </c>
      <c r="AB351" s="14">
        <f t="shared" si="138"/>
        <v>7</v>
      </c>
      <c r="AC351" s="14">
        <f>INDEX(挂机升级突破!$BU$6:$BU$57,卡牌消耗!AI351)</f>
        <v>11</v>
      </c>
      <c r="AD351" s="14">
        <f>INDEX(挂机升级突破!BV$6:BV$57,卡牌消耗!$AI351)</f>
        <v>4</v>
      </c>
      <c r="AE351" s="14">
        <f>INDEX(挂机升级突破!BW$6:BW$57,卡牌消耗!$AI351)</f>
        <v>0</v>
      </c>
      <c r="AF351" s="14" t="str">
        <f t="shared" si="139"/>
        <v>天使缇娜</v>
      </c>
      <c r="AG351" s="14">
        <f t="shared" si="140"/>
        <v>4</v>
      </c>
      <c r="AH351" s="14" t="str">
        <f t="shared" si="141"/>
        <v>天使缇娜魂火-35</v>
      </c>
      <c r="AI351" s="14">
        <f t="shared" si="142"/>
        <v>35</v>
      </c>
      <c r="AJ351" s="14" t="str">
        <f>INDEX(挂机升级突破!$BX$4:$CH$4,INDEX(挂机升级突破!$BU$6:$BU$57,卡牌消耗!AI351))</f>
        <v>金币</v>
      </c>
      <c r="AK351" s="14">
        <f>ROUND(INDEX(挂机升级突破!$BN$6:$BN$57,卡牌消耗!AI351)*INDEX(卡牌消耗!$B$8:$F$8,AG351)/$Q$4/50,0)*50</f>
        <v>18150</v>
      </c>
      <c r="AL351" s="14" t="str">
        <f>IF(AD351&gt;0,INDEX(挂机升级突破!$BX$4:$CH$4,AD351),"")</f>
        <v>橙色基础材料</v>
      </c>
      <c r="AM351" s="14">
        <f>ROUND(INDEX(挂机升级突破!$BX$6:$CH$57,卡牌消耗!AI351,AD351)*INDEX(卡牌消耗!$B$5:$F$5,AG351)/$Q$4/5,0)*5</f>
        <v>135</v>
      </c>
      <c r="AN351" s="14" t="str">
        <f>IF(AE351&gt;0,INDEX(挂机升级突破!$BX$4:$CH$4,AE351),"")</f>
        <v/>
      </c>
      <c r="AO351" s="14" t="str">
        <f>IF(AE351&gt;0,ROUND(INDEX(挂机升级突破!$BX$6:$CH$57,卡牌消耗!AI351,AE351)*INDEX(卡牌消耗!$B$7:$F$7,AG351)/$Q$4,0),"")</f>
        <v/>
      </c>
      <c r="AP351" s="106"/>
      <c r="AQ351" s="15"/>
      <c r="AR351" s="104">
        <v>347</v>
      </c>
      <c r="AS351" s="14">
        <f t="shared" si="143"/>
        <v>18</v>
      </c>
      <c r="AT351" s="14">
        <f>INDEX(挂机升级突破!$CM$7:$CM$26,AX351)</f>
        <v>5</v>
      </c>
      <c r="AU351" s="14">
        <f>INDEX(挂机升级突破!$CN$7:$CN$26,AX351)</f>
        <v>1</v>
      </c>
      <c r="AV351" s="14">
        <f t="shared" si="144"/>
        <v>2</v>
      </c>
      <c r="AW351" s="14" t="str">
        <f t="shared" si="145"/>
        <v>噬日</v>
      </c>
      <c r="AX351" s="14">
        <f t="shared" si="146"/>
        <v>7</v>
      </c>
      <c r="AY351" s="14" t="str">
        <f t="shared" si="147"/>
        <v>噬日7突</v>
      </c>
      <c r="AZ351" s="14" t="str">
        <f>IF(AT351&gt;0,INDEX(挂机升级突破!$CV$5:$CZ$5,卡牌消耗!AT351),"")</f>
        <v>金币</v>
      </c>
      <c r="BA351" s="14">
        <f>IF(AT351&gt;0,ROUND(INDEX(挂机升级突破!$CZ$7:$CZ$26,卡牌消耗!AX351)*INDEX(卡牌消耗!$B$8:$F$8,AV351)/$Q$4/500,0)*500,"")</f>
        <v>4500</v>
      </c>
      <c r="BB351" s="14" t="str">
        <f>IF(AU351&gt;0,INDEX(挂机升级突破!$CV$5:$CZ$5,卡牌消耗!AU351),"")</f>
        <v>玄铁</v>
      </c>
      <c r="BC351" s="14">
        <f>IF(AU351&gt;0,ROUND(INDEX(挂机升级突破!$CV$7:$CY$26,卡牌消耗!AX351,卡牌消耗!AU351)*INDEX($B$6:$F$6,AV351)/$Q$4/5,0)*5,"")</f>
        <v>230</v>
      </c>
      <c r="BD351" s="104"/>
      <c r="BE351" s="104"/>
      <c r="BF351" s="106"/>
    </row>
    <row r="352" spans="8:58" ht="16.5" x14ac:dyDescent="0.2">
      <c r="H352" s="15"/>
      <c r="I352" s="15"/>
      <c r="J352" s="15"/>
      <c r="K352" s="15"/>
      <c r="L352" s="15"/>
      <c r="M352" s="15"/>
      <c r="N352" s="15"/>
      <c r="O352" s="137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04">
        <v>348</v>
      </c>
      <c r="AB352" s="14">
        <f t="shared" si="138"/>
        <v>7</v>
      </c>
      <c r="AC352" s="14">
        <f>INDEX(挂机升级突破!$BU$6:$BU$57,卡牌消耗!AI352)</f>
        <v>11</v>
      </c>
      <c r="AD352" s="14">
        <f>INDEX(挂机升级突破!BV$6:BV$57,卡牌消耗!$AI352)</f>
        <v>4</v>
      </c>
      <c r="AE352" s="14">
        <f>INDEX(挂机升级突破!BW$6:BW$57,卡牌消耗!$AI352)</f>
        <v>0</v>
      </c>
      <c r="AF352" s="14" t="str">
        <f t="shared" si="139"/>
        <v>天使缇娜</v>
      </c>
      <c r="AG352" s="14">
        <f t="shared" si="140"/>
        <v>4</v>
      </c>
      <c r="AH352" s="14" t="str">
        <f t="shared" si="141"/>
        <v>天使缇娜魂火-36</v>
      </c>
      <c r="AI352" s="14">
        <f t="shared" si="142"/>
        <v>36</v>
      </c>
      <c r="AJ352" s="14" t="str">
        <f>INDEX(挂机升级突破!$BX$4:$CH$4,INDEX(挂机升级突破!$BU$6:$BU$57,卡牌消耗!AI352))</f>
        <v>金币</v>
      </c>
      <c r="AK352" s="14">
        <f>ROUND(INDEX(挂机升级突破!$BN$6:$BN$57,卡牌消耗!AI352)*INDEX(卡牌消耗!$B$8:$F$8,AG352)/$Q$4/50,0)*50</f>
        <v>18150</v>
      </c>
      <c r="AL352" s="14" t="str">
        <f>IF(AD352&gt;0,INDEX(挂机升级突破!$BX$4:$CH$4,AD352),"")</f>
        <v>橙色基础材料</v>
      </c>
      <c r="AM352" s="14">
        <f>ROUND(INDEX(挂机升级突破!$BX$6:$CH$57,卡牌消耗!AI352,AD352)*INDEX(卡牌消耗!$B$5:$F$5,AG352)/$Q$4/5,0)*5</f>
        <v>135</v>
      </c>
      <c r="AN352" s="14" t="str">
        <f>IF(AE352&gt;0,INDEX(挂机升级突破!$BX$4:$CH$4,AE352),"")</f>
        <v/>
      </c>
      <c r="AO352" s="14" t="str">
        <f>IF(AE352&gt;0,ROUND(INDEX(挂机升级突破!$BX$6:$CH$57,卡牌消耗!AI352,AE352)*INDEX(卡牌消耗!$B$7:$F$7,AG352)/$Q$4,0),"")</f>
        <v/>
      </c>
      <c r="AP352" s="106"/>
      <c r="AQ352" s="15"/>
      <c r="AR352" s="104">
        <v>348</v>
      </c>
      <c r="AS352" s="14">
        <f t="shared" si="143"/>
        <v>18</v>
      </c>
      <c r="AT352" s="14">
        <f>INDEX(挂机升级突破!$CM$7:$CM$26,AX352)</f>
        <v>5</v>
      </c>
      <c r="AU352" s="14">
        <f>INDEX(挂机升级突破!$CN$7:$CN$26,AX352)</f>
        <v>1</v>
      </c>
      <c r="AV352" s="14">
        <f t="shared" si="144"/>
        <v>2</v>
      </c>
      <c r="AW352" s="14" t="str">
        <f t="shared" si="145"/>
        <v>噬日</v>
      </c>
      <c r="AX352" s="14">
        <f t="shared" si="146"/>
        <v>8</v>
      </c>
      <c r="AY352" s="14" t="str">
        <f t="shared" si="147"/>
        <v>噬日8突</v>
      </c>
      <c r="AZ352" s="14" t="str">
        <f>IF(AT352&gt;0,INDEX(挂机升级突破!$CV$5:$CZ$5,卡牌消耗!AT352),"")</f>
        <v>金币</v>
      </c>
      <c r="BA352" s="14">
        <f>IF(AT352&gt;0,ROUND(INDEX(挂机升级突破!$CZ$7:$CZ$26,卡牌消耗!AX352)*INDEX(卡牌消耗!$B$8:$F$8,AV352)/$Q$4/500,0)*500,"")</f>
        <v>4500</v>
      </c>
      <c r="BB352" s="14" t="str">
        <f>IF(AU352&gt;0,INDEX(挂机升级突破!$CV$5:$CZ$5,卡牌消耗!AU352),"")</f>
        <v>玄铁</v>
      </c>
      <c r="BC352" s="14">
        <f>IF(AU352&gt;0,ROUND(INDEX(挂机升级突破!$CV$7:$CY$26,卡牌消耗!AX352,卡牌消耗!AU352)*INDEX($B$6:$F$6,AV352)/$Q$4/5,0)*5,"")</f>
        <v>415</v>
      </c>
      <c r="BD352" s="104"/>
      <c r="BE352" s="104"/>
      <c r="BF352" s="106"/>
    </row>
    <row r="353" spans="8:73" ht="16.5" x14ac:dyDescent="0.2">
      <c r="H353" s="15"/>
      <c r="I353" s="15"/>
      <c r="J353" s="15"/>
      <c r="K353" s="15"/>
      <c r="L353" s="15"/>
      <c r="M353" s="15"/>
      <c r="N353" s="15"/>
      <c r="O353" s="137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04">
        <v>349</v>
      </c>
      <c r="AB353" s="14">
        <f t="shared" si="138"/>
        <v>7</v>
      </c>
      <c r="AC353" s="14">
        <f>INDEX(挂机升级突破!$BU$6:$BU$57,卡牌消耗!AI353)</f>
        <v>11</v>
      </c>
      <c r="AD353" s="14">
        <f>INDEX(挂机升级突破!BV$6:BV$57,卡牌消耗!$AI353)</f>
        <v>4</v>
      </c>
      <c r="AE353" s="14">
        <f>INDEX(挂机升级突破!BW$6:BW$57,卡牌消耗!$AI353)</f>
        <v>0</v>
      </c>
      <c r="AF353" s="14" t="str">
        <f t="shared" si="139"/>
        <v>天使缇娜</v>
      </c>
      <c r="AG353" s="14">
        <f t="shared" si="140"/>
        <v>4</v>
      </c>
      <c r="AH353" s="14" t="str">
        <f t="shared" si="141"/>
        <v>天使缇娜魂火-37</v>
      </c>
      <c r="AI353" s="14">
        <f t="shared" si="142"/>
        <v>37</v>
      </c>
      <c r="AJ353" s="14" t="str">
        <f>INDEX(挂机升级突破!$BX$4:$CH$4,INDEX(挂机升级突破!$BU$6:$BU$57,卡牌消耗!AI353))</f>
        <v>金币</v>
      </c>
      <c r="AK353" s="14">
        <f>ROUND(INDEX(挂机升级突破!$BN$6:$BN$57,卡牌消耗!AI353)*INDEX(卡牌消耗!$B$8:$F$8,AG353)/$Q$4/50,0)*50</f>
        <v>19450</v>
      </c>
      <c r="AL353" s="14" t="str">
        <f>IF(AD353&gt;0,INDEX(挂机升级突破!$BX$4:$CH$4,AD353),"")</f>
        <v>橙色基础材料</v>
      </c>
      <c r="AM353" s="14">
        <f>ROUND(INDEX(挂机升级突破!$BX$6:$CH$57,卡牌消耗!AI353,AD353)*INDEX(卡牌消耗!$B$5:$F$5,AG353)/$Q$4/5,0)*5</f>
        <v>135</v>
      </c>
      <c r="AN353" s="14" t="str">
        <f>IF(AE353&gt;0,INDEX(挂机升级突破!$BX$4:$CH$4,AE353),"")</f>
        <v/>
      </c>
      <c r="AO353" s="14" t="str">
        <f>IF(AE353&gt;0,ROUND(INDEX(挂机升级突破!$BX$6:$CH$57,卡牌消耗!AI353,AE353)*INDEX(卡牌消耗!$B$7:$F$7,AG353)/$Q$4,0),"")</f>
        <v/>
      </c>
      <c r="AP353" s="106"/>
      <c r="AQ353" s="15"/>
      <c r="AR353" s="104">
        <v>349</v>
      </c>
      <c r="AS353" s="14">
        <f t="shared" si="143"/>
        <v>18</v>
      </c>
      <c r="AT353" s="14">
        <f>INDEX(挂机升级突破!$CM$7:$CM$26,AX353)</f>
        <v>5</v>
      </c>
      <c r="AU353" s="14">
        <f>INDEX(挂机升级突破!$CN$7:$CN$26,AX353)</f>
        <v>2</v>
      </c>
      <c r="AV353" s="14">
        <f t="shared" si="144"/>
        <v>2</v>
      </c>
      <c r="AW353" s="14" t="str">
        <f t="shared" si="145"/>
        <v>噬日</v>
      </c>
      <c r="AX353" s="14">
        <f t="shared" si="146"/>
        <v>9</v>
      </c>
      <c r="AY353" s="14" t="str">
        <f t="shared" si="147"/>
        <v>噬日9突</v>
      </c>
      <c r="AZ353" s="14" t="str">
        <f>IF(AT353&gt;0,INDEX(挂机升级突破!$CV$5:$CZ$5,卡牌消耗!AT353),"")</f>
        <v>金币</v>
      </c>
      <c r="BA353" s="14">
        <f>IF(AT353&gt;0,ROUND(INDEX(挂机升级突破!$CZ$7:$CZ$26,卡牌消耗!AX353)*INDEX(卡牌消耗!$B$8:$F$8,AV353)/$Q$4/500,0)*500,"")</f>
        <v>6000</v>
      </c>
      <c r="BB353" s="14" t="str">
        <f>IF(AU353&gt;0,INDEX(挂机升级突破!$CV$5:$CZ$5,卡牌消耗!AU353),"")</f>
        <v>乌金</v>
      </c>
      <c r="BC353" s="14">
        <f>IF(AU353&gt;0,ROUND(INDEX(挂机升级突破!$CV$7:$CY$26,卡牌消耗!AX353,卡牌消耗!AU353)*INDEX($B$6:$F$6,AV353)/$Q$4/5,0)*5,"")</f>
        <v>50</v>
      </c>
      <c r="BD353" s="104"/>
      <c r="BE353" s="104"/>
      <c r="BF353" s="106"/>
    </row>
    <row r="354" spans="8:73" ht="16.5" x14ac:dyDescent="0.2">
      <c r="H354" s="15"/>
      <c r="I354" s="15"/>
      <c r="J354" s="15"/>
      <c r="K354" s="15"/>
      <c r="L354" s="15"/>
      <c r="M354" s="15"/>
      <c r="N354" s="15"/>
      <c r="O354" s="137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04">
        <v>350</v>
      </c>
      <c r="AB354" s="14">
        <f t="shared" si="138"/>
        <v>7</v>
      </c>
      <c r="AC354" s="14">
        <f>INDEX(挂机升级突破!$BU$6:$BU$57,卡牌消耗!AI354)</f>
        <v>11</v>
      </c>
      <c r="AD354" s="14">
        <f>INDEX(挂机升级突破!BV$6:BV$57,卡牌消耗!$AI354)</f>
        <v>5</v>
      </c>
      <c r="AE354" s="14">
        <f>INDEX(挂机升级突破!BW$6:BW$57,卡牌消耗!$AI354)</f>
        <v>0</v>
      </c>
      <c r="AF354" s="14" t="str">
        <f t="shared" si="139"/>
        <v>天使缇娜</v>
      </c>
      <c r="AG354" s="14">
        <f t="shared" si="140"/>
        <v>4</v>
      </c>
      <c r="AH354" s="14" t="str">
        <f t="shared" si="141"/>
        <v>天使缇娜魂火-38</v>
      </c>
      <c r="AI354" s="14">
        <f t="shared" si="142"/>
        <v>38</v>
      </c>
      <c r="AJ354" s="14" t="str">
        <f>INDEX(挂机升级突破!$BX$4:$CH$4,INDEX(挂机升级突破!$BU$6:$BU$57,卡牌消耗!AI354))</f>
        <v>金币</v>
      </c>
      <c r="AK354" s="14">
        <f>ROUND(INDEX(挂机升级突破!$BN$6:$BN$57,卡牌消耗!AI354)*INDEX(卡牌消耗!$B$8:$F$8,AG354)/$Q$4/50,0)*50</f>
        <v>25050</v>
      </c>
      <c r="AL354" s="14" t="str">
        <f>IF(AD354&gt;0,INDEX(挂机升级突破!$BX$4:$CH$4,AD354),"")</f>
        <v>红色基础材料</v>
      </c>
      <c r="AM354" s="14">
        <f>ROUND(INDEX(挂机升级突破!$BX$6:$CH$57,卡牌消耗!AI354,AD354)*INDEX(卡牌消耗!$B$5:$F$5,AG354)/$Q$4/5,0)*5</f>
        <v>55</v>
      </c>
      <c r="AN354" s="14" t="str">
        <f>IF(AE354&gt;0,INDEX(挂机升级突破!$BX$4:$CH$4,AE354),"")</f>
        <v/>
      </c>
      <c r="AO354" s="14" t="str">
        <f>IF(AE354&gt;0,ROUND(INDEX(挂机升级突破!$BX$6:$CH$57,卡牌消耗!AI354,AE354)*INDEX(卡牌消耗!$B$7:$F$7,AG354)/$Q$4,0),"")</f>
        <v/>
      </c>
      <c r="AP354" s="106"/>
      <c r="AQ354" s="15"/>
      <c r="AR354" s="104">
        <v>350</v>
      </c>
      <c r="AS354" s="14">
        <f t="shared" si="143"/>
        <v>18</v>
      </c>
      <c r="AT354" s="14">
        <f>INDEX(挂机升级突破!$CM$7:$CM$26,AX354)</f>
        <v>5</v>
      </c>
      <c r="AU354" s="14">
        <f>INDEX(挂机升级突破!$CN$7:$CN$26,AX354)</f>
        <v>2</v>
      </c>
      <c r="AV354" s="14">
        <f t="shared" si="144"/>
        <v>2</v>
      </c>
      <c r="AW354" s="14" t="str">
        <f t="shared" si="145"/>
        <v>噬日</v>
      </c>
      <c r="AX354" s="14">
        <f t="shared" si="146"/>
        <v>10</v>
      </c>
      <c r="AY354" s="14" t="str">
        <f t="shared" si="147"/>
        <v>噬日10突</v>
      </c>
      <c r="AZ354" s="14" t="str">
        <f>IF(AT354&gt;0,INDEX(挂机升级突破!$CV$5:$CZ$5,卡牌消耗!AT354),"")</f>
        <v>金币</v>
      </c>
      <c r="BA354" s="14">
        <f>IF(AT354&gt;0,ROUND(INDEX(挂机升级突破!$CZ$7:$CZ$26,卡牌消耗!AX354)*INDEX(卡牌消耗!$B$8:$F$8,AV354)/$Q$4/500,0)*500,"")</f>
        <v>10000</v>
      </c>
      <c r="BB354" s="14" t="str">
        <f>IF(AU354&gt;0,INDEX(挂机升级突破!$CV$5:$CZ$5,卡牌消耗!AU354),"")</f>
        <v>乌金</v>
      </c>
      <c r="BC354" s="14">
        <f>IF(AU354&gt;0,ROUND(INDEX(挂机升级突破!$CV$7:$CY$26,卡牌消耗!AX354,卡牌消耗!AU354)*INDEX($B$6:$F$6,AV354)/$Q$4/5,0)*5,"")</f>
        <v>70</v>
      </c>
      <c r="BD354" s="104"/>
      <c r="BE354" s="104"/>
      <c r="BF354" s="106"/>
    </row>
    <row r="355" spans="8:73" ht="16.5" x14ac:dyDescent="0.2">
      <c r="H355" s="15"/>
      <c r="I355" s="15"/>
      <c r="J355" s="15"/>
      <c r="K355" s="15"/>
      <c r="L355" s="15"/>
      <c r="M355" s="15"/>
      <c r="N355" s="15"/>
      <c r="O355" s="137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04">
        <v>351</v>
      </c>
      <c r="AB355" s="14">
        <f t="shared" si="138"/>
        <v>7</v>
      </c>
      <c r="AC355" s="14">
        <f>INDEX(挂机升级突破!$BU$6:$BU$57,卡牌消耗!AI355)</f>
        <v>11</v>
      </c>
      <c r="AD355" s="14">
        <f>INDEX(挂机升级突破!BV$6:BV$57,卡牌消耗!$AI355)</f>
        <v>5</v>
      </c>
      <c r="AE355" s="14">
        <f>INDEX(挂机升级突破!BW$6:BW$57,卡牌消耗!$AI355)</f>
        <v>0</v>
      </c>
      <c r="AF355" s="14" t="str">
        <f t="shared" si="139"/>
        <v>天使缇娜</v>
      </c>
      <c r="AG355" s="14">
        <f t="shared" si="140"/>
        <v>4</v>
      </c>
      <c r="AH355" s="14" t="str">
        <f t="shared" si="141"/>
        <v>天使缇娜魂火-39</v>
      </c>
      <c r="AI355" s="14">
        <f t="shared" si="142"/>
        <v>39</v>
      </c>
      <c r="AJ355" s="14" t="str">
        <f>INDEX(挂机升级突破!$BX$4:$CH$4,INDEX(挂机升级突破!$BU$6:$BU$57,卡牌消耗!AI355))</f>
        <v>金币</v>
      </c>
      <c r="AK355" s="14">
        <f>ROUND(INDEX(挂机升级突破!$BN$6:$BN$57,卡牌消耗!AI355)*INDEX(卡牌消耗!$B$8:$F$8,AG355)/$Q$4/50,0)*50</f>
        <v>25050</v>
      </c>
      <c r="AL355" s="14" t="str">
        <f>IF(AD355&gt;0,INDEX(挂机升级突破!$BX$4:$CH$4,AD355),"")</f>
        <v>红色基础材料</v>
      </c>
      <c r="AM355" s="14">
        <f>ROUND(INDEX(挂机升级突破!$BX$6:$CH$57,卡牌消耗!AI355,AD355)*INDEX(卡牌消耗!$B$5:$F$5,AG355)/$Q$4/5,0)*5</f>
        <v>55</v>
      </c>
      <c r="AN355" s="14" t="str">
        <f>IF(AE355&gt;0,INDEX(挂机升级突破!$BX$4:$CH$4,AE355),"")</f>
        <v/>
      </c>
      <c r="AO355" s="14" t="str">
        <f>IF(AE355&gt;0,ROUND(INDEX(挂机升级突破!$BX$6:$CH$57,卡牌消耗!AI355,AE355)*INDEX(卡牌消耗!$B$7:$F$7,AG355)/$Q$4,0),"")</f>
        <v/>
      </c>
      <c r="AP355" s="106"/>
      <c r="AQ355" s="15"/>
      <c r="AR355" s="104">
        <v>351</v>
      </c>
      <c r="AS355" s="14">
        <f t="shared" si="143"/>
        <v>18</v>
      </c>
      <c r="AT355" s="14">
        <f>INDEX(挂机升级突破!$CM$7:$CM$26,AX355)</f>
        <v>5</v>
      </c>
      <c r="AU355" s="14">
        <f>INDEX(挂机升级突破!$CN$7:$CN$26,AX355)</f>
        <v>2</v>
      </c>
      <c r="AV355" s="14">
        <f t="shared" si="144"/>
        <v>2</v>
      </c>
      <c r="AW355" s="14" t="str">
        <f t="shared" si="145"/>
        <v>噬日</v>
      </c>
      <c r="AX355" s="14">
        <f t="shared" si="146"/>
        <v>11</v>
      </c>
      <c r="AY355" s="14" t="str">
        <f t="shared" si="147"/>
        <v>噬日11突</v>
      </c>
      <c r="AZ355" s="14" t="str">
        <f>IF(AT355&gt;0,INDEX(挂机升级突破!$CV$5:$CZ$5,卡牌消耗!AT355),"")</f>
        <v>金币</v>
      </c>
      <c r="BA355" s="14">
        <f>IF(AT355&gt;0,ROUND(INDEX(挂机升级突破!$CZ$7:$CZ$26,卡牌消耗!AX355)*INDEX(卡牌消耗!$B$8:$F$8,AV355)/$Q$4/500,0)*500,"")</f>
        <v>10000</v>
      </c>
      <c r="BB355" s="14" t="str">
        <f>IF(AU355&gt;0,INDEX(挂机升级突破!$CV$5:$CZ$5,卡牌消耗!AU355),"")</f>
        <v>乌金</v>
      </c>
      <c r="BC355" s="14">
        <f>IF(AU355&gt;0,ROUND(INDEX(挂机升级突破!$CV$7:$CY$26,卡牌消耗!AX355,卡牌消耗!AU355)*INDEX($B$6:$F$6,AV355)/$Q$4/5,0)*5,"")</f>
        <v>95</v>
      </c>
      <c r="BD355" s="104"/>
      <c r="BE355" s="104"/>
      <c r="BF355" s="106"/>
    </row>
    <row r="356" spans="8:73" ht="16.5" x14ac:dyDescent="0.2">
      <c r="H356" s="15"/>
      <c r="I356" s="15"/>
      <c r="J356" s="15"/>
      <c r="K356" s="15"/>
      <c r="L356" s="15"/>
      <c r="M356" s="15"/>
      <c r="N356" s="15"/>
      <c r="O356" s="137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04">
        <v>352</v>
      </c>
      <c r="AB356" s="14">
        <f t="shared" si="138"/>
        <v>7</v>
      </c>
      <c r="AC356" s="14">
        <f>INDEX(挂机升级突破!$BU$6:$BU$57,卡牌消耗!AI356)</f>
        <v>11</v>
      </c>
      <c r="AD356" s="14">
        <f>INDEX(挂机升级突破!BV$6:BV$57,卡牌消耗!$AI356)</f>
        <v>5</v>
      </c>
      <c r="AE356" s="14">
        <f>INDEX(挂机升级突破!BW$6:BW$57,卡牌消耗!$AI356)</f>
        <v>0</v>
      </c>
      <c r="AF356" s="14" t="str">
        <f t="shared" si="139"/>
        <v>天使缇娜</v>
      </c>
      <c r="AG356" s="14">
        <f t="shared" si="140"/>
        <v>4</v>
      </c>
      <c r="AH356" s="14" t="str">
        <f t="shared" si="141"/>
        <v>天使缇娜魂火-40</v>
      </c>
      <c r="AI356" s="14">
        <f t="shared" si="142"/>
        <v>40</v>
      </c>
      <c r="AJ356" s="14" t="str">
        <f>INDEX(挂机升级突破!$BX$4:$CH$4,INDEX(挂机升级突破!$BU$6:$BU$57,卡牌消耗!AI356))</f>
        <v>金币</v>
      </c>
      <c r="AK356" s="14">
        <f>ROUND(INDEX(挂机升级突破!$BN$6:$BN$57,卡牌消耗!AI356)*INDEX(卡牌消耗!$B$8:$F$8,AG356)/$Q$4/50,0)*50</f>
        <v>25050</v>
      </c>
      <c r="AL356" s="14" t="str">
        <f>IF(AD356&gt;0,INDEX(挂机升级突破!$BX$4:$CH$4,AD356),"")</f>
        <v>红色基础材料</v>
      </c>
      <c r="AM356" s="14">
        <f>ROUND(INDEX(挂机升级突破!$BX$6:$CH$57,卡牌消耗!AI356,AD356)*INDEX(卡牌消耗!$B$5:$F$5,AG356)/$Q$4/5,0)*5</f>
        <v>55</v>
      </c>
      <c r="AN356" s="14" t="str">
        <f>IF(AE356&gt;0,INDEX(挂机升级突破!$BX$4:$CH$4,AE356),"")</f>
        <v/>
      </c>
      <c r="AO356" s="14" t="str">
        <f>IF(AE356&gt;0,ROUND(INDEX(挂机升级突破!$BX$6:$CH$57,卡牌消耗!AI356,AE356)*INDEX(卡牌消耗!$B$7:$F$7,AG356)/$Q$4,0),"")</f>
        <v/>
      </c>
      <c r="AP356" s="106"/>
      <c r="AQ356" s="15"/>
      <c r="AR356" s="104">
        <v>352</v>
      </c>
      <c r="AS356" s="14">
        <f t="shared" si="143"/>
        <v>18</v>
      </c>
      <c r="AT356" s="14">
        <f>INDEX(挂机升级突破!$CM$7:$CM$26,AX356)</f>
        <v>5</v>
      </c>
      <c r="AU356" s="14">
        <f>INDEX(挂机升级突破!$CN$7:$CN$26,AX356)</f>
        <v>2</v>
      </c>
      <c r="AV356" s="14">
        <f t="shared" si="144"/>
        <v>2</v>
      </c>
      <c r="AW356" s="14" t="str">
        <f t="shared" si="145"/>
        <v>噬日</v>
      </c>
      <c r="AX356" s="14">
        <f t="shared" si="146"/>
        <v>12</v>
      </c>
      <c r="AY356" s="14" t="str">
        <f t="shared" si="147"/>
        <v>噬日12突</v>
      </c>
      <c r="AZ356" s="14" t="str">
        <f>IF(AT356&gt;0,INDEX(挂机升级突破!$CV$5:$CZ$5,卡牌消耗!AT356),"")</f>
        <v>金币</v>
      </c>
      <c r="BA356" s="14">
        <f>IF(AT356&gt;0,ROUND(INDEX(挂机升级突破!$CZ$7:$CZ$26,卡牌消耗!AX356)*INDEX(卡牌消耗!$B$8:$F$8,AV356)/$Q$4/500,0)*500,"")</f>
        <v>13500</v>
      </c>
      <c r="BB356" s="14" t="str">
        <f>IF(AU356&gt;0,INDEX(挂机升级突破!$CV$5:$CZ$5,卡牌消耗!AU356),"")</f>
        <v>乌金</v>
      </c>
      <c r="BC356" s="14">
        <f>IF(AU356&gt;0,ROUND(INDEX(挂机升级突破!$CV$7:$CY$26,卡牌消耗!AX356,卡牌消耗!AU356)*INDEX($B$6:$F$6,AV356)/$Q$4/5,0)*5,"")</f>
        <v>125</v>
      </c>
      <c r="BD356" s="104"/>
      <c r="BE356" s="104"/>
      <c r="BF356" s="106"/>
    </row>
    <row r="357" spans="8:73" ht="16.5" x14ac:dyDescent="0.2">
      <c r="H357" s="15"/>
      <c r="I357" s="15"/>
      <c r="J357" s="15"/>
      <c r="K357" s="15"/>
      <c r="L357" s="15"/>
      <c r="M357" s="15"/>
      <c r="N357" s="15"/>
      <c r="O357" s="137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04">
        <v>353</v>
      </c>
      <c r="AB357" s="14">
        <f t="shared" si="138"/>
        <v>7</v>
      </c>
      <c r="AC357" s="14">
        <f>INDEX(挂机升级突破!$BU$6:$BU$57,卡牌消耗!AI357)</f>
        <v>11</v>
      </c>
      <c r="AD357" s="14">
        <f>INDEX(挂机升级突破!BV$6:BV$57,卡牌消耗!$AI357)</f>
        <v>5</v>
      </c>
      <c r="AE357" s="14">
        <f>INDEX(挂机升级突破!BW$6:BW$57,卡牌消耗!$AI357)</f>
        <v>10</v>
      </c>
      <c r="AF357" s="14" t="str">
        <f t="shared" si="139"/>
        <v>天使缇娜</v>
      </c>
      <c r="AG357" s="14">
        <f t="shared" si="140"/>
        <v>4</v>
      </c>
      <c r="AH357" s="14" t="str">
        <f t="shared" si="141"/>
        <v>天使缇娜魂火-41</v>
      </c>
      <c r="AI357" s="14">
        <f t="shared" si="142"/>
        <v>41</v>
      </c>
      <c r="AJ357" s="14" t="str">
        <f>INDEX(挂机升级突破!$BX$4:$CH$4,INDEX(挂机升级突破!$BU$6:$BU$57,卡牌消耗!AI357))</f>
        <v>金币</v>
      </c>
      <c r="AK357" s="14">
        <f>ROUND(INDEX(挂机升级突破!$BN$6:$BN$57,卡牌消耗!AI357)*INDEX(卡牌消耗!$B$8:$F$8,AG357)/$Q$4/50,0)*50</f>
        <v>34450</v>
      </c>
      <c r="AL357" s="14" t="str">
        <f>IF(AD357&gt;0,INDEX(挂机升级突破!$BX$4:$CH$4,AD357),"")</f>
        <v>红色基础材料</v>
      </c>
      <c r="AM357" s="14">
        <f>ROUND(INDEX(挂机升级突破!$BX$6:$CH$57,卡牌消耗!AI357,AD357)*INDEX(卡牌消耗!$B$5:$F$5,AG357)/$Q$4/5,0)*5</f>
        <v>65</v>
      </c>
      <c r="AN357" s="14" t="str">
        <f>IF(AE357&gt;0,INDEX(挂机升级突破!$BX$4:$CH$4,AE357),"")</f>
        <v>灵玉</v>
      </c>
      <c r="AO357" s="14">
        <f>IF(AE357&gt;0,ROUND(INDEX(挂机升级突破!$BX$6:$CH$57,卡牌消耗!AI357,AE357)*INDEX(卡牌消耗!$B$7:$F$7,AG357)/$Q$4,0),"")</f>
        <v>2</v>
      </c>
      <c r="AP357" s="106"/>
      <c r="AQ357" s="15"/>
      <c r="AR357" s="104">
        <v>353</v>
      </c>
      <c r="AS357" s="14">
        <f t="shared" si="143"/>
        <v>18</v>
      </c>
      <c r="AT357" s="14">
        <f>INDEX(挂机升级突破!$CM$7:$CM$26,AX357)</f>
        <v>5</v>
      </c>
      <c r="AU357" s="14">
        <f>INDEX(挂机升级突破!$CN$7:$CN$26,AX357)</f>
        <v>3</v>
      </c>
      <c r="AV357" s="14">
        <f t="shared" si="144"/>
        <v>2</v>
      </c>
      <c r="AW357" s="14" t="str">
        <f t="shared" si="145"/>
        <v>噬日</v>
      </c>
      <c r="AX357" s="14">
        <f t="shared" si="146"/>
        <v>13</v>
      </c>
      <c r="AY357" s="14" t="str">
        <f t="shared" si="147"/>
        <v>噬日13突</v>
      </c>
      <c r="AZ357" s="14" t="str">
        <f>IF(AT357&gt;0,INDEX(挂机升级突破!$CV$5:$CZ$5,卡牌消耗!AT357),"")</f>
        <v>金币</v>
      </c>
      <c r="BA357" s="14">
        <f>IF(AT357&gt;0,ROUND(INDEX(挂机升级突破!$CZ$7:$CZ$26,卡牌消耗!AX357)*INDEX(卡牌消耗!$B$8:$F$8,AV357)/$Q$4/500,0)*500,"")</f>
        <v>18000</v>
      </c>
      <c r="BB357" s="14" t="str">
        <f>IF(AU357&gt;0,INDEX(挂机升级突破!$CV$5:$CZ$5,卡牌消耗!AU357),"")</f>
        <v>银母</v>
      </c>
      <c r="BC357" s="14">
        <f>IF(AU357&gt;0,ROUND(INDEX(挂机升级突破!$CV$7:$CY$26,卡牌消耗!AX357,卡牌消耗!AU357)*INDEX($B$6:$F$6,AV357)/$Q$4/5,0)*5,"")</f>
        <v>25</v>
      </c>
      <c r="BD357" s="104"/>
      <c r="BE357" s="104"/>
      <c r="BF357" s="106"/>
      <c r="BU357" s="15"/>
    </row>
    <row r="358" spans="8:73" ht="16.5" x14ac:dyDescent="0.2">
      <c r="H358" s="15"/>
      <c r="I358" s="15"/>
      <c r="J358" s="15"/>
      <c r="K358" s="15"/>
      <c r="L358" s="15"/>
      <c r="M358" s="15"/>
      <c r="N358" s="15"/>
      <c r="O358" s="137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04">
        <v>354</v>
      </c>
      <c r="AB358" s="14">
        <f t="shared" si="138"/>
        <v>7</v>
      </c>
      <c r="AC358" s="14">
        <f>INDEX(挂机升级突破!$BU$6:$BU$57,卡牌消耗!AI358)</f>
        <v>11</v>
      </c>
      <c r="AD358" s="14">
        <f>INDEX(挂机升级突破!BV$6:BV$57,卡牌消耗!$AI358)</f>
        <v>5</v>
      </c>
      <c r="AE358" s="14">
        <f>INDEX(挂机升级突破!BW$6:BW$57,卡牌消耗!$AI358)</f>
        <v>10</v>
      </c>
      <c r="AF358" s="14" t="str">
        <f t="shared" si="139"/>
        <v>天使缇娜</v>
      </c>
      <c r="AG358" s="14">
        <f t="shared" si="140"/>
        <v>4</v>
      </c>
      <c r="AH358" s="14" t="str">
        <f t="shared" si="141"/>
        <v>天使缇娜魂火-42</v>
      </c>
      <c r="AI358" s="14">
        <f t="shared" si="142"/>
        <v>42</v>
      </c>
      <c r="AJ358" s="14" t="str">
        <f>INDEX(挂机升级突破!$BX$4:$CH$4,INDEX(挂机升级突破!$BU$6:$BU$57,卡牌消耗!AI358))</f>
        <v>金币</v>
      </c>
      <c r="AK358" s="14">
        <f>ROUND(INDEX(挂机升级突破!$BN$6:$BN$57,卡牌消耗!AI358)*INDEX(卡牌消耗!$B$8:$F$8,AG358)/$Q$4/50,0)*50</f>
        <v>34450</v>
      </c>
      <c r="AL358" s="14" t="str">
        <f>IF(AD358&gt;0,INDEX(挂机升级突破!$BX$4:$CH$4,AD358),"")</f>
        <v>红色基础材料</v>
      </c>
      <c r="AM358" s="14">
        <f>ROUND(INDEX(挂机升级突破!$BX$6:$CH$57,卡牌消耗!AI358,AD358)*INDEX(卡牌消耗!$B$5:$F$5,AG358)/$Q$4/5,0)*5</f>
        <v>65</v>
      </c>
      <c r="AN358" s="14" t="str">
        <f>IF(AE358&gt;0,INDEX(挂机升级突破!$BX$4:$CH$4,AE358),"")</f>
        <v>灵玉</v>
      </c>
      <c r="AO358" s="14">
        <f>IF(AE358&gt;0,ROUND(INDEX(挂机升级突破!$BX$6:$CH$57,卡牌消耗!AI358,AE358)*INDEX(卡牌消耗!$B$7:$F$7,AG358)/$Q$4,0),"")</f>
        <v>2</v>
      </c>
      <c r="AP358" s="106"/>
      <c r="AQ358" s="15"/>
      <c r="AR358" s="104">
        <v>354</v>
      </c>
      <c r="AS358" s="14">
        <f t="shared" si="143"/>
        <v>18</v>
      </c>
      <c r="AT358" s="14">
        <f>INDEX(挂机升级突破!$CM$7:$CM$26,AX358)</f>
        <v>5</v>
      </c>
      <c r="AU358" s="14">
        <f>INDEX(挂机升级突破!$CN$7:$CN$26,AX358)</f>
        <v>3</v>
      </c>
      <c r="AV358" s="14">
        <f t="shared" si="144"/>
        <v>2</v>
      </c>
      <c r="AW358" s="14" t="str">
        <f t="shared" si="145"/>
        <v>噬日</v>
      </c>
      <c r="AX358" s="14">
        <f t="shared" si="146"/>
        <v>14</v>
      </c>
      <c r="AY358" s="14" t="str">
        <f t="shared" si="147"/>
        <v>噬日14突</v>
      </c>
      <c r="AZ358" s="14" t="str">
        <f>IF(AT358&gt;0,INDEX(挂机升级突破!$CV$5:$CZ$5,卡牌消耗!AT358),"")</f>
        <v>金币</v>
      </c>
      <c r="BA358" s="14">
        <f>IF(AT358&gt;0,ROUND(INDEX(挂机升级突破!$CZ$7:$CZ$26,卡牌消耗!AX358)*INDEX(卡牌消耗!$B$8:$F$8,AV358)/$Q$4/500,0)*500,"")</f>
        <v>18000</v>
      </c>
      <c r="BB358" s="14" t="str">
        <f>IF(AU358&gt;0,INDEX(挂机升级突破!$CV$5:$CZ$5,卡牌消耗!AU358),"")</f>
        <v>银母</v>
      </c>
      <c r="BC358" s="14">
        <f>IF(AU358&gt;0,ROUND(INDEX(挂机升级突破!$CV$7:$CY$26,卡牌消耗!AX358,卡牌消耗!AU358)*INDEX($B$6:$F$6,AV358)/$Q$4/5,0)*5,"")</f>
        <v>30</v>
      </c>
      <c r="BD358" s="104"/>
      <c r="BE358" s="104"/>
      <c r="BF358" s="106"/>
      <c r="BU358" s="15"/>
    </row>
    <row r="359" spans="8:73" ht="16.5" x14ac:dyDescent="0.2">
      <c r="H359" s="15"/>
      <c r="I359" s="15"/>
      <c r="J359" s="15"/>
      <c r="K359" s="15"/>
      <c r="L359" s="15"/>
      <c r="M359" s="15"/>
      <c r="N359" s="15"/>
      <c r="O359" s="137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04">
        <v>355</v>
      </c>
      <c r="AB359" s="14">
        <f t="shared" si="138"/>
        <v>7</v>
      </c>
      <c r="AC359" s="14">
        <f>INDEX(挂机升级突破!$BU$6:$BU$57,卡牌消耗!AI359)</f>
        <v>11</v>
      </c>
      <c r="AD359" s="14">
        <f>INDEX(挂机升级突破!BV$6:BV$57,卡牌消耗!$AI359)</f>
        <v>5</v>
      </c>
      <c r="AE359" s="14">
        <f>INDEX(挂机升级突破!BW$6:BW$57,卡牌消耗!$AI359)</f>
        <v>10</v>
      </c>
      <c r="AF359" s="14" t="str">
        <f t="shared" si="139"/>
        <v>天使缇娜</v>
      </c>
      <c r="AG359" s="14">
        <f t="shared" si="140"/>
        <v>4</v>
      </c>
      <c r="AH359" s="14" t="str">
        <f t="shared" si="141"/>
        <v>天使缇娜魂火-43</v>
      </c>
      <c r="AI359" s="14">
        <f t="shared" si="142"/>
        <v>43</v>
      </c>
      <c r="AJ359" s="14" t="str">
        <f>INDEX(挂机升级突破!$BX$4:$CH$4,INDEX(挂机升级突破!$BU$6:$BU$57,卡牌消耗!AI359))</f>
        <v>金币</v>
      </c>
      <c r="AK359" s="14">
        <f>ROUND(INDEX(挂机升级突破!$BN$6:$BN$57,卡牌消耗!AI359)*INDEX(卡牌消耗!$B$8:$F$8,AG359)/$Q$4/50,0)*50</f>
        <v>34450</v>
      </c>
      <c r="AL359" s="14" t="str">
        <f>IF(AD359&gt;0,INDEX(挂机升级突破!$BX$4:$CH$4,AD359),"")</f>
        <v>红色基础材料</v>
      </c>
      <c r="AM359" s="14">
        <f>ROUND(INDEX(挂机升级突破!$BX$6:$CH$57,卡牌消耗!AI359,AD359)*INDEX(卡牌消耗!$B$5:$F$5,AG359)/$Q$4/5,0)*5</f>
        <v>65</v>
      </c>
      <c r="AN359" s="14" t="str">
        <f>IF(AE359&gt;0,INDEX(挂机升级突破!$BX$4:$CH$4,AE359),"")</f>
        <v>灵玉</v>
      </c>
      <c r="AO359" s="14">
        <f>IF(AE359&gt;0,ROUND(INDEX(挂机升级突破!$BX$6:$CH$57,卡牌消耗!AI359,AE359)*INDEX(卡牌消耗!$B$7:$F$7,AG359)/$Q$4,0),"")</f>
        <v>2</v>
      </c>
      <c r="AP359" s="106"/>
      <c r="AQ359" s="15"/>
      <c r="AR359" s="104">
        <v>355</v>
      </c>
      <c r="AS359" s="14">
        <f t="shared" si="143"/>
        <v>18</v>
      </c>
      <c r="AT359" s="14">
        <f>INDEX(挂机升级突破!$CM$7:$CM$26,AX359)</f>
        <v>5</v>
      </c>
      <c r="AU359" s="14">
        <f>INDEX(挂机升级突破!$CN$7:$CN$26,AX359)</f>
        <v>3</v>
      </c>
      <c r="AV359" s="14">
        <f t="shared" si="144"/>
        <v>2</v>
      </c>
      <c r="AW359" s="14" t="str">
        <f t="shared" si="145"/>
        <v>噬日</v>
      </c>
      <c r="AX359" s="14">
        <f t="shared" si="146"/>
        <v>15</v>
      </c>
      <c r="AY359" s="14" t="str">
        <f t="shared" si="147"/>
        <v>噬日15突</v>
      </c>
      <c r="AZ359" s="14" t="str">
        <f>IF(AT359&gt;0,INDEX(挂机升级突破!$CV$5:$CZ$5,卡牌消耗!AT359),"")</f>
        <v>金币</v>
      </c>
      <c r="BA359" s="14">
        <f>IF(AT359&gt;0,ROUND(INDEX(挂机升级突破!$CZ$7:$CZ$26,卡牌消耗!AX359)*INDEX(卡牌消耗!$B$8:$F$8,AV359)/$Q$4/500,0)*500,"")</f>
        <v>24000</v>
      </c>
      <c r="BB359" s="14" t="str">
        <f>IF(AU359&gt;0,INDEX(挂机升级突破!$CV$5:$CZ$5,卡牌消耗!AU359),"")</f>
        <v>银母</v>
      </c>
      <c r="BC359" s="14">
        <f>IF(AU359&gt;0,ROUND(INDEX(挂机升级突破!$CV$7:$CY$26,卡牌消耗!AX359,卡牌消耗!AU359)*INDEX($B$6:$F$6,AV359)/$Q$4/5,0)*5,"")</f>
        <v>45</v>
      </c>
      <c r="BD359" s="104"/>
      <c r="BE359" s="104"/>
      <c r="BF359" s="106"/>
      <c r="BU359" s="15"/>
    </row>
    <row r="360" spans="8:73" ht="16.5" x14ac:dyDescent="0.2">
      <c r="H360" s="15"/>
      <c r="I360" s="15"/>
      <c r="J360" s="15"/>
      <c r="K360" s="15"/>
      <c r="L360" s="15"/>
      <c r="M360" s="15"/>
      <c r="N360" s="15"/>
      <c r="O360" s="137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04">
        <v>356</v>
      </c>
      <c r="AB360" s="14">
        <f t="shared" si="138"/>
        <v>7</v>
      </c>
      <c r="AC360" s="14">
        <f>INDEX(挂机升级突破!$BU$6:$BU$57,卡牌消耗!AI360)</f>
        <v>11</v>
      </c>
      <c r="AD360" s="14">
        <f>INDEX(挂机升级突破!BV$6:BV$57,卡牌消耗!$AI360)</f>
        <v>5</v>
      </c>
      <c r="AE360" s="14">
        <f>INDEX(挂机升级突破!BW$6:BW$57,卡牌消耗!$AI360)</f>
        <v>10</v>
      </c>
      <c r="AF360" s="14" t="str">
        <f t="shared" si="139"/>
        <v>天使缇娜</v>
      </c>
      <c r="AG360" s="14">
        <f t="shared" si="140"/>
        <v>4</v>
      </c>
      <c r="AH360" s="14" t="str">
        <f t="shared" si="141"/>
        <v>天使缇娜魂火-44</v>
      </c>
      <c r="AI360" s="14">
        <f t="shared" si="142"/>
        <v>44</v>
      </c>
      <c r="AJ360" s="14" t="str">
        <f>INDEX(挂机升级突破!$BX$4:$CH$4,INDEX(挂机升级突破!$BU$6:$BU$57,卡牌消耗!AI360))</f>
        <v>金币</v>
      </c>
      <c r="AK360" s="14">
        <f>ROUND(INDEX(挂机升级突破!$BN$6:$BN$57,卡牌消耗!AI360)*INDEX(卡牌消耗!$B$8:$F$8,AG360)/$Q$4/50,0)*50</f>
        <v>43850</v>
      </c>
      <c r="AL360" s="14" t="str">
        <f>IF(AD360&gt;0,INDEX(挂机升级突破!$BX$4:$CH$4,AD360),"")</f>
        <v>红色基础材料</v>
      </c>
      <c r="AM360" s="14">
        <f>ROUND(INDEX(挂机升级突破!$BX$6:$CH$57,卡牌消耗!AI360,AD360)*INDEX(卡牌消耗!$B$5:$F$5,AG360)/$Q$4/5,0)*5</f>
        <v>75</v>
      </c>
      <c r="AN360" s="14" t="str">
        <f>IF(AE360&gt;0,INDEX(挂机升级突破!$BX$4:$CH$4,AE360),"")</f>
        <v>灵玉</v>
      </c>
      <c r="AO360" s="14">
        <f>IF(AE360&gt;0,ROUND(INDEX(挂机升级突破!$BX$6:$CH$57,卡牌消耗!AI360,AE360)*INDEX(卡牌消耗!$B$7:$F$7,AG360)/$Q$4,0),"")</f>
        <v>2</v>
      </c>
      <c r="AP360" s="106"/>
      <c r="AQ360" s="15"/>
      <c r="AR360" s="104">
        <v>356</v>
      </c>
      <c r="AS360" s="14">
        <f t="shared" si="143"/>
        <v>18</v>
      </c>
      <c r="AT360" s="14">
        <f>INDEX(挂机升级突破!$CM$7:$CM$26,AX360)</f>
        <v>5</v>
      </c>
      <c r="AU360" s="14">
        <f>INDEX(挂机升级突破!$CN$7:$CN$26,AX360)</f>
        <v>3</v>
      </c>
      <c r="AV360" s="14">
        <f t="shared" si="144"/>
        <v>2</v>
      </c>
      <c r="AW360" s="14" t="str">
        <f t="shared" si="145"/>
        <v>噬日</v>
      </c>
      <c r="AX360" s="14">
        <f t="shared" si="146"/>
        <v>16</v>
      </c>
      <c r="AY360" s="14" t="str">
        <f t="shared" si="147"/>
        <v>噬日16突</v>
      </c>
      <c r="AZ360" s="14" t="str">
        <f>IF(AT360&gt;0,INDEX(挂机升级突破!$CV$5:$CZ$5,卡牌消耗!AT360),"")</f>
        <v>金币</v>
      </c>
      <c r="BA360" s="14">
        <f>IF(AT360&gt;0,ROUND(INDEX(挂机升级突破!$CZ$7:$CZ$26,卡牌消耗!AX360)*INDEX(卡牌消耗!$B$8:$F$8,AV360)/$Q$4/500,0)*500,"")</f>
        <v>44000</v>
      </c>
      <c r="BB360" s="14" t="str">
        <f>IF(AU360&gt;0,INDEX(挂机升级突破!$CV$5:$CZ$5,卡牌消耗!AU360),"")</f>
        <v>银母</v>
      </c>
      <c r="BC360" s="14">
        <f>IF(AU360&gt;0,ROUND(INDEX(挂机升级突破!$CV$7:$CY$26,卡牌消耗!AX360,卡牌消耗!AU360)*INDEX($B$6:$F$6,AV360)/$Q$4/5,0)*5,"")</f>
        <v>55</v>
      </c>
      <c r="BD360" s="104"/>
      <c r="BE360" s="104"/>
      <c r="BF360" s="106"/>
      <c r="BU360" s="15"/>
    </row>
    <row r="361" spans="8:73" ht="16.5" x14ac:dyDescent="0.2">
      <c r="H361" s="15"/>
      <c r="I361" s="15"/>
      <c r="J361" s="15"/>
      <c r="K361" s="15"/>
      <c r="L361" s="15"/>
      <c r="M361" s="15"/>
      <c r="N361" s="15"/>
      <c r="O361" s="137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04">
        <v>357</v>
      </c>
      <c r="AB361" s="14">
        <f t="shared" si="138"/>
        <v>7</v>
      </c>
      <c r="AC361" s="14">
        <f>INDEX(挂机升级突破!$BU$6:$BU$57,卡牌消耗!AI361)</f>
        <v>11</v>
      </c>
      <c r="AD361" s="14">
        <f>INDEX(挂机升级突破!BV$6:BV$57,卡牌消耗!$AI361)</f>
        <v>5</v>
      </c>
      <c r="AE361" s="14">
        <f>INDEX(挂机升级突破!BW$6:BW$57,卡牌消耗!$AI361)</f>
        <v>10</v>
      </c>
      <c r="AF361" s="14" t="str">
        <f t="shared" si="139"/>
        <v>天使缇娜</v>
      </c>
      <c r="AG361" s="14">
        <f t="shared" si="140"/>
        <v>4</v>
      </c>
      <c r="AH361" s="14" t="str">
        <f t="shared" si="141"/>
        <v>天使缇娜魂火-45</v>
      </c>
      <c r="AI361" s="14">
        <f t="shared" si="142"/>
        <v>45</v>
      </c>
      <c r="AJ361" s="14" t="str">
        <f>INDEX(挂机升级突破!$BX$4:$CH$4,INDEX(挂机升级突破!$BU$6:$BU$57,卡牌消耗!AI361))</f>
        <v>金币</v>
      </c>
      <c r="AK361" s="14">
        <f>ROUND(INDEX(挂机升级突破!$BN$6:$BN$57,卡牌消耗!AI361)*INDEX(卡牌消耗!$B$8:$F$8,AG361)/$Q$4/50,0)*50</f>
        <v>43850</v>
      </c>
      <c r="AL361" s="14" t="str">
        <f>IF(AD361&gt;0,INDEX(挂机升级突破!$BX$4:$CH$4,AD361),"")</f>
        <v>红色基础材料</v>
      </c>
      <c r="AM361" s="14">
        <f>ROUND(INDEX(挂机升级突破!$BX$6:$CH$57,卡牌消耗!AI361,AD361)*INDEX(卡牌消耗!$B$5:$F$5,AG361)/$Q$4/5,0)*5</f>
        <v>75</v>
      </c>
      <c r="AN361" s="14" t="str">
        <f>IF(AE361&gt;0,INDEX(挂机升级突破!$BX$4:$CH$4,AE361),"")</f>
        <v>灵玉</v>
      </c>
      <c r="AO361" s="14">
        <f>IF(AE361&gt;0,ROUND(INDEX(挂机升级突破!$BX$6:$CH$57,卡牌消耗!AI361,AE361)*INDEX(卡牌消耗!$B$7:$F$7,AG361)/$Q$4,0),"")</f>
        <v>2</v>
      </c>
      <c r="AP361" s="106"/>
      <c r="AQ361" s="15"/>
      <c r="AR361" s="104">
        <v>357</v>
      </c>
      <c r="AS361" s="14">
        <f t="shared" si="143"/>
        <v>18</v>
      </c>
      <c r="AT361" s="14">
        <f>INDEX(挂机升级突破!$CM$7:$CM$26,AX361)</f>
        <v>5</v>
      </c>
      <c r="AU361" s="14">
        <f>INDEX(挂机升级突破!$CN$7:$CN$26,AX361)</f>
        <v>4</v>
      </c>
      <c r="AV361" s="14">
        <f t="shared" si="144"/>
        <v>2</v>
      </c>
      <c r="AW361" s="14" t="str">
        <f t="shared" si="145"/>
        <v>噬日</v>
      </c>
      <c r="AX361" s="14">
        <f t="shared" si="146"/>
        <v>17</v>
      </c>
      <c r="AY361" s="14" t="str">
        <f t="shared" si="147"/>
        <v>噬日17突</v>
      </c>
      <c r="AZ361" s="14" t="str">
        <f>IF(AT361&gt;0,INDEX(挂机升级突破!$CV$5:$CZ$5,卡牌消耗!AT361),"")</f>
        <v>金币</v>
      </c>
      <c r="BA361" s="14">
        <f>IF(AT361&gt;0,ROUND(INDEX(挂机升级突破!$CZ$7:$CZ$26,卡牌消耗!AX361)*INDEX(卡牌消耗!$B$8:$F$8,AV361)/$Q$4/500,0)*500,"")</f>
        <v>44000</v>
      </c>
      <c r="BB361" s="14" t="str">
        <f>IF(AU361&gt;0,INDEX(挂机升级突破!$CV$5:$CZ$5,卡牌消耗!AU361),"")</f>
        <v>铀金</v>
      </c>
      <c r="BC361" s="14">
        <f>IF(AU361&gt;0,ROUND(INDEX(挂机升级突破!$CV$7:$CY$26,卡牌消耗!AX361,卡牌消耗!AU361)*INDEX($B$6:$F$6,AV361)/$Q$4/5,0)*5,"")</f>
        <v>20</v>
      </c>
      <c r="BD361" s="104"/>
      <c r="BE361" s="104"/>
      <c r="BF361" s="106"/>
      <c r="BU361" s="15"/>
    </row>
    <row r="362" spans="8:73" ht="16.5" x14ac:dyDescent="0.2">
      <c r="H362" s="15"/>
      <c r="I362" s="15"/>
      <c r="J362" s="15"/>
      <c r="K362" s="15"/>
      <c r="L362" s="15"/>
      <c r="M362" s="15"/>
      <c r="N362" s="15"/>
      <c r="O362" s="137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04">
        <v>358</v>
      </c>
      <c r="AB362" s="14">
        <f t="shared" si="138"/>
        <v>7</v>
      </c>
      <c r="AC362" s="14">
        <f>INDEX(挂机升级突破!$BU$6:$BU$57,卡牌消耗!AI362)</f>
        <v>11</v>
      </c>
      <c r="AD362" s="14">
        <f>INDEX(挂机升级突破!BV$6:BV$57,卡牌消耗!$AI362)</f>
        <v>5</v>
      </c>
      <c r="AE362" s="14">
        <f>INDEX(挂机升级突破!BW$6:BW$57,卡牌消耗!$AI362)</f>
        <v>10</v>
      </c>
      <c r="AF362" s="14" t="str">
        <f t="shared" si="139"/>
        <v>天使缇娜</v>
      </c>
      <c r="AG362" s="14">
        <f t="shared" si="140"/>
        <v>4</v>
      </c>
      <c r="AH362" s="14" t="str">
        <f t="shared" si="141"/>
        <v>天使缇娜魂火-46</v>
      </c>
      <c r="AI362" s="14">
        <f t="shared" si="142"/>
        <v>46</v>
      </c>
      <c r="AJ362" s="14" t="str">
        <f>INDEX(挂机升级突破!$BX$4:$CH$4,INDEX(挂机升级突破!$BU$6:$BU$57,卡牌消耗!AI362))</f>
        <v>金币</v>
      </c>
      <c r="AK362" s="14">
        <f>ROUND(INDEX(挂机升级突破!$BN$6:$BN$57,卡牌消耗!AI362)*INDEX(卡牌消耗!$B$8:$F$8,AG362)/$Q$4/50,0)*50</f>
        <v>47000</v>
      </c>
      <c r="AL362" s="14" t="str">
        <f>IF(AD362&gt;0,INDEX(挂机升级突破!$BX$4:$CH$4,AD362),"")</f>
        <v>红色基础材料</v>
      </c>
      <c r="AM362" s="14">
        <f>ROUND(INDEX(挂机升级突破!$BX$6:$CH$57,卡牌消耗!AI362,AD362)*INDEX(卡牌消耗!$B$5:$F$5,AG362)/$Q$4/5,0)*5</f>
        <v>75</v>
      </c>
      <c r="AN362" s="14" t="str">
        <f>IF(AE362&gt;0,INDEX(挂机升级突破!$BX$4:$CH$4,AE362),"")</f>
        <v>灵玉</v>
      </c>
      <c r="AO362" s="14">
        <f>IF(AE362&gt;0,ROUND(INDEX(挂机升级突破!$BX$6:$CH$57,卡牌消耗!AI362,AE362)*INDEX(卡牌消耗!$B$7:$F$7,AG362)/$Q$4,0),"")</f>
        <v>2</v>
      </c>
      <c r="AP362" s="106"/>
      <c r="AQ362" s="15"/>
      <c r="AR362" s="104">
        <v>358</v>
      </c>
      <c r="AS362" s="14">
        <f t="shared" si="143"/>
        <v>18</v>
      </c>
      <c r="AT362" s="14">
        <f>INDEX(挂机升级突破!$CM$7:$CM$26,AX362)</f>
        <v>5</v>
      </c>
      <c r="AU362" s="14">
        <f>INDEX(挂机升级突破!$CN$7:$CN$26,AX362)</f>
        <v>4</v>
      </c>
      <c r="AV362" s="14">
        <f t="shared" si="144"/>
        <v>2</v>
      </c>
      <c r="AW362" s="14" t="str">
        <f t="shared" si="145"/>
        <v>噬日</v>
      </c>
      <c r="AX362" s="14">
        <f t="shared" si="146"/>
        <v>18</v>
      </c>
      <c r="AY362" s="14" t="str">
        <f t="shared" si="147"/>
        <v>噬日18突</v>
      </c>
      <c r="AZ362" s="14" t="str">
        <f>IF(AT362&gt;0,INDEX(挂机升级突破!$CV$5:$CZ$5,卡牌消耗!AT362),"")</f>
        <v>金币</v>
      </c>
      <c r="BA362" s="14">
        <f>IF(AT362&gt;0,ROUND(INDEX(挂机升级突破!$CZ$7:$CZ$26,卡牌消耗!AX362)*INDEX(卡牌消耗!$B$8:$F$8,AV362)/$Q$4/500,0)*500,"")</f>
        <v>58500</v>
      </c>
      <c r="BB362" s="14" t="str">
        <f>IF(AU362&gt;0,INDEX(挂机升级突破!$CV$5:$CZ$5,卡牌消耗!AU362),"")</f>
        <v>铀金</v>
      </c>
      <c r="BC362" s="14">
        <f>IF(AU362&gt;0,ROUND(INDEX(挂机升级突破!$CV$7:$CY$26,卡牌消耗!AX362,卡牌消耗!AU362)*INDEX($B$6:$F$6,AV362)/$Q$4/5,0)*5,"")</f>
        <v>25</v>
      </c>
      <c r="BD362" s="104"/>
      <c r="BE362" s="104"/>
      <c r="BF362" s="106"/>
      <c r="BU362" s="15"/>
    </row>
    <row r="363" spans="8:73" ht="16.5" x14ac:dyDescent="0.2">
      <c r="H363" s="15"/>
      <c r="I363" s="15"/>
      <c r="J363" s="15"/>
      <c r="K363" s="15"/>
      <c r="L363" s="15"/>
      <c r="M363" s="15"/>
      <c r="N363" s="15"/>
      <c r="O363" s="137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04">
        <v>359</v>
      </c>
      <c r="AB363" s="14">
        <f t="shared" si="138"/>
        <v>7</v>
      </c>
      <c r="AC363" s="14">
        <f>INDEX(挂机升级突破!$BU$6:$BU$57,卡牌消耗!AI363)</f>
        <v>11</v>
      </c>
      <c r="AD363" s="14">
        <f>INDEX(挂机升级突破!BV$6:BV$57,卡牌消耗!$AI363)</f>
        <v>5</v>
      </c>
      <c r="AE363" s="14">
        <f>INDEX(挂机升级突破!BW$6:BW$57,卡牌消耗!$AI363)</f>
        <v>10</v>
      </c>
      <c r="AF363" s="14" t="str">
        <f t="shared" si="139"/>
        <v>天使缇娜</v>
      </c>
      <c r="AG363" s="14">
        <f t="shared" si="140"/>
        <v>4</v>
      </c>
      <c r="AH363" s="14" t="str">
        <f t="shared" si="141"/>
        <v>天使缇娜魂火-47</v>
      </c>
      <c r="AI363" s="14">
        <f t="shared" si="142"/>
        <v>47</v>
      </c>
      <c r="AJ363" s="14" t="str">
        <f>INDEX(挂机升级突破!$BX$4:$CH$4,INDEX(挂机升级突破!$BU$6:$BU$57,卡牌消耗!AI363))</f>
        <v>金币</v>
      </c>
      <c r="AK363" s="14">
        <f>ROUND(INDEX(挂机升级突破!$BN$6:$BN$57,卡牌消耗!AI363)*INDEX(卡牌消耗!$B$8:$F$8,AG363)/$Q$4/50,0)*50</f>
        <v>227950</v>
      </c>
      <c r="AL363" s="14" t="str">
        <f>IF(AD363&gt;0,INDEX(挂机升级突破!$BX$4:$CH$4,AD363),"")</f>
        <v>红色基础材料</v>
      </c>
      <c r="AM363" s="14">
        <f>ROUND(INDEX(挂机升级突破!$BX$6:$CH$57,卡牌消耗!AI363,AD363)*INDEX(卡牌消耗!$B$5:$F$5,AG363)/$Q$4/5,0)*5</f>
        <v>75</v>
      </c>
      <c r="AN363" s="14" t="str">
        <f>IF(AE363&gt;0,INDEX(挂机升级突破!$BX$4:$CH$4,AE363),"")</f>
        <v>灵玉</v>
      </c>
      <c r="AO363" s="14">
        <f>IF(AE363&gt;0,ROUND(INDEX(挂机升级突破!$BX$6:$CH$57,卡牌消耗!AI363,AE363)*INDEX(卡牌消耗!$B$7:$F$7,AG363)/$Q$4,0),"")</f>
        <v>2</v>
      </c>
      <c r="AP363" s="106"/>
      <c r="AQ363" s="15"/>
      <c r="AR363" s="104">
        <v>359</v>
      </c>
      <c r="AS363" s="14">
        <f t="shared" si="143"/>
        <v>18</v>
      </c>
      <c r="AT363" s="14">
        <f>INDEX(挂机升级突破!$CM$7:$CM$26,AX363)</f>
        <v>5</v>
      </c>
      <c r="AU363" s="14">
        <f>INDEX(挂机升级突破!$CN$7:$CN$26,AX363)</f>
        <v>4</v>
      </c>
      <c r="AV363" s="14">
        <f t="shared" si="144"/>
        <v>2</v>
      </c>
      <c r="AW363" s="14" t="str">
        <f t="shared" si="145"/>
        <v>噬日</v>
      </c>
      <c r="AX363" s="14">
        <f t="shared" si="146"/>
        <v>19</v>
      </c>
      <c r="AY363" s="14" t="str">
        <f t="shared" si="147"/>
        <v>噬日19突</v>
      </c>
      <c r="AZ363" s="14" t="str">
        <f>IF(AT363&gt;0,INDEX(挂机升级突破!$CV$5:$CZ$5,卡牌消耗!AT363),"")</f>
        <v>金币</v>
      </c>
      <c r="BA363" s="14">
        <f>IF(AT363&gt;0,ROUND(INDEX(挂机升级突破!$CZ$7:$CZ$26,卡牌消耗!AX363)*INDEX(卡牌消耗!$B$8:$F$8,AV363)/$Q$4/500,0)*500,"")</f>
        <v>354500</v>
      </c>
      <c r="BB363" s="14" t="str">
        <f>IF(AU363&gt;0,INDEX(挂机升级突破!$CV$5:$CZ$5,卡牌消耗!AU363),"")</f>
        <v>铀金</v>
      </c>
      <c r="BC363" s="14">
        <f>IF(AU363&gt;0,ROUND(INDEX(挂机升级突破!$CV$7:$CY$26,卡牌消耗!AX363,卡牌消耗!AU363)*INDEX($B$6:$F$6,AV363)/$Q$4/5,0)*5,"")</f>
        <v>35</v>
      </c>
      <c r="BD363" s="104"/>
      <c r="BE363" s="104"/>
      <c r="BF363" s="106"/>
      <c r="BU363" s="15"/>
    </row>
    <row r="364" spans="8:73" ht="16.5" x14ac:dyDescent="0.2">
      <c r="H364" s="15"/>
      <c r="I364" s="15"/>
      <c r="J364" s="15"/>
      <c r="K364" s="15"/>
      <c r="L364" s="15"/>
      <c r="M364" s="15"/>
      <c r="N364" s="15"/>
      <c r="O364" s="137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04">
        <v>360</v>
      </c>
      <c r="AB364" s="14">
        <f t="shared" si="138"/>
        <v>7</v>
      </c>
      <c r="AC364" s="14">
        <f>INDEX(挂机升级突破!$BU$6:$BU$57,卡牌消耗!AI364)</f>
        <v>11</v>
      </c>
      <c r="AD364" s="14">
        <f>INDEX(挂机升级突破!BV$6:BV$57,卡牌消耗!$AI364)</f>
        <v>5</v>
      </c>
      <c r="AE364" s="14">
        <f>INDEX(挂机升级突破!BW$6:BW$57,卡牌消耗!$AI364)</f>
        <v>10</v>
      </c>
      <c r="AF364" s="14" t="str">
        <f t="shared" si="139"/>
        <v>天使缇娜</v>
      </c>
      <c r="AG364" s="14">
        <f t="shared" si="140"/>
        <v>4</v>
      </c>
      <c r="AH364" s="14" t="str">
        <f t="shared" si="141"/>
        <v>天使缇娜魂火-48</v>
      </c>
      <c r="AI364" s="14">
        <f t="shared" si="142"/>
        <v>48</v>
      </c>
      <c r="AJ364" s="14" t="str">
        <f>INDEX(挂机升级突破!$BX$4:$CH$4,INDEX(挂机升级突破!$BU$6:$BU$57,卡牌消耗!AI364))</f>
        <v>金币</v>
      </c>
      <c r="AK364" s="14">
        <f>ROUND(INDEX(挂机升级突破!$BN$6:$BN$57,卡牌消耗!AI364)*INDEX(卡牌消耗!$B$8:$F$8,AG364)/$Q$4/50,0)*50</f>
        <v>227950</v>
      </c>
      <c r="AL364" s="14" t="str">
        <f>IF(AD364&gt;0,INDEX(挂机升级突破!$BX$4:$CH$4,AD364),"")</f>
        <v>红色基础材料</v>
      </c>
      <c r="AM364" s="14">
        <f>ROUND(INDEX(挂机升级突破!$BX$6:$CH$57,卡牌消耗!AI364,AD364)*INDEX(卡牌消耗!$B$5:$F$5,AG364)/$Q$4/5,0)*5</f>
        <v>75</v>
      </c>
      <c r="AN364" s="14" t="str">
        <f>IF(AE364&gt;0,INDEX(挂机升级突破!$BX$4:$CH$4,AE364),"")</f>
        <v>灵玉</v>
      </c>
      <c r="AO364" s="14">
        <f>IF(AE364&gt;0,ROUND(INDEX(挂机升级突破!$BX$6:$CH$57,卡牌消耗!AI364,AE364)*INDEX(卡牌消耗!$B$7:$F$7,AG364)/$Q$4,0),"")</f>
        <v>2</v>
      </c>
      <c r="AP364" s="106"/>
      <c r="AQ364" s="15"/>
      <c r="AR364" s="104">
        <v>360</v>
      </c>
      <c r="AS364" s="14">
        <f t="shared" si="143"/>
        <v>18</v>
      </c>
      <c r="AT364" s="14">
        <f>INDEX(挂机升级突破!$CM$7:$CM$26,AX364)</f>
        <v>5</v>
      </c>
      <c r="AU364" s="14">
        <f>INDEX(挂机升级突破!$CN$7:$CN$26,AX364)</f>
        <v>4</v>
      </c>
      <c r="AV364" s="14">
        <f t="shared" si="144"/>
        <v>2</v>
      </c>
      <c r="AW364" s="14" t="str">
        <f t="shared" si="145"/>
        <v>噬日</v>
      </c>
      <c r="AX364" s="14">
        <f t="shared" si="146"/>
        <v>20</v>
      </c>
      <c r="AY364" s="14" t="str">
        <f t="shared" si="147"/>
        <v>噬日20突</v>
      </c>
      <c r="AZ364" s="14" t="str">
        <f>IF(AT364&gt;0,INDEX(挂机升级突破!$CV$5:$CZ$5,卡牌消耗!AT364),"")</f>
        <v>金币</v>
      </c>
      <c r="BA364" s="14">
        <f>IF(AT364&gt;0,ROUND(INDEX(挂机升级突破!$CZ$7:$CZ$26,卡牌消耗!AX364)*INDEX(卡牌消耗!$B$8:$F$8,AV364)/$Q$4/500,0)*500,"")</f>
        <v>532000</v>
      </c>
      <c r="BB364" s="14" t="str">
        <f>IF(AU364&gt;0,INDEX(挂机升级突破!$CV$5:$CZ$5,卡牌消耗!AU364),"")</f>
        <v>铀金</v>
      </c>
      <c r="BC364" s="14">
        <f>IF(AU364&gt;0,ROUND(INDEX(挂机升级突破!$CV$7:$CY$26,卡牌消耗!AX364,卡牌消耗!AU364)*INDEX($B$6:$F$6,AV364)/$Q$4/5,0)*5,"")</f>
        <v>45</v>
      </c>
      <c r="BD364" s="104"/>
      <c r="BE364" s="104"/>
      <c r="BF364" s="106"/>
      <c r="BU364" s="15"/>
    </row>
    <row r="365" spans="8:73" ht="16.5" x14ac:dyDescent="0.2">
      <c r="H365" s="15"/>
      <c r="I365" s="15"/>
      <c r="J365" s="15"/>
      <c r="K365" s="15"/>
      <c r="L365" s="15"/>
      <c r="M365" s="15"/>
      <c r="N365" s="15"/>
      <c r="O365" s="137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04">
        <v>361</v>
      </c>
      <c r="AB365" s="14">
        <f t="shared" si="138"/>
        <v>7</v>
      </c>
      <c r="AC365" s="14">
        <f>INDEX(挂机升级突破!$BU$6:$BU$57,卡牌消耗!AI365)</f>
        <v>11</v>
      </c>
      <c r="AD365" s="14">
        <f>INDEX(挂机升级突破!BV$6:BV$57,卡牌消耗!$AI365)</f>
        <v>5</v>
      </c>
      <c r="AE365" s="14">
        <f>INDEX(挂机升级突破!BW$6:BW$57,卡牌消耗!$AI365)</f>
        <v>10</v>
      </c>
      <c r="AF365" s="14" t="str">
        <f t="shared" si="139"/>
        <v>天使缇娜</v>
      </c>
      <c r="AG365" s="14">
        <f t="shared" si="140"/>
        <v>4</v>
      </c>
      <c r="AH365" s="14" t="str">
        <f t="shared" si="141"/>
        <v>天使缇娜魂火-49</v>
      </c>
      <c r="AI365" s="14">
        <f t="shared" si="142"/>
        <v>49</v>
      </c>
      <c r="AJ365" s="14" t="str">
        <f>INDEX(挂机升级突破!$BX$4:$CH$4,INDEX(挂机升级突破!$BU$6:$BU$57,卡牌消耗!AI365))</f>
        <v>金币</v>
      </c>
      <c r="AK365" s="14">
        <f>ROUND(INDEX(挂机升级突破!$BN$6:$BN$57,卡牌消耗!AI365)*INDEX(卡牌消耗!$B$8:$F$8,AG365)/$Q$4/50,0)*50</f>
        <v>227950</v>
      </c>
      <c r="AL365" s="14" t="str">
        <f>IF(AD365&gt;0,INDEX(挂机升级突破!$BX$4:$CH$4,AD365),"")</f>
        <v>红色基础材料</v>
      </c>
      <c r="AM365" s="14">
        <f>ROUND(INDEX(挂机升级突破!$BX$6:$CH$57,卡牌消耗!AI365,AD365)*INDEX(卡牌消耗!$B$5:$F$5,AG365)/$Q$4/5,0)*5</f>
        <v>85</v>
      </c>
      <c r="AN365" s="14" t="str">
        <f>IF(AE365&gt;0,INDEX(挂机升级突破!$BX$4:$CH$4,AE365),"")</f>
        <v>灵玉</v>
      </c>
      <c r="AO365" s="14">
        <f>IF(AE365&gt;0,ROUND(INDEX(挂机升级突破!$BX$6:$CH$57,卡牌消耗!AI365,AE365)*INDEX(卡牌消耗!$B$7:$F$7,AG365)/$Q$4,0),"")</f>
        <v>2</v>
      </c>
      <c r="AP365" s="106"/>
      <c r="AQ365" s="15"/>
      <c r="AR365" s="104">
        <v>361</v>
      </c>
      <c r="AS365" s="14">
        <f t="shared" si="143"/>
        <v>19</v>
      </c>
      <c r="AT365" s="14">
        <f>INDEX(挂机升级突破!$CM$7:$CM$26,AX365)</f>
        <v>0</v>
      </c>
      <c r="AU365" s="14">
        <f>INDEX(挂机升级突破!$CN$7:$CN$26,AX365)</f>
        <v>0</v>
      </c>
      <c r="AV365" s="14">
        <f t="shared" si="144"/>
        <v>2</v>
      </c>
      <c r="AW365" s="14" t="str">
        <f t="shared" si="145"/>
        <v>食火蜥</v>
      </c>
      <c r="AX365" s="14">
        <f t="shared" si="146"/>
        <v>1</v>
      </c>
      <c r="AY365" s="14" t="str">
        <f t="shared" si="147"/>
        <v>食火蜥1突</v>
      </c>
      <c r="AZ365" s="14" t="str">
        <f>IF(AT365&gt;0,INDEX(挂机升级突破!$CV$5:$CZ$5,卡牌消耗!AT365),"")</f>
        <v/>
      </c>
      <c r="BA365" s="14" t="str">
        <f>IF(AT365&gt;0,ROUND(INDEX(挂机升级突破!$CZ$7:$CZ$26,卡牌消耗!AX365)*INDEX(卡牌消耗!$B$8:$F$8,AV365)/$Q$4/500,0)*500,"")</f>
        <v/>
      </c>
      <c r="BB365" s="14" t="str">
        <f>IF(AU365&gt;0,INDEX(挂机升级突破!$CV$5:$CZ$5,卡牌消耗!AU365),"")</f>
        <v/>
      </c>
      <c r="BC365" s="14" t="str">
        <f>IF(AU365&gt;0,ROUND(INDEX(挂机升级突破!$CV$7:$CY$26,卡牌消耗!AX365,卡牌消耗!AU365)*INDEX($B$6:$F$6,AV365)/$Q$4/5,0)*5,"")</f>
        <v/>
      </c>
      <c r="BD365" s="104"/>
      <c r="BE365" s="104"/>
      <c r="BF365" s="106"/>
      <c r="BU365" s="15"/>
    </row>
    <row r="366" spans="8:73" ht="16.5" x14ac:dyDescent="0.2">
      <c r="H366" s="15"/>
      <c r="I366" s="15"/>
      <c r="J366" s="15"/>
      <c r="K366" s="15"/>
      <c r="L366" s="15"/>
      <c r="M366" s="15"/>
      <c r="N366" s="15"/>
      <c r="O366" s="137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04">
        <v>362</v>
      </c>
      <c r="AB366" s="14">
        <f t="shared" si="138"/>
        <v>7</v>
      </c>
      <c r="AC366" s="14">
        <f>INDEX(挂机升级突破!$BU$6:$BU$57,卡牌消耗!AI366)</f>
        <v>11</v>
      </c>
      <c r="AD366" s="14">
        <f>INDEX(挂机升级突破!BV$6:BV$57,卡牌消耗!$AI366)</f>
        <v>5</v>
      </c>
      <c r="AE366" s="14">
        <f>INDEX(挂机升级突破!BW$6:BW$57,卡牌消耗!$AI366)</f>
        <v>10</v>
      </c>
      <c r="AF366" s="14" t="str">
        <f t="shared" si="139"/>
        <v>天使缇娜</v>
      </c>
      <c r="AG366" s="14">
        <f t="shared" si="140"/>
        <v>4</v>
      </c>
      <c r="AH366" s="14" t="str">
        <f t="shared" si="141"/>
        <v>天使缇娜魂火-50</v>
      </c>
      <c r="AI366" s="14">
        <f t="shared" si="142"/>
        <v>50</v>
      </c>
      <c r="AJ366" s="14" t="str">
        <f>INDEX(挂机升级突破!$BX$4:$CH$4,INDEX(挂机升级突破!$BU$6:$BU$57,卡牌消耗!AI366))</f>
        <v>金币</v>
      </c>
      <c r="AK366" s="14">
        <f>ROUND(INDEX(挂机升级突破!$BN$6:$BN$57,卡牌消耗!AI366)*INDEX(卡牌消耗!$B$8:$F$8,AG366)/$Q$4/50,0)*50</f>
        <v>379900</v>
      </c>
      <c r="AL366" s="14" t="str">
        <f>IF(AD366&gt;0,INDEX(挂机升级突破!$BX$4:$CH$4,AD366),"")</f>
        <v>红色基础材料</v>
      </c>
      <c r="AM366" s="14">
        <f>ROUND(INDEX(挂机升级突破!$BX$6:$CH$57,卡牌消耗!AI366,AD366)*INDEX(卡牌消耗!$B$5:$F$5,AG366)/$Q$4/5,0)*5</f>
        <v>85</v>
      </c>
      <c r="AN366" s="14" t="str">
        <f>IF(AE366&gt;0,INDEX(挂机升级突破!$BX$4:$CH$4,AE366),"")</f>
        <v>灵玉</v>
      </c>
      <c r="AO366" s="14">
        <f>IF(AE366&gt;0,ROUND(INDEX(挂机升级突破!$BX$6:$CH$57,卡牌消耗!AI366,AE366)*INDEX(卡牌消耗!$B$7:$F$7,AG366)/$Q$4,0),"")</f>
        <v>2</v>
      </c>
      <c r="AP366" s="106"/>
      <c r="AQ366" s="15"/>
      <c r="AR366" s="104">
        <v>362</v>
      </c>
      <c r="AS366" s="14">
        <f t="shared" si="143"/>
        <v>19</v>
      </c>
      <c r="AT366" s="14">
        <f>INDEX(挂机升级突破!$CM$7:$CM$26,AX366)</f>
        <v>5</v>
      </c>
      <c r="AU366" s="14">
        <f>INDEX(挂机升级突破!$CN$7:$CN$26,AX366)</f>
        <v>0</v>
      </c>
      <c r="AV366" s="14">
        <f t="shared" si="144"/>
        <v>2</v>
      </c>
      <c r="AW366" s="14" t="str">
        <f t="shared" si="145"/>
        <v>食火蜥</v>
      </c>
      <c r="AX366" s="14">
        <f t="shared" si="146"/>
        <v>2</v>
      </c>
      <c r="AY366" s="14" t="str">
        <f t="shared" si="147"/>
        <v>食火蜥2突</v>
      </c>
      <c r="AZ366" s="14" t="str">
        <f>IF(AT366&gt;0,INDEX(挂机升级突破!$CV$5:$CZ$5,卡牌消耗!AT366),"")</f>
        <v>金币</v>
      </c>
      <c r="BA366" s="14">
        <f>IF(AT366&gt;0,ROUND(INDEX(挂机升级突破!$CZ$7:$CZ$26,卡牌消耗!AX366)*INDEX(卡牌消耗!$B$8:$F$8,AV366)/$Q$4/500,0)*500,"")</f>
        <v>1500</v>
      </c>
      <c r="BB366" s="14" t="str">
        <f>IF(AU366&gt;0,INDEX(挂机升级突破!$CV$5:$CZ$5,卡牌消耗!AU366),"")</f>
        <v/>
      </c>
      <c r="BC366" s="14" t="str">
        <f>IF(AU366&gt;0,ROUND(INDEX(挂机升级突破!$CV$7:$CY$26,卡牌消耗!AX366,卡牌消耗!AU366)*INDEX($B$6:$F$6,AV366)/$Q$4/5,0)*5,"")</f>
        <v/>
      </c>
      <c r="BD366" s="104"/>
      <c r="BE366" s="104"/>
      <c r="BF366" s="106"/>
      <c r="BU366" s="15"/>
    </row>
    <row r="367" spans="8:73" ht="16.5" x14ac:dyDescent="0.2">
      <c r="H367" s="15"/>
      <c r="I367" s="15"/>
      <c r="J367" s="15"/>
      <c r="K367" s="15"/>
      <c r="L367" s="15"/>
      <c r="M367" s="15"/>
      <c r="N367" s="15"/>
      <c r="O367" s="137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04">
        <v>363</v>
      </c>
      <c r="AB367" s="14">
        <f t="shared" si="138"/>
        <v>7</v>
      </c>
      <c r="AC367" s="14">
        <f>INDEX(挂机升级突破!$BU$6:$BU$57,卡牌消耗!AI367)</f>
        <v>11</v>
      </c>
      <c r="AD367" s="14">
        <f>INDEX(挂机升级突破!BV$6:BV$57,卡牌消耗!$AI367)</f>
        <v>5</v>
      </c>
      <c r="AE367" s="14">
        <f>INDEX(挂机升级突破!BW$6:BW$57,卡牌消耗!$AI367)</f>
        <v>10</v>
      </c>
      <c r="AF367" s="14" t="str">
        <f t="shared" si="139"/>
        <v>天使缇娜</v>
      </c>
      <c r="AG367" s="14">
        <f t="shared" si="140"/>
        <v>4</v>
      </c>
      <c r="AH367" s="14" t="str">
        <f t="shared" si="141"/>
        <v>天使缇娜魂火-51</v>
      </c>
      <c r="AI367" s="14">
        <f t="shared" si="142"/>
        <v>51</v>
      </c>
      <c r="AJ367" s="14" t="str">
        <f>INDEX(挂机升级突破!$BX$4:$CH$4,INDEX(挂机升级突破!$BU$6:$BU$57,卡牌消耗!AI367))</f>
        <v>金币</v>
      </c>
      <c r="AK367" s="14">
        <f>ROUND(INDEX(挂机升级突破!$BN$6:$BN$57,卡牌消耗!AI367)*INDEX(卡牌消耗!$B$8:$F$8,AG367)/$Q$4/50,0)*50</f>
        <v>417900</v>
      </c>
      <c r="AL367" s="14" t="str">
        <f>IF(AD367&gt;0,INDEX(挂机升级突破!$BX$4:$CH$4,AD367),"")</f>
        <v>红色基础材料</v>
      </c>
      <c r="AM367" s="14">
        <f>ROUND(INDEX(挂机升级突破!$BX$6:$CH$57,卡牌消耗!AI367,AD367)*INDEX(卡牌消耗!$B$5:$F$5,AG367)/$Q$4/5,0)*5</f>
        <v>85</v>
      </c>
      <c r="AN367" s="14" t="str">
        <f>IF(AE367&gt;0,INDEX(挂机升级突破!$BX$4:$CH$4,AE367),"")</f>
        <v>灵玉</v>
      </c>
      <c r="AO367" s="14">
        <f>IF(AE367&gt;0,ROUND(INDEX(挂机升级突破!$BX$6:$CH$57,卡牌消耗!AI367,AE367)*INDEX(卡牌消耗!$B$7:$F$7,AG367)/$Q$4,0),"")</f>
        <v>2</v>
      </c>
      <c r="AP367" s="106"/>
      <c r="AQ367" s="15"/>
      <c r="AR367" s="104">
        <v>363</v>
      </c>
      <c r="AS367" s="14">
        <f t="shared" si="143"/>
        <v>19</v>
      </c>
      <c r="AT367" s="14">
        <f>INDEX(挂机升级突破!$CM$7:$CM$26,AX367)</f>
        <v>5</v>
      </c>
      <c r="AU367" s="14">
        <f>INDEX(挂机升级突破!$CN$7:$CN$26,AX367)</f>
        <v>0</v>
      </c>
      <c r="AV367" s="14">
        <f t="shared" si="144"/>
        <v>2</v>
      </c>
      <c r="AW367" s="14" t="str">
        <f t="shared" si="145"/>
        <v>食火蜥</v>
      </c>
      <c r="AX367" s="14">
        <f t="shared" si="146"/>
        <v>3</v>
      </c>
      <c r="AY367" s="14" t="str">
        <f t="shared" si="147"/>
        <v>食火蜥3突</v>
      </c>
      <c r="AZ367" s="14" t="str">
        <f>IF(AT367&gt;0,INDEX(挂机升级突破!$CV$5:$CZ$5,卡牌消耗!AT367),"")</f>
        <v>金币</v>
      </c>
      <c r="BA367" s="14">
        <f>IF(AT367&gt;0,ROUND(INDEX(挂机升级突破!$CZ$7:$CZ$26,卡牌消耗!AX367)*INDEX(卡牌消耗!$B$8:$F$8,AV367)/$Q$4/500,0)*500,"")</f>
        <v>1500</v>
      </c>
      <c r="BB367" s="14" t="str">
        <f>IF(AU367&gt;0,INDEX(挂机升级突破!$CV$5:$CZ$5,卡牌消耗!AU367),"")</f>
        <v/>
      </c>
      <c r="BC367" s="14" t="str">
        <f>IF(AU367&gt;0,ROUND(INDEX(挂机升级突破!$CV$7:$CY$26,卡牌消耗!AX367,卡牌消耗!AU367)*INDEX($B$6:$F$6,AV367)/$Q$4/5,0)*5,"")</f>
        <v/>
      </c>
      <c r="BD367" s="104"/>
      <c r="BE367" s="104"/>
      <c r="BF367" s="106"/>
      <c r="BU367" s="15"/>
    </row>
    <row r="368" spans="8:73" ht="16.5" x14ac:dyDescent="0.2">
      <c r="H368" s="15"/>
      <c r="I368" s="15"/>
      <c r="J368" s="15"/>
      <c r="K368" s="15"/>
      <c r="L368" s="15"/>
      <c r="M368" s="15"/>
      <c r="N368" s="15"/>
      <c r="O368" s="137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04">
        <v>364</v>
      </c>
      <c r="AB368" s="14">
        <f t="shared" si="138"/>
        <v>7</v>
      </c>
      <c r="AC368" s="14">
        <f>INDEX(挂机升级突破!$BU$6:$BU$57,卡牌消耗!AI368)</f>
        <v>11</v>
      </c>
      <c r="AD368" s="14">
        <f>INDEX(挂机升级突破!BV$6:BV$57,卡牌消耗!$AI368)</f>
        <v>5</v>
      </c>
      <c r="AE368" s="14">
        <f>INDEX(挂机升级突破!BW$6:BW$57,卡牌消耗!$AI368)</f>
        <v>10</v>
      </c>
      <c r="AF368" s="14" t="str">
        <f t="shared" si="139"/>
        <v>天使缇娜</v>
      </c>
      <c r="AG368" s="14">
        <f t="shared" si="140"/>
        <v>4</v>
      </c>
      <c r="AH368" s="14" t="str">
        <f t="shared" si="141"/>
        <v>天使缇娜魂火-52</v>
      </c>
      <c r="AI368" s="14">
        <f t="shared" si="142"/>
        <v>52</v>
      </c>
      <c r="AJ368" s="14" t="str">
        <f>INDEX(挂机升级突破!$BX$4:$CH$4,INDEX(挂机升级突破!$BU$6:$BU$57,卡牌消耗!AI368))</f>
        <v>金币</v>
      </c>
      <c r="AK368" s="14">
        <f>ROUND(INDEX(挂机升级突破!$BN$6:$BN$57,卡牌消耗!AI368)*INDEX(卡牌消耗!$B$8:$F$8,AG368)/$Q$4/50,0)*50</f>
        <v>417900</v>
      </c>
      <c r="AL368" s="14" t="str">
        <f>IF(AD368&gt;0,INDEX(挂机升级突破!$BX$4:$CH$4,AD368),"")</f>
        <v>红色基础材料</v>
      </c>
      <c r="AM368" s="14">
        <f>ROUND(INDEX(挂机升级突破!$BX$6:$CH$57,卡牌消耗!AI368,AD368)*INDEX(卡牌消耗!$B$5:$F$5,AG368)/$Q$4/5,0)*5</f>
        <v>85</v>
      </c>
      <c r="AN368" s="14" t="str">
        <f>IF(AE368&gt;0,INDEX(挂机升级突破!$BX$4:$CH$4,AE368),"")</f>
        <v>灵玉</v>
      </c>
      <c r="AO368" s="14">
        <f>IF(AE368&gt;0,ROUND(INDEX(挂机升级突破!$BX$6:$CH$57,卡牌消耗!AI368,AE368)*INDEX(卡牌消耗!$B$7:$F$7,AG368)/$Q$4,0),"")</f>
        <v>2</v>
      </c>
      <c r="AP368" s="106"/>
      <c r="AQ368" s="15"/>
      <c r="AR368" s="104">
        <v>364</v>
      </c>
      <c r="AS368" s="14">
        <f t="shared" si="143"/>
        <v>19</v>
      </c>
      <c r="AT368" s="14">
        <f>INDEX(挂机升级突破!$CM$7:$CM$26,AX368)</f>
        <v>5</v>
      </c>
      <c r="AU368" s="14">
        <f>INDEX(挂机升级突破!$CN$7:$CN$26,AX368)</f>
        <v>1</v>
      </c>
      <c r="AV368" s="14">
        <f t="shared" si="144"/>
        <v>2</v>
      </c>
      <c r="AW368" s="14" t="str">
        <f t="shared" si="145"/>
        <v>食火蜥</v>
      </c>
      <c r="AX368" s="14">
        <f t="shared" si="146"/>
        <v>4</v>
      </c>
      <c r="AY368" s="14" t="str">
        <f t="shared" si="147"/>
        <v>食火蜥4突</v>
      </c>
      <c r="AZ368" s="14" t="str">
        <f>IF(AT368&gt;0,INDEX(挂机升级突破!$CV$5:$CZ$5,卡牌消耗!AT368),"")</f>
        <v>金币</v>
      </c>
      <c r="BA368" s="14">
        <f>IF(AT368&gt;0,ROUND(INDEX(挂机升级突破!$CZ$7:$CZ$26,卡牌消耗!AX368)*INDEX(卡牌消耗!$B$8:$F$8,AV368)/$Q$4/500,0)*500,"")</f>
        <v>2000</v>
      </c>
      <c r="BB368" s="14" t="str">
        <f>IF(AU368&gt;0,INDEX(挂机升级突破!$CV$5:$CZ$5,卡牌消耗!AU368),"")</f>
        <v>玄铁</v>
      </c>
      <c r="BC368" s="14">
        <f>IF(AU368&gt;0,ROUND(INDEX(挂机升级突破!$CV$7:$CY$26,卡牌消耗!AX368,卡牌消耗!AU368)*INDEX($B$6:$F$6,AV368)/$Q$4/5,0)*5,"")</f>
        <v>45</v>
      </c>
      <c r="BD368" s="104"/>
      <c r="BE368" s="104"/>
      <c r="BF368" s="106"/>
      <c r="BU368" s="15"/>
    </row>
    <row r="369" spans="8:73" ht="16.5" x14ac:dyDescent="0.2">
      <c r="H369" s="15"/>
      <c r="I369" s="15"/>
      <c r="J369" s="15"/>
      <c r="K369" s="15"/>
      <c r="L369" s="15"/>
      <c r="M369" s="15"/>
      <c r="N369" s="15"/>
      <c r="O369" s="137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04">
        <v>365</v>
      </c>
      <c r="AB369" s="14">
        <f t="shared" si="138"/>
        <v>8</v>
      </c>
      <c r="AC369" s="14">
        <f>INDEX(挂机升级突破!$BU$6:$BU$57,卡牌消耗!AI369)</f>
        <v>11</v>
      </c>
      <c r="AD369" s="14">
        <f>INDEX(挂机升级突破!BV$6:BV$57,卡牌消耗!$AI369)</f>
        <v>1</v>
      </c>
      <c r="AE369" s="14">
        <f>INDEX(挂机升级突破!BW$6:BW$57,卡牌消耗!$AI369)</f>
        <v>0</v>
      </c>
      <c r="AF369" s="14" t="str">
        <f t="shared" si="139"/>
        <v>夏侯渊</v>
      </c>
      <c r="AG369" s="14">
        <f t="shared" si="140"/>
        <v>4</v>
      </c>
      <c r="AH369" s="14" t="str">
        <f t="shared" si="141"/>
        <v>夏侯渊魂火-1</v>
      </c>
      <c r="AI369" s="14">
        <f t="shared" si="142"/>
        <v>1</v>
      </c>
      <c r="AJ369" s="14" t="str">
        <f>INDEX(挂机升级突破!$BX$4:$CH$4,INDEX(挂机升级突破!$BU$6:$BU$57,卡牌消耗!AI369))</f>
        <v>金币</v>
      </c>
      <c r="AK369" s="14">
        <f>ROUND(INDEX(挂机升级突破!$BN$6:$BN$57,卡牌消耗!AI369)*INDEX(卡牌消耗!$B$8:$F$8,AG369)/$Q$4/50,0)*50</f>
        <v>900</v>
      </c>
      <c r="AL369" s="14" t="str">
        <f>IF(AD369&gt;0,INDEX(挂机升级突破!$BX$4:$CH$4,AD369),"")</f>
        <v>绿色基础材料</v>
      </c>
      <c r="AM369" s="14">
        <f>ROUND(INDEX(挂机升级突破!$BX$6:$CH$57,卡牌消耗!AI369,AD369)*INDEX(卡牌消耗!$B$5:$F$5,AG369)/$Q$4/5,0)*5</f>
        <v>1000</v>
      </c>
      <c r="AN369" s="14" t="str">
        <f>IF(AE369&gt;0,INDEX(挂机升级突破!$BX$4:$CH$4,AE369),"")</f>
        <v/>
      </c>
      <c r="AO369" s="14" t="str">
        <f>IF(AE369&gt;0,ROUND(INDEX(挂机升级突破!$BX$6:$CH$57,卡牌消耗!AI369,AE369)*INDEX(卡牌消耗!$B$7:$F$7,AG369)/$Q$4,0),"")</f>
        <v/>
      </c>
      <c r="AP369" s="106"/>
      <c r="AQ369" s="15"/>
      <c r="AR369" s="104">
        <v>365</v>
      </c>
      <c r="AS369" s="14">
        <f t="shared" si="143"/>
        <v>19</v>
      </c>
      <c r="AT369" s="14">
        <f>INDEX(挂机升级突破!$CM$7:$CM$26,AX369)</f>
        <v>5</v>
      </c>
      <c r="AU369" s="14">
        <f>INDEX(挂机升级突破!$CN$7:$CN$26,AX369)</f>
        <v>1</v>
      </c>
      <c r="AV369" s="14">
        <f t="shared" si="144"/>
        <v>2</v>
      </c>
      <c r="AW369" s="14" t="str">
        <f t="shared" si="145"/>
        <v>食火蜥</v>
      </c>
      <c r="AX369" s="14">
        <f t="shared" si="146"/>
        <v>5</v>
      </c>
      <c r="AY369" s="14" t="str">
        <f t="shared" si="147"/>
        <v>食火蜥5突</v>
      </c>
      <c r="AZ369" s="14" t="str">
        <f>IF(AT369&gt;0,INDEX(挂机升级突破!$CV$5:$CZ$5,卡牌消耗!AT369),"")</f>
        <v>金币</v>
      </c>
      <c r="BA369" s="14">
        <f>IF(AT369&gt;0,ROUND(INDEX(挂机升级突破!$CZ$7:$CZ$26,卡牌消耗!AX369)*INDEX(卡牌消耗!$B$8:$F$8,AV369)/$Q$4/500,0)*500,"")</f>
        <v>2000</v>
      </c>
      <c r="BB369" s="14" t="str">
        <f>IF(AU369&gt;0,INDEX(挂机升级突破!$CV$5:$CZ$5,卡牌消耗!AU369),"")</f>
        <v>玄铁</v>
      </c>
      <c r="BC369" s="14">
        <f>IF(AU369&gt;0,ROUND(INDEX(挂机升级突破!$CV$7:$CY$26,卡牌消耗!AX369,卡牌消耗!AU369)*INDEX($B$6:$F$6,AV369)/$Q$4/5,0)*5,"")</f>
        <v>95</v>
      </c>
      <c r="BD369" s="104"/>
      <c r="BE369" s="104"/>
      <c r="BF369" s="106"/>
      <c r="BU369" s="15"/>
    </row>
    <row r="370" spans="8:73" ht="16.5" x14ac:dyDescent="0.2">
      <c r="H370" s="15"/>
      <c r="I370" s="15"/>
      <c r="J370" s="15"/>
      <c r="K370" s="15"/>
      <c r="L370" s="15"/>
      <c r="M370" s="15"/>
      <c r="N370" s="15"/>
      <c r="O370" s="137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04">
        <v>366</v>
      </c>
      <c r="AB370" s="14">
        <f t="shared" si="138"/>
        <v>8</v>
      </c>
      <c r="AC370" s="14">
        <f>INDEX(挂机升级突破!$BU$6:$BU$57,卡牌消耗!AI370)</f>
        <v>11</v>
      </c>
      <c r="AD370" s="14">
        <f>INDEX(挂机升级突破!BV$6:BV$57,卡牌消耗!$AI370)</f>
        <v>1</v>
      </c>
      <c r="AE370" s="14">
        <f>INDEX(挂机升级突破!BW$6:BW$57,卡牌消耗!$AI370)</f>
        <v>0</v>
      </c>
      <c r="AF370" s="14" t="str">
        <f t="shared" si="139"/>
        <v>夏侯渊</v>
      </c>
      <c r="AG370" s="14">
        <f t="shared" si="140"/>
        <v>4</v>
      </c>
      <c r="AH370" s="14" t="str">
        <f t="shared" si="141"/>
        <v>夏侯渊魂火-2</v>
      </c>
      <c r="AI370" s="14">
        <f t="shared" si="142"/>
        <v>2</v>
      </c>
      <c r="AJ370" s="14" t="str">
        <f>INDEX(挂机升级突破!$BX$4:$CH$4,INDEX(挂机升级突破!$BU$6:$BU$57,卡牌消耗!AI370))</f>
        <v>金币</v>
      </c>
      <c r="AK370" s="14">
        <f>ROUND(INDEX(挂机升级突破!$BN$6:$BN$57,卡牌消耗!AI370)*INDEX(卡牌消耗!$B$8:$F$8,AG370)/$Q$4/50,0)*50</f>
        <v>1200</v>
      </c>
      <c r="AL370" s="14" t="str">
        <f>IF(AD370&gt;0,INDEX(挂机升级突破!$BX$4:$CH$4,AD370),"")</f>
        <v>绿色基础材料</v>
      </c>
      <c r="AM370" s="14">
        <f>ROUND(INDEX(挂机升级突破!$BX$6:$CH$57,卡牌消耗!AI370,AD370)*INDEX(卡牌消耗!$B$5:$F$5,AG370)/$Q$4/5,0)*5</f>
        <v>3005</v>
      </c>
      <c r="AN370" s="14" t="str">
        <f>IF(AE370&gt;0,INDEX(挂机升级突破!$BX$4:$CH$4,AE370),"")</f>
        <v/>
      </c>
      <c r="AO370" s="14" t="str">
        <f>IF(AE370&gt;0,ROUND(INDEX(挂机升级突破!$BX$6:$CH$57,卡牌消耗!AI370,AE370)*INDEX(卡牌消耗!$B$7:$F$7,AG370)/$Q$4,0),"")</f>
        <v/>
      </c>
      <c r="AP370" s="106"/>
      <c r="AQ370" s="15"/>
      <c r="AR370" s="104">
        <v>366</v>
      </c>
      <c r="AS370" s="14">
        <f t="shared" si="143"/>
        <v>19</v>
      </c>
      <c r="AT370" s="14">
        <f>INDEX(挂机升级突破!$CM$7:$CM$26,AX370)</f>
        <v>5</v>
      </c>
      <c r="AU370" s="14">
        <f>INDEX(挂机升级突破!$CN$7:$CN$26,AX370)</f>
        <v>1</v>
      </c>
      <c r="AV370" s="14">
        <f t="shared" si="144"/>
        <v>2</v>
      </c>
      <c r="AW370" s="14" t="str">
        <f t="shared" si="145"/>
        <v>食火蜥</v>
      </c>
      <c r="AX370" s="14">
        <f t="shared" si="146"/>
        <v>6</v>
      </c>
      <c r="AY370" s="14" t="str">
        <f t="shared" si="147"/>
        <v>食火蜥6突</v>
      </c>
      <c r="AZ370" s="14" t="str">
        <f>IF(AT370&gt;0,INDEX(挂机升级突破!$CV$5:$CZ$5,卡牌消耗!AT370),"")</f>
        <v>金币</v>
      </c>
      <c r="BA370" s="14">
        <f>IF(AT370&gt;0,ROUND(INDEX(挂机升级突破!$CZ$7:$CZ$26,卡牌消耗!AX370)*INDEX(卡牌消耗!$B$8:$F$8,AV370)/$Q$4/500,0)*500,"")</f>
        <v>3000</v>
      </c>
      <c r="BB370" s="14" t="str">
        <f>IF(AU370&gt;0,INDEX(挂机升级突破!$CV$5:$CZ$5,卡牌消耗!AU370),"")</f>
        <v>玄铁</v>
      </c>
      <c r="BC370" s="14">
        <f>IF(AU370&gt;0,ROUND(INDEX(挂机升级突破!$CV$7:$CY$26,卡牌消耗!AX370,卡牌消耗!AU370)*INDEX($B$6:$F$6,AV370)/$Q$4/5,0)*5,"")</f>
        <v>140</v>
      </c>
      <c r="BD370" s="104"/>
      <c r="BE370" s="104"/>
      <c r="BF370" s="106"/>
      <c r="BU370" s="15"/>
    </row>
    <row r="371" spans="8:73" ht="16.5" x14ac:dyDescent="0.2">
      <c r="H371" s="15"/>
      <c r="I371" s="15"/>
      <c r="J371" s="15"/>
      <c r="K371" s="15"/>
      <c r="L371" s="15"/>
      <c r="M371" s="15"/>
      <c r="N371" s="15"/>
      <c r="O371" s="137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04">
        <v>367</v>
      </c>
      <c r="AB371" s="14">
        <f t="shared" si="138"/>
        <v>8</v>
      </c>
      <c r="AC371" s="14">
        <f>INDEX(挂机升级突破!$BU$6:$BU$57,卡牌消耗!AI371)</f>
        <v>11</v>
      </c>
      <c r="AD371" s="14">
        <f>INDEX(挂机升级突破!BV$6:BV$57,卡牌消耗!$AI371)</f>
        <v>1</v>
      </c>
      <c r="AE371" s="14">
        <f>INDEX(挂机升级突破!BW$6:BW$57,卡牌消耗!$AI371)</f>
        <v>0</v>
      </c>
      <c r="AF371" s="14" t="str">
        <f t="shared" si="139"/>
        <v>夏侯渊</v>
      </c>
      <c r="AG371" s="14">
        <f t="shared" si="140"/>
        <v>4</v>
      </c>
      <c r="AH371" s="14" t="str">
        <f t="shared" si="141"/>
        <v>夏侯渊魂火-3</v>
      </c>
      <c r="AI371" s="14">
        <f t="shared" si="142"/>
        <v>3</v>
      </c>
      <c r="AJ371" s="14" t="str">
        <f>INDEX(挂机升级突破!$BX$4:$CH$4,INDEX(挂机升级突破!$BU$6:$BU$57,卡牌消耗!AI371))</f>
        <v>金币</v>
      </c>
      <c r="AK371" s="14">
        <f>ROUND(INDEX(挂机升级突破!$BN$6:$BN$57,卡牌消耗!AI371)*INDEX(卡牌消耗!$B$8:$F$8,AG371)/$Q$4/50,0)*50</f>
        <v>1200</v>
      </c>
      <c r="AL371" s="14" t="str">
        <f>IF(AD371&gt;0,INDEX(挂机升级突破!$BX$4:$CH$4,AD371),"")</f>
        <v>绿色基础材料</v>
      </c>
      <c r="AM371" s="14">
        <f>ROUND(INDEX(挂机升级突破!$BX$6:$CH$57,卡牌消耗!AI371,AD371)*INDEX(卡牌消耗!$B$5:$F$5,AG371)/$Q$4/5,0)*5</f>
        <v>4005</v>
      </c>
      <c r="AN371" s="14" t="str">
        <f>IF(AE371&gt;0,INDEX(挂机升级突破!$BX$4:$CH$4,AE371),"")</f>
        <v/>
      </c>
      <c r="AO371" s="14" t="str">
        <f>IF(AE371&gt;0,ROUND(INDEX(挂机升级突破!$BX$6:$CH$57,卡牌消耗!AI371,AE371)*INDEX(卡牌消耗!$B$7:$F$7,AG371)/$Q$4,0),"")</f>
        <v/>
      </c>
      <c r="AP371" s="106"/>
      <c r="AQ371" s="15"/>
      <c r="AR371" s="104">
        <v>367</v>
      </c>
      <c r="AS371" s="14">
        <f t="shared" si="143"/>
        <v>19</v>
      </c>
      <c r="AT371" s="14">
        <f>INDEX(挂机升级突破!$CM$7:$CM$26,AX371)</f>
        <v>5</v>
      </c>
      <c r="AU371" s="14">
        <f>INDEX(挂机升级突破!$CN$7:$CN$26,AX371)</f>
        <v>1</v>
      </c>
      <c r="AV371" s="14">
        <f t="shared" si="144"/>
        <v>2</v>
      </c>
      <c r="AW371" s="14" t="str">
        <f t="shared" si="145"/>
        <v>食火蜥</v>
      </c>
      <c r="AX371" s="14">
        <f t="shared" si="146"/>
        <v>7</v>
      </c>
      <c r="AY371" s="14" t="str">
        <f t="shared" si="147"/>
        <v>食火蜥7突</v>
      </c>
      <c r="AZ371" s="14" t="str">
        <f>IF(AT371&gt;0,INDEX(挂机升级突破!$CV$5:$CZ$5,卡牌消耗!AT371),"")</f>
        <v>金币</v>
      </c>
      <c r="BA371" s="14">
        <f>IF(AT371&gt;0,ROUND(INDEX(挂机升级突破!$CZ$7:$CZ$26,卡牌消耗!AX371)*INDEX(卡牌消耗!$B$8:$F$8,AV371)/$Q$4/500,0)*500,"")</f>
        <v>4500</v>
      </c>
      <c r="BB371" s="14" t="str">
        <f>IF(AU371&gt;0,INDEX(挂机升级突破!$CV$5:$CZ$5,卡牌消耗!AU371),"")</f>
        <v>玄铁</v>
      </c>
      <c r="BC371" s="14">
        <f>IF(AU371&gt;0,ROUND(INDEX(挂机升级突破!$CV$7:$CY$26,卡牌消耗!AX371,卡牌消耗!AU371)*INDEX($B$6:$F$6,AV371)/$Q$4/5,0)*5,"")</f>
        <v>230</v>
      </c>
      <c r="BD371" s="104"/>
      <c r="BE371" s="104"/>
      <c r="BF371" s="106"/>
      <c r="BU371" s="15"/>
    </row>
    <row r="372" spans="8:73" ht="16.5" x14ac:dyDescent="0.2">
      <c r="H372" s="15"/>
      <c r="I372" s="15"/>
      <c r="J372" s="15"/>
      <c r="K372" s="15"/>
      <c r="L372" s="15"/>
      <c r="M372" s="15"/>
      <c r="N372" s="15"/>
      <c r="O372" s="137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04">
        <v>368</v>
      </c>
      <c r="AB372" s="14">
        <f t="shared" si="138"/>
        <v>8</v>
      </c>
      <c r="AC372" s="14">
        <f>INDEX(挂机升级突破!$BU$6:$BU$57,卡牌消耗!AI372)</f>
        <v>11</v>
      </c>
      <c r="AD372" s="14">
        <f>INDEX(挂机升级突破!BV$6:BV$57,卡牌消耗!$AI372)</f>
        <v>1</v>
      </c>
      <c r="AE372" s="14">
        <f>INDEX(挂机升级突破!BW$6:BW$57,卡牌消耗!$AI372)</f>
        <v>0</v>
      </c>
      <c r="AF372" s="14" t="str">
        <f t="shared" si="139"/>
        <v>夏侯渊</v>
      </c>
      <c r="AG372" s="14">
        <f t="shared" si="140"/>
        <v>4</v>
      </c>
      <c r="AH372" s="14" t="str">
        <f t="shared" si="141"/>
        <v>夏侯渊魂火-4</v>
      </c>
      <c r="AI372" s="14">
        <f t="shared" si="142"/>
        <v>4</v>
      </c>
      <c r="AJ372" s="14" t="str">
        <f>INDEX(挂机升级突破!$BX$4:$CH$4,INDEX(挂机升级突破!$BU$6:$BU$57,卡牌消耗!AI372))</f>
        <v>金币</v>
      </c>
      <c r="AK372" s="14">
        <f>ROUND(INDEX(挂机升级突破!$BN$6:$BN$57,卡牌消耗!AI372)*INDEX(卡牌消耗!$B$8:$F$8,AG372)/$Q$4/50,0)*50</f>
        <v>1200</v>
      </c>
      <c r="AL372" s="14" t="str">
        <f>IF(AD372&gt;0,INDEX(挂机升级突破!$BX$4:$CH$4,AD372),"")</f>
        <v>绿色基础材料</v>
      </c>
      <c r="AM372" s="14">
        <f>ROUND(INDEX(挂机升级突破!$BX$6:$CH$57,卡牌消耗!AI372,AD372)*INDEX(卡牌消耗!$B$5:$F$5,AG372)/$Q$4/5,0)*5</f>
        <v>6005</v>
      </c>
      <c r="AN372" s="14" t="str">
        <f>IF(AE372&gt;0,INDEX(挂机升级突破!$BX$4:$CH$4,AE372),"")</f>
        <v/>
      </c>
      <c r="AO372" s="14" t="str">
        <f>IF(AE372&gt;0,ROUND(INDEX(挂机升级突破!$BX$6:$CH$57,卡牌消耗!AI372,AE372)*INDEX(卡牌消耗!$B$7:$F$7,AG372)/$Q$4,0),"")</f>
        <v/>
      </c>
      <c r="AP372" s="106"/>
      <c r="AQ372" s="15"/>
      <c r="AR372" s="104">
        <v>368</v>
      </c>
      <c r="AS372" s="14">
        <f t="shared" si="143"/>
        <v>19</v>
      </c>
      <c r="AT372" s="14">
        <f>INDEX(挂机升级突破!$CM$7:$CM$26,AX372)</f>
        <v>5</v>
      </c>
      <c r="AU372" s="14">
        <f>INDEX(挂机升级突破!$CN$7:$CN$26,AX372)</f>
        <v>1</v>
      </c>
      <c r="AV372" s="14">
        <f t="shared" si="144"/>
        <v>2</v>
      </c>
      <c r="AW372" s="14" t="str">
        <f t="shared" si="145"/>
        <v>食火蜥</v>
      </c>
      <c r="AX372" s="14">
        <f t="shared" si="146"/>
        <v>8</v>
      </c>
      <c r="AY372" s="14" t="str">
        <f t="shared" si="147"/>
        <v>食火蜥8突</v>
      </c>
      <c r="AZ372" s="14" t="str">
        <f>IF(AT372&gt;0,INDEX(挂机升级突破!$CV$5:$CZ$5,卡牌消耗!AT372),"")</f>
        <v>金币</v>
      </c>
      <c r="BA372" s="14">
        <f>IF(AT372&gt;0,ROUND(INDEX(挂机升级突破!$CZ$7:$CZ$26,卡牌消耗!AX372)*INDEX(卡牌消耗!$B$8:$F$8,AV372)/$Q$4/500,0)*500,"")</f>
        <v>4500</v>
      </c>
      <c r="BB372" s="14" t="str">
        <f>IF(AU372&gt;0,INDEX(挂机升级突破!$CV$5:$CZ$5,卡牌消耗!AU372),"")</f>
        <v>玄铁</v>
      </c>
      <c r="BC372" s="14">
        <f>IF(AU372&gt;0,ROUND(INDEX(挂机升级突破!$CV$7:$CY$26,卡牌消耗!AX372,卡牌消耗!AU372)*INDEX($B$6:$F$6,AV372)/$Q$4/5,0)*5,"")</f>
        <v>415</v>
      </c>
      <c r="BD372" s="104"/>
      <c r="BE372" s="104"/>
      <c r="BF372" s="106"/>
      <c r="BU372" s="15"/>
    </row>
    <row r="373" spans="8:73" ht="16.5" x14ac:dyDescent="0.2">
      <c r="H373" s="15"/>
      <c r="I373" s="15"/>
      <c r="J373" s="15"/>
      <c r="K373" s="15"/>
      <c r="L373" s="15"/>
      <c r="M373" s="15"/>
      <c r="N373" s="15"/>
      <c r="O373" s="137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04">
        <v>369</v>
      </c>
      <c r="AB373" s="14">
        <f t="shared" si="138"/>
        <v>8</v>
      </c>
      <c r="AC373" s="14">
        <f>INDEX(挂机升级突破!$BU$6:$BU$57,卡牌消耗!AI373)</f>
        <v>11</v>
      </c>
      <c r="AD373" s="14">
        <f>INDEX(挂机升级突破!BV$6:BV$57,卡牌消耗!$AI373)</f>
        <v>1</v>
      </c>
      <c r="AE373" s="14">
        <f>INDEX(挂机升级突破!BW$6:BW$57,卡牌消耗!$AI373)</f>
        <v>0</v>
      </c>
      <c r="AF373" s="14" t="str">
        <f t="shared" si="139"/>
        <v>夏侯渊</v>
      </c>
      <c r="AG373" s="14">
        <f t="shared" si="140"/>
        <v>4</v>
      </c>
      <c r="AH373" s="14" t="str">
        <f t="shared" si="141"/>
        <v>夏侯渊魂火-5</v>
      </c>
      <c r="AI373" s="14">
        <f t="shared" si="142"/>
        <v>5</v>
      </c>
      <c r="AJ373" s="14" t="str">
        <f>INDEX(挂机升级突破!$BX$4:$CH$4,INDEX(挂机升级突破!$BU$6:$BU$57,卡牌消耗!AI373))</f>
        <v>金币</v>
      </c>
      <c r="AK373" s="14">
        <f>ROUND(INDEX(挂机升级突破!$BN$6:$BN$57,卡牌消耗!AI373)*INDEX(卡牌消耗!$B$8:$F$8,AG373)/$Q$4/50,0)*50</f>
        <v>1200</v>
      </c>
      <c r="AL373" s="14" t="str">
        <f>IF(AD373&gt;0,INDEX(挂机升级突破!$BX$4:$CH$4,AD373),"")</f>
        <v>绿色基础材料</v>
      </c>
      <c r="AM373" s="14">
        <f>ROUND(INDEX(挂机升级突破!$BX$6:$CH$57,卡牌消耗!AI373,AD373)*INDEX(卡牌消耗!$B$5:$F$5,AG373)/$Q$4/5,0)*5</f>
        <v>6005</v>
      </c>
      <c r="AN373" s="14" t="str">
        <f>IF(AE373&gt;0,INDEX(挂机升级突破!$BX$4:$CH$4,AE373),"")</f>
        <v/>
      </c>
      <c r="AO373" s="14" t="str">
        <f>IF(AE373&gt;0,ROUND(INDEX(挂机升级突破!$BX$6:$CH$57,卡牌消耗!AI373,AE373)*INDEX(卡牌消耗!$B$7:$F$7,AG373)/$Q$4,0),"")</f>
        <v/>
      </c>
      <c r="AP373" s="106"/>
      <c r="AQ373" s="15"/>
      <c r="AR373" s="104">
        <v>369</v>
      </c>
      <c r="AS373" s="14">
        <f t="shared" si="143"/>
        <v>19</v>
      </c>
      <c r="AT373" s="14">
        <f>INDEX(挂机升级突破!$CM$7:$CM$26,AX373)</f>
        <v>5</v>
      </c>
      <c r="AU373" s="14">
        <f>INDEX(挂机升级突破!$CN$7:$CN$26,AX373)</f>
        <v>2</v>
      </c>
      <c r="AV373" s="14">
        <f t="shared" si="144"/>
        <v>2</v>
      </c>
      <c r="AW373" s="14" t="str">
        <f t="shared" si="145"/>
        <v>食火蜥</v>
      </c>
      <c r="AX373" s="14">
        <f t="shared" si="146"/>
        <v>9</v>
      </c>
      <c r="AY373" s="14" t="str">
        <f t="shared" si="147"/>
        <v>食火蜥9突</v>
      </c>
      <c r="AZ373" s="14" t="str">
        <f>IF(AT373&gt;0,INDEX(挂机升级突破!$CV$5:$CZ$5,卡牌消耗!AT373),"")</f>
        <v>金币</v>
      </c>
      <c r="BA373" s="14">
        <f>IF(AT373&gt;0,ROUND(INDEX(挂机升级突破!$CZ$7:$CZ$26,卡牌消耗!AX373)*INDEX(卡牌消耗!$B$8:$F$8,AV373)/$Q$4/500,0)*500,"")</f>
        <v>6000</v>
      </c>
      <c r="BB373" s="14" t="str">
        <f>IF(AU373&gt;0,INDEX(挂机升级突破!$CV$5:$CZ$5,卡牌消耗!AU373),"")</f>
        <v>乌金</v>
      </c>
      <c r="BC373" s="14">
        <f>IF(AU373&gt;0,ROUND(INDEX(挂机升级突破!$CV$7:$CY$26,卡牌消耗!AX373,卡牌消耗!AU373)*INDEX($B$6:$F$6,AV373)/$Q$4/5,0)*5,"")</f>
        <v>50</v>
      </c>
      <c r="BD373" s="104"/>
      <c r="BE373" s="104"/>
      <c r="BF373" s="106"/>
      <c r="BU373" s="15"/>
    </row>
    <row r="374" spans="8:73" ht="16.5" x14ac:dyDescent="0.2">
      <c r="H374" s="15"/>
      <c r="I374" s="15"/>
      <c r="J374" s="15"/>
      <c r="K374" s="15"/>
      <c r="L374" s="15"/>
      <c r="M374" s="15"/>
      <c r="N374" s="15"/>
      <c r="O374" s="137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04">
        <v>370</v>
      </c>
      <c r="AB374" s="14">
        <f t="shared" si="138"/>
        <v>8</v>
      </c>
      <c r="AC374" s="14">
        <f>INDEX(挂机升级突破!$BU$6:$BU$57,卡牌消耗!AI374)</f>
        <v>11</v>
      </c>
      <c r="AD374" s="14">
        <f>INDEX(挂机升级突破!BV$6:BV$57,卡牌消耗!$AI374)</f>
        <v>2</v>
      </c>
      <c r="AE374" s="14">
        <f>INDEX(挂机升级突破!BW$6:BW$57,卡牌消耗!$AI374)</f>
        <v>0</v>
      </c>
      <c r="AF374" s="14" t="str">
        <f t="shared" si="139"/>
        <v>夏侯渊</v>
      </c>
      <c r="AG374" s="14">
        <f t="shared" si="140"/>
        <v>4</v>
      </c>
      <c r="AH374" s="14" t="str">
        <f t="shared" si="141"/>
        <v>夏侯渊魂火-6</v>
      </c>
      <c r="AI374" s="14">
        <f t="shared" si="142"/>
        <v>6</v>
      </c>
      <c r="AJ374" s="14" t="str">
        <f>INDEX(挂机升级突破!$BX$4:$CH$4,INDEX(挂机升级突破!$BU$6:$BU$57,卡牌消耗!AI374))</f>
        <v>金币</v>
      </c>
      <c r="AK374" s="14">
        <f>ROUND(INDEX(挂机升级突破!$BN$6:$BN$57,卡牌消耗!AI374)*INDEX(卡牌消耗!$B$8:$F$8,AG374)/$Q$4/50,0)*50</f>
        <v>1500</v>
      </c>
      <c r="AL374" s="14" t="str">
        <f>IF(AD374&gt;0,INDEX(挂机升级突破!$BX$4:$CH$4,AD374),"")</f>
        <v>蓝色基础材料</v>
      </c>
      <c r="AM374" s="14">
        <f>ROUND(INDEX(挂机升级突破!$BX$6:$CH$57,卡牌消耗!AI374,AD374)*INDEX(卡牌消耗!$B$5:$F$5,AG374)/$Q$4/5,0)*5</f>
        <v>575</v>
      </c>
      <c r="AN374" s="14" t="str">
        <f>IF(AE374&gt;0,INDEX(挂机升级突破!$BX$4:$CH$4,AE374),"")</f>
        <v/>
      </c>
      <c r="AO374" s="14" t="str">
        <f>IF(AE374&gt;0,ROUND(INDEX(挂机升级突破!$BX$6:$CH$57,卡牌消耗!AI374,AE374)*INDEX(卡牌消耗!$B$7:$F$7,AG374)/$Q$4,0),"")</f>
        <v/>
      </c>
      <c r="AP374" s="106"/>
      <c r="AQ374" s="15"/>
      <c r="AR374" s="104">
        <v>370</v>
      </c>
      <c r="AS374" s="14">
        <f t="shared" si="143"/>
        <v>19</v>
      </c>
      <c r="AT374" s="14">
        <f>INDEX(挂机升级突破!$CM$7:$CM$26,AX374)</f>
        <v>5</v>
      </c>
      <c r="AU374" s="14">
        <f>INDEX(挂机升级突破!$CN$7:$CN$26,AX374)</f>
        <v>2</v>
      </c>
      <c r="AV374" s="14">
        <f t="shared" si="144"/>
        <v>2</v>
      </c>
      <c r="AW374" s="14" t="str">
        <f t="shared" si="145"/>
        <v>食火蜥</v>
      </c>
      <c r="AX374" s="14">
        <f t="shared" si="146"/>
        <v>10</v>
      </c>
      <c r="AY374" s="14" t="str">
        <f t="shared" si="147"/>
        <v>食火蜥10突</v>
      </c>
      <c r="AZ374" s="14" t="str">
        <f>IF(AT374&gt;0,INDEX(挂机升级突破!$CV$5:$CZ$5,卡牌消耗!AT374),"")</f>
        <v>金币</v>
      </c>
      <c r="BA374" s="14">
        <f>IF(AT374&gt;0,ROUND(INDEX(挂机升级突破!$CZ$7:$CZ$26,卡牌消耗!AX374)*INDEX(卡牌消耗!$B$8:$F$8,AV374)/$Q$4/500,0)*500,"")</f>
        <v>10000</v>
      </c>
      <c r="BB374" s="14" t="str">
        <f>IF(AU374&gt;0,INDEX(挂机升级突破!$CV$5:$CZ$5,卡牌消耗!AU374),"")</f>
        <v>乌金</v>
      </c>
      <c r="BC374" s="14">
        <f>IF(AU374&gt;0,ROUND(INDEX(挂机升级突破!$CV$7:$CY$26,卡牌消耗!AX374,卡牌消耗!AU374)*INDEX($B$6:$F$6,AV374)/$Q$4/5,0)*5,"")</f>
        <v>70</v>
      </c>
      <c r="BD374" s="104"/>
      <c r="BE374" s="104"/>
      <c r="BF374" s="106"/>
      <c r="BU374" s="15"/>
    </row>
    <row r="375" spans="8:73" ht="16.5" x14ac:dyDescent="0.2">
      <c r="H375" s="15"/>
      <c r="I375" s="15"/>
      <c r="J375" s="15"/>
      <c r="K375" s="15"/>
      <c r="L375" s="15"/>
      <c r="M375" s="15"/>
      <c r="N375" s="15"/>
      <c r="O375" s="137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04">
        <v>371</v>
      </c>
      <c r="AB375" s="14">
        <f t="shared" si="138"/>
        <v>8</v>
      </c>
      <c r="AC375" s="14">
        <f>INDEX(挂机升级突破!$BU$6:$BU$57,卡牌消耗!AI375)</f>
        <v>11</v>
      </c>
      <c r="AD375" s="14">
        <f>INDEX(挂机升级突破!BV$6:BV$57,卡牌消耗!$AI375)</f>
        <v>2</v>
      </c>
      <c r="AE375" s="14">
        <f>INDEX(挂机升级突破!BW$6:BW$57,卡牌消耗!$AI375)</f>
        <v>0</v>
      </c>
      <c r="AF375" s="14" t="str">
        <f t="shared" si="139"/>
        <v>夏侯渊</v>
      </c>
      <c r="AG375" s="14">
        <f t="shared" si="140"/>
        <v>4</v>
      </c>
      <c r="AH375" s="14" t="str">
        <f t="shared" si="141"/>
        <v>夏侯渊魂火-7</v>
      </c>
      <c r="AI375" s="14">
        <f t="shared" si="142"/>
        <v>7</v>
      </c>
      <c r="AJ375" s="14" t="str">
        <f>INDEX(挂机升级突破!$BX$4:$CH$4,INDEX(挂机升级突破!$BU$6:$BU$57,卡牌消耗!AI375))</f>
        <v>金币</v>
      </c>
      <c r="AK375" s="14">
        <f>ROUND(INDEX(挂机升级突破!$BN$6:$BN$57,卡牌消耗!AI375)*INDEX(卡牌消耗!$B$8:$F$8,AG375)/$Q$4/50,0)*50</f>
        <v>1500</v>
      </c>
      <c r="AL375" s="14" t="str">
        <f>IF(AD375&gt;0,INDEX(挂机升级突破!$BX$4:$CH$4,AD375),"")</f>
        <v>蓝色基础材料</v>
      </c>
      <c r="AM375" s="14">
        <f>ROUND(INDEX(挂机升级突破!$BX$6:$CH$57,卡牌消耗!AI375,AD375)*INDEX(卡牌消耗!$B$5:$F$5,AG375)/$Q$4/5,0)*5</f>
        <v>575</v>
      </c>
      <c r="AN375" s="14" t="str">
        <f>IF(AE375&gt;0,INDEX(挂机升级突破!$BX$4:$CH$4,AE375),"")</f>
        <v/>
      </c>
      <c r="AO375" s="14" t="str">
        <f>IF(AE375&gt;0,ROUND(INDEX(挂机升级突破!$BX$6:$CH$57,卡牌消耗!AI375,AE375)*INDEX(卡牌消耗!$B$7:$F$7,AG375)/$Q$4,0),"")</f>
        <v/>
      </c>
      <c r="AP375" s="106"/>
      <c r="AQ375" s="15"/>
      <c r="AR375" s="104">
        <v>371</v>
      </c>
      <c r="AS375" s="14">
        <f t="shared" si="143"/>
        <v>19</v>
      </c>
      <c r="AT375" s="14">
        <f>INDEX(挂机升级突破!$CM$7:$CM$26,AX375)</f>
        <v>5</v>
      </c>
      <c r="AU375" s="14">
        <f>INDEX(挂机升级突破!$CN$7:$CN$26,AX375)</f>
        <v>2</v>
      </c>
      <c r="AV375" s="14">
        <f t="shared" si="144"/>
        <v>2</v>
      </c>
      <c r="AW375" s="14" t="str">
        <f t="shared" si="145"/>
        <v>食火蜥</v>
      </c>
      <c r="AX375" s="14">
        <f t="shared" si="146"/>
        <v>11</v>
      </c>
      <c r="AY375" s="14" t="str">
        <f t="shared" si="147"/>
        <v>食火蜥11突</v>
      </c>
      <c r="AZ375" s="14" t="str">
        <f>IF(AT375&gt;0,INDEX(挂机升级突破!$CV$5:$CZ$5,卡牌消耗!AT375),"")</f>
        <v>金币</v>
      </c>
      <c r="BA375" s="14">
        <f>IF(AT375&gt;0,ROUND(INDEX(挂机升级突破!$CZ$7:$CZ$26,卡牌消耗!AX375)*INDEX(卡牌消耗!$B$8:$F$8,AV375)/$Q$4/500,0)*500,"")</f>
        <v>10000</v>
      </c>
      <c r="BB375" s="14" t="str">
        <f>IF(AU375&gt;0,INDEX(挂机升级突破!$CV$5:$CZ$5,卡牌消耗!AU375),"")</f>
        <v>乌金</v>
      </c>
      <c r="BC375" s="14">
        <f>IF(AU375&gt;0,ROUND(INDEX(挂机升级突破!$CV$7:$CY$26,卡牌消耗!AX375,卡牌消耗!AU375)*INDEX($B$6:$F$6,AV375)/$Q$4/5,0)*5,"")</f>
        <v>95</v>
      </c>
      <c r="BD375" s="104"/>
      <c r="BE375" s="104"/>
      <c r="BF375" s="106"/>
      <c r="BU375" s="15"/>
    </row>
    <row r="376" spans="8:73" ht="16.5" x14ac:dyDescent="0.2">
      <c r="H376" s="15"/>
      <c r="I376" s="15"/>
      <c r="J376" s="15"/>
      <c r="K376" s="15"/>
      <c r="L376" s="15"/>
      <c r="M376" s="15"/>
      <c r="N376" s="15"/>
      <c r="O376" s="137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04">
        <v>372</v>
      </c>
      <c r="AB376" s="14">
        <f t="shared" si="138"/>
        <v>8</v>
      </c>
      <c r="AC376" s="14">
        <f>INDEX(挂机升级突破!$BU$6:$BU$57,卡牌消耗!AI376)</f>
        <v>11</v>
      </c>
      <c r="AD376" s="14">
        <f>INDEX(挂机升级突破!BV$6:BV$57,卡牌消耗!$AI376)</f>
        <v>2</v>
      </c>
      <c r="AE376" s="14">
        <f>INDEX(挂机升级突破!BW$6:BW$57,卡牌消耗!$AI376)</f>
        <v>0</v>
      </c>
      <c r="AF376" s="14" t="str">
        <f t="shared" si="139"/>
        <v>夏侯渊</v>
      </c>
      <c r="AG376" s="14">
        <f t="shared" si="140"/>
        <v>4</v>
      </c>
      <c r="AH376" s="14" t="str">
        <f t="shared" si="141"/>
        <v>夏侯渊魂火-8</v>
      </c>
      <c r="AI376" s="14">
        <f t="shared" si="142"/>
        <v>8</v>
      </c>
      <c r="AJ376" s="14" t="str">
        <f>INDEX(挂机升级突破!$BX$4:$CH$4,INDEX(挂机升级突破!$BU$6:$BU$57,卡牌消耗!AI376))</f>
        <v>金币</v>
      </c>
      <c r="AK376" s="14">
        <f>ROUND(INDEX(挂机升级突破!$BN$6:$BN$57,卡牌消耗!AI376)*INDEX(卡牌消耗!$B$8:$F$8,AG376)/$Q$4/50,0)*50</f>
        <v>2250</v>
      </c>
      <c r="AL376" s="14" t="str">
        <f>IF(AD376&gt;0,INDEX(挂机升级突破!$BX$4:$CH$4,AD376),"")</f>
        <v>蓝色基础材料</v>
      </c>
      <c r="AM376" s="14">
        <f>ROUND(INDEX(挂机升级突破!$BX$6:$CH$57,卡牌消耗!AI376,AD376)*INDEX(卡牌消耗!$B$5:$F$5,AG376)/$Q$4/5,0)*5</f>
        <v>1155</v>
      </c>
      <c r="AN376" s="14" t="str">
        <f>IF(AE376&gt;0,INDEX(挂机升级突破!$BX$4:$CH$4,AE376),"")</f>
        <v/>
      </c>
      <c r="AO376" s="14" t="str">
        <f>IF(AE376&gt;0,ROUND(INDEX(挂机升级突破!$BX$6:$CH$57,卡牌消耗!AI376,AE376)*INDEX(卡牌消耗!$B$7:$F$7,AG376)/$Q$4,0),"")</f>
        <v/>
      </c>
      <c r="AP376" s="106"/>
      <c r="AQ376" s="15"/>
      <c r="AR376" s="104">
        <v>372</v>
      </c>
      <c r="AS376" s="14">
        <f t="shared" si="143"/>
        <v>19</v>
      </c>
      <c r="AT376" s="14">
        <f>INDEX(挂机升级突破!$CM$7:$CM$26,AX376)</f>
        <v>5</v>
      </c>
      <c r="AU376" s="14">
        <f>INDEX(挂机升级突破!$CN$7:$CN$26,AX376)</f>
        <v>2</v>
      </c>
      <c r="AV376" s="14">
        <f t="shared" si="144"/>
        <v>2</v>
      </c>
      <c r="AW376" s="14" t="str">
        <f t="shared" si="145"/>
        <v>食火蜥</v>
      </c>
      <c r="AX376" s="14">
        <f t="shared" si="146"/>
        <v>12</v>
      </c>
      <c r="AY376" s="14" t="str">
        <f t="shared" si="147"/>
        <v>食火蜥12突</v>
      </c>
      <c r="AZ376" s="14" t="str">
        <f>IF(AT376&gt;0,INDEX(挂机升级突破!$CV$5:$CZ$5,卡牌消耗!AT376),"")</f>
        <v>金币</v>
      </c>
      <c r="BA376" s="14">
        <f>IF(AT376&gt;0,ROUND(INDEX(挂机升级突破!$CZ$7:$CZ$26,卡牌消耗!AX376)*INDEX(卡牌消耗!$B$8:$F$8,AV376)/$Q$4/500,0)*500,"")</f>
        <v>13500</v>
      </c>
      <c r="BB376" s="14" t="str">
        <f>IF(AU376&gt;0,INDEX(挂机升级突破!$CV$5:$CZ$5,卡牌消耗!AU376),"")</f>
        <v>乌金</v>
      </c>
      <c r="BC376" s="14">
        <f>IF(AU376&gt;0,ROUND(INDEX(挂机升级突破!$CV$7:$CY$26,卡牌消耗!AX376,卡牌消耗!AU376)*INDEX($B$6:$F$6,AV376)/$Q$4/5,0)*5,"")</f>
        <v>125</v>
      </c>
      <c r="BD376" s="104"/>
      <c r="BE376" s="104"/>
      <c r="BF376" s="106"/>
      <c r="BU376" s="15"/>
    </row>
    <row r="377" spans="8:73" ht="16.5" x14ac:dyDescent="0.2">
      <c r="H377" s="15"/>
      <c r="I377" s="15"/>
      <c r="J377" s="15"/>
      <c r="K377" s="15"/>
      <c r="L377" s="15"/>
      <c r="M377" s="15"/>
      <c r="N377" s="15"/>
      <c r="O377" s="137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04">
        <v>373</v>
      </c>
      <c r="AB377" s="14">
        <f t="shared" si="138"/>
        <v>8</v>
      </c>
      <c r="AC377" s="14">
        <f>INDEX(挂机升级突破!$BU$6:$BU$57,卡牌消耗!AI377)</f>
        <v>11</v>
      </c>
      <c r="AD377" s="14">
        <f>INDEX(挂机升级突破!BV$6:BV$57,卡牌消耗!$AI377)</f>
        <v>2</v>
      </c>
      <c r="AE377" s="14">
        <f>INDEX(挂机升级突破!BW$6:BW$57,卡牌消耗!$AI377)</f>
        <v>0</v>
      </c>
      <c r="AF377" s="14" t="str">
        <f t="shared" si="139"/>
        <v>夏侯渊</v>
      </c>
      <c r="AG377" s="14">
        <f t="shared" si="140"/>
        <v>4</v>
      </c>
      <c r="AH377" s="14" t="str">
        <f t="shared" si="141"/>
        <v>夏侯渊魂火-9</v>
      </c>
      <c r="AI377" s="14">
        <f t="shared" si="142"/>
        <v>9</v>
      </c>
      <c r="AJ377" s="14" t="str">
        <f>INDEX(挂机升级突破!$BX$4:$CH$4,INDEX(挂机升级突破!$BU$6:$BU$57,卡牌消耗!AI377))</f>
        <v>金币</v>
      </c>
      <c r="AK377" s="14">
        <f>ROUND(INDEX(挂机升级突破!$BN$6:$BN$57,卡牌消耗!AI377)*INDEX(卡牌消耗!$B$8:$F$8,AG377)/$Q$4/50,0)*50</f>
        <v>2250</v>
      </c>
      <c r="AL377" s="14" t="str">
        <f>IF(AD377&gt;0,INDEX(挂机升级突破!$BX$4:$CH$4,AD377),"")</f>
        <v>蓝色基础材料</v>
      </c>
      <c r="AM377" s="14">
        <f>ROUND(INDEX(挂机升级突破!$BX$6:$CH$57,卡牌消耗!AI377,AD377)*INDEX(卡牌消耗!$B$5:$F$5,AG377)/$Q$4/5,0)*5</f>
        <v>1155</v>
      </c>
      <c r="AN377" s="14" t="str">
        <f>IF(AE377&gt;0,INDEX(挂机升级突破!$BX$4:$CH$4,AE377),"")</f>
        <v/>
      </c>
      <c r="AO377" s="14" t="str">
        <f>IF(AE377&gt;0,ROUND(INDEX(挂机升级突破!$BX$6:$CH$57,卡牌消耗!AI377,AE377)*INDEX(卡牌消耗!$B$7:$F$7,AG377)/$Q$4,0),"")</f>
        <v/>
      </c>
      <c r="AP377" s="106"/>
      <c r="AQ377" s="15"/>
      <c r="AR377" s="104">
        <v>373</v>
      </c>
      <c r="AS377" s="14">
        <f t="shared" si="143"/>
        <v>19</v>
      </c>
      <c r="AT377" s="14">
        <f>INDEX(挂机升级突破!$CM$7:$CM$26,AX377)</f>
        <v>5</v>
      </c>
      <c r="AU377" s="14">
        <f>INDEX(挂机升级突破!$CN$7:$CN$26,AX377)</f>
        <v>3</v>
      </c>
      <c r="AV377" s="14">
        <f t="shared" si="144"/>
        <v>2</v>
      </c>
      <c r="AW377" s="14" t="str">
        <f t="shared" si="145"/>
        <v>食火蜥</v>
      </c>
      <c r="AX377" s="14">
        <f t="shared" si="146"/>
        <v>13</v>
      </c>
      <c r="AY377" s="14" t="str">
        <f t="shared" si="147"/>
        <v>食火蜥13突</v>
      </c>
      <c r="AZ377" s="14" t="str">
        <f>IF(AT377&gt;0,INDEX(挂机升级突破!$CV$5:$CZ$5,卡牌消耗!AT377),"")</f>
        <v>金币</v>
      </c>
      <c r="BA377" s="14">
        <f>IF(AT377&gt;0,ROUND(INDEX(挂机升级突破!$CZ$7:$CZ$26,卡牌消耗!AX377)*INDEX(卡牌消耗!$B$8:$F$8,AV377)/$Q$4/500,0)*500,"")</f>
        <v>18000</v>
      </c>
      <c r="BB377" s="14" t="str">
        <f>IF(AU377&gt;0,INDEX(挂机升级突破!$CV$5:$CZ$5,卡牌消耗!AU377),"")</f>
        <v>银母</v>
      </c>
      <c r="BC377" s="14">
        <f>IF(AU377&gt;0,ROUND(INDEX(挂机升级突破!$CV$7:$CY$26,卡牌消耗!AX377,卡牌消耗!AU377)*INDEX($B$6:$F$6,AV377)/$Q$4/5,0)*5,"")</f>
        <v>25</v>
      </c>
      <c r="BD377" s="104"/>
      <c r="BE377" s="104"/>
      <c r="BF377" s="106"/>
      <c r="BU377" s="15"/>
    </row>
    <row r="378" spans="8:73" ht="16.5" x14ac:dyDescent="0.2">
      <c r="H378" s="15"/>
      <c r="I378" s="15"/>
      <c r="J378" s="15"/>
      <c r="K378" s="15"/>
      <c r="L378" s="15"/>
      <c r="M378" s="15"/>
      <c r="N378" s="15"/>
      <c r="O378" s="137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04">
        <v>374</v>
      </c>
      <c r="AB378" s="14">
        <f t="shared" si="138"/>
        <v>8</v>
      </c>
      <c r="AC378" s="14">
        <f>INDEX(挂机升级突破!$BU$6:$BU$57,卡牌消耗!AI378)</f>
        <v>11</v>
      </c>
      <c r="AD378" s="14">
        <f>INDEX(挂机升级突破!BV$6:BV$57,卡牌消耗!$AI378)</f>
        <v>2</v>
      </c>
      <c r="AE378" s="14">
        <f>INDEX(挂机升级突破!BW$6:BW$57,卡牌消耗!$AI378)</f>
        <v>0</v>
      </c>
      <c r="AF378" s="14" t="str">
        <f t="shared" si="139"/>
        <v>夏侯渊</v>
      </c>
      <c r="AG378" s="14">
        <f t="shared" si="140"/>
        <v>4</v>
      </c>
      <c r="AH378" s="14" t="str">
        <f t="shared" si="141"/>
        <v>夏侯渊魂火-10</v>
      </c>
      <c r="AI378" s="14">
        <f t="shared" si="142"/>
        <v>10</v>
      </c>
      <c r="AJ378" s="14" t="str">
        <f>INDEX(挂机升级突破!$BX$4:$CH$4,INDEX(挂机升级突破!$BU$6:$BU$57,卡牌消耗!AI378))</f>
        <v>金币</v>
      </c>
      <c r="AK378" s="14">
        <f>ROUND(INDEX(挂机升级突破!$BN$6:$BN$57,卡牌消耗!AI378)*INDEX(卡牌消耗!$B$8:$F$8,AG378)/$Q$4/50,0)*50</f>
        <v>3700</v>
      </c>
      <c r="AL378" s="14" t="str">
        <f>IF(AD378&gt;0,INDEX(挂机升级突破!$BX$4:$CH$4,AD378),"")</f>
        <v>蓝色基础材料</v>
      </c>
      <c r="AM378" s="14">
        <f>ROUND(INDEX(挂机升级突破!$BX$6:$CH$57,卡牌消耗!AI378,AD378)*INDEX(卡牌消耗!$B$5:$F$5,AG378)/$Q$4/5,0)*5</f>
        <v>1730</v>
      </c>
      <c r="AN378" s="14" t="str">
        <f>IF(AE378&gt;0,INDEX(挂机升级突破!$BX$4:$CH$4,AE378),"")</f>
        <v/>
      </c>
      <c r="AO378" s="14" t="str">
        <f>IF(AE378&gt;0,ROUND(INDEX(挂机升级突破!$BX$6:$CH$57,卡牌消耗!AI378,AE378)*INDEX(卡牌消耗!$B$7:$F$7,AG378)/$Q$4,0),"")</f>
        <v/>
      </c>
      <c r="AP378" s="106"/>
      <c r="AQ378" s="15"/>
      <c r="AR378" s="104">
        <v>374</v>
      </c>
      <c r="AS378" s="14">
        <f t="shared" si="143"/>
        <v>19</v>
      </c>
      <c r="AT378" s="14">
        <f>INDEX(挂机升级突破!$CM$7:$CM$26,AX378)</f>
        <v>5</v>
      </c>
      <c r="AU378" s="14">
        <f>INDEX(挂机升级突破!$CN$7:$CN$26,AX378)</f>
        <v>3</v>
      </c>
      <c r="AV378" s="14">
        <f t="shared" si="144"/>
        <v>2</v>
      </c>
      <c r="AW378" s="14" t="str">
        <f t="shared" si="145"/>
        <v>食火蜥</v>
      </c>
      <c r="AX378" s="14">
        <f t="shared" si="146"/>
        <v>14</v>
      </c>
      <c r="AY378" s="14" t="str">
        <f t="shared" si="147"/>
        <v>食火蜥14突</v>
      </c>
      <c r="AZ378" s="14" t="str">
        <f>IF(AT378&gt;0,INDEX(挂机升级突破!$CV$5:$CZ$5,卡牌消耗!AT378),"")</f>
        <v>金币</v>
      </c>
      <c r="BA378" s="14">
        <f>IF(AT378&gt;0,ROUND(INDEX(挂机升级突破!$CZ$7:$CZ$26,卡牌消耗!AX378)*INDEX(卡牌消耗!$B$8:$F$8,AV378)/$Q$4/500,0)*500,"")</f>
        <v>18000</v>
      </c>
      <c r="BB378" s="14" t="str">
        <f>IF(AU378&gt;0,INDEX(挂机升级突破!$CV$5:$CZ$5,卡牌消耗!AU378),"")</f>
        <v>银母</v>
      </c>
      <c r="BC378" s="14">
        <f>IF(AU378&gt;0,ROUND(INDEX(挂机升级突破!$CV$7:$CY$26,卡牌消耗!AX378,卡牌消耗!AU378)*INDEX($B$6:$F$6,AV378)/$Q$4/5,0)*5,"")</f>
        <v>30</v>
      </c>
      <c r="BD378" s="104"/>
      <c r="BE378" s="104"/>
      <c r="BF378" s="106"/>
      <c r="BU378" s="15"/>
    </row>
    <row r="379" spans="8:73" ht="16.5" x14ac:dyDescent="0.2">
      <c r="H379" s="15"/>
      <c r="I379" s="15"/>
      <c r="J379" s="15"/>
      <c r="K379" s="15"/>
      <c r="L379" s="15"/>
      <c r="M379" s="15"/>
      <c r="N379" s="15"/>
      <c r="O379" s="137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04">
        <v>375</v>
      </c>
      <c r="AB379" s="14">
        <f t="shared" si="138"/>
        <v>8</v>
      </c>
      <c r="AC379" s="14">
        <f>INDEX(挂机升级突破!$BU$6:$BU$57,卡牌消耗!AI379)</f>
        <v>11</v>
      </c>
      <c r="AD379" s="14">
        <f>INDEX(挂机升级突破!BV$6:BV$57,卡牌消耗!$AI379)</f>
        <v>2</v>
      </c>
      <c r="AE379" s="14">
        <f>INDEX(挂机升级突破!BW$6:BW$57,卡牌消耗!$AI379)</f>
        <v>0</v>
      </c>
      <c r="AF379" s="14" t="str">
        <f t="shared" si="139"/>
        <v>夏侯渊</v>
      </c>
      <c r="AG379" s="14">
        <f t="shared" si="140"/>
        <v>4</v>
      </c>
      <c r="AH379" s="14" t="str">
        <f t="shared" si="141"/>
        <v>夏侯渊魂火-11</v>
      </c>
      <c r="AI379" s="14">
        <f t="shared" si="142"/>
        <v>11</v>
      </c>
      <c r="AJ379" s="14" t="str">
        <f>INDEX(挂机升级突破!$BX$4:$CH$4,INDEX(挂机升级突破!$BU$6:$BU$57,卡牌消耗!AI379))</f>
        <v>金币</v>
      </c>
      <c r="AK379" s="14">
        <f>ROUND(INDEX(挂机升级突破!$BN$6:$BN$57,卡牌消耗!AI379)*INDEX(卡牌消耗!$B$8:$F$8,AG379)/$Q$4/50,0)*50</f>
        <v>3700</v>
      </c>
      <c r="AL379" s="14" t="str">
        <f>IF(AD379&gt;0,INDEX(挂机升级突破!$BX$4:$CH$4,AD379),"")</f>
        <v>蓝色基础材料</v>
      </c>
      <c r="AM379" s="14">
        <f>ROUND(INDEX(挂机升级突破!$BX$6:$CH$57,卡牌消耗!AI379,AD379)*INDEX(卡牌消耗!$B$5:$F$5,AG379)/$Q$4/5,0)*5</f>
        <v>1730</v>
      </c>
      <c r="AN379" s="14" t="str">
        <f>IF(AE379&gt;0,INDEX(挂机升级突破!$BX$4:$CH$4,AE379),"")</f>
        <v/>
      </c>
      <c r="AO379" s="14" t="str">
        <f>IF(AE379&gt;0,ROUND(INDEX(挂机升级突破!$BX$6:$CH$57,卡牌消耗!AI379,AE379)*INDEX(卡牌消耗!$B$7:$F$7,AG379)/$Q$4,0),"")</f>
        <v/>
      </c>
      <c r="AP379" s="106"/>
      <c r="AQ379" s="15"/>
      <c r="AR379" s="104">
        <v>375</v>
      </c>
      <c r="AS379" s="14">
        <f t="shared" si="143"/>
        <v>19</v>
      </c>
      <c r="AT379" s="14">
        <f>INDEX(挂机升级突破!$CM$7:$CM$26,AX379)</f>
        <v>5</v>
      </c>
      <c r="AU379" s="14">
        <f>INDEX(挂机升级突破!$CN$7:$CN$26,AX379)</f>
        <v>3</v>
      </c>
      <c r="AV379" s="14">
        <f t="shared" si="144"/>
        <v>2</v>
      </c>
      <c r="AW379" s="14" t="str">
        <f t="shared" si="145"/>
        <v>食火蜥</v>
      </c>
      <c r="AX379" s="14">
        <f t="shared" si="146"/>
        <v>15</v>
      </c>
      <c r="AY379" s="14" t="str">
        <f t="shared" si="147"/>
        <v>食火蜥15突</v>
      </c>
      <c r="AZ379" s="14" t="str">
        <f>IF(AT379&gt;0,INDEX(挂机升级突破!$CV$5:$CZ$5,卡牌消耗!AT379),"")</f>
        <v>金币</v>
      </c>
      <c r="BA379" s="14">
        <f>IF(AT379&gt;0,ROUND(INDEX(挂机升级突破!$CZ$7:$CZ$26,卡牌消耗!AX379)*INDEX(卡牌消耗!$B$8:$F$8,AV379)/$Q$4/500,0)*500,"")</f>
        <v>24000</v>
      </c>
      <c r="BB379" s="14" t="str">
        <f>IF(AU379&gt;0,INDEX(挂机升级突破!$CV$5:$CZ$5,卡牌消耗!AU379),"")</f>
        <v>银母</v>
      </c>
      <c r="BC379" s="14">
        <f>IF(AU379&gt;0,ROUND(INDEX(挂机升级突破!$CV$7:$CY$26,卡牌消耗!AX379,卡牌消耗!AU379)*INDEX($B$6:$F$6,AV379)/$Q$4/5,0)*5,"")</f>
        <v>45</v>
      </c>
      <c r="BD379" s="104"/>
      <c r="BE379" s="104"/>
      <c r="BF379" s="106"/>
      <c r="BU379" s="15"/>
    </row>
    <row r="380" spans="8:73" ht="16.5" x14ac:dyDescent="0.2">
      <c r="H380" s="15"/>
      <c r="I380" s="15"/>
      <c r="J380" s="15"/>
      <c r="K380" s="15"/>
      <c r="L380" s="15"/>
      <c r="M380" s="15"/>
      <c r="N380" s="15"/>
      <c r="O380" s="137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04">
        <v>376</v>
      </c>
      <c r="AB380" s="14">
        <f t="shared" si="138"/>
        <v>8</v>
      </c>
      <c r="AC380" s="14">
        <f>INDEX(挂机升级突破!$BU$6:$BU$57,卡牌消耗!AI380)</f>
        <v>11</v>
      </c>
      <c r="AD380" s="14">
        <f>INDEX(挂机升级突破!BV$6:BV$57,卡牌消耗!$AI380)</f>
        <v>2</v>
      </c>
      <c r="AE380" s="14">
        <f>INDEX(挂机升级突破!BW$6:BW$57,卡牌消耗!$AI380)</f>
        <v>0</v>
      </c>
      <c r="AF380" s="14" t="str">
        <f t="shared" si="139"/>
        <v>夏侯渊</v>
      </c>
      <c r="AG380" s="14">
        <f t="shared" si="140"/>
        <v>4</v>
      </c>
      <c r="AH380" s="14" t="str">
        <f t="shared" si="141"/>
        <v>夏侯渊魂火-12</v>
      </c>
      <c r="AI380" s="14">
        <f t="shared" si="142"/>
        <v>12</v>
      </c>
      <c r="AJ380" s="14" t="str">
        <f>INDEX(挂机升级突破!$BX$4:$CH$4,INDEX(挂机升级突破!$BU$6:$BU$57,卡牌消耗!AI380))</f>
        <v>金币</v>
      </c>
      <c r="AK380" s="14">
        <f>ROUND(INDEX(挂机升级突破!$BN$6:$BN$57,卡牌消耗!AI380)*INDEX(卡牌消耗!$B$8:$F$8,AG380)/$Q$4/50,0)*50</f>
        <v>3200</v>
      </c>
      <c r="AL380" s="14" t="str">
        <f>IF(AD380&gt;0,INDEX(挂机升级突破!$BX$4:$CH$4,AD380),"")</f>
        <v>蓝色基础材料</v>
      </c>
      <c r="AM380" s="14">
        <f>ROUND(INDEX(挂机升级突破!$BX$6:$CH$57,卡牌消耗!AI380,AD380)*INDEX(卡牌消耗!$B$5:$F$5,AG380)/$Q$4/5,0)*5</f>
        <v>2305</v>
      </c>
      <c r="AN380" s="14" t="str">
        <f>IF(AE380&gt;0,INDEX(挂机升级突破!$BX$4:$CH$4,AE380),"")</f>
        <v/>
      </c>
      <c r="AO380" s="14" t="str">
        <f>IF(AE380&gt;0,ROUND(INDEX(挂机升级突破!$BX$6:$CH$57,卡牌消耗!AI380,AE380)*INDEX(卡牌消耗!$B$7:$F$7,AG380)/$Q$4,0),"")</f>
        <v/>
      </c>
      <c r="AP380" s="106"/>
      <c r="AQ380" s="15"/>
      <c r="AR380" s="104">
        <v>376</v>
      </c>
      <c r="AS380" s="14">
        <f t="shared" si="143"/>
        <v>19</v>
      </c>
      <c r="AT380" s="14">
        <f>INDEX(挂机升级突破!$CM$7:$CM$26,AX380)</f>
        <v>5</v>
      </c>
      <c r="AU380" s="14">
        <f>INDEX(挂机升级突破!$CN$7:$CN$26,AX380)</f>
        <v>3</v>
      </c>
      <c r="AV380" s="14">
        <f t="shared" si="144"/>
        <v>2</v>
      </c>
      <c r="AW380" s="14" t="str">
        <f t="shared" si="145"/>
        <v>食火蜥</v>
      </c>
      <c r="AX380" s="14">
        <f t="shared" si="146"/>
        <v>16</v>
      </c>
      <c r="AY380" s="14" t="str">
        <f t="shared" si="147"/>
        <v>食火蜥16突</v>
      </c>
      <c r="AZ380" s="14" t="str">
        <f>IF(AT380&gt;0,INDEX(挂机升级突破!$CV$5:$CZ$5,卡牌消耗!AT380),"")</f>
        <v>金币</v>
      </c>
      <c r="BA380" s="14">
        <f>IF(AT380&gt;0,ROUND(INDEX(挂机升级突破!$CZ$7:$CZ$26,卡牌消耗!AX380)*INDEX(卡牌消耗!$B$8:$F$8,AV380)/$Q$4/500,0)*500,"")</f>
        <v>44000</v>
      </c>
      <c r="BB380" s="14" t="str">
        <f>IF(AU380&gt;0,INDEX(挂机升级突破!$CV$5:$CZ$5,卡牌消耗!AU380),"")</f>
        <v>银母</v>
      </c>
      <c r="BC380" s="14">
        <f>IF(AU380&gt;0,ROUND(INDEX(挂机升级突破!$CV$7:$CY$26,卡牌消耗!AX380,卡牌消耗!AU380)*INDEX($B$6:$F$6,AV380)/$Q$4/5,0)*5,"")</f>
        <v>55</v>
      </c>
      <c r="BD380" s="104"/>
      <c r="BE380" s="104"/>
      <c r="BF380" s="106"/>
      <c r="BU380" s="15"/>
    </row>
    <row r="381" spans="8:73" ht="16.5" x14ac:dyDescent="0.2">
      <c r="H381" s="15"/>
      <c r="I381" s="15"/>
      <c r="J381" s="15"/>
      <c r="K381" s="15"/>
      <c r="L381" s="15"/>
      <c r="M381" s="15"/>
      <c r="N381" s="15"/>
      <c r="O381" s="137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04">
        <v>377</v>
      </c>
      <c r="AB381" s="14">
        <f t="shared" si="138"/>
        <v>8</v>
      </c>
      <c r="AC381" s="14">
        <f>INDEX(挂机升级突破!$BU$6:$BU$57,卡牌消耗!AI381)</f>
        <v>11</v>
      </c>
      <c r="AD381" s="14">
        <f>INDEX(挂机升级突破!BV$6:BV$57,卡牌消耗!$AI381)</f>
        <v>2</v>
      </c>
      <c r="AE381" s="14">
        <f>INDEX(挂机升级突破!BW$6:BW$57,卡牌消耗!$AI381)</f>
        <v>0</v>
      </c>
      <c r="AF381" s="14" t="str">
        <f t="shared" si="139"/>
        <v>夏侯渊</v>
      </c>
      <c r="AG381" s="14">
        <f t="shared" si="140"/>
        <v>4</v>
      </c>
      <c r="AH381" s="14" t="str">
        <f t="shared" si="141"/>
        <v>夏侯渊魂火-13</v>
      </c>
      <c r="AI381" s="14">
        <f t="shared" si="142"/>
        <v>13</v>
      </c>
      <c r="AJ381" s="14" t="str">
        <f>INDEX(挂机升级突破!$BX$4:$CH$4,INDEX(挂机升级突破!$BU$6:$BU$57,卡牌消耗!AI381))</f>
        <v>金币</v>
      </c>
      <c r="AK381" s="14">
        <f>ROUND(INDEX(挂机升级突破!$BN$6:$BN$57,卡牌消耗!AI381)*INDEX(卡牌消耗!$B$8:$F$8,AG381)/$Q$4/50,0)*50</f>
        <v>3200</v>
      </c>
      <c r="AL381" s="14" t="str">
        <f>IF(AD381&gt;0,INDEX(挂机升级突破!$BX$4:$CH$4,AD381),"")</f>
        <v>蓝色基础材料</v>
      </c>
      <c r="AM381" s="14">
        <f>ROUND(INDEX(挂机升级突破!$BX$6:$CH$57,卡牌消耗!AI381,AD381)*INDEX(卡牌消耗!$B$5:$F$5,AG381)/$Q$4/5,0)*5</f>
        <v>2305</v>
      </c>
      <c r="AN381" s="14" t="str">
        <f>IF(AE381&gt;0,INDEX(挂机升级突破!$BX$4:$CH$4,AE381),"")</f>
        <v/>
      </c>
      <c r="AO381" s="14" t="str">
        <f>IF(AE381&gt;0,ROUND(INDEX(挂机升级突破!$BX$6:$CH$57,卡牌消耗!AI381,AE381)*INDEX(卡牌消耗!$B$7:$F$7,AG381)/$Q$4,0),"")</f>
        <v/>
      </c>
      <c r="AP381" s="106"/>
      <c r="AQ381" s="15"/>
      <c r="AR381" s="104">
        <v>377</v>
      </c>
      <c r="AS381" s="14">
        <f t="shared" si="143"/>
        <v>19</v>
      </c>
      <c r="AT381" s="14">
        <f>INDEX(挂机升级突破!$CM$7:$CM$26,AX381)</f>
        <v>5</v>
      </c>
      <c r="AU381" s="14">
        <f>INDEX(挂机升级突破!$CN$7:$CN$26,AX381)</f>
        <v>4</v>
      </c>
      <c r="AV381" s="14">
        <f t="shared" si="144"/>
        <v>2</v>
      </c>
      <c r="AW381" s="14" t="str">
        <f t="shared" si="145"/>
        <v>食火蜥</v>
      </c>
      <c r="AX381" s="14">
        <f t="shared" si="146"/>
        <v>17</v>
      </c>
      <c r="AY381" s="14" t="str">
        <f t="shared" si="147"/>
        <v>食火蜥17突</v>
      </c>
      <c r="AZ381" s="14" t="str">
        <f>IF(AT381&gt;0,INDEX(挂机升级突破!$CV$5:$CZ$5,卡牌消耗!AT381),"")</f>
        <v>金币</v>
      </c>
      <c r="BA381" s="14">
        <f>IF(AT381&gt;0,ROUND(INDEX(挂机升级突破!$CZ$7:$CZ$26,卡牌消耗!AX381)*INDEX(卡牌消耗!$B$8:$F$8,AV381)/$Q$4/500,0)*500,"")</f>
        <v>44000</v>
      </c>
      <c r="BB381" s="14" t="str">
        <f>IF(AU381&gt;0,INDEX(挂机升级突破!$CV$5:$CZ$5,卡牌消耗!AU381),"")</f>
        <v>铀金</v>
      </c>
      <c r="BC381" s="14">
        <f>IF(AU381&gt;0,ROUND(INDEX(挂机升级突破!$CV$7:$CY$26,卡牌消耗!AX381,卡牌消耗!AU381)*INDEX($B$6:$F$6,AV381)/$Q$4/5,0)*5,"")</f>
        <v>20</v>
      </c>
      <c r="BD381" s="104"/>
      <c r="BE381" s="104"/>
      <c r="BF381" s="106"/>
      <c r="BU381" s="15"/>
    </row>
    <row r="382" spans="8:73" ht="16.5" x14ac:dyDescent="0.2">
      <c r="H382" s="15"/>
      <c r="I382" s="15"/>
      <c r="J382" s="15"/>
      <c r="K382" s="15"/>
      <c r="L382" s="15"/>
      <c r="M382" s="15"/>
      <c r="N382" s="15"/>
      <c r="O382" s="137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04">
        <v>378</v>
      </c>
      <c r="AB382" s="14">
        <f t="shared" si="138"/>
        <v>8</v>
      </c>
      <c r="AC382" s="14">
        <f>INDEX(挂机升级突破!$BU$6:$BU$57,卡牌消耗!AI382)</f>
        <v>11</v>
      </c>
      <c r="AD382" s="14">
        <f>INDEX(挂机升级突破!BV$6:BV$57,卡牌消耗!$AI382)</f>
        <v>3</v>
      </c>
      <c r="AE382" s="14">
        <f>INDEX(挂机升级突破!BW$6:BW$57,卡牌消耗!$AI382)</f>
        <v>0</v>
      </c>
      <c r="AF382" s="14" t="str">
        <f t="shared" si="139"/>
        <v>夏侯渊</v>
      </c>
      <c r="AG382" s="14">
        <f t="shared" si="140"/>
        <v>4</v>
      </c>
      <c r="AH382" s="14" t="str">
        <f t="shared" si="141"/>
        <v>夏侯渊魂火-14</v>
      </c>
      <c r="AI382" s="14">
        <f t="shared" si="142"/>
        <v>14</v>
      </c>
      <c r="AJ382" s="14" t="str">
        <f>INDEX(挂机升级突破!$BX$4:$CH$4,INDEX(挂机升级突破!$BU$6:$BU$57,卡牌消耗!AI382))</f>
        <v>金币</v>
      </c>
      <c r="AK382" s="14">
        <f>ROUND(INDEX(挂机升级突破!$BN$6:$BN$57,卡牌消耗!AI382)*INDEX(卡牌消耗!$B$8:$F$8,AG382)/$Q$4/50,0)*50</f>
        <v>3500</v>
      </c>
      <c r="AL382" s="14" t="str">
        <f>IF(AD382&gt;0,INDEX(挂机升级突破!$BX$4:$CH$4,AD382),"")</f>
        <v>紫色基础材料</v>
      </c>
      <c r="AM382" s="14">
        <f>ROUND(INDEX(挂机升级突破!$BX$6:$CH$57,卡牌消耗!AI382,AD382)*INDEX(卡牌消耗!$B$5:$F$5,AG382)/$Q$4/5,0)*5</f>
        <v>200</v>
      </c>
      <c r="AN382" s="14" t="str">
        <f>IF(AE382&gt;0,INDEX(挂机升级突破!$BX$4:$CH$4,AE382),"")</f>
        <v/>
      </c>
      <c r="AO382" s="14" t="str">
        <f>IF(AE382&gt;0,ROUND(INDEX(挂机升级突破!$BX$6:$CH$57,卡牌消耗!AI382,AE382)*INDEX(卡牌消耗!$B$7:$F$7,AG382)/$Q$4,0),"")</f>
        <v/>
      </c>
      <c r="AP382" s="106"/>
      <c r="AQ382" s="15"/>
      <c r="AR382" s="104">
        <v>378</v>
      </c>
      <c r="AS382" s="14">
        <f t="shared" si="143"/>
        <v>19</v>
      </c>
      <c r="AT382" s="14">
        <f>INDEX(挂机升级突破!$CM$7:$CM$26,AX382)</f>
        <v>5</v>
      </c>
      <c r="AU382" s="14">
        <f>INDEX(挂机升级突破!$CN$7:$CN$26,AX382)</f>
        <v>4</v>
      </c>
      <c r="AV382" s="14">
        <f t="shared" si="144"/>
        <v>2</v>
      </c>
      <c r="AW382" s="14" t="str">
        <f t="shared" si="145"/>
        <v>食火蜥</v>
      </c>
      <c r="AX382" s="14">
        <f t="shared" si="146"/>
        <v>18</v>
      </c>
      <c r="AY382" s="14" t="str">
        <f t="shared" si="147"/>
        <v>食火蜥18突</v>
      </c>
      <c r="AZ382" s="14" t="str">
        <f>IF(AT382&gt;0,INDEX(挂机升级突破!$CV$5:$CZ$5,卡牌消耗!AT382),"")</f>
        <v>金币</v>
      </c>
      <c r="BA382" s="14">
        <f>IF(AT382&gt;0,ROUND(INDEX(挂机升级突破!$CZ$7:$CZ$26,卡牌消耗!AX382)*INDEX(卡牌消耗!$B$8:$F$8,AV382)/$Q$4/500,0)*500,"")</f>
        <v>58500</v>
      </c>
      <c r="BB382" s="14" t="str">
        <f>IF(AU382&gt;0,INDEX(挂机升级突破!$CV$5:$CZ$5,卡牌消耗!AU382),"")</f>
        <v>铀金</v>
      </c>
      <c r="BC382" s="14">
        <f>IF(AU382&gt;0,ROUND(INDEX(挂机升级突破!$CV$7:$CY$26,卡牌消耗!AX382,卡牌消耗!AU382)*INDEX($B$6:$F$6,AV382)/$Q$4/5,0)*5,"")</f>
        <v>25</v>
      </c>
      <c r="BD382" s="104"/>
      <c r="BE382" s="104"/>
      <c r="BF382" s="106"/>
      <c r="BU382" s="15"/>
    </row>
    <row r="383" spans="8:73" ht="16.5" x14ac:dyDescent="0.2">
      <c r="H383" s="15"/>
      <c r="I383" s="15"/>
      <c r="J383" s="15"/>
      <c r="K383" s="15"/>
      <c r="L383" s="15"/>
      <c r="M383" s="15"/>
      <c r="N383" s="15"/>
      <c r="O383" s="137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04">
        <v>379</v>
      </c>
      <c r="AB383" s="14">
        <f t="shared" si="138"/>
        <v>8</v>
      </c>
      <c r="AC383" s="14">
        <f>INDEX(挂机升级突破!$BU$6:$BU$57,卡牌消耗!AI383)</f>
        <v>11</v>
      </c>
      <c r="AD383" s="14">
        <f>INDEX(挂机升级突破!BV$6:BV$57,卡牌消耗!$AI383)</f>
        <v>3</v>
      </c>
      <c r="AE383" s="14">
        <f>INDEX(挂机升级突破!BW$6:BW$57,卡牌消耗!$AI383)</f>
        <v>0</v>
      </c>
      <c r="AF383" s="14" t="str">
        <f t="shared" si="139"/>
        <v>夏侯渊</v>
      </c>
      <c r="AG383" s="14">
        <f t="shared" si="140"/>
        <v>4</v>
      </c>
      <c r="AH383" s="14" t="str">
        <f t="shared" si="141"/>
        <v>夏侯渊魂火-15</v>
      </c>
      <c r="AI383" s="14">
        <f t="shared" si="142"/>
        <v>15</v>
      </c>
      <c r="AJ383" s="14" t="str">
        <f>INDEX(挂机升级突破!$BX$4:$CH$4,INDEX(挂机升级突破!$BU$6:$BU$57,卡牌消耗!AI383))</f>
        <v>金币</v>
      </c>
      <c r="AK383" s="14">
        <f>ROUND(INDEX(挂机升级突破!$BN$6:$BN$57,卡牌消耗!AI383)*INDEX(卡牌消耗!$B$8:$F$8,AG383)/$Q$4/50,0)*50</f>
        <v>3800</v>
      </c>
      <c r="AL383" s="14" t="str">
        <f>IF(AD383&gt;0,INDEX(挂机升级突破!$BX$4:$CH$4,AD383),"")</f>
        <v>紫色基础材料</v>
      </c>
      <c r="AM383" s="14">
        <f>ROUND(INDEX(挂机升级突破!$BX$6:$CH$57,卡牌消耗!AI383,AD383)*INDEX(卡牌消耗!$B$5:$F$5,AG383)/$Q$4/5,0)*5</f>
        <v>200</v>
      </c>
      <c r="AN383" s="14" t="str">
        <f>IF(AE383&gt;0,INDEX(挂机升级突破!$BX$4:$CH$4,AE383),"")</f>
        <v/>
      </c>
      <c r="AO383" s="14" t="str">
        <f>IF(AE383&gt;0,ROUND(INDEX(挂机升级突破!$BX$6:$CH$57,卡牌消耗!AI383,AE383)*INDEX(卡牌消耗!$B$7:$F$7,AG383)/$Q$4,0),"")</f>
        <v/>
      </c>
      <c r="AP383" s="106"/>
      <c r="AQ383" s="15"/>
      <c r="AR383" s="104">
        <v>379</v>
      </c>
      <c r="AS383" s="14">
        <f t="shared" si="143"/>
        <v>19</v>
      </c>
      <c r="AT383" s="14">
        <f>INDEX(挂机升级突破!$CM$7:$CM$26,AX383)</f>
        <v>5</v>
      </c>
      <c r="AU383" s="14">
        <f>INDEX(挂机升级突破!$CN$7:$CN$26,AX383)</f>
        <v>4</v>
      </c>
      <c r="AV383" s="14">
        <f t="shared" si="144"/>
        <v>2</v>
      </c>
      <c r="AW383" s="14" t="str">
        <f t="shared" si="145"/>
        <v>食火蜥</v>
      </c>
      <c r="AX383" s="14">
        <f t="shared" si="146"/>
        <v>19</v>
      </c>
      <c r="AY383" s="14" t="str">
        <f t="shared" si="147"/>
        <v>食火蜥19突</v>
      </c>
      <c r="AZ383" s="14" t="str">
        <f>IF(AT383&gt;0,INDEX(挂机升级突破!$CV$5:$CZ$5,卡牌消耗!AT383),"")</f>
        <v>金币</v>
      </c>
      <c r="BA383" s="14">
        <f>IF(AT383&gt;0,ROUND(INDEX(挂机升级突破!$CZ$7:$CZ$26,卡牌消耗!AX383)*INDEX(卡牌消耗!$B$8:$F$8,AV383)/$Q$4/500,0)*500,"")</f>
        <v>354500</v>
      </c>
      <c r="BB383" s="14" t="str">
        <f>IF(AU383&gt;0,INDEX(挂机升级突破!$CV$5:$CZ$5,卡牌消耗!AU383),"")</f>
        <v>铀金</v>
      </c>
      <c r="BC383" s="14">
        <f>IF(AU383&gt;0,ROUND(INDEX(挂机升级突破!$CV$7:$CY$26,卡牌消耗!AX383,卡牌消耗!AU383)*INDEX($B$6:$F$6,AV383)/$Q$4/5,0)*5,"")</f>
        <v>35</v>
      </c>
      <c r="BD383" s="104"/>
      <c r="BE383" s="104"/>
      <c r="BF383" s="106"/>
      <c r="BU383" s="15"/>
    </row>
    <row r="384" spans="8:73" ht="16.5" x14ac:dyDescent="0.2">
      <c r="H384" s="15"/>
      <c r="I384" s="15"/>
      <c r="J384" s="15"/>
      <c r="K384" s="15"/>
      <c r="L384" s="15"/>
      <c r="M384" s="15"/>
      <c r="N384" s="15"/>
      <c r="O384" s="137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04">
        <v>380</v>
      </c>
      <c r="AB384" s="14">
        <f t="shared" si="138"/>
        <v>8</v>
      </c>
      <c r="AC384" s="14">
        <f>INDEX(挂机升级突破!$BU$6:$BU$57,卡牌消耗!AI384)</f>
        <v>11</v>
      </c>
      <c r="AD384" s="14">
        <f>INDEX(挂机升级突破!BV$6:BV$57,卡牌消耗!$AI384)</f>
        <v>3</v>
      </c>
      <c r="AE384" s="14">
        <f>INDEX(挂机升级突破!BW$6:BW$57,卡牌消耗!$AI384)</f>
        <v>0</v>
      </c>
      <c r="AF384" s="14" t="str">
        <f t="shared" si="139"/>
        <v>夏侯渊</v>
      </c>
      <c r="AG384" s="14">
        <f t="shared" si="140"/>
        <v>4</v>
      </c>
      <c r="AH384" s="14" t="str">
        <f t="shared" si="141"/>
        <v>夏侯渊魂火-16</v>
      </c>
      <c r="AI384" s="14">
        <f t="shared" si="142"/>
        <v>16</v>
      </c>
      <c r="AJ384" s="14" t="str">
        <f>INDEX(挂机升级突破!$BX$4:$CH$4,INDEX(挂机升级突破!$BU$6:$BU$57,卡牌消耗!AI384))</f>
        <v>金币</v>
      </c>
      <c r="AK384" s="14">
        <f>ROUND(INDEX(挂机升级突破!$BN$6:$BN$57,卡牌消耗!AI384)*INDEX(卡牌消耗!$B$8:$F$8,AG384)/$Q$4/50,0)*50</f>
        <v>3800</v>
      </c>
      <c r="AL384" s="14" t="str">
        <f>IF(AD384&gt;0,INDEX(挂机升级突破!$BX$4:$CH$4,AD384),"")</f>
        <v>紫色基础材料</v>
      </c>
      <c r="AM384" s="14">
        <f>ROUND(INDEX(挂机升级突破!$BX$6:$CH$57,卡牌消耗!AI384,AD384)*INDEX(卡牌消耗!$B$5:$F$5,AG384)/$Q$4/5,0)*5</f>
        <v>200</v>
      </c>
      <c r="AN384" s="14" t="str">
        <f>IF(AE384&gt;0,INDEX(挂机升级突破!$BX$4:$CH$4,AE384),"")</f>
        <v/>
      </c>
      <c r="AO384" s="14" t="str">
        <f>IF(AE384&gt;0,ROUND(INDEX(挂机升级突破!$BX$6:$CH$57,卡牌消耗!AI384,AE384)*INDEX(卡牌消耗!$B$7:$F$7,AG384)/$Q$4,0),"")</f>
        <v/>
      </c>
      <c r="AP384" s="106"/>
      <c r="AQ384" s="15"/>
      <c r="AR384" s="104">
        <v>380</v>
      </c>
      <c r="AS384" s="14">
        <f t="shared" si="143"/>
        <v>19</v>
      </c>
      <c r="AT384" s="14">
        <f>INDEX(挂机升级突破!$CM$7:$CM$26,AX384)</f>
        <v>5</v>
      </c>
      <c r="AU384" s="14">
        <f>INDEX(挂机升级突破!$CN$7:$CN$26,AX384)</f>
        <v>4</v>
      </c>
      <c r="AV384" s="14">
        <f t="shared" si="144"/>
        <v>2</v>
      </c>
      <c r="AW384" s="14" t="str">
        <f t="shared" si="145"/>
        <v>食火蜥</v>
      </c>
      <c r="AX384" s="14">
        <f t="shared" si="146"/>
        <v>20</v>
      </c>
      <c r="AY384" s="14" t="str">
        <f t="shared" si="147"/>
        <v>食火蜥20突</v>
      </c>
      <c r="AZ384" s="14" t="str">
        <f>IF(AT384&gt;0,INDEX(挂机升级突破!$CV$5:$CZ$5,卡牌消耗!AT384),"")</f>
        <v>金币</v>
      </c>
      <c r="BA384" s="14">
        <f>IF(AT384&gt;0,ROUND(INDEX(挂机升级突破!$CZ$7:$CZ$26,卡牌消耗!AX384)*INDEX(卡牌消耗!$B$8:$F$8,AV384)/$Q$4/500,0)*500,"")</f>
        <v>532000</v>
      </c>
      <c r="BB384" s="14" t="str">
        <f>IF(AU384&gt;0,INDEX(挂机升级突破!$CV$5:$CZ$5,卡牌消耗!AU384),"")</f>
        <v>铀金</v>
      </c>
      <c r="BC384" s="14">
        <f>IF(AU384&gt;0,ROUND(INDEX(挂机升级突破!$CV$7:$CY$26,卡牌消耗!AX384,卡牌消耗!AU384)*INDEX($B$6:$F$6,AV384)/$Q$4/5,0)*5,"")</f>
        <v>45</v>
      </c>
      <c r="BD384" s="104"/>
      <c r="BE384" s="104"/>
      <c r="BF384" s="106"/>
      <c r="BU384" s="15"/>
    </row>
    <row r="385" spans="8:73" ht="16.5" x14ac:dyDescent="0.2">
      <c r="H385" s="15"/>
      <c r="I385" s="15"/>
      <c r="J385" s="15"/>
      <c r="K385" s="15"/>
      <c r="L385" s="15"/>
      <c r="M385" s="15"/>
      <c r="N385" s="15"/>
      <c r="O385" s="137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04">
        <v>381</v>
      </c>
      <c r="AB385" s="14">
        <f t="shared" si="138"/>
        <v>8</v>
      </c>
      <c r="AC385" s="14">
        <f>INDEX(挂机升级突破!$BU$6:$BU$57,卡牌消耗!AI385)</f>
        <v>11</v>
      </c>
      <c r="AD385" s="14">
        <f>INDEX(挂机升级突破!BV$6:BV$57,卡牌消耗!$AI385)</f>
        <v>3</v>
      </c>
      <c r="AE385" s="14">
        <f>INDEX(挂机升级突破!BW$6:BW$57,卡牌消耗!$AI385)</f>
        <v>0</v>
      </c>
      <c r="AF385" s="14" t="str">
        <f t="shared" si="139"/>
        <v>夏侯渊</v>
      </c>
      <c r="AG385" s="14">
        <f t="shared" si="140"/>
        <v>4</v>
      </c>
      <c r="AH385" s="14" t="str">
        <f t="shared" si="141"/>
        <v>夏侯渊魂火-17</v>
      </c>
      <c r="AI385" s="14">
        <f t="shared" si="142"/>
        <v>17</v>
      </c>
      <c r="AJ385" s="14" t="str">
        <f>INDEX(挂机升级突破!$BX$4:$CH$4,INDEX(挂机升级突破!$BU$6:$BU$57,卡牌消耗!AI385))</f>
        <v>金币</v>
      </c>
      <c r="AK385" s="14">
        <f>ROUND(INDEX(挂机升级突破!$BN$6:$BN$57,卡牌消耗!AI385)*INDEX(卡牌消耗!$B$8:$F$8,AG385)/$Q$4/50,0)*50</f>
        <v>4750</v>
      </c>
      <c r="AL385" s="14" t="str">
        <f>IF(AD385&gt;0,INDEX(挂机升级突破!$BX$4:$CH$4,AD385),"")</f>
        <v>紫色基础材料</v>
      </c>
      <c r="AM385" s="14">
        <f>ROUND(INDEX(挂机升级突破!$BX$6:$CH$57,卡牌消耗!AI385,AD385)*INDEX(卡牌消耗!$B$5:$F$5,AG385)/$Q$4/5,0)*5</f>
        <v>405</v>
      </c>
      <c r="AN385" s="14" t="str">
        <f>IF(AE385&gt;0,INDEX(挂机升级突破!$BX$4:$CH$4,AE385),"")</f>
        <v/>
      </c>
      <c r="AO385" s="14" t="str">
        <f>IF(AE385&gt;0,ROUND(INDEX(挂机升级突破!$BX$6:$CH$57,卡牌消耗!AI385,AE385)*INDEX(卡牌消耗!$B$7:$F$7,AG385)/$Q$4,0),"")</f>
        <v/>
      </c>
      <c r="AP385" s="106"/>
      <c r="AQ385" s="15"/>
      <c r="AR385" s="104">
        <v>381</v>
      </c>
      <c r="AS385" s="14">
        <f t="shared" si="143"/>
        <v>20</v>
      </c>
      <c r="AT385" s="14">
        <f>INDEX(挂机升级突破!$CM$7:$CM$26,AX385)</f>
        <v>0</v>
      </c>
      <c r="AU385" s="14">
        <f>INDEX(挂机升级突破!$CN$7:$CN$26,AX385)</f>
        <v>0</v>
      </c>
      <c r="AV385" s="14">
        <f t="shared" si="144"/>
        <v>3</v>
      </c>
      <c r="AW385" s="14" t="str">
        <f t="shared" si="145"/>
        <v>高顺</v>
      </c>
      <c r="AX385" s="14">
        <f t="shared" si="146"/>
        <v>1</v>
      </c>
      <c r="AY385" s="14" t="str">
        <f t="shared" si="147"/>
        <v>高顺1突</v>
      </c>
      <c r="AZ385" s="14" t="str">
        <f>IF(AT385&gt;0,INDEX(挂机升级突破!$CV$5:$CZ$5,卡牌消耗!AT385),"")</f>
        <v/>
      </c>
      <c r="BA385" s="14" t="str">
        <f>IF(AT385&gt;0,ROUND(INDEX(挂机升级突破!$CZ$7:$CZ$26,卡牌消耗!AX385)*INDEX(卡牌消耗!$B$8:$F$8,AV385)/$Q$4/500,0)*500,"")</f>
        <v/>
      </c>
      <c r="BB385" s="14" t="str">
        <f>IF(AU385&gt;0,INDEX(挂机升级突破!$CV$5:$CZ$5,卡牌消耗!AU385),"")</f>
        <v/>
      </c>
      <c r="BC385" s="14" t="str">
        <f>IF(AU385&gt;0,ROUND(INDEX(挂机升级突破!$CV$7:$CY$26,卡牌消耗!AX385,卡牌消耗!AU385)*INDEX($B$6:$F$6,AV385)/$Q$4/5,0)*5,"")</f>
        <v/>
      </c>
      <c r="BD385" s="104"/>
      <c r="BE385" s="104"/>
      <c r="BF385" s="106"/>
      <c r="BU385" s="15"/>
    </row>
    <row r="386" spans="8:73" ht="16.5" x14ac:dyDescent="0.2">
      <c r="H386" s="15"/>
      <c r="I386" s="15"/>
      <c r="J386" s="15"/>
      <c r="K386" s="15"/>
      <c r="L386" s="15"/>
      <c r="M386" s="15"/>
      <c r="N386" s="15"/>
      <c r="O386" s="137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04">
        <v>382</v>
      </c>
      <c r="AB386" s="14">
        <f t="shared" si="138"/>
        <v>8</v>
      </c>
      <c r="AC386" s="14">
        <f>INDEX(挂机升级突破!$BU$6:$BU$57,卡牌消耗!AI386)</f>
        <v>11</v>
      </c>
      <c r="AD386" s="14">
        <f>INDEX(挂机升级突破!BV$6:BV$57,卡牌消耗!$AI386)</f>
        <v>3</v>
      </c>
      <c r="AE386" s="14">
        <f>INDEX(挂机升级突破!BW$6:BW$57,卡牌消耗!$AI386)</f>
        <v>0</v>
      </c>
      <c r="AF386" s="14" t="str">
        <f t="shared" si="139"/>
        <v>夏侯渊</v>
      </c>
      <c r="AG386" s="14">
        <f t="shared" si="140"/>
        <v>4</v>
      </c>
      <c r="AH386" s="14" t="str">
        <f t="shared" si="141"/>
        <v>夏侯渊魂火-18</v>
      </c>
      <c r="AI386" s="14">
        <f t="shared" si="142"/>
        <v>18</v>
      </c>
      <c r="AJ386" s="14" t="str">
        <f>INDEX(挂机升级突破!$BX$4:$CH$4,INDEX(挂机升级突破!$BU$6:$BU$57,卡牌消耗!AI386))</f>
        <v>金币</v>
      </c>
      <c r="AK386" s="14">
        <f>ROUND(INDEX(挂机升级突破!$BN$6:$BN$57,卡牌消耗!AI386)*INDEX(卡牌消耗!$B$8:$F$8,AG386)/$Q$4/50,0)*50</f>
        <v>4750</v>
      </c>
      <c r="AL386" s="14" t="str">
        <f>IF(AD386&gt;0,INDEX(挂机升级突破!$BX$4:$CH$4,AD386),"")</f>
        <v>紫色基础材料</v>
      </c>
      <c r="AM386" s="14">
        <f>ROUND(INDEX(挂机升级突破!$BX$6:$CH$57,卡牌消耗!AI386,AD386)*INDEX(卡牌消耗!$B$5:$F$5,AG386)/$Q$4/5,0)*5</f>
        <v>405</v>
      </c>
      <c r="AN386" s="14" t="str">
        <f>IF(AE386&gt;0,INDEX(挂机升级突破!$BX$4:$CH$4,AE386),"")</f>
        <v/>
      </c>
      <c r="AO386" s="14" t="str">
        <f>IF(AE386&gt;0,ROUND(INDEX(挂机升级突破!$BX$6:$CH$57,卡牌消耗!AI386,AE386)*INDEX(卡牌消耗!$B$7:$F$7,AG386)/$Q$4,0),"")</f>
        <v/>
      </c>
      <c r="AP386" s="106"/>
      <c r="AQ386" s="15"/>
      <c r="AR386" s="104">
        <v>382</v>
      </c>
      <c r="AS386" s="14">
        <f t="shared" si="143"/>
        <v>20</v>
      </c>
      <c r="AT386" s="14">
        <f>INDEX(挂机升级突破!$CM$7:$CM$26,AX386)</f>
        <v>5</v>
      </c>
      <c r="AU386" s="14">
        <f>INDEX(挂机升级突破!$CN$7:$CN$26,AX386)</f>
        <v>0</v>
      </c>
      <c r="AV386" s="14">
        <f t="shared" si="144"/>
        <v>3</v>
      </c>
      <c r="AW386" s="14" t="str">
        <f t="shared" si="145"/>
        <v>高顺</v>
      </c>
      <c r="AX386" s="14">
        <f t="shared" si="146"/>
        <v>2</v>
      </c>
      <c r="AY386" s="14" t="str">
        <f t="shared" si="147"/>
        <v>高顺2突</v>
      </c>
      <c r="AZ386" s="14" t="str">
        <f>IF(AT386&gt;0,INDEX(挂机升级突破!$CV$5:$CZ$5,卡牌消耗!AT386),"")</f>
        <v>金币</v>
      </c>
      <c r="BA386" s="14">
        <f>IF(AT386&gt;0,ROUND(INDEX(挂机升级突破!$CZ$7:$CZ$26,卡牌消耗!AX386)*INDEX(卡牌消耗!$B$8:$F$8,AV386)/$Q$4/500,0)*500,"")</f>
        <v>2500</v>
      </c>
      <c r="BB386" s="14" t="str">
        <f>IF(AU386&gt;0,INDEX(挂机升级突破!$CV$5:$CZ$5,卡牌消耗!AU386),"")</f>
        <v/>
      </c>
      <c r="BC386" s="14" t="str">
        <f>IF(AU386&gt;0,ROUND(INDEX(挂机升级突破!$CV$7:$CY$26,卡牌消耗!AX386,卡牌消耗!AU386)*INDEX($B$6:$F$6,AV386)/$Q$4/5,0)*5,"")</f>
        <v/>
      </c>
      <c r="BD386" s="104"/>
      <c r="BE386" s="104"/>
      <c r="BF386" s="106"/>
      <c r="BU386" s="15"/>
    </row>
    <row r="387" spans="8:73" ht="16.5" x14ac:dyDescent="0.2">
      <c r="H387" s="15"/>
      <c r="I387" s="15"/>
      <c r="J387" s="15"/>
      <c r="K387" s="15"/>
      <c r="L387" s="15"/>
      <c r="M387" s="15"/>
      <c r="N387" s="15"/>
      <c r="O387" s="137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04">
        <v>383</v>
      </c>
      <c r="AB387" s="14">
        <f t="shared" si="138"/>
        <v>8</v>
      </c>
      <c r="AC387" s="14">
        <f>INDEX(挂机升级突破!$BU$6:$BU$57,卡牌消耗!AI387)</f>
        <v>11</v>
      </c>
      <c r="AD387" s="14">
        <f>INDEX(挂机升级突破!BV$6:BV$57,卡牌消耗!$AI387)</f>
        <v>3</v>
      </c>
      <c r="AE387" s="14">
        <f>INDEX(挂机升级突破!BW$6:BW$57,卡牌消耗!$AI387)</f>
        <v>0</v>
      </c>
      <c r="AF387" s="14" t="str">
        <f t="shared" si="139"/>
        <v>夏侯渊</v>
      </c>
      <c r="AG387" s="14">
        <f t="shared" si="140"/>
        <v>4</v>
      </c>
      <c r="AH387" s="14" t="str">
        <f t="shared" si="141"/>
        <v>夏侯渊魂火-19</v>
      </c>
      <c r="AI387" s="14">
        <f t="shared" si="142"/>
        <v>19</v>
      </c>
      <c r="AJ387" s="14" t="str">
        <f>INDEX(挂机升级突破!$BX$4:$CH$4,INDEX(挂机升级突破!$BU$6:$BU$57,卡牌消耗!AI387))</f>
        <v>金币</v>
      </c>
      <c r="AK387" s="14">
        <f>ROUND(INDEX(挂机升级突破!$BN$6:$BN$57,卡牌消耗!AI387)*INDEX(卡牌消耗!$B$8:$F$8,AG387)/$Q$4/50,0)*50</f>
        <v>4750</v>
      </c>
      <c r="AL387" s="14" t="str">
        <f>IF(AD387&gt;0,INDEX(挂机升级突破!$BX$4:$CH$4,AD387),"")</f>
        <v>紫色基础材料</v>
      </c>
      <c r="AM387" s="14">
        <f>ROUND(INDEX(挂机升级突破!$BX$6:$CH$57,卡牌消耗!AI387,AD387)*INDEX(卡牌消耗!$B$5:$F$5,AG387)/$Q$4/5,0)*5</f>
        <v>405</v>
      </c>
      <c r="AN387" s="14" t="str">
        <f>IF(AE387&gt;0,INDEX(挂机升级突破!$BX$4:$CH$4,AE387),"")</f>
        <v/>
      </c>
      <c r="AO387" s="14" t="str">
        <f>IF(AE387&gt;0,ROUND(INDEX(挂机升级突破!$BX$6:$CH$57,卡牌消耗!AI387,AE387)*INDEX(卡牌消耗!$B$7:$F$7,AG387)/$Q$4,0),"")</f>
        <v/>
      </c>
      <c r="AP387" s="106"/>
      <c r="AQ387" s="15"/>
      <c r="AR387" s="104">
        <v>383</v>
      </c>
      <c r="AS387" s="14">
        <f t="shared" si="143"/>
        <v>20</v>
      </c>
      <c r="AT387" s="14">
        <f>INDEX(挂机升级突破!$CM$7:$CM$26,AX387)</f>
        <v>5</v>
      </c>
      <c r="AU387" s="14">
        <f>INDEX(挂机升级突破!$CN$7:$CN$26,AX387)</f>
        <v>0</v>
      </c>
      <c r="AV387" s="14">
        <f t="shared" si="144"/>
        <v>3</v>
      </c>
      <c r="AW387" s="14" t="str">
        <f t="shared" si="145"/>
        <v>高顺</v>
      </c>
      <c r="AX387" s="14">
        <f t="shared" si="146"/>
        <v>3</v>
      </c>
      <c r="AY387" s="14" t="str">
        <f t="shared" si="147"/>
        <v>高顺3突</v>
      </c>
      <c r="AZ387" s="14" t="str">
        <f>IF(AT387&gt;0,INDEX(挂机升级突破!$CV$5:$CZ$5,卡牌消耗!AT387),"")</f>
        <v>金币</v>
      </c>
      <c r="BA387" s="14">
        <f>IF(AT387&gt;0,ROUND(INDEX(挂机升级突破!$CZ$7:$CZ$26,卡牌消耗!AX387)*INDEX(卡牌消耗!$B$8:$F$8,AV387)/$Q$4/500,0)*500,"")</f>
        <v>2500</v>
      </c>
      <c r="BB387" s="14" t="str">
        <f>IF(AU387&gt;0,INDEX(挂机升级突破!$CV$5:$CZ$5,卡牌消耗!AU387),"")</f>
        <v/>
      </c>
      <c r="BC387" s="14" t="str">
        <f>IF(AU387&gt;0,ROUND(INDEX(挂机升级突破!$CV$7:$CY$26,卡牌消耗!AX387,卡牌消耗!AU387)*INDEX($B$6:$F$6,AV387)/$Q$4/5,0)*5,"")</f>
        <v/>
      </c>
      <c r="BD387" s="104"/>
      <c r="BE387" s="104"/>
      <c r="BF387" s="106"/>
      <c r="BU387" s="15"/>
    </row>
    <row r="388" spans="8:73" ht="16.5" x14ac:dyDescent="0.2">
      <c r="H388" s="15"/>
      <c r="I388" s="15"/>
      <c r="J388" s="15"/>
      <c r="K388" s="15"/>
      <c r="L388" s="15"/>
      <c r="M388" s="15"/>
      <c r="N388" s="15"/>
      <c r="O388" s="137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04">
        <v>384</v>
      </c>
      <c r="AB388" s="14">
        <f t="shared" si="138"/>
        <v>8</v>
      </c>
      <c r="AC388" s="14">
        <f>INDEX(挂机升级突破!$BU$6:$BU$57,卡牌消耗!AI388)</f>
        <v>11</v>
      </c>
      <c r="AD388" s="14">
        <f>INDEX(挂机升级突破!BV$6:BV$57,卡牌消耗!$AI388)</f>
        <v>3</v>
      </c>
      <c r="AE388" s="14">
        <f>INDEX(挂机升级突破!BW$6:BW$57,卡牌消耗!$AI388)</f>
        <v>0</v>
      </c>
      <c r="AF388" s="14" t="str">
        <f t="shared" si="139"/>
        <v>夏侯渊</v>
      </c>
      <c r="AG388" s="14">
        <f t="shared" si="140"/>
        <v>4</v>
      </c>
      <c r="AH388" s="14" t="str">
        <f t="shared" si="141"/>
        <v>夏侯渊魂火-20</v>
      </c>
      <c r="AI388" s="14">
        <f t="shared" si="142"/>
        <v>20</v>
      </c>
      <c r="AJ388" s="14" t="str">
        <f>INDEX(挂机升级突破!$BX$4:$CH$4,INDEX(挂机升级突破!$BU$6:$BU$57,卡牌消耗!AI388))</f>
        <v>金币</v>
      </c>
      <c r="AK388" s="14">
        <f>ROUND(INDEX(挂机升级突破!$BN$6:$BN$57,卡牌消耗!AI388)*INDEX(卡牌消耗!$B$8:$F$8,AG388)/$Q$4/50,0)*50</f>
        <v>5850</v>
      </c>
      <c r="AL388" s="14" t="str">
        <f>IF(AD388&gt;0,INDEX(挂机升级突破!$BX$4:$CH$4,AD388),"")</f>
        <v>紫色基础材料</v>
      </c>
      <c r="AM388" s="14">
        <f>ROUND(INDEX(挂机升级突破!$BX$6:$CH$57,卡牌消耗!AI388,AD388)*INDEX(卡牌消耗!$B$5:$F$5,AG388)/$Q$4/5,0)*5</f>
        <v>605</v>
      </c>
      <c r="AN388" s="14" t="str">
        <f>IF(AE388&gt;0,INDEX(挂机升级突破!$BX$4:$CH$4,AE388),"")</f>
        <v/>
      </c>
      <c r="AO388" s="14" t="str">
        <f>IF(AE388&gt;0,ROUND(INDEX(挂机升级突破!$BX$6:$CH$57,卡牌消耗!AI388,AE388)*INDEX(卡牌消耗!$B$7:$F$7,AG388)/$Q$4,0),"")</f>
        <v/>
      </c>
      <c r="AP388" s="106"/>
      <c r="AQ388" s="15"/>
      <c r="AR388" s="104">
        <v>384</v>
      </c>
      <c r="AS388" s="14">
        <f t="shared" si="143"/>
        <v>20</v>
      </c>
      <c r="AT388" s="14">
        <f>INDEX(挂机升级突破!$CM$7:$CM$26,AX388)</f>
        <v>5</v>
      </c>
      <c r="AU388" s="14">
        <f>INDEX(挂机升级突破!$CN$7:$CN$26,AX388)</f>
        <v>1</v>
      </c>
      <c r="AV388" s="14">
        <f t="shared" si="144"/>
        <v>3</v>
      </c>
      <c r="AW388" s="14" t="str">
        <f t="shared" si="145"/>
        <v>高顺</v>
      </c>
      <c r="AX388" s="14">
        <f t="shared" si="146"/>
        <v>4</v>
      </c>
      <c r="AY388" s="14" t="str">
        <f t="shared" si="147"/>
        <v>高顺4突</v>
      </c>
      <c r="AZ388" s="14" t="str">
        <f>IF(AT388&gt;0,INDEX(挂机升级突破!$CV$5:$CZ$5,卡牌消耗!AT388),"")</f>
        <v>金币</v>
      </c>
      <c r="BA388" s="14">
        <f>IF(AT388&gt;0,ROUND(INDEX(挂机升级突破!$CZ$7:$CZ$26,卡牌消耗!AX388)*INDEX(卡牌消耗!$B$8:$F$8,AV388)/$Q$4/500,0)*500,"")</f>
        <v>3000</v>
      </c>
      <c r="BB388" s="14" t="str">
        <f>IF(AU388&gt;0,INDEX(挂机升级突破!$CV$5:$CZ$5,卡牌消耗!AU388),"")</f>
        <v>玄铁</v>
      </c>
      <c r="BC388" s="14">
        <f>IF(AU388&gt;0,ROUND(INDEX(挂机升级突破!$CV$7:$CY$26,卡牌消耗!AX388,卡牌消耗!AU388)*INDEX($B$6:$F$6,AV388)/$Q$4/5,0)*5,"")</f>
        <v>60</v>
      </c>
      <c r="BD388" s="104"/>
      <c r="BE388" s="104"/>
      <c r="BF388" s="106"/>
      <c r="BU388" s="15"/>
    </row>
    <row r="389" spans="8:73" ht="16.5" x14ac:dyDescent="0.2">
      <c r="H389" s="15"/>
      <c r="I389" s="15"/>
      <c r="J389" s="15"/>
      <c r="K389" s="15"/>
      <c r="L389" s="15"/>
      <c r="M389" s="15"/>
      <c r="N389" s="15"/>
      <c r="O389" s="137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04">
        <v>385</v>
      </c>
      <c r="AB389" s="14">
        <f t="shared" si="138"/>
        <v>8</v>
      </c>
      <c r="AC389" s="14">
        <f>INDEX(挂机升级突破!$BU$6:$BU$57,卡牌消耗!AI389)</f>
        <v>11</v>
      </c>
      <c r="AD389" s="14">
        <f>INDEX(挂机升级突破!BV$6:BV$57,卡牌消耗!$AI389)</f>
        <v>3</v>
      </c>
      <c r="AE389" s="14">
        <f>INDEX(挂机升级突破!BW$6:BW$57,卡牌消耗!$AI389)</f>
        <v>0</v>
      </c>
      <c r="AF389" s="14" t="str">
        <f t="shared" si="139"/>
        <v>夏侯渊</v>
      </c>
      <c r="AG389" s="14">
        <f t="shared" si="140"/>
        <v>4</v>
      </c>
      <c r="AH389" s="14" t="str">
        <f t="shared" si="141"/>
        <v>夏侯渊魂火-21</v>
      </c>
      <c r="AI389" s="14">
        <f t="shared" si="142"/>
        <v>21</v>
      </c>
      <c r="AJ389" s="14" t="str">
        <f>INDEX(挂机升级突破!$BX$4:$CH$4,INDEX(挂机升级突破!$BU$6:$BU$57,卡牌消耗!AI389))</f>
        <v>金币</v>
      </c>
      <c r="AK389" s="14">
        <f>ROUND(INDEX(挂机升级突破!$BN$6:$BN$57,卡牌消耗!AI389)*INDEX(卡牌消耗!$B$8:$F$8,AG389)/$Q$4/50,0)*50</f>
        <v>5850</v>
      </c>
      <c r="AL389" s="14" t="str">
        <f>IF(AD389&gt;0,INDEX(挂机升级突破!$BX$4:$CH$4,AD389),"")</f>
        <v>紫色基础材料</v>
      </c>
      <c r="AM389" s="14">
        <f>ROUND(INDEX(挂机升级突破!$BX$6:$CH$57,卡牌消耗!AI389,AD389)*INDEX(卡牌消耗!$B$5:$F$5,AG389)/$Q$4/5,0)*5</f>
        <v>605</v>
      </c>
      <c r="AN389" s="14" t="str">
        <f>IF(AE389&gt;0,INDEX(挂机升级突破!$BX$4:$CH$4,AE389),"")</f>
        <v/>
      </c>
      <c r="AO389" s="14" t="str">
        <f>IF(AE389&gt;0,ROUND(INDEX(挂机升级突破!$BX$6:$CH$57,卡牌消耗!AI389,AE389)*INDEX(卡牌消耗!$B$7:$F$7,AG389)/$Q$4,0),"")</f>
        <v/>
      </c>
      <c r="AP389" s="106"/>
      <c r="AQ389" s="15"/>
      <c r="AR389" s="104">
        <v>385</v>
      </c>
      <c r="AS389" s="14">
        <f t="shared" si="143"/>
        <v>20</v>
      </c>
      <c r="AT389" s="14">
        <f>INDEX(挂机升级突破!$CM$7:$CM$26,AX389)</f>
        <v>5</v>
      </c>
      <c r="AU389" s="14">
        <f>INDEX(挂机升级突破!$CN$7:$CN$26,AX389)</f>
        <v>1</v>
      </c>
      <c r="AV389" s="14">
        <f t="shared" si="144"/>
        <v>3</v>
      </c>
      <c r="AW389" s="14" t="str">
        <f t="shared" si="145"/>
        <v>高顺</v>
      </c>
      <c r="AX389" s="14">
        <f t="shared" si="146"/>
        <v>5</v>
      </c>
      <c r="AY389" s="14" t="str">
        <f t="shared" si="147"/>
        <v>高顺5突</v>
      </c>
      <c r="AZ389" s="14" t="str">
        <f>IF(AT389&gt;0,INDEX(挂机升级突破!$CV$5:$CZ$5,卡牌消耗!AT389),"")</f>
        <v>金币</v>
      </c>
      <c r="BA389" s="14">
        <f>IF(AT389&gt;0,ROUND(INDEX(挂机升级突破!$CZ$7:$CZ$26,卡牌消耗!AX389)*INDEX(卡牌消耗!$B$8:$F$8,AV389)/$Q$4/500,0)*500,"")</f>
        <v>3000</v>
      </c>
      <c r="BB389" s="14" t="str">
        <f>IF(AU389&gt;0,INDEX(挂机升级突破!$CV$5:$CZ$5,卡牌消耗!AU389),"")</f>
        <v>玄铁</v>
      </c>
      <c r="BC389" s="14">
        <f>IF(AU389&gt;0,ROUND(INDEX(挂机升级突破!$CV$7:$CY$26,卡牌消耗!AX389,卡牌消耗!AU389)*INDEX($B$6:$F$6,AV389)/$Q$4/5,0)*5,"")</f>
        <v>115</v>
      </c>
      <c r="BD389" s="104"/>
      <c r="BE389" s="104"/>
      <c r="BF389" s="106"/>
      <c r="BU389" s="15"/>
    </row>
    <row r="390" spans="8:73" ht="16.5" x14ac:dyDescent="0.2">
      <c r="H390" s="15"/>
      <c r="I390" s="15"/>
      <c r="J390" s="15"/>
      <c r="K390" s="15"/>
      <c r="L390" s="15"/>
      <c r="M390" s="15"/>
      <c r="N390" s="15"/>
      <c r="O390" s="137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04">
        <v>386</v>
      </c>
      <c r="AB390" s="14">
        <f t="shared" ref="AB390:AB453" si="148">INT((AA390-1)/52)+1</f>
        <v>8</v>
      </c>
      <c r="AC390" s="14">
        <f>INDEX(挂机升级突破!$BU$6:$BU$57,卡牌消耗!AI390)</f>
        <v>11</v>
      </c>
      <c r="AD390" s="14">
        <f>INDEX(挂机升级突破!BV$6:BV$57,卡牌消耗!$AI390)</f>
        <v>3</v>
      </c>
      <c r="AE390" s="14">
        <f>INDEX(挂机升级突破!BW$6:BW$57,卡牌消耗!$AI390)</f>
        <v>0</v>
      </c>
      <c r="AF390" s="14" t="str">
        <f t="shared" ref="AF390:AF453" si="149">INDEX($B$13:$B$40,AB390)</f>
        <v>夏侯渊</v>
      </c>
      <c r="AG390" s="14">
        <f t="shared" ref="AG390:AG453" si="150">INDEX($C$13:$C$40,AB390)</f>
        <v>4</v>
      </c>
      <c r="AH390" s="14" t="str">
        <f t="shared" ref="AH390:AH453" si="151">AF390&amp;"魂火-"&amp;AI390</f>
        <v>夏侯渊魂火-22</v>
      </c>
      <c r="AI390" s="14">
        <f t="shared" ref="AI390:AI453" si="152">AA390-(AB390-1)*52</f>
        <v>22</v>
      </c>
      <c r="AJ390" s="14" t="str">
        <f>INDEX(挂机升级突破!$BX$4:$CH$4,INDEX(挂机升级突破!$BU$6:$BU$57,卡牌消耗!AI390))</f>
        <v>金币</v>
      </c>
      <c r="AK390" s="14">
        <f>ROUND(INDEX(挂机升级突破!$BN$6:$BN$57,卡牌消耗!AI390)*INDEX(卡牌消耗!$B$8:$F$8,AG390)/$Q$4/50,0)*50</f>
        <v>5850</v>
      </c>
      <c r="AL390" s="14" t="str">
        <f>IF(AD390&gt;0,INDEX(挂机升级突破!$BX$4:$CH$4,AD390),"")</f>
        <v>紫色基础材料</v>
      </c>
      <c r="AM390" s="14">
        <f>ROUND(INDEX(挂机升级突破!$BX$6:$CH$57,卡牌消耗!AI390,AD390)*INDEX(卡牌消耗!$B$5:$F$5,AG390)/$Q$4/5,0)*5</f>
        <v>605</v>
      </c>
      <c r="AN390" s="14" t="str">
        <f>IF(AE390&gt;0,INDEX(挂机升级突破!$BX$4:$CH$4,AE390),"")</f>
        <v/>
      </c>
      <c r="AO390" s="14" t="str">
        <f>IF(AE390&gt;0,ROUND(INDEX(挂机升级突破!$BX$6:$CH$57,卡牌消耗!AI390,AE390)*INDEX(卡牌消耗!$B$7:$F$7,AG390)/$Q$4,0),"")</f>
        <v/>
      </c>
      <c r="AP390" s="106"/>
      <c r="AQ390" s="15"/>
      <c r="AR390" s="104">
        <v>386</v>
      </c>
      <c r="AS390" s="14">
        <f t="shared" ref="AS390:AS453" si="153">INT((AR390-1)/20)+1</f>
        <v>20</v>
      </c>
      <c r="AT390" s="14">
        <f>INDEX(挂机升级突破!$CM$7:$CM$26,AX390)</f>
        <v>5</v>
      </c>
      <c r="AU390" s="14">
        <f>INDEX(挂机升级突破!$CN$7:$CN$26,AX390)</f>
        <v>1</v>
      </c>
      <c r="AV390" s="14">
        <f t="shared" ref="AV390:AV453" si="154">INDEX($C$13:$C$40,AS390)</f>
        <v>3</v>
      </c>
      <c r="AW390" s="14" t="str">
        <f t="shared" ref="AW390:AW453" si="155">INDEX($B$13:$B$40,AS390)</f>
        <v>高顺</v>
      </c>
      <c r="AX390" s="14">
        <f t="shared" ref="AX390:AX453" si="156">AR390-(AS390-1)*20</f>
        <v>6</v>
      </c>
      <c r="AY390" s="14" t="str">
        <f t="shared" ref="AY390:AY453" si="157">AW390&amp;AX390&amp;"突"</f>
        <v>高顺6突</v>
      </c>
      <c r="AZ390" s="14" t="str">
        <f>IF(AT390&gt;0,INDEX(挂机升级突破!$CV$5:$CZ$5,卡牌消耗!AT390),"")</f>
        <v>金币</v>
      </c>
      <c r="BA390" s="14">
        <f>IF(AT390&gt;0,ROUND(INDEX(挂机升级突破!$CZ$7:$CZ$26,卡牌消耗!AX390)*INDEX(卡牌消耗!$B$8:$F$8,AV390)/$Q$4/500,0)*500,"")</f>
        <v>4000</v>
      </c>
      <c r="BB390" s="14" t="str">
        <f>IF(AU390&gt;0,INDEX(挂机升级突破!$CV$5:$CZ$5,卡牌消耗!AU390),"")</f>
        <v>玄铁</v>
      </c>
      <c r="BC390" s="14">
        <f>IF(AU390&gt;0,ROUND(INDEX(挂机升级突破!$CV$7:$CY$26,卡牌消耗!AX390,卡牌消耗!AU390)*INDEX($B$6:$F$6,AV390)/$Q$4/5,0)*5,"")</f>
        <v>175</v>
      </c>
      <c r="BD390" s="104"/>
      <c r="BE390" s="104"/>
      <c r="BF390" s="106"/>
      <c r="BU390" s="15"/>
    </row>
    <row r="391" spans="8:73" ht="16.5" x14ac:dyDescent="0.2">
      <c r="H391" s="15"/>
      <c r="I391" s="15"/>
      <c r="J391" s="15"/>
      <c r="K391" s="15"/>
      <c r="L391" s="15"/>
      <c r="M391" s="15"/>
      <c r="N391" s="15"/>
      <c r="O391" s="137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04">
        <v>387</v>
      </c>
      <c r="AB391" s="14">
        <f t="shared" si="148"/>
        <v>8</v>
      </c>
      <c r="AC391" s="14">
        <f>INDEX(挂机升级突破!$BU$6:$BU$57,卡牌消耗!AI391)</f>
        <v>11</v>
      </c>
      <c r="AD391" s="14">
        <f>INDEX(挂机升级突破!BV$6:BV$57,卡牌消耗!$AI391)</f>
        <v>4</v>
      </c>
      <c r="AE391" s="14">
        <f>INDEX(挂机升级突破!BW$6:BW$57,卡牌消耗!$AI391)</f>
        <v>0</v>
      </c>
      <c r="AF391" s="14" t="str">
        <f t="shared" si="149"/>
        <v>夏侯渊</v>
      </c>
      <c r="AG391" s="14">
        <f t="shared" si="150"/>
        <v>4</v>
      </c>
      <c r="AH391" s="14" t="str">
        <f t="shared" si="151"/>
        <v>夏侯渊魂火-23</v>
      </c>
      <c r="AI391" s="14">
        <f t="shared" si="152"/>
        <v>23</v>
      </c>
      <c r="AJ391" s="14" t="str">
        <f>INDEX(挂机升级突破!$BX$4:$CH$4,INDEX(挂机升级突破!$BU$6:$BU$57,卡牌消耗!AI391))</f>
        <v>金币</v>
      </c>
      <c r="AK391" s="14">
        <f>ROUND(INDEX(挂机升级突破!$BN$6:$BN$57,卡牌消耗!AI391)*INDEX(卡牌消耗!$B$8:$F$8,AG391)/$Q$4/50,0)*50</f>
        <v>8050</v>
      </c>
      <c r="AL391" s="14" t="str">
        <f>IF(AD391&gt;0,INDEX(挂机升级突破!$BX$4:$CH$4,AD391),"")</f>
        <v>橙色基础材料</v>
      </c>
      <c r="AM391" s="14">
        <f>ROUND(INDEX(挂机升级突破!$BX$6:$CH$57,卡牌消耗!AI391,AD391)*INDEX(卡牌消耗!$B$5:$F$5,AG391)/$Q$4/5,0)*5</f>
        <v>85</v>
      </c>
      <c r="AN391" s="14" t="str">
        <f>IF(AE391&gt;0,INDEX(挂机升级突破!$BX$4:$CH$4,AE391),"")</f>
        <v/>
      </c>
      <c r="AO391" s="14" t="str">
        <f>IF(AE391&gt;0,ROUND(INDEX(挂机升级突破!$BX$6:$CH$57,卡牌消耗!AI391,AE391)*INDEX(卡牌消耗!$B$7:$F$7,AG391)/$Q$4,0),"")</f>
        <v/>
      </c>
      <c r="AP391" s="106"/>
      <c r="AQ391" s="15"/>
      <c r="AR391" s="104">
        <v>387</v>
      </c>
      <c r="AS391" s="14">
        <f t="shared" si="153"/>
        <v>20</v>
      </c>
      <c r="AT391" s="14">
        <f>INDEX(挂机升级突破!$CM$7:$CM$26,AX391)</f>
        <v>5</v>
      </c>
      <c r="AU391" s="14">
        <f>INDEX(挂机升级突破!$CN$7:$CN$26,AX391)</f>
        <v>1</v>
      </c>
      <c r="AV391" s="14">
        <f t="shared" si="154"/>
        <v>3</v>
      </c>
      <c r="AW391" s="14" t="str">
        <f t="shared" si="155"/>
        <v>高顺</v>
      </c>
      <c r="AX391" s="14">
        <f t="shared" si="156"/>
        <v>7</v>
      </c>
      <c r="AY391" s="14" t="str">
        <f t="shared" si="157"/>
        <v>高顺7突</v>
      </c>
      <c r="AZ391" s="14" t="str">
        <f>IF(AT391&gt;0,INDEX(挂机升级突破!$CV$5:$CZ$5,卡牌消耗!AT391),"")</f>
        <v>金币</v>
      </c>
      <c r="BA391" s="14">
        <f>IF(AT391&gt;0,ROUND(INDEX(挂机升级突破!$CZ$7:$CZ$26,卡牌消耗!AX391)*INDEX(卡牌消耗!$B$8:$F$8,AV391)/$Q$4/500,0)*500,"")</f>
        <v>6500</v>
      </c>
      <c r="BB391" s="14" t="str">
        <f>IF(AU391&gt;0,INDEX(挂机升级突破!$CV$5:$CZ$5,卡牌消耗!AU391),"")</f>
        <v>玄铁</v>
      </c>
      <c r="BC391" s="14">
        <f>IF(AU391&gt;0,ROUND(INDEX(挂机升级突破!$CV$7:$CY$26,卡牌消耗!AX391,卡牌消耗!AU391)*INDEX($B$6:$F$6,AV391)/$Q$4/5,0)*5,"")</f>
        <v>290</v>
      </c>
      <c r="BD391" s="104"/>
      <c r="BE391" s="104"/>
      <c r="BF391" s="106"/>
      <c r="BU391" s="15"/>
    </row>
    <row r="392" spans="8:73" ht="16.5" x14ac:dyDescent="0.2">
      <c r="H392" s="15"/>
      <c r="I392" s="15"/>
      <c r="J392" s="15"/>
      <c r="K392" s="15"/>
      <c r="L392" s="15"/>
      <c r="M392" s="15"/>
      <c r="N392" s="15"/>
      <c r="O392" s="137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04">
        <v>388</v>
      </c>
      <c r="AB392" s="14">
        <f t="shared" si="148"/>
        <v>8</v>
      </c>
      <c r="AC392" s="14">
        <f>INDEX(挂机升级突破!$BU$6:$BU$57,卡牌消耗!AI392)</f>
        <v>11</v>
      </c>
      <c r="AD392" s="14">
        <f>INDEX(挂机升级突破!BV$6:BV$57,卡牌消耗!$AI392)</f>
        <v>4</v>
      </c>
      <c r="AE392" s="14">
        <f>INDEX(挂机升级突破!BW$6:BW$57,卡牌消耗!$AI392)</f>
        <v>0</v>
      </c>
      <c r="AF392" s="14" t="str">
        <f t="shared" si="149"/>
        <v>夏侯渊</v>
      </c>
      <c r="AG392" s="14">
        <f t="shared" si="150"/>
        <v>4</v>
      </c>
      <c r="AH392" s="14" t="str">
        <f t="shared" si="151"/>
        <v>夏侯渊魂火-24</v>
      </c>
      <c r="AI392" s="14">
        <f t="shared" si="152"/>
        <v>24</v>
      </c>
      <c r="AJ392" s="14" t="str">
        <f>INDEX(挂机升级突破!$BX$4:$CH$4,INDEX(挂机升级突破!$BU$6:$BU$57,卡牌消耗!AI392))</f>
        <v>金币</v>
      </c>
      <c r="AK392" s="14">
        <f>ROUND(INDEX(挂机升级突破!$BN$6:$BN$57,卡牌消耗!AI392)*INDEX(卡牌消耗!$B$8:$F$8,AG392)/$Q$4/50,0)*50</f>
        <v>8050</v>
      </c>
      <c r="AL392" s="14" t="str">
        <f>IF(AD392&gt;0,INDEX(挂机升级突破!$BX$4:$CH$4,AD392),"")</f>
        <v>橙色基础材料</v>
      </c>
      <c r="AM392" s="14">
        <f>ROUND(INDEX(挂机升级突破!$BX$6:$CH$57,卡牌消耗!AI392,AD392)*INDEX(卡牌消耗!$B$5:$F$5,AG392)/$Q$4/5,0)*5</f>
        <v>85</v>
      </c>
      <c r="AN392" s="14" t="str">
        <f>IF(AE392&gt;0,INDEX(挂机升级突破!$BX$4:$CH$4,AE392),"")</f>
        <v/>
      </c>
      <c r="AO392" s="14" t="str">
        <f>IF(AE392&gt;0,ROUND(INDEX(挂机升级突破!$BX$6:$CH$57,卡牌消耗!AI392,AE392)*INDEX(卡牌消耗!$B$7:$F$7,AG392)/$Q$4,0),"")</f>
        <v/>
      </c>
      <c r="AP392" s="106"/>
      <c r="AQ392" s="15"/>
      <c r="AR392" s="104">
        <v>388</v>
      </c>
      <c r="AS392" s="14">
        <f t="shared" si="153"/>
        <v>20</v>
      </c>
      <c r="AT392" s="14">
        <f>INDEX(挂机升级突破!$CM$7:$CM$26,AX392)</f>
        <v>5</v>
      </c>
      <c r="AU392" s="14">
        <f>INDEX(挂机升级突破!$CN$7:$CN$26,AX392)</f>
        <v>1</v>
      </c>
      <c r="AV392" s="14">
        <f t="shared" si="154"/>
        <v>3</v>
      </c>
      <c r="AW392" s="14" t="str">
        <f t="shared" si="155"/>
        <v>高顺</v>
      </c>
      <c r="AX392" s="14">
        <f t="shared" si="156"/>
        <v>8</v>
      </c>
      <c r="AY392" s="14" t="str">
        <f t="shared" si="157"/>
        <v>高顺8突</v>
      </c>
      <c r="AZ392" s="14" t="str">
        <f>IF(AT392&gt;0,INDEX(挂机升级突破!$CV$5:$CZ$5,卡牌消耗!AT392),"")</f>
        <v>金币</v>
      </c>
      <c r="BA392" s="14">
        <f>IF(AT392&gt;0,ROUND(INDEX(挂机升级突破!$CZ$7:$CZ$26,卡牌消耗!AX392)*INDEX(卡牌消耗!$B$8:$F$8,AV392)/$Q$4/500,0)*500,"")</f>
        <v>6500</v>
      </c>
      <c r="BB392" s="14" t="str">
        <f>IF(AU392&gt;0,INDEX(挂机升级突破!$CV$5:$CZ$5,卡牌消耗!AU392),"")</f>
        <v>玄铁</v>
      </c>
      <c r="BC392" s="14">
        <f>IF(AU392&gt;0,ROUND(INDEX(挂机升级突破!$CV$7:$CY$26,卡牌消耗!AX392,卡牌消耗!AU392)*INDEX($B$6:$F$6,AV392)/$Q$4/5,0)*5,"")</f>
        <v>520</v>
      </c>
      <c r="BD392" s="104"/>
      <c r="BE392" s="104"/>
      <c r="BF392" s="106"/>
      <c r="BU392" s="15"/>
    </row>
    <row r="393" spans="8:73" ht="16.5" x14ac:dyDescent="0.2">
      <c r="H393" s="15"/>
      <c r="I393" s="15"/>
      <c r="J393" s="15"/>
      <c r="K393" s="15"/>
      <c r="L393" s="15"/>
      <c r="M393" s="15"/>
      <c r="N393" s="15"/>
      <c r="O393" s="137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04">
        <v>389</v>
      </c>
      <c r="AB393" s="14">
        <f t="shared" si="148"/>
        <v>8</v>
      </c>
      <c r="AC393" s="14">
        <f>INDEX(挂机升级突破!$BU$6:$BU$57,卡牌消耗!AI393)</f>
        <v>11</v>
      </c>
      <c r="AD393" s="14">
        <f>INDEX(挂机升级突破!BV$6:BV$57,卡牌消耗!$AI393)</f>
        <v>4</v>
      </c>
      <c r="AE393" s="14">
        <f>INDEX(挂机升级突破!BW$6:BW$57,卡牌消耗!$AI393)</f>
        <v>0</v>
      </c>
      <c r="AF393" s="14" t="str">
        <f t="shared" si="149"/>
        <v>夏侯渊</v>
      </c>
      <c r="AG393" s="14">
        <f t="shared" si="150"/>
        <v>4</v>
      </c>
      <c r="AH393" s="14" t="str">
        <f t="shared" si="151"/>
        <v>夏侯渊魂火-25</v>
      </c>
      <c r="AI393" s="14">
        <f t="shared" si="152"/>
        <v>25</v>
      </c>
      <c r="AJ393" s="14" t="str">
        <f>INDEX(挂机升级突破!$BX$4:$CH$4,INDEX(挂机升级突破!$BU$6:$BU$57,卡牌消耗!AI393))</f>
        <v>金币</v>
      </c>
      <c r="AK393" s="14">
        <f>ROUND(INDEX(挂机升级突破!$BN$6:$BN$57,卡牌消耗!AI393)*INDEX(卡牌消耗!$B$8:$F$8,AG393)/$Q$4/50,0)*50</f>
        <v>8800</v>
      </c>
      <c r="AL393" s="14" t="str">
        <f>IF(AD393&gt;0,INDEX(挂机升级突破!$BX$4:$CH$4,AD393),"")</f>
        <v>橙色基础材料</v>
      </c>
      <c r="AM393" s="14">
        <f>ROUND(INDEX(挂机升级突破!$BX$6:$CH$57,卡牌消耗!AI393,AD393)*INDEX(卡牌消耗!$B$5:$F$5,AG393)/$Q$4/5,0)*5</f>
        <v>85</v>
      </c>
      <c r="AN393" s="14" t="str">
        <f>IF(AE393&gt;0,INDEX(挂机升级突破!$BX$4:$CH$4,AE393),"")</f>
        <v/>
      </c>
      <c r="AO393" s="14" t="str">
        <f>IF(AE393&gt;0,ROUND(INDEX(挂机升级突破!$BX$6:$CH$57,卡牌消耗!AI393,AE393)*INDEX(卡牌消耗!$B$7:$F$7,AG393)/$Q$4,0),"")</f>
        <v/>
      </c>
      <c r="AP393" s="106"/>
      <c r="AQ393" s="15"/>
      <c r="AR393" s="104">
        <v>389</v>
      </c>
      <c r="AS393" s="14">
        <f t="shared" si="153"/>
        <v>20</v>
      </c>
      <c r="AT393" s="14">
        <f>INDEX(挂机升级突破!$CM$7:$CM$26,AX393)</f>
        <v>5</v>
      </c>
      <c r="AU393" s="14">
        <f>INDEX(挂机升级突破!$CN$7:$CN$26,AX393)</f>
        <v>2</v>
      </c>
      <c r="AV393" s="14">
        <f t="shared" si="154"/>
        <v>3</v>
      </c>
      <c r="AW393" s="14" t="str">
        <f t="shared" si="155"/>
        <v>高顺</v>
      </c>
      <c r="AX393" s="14">
        <f t="shared" si="156"/>
        <v>9</v>
      </c>
      <c r="AY393" s="14" t="str">
        <f t="shared" si="157"/>
        <v>高顺9突</v>
      </c>
      <c r="AZ393" s="14" t="str">
        <f>IF(AT393&gt;0,INDEX(挂机升级突破!$CV$5:$CZ$5,卡牌消耗!AT393),"")</f>
        <v>金币</v>
      </c>
      <c r="BA393" s="14">
        <f>IF(AT393&gt;0,ROUND(INDEX(挂机升级突破!$CZ$7:$CZ$26,卡牌消耗!AX393)*INDEX(卡牌消耗!$B$8:$F$8,AV393)/$Q$4/500,0)*500,"")</f>
        <v>8500</v>
      </c>
      <c r="BB393" s="14" t="str">
        <f>IF(AU393&gt;0,INDEX(挂机升级突破!$CV$5:$CZ$5,卡牌消耗!AU393),"")</f>
        <v>乌金</v>
      </c>
      <c r="BC393" s="14">
        <f>IF(AU393&gt;0,ROUND(INDEX(挂机升级突破!$CV$7:$CY$26,卡牌消耗!AX393,卡牌消耗!AU393)*INDEX($B$6:$F$6,AV393)/$Q$4/5,0)*5,"")</f>
        <v>65</v>
      </c>
      <c r="BD393" s="104"/>
      <c r="BE393" s="104"/>
      <c r="BF393" s="106"/>
      <c r="BU393" s="15"/>
    </row>
    <row r="394" spans="8:73" ht="16.5" x14ac:dyDescent="0.2">
      <c r="H394" s="15"/>
      <c r="I394" s="15"/>
      <c r="J394" s="15"/>
      <c r="K394" s="15"/>
      <c r="L394" s="15"/>
      <c r="M394" s="15"/>
      <c r="N394" s="15"/>
      <c r="O394" s="137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04">
        <v>390</v>
      </c>
      <c r="AB394" s="14">
        <f t="shared" si="148"/>
        <v>8</v>
      </c>
      <c r="AC394" s="14">
        <f>INDEX(挂机升级突破!$BU$6:$BU$57,卡牌消耗!AI394)</f>
        <v>11</v>
      </c>
      <c r="AD394" s="14">
        <f>INDEX(挂机升级突破!BV$6:BV$57,卡牌消耗!$AI394)</f>
        <v>4</v>
      </c>
      <c r="AE394" s="14">
        <f>INDEX(挂机升级突破!BW$6:BW$57,卡牌消耗!$AI394)</f>
        <v>0</v>
      </c>
      <c r="AF394" s="14" t="str">
        <f t="shared" si="149"/>
        <v>夏侯渊</v>
      </c>
      <c r="AG394" s="14">
        <f t="shared" si="150"/>
        <v>4</v>
      </c>
      <c r="AH394" s="14" t="str">
        <f t="shared" si="151"/>
        <v>夏侯渊魂火-26</v>
      </c>
      <c r="AI394" s="14">
        <f t="shared" si="152"/>
        <v>26</v>
      </c>
      <c r="AJ394" s="14" t="str">
        <f>INDEX(挂机升级突破!$BX$4:$CH$4,INDEX(挂机升级突破!$BU$6:$BU$57,卡牌消耗!AI394))</f>
        <v>金币</v>
      </c>
      <c r="AK394" s="14">
        <f>ROUND(INDEX(挂机升级突破!$BN$6:$BN$57,卡牌消耗!AI394)*INDEX(卡牌消耗!$B$8:$F$8,AG394)/$Q$4/50,0)*50</f>
        <v>10250</v>
      </c>
      <c r="AL394" s="14" t="str">
        <f>IF(AD394&gt;0,INDEX(挂机升级突破!$BX$4:$CH$4,AD394),"")</f>
        <v>橙色基础材料</v>
      </c>
      <c r="AM394" s="14">
        <f>ROUND(INDEX(挂机升级突破!$BX$6:$CH$57,卡牌消耗!AI394,AD394)*INDEX(卡牌消耗!$B$5:$F$5,AG394)/$Q$4/5,0)*5</f>
        <v>100</v>
      </c>
      <c r="AN394" s="14" t="str">
        <f>IF(AE394&gt;0,INDEX(挂机升级突破!$BX$4:$CH$4,AE394),"")</f>
        <v/>
      </c>
      <c r="AO394" s="14" t="str">
        <f>IF(AE394&gt;0,ROUND(INDEX(挂机升级突破!$BX$6:$CH$57,卡牌消耗!AI394,AE394)*INDEX(卡牌消耗!$B$7:$F$7,AG394)/$Q$4,0),"")</f>
        <v/>
      </c>
      <c r="AP394" s="106"/>
      <c r="AQ394" s="15"/>
      <c r="AR394" s="104">
        <v>390</v>
      </c>
      <c r="AS394" s="14">
        <f t="shared" si="153"/>
        <v>20</v>
      </c>
      <c r="AT394" s="14">
        <f>INDEX(挂机升级突破!$CM$7:$CM$26,AX394)</f>
        <v>5</v>
      </c>
      <c r="AU394" s="14">
        <f>INDEX(挂机升级突破!$CN$7:$CN$26,AX394)</f>
        <v>2</v>
      </c>
      <c r="AV394" s="14">
        <f t="shared" si="154"/>
        <v>3</v>
      </c>
      <c r="AW394" s="14" t="str">
        <f t="shared" si="155"/>
        <v>高顺</v>
      </c>
      <c r="AX394" s="14">
        <f t="shared" si="156"/>
        <v>10</v>
      </c>
      <c r="AY394" s="14" t="str">
        <f t="shared" si="157"/>
        <v>高顺10突</v>
      </c>
      <c r="AZ394" s="14" t="str">
        <f>IF(AT394&gt;0,INDEX(挂机升级突破!$CV$5:$CZ$5,卡牌消耗!AT394),"")</f>
        <v>金币</v>
      </c>
      <c r="BA394" s="14">
        <f>IF(AT394&gt;0,ROUND(INDEX(挂机升级突破!$CZ$7:$CZ$26,卡牌消耗!AX394)*INDEX(卡牌消耗!$B$8:$F$8,AV394)/$Q$4/500,0)*500,"")</f>
        <v>14500</v>
      </c>
      <c r="BB394" s="14" t="str">
        <f>IF(AU394&gt;0,INDEX(挂机升级突破!$CV$5:$CZ$5,卡牌消耗!AU394),"")</f>
        <v>乌金</v>
      </c>
      <c r="BC394" s="14">
        <f>IF(AU394&gt;0,ROUND(INDEX(挂机升级突破!$CV$7:$CY$26,卡牌消耗!AX394,卡牌消耗!AU394)*INDEX($B$6:$F$6,AV394)/$Q$4/5,0)*5,"")</f>
        <v>90</v>
      </c>
      <c r="BD394" s="104"/>
      <c r="BE394" s="104"/>
      <c r="BF394" s="106"/>
      <c r="BU394" s="15"/>
    </row>
    <row r="395" spans="8:73" ht="16.5" x14ac:dyDescent="0.2">
      <c r="H395" s="15"/>
      <c r="I395" s="15"/>
      <c r="J395" s="15"/>
      <c r="K395" s="15"/>
      <c r="L395" s="15"/>
      <c r="M395" s="15"/>
      <c r="N395" s="15"/>
      <c r="O395" s="137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04">
        <v>391</v>
      </c>
      <c r="AB395" s="14">
        <f t="shared" si="148"/>
        <v>8</v>
      </c>
      <c r="AC395" s="14">
        <f>INDEX(挂机升级突破!$BU$6:$BU$57,卡牌消耗!AI395)</f>
        <v>11</v>
      </c>
      <c r="AD395" s="14">
        <f>INDEX(挂机升级突破!BV$6:BV$57,卡牌消耗!$AI395)</f>
        <v>4</v>
      </c>
      <c r="AE395" s="14">
        <f>INDEX(挂机升级突破!BW$6:BW$57,卡牌消耗!$AI395)</f>
        <v>0</v>
      </c>
      <c r="AF395" s="14" t="str">
        <f t="shared" si="149"/>
        <v>夏侯渊</v>
      </c>
      <c r="AG395" s="14">
        <f t="shared" si="150"/>
        <v>4</v>
      </c>
      <c r="AH395" s="14" t="str">
        <f t="shared" si="151"/>
        <v>夏侯渊魂火-27</v>
      </c>
      <c r="AI395" s="14">
        <f t="shared" si="152"/>
        <v>27</v>
      </c>
      <c r="AJ395" s="14" t="str">
        <f>INDEX(挂机升级突破!$BX$4:$CH$4,INDEX(挂机升级突破!$BU$6:$BU$57,卡牌消耗!AI395))</f>
        <v>金币</v>
      </c>
      <c r="AK395" s="14">
        <f>ROUND(INDEX(挂机升级突破!$BN$6:$BN$57,卡牌消耗!AI395)*INDEX(卡牌消耗!$B$8:$F$8,AG395)/$Q$4/50,0)*50</f>
        <v>10250</v>
      </c>
      <c r="AL395" s="14" t="str">
        <f>IF(AD395&gt;0,INDEX(挂机升级突破!$BX$4:$CH$4,AD395),"")</f>
        <v>橙色基础材料</v>
      </c>
      <c r="AM395" s="14">
        <f>ROUND(INDEX(挂机升级突破!$BX$6:$CH$57,卡牌消耗!AI395,AD395)*INDEX(卡牌消耗!$B$5:$F$5,AG395)/$Q$4/5,0)*5</f>
        <v>100</v>
      </c>
      <c r="AN395" s="14" t="str">
        <f>IF(AE395&gt;0,INDEX(挂机升级突破!$BX$4:$CH$4,AE395),"")</f>
        <v/>
      </c>
      <c r="AO395" s="14" t="str">
        <f>IF(AE395&gt;0,ROUND(INDEX(挂机升级突破!$BX$6:$CH$57,卡牌消耗!AI395,AE395)*INDEX(卡牌消耗!$B$7:$F$7,AG395)/$Q$4,0),"")</f>
        <v/>
      </c>
      <c r="AP395" s="106"/>
      <c r="AQ395" s="15"/>
      <c r="AR395" s="104">
        <v>391</v>
      </c>
      <c r="AS395" s="14">
        <f t="shared" si="153"/>
        <v>20</v>
      </c>
      <c r="AT395" s="14">
        <f>INDEX(挂机升级突破!$CM$7:$CM$26,AX395)</f>
        <v>5</v>
      </c>
      <c r="AU395" s="14">
        <f>INDEX(挂机升级突破!$CN$7:$CN$26,AX395)</f>
        <v>2</v>
      </c>
      <c r="AV395" s="14">
        <f t="shared" si="154"/>
        <v>3</v>
      </c>
      <c r="AW395" s="14" t="str">
        <f t="shared" si="155"/>
        <v>高顺</v>
      </c>
      <c r="AX395" s="14">
        <f t="shared" si="156"/>
        <v>11</v>
      </c>
      <c r="AY395" s="14" t="str">
        <f t="shared" si="157"/>
        <v>高顺11突</v>
      </c>
      <c r="AZ395" s="14" t="str">
        <f>IF(AT395&gt;0,INDEX(挂机升级突破!$CV$5:$CZ$5,卡牌消耗!AT395),"")</f>
        <v>金币</v>
      </c>
      <c r="BA395" s="14">
        <f>IF(AT395&gt;0,ROUND(INDEX(挂机升级突破!$CZ$7:$CZ$26,卡牌消耗!AX395)*INDEX(卡牌消耗!$B$8:$F$8,AV395)/$Q$4/500,0)*500,"")</f>
        <v>14500</v>
      </c>
      <c r="BB395" s="14" t="str">
        <f>IF(AU395&gt;0,INDEX(挂机升级突破!$CV$5:$CZ$5,卡牌消耗!AU395),"")</f>
        <v>乌金</v>
      </c>
      <c r="BC395" s="14">
        <f>IF(AU395&gt;0,ROUND(INDEX(挂机升级突破!$CV$7:$CY$26,卡牌消耗!AX395,卡牌消耗!AU395)*INDEX($B$6:$F$6,AV395)/$Q$4/5,0)*5,"")</f>
        <v>120</v>
      </c>
      <c r="BD395" s="104"/>
      <c r="BE395" s="104"/>
      <c r="BF395" s="106"/>
      <c r="BU395" s="15"/>
    </row>
    <row r="396" spans="8:73" ht="16.5" x14ac:dyDescent="0.2">
      <c r="H396" s="15"/>
      <c r="I396" s="15"/>
      <c r="J396" s="15"/>
      <c r="K396" s="15"/>
      <c r="L396" s="15"/>
      <c r="M396" s="15"/>
      <c r="N396" s="15"/>
      <c r="O396" s="137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04">
        <v>392</v>
      </c>
      <c r="AB396" s="14">
        <f t="shared" si="148"/>
        <v>8</v>
      </c>
      <c r="AC396" s="14">
        <f>INDEX(挂机升级突破!$BU$6:$BU$57,卡牌消耗!AI396)</f>
        <v>11</v>
      </c>
      <c r="AD396" s="14">
        <f>INDEX(挂机升级突破!BV$6:BV$57,卡牌消耗!$AI396)</f>
        <v>4</v>
      </c>
      <c r="AE396" s="14">
        <f>INDEX(挂机升级突破!BW$6:BW$57,卡牌消耗!$AI396)</f>
        <v>0</v>
      </c>
      <c r="AF396" s="14" t="str">
        <f t="shared" si="149"/>
        <v>夏侯渊</v>
      </c>
      <c r="AG396" s="14">
        <f t="shared" si="150"/>
        <v>4</v>
      </c>
      <c r="AH396" s="14" t="str">
        <f t="shared" si="151"/>
        <v>夏侯渊魂火-28</v>
      </c>
      <c r="AI396" s="14">
        <f t="shared" si="152"/>
        <v>28</v>
      </c>
      <c r="AJ396" s="14" t="str">
        <f>INDEX(挂机升级突破!$BX$4:$CH$4,INDEX(挂机升级突破!$BU$6:$BU$57,卡牌消耗!AI396))</f>
        <v>金币</v>
      </c>
      <c r="AK396" s="14">
        <f>ROUND(INDEX(挂机升级突破!$BN$6:$BN$57,卡牌消耗!AI396)*INDEX(卡牌消耗!$B$8:$F$8,AG396)/$Q$4/50,0)*50</f>
        <v>10250</v>
      </c>
      <c r="AL396" s="14" t="str">
        <f>IF(AD396&gt;0,INDEX(挂机升级突破!$BX$4:$CH$4,AD396),"")</f>
        <v>橙色基础材料</v>
      </c>
      <c r="AM396" s="14">
        <f>ROUND(INDEX(挂机升级突破!$BX$6:$CH$57,卡牌消耗!AI396,AD396)*INDEX(卡牌消耗!$B$5:$F$5,AG396)/$Q$4/5,0)*5</f>
        <v>100</v>
      </c>
      <c r="AN396" s="14" t="str">
        <f>IF(AE396&gt;0,INDEX(挂机升级突破!$BX$4:$CH$4,AE396),"")</f>
        <v/>
      </c>
      <c r="AO396" s="14" t="str">
        <f>IF(AE396&gt;0,ROUND(INDEX(挂机升级突破!$BX$6:$CH$57,卡牌消耗!AI396,AE396)*INDEX(卡牌消耗!$B$7:$F$7,AG396)/$Q$4,0),"")</f>
        <v/>
      </c>
      <c r="AP396" s="106"/>
      <c r="AQ396" s="15"/>
      <c r="AR396" s="104">
        <v>392</v>
      </c>
      <c r="AS396" s="14">
        <f t="shared" si="153"/>
        <v>20</v>
      </c>
      <c r="AT396" s="14">
        <f>INDEX(挂机升级突破!$CM$7:$CM$26,AX396)</f>
        <v>5</v>
      </c>
      <c r="AU396" s="14">
        <f>INDEX(挂机升级突破!$CN$7:$CN$26,AX396)</f>
        <v>2</v>
      </c>
      <c r="AV396" s="14">
        <f t="shared" si="154"/>
        <v>3</v>
      </c>
      <c r="AW396" s="14" t="str">
        <f t="shared" si="155"/>
        <v>高顺</v>
      </c>
      <c r="AX396" s="14">
        <f t="shared" si="156"/>
        <v>12</v>
      </c>
      <c r="AY396" s="14" t="str">
        <f t="shared" si="157"/>
        <v>高顺12突</v>
      </c>
      <c r="AZ396" s="14" t="str">
        <f>IF(AT396&gt;0,INDEX(挂机升级突破!$CV$5:$CZ$5,卡牌消耗!AT396),"")</f>
        <v>金币</v>
      </c>
      <c r="BA396" s="14">
        <f>IF(AT396&gt;0,ROUND(INDEX(挂机升级突破!$CZ$7:$CZ$26,卡牌消耗!AX396)*INDEX(卡牌消耗!$B$8:$F$8,AV396)/$Q$4/500,0)*500,"")</f>
        <v>19500</v>
      </c>
      <c r="BB396" s="14" t="str">
        <f>IF(AU396&gt;0,INDEX(挂机升级突破!$CV$5:$CZ$5,卡牌消耗!AU396),"")</f>
        <v>乌金</v>
      </c>
      <c r="BC396" s="14">
        <f>IF(AU396&gt;0,ROUND(INDEX(挂机升级突破!$CV$7:$CY$26,卡牌消耗!AX396,卡牌消耗!AU396)*INDEX($B$6:$F$6,AV396)/$Q$4/5,0)*5,"")</f>
        <v>155</v>
      </c>
      <c r="BD396" s="104"/>
      <c r="BE396" s="104"/>
      <c r="BF396" s="106"/>
      <c r="BU396" s="15"/>
    </row>
    <row r="397" spans="8:73" ht="16.5" x14ac:dyDescent="0.2">
      <c r="H397" s="15"/>
      <c r="I397" s="15"/>
      <c r="J397" s="15"/>
      <c r="K397" s="15"/>
      <c r="L397" s="15"/>
      <c r="M397" s="15"/>
      <c r="N397" s="15"/>
      <c r="O397" s="137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04">
        <v>393</v>
      </c>
      <c r="AB397" s="14">
        <f t="shared" si="148"/>
        <v>8</v>
      </c>
      <c r="AC397" s="14">
        <f>INDEX(挂机升级突破!$BU$6:$BU$57,卡牌消耗!AI397)</f>
        <v>11</v>
      </c>
      <c r="AD397" s="14">
        <f>INDEX(挂机升级突破!BV$6:BV$57,卡牌消耗!$AI397)</f>
        <v>4</v>
      </c>
      <c r="AE397" s="14">
        <f>INDEX(挂机升级突破!BW$6:BW$57,卡牌消耗!$AI397)</f>
        <v>0</v>
      </c>
      <c r="AF397" s="14" t="str">
        <f t="shared" si="149"/>
        <v>夏侯渊</v>
      </c>
      <c r="AG397" s="14">
        <f t="shared" si="150"/>
        <v>4</v>
      </c>
      <c r="AH397" s="14" t="str">
        <f t="shared" si="151"/>
        <v>夏侯渊魂火-29</v>
      </c>
      <c r="AI397" s="14">
        <f t="shared" si="152"/>
        <v>29</v>
      </c>
      <c r="AJ397" s="14" t="str">
        <f>INDEX(挂机升级突破!$BX$4:$CH$4,INDEX(挂机升级突破!$BU$6:$BU$57,卡牌消耗!AI397))</f>
        <v>金币</v>
      </c>
      <c r="AK397" s="14">
        <f>ROUND(INDEX(挂机升级突破!$BN$6:$BN$57,卡牌消耗!AI397)*INDEX(卡牌消耗!$B$8:$F$8,AG397)/$Q$4/50,0)*50</f>
        <v>10350</v>
      </c>
      <c r="AL397" s="14" t="str">
        <f>IF(AD397&gt;0,INDEX(挂机升级突破!$BX$4:$CH$4,AD397),"")</f>
        <v>橙色基础材料</v>
      </c>
      <c r="AM397" s="14">
        <f>ROUND(INDEX(挂机升级突破!$BX$6:$CH$57,卡牌消耗!AI397,AD397)*INDEX(卡牌消耗!$B$5:$F$5,AG397)/$Q$4/5,0)*5</f>
        <v>115</v>
      </c>
      <c r="AN397" s="14" t="str">
        <f>IF(AE397&gt;0,INDEX(挂机升级突破!$BX$4:$CH$4,AE397),"")</f>
        <v/>
      </c>
      <c r="AO397" s="14" t="str">
        <f>IF(AE397&gt;0,ROUND(INDEX(挂机升级突破!$BX$6:$CH$57,卡牌消耗!AI397,AE397)*INDEX(卡牌消耗!$B$7:$F$7,AG397)/$Q$4,0),"")</f>
        <v/>
      </c>
      <c r="AP397" s="106"/>
      <c r="AQ397" s="15"/>
      <c r="AR397" s="104">
        <v>393</v>
      </c>
      <c r="AS397" s="14">
        <f t="shared" si="153"/>
        <v>20</v>
      </c>
      <c r="AT397" s="14">
        <f>INDEX(挂机升级突破!$CM$7:$CM$26,AX397)</f>
        <v>5</v>
      </c>
      <c r="AU397" s="14">
        <f>INDEX(挂机升级突破!$CN$7:$CN$26,AX397)</f>
        <v>3</v>
      </c>
      <c r="AV397" s="14">
        <f t="shared" si="154"/>
        <v>3</v>
      </c>
      <c r="AW397" s="14" t="str">
        <f t="shared" si="155"/>
        <v>高顺</v>
      </c>
      <c r="AX397" s="14">
        <f t="shared" si="156"/>
        <v>13</v>
      </c>
      <c r="AY397" s="14" t="str">
        <f t="shared" si="157"/>
        <v>高顺13突</v>
      </c>
      <c r="AZ397" s="14" t="str">
        <f>IF(AT397&gt;0,INDEX(挂机升级突破!$CV$5:$CZ$5,卡牌消耗!AT397),"")</f>
        <v>金币</v>
      </c>
      <c r="BA397" s="14">
        <f>IF(AT397&gt;0,ROUND(INDEX(挂机升级突破!$CZ$7:$CZ$26,卡牌消耗!AX397)*INDEX(卡牌消耗!$B$8:$F$8,AV397)/$Q$4/500,0)*500,"")</f>
        <v>26000</v>
      </c>
      <c r="BB397" s="14" t="str">
        <f>IF(AU397&gt;0,INDEX(挂机升级突破!$CV$5:$CZ$5,卡牌消耗!AU397),"")</f>
        <v>银母</v>
      </c>
      <c r="BC397" s="14">
        <f>IF(AU397&gt;0,ROUND(INDEX(挂机升级突破!$CV$7:$CY$26,卡牌消耗!AX397,卡牌消耗!AU397)*INDEX($B$6:$F$6,AV397)/$Q$4/5,0)*5,"")</f>
        <v>30</v>
      </c>
      <c r="BD397" s="104"/>
      <c r="BE397" s="104"/>
      <c r="BF397" s="106"/>
      <c r="BU397" s="15"/>
    </row>
    <row r="398" spans="8:73" ht="16.5" x14ac:dyDescent="0.2">
      <c r="H398" s="15"/>
      <c r="I398" s="15"/>
      <c r="J398" s="15"/>
      <c r="K398" s="15"/>
      <c r="L398" s="15"/>
      <c r="M398" s="15"/>
      <c r="N398" s="15"/>
      <c r="O398" s="137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04">
        <v>394</v>
      </c>
      <c r="AB398" s="14">
        <f t="shared" si="148"/>
        <v>8</v>
      </c>
      <c r="AC398" s="14">
        <f>INDEX(挂机升级突破!$BU$6:$BU$57,卡牌消耗!AI398)</f>
        <v>11</v>
      </c>
      <c r="AD398" s="14">
        <f>INDEX(挂机升级突破!BV$6:BV$57,卡牌消耗!$AI398)</f>
        <v>4</v>
      </c>
      <c r="AE398" s="14">
        <f>INDEX(挂机升级突破!BW$6:BW$57,卡牌消耗!$AI398)</f>
        <v>0</v>
      </c>
      <c r="AF398" s="14" t="str">
        <f t="shared" si="149"/>
        <v>夏侯渊</v>
      </c>
      <c r="AG398" s="14">
        <f t="shared" si="150"/>
        <v>4</v>
      </c>
      <c r="AH398" s="14" t="str">
        <f t="shared" si="151"/>
        <v>夏侯渊魂火-30</v>
      </c>
      <c r="AI398" s="14">
        <f t="shared" si="152"/>
        <v>30</v>
      </c>
      <c r="AJ398" s="14" t="str">
        <f>INDEX(挂机升级突破!$BX$4:$CH$4,INDEX(挂机升级突破!$BU$6:$BU$57,卡牌消耗!AI398))</f>
        <v>金币</v>
      </c>
      <c r="AK398" s="14">
        <f>ROUND(INDEX(挂机升级突破!$BN$6:$BN$57,卡牌消耗!AI398)*INDEX(卡牌消耗!$B$8:$F$8,AG398)/$Q$4/50,0)*50</f>
        <v>10350</v>
      </c>
      <c r="AL398" s="14" t="str">
        <f>IF(AD398&gt;0,INDEX(挂机升级突破!$BX$4:$CH$4,AD398),"")</f>
        <v>橙色基础材料</v>
      </c>
      <c r="AM398" s="14">
        <f>ROUND(INDEX(挂机升级突破!$BX$6:$CH$57,卡牌消耗!AI398,AD398)*INDEX(卡牌消耗!$B$5:$F$5,AG398)/$Q$4/5,0)*5</f>
        <v>115</v>
      </c>
      <c r="AN398" s="14" t="str">
        <f>IF(AE398&gt;0,INDEX(挂机升级突破!$BX$4:$CH$4,AE398),"")</f>
        <v/>
      </c>
      <c r="AO398" s="14" t="str">
        <f>IF(AE398&gt;0,ROUND(INDEX(挂机升级突破!$BX$6:$CH$57,卡牌消耗!AI398,AE398)*INDEX(卡牌消耗!$B$7:$F$7,AG398)/$Q$4,0),"")</f>
        <v/>
      </c>
      <c r="AP398" s="106"/>
      <c r="AQ398" s="15"/>
      <c r="AR398" s="104">
        <v>394</v>
      </c>
      <c r="AS398" s="14">
        <f t="shared" si="153"/>
        <v>20</v>
      </c>
      <c r="AT398" s="14">
        <f>INDEX(挂机升级突破!$CM$7:$CM$26,AX398)</f>
        <v>5</v>
      </c>
      <c r="AU398" s="14">
        <f>INDEX(挂机升级突破!$CN$7:$CN$26,AX398)</f>
        <v>3</v>
      </c>
      <c r="AV398" s="14">
        <f t="shared" si="154"/>
        <v>3</v>
      </c>
      <c r="AW398" s="14" t="str">
        <f t="shared" si="155"/>
        <v>高顺</v>
      </c>
      <c r="AX398" s="14">
        <f t="shared" si="156"/>
        <v>14</v>
      </c>
      <c r="AY398" s="14" t="str">
        <f t="shared" si="157"/>
        <v>高顺14突</v>
      </c>
      <c r="AZ398" s="14" t="str">
        <f>IF(AT398&gt;0,INDEX(挂机升级突破!$CV$5:$CZ$5,卡牌消耗!AT398),"")</f>
        <v>金币</v>
      </c>
      <c r="BA398" s="14">
        <f>IF(AT398&gt;0,ROUND(INDEX(挂机升级突破!$CZ$7:$CZ$26,卡牌消耗!AX398)*INDEX(卡牌消耗!$B$8:$F$8,AV398)/$Q$4/500,0)*500,"")</f>
        <v>26000</v>
      </c>
      <c r="BB398" s="14" t="str">
        <f>IF(AU398&gt;0,INDEX(挂机升级突破!$CV$5:$CZ$5,卡牌消耗!AU398),"")</f>
        <v>银母</v>
      </c>
      <c r="BC398" s="14">
        <f>IF(AU398&gt;0,ROUND(INDEX(挂机升级突破!$CV$7:$CY$26,卡牌消耗!AX398,卡牌消耗!AU398)*INDEX($B$6:$F$6,AV398)/$Q$4/5,0)*5,"")</f>
        <v>40</v>
      </c>
      <c r="BD398" s="104"/>
      <c r="BE398" s="104"/>
      <c r="BF398" s="106"/>
      <c r="BU398" s="15"/>
    </row>
    <row r="399" spans="8:73" ht="16.5" x14ac:dyDescent="0.2">
      <c r="H399" s="15"/>
      <c r="I399" s="15"/>
      <c r="J399" s="15"/>
      <c r="K399" s="15"/>
      <c r="L399" s="15"/>
      <c r="M399" s="15"/>
      <c r="N399" s="15"/>
      <c r="O399" s="137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04">
        <v>395</v>
      </c>
      <c r="AB399" s="14">
        <f t="shared" si="148"/>
        <v>8</v>
      </c>
      <c r="AC399" s="14">
        <f>INDEX(挂机升级突破!$BU$6:$BU$57,卡牌消耗!AI399)</f>
        <v>11</v>
      </c>
      <c r="AD399" s="14">
        <f>INDEX(挂机升级突破!BV$6:BV$57,卡牌消耗!$AI399)</f>
        <v>4</v>
      </c>
      <c r="AE399" s="14">
        <f>INDEX(挂机升级突破!BW$6:BW$57,卡牌消耗!$AI399)</f>
        <v>0</v>
      </c>
      <c r="AF399" s="14" t="str">
        <f t="shared" si="149"/>
        <v>夏侯渊</v>
      </c>
      <c r="AG399" s="14">
        <f t="shared" si="150"/>
        <v>4</v>
      </c>
      <c r="AH399" s="14" t="str">
        <f t="shared" si="151"/>
        <v>夏侯渊魂火-31</v>
      </c>
      <c r="AI399" s="14">
        <f t="shared" si="152"/>
        <v>31</v>
      </c>
      <c r="AJ399" s="14" t="str">
        <f>INDEX(挂机升级突破!$BX$4:$CH$4,INDEX(挂机升级突破!$BU$6:$BU$57,卡牌消耗!AI399))</f>
        <v>金币</v>
      </c>
      <c r="AK399" s="14">
        <f>ROUND(INDEX(挂机升级突破!$BN$6:$BN$57,卡牌消耗!AI399)*INDEX(卡牌消耗!$B$8:$F$8,AG399)/$Q$4/50,0)*50</f>
        <v>10350</v>
      </c>
      <c r="AL399" s="14" t="str">
        <f>IF(AD399&gt;0,INDEX(挂机升级突破!$BX$4:$CH$4,AD399),"")</f>
        <v>橙色基础材料</v>
      </c>
      <c r="AM399" s="14">
        <f>ROUND(INDEX(挂机升级突破!$BX$6:$CH$57,卡牌消耗!AI399,AD399)*INDEX(卡牌消耗!$B$5:$F$5,AG399)/$Q$4/5,0)*5</f>
        <v>115</v>
      </c>
      <c r="AN399" s="14" t="str">
        <f>IF(AE399&gt;0,INDEX(挂机升级突破!$BX$4:$CH$4,AE399),"")</f>
        <v/>
      </c>
      <c r="AO399" s="14" t="str">
        <f>IF(AE399&gt;0,ROUND(INDEX(挂机升级突破!$BX$6:$CH$57,卡牌消耗!AI399,AE399)*INDEX(卡牌消耗!$B$7:$F$7,AG399)/$Q$4,0),"")</f>
        <v/>
      </c>
      <c r="AP399" s="106"/>
      <c r="AQ399" s="15"/>
      <c r="AR399" s="104">
        <v>395</v>
      </c>
      <c r="AS399" s="14">
        <f t="shared" si="153"/>
        <v>20</v>
      </c>
      <c r="AT399" s="14">
        <f>INDEX(挂机升级突破!$CM$7:$CM$26,AX399)</f>
        <v>5</v>
      </c>
      <c r="AU399" s="14">
        <f>INDEX(挂机升级突破!$CN$7:$CN$26,AX399)</f>
        <v>3</v>
      </c>
      <c r="AV399" s="14">
        <f t="shared" si="154"/>
        <v>3</v>
      </c>
      <c r="AW399" s="14" t="str">
        <f t="shared" si="155"/>
        <v>高顺</v>
      </c>
      <c r="AX399" s="14">
        <f t="shared" si="156"/>
        <v>15</v>
      </c>
      <c r="AY399" s="14" t="str">
        <f t="shared" si="157"/>
        <v>高顺15突</v>
      </c>
      <c r="AZ399" s="14" t="str">
        <f>IF(AT399&gt;0,INDEX(挂机升级突破!$CV$5:$CZ$5,卡牌消耗!AT399),"")</f>
        <v>金币</v>
      </c>
      <c r="BA399" s="14">
        <f>IF(AT399&gt;0,ROUND(INDEX(挂机升级突破!$CZ$7:$CZ$26,卡牌消耗!AX399)*INDEX(卡牌消耗!$B$8:$F$8,AV399)/$Q$4/500,0)*500,"")</f>
        <v>34500</v>
      </c>
      <c r="BB399" s="14" t="str">
        <f>IF(AU399&gt;0,INDEX(挂机升级突破!$CV$5:$CZ$5,卡牌消耗!AU399),"")</f>
        <v>银母</v>
      </c>
      <c r="BC399" s="14">
        <f>IF(AU399&gt;0,ROUND(INDEX(挂机升级突破!$CV$7:$CY$26,卡牌消耗!AX399,卡牌消耗!AU399)*INDEX($B$6:$F$6,AV399)/$Q$4/5,0)*5,"")</f>
        <v>55</v>
      </c>
      <c r="BD399" s="104"/>
      <c r="BE399" s="104"/>
      <c r="BF399" s="106"/>
      <c r="BU399" s="15"/>
    </row>
    <row r="400" spans="8:73" ht="16.5" x14ac:dyDescent="0.2">
      <c r="H400" s="15"/>
      <c r="I400" s="15"/>
      <c r="J400" s="15"/>
      <c r="K400" s="15"/>
      <c r="L400" s="15"/>
      <c r="M400" s="15"/>
      <c r="N400" s="15"/>
      <c r="O400" s="137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04">
        <v>396</v>
      </c>
      <c r="AB400" s="14">
        <f t="shared" si="148"/>
        <v>8</v>
      </c>
      <c r="AC400" s="14">
        <f>INDEX(挂机升级突破!$BU$6:$BU$57,卡牌消耗!AI400)</f>
        <v>11</v>
      </c>
      <c r="AD400" s="14">
        <f>INDEX(挂机升级突破!BV$6:BV$57,卡牌消耗!$AI400)</f>
        <v>4</v>
      </c>
      <c r="AE400" s="14">
        <f>INDEX(挂机升级突破!BW$6:BW$57,卡牌消耗!$AI400)</f>
        <v>0</v>
      </c>
      <c r="AF400" s="14" t="str">
        <f t="shared" si="149"/>
        <v>夏侯渊</v>
      </c>
      <c r="AG400" s="14">
        <f t="shared" si="150"/>
        <v>4</v>
      </c>
      <c r="AH400" s="14" t="str">
        <f t="shared" si="151"/>
        <v>夏侯渊魂火-32</v>
      </c>
      <c r="AI400" s="14">
        <f t="shared" si="152"/>
        <v>32</v>
      </c>
      <c r="AJ400" s="14" t="str">
        <f>INDEX(挂机升级突破!$BX$4:$CH$4,INDEX(挂机升级突破!$BU$6:$BU$57,卡牌消耗!AI400))</f>
        <v>金币</v>
      </c>
      <c r="AK400" s="14">
        <f>ROUND(INDEX(挂机升级突破!$BN$6:$BN$57,卡牌消耗!AI400)*INDEX(卡牌消耗!$B$8:$F$8,AG400)/$Q$4/50,0)*50</f>
        <v>14250</v>
      </c>
      <c r="AL400" s="14" t="str">
        <f>IF(AD400&gt;0,INDEX(挂机升级突破!$BX$4:$CH$4,AD400),"")</f>
        <v>橙色基础材料</v>
      </c>
      <c r="AM400" s="14">
        <f>ROUND(INDEX(挂机升级突破!$BX$6:$CH$57,卡牌消耗!AI400,AD400)*INDEX(卡牌消耗!$B$5:$F$5,AG400)/$Q$4/5,0)*5</f>
        <v>115</v>
      </c>
      <c r="AN400" s="14" t="str">
        <f>IF(AE400&gt;0,INDEX(挂机升级突破!$BX$4:$CH$4,AE400),"")</f>
        <v/>
      </c>
      <c r="AO400" s="14" t="str">
        <f>IF(AE400&gt;0,ROUND(INDEX(挂机升级突破!$BX$6:$CH$57,卡牌消耗!AI400,AE400)*INDEX(卡牌消耗!$B$7:$F$7,AG400)/$Q$4,0),"")</f>
        <v/>
      </c>
      <c r="AP400" s="106"/>
      <c r="AQ400" s="15"/>
      <c r="AR400" s="104">
        <v>396</v>
      </c>
      <c r="AS400" s="14">
        <f t="shared" si="153"/>
        <v>20</v>
      </c>
      <c r="AT400" s="14">
        <f>INDEX(挂机升级突破!$CM$7:$CM$26,AX400)</f>
        <v>5</v>
      </c>
      <c r="AU400" s="14">
        <f>INDEX(挂机升级突破!$CN$7:$CN$26,AX400)</f>
        <v>3</v>
      </c>
      <c r="AV400" s="14">
        <f t="shared" si="154"/>
        <v>3</v>
      </c>
      <c r="AW400" s="14" t="str">
        <f t="shared" si="155"/>
        <v>高顺</v>
      </c>
      <c r="AX400" s="14">
        <f t="shared" si="156"/>
        <v>16</v>
      </c>
      <c r="AY400" s="14" t="str">
        <f t="shared" si="157"/>
        <v>高顺16突</v>
      </c>
      <c r="AZ400" s="14" t="str">
        <f>IF(AT400&gt;0,INDEX(挂机升级突破!$CV$5:$CZ$5,卡牌消耗!AT400),"")</f>
        <v>金币</v>
      </c>
      <c r="BA400" s="14">
        <f>IF(AT400&gt;0,ROUND(INDEX(挂机升级突破!$CZ$7:$CZ$26,卡牌消耗!AX400)*INDEX(卡牌消耗!$B$8:$F$8,AV400)/$Q$4/500,0)*500,"")</f>
        <v>62500</v>
      </c>
      <c r="BB400" s="14" t="str">
        <f>IF(AU400&gt;0,INDEX(挂机升级突破!$CV$5:$CZ$5,卡牌消耗!AU400),"")</f>
        <v>银母</v>
      </c>
      <c r="BC400" s="14">
        <f>IF(AU400&gt;0,ROUND(INDEX(挂机升级突破!$CV$7:$CY$26,卡牌消耗!AX400,卡牌消耗!AU400)*INDEX($B$6:$F$6,AV400)/$Q$4/5,0)*5,"")</f>
        <v>70</v>
      </c>
      <c r="BD400" s="104"/>
      <c r="BE400" s="104"/>
      <c r="BF400" s="106"/>
      <c r="BU400" s="15"/>
    </row>
    <row r="401" spans="8:73" ht="16.5" x14ac:dyDescent="0.2">
      <c r="H401" s="15"/>
      <c r="I401" s="15"/>
      <c r="J401" s="15"/>
      <c r="K401" s="15"/>
      <c r="L401" s="15"/>
      <c r="M401" s="15"/>
      <c r="N401" s="15"/>
      <c r="O401" s="137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04">
        <v>397</v>
      </c>
      <c r="AB401" s="14">
        <f t="shared" si="148"/>
        <v>8</v>
      </c>
      <c r="AC401" s="14">
        <f>INDEX(挂机升级突破!$BU$6:$BU$57,卡牌消耗!AI401)</f>
        <v>11</v>
      </c>
      <c r="AD401" s="14">
        <f>INDEX(挂机升级突破!BV$6:BV$57,卡牌消耗!$AI401)</f>
        <v>4</v>
      </c>
      <c r="AE401" s="14">
        <f>INDEX(挂机升级突破!BW$6:BW$57,卡牌消耗!$AI401)</f>
        <v>0</v>
      </c>
      <c r="AF401" s="14" t="str">
        <f t="shared" si="149"/>
        <v>夏侯渊</v>
      </c>
      <c r="AG401" s="14">
        <f t="shared" si="150"/>
        <v>4</v>
      </c>
      <c r="AH401" s="14" t="str">
        <f t="shared" si="151"/>
        <v>夏侯渊魂火-33</v>
      </c>
      <c r="AI401" s="14">
        <f t="shared" si="152"/>
        <v>33</v>
      </c>
      <c r="AJ401" s="14" t="str">
        <f>INDEX(挂机升级突破!$BX$4:$CH$4,INDEX(挂机升级突破!$BU$6:$BU$57,卡牌消耗!AI401))</f>
        <v>金币</v>
      </c>
      <c r="AK401" s="14">
        <f>ROUND(INDEX(挂机升级突破!$BN$6:$BN$57,卡牌消耗!AI401)*INDEX(卡牌消耗!$B$8:$F$8,AG401)/$Q$4/50,0)*50</f>
        <v>14250</v>
      </c>
      <c r="AL401" s="14" t="str">
        <f>IF(AD401&gt;0,INDEX(挂机升级突破!$BX$4:$CH$4,AD401),"")</f>
        <v>橙色基础材料</v>
      </c>
      <c r="AM401" s="14">
        <f>ROUND(INDEX(挂机升级突破!$BX$6:$CH$57,卡牌消耗!AI401,AD401)*INDEX(卡牌消耗!$B$5:$F$5,AG401)/$Q$4/5,0)*5</f>
        <v>115</v>
      </c>
      <c r="AN401" s="14" t="str">
        <f>IF(AE401&gt;0,INDEX(挂机升级突破!$BX$4:$CH$4,AE401),"")</f>
        <v/>
      </c>
      <c r="AO401" s="14" t="str">
        <f>IF(AE401&gt;0,ROUND(INDEX(挂机升级突破!$BX$6:$CH$57,卡牌消耗!AI401,AE401)*INDEX(卡牌消耗!$B$7:$F$7,AG401)/$Q$4,0),"")</f>
        <v/>
      </c>
      <c r="AP401" s="106"/>
      <c r="AQ401" s="15"/>
      <c r="AR401" s="104">
        <v>397</v>
      </c>
      <c r="AS401" s="14">
        <f t="shared" si="153"/>
        <v>20</v>
      </c>
      <c r="AT401" s="14">
        <f>INDEX(挂机升级突破!$CM$7:$CM$26,AX401)</f>
        <v>5</v>
      </c>
      <c r="AU401" s="14">
        <f>INDEX(挂机升级突破!$CN$7:$CN$26,AX401)</f>
        <v>4</v>
      </c>
      <c r="AV401" s="14">
        <f t="shared" si="154"/>
        <v>3</v>
      </c>
      <c r="AW401" s="14" t="str">
        <f t="shared" si="155"/>
        <v>高顺</v>
      </c>
      <c r="AX401" s="14">
        <f t="shared" si="156"/>
        <v>17</v>
      </c>
      <c r="AY401" s="14" t="str">
        <f t="shared" si="157"/>
        <v>高顺17突</v>
      </c>
      <c r="AZ401" s="14" t="str">
        <f>IF(AT401&gt;0,INDEX(挂机升级突破!$CV$5:$CZ$5,卡牌消耗!AT401),"")</f>
        <v>金币</v>
      </c>
      <c r="BA401" s="14">
        <f>IF(AT401&gt;0,ROUND(INDEX(挂机升级突破!$CZ$7:$CZ$26,卡牌消耗!AX401)*INDEX(卡牌消耗!$B$8:$F$8,AV401)/$Q$4/500,0)*500,"")</f>
        <v>62500</v>
      </c>
      <c r="BB401" s="14" t="str">
        <f>IF(AU401&gt;0,INDEX(挂机升级突破!$CV$5:$CZ$5,卡牌消耗!AU401),"")</f>
        <v>铀金</v>
      </c>
      <c r="BC401" s="14">
        <f>IF(AU401&gt;0,ROUND(INDEX(挂机升级突破!$CV$7:$CY$26,卡牌消耗!AX401,卡牌消耗!AU401)*INDEX($B$6:$F$6,AV401)/$Q$4/5,0)*5,"")</f>
        <v>25</v>
      </c>
      <c r="BD401" s="104"/>
      <c r="BE401" s="104"/>
      <c r="BF401" s="106"/>
      <c r="BU401" s="15"/>
    </row>
    <row r="402" spans="8:73" ht="16.5" x14ac:dyDescent="0.2">
      <c r="H402" s="15"/>
      <c r="I402" s="15"/>
      <c r="J402" s="15"/>
      <c r="K402" s="15"/>
      <c r="L402" s="15"/>
      <c r="M402" s="15"/>
      <c r="N402" s="15"/>
      <c r="O402" s="137"/>
      <c r="P402" s="141"/>
      <c r="Q402" s="141"/>
      <c r="R402" s="141"/>
      <c r="S402" s="141"/>
      <c r="T402" s="141"/>
      <c r="U402" s="141"/>
      <c r="V402" s="141"/>
      <c r="W402" s="141"/>
      <c r="X402" s="141"/>
      <c r="Y402" s="141"/>
      <c r="Z402" s="141"/>
      <c r="AA402" s="104">
        <v>398</v>
      </c>
      <c r="AB402" s="14">
        <f t="shared" si="148"/>
        <v>8</v>
      </c>
      <c r="AC402" s="14">
        <f>INDEX(挂机升级突破!$BU$6:$BU$57,卡牌消耗!AI402)</f>
        <v>11</v>
      </c>
      <c r="AD402" s="14">
        <f>INDEX(挂机升级突破!BV$6:BV$57,卡牌消耗!$AI402)</f>
        <v>4</v>
      </c>
      <c r="AE402" s="14">
        <f>INDEX(挂机升级突破!BW$6:BW$57,卡牌消耗!$AI402)</f>
        <v>0</v>
      </c>
      <c r="AF402" s="14" t="str">
        <f t="shared" si="149"/>
        <v>夏侯渊</v>
      </c>
      <c r="AG402" s="14">
        <f t="shared" si="150"/>
        <v>4</v>
      </c>
      <c r="AH402" s="14" t="str">
        <f t="shared" si="151"/>
        <v>夏侯渊魂火-34</v>
      </c>
      <c r="AI402" s="14">
        <f t="shared" si="152"/>
        <v>34</v>
      </c>
      <c r="AJ402" s="14" t="str">
        <f>INDEX(挂机升级突破!$BX$4:$CH$4,INDEX(挂机升级突破!$BU$6:$BU$57,卡牌消耗!AI402))</f>
        <v>金币</v>
      </c>
      <c r="AK402" s="14">
        <f>ROUND(INDEX(挂机升级突破!$BN$6:$BN$57,卡牌消耗!AI402)*INDEX(卡牌消耗!$B$8:$F$8,AG402)/$Q$4/50,0)*50</f>
        <v>14250</v>
      </c>
      <c r="AL402" s="14" t="str">
        <f>IF(AD402&gt;0,INDEX(挂机升级突破!$BX$4:$CH$4,AD402),"")</f>
        <v>橙色基础材料</v>
      </c>
      <c r="AM402" s="14">
        <f>ROUND(INDEX(挂机升级突破!$BX$6:$CH$57,卡牌消耗!AI402,AD402)*INDEX(卡牌消耗!$B$5:$F$5,AG402)/$Q$4/5,0)*5</f>
        <v>135</v>
      </c>
      <c r="AN402" s="14" t="str">
        <f>IF(AE402&gt;0,INDEX(挂机升级突破!$BX$4:$CH$4,AE402),"")</f>
        <v/>
      </c>
      <c r="AO402" s="14" t="str">
        <f>IF(AE402&gt;0,ROUND(INDEX(挂机升级突破!$BX$6:$CH$57,卡牌消耗!AI402,AE402)*INDEX(卡牌消耗!$B$7:$F$7,AG402)/$Q$4,0),"")</f>
        <v/>
      </c>
      <c r="AP402" s="106"/>
      <c r="AQ402" s="15"/>
      <c r="AR402" s="104">
        <v>398</v>
      </c>
      <c r="AS402" s="14">
        <f t="shared" si="153"/>
        <v>20</v>
      </c>
      <c r="AT402" s="14">
        <f>INDEX(挂机升级突破!$CM$7:$CM$26,AX402)</f>
        <v>5</v>
      </c>
      <c r="AU402" s="14">
        <f>INDEX(挂机升级突破!$CN$7:$CN$26,AX402)</f>
        <v>4</v>
      </c>
      <c r="AV402" s="14">
        <f t="shared" si="154"/>
        <v>3</v>
      </c>
      <c r="AW402" s="14" t="str">
        <f t="shared" si="155"/>
        <v>高顺</v>
      </c>
      <c r="AX402" s="14">
        <f t="shared" si="156"/>
        <v>18</v>
      </c>
      <c r="AY402" s="14" t="str">
        <f t="shared" si="157"/>
        <v>高顺18突</v>
      </c>
      <c r="AZ402" s="14" t="str">
        <f>IF(AT402&gt;0,INDEX(挂机升级突破!$CV$5:$CZ$5,卡牌消耗!AT402),"")</f>
        <v>金币</v>
      </c>
      <c r="BA402" s="14">
        <f>IF(AT402&gt;0,ROUND(INDEX(挂机升级突破!$CZ$7:$CZ$26,卡牌消耗!AX402)*INDEX(卡牌消耗!$B$8:$F$8,AV402)/$Q$4/500,0)*500,"")</f>
        <v>83500</v>
      </c>
      <c r="BB402" s="14" t="str">
        <f>IF(AU402&gt;0,INDEX(挂机升级突破!$CV$5:$CZ$5,卡牌消耗!AU402),"")</f>
        <v>铀金</v>
      </c>
      <c r="BC402" s="14">
        <f>IF(AU402&gt;0,ROUND(INDEX(挂机升级突破!$CV$7:$CY$26,卡牌消耗!AX402,卡牌消耗!AU402)*INDEX($B$6:$F$6,AV402)/$Q$4/5,0)*5,"")</f>
        <v>35</v>
      </c>
      <c r="BD402" s="104"/>
      <c r="BE402" s="104"/>
      <c r="BF402" s="106"/>
      <c r="BU402" s="15"/>
    </row>
    <row r="403" spans="8:73" ht="16.5" x14ac:dyDescent="0.2">
      <c r="H403" s="15"/>
      <c r="I403" s="15"/>
      <c r="J403" s="15"/>
      <c r="K403" s="15"/>
      <c r="L403" s="15"/>
      <c r="M403" s="15"/>
      <c r="N403" s="15"/>
      <c r="O403" s="137"/>
      <c r="P403" s="141"/>
      <c r="Q403" s="141"/>
      <c r="R403" s="141"/>
      <c r="S403" s="141"/>
      <c r="T403" s="141"/>
      <c r="U403" s="141"/>
      <c r="V403" s="141"/>
      <c r="W403" s="141"/>
      <c r="X403" s="141"/>
      <c r="Y403" s="141"/>
      <c r="Z403" s="141"/>
      <c r="AA403" s="104">
        <v>399</v>
      </c>
      <c r="AB403" s="14">
        <f t="shared" si="148"/>
        <v>8</v>
      </c>
      <c r="AC403" s="14">
        <f>INDEX(挂机升级突破!$BU$6:$BU$57,卡牌消耗!AI403)</f>
        <v>11</v>
      </c>
      <c r="AD403" s="14">
        <f>INDEX(挂机升级突破!BV$6:BV$57,卡牌消耗!$AI403)</f>
        <v>4</v>
      </c>
      <c r="AE403" s="14">
        <f>INDEX(挂机升级突破!BW$6:BW$57,卡牌消耗!$AI403)</f>
        <v>0</v>
      </c>
      <c r="AF403" s="14" t="str">
        <f t="shared" si="149"/>
        <v>夏侯渊</v>
      </c>
      <c r="AG403" s="14">
        <f t="shared" si="150"/>
        <v>4</v>
      </c>
      <c r="AH403" s="14" t="str">
        <f t="shared" si="151"/>
        <v>夏侯渊魂火-35</v>
      </c>
      <c r="AI403" s="14">
        <f t="shared" si="152"/>
        <v>35</v>
      </c>
      <c r="AJ403" s="14" t="str">
        <f>INDEX(挂机升级突破!$BX$4:$CH$4,INDEX(挂机升级突破!$BU$6:$BU$57,卡牌消耗!AI403))</f>
        <v>金币</v>
      </c>
      <c r="AK403" s="14">
        <f>ROUND(INDEX(挂机升级突破!$BN$6:$BN$57,卡牌消耗!AI403)*INDEX(卡牌消耗!$B$8:$F$8,AG403)/$Q$4/50,0)*50</f>
        <v>18150</v>
      </c>
      <c r="AL403" s="14" t="str">
        <f>IF(AD403&gt;0,INDEX(挂机升级突破!$BX$4:$CH$4,AD403),"")</f>
        <v>橙色基础材料</v>
      </c>
      <c r="AM403" s="14">
        <f>ROUND(INDEX(挂机升级突破!$BX$6:$CH$57,卡牌消耗!AI403,AD403)*INDEX(卡牌消耗!$B$5:$F$5,AG403)/$Q$4/5,0)*5</f>
        <v>135</v>
      </c>
      <c r="AN403" s="14" t="str">
        <f>IF(AE403&gt;0,INDEX(挂机升级突破!$BX$4:$CH$4,AE403),"")</f>
        <v/>
      </c>
      <c r="AO403" s="14" t="str">
        <f>IF(AE403&gt;0,ROUND(INDEX(挂机升级突破!$BX$6:$CH$57,卡牌消耗!AI403,AE403)*INDEX(卡牌消耗!$B$7:$F$7,AG403)/$Q$4,0),"")</f>
        <v/>
      </c>
      <c r="AP403" s="106"/>
      <c r="AQ403" s="15"/>
      <c r="AR403" s="104">
        <v>399</v>
      </c>
      <c r="AS403" s="14">
        <f t="shared" si="153"/>
        <v>20</v>
      </c>
      <c r="AT403" s="14">
        <f>INDEX(挂机升级突破!$CM$7:$CM$26,AX403)</f>
        <v>5</v>
      </c>
      <c r="AU403" s="14">
        <f>INDEX(挂机升级突破!$CN$7:$CN$26,AX403)</f>
        <v>4</v>
      </c>
      <c r="AV403" s="14">
        <f t="shared" si="154"/>
        <v>3</v>
      </c>
      <c r="AW403" s="14" t="str">
        <f t="shared" si="155"/>
        <v>高顺</v>
      </c>
      <c r="AX403" s="14">
        <f t="shared" si="156"/>
        <v>19</v>
      </c>
      <c r="AY403" s="14" t="str">
        <f t="shared" si="157"/>
        <v>高顺19突</v>
      </c>
      <c r="AZ403" s="14" t="str">
        <f>IF(AT403&gt;0,INDEX(挂机升级突破!$CV$5:$CZ$5,卡牌消耗!AT403),"")</f>
        <v>金币</v>
      </c>
      <c r="BA403" s="14">
        <f>IF(AT403&gt;0,ROUND(INDEX(挂机升级突破!$CZ$7:$CZ$26,卡牌消耗!AX403)*INDEX(卡牌消耗!$B$8:$F$8,AV403)/$Q$4/500,0)*500,"")</f>
        <v>506500</v>
      </c>
      <c r="BB403" s="14" t="str">
        <f>IF(AU403&gt;0,INDEX(挂机升级突破!$CV$5:$CZ$5,卡牌消耗!AU403),"")</f>
        <v>铀金</v>
      </c>
      <c r="BC403" s="14">
        <f>IF(AU403&gt;0,ROUND(INDEX(挂机升级突破!$CV$7:$CY$26,卡牌消耗!AX403,卡牌消耗!AU403)*INDEX($B$6:$F$6,AV403)/$Q$4/5,0)*5,"")</f>
        <v>45</v>
      </c>
      <c r="BD403" s="104"/>
      <c r="BE403" s="104"/>
      <c r="BF403" s="106"/>
      <c r="BU403" s="15"/>
    </row>
    <row r="404" spans="8:73" ht="16.5" x14ac:dyDescent="0.2">
      <c r="H404" s="15"/>
      <c r="I404" s="15"/>
      <c r="J404" s="15"/>
      <c r="K404" s="15"/>
      <c r="L404" s="15"/>
      <c r="M404" s="15"/>
      <c r="N404" s="15"/>
      <c r="O404" s="137"/>
      <c r="P404" s="141"/>
      <c r="Q404" s="141"/>
      <c r="R404" s="141"/>
      <c r="S404" s="141"/>
      <c r="T404" s="141"/>
      <c r="U404" s="141"/>
      <c r="V404" s="141"/>
      <c r="W404" s="141"/>
      <c r="X404" s="141"/>
      <c r="Y404" s="141"/>
      <c r="Z404" s="141"/>
      <c r="AA404" s="104">
        <v>400</v>
      </c>
      <c r="AB404" s="14">
        <f t="shared" si="148"/>
        <v>8</v>
      </c>
      <c r="AC404" s="14">
        <f>INDEX(挂机升级突破!$BU$6:$BU$57,卡牌消耗!AI404)</f>
        <v>11</v>
      </c>
      <c r="AD404" s="14">
        <f>INDEX(挂机升级突破!BV$6:BV$57,卡牌消耗!$AI404)</f>
        <v>4</v>
      </c>
      <c r="AE404" s="14">
        <f>INDEX(挂机升级突破!BW$6:BW$57,卡牌消耗!$AI404)</f>
        <v>0</v>
      </c>
      <c r="AF404" s="14" t="str">
        <f t="shared" si="149"/>
        <v>夏侯渊</v>
      </c>
      <c r="AG404" s="14">
        <f t="shared" si="150"/>
        <v>4</v>
      </c>
      <c r="AH404" s="14" t="str">
        <f t="shared" si="151"/>
        <v>夏侯渊魂火-36</v>
      </c>
      <c r="AI404" s="14">
        <f t="shared" si="152"/>
        <v>36</v>
      </c>
      <c r="AJ404" s="14" t="str">
        <f>INDEX(挂机升级突破!$BX$4:$CH$4,INDEX(挂机升级突破!$BU$6:$BU$57,卡牌消耗!AI404))</f>
        <v>金币</v>
      </c>
      <c r="AK404" s="14">
        <f>ROUND(INDEX(挂机升级突破!$BN$6:$BN$57,卡牌消耗!AI404)*INDEX(卡牌消耗!$B$8:$F$8,AG404)/$Q$4/50,0)*50</f>
        <v>18150</v>
      </c>
      <c r="AL404" s="14" t="str">
        <f>IF(AD404&gt;0,INDEX(挂机升级突破!$BX$4:$CH$4,AD404),"")</f>
        <v>橙色基础材料</v>
      </c>
      <c r="AM404" s="14">
        <f>ROUND(INDEX(挂机升级突破!$BX$6:$CH$57,卡牌消耗!AI404,AD404)*INDEX(卡牌消耗!$B$5:$F$5,AG404)/$Q$4/5,0)*5</f>
        <v>135</v>
      </c>
      <c r="AN404" s="14" t="str">
        <f>IF(AE404&gt;0,INDEX(挂机升级突破!$BX$4:$CH$4,AE404),"")</f>
        <v/>
      </c>
      <c r="AO404" s="14" t="str">
        <f>IF(AE404&gt;0,ROUND(INDEX(挂机升级突破!$BX$6:$CH$57,卡牌消耗!AI404,AE404)*INDEX(卡牌消耗!$B$7:$F$7,AG404)/$Q$4,0),"")</f>
        <v/>
      </c>
      <c r="AP404" s="106"/>
      <c r="AQ404" s="15"/>
      <c r="AR404" s="104">
        <v>400</v>
      </c>
      <c r="AS404" s="14">
        <f t="shared" si="153"/>
        <v>20</v>
      </c>
      <c r="AT404" s="14">
        <f>INDEX(挂机升级突破!$CM$7:$CM$26,AX404)</f>
        <v>5</v>
      </c>
      <c r="AU404" s="14">
        <f>INDEX(挂机升级突破!$CN$7:$CN$26,AX404)</f>
        <v>4</v>
      </c>
      <c r="AV404" s="14">
        <f t="shared" si="154"/>
        <v>3</v>
      </c>
      <c r="AW404" s="14" t="str">
        <f t="shared" si="155"/>
        <v>高顺</v>
      </c>
      <c r="AX404" s="14">
        <f t="shared" si="156"/>
        <v>20</v>
      </c>
      <c r="AY404" s="14" t="str">
        <f t="shared" si="157"/>
        <v>高顺20突</v>
      </c>
      <c r="AZ404" s="14" t="str">
        <f>IF(AT404&gt;0,INDEX(挂机升级突破!$CV$5:$CZ$5,卡牌消耗!AT404),"")</f>
        <v>金币</v>
      </c>
      <c r="BA404" s="14">
        <f>IF(AT404&gt;0,ROUND(INDEX(挂机升级突破!$CZ$7:$CZ$26,卡牌消耗!AX404)*INDEX(卡牌消耗!$B$8:$F$8,AV404)/$Q$4/500,0)*500,"")</f>
        <v>760000</v>
      </c>
      <c r="BB404" s="14" t="str">
        <f>IF(AU404&gt;0,INDEX(挂机升级突破!$CV$5:$CZ$5,卡牌消耗!AU404),"")</f>
        <v>铀金</v>
      </c>
      <c r="BC404" s="14">
        <f>IF(AU404&gt;0,ROUND(INDEX(挂机升级突破!$CV$7:$CY$26,卡牌消耗!AX404,卡牌消耗!AU404)*INDEX($B$6:$F$6,AV404)/$Q$4/5,0)*5,"")</f>
        <v>60</v>
      </c>
      <c r="BD404" s="104"/>
      <c r="BE404" s="104"/>
      <c r="BF404" s="106"/>
      <c r="BU404" s="15"/>
    </row>
    <row r="405" spans="8:73" ht="16.5" x14ac:dyDescent="0.2">
      <c r="H405" s="15"/>
      <c r="I405" s="15"/>
      <c r="J405" s="15"/>
      <c r="K405" s="15"/>
      <c r="L405" s="15"/>
      <c r="M405" s="15"/>
      <c r="N405" s="15"/>
      <c r="O405" s="137"/>
      <c r="P405" s="141"/>
      <c r="Q405" s="141"/>
      <c r="R405" s="141"/>
      <c r="S405" s="141"/>
      <c r="T405" s="141"/>
      <c r="U405" s="141"/>
      <c r="V405" s="141"/>
      <c r="W405" s="141"/>
      <c r="X405" s="141"/>
      <c r="Y405" s="141"/>
      <c r="Z405" s="141"/>
      <c r="AA405" s="104">
        <v>401</v>
      </c>
      <c r="AB405" s="14">
        <f t="shared" si="148"/>
        <v>8</v>
      </c>
      <c r="AC405" s="14">
        <f>INDEX(挂机升级突破!$BU$6:$BU$57,卡牌消耗!AI405)</f>
        <v>11</v>
      </c>
      <c r="AD405" s="14">
        <f>INDEX(挂机升级突破!BV$6:BV$57,卡牌消耗!$AI405)</f>
        <v>4</v>
      </c>
      <c r="AE405" s="14">
        <f>INDEX(挂机升级突破!BW$6:BW$57,卡牌消耗!$AI405)</f>
        <v>0</v>
      </c>
      <c r="AF405" s="14" t="str">
        <f t="shared" si="149"/>
        <v>夏侯渊</v>
      </c>
      <c r="AG405" s="14">
        <f t="shared" si="150"/>
        <v>4</v>
      </c>
      <c r="AH405" s="14" t="str">
        <f t="shared" si="151"/>
        <v>夏侯渊魂火-37</v>
      </c>
      <c r="AI405" s="14">
        <f t="shared" si="152"/>
        <v>37</v>
      </c>
      <c r="AJ405" s="14" t="str">
        <f>INDEX(挂机升级突破!$BX$4:$CH$4,INDEX(挂机升级突破!$BU$6:$BU$57,卡牌消耗!AI405))</f>
        <v>金币</v>
      </c>
      <c r="AK405" s="14">
        <f>ROUND(INDEX(挂机升级突破!$BN$6:$BN$57,卡牌消耗!AI405)*INDEX(卡牌消耗!$B$8:$F$8,AG405)/$Q$4/50,0)*50</f>
        <v>19450</v>
      </c>
      <c r="AL405" s="14" t="str">
        <f>IF(AD405&gt;0,INDEX(挂机升级突破!$BX$4:$CH$4,AD405),"")</f>
        <v>橙色基础材料</v>
      </c>
      <c r="AM405" s="14">
        <f>ROUND(INDEX(挂机升级突破!$BX$6:$CH$57,卡牌消耗!AI405,AD405)*INDEX(卡牌消耗!$B$5:$F$5,AG405)/$Q$4/5,0)*5</f>
        <v>135</v>
      </c>
      <c r="AN405" s="14" t="str">
        <f>IF(AE405&gt;0,INDEX(挂机升级突破!$BX$4:$CH$4,AE405),"")</f>
        <v/>
      </c>
      <c r="AO405" s="14" t="str">
        <f>IF(AE405&gt;0,ROUND(INDEX(挂机升级突破!$BX$6:$CH$57,卡牌消耗!AI405,AE405)*INDEX(卡牌消耗!$B$7:$F$7,AG405)/$Q$4,0),"")</f>
        <v/>
      </c>
      <c r="AP405" s="106"/>
      <c r="AQ405" s="15"/>
      <c r="AR405" s="104">
        <v>401</v>
      </c>
      <c r="AS405" s="14">
        <f t="shared" si="153"/>
        <v>21</v>
      </c>
      <c r="AT405" s="14">
        <f>INDEX(挂机升级突破!$CM$7:$CM$26,AX405)</f>
        <v>0</v>
      </c>
      <c r="AU405" s="14">
        <f>INDEX(挂机升级突破!$CN$7:$CN$26,AX405)</f>
        <v>0</v>
      </c>
      <c r="AV405" s="14">
        <f t="shared" si="154"/>
        <v>3</v>
      </c>
      <c r="AW405" s="14" t="str">
        <f t="shared" si="155"/>
        <v>烈风螳螂</v>
      </c>
      <c r="AX405" s="14">
        <f t="shared" si="156"/>
        <v>1</v>
      </c>
      <c r="AY405" s="14" t="str">
        <f t="shared" si="157"/>
        <v>烈风螳螂1突</v>
      </c>
      <c r="AZ405" s="14" t="str">
        <f>IF(AT405&gt;0,INDEX(挂机升级突破!$CV$5:$CZ$5,卡牌消耗!AT405),"")</f>
        <v/>
      </c>
      <c r="BA405" s="14" t="str">
        <f>IF(AT405&gt;0,ROUND(INDEX(挂机升级突破!$CZ$7:$CZ$26,卡牌消耗!AX405)*INDEX(卡牌消耗!$B$8:$F$8,AV405)/$Q$4/500,0)*500,"")</f>
        <v/>
      </c>
      <c r="BB405" s="14" t="str">
        <f>IF(AU405&gt;0,INDEX(挂机升级突破!$CV$5:$CZ$5,卡牌消耗!AU405),"")</f>
        <v/>
      </c>
      <c r="BC405" s="14" t="str">
        <f>IF(AU405&gt;0,ROUND(INDEX(挂机升级突破!$CV$7:$CY$26,卡牌消耗!AX405,卡牌消耗!AU405)*INDEX($B$6:$F$6,AV405)/$Q$4/5,0)*5,"")</f>
        <v/>
      </c>
      <c r="BD405" s="104"/>
      <c r="BE405" s="104"/>
      <c r="BF405" s="106"/>
      <c r="BU405" s="15"/>
    </row>
    <row r="406" spans="8:73" ht="16.5" x14ac:dyDescent="0.2">
      <c r="H406" s="15"/>
      <c r="I406" s="15"/>
      <c r="J406" s="15"/>
      <c r="K406" s="15"/>
      <c r="L406" s="15"/>
      <c r="M406" s="15"/>
      <c r="N406" s="15"/>
      <c r="O406" s="137"/>
      <c r="P406" s="141"/>
      <c r="Q406" s="141"/>
      <c r="R406" s="141"/>
      <c r="S406" s="141"/>
      <c r="T406" s="141"/>
      <c r="U406" s="141"/>
      <c r="V406" s="141"/>
      <c r="W406" s="141"/>
      <c r="X406" s="141"/>
      <c r="Y406" s="141"/>
      <c r="Z406" s="141"/>
      <c r="AA406" s="104">
        <v>402</v>
      </c>
      <c r="AB406" s="14">
        <f t="shared" si="148"/>
        <v>8</v>
      </c>
      <c r="AC406" s="14">
        <f>INDEX(挂机升级突破!$BU$6:$BU$57,卡牌消耗!AI406)</f>
        <v>11</v>
      </c>
      <c r="AD406" s="14">
        <f>INDEX(挂机升级突破!BV$6:BV$57,卡牌消耗!$AI406)</f>
        <v>5</v>
      </c>
      <c r="AE406" s="14">
        <f>INDEX(挂机升级突破!BW$6:BW$57,卡牌消耗!$AI406)</f>
        <v>0</v>
      </c>
      <c r="AF406" s="14" t="str">
        <f t="shared" si="149"/>
        <v>夏侯渊</v>
      </c>
      <c r="AG406" s="14">
        <f t="shared" si="150"/>
        <v>4</v>
      </c>
      <c r="AH406" s="14" t="str">
        <f t="shared" si="151"/>
        <v>夏侯渊魂火-38</v>
      </c>
      <c r="AI406" s="14">
        <f t="shared" si="152"/>
        <v>38</v>
      </c>
      <c r="AJ406" s="14" t="str">
        <f>INDEX(挂机升级突破!$BX$4:$CH$4,INDEX(挂机升级突破!$BU$6:$BU$57,卡牌消耗!AI406))</f>
        <v>金币</v>
      </c>
      <c r="AK406" s="14">
        <f>ROUND(INDEX(挂机升级突破!$BN$6:$BN$57,卡牌消耗!AI406)*INDEX(卡牌消耗!$B$8:$F$8,AG406)/$Q$4/50,0)*50</f>
        <v>25050</v>
      </c>
      <c r="AL406" s="14" t="str">
        <f>IF(AD406&gt;0,INDEX(挂机升级突破!$BX$4:$CH$4,AD406),"")</f>
        <v>红色基础材料</v>
      </c>
      <c r="AM406" s="14">
        <f>ROUND(INDEX(挂机升级突破!$BX$6:$CH$57,卡牌消耗!AI406,AD406)*INDEX(卡牌消耗!$B$5:$F$5,AG406)/$Q$4/5,0)*5</f>
        <v>55</v>
      </c>
      <c r="AN406" s="14" t="str">
        <f>IF(AE406&gt;0,INDEX(挂机升级突破!$BX$4:$CH$4,AE406),"")</f>
        <v/>
      </c>
      <c r="AO406" s="14" t="str">
        <f>IF(AE406&gt;0,ROUND(INDEX(挂机升级突破!$BX$6:$CH$57,卡牌消耗!AI406,AE406)*INDEX(卡牌消耗!$B$7:$F$7,AG406)/$Q$4,0),"")</f>
        <v/>
      </c>
      <c r="AP406" s="106"/>
      <c r="AQ406" s="15"/>
      <c r="AR406" s="104">
        <v>402</v>
      </c>
      <c r="AS406" s="14">
        <f t="shared" si="153"/>
        <v>21</v>
      </c>
      <c r="AT406" s="14">
        <f>INDEX(挂机升级突破!$CM$7:$CM$26,AX406)</f>
        <v>5</v>
      </c>
      <c r="AU406" s="14">
        <f>INDEX(挂机升级突破!$CN$7:$CN$26,AX406)</f>
        <v>0</v>
      </c>
      <c r="AV406" s="14">
        <f t="shared" si="154"/>
        <v>3</v>
      </c>
      <c r="AW406" s="14" t="str">
        <f t="shared" si="155"/>
        <v>烈风螳螂</v>
      </c>
      <c r="AX406" s="14">
        <f t="shared" si="156"/>
        <v>2</v>
      </c>
      <c r="AY406" s="14" t="str">
        <f t="shared" si="157"/>
        <v>烈风螳螂2突</v>
      </c>
      <c r="AZ406" s="14" t="str">
        <f>IF(AT406&gt;0,INDEX(挂机升级突破!$CV$5:$CZ$5,卡牌消耗!AT406),"")</f>
        <v>金币</v>
      </c>
      <c r="BA406" s="14">
        <f>IF(AT406&gt;0,ROUND(INDEX(挂机升级突破!$CZ$7:$CZ$26,卡牌消耗!AX406)*INDEX(卡牌消耗!$B$8:$F$8,AV406)/$Q$4/500,0)*500,"")</f>
        <v>2500</v>
      </c>
      <c r="BB406" s="14" t="str">
        <f>IF(AU406&gt;0,INDEX(挂机升级突破!$CV$5:$CZ$5,卡牌消耗!AU406),"")</f>
        <v/>
      </c>
      <c r="BC406" s="14" t="str">
        <f>IF(AU406&gt;0,ROUND(INDEX(挂机升级突破!$CV$7:$CY$26,卡牌消耗!AX406,卡牌消耗!AU406)*INDEX($B$6:$F$6,AV406)/$Q$4/5,0)*5,"")</f>
        <v/>
      </c>
      <c r="BD406" s="104"/>
      <c r="BE406" s="104"/>
      <c r="BF406" s="106"/>
      <c r="BU406" s="15"/>
    </row>
    <row r="407" spans="8:73" ht="16.5" x14ac:dyDescent="0.2">
      <c r="H407" s="15"/>
      <c r="I407" s="15"/>
      <c r="J407" s="15"/>
      <c r="K407" s="15"/>
      <c r="L407" s="15"/>
      <c r="M407" s="15"/>
      <c r="N407" s="15"/>
      <c r="O407" s="137"/>
      <c r="P407" s="141"/>
      <c r="Q407" s="141"/>
      <c r="R407" s="141"/>
      <c r="S407" s="141"/>
      <c r="T407" s="141"/>
      <c r="U407" s="141"/>
      <c r="V407" s="141"/>
      <c r="W407" s="141"/>
      <c r="X407" s="141"/>
      <c r="Y407" s="141"/>
      <c r="Z407" s="141"/>
      <c r="AA407" s="104">
        <v>403</v>
      </c>
      <c r="AB407" s="14">
        <f t="shared" si="148"/>
        <v>8</v>
      </c>
      <c r="AC407" s="14">
        <f>INDEX(挂机升级突破!$BU$6:$BU$57,卡牌消耗!AI407)</f>
        <v>11</v>
      </c>
      <c r="AD407" s="14">
        <f>INDEX(挂机升级突破!BV$6:BV$57,卡牌消耗!$AI407)</f>
        <v>5</v>
      </c>
      <c r="AE407" s="14">
        <f>INDEX(挂机升级突破!BW$6:BW$57,卡牌消耗!$AI407)</f>
        <v>0</v>
      </c>
      <c r="AF407" s="14" t="str">
        <f t="shared" si="149"/>
        <v>夏侯渊</v>
      </c>
      <c r="AG407" s="14">
        <f t="shared" si="150"/>
        <v>4</v>
      </c>
      <c r="AH407" s="14" t="str">
        <f t="shared" si="151"/>
        <v>夏侯渊魂火-39</v>
      </c>
      <c r="AI407" s="14">
        <f t="shared" si="152"/>
        <v>39</v>
      </c>
      <c r="AJ407" s="14" t="str">
        <f>INDEX(挂机升级突破!$BX$4:$CH$4,INDEX(挂机升级突破!$BU$6:$BU$57,卡牌消耗!AI407))</f>
        <v>金币</v>
      </c>
      <c r="AK407" s="14">
        <f>ROUND(INDEX(挂机升级突破!$BN$6:$BN$57,卡牌消耗!AI407)*INDEX(卡牌消耗!$B$8:$F$8,AG407)/$Q$4/50,0)*50</f>
        <v>25050</v>
      </c>
      <c r="AL407" s="14" t="str">
        <f>IF(AD407&gt;0,INDEX(挂机升级突破!$BX$4:$CH$4,AD407),"")</f>
        <v>红色基础材料</v>
      </c>
      <c r="AM407" s="14">
        <f>ROUND(INDEX(挂机升级突破!$BX$6:$CH$57,卡牌消耗!AI407,AD407)*INDEX(卡牌消耗!$B$5:$F$5,AG407)/$Q$4/5,0)*5</f>
        <v>55</v>
      </c>
      <c r="AN407" s="14" t="str">
        <f>IF(AE407&gt;0,INDEX(挂机升级突破!$BX$4:$CH$4,AE407),"")</f>
        <v/>
      </c>
      <c r="AO407" s="14" t="str">
        <f>IF(AE407&gt;0,ROUND(INDEX(挂机升级突破!$BX$6:$CH$57,卡牌消耗!AI407,AE407)*INDEX(卡牌消耗!$B$7:$F$7,AG407)/$Q$4,0),"")</f>
        <v/>
      </c>
      <c r="AP407" s="106"/>
      <c r="AQ407" s="15"/>
      <c r="AR407" s="104">
        <v>403</v>
      </c>
      <c r="AS407" s="14">
        <f t="shared" si="153"/>
        <v>21</v>
      </c>
      <c r="AT407" s="14">
        <f>INDEX(挂机升级突破!$CM$7:$CM$26,AX407)</f>
        <v>5</v>
      </c>
      <c r="AU407" s="14">
        <f>INDEX(挂机升级突破!$CN$7:$CN$26,AX407)</f>
        <v>0</v>
      </c>
      <c r="AV407" s="14">
        <f t="shared" si="154"/>
        <v>3</v>
      </c>
      <c r="AW407" s="14" t="str">
        <f t="shared" si="155"/>
        <v>烈风螳螂</v>
      </c>
      <c r="AX407" s="14">
        <f t="shared" si="156"/>
        <v>3</v>
      </c>
      <c r="AY407" s="14" t="str">
        <f t="shared" si="157"/>
        <v>烈风螳螂3突</v>
      </c>
      <c r="AZ407" s="14" t="str">
        <f>IF(AT407&gt;0,INDEX(挂机升级突破!$CV$5:$CZ$5,卡牌消耗!AT407),"")</f>
        <v>金币</v>
      </c>
      <c r="BA407" s="14">
        <f>IF(AT407&gt;0,ROUND(INDEX(挂机升级突破!$CZ$7:$CZ$26,卡牌消耗!AX407)*INDEX(卡牌消耗!$B$8:$F$8,AV407)/$Q$4/500,0)*500,"")</f>
        <v>2500</v>
      </c>
      <c r="BB407" s="14" t="str">
        <f>IF(AU407&gt;0,INDEX(挂机升级突破!$CV$5:$CZ$5,卡牌消耗!AU407),"")</f>
        <v/>
      </c>
      <c r="BC407" s="14" t="str">
        <f>IF(AU407&gt;0,ROUND(INDEX(挂机升级突破!$CV$7:$CY$26,卡牌消耗!AX407,卡牌消耗!AU407)*INDEX($B$6:$F$6,AV407)/$Q$4/5,0)*5,"")</f>
        <v/>
      </c>
      <c r="BD407" s="104"/>
      <c r="BE407" s="104"/>
      <c r="BF407" s="106"/>
      <c r="BU407" s="15"/>
    </row>
    <row r="408" spans="8:73" ht="16.5" x14ac:dyDescent="0.2">
      <c r="H408" s="15"/>
      <c r="I408" s="15"/>
      <c r="J408" s="15"/>
      <c r="K408" s="15"/>
      <c r="L408" s="15"/>
      <c r="M408" s="15"/>
      <c r="N408" s="15"/>
      <c r="O408" s="137"/>
      <c r="P408" s="141"/>
      <c r="Q408" s="141"/>
      <c r="R408" s="141"/>
      <c r="S408" s="141"/>
      <c r="T408" s="141"/>
      <c r="U408" s="141"/>
      <c r="V408" s="141"/>
      <c r="W408" s="141"/>
      <c r="X408" s="141"/>
      <c r="Y408" s="141"/>
      <c r="Z408" s="141"/>
      <c r="AA408" s="104">
        <v>404</v>
      </c>
      <c r="AB408" s="14">
        <f t="shared" si="148"/>
        <v>8</v>
      </c>
      <c r="AC408" s="14">
        <f>INDEX(挂机升级突破!$BU$6:$BU$57,卡牌消耗!AI408)</f>
        <v>11</v>
      </c>
      <c r="AD408" s="14">
        <f>INDEX(挂机升级突破!BV$6:BV$57,卡牌消耗!$AI408)</f>
        <v>5</v>
      </c>
      <c r="AE408" s="14">
        <f>INDEX(挂机升级突破!BW$6:BW$57,卡牌消耗!$AI408)</f>
        <v>0</v>
      </c>
      <c r="AF408" s="14" t="str">
        <f t="shared" si="149"/>
        <v>夏侯渊</v>
      </c>
      <c r="AG408" s="14">
        <f t="shared" si="150"/>
        <v>4</v>
      </c>
      <c r="AH408" s="14" t="str">
        <f t="shared" si="151"/>
        <v>夏侯渊魂火-40</v>
      </c>
      <c r="AI408" s="14">
        <f t="shared" si="152"/>
        <v>40</v>
      </c>
      <c r="AJ408" s="14" t="str">
        <f>INDEX(挂机升级突破!$BX$4:$CH$4,INDEX(挂机升级突破!$BU$6:$BU$57,卡牌消耗!AI408))</f>
        <v>金币</v>
      </c>
      <c r="AK408" s="14">
        <f>ROUND(INDEX(挂机升级突破!$BN$6:$BN$57,卡牌消耗!AI408)*INDEX(卡牌消耗!$B$8:$F$8,AG408)/$Q$4/50,0)*50</f>
        <v>25050</v>
      </c>
      <c r="AL408" s="14" t="str">
        <f>IF(AD408&gt;0,INDEX(挂机升级突破!$BX$4:$CH$4,AD408),"")</f>
        <v>红色基础材料</v>
      </c>
      <c r="AM408" s="14">
        <f>ROUND(INDEX(挂机升级突破!$BX$6:$CH$57,卡牌消耗!AI408,AD408)*INDEX(卡牌消耗!$B$5:$F$5,AG408)/$Q$4/5,0)*5</f>
        <v>55</v>
      </c>
      <c r="AN408" s="14" t="str">
        <f>IF(AE408&gt;0,INDEX(挂机升级突破!$BX$4:$CH$4,AE408),"")</f>
        <v/>
      </c>
      <c r="AO408" s="14" t="str">
        <f>IF(AE408&gt;0,ROUND(INDEX(挂机升级突破!$BX$6:$CH$57,卡牌消耗!AI408,AE408)*INDEX(卡牌消耗!$B$7:$F$7,AG408)/$Q$4,0),"")</f>
        <v/>
      </c>
      <c r="AP408" s="106"/>
      <c r="AQ408" s="15"/>
      <c r="AR408" s="104">
        <v>404</v>
      </c>
      <c r="AS408" s="14">
        <f t="shared" si="153"/>
        <v>21</v>
      </c>
      <c r="AT408" s="14">
        <f>INDEX(挂机升级突破!$CM$7:$CM$26,AX408)</f>
        <v>5</v>
      </c>
      <c r="AU408" s="14">
        <f>INDEX(挂机升级突破!$CN$7:$CN$26,AX408)</f>
        <v>1</v>
      </c>
      <c r="AV408" s="14">
        <f t="shared" si="154"/>
        <v>3</v>
      </c>
      <c r="AW408" s="14" t="str">
        <f t="shared" si="155"/>
        <v>烈风螳螂</v>
      </c>
      <c r="AX408" s="14">
        <f t="shared" si="156"/>
        <v>4</v>
      </c>
      <c r="AY408" s="14" t="str">
        <f t="shared" si="157"/>
        <v>烈风螳螂4突</v>
      </c>
      <c r="AZ408" s="14" t="str">
        <f>IF(AT408&gt;0,INDEX(挂机升级突破!$CV$5:$CZ$5,卡牌消耗!AT408),"")</f>
        <v>金币</v>
      </c>
      <c r="BA408" s="14">
        <f>IF(AT408&gt;0,ROUND(INDEX(挂机升级突破!$CZ$7:$CZ$26,卡牌消耗!AX408)*INDEX(卡牌消耗!$B$8:$F$8,AV408)/$Q$4/500,0)*500,"")</f>
        <v>3000</v>
      </c>
      <c r="BB408" s="14" t="str">
        <f>IF(AU408&gt;0,INDEX(挂机升级突破!$CV$5:$CZ$5,卡牌消耗!AU408),"")</f>
        <v>玄铁</v>
      </c>
      <c r="BC408" s="14">
        <f>IF(AU408&gt;0,ROUND(INDEX(挂机升级突破!$CV$7:$CY$26,卡牌消耗!AX408,卡牌消耗!AU408)*INDEX($B$6:$F$6,AV408)/$Q$4/5,0)*5,"")</f>
        <v>60</v>
      </c>
      <c r="BD408" s="104"/>
      <c r="BE408" s="104"/>
      <c r="BF408" s="106"/>
      <c r="BU408" s="15"/>
    </row>
    <row r="409" spans="8:73" ht="16.5" x14ac:dyDescent="0.2">
      <c r="H409" s="15"/>
      <c r="I409" s="15"/>
      <c r="J409" s="15"/>
      <c r="K409" s="15"/>
      <c r="L409" s="15"/>
      <c r="M409" s="15"/>
      <c r="N409" s="15"/>
      <c r="O409" s="137"/>
      <c r="P409" s="141"/>
      <c r="Q409" s="141"/>
      <c r="R409" s="141"/>
      <c r="S409" s="141"/>
      <c r="T409" s="141"/>
      <c r="U409" s="141"/>
      <c r="V409" s="141"/>
      <c r="W409" s="141"/>
      <c r="X409" s="141"/>
      <c r="Y409" s="141"/>
      <c r="Z409" s="141"/>
      <c r="AA409" s="104">
        <v>405</v>
      </c>
      <c r="AB409" s="14">
        <f t="shared" si="148"/>
        <v>8</v>
      </c>
      <c r="AC409" s="14">
        <f>INDEX(挂机升级突破!$BU$6:$BU$57,卡牌消耗!AI409)</f>
        <v>11</v>
      </c>
      <c r="AD409" s="14">
        <f>INDEX(挂机升级突破!BV$6:BV$57,卡牌消耗!$AI409)</f>
        <v>5</v>
      </c>
      <c r="AE409" s="14">
        <f>INDEX(挂机升级突破!BW$6:BW$57,卡牌消耗!$AI409)</f>
        <v>10</v>
      </c>
      <c r="AF409" s="14" t="str">
        <f t="shared" si="149"/>
        <v>夏侯渊</v>
      </c>
      <c r="AG409" s="14">
        <f t="shared" si="150"/>
        <v>4</v>
      </c>
      <c r="AH409" s="14" t="str">
        <f t="shared" si="151"/>
        <v>夏侯渊魂火-41</v>
      </c>
      <c r="AI409" s="14">
        <f t="shared" si="152"/>
        <v>41</v>
      </c>
      <c r="AJ409" s="14" t="str">
        <f>INDEX(挂机升级突破!$BX$4:$CH$4,INDEX(挂机升级突破!$BU$6:$BU$57,卡牌消耗!AI409))</f>
        <v>金币</v>
      </c>
      <c r="AK409" s="14">
        <f>ROUND(INDEX(挂机升级突破!$BN$6:$BN$57,卡牌消耗!AI409)*INDEX(卡牌消耗!$B$8:$F$8,AG409)/$Q$4/50,0)*50</f>
        <v>34450</v>
      </c>
      <c r="AL409" s="14" t="str">
        <f>IF(AD409&gt;0,INDEX(挂机升级突破!$BX$4:$CH$4,AD409),"")</f>
        <v>红色基础材料</v>
      </c>
      <c r="AM409" s="14">
        <f>ROUND(INDEX(挂机升级突破!$BX$6:$CH$57,卡牌消耗!AI409,AD409)*INDEX(卡牌消耗!$B$5:$F$5,AG409)/$Q$4/5,0)*5</f>
        <v>65</v>
      </c>
      <c r="AN409" s="14" t="str">
        <f>IF(AE409&gt;0,INDEX(挂机升级突破!$BX$4:$CH$4,AE409),"")</f>
        <v>灵玉</v>
      </c>
      <c r="AO409" s="14">
        <f>IF(AE409&gt;0,ROUND(INDEX(挂机升级突破!$BX$6:$CH$57,卡牌消耗!AI409,AE409)*INDEX(卡牌消耗!$B$7:$F$7,AG409)/$Q$4,0),"")</f>
        <v>2</v>
      </c>
      <c r="AP409" s="106"/>
      <c r="AQ409" s="15"/>
      <c r="AR409" s="104">
        <v>405</v>
      </c>
      <c r="AS409" s="14">
        <f t="shared" si="153"/>
        <v>21</v>
      </c>
      <c r="AT409" s="14">
        <f>INDEX(挂机升级突破!$CM$7:$CM$26,AX409)</f>
        <v>5</v>
      </c>
      <c r="AU409" s="14">
        <f>INDEX(挂机升级突破!$CN$7:$CN$26,AX409)</f>
        <v>1</v>
      </c>
      <c r="AV409" s="14">
        <f t="shared" si="154"/>
        <v>3</v>
      </c>
      <c r="AW409" s="14" t="str">
        <f t="shared" si="155"/>
        <v>烈风螳螂</v>
      </c>
      <c r="AX409" s="14">
        <f t="shared" si="156"/>
        <v>5</v>
      </c>
      <c r="AY409" s="14" t="str">
        <f t="shared" si="157"/>
        <v>烈风螳螂5突</v>
      </c>
      <c r="AZ409" s="14" t="str">
        <f>IF(AT409&gt;0,INDEX(挂机升级突破!$CV$5:$CZ$5,卡牌消耗!AT409),"")</f>
        <v>金币</v>
      </c>
      <c r="BA409" s="14">
        <f>IF(AT409&gt;0,ROUND(INDEX(挂机升级突破!$CZ$7:$CZ$26,卡牌消耗!AX409)*INDEX(卡牌消耗!$B$8:$F$8,AV409)/$Q$4/500,0)*500,"")</f>
        <v>3000</v>
      </c>
      <c r="BB409" s="14" t="str">
        <f>IF(AU409&gt;0,INDEX(挂机升级突破!$CV$5:$CZ$5,卡牌消耗!AU409),"")</f>
        <v>玄铁</v>
      </c>
      <c r="BC409" s="14">
        <f>IF(AU409&gt;0,ROUND(INDEX(挂机升级突破!$CV$7:$CY$26,卡牌消耗!AX409,卡牌消耗!AU409)*INDEX($B$6:$F$6,AV409)/$Q$4/5,0)*5,"")</f>
        <v>115</v>
      </c>
      <c r="BD409" s="104"/>
      <c r="BE409" s="104"/>
      <c r="BF409" s="106"/>
      <c r="BU409" s="15"/>
    </row>
    <row r="410" spans="8:73" ht="16.5" x14ac:dyDescent="0.2">
      <c r="H410" s="15"/>
      <c r="I410" s="15"/>
      <c r="J410" s="15"/>
      <c r="K410" s="15"/>
      <c r="L410" s="15"/>
      <c r="M410" s="15"/>
      <c r="N410" s="15"/>
      <c r="O410" s="137"/>
      <c r="P410" s="141"/>
      <c r="Q410" s="141"/>
      <c r="R410" s="141"/>
      <c r="S410" s="141"/>
      <c r="T410" s="141"/>
      <c r="U410" s="141"/>
      <c r="V410" s="141"/>
      <c r="W410" s="141"/>
      <c r="X410" s="141"/>
      <c r="Y410" s="141"/>
      <c r="Z410" s="141"/>
      <c r="AA410" s="104">
        <v>406</v>
      </c>
      <c r="AB410" s="14">
        <f t="shared" si="148"/>
        <v>8</v>
      </c>
      <c r="AC410" s="14">
        <f>INDEX(挂机升级突破!$BU$6:$BU$57,卡牌消耗!AI410)</f>
        <v>11</v>
      </c>
      <c r="AD410" s="14">
        <f>INDEX(挂机升级突破!BV$6:BV$57,卡牌消耗!$AI410)</f>
        <v>5</v>
      </c>
      <c r="AE410" s="14">
        <f>INDEX(挂机升级突破!BW$6:BW$57,卡牌消耗!$AI410)</f>
        <v>10</v>
      </c>
      <c r="AF410" s="14" t="str">
        <f t="shared" si="149"/>
        <v>夏侯渊</v>
      </c>
      <c r="AG410" s="14">
        <f t="shared" si="150"/>
        <v>4</v>
      </c>
      <c r="AH410" s="14" t="str">
        <f t="shared" si="151"/>
        <v>夏侯渊魂火-42</v>
      </c>
      <c r="AI410" s="14">
        <f t="shared" si="152"/>
        <v>42</v>
      </c>
      <c r="AJ410" s="14" t="str">
        <f>INDEX(挂机升级突破!$BX$4:$CH$4,INDEX(挂机升级突破!$BU$6:$BU$57,卡牌消耗!AI410))</f>
        <v>金币</v>
      </c>
      <c r="AK410" s="14">
        <f>ROUND(INDEX(挂机升级突破!$BN$6:$BN$57,卡牌消耗!AI410)*INDEX(卡牌消耗!$B$8:$F$8,AG410)/$Q$4/50,0)*50</f>
        <v>34450</v>
      </c>
      <c r="AL410" s="14" t="str">
        <f>IF(AD410&gt;0,INDEX(挂机升级突破!$BX$4:$CH$4,AD410),"")</f>
        <v>红色基础材料</v>
      </c>
      <c r="AM410" s="14">
        <f>ROUND(INDEX(挂机升级突破!$BX$6:$CH$57,卡牌消耗!AI410,AD410)*INDEX(卡牌消耗!$B$5:$F$5,AG410)/$Q$4/5,0)*5</f>
        <v>65</v>
      </c>
      <c r="AN410" s="14" t="str">
        <f>IF(AE410&gt;0,INDEX(挂机升级突破!$BX$4:$CH$4,AE410),"")</f>
        <v>灵玉</v>
      </c>
      <c r="AO410" s="14">
        <f>IF(AE410&gt;0,ROUND(INDEX(挂机升级突破!$BX$6:$CH$57,卡牌消耗!AI410,AE410)*INDEX(卡牌消耗!$B$7:$F$7,AG410)/$Q$4,0),"")</f>
        <v>2</v>
      </c>
      <c r="AP410" s="106"/>
      <c r="AQ410" s="15"/>
      <c r="AR410" s="104">
        <v>406</v>
      </c>
      <c r="AS410" s="14">
        <f t="shared" si="153"/>
        <v>21</v>
      </c>
      <c r="AT410" s="14">
        <f>INDEX(挂机升级突破!$CM$7:$CM$26,AX410)</f>
        <v>5</v>
      </c>
      <c r="AU410" s="14">
        <f>INDEX(挂机升级突破!$CN$7:$CN$26,AX410)</f>
        <v>1</v>
      </c>
      <c r="AV410" s="14">
        <f t="shared" si="154"/>
        <v>3</v>
      </c>
      <c r="AW410" s="14" t="str">
        <f t="shared" si="155"/>
        <v>烈风螳螂</v>
      </c>
      <c r="AX410" s="14">
        <f t="shared" si="156"/>
        <v>6</v>
      </c>
      <c r="AY410" s="14" t="str">
        <f t="shared" si="157"/>
        <v>烈风螳螂6突</v>
      </c>
      <c r="AZ410" s="14" t="str">
        <f>IF(AT410&gt;0,INDEX(挂机升级突破!$CV$5:$CZ$5,卡牌消耗!AT410),"")</f>
        <v>金币</v>
      </c>
      <c r="BA410" s="14">
        <f>IF(AT410&gt;0,ROUND(INDEX(挂机升级突破!$CZ$7:$CZ$26,卡牌消耗!AX410)*INDEX(卡牌消耗!$B$8:$F$8,AV410)/$Q$4/500,0)*500,"")</f>
        <v>4000</v>
      </c>
      <c r="BB410" s="14" t="str">
        <f>IF(AU410&gt;0,INDEX(挂机升级突破!$CV$5:$CZ$5,卡牌消耗!AU410),"")</f>
        <v>玄铁</v>
      </c>
      <c r="BC410" s="14">
        <f>IF(AU410&gt;0,ROUND(INDEX(挂机升级突破!$CV$7:$CY$26,卡牌消耗!AX410,卡牌消耗!AU410)*INDEX($B$6:$F$6,AV410)/$Q$4/5,0)*5,"")</f>
        <v>175</v>
      </c>
      <c r="BD410" s="104"/>
      <c r="BE410" s="104"/>
      <c r="BF410" s="106"/>
      <c r="BU410" s="15"/>
    </row>
    <row r="411" spans="8:73" ht="16.5" x14ac:dyDescent="0.2">
      <c r="H411" s="15"/>
      <c r="I411" s="15"/>
      <c r="J411" s="15"/>
      <c r="K411" s="15"/>
      <c r="L411" s="15"/>
      <c r="M411" s="15"/>
      <c r="N411" s="15"/>
      <c r="O411" s="137"/>
      <c r="P411" s="141"/>
      <c r="Q411" s="141"/>
      <c r="R411" s="141"/>
      <c r="S411" s="141"/>
      <c r="T411" s="141"/>
      <c r="U411" s="141"/>
      <c r="V411" s="141"/>
      <c r="W411" s="141"/>
      <c r="X411" s="141"/>
      <c r="Y411" s="141"/>
      <c r="Z411" s="141"/>
      <c r="AA411" s="104">
        <v>407</v>
      </c>
      <c r="AB411" s="14">
        <f t="shared" si="148"/>
        <v>8</v>
      </c>
      <c r="AC411" s="14">
        <f>INDEX(挂机升级突破!$BU$6:$BU$57,卡牌消耗!AI411)</f>
        <v>11</v>
      </c>
      <c r="AD411" s="14">
        <f>INDEX(挂机升级突破!BV$6:BV$57,卡牌消耗!$AI411)</f>
        <v>5</v>
      </c>
      <c r="AE411" s="14">
        <f>INDEX(挂机升级突破!BW$6:BW$57,卡牌消耗!$AI411)</f>
        <v>10</v>
      </c>
      <c r="AF411" s="14" t="str">
        <f t="shared" si="149"/>
        <v>夏侯渊</v>
      </c>
      <c r="AG411" s="14">
        <f t="shared" si="150"/>
        <v>4</v>
      </c>
      <c r="AH411" s="14" t="str">
        <f t="shared" si="151"/>
        <v>夏侯渊魂火-43</v>
      </c>
      <c r="AI411" s="14">
        <f t="shared" si="152"/>
        <v>43</v>
      </c>
      <c r="AJ411" s="14" t="str">
        <f>INDEX(挂机升级突破!$BX$4:$CH$4,INDEX(挂机升级突破!$BU$6:$BU$57,卡牌消耗!AI411))</f>
        <v>金币</v>
      </c>
      <c r="AK411" s="14">
        <f>ROUND(INDEX(挂机升级突破!$BN$6:$BN$57,卡牌消耗!AI411)*INDEX(卡牌消耗!$B$8:$F$8,AG411)/$Q$4/50,0)*50</f>
        <v>34450</v>
      </c>
      <c r="AL411" s="14" t="str">
        <f>IF(AD411&gt;0,INDEX(挂机升级突破!$BX$4:$CH$4,AD411),"")</f>
        <v>红色基础材料</v>
      </c>
      <c r="AM411" s="14">
        <f>ROUND(INDEX(挂机升级突破!$BX$6:$CH$57,卡牌消耗!AI411,AD411)*INDEX(卡牌消耗!$B$5:$F$5,AG411)/$Q$4/5,0)*5</f>
        <v>65</v>
      </c>
      <c r="AN411" s="14" t="str">
        <f>IF(AE411&gt;0,INDEX(挂机升级突破!$BX$4:$CH$4,AE411),"")</f>
        <v>灵玉</v>
      </c>
      <c r="AO411" s="14">
        <f>IF(AE411&gt;0,ROUND(INDEX(挂机升级突破!$BX$6:$CH$57,卡牌消耗!AI411,AE411)*INDEX(卡牌消耗!$B$7:$F$7,AG411)/$Q$4,0),"")</f>
        <v>2</v>
      </c>
      <c r="AP411" s="106"/>
      <c r="AQ411" s="15"/>
      <c r="AR411" s="104">
        <v>407</v>
      </c>
      <c r="AS411" s="14">
        <f t="shared" si="153"/>
        <v>21</v>
      </c>
      <c r="AT411" s="14">
        <f>INDEX(挂机升级突破!$CM$7:$CM$26,AX411)</f>
        <v>5</v>
      </c>
      <c r="AU411" s="14">
        <f>INDEX(挂机升级突破!$CN$7:$CN$26,AX411)</f>
        <v>1</v>
      </c>
      <c r="AV411" s="14">
        <f t="shared" si="154"/>
        <v>3</v>
      </c>
      <c r="AW411" s="14" t="str">
        <f t="shared" si="155"/>
        <v>烈风螳螂</v>
      </c>
      <c r="AX411" s="14">
        <f t="shared" si="156"/>
        <v>7</v>
      </c>
      <c r="AY411" s="14" t="str">
        <f t="shared" si="157"/>
        <v>烈风螳螂7突</v>
      </c>
      <c r="AZ411" s="14" t="str">
        <f>IF(AT411&gt;0,INDEX(挂机升级突破!$CV$5:$CZ$5,卡牌消耗!AT411),"")</f>
        <v>金币</v>
      </c>
      <c r="BA411" s="14">
        <f>IF(AT411&gt;0,ROUND(INDEX(挂机升级突破!$CZ$7:$CZ$26,卡牌消耗!AX411)*INDEX(卡牌消耗!$B$8:$F$8,AV411)/$Q$4/500,0)*500,"")</f>
        <v>6500</v>
      </c>
      <c r="BB411" s="14" t="str">
        <f>IF(AU411&gt;0,INDEX(挂机升级突破!$CV$5:$CZ$5,卡牌消耗!AU411),"")</f>
        <v>玄铁</v>
      </c>
      <c r="BC411" s="14">
        <f>IF(AU411&gt;0,ROUND(INDEX(挂机升级突破!$CV$7:$CY$26,卡牌消耗!AX411,卡牌消耗!AU411)*INDEX($B$6:$F$6,AV411)/$Q$4/5,0)*5,"")</f>
        <v>290</v>
      </c>
      <c r="BD411" s="104"/>
      <c r="BE411" s="104"/>
      <c r="BF411" s="106"/>
    </row>
    <row r="412" spans="8:73" ht="16.5" x14ac:dyDescent="0.2">
      <c r="H412" s="15"/>
      <c r="I412" s="15"/>
      <c r="J412" s="15"/>
      <c r="K412" s="15"/>
      <c r="L412" s="15"/>
      <c r="M412" s="15"/>
      <c r="N412" s="15"/>
      <c r="O412" s="137"/>
      <c r="P412" s="141"/>
      <c r="Q412" s="141"/>
      <c r="R412" s="141"/>
      <c r="S412" s="141"/>
      <c r="T412" s="141"/>
      <c r="U412" s="141"/>
      <c r="V412" s="141"/>
      <c r="W412" s="141"/>
      <c r="X412" s="141"/>
      <c r="Y412" s="141"/>
      <c r="Z412" s="141"/>
      <c r="AA412" s="104">
        <v>408</v>
      </c>
      <c r="AB412" s="14">
        <f t="shared" si="148"/>
        <v>8</v>
      </c>
      <c r="AC412" s="14">
        <f>INDEX(挂机升级突破!$BU$6:$BU$57,卡牌消耗!AI412)</f>
        <v>11</v>
      </c>
      <c r="AD412" s="14">
        <f>INDEX(挂机升级突破!BV$6:BV$57,卡牌消耗!$AI412)</f>
        <v>5</v>
      </c>
      <c r="AE412" s="14">
        <f>INDEX(挂机升级突破!BW$6:BW$57,卡牌消耗!$AI412)</f>
        <v>10</v>
      </c>
      <c r="AF412" s="14" t="str">
        <f t="shared" si="149"/>
        <v>夏侯渊</v>
      </c>
      <c r="AG412" s="14">
        <f t="shared" si="150"/>
        <v>4</v>
      </c>
      <c r="AH412" s="14" t="str">
        <f t="shared" si="151"/>
        <v>夏侯渊魂火-44</v>
      </c>
      <c r="AI412" s="14">
        <f t="shared" si="152"/>
        <v>44</v>
      </c>
      <c r="AJ412" s="14" t="str">
        <f>INDEX(挂机升级突破!$BX$4:$CH$4,INDEX(挂机升级突破!$BU$6:$BU$57,卡牌消耗!AI412))</f>
        <v>金币</v>
      </c>
      <c r="AK412" s="14">
        <f>ROUND(INDEX(挂机升级突破!$BN$6:$BN$57,卡牌消耗!AI412)*INDEX(卡牌消耗!$B$8:$F$8,AG412)/$Q$4/50,0)*50</f>
        <v>43850</v>
      </c>
      <c r="AL412" s="14" t="str">
        <f>IF(AD412&gt;0,INDEX(挂机升级突破!$BX$4:$CH$4,AD412),"")</f>
        <v>红色基础材料</v>
      </c>
      <c r="AM412" s="14">
        <f>ROUND(INDEX(挂机升级突破!$BX$6:$CH$57,卡牌消耗!AI412,AD412)*INDEX(卡牌消耗!$B$5:$F$5,AG412)/$Q$4/5,0)*5</f>
        <v>75</v>
      </c>
      <c r="AN412" s="14" t="str">
        <f>IF(AE412&gt;0,INDEX(挂机升级突破!$BX$4:$CH$4,AE412),"")</f>
        <v>灵玉</v>
      </c>
      <c r="AO412" s="14">
        <f>IF(AE412&gt;0,ROUND(INDEX(挂机升级突破!$BX$6:$CH$57,卡牌消耗!AI412,AE412)*INDEX(卡牌消耗!$B$7:$F$7,AG412)/$Q$4,0),"")</f>
        <v>2</v>
      </c>
      <c r="AP412" s="106"/>
      <c r="AQ412" s="15"/>
      <c r="AR412" s="104">
        <v>408</v>
      </c>
      <c r="AS412" s="14">
        <f t="shared" si="153"/>
        <v>21</v>
      </c>
      <c r="AT412" s="14">
        <f>INDEX(挂机升级突破!$CM$7:$CM$26,AX412)</f>
        <v>5</v>
      </c>
      <c r="AU412" s="14">
        <f>INDEX(挂机升级突破!$CN$7:$CN$26,AX412)</f>
        <v>1</v>
      </c>
      <c r="AV412" s="14">
        <f t="shared" si="154"/>
        <v>3</v>
      </c>
      <c r="AW412" s="14" t="str">
        <f t="shared" si="155"/>
        <v>烈风螳螂</v>
      </c>
      <c r="AX412" s="14">
        <f t="shared" si="156"/>
        <v>8</v>
      </c>
      <c r="AY412" s="14" t="str">
        <f t="shared" si="157"/>
        <v>烈风螳螂8突</v>
      </c>
      <c r="AZ412" s="14" t="str">
        <f>IF(AT412&gt;0,INDEX(挂机升级突破!$CV$5:$CZ$5,卡牌消耗!AT412),"")</f>
        <v>金币</v>
      </c>
      <c r="BA412" s="14">
        <f>IF(AT412&gt;0,ROUND(INDEX(挂机升级突破!$CZ$7:$CZ$26,卡牌消耗!AX412)*INDEX(卡牌消耗!$B$8:$F$8,AV412)/$Q$4/500,0)*500,"")</f>
        <v>6500</v>
      </c>
      <c r="BB412" s="14" t="str">
        <f>IF(AU412&gt;0,INDEX(挂机升级突破!$CV$5:$CZ$5,卡牌消耗!AU412),"")</f>
        <v>玄铁</v>
      </c>
      <c r="BC412" s="14">
        <f>IF(AU412&gt;0,ROUND(INDEX(挂机升级突破!$CV$7:$CY$26,卡牌消耗!AX412,卡牌消耗!AU412)*INDEX($B$6:$F$6,AV412)/$Q$4/5,0)*5,"")</f>
        <v>520</v>
      </c>
      <c r="BD412" s="104"/>
      <c r="BE412" s="104"/>
      <c r="BF412" s="106"/>
    </row>
    <row r="413" spans="8:73" ht="16.5" x14ac:dyDescent="0.2">
      <c r="H413" s="15"/>
      <c r="I413" s="15"/>
      <c r="J413" s="15"/>
      <c r="K413" s="15"/>
      <c r="L413" s="15"/>
      <c r="M413" s="15"/>
      <c r="N413" s="15"/>
      <c r="O413" s="137"/>
      <c r="P413" s="141"/>
      <c r="Q413" s="141"/>
      <c r="R413" s="141"/>
      <c r="S413" s="141"/>
      <c r="T413" s="141"/>
      <c r="U413" s="141"/>
      <c r="V413" s="141"/>
      <c r="W413" s="141"/>
      <c r="X413" s="141"/>
      <c r="Y413" s="141"/>
      <c r="Z413" s="141"/>
      <c r="AA413" s="104">
        <v>409</v>
      </c>
      <c r="AB413" s="14">
        <f t="shared" si="148"/>
        <v>8</v>
      </c>
      <c r="AC413" s="14">
        <f>INDEX(挂机升级突破!$BU$6:$BU$57,卡牌消耗!AI413)</f>
        <v>11</v>
      </c>
      <c r="AD413" s="14">
        <f>INDEX(挂机升级突破!BV$6:BV$57,卡牌消耗!$AI413)</f>
        <v>5</v>
      </c>
      <c r="AE413" s="14">
        <f>INDEX(挂机升级突破!BW$6:BW$57,卡牌消耗!$AI413)</f>
        <v>10</v>
      </c>
      <c r="AF413" s="14" t="str">
        <f t="shared" si="149"/>
        <v>夏侯渊</v>
      </c>
      <c r="AG413" s="14">
        <f t="shared" si="150"/>
        <v>4</v>
      </c>
      <c r="AH413" s="14" t="str">
        <f t="shared" si="151"/>
        <v>夏侯渊魂火-45</v>
      </c>
      <c r="AI413" s="14">
        <f t="shared" si="152"/>
        <v>45</v>
      </c>
      <c r="AJ413" s="14" t="str">
        <f>INDEX(挂机升级突破!$BX$4:$CH$4,INDEX(挂机升级突破!$BU$6:$BU$57,卡牌消耗!AI413))</f>
        <v>金币</v>
      </c>
      <c r="AK413" s="14">
        <f>ROUND(INDEX(挂机升级突破!$BN$6:$BN$57,卡牌消耗!AI413)*INDEX(卡牌消耗!$B$8:$F$8,AG413)/$Q$4/50,0)*50</f>
        <v>43850</v>
      </c>
      <c r="AL413" s="14" t="str">
        <f>IF(AD413&gt;0,INDEX(挂机升级突破!$BX$4:$CH$4,AD413),"")</f>
        <v>红色基础材料</v>
      </c>
      <c r="AM413" s="14">
        <f>ROUND(INDEX(挂机升级突破!$BX$6:$CH$57,卡牌消耗!AI413,AD413)*INDEX(卡牌消耗!$B$5:$F$5,AG413)/$Q$4/5,0)*5</f>
        <v>75</v>
      </c>
      <c r="AN413" s="14" t="str">
        <f>IF(AE413&gt;0,INDEX(挂机升级突破!$BX$4:$CH$4,AE413),"")</f>
        <v>灵玉</v>
      </c>
      <c r="AO413" s="14">
        <f>IF(AE413&gt;0,ROUND(INDEX(挂机升级突破!$BX$6:$CH$57,卡牌消耗!AI413,AE413)*INDEX(卡牌消耗!$B$7:$F$7,AG413)/$Q$4,0),"")</f>
        <v>2</v>
      </c>
      <c r="AP413" s="106"/>
      <c r="AQ413" s="15"/>
      <c r="AR413" s="104">
        <v>409</v>
      </c>
      <c r="AS413" s="14">
        <f t="shared" si="153"/>
        <v>21</v>
      </c>
      <c r="AT413" s="14">
        <f>INDEX(挂机升级突破!$CM$7:$CM$26,AX413)</f>
        <v>5</v>
      </c>
      <c r="AU413" s="14">
        <f>INDEX(挂机升级突破!$CN$7:$CN$26,AX413)</f>
        <v>2</v>
      </c>
      <c r="AV413" s="14">
        <f t="shared" si="154"/>
        <v>3</v>
      </c>
      <c r="AW413" s="14" t="str">
        <f t="shared" si="155"/>
        <v>烈风螳螂</v>
      </c>
      <c r="AX413" s="14">
        <f t="shared" si="156"/>
        <v>9</v>
      </c>
      <c r="AY413" s="14" t="str">
        <f t="shared" si="157"/>
        <v>烈风螳螂9突</v>
      </c>
      <c r="AZ413" s="14" t="str">
        <f>IF(AT413&gt;0,INDEX(挂机升级突破!$CV$5:$CZ$5,卡牌消耗!AT413),"")</f>
        <v>金币</v>
      </c>
      <c r="BA413" s="14">
        <f>IF(AT413&gt;0,ROUND(INDEX(挂机升级突破!$CZ$7:$CZ$26,卡牌消耗!AX413)*INDEX(卡牌消耗!$B$8:$F$8,AV413)/$Q$4/500,0)*500,"")</f>
        <v>8500</v>
      </c>
      <c r="BB413" s="14" t="str">
        <f>IF(AU413&gt;0,INDEX(挂机升级突破!$CV$5:$CZ$5,卡牌消耗!AU413),"")</f>
        <v>乌金</v>
      </c>
      <c r="BC413" s="14">
        <f>IF(AU413&gt;0,ROUND(INDEX(挂机升级突破!$CV$7:$CY$26,卡牌消耗!AX413,卡牌消耗!AU413)*INDEX($B$6:$F$6,AV413)/$Q$4/5,0)*5,"")</f>
        <v>65</v>
      </c>
      <c r="BD413" s="104"/>
      <c r="BE413" s="104"/>
      <c r="BF413" s="106"/>
    </row>
    <row r="414" spans="8:73" ht="16.5" x14ac:dyDescent="0.2">
      <c r="H414" s="15"/>
      <c r="I414" s="15"/>
      <c r="J414" s="15"/>
      <c r="K414" s="15"/>
      <c r="L414" s="15"/>
      <c r="M414" s="15"/>
      <c r="N414" s="15"/>
      <c r="O414" s="137"/>
      <c r="P414" s="141"/>
      <c r="Q414" s="141"/>
      <c r="R414" s="141"/>
      <c r="S414" s="141"/>
      <c r="T414" s="141"/>
      <c r="U414" s="141"/>
      <c r="V414" s="141"/>
      <c r="W414" s="141"/>
      <c r="X414" s="141"/>
      <c r="Y414" s="141"/>
      <c r="Z414" s="141"/>
      <c r="AA414" s="104">
        <v>410</v>
      </c>
      <c r="AB414" s="14">
        <f t="shared" si="148"/>
        <v>8</v>
      </c>
      <c r="AC414" s="14">
        <f>INDEX(挂机升级突破!$BU$6:$BU$57,卡牌消耗!AI414)</f>
        <v>11</v>
      </c>
      <c r="AD414" s="14">
        <f>INDEX(挂机升级突破!BV$6:BV$57,卡牌消耗!$AI414)</f>
        <v>5</v>
      </c>
      <c r="AE414" s="14">
        <f>INDEX(挂机升级突破!BW$6:BW$57,卡牌消耗!$AI414)</f>
        <v>10</v>
      </c>
      <c r="AF414" s="14" t="str">
        <f t="shared" si="149"/>
        <v>夏侯渊</v>
      </c>
      <c r="AG414" s="14">
        <f t="shared" si="150"/>
        <v>4</v>
      </c>
      <c r="AH414" s="14" t="str">
        <f t="shared" si="151"/>
        <v>夏侯渊魂火-46</v>
      </c>
      <c r="AI414" s="14">
        <f t="shared" si="152"/>
        <v>46</v>
      </c>
      <c r="AJ414" s="14" t="str">
        <f>INDEX(挂机升级突破!$BX$4:$CH$4,INDEX(挂机升级突破!$BU$6:$BU$57,卡牌消耗!AI414))</f>
        <v>金币</v>
      </c>
      <c r="AK414" s="14">
        <f>ROUND(INDEX(挂机升级突破!$BN$6:$BN$57,卡牌消耗!AI414)*INDEX(卡牌消耗!$B$8:$F$8,AG414)/$Q$4/50,0)*50</f>
        <v>47000</v>
      </c>
      <c r="AL414" s="14" t="str">
        <f>IF(AD414&gt;0,INDEX(挂机升级突破!$BX$4:$CH$4,AD414),"")</f>
        <v>红色基础材料</v>
      </c>
      <c r="AM414" s="14">
        <f>ROUND(INDEX(挂机升级突破!$BX$6:$CH$57,卡牌消耗!AI414,AD414)*INDEX(卡牌消耗!$B$5:$F$5,AG414)/$Q$4/5,0)*5</f>
        <v>75</v>
      </c>
      <c r="AN414" s="14" t="str">
        <f>IF(AE414&gt;0,INDEX(挂机升级突破!$BX$4:$CH$4,AE414),"")</f>
        <v>灵玉</v>
      </c>
      <c r="AO414" s="14">
        <f>IF(AE414&gt;0,ROUND(INDEX(挂机升级突破!$BX$6:$CH$57,卡牌消耗!AI414,AE414)*INDEX(卡牌消耗!$B$7:$F$7,AG414)/$Q$4,0),"")</f>
        <v>2</v>
      </c>
      <c r="AP414" s="106"/>
      <c r="AQ414" s="15"/>
      <c r="AR414" s="104">
        <v>410</v>
      </c>
      <c r="AS414" s="14">
        <f t="shared" si="153"/>
        <v>21</v>
      </c>
      <c r="AT414" s="14">
        <f>INDEX(挂机升级突破!$CM$7:$CM$26,AX414)</f>
        <v>5</v>
      </c>
      <c r="AU414" s="14">
        <f>INDEX(挂机升级突破!$CN$7:$CN$26,AX414)</f>
        <v>2</v>
      </c>
      <c r="AV414" s="14">
        <f t="shared" si="154"/>
        <v>3</v>
      </c>
      <c r="AW414" s="14" t="str">
        <f t="shared" si="155"/>
        <v>烈风螳螂</v>
      </c>
      <c r="AX414" s="14">
        <f t="shared" si="156"/>
        <v>10</v>
      </c>
      <c r="AY414" s="14" t="str">
        <f t="shared" si="157"/>
        <v>烈风螳螂10突</v>
      </c>
      <c r="AZ414" s="14" t="str">
        <f>IF(AT414&gt;0,INDEX(挂机升级突破!$CV$5:$CZ$5,卡牌消耗!AT414),"")</f>
        <v>金币</v>
      </c>
      <c r="BA414" s="14">
        <f>IF(AT414&gt;0,ROUND(INDEX(挂机升级突破!$CZ$7:$CZ$26,卡牌消耗!AX414)*INDEX(卡牌消耗!$B$8:$F$8,AV414)/$Q$4/500,0)*500,"")</f>
        <v>14500</v>
      </c>
      <c r="BB414" s="14" t="str">
        <f>IF(AU414&gt;0,INDEX(挂机升级突破!$CV$5:$CZ$5,卡牌消耗!AU414),"")</f>
        <v>乌金</v>
      </c>
      <c r="BC414" s="14">
        <f>IF(AU414&gt;0,ROUND(INDEX(挂机升级突破!$CV$7:$CY$26,卡牌消耗!AX414,卡牌消耗!AU414)*INDEX($B$6:$F$6,AV414)/$Q$4/5,0)*5,"")</f>
        <v>90</v>
      </c>
      <c r="BD414" s="104"/>
      <c r="BE414" s="104"/>
      <c r="BF414" s="106"/>
    </row>
    <row r="415" spans="8:73" ht="16.5" x14ac:dyDescent="0.2">
      <c r="H415" s="15"/>
      <c r="I415" s="15"/>
      <c r="J415" s="15"/>
      <c r="K415" s="15"/>
      <c r="L415" s="15"/>
      <c r="M415" s="15"/>
      <c r="N415" s="15"/>
      <c r="O415" s="137"/>
      <c r="P415" s="141"/>
      <c r="Q415" s="141"/>
      <c r="R415" s="141"/>
      <c r="S415" s="141"/>
      <c r="T415" s="141"/>
      <c r="U415" s="141"/>
      <c r="V415" s="141"/>
      <c r="W415" s="141"/>
      <c r="X415" s="141"/>
      <c r="Y415" s="141"/>
      <c r="Z415" s="141"/>
      <c r="AA415" s="104">
        <v>411</v>
      </c>
      <c r="AB415" s="14">
        <f t="shared" si="148"/>
        <v>8</v>
      </c>
      <c r="AC415" s="14">
        <f>INDEX(挂机升级突破!$BU$6:$BU$57,卡牌消耗!AI415)</f>
        <v>11</v>
      </c>
      <c r="AD415" s="14">
        <f>INDEX(挂机升级突破!BV$6:BV$57,卡牌消耗!$AI415)</f>
        <v>5</v>
      </c>
      <c r="AE415" s="14">
        <f>INDEX(挂机升级突破!BW$6:BW$57,卡牌消耗!$AI415)</f>
        <v>10</v>
      </c>
      <c r="AF415" s="14" t="str">
        <f t="shared" si="149"/>
        <v>夏侯渊</v>
      </c>
      <c r="AG415" s="14">
        <f t="shared" si="150"/>
        <v>4</v>
      </c>
      <c r="AH415" s="14" t="str">
        <f t="shared" si="151"/>
        <v>夏侯渊魂火-47</v>
      </c>
      <c r="AI415" s="14">
        <f t="shared" si="152"/>
        <v>47</v>
      </c>
      <c r="AJ415" s="14" t="str">
        <f>INDEX(挂机升级突破!$BX$4:$CH$4,INDEX(挂机升级突破!$BU$6:$BU$57,卡牌消耗!AI415))</f>
        <v>金币</v>
      </c>
      <c r="AK415" s="14">
        <f>ROUND(INDEX(挂机升级突破!$BN$6:$BN$57,卡牌消耗!AI415)*INDEX(卡牌消耗!$B$8:$F$8,AG415)/$Q$4/50,0)*50</f>
        <v>227950</v>
      </c>
      <c r="AL415" s="14" t="str">
        <f>IF(AD415&gt;0,INDEX(挂机升级突破!$BX$4:$CH$4,AD415),"")</f>
        <v>红色基础材料</v>
      </c>
      <c r="AM415" s="14">
        <f>ROUND(INDEX(挂机升级突破!$BX$6:$CH$57,卡牌消耗!AI415,AD415)*INDEX(卡牌消耗!$B$5:$F$5,AG415)/$Q$4/5,0)*5</f>
        <v>75</v>
      </c>
      <c r="AN415" s="14" t="str">
        <f>IF(AE415&gt;0,INDEX(挂机升级突破!$BX$4:$CH$4,AE415),"")</f>
        <v>灵玉</v>
      </c>
      <c r="AO415" s="14">
        <f>IF(AE415&gt;0,ROUND(INDEX(挂机升级突破!$BX$6:$CH$57,卡牌消耗!AI415,AE415)*INDEX(卡牌消耗!$B$7:$F$7,AG415)/$Q$4,0),"")</f>
        <v>2</v>
      </c>
      <c r="AP415" s="106"/>
      <c r="AQ415" s="15"/>
      <c r="AR415" s="104">
        <v>411</v>
      </c>
      <c r="AS415" s="14">
        <f t="shared" si="153"/>
        <v>21</v>
      </c>
      <c r="AT415" s="14">
        <f>INDEX(挂机升级突破!$CM$7:$CM$26,AX415)</f>
        <v>5</v>
      </c>
      <c r="AU415" s="14">
        <f>INDEX(挂机升级突破!$CN$7:$CN$26,AX415)</f>
        <v>2</v>
      </c>
      <c r="AV415" s="14">
        <f t="shared" si="154"/>
        <v>3</v>
      </c>
      <c r="AW415" s="14" t="str">
        <f t="shared" si="155"/>
        <v>烈风螳螂</v>
      </c>
      <c r="AX415" s="14">
        <f t="shared" si="156"/>
        <v>11</v>
      </c>
      <c r="AY415" s="14" t="str">
        <f t="shared" si="157"/>
        <v>烈风螳螂11突</v>
      </c>
      <c r="AZ415" s="14" t="str">
        <f>IF(AT415&gt;0,INDEX(挂机升级突破!$CV$5:$CZ$5,卡牌消耗!AT415),"")</f>
        <v>金币</v>
      </c>
      <c r="BA415" s="14">
        <f>IF(AT415&gt;0,ROUND(INDEX(挂机升级突破!$CZ$7:$CZ$26,卡牌消耗!AX415)*INDEX(卡牌消耗!$B$8:$F$8,AV415)/$Q$4/500,0)*500,"")</f>
        <v>14500</v>
      </c>
      <c r="BB415" s="14" t="str">
        <f>IF(AU415&gt;0,INDEX(挂机升级突破!$CV$5:$CZ$5,卡牌消耗!AU415),"")</f>
        <v>乌金</v>
      </c>
      <c r="BC415" s="14">
        <f>IF(AU415&gt;0,ROUND(INDEX(挂机升级突破!$CV$7:$CY$26,卡牌消耗!AX415,卡牌消耗!AU415)*INDEX($B$6:$F$6,AV415)/$Q$4/5,0)*5,"")</f>
        <v>120</v>
      </c>
      <c r="BD415" s="104"/>
      <c r="BE415" s="104"/>
      <c r="BF415" s="106"/>
    </row>
    <row r="416" spans="8:73" ht="16.5" x14ac:dyDescent="0.2">
      <c r="H416" s="15"/>
      <c r="I416" s="15"/>
      <c r="J416" s="15"/>
      <c r="K416" s="15"/>
      <c r="L416" s="15"/>
      <c r="M416" s="15"/>
      <c r="N416" s="15"/>
      <c r="O416" s="137"/>
      <c r="P416" s="141"/>
      <c r="Q416" s="141"/>
      <c r="R416" s="141"/>
      <c r="S416" s="141"/>
      <c r="T416" s="141"/>
      <c r="U416" s="141"/>
      <c r="V416" s="141"/>
      <c r="W416" s="141"/>
      <c r="X416" s="141"/>
      <c r="Y416" s="141"/>
      <c r="Z416" s="141"/>
      <c r="AA416" s="104">
        <v>412</v>
      </c>
      <c r="AB416" s="14">
        <f t="shared" si="148"/>
        <v>8</v>
      </c>
      <c r="AC416" s="14">
        <f>INDEX(挂机升级突破!$BU$6:$BU$57,卡牌消耗!AI416)</f>
        <v>11</v>
      </c>
      <c r="AD416" s="14">
        <f>INDEX(挂机升级突破!BV$6:BV$57,卡牌消耗!$AI416)</f>
        <v>5</v>
      </c>
      <c r="AE416" s="14">
        <f>INDEX(挂机升级突破!BW$6:BW$57,卡牌消耗!$AI416)</f>
        <v>10</v>
      </c>
      <c r="AF416" s="14" t="str">
        <f t="shared" si="149"/>
        <v>夏侯渊</v>
      </c>
      <c r="AG416" s="14">
        <f t="shared" si="150"/>
        <v>4</v>
      </c>
      <c r="AH416" s="14" t="str">
        <f t="shared" si="151"/>
        <v>夏侯渊魂火-48</v>
      </c>
      <c r="AI416" s="14">
        <f t="shared" si="152"/>
        <v>48</v>
      </c>
      <c r="AJ416" s="14" t="str">
        <f>INDEX(挂机升级突破!$BX$4:$CH$4,INDEX(挂机升级突破!$BU$6:$BU$57,卡牌消耗!AI416))</f>
        <v>金币</v>
      </c>
      <c r="AK416" s="14">
        <f>ROUND(INDEX(挂机升级突破!$BN$6:$BN$57,卡牌消耗!AI416)*INDEX(卡牌消耗!$B$8:$F$8,AG416)/$Q$4/50,0)*50</f>
        <v>227950</v>
      </c>
      <c r="AL416" s="14" t="str">
        <f>IF(AD416&gt;0,INDEX(挂机升级突破!$BX$4:$CH$4,AD416),"")</f>
        <v>红色基础材料</v>
      </c>
      <c r="AM416" s="14">
        <f>ROUND(INDEX(挂机升级突破!$BX$6:$CH$57,卡牌消耗!AI416,AD416)*INDEX(卡牌消耗!$B$5:$F$5,AG416)/$Q$4/5,0)*5</f>
        <v>75</v>
      </c>
      <c r="AN416" s="14" t="str">
        <f>IF(AE416&gt;0,INDEX(挂机升级突破!$BX$4:$CH$4,AE416),"")</f>
        <v>灵玉</v>
      </c>
      <c r="AO416" s="14">
        <f>IF(AE416&gt;0,ROUND(INDEX(挂机升级突破!$BX$6:$CH$57,卡牌消耗!AI416,AE416)*INDEX(卡牌消耗!$B$7:$F$7,AG416)/$Q$4,0),"")</f>
        <v>2</v>
      </c>
      <c r="AP416" s="106"/>
      <c r="AQ416" s="15"/>
      <c r="AR416" s="104">
        <v>412</v>
      </c>
      <c r="AS416" s="14">
        <f t="shared" si="153"/>
        <v>21</v>
      </c>
      <c r="AT416" s="14">
        <f>INDEX(挂机升级突破!$CM$7:$CM$26,AX416)</f>
        <v>5</v>
      </c>
      <c r="AU416" s="14">
        <f>INDEX(挂机升级突破!$CN$7:$CN$26,AX416)</f>
        <v>2</v>
      </c>
      <c r="AV416" s="14">
        <f t="shared" si="154"/>
        <v>3</v>
      </c>
      <c r="AW416" s="14" t="str">
        <f t="shared" si="155"/>
        <v>烈风螳螂</v>
      </c>
      <c r="AX416" s="14">
        <f t="shared" si="156"/>
        <v>12</v>
      </c>
      <c r="AY416" s="14" t="str">
        <f t="shared" si="157"/>
        <v>烈风螳螂12突</v>
      </c>
      <c r="AZ416" s="14" t="str">
        <f>IF(AT416&gt;0,INDEX(挂机升级突破!$CV$5:$CZ$5,卡牌消耗!AT416),"")</f>
        <v>金币</v>
      </c>
      <c r="BA416" s="14">
        <f>IF(AT416&gt;0,ROUND(INDEX(挂机升级突破!$CZ$7:$CZ$26,卡牌消耗!AX416)*INDEX(卡牌消耗!$B$8:$F$8,AV416)/$Q$4/500,0)*500,"")</f>
        <v>19500</v>
      </c>
      <c r="BB416" s="14" t="str">
        <f>IF(AU416&gt;0,INDEX(挂机升级突破!$CV$5:$CZ$5,卡牌消耗!AU416),"")</f>
        <v>乌金</v>
      </c>
      <c r="BC416" s="14">
        <f>IF(AU416&gt;0,ROUND(INDEX(挂机升级突破!$CV$7:$CY$26,卡牌消耗!AX416,卡牌消耗!AU416)*INDEX($B$6:$F$6,AV416)/$Q$4/5,0)*5,"")</f>
        <v>155</v>
      </c>
      <c r="BD416" s="104"/>
      <c r="BE416" s="104"/>
      <c r="BF416" s="106"/>
    </row>
    <row r="417" spans="8:58" ht="16.5" x14ac:dyDescent="0.2">
      <c r="H417" s="15"/>
      <c r="I417" s="15"/>
      <c r="J417" s="15"/>
      <c r="K417" s="15"/>
      <c r="L417" s="15"/>
      <c r="M417" s="15"/>
      <c r="N417" s="15"/>
      <c r="O417" s="137"/>
      <c r="P417" s="141"/>
      <c r="Q417" s="141"/>
      <c r="R417" s="141"/>
      <c r="S417" s="141"/>
      <c r="T417" s="141"/>
      <c r="U417" s="141"/>
      <c r="V417" s="141"/>
      <c r="W417" s="141"/>
      <c r="X417" s="141"/>
      <c r="Y417" s="141"/>
      <c r="Z417" s="141"/>
      <c r="AA417" s="104">
        <v>413</v>
      </c>
      <c r="AB417" s="14">
        <f t="shared" si="148"/>
        <v>8</v>
      </c>
      <c r="AC417" s="14">
        <f>INDEX(挂机升级突破!$BU$6:$BU$57,卡牌消耗!AI417)</f>
        <v>11</v>
      </c>
      <c r="AD417" s="14">
        <f>INDEX(挂机升级突破!BV$6:BV$57,卡牌消耗!$AI417)</f>
        <v>5</v>
      </c>
      <c r="AE417" s="14">
        <f>INDEX(挂机升级突破!BW$6:BW$57,卡牌消耗!$AI417)</f>
        <v>10</v>
      </c>
      <c r="AF417" s="14" t="str">
        <f t="shared" si="149"/>
        <v>夏侯渊</v>
      </c>
      <c r="AG417" s="14">
        <f t="shared" si="150"/>
        <v>4</v>
      </c>
      <c r="AH417" s="14" t="str">
        <f t="shared" si="151"/>
        <v>夏侯渊魂火-49</v>
      </c>
      <c r="AI417" s="14">
        <f t="shared" si="152"/>
        <v>49</v>
      </c>
      <c r="AJ417" s="14" t="str">
        <f>INDEX(挂机升级突破!$BX$4:$CH$4,INDEX(挂机升级突破!$BU$6:$BU$57,卡牌消耗!AI417))</f>
        <v>金币</v>
      </c>
      <c r="AK417" s="14">
        <f>ROUND(INDEX(挂机升级突破!$BN$6:$BN$57,卡牌消耗!AI417)*INDEX(卡牌消耗!$B$8:$F$8,AG417)/$Q$4/50,0)*50</f>
        <v>227950</v>
      </c>
      <c r="AL417" s="14" t="str">
        <f>IF(AD417&gt;0,INDEX(挂机升级突破!$BX$4:$CH$4,AD417),"")</f>
        <v>红色基础材料</v>
      </c>
      <c r="AM417" s="14">
        <f>ROUND(INDEX(挂机升级突破!$BX$6:$CH$57,卡牌消耗!AI417,AD417)*INDEX(卡牌消耗!$B$5:$F$5,AG417)/$Q$4/5,0)*5</f>
        <v>85</v>
      </c>
      <c r="AN417" s="14" t="str">
        <f>IF(AE417&gt;0,INDEX(挂机升级突破!$BX$4:$CH$4,AE417),"")</f>
        <v>灵玉</v>
      </c>
      <c r="AO417" s="14">
        <f>IF(AE417&gt;0,ROUND(INDEX(挂机升级突破!$BX$6:$CH$57,卡牌消耗!AI417,AE417)*INDEX(卡牌消耗!$B$7:$F$7,AG417)/$Q$4,0),"")</f>
        <v>2</v>
      </c>
      <c r="AP417" s="106"/>
      <c r="AQ417" s="15"/>
      <c r="AR417" s="104">
        <v>413</v>
      </c>
      <c r="AS417" s="14">
        <f t="shared" si="153"/>
        <v>21</v>
      </c>
      <c r="AT417" s="14">
        <f>INDEX(挂机升级突破!$CM$7:$CM$26,AX417)</f>
        <v>5</v>
      </c>
      <c r="AU417" s="14">
        <f>INDEX(挂机升级突破!$CN$7:$CN$26,AX417)</f>
        <v>3</v>
      </c>
      <c r="AV417" s="14">
        <f t="shared" si="154"/>
        <v>3</v>
      </c>
      <c r="AW417" s="14" t="str">
        <f t="shared" si="155"/>
        <v>烈风螳螂</v>
      </c>
      <c r="AX417" s="14">
        <f t="shared" si="156"/>
        <v>13</v>
      </c>
      <c r="AY417" s="14" t="str">
        <f t="shared" si="157"/>
        <v>烈风螳螂13突</v>
      </c>
      <c r="AZ417" s="14" t="str">
        <f>IF(AT417&gt;0,INDEX(挂机升级突破!$CV$5:$CZ$5,卡牌消耗!AT417),"")</f>
        <v>金币</v>
      </c>
      <c r="BA417" s="14">
        <f>IF(AT417&gt;0,ROUND(INDEX(挂机升级突破!$CZ$7:$CZ$26,卡牌消耗!AX417)*INDEX(卡牌消耗!$B$8:$F$8,AV417)/$Q$4/500,0)*500,"")</f>
        <v>26000</v>
      </c>
      <c r="BB417" s="14" t="str">
        <f>IF(AU417&gt;0,INDEX(挂机升级突破!$CV$5:$CZ$5,卡牌消耗!AU417),"")</f>
        <v>银母</v>
      </c>
      <c r="BC417" s="14">
        <f>IF(AU417&gt;0,ROUND(INDEX(挂机升级突破!$CV$7:$CY$26,卡牌消耗!AX417,卡牌消耗!AU417)*INDEX($B$6:$F$6,AV417)/$Q$4/5,0)*5,"")</f>
        <v>30</v>
      </c>
      <c r="BD417" s="104"/>
      <c r="BE417" s="104"/>
      <c r="BF417" s="106"/>
    </row>
    <row r="418" spans="8:58" ht="16.5" x14ac:dyDescent="0.2">
      <c r="H418" s="15"/>
      <c r="I418" s="15"/>
      <c r="J418" s="15"/>
      <c r="K418" s="15"/>
      <c r="L418" s="15"/>
      <c r="M418" s="15"/>
      <c r="N418" s="15"/>
      <c r="O418" s="137"/>
      <c r="P418" s="141"/>
      <c r="Q418" s="141"/>
      <c r="R418" s="141"/>
      <c r="S418" s="141"/>
      <c r="T418" s="141"/>
      <c r="U418" s="141"/>
      <c r="V418" s="141"/>
      <c r="W418" s="141"/>
      <c r="X418" s="141"/>
      <c r="Y418" s="141"/>
      <c r="Z418" s="141"/>
      <c r="AA418" s="104">
        <v>414</v>
      </c>
      <c r="AB418" s="14">
        <f t="shared" si="148"/>
        <v>8</v>
      </c>
      <c r="AC418" s="14">
        <f>INDEX(挂机升级突破!$BU$6:$BU$57,卡牌消耗!AI418)</f>
        <v>11</v>
      </c>
      <c r="AD418" s="14">
        <f>INDEX(挂机升级突破!BV$6:BV$57,卡牌消耗!$AI418)</f>
        <v>5</v>
      </c>
      <c r="AE418" s="14">
        <f>INDEX(挂机升级突破!BW$6:BW$57,卡牌消耗!$AI418)</f>
        <v>10</v>
      </c>
      <c r="AF418" s="14" t="str">
        <f t="shared" si="149"/>
        <v>夏侯渊</v>
      </c>
      <c r="AG418" s="14">
        <f t="shared" si="150"/>
        <v>4</v>
      </c>
      <c r="AH418" s="14" t="str">
        <f t="shared" si="151"/>
        <v>夏侯渊魂火-50</v>
      </c>
      <c r="AI418" s="14">
        <f t="shared" si="152"/>
        <v>50</v>
      </c>
      <c r="AJ418" s="14" t="str">
        <f>INDEX(挂机升级突破!$BX$4:$CH$4,INDEX(挂机升级突破!$BU$6:$BU$57,卡牌消耗!AI418))</f>
        <v>金币</v>
      </c>
      <c r="AK418" s="14">
        <f>ROUND(INDEX(挂机升级突破!$BN$6:$BN$57,卡牌消耗!AI418)*INDEX(卡牌消耗!$B$8:$F$8,AG418)/$Q$4/50,0)*50</f>
        <v>379900</v>
      </c>
      <c r="AL418" s="14" t="str">
        <f>IF(AD418&gt;0,INDEX(挂机升级突破!$BX$4:$CH$4,AD418),"")</f>
        <v>红色基础材料</v>
      </c>
      <c r="AM418" s="14">
        <f>ROUND(INDEX(挂机升级突破!$BX$6:$CH$57,卡牌消耗!AI418,AD418)*INDEX(卡牌消耗!$B$5:$F$5,AG418)/$Q$4/5,0)*5</f>
        <v>85</v>
      </c>
      <c r="AN418" s="14" t="str">
        <f>IF(AE418&gt;0,INDEX(挂机升级突破!$BX$4:$CH$4,AE418),"")</f>
        <v>灵玉</v>
      </c>
      <c r="AO418" s="14">
        <f>IF(AE418&gt;0,ROUND(INDEX(挂机升级突破!$BX$6:$CH$57,卡牌消耗!AI418,AE418)*INDEX(卡牌消耗!$B$7:$F$7,AG418)/$Q$4,0),"")</f>
        <v>2</v>
      </c>
      <c r="AP418" s="106"/>
      <c r="AQ418" s="15"/>
      <c r="AR418" s="104">
        <v>414</v>
      </c>
      <c r="AS418" s="14">
        <f t="shared" si="153"/>
        <v>21</v>
      </c>
      <c r="AT418" s="14">
        <f>INDEX(挂机升级突破!$CM$7:$CM$26,AX418)</f>
        <v>5</v>
      </c>
      <c r="AU418" s="14">
        <f>INDEX(挂机升级突破!$CN$7:$CN$26,AX418)</f>
        <v>3</v>
      </c>
      <c r="AV418" s="14">
        <f t="shared" si="154"/>
        <v>3</v>
      </c>
      <c r="AW418" s="14" t="str">
        <f t="shared" si="155"/>
        <v>烈风螳螂</v>
      </c>
      <c r="AX418" s="14">
        <f t="shared" si="156"/>
        <v>14</v>
      </c>
      <c r="AY418" s="14" t="str">
        <f t="shared" si="157"/>
        <v>烈风螳螂14突</v>
      </c>
      <c r="AZ418" s="14" t="str">
        <f>IF(AT418&gt;0,INDEX(挂机升级突破!$CV$5:$CZ$5,卡牌消耗!AT418),"")</f>
        <v>金币</v>
      </c>
      <c r="BA418" s="14">
        <f>IF(AT418&gt;0,ROUND(INDEX(挂机升级突破!$CZ$7:$CZ$26,卡牌消耗!AX418)*INDEX(卡牌消耗!$B$8:$F$8,AV418)/$Q$4/500,0)*500,"")</f>
        <v>26000</v>
      </c>
      <c r="BB418" s="14" t="str">
        <f>IF(AU418&gt;0,INDEX(挂机升级突破!$CV$5:$CZ$5,卡牌消耗!AU418),"")</f>
        <v>银母</v>
      </c>
      <c r="BC418" s="14">
        <f>IF(AU418&gt;0,ROUND(INDEX(挂机升级突破!$CV$7:$CY$26,卡牌消耗!AX418,卡牌消耗!AU418)*INDEX($B$6:$F$6,AV418)/$Q$4/5,0)*5,"")</f>
        <v>40</v>
      </c>
      <c r="BD418" s="104"/>
      <c r="BE418" s="104"/>
      <c r="BF418" s="106"/>
    </row>
    <row r="419" spans="8:58" ht="16.5" x14ac:dyDescent="0.2">
      <c r="H419" s="15"/>
      <c r="I419" s="15"/>
      <c r="J419" s="15"/>
      <c r="K419" s="15"/>
      <c r="L419" s="15"/>
      <c r="M419" s="15"/>
      <c r="N419" s="15"/>
      <c r="O419" s="137"/>
      <c r="P419" s="141"/>
      <c r="Q419" s="141"/>
      <c r="R419" s="141"/>
      <c r="S419" s="141"/>
      <c r="T419" s="141"/>
      <c r="U419" s="141"/>
      <c r="V419" s="141"/>
      <c r="W419" s="141"/>
      <c r="X419" s="141"/>
      <c r="Y419" s="141"/>
      <c r="Z419" s="141"/>
      <c r="AA419" s="104">
        <v>415</v>
      </c>
      <c r="AB419" s="14">
        <f t="shared" si="148"/>
        <v>8</v>
      </c>
      <c r="AC419" s="14">
        <f>INDEX(挂机升级突破!$BU$6:$BU$57,卡牌消耗!AI419)</f>
        <v>11</v>
      </c>
      <c r="AD419" s="14">
        <f>INDEX(挂机升级突破!BV$6:BV$57,卡牌消耗!$AI419)</f>
        <v>5</v>
      </c>
      <c r="AE419" s="14">
        <f>INDEX(挂机升级突破!BW$6:BW$57,卡牌消耗!$AI419)</f>
        <v>10</v>
      </c>
      <c r="AF419" s="14" t="str">
        <f t="shared" si="149"/>
        <v>夏侯渊</v>
      </c>
      <c r="AG419" s="14">
        <f t="shared" si="150"/>
        <v>4</v>
      </c>
      <c r="AH419" s="14" t="str">
        <f t="shared" si="151"/>
        <v>夏侯渊魂火-51</v>
      </c>
      <c r="AI419" s="14">
        <f t="shared" si="152"/>
        <v>51</v>
      </c>
      <c r="AJ419" s="14" t="str">
        <f>INDEX(挂机升级突破!$BX$4:$CH$4,INDEX(挂机升级突破!$BU$6:$BU$57,卡牌消耗!AI419))</f>
        <v>金币</v>
      </c>
      <c r="AK419" s="14">
        <f>ROUND(INDEX(挂机升级突破!$BN$6:$BN$57,卡牌消耗!AI419)*INDEX(卡牌消耗!$B$8:$F$8,AG419)/$Q$4/50,0)*50</f>
        <v>417900</v>
      </c>
      <c r="AL419" s="14" t="str">
        <f>IF(AD419&gt;0,INDEX(挂机升级突破!$BX$4:$CH$4,AD419),"")</f>
        <v>红色基础材料</v>
      </c>
      <c r="AM419" s="14">
        <f>ROUND(INDEX(挂机升级突破!$BX$6:$CH$57,卡牌消耗!AI419,AD419)*INDEX(卡牌消耗!$B$5:$F$5,AG419)/$Q$4/5,0)*5</f>
        <v>85</v>
      </c>
      <c r="AN419" s="14" t="str">
        <f>IF(AE419&gt;0,INDEX(挂机升级突破!$BX$4:$CH$4,AE419),"")</f>
        <v>灵玉</v>
      </c>
      <c r="AO419" s="14">
        <f>IF(AE419&gt;0,ROUND(INDEX(挂机升级突破!$BX$6:$CH$57,卡牌消耗!AI419,AE419)*INDEX(卡牌消耗!$B$7:$F$7,AG419)/$Q$4,0),"")</f>
        <v>2</v>
      </c>
      <c r="AP419" s="106"/>
      <c r="AQ419" s="15"/>
      <c r="AR419" s="104">
        <v>415</v>
      </c>
      <c r="AS419" s="14">
        <f t="shared" si="153"/>
        <v>21</v>
      </c>
      <c r="AT419" s="14">
        <f>INDEX(挂机升级突破!$CM$7:$CM$26,AX419)</f>
        <v>5</v>
      </c>
      <c r="AU419" s="14">
        <f>INDEX(挂机升级突破!$CN$7:$CN$26,AX419)</f>
        <v>3</v>
      </c>
      <c r="AV419" s="14">
        <f t="shared" si="154"/>
        <v>3</v>
      </c>
      <c r="AW419" s="14" t="str">
        <f t="shared" si="155"/>
        <v>烈风螳螂</v>
      </c>
      <c r="AX419" s="14">
        <f t="shared" si="156"/>
        <v>15</v>
      </c>
      <c r="AY419" s="14" t="str">
        <f t="shared" si="157"/>
        <v>烈风螳螂15突</v>
      </c>
      <c r="AZ419" s="14" t="str">
        <f>IF(AT419&gt;0,INDEX(挂机升级突破!$CV$5:$CZ$5,卡牌消耗!AT419),"")</f>
        <v>金币</v>
      </c>
      <c r="BA419" s="14">
        <f>IF(AT419&gt;0,ROUND(INDEX(挂机升级突破!$CZ$7:$CZ$26,卡牌消耗!AX419)*INDEX(卡牌消耗!$B$8:$F$8,AV419)/$Q$4/500,0)*500,"")</f>
        <v>34500</v>
      </c>
      <c r="BB419" s="14" t="str">
        <f>IF(AU419&gt;0,INDEX(挂机升级突破!$CV$5:$CZ$5,卡牌消耗!AU419),"")</f>
        <v>银母</v>
      </c>
      <c r="BC419" s="14">
        <f>IF(AU419&gt;0,ROUND(INDEX(挂机升级突破!$CV$7:$CY$26,卡牌消耗!AX419,卡牌消耗!AU419)*INDEX($B$6:$F$6,AV419)/$Q$4/5,0)*5,"")</f>
        <v>55</v>
      </c>
      <c r="BD419" s="104"/>
      <c r="BE419" s="104"/>
      <c r="BF419" s="106"/>
    </row>
    <row r="420" spans="8:58" ht="16.5" x14ac:dyDescent="0.2">
      <c r="H420" s="15"/>
      <c r="I420" s="15"/>
      <c r="J420" s="15"/>
      <c r="K420" s="15"/>
      <c r="L420" s="15"/>
      <c r="M420" s="15"/>
      <c r="N420" s="15"/>
      <c r="O420" s="137"/>
      <c r="P420" s="141"/>
      <c r="Q420" s="141"/>
      <c r="R420" s="141"/>
      <c r="S420" s="141"/>
      <c r="T420" s="141"/>
      <c r="U420" s="141"/>
      <c r="V420" s="141"/>
      <c r="W420" s="141"/>
      <c r="X420" s="141"/>
      <c r="Y420" s="141"/>
      <c r="Z420" s="141"/>
      <c r="AA420" s="104">
        <v>416</v>
      </c>
      <c r="AB420" s="14">
        <f t="shared" si="148"/>
        <v>8</v>
      </c>
      <c r="AC420" s="14">
        <f>INDEX(挂机升级突破!$BU$6:$BU$57,卡牌消耗!AI420)</f>
        <v>11</v>
      </c>
      <c r="AD420" s="14">
        <f>INDEX(挂机升级突破!BV$6:BV$57,卡牌消耗!$AI420)</f>
        <v>5</v>
      </c>
      <c r="AE420" s="14">
        <f>INDEX(挂机升级突破!BW$6:BW$57,卡牌消耗!$AI420)</f>
        <v>10</v>
      </c>
      <c r="AF420" s="14" t="str">
        <f t="shared" si="149"/>
        <v>夏侯渊</v>
      </c>
      <c r="AG420" s="14">
        <f t="shared" si="150"/>
        <v>4</v>
      </c>
      <c r="AH420" s="14" t="str">
        <f t="shared" si="151"/>
        <v>夏侯渊魂火-52</v>
      </c>
      <c r="AI420" s="14">
        <f t="shared" si="152"/>
        <v>52</v>
      </c>
      <c r="AJ420" s="14" t="str">
        <f>INDEX(挂机升级突破!$BX$4:$CH$4,INDEX(挂机升级突破!$BU$6:$BU$57,卡牌消耗!AI420))</f>
        <v>金币</v>
      </c>
      <c r="AK420" s="14">
        <f>ROUND(INDEX(挂机升级突破!$BN$6:$BN$57,卡牌消耗!AI420)*INDEX(卡牌消耗!$B$8:$F$8,AG420)/$Q$4/50,0)*50</f>
        <v>417900</v>
      </c>
      <c r="AL420" s="14" t="str">
        <f>IF(AD420&gt;0,INDEX(挂机升级突破!$BX$4:$CH$4,AD420),"")</f>
        <v>红色基础材料</v>
      </c>
      <c r="AM420" s="14">
        <f>ROUND(INDEX(挂机升级突破!$BX$6:$CH$57,卡牌消耗!AI420,AD420)*INDEX(卡牌消耗!$B$5:$F$5,AG420)/$Q$4/5,0)*5</f>
        <v>85</v>
      </c>
      <c r="AN420" s="14" t="str">
        <f>IF(AE420&gt;0,INDEX(挂机升级突破!$BX$4:$CH$4,AE420),"")</f>
        <v>灵玉</v>
      </c>
      <c r="AO420" s="14">
        <f>IF(AE420&gt;0,ROUND(INDEX(挂机升级突破!$BX$6:$CH$57,卡牌消耗!AI420,AE420)*INDEX(卡牌消耗!$B$7:$F$7,AG420)/$Q$4,0),"")</f>
        <v>2</v>
      </c>
      <c r="AP420" s="106"/>
      <c r="AQ420" s="15"/>
      <c r="AR420" s="104">
        <v>416</v>
      </c>
      <c r="AS420" s="14">
        <f t="shared" si="153"/>
        <v>21</v>
      </c>
      <c r="AT420" s="14">
        <f>INDEX(挂机升级突破!$CM$7:$CM$26,AX420)</f>
        <v>5</v>
      </c>
      <c r="AU420" s="14">
        <f>INDEX(挂机升级突破!$CN$7:$CN$26,AX420)</f>
        <v>3</v>
      </c>
      <c r="AV420" s="14">
        <f t="shared" si="154"/>
        <v>3</v>
      </c>
      <c r="AW420" s="14" t="str">
        <f t="shared" si="155"/>
        <v>烈风螳螂</v>
      </c>
      <c r="AX420" s="14">
        <f t="shared" si="156"/>
        <v>16</v>
      </c>
      <c r="AY420" s="14" t="str">
        <f t="shared" si="157"/>
        <v>烈风螳螂16突</v>
      </c>
      <c r="AZ420" s="14" t="str">
        <f>IF(AT420&gt;0,INDEX(挂机升级突破!$CV$5:$CZ$5,卡牌消耗!AT420),"")</f>
        <v>金币</v>
      </c>
      <c r="BA420" s="14">
        <f>IF(AT420&gt;0,ROUND(INDEX(挂机升级突破!$CZ$7:$CZ$26,卡牌消耗!AX420)*INDEX(卡牌消耗!$B$8:$F$8,AV420)/$Q$4/500,0)*500,"")</f>
        <v>62500</v>
      </c>
      <c r="BB420" s="14" t="str">
        <f>IF(AU420&gt;0,INDEX(挂机升级突破!$CV$5:$CZ$5,卡牌消耗!AU420),"")</f>
        <v>银母</v>
      </c>
      <c r="BC420" s="14">
        <f>IF(AU420&gt;0,ROUND(INDEX(挂机升级突破!$CV$7:$CY$26,卡牌消耗!AX420,卡牌消耗!AU420)*INDEX($B$6:$F$6,AV420)/$Q$4/5,0)*5,"")</f>
        <v>70</v>
      </c>
      <c r="BD420" s="104"/>
      <c r="BE420" s="104"/>
      <c r="BF420" s="106"/>
    </row>
    <row r="421" spans="8:58" ht="16.5" x14ac:dyDescent="0.2">
      <c r="H421" s="15"/>
      <c r="I421" s="15"/>
      <c r="J421" s="15"/>
      <c r="K421" s="15"/>
      <c r="L421" s="15"/>
      <c r="M421" s="15"/>
      <c r="N421" s="15"/>
      <c r="O421" s="137"/>
      <c r="P421" s="141"/>
      <c r="Q421" s="141"/>
      <c r="R421" s="141"/>
      <c r="S421" s="141"/>
      <c r="T421" s="141"/>
      <c r="U421" s="141"/>
      <c r="V421" s="141"/>
      <c r="W421" s="141"/>
      <c r="X421" s="141"/>
      <c r="Y421" s="141"/>
      <c r="Z421" s="141"/>
      <c r="AA421" s="104">
        <v>417</v>
      </c>
      <c r="AB421" s="14">
        <f t="shared" si="148"/>
        <v>9</v>
      </c>
      <c r="AC421" s="14">
        <f>INDEX(挂机升级突破!$BU$6:$BU$57,卡牌消耗!AI421)</f>
        <v>11</v>
      </c>
      <c r="AD421" s="14">
        <f>INDEX(挂机升级突破!BV$6:BV$57,卡牌消耗!$AI421)</f>
        <v>1</v>
      </c>
      <c r="AE421" s="14">
        <f>INDEX(挂机升级突破!BW$6:BW$57,卡牌消耗!$AI421)</f>
        <v>0</v>
      </c>
      <c r="AF421" s="14" t="str">
        <f t="shared" si="149"/>
        <v>徐晃</v>
      </c>
      <c r="AG421" s="14">
        <f t="shared" si="150"/>
        <v>3</v>
      </c>
      <c r="AH421" s="14" t="str">
        <f t="shared" si="151"/>
        <v>徐晃魂火-1</v>
      </c>
      <c r="AI421" s="14">
        <f t="shared" si="152"/>
        <v>1</v>
      </c>
      <c r="AJ421" s="14" t="str">
        <f>INDEX(挂机升级突破!$BX$4:$CH$4,INDEX(挂机升级突破!$BU$6:$BU$57,卡牌消耗!AI421))</f>
        <v>金币</v>
      </c>
      <c r="AK421" s="14">
        <f>ROUND(INDEX(挂机升级突破!$BN$6:$BN$57,卡牌消耗!AI421)*INDEX(卡牌消耗!$B$8:$F$8,AG421)/$Q$4/50,0)*50</f>
        <v>600</v>
      </c>
      <c r="AL421" s="14" t="str">
        <f>IF(AD421&gt;0,INDEX(挂机升级突破!$BX$4:$CH$4,AD421),"")</f>
        <v>绿色基础材料</v>
      </c>
      <c r="AM421" s="14">
        <f>ROUND(INDEX(挂机升级突破!$BX$6:$CH$57,卡牌消耗!AI421,AD421)*INDEX(卡牌消耗!$B$5:$F$5,AG421)/$Q$4/5,0)*5</f>
        <v>835</v>
      </c>
      <c r="AN421" s="14" t="str">
        <f>IF(AE421&gt;0,INDEX(挂机升级突破!$BX$4:$CH$4,AE421),"")</f>
        <v/>
      </c>
      <c r="AO421" s="14" t="str">
        <f>IF(AE421&gt;0,ROUND(INDEX(挂机升级突破!$BX$6:$CH$57,卡牌消耗!AI421,AE421)*INDEX(卡牌消耗!$B$7:$F$7,AG421)/$Q$4,0),"")</f>
        <v/>
      </c>
      <c r="AP421" s="106"/>
      <c r="AQ421" s="15"/>
      <c r="AR421" s="104">
        <v>417</v>
      </c>
      <c r="AS421" s="14">
        <f t="shared" si="153"/>
        <v>21</v>
      </c>
      <c r="AT421" s="14">
        <f>INDEX(挂机升级突破!$CM$7:$CM$26,AX421)</f>
        <v>5</v>
      </c>
      <c r="AU421" s="14">
        <f>INDEX(挂机升级突破!$CN$7:$CN$26,AX421)</f>
        <v>4</v>
      </c>
      <c r="AV421" s="14">
        <f t="shared" si="154"/>
        <v>3</v>
      </c>
      <c r="AW421" s="14" t="str">
        <f t="shared" si="155"/>
        <v>烈风螳螂</v>
      </c>
      <c r="AX421" s="14">
        <f t="shared" si="156"/>
        <v>17</v>
      </c>
      <c r="AY421" s="14" t="str">
        <f t="shared" si="157"/>
        <v>烈风螳螂17突</v>
      </c>
      <c r="AZ421" s="14" t="str">
        <f>IF(AT421&gt;0,INDEX(挂机升级突破!$CV$5:$CZ$5,卡牌消耗!AT421),"")</f>
        <v>金币</v>
      </c>
      <c r="BA421" s="14">
        <f>IF(AT421&gt;0,ROUND(INDEX(挂机升级突破!$CZ$7:$CZ$26,卡牌消耗!AX421)*INDEX(卡牌消耗!$B$8:$F$8,AV421)/$Q$4/500,0)*500,"")</f>
        <v>62500</v>
      </c>
      <c r="BB421" s="14" t="str">
        <f>IF(AU421&gt;0,INDEX(挂机升级突破!$CV$5:$CZ$5,卡牌消耗!AU421),"")</f>
        <v>铀金</v>
      </c>
      <c r="BC421" s="14">
        <f>IF(AU421&gt;0,ROUND(INDEX(挂机升级突破!$CV$7:$CY$26,卡牌消耗!AX421,卡牌消耗!AU421)*INDEX($B$6:$F$6,AV421)/$Q$4/5,0)*5,"")</f>
        <v>25</v>
      </c>
      <c r="BD421" s="104"/>
      <c r="BE421" s="104"/>
      <c r="BF421" s="106"/>
    </row>
    <row r="422" spans="8:58" ht="16.5" x14ac:dyDescent="0.2">
      <c r="H422" s="15"/>
      <c r="I422" s="15"/>
      <c r="J422" s="15"/>
      <c r="K422" s="15"/>
      <c r="L422" s="15"/>
      <c r="M422" s="15"/>
      <c r="N422" s="15"/>
      <c r="O422" s="137"/>
      <c r="P422" s="141"/>
      <c r="Q422" s="141"/>
      <c r="R422" s="141"/>
      <c r="S422" s="141"/>
      <c r="T422" s="141"/>
      <c r="U422" s="141"/>
      <c r="V422" s="141"/>
      <c r="W422" s="141"/>
      <c r="X422" s="141"/>
      <c r="Y422" s="141"/>
      <c r="Z422" s="141"/>
      <c r="AA422" s="104">
        <v>418</v>
      </c>
      <c r="AB422" s="14">
        <f t="shared" si="148"/>
        <v>9</v>
      </c>
      <c r="AC422" s="14">
        <f>INDEX(挂机升级突破!$BU$6:$BU$57,卡牌消耗!AI422)</f>
        <v>11</v>
      </c>
      <c r="AD422" s="14">
        <f>INDEX(挂机升级突破!BV$6:BV$57,卡牌消耗!$AI422)</f>
        <v>1</v>
      </c>
      <c r="AE422" s="14">
        <f>INDEX(挂机升级突破!BW$6:BW$57,卡牌消耗!$AI422)</f>
        <v>0</v>
      </c>
      <c r="AF422" s="14" t="str">
        <f t="shared" si="149"/>
        <v>徐晃</v>
      </c>
      <c r="AG422" s="14">
        <f t="shared" si="150"/>
        <v>3</v>
      </c>
      <c r="AH422" s="14" t="str">
        <f t="shared" si="151"/>
        <v>徐晃魂火-2</v>
      </c>
      <c r="AI422" s="14">
        <f t="shared" si="152"/>
        <v>2</v>
      </c>
      <c r="AJ422" s="14" t="str">
        <f>INDEX(挂机升级突破!$BX$4:$CH$4,INDEX(挂机升级突破!$BU$6:$BU$57,卡牌消耗!AI422))</f>
        <v>金币</v>
      </c>
      <c r="AK422" s="14">
        <f>ROUND(INDEX(挂机升级突破!$BN$6:$BN$57,卡牌消耗!AI422)*INDEX(卡牌消耗!$B$8:$F$8,AG422)/$Q$4/50,0)*50</f>
        <v>800</v>
      </c>
      <c r="AL422" s="14" t="str">
        <f>IF(AD422&gt;0,INDEX(挂机升级突破!$BX$4:$CH$4,AD422),"")</f>
        <v>绿色基础材料</v>
      </c>
      <c r="AM422" s="14">
        <f>ROUND(INDEX(挂机升级突破!$BX$6:$CH$57,卡牌消耗!AI422,AD422)*INDEX(卡牌消耗!$B$5:$F$5,AG422)/$Q$4/5,0)*5</f>
        <v>2505</v>
      </c>
      <c r="AN422" s="14" t="str">
        <f>IF(AE422&gt;0,INDEX(挂机升级突破!$BX$4:$CH$4,AE422),"")</f>
        <v/>
      </c>
      <c r="AO422" s="14" t="str">
        <f>IF(AE422&gt;0,ROUND(INDEX(挂机升级突破!$BX$6:$CH$57,卡牌消耗!AI422,AE422)*INDEX(卡牌消耗!$B$7:$F$7,AG422)/$Q$4,0),"")</f>
        <v/>
      </c>
      <c r="AP422" s="106"/>
      <c r="AQ422" s="15"/>
      <c r="AR422" s="104">
        <v>418</v>
      </c>
      <c r="AS422" s="14">
        <f t="shared" si="153"/>
        <v>21</v>
      </c>
      <c r="AT422" s="14">
        <f>INDEX(挂机升级突破!$CM$7:$CM$26,AX422)</f>
        <v>5</v>
      </c>
      <c r="AU422" s="14">
        <f>INDEX(挂机升级突破!$CN$7:$CN$26,AX422)</f>
        <v>4</v>
      </c>
      <c r="AV422" s="14">
        <f t="shared" si="154"/>
        <v>3</v>
      </c>
      <c r="AW422" s="14" t="str">
        <f t="shared" si="155"/>
        <v>烈风螳螂</v>
      </c>
      <c r="AX422" s="14">
        <f t="shared" si="156"/>
        <v>18</v>
      </c>
      <c r="AY422" s="14" t="str">
        <f t="shared" si="157"/>
        <v>烈风螳螂18突</v>
      </c>
      <c r="AZ422" s="14" t="str">
        <f>IF(AT422&gt;0,INDEX(挂机升级突破!$CV$5:$CZ$5,卡牌消耗!AT422),"")</f>
        <v>金币</v>
      </c>
      <c r="BA422" s="14">
        <f>IF(AT422&gt;0,ROUND(INDEX(挂机升级突破!$CZ$7:$CZ$26,卡牌消耗!AX422)*INDEX(卡牌消耗!$B$8:$F$8,AV422)/$Q$4/500,0)*500,"")</f>
        <v>83500</v>
      </c>
      <c r="BB422" s="14" t="str">
        <f>IF(AU422&gt;0,INDEX(挂机升级突破!$CV$5:$CZ$5,卡牌消耗!AU422),"")</f>
        <v>铀金</v>
      </c>
      <c r="BC422" s="14">
        <f>IF(AU422&gt;0,ROUND(INDEX(挂机升级突破!$CV$7:$CY$26,卡牌消耗!AX422,卡牌消耗!AU422)*INDEX($B$6:$F$6,AV422)/$Q$4/5,0)*5,"")</f>
        <v>35</v>
      </c>
      <c r="BD422" s="104"/>
      <c r="BE422" s="104"/>
      <c r="BF422" s="106"/>
    </row>
    <row r="423" spans="8:58" ht="16.5" x14ac:dyDescent="0.2">
      <c r="H423" s="15"/>
      <c r="I423" s="15"/>
      <c r="J423" s="15"/>
      <c r="K423" s="15"/>
      <c r="L423" s="15"/>
      <c r="M423" s="15"/>
      <c r="N423" s="15"/>
      <c r="O423" s="137"/>
      <c r="P423" s="141"/>
      <c r="Q423" s="141"/>
      <c r="R423" s="141"/>
      <c r="S423" s="141"/>
      <c r="T423" s="141"/>
      <c r="U423" s="141"/>
      <c r="V423" s="141"/>
      <c r="W423" s="141"/>
      <c r="X423" s="141"/>
      <c r="Y423" s="141"/>
      <c r="Z423" s="141"/>
      <c r="AA423" s="104">
        <v>419</v>
      </c>
      <c r="AB423" s="14">
        <f t="shared" si="148"/>
        <v>9</v>
      </c>
      <c r="AC423" s="14">
        <f>INDEX(挂机升级突破!$BU$6:$BU$57,卡牌消耗!AI423)</f>
        <v>11</v>
      </c>
      <c r="AD423" s="14">
        <f>INDEX(挂机升级突破!BV$6:BV$57,卡牌消耗!$AI423)</f>
        <v>1</v>
      </c>
      <c r="AE423" s="14">
        <f>INDEX(挂机升级突破!BW$6:BW$57,卡牌消耗!$AI423)</f>
        <v>0</v>
      </c>
      <c r="AF423" s="14" t="str">
        <f t="shared" si="149"/>
        <v>徐晃</v>
      </c>
      <c r="AG423" s="14">
        <f t="shared" si="150"/>
        <v>3</v>
      </c>
      <c r="AH423" s="14" t="str">
        <f t="shared" si="151"/>
        <v>徐晃魂火-3</v>
      </c>
      <c r="AI423" s="14">
        <f t="shared" si="152"/>
        <v>3</v>
      </c>
      <c r="AJ423" s="14" t="str">
        <f>INDEX(挂机升级突破!$BX$4:$CH$4,INDEX(挂机升级突破!$BU$6:$BU$57,卡牌消耗!AI423))</f>
        <v>金币</v>
      </c>
      <c r="AK423" s="14">
        <f>ROUND(INDEX(挂机升级突破!$BN$6:$BN$57,卡牌消耗!AI423)*INDEX(卡牌消耗!$B$8:$F$8,AG423)/$Q$4/50,0)*50</f>
        <v>800</v>
      </c>
      <c r="AL423" s="14" t="str">
        <f>IF(AD423&gt;0,INDEX(挂机升级突破!$BX$4:$CH$4,AD423),"")</f>
        <v>绿色基础材料</v>
      </c>
      <c r="AM423" s="14">
        <f>ROUND(INDEX(挂机升级突破!$BX$6:$CH$57,卡牌消耗!AI423,AD423)*INDEX(卡牌消耗!$B$5:$F$5,AG423)/$Q$4/5,0)*5</f>
        <v>3335</v>
      </c>
      <c r="AN423" s="14" t="str">
        <f>IF(AE423&gt;0,INDEX(挂机升级突破!$BX$4:$CH$4,AE423),"")</f>
        <v/>
      </c>
      <c r="AO423" s="14" t="str">
        <f>IF(AE423&gt;0,ROUND(INDEX(挂机升级突破!$BX$6:$CH$57,卡牌消耗!AI423,AE423)*INDEX(卡牌消耗!$B$7:$F$7,AG423)/$Q$4,0),"")</f>
        <v/>
      </c>
      <c r="AP423" s="106"/>
      <c r="AQ423" s="15"/>
      <c r="AR423" s="104">
        <v>419</v>
      </c>
      <c r="AS423" s="14">
        <f t="shared" si="153"/>
        <v>21</v>
      </c>
      <c r="AT423" s="14">
        <f>INDEX(挂机升级突破!$CM$7:$CM$26,AX423)</f>
        <v>5</v>
      </c>
      <c r="AU423" s="14">
        <f>INDEX(挂机升级突破!$CN$7:$CN$26,AX423)</f>
        <v>4</v>
      </c>
      <c r="AV423" s="14">
        <f t="shared" si="154"/>
        <v>3</v>
      </c>
      <c r="AW423" s="14" t="str">
        <f t="shared" si="155"/>
        <v>烈风螳螂</v>
      </c>
      <c r="AX423" s="14">
        <f t="shared" si="156"/>
        <v>19</v>
      </c>
      <c r="AY423" s="14" t="str">
        <f t="shared" si="157"/>
        <v>烈风螳螂19突</v>
      </c>
      <c r="AZ423" s="14" t="str">
        <f>IF(AT423&gt;0,INDEX(挂机升级突破!$CV$5:$CZ$5,卡牌消耗!AT423),"")</f>
        <v>金币</v>
      </c>
      <c r="BA423" s="14">
        <f>IF(AT423&gt;0,ROUND(INDEX(挂机升级突破!$CZ$7:$CZ$26,卡牌消耗!AX423)*INDEX(卡牌消耗!$B$8:$F$8,AV423)/$Q$4/500,0)*500,"")</f>
        <v>506500</v>
      </c>
      <c r="BB423" s="14" t="str">
        <f>IF(AU423&gt;0,INDEX(挂机升级突破!$CV$5:$CZ$5,卡牌消耗!AU423),"")</f>
        <v>铀金</v>
      </c>
      <c r="BC423" s="14">
        <f>IF(AU423&gt;0,ROUND(INDEX(挂机升级突破!$CV$7:$CY$26,卡牌消耗!AX423,卡牌消耗!AU423)*INDEX($B$6:$F$6,AV423)/$Q$4/5,0)*5,"")</f>
        <v>45</v>
      </c>
      <c r="BD423" s="104"/>
      <c r="BE423" s="104"/>
      <c r="BF423" s="106"/>
    </row>
    <row r="424" spans="8:58" ht="16.5" x14ac:dyDescent="0.2">
      <c r="H424" s="15"/>
      <c r="I424" s="15"/>
      <c r="J424" s="15"/>
      <c r="K424" s="15"/>
      <c r="L424" s="15"/>
      <c r="M424" s="15"/>
      <c r="N424" s="15"/>
      <c r="O424" s="137"/>
      <c r="P424" s="141"/>
      <c r="Q424" s="141"/>
      <c r="R424" s="141"/>
      <c r="S424" s="141"/>
      <c r="T424" s="141"/>
      <c r="U424" s="141"/>
      <c r="V424" s="141"/>
      <c r="W424" s="141"/>
      <c r="X424" s="141"/>
      <c r="Y424" s="141"/>
      <c r="Z424" s="141"/>
      <c r="AA424" s="104">
        <v>420</v>
      </c>
      <c r="AB424" s="14">
        <f t="shared" si="148"/>
        <v>9</v>
      </c>
      <c r="AC424" s="14">
        <f>INDEX(挂机升级突破!$BU$6:$BU$57,卡牌消耗!AI424)</f>
        <v>11</v>
      </c>
      <c r="AD424" s="14">
        <f>INDEX(挂机升级突破!BV$6:BV$57,卡牌消耗!$AI424)</f>
        <v>1</v>
      </c>
      <c r="AE424" s="14">
        <f>INDEX(挂机升级突破!BW$6:BW$57,卡牌消耗!$AI424)</f>
        <v>0</v>
      </c>
      <c r="AF424" s="14" t="str">
        <f t="shared" si="149"/>
        <v>徐晃</v>
      </c>
      <c r="AG424" s="14">
        <f t="shared" si="150"/>
        <v>3</v>
      </c>
      <c r="AH424" s="14" t="str">
        <f t="shared" si="151"/>
        <v>徐晃魂火-4</v>
      </c>
      <c r="AI424" s="14">
        <f t="shared" si="152"/>
        <v>4</v>
      </c>
      <c r="AJ424" s="14" t="str">
        <f>INDEX(挂机升级突破!$BX$4:$CH$4,INDEX(挂机升级突破!$BU$6:$BU$57,卡牌消耗!AI424))</f>
        <v>金币</v>
      </c>
      <c r="AK424" s="14">
        <f>ROUND(INDEX(挂机升级突破!$BN$6:$BN$57,卡牌消耗!AI424)*INDEX(卡牌消耗!$B$8:$F$8,AG424)/$Q$4/50,0)*50</f>
        <v>800</v>
      </c>
      <c r="AL424" s="14" t="str">
        <f>IF(AD424&gt;0,INDEX(挂机升级突破!$BX$4:$CH$4,AD424),"")</f>
        <v>绿色基础材料</v>
      </c>
      <c r="AM424" s="14">
        <f>ROUND(INDEX(挂机升级突破!$BX$6:$CH$57,卡牌消耗!AI424,AD424)*INDEX(卡牌消耗!$B$5:$F$5,AG424)/$Q$4/5,0)*5</f>
        <v>5005</v>
      </c>
      <c r="AN424" s="14" t="str">
        <f>IF(AE424&gt;0,INDEX(挂机升级突破!$BX$4:$CH$4,AE424),"")</f>
        <v/>
      </c>
      <c r="AO424" s="14" t="str">
        <f>IF(AE424&gt;0,ROUND(INDEX(挂机升级突破!$BX$6:$CH$57,卡牌消耗!AI424,AE424)*INDEX(卡牌消耗!$B$7:$F$7,AG424)/$Q$4,0),"")</f>
        <v/>
      </c>
      <c r="AP424" s="106"/>
      <c r="AQ424" s="15"/>
      <c r="AR424" s="104">
        <v>420</v>
      </c>
      <c r="AS424" s="14">
        <f t="shared" si="153"/>
        <v>21</v>
      </c>
      <c r="AT424" s="14">
        <f>INDEX(挂机升级突破!$CM$7:$CM$26,AX424)</f>
        <v>5</v>
      </c>
      <c r="AU424" s="14">
        <f>INDEX(挂机升级突破!$CN$7:$CN$26,AX424)</f>
        <v>4</v>
      </c>
      <c r="AV424" s="14">
        <f t="shared" si="154"/>
        <v>3</v>
      </c>
      <c r="AW424" s="14" t="str">
        <f t="shared" si="155"/>
        <v>烈风螳螂</v>
      </c>
      <c r="AX424" s="14">
        <f t="shared" si="156"/>
        <v>20</v>
      </c>
      <c r="AY424" s="14" t="str">
        <f t="shared" si="157"/>
        <v>烈风螳螂20突</v>
      </c>
      <c r="AZ424" s="14" t="str">
        <f>IF(AT424&gt;0,INDEX(挂机升级突破!$CV$5:$CZ$5,卡牌消耗!AT424),"")</f>
        <v>金币</v>
      </c>
      <c r="BA424" s="14">
        <f>IF(AT424&gt;0,ROUND(INDEX(挂机升级突破!$CZ$7:$CZ$26,卡牌消耗!AX424)*INDEX(卡牌消耗!$B$8:$F$8,AV424)/$Q$4/500,0)*500,"")</f>
        <v>760000</v>
      </c>
      <c r="BB424" s="14" t="str">
        <f>IF(AU424&gt;0,INDEX(挂机升级突破!$CV$5:$CZ$5,卡牌消耗!AU424),"")</f>
        <v>铀金</v>
      </c>
      <c r="BC424" s="14">
        <f>IF(AU424&gt;0,ROUND(INDEX(挂机升级突破!$CV$7:$CY$26,卡牌消耗!AX424,卡牌消耗!AU424)*INDEX($B$6:$F$6,AV424)/$Q$4/5,0)*5,"")</f>
        <v>60</v>
      </c>
      <c r="BD424" s="104"/>
      <c r="BE424" s="104"/>
      <c r="BF424" s="106"/>
    </row>
    <row r="425" spans="8:58" ht="16.5" x14ac:dyDescent="0.2">
      <c r="H425" s="15"/>
      <c r="I425" s="15"/>
      <c r="J425" s="15"/>
      <c r="K425" s="15"/>
      <c r="L425" s="15"/>
      <c r="M425" s="15"/>
      <c r="N425" s="15"/>
      <c r="O425" s="137"/>
      <c r="P425" s="141"/>
      <c r="Q425" s="141"/>
      <c r="R425" s="141"/>
      <c r="S425" s="141"/>
      <c r="T425" s="141"/>
      <c r="U425" s="141"/>
      <c r="V425" s="141"/>
      <c r="W425" s="141"/>
      <c r="X425" s="141"/>
      <c r="Y425" s="141"/>
      <c r="Z425" s="141"/>
      <c r="AA425" s="104">
        <v>421</v>
      </c>
      <c r="AB425" s="14">
        <f t="shared" si="148"/>
        <v>9</v>
      </c>
      <c r="AC425" s="14">
        <f>INDEX(挂机升级突破!$BU$6:$BU$57,卡牌消耗!AI425)</f>
        <v>11</v>
      </c>
      <c r="AD425" s="14">
        <f>INDEX(挂机升级突破!BV$6:BV$57,卡牌消耗!$AI425)</f>
        <v>1</v>
      </c>
      <c r="AE425" s="14">
        <f>INDEX(挂机升级突破!BW$6:BW$57,卡牌消耗!$AI425)</f>
        <v>0</v>
      </c>
      <c r="AF425" s="14" t="str">
        <f t="shared" si="149"/>
        <v>徐晃</v>
      </c>
      <c r="AG425" s="14">
        <f t="shared" si="150"/>
        <v>3</v>
      </c>
      <c r="AH425" s="14" t="str">
        <f t="shared" si="151"/>
        <v>徐晃魂火-5</v>
      </c>
      <c r="AI425" s="14">
        <f t="shared" si="152"/>
        <v>5</v>
      </c>
      <c r="AJ425" s="14" t="str">
        <f>INDEX(挂机升级突破!$BX$4:$CH$4,INDEX(挂机升级突破!$BU$6:$BU$57,卡牌消耗!AI425))</f>
        <v>金币</v>
      </c>
      <c r="AK425" s="14">
        <f>ROUND(INDEX(挂机升级突破!$BN$6:$BN$57,卡牌消耗!AI425)*INDEX(卡牌消耗!$B$8:$F$8,AG425)/$Q$4/50,0)*50</f>
        <v>800</v>
      </c>
      <c r="AL425" s="14" t="str">
        <f>IF(AD425&gt;0,INDEX(挂机升级突破!$BX$4:$CH$4,AD425),"")</f>
        <v>绿色基础材料</v>
      </c>
      <c r="AM425" s="14">
        <f>ROUND(INDEX(挂机升级突破!$BX$6:$CH$57,卡牌消耗!AI425,AD425)*INDEX(卡牌消耗!$B$5:$F$5,AG425)/$Q$4/5,0)*5</f>
        <v>5005</v>
      </c>
      <c r="AN425" s="14" t="str">
        <f>IF(AE425&gt;0,INDEX(挂机升级突破!$BX$4:$CH$4,AE425),"")</f>
        <v/>
      </c>
      <c r="AO425" s="14" t="str">
        <f>IF(AE425&gt;0,ROUND(INDEX(挂机升级突破!$BX$6:$CH$57,卡牌消耗!AI425,AE425)*INDEX(卡牌消耗!$B$7:$F$7,AG425)/$Q$4,0),"")</f>
        <v/>
      </c>
      <c r="AP425" s="106"/>
      <c r="AQ425" s="15"/>
      <c r="AR425" s="104">
        <v>421</v>
      </c>
      <c r="AS425" s="14">
        <f t="shared" si="153"/>
        <v>22</v>
      </c>
      <c r="AT425" s="14">
        <f>INDEX(挂机升级突破!$CM$7:$CM$26,AX425)</f>
        <v>0</v>
      </c>
      <c r="AU425" s="14">
        <f>INDEX(挂机升级突破!$CN$7:$CN$26,AX425)</f>
        <v>0</v>
      </c>
      <c r="AV425" s="14">
        <f t="shared" si="154"/>
        <v>2</v>
      </c>
      <c r="AW425" s="14" t="str">
        <f t="shared" si="155"/>
        <v>柠檬精</v>
      </c>
      <c r="AX425" s="14">
        <f t="shared" si="156"/>
        <v>1</v>
      </c>
      <c r="AY425" s="14" t="str">
        <f t="shared" si="157"/>
        <v>柠檬精1突</v>
      </c>
      <c r="AZ425" s="14" t="str">
        <f>IF(AT425&gt;0,INDEX(挂机升级突破!$CV$5:$CZ$5,卡牌消耗!AT425),"")</f>
        <v/>
      </c>
      <c r="BA425" s="14" t="str">
        <f>IF(AT425&gt;0,ROUND(INDEX(挂机升级突破!$CZ$7:$CZ$26,卡牌消耗!AX425)*INDEX(卡牌消耗!$B$8:$F$8,AV425)/$Q$4/500,0)*500,"")</f>
        <v/>
      </c>
      <c r="BB425" s="14" t="str">
        <f>IF(AU425&gt;0,INDEX(挂机升级突破!$CV$5:$CZ$5,卡牌消耗!AU425),"")</f>
        <v/>
      </c>
      <c r="BC425" s="14" t="str">
        <f>IF(AU425&gt;0,ROUND(INDEX(挂机升级突破!$CV$7:$CY$26,卡牌消耗!AX425,卡牌消耗!AU425)*INDEX($B$6:$F$6,AV425)/$Q$4/5,0)*5,"")</f>
        <v/>
      </c>
      <c r="BD425" s="104"/>
      <c r="BE425" s="104"/>
      <c r="BF425" s="106"/>
    </row>
    <row r="426" spans="8:58" ht="16.5" x14ac:dyDescent="0.2">
      <c r="H426" s="15"/>
      <c r="I426" s="15"/>
      <c r="J426" s="15"/>
      <c r="K426" s="15"/>
      <c r="L426" s="15"/>
      <c r="M426" s="15"/>
      <c r="N426" s="15"/>
      <c r="O426" s="137"/>
      <c r="P426" s="141"/>
      <c r="Q426" s="141"/>
      <c r="R426" s="141"/>
      <c r="S426" s="141"/>
      <c r="T426" s="141"/>
      <c r="U426" s="141"/>
      <c r="V426" s="141"/>
      <c r="W426" s="141"/>
      <c r="X426" s="141"/>
      <c r="Y426" s="141"/>
      <c r="Z426" s="141"/>
      <c r="AA426" s="104">
        <v>422</v>
      </c>
      <c r="AB426" s="14">
        <f t="shared" si="148"/>
        <v>9</v>
      </c>
      <c r="AC426" s="14">
        <f>INDEX(挂机升级突破!$BU$6:$BU$57,卡牌消耗!AI426)</f>
        <v>11</v>
      </c>
      <c r="AD426" s="14">
        <f>INDEX(挂机升级突破!BV$6:BV$57,卡牌消耗!$AI426)</f>
        <v>2</v>
      </c>
      <c r="AE426" s="14">
        <f>INDEX(挂机升级突破!BW$6:BW$57,卡牌消耗!$AI426)</f>
        <v>0</v>
      </c>
      <c r="AF426" s="14" t="str">
        <f t="shared" si="149"/>
        <v>徐晃</v>
      </c>
      <c r="AG426" s="14">
        <f t="shared" si="150"/>
        <v>3</v>
      </c>
      <c r="AH426" s="14" t="str">
        <f t="shared" si="151"/>
        <v>徐晃魂火-6</v>
      </c>
      <c r="AI426" s="14">
        <f t="shared" si="152"/>
        <v>6</v>
      </c>
      <c r="AJ426" s="14" t="str">
        <f>INDEX(挂机升级突破!$BX$4:$CH$4,INDEX(挂机升级突破!$BU$6:$BU$57,卡牌消耗!AI426))</f>
        <v>金币</v>
      </c>
      <c r="AK426" s="14">
        <f>ROUND(INDEX(挂机升级突破!$BN$6:$BN$57,卡牌消耗!AI426)*INDEX(卡牌消耗!$B$8:$F$8,AG426)/$Q$4/50,0)*50</f>
        <v>1000</v>
      </c>
      <c r="AL426" s="14" t="str">
        <f>IF(AD426&gt;0,INDEX(挂机升级突破!$BX$4:$CH$4,AD426),"")</f>
        <v>蓝色基础材料</v>
      </c>
      <c r="AM426" s="14">
        <f>ROUND(INDEX(挂机升级突破!$BX$6:$CH$57,卡牌消耗!AI426,AD426)*INDEX(卡牌消耗!$B$5:$F$5,AG426)/$Q$4/5,0)*5</f>
        <v>480</v>
      </c>
      <c r="AN426" s="14" t="str">
        <f>IF(AE426&gt;0,INDEX(挂机升级突破!$BX$4:$CH$4,AE426),"")</f>
        <v/>
      </c>
      <c r="AO426" s="14" t="str">
        <f>IF(AE426&gt;0,ROUND(INDEX(挂机升级突破!$BX$6:$CH$57,卡牌消耗!AI426,AE426)*INDEX(卡牌消耗!$B$7:$F$7,AG426)/$Q$4,0),"")</f>
        <v/>
      </c>
      <c r="AP426" s="106"/>
      <c r="AQ426" s="15"/>
      <c r="AR426" s="104">
        <v>422</v>
      </c>
      <c r="AS426" s="14">
        <f t="shared" si="153"/>
        <v>22</v>
      </c>
      <c r="AT426" s="14">
        <f>INDEX(挂机升级突破!$CM$7:$CM$26,AX426)</f>
        <v>5</v>
      </c>
      <c r="AU426" s="14">
        <f>INDEX(挂机升级突破!$CN$7:$CN$26,AX426)</f>
        <v>0</v>
      </c>
      <c r="AV426" s="14">
        <f t="shared" si="154"/>
        <v>2</v>
      </c>
      <c r="AW426" s="14" t="str">
        <f t="shared" si="155"/>
        <v>柠檬精</v>
      </c>
      <c r="AX426" s="14">
        <f t="shared" si="156"/>
        <v>2</v>
      </c>
      <c r="AY426" s="14" t="str">
        <f t="shared" si="157"/>
        <v>柠檬精2突</v>
      </c>
      <c r="AZ426" s="14" t="str">
        <f>IF(AT426&gt;0,INDEX(挂机升级突破!$CV$5:$CZ$5,卡牌消耗!AT426),"")</f>
        <v>金币</v>
      </c>
      <c r="BA426" s="14">
        <f>IF(AT426&gt;0,ROUND(INDEX(挂机升级突破!$CZ$7:$CZ$26,卡牌消耗!AX426)*INDEX(卡牌消耗!$B$8:$F$8,AV426)/$Q$4/500,0)*500,"")</f>
        <v>1500</v>
      </c>
      <c r="BB426" s="14" t="str">
        <f>IF(AU426&gt;0,INDEX(挂机升级突破!$CV$5:$CZ$5,卡牌消耗!AU426),"")</f>
        <v/>
      </c>
      <c r="BC426" s="14" t="str">
        <f>IF(AU426&gt;0,ROUND(INDEX(挂机升级突破!$CV$7:$CY$26,卡牌消耗!AX426,卡牌消耗!AU426)*INDEX($B$6:$F$6,AV426)/$Q$4/5,0)*5,"")</f>
        <v/>
      </c>
      <c r="BD426" s="104"/>
      <c r="BE426" s="104"/>
      <c r="BF426" s="106"/>
    </row>
    <row r="427" spans="8:58" ht="16.5" x14ac:dyDescent="0.2">
      <c r="H427" s="15"/>
      <c r="I427" s="15"/>
      <c r="J427" s="15"/>
      <c r="K427" s="15"/>
      <c r="L427" s="15"/>
      <c r="M427" s="15"/>
      <c r="N427" s="15"/>
      <c r="O427" s="137"/>
      <c r="P427" s="141"/>
      <c r="Q427" s="141"/>
      <c r="R427" s="141"/>
      <c r="S427" s="141"/>
      <c r="T427" s="141"/>
      <c r="U427" s="141"/>
      <c r="V427" s="141"/>
      <c r="W427" s="141"/>
      <c r="X427" s="141"/>
      <c r="Y427" s="141"/>
      <c r="Z427" s="141"/>
      <c r="AA427" s="104">
        <v>423</v>
      </c>
      <c r="AB427" s="14">
        <f t="shared" si="148"/>
        <v>9</v>
      </c>
      <c r="AC427" s="14">
        <f>INDEX(挂机升级突破!$BU$6:$BU$57,卡牌消耗!AI427)</f>
        <v>11</v>
      </c>
      <c r="AD427" s="14">
        <f>INDEX(挂机升级突破!BV$6:BV$57,卡牌消耗!$AI427)</f>
        <v>2</v>
      </c>
      <c r="AE427" s="14">
        <f>INDEX(挂机升级突破!BW$6:BW$57,卡牌消耗!$AI427)</f>
        <v>0</v>
      </c>
      <c r="AF427" s="14" t="str">
        <f t="shared" si="149"/>
        <v>徐晃</v>
      </c>
      <c r="AG427" s="14">
        <f t="shared" si="150"/>
        <v>3</v>
      </c>
      <c r="AH427" s="14" t="str">
        <f t="shared" si="151"/>
        <v>徐晃魂火-7</v>
      </c>
      <c r="AI427" s="14">
        <f t="shared" si="152"/>
        <v>7</v>
      </c>
      <c r="AJ427" s="14" t="str">
        <f>INDEX(挂机升级突破!$BX$4:$CH$4,INDEX(挂机升级突破!$BU$6:$BU$57,卡牌消耗!AI427))</f>
        <v>金币</v>
      </c>
      <c r="AK427" s="14">
        <f>ROUND(INDEX(挂机升级突破!$BN$6:$BN$57,卡牌消耗!AI427)*INDEX(卡牌消耗!$B$8:$F$8,AG427)/$Q$4/50,0)*50</f>
        <v>1000</v>
      </c>
      <c r="AL427" s="14" t="str">
        <f>IF(AD427&gt;0,INDEX(挂机升级突破!$BX$4:$CH$4,AD427),"")</f>
        <v>蓝色基础材料</v>
      </c>
      <c r="AM427" s="14">
        <f>ROUND(INDEX(挂机升级突破!$BX$6:$CH$57,卡牌消耗!AI427,AD427)*INDEX(卡牌消耗!$B$5:$F$5,AG427)/$Q$4/5,0)*5</f>
        <v>480</v>
      </c>
      <c r="AN427" s="14" t="str">
        <f>IF(AE427&gt;0,INDEX(挂机升级突破!$BX$4:$CH$4,AE427),"")</f>
        <v/>
      </c>
      <c r="AO427" s="14" t="str">
        <f>IF(AE427&gt;0,ROUND(INDEX(挂机升级突破!$BX$6:$CH$57,卡牌消耗!AI427,AE427)*INDEX(卡牌消耗!$B$7:$F$7,AG427)/$Q$4,0),"")</f>
        <v/>
      </c>
      <c r="AP427" s="106"/>
      <c r="AQ427" s="15"/>
      <c r="AR427" s="104">
        <v>423</v>
      </c>
      <c r="AS427" s="14">
        <f t="shared" si="153"/>
        <v>22</v>
      </c>
      <c r="AT427" s="14">
        <f>INDEX(挂机升级突破!$CM$7:$CM$26,AX427)</f>
        <v>5</v>
      </c>
      <c r="AU427" s="14">
        <f>INDEX(挂机升级突破!$CN$7:$CN$26,AX427)</f>
        <v>0</v>
      </c>
      <c r="AV427" s="14">
        <f t="shared" si="154"/>
        <v>2</v>
      </c>
      <c r="AW427" s="14" t="str">
        <f t="shared" si="155"/>
        <v>柠檬精</v>
      </c>
      <c r="AX427" s="14">
        <f t="shared" si="156"/>
        <v>3</v>
      </c>
      <c r="AY427" s="14" t="str">
        <f t="shared" si="157"/>
        <v>柠檬精3突</v>
      </c>
      <c r="AZ427" s="14" t="str">
        <f>IF(AT427&gt;0,INDEX(挂机升级突破!$CV$5:$CZ$5,卡牌消耗!AT427),"")</f>
        <v>金币</v>
      </c>
      <c r="BA427" s="14">
        <f>IF(AT427&gt;0,ROUND(INDEX(挂机升级突破!$CZ$7:$CZ$26,卡牌消耗!AX427)*INDEX(卡牌消耗!$B$8:$F$8,AV427)/$Q$4/500,0)*500,"")</f>
        <v>1500</v>
      </c>
      <c r="BB427" s="14" t="str">
        <f>IF(AU427&gt;0,INDEX(挂机升级突破!$CV$5:$CZ$5,卡牌消耗!AU427),"")</f>
        <v/>
      </c>
      <c r="BC427" s="14" t="str">
        <f>IF(AU427&gt;0,ROUND(INDEX(挂机升级突破!$CV$7:$CY$26,卡牌消耗!AX427,卡牌消耗!AU427)*INDEX($B$6:$F$6,AV427)/$Q$4/5,0)*5,"")</f>
        <v/>
      </c>
      <c r="BD427" s="104"/>
      <c r="BE427" s="104"/>
      <c r="BF427" s="106"/>
    </row>
    <row r="428" spans="8:58" ht="16.5" x14ac:dyDescent="0.2">
      <c r="H428" s="15"/>
      <c r="I428" s="15"/>
      <c r="J428" s="15"/>
      <c r="K428" s="15"/>
      <c r="L428" s="15"/>
      <c r="M428" s="15"/>
      <c r="N428" s="15"/>
      <c r="O428" s="137"/>
      <c r="P428" s="141"/>
      <c r="Q428" s="141"/>
      <c r="R428" s="141"/>
      <c r="S428" s="141"/>
      <c r="T428" s="141"/>
      <c r="U428" s="141"/>
      <c r="V428" s="141"/>
      <c r="W428" s="141"/>
      <c r="X428" s="141"/>
      <c r="Y428" s="141"/>
      <c r="Z428" s="141"/>
      <c r="AA428" s="104">
        <v>424</v>
      </c>
      <c r="AB428" s="14">
        <f t="shared" si="148"/>
        <v>9</v>
      </c>
      <c r="AC428" s="14">
        <f>INDEX(挂机升级突破!$BU$6:$BU$57,卡牌消耗!AI428)</f>
        <v>11</v>
      </c>
      <c r="AD428" s="14">
        <f>INDEX(挂机升级突破!BV$6:BV$57,卡牌消耗!$AI428)</f>
        <v>2</v>
      </c>
      <c r="AE428" s="14">
        <f>INDEX(挂机升级突破!BW$6:BW$57,卡牌消耗!$AI428)</f>
        <v>0</v>
      </c>
      <c r="AF428" s="14" t="str">
        <f t="shared" si="149"/>
        <v>徐晃</v>
      </c>
      <c r="AG428" s="14">
        <f t="shared" si="150"/>
        <v>3</v>
      </c>
      <c r="AH428" s="14" t="str">
        <f t="shared" si="151"/>
        <v>徐晃魂火-8</v>
      </c>
      <c r="AI428" s="14">
        <f t="shared" si="152"/>
        <v>8</v>
      </c>
      <c r="AJ428" s="14" t="str">
        <f>INDEX(挂机升级突破!$BX$4:$CH$4,INDEX(挂机升级突破!$BU$6:$BU$57,卡牌消耗!AI428))</f>
        <v>金币</v>
      </c>
      <c r="AK428" s="14">
        <f>ROUND(INDEX(挂机升级突破!$BN$6:$BN$57,卡牌消耗!AI428)*INDEX(卡牌消耗!$B$8:$F$8,AG428)/$Q$4/50,0)*50</f>
        <v>1500</v>
      </c>
      <c r="AL428" s="14" t="str">
        <f>IF(AD428&gt;0,INDEX(挂机升级突破!$BX$4:$CH$4,AD428),"")</f>
        <v>蓝色基础材料</v>
      </c>
      <c r="AM428" s="14">
        <f>ROUND(INDEX(挂机升级突破!$BX$6:$CH$57,卡牌消耗!AI428,AD428)*INDEX(卡牌消耗!$B$5:$F$5,AG428)/$Q$4/5,0)*5</f>
        <v>960</v>
      </c>
      <c r="AN428" s="14" t="str">
        <f>IF(AE428&gt;0,INDEX(挂机升级突破!$BX$4:$CH$4,AE428),"")</f>
        <v/>
      </c>
      <c r="AO428" s="14" t="str">
        <f>IF(AE428&gt;0,ROUND(INDEX(挂机升级突破!$BX$6:$CH$57,卡牌消耗!AI428,AE428)*INDEX(卡牌消耗!$B$7:$F$7,AG428)/$Q$4,0),"")</f>
        <v/>
      </c>
      <c r="AP428" s="106"/>
      <c r="AQ428" s="15"/>
      <c r="AR428" s="104">
        <v>424</v>
      </c>
      <c r="AS428" s="14">
        <f t="shared" si="153"/>
        <v>22</v>
      </c>
      <c r="AT428" s="14">
        <f>INDEX(挂机升级突破!$CM$7:$CM$26,AX428)</f>
        <v>5</v>
      </c>
      <c r="AU428" s="14">
        <f>INDEX(挂机升级突破!$CN$7:$CN$26,AX428)</f>
        <v>1</v>
      </c>
      <c r="AV428" s="14">
        <f t="shared" si="154"/>
        <v>2</v>
      </c>
      <c r="AW428" s="14" t="str">
        <f t="shared" si="155"/>
        <v>柠檬精</v>
      </c>
      <c r="AX428" s="14">
        <f t="shared" si="156"/>
        <v>4</v>
      </c>
      <c r="AY428" s="14" t="str">
        <f t="shared" si="157"/>
        <v>柠檬精4突</v>
      </c>
      <c r="AZ428" s="14" t="str">
        <f>IF(AT428&gt;0,INDEX(挂机升级突破!$CV$5:$CZ$5,卡牌消耗!AT428),"")</f>
        <v>金币</v>
      </c>
      <c r="BA428" s="14">
        <f>IF(AT428&gt;0,ROUND(INDEX(挂机升级突破!$CZ$7:$CZ$26,卡牌消耗!AX428)*INDEX(卡牌消耗!$B$8:$F$8,AV428)/$Q$4/500,0)*500,"")</f>
        <v>2000</v>
      </c>
      <c r="BB428" s="14" t="str">
        <f>IF(AU428&gt;0,INDEX(挂机升级突破!$CV$5:$CZ$5,卡牌消耗!AU428),"")</f>
        <v>玄铁</v>
      </c>
      <c r="BC428" s="14">
        <f>IF(AU428&gt;0,ROUND(INDEX(挂机升级突破!$CV$7:$CY$26,卡牌消耗!AX428,卡牌消耗!AU428)*INDEX($B$6:$F$6,AV428)/$Q$4/5,0)*5,"")</f>
        <v>45</v>
      </c>
      <c r="BD428" s="104"/>
      <c r="BE428" s="104"/>
      <c r="BF428" s="106"/>
    </row>
    <row r="429" spans="8:58" ht="16.5" x14ac:dyDescent="0.2">
      <c r="H429" s="15"/>
      <c r="I429" s="15"/>
      <c r="J429" s="15"/>
      <c r="K429" s="15"/>
      <c r="L429" s="15"/>
      <c r="M429" s="15"/>
      <c r="N429" s="15"/>
      <c r="O429" s="137"/>
      <c r="P429" s="141"/>
      <c r="Q429" s="141"/>
      <c r="R429" s="141"/>
      <c r="S429" s="141"/>
      <c r="T429" s="141"/>
      <c r="U429" s="141"/>
      <c r="V429" s="141"/>
      <c r="W429" s="141"/>
      <c r="X429" s="141"/>
      <c r="Y429" s="141"/>
      <c r="Z429" s="141"/>
      <c r="AA429" s="104">
        <v>425</v>
      </c>
      <c r="AB429" s="14">
        <f t="shared" si="148"/>
        <v>9</v>
      </c>
      <c r="AC429" s="14">
        <f>INDEX(挂机升级突破!$BU$6:$BU$57,卡牌消耗!AI429)</f>
        <v>11</v>
      </c>
      <c r="AD429" s="14">
        <f>INDEX(挂机升级突破!BV$6:BV$57,卡牌消耗!$AI429)</f>
        <v>2</v>
      </c>
      <c r="AE429" s="14">
        <f>INDEX(挂机升级突破!BW$6:BW$57,卡牌消耗!$AI429)</f>
        <v>0</v>
      </c>
      <c r="AF429" s="14" t="str">
        <f t="shared" si="149"/>
        <v>徐晃</v>
      </c>
      <c r="AG429" s="14">
        <f t="shared" si="150"/>
        <v>3</v>
      </c>
      <c r="AH429" s="14" t="str">
        <f t="shared" si="151"/>
        <v>徐晃魂火-9</v>
      </c>
      <c r="AI429" s="14">
        <f t="shared" si="152"/>
        <v>9</v>
      </c>
      <c r="AJ429" s="14" t="str">
        <f>INDEX(挂机升级突破!$BX$4:$CH$4,INDEX(挂机升级突破!$BU$6:$BU$57,卡牌消耗!AI429))</f>
        <v>金币</v>
      </c>
      <c r="AK429" s="14">
        <f>ROUND(INDEX(挂机升级突破!$BN$6:$BN$57,卡牌消耗!AI429)*INDEX(卡牌消耗!$B$8:$F$8,AG429)/$Q$4/50,0)*50</f>
        <v>1500</v>
      </c>
      <c r="AL429" s="14" t="str">
        <f>IF(AD429&gt;0,INDEX(挂机升级突破!$BX$4:$CH$4,AD429),"")</f>
        <v>蓝色基础材料</v>
      </c>
      <c r="AM429" s="14">
        <f>ROUND(INDEX(挂机升级突破!$BX$6:$CH$57,卡牌消耗!AI429,AD429)*INDEX(卡牌消耗!$B$5:$F$5,AG429)/$Q$4/5,0)*5</f>
        <v>960</v>
      </c>
      <c r="AN429" s="14" t="str">
        <f>IF(AE429&gt;0,INDEX(挂机升级突破!$BX$4:$CH$4,AE429),"")</f>
        <v/>
      </c>
      <c r="AO429" s="14" t="str">
        <f>IF(AE429&gt;0,ROUND(INDEX(挂机升级突破!$BX$6:$CH$57,卡牌消耗!AI429,AE429)*INDEX(卡牌消耗!$B$7:$F$7,AG429)/$Q$4,0),"")</f>
        <v/>
      </c>
      <c r="AP429" s="106"/>
      <c r="AQ429" s="15"/>
      <c r="AR429" s="104">
        <v>425</v>
      </c>
      <c r="AS429" s="14">
        <f t="shared" si="153"/>
        <v>22</v>
      </c>
      <c r="AT429" s="14">
        <f>INDEX(挂机升级突破!$CM$7:$CM$26,AX429)</f>
        <v>5</v>
      </c>
      <c r="AU429" s="14">
        <f>INDEX(挂机升级突破!$CN$7:$CN$26,AX429)</f>
        <v>1</v>
      </c>
      <c r="AV429" s="14">
        <f t="shared" si="154"/>
        <v>2</v>
      </c>
      <c r="AW429" s="14" t="str">
        <f t="shared" si="155"/>
        <v>柠檬精</v>
      </c>
      <c r="AX429" s="14">
        <f t="shared" si="156"/>
        <v>5</v>
      </c>
      <c r="AY429" s="14" t="str">
        <f t="shared" si="157"/>
        <v>柠檬精5突</v>
      </c>
      <c r="AZ429" s="14" t="str">
        <f>IF(AT429&gt;0,INDEX(挂机升级突破!$CV$5:$CZ$5,卡牌消耗!AT429),"")</f>
        <v>金币</v>
      </c>
      <c r="BA429" s="14">
        <f>IF(AT429&gt;0,ROUND(INDEX(挂机升级突破!$CZ$7:$CZ$26,卡牌消耗!AX429)*INDEX(卡牌消耗!$B$8:$F$8,AV429)/$Q$4/500,0)*500,"")</f>
        <v>2000</v>
      </c>
      <c r="BB429" s="14" t="str">
        <f>IF(AU429&gt;0,INDEX(挂机升级突破!$CV$5:$CZ$5,卡牌消耗!AU429),"")</f>
        <v>玄铁</v>
      </c>
      <c r="BC429" s="14">
        <f>IF(AU429&gt;0,ROUND(INDEX(挂机升级突破!$CV$7:$CY$26,卡牌消耗!AX429,卡牌消耗!AU429)*INDEX($B$6:$F$6,AV429)/$Q$4/5,0)*5,"")</f>
        <v>95</v>
      </c>
      <c r="BD429" s="104"/>
      <c r="BE429" s="104"/>
      <c r="BF429" s="106"/>
    </row>
    <row r="430" spans="8:58" ht="16.5" x14ac:dyDescent="0.2">
      <c r="H430" s="15"/>
      <c r="I430" s="15"/>
      <c r="J430" s="15"/>
      <c r="K430" s="15"/>
      <c r="L430" s="15"/>
      <c r="M430" s="15"/>
      <c r="N430" s="15"/>
      <c r="O430" s="137"/>
      <c r="P430" s="141"/>
      <c r="Q430" s="141"/>
      <c r="R430" s="141"/>
      <c r="S430" s="141"/>
      <c r="T430" s="141"/>
      <c r="U430" s="141"/>
      <c r="V430" s="141"/>
      <c r="W430" s="141"/>
      <c r="X430" s="141"/>
      <c r="Y430" s="141"/>
      <c r="Z430" s="141"/>
      <c r="AA430" s="104">
        <v>426</v>
      </c>
      <c r="AB430" s="14">
        <f t="shared" si="148"/>
        <v>9</v>
      </c>
      <c r="AC430" s="14">
        <f>INDEX(挂机升级突破!$BU$6:$BU$57,卡牌消耗!AI430)</f>
        <v>11</v>
      </c>
      <c r="AD430" s="14">
        <f>INDEX(挂机升级突破!BV$6:BV$57,卡牌消耗!$AI430)</f>
        <v>2</v>
      </c>
      <c r="AE430" s="14">
        <f>INDEX(挂机升级突破!BW$6:BW$57,卡牌消耗!$AI430)</f>
        <v>0</v>
      </c>
      <c r="AF430" s="14" t="str">
        <f t="shared" si="149"/>
        <v>徐晃</v>
      </c>
      <c r="AG430" s="14">
        <f t="shared" si="150"/>
        <v>3</v>
      </c>
      <c r="AH430" s="14" t="str">
        <f t="shared" si="151"/>
        <v>徐晃魂火-10</v>
      </c>
      <c r="AI430" s="14">
        <f t="shared" si="152"/>
        <v>10</v>
      </c>
      <c r="AJ430" s="14" t="str">
        <f>INDEX(挂机升级突破!$BX$4:$CH$4,INDEX(挂机升级突破!$BU$6:$BU$57,卡牌消耗!AI430))</f>
        <v>金币</v>
      </c>
      <c r="AK430" s="14">
        <f>ROUND(INDEX(挂机升级突破!$BN$6:$BN$57,卡牌消耗!AI430)*INDEX(卡牌消耗!$B$8:$F$8,AG430)/$Q$4/50,0)*50</f>
        <v>2450</v>
      </c>
      <c r="AL430" s="14" t="str">
        <f>IF(AD430&gt;0,INDEX(挂机升级突破!$BX$4:$CH$4,AD430),"")</f>
        <v>蓝色基础材料</v>
      </c>
      <c r="AM430" s="14">
        <f>ROUND(INDEX(挂机升级突破!$BX$6:$CH$57,卡牌消耗!AI430,AD430)*INDEX(卡牌消耗!$B$5:$F$5,AG430)/$Q$4/5,0)*5</f>
        <v>1440</v>
      </c>
      <c r="AN430" s="14" t="str">
        <f>IF(AE430&gt;0,INDEX(挂机升级突破!$BX$4:$CH$4,AE430),"")</f>
        <v/>
      </c>
      <c r="AO430" s="14" t="str">
        <f>IF(AE430&gt;0,ROUND(INDEX(挂机升级突破!$BX$6:$CH$57,卡牌消耗!AI430,AE430)*INDEX(卡牌消耗!$B$7:$F$7,AG430)/$Q$4,0),"")</f>
        <v/>
      </c>
      <c r="AP430" s="106"/>
      <c r="AQ430" s="15"/>
      <c r="AR430" s="104">
        <v>426</v>
      </c>
      <c r="AS430" s="14">
        <f t="shared" si="153"/>
        <v>22</v>
      </c>
      <c r="AT430" s="14">
        <f>INDEX(挂机升级突破!$CM$7:$CM$26,AX430)</f>
        <v>5</v>
      </c>
      <c r="AU430" s="14">
        <f>INDEX(挂机升级突破!$CN$7:$CN$26,AX430)</f>
        <v>1</v>
      </c>
      <c r="AV430" s="14">
        <f t="shared" si="154"/>
        <v>2</v>
      </c>
      <c r="AW430" s="14" t="str">
        <f t="shared" si="155"/>
        <v>柠檬精</v>
      </c>
      <c r="AX430" s="14">
        <f t="shared" si="156"/>
        <v>6</v>
      </c>
      <c r="AY430" s="14" t="str">
        <f t="shared" si="157"/>
        <v>柠檬精6突</v>
      </c>
      <c r="AZ430" s="14" t="str">
        <f>IF(AT430&gt;0,INDEX(挂机升级突破!$CV$5:$CZ$5,卡牌消耗!AT430),"")</f>
        <v>金币</v>
      </c>
      <c r="BA430" s="14">
        <f>IF(AT430&gt;0,ROUND(INDEX(挂机升级突破!$CZ$7:$CZ$26,卡牌消耗!AX430)*INDEX(卡牌消耗!$B$8:$F$8,AV430)/$Q$4/500,0)*500,"")</f>
        <v>3000</v>
      </c>
      <c r="BB430" s="14" t="str">
        <f>IF(AU430&gt;0,INDEX(挂机升级突破!$CV$5:$CZ$5,卡牌消耗!AU430),"")</f>
        <v>玄铁</v>
      </c>
      <c r="BC430" s="14">
        <f>IF(AU430&gt;0,ROUND(INDEX(挂机升级突破!$CV$7:$CY$26,卡牌消耗!AX430,卡牌消耗!AU430)*INDEX($B$6:$F$6,AV430)/$Q$4/5,0)*5,"")</f>
        <v>140</v>
      </c>
      <c r="BD430" s="104"/>
      <c r="BE430" s="104"/>
      <c r="BF430" s="106"/>
    </row>
    <row r="431" spans="8:58" ht="16.5" x14ac:dyDescent="0.2">
      <c r="H431" s="15"/>
      <c r="I431" s="15"/>
      <c r="J431" s="15"/>
      <c r="K431" s="15"/>
      <c r="L431" s="15"/>
      <c r="M431" s="15"/>
      <c r="N431" s="15"/>
      <c r="O431" s="137"/>
      <c r="P431" s="141"/>
      <c r="Q431" s="141"/>
      <c r="R431" s="141"/>
      <c r="S431" s="141"/>
      <c r="T431" s="141"/>
      <c r="U431" s="141"/>
      <c r="V431" s="141"/>
      <c r="W431" s="141"/>
      <c r="X431" s="141"/>
      <c r="Y431" s="141"/>
      <c r="Z431" s="141"/>
      <c r="AA431" s="104">
        <v>427</v>
      </c>
      <c r="AB431" s="14">
        <f t="shared" si="148"/>
        <v>9</v>
      </c>
      <c r="AC431" s="14">
        <f>INDEX(挂机升级突破!$BU$6:$BU$57,卡牌消耗!AI431)</f>
        <v>11</v>
      </c>
      <c r="AD431" s="14">
        <f>INDEX(挂机升级突破!BV$6:BV$57,卡牌消耗!$AI431)</f>
        <v>2</v>
      </c>
      <c r="AE431" s="14">
        <f>INDEX(挂机升级突破!BW$6:BW$57,卡牌消耗!$AI431)</f>
        <v>0</v>
      </c>
      <c r="AF431" s="14" t="str">
        <f t="shared" si="149"/>
        <v>徐晃</v>
      </c>
      <c r="AG431" s="14">
        <f t="shared" si="150"/>
        <v>3</v>
      </c>
      <c r="AH431" s="14" t="str">
        <f t="shared" si="151"/>
        <v>徐晃魂火-11</v>
      </c>
      <c r="AI431" s="14">
        <f t="shared" si="152"/>
        <v>11</v>
      </c>
      <c r="AJ431" s="14" t="str">
        <f>INDEX(挂机升级突破!$BX$4:$CH$4,INDEX(挂机升级突破!$BU$6:$BU$57,卡牌消耗!AI431))</f>
        <v>金币</v>
      </c>
      <c r="AK431" s="14">
        <f>ROUND(INDEX(挂机升级突破!$BN$6:$BN$57,卡牌消耗!AI431)*INDEX(卡牌消耗!$B$8:$F$8,AG431)/$Q$4/50,0)*50</f>
        <v>2450</v>
      </c>
      <c r="AL431" s="14" t="str">
        <f>IF(AD431&gt;0,INDEX(挂机升级突破!$BX$4:$CH$4,AD431),"")</f>
        <v>蓝色基础材料</v>
      </c>
      <c r="AM431" s="14">
        <f>ROUND(INDEX(挂机升级突破!$BX$6:$CH$57,卡牌消耗!AI431,AD431)*INDEX(卡牌消耗!$B$5:$F$5,AG431)/$Q$4/5,0)*5</f>
        <v>1440</v>
      </c>
      <c r="AN431" s="14" t="str">
        <f>IF(AE431&gt;0,INDEX(挂机升级突破!$BX$4:$CH$4,AE431),"")</f>
        <v/>
      </c>
      <c r="AO431" s="14" t="str">
        <f>IF(AE431&gt;0,ROUND(INDEX(挂机升级突破!$BX$6:$CH$57,卡牌消耗!AI431,AE431)*INDEX(卡牌消耗!$B$7:$F$7,AG431)/$Q$4,0),"")</f>
        <v/>
      </c>
      <c r="AP431" s="106"/>
      <c r="AQ431" s="15"/>
      <c r="AR431" s="104">
        <v>427</v>
      </c>
      <c r="AS431" s="14">
        <f t="shared" si="153"/>
        <v>22</v>
      </c>
      <c r="AT431" s="14">
        <f>INDEX(挂机升级突破!$CM$7:$CM$26,AX431)</f>
        <v>5</v>
      </c>
      <c r="AU431" s="14">
        <f>INDEX(挂机升级突破!$CN$7:$CN$26,AX431)</f>
        <v>1</v>
      </c>
      <c r="AV431" s="14">
        <f t="shared" si="154"/>
        <v>2</v>
      </c>
      <c r="AW431" s="14" t="str">
        <f t="shared" si="155"/>
        <v>柠檬精</v>
      </c>
      <c r="AX431" s="14">
        <f t="shared" si="156"/>
        <v>7</v>
      </c>
      <c r="AY431" s="14" t="str">
        <f t="shared" si="157"/>
        <v>柠檬精7突</v>
      </c>
      <c r="AZ431" s="14" t="str">
        <f>IF(AT431&gt;0,INDEX(挂机升级突破!$CV$5:$CZ$5,卡牌消耗!AT431),"")</f>
        <v>金币</v>
      </c>
      <c r="BA431" s="14">
        <f>IF(AT431&gt;0,ROUND(INDEX(挂机升级突破!$CZ$7:$CZ$26,卡牌消耗!AX431)*INDEX(卡牌消耗!$B$8:$F$8,AV431)/$Q$4/500,0)*500,"")</f>
        <v>4500</v>
      </c>
      <c r="BB431" s="14" t="str">
        <f>IF(AU431&gt;0,INDEX(挂机升级突破!$CV$5:$CZ$5,卡牌消耗!AU431),"")</f>
        <v>玄铁</v>
      </c>
      <c r="BC431" s="14">
        <f>IF(AU431&gt;0,ROUND(INDEX(挂机升级突破!$CV$7:$CY$26,卡牌消耗!AX431,卡牌消耗!AU431)*INDEX($B$6:$F$6,AV431)/$Q$4/5,0)*5,"")</f>
        <v>230</v>
      </c>
      <c r="BD431" s="104"/>
      <c r="BE431" s="104"/>
      <c r="BF431" s="106"/>
    </row>
    <row r="432" spans="8:58" ht="16.5" x14ac:dyDescent="0.2">
      <c r="H432" s="15"/>
      <c r="I432" s="15"/>
      <c r="J432" s="15"/>
      <c r="K432" s="15"/>
      <c r="L432" s="15"/>
      <c r="M432" s="15"/>
      <c r="N432" s="15"/>
      <c r="O432" s="137"/>
      <c r="P432" s="141"/>
      <c r="Q432" s="141"/>
      <c r="R432" s="141"/>
      <c r="S432" s="141"/>
      <c r="T432" s="141"/>
      <c r="U432" s="141"/>
      <c r="V432" s="141"/>
      <c r="W432" s="141"/>
      <c r="X432" s="141"/>
      <c r="Y432" s="141"/>
      <c r="Z432" s="141"/>
      <c r="AA432" s="104">
        <v>428</v>
      </c>
      <c r="AB432" s="14">
        <f t="shared" si="148"/>
        <v>9</v>
      </c>
      <c r="AC432" s="14">
        <f>INDEX(挂机升级突破!$BU$6:$BU$57,卡牌消耗!AI432)</f>
        <v>11</v>
      </c>
      <c r="AD432" s="14">
        <f>INDEX(挂机升级突破!BV$6:BV$57,卡牌消耗!$AI432)</f>
        <v>2</v>
      </c>
      <c r="AE432" s="14">
        <f>INDEX(挂机升级突破!BW$6:BW$57,卡牌消耗!$AI432)</f>
        <v>0</v>
      </c>
      <c r="AF432" s="14" t="str">
        <f t="shared" si="149"/>
        <v>徐晃</v>
      </c>
      <c r="AG432" s="14">
        <f t="shared" si="150"/>
        <v>3</v>
      </c>
      <c r="AH432" s="14" t="str">
        <f t="shared" si="151"/>
        <v>徐晃魂火-12</v>
      </c>
      <c r="AI432" s="14">
        <f t="shared" si="152"/>
        <v>12</v>
      </c>
      <c r="AJ432" s="14" t="str">
        <f>INDEX(挂机升级突破!$BX$4:$CH$4,INDEX(挂机升级突破!$BU$6:$BU$57,卡牌消耗!AI432))</f>
        <v>金币</v>
      </c>
      <c r="AK432" s="14">
        <f>ROUND(INDEX(挂机升级突破!$BN$6:$BN$57,卡牌消耗!AI432)*INDEX(卡牌消耗!$B$8:$F$8,AG432)/$Q$4/50,0)*50</f>
        <v>2100</v>
      </c>
      <c r="AL432" s="14" t="str">
        <f>IF(AD432&gt;0,INDEX(挂机升级突破!$BX$4:$CH$4,AD432),"")</f>
        <v>蓝色基础材料</v>
      </c>
      <c r="AM432" s="14">
        <f>ROUND(INDEX(挂机升级突破!$BX$6:$CH$57,卡牌消耗!AI432,AD432)*INDEX(卡牌消耗!$B$5:$F$5,AG432)/$Q$4/5,0)*5</f>
        <v>1920</v>
      </c>
      <c r="AN432" s="14" t="str">
        <f>IF(AE432&gt;0,INDEX(挂机升级突破!$BX$4:$CH$4,AE432),"")</f>
        <v/>
      </c>
      <c r="AO432" s="14" t="str">
        <f>IF(AE432&gt;0,ROUND(INDEX(挂机升级突破!$BX$6:$CH$57,卡牌消耗!AI432,AE432)*INDEX(卡牌消耗!$B$7:$F$7,AG432)/$Q$4,0),"")</f>
        <v/>
      </c>
      <c r="AP432" s="106"/>
      <c r="AQ432" s="15"/>
      <c r="AR432" s="104">
        <v>428</v>
      </c>
      <c r="AS432" s="14">
        <f t="shared" si="153"/>
        <v>22</v>
      </c>
      <c r="AT432" s="14">
        <f>INDEX(挂机升级突破!$CM$7:$CM$26,AX432)</f>
        <v>5</v>
      </c>
      <c r="AU432" s="14">
        <f>INDEX(挂机升级突破!$CN$7:$CN$26,AX432)</f>
        <v>1</v>
      </c>
      <c r="AV432" s="14">
        <f t="shared" si="154"/>
        <v>2</v>
      </c>
      <c r="AW432" s="14" t="str">
        <f t="shared" si="155"/>
        <v>柠檬精</v>
      </c>
      <c r="AX432" s="14">
        <f t="shared" si="156"/>
        <v>8</v>
      </c>
      <c r="AY432" s="14" t="str">
        <f t="shared" si="157"/>
        <v>柠檬精8突</v>
      </c>
      <c r="AZ432" s="14" t="str">
        <f>IF(AT432&gt;0,INDEX(挂机升级突破!$CV$5:$CZ$5,卡牌消耗!AT432),"")</f>
        <v>金币</v>
      </c>
      <c r="BA432" s="14">
        <f>IF(AT432&gt;0,ROUND(INDEX(挂机升级突破!$CZ$7:$CZ$26,卡牌消耗!AX432)*INDEX(卡牌消耗!$B$8:$F$8,AV432)/$Q$4/500,0)*500,"")</f>
        <v>4500</v>
      </c>
      <c r="BB432" s="14" t="str">
        <f>IF(AU432&gt;0,INDEX(挂机升级突破!$CV$5:$CZ$5,卡牌消耗!AU432),"")</f>
        <v>玄铁</v>
      </c>
      <c r="BC432" s="14">
        <f>IF(AU432&gt;0,ROUND(INDEX(挂机升级突破!$CV$7:$CY$26,卡牌消耗!AX432,卡牌消耗!AU432)*INDEX($B$6:$F$6,AV432)/$Q$4/5,0)*5,"")</f>
        <v>415</v>
      </c>
      <c r="BD432" s="104"/>
      <c r="BE432" s="104"/>
      <c r="BF432" s="106"/>
    </row>
    <row r="433" spans="8:58" ht="16.5" x14ac:dyDescent="0.2">
      <c r="H433" s="15"/>
      <c r="I433" s="15"/>
      <c r="J433" s="15"/>
      <c r="K433" s="15"/>
      <c r="L433" s="15"/>
      <c r="M433" s="15"/>
      <c r="N433" s="15"/>
      <c r="O433" s="137"/>
      <c r="P433" s="141"/>
      <c r="Q433" s="141"/>
      <c r="R433" s="141"/>
      <c r="S433" s="141"/>
      <c r="T433" s="141"/>
      <c r="U433" s="141"/>
      <c r="V433" s="141"/>
      <c r="W433" s="141"/>
      <c r="X433" s="141"/>
      <c r="Y433" s="141"/>
      <c r="Z433" s="141"/>
      <c r="AA433" s="104">
        <v>429</v>
      </c>
      <c r="AB433" s="14">
        <f t="shared" si="148"/>
        <v>9</v>
      </c>
      <c r="AC433" s="14">
        <f>INDEX(挂机升级突破!$BU$6:$BU$57,卡牌消耗!AI433)</f>
        <v>11</v>
      </c>
      <c r="AD433" s="14">
        <f>INDEX(挂机升级突破!BV$6:BV$57,卡牌消耗!$AI433)</f>
        <v>2</v>
      </c>
      <c r="AE433" s="14">
        <f>INDEX(挂机升级突破!BW$6:BW$57,卡牌消耗!$AI433)</f>
        <v>0</v>
      </c>
      <c r="AF433" s="14" t="str">
        <f t="shared" si="149"/>
        <v>徐晃</v>
      </c>
      <c r="AG433" s="14">
        <f t="shared" si="150"/>
        <v>3</v>
      </c>
      <c r="AH433" s="14" t="str">
        <f t="shared" si="151"/>
        <v>徐晃魂火-13</v>
      </c>
      <c r="AI433" s="14">
        <f t="shared" si="152"/>
        <v>13</v>
      </c>
      <c r="AJ433" s="14" t="str">
        <f>INDEX(挂机升级突破!$BX$4:$CH$4,INDEX(挂机升级突破!$BU$6:$BU$57,卡牌消耗!AI433))</f>
        <v>金币</v>
      </c>
      <c r="AK433" s="14">
        <f>ROUND(INDEX(挂机升级突破!$BN$6:$BN$57,卡牌消耗!AI433)*INDEX(卡牌消耗!$B$8:$F$8,AG433)/$Q$4/50,0)*50</f>
        <v>2100</v>
      </c>
      <c r="AL433" s="14" t="str">
        <f>IF(AD433&gt;0,INDEX(挂机升级突破!$BX$4:$CH$4,AD433),"")</f>
        <v>蓝色基础材料</v>
      </c>
      <c r="AM433" s="14">
        <f>ROUND(INDEX(挂机升级突破!$BX$6:$CH$57,卡牌消耗!AI433,AD433)*INDEX(卡牌消耗!$B$5:$F$5,AG433)/$Q$4/5,0)*5</f>
        <v>1920</v>
      </c>
      <c r="AN433" s="14" t="str">
        <f>IF(AE433&gt;0,INDEX(挂机升级突破!$BX$4:$CH$4,AE433),"")</f>
        <v/>
      </c>
      <c r="AO433" s="14" t="str">
        <f>IF(AE433&gt;0,ROUND(INDEX(挂机升级突破!$BX$6:$CH$57,卡牌消耗!AI433,AE433)*INDEX(卡牌消耗!$B$7:$F$7,AG433)/$Q$4,0),"")</f>
        <v/>
      </c>
      <c r="AP433" s="106"/>
      <c r="AQ433" s="15"/>
      <c r="AR433" s="104">
        <v>429</v>
      </c>
      <c r="AS433" s="14">
        <f t="shared" si="153"/>
        <v>22</v>
      </c>
      <c r="AT433" s="14">
        <f>INDEX(挂机升级突破!$CM$7:$CM$26,AX433)</f>
        <v>5</v>
      </c>
      <c r="AU433" s="14">
        <f>INDEX(挂机升级突破!$CN$7:$CN$26,AX433)</f>
        <v>2</v>
      </c>
      <c r="AV433" s="14">
        <f t="shared" si="154"/>
        <v>2</v>
      </c>
      <c r="AW433" s="14" t="str">
        <f t="shared" si="155"/>
        <v>柠檬精</v>
      </c>
      <c r="AX433" s="14">
        <f t="shared" si="156"/>
        <v>9</v>
      </c>
      <c r="AY433" s="14" t="str">
        <f t="shared" si="157"/>
        <v>柠檬精9突</v>
      </c>
      <c r="AZ433" s="14" t="str">
        <f>IF(AT433&gt;0,INDEX(挂机升级突破!$CV$5:$CZ$5,卡牌消耗!AT433),"")</f>
        <v>金币</v>
      </c>
      <c r="BA433" s="14">
        <f>IF(AT433&gt;0,ROUND(INDEX(挂机升级突破!$CZ$7:$CZ$26,卡牌消耗!AX433)*INDEX(卡牌消耗!$B$8:$F$8,AV433)/$Q$4/500,0)*500,"")</f>
        <v>6000</v>
      </c>
      <c r="BB433" s="14" t="str">
        <f>IF(AU433&gt;0,INDEX(挂机升级突破!$CV$5:$CZ$5,卡牌消耗!AU433),"")</f>
        <v>乌金</v>
      </c>
      <c r="BC433" s="14">
        <f>IF(AU433&gt;0,ROUND(INDEX(挂机升级突破!$CV$7:$CY$26,卡牌消耗!AX433,卡牌消耗!AU433)*INDEX($B$6:$F$6,AV433)/$Q$4/5,0)*5,"")</f>
        <v>50</v>
      </c>
      <c r="BD433" s="104"/>
      <c r="BE433" s="104"/>
      <c r="BF433" s="106"/>
    </row>
    <row r="434" spans="8:58" ht="16.5" x14ac:dyDescent="0.2">
      <c r="H434" s="15"/>
      <c r="I434" s="15"/>
      <c r="J434" s="15"/>
      <c r="K434" s="15"/>
      <c r="L434" s="15"/>
      <c r="M434" s="15"/>
      <c r="N434" s="15"/>
      <c r="O434" s="137"/>
      <c r="P434" s="141"/>
      <c r="Q434" s="141"/>
      <c r="R434" s="141"/>
      <c r="S434" s="141"/>
      <c r="T434" s="141"/>
      <c r="U434" s="141"/>
      <c r="V434" s="141"/>
      <c r="W434" s="141"/>
      <c r="X434" s="141"/>
      <c r="Y434" s="141"/>
      <c r="Z434" s="141"/>
      <c r="AA434" s="104">
        <v>430</v>
      </c>
      <c r="AB434" s="14">
        <f t="shared" si="148"/>
        <v>9</v>
      </c>
      <c r="AC434" s="14">
        <f>INDEX(挂机升级突破!$BU$6:$BU$57,卡牌消耗!AI434)</f>
        <v>11</v>
      </c>
      <c r="AD434" s="14">
        <f>INDEX(挂机升级突破!BV$6:BV$57,卡牌消耗!$AI434)</f>
        <v>3</v>
      </c>
      <c r="AE434" s="14">
        <f>INDEX(挂机升级突破!BW$6:BW$57,卡牌消耗!$AI434)</f>
        <v>0</v>
      </c>
      <c r="AF434" s="14" t="str">
        <f t="shared" si="149"/>
        <v>徐晃</v>
      </c>
      <c r="AG434" s="14">
        <f t="shared" si="150"/>
        <v>3</v>
      </c>
      <c r="AH434" s="14" t="str">
        <f t="shared" si="151"/>
        <v>徐晃魂火-14</v>
      </c>
      <c r="AI434" s="14">
        <f t="shared" si="152"/>
        <v>14</v>
      </c>
      <c r="AJ434" s="14" t="str">
        <f>INDEX(挂机升级突破!$BX$4:$CH$4,INDEX(挂机升级突破!$BU$6:$BU$57,卡牌消耗!AI434))</f>
        <v>金币</v>
      </c>
      <c r="AK434" s="14">
        <f>ROUND(INDEX(挂机升级突破!$BN$6:$BN$57,卡牌消耗!AI434)*INDEX(卡牌消耗!$B$8:$F$8,AG434)/$Q$4/50,0)*50</f>
        <v>2350</v>
      </c>
      <c r="AL434" s="14" t="str">
        <f>IF(AD434&gt;0,INDEX(挂机升级突破!$BX$4:$CH$4,AD434),"")</f>
        <v>紫色基础材料</v>
      </c>
      <c r="AM434" s="14">
        <f>ROUND(INDEX(挂机升级突破!$BX$6:$CH$57,卡牌消耗!AI434,AD434)*INDEX(卡牌消耗!$B$5:$F$5,AG434)/$Q$4/5,0)*5</f>
        <v>170</v>
      </c>
      <c r="AN434" s="14" t="str">
        <f>IF(AE434&gt;0,INDEX(挂机升级突破!$BX$4:$CH$4,AE434),"")</f>
        <v/>
      </c>
      <c r="AO434" s="14" t="str">
        <f>IF(AE434&gt;0,ROUND(INDEX(挂机升级突破!$BX$6:$CH$57,卡牌消耗!AI434,AE434)*INDEX(卡牌消耗!$B$7:$F$7,AG434)/$Q$4,0),"")</f>
        <v/>
      </c>
      <c r="AP434" s="106"/>
      <c r="AQ434" s="15"/>
      <c r="AR434" s="104">
        <v>430</v>
      </c>
      <c r="AS434" s="14">
        <f t="shared" si="153"/>
        <v>22</v>
      </c>
      <c r="AT434" s="14">
        <f>INDEX(挂机升级突破!$CM$7:$CM$26,AX434)</f>
        <v>5</v>
      </c>
      <c r="AU434" s="14">
        <f>INDEX(挂机升级突破!$CN$7:$CN$26,AX434)</f>
        <v>2</v>
      </c>
      <c r="AV434" s="14">
        <f t="shared" si="154"/>
        <v>2</v>
      </c>
      <c r="AW434" s="14" t="str">
        <f t="shared" si="155"/>
        <v>柠檬精</v>
      </c>
      <c r="AX434" s="14">
        <f t="shared" si="156"/>
        <v>10</v>
      </c>
      <c r="AY434" s="14" t="str">
        <f t="shared" si="157"/>
        <v>柠檬精10突</v>
      </c>
      <c r="AZ434" s="14" t="str">
        <f>IF(AT434&gt;0,INDEX(挂机升级突破!$CV$5:$CZ$5,卡牌消耗!AT434),"")</f>
        <v>金币</v>
      </c>
      <c r="BA434" s="14">
        <f>IF(AT434&gt;0,ROUND(INDEX(挂机升级突破!$CZ$7:$CZ$26,卡牌消耗!AX434)*INDEX(卡牌消耗!$B$8:$F$8,AV434)/$Q$4/500,0)*500,"")</f>
        <v>10000</v>
      </c>
      <c r="BB434" s="14" t="str">
        <f>IF(AU434&gt;0,INDEX(挂机升级突破!$CV$5:$CZ$5,卡牌消耗!AU434),"")</f>
        <v>乌金</v>
      </c>
      <c r="BC434" s="14">
        <f>IF(AU434&gt;0,ROUND(INDEX(挂机升级突破!$CV$7:$CY$26,卡牌消耗!AX434,卡牌消耗!AU434)*INDEX($B$6:$F$6,AV434)/$Q$4/5,0)*5,"")</f>
        <v>70</v>
      </c>
      <c r="BD434" s="104"/>
      <c r="BE434" s="104"/>
      <c r="BF434" s="106"/>
    </row>
    <row r="435" spans="8:58" ht="16.5" x14ac:dyDescent="0.2">
      <c r="H435" s="15"/>
      <c r="I435" s="15"/>
      <c r="J435" s="15"/>
      <c r="K435" s="15"/>
      <c r="L435" s="15"/>
      <c r="M435" s="15"/>
      <c r="N435" s="15"/>
      <c r="O435" s="137"/>
      <c r="P435" s="141"/>
      <c r="Q435" s="141"/>
      <c r="R435" s="141"/>
      <c r="S435" s="141"/>
      <c r="T435" s="141"/>
      <c r="U435" s="141"/>
      <c r="V435" s="141"/>
      <c r="W435" s="141"/>
      <c r="X435" s="141"/>
      <c r="Y435" s="141"/>
      <c r="Z435" s="141"/>
      <c r="AA435" s="104">
        <v>431</v>
      </c>
      <c r="AB435" s="14">
        <f t="shared" si="148"/>
        <v>9</v>
      </c>
      <c r="AC435" s="14">
        <f>INDEX(挂机升级突破!$BU$6:$BU$57,卡牌消耗!AI435)</f>
        <v>11</v>
      </c>
      <c r="AD435" s="14">
        <f>INDEX(挂机升级突破!BV$6:BV$57,卡牌消耗!$AI435)</f>
        <v>3</v>
      </c>
      <c r="AE435" s="14">
        <f>INDEX(挂机升级突破!BW$6:BW$57,卡牌消耗!$AI435)</f>
        <v>0</v>
      </c>
      <c r="AF435" s="14" t="str">
        <f t="shared" si="149"/>
        <v>徐晃</v>
      </c>
      <c r="AG435" s="14">
        <f t="shared" si="150"/>
        <v>3</v>
      </c>
      <c r="AH435" s="14" t="str">
        <f t="shared" si="151"/>
        <v>徐晃魂火-15</v>
      </c>
      <c r="AI435" s="14">
        <f t="shared" si="152"/>
        <v>15</v>
      </c>
      <c r="AJ435" s="14" t="str">
        <f>INDEX(挂机升级突破!$BX$4:$CH$4,INDEX(挂机升级突破!$BU$6:$BU$57,卡牌消耗!AI435))</f>
        <v>金币</v>
      </c>
      <c r="AK435" s="14">
        <f>ROUND(INDEX(挂机升级突破!$BN$6:$BN$57,卡牌消耗!AI435)*INDEX(卡牌消耗!$B$8:$F$8,AG435)/$Q$4/50,0)*50</f>
        <v>2550</v>
      </c>
      <c r="AL435" s="14" t="str">
        <f>IF(AD435&gt;0,INDEX(挂机升级突破!$BX$4:$CH$4,AD435),"")</f>
        <v>紫色基础材料</v>
      </c>
      <c r="AM435" s="14">
        <f>ROUND(INDEX(挂机升级突破!$BX$6:$CH$57,卡牌消耗!AI435,AD435)*INDEX(卡牌消耗!$B$5:$F$5,AG435)/$Q$4/5,0)*5</f>
        <v>170</v>
      </c>
      <c r="AN435" s="14" t="str">
        <f>IF(AE435&gt;0,INDEX(挂机升级突破!$BX$4:$CH$4,AE435),"")</f>
        <v/>
      </c>
      <c r="AO435" s="14" t="str">
        <f>IF(AE435&gt;0,ROUND(INDEX(挂机升级突破!$BX$6:$CH$57,卡牌消耗!AI435,AE435)*INDEX(卡牌消耗!$B$7:$F$7,AG435)/$Q$4,0),"")</f>
        <v/>
      </c>
      <c r="AP435" s="106"/>
      <c r="AQ435" s="15"/>
      <c r="AR435" s="104">
        <v>431</v>
      </c>
      <c r="AS435" s="14">
        <f t="shared" si="153"/>
        <v>22</v>
      </c>
      <c r="AT435" s="14">
        <f>INDEX(挂机升级突破!$CM$7:$CM$26,AX435)</f>
        <v>5</v>
      </c>
      <c r="AU435" s="14">
        <f>INDEX(挂机升级突破!$CN$7:$CN$26,AX435)</f>
        <v>2</v>
      </c>
      <c r="AV435" s="14">
        <f t="shared" si="154"/>
        <v>2</v>
      </c>
      <c r="AW435" s="14" t="str">
        <f t="shared" si="155"/>
        <v>柠檬精</v>
      </c>
      <c r="AX435" s="14">
        <f t="shared" si="156"/>
        <v>11</v>
      </c>
      <c r="AY435" s="14" t="str">
        <f t="shared" si="157"/>
        <v>柠檬精11突</v>
      </c>
      <c r="AZ435" s="14" t="str">
        <f>IF(AT435&gt;0,INDEX(挂机升级突破!$CV$5:$CZ$5,卡牌消耗!AT435),"")</f>
        <v>金币</v>
      </c>
      <c r="BA435" s="14">
        <f>IF(AT435&gt;0,ROUND(INDEX(挂机升级突破!$CZ$7:$CZ$26,卡牌消耗!AX435)*INDEX(卡牌消耗!$B$8:$F$8,AV435)/$Q$4/500,0)*500,"")</f>
        <v>10000</v>
      </c>
      <c r="BB435" s="14" t="str">
        <f>IF(AU435&gt;0,INDEX(挂机升级突破!$CV$5:$CZ$5,卡牌消耗!AU435),"")</f>
        <v>乌金</v>
      </c>
      <c r="BC435" s="14">
        <f>IF(AU435&gt;0,ROUND(INDEX(挂机升级突破!$CV$7:$CY$26,卡牌消耗!AX435,卡牌消耗!AU435)*INDEX($B$6:$F$6,AV435)/$Q$4/5,0)*5,"")</f>
        <v>95</v>
      </c>
      <c r="BD435" s="104"/>
      <c r="BE435" s="104"/>
      <c r="BF435" s="106"/>
    </row>
    <row r="436" spans="8:58" ht="16.5" x14ac:dyDescent="0.2">
      <c r="H436" s="15"/>
      <c r="I436" s="15"/>
      <c r="J436" s="15"/>
      <c r="K436" s="15"/>
      <c r="L436" s="15"/>
      <c r="M436" s="15"/>
      <c r="N436" s="15"/>
      <c r="O436" s="137"/>
      <c r="P436" s="141"/>
      <c r="Q436" s="141"/>
      <c r="R436" s="141"/>
      <c r="S436" s="141"/>
      <c r="T436" s="141"/>
      <c r="U436" s="141"/>
      <c r="V436" s="141"/>
      <c r="W436" s="141"/>
      <c r="X436" s="141"/>
      <c r="Y436" s="141"/>
      <c r="Z436" s="141"/>
      <c r="AA436" s="104">
        <v>432</v>
      </c>
      <c r="AB436" s="14">
        <f t="shared" si="148"/>
        <v>9</v>
      </c>
      <c r="AC436" s="14">
        <f>INDEX(挂机升级突破!$BU$6:$BU$57,卡牌消耗!AI436)</f>
        <v>11</v>
      </c>
      <c r="AD436" s="14">
        <f>INDEX(挂机升级突破!BV$6:BV$57,卡牌消耗!$AI436)</f>
        <v>3</v>
      </c>
      <c r="AE436" s="14">
        <f>INDEX(挂机升级突破!BW$6:BW$57,卡牌消耗!$AI436)</f>
        <v>0</v>
      </c>
      <c r="AF436" s="14" t="str">
        <f t="shared" si="149"/>
        <v>徐晃</v>
      </c>
      <c r="AG436" s="14">
        <f t="shared" si="150"/>
        <v>3</v>
      </c>
      <c r="AH436" s="14" t="str">
        <f t="shared" si="151"/>
        <v>徐晃魂火-16</v>
      </c>
      <c r="AI436" s="14">
        <f t="shared" si="152"/>
        <v>16</v>
      </c>
      <c r="AJ436" s="14" t="str">
        <f>INDEX(挂机升级突破!$BX$4:$CH$4,INDEX(挂机升级突破!$BU$6:$BU$57,卡牌消耗!AI436))</f>
        <v>金币</v>
      </c>
      <c r="AK436" s="14">
        <f>ROUND(INDEX(挂机升级突破!$BN$6:$BN$57,卡牌消耗!AI436)*INDEX(卡牌消耗!$B$8:$F$8,AG436)/$Q$4/50,0)*50</f>
        <v>2550</v>
      </c>
      <c r="AL436" s="14" t="str">
        <f>IF(AD436&gt;0,INDEX(挂机升级突破!$BX$4:$CH$4,AD436),"")</f>
        <v>紫色基础材料</v>
      </c>
      <c r="AM436" s="14">
        <f>ROUND(INDEX(挂机升级突破!$BX$6:$CH$57,卡牌消耗!AI436,AD436)*INDEX(卡牌消耗!$B$5:$F$5,AG436)/$Q$4/5,0)*5</f>
        <v>170</v>
      </c>
      <c r="AN436" s="14" t="str">
        <f>IF(AE436&gt;0,INDEX(挂机升级突破!$BX$4:$CH$4,AE436),"")</f>
        <v/>
      </c>
      <c r="AO436" s="14" t="str">
        <f>IF(AE436&gt;0,ROUND(INDEX(挂机升级突破!$BX$6:$CH$57,卡牌消耗!AI436,AE436)*INDEX(卡牌消耗!$B$7:$F$7,AG436)/$Q$4,0),"")</f>
        <v/>
      </c>
      <c r="AP436" s="106"/>
      <c r="AQ436" s="15"/>
      <c r="AR436" s="104">
        <v>432</v>
      </c>
      <c r="AS436" s="14">
        <f t="shared" si="153"/>
        <v>22</v>
      </c>
      <c r="AT436" s="14">
        <f>INDEX(挂机升级突破!$CM$7:$CM$26,AX436)</f>
        <v>5</v>
      </c>
      <c r="AU436" s="14">
        <f>INDEX(挂机升级突破!$CN$7:$CN$26,AX436)</f>
        <v>2</v>
      </c>
      <c r="AV436" s="14">
        <f t="shared" si="154"/>
        <v>2</v>
      </c>
      <c r="AW436" s="14" t="str">
        <f t="shared" si="155"/>
        <v>柠檬精</v>
      </c>
      <c r="AX436" s="14">
        <f t="shared" si="156"/>
        <v>12</v>
      </c>
      <c r="AY436" s="14" t="str">
        <f t="shared" si="157"/>
        <v>柠檬精12突</v>
      </c>
      <c r="AZ436" s="14" t="str">
        <f>IF(AT436&gt;0,INDEX(挂机升级突破!$CV$5:$CZ$5,卡牌消耗!AT436),"")</f>
        <v>金币</v>
      </c>
      <c r="BA436" s="14">
        <f>IF(AT436&gt;0,ROUND(INDEX(挂机升级突破!$CZ$7:$CZ$26,卡牌消耗!AX436)*INDEX(卡牌消耗!$B$8:$F$8,AV436)/$Q$4/500,0)*500,"")</f>
        <v>13500</v>
      </c>
      <c r="BB436" s="14" t="str">
        <f>IF(AU436&gt;0,INDEX(挂机升级突破!$CV$5:$CZ$5,卡牌消耗!AU436),"")</f>
        <v>乌金</v>
      </c>
      <c r="BC436" s="14">
        <f>IF(AU436&gt;0,ROUND(INDEX(挂机升级突破!$CV$7:$CY$26,卡牌消耗!AX436,卡牌消耗!AU436)*INDEX($B$6:$F$6,AV436)/$Q$4/5,0)*5,"")</f>
        <v>125</v>
      </c>
      <c r="BD436" s="104"/>
      <c r="BE436" s="104"/>
      <c r="BF436" s="106"/>
    </row>
    <row r="437" spans="8:58" ht="16.5" x14ac:dyDescent="0.2">
      <c r="H437" s="15"/>
      <c r="I437" s="15"/>
      <c r="J437" s="15"/>
      <c r="K437" s="15"/>
      <c r="L437" s="15"/>
      <c r="M437" s="15"/>
      <c r="N437" s="15"/>
      <c r="O437" s="137"/>
      <c r="P437" s="141"/>
      <c r="Q437" s="141"/>
      <c r="R437" s="141"/>
      <c r="S437" s="141"/>
      <c r="T437" s="141"/>
      <c r="U437" s="141"/>
      <c r="V437" s="141"/>
      <c r="W437" s="141"/>
      <c r="X437" s="141"/>
      <c r="Y437" s="141"/>
      <c r="Z437" s="141"/>
      <c r="AA437" s="104">
        <v>433</v>
      </c>
      <c r="AB437" s="14">
        <f t="shared" si="148"/>
        <v>9</v>
      </c>
      <c r="AC437" s="14">
        <f>INDEX(挂机升级突破!$BU$6:$BU$57,卡牌消耗!AI437)</f>
        <v>11</v>
      </c>
      <c r="AD437" s="14">
        <f>INDEX(挂机升级突破!BV$6:BV$57,卡牌消耗!$AI437)</f>
        <v>3</v>
      </c>
      <c r="AE437" s="14">
        <f>INDEX(挂机升级突破!BW$6:BW$57,卡牌消耗!$AI437)</f>
        <v>0</v>
      </c>
      <c r="AF437" s="14" t="str">
        <f t="shared" si="149"/>
        <v>徐晃</v>
      </c>
      <c r="AG437" s="14">
        <f t="shared" si="150"/>
        <v>3</v>
      </c>
      <c r="AH437" s="14" t="str">
        <f t="shared" si="151"/>
        <v>徐晃魂火-17</v>
      </c>
      <c r="AI437" s="14">
        <f t="shared" si="152"/>
        <v>17</v>
      </c>
      <c r="AJ437" s="14" t="str">
        <f>INDEX(挂机升级突破!$BX$4:$CH$4,INDEX(挂机升级突破!$BU$6:$BU$57,卡牌消耗!AI437))</f>
        <v>金币</v>
      </c>
      <c r="AK437" s="14">
        <f>ROUND(INDEX(挂机升级突破!$BN$6:$BN$57,卡牌消耗!AI437)*INDEX(卡牌消耗!$B$8:$F$8,AG437)/$Q$4/50,0)*50</f>
        <v>3200</v>
      </c>
      <c r="AL437" s="14" t="str">
        <f>IF(AD437&gt;0,INDEX(挂机升级突破!$BX$4:$CH$4,AD437),"")</f>
        <v>紫色基础材料</v>
      </c>
      <c r="AM437" s="14">
        <f>ROUND(INDEX(挂机升级突破!$BX$6:$CH$57,卡牌消耗!AI437,AD437)*INDEX(卡牌消耗!$B$5:$F$5,AG437)/$Q$4/5,0)*5</f>
        <v>335</v>
      </c>
      <c r="AN437" s="14" t="str">
        <f>IF(AE437&gt;0,INDEX(挂机升级突破!$BX$4:$CH$4,AE437),"")</f>
        <v/>
      </c>
      <c r="AO437" s="14" t="str">
        <f>IF(AE437&gt;0,ROUND(INDEX(挂机升级突破!$BX$6:$CH$57,卡牌消耗!AI437,AE437)*INDEX(卡牌消耗!$B$7:$F$7,AG437)/$Q$4,0),"")</f>
        <v/>
      </c>
      <c r="AP437" s="106"/>
      <c r="AQ437" s="15"/>
      <c r="AR437" s="104">
        <v>433</v>
      </c>
      <c r="AS437" s="14">
        <f t="shared" si="153"/>
        <v>22</v>
      </c>
      <c r="AT437" s="14">
        <f>INDEX(挂机升级突破!$CM$7:$CM$26,AX437)</f>
        <v>5</v>
      </c>
      <c r="AU437" s="14">
        <f>INDEX(挂机升级突破!$CN$7:$CN$26,AX437)</f>
        <v>3</v>
      </c>
      <c r="AV437" s="14">
        <f t="shared" si="154"/>
        <v>2</v>
      </c>
      <c r="AW437" s="14" t="str">
        <f t="shared" si="155"/>
        <v>柠檬精</v>
      </c>
      <c r="AX437" s="14">
        <f t="shared" si="156"/>
        <v>13</v>
      </c>
      <c r="AY437" s="14" t="str">
        <f t="shared" si="157"/>
        <v>柠檬精13突</v>
      </c>
      <c r="AZ437" s="14" t="str">
        <f>IF(AT437&gt;0,INDEX(挂机升级突破!$CV$5:$CZ$5,卡牌消耗!AT437),"")</f>
        <v>金币</v>
      </c>
      <c r="BA437" s="14">
        <f>IF(AT437&gt;0,ROUND(INDEX(挂机升级突破!$CZ$7:$CZ$26,卡牌消耗!AX437)*INDEX(卡牌消耗!$B$8:$F$8,AV437)/$Q$4/500,0)*500,"")</f>
        <v>18000</v>
      </c>
      <c r="BB437" s="14" t="str">
        <f>IF(AU437&gt;0,INDEX(挂机升级突破!$CV$5:$CZ$5,卡牌消耗!AU437),"")</f>
        <v>银母</v>
      </c>
      <c r="BC437" s="14">
        <f>IF(AU437&gt;0,ROUND(INDEX(挂机升级突破!$CV$7:$CY$26,卡牌消耗!AX437,卡牌消耗!AU437)*INDEX($B$6:$F$6,AV437)/$Q$4/5,0)*5,"")</f>
        <v>25</v>
      </c>
      <c r="BD437" s="104"/>
      <c r="BE437" s="104"/>
      <c r="BF437" s="106"/>
    </row>
    <row r="438" spans="8:58" ht="16.5" x14ac:dyDescent="0.2">
      <c r="H438" s="15"/>
      <c r="I438" s="15"/>
      <c r="J438" s="15"/>
      <c r="K438" s="15"/>
      <c r="L438" s="15"/>
      <c r="M438" s="15"/>
      <c r="N438" s="15"/>
      <c r="O438" s="137"/>
      <c r="P438" s="141"/>
      <c r="Q438" s="141"/>
      <c r="R438" s="141"/>
      <c r="S438" s="141"/>
      <c r="T438" s="141"/>
      <c r="U438" s="141"/>
      <c r="V438" s="141"/>
      <c r="W438" s="141"/>
      <c r="X438" s="141"/>
      <c r="Y438" s="141"/>
      <c r="Z438" s="141"/>
      <c r="AA438" s="104">
        <v>434</v>
      </c>
      <c r="AB438" s="14">
        <f t="shared" si="148"/>
        <v>9</v>
      </c>
      <c r="AC438" s="14">
        <f>INDEX(挂机升级突破!$BU$6:$BU$57,卡牌消耗!AI438)</f>
        <v>11</v>
      </c>
      <c r="AD438" s="14">
        <f>INDEX(挂机升级突破!BV$6:BV$57,卡牌消耗!$AI438)</f>
        <v>3</v>
      </c>
      <c r="AE438" s="14">
        <f>INDEX(挂机升级突破!BW$6:BW$57,卡牌消耗!$AI438)</f>
        <v>0</v>
      </c>
      <c r="AF438" s="14" t="str">
        <f t="shared" si="149"/>
        <v>徐晃</v>
      </c>
      <c r="AG438" s="14">
        <f t="shared" si="150"/>
        <v>3</v>
      </c>
      <c r="AH438" s="14" t="str">
        <f t="shared" si="151"/>
        <v>徐晃魂火-18</v>
      </c>
      <c r="AI438" s="14">
        <f t="shared" si="152"/>
        <v>18</v>
      </c>
      <c r="AJ438" s="14" t="str">
        <f>INDEX(挂机升级突破!$BX$4:$CH$4,INDEX(挂机升级突破!$BU$6:$BU$57,卡牌消耗!AI438))</f>
        <v>金币</v>
      </c>
      <c r="AK438" s="14">
        <f>ROUND(INDEX(挂机升级突破!$BN$6:$BN$57,卡牌消耗!AI438)*INDEX(卡牌消耗!$B$8:$F$8,AG438)/$Q$4/50,0)*50</f>
        <v>3200</v>
      </c>
      <c r="AL438" s="14" t="str">
        <f>IF(AD438&gt;0,INDEX(挂机升级突破!$BX$4:$CH$4,AD438),"")</f>
        <v>紫色基础材料</v>
      </c>
      <c r="AM438" s="14">
        <f>ROUND(INDEX(挂机升级突破!$BX$6:$CH$57,卡牌消耗!AI438,AD438)*INDEX(卡牌消耗!$B$5:$F$5,AG438)/$Q$4/5,0)*5</f>
        <v>335</v>
      </c>
      <c r="AN438" s="14" t="str">
        <f>IF(AE438&gt;0,INDEX(挂机升级突破!$BX$4:$CH$4,AE438),"")</f>
        <v/>
      </c>
      <c r="AO438" s="14" t="str">
        <f>IF(AE438&gt;0,ROUND(INDEX(挂机升级突破!$BX$6:$CH$57,卡牌消耗!AI438,AE438)*INDEX(卡牌消耗!$B$7:$F$7,AG438)/$Q$4,0),"")</f>
        <v/>
      </c>
      <c r="AP438" s="106"/>
      <c r="AQ438" s="15"/>
      <c r="AR438" s="104">
        <v>434</v>
      </c>
      <c r="AS438" s="14">
        <f t="shared" si="153"/>
        <v>22</v>
      </c>
      <c r="AT438" s="14">
        <f>INDEX(挂机升级突破!$CM$7:$CM$26,AX438)</f>
        <v>5</v>
      </c>
      <c r="AU438" s="14">
        <f>INDEX(挂机升级突破!$CN$7:$CN$26,AX438)</f>
        <v>3</v>
      </c>
      <c r="AV438" s="14">
        <f t="shared" si="154"/>
        <v>2</v>
      </c>
      <c r="AW438" s="14" t="str">
        <f t="shared" si="155"/>
        <v>柠檬精</v>
      </c>
      <c r="AX438" s="14">
        <f t="shared" si="156"/>
        <v>14</v>
      </c>
      <c r="AY438" s="14" t="str">
        <f t="shared" si="157"/>
        <v>柠檬精14突</v>
      </c>
      <c r="AZ438" s="14" t="str">
        <f>IF(AT438&gt;0,INDEX(挂机升级突破!$CV$5:$CZ$5,卡牌消耗!AT438),"")</f>
        <v>金币</v>
      </c>
      <c r="BA438" s="14">
        <f>IF(AT438&gt;0,ROUND(INDEX(挂机升级突破!$CZ$7:$CZ$26,卡牌消耗!AX438)*INDEX(卡牌消耗!$B$8:$F$8,AV438)/$Q$4/500,0)*500,"")</f>
        <v>18000</v>
      </c>
      <c r="BB438" s="14" t="str">
        <f>IF(AU438&gt;0,INDEX(挂机升级突破!$CV$5:$CZ$5,卡牌消耗!AU438),"")</f>
        <v>银母</v>
      </c>
      <c r="BC438" s="14">
        <f>IF(AU438&gt;0,ROUND(INDEX(挂机升级突破!$CV$7:$CY$26,卡牌消耗!AX438,卡牌消耗!AU438)*INDEX($B$6:$F$6,AV438)/$Q$4/5,0)*5,"")</f>
        <v>30</v>
      </c>
      <c r="BD438" s="104"/>
      <c r="BE438" s="104"/>
      <c r="BF438" s="106"/>
    </row>
    <row r="439" spans="8:58" ht="16.5" x14ac:dyDescent="0.2">
      <c r="H439" s="15"/>
      <c r="I439" s="15"/>
      <c r="J439" s="15"/>
      <c r="K439" s="15"/>
      <c r="L439" s="15"/>
      <c r="M439" s="15"/>
      <c r="N439" s="15"/>
      <c r="O439" s="137"/>
      <c r="P439" s="141"/>
      <c r="Q439" s="141"/>
      <c r="R439" s="141"/>
      <c r="S439" s="141"/>
      <c r="T439" s="141"/>
      <c r="U439" s="141"/>
      <c r="V439" s="141"/>
      <c r="W439" s="141"/>
      <c r="X439" s="141"/>
      <c r="Y439" s="141"/>
      <c r="Z439" s="141"/>
      <c r="AA439" s="104">
        <v>435</v>
      </c>
      <c r="AB439" s="14">
        <f t="shared" si="148"/>
        <v>9</v>
      </c>
      <c r="AC439" s="14">
        <f>INDEX(挂机升级突破!$BU$6:$BU$57,卡牌消耗!AI439)</f>
        <v>11</v>
      </c>
      <c r="AD439" s="14">
        <f>INDEX(挂机升级突破!BV$6:BV$57,卡牌消耗!$AI439)</f>
        <v>3</v>
      </c>
      <c r="AE439" s="14">
        <f>INDEX(挂机升级突破!BW$6:BW$57,卡牌消耗!$AI439)</f>
        <v>0</v>
      </c>
      <c r="AF439" s="14" t="str">
        <f t="shared" si="149"/>
        <v>徐晃</v>
      </c>
      <c r="AG439" s="14">
        <f t="shared" si="150"/>
        <v>3</v>
      </c>
      <c r="AH439" s="14" t="str">
        <f t="shared" si="151"/>
        <v>徐晃魂火-19</v>
      </c>
      <c r="AI439" s="14">
        <f t="shared" si="152"/>
        <v>19</v>
      </c>
      <c r="AJ439" s="14" t="str">
        <f>INDEX(挂机升级突破!$BX$4:$CH$4,INDEX(挂机升级突破!$BU$6:$BU$57,卡牌消耗!AI439))</f>
        <v>金币</v>
      </c>
      <c r="AK439" s="14">
        <f>ROUND(INDEX(挂机升级突破!$BN$6:$BN$57,卡牌消耗!AI439)*INDEX(卡牌消耗!$B$8:$F$8,AG439)/$Q$4/50,0)*50</f>
        <v>3200</v>
      </c>
      <c r="AL439" s="14" t="str">
        <f>IF(AD439&gt;0,INDEX(挂机升级突破!$BX$4:$CH$4,AD439),"")</f>
        <v>紫色基础材料</v>
      </c>
      <c r="AM439" s="14">
        <f>ROUND(INDEX(挂机升级突破!$BX$6:$CH$57,卡牌消耗!AI439,AD439)*INDEX(卡牌消耗!$B$5:$F$5,AG439)/$Q$4/5,0)*5</f>
        <v>335</v>
      </c>
      <c r="AN439" s="14" t="str">
        <f>IF(AE439&gt;0,INDEX(挂机升级突破!$BX$4:$CH$4,AE439),"")</f>
        <v/>
      </c>
      <c r="AO439" s="14" t="str">
        <f>IF(AE439&gt;0,ROUND(INDEX(挂机升级突破!$BX$6:$CH$57,卡牌消耗!AI439,AE439)*INDEX(卡牌消耗!$B$7:$F$7,AG439)/$Q$4,0),"")</f>
        <v/>
      </c>
      <c r="AP439" s="106"/>
      <c r="AQ439" s="15"/>
      <c r="AR439" s="104">
        <v>435</v>
      </c>
      <c r="AS439" s="14">
        <f t="shared" si="153"/>
        <v>22</v>
      </c>
      <c r="AT439" s="14">
        <f>INDEX(挂机升级突破!$CM$7:$CM$26,AX439)</f>
        <v>5</v>
      </c>
      <c r="AU439" s="14">
        <f>INDEX(挂机升级突破!$CN$7:$CN$26,AX439)</f>
        <v>3</v>
      </c>
      <c r="AV439" s="14">
        <f t="shared" si="154"/>
        <v>2</v>
      </c>
      <c r="AW439" s="14" t="str">
        <f t="shared" si="155"/>
        <v>柠檬精</v>
      </c>
      <c r="AX439" s="14">
        <f t="shared" si="156"/>
        <v>15</v>
      </c>
      <c r="AY439" s="14" t="str">
        <f t="shared" si="157"/>
        <v>柠檬精15突</v>
      </c>
      <c r="AZ439" s="14" t="str">
        <f>IF(AT439&gt;0,INDEX(挂机升级突破!$CV$5:$CZ$5,卡牌消耗!AT439),"")</f>
        <v>金币</v>
      </c>
      <c r="BA439" s="14">
        <f>IF(AT439&gt;0,ROUND(INDEX(挂机升级突破!$CZ$7:$CZ$26,卡牌消耗!AX439)*INDEX(卡牌消耗!$B$8:$F$8,AV439)/$Q$4/500,0)*500,"")</f>
        <v>24000</v>
      </c>
      <c r="BB439" s="14" t="str">
        <f>IF(AU439&gt;0,INDEX(挂机升级突破!$CV$5:$CZ$5,卡牌消耗!AU439),"")</f>
        <v>银母</v>
      </c>
      <c r="BC439" s="14">
        <f>IF(AU439&gt;0,ROUND(INDEX(挂机升级突破!$CV$7:$CY$26,卡牌消耗!AX439,卡牌消耗!AU439)*INDEX($B$6:$F$6,AV439)/$Q$4/5,0)*5,"")</f>
        <v>45</v>
      </c>
      <c r="BD439" s="104"/>
      <c r="BE439" s="104"/>
      <c r="BF439" s="106"/>
    </row>
    <row r="440" spans="8:58" ht="16.5" x14ac:dyDescent="0.2">
      <c r="H440" s="15"/>
      <c r="I440" s="15"/>
      <c r="J440" s="15"/>
      <c r="K440" s="15"/>
      <c r="L440" s="15"/>
      <c r="M440" s="15"/>
      <c r="N440" s="15"/>
      <c r="O440" s="137"/>
      <c r="P440" s="141"/>
      <c r="Q440" s="141"/>
      <c r="R440" s="141"/>
      <c r="S440" s="141"/>
      <c r="T440" s="141"/>
      <c r="U440" s="141"/>
      <c r="V440" s="141"/>
      <c r="W440" s="141"/>
      <c r="X440" s="141"/>
      <c r="Y440" s="141"/>
      <c r="Z440" s="141"/>
      <c r="AA440" s="104">
        <v>436</v>
      </c>
      <c r="AB440" s="14">
        <f t="shared" si="148"/>
        <v>9</v>
      </c>
      <c r="AC440" s="14">
        <f>INDEX(挂机升级突破!$BU$6:$BU$57,卡牌消耗!AI440)</f>
        <v>11</v>
      </c>
      <c r="AD440" s="14">
        <f>INDEX(挂机升级突破!BV$6:BV$57,卡牌消耗!$AI440)</f>
        <v>3</v>
      </c>
      <c r="AE440" s="14">
        <f>INDEX(挂机升级突破!BW$6:BW$57,卡牌消耗!$AI440)</f>
        <v>0</v>
      </c>
      <c r="AF440" s="14" t="str">
        <f t="shared" si="149"/>
        <v>徐晃</v>
      </c>
      <c r="AG440" s="14">
        <f t="shared" si="150"/>
        <v>3</v>
      </c>
      <c r="AH440" s="14" t="str">
        <f t="shared" si="151"/>
        <v>徐晃魂火-20</v>
      </c>
      <c r="AI440" s="14">
        <f t="shared" si="152"/>
        <v>20</v>
      </c>
      <c r="AJ440" s="14" t="str">
        <f>INDEX(挂机升级突破!$BX$4:$CH$4,INDEX(挂机升级突破!$BU$6:$BU$57,卡牌消耗!AI440))</f>
        <v>金币</v>
      </c>
      <c r="AK440" s="14">
        <f>ROUND(INDEX(挂机升级突破!$BN$6:$BN$57,卡牌消耗!AI440)*INDEX(卡牌消耗!$B$8:$F$8,AG440)/$Q$4/50,0)*50</f>
        <v>3900</v>
      </c>
      <c r="AL440" s="14" t="str">
        <f>IF(AD440&gt;0,INDEX(挂机升级突破!$BX$4:$CH$4,AD440),"")</f>
        <v>紫色基础材料</v>
      </c>
      <c r="AM440" s="14">
        <f>ROUND(INDEX(挂机升级突破!$BX$6:$CH$57,卡牌消耗!AI440,AD440)*INDEX(卡牌消耗!$B$5:$F$5,AG440)/$Q$4/5,0)*5</f>
        <v>505</v>
      </c>
      <c r="AN440" s="14" t="str">
        <f>IF(AE440&gt;0,INDEX(挂机升级突破!$BX$4:$CH$4,AE440),"")</f>
        <v/>
      </c>
      <c r="AO440" s="14" t="str">
        <f>IF(AE440&gt;0,ROUND(INDEX(挂机升级突破!$BX$6:$CH$57,卡牌消耗!AI440,AE440)*INDEX(卡牌消耗!$B$7:$F$7,AG440)/$Q$4,0),"")</f>
        <v/>
      </c>
      <c r="AP440" s="106"/>
      <c r="AQ440" s="15"/>
      <c r="AR440" s="104">
        <v>436</v>
      </c>
      <c r="AS440" s="14">
        <f t="shared" si="153"/>
        <v>22</v>
      </c>
      <c r="AT440" s="14">
        <f>INDEX(挂机升级突破!$CM$7:$CM$26,AX440)</f>
        <v>5</v>
      </c>
      <c r="AU440" s="14">
        <f>INDEX(挂机升级突破!$CN$7:$CN$26,AX440)</f>
        <v>3</v>
      </c>
      <c r="AV440" s="14">
        <f t="shared" si="154"/>
        <v>2</v>
      </c>
      <c r="AW440" s="14" t="str">
        <f t="shared" si="155"/>
        <v>柠檬精</v>
      </c>
      <c r="AX440" s="14">
        <f t="shared" si="156"/>
        <v>16</v>
      </c>
      <c r="AY440" s="14" t="str">
        <f t="shared" si="157"/>
        <v>柠檬精16突</v>
      </c>
      <c r="AZ440" s="14" t="str">
        <f>IF(AT440&gt;0,INDEX(挂机升级突破!$CV$5:$CZ$5,卡牌消耗!AT440),"")</f>
        <v>金币</v>
      </c>
      <c r="BA440" s="14">
        <f>IF(AT440&gt;0,ROUND(INDEX(挂机升级突破!$CZ$7:$CZ$26,卡牌消耗!AX440)*INDEX(卡牌消耗!$B$8:$F$8,AV440)/$Q$4/500,0)*500,"")</f>
        <v>44000</v>
      </c>
      <c r="BB440" s="14" t="str">
        <f>IF(AU440&gt;0,INDEX(挂机升级突破!$CV$5:$CZ$5,卡牌消耗!AU440),"")</f>
        <v>银母</v>
      </c>
      <c r="BC440" s="14">
        <f>IF(AU440&gt;0,ROUND(INDEX(挂机升级突破!$CV$7:$CY$26,卡牌消耗!AX440,卡牌消耗!AU440)*INDEX($B$6:$F$6,AV440)/$Q$4/5,0)*5,"")</f>
        <v>55</v>
      </c>
      <c r="BD440" s="104"/>
      <c r="BE440" s="104"/>
      <c r="BF440" s="106"/>
    </row>
    <row r="441" spans="8:58" ht="16.5" x14ac:dyDescent="0.2">
      <c r="H441" s="15"/>
      <c r="I441" s="15"/>
      <c r="J441" s="15"/>
      <c r="K441" s="15"/>
      <c r="L441" s="15"/>
      <c r="M441" s="15"/>
      <c r="N441" s="15"/>
      <c r="O441" s="137"/>
      <c r="P441" s="141"/>
      <c r="Q441" s="141"/>
      <c r="R441" s="141"/>
      <c r="S441" s="141"/>
      <c r="T441" s="141"/>
      <c r="U441" s="141"/>
      <c r="V441" s="141"/>
      <c r="W441" s="141"/>
      <c r="X441" s="141"/>
      <c r="Y441" s="141"/>
      <c r="Z441" s="141"/>
      <c r="AA441" s="104">
        <v>437</v>
      </c>
      <c r="AB441" s="14">
        <f t="shared" si="148"/>
        <v>9</v>
      </c>
      <c r="AC441" s="14">
        <f>INDEX(挂机升级突破!$BU$6:$BU$57,卡牌消耗!AI441)</f>
        <v>11</v>
      </c>
      <c r="AD441" s="14">
        <f>INDEX(挂机升级突破!BV$6:BV$57,卡牌消耗!$AI441)</f>
        <v>3</v>
      </c>
      <c r="AE441" s="14">
        <f>INDEX(挂机升级突破!BW$6:BW$57,卡牌消耗!$AI441)</f>
        <v>0</v>
      </c>
      <c r="AF441" s="14" t="str">
        <f t="shared" si="149"/>
        <v>徐晃</v>
      </c>
      <c r="AG441" s="14">
        <f t="shared" si="150"/>
        <v>3</v>
      </c>
      <c r="AH441" s="14" t="str">
        <f t="shared" si="151"/>
        <v>徐晃魂火-21</v>
      </c>
      <c r="AI441" s="14">
        <f t="shared" si="152"/>
        <v>21</v>
      </c>
      <c r="AJ441" s="14" t="str">
        <f>INDEX(挂机升级突破!$BX$4:$CH$4,INDEX(挂机升级突破!$BU$6:$BU$57,卡牌消耗!AI441))</f>
        <v>金币</v>
      </c>
      <c r="AK441" s="14">
        <f>ROUND(INDEX(挂机升级突破!$BN$6:$BN$57,卡牌消耗!AI441)*INDEX(卡牌消耗!$B$8:$F$8,AG441)/$Q$4/50,0)*50</f>
        <v>3900</v>
      </c>
      <c r="AL441" s="14" t="str">
        <f>IF(AD441&gt;0,INDEX(挂机升级突破!$BX$4:$CH$4,AD441),"")</f>
        <v>紫色基础材料</v>
      </c>
      <c r="AM441" s="14">
        <f>ROUND(INDEX(挂机升级突破!$BX$6:$CH$57,卡牌消耗!AI441,AD441)*INDEX(卡牌消耗!$B$5:$F$5,AG441)/$Q$4/5,0)*5</f>
        <v>505</v>
      </c>
      <c r="AN441" s="14" t="str">
        <f>IF(AE441&gt;0,INDEX(挂机升级突破!$BX$4:$CH$4,AE441),"")</f>
        <v/>
      </c>
      <c r="AO441" s="14" t="str">
        <f>IF(AE441&gt;0,ROUND(INDEX(挂机升级突破!$BX$6:$CH$57,卡牌消耗!AI441,AE441)*INDEX(卡牌消耗!$B$7:$F$7,AG441)/$Q$4,0),"")</f>
        <v/>
      </c>
      <c r="AP441" s="106"/>
      <c r="AQ441" s="15"/>
      <c r="AR441" s="104">
        <v>437</v>
      </c>
      <c r="AS441" s="14">
        <f t="shared" si="153"/>
        <v>22</v>
      </c>
      <c r="AT441" s="14">
        <f>INDEX(挂机升级突破!$CM$7:$CM$26,AX441)</f>
        <v>5</v>
      </c>
      <c r="AU441" s="14">
        <f>INDEX(挂机升级突破!$CN$7:$CN$26,AX441)</f>
        <v>4</v>
      </c>
      <c r="AV441" s="14">
        <f t="shared" si="154"/>
        <v>2</v>
      </c>
      <c r="AW441" s="14" t="str">
        <f t="shared" si="155"/>
        <v>柠檬精</v>
      </c>
      <c r="AX441" s="14">
        <f t="shared" si="156"/>
        <v>17</v>
      </c>
      <c r="AY441" s="14" t="str">
        <f t="shared" si="157"/>
        <v>柠檬精17突</v>
      </c>
      <c r="AZ441" s="14" t="str">
        <f>IF(AT441&gt;0,INDEX(挂机升级突破!$CV$5:$CZ$5,卡牌消耗!AT441),"")</f>
        <v>金币</v>
      </c>
      <c r="BA441" s="14">
        <f>IF(AT441&gt;0,ROUND(INDEX(挂机升级突破!$CZ$7:$CZ$26,卡牌消耗!AX441)*INDEX(卡牌消耗!$B$8:$F$8,AV441)/$Q$4/500,0)*500,"")</f>
        <v>44000</v>
      </c>
      <c r="BB441" s="14" t="str">
        <f>IF(AU441&gt;0,INDEX(挂机升级突破!$CV$5:$CZ$5,卡牌消耗!AU441),"")</f>
        <v>铀金</v>
      </c>
      <c r="BC441" s="14">
        <f>IF(AU441&gt;0,ROUND(INDEX(挂机升级突破!$CV$7:$CY$26,卡牌消耗!AX441,卡牌消耗!AU441)*INDEX($B$6:$F$6,AV441)/$Q$4/5,0)*5,"")</f>
        <v>20</v>
      </c>
      <c r="BD441" s="104"/>
      <c r="BE441" s="104"/>
      <c r="BF441" s="106"/>
    </row>
    <row r="442" spans="8:58" ht="16.5" x14ac:dyDescent="0.2">
      <c r="H442" s="15"/>
      <c r="I442" s="15"/>
      <c r="J442" s="15"/>
      <c r="K442" s="15"/>
      <c r="L442" s="15"/>
      <c r="M442" s="15"/>
      <c r="N442" s="15"/>
      <c r="O442" s="137"/>
      <c r="P442" s="141"/>
      <c r="Q442" s="141"/>
      <c r="R442" s="141"/>
      <c r="S442" s="141"/>
      <c r="T442" s="141"/>
      <c r="U442" s="141"/>
      <c r="V442" s="141"/>
      <c r="W442" s="141"/>
      <c r="X442" s="141"/>
      <c r="Y442" s="141"/>
      <c r="Z442" s="141"/>
      <c r="AA442" s="104">
        <v>438</v>
      </c>
      <c r="AB442" s="14">
        <f t="shared" si="148"/>
        <v>9</v>
      </c>
      <c r="AC442" s="14">
        <f>INDEX(挂机升级突破!$BU$6:$BU$57,卡牌消耗!AI442)</f>
        <v>11</v>
      </c>
      <c r="AD442" s="14">
        <f>INDEX(挂机升级突破!BV$6:BV$57,卡牌消耗!$AI442)</f>
        <v>3</v>
      </c>
      <c r="AE442" s="14">
        <f>INDEX(挂机升级突破!BW$6:BW$57,卡牌消耗!$AI442)</f>
        <v>0</v>
      </c>
      <c r="AF442" s="14" t="str">
        <f t="shared" si="149"/>
        <v>徐晃</v>
      </c>
      <c r="AG442" s="14">
        <f t="shared" si="150"/>
        <v>3</v>
      </c>
      <c r="AH442" s="14" t="str">
        <f t="shared" si="151"/>
        <v>徐晃魂火-22</v>
      </c>
      <c r="AI442" s="14">
        <f t="shared" si="152"/>
        <v>22</v>
      </c>
      <c r="AJ442" s="14" t="str">
        <f>INDEX(挂机升级突破!$BX$4:$CH$4,INDEX(挂机升级突破!$BU$6:$BU$57,卡牌消耗!AI442))</f>
        <v>金币</v>
      </c>
      <c r="AK442" s="14">
        <f>ROUND(INDEX(挂机升级突破!$BN$6:$BN$57,卡牌消耗!AI442)*INDEX(卡牌消耗!$B$8:$F$8,AG442)/$Q$4/50,0)*50</f>
        <v>3900</v>
      </c>
      <c r="AL442" s="14" t="str">
        <f>IF(AD442&gt;0,INDEX(挂机升级突破!$BX$4:$CH$4,AD442),"")</f>
        <v>紫色基础材料</v>
      </c>
      <c r="AM442" s="14">
        <f>ROUND(INDEX(挂机升级突破!$BX$6:$CH$57,卡牌消耗!AI442,AD442)*INDEX(卡牌消耗!$B$5:$F$5,AG442)/$Q$4/5,0)*5</f>
        <v>505</v>
      </c>
      <c r="AN442" s="14" t="str">
        <f>IF(AE442&gt;0,INDEX(挂机升级突破!$BX$4:$CH$4,AE442),"")</f>
        <v/>
      </c>
      <c r="AO442" s="14" t="str">
        <f>IF(AE442&gt;0,ROUND(INDEX(挂机升级突破!$BX$6:$CH$57,卡牌消耗!AI442,AE442)*INDEX(卡牌消耗!$B$7:$F$7,AG442)/$Q$4,0),"")</f>
        <v/>
      </c>
      <c r="AP442" s="106"/>
      <c r="AQ442" s="15"/>
      <c r="AR442" s="104">
        <v>438</v>
      </c>
      <c r="AS442" s="14">
        <f t="shared" si="153"/>
        <v>22</v>
      </c>
      <c r="AT442" s="14">
        <f>INDEX(挂机升级突破!$CM$7:$CM$26,AX442)</f>
        <v>5</v>
      </c>
      <c r="AU442" s="14">
        <f>INDEX(挂机升级突破!$CN$7:$CN$26,AX442)</f>
        <v>4</v>
      </c>
      <c r="AV442" s="14">
        <f t="shared" si="154"/>
        <v>2</v>
      </c>
      <c r="AW442" s="14" t="str">
        <f t="shared" si="155"/>
        <v>柠檬精</v>
      </c>
      <c r="AX442" s="14">
        <f t="shared" si="156"/>
        <v>18</v>
      </c>
      <c r="AY442" s="14" t="str">
        <f t="shared" si="157"/>
        <v>柠檬精18突</v>
      </c>
      <c r="AZ442" s="14" t="str">
        <f>IF(AT442&gt;0,INDEX(挂机升级突破!$CV$5:$CZ$5,卡牌消耗!AT442),"")</f>
        <v>金币</v>
      </c>
      <c r="BA442" s="14">
        <f>IF(AT442&gt;0,ROUND(INDEX(挂机升级突破!$CZ$7:$CZ$26,卡牌消耗!AX442)*INDEX(卡牌消耗!$B$8:$F$8,AV442)/$Q$4/500,0)*500,"")</f>
        <v>58500</v>
      </c>
      <c r="BB442" s="14" t="str">
        <f>IF(AU442&gt;0,INDEX(挂机升级突破!$CV$5:$CZ$5,卡牌消耗!AU442),"")</f>
        <v>铀金</v>
      </c>
      <c r="BC442" s="14">
        <f>IF(AU442&gt;0,ROUND(INDEX(挂机升级突破!$CV$7:$CY$26,卡牌消耗!AX442,卡牌消耗!AU442)*INDEX($B$6:$F$6,AV442)/$Q$4/5,0)*5,"")</f>
        <v>25</v>
      </c>
      <c r="BD442" s="104"/>
      <c r="BE442" s="104"/>
      <c r="BF442" s="106"/>
    </row>
    <row r="443" spans="8:58" ht="16.5" x14ac:dyDescent="0.2">
      <c r="H443" s="15"/>
      <c r="I443" s="15"/>
      <c r="J443" s="15"/>
      <c r="K443" s="15"/>
      <c r="L443" s="15"/>
      <c r="M443" s="15"/>
      <c r="N443" s="15"/>
      <c r="O443" s="137"/>
      <c r="P443" s="141"/>
      <c r="Q443" s="141"/>
      <c r="R443" s="141"/>
      <c r="S443" s="141"/>
      <c r="T443" s="141"/>
      <c r="U443" s="141"/>
      <c r="V443" s="141"/>
      <c r="W443" s="141"/>
      <c r="X443" s="141"/>
      <c r="Y443" s="141"/>
      <c r="Z443" s="141"/>
      <c r="AA443" s="104">
        <v>439</v>
      </c>
      <c r="AB443" s="14">
        <f t="shared" si="148"/>
        <v>9</v>
      </c>
      <c r="AC443" s="14">
        <f>INDEX(挂机升级突破!$BU$6:$BU$57,卡牌消耗!AI443)</f>
        <v>11</v>
      </c>
      <c r="AD443" s="14">
        <f>INDEX(挂机升级突破!BV$6:BV$57,卡牌消耗!$AI443)</f>
        <v>4</v>
      </c>
      <c r="AE443" s="14">
        <f>INDEX(挂机升级突破!BW$6:BW$57,卡牌消耗!$AI443)</f>
        <v>0</v>
      </c>
      <c r="AF443" s="14" t="str">
        <f t="shared" si="149"/>
        <v>徐晃</v>
      </c>
      <c r="AG443" s="14">
        <f t="shared" si="150"/>
        <v>3</v>
      </c>
      <c r="AH443" s="14" t="str">
        <f t="shared" si="151"/>
        <v>徐晃魂火-23</v>
      </c>
      <c r="AI443" s="14">
        <f t="shared" si="152"/>
        <v>23</v>
      </c>
      <c r="AJ443" s="14" t="str">
        <f>INDEX(挂机升级突破!$BX$4:$CH$4,INDEX(挂机升级突破!$BU$6:$BU$57,卡牌消耗!AI443))</f>
        <v>金币</v>
      </c>
      <c r="AK443" s="14">
        <f>ROUND(INDEX(挂机升级突破!$BN$6:$BN$57,卡牌消耗!AI443)*INDEX(卡牌消耗!$B$8:$F$8,AG443)/$Q$4/50,0)*50</f>
        <v>5350</v>
      </c>
      <c r="AL443" s="14" t="str">
        <f>IF(AD443&gt;0,INDEX(挂机升级突破!$BX$4:$CH$4,AD443),"")</f>
        <v>橙色基础材料</v>
      </c>
      <c r="AM443" s="14">
        <f>ROUND(INDEX(挂机升级突破!$BX$6:$CH$57,卡牌消耗!AI443,AD443)*INDEX(卡牌消耗!$B$5:$F$5,AG443)/$Q$4/5,0)*5</f>
        <v>70</v>
      </c>
      <c r="AN443" s="14" t="str">
        <f>IF(AE443&gt;0,INDEX(挂机升级突破!$BX$4:$CH$4,AE443),"")</f>
        <v/>
      </c>
      <c r="AO443" s="14" t="str">
        <f>IF(AE443&gt;0,ROUND(INDEX(挂机升级突破!$BX$6:$CH$57,卡牌消耗!AI443,AE443)*INDEX(卡牌消耗!$B$7:$F$7,AG443)/$Q$4,0),"")</f>
        <v/>
      </c>
      <c r="AP443" s="106"/>
      <c r="AQ443" s="15"/>
      <c r="AR443" s="104">
        <v>439</v>
      </c>
      <c r="AS443" s="14">
        <f t="shared" si="153"/>
        <v>22</v>
      </c>
      <c r="AT443" s="14">
        <f>INDEX(挂机升级突破!$CM$7:$CM$26,AX443)</f>
        <v>5</v>
      </c>
      <c r="AU443" s="14">
        <f>INDEX(挂机升级突破!$CN$7:$CN$26,AX443)</f>
        <v>4</v>
      </c>
      <c r="AV443" s="14">
        <f t="shared" si="154"/>
        <v>2</v>
      </c>
      <c r="AW443" s="14" t="str">
        <f t="shared" si="155"/>
        <v>柠檬精</v>
      </c>
      <c r="AX443" s="14">
        <f t="shared" si="156"/>
        <v>19</v>
      </c>
      <c r="AY443" s="14" t="str">
        <f t="shared" si="157"/>
        <v>柠檬精19突</v>
      </c>
      <c r="AZ443" s="14" t="str">
        <f>IF(AT443&gt;0,INDEX(挂机升级突破!$CV$5:$CZ$5,卡牌消耗!AT443),"")</f>
        <v>金币</v>
      </c>
      <c r="BA443" s="14">
        <f>IF(AT443&gt;0,ROUND(INDEX(挂机升级突破!$CZ$7:$CZ$26,卡牌消耗!AX443)*INDEX(卡牌消耗!$B$8:$F$8,AV443)/$Q$4/500,0)*500,"")</f>
        <v>354500</v>
      </c>
      <c r="BB443" s="14" t="str">
        <f>IF(AU443&gt;0,INDEX(挂机升级突破!$CV$5:$CZ$5,卡牌消耗!AU443),"")</f>
        <v>铀金</v>
      </c>
      <c r="BC443" s="14">
        <f>IF(AU443&gt;0,ROUND(INDEX(挂机升级突破!$CV$7:$CY$26,卡牌消耗!AX443,卡牌消耗!AU443)*INDEX($B$6:$F$6,AV443)/$Q$4/5,0)*5,"")</f>
        <v>35</v>
      </c>
      <c r="BD443" s="104"/>
      <c r="BE443" s="104"/>
      <c r="BF443" s="106"/>
    </row>
    <row r="444" spans="8:58" ht="16.5" x14ac:dyDescent="0.2">
      <c r="H444" s="15"/>
      <c r="I444" s="15"/>
      <c r="J444" s="15"/>
      <c r="K444" s="15"/>
      <c r="L444" s="15"/>
      <c r="M444" s="15"/>
      <c r="N444" s="15"/>
      <c r="O444" s="137"/>
      <c r="P444" s="141"/>
      <c r="Q444" s="141"/>
      <c r="R444" s="141"/>
      <c r="S444" s="141"/>
      <c r="T444" s="141"/>
      <c r="U444" s="141"/>
      <c r="V444" s="141"/>
      <c r="W444" s="141"/>
      <c r="X444" s="141"/>
      <c r="Y444" s="141"/>
      <c r="Z444" s="141"/>
      <c r="AA444" s="104">
        <v>440</v>
      </c>
      <c r="AB444" s="14">
        <f t="shared" si="148"/>
        <v>9</v>
      </c>
      <c r="AC444" s="14">
        <f>INDEX(挂机升级突破!$BU$6:$BU$57,卡牌消耗!AI444)</f>
        <v>11</v>
      </c>
      <c r="AD444" s="14">
        <f>INDEX(挂机升级突破!BV$6:BV$57,卡牌消耗!$AI444)</f>
        <v>4</v>
      </c>
      <c r="AE444" s="14">
        <f>INDEX(挂机升级突破!BW$6:BW$57,卡牌消耗!$AI444)</f>
        <v>0</v>
      </c>
      <c r="AF444" s="14" t="str">
        <f t="shared" si="149"/>
        <v>徐晃</v>
      </c>
      <c r="AG444" s="14">
        <f t="shared" si="150"/>
        <v>3</v>
      </c>
      <c r="AH444" s="14" t="str">
        <f t="shared" si="151"/>
        <v>徐晃魂火-24</v>
      </c>
      <c r="AI444" s="14">
        <f t="shared" si="152"/>
        <v>24</v>
      </c>
      <c r="AJ444" s="14" t="str">
        <f>INDEX(挂机升级突破!$BX$4:$CH$4,INDEX(挂机升级突破!$BU$6:$BU$57,卡牌消耗!AI444))</f>
        <v>金币</v>
      </c>
      <c r="AK444" s="14">
        <f>ROUND(INDEX(挂机升级突破!$BN$6:$BN$57,卡牌消耗!AI444)*INDEX(卡牌消耗!$B$8:$F$8,AG444)/$Q$4/50,0)*50</f>
        <v>5350</v>
      </c>
      <c r="AL444" s="14" t="str">
        <f>IF(AD444&gt;0,INDEX(挂机升级突破!$BX$4:$CH$4,AD444),"")</f>
        <v>橙色基础材料</v>
      </c>
      <c r="AM444" s="14">
        <f>ROUND(INDEX(挂机升级突破!$BX$6:$CH$57,卡牌消耗!AI444,AD444)*INDEX(卡牌消耗!$B$5:$F$5,AG444)/$Q$4/5,0)*5</f>
        <v>70</v>
      </c>
      <c r="AN444" s="14" t="str">
        <f>IF(AE444&gt;0,INDEX(挂机升级突破!$BX$4:$CH$4,AE444),"")</f>
        <v/>
      </c>
      <c r="AO444" s="14" t="str">
        <f>IF(AE444&gt;0,ROUND(INDEX(挂机升级突破!$BX$6:$CH$57,卡牌消耗!AI444,AE444)*INDEX(卡牌消耗!$B$7:$F$7,AG444)/$Q$4,0),"")</f>
        <v/>
      </c>
      <c r="AP444" s="106"/>
      <c r="AQ444" s="15"/>
      <c r="AR444" s="104">
        <v>440</v>
      </c>
      <c r="AS444" s="14">
        <f t="shared" si="153"/>
        <v>22</v>
      </c>
      <c r="AT444" s="14">
        <f>INDEX(挂机升级突破!$CM$7:$CM$26,AX444)</f>
        <v>5</v>
      </c>
      <c r="AU444" s="14">
        <f>INDEX(挂机升级突破!$CN$7:$CN$26,AX444)</f>
        <v>4</v>
      </c>
      <c r="AV444" s="14">
        <f t="shared" si="154"/>
        <v>2</v>
      </c>
      <c r="AW444" s="14" t="str">
        <f t="shared" si="155"/>
        <v>柠檬精</v>
      </c>
      <c r="AX444" s="14">
        <f t="shared" si="156"/>
        <v>20</v>
      </c>
      <c r="AY444" s="14" t="str">
        <f t="shared" si="157"/>
        <v>柠檬精20突</v>
      </c>
      <c r="AZ444" s="14" t="str">
        <f>IF(AT444&gt;0,INDEX(挂机升级突破!$CV$5:$CZ$5,卡牌消耗!AT444),"")</f>
        <v>金币</v>
      </c>
      <c r="BA444" s="14">
        <f>IF(AT444&gt;0,ROUND(INDEX(挂机升级突破!$CZ$7:$CZ$26,卡牌消耗!AX444)*INDEX(卡牌消耗!$B$8:$F$8,AV444)/$Q$4/500,0)*500,"")</f>
        <v>532000</v>
      </c>
      <c r="BB444" s="14" t="str">
        <f>IF(AU444&gt;0,INDEX(挂机升级突破!$CV$5:$CZ$5,卡牌消耗!AU444),"")</f>
        <v>铀金</v>
      </c>
      <c r="BC444" s="14">
        <f>IF(AU444&gt;0,ROUND(INDEX(挂机升级突破!$CV$7:$CY$26,卡牌消耗!AX444,卡牌消耗!AU444)*INDEX($B$6:$F$6,AV444)/$Q$4/5,0)*5,"")</f>
        <v>45</v>
      </c>
      <c r="BD444" s="104"/>
      <c r="BE444" s="104"/>
      <c r="BF444" s="106"/>
    </row>
    <row r="445" spans="8:58" ht="16.5" x14ac:dyDescent="0.2">
      <c r="H445" s="15"/>
      <c r="I445" s="15"/>
      <c r="J445" s="15"/>
      <c r="K445" s="15"/>
      <c r="L445" s="15"/>
      <c r="M445" s="15"/>
      <c r="N445" s="15"/>
      <c r="O445" s="137"/>
      <c r="P445" s="141"/>
      <c r="Q445" s="141"/>
      <c r="R445" s="141"/>
      <c r="S445" s="141"/>
      <c r="T445" s="141"/>
      <c r="U445" s="141"/>
      <c r="V445" s="141"/>
      <c r="W445" s="141"/>
      <c r="X445" s="141"/>
      <c r="Y445" s="141"/>
      <c r="Z445" s="141"/>
      <c r="AA445" s="104">
        <v>441</v>
      </c>
      <c r="AB445" s="14">
        <f t="shared" si="148"/>
        <v>9</v>
      </c>
      <c r="AC445" s="14">
        <f>INDEX(挂机升级突破!$BU$6:$BU$57,卡牌消耗!AI445)</f>
        <v>11</v>
      </c>
      <c r="AD445" s="14">
        <f>INDEX(挂机升级突破!BV$6:BV$57,卡牌消耗!$AI445)</f>
        <v>4</v>
      </c>
      <c r="AE445" s="14">
        <f>INDEX(挂机升级突破!BW$6:BW$57,卡牌消耗!$AI445)</f>
        <v>0</v>
      </c>
      <c r="AF445" s="14" t="str">
        <f t="shared" si="149"/>
        <v>徐晃</v>
      </c>
      <c r="AG445" s="14">
        <f t="shared" si="150"/>
        <v>3</v>
      </c>
      <c r="AH445" s="14" t="str">
        <f t="shared" si="151"/>
        <v>徐晃魂火-25</v>
      </c>
      <c r="AI445" s="14">
        <f t="shared" si="152"/>
        <v>25</v>
      </c>
      <c r="AJ445" s="14" t="str">
        <f>INDEX(挂机升级突破!$BX$4:$CH$4,INDEX(挂机升级突破!$BU$6:$BU$57,卡牌消耗!AI445))</f>
        <v>金币</v>
      </c>
      <c r="AK445" s="14">
        <f>ROUND(INDEX(挂机升级突破!$BN$6:$BN$57,卡牌消耗!AI445)*INDEX(卡牌消耗!$B$8:$F$8,AG445)/$Q$4/50,0)*50</f>
        <v>5850</v>
      </c>
      <c r="AL445" s="14" t="str">
        <f>IF(AD445&gt;0,INDEX(挂机升级突破!$BX$4:$CH$4,AD445),"")</f>
        <v>橙色基础材料</v>
      </c>
      <c r="AM445" s="14">
        <f>ROUND(INDEX(挂机升级突破!$BX$6:$CH$57,卡牌消耗!AI445,AD445)*INDEX(卡牌消耗!$B$5:$F$5,AG445)/$Q$4/5,0)*5</f>
        <v>70</v>
      </c>
      <c r="AN445" s="14" t="str">
        <f>IF(AE445&gt;0,INDEX(挂机升级突破!$BX$4:$CH$4,AE445),"")</f>
        <v/>
      </c>
      <c r="AO445" s="14" t="str">
        <f>IF(AE445&gt;0,ROUND(INDEX(挂机升级突破!$BX$6:$CH$57,卡牌消耗!AI445,AE445)*INDEX(卡牌消耗!$B$7:$F$7,AG445)/$Q$4,0),"")</f>
        <v/>
      </c>
      <c r="AP445" s="106"/>
      <c r="AQ445" s="15"/>
      <c r="AR445" s="104">
        <v>441</v>
      </c>
      <c r="AS445" s="14">
        <f t="shared" si="153"/>
        <v>23</v>
      </c>
      <c r="AT445" s="14">
        <f>INDEX(挂机升级突破!$CM$7:$CM$26,AX445)</f>
        <v>0</v>
      </c>
      <c r="AU445" s="14">
        <f>INDEX(挂机升级突破!$CN$7:$CN$26,AX445)</f>
        <v>0</v>
      </c>
      <c r="AV445" s="14">
        <f t="shared" si="154"/>
        <v>2</v>
      </c>
      <c r="AW445" s="14" t="str">
        <f t="shared" si="155"/>
        <v>异邦刀客</v>
      </c>
      <c r="AX445" s="14">
        <f t="shared" si="156"/>
        <v>1</v>
      </c>
      <c r="AY445" s="14" t="str">
        <f t="shared" si="157"/>
        <v>异邦刀客1突</v>
      </c>
      <c r="AZ445" s="14" t="str">
        <f>IF(AT445&gt;0,INDEX(挂机升级突破!$CV$5:$CZ$5,卡牌消耗!AT445),"")</f>
        <v/>
      </c>
      <c r="BA445" s="14" t="str">
        <f>IF(AT445&gt;0,ROUND(INDEX(挂机升级突破!$CZ$7:$CZ$26,卡牌消耗!AX445)*INDEX(卡牌消耗!$B$8:$F$8,AV445)/$Q$4/500,0)*500,"")</f>
        <v/>
      </c>
      <c r="BB445" s="14" t="str">
        <f>IF(AU445&gt;0,INDEX(挂机升级突破!$CV$5:$CZ$5,卡牌消耗!AU445),"")</f>
        <v/>
      </c>
      <c r="BC445" s="14" t="str">
        <f>IF(AU445&gt;0,ROUND(INDEX(挂机升级突破!$CV$7:$CY$26,卡牌消耗!AX445,卡牌消耗!AU445)*INDEX($B$6:$F$6,AV445)/$Q$4/5,0)*5,"")</f>
        <v/>
      </c>
      <c r="BD445" s="104"/>
      <c r="BE445" s="104"/>
      <c r="BF445" s="106"/>
    </row>
    <row r="446" spans="8:58" ht="16.5" x14ac:dyDescent="0.2">
      <c r="H446" s="15"/>
      <c r="I446" s="15"/>
      <c r="J446" s="15"/>
      <c r="K446" s="15"/>
      <c r="L446" s="15"/>
      <c r="M446" s="15"/>
      <c r="N446" s="15"/>
      <c r="O446" s="137"/>
      <c r="P446" s="141"/>
      <c r="Q446" s="141"/>
      <c r="R446" s="141"/>
      <c r="S446" s="141"/>
      <c r="T446" s="141"/>
      <c r="U446" s="141"/>
      <c r="V446" s="141"/>
      <c r="W446" s="141"/>
      <c r="X446" s="141"/>
      <c r="Y446" s="141"/>
      <c r="Z446" s="141"/>
      <c r="AA446" s="104">
        <v>442</v>
      </c>
      <c r="AB446" s="14">
        <f t="shared" si="148"/>
        <v>9</v>
      </c>
      <c r="AC446" s="14">
        <f>INDEX(挂机升级突破!$BU$6:$BU$57,卡牌消耗!AI446)</f>
        <v>11</v>
      </c>
      <c r="AD446" s="14">
        <f>INDEX(挂机升级突破!BV$6:BV$57,卡牌消耗!$AI446)</f>
        <v>4</v>
      </c>
      <c r="AE446" s="14">
        <f>INDEX(挂机升级突破!BW$6:BW$57,卡牌消耗!$AI446)</f>
        <v>0</v>
      </c>
      <c r="AF446" s="14" t="str">
        <f t="shared" si="149"/>
        <v>徐晃</v>
      </c>
      <c r="AG446" s="14">
        <f t="shared" si="150"/>
        <v>3</v>
      </c>
      <c r="AH446" s="14" t="str">
        <f t="shared" si="151"/>
        <v>徐晃魂火-26</v>
      </c>
      <c r="AI446" s="14">
        <f t="shared" si="152"/>
        <v>26</v>
      </c>
      <c r="AJ446" s="14" t="str">
        <f>INDEX(挂机升级突破!$BX$4:$CH$4,INDEX(挂机升级突破!$BU$6:$BU$57,卡牌消耗!AI446))</f>
        <v>金币</v>
      </c>
      <c r="AK446" s="14">
        <f>ROUND(INDEX(挂机升级突破!$BN$6:$BN$57,卡牌消耗!AI446)*INDEX(卡牌消耗!$B$8:$F$8,AG446)/$Q$4/50,0)*50</f>
        <v>6850</v>
      </c>
      <c r="AL446" s="14" t="str">
        <f>IF(AD446&gt;0,INDEX(挂机升级突破!$BX$4:$CH$4,AD446),"")</f>
        <v>橙色基础材料</v>
      </c>
      <c r="AM446" s="14">
        <f>ROUND(INDEX(挂机升级突破!$BX$6:$CH$57,卡牌消耗!AI446,AD446)*INDEX(卡牌消耗!$B$5:$F$5,AG446)/$Q$4/5,0)*5</f>
        <v>85</v>
      </c>
      <c r="AN446" s="14" t="str">
        <f>IF(AE446&gt;0,INDEX(挂机升级突破!$BX$4:$CH$4,AE446),"")</f>
        <v/>
      </c>
      <c r="AO446" s="14" t="str">
        <f>IF(AE446&gt;0,ROUND(INDEX(挂机升级突破!$BX$6:$CH$57,卡牌消耗!AI446,AE446)*INDEX(卡牌消耗!$B$7:$F$7,AG446)/$Q$4,0),"")</f>
        <v/>
      </c>
      <c r="AP446" s="106"/>
      <c r="AQ446" s="15"/>
      <c r="AR446" s="104">
        <v>442</v>
      </c>
      <c r="AS446" s="14">
        <f t="shared" si="153"/>
        <v>23</v>
      </c>
      <c r="AT446" s="14">
        <f>INDEX(挂机升级突破!$CM$7:$CM$26,AX446)</f>
        <v>5</v>
      </c>
      <c r="AU446" s="14">
        <f>INDEX(挂机升级突破!$CN$7:$CN$26,AX446)</f>
        <v>0</v>
      </c>
      <c r="AV446" s="14">
        <f t="shared" si="154"/>
        <v>2</v>
      </c>
      <c r="AW446" s="14" t="str">
        <f t="shared" si="155"/>
        <v>异邦刀客</v>
      </c>
      <c r="AX446" s="14">
        <f t="shared" si="156"/>
        <v>2</v>
      </c>
      <c r="AY446" s="14" t="str">
        <f t="shared" si="157"/>
        <v>异邦刀客2突</v>
      </c>
      <c r="AZ446" s="14" t="str">
        <f>IF(AT446&gt;0,INDEX(挂机升级突破!$CV$5:$CZ$5,卡牌消耗!AT446),"")</f>
        <v>金币</v>
      </c>
      <c r="BA446" s="14">
        <f>IF(AT446&gt;0,ROUND(INDEX(挂机升级突破!$CZ$7:$CZ$26,卡牌消耗!AX446)*INDEX(卡牌消耗!$B$8:$F$8,AV446)/$Q$4/500,0)*500,"")</f>
        <v>1500</v>
      </c>
      <c r="BB446" s="14" t="str">
        <f>IF(AU446&gt;0,INDEX(挂机升级突破!$CV$5:$CZ$5,卡牌消耗!AU446),"")</f>
        <v/>
      </c>
      <c r="BC446" s="14" t="str">
        <f>IF(AU446&gt;0,ROUND(INDEX(挂机升级突破!$CV$7:$CY$26,卡牌消耗!AX446,卡牌消耗!AU446)*INDEX($B$6:$F$6,AV446)/$Q$4/5,0)*5,"")</f>
        <v/>
      </c>
      <c r="BD446" s="104"/>
      <c r="BE446" s="104"/>
      <c r="BF446" s="106"/>
    </row>
    <row r="447" spans="8:58" ht="16.5" x14ac:dyDescent="0.2">
      <c r="H447" s="15"/>
      <c r="I447" s="15"/>
      <c r="J447" s="15"/>
      <c r="K447" s="15"/>
      <c r="L447" s="15"/>
      <c r="M447" s="15"/>
      <c r="N447" s="15"/>
      <c r="O447" s="137"/>
      <c r="P447" s="141"/>
      <c r="Q447" s="141"/>
      <c r="R447" s="141"/>
      <c r="S447" s="141"/>
      <c r="T447" s="141"/>
      <c r="U447" s="141"/>
      <c r="V447" s="141"/>
      <c r="W447" s="141"/>
      <c r="X447" s="141"/>
      <c r="Y447" s="141"/>
      <c r="Z447" s="141"/>
      <c r="AA447" s="104">
        <v>443</v>
      </c>
      <c r="AB447" s="14">
        <f t="shared" si="148"/>
        <v>9</v>
      </c>
      <c r="AC447" s="14">
        <f>INDEX(挂机升级突破!$BU$6:$BU$57,卡牌消耗!AI447)</f>
        <v>11</v>
      </c>
      <c r="AD447" s="14">
        <f>INDEX(挂机升级突破!BV$6:BV$57,卡牌消耗!$AI447)</f>
        <v>4</v>
      </c>
      <c r="AE447" s="14">
        <f>INDEX(挂机升级突破!BW$6:BW$57,卡牌消耗!$AI447)</f>
        <v>0</v>
      </c>
      <c r="AF447" s="14" t="str">
        <f t="shared" si="149"/>
        <v>徐晃</v>
      </c>
      <c r="AG447" s="14">
        <f t="shared" si="150"/>
        <v>3</v>
      </c>
      <c r="AH447" s="14" t="str">
        <f t="shared" si="151"/>
        <v>徐晃魂火-27</v>
      </c>
      <c r="AI447" s="14">
        <f t="shared" si="152"/>
        <v>27</v>
      </c>
      <c r="AJ447" s="14" t="str">
        <f>INDEX(挂机升级突破!$BX$4:$CH$4,INDEX(挂机升级突破!$BU$6:$BU$57,卡牌消耗!AI447))</f>
        <v>金币</v>
      </c>
      <c r="AK447" s="14">
        <f>ROUND(INDEX(挂机升级突破!$BN$6:$BN$57,卡牌消耗!AI447)*INDEX(卡牌消耗!$B$8:$F$8,AG447)/$Q$4/50,0)*50</f>
        <v>6850</v>
      </c>
      <c r="AL447" s="14" t="str">
        <f>IF(AD447&gt;0,INDEX(挂机升级突破!$BX$4:$CH$4,AD447),"")</f>
        <v>橙色基础材料</v>
      </c>
      <c r="AM447" s="14">
        <f>ROUND(INDEX(挂机升级突破!$BX$6:$CH$57,卡牌消耗!AI447,AD447)*INDEX(卡牌消耗!$B$5:$F$5,AG447)/$Q$4/5,0)*5</f>
        <v>85</v>
      </c>
      <c r="AN447" s="14" t="str">
        <f>IF(AE447&gt;0,INDEX(挂机升级突破!$BX$4:$CH$4,AE447),"")</f>
        <v/>
      </c>
      <c r="AO447" s="14" t="str">
        <f>IF(AE447&gt;0,ROUND(INDEX(挂机升级突破!$BX$6:$CH$57,卡牌消耗!AI447,AE447)*INDEX(卡牌消耗!$B$7:$F$7,AG447)/$Q$4,0),"")</f>
        <v/>
      </c>
      <c r="AP447" s="106"/>
      <c r="AQ447" s="15"/>
      <c r="AR447" s="104">
        <v>443</v>
      </c>
      <c r="AS447" s="14">
        <f t="shared" si="153"/>
        <v>23</v>
      </c>
      <c r="AT447" s="14">
        <f>INDEX(挂机升级突破!$CM$7:$CM$26,AX447)</f>
        <v>5</v>
      </c>
      <c r="AU447" s="14">
        <f>INDEX(挂机升级突破!$CN$7:$CN$26,AX447)</f>
        <v>0</v>
      </c>
      <c r="AV447" s="14">
        <f t="shared" si="154"/>
        <v>2</v>
      </c>
      <c r="AW447" s="14" t="str">
        <f t="shared" si="155"/>
        <v>异邦刀客</v>
      </c>
      <c r="AX447" s="14">
        <f t="shared" si="156"/>
        <v>3</v>
      </c>
      <c r="AY447" s="14" t="str">
        <f t="shared" si="157"/>
        <v>异邦刀客3突</v>
      </c>
      <c r="AZ447" s="14" t="str">
        <f>IF(AT447&gt;0,INDEX(挂机升级突破!$CV$5:$CZ$5,卡牌消耗!AT447),"")</f>
        <v>金币</v>
      </c>
      <c r="BA447" s="14">
        <f>IF(AT447&gt;0,ROUND(INDEX(挂机升级突破!$CZ$7:$CZ$26,卡牌消耗!AX447)*INDEX(卡牌消耗!$B$8:$F$8,AV447)/$Q$4/500,0)*500,"")</f>
        <v>1500</v>
      </c>
      <c r="BB447" s="14" t="str">
        <f>IF(AU447&gt;0,INDEX(挂机升级突破!$CV$5:$CZ$5,卡牌消耗!AU447),"")</f>
        <v/>
      </c>
      <c r="BC447" s="14" t="str">
        <f>IF(AU447&gt;0,ROUND(INDEX(挂机升级突破!$CV$7:$CY$26,卡牌消耗!AX447,卡牌消耗!AU447)*INDEX($B$6:$F$6,AV447)/$Q$4/5,0)*5,"")</f>
        <v/>
      </c>
      <c r="BD447" s="104"/>
      <c r="BE447" s="104"/>
      <c r="BF447" s="106"/>
    </row>
    <row r="448" spans="8:58" ht="16.5" x14ac:dyDescent="0.2">
      <c r="H448" s="15"/>
      <c r="I448" s="15"/>
      <c r="J448" s="15"/>
      <c r="K448" s="15"/>
      <c r="L448" s="15"/>
      <c r="M448" s="15"/>
      <c r="N448" s="15"/>
      <c r="O448" s="137"/>
      <c r="P448" s="141"/>
      <c r="Q448" s="141"/>
      <c r="R448" s="141"/>
      <c r="S448" s="141"/>
      <c r="T448" s="141"/>
      <c r="U448" s="141"/>
      <c r="V448" s="141"/>
      <c r="W448" s="141"/>
      <c r="X448" s="141"/>
      <c r="Y448" s="141"/>
      <c r="Z448" s="141"/>
      <c r="AA448" s="104">
        <v>444</v>
      </c>
      <c r="AB448" s="14">
        <f t="shared" si="148"/>
        <v>9</v>
      </c>
      <c r="AC448" s="14">
        <f>INDEX(挂机升级突破!$BU$6:$BU$57,卡牌消耗!AI448)</f>
        <v>11</v>
      </c>
      <c r="AD448" s="14">
        <f>INDEX(挂机升级突破!BV$6:BV$57,卡牌消耗!$AI448)</f>
        <v>4</v>
      </c>
      <c r="AE448" s="14">
        <f>INDEX(挂机升级突破!BW$6:BW$57,卡牌消耗!$AI448)</f>
        <v>0</v>
      </c>
      <c r="AF448" s="14" t="str">
        <f t="shared" si="149"/>
        <v>徐晃</v>
      </c>
      <c r="AG448" s="14">
        <f t="shared" si="150"/>
        <v>3</v>
      </c>
      <c r="AH448" s="14" t="str">
        <f t="shared" si="151"/>
        <v>徐晃魂火-28</v>
      </c>
      <c r="AI448" s="14">
        <f t="shared" si="152"/>
        <v>28</v>
      </c>
      <c r="AJ448" s="14" t="str">
        <f>INDEX(挂机升级突破!$BX$4:$CH$4,INDEX(挂机升级突破!$BU$6:$BU$57,卡牌消耗!AI448))</f>
        <v>金币</v>
      </c>
      <c r="AK448" s="14">
        <f>ROUND(INDEX(挂机升级突破!$BN$6:$BN$57,卡牌消耗!AI448)*INDEX(卡牌消耗!$B$8:$F$8,AG448)/$Q$4/50,0)*50</f>
        <v>6850</v>
      </c>
      <c r="AL448" s="14" t="str">
        <f>IF(AD448&gt;0,INDEX(挂机升级突破!$BX$4:$CH$4,AD448),"")</f>
        <v>橙色基础材料</v>
      </c>
      <c r="AM448" s="14">
        <f>ROUND(INDEX(挂机升级突破!$BX$6:$CH$57,卡牌消耗!AI448,AD448)*INDEX(卡牌消耗!$B$5:$F$5,AG448)/$Q$4/5,0)*5</f>
        <v>85</v>
      </c>
      <c r="AN448" s="14" t="str">
        <f>IF(AE448&gt;0,INDEX(挂机升级突破!$BX$4:$CH$4,AE448),"")</f>
        <v/>
      </c>
      <c r="AO448" s="14" t="str">
        <f>IF(AE448&gt;0,ROUND(INDEX(挂机升级突破!$BX$6:$CH$57,卡牌消耗!AI448,AE448)*INDEX(卡牌消耗!$B$7:$F$7,AG448)/$Q$4,0),"")</f>
        <v/>
      </c>
      <c r="AP448" s="106"/>
      <c r="AQ448" s="15"/>
      <c r="AR448" s="104">
        <v>444</v>
      </c>
      <c r="AS448" s="14">
        <f t="shared" si="153"/>
        <v>23</v>
      </c>
      <c r="AT448" s="14">
        <f>INDEX(挂机升级突破!$CM$7:$CM$26,AX448)</f>
        <v>5</v>
      </c>
      <c r="AU448" s="14">
        <f>INDEX(挂机升级突破!$CN$7:$CN$26,AX448)</f>
        <v>1</v>
      </c>
      <c r="AV448" s="14">
        <f t="shared" si="154"/>
        <v>2</v>
      </c>
      <c r="AW448" s="14" t="str">
        <f t="shared" si="155"/>
        <v>异邦刀客</v>
      </c>
      <c r="AX448" s="14">
        <f t="shared" si="156"/>
        <v>4</v>
      </c>
      <c r="AY448" s="14" t="str">
        <f t="shared" si="157"/>
        <v>异邦刀客4突</v>
      </c>
      <c r="AZ448" s="14" t="str">
        <f>IF(AT448&gt;0,INDEX(挂机升级突破!$CV$5:$CZ$5,卡牌消耗!AT448),"")</f>
        <v>金币</v>
      </c>
      <c r="BA448" s="14">
        <f>IF(AT448&gt;0,ROUND(INDEX(挂机升级突破!$CZ$7:$CZ$26,卡牌消耗!AX448)*INDEX(卡牌消耗!$B$8:$F$8,AV448)/$Q$4/500,0)*500,"")</f>
        <v>2000</v>
      </c>
      <c r="BB448" s="14" t="str">
        <f>IF(AU448&gt;0,INDEX(挂机升级突破!$CV$5:$CZ$5,卡牌消耗!AU448),"")</f>
        <v>玄铁</v>
      </c>
      <c r="BC448" s="14">
        <f>IF(AU448&gt;0,ROUND(INDEX(挂机升级突破!$CV$7:$CY$26,卡牌消耗!AX448,卡牌消耗!AU448)*INDEX($B$6:$F$6,AV448)/$Q$4/5,0)*5,"")</f>
        <v>45</v>
      </c>
      <c r="BD448" s="104"/>
      <c r="BE448" s="104"/>
      <c r="BF448" s="106"/>
    </row>
    <row r="449" spans="8:58" ht="16.5" x14ac:dyDescent="0.2">
      <c r="H449" s="15"/>
      <c r="I449" s="15"/>
      <c r="J449" s="15"/>
      <c r="K449" s="15"/>
      <c r="L449" s="15"/>
      <c r="M449" s="15"/>
      <c r="N449" s="15"/>
      <c r="O449" s="137"/>
      <c r="P449" s="141"/>
      <c r="Q449" s="141"/>
      <c r="R449" s="141"/>
      <c r="S449" s="141"/>
      <c r="T449" s="141"/>
      <c r="U449" s="141"/>
      <c r="V449" s="141"/>
      <c r="W449" s="141"/>
      <c r="X449" s="141"/>
      <c r="Y449" s="141"/>
      <c r="Z449" s="141"/>
      <c r="AA449" s="104">
        <v>445</v>
      </c>
      <c r="AB449" s="14">
        <f t="shared" si="148"/>
        <v>9</v>
      </c>
      <c r="AC449" s="14">
        <f>INDEX(挂机升级突破!$BU$6:$BU$57,卡牌消耗!AI449)</f>
        <v>11</v>
      </c>
      <c r="AD449" s="14">
        <f>INDEX(挂机升级突破!BV$6:BV$57,卡牌消耗!$AI449)</f>
        <v>4</v>
      </c>
      <c r="AE449" s="14">
        <f>INDEX(挂机升级突破!BW$6:BW$57,卡牌消耗!$AI449)</f>
        <v>0</v>
      </c>
      <c r="AF449" s="14" t="str">
        <f t="shared" si="149"/>
        <v>徐晃</v>
      </c>
      <c r="AG449" s="14">
        <f t="shared" si="150"/>
        <v>3</v>
      </c>
      <c r="AH449" s="14" t="str">
        <f t="shared" si="151"/>
        <v>徐晃魂火-29</v>
      </c>
      <c r="AI449" s="14">
        <f t="shared" si="152"/>
        <v>29</v>
      </c>
      <c r="AJ449" s="14" t="str">
        <f>INDEX(挂机升级突破!$BX$4:$CH$4,INDEX(挂机升级突破!$BU$6:$BU$57,卡牌消耗!AI449))</f>
        <v>金币</v>
      </c>
      <c r="AK449" s="14">
        <f>ROUND(INDEX(挂机升级突破!$BN$6:$BN$57,卡牌消耗!AI449)*INDEX(卡牌消耗!$B$8:$F$8,AG449)/$Q$4/50,0)*50</f>
        <v>6900</v>
      </c>
      <c r="AL449" s="14" t="str">
        <f>IF(AD449&gt;0,INDEX(挂机升级突破!$BX$4:$CH$4,AD449),"")</f>
        <v>橙色基础材料</v>
      </c>
      <c r="AM449" s="14">
        <f>ROUND(INDEX(挂机升级突破!$BX$6:$CH$57,卡牌消耗!AI449,AD449)*INDEX(卡牌消耗!$B$5:$F$5,AG449)/$Q$4/5,0)*5</f>
        <v>100</v>
      </c>
      <c r="AN449" s="14" t="str">
        <f>IF(AE449&gt;0,INDEX(挂机升级突破!$BX$4:$CH$4,AE449),"")</f>
        <v/>
      </c>
      <c r="AO449" s="14" t="str">
        <f>IF(AE449&gt;0,ROUND(INDEX(挂机升级突破!$BX$6:$CH$57,卡牌消耗!AI449,AE449)*INDEX(卡牌消耗!$B$7:$F$7,AG449)/$Q$4,0),"")</f>
        <v/>
      </c>
      <c r="AP449" s="106"/>
      <c r="AQ449" s="15"/>
      <c r="AR449" s="104">
        <v>445</v>
      </c>
      <c r="AS449" s="14">
        <f t="shared" si="153"/>
        <v>23</v>
      </c>
      <c r="AT449" s="14">
        <f>INDEX(挂机升级突破!$CM$7:$CM$26,AX449)</f>
        <v>5</v>
      </c>
      <c r="AU449" s="14">
        <f>INDEX(挂机升级突破!$CN$7:$CN$26,AX449)</f>
        <v>1</v>
      </c>
      <c r="AV449" s="14">
        <f t="shared" si="154"/>
        <v>2</v>
      </c>
      <c r="AW449" s="14" t="str">
        <f t="shared" si="155"/>
        <v>异邦刀客</v>
      </c>
      <c r="AX449" s="14">
        <f t="shared" si="156"/>
        <v>5</v>
      </c>
      <c r="AY449" s="14" t="str">
        <f t="shared" si="157"/>
        <v>异邦刀客5突</v>
      </c>
      <c r="AZ449" s="14" t="str">
        <f>IF(AT449&gt;0,INDEX(挂机升级突破!$CV$5:$CZ$5,卡牌消耗!AT449),"")</f>
        <v>金币</v>
      </c>
      <c r="BA449" s="14">
        <f>IF(AT449&gt;0,ROUND(INDEX(挂机升级突破!$CZ$7:$CZ$26,卡牌消耗!AX449)*INDEX(卡牌消耗!$B$8:$F$8,AV449)/$Q$4/500,0)*500,"")</f>
        <v>2000</v>
      </c>
      <c r="BB449" s="14" t="str">
        <f>IF(AU449&gt;0,INDEX(挂机升级突破!$CV$5:$CZ$5,卡牌消耗!AU449),"")</f>
        <v>玄铁</v>
      </c>
      <c r="BC449" s="14">
        <f>IF(AU449&gt;0,ROUND(INDEX(挂机升级突破!$CV$7:$CY$26,卡牌消耗!AX449,卡牌消耗!AU449)*INDEX($B$6:$F$6,AV449)/$Q$4/5,0)*5,"")</f>
        <v>95</v>
      </c>
      <c r="BD449" s="104"/>
      <c r="BE449" s="104"/>
      <c r="BF449" s="106"/>
    </row>
    <row r="450" spans="8:58" ht="16.5" x14ac:dyDescent="0.2">
      <c r="H450" s="15"/>
      <c r="I450" s="15"/>
      <c r="J450" s="15"/>
      <c r="K450" s="15"/>
      <c r="L450" s="15"/>
      <c r="M450" s="15"/>
      <c r="N450" s="15"/>
      <c r="O450" s="137"/>
      <c r="P450" s="141"/>
      <c r="Q450" s="141"/>
      <c r="R450" s="141"/>
      <c r="S450" s="141"/>
      <c r="T450" s="141"/>
      <c r="U450" s="141"/>
      <c r="V450" s="141"/>
      <c r="W450" s="141"/>
      <c r="X450" s="141"/>
      <c r="Y450" s="141"/>
      <c r="Z450" s="141"/>
      <c r="AA450" s="104">
        <v>446</v>
      </c>
      <c r="AB450" s="14">
        <f t="shared" si="148"/>
        <v>9</v>
      </c>
      <c r="AC450" s="14">
        <f>INDEX(挂机升级突破!$BU$6:$BU$57,卡牌消耗!AI450)</f>
        <v>11</v>
      </c>
      <c r="AD450" s="14">
        <f>INDEX(挂机升级突破!BV$6:BV$57,卡牌消耗!$AI450)</f>
        <v>4</v>
      </c>
      <c r="AE450" s="14">
        <f>INDEX(挂机升级突破!BW$6:BW$57,卡牌消耗!$AI450)</f>
        <v>0</v>
      </c>
      <c r="AF450" s="14" t="str">
        <f t="shared" si="149"/>
        <v>徐晃</v>
      </c>
      <c r="AG450" s="14">
        <f t="shared" si="150"/>
        <v>3</v>
      </c>
      <c r="AH450" s="14" t="str">
        <f t="shared" si="151"/>
        <v>徐晃魂火-30</v>
      </c>
      <c r="AI450" s="14">
        <f t="shared" si="152"/>
        <v>30</v>
      </c>
      <c r="AJ450" s="14" t="str">
        <f>INDEX(挂机升级突破!$BX$4:$CH$4,INDEX(挂机升级突破!$BU$6:$BU$57,卡牌消耗!AI450))</f>
        <v>金币</v>
      </c>
      <c r="AK450" s="14">
        <f>ROUND(INDEX(挂机升级突破!$BN$6:$BN$57,卡牌消耗!AI450)*INDEX(卡牌消耗!$B$8:$F$8,AG450)/$Q$4/50,0)*50</f>
        <v>6900</v>
      </c>
      <c r="AL450" s="14" t="str">
        <f>IF(AD450&gt;0,INDEX(挂机升级突破!$BX$4:$CH$4,AD450),"")</f>
        <v>橙色基础材料</v>
      </c>
      <c r="AM450" s="14">
        <f>ROUND(INDEX(挂机升级突破!$BX$6:$CH$57,卡牌消耗!AI450,AD450)*INDEX(卡牌消耗!$B$5:$F$5,AG450)/$Q$4/5,0)*5</f>
        <v>100</v>
      </c>
      <c r="AN450" s="14" t="str">
        <f>IF(AE450&gt;0,INDEX(挂机升级突破!$BX$4:$CH$4,AE450),"")</f>
        <v/>
      </c>
      <c r="AO450" s="14" t="str">
        <f>IF(AE450&gt;0,ROUND(INDEX(挂机升级突破!$BX$6:$CH$57,卡牌消耗!AI450,AE450)*INDEX(卡牌消耗!$B$7:$F$7,AG450)/$Q$4,0),"")</f>
        <v/>
      </c>
      <c r="AP450" s="106"/>
      <c r="AQ450" s="15"/>
      <c r="AR450" s="104">
        <v>446</v>
      </c>
      <c r="AS450" s="14">
        <f t="shared" si="153"/>
        <v>23</v>
      </c>
      <c r="AT450" s="14">
        <f>INDEX(挂机升级突破!$CM$7:$CM$26,AX450)</f>
        <v>5</v>
      </c>
      <c r="AU450" s="14">
        <f>INDEX(挂机升级突破!$CN$7:$CN$26,AX450)</f>
        <v>1</v>
      </c>
      <c r="AV450" s="14">
        <f t="shared" si="154"/>
        <v>2</v>
      </c>
      <c r="AW450" s="14" t="str">
        <f t="shared" si="155"/>
        <v>异邦刀客</v>
      </c>
      <c r="AX450" s="14">
        <f t="shared" si="156"/>
        <v>6</v>
      </c>
      <c r="AY450" s="14" t="str">
        <f t="shared" si="157"/>
        <v>异邦刀客6突</v>
      </c>
      <c r="AZ450" s="14" t="str">
        <f>IF(AT450&gt;0,INDEX(挂机升级突破!$CV$5:$CZ$5,卡牌消耗!AT450),"")</f>
        <v>金币</v>
      </c>
      <c r="BA450" s="14">
        <f>IF(AT450&gt;0,ROUND(INDEX(挂机升级突破!$CZ$7:$CZ$26,卡牌消耗!AX450)*INDEX(卡牌消耗!$B$8:$F$8,AV450)/$Q$4/500,0)*500,"")</f>
        <v>3000</v>
      </c>
      <c r="BB450" s="14" t="str">
        <f>IF(AU450&gt;0,INDEX(挂机升级突破!$CV$5:$CZ$5,卡牌消耗!AU450),"")</f>
        <v>玄铁</v>
      </c>
      <c r="BC450" s="14">
        <f>IF(AU450&gt;0,ROUND(INDEX(挂机升级突破!$CV$7:$CY$26,卡牌消耗!AX450,卡牌消耗!AU450)*INDEX($B$6:$F$6,AV450)/$Q$4/5,0)*5,"")</f>
        <v>140</v>
      </c>
      <c r="BD450" s="104"/>
      <c r="BE450" s="104"/>
      <c r="BF450" s="106"/>
    </row>
    <row r="451" spans="8:58" ht="16.5" x14ac:dyDescent="0.2">
      <c r="H451" s="15"/>
      <c r="I451" s="15"/>
      <c r="J451" s="15"/>
      <c r="K451" s="15"/>
      <c r="L451" s="15"/>
      <c r="M451" s="15"/>
      <c r="N451" s="15"/>
      <c r="O451" s="137"/>
      <c r="P451" s="141"/>
      <c r="Q451" s="141"/>
      <c r="R451" s="141"/>
      <c r="S451" s="141"/>
      <c r="T451" s="141"/>
      <c r="U451" s="141"/>
      <c r="V451" s="141"/>
      <c r="W451" s="141"/>
      <c r="X451" s="141"/>
      <c r="Y451" s="141"/>
      <c r="Z451" s="141"/>
      <c r="AA451" s="104">
        <v>447</v>
      </c>
      <c r="AB451" s="14">
        <f t="shared" si="148"/>
        <v>9</v>
      </c>
      <c r="AC451" s="14">
        <f>INDEX(挂机升级突破!$BU$6:$BU$57,卡牌消耗!AI451)</f>
        <v>11</v>
      </c>
      <c r="AD451" s="14">
        <f>INDEX(挂机升级突破!BV$6:BV$57,卡牌消耗!$AI451)</f>
        <v>4</v>
      </c>
      <c r="AE451" s="14">
        <f>INDEX(挂机升级突破!BW$6:BW$57,卡牌消耗!$AI451)</f>
        <v>0</v>
      </c>
      <c r="AF451" s="14" t="str">
        <f t="shared" si="149"/>
        <v>徐晃</v>
      </c>
      <c r="AG451" s="14">
        <f t="shared" si="150"/>
        <v>3</v>
      </c>
      <c r="AH451" s="14" t="str">
        <f t="shared" si="151"/>
        <v>徐晃魂火-31</v>
      </c>
      <c r="AI451" s="14">
        <f t="shared" si="152"/>
        <v>31</v>
      </c>
      <c r="AJ451" s="14" t="str">
        <f>INDEX(挂机升级突破!$BX$4:$CH$4,INDEX(挂机升级突破!$BU$6:$BU$57,卡牌消耗!AI451))</f>
        <v>金币</v>
      </c>
      <c r="AK451" s="14">
        <f>ROUND(INDEX(挂机升级突破!$BN$6:$BN$57,卡牌消耗!AI451)*INDEX(卡牌消耗!$B$8:$F$8,AG451)/$Q$4/50,0)*50</f>
        <v>6900</v>
      </c>
      <c r="AL451" s="14" t="str">
        <f>IF(AD451&gt;0,INDEX(挂机升级突破!$BX$4:$CH$4,AD451),"")</f>
        <v>橙色基础材料</v>
      </c>
      <c r="AM451" s="14">
        <f>ROUND(INDEX(挂机升级突破!$BX$6:$CH$57,卡牌消耗!AI451,AD451)*INDEX(卡牌消耗!$B$5:$F$5,AG451)/$Q$4/5,0)*5</f>
        <v>100</v>
      </c>
      <c r="AN451" s="14" t="str">
        <f>IF(AE451&gt;0,INDEX(挂机升级突破!$BX$4:$CH$4,AE451),"")</f>
        <v/>
      </c>
      <c r="AO451" s="14" t="str">
        <f>IF(AE451&gt;0,ROUND(INDEX(挂机升级突破!$BX$6:$CH$57,卡牌消耗!AI451,AE451)*INDEX(卡牌消耗!$B$7:$F$7,AG451)/$Q$4,0),"")</f>
        <v/>
      </c>
      <c r="AP451" s="106"/>
      <c r="AQ451" s="15"/>
      <c r="AR451" s="104">
        <v>447</v>
      </c>
      <c r="AS451" s="14">
        <f t="shared" si="153"/>
        <v>23</v>
      </c>
      <c r="AT451" s="14">
        <f>INDEX(挂机升级突破!$CM$7:$CM$26,AX451)</f>
        <v>5</v>
      </c>
      <c r="AU451" s="14">
        <f>INDEX(挂机升级突破!$CN$7:$CN$26,AX451)</f>
        <v>1</v>
      </c>
      <c r="AV451" s="14">
        <f t="shared" si="154"/>
        <v>2</v>
      </c>
      <c r="AW451" s="14" t="str">
        <f t="shared" si="155"/>
        <v>异邦刀客</v>
      </c>
      <c r="AX451" s="14">
        <f t="shared" si="156"/>
        <v>7</v>
      </c>
      <c r="AY451" s="14" t="str">
        <f t="shared" si="157"/>
        <v>异邦刀客7突</v>
      </c>
      <c r="AZ451" s="14" t="str">
        <f>IF(AT451&gt;0,INDEX(挂机升级突破!$CV$5:$CZ$5,卡牌消耗!AT451),"")</f>
        <v>金币</v>
      </c>
      <c r="BA451" s="14">
        <f>IF(AT451&gt;0,ROUND(INDEX(挂机升级突破!$CZ$7:$CZ$26,卡牌消耗!AX451)*INDEX(卡牌消耗!$B$8:$F$8,AV451)/$Q$4/500,0)*500,"")</f>
        <v>4500</v>
      </c>
      <c r="BB451" s="14" t="str">
        <f>IF(AU451&gt;0,INDEX(挂机升级突破!$CV$5:$CZ$5,卡牌消耗!AU451),"")</f>
        <v>玄铁</v>
      </c>
      <c r="BC451" s="14">
        <f>IF(AU451&gt;0,ROUND(INDEX(挂机升级突破!$CV$7:$CY$26,卡牌消耗!AX451,卡牌消耗!AU451)*INDEX($B$6:$F$6,AV451)/$Q$4/5,0)*5,"")</f>
        <v>230</v>
      </c>
      <c r="BD451" s="104"/>
      <c r="BE451" s="104"/>
      <c r="BF451" s="106"/>
    </row>
    <row r="452" spans="8:58" ht="16.5" x14ac:dyDescent="0.2">
      <c r="H452" s="15"/>
      <c r="I452" s="15"/>
      <c r="J452" s="15"/>
      <c r="K452" s="15"/>
      <c r="L452" s="15"/>
      <c r="M452" s="15"/>
      <c r="N452" s="15"/>
      <c r="O452" s="137"/>
      <c r="P452" s="141"/>
      <c r="Q452" s="141"/>
      <c r="R452" s="141"/>
      <c r="S452" s="141"/>
      <c r="T452" s="141"/>
      <c r="U452" s="141"/>
      <c r="V452" s="141"/>
      <c r="W452" s="141"/>
      <c r="X452" s="141"/>
      <c r="Y452" s="141"/>
      <c r="Z452" s="141"/>
      <c r="AA452" s="104">
        <v>448</v>
      </c>
      <c r="AB452" s="14">
        <f t="shared" si="148"/>
        <v>9</v>
      </c>
      <c r="AC452" s="14">
        <f>INDEX(挂机升级突破!$BU$6:$BU$57,卡牌消耗!AI452)</f>
        <v>11</v>
      </c>
      <c r="AD452" s="14">
        <f>INDEX(挂机升级突破!BV$6:BV$57,卡牌消耗!$AI452)</f>
        <v>4</v>
      </c>
      <c r="AE452" s="14">
        <f>INDEX(挂机升级突破!BW$6:BW$57,卡牌消耗!$AI452)</f>
        <v>0</v>
      </c>
      <c r="AF452" s="14" t="str">
        <f t="shared" si="149"/>
        <v>徐晃</v>
      </c>
      <c r="AG452" s="14">
        <f t="shared" si="150"/>
        <v>3</v>
      </c>
      <c r="AH452" s="14" t="str">
        <f t="shared" si="151"/>
        <v>徐晃魂火-32</v>
      </c>
      <c r="AI452" s="14">
        <f t="shared" si="152"/>
        <v>32</v>
      </c>
      <c r="AJ452" s="14" t="str">
        <f>INDEX(挂机升级突破!$BX$4:$CH$4,INDEX(挂机升级突破!$BU$6:$BU$57,卡牌消耗!AI452))</f>
        <v>金币</v>
      </c>
      <c r="AK452" s="14">
        <f>ROUND(INDEX(挂机升级突破!$BN$6:$BN$57,卡牌消耗!AI452)*INDEX(卡牌消耗!$B$8:$F$8,AG452)/$Q$4/50,0)*50</f>
        <v>9500</v>
      </c>
      <c r="AL452" s="14" t="str">
        <f>IF(AD452&gt;0,INDEX(挂机升级突破!$BX$4:$CH$4,AD452),"")</f>
        <v>橙色基础材料</v>
      </c>
      <c r="AM452" s="14">
        <f>ROUND(INDEX(挂机升级突破!$BX$6:$CH$57,卡牌消耗!AI452,AD452)*INDEX(卡牌消耗!$B$5:$F$5,AG452)/$Q$4/5,0)*5</f>
        <v>100</v>
      </c>
      <c r="AN452" s="14" t="str">
        <f>IF(AE452&gt;0,INDEX(挂机升级突破!$BX$4:$CH$4,AE452),"")</f>
        <v/>
      </c>
      <c r="AO452" s="14" t="str">
        <f>IF(AE452&gt;0,ROUND(INDEX(挂机升级突破!$BX$6:$CH$57,卡牌消耗!AI452,AE452)*INDEX(卡牌消耗!$B$7:$F$7,AG452)/$Q$4,0),"")</f>
        <v/>
      </c>
      <c r="AP452" s="106"/>
      <c r="AQ452" s="15"/>
      <c r="AR452" s="104">
        <v>448</v>
      </c>
      <c r="AS452" s="14">
        <f t="shared" si="153"/>
        <v>23</v>
      </c>
      <c r="AT452" s="14">
        <f>INDEX(挂机升级突破!$CM$7:$CM$26,AX452)</f>
        <v>5</v>
      </c>
      <c r="AU452" s="14">
        <f>INDEX(挂机升级突破!$CN$7:$CN$26,AX452)</f>
        <v>1</v>
      </c>
      <c r="AV452" s="14">
        <f t="shared" si="154"/>
        <v>2</v>
      </c>
      <c r="AW452" s="14" t="str">
        <f t="shared" si="155"/>
        <v>异邦刀客</v>
      </c>
      <c r="AX452" s="14">
        <f t="shared" si="156"/>
        <v>8</v>
      </c>
      <c r="AY452" s="14" t="str">
        <f t="shared" si="157"/>
        <v>异邦刀客8突</v>
      </c>
      <c r="AZ452" s="14" t="str">
        <f>IF(AT452&gt;0,INDEX(挂机升级突破!$CV$5:$CZ$5,卡牌消耗!AT452),"")</f>
        <v>金币</v>
      </c>
      <c r="BA452" s="14">
        <f>IF(AT452&gt;0,ROUND(INDEX(挂机升级突破!$CZ$7:$CZ$26,卡牌消耗!AX452)*INDEX(卡牌消耗!$B$8:$F$8,AV452)/$Q$4/500,0)*500,"")</f>
        <v>4500</v>
      </c>
      <c r="BB452" s="14" t="str">
        <f>IF(AU452&gt;0,INDEX(挂机升级突破!$CV$5:$CZ$5,卡牌消耗!AU452),"")</f>
        <v>玄铁</v>
      </c>
      <c r="BC452" s="14">
        <f>IF(AU452&gt;0,ROUND(INDEX(挂机升级突破!$CV$7:$CY$26,卡牌消耗!AX452,卡牌消耗!AU452)*INDEX($B$6:$F$6,AV452)/$Q$4/5,0)*5,"")</f>
        <v>415</v>
      </c>
      <c r="BD452" s="104"/>
      <c r="BE452" s="104"/>
      <c r="BF452" s="106"/>
    </row>
    <row r="453" spans="8:58" ht="16.5" x14ac:dyDescent="0.2">
      <c r="H453" s="15"/>
      <c r="I453" s="15"/>
      <c r="J453" s="15"/>
      <c r="K453" s="15"/>
      <c r="L453" s="15"/>
      <c r="M453" s="15"/>
      <c r="N453" s="15"/>
      <c r="O453" s="137"/>
      <c r="P453" s="141"/>
      <c r="Q453" s="141"/>
      <c r="R453" s="141"/>
      <c r="S453" s="141"/>
      <c r="T453" s="141"/>
      <c r="U453" s="141"/>
      <c r="V453" s="141"/>
      <c r="W453" s="141"/>
      <c r="X453" s="141"/>
      <c r="Y453" s="141"/>
      <c r="Z453" s="141"/>
      <c r="AA453" s="104">
        <v>449</v>
      </c>
      <c r="AB453" s="14">
        <f t="shared" si="148"/>
        <v>9</v>
      </c>
      <c r="AC453" s="14">
        <f>INDEX(挂机升级突破!$BU$6:$BU$57,卡牌消耗!AI453)</f>
        <v>11</v>
      </c>
      <c r="AD453" s="14">
        <f>INDEX(挂机升级突破!BV$6:BV$57,卡牌消耗!$AI453)</f>
        <v>4</v>
      </c>
      <c r="AE453" s="14">
        <f>INDEX(挂机升级突破!BW$6:BW$57,卡牌消耗!$AI453)</f>
        <v>0</v>
      </c>
      <c r="AF453" s="14" t="str">
        <f t="shared" si="149"/>
        <v>徐晃</v>
      </c>
      <c r="AG453" s="14">
        <f t="shared" si="150"/>
        <v>3</v>
      </c>
      <c r="AH453" s="14" t="str">
        <f t="shared" si="151"/>
        <v>徐晃魂火-33</v>
      </c>
      <c r="AI453" s="14">
        <f t="shared" si="152"/>
        <v>33</v>
      </c>
      <c r="AJ453" s="14" t="str">
        <f>INDEX(挂机升级突破!$BX$4:$CH$4,INDEX(挂机升级突破!$BU$6:$BU$57,卡牌消耗!AI453))</f>
        <v>金币</v>
      </c>
      <c r="AK453" s="14">
        <f>ROUND(INDEX(挂机升级突破!$BN$6:$BN$57,卡牌消耗!AI453)*INDEX(卡牌消耗!$B$8:$F$8,AG453)/$Q$4/50,0)*50</f>
        <v>9500</v>
      </c>
      <c r="AL453" s="14" t="str">
        <f>IF(AD453&gt;0,INDEX(挂机升级突破!$BX$4:$CH$4,AD453),"")</f>
        <v>橙色基础材料</v>
      </c>
      <c r="AM453" s="14">
        <f>ROUND(INDEX(挂机升级突破!$BX$6:$CH$57,卡牌消耗!AI453,AD453)*INDEX(卡牌消耗!$B$5:$F$5,AG453)/$Q$4/5,0)*5</f>
        <v>100</v>
      </c>
      <c r="AN453" s="14" t="str">
        <f>IF(AE453&gt;0,INDEX(挂机升级突破!$BX$4:$CH$4,AE453),"")</f>
        <v/>
      </c>
      <c r="AO453" s="14" t="str">
        <f>IF(AE453&gt;0,ROUND(INDEX(挂机升级突破!$BX$6:$CH$57,卡牌消耗!AI453,AE453)*INDEX(卡牌消耗!$B$7:$F$7,AG453)/$Q$4,0),"")</f>
        <v/>
      </c>
      <c r="AP453" s="106"/>
      <c r="AQ453" s="15"/>
      <c r="AR453" s="104">
        <v>449</v>
      </c>
      <c r="AS453" s="14">
        <f t="shared" si="153"/>
        <v>23</v>
      </c>
      <c r="AT453" s="14">
        <f>INDEX(挂机升级突破!$CM$7:$CM$26,AX453)</f>
        <v>5</v>
      </c>
      <c r="AU453" s="14">
        <f>INDEX(挂机升级突破!$CN$7:$CN$26,AX453)</f>
        <v>2</v>
      </c>
      <c r="AV453" s="14">
        <f t="shared" si="154"/>
        <v>2</v>
      </c>
      <c r="AW453" s="14" t="str">
        <f t="shared" si="155"/>
        <v>异邦刀客</v>
      </c>
      <c r="AX453" s="14">
        <f t="shared" si="156"/>
        <v>9</v>
      </c>
      <c r="AY453" s="14" t="str">
        <f t="shared" si="157"/>
        <v>异邦刀客9突</v>
      </c>
      <c r="AZ453" s="14" t="str">
        <f>IF(AT453&gt;0,INDEX(挂机升级突破!$CV$5:$CZ$5,卡牌消耗!AT453),"")</f>
        <v>金币</v>
      </c>
      <c r="BA453" s="14">
        <f>IF(AT453&gt;0,ROUND(INDEX(挂机升级突破!$CZ$7:$CZ$26,卡牌消耗!AX453)*INDEX(卡牌消耗!$B$8:$F$8,AV453)/$Q$4/500,0)*500,"")</f>
        <v>6000</v>
      </c>
      <c r="BB453" s="14" t="str">
        <f>IF(AU453&gt;0,INDEX(挂机升级突破!$CV$5:$CZ$5,卡牌消耗!AU453),"")</f>
        <v>乌金</v>
      </c>
      <c r="BC453" s="14">
        <f>IF(AU453&gt;0,ROUND(INDEX(挂机升级突破!$CV$7:$CY$26,卡牌消耗!AX453,卡牌消耗!AU453)*INDEX($B$6:$F$6,AV453)/$Q$4/5,0)*5,"")</f>
        <v>50</v>
      </c>
      <c r="BD453" s="104"/>
      <c r="BE453" s="104"/>
      <c r="BF453" s="106"/>
    </row>
    <row r="454" spans="8:58" ht="16.5" x14ac:dyDescent="0.2">
      <c r="H454" s="15"/>
      <c r="I454" s="15"/>
      <c r="J454" s="15"/>
      <c r="K454" s="15"/>
      <c r="L454" s="15"/>
      <c r="M454" s="15"/>
      <c r="N454" s="15"/>
      <c r="O454" s="137"/>
      <c r="P454" s="141"/>
      <c r="Q454" s="141"/>
      <c r="R454" s="141"/>
      <c r="S454" s="141"/>
      <c r="T454" s="141"/>
      <c r="U454" s="141"/>
      <c r="V454" s="141"/>
      <c r="W454" s="141"/>
      <c r="X454" s="141"/>
      <c r="Y454" s="141"/>
      <c r="Z454" s="141"/>
      <c r="AA454" s="104">
        <v>450</v>
      </c>
      <c r="AB454" s="14">
        <f t="shared" ref="AB454:AB517" si="158">INT((AA454-1)/52)+1</f>
        <v>9</v>
      </c>
      <c r="AC454" s="14">
        <f>INDEX(挂机升级突破!$BU$6:$BU$57,卡牌消耗!AI454)</f>
        <v>11</v>
      </c>
      <c r="AD454" s="14">
        <f>INDEX(挂机升级突破!BV$6:BV$57,卡牌消耗!$AI454)</f>
        <v>4</v>
      </c>
      <c r="AE454" s="14">
        <f>INDEX(挂机升级突破!BW$6:BW$57,卡牌消耗!$AI454)</f>
        <v>0</v>
      </c>
      <c r="AF454" s="14" t="str">
        <f t="shared" ref="AF454:AF517" si="159">INDEX($B$13:$B$40,AB454)</f>
        <v>徐晃</v>
      </c>
      <c r="AG454" s="14">
        <f t="shared" ref="AG454:AG517" si="160">INDEX($C$13:$C$40,AB454)</f>
        <v>3</v>
      </c>
      <c r="AH454" s="14" t="str">
        <f t="shared" ref="AH454:AH517" si="161">AF454&amp;"魂火-"&amp;AI454</f>
        <v>徐晃魂火-34</v>
      </c>
      <c r="AI454" s="14">
        <f t="shared" ref="AI454:AI517" si="162">AA454-(AB454-1)*52</f>
        <v>34</v>
      </c>
      <c r="AJ454" s="14" t="str">
        <f>INDEX(挂机升级突破!$BX$4:$CH$4,INDEX(挂机升级突破!$BU$6:$BU$57,卡牌消耗!AI454))</f>
        <v>金币</v>
      </c>
      <c r="AK454" s="14">
        <f>ROUND(INDEX(挂机升级突破!$BN$6:$BN$57,卡牌消耗!AI454)*INDEX(卡牌消耗!$B$8:$F$8,AG454)/$Q$4/50,0)*50</f>
        <v>9500</v>
      </c>
      <c r="AL454" s="14" t="str">
        <f>IF(AD454&gt;0,INDEX(挂机升级突破!$BX$4:$CH$4,AD454),"")</f>
        <v>橙色基础材料</v>
      </c>
      <c r="AM454" s="14">
        <f>ROUND(INDEX(挂机升级突破!$BX$6:$CH$57,卡牌消耗!AI454,AD454)*INDEX(卡牌消耗!$B$5:$F$5,AG454)/$Q$4/5,0)*5</f>
        <v>110</v>
      </c>
      <c r="AN454" s="14" t="str">
        <f>IF(AE454&gt;0,INDEX(挂机升级突破!$BX$4:$CH$4,AE454),"")</f>
        <v/>
      </c>
      <c r="AO454" s="14" t="str">
        <f>IF(AE454&gt;0,ROUND(INDEX(挂机升级突破!$BX$6:$CH$57,卡牌消耗!AI454,AE454)*INDEX(卡牌消耗!$B$7:$F$7,AG454)/$Q$4,0),"")</f>
        <v/>
      </c>
      <c r="AP454" s="106"/>
      <c r="AQ454" s="15"/>
      <c r="AR454" s="104">
        <v>450</v>
      </c>
      <c r="AS454" s="14">
        <f t="shared" ref="AS454:AS517" si="163">INT((AR454-1)/20)+1</f>
        <v>23</v>
      </c>
      <c r="AT454" s="14">
        <f>INDEX(挂机升级突破!$CM$7:$CM$26,AX454)</f>
        <v>5</v>
      </c>
      <c r="AU454" s="14">
        <f>INDEX(挂机升级突破!$CN$7:$CN$26,AX454)</f>
        <v>2</v>
      </c>
      <c r="AV454" s="14">
        <f t="shared" ref="AV454:AV517" si="164">INDEX($C$13:$C$40,AS454)</f>
        <v>2</v>
      </c>
      <c r="AW454" s="14" t="str">
        <f t="shared" ref="AW454:AW517" si="165">INDEX($B$13:$B$40,AS454)</f>
        <v>异邦刀客</v>
      </c>
      <c r="AX454" s="14">
        <f t="shared" ref="AX454:AX517" si="166">AR454-(AS454-1)*20</f>
        <v>10</v>
      </c>
      <c r="AY454" s="14" t="str">
        <f t="shared" ref="AY454:AY517" si="167">AW454&amp;AX454&amp;"突"</f>
        <v>异邦刀客10突</v>
      </c>
      <c r="AZ454" s="14" t="str">
        <f>IF(AT454&gt;0,INDEX(挂机升级突破!$CV$5:$CZ$5,卡牌消耗!AT454),"")</f>
        <v>金币</v>
      </c>
      <c r="BA454" s="14">
        <f>IF(AT454&gt;0,ROUND(INDEX(挂机升级突破!$CZ$7:$CZ$26,卡牌消耗!AX454)*INDEX(卡牌消耗!$B$8:$F$8,AV454)/$Q$4/500,0)*500,"")</f>
        <v>10000</v>
      </c>
      <c r="BB454" s="14" t="str">
        <f>IF(AU454&gt;0,INDEX(挂机升级突破!$CV$5:$CZ$5,卡牌消耗!AU454),"")</f>
        <v>乌金</v>
      </c>
      <c r="BC454" s="14">
        <f>IF(AU454&gt;0,ROUND(INDEX(挂机升级突破!$CV$7:$CY$26,卡牌消耗!AX454,卡牌消耗!AU454)*INDEX($B$6:$F$6,AV454)/$Q$4/5,0)*5,"")</f>
        <v>70</v>
      </c>
      <c r="BD454" s="104"/>
      <c r="BE454" s="104"/>
      <c r="BF454" s="106"/>
    </row>
    <row r="455" spans="8:58" ht="16.5" x14ac:dyDescent="0.2">
      <c r="H455" s="15"/>
      <c r="I455" s="15"/>
      <c r="J455" s="15"/>
      <c r="K455" s="15"/>
      <c r="L455" s="15"/>
      <c r="M455" s="15"/>
      <c r="N455" s="15"/>
      <c r="O455" s="137"/>
      <c r="P455" s="141"/>
      <c r="Q455" s="141"/>
      <c r="R455" s="141"/>
      <c r="S455" s="141"/>
      <c r="T455" s="141"/>
      <c r="U455" s="141"/>
      <c r="V455" s="141"/>
      <c r="W455" s="141"/>
      <c r="X455" s="141"/>
      <c r="Y455" s="141"/>
      <c r="Z455" s="141"/>
      <c r="AA455" s="104">
        <v>451</v>
      </c>
      <c r="AB455" s="14">
        <f t="shared" si="158"/>
        <v>9</v>
      </c>
      <c r="AC455" s="14">
        <f>INDEX(挂机升级突破!$BU$6:$BU$57,卡牌消耗!AI455)</f>
        <v>11</v>
      </c>
      <c r="AD455" s="14">
        <f>INDEX(挂机升级突破!BV$6:BV$57,卡牌消耗!$AI455)</f>
        <v>4</v>
      </c>
      <c r="AE455" s="14">
        <f>INDEX(挂机升级突破!BW$6:BW$57,卡牌消耗!$AI455)</f>
        <v>0</v>
      </c>
      <c r="AF455" s="14" t="str">
        <f t="shared" si="159"/>
        <v>徐晃</v>
      </c>
      <c r="AG455" s="14">
        <f t="shared" si="160"/>
        <v>3</v>
      </c>
      <c r="AH455" s="14" t="str">
        <f t="shared" si="161"/>
        <v>徐晃魂火-35</v>
      </c>
      <c r="AI455" s="14">
        <f t="shared" si="162"/>
        <v>35</v>
      </c>
      <c r="AJ455" s="14" t="str">
        <f>INDEX(挂机升级突破!$BX$4:$CH$4,INDEX(挂机升级突破!$BU$6:$BU$57,卡牌消耗!AI455))</f>
        <v>金币</v>
      </c>
      <c r="AK455" s="14">
        <f>ROUND(INDEX(挂机升级突破!$BN$6:$BN$57,卡牌消耗!AI455)*INDEX(卡牌消耗!$B$8:$F$8,AG455)/$Q$4/50,0)*50</f>
        <v>12100</v>
      </c>
      <c r="AL455" s="14" t="str">
        <f>IF(AD455&gt;0,INDEX(挂机升级突破!$BX$4:$CH$4,AD455),"")</f>
        <v>橙色基础材料</v>
      </c>
      <c r="AM455" s="14">
        <f>ROUND(INDEX(挂机升级突破!$BX$6:$CH$57,卡牌消耗!AI455,AD455)*INDEX(卡牌消耗!$B$5:$F$5,AG455)/$Q$4/5,0)*5</f>
        <v>110</v>
      </c>
      <c r="AN455" s="14" t="str">
        <f>IF(AE455&gt;0,INDEX(挂机升级突破!$BX$4:$CH$4,AE455),"")</f>
        <v/>
      </c>
      <c r="AO455" s="14" t="str">
        <f>IF(AE455&gt;0,ROUND(INDEX(挂机升级突破!$BX$6:$CH$57,卡牌消耗!AI455,AE455)*INDEX(卡牌消耗!$B$7:$F$7,AG455)/$Q$4,0),"")</f>
        <v/>
      </c>
      <c r="AP455" s="106"/>
      <c r="AQ455" s="15"/>
      <c r="AR455" s="104">
        <v>451</v>
      </c>
      <c r="AS455" s="14">
        <f t="shared" si="163"/>
        <v>23</v>
      </c>
      <c r="AT455" s="14">
        <f>INDEX(挂机升级突破!$CM$7:$CM$26,AX455)</f>
        <v>5</v>
      </c>
      <c r="AU455" s="14">
        <f>INDEX(挂机升级突破!$CN$7:$CN$26,AX455)</f>
        <v>2</v>
      </c>
      <c r="AV455" s="14">
        <f t="shared" si="164"/>
        <v>2</v>
      </c>
      <c r="AW455" s="14" t="str">
        <f t="shared" si="165"/>
        <v>异邦刀客</v>
      </c>
      <c r="AX455" s="14">
        <f t="shared" si="166"/>
        <v>11</v>
      </c>
      <c r="AY455" s="14" t="str">
        <f t="shared" si="167"/>
        <v>异邦刀客11突</v>
      </c>
      <c r="AZ455" s="14" t="str">
        <f>IF(AT455&gt;0,INDEX(挂机升级突破!$CV$5:$CZ$5,卡牌消耗!AT455),"")</f>
        <v>金币</v>
      </c>
      <c r="BA455" s="14">
        <f>IF(AT455&gt;0,ROUND(INDEX(挂机升级突破!$CZ$7:$CZ$26,卡牌消耗!AX455)*INDEX(卡牌消耗!$B$8:$F$8,AV455)/$Q$4/500,0)*500,"")</f>
        <v>10000</v>
      </c>
      <c r="BB455" s="14" t="str">
        <f>IF(AU455&gt;0,INDEX(挂机升级突破!$CV$5:$CZ$5,卡牌消耗!AU455),"")</f>
        <v>乌金</v>
      </c>
      <c r="BC455" s="14">
        <f>IF(AU455&gt;0,ROUND(INDEX(挂机升级突破!$CV$7:$CY$26,卡牌消耗!AX455,卡牌消耗!AU455)*INDEX($B$6:$F$6,AV455)/$Q$4/5,0)*5,"")</f>
        <v>95</v>
      </c>
      <c r="BD455" s="104"/>
      <c r="BE455" s="104"/>
      <c r="BF455" s="106"/>
    </row>
    <row r="456" spans="8:58" ht="16.5" x14ac:dyDescent="0.2">
      <c r="H456" s="15"/>
      <c r="I456" s="15"/>
      <c r="J456" s="15"/>
      <c r="K456" s="15"/>
      <c r="L456" s="15"/>
      <c r="M456" s="15"/>
      <c r="N456" s="15"/>
      <c r="O456" s="137"/>
      <c r="P456" s="141"/>
      <c r="Q456" s="141"/>
      <c r="R456" s="141"/>
      <c r="S456" s="141"/>
      <c r="T456" s="141"/>
      <c r="U456" s="141"/>
      <c r="V456" s="141"/>
      <c r="W456" s="141"/>
      <c r="X456" s="141"/>
      <c r="Y456" s="141"/>
      <c r="Z456" s="141"/>
      <c r="AA456" s="104">
        <v>452</v>
      </c>
      <c r="AB456" s="14">
        <f t="shared" si="158"/>
        <v>9</v>
      </c>
      <c r="AC456" s="14">
        <f>INDEX(挂机升级突破!$BU$6:$BU$57,卡牌消耗!AI456)</f>
        <v>11</v>
      </c>
      <c r="AD456" s="14">
        <f>INDEX(挂机升级突破!BV$6:BV$57,卡牌消耗!$AI456)</f>
        <v>4</v>
      </c>
      <c r="AE456" s="14">
        <f>INDEX(挂机升级突破!BW$6:BW$57,卡牌消耗!$AI456)</f>
        <v>0</v>
      </c>
      <c r="AF456" s="14" t="str">
        <f t="shared" si="159"/>
        <v>徐晃</v>
      </c>
      <c r="AG456" s="14">
        <f t="shared" si="160"/>
        <v>3</v>
      </c>
      <c r="AH456" s="14" t="str">
        <f t="shared" si="161"/>
        <v>徐晃魂火-36</v>
      </c>
      <c r="AI456" s="14">
        <f t="shared" si="162"/>
        <v>36</v>
      </c>
      <c r="AJ456" s="14" t="str">
        <f>INDEX(挂机升级突破!$BX$4:$CH$4,INDEX(挂机升级突破!$BU$6:$BU$57,卡牌消耗!AI456))</f>
        <v>金币</v>
      </c>
      <c r="AK456" s="14">
        <f>ROUND(INDEX(挂机升级突破!$BN$6:$BN$57,卡牌消耗!AI456)*INDEX(卡牌消耗!$B$8:$F$8,AG456)/$Q$4/50,0)*50</f>
        <v>12100</v>
      </c>
      <c r="AL456" s="14" t="str">
        <f>IF(AD456&gt;0,INDEX(挂机升级突破!$BX$4:$CH$4,AD456),"")</f>
        <v>橙色基础材料</v>
      </c>
      <c r="AM456" s="14">
        <f>ROUND(INDEX(挂机升级突破!$BX$6:$CH$57,卡牌消耗!AI456,AD456)*INDEX(卡牌消耗!$B$5:$F$5,AG456)/$Q$4/5,0)*5</f>
        <v>110</v>
      </c>
      <c r="AN456" s="14" t="str">
        <f>IF(AE456&gt;0,INDEX(挂机升级突破!$BX$4:$CH$4,AE456),"")</f>
        <v/>
      </c>
      <c r="AO456" s="14" t="str">
        <f>IF(AE456&gt;0,ROUND(INDEX(挂机升级突破!$BX$6:$CH$57,卡牌消耗!AI456,AE456)*INDEX(卡牌消耗!$B$7:$F$7,AG456)/$Q$4,0),"")</f>
        <v/>
      </c>
      <c r="AP456" s="106"/>
      <c r="AQ456" s="15"/>
      <c r="AR456" s="104">
        <v>452</v>
      </c>
      <c r="AS456" s="14">
        <f t="shared" si="163"/>
        <v>23</v>
      </c>
      <c r="AT456" s="14">
        <f>INDEX(挂机升级突破!$CM$7:$CM$26,AX456)</f>
        <v>5</v>
      </c>
      <c r="AU456" s="14">
        <f>INDEX(挂机升级突破!$CN$7:$CN$26,AX456)</f>
        <v>2</v>
      </c>
      <c r="AV456" s="14">
        <f t="shared" si="164"/>
        <v>2</v>
      </c>
      <c r="AW456" s="14" t="str">
        <f t="shared" si="165"/>
        <v>异邦刀客</v>
      </c>
      <c r="AX456" s="14">
        <f t="shared" si="166"/>
        <v>12</v>
      </c>
      <c r="AY456" s="14" t="str">
        <f t="shared" si="167"/>
        <v>异邦刀客12突</v>
      </c>
      <c r="AZ456" s="14" t="str">
        <f>IF(AT456&gt;0,INDEX(挂机升级突破!$CV$5:$CZ$5,卡牌消耗!AT456),"")</f>
        <v>金币</v>
      </c>
      <c r="BA456" s="14">
        <f>IF(AT456&gt;0,ROUND(INDEX(挂机升级突破!$CZ$7:$CZ$26,卡牌消耗!AX456)*INDEX(卡牌消耗!$B$8:$F$8,AV456)/$Q$4/500,0)*500,"")</f>
        <v>13500</v>
      </c>
      <c r="BB456" s="14" t="str">
        <f>IF(AU456&gt;0,INDEX(挂机升级突破!$CV$5:$CZ$5,卡牌消耗!AU456),"")</f>
        <v>乌金</v>
      </c>
      <c r="BC456" s="14">
        <f>IF(AU456&gt;0,ROUND(INDEX(挂机升级突破!$CV$7:$CY$26,卡牌消耗!AX456,卡牌消耗!AU456)*INDEX($B$6:$F$6,AV456)/$Q$4/5,0)*5,"")</f>
        <v>125</v>
      </c>
      <c r="BD456" s="104"/>
      <c r="BE456" s="104"/>
      <c r="BF456" s="106"/>
    </row>
    <row r="457" spans="8:58" ht="16.5" x14ac:dyDescent="0.2">
      <c r="H457" s="15"/>
      <c r="I457" s="15"/>
      <c r="J457" s="15"/>
      <c r="K457" s="15"/>
      <c r="L457" s="15"/>
      <c r="M457" s="15"/>
      <c r="N457" s="15"/>
      <c r="O457" s="137"/>
      <c r="P457" s="141"/>
      <c r="Q457" s="141"/>
      <c r="R457" s="141"/>
      <c r="S457" s="141"/>
      <c r="T457" s="141"/>
      <c r="U457" s="141"/>
      <c r="V457" s="141"/>
      <c r="W457" s="141"/>
      <c r="X457" s="141"/>
      <c r="Y457" s="141"/>
      <c r="Z457" s="141"/>
      <c r="AA457" s="104">
        <v>453</v>
      </c>
      <c r="AB457" s="14">
        <f t="shared" si="158"/>
        <v>9</v>
      </c>
      <c r="AC457" s="14">
        <f>INDEX(挂机升级突破!$BU$6:$BU$57,卡牌消耗!AI457)</f>
        <v>11</v>
      </c>
      <c r="AD457" s="14">
        <f>INDEX(挂机升级突破!BV$6:BV$57,卡牌消耗!$AI457)</f>
        <v>4</v>
      </c>
      <c r="AE457" s="14">
        <f>INDEX(挂机升级突破!BW$6:BW$57,卡牌消耗!$AI457)</f>
        <v>0</v>
      </c>
      <c r="AF457" s="14" t="str">
        <f t="shared" si="159"/>
        <v>徐晃</v>
      </c>
      <c r="AG457" s="14">
        <f t="shared" si="160"/>
        <v>3</v>
      </c>
      <c r="AH457" s="14" t="str">
        <f t="shared" si="161"/>
        <v>徐晃魂火-37</v>
      </c>
      <c r="AI457" s="14">
        <f t="shared" si="162"/>
        <v>37</v>
      </c>
      <c r="AJ457" s="14" t="str">
        <f>INDEX(挂机升级突破!$BX$4:$CH$4,INDEX(挂机升级突破!$BU$6:$BU$57,卡牌消耗!AI457))</f>
        <v>金币</v>
      </c>
      <c r="AK457" s="14">
        <f>ROUND(INDEX(挂机升级突破!$BN$6:$BN$57,卡牌消耗!AI457)*INDEX(卡牌消耗!$B$8:$F$8,AG457)/$Q$4/50,0)*50</f>
        <v>12950</v>
      </c>
      <c r="AL457" s="14" t="str">
        <f>IF(AD457&gt;0,INDEX(挂机升级突破!$BX$4:$CH$4,AD457),"")</f>
        <v>橙色基础材料</v>
      </c>
      <c r="AM457" s="14">
        <f>ROUND(INDEX(挂机升级突破!$BX$6:$CH$57,卡牌消耗!AI457,AD457)*INDEX(卡牌消耗!$B$5:$F$5,AG457)/$Q$4/5,0)*5</f>
        <v>110</v>
      </c>
      <c r="AN457" s="14" t="str">
        <f>IF(AE457&gt;0,INDEX(挂机升级突破!$BX$4:$CH$4,AE457),"")</f>
        <v/>
      </c>
      <c r="AO457" s="14" t="str">
        <f>IF(AE457&gt;0,ROUND(INDEX(挂机升级突破!$BX$6:$CH$57,卡牌消耗!AI457,AE457)*INDEX(卡牌消耗!$B$7:$F$7,AG457)/$Q$4,0),"")</f>
        <v/>
      </c>
      <c r="AP457" s="106"/>
      <c r="AQ457" s="15"/>
      <c r="AR457" s="104">
        <v>453</v>
      </c>
      <c r="AS457" s="14">
        <f t="shared" si="163"/>
        <v>23</v>
      </c>
      <c r="AT457" s="14">
        <f>INDEX(挂机升级突破!$CM$7:$CM$26,AX457)</f>
        <v>5</v>
      </c>
      <c r="AU457" s="14">
        <f>INDEX(挂机升级突破!$CN$7:$CN$26,AX457)</f>
        <v>3</v>
      </c>
      <c r="AV457" s="14">
        <f t="shared" si="164"/>
        <v>2</v>
      </c>
      <c r="AW457" s="14" t="str">
        <f t="shared" si="165"/>
        <v>异邦刀客</v>
      </c>
      <c r="AX457" s="14">
        <f t="shared" si="166"/>
        <v>13</v>
      </c>
      <c r="AY457" s="14" t="str">
        <f t="shared" si="167"/>
        <v>异邦刀客13突</v>
      </c>
      <c r="AZ457" s="14" t="str">
        <f>IF(AT457&gt;0,INDEX(挂机升级突破!$CV$5:$CZ$5,卡牌消耗!AT457),"")</f>
        <v>金币</v>
      </c>
      <c r="BA457" s="14">
        <f>IF(AT457&gt;0,ROUND(INDEX(挂机升级突破!$CZ$7:$CZ$26,卡牌消耗!AX457)*INDEX(卡牌消耗!$B$8:$F$8,AV457)/$Q$4/500,0)*500,"")</f>
        <v>18000</v>
      </c>
      <c r="BB457" s="14" t="str">
        <f>IF(AU457&gt;0,INDEX(挂机升级突破!$CV$5:$CZ$5,卡牌消耗!AU457),"")</f>
        <v>银母</v>
      </c>
      <c r="BC457" s="14">
        <f>IF(AU457&gt;0,ROUND(INDEX(挂机升级突破!$CV$7:$CY$26,卡牌消耗!AX457,卡牌消耗!AU457)*INDEX($B$6:$F$6,AV457)/$Q$4/5,0)*5,"")</f>
        <v>25</v>
      </c>
      <c r="BD457" s="104"/>
      <c r="BE457" s="104"/>
      <c r="BF457" s="106"/>
    </row>
    <row r="458" spans="8:58" ht="16.5" x14ac:dyDescent="0.2">
      <c r="H458" s="15"/>
      <c r="I458" s="15"/>
      <c r="J458" s="15"/>
      <c r="K458" s="15"/>
      <c r="L458" s="15"/>
      <c r="M458" s="15"/>
      <c r="N458" s="15"/>
      <c r="O458" s="137"/>
      <c r="P458" s="141"/>
      <c r="Q458" s="141"/>
      <c r="R458" s="141"/>
      <c r="S458" s="141"/>
      <c r="T458" s="141"/>
      <c r="U458" s="141"/>
      <c r="V458" s="141"/>
      <c r="W458" s="141"/>
      <c r="X458" s="141"/>
      <c r="Y458" s="141"/>
      <c r="Z458" s="141"/>
      <c r="AA458" s="104">
        <v>454</v>
      </c>
      <c r="AB458" s="14">
        <f t="shared" si="158"/>
        <v>9</v>
      </c>
      <c r="AC458" s="14">
        <f>INDEX(挂机升级突破!$BU$6:$BU$57,卡牌消耗!AI458)</f>
        <v>11</v>
      </c>
      <c r="AD458" s="14">
        <f>INDEX(挂机升级突破!BV$6:BV$57,卡牌消耗!$AI458)</f>
        <v>5</v>
      </c>
      <c r="AE458" s="14">
        <f>INDEX(挂机升级突破!BW$6:BW$57,卡牌消耗!$AI458)</f>
        <v>0</v>
      </c>
      <c r="AF458" s="14" t="str">
        <f t="shared" si="159"/>
        <v>徐晃</v>
      </c>
      <c r="AG458" s="14">
        <f t="shared" si="160"/>
        <v>3</v>
      </c>
      <c r="AH458" s="14" t="str">
        <f t="shared" si="161"/>
        <v>徐晃魂火-38</v>
      </c>
      <c r="AI458" s="14">
        <f t="shared" si="162"/>
        <v>38</v>
      </c>
      <c r="AJ458" s="14" t="str">
        <f>INDEX(挂机升级突破!$BX$4:$CH$4,INDEX(挂机升级突破!$BU$6:$BU$57,卡牌消耗!AI458))</f>
        <v>金币</v>
      </c>
      <c r="AK458" s="14">
        <f>ROUND(INDEX(挂机升级突破!$BN$6:$BN$57,卡牌消耗!AI458)*INDEX(卡牌消耗!$B$8:$F$8,AG458)/$Q$4/50,0)*50</f>
        <v>16700</v>
      </c>
      <c r="AL458" s="14" t="str">
        <f>IF(AD458&gt;0,INDEX(挂机升级突破!$BX$4:$CH$4,AD458),"")</f>
        <v>红色基础材料</v>
      </c>
      <c r="AM458" s="14">
        <f>ROUND(INDEX(挂机升级突破!$BX$6:$CH$57,卡牌消耗!AI458,AD458)*INDEX(卡牌消耗!$B$5:$F$5,AG458)/$Q$4/5,0)*5</f>
        <v>45</v>
      </c>
      <c r="AN458" s="14" t="str">
        <f>IF(AE458&gt;0,INDEX(挂机升级突破!$BX$4:$CH$4,AE458),"")</f>
        <v/>
      </c>
      <c r="AO458" s="14" t="str">
        <f>IF(AE458&gt;0,ROUND(INDEX(挂机升级突破!$BX$6:$CH$57,卡牌消耗!AI458,AE458)*INDEX(卡牌消耗!$B$7:$F$7,AG458)/$Q$4,0),"")</f>
        <v/>
      </c>
      <c r="AP458" s="106"/>
      <c r="AQ458" s="15"/>
      <c r="AR458" s="104">
        <v>454</v>
      </c>
      <c r="AS458" s="14">
        <f t="shared" si="163"/>
        <v>23</v>
      </c>
      <c r="AT458" s="14">
        <f>INDEX(挂机升级突破!$CM$7:$CM$26,AX458)</f>
        <v>5</v>
      </c>
      <c r="AU458" s="14">
        <f>INDEX(挂机升级突破!$CN$7:$CN$26,AX458)</f>
        <v>3</v>
      </c>
      <c r="AV458" s="14">
        <f t="shared" si="164"/>
        <v>2</v>
      </c>
      <c r="AW458" s="14" t="str">
        <f t="shared" si="165"/>
        <v>异邦刀客</v>
      </c>
      <c r="AX458" s="14">
        <f t="shared" si="166"/>
        <v>14</v>
      </c>
      <c r="AY458" s="14" t="str">
        <f t="shared" si="167"/>
        <v>异邦刀客14突</v>
      </c>
      <c r="AZ458" s="14" t="str">
        <f>IF(AT458&gt;0,INDEX(挂机升级突破!$CV$5:$CZ$5,卡牌消耗!AT458),"")</f>
        <v>金币</v>
      </c>
      <c r="BA458" s="14">
        <f>IF(AT458&gt;0,ROUND(INDEX(挂机升级突破!$CZ$7:$CZ$26,卡牌消耗!AX458)*INDEX(卡牌消耗!$B$8:$F$8,AV458)/$Q$4/500,0)*500,"")</f>
        <v>18000</v>
      </c>
      <c r="BB458" s="14" t="str">
        <f>IF(AU458&gt;0,INDEX(挂机升级突破!$CV$5:$CZ$5,卡牌消耗!AU458),"")</f>
        <v>银母</v>
      </c>
      <c r="BC458" s="14">
        <f>IF(AU458&gt;0,ROUND(INDEX(挂机升级突破!$CV$7:$CY$26,卡牌消耗!AX458,卡牌消耗!AU458)*INDEX($B$6:$F$6,AV458)/$Q$4/5,0)*5,"")</f>
        <v>30</v>
      </c>
      <c r="BD458" s="104"/>
      <c r="BE458" s="104"/>
      <c r="BF458" s="106"/>
    </row>
    <row r="459" spans="8:58" ht="16.5" x14ac:dyDescent="0.2">
      <c r="H459" s="15"/>
      <c r="I459" s="15"/>
      <c r="J459" s="15"/>
      <c r="K459" s="15"/>
      <c r="L459" s="15"/>
      <c r="M459" s="15"/>
      <c r="N459" s="15"/>
      <c r="O459" s="137"/>
      <c r="P459" s="141"/>
      <c r="Q459" s="141"/>
      <c r="R459" s="141"/>
      <c r="S459" s="141"/>
      <c r="T459" s="141"/>
      <c r="U459" s="141"/>
      <c r="V459" s="141"/>
      <c r="W459" s="141"/>
      <c r="X459" s="141"/>
      <c r="Y459" s="141"/>
      <c r="Z459" s="141"/>
      <c r="AA459" s="104">
        <v>455</v>
      </c>
      <c r="AB459" s="14">
        <f t="shared" si="158"/>
        <v>9</v>
      </c>
      <c r="AC459" s="14">
        <f>INDEX(挂机升级突破!$BU$6:$BU$57,卡牌消耗!AI459)</f>
        <v>11</v>
      </c>
      <c r="AD459" s="14">
        <f>INDEX(挂机升级突破!BV$6:BV$57,卡牌消耗!$AI459)</f>
        <v>5</v>
      </c>
      <c r="AE459" s="14">
        <f>INDEX(挂机升级突破!BW$6:BW$57,卡牌消耗!$AI459)</f>
        <v>0</v>
      </c>
      <c r="AF459" s="14" t="str">
        <f t="shared" si="159"/>
        <v>徐晃</v>
      </c>
      <c r="AG459" s="14">
        <f t="shared" si="160"/>
        <v>3</v>
      </c>
      <c r="AH459" s="14" t="str">
        <f t="shared" si="161"/>
        <v>徐晃魂火-39</v>
      </c>
      <c r="AI459" s="14">
        <f t="shared" si="162"/>
        <v>39</v>
      </c>
      <c r="AJ459" s="14" t="str">
        <f>INDEX(挂机升级突破!$BX$4:$CH$4,INDEX(挂机升级突破!$BU$6:$BU$57,卡牌消耗!AI459))</f>
        <v>金币</v>
      </c>
      <c r="AK459" s="14">
        <f>ROUND(INDEX(挂机升级突破!$BN$6:$BN$57,卡牌消耗!AI459)*INDEX(卡牌消耗!$B$8:$F$8,AG459)/$Q$4/50,0)*50</f>
        <v>16700</v>
      </c>
      <c r="AL459" s="14" t="str">
        <f>IF(AD459&gt;0,INDEX(挂机升级突破!$BX$4:$CH$4,AD459),"")</f>
        <v>红色基础材料</v>
      </c>
      <c r="AM459" s="14">
        <f>ROUND(INDEX(挂机升级突破!$BX$6:$CH$57,卡牌消耗!AI459,AD459)*INDEX(卡牌消耗!$B$5:$F$5,AG459)/$Q$4/5,0)*5</f>
        <v>45</v>
      </c>
      <c r="AN459" s="14" t="str">
        <f>IF(AE459&gt;0,INDEX(挂机升级突破!$BX$4:$CH$4,AE459),"")</f>
        <v/>
      </c>
      <c r="AO459" s="14" t="str">
        <f>IF(AE459&gt;0,ROUND(INDEX(挂机升级突破!$BX$6:$CH$57,卡牌消耗!AI459,AE459)*INDEX(卡牌消耗!$B$7:$F$7,AG459)/$Q$4,0),"")</f>
        <v/>
      </c>
      <c r="AP459" s="106"/>
      <c r="AQ459" s="15"/>
      <c r="AR459" s="104">
        <v>455</v>
      </c>
      <c r="AS459" s="14">
        <f t="shared" si="163"/>
        <v>23</v>
      </c>
      <c r="AT459" s="14">
        <f>INDEX(挂机升级突破!$CM$7:$CM$26,AX459)</f>
        <v>5</v>
      </c>
      <c r="AU459" s="14">
        <f>INDEX(挂机升级突破!$CN$7:$CN$26,AX459)</f>
        <v>3</v>
      </c>
      <c r="AV459" s="14">
        <f t="shared" si="164"/>
        <v>2</v>
      </c>
      <c r="AW459" s="14" t="str">
        <f t="shared" si="165"/>
        <v>异邦刀客</v>
      </c>
      <c r="AX459" s="14">
        <f t="shared" si="166"/>
        <v>15</v>
      </c>
      <c r="AY459" s="14" t="str">
        <f t="shared" si="167"/>
        <v>异邦刀客15突</v>
      </c>
      <c r="AZ459" s="14" t="str">
        <f>IF(AT459&gt;0,INDEX(挂机升级突破!$CV$5:$CZ$5,卡牌消耗!AT459),"")</f>
        <v>金币</v>
      </c>
      <c r="BA459" s="14">
        <f>IF(AT459&gt;0,ROUND(INDEX(挂机升级突破!$CZ$7:$CZ$26,卡牌消耗!AX459)*INDEX(卡牌消耗!$B$8:$F$8,AV459)/$Q$4/500,0)*500,"")</f>
        <v>24000</v>
      </c>
      <c r="BB459" s="14" t="str">
        <f>IF(AU459&gt;0,INDEX(挂机升级突破!$CV$5:$CZ$5,卡牌消耗!AU459),"")</f>
        <v>银母</v>
      </c>
      <c r="BC459" s="14">
        <f>IF(AU459&gt;0,ROUND(INDEX(挂机升级突破!$CV$7:$CY$26,卡牌消耗!AX459,卡牌消耗!AU459)*INDEX($B$6:$F$6,AV459)/$Q$4/5,0)*5,"")</f>
        <v>45</v>
      </c>
      <c r="BD459" s="104"/>
      <c r="BE459" s="104"/>
      <c r="BF459" s="106"/>
    </row>
    <row r="460" spans="8:58" ht="16.5" x14ac:dyDescent="0.2">
      <c r="H460" s="15"/>
      <c r="I460" s="15"/>
      <c r="J460" s="15"/>
      <c r="K460" s="15"/>
      <c r="L460" s="15"/>
      <c r="M460" s="15"/>
      <c r="N460" s="15"/>
      <c r="O460" s="137"/>
      <c r="P460" s="141"/>
      <c r="Q460" s="141"/>
      <c r="R460" s="141"/>
      <c r="S460" s="141"/>
      <c r="T460" s="141"/>
      <c r="U460" s="141"/>
      <c r="V460" s="141"/>
      <c r="W460" s="141"/>
      <c r="X460" s="141"/>
      <c r="Y460" s="141"/>
      <c r="Z460" s="141"/>
      <c r="AA460" s="104">
        <v>456</v>
      </c>
      <c r="AB460" s="14">
        <f t="shared" si="158"/>
        <v>9</v>
      </c>
      <c r="AC460" s="14">
        <f>INDEX(挂机升级突破!$BU$6:$BU$57,卡牌消耗!AI460)</f>
        <v>11</v>
      </c>
      <c r="AD460" s="14">
        <f>INDEX(挂机升级突破!BV$6:BV$57,卡牌消耗!$AI460)</f>
        <v>5</v>
      </c>
      <c r="AE460" s="14">
        <f>INDEX(挂机升级突破!BW$6:BW$57,卡牌消耗!$AI460)</f>
        <v>0</v>
      </c>
      <c r="AF460" s="14" t="str">
        <f t="shared" si="159"/>
        <v>徐晃</v>
      </c>
      <c r="AG460" s="14">
        <f t="shared" si="160"/>
        <v>3</v>
      </c>
      <c r="AH460" s="14" t="str">
        <f t="shared" si="161"/>
        <v>徐晃魂火-40</v>
      </c>
      <c r="AI460" s="14">
        <f t="shared" si="162"/>
        <v>40</v>
      </c>
      <c r="AJ460" s="14" t="str">
        <f>INDEX(挂机升级突破!$BX$4:$CH$4,INDEX(挂机升级突破!$BU$6:$BU$57,卡牌消耗!AI460))</f>
        <v>金币</v>
      </c>
      <c r="AK460" s="14">
        <f>ROUND(INDEX(挂机升级突破!$BN$6:$BN$57,卡牌消耗!AI460)*INDEX(卡牌消耗!$B$8:$F$8,AG460)/$Q$4/50,0)*50</f>
        <v>16700</v>
      </c>
      <c r="AL460" s="14" t="str">
        <f>IF(AD460&gt;0,INDEX(挂机升级突破!$BX$4:$CH$4,AD460),"")</f>
        <v>红色基础材料</v>
      </c>
      <c r="AM460" s="14">
        <f>ROUND(INDEX(挂机升级突破!$BX$6:$CH$57,卡牌消耗!AI460,AD460)*INDEX(卡牌消耗!$B$5:$F$5,AG460)/$Q$4/5,0)*5</f>
        <v>45</v>
      </c>
      <c r="AN460" s="14" t="str">
        <f>IF(AE460&gt;0,INDEX(挂机升级突破!$BX$4:$CH$4,AE460),"")</f>
        <v/>
      </c>
      <c r="AO460" s="14" t="str">
        <f>IF(AE460&gt;0,ROUND(INDEX(挂机升级突破!$BX$6:$CH$57,卡牌消耗!AI460,AE460)*INDEX(卡牌消耗!$B$7:$F$7,AG460)/$Q$4,0),"")</f>
        <v/>
      </c>
      <c r="AP460" s="106"/>
      <c r="AQ460" s="15"/>
      <c r="AR460" s="104">
        <v>456</v>
      </c>
      <c r="AS460" s="14">
        <f t="shared" si="163"/>
        <v>23</v>
      </c>
      <c r="AT460" s="14">
        <f>INDEX(挂机升级突破!$CM$7:$CM$26,AX460)</f>
        <v>5</v>
      </c>
      <c r="AU460" s="14">
        <f>INDEX(挂机升级突破!$CN$7:$CN$26,AX460)</f>
        <v>3</v>
      </c>
      <c r="AV460" s="14">
        <f t="shared" si="164"/>
        <v>2</v>
      </c>
      <c r="AW460" s="14" t="str">
        <f t="shared" si="165"/>
        <v>异邦刀客</v>
      </c>
      <c r="AX460" s="14">
        <f t="shared" si="166"/>
        <v>16</v>
      </c>
      <c r="AY460" s="14" t="str">
        <f t="shared" si="167"/>
        <v>异邦刀客16突</v>
      </c>
      <c r="AZ460" s="14" t="str">
        <f>IF(AT460&gt;0,INDEX(挂机升级突破!$CV$5:$CZ$5,卡牌消耗!AT460),"")</f>
        <v>金币</v>
      </c>
      <c r="BA460" s="14">
        <f>IF(AT460&gt;0,ROUND(INDEX(挂机升级突破!$CZ$7:$CZ$26,卡牌消耗!AX460)*INDEX(卡牌消耗!$B$8:$F$8,AV460)/$Q$4/500,0)*500,"")</f>
        <v>44000</v>
      </c>
      <c r="BB460" s="14" t="str">
        <f>IF(AU460&gt;0,INDEX(挂机升级突破!$CV$5:$CZ$5,卡牌消耗!AU460),"")</f>
        <v>银母</v>
      </c>
      <c r="BC460" s="14">
        <f>IF(AU460&gt;0,ROUND(INDEX(挂机升级突破!$CV$7:$CY$26,卡牌消耗!AX460,卡牌消耗!AU460)*INDEX($B$6:$F$6,AV460)/$Q$4/5,0)*5,"")</f>
        <v>55</v>
      </c>
      <c r="BD460" s="104"/>
      <c r="BE460" s="104"/>
      <c r="BF460" s="106"/>
    </row>
    <row r="461" spans="8:58" ht="16.5" x14ac:dyDescent="0.2">
      <c r="H461" s="15"/>
      <c r="I461" s="15"/>
      <c r="J461" s="15"/>
      <c r="K461" s="15"/>
      <c r="L461" s="15"/>
      <c r="M461" s="15"/>
      <c r="N461" s="15"/>
      <c r="O461" s="137"/>
      <c r="P461" s="141"/>
      <c r="Q461" s="141"/>
      <c r="R461" s="141"/>
      <c r="S461" s="141"/>
      <c r="T461" s="141"/>
      <c r="U461" s="141"/>
      <c r="V461" s="141"/>
      <c r="W461" s="141"/>
      <c r="X461" s="141"/>
      <c r="Y461" s="141"/>
      <c r="Z461" s="141"/>
      <c r="AA461" s="104">
        <v>457</v>
      </c>
      <c r="AB461" s="14">
        <f t="shared" si="158"/>
        <v>9</v>
      </c>
      <c r="AC461" s="14">
        <f>INDEX(挂机升级突破!$BU$6:$BU$57,卡牌消耗!AI461)</f>
        <v>11</v>
      </c>
      <c r="AD461" s="14">
        <f>INDEX(挂机升级突破!BV$6:BV$57,卡牌消耗!$AI461)</f>
        <v>5</v>
      </c>
      <c r="AE461" s="14">
        <f>INDEX(挂机升级突破!BW$6:BW$57,卡牌消耗!$AI461)</f>
        <v>10</v>
      </c>
      <c r="AF461" s="14" t="str">
        <f t="shared" si="159"/>
        <v>徐晃</v>
      </c>
      <c r="AG461" s="14">
        <f t="shared" si="160"/>
        <v>3</v>
      </c>
      <c r="AH461" s="14" t="str">
        <f t="shared" si="161"/>
        <v>徐晃魂火-41</v>
      </c>
      <c r="AI461" s="14">
        <f t="shared" si="162"/>
        <v>41</v>
      </c>
      <c r="AJ461" s="14" t="str">
        <f>INDEX(挂机升级突破!$BX$4:$CH$4,INDEX(挂机升级突破!$BU$6:$BU$57,卡牌消耗!AI461))</f>
        <v>金币</v>
      </c>
      <c r="AK461" s="14">
        <f>ROUND(INDEX(挂机升级突破!$BN$6:$BN$57,卡牌消耗!AI461)*INDEX(卡牌消耗!$B$8:$F$8,AG461)/$Q$4/50,0)*50</f>
        <v>23000</v>
      </c>
      <c r="AL461" s="14" t="str">
        <f>IF(AD461&gt;0,INDEX(挂机升级突破!$BX$4:$CH$4,AD461),"")</f>
        <v>红色基础材料</v>
      </c>
      <c r="AM461" s="14">
        <f>ROUND(INDEX(挂机升级突破!$BX$6:$CH$57,卡牌消耗!AI461,AD461)*INDEX(卡牌消耗!$B$5:$F$5,AG461)/$Q$4/5,0)*5</f>
        <v>55</v>
      </c>
      <c r="AN461" s="14" t="str">
        <f>IF(AE461&gt;0,INDEX(挂机升级突破!$BX$4:$CH$4,AE461),"")</f>
        <v>灵玉</v>
      </c>
      <c r="AO461" s="14">
        <f>IF(AE461&gt;0,ROUND(INDEX(挂机升级突破!$BX$6:$CH$57,卡牌消耗!AI461,AE461)*INDEX(卡牌消耗!$B$7:$F$7,AG461)/$Q$4,0),"")</f>
        <v>1</v>
      </c>
      <c r="AP461" s="106"/>
      <c r="AQ461" s="15"/>
      <c r="AR461" s="104">
        <v>457</v>
      </c>
      <c r="AS461" s="14">
        <f t="shared" si="163"/>
        <v>23</v>
      </c>
      <c r="AT461" s="14">
        <f>INDEX(挂机升级突破!$CM$7:$CM$26,AX461)</f>
        <v>5</v>
      </c>
      <c r="AU461" s="14">
        <f>INDEX(挂机升级突破!$CN$7:$CN$26,AX461)</f>
        <v>4</v>
      </c>
      <c r="AV461" s="14">
        <f t="shared" si="164"/>
        <v>2</v>
      </c>
      <c r="AW461" s="14" t="str">
        <f t="shared" si="165"/>
        <v>异邦刀客</v>
      </c>
      <c r="AX461" s="14">
        <f t="shared" si="166"/>
        <v>17</v>
      </c>
      <c r="AY461" s="14" t="str">
        <f t="shared" si="167"/>
        <v>异邦刀客17突</v>
      </c>
      <c r="AZ461" s="14" t="str">
        <f>IF(AT461&gt;0,INDEX(挂机升级突破!$CV$5:$CZ$5,卡牌消耗!AT461),"")</f>
        <v>金币</v>
      </c>
      <c r="BA461" s="14">
        <f>IF(AT461&gt;0,ROUND(INDEX(挂机升级突破!$CZ$7:$CZ$26,卡牌消耗!AX461)*INDEX(卡牌消耗!$B$8:$F$8,AV461)/$Q$4/500,0)*500,"")</f>
        <v>44000</v>
      </c>
      <c r="BB461" s="14" t="str">
        <f>IF(AU461&gt;0,INDEX(挂机升级突破!$CV$5:$CZ$5,卡牌消耗!AU461),"")</f>
        <v>铀金</v>
      </c>
      <c r="BC461" s="14">
        <f>IF(AU461&gt;0,ROUND(INDEX(挂机升级突破!$CV$7:$CY$26,卡牌消耗!AX461,卡牌消耗!AU461)*INDEX($B$6:$F$6,AV461)/$Q$4/5,0)*5,"")</f>
        <v>20</v>
      </c>
      <c r="BD461" s="104"/>
      <c r="BE461" s="104"/>
      <c r="BF461" s="106"/>
    </row>
    <row r="462" spans="8:58" ht="16.5" x14ac:dyDescent="0.2">
      <c r="H462" s="15"/>
      <c r="I462" s="15"/>
      <c r="J462" s="15"/>
      <c r="K462" s="15"/>
      <c r="L462" s="15"/>
      <c r="M462" s="15"/>
      <c r="N462" s="15"/>
      <c r="O462" s="137"/>
      <c r="P462" s="141"/>
      <c r="Q462" s="141"/>
      <c r="R462" s="141"/>
      <c r="S462" s="141"/>
      <c r="T462" s="141"/>
      <c r="U462" s="141"/>
      <c r="V462" s="141"/>
      <c r="W462" s="141"/>
      <c r="X462" s="141"/>
      <c r="Y462" s="141"/>
      <c r="Z462" s="141"/>
      <c r="AA462" s="104">
        <v>458</v>
      </c>
      <c r="AB462" s="14">
        <f t="shared" si="158"/>
        <v>9</v>
      </c>
      <c r="AC462" s="14">
        <f>INDEX(挂机升级突破!$BU$6:$BU$57,卡牌消耗!AI462)</f>
        <v>11</v>
      </c>
      <c r="AD462" s="14">
        <f>INDEX(挂机升级突破!BV$6:BV$57,卡牌消耗!$AI462)</f>
        <v>5</v>
      </c>
      <c r="AE462" s="14">
        <f>INDEX(挂机升级突破!BW$6:BW$57,卡牌消耗!$AI462)</f>
        <v>10</v>
      </c>
      <c r="AF462" s="14" t="str">
        <f t="shared" si="159"/>
        <v>徐晃</v>
      </c>
      <c r="AG462" s="14">
        <f t="shared" si="160"/>
        <v>3</v>
      </c>
      <c r="AH462" s="14" t="str">
        <f t="shared" si="161"/>
        <v>徐晃魂火-42</v>
      </c>
      <c r="AI462" s="14">
        <f t="shared" si="162"/>
        <v>42</v>
      </c>
      <c r="AJ462" s="14" t="str">
        <f>INDEX(挂机升级突破!$BX$4:$CH$4,INDEX(挂机升级突破!$BU$6:$BU$57,卡牌消耗!AI462))</f>
        <v>金币</v>
      </c>
      <c r="AK462" s="14">
        <f>ROUND(INDEX(挂机升级突破!$BN$6:$BN$57,卡牌消耗!AI462)*INDEX(卡牌消耗!$B$8:$F$8,AG462)/$Q$4/50,0)*50</f>
        <v>23000</v>
      </c>
      <c r="AL462" s="14" t="str">
        <f>IF(AD462&gt;0,INDEX(挂机升级突破!$BX$4:$CH$4,AD462),"")</f>
        <v>红色基础材料</v>
      </c>
      <c r="AM462" s="14">
        <f>ROUND(INDEX(挂机升级突破!$BX$6:$CH$57,卡牌消耗!AI462,AD462)*INDEX(卡牌消耗!$B$5:$F$5,AG462)/$Q$4/5,0)*5</f>
        <v>55</v>
      </c>
      <c r="AN462" s="14" t="str">
        <f>IF(AE462&gt;0,INDEX(挂机升级突破!$BX$4:$CH$4,AE462),"")</f>
        <v>灵玉</v>
      </c>
      <c r="AO462" s="14">
        <f>IF(AE462&gt;0,ROUND(INDEX(挂机升级突破!$BX$6:$CH$57,卡牌消耗!AI462,AE462)*INDEX(卡牌消耗!$B$7:$F$7,AG462)/$Q$4,0),"")</f>
        <v>1</v>
      </c>
      <c r="AP462" s="106"/>
      <c r="AQ462" s="15"/>
      <c r="AR462" s="104">
        <v>458</v>
      </c>
      <c r="AS462" s="14">
        <f t="shared" si="163"/>
        <v>23</v>
      </c>
      <c r="AT462" s="14">
        <f>INDEX(挂机升级突破!$CM$7:$CM$26,AX462)</f>
        <v>5</v>
      </c>
      <c r="AU462" s="14">
        <f>INDEX(挂机升级突破!$CN$7:$CN$26,AX462)</f>
        <v>4</v>
      </c>
      <c r="AV462" s="14">
        <f t="shared" si="164"/>
        <v>2</v>
      </c>
      <c r="AW462" s="14" t="str">
        <f t="shared" si="165"/>
        <v>异邦刀客</v>
      </c>
      <c r="AX462" s="14">
        <f t="shared" si="166"/>
        <v>18</v>
      </c>
      <c r="AY462" s="14" t="str">
        <f t="shared" si="167"/>
        <v>异邦刀客18突</v>
      </c>
      <c r="AZ462" s="14" t="str">
        <f>IF(AT462&gt;0,INDEX(挂机升级突破!$CV$5:$CZ$5,卡牌消耗!AT462),"")</f>
        <v>金币</v>
      </c>
      <c r="BA462" s="14">
        <f>IF(AT462&gt;0,ROUND(INDEX(挂机升级突破!$CZ$7:$CZ$26,卡牌消耗!AX462)*INDEX(卡牌消耗!$B$8:$F$8,AV462)/$Q$4/500,0)*500,"")</f>
        <v>58500</v>
      </c>
      <c r="BB462" s="14" t="str">
        <f>IF(AU462&gt;0,INDEX(挂机升级突破!$CV$5:$CZ$5,卡牌消耗!AU462),"")</f>
        <v>铀金</v>
      </c>
      <c r="BC462" s="14">
        <f>IF(AU462&gt;0,ROUND(INDEX(挂机升级突破!$CV$7:$CY$26,卡牌消耗!AX462,卡牌消耗!AU462)*INDEX($B$6:$F$6,AV462)/$Q$4/5,0)*5,"")</f>
        <v>25</v>
      </c>
      <c r="BD462" s="104"/>
      <c r="BE462" s="104"/>
      <c r="BF462" s="106"/>
    </row>
    <row r="463" spans="8:58" ht="16.5" x14ac:dyDescent="0.2">
      <c r="H463" s="15"/>
      <c r="I463" s="15"/>
      <c r="J463" s="15"/>
      <c r="K463" s="15"/>
      <c r="L463" s="15"/>
      <c r="M463" s="15"/>
      <c r="N463" s="15"/>
      <c r="O463" s="137"/>
      <c r="P463" s="141"/>
      <c r="Q463" s="141"/>
      <c r="R463" s="141"/>
      <c r="S463" s="141"/>
      <c r="T463" s="141"/>
      <c r="U463" s="141"/>
      <c r="V463" s="141"/>
      <c r="W463" s="141"/>
      <c r="X463" s="141"/>
      <c r="Y463" s="141"/>
      <c r="Z463" s="141"/>
      <c r="AA463" s="104">
        <v>459</v>
      </c>
      <c r="AB463" s="14">
        <f t="shared" si="158"/>
        <v>9</v>
      </c>
      <c r="AC463" s="14">
        <f>INDEX(挂机升级突破!$BU$6:$BU$57,卡牌消耗!AI463)</f>
        <v>11</v>
      </c>
      <c r="AD463" s="14">
        <f>INDEX(挂机升级突破!BV$6:BV$57,卡牌消耗!$AI463)</f>
        <v>5</v>
      </c>
      <c r="AE463" s="14">
        <f>INDEX(挂机升级突破!BW$6:BW$57,卡牌消耗!$AI463)</f>
        <v>10</v>
      </c>
      <c r="AF463" s="14" t="str">
        <f t="shared" si="159"/>
        <v>徐晃</v>
      </c>
      <c r="AG463" s="14">
        <f t="shared" si="160"/>
        <v>3</v>
      </c>
      <c r="AH463" s="14" t="str">
        <f t="shared" si="161"/>
        <v>徐晃魂火-43</v>
      </c>
      <c r="AI463" s="14">
        <f t="shared" si="162"/>
        <v>43</v>
      </c>
      <c r="AJ463" s="14" t="str">
        <f>INDEX(挂机升级突破!$BX$4:$CH$4,INDEX(挂机升级突破!$BU$6:$BU$57,卡牌消耗!AI463))</f>
        <v>金币</v>
      </c>
      <c r="AK463" s="14">
        <f>ROUND(INDEX(挂机升级突破!$BN$6:$BN$57,卡牌消耗!AI463)*INDEX(卡牌消耗!$B$8:$F$8,AG463)/$Q$4/50,0)*50</f>
        <v>23000</v>
      </c>
      <c r="AL463" s="14" t="str">
        <f>IF(AD463&gt;0,INDEX(挂机升级突破!$BX$4:$CH$4,AD463),"")</f>
        <v>红色基础材料</v>
      </c>
      <c r="AM463" s="14">
        <f>ROUND(INDEX(挂机升级突破!$BX$6:$CH$57,卡牌消耗!AI463,AD463)*INDEX(卡牌消耗!$B$5:$F$5,AG463)/$Q$4/5,0)*5</f>
        <v>55</v>
      </c>
      <c r="AN463" s="14" t="str">
        <f>IF(AE463&gt;0,INDEX(挂机升级突破!$BX$4:$CH$4,AE463),"")</f>
        <v>灵玉</v>
      </c>
      <c r="AO463" s="14">
        <f>IF(AE463&gt;0,ROUND(INDEX(挂机升级突破!$BX$6:$CH$57,卡牌消耗!AI463,AE463)*INDEX(卡牌消耗!$B$7:$F$7,AG463)/$Q$4,0),"")</f>
        <v>1</v>
      </c>
      <c r="AP463" s="106"/>
      <c r="AQ463" s="15"/>
      <c r="AR463" s="104">
        <v>459</v>
      </c>
      <c r="AS463" s="14">
        <f t="shared" si="163"/>
        <v>23</v>
      </c>
      <c r="AT463" s="14">
        <f>INDEX(挂机升级突破!$CM$7:$CM$26,AX463)</f>
        <v>5</v>
      </c>
      <c r="AU463" s="14">
        <f>INDEX(挂机升级突破!$CN$7:$CN$26,AX463)</f>
        <v>4</v>
      </c>
      <c r="AV463" s="14">
        <f t="shared" si="164"/>
        <v>2</v>
      </c>
      <c r="AW463" s="14" t="str">
        <f t="shared" si="165"/>
        <v>异邦刀客</v>
      </c>
      <c r="AX463" s="14">
        <f t="shared" si="166"/>
        <v>19</v>
      </c>
      <c r="AY463" s="14" t="str">
        <f t="shared" si="167"/>
        <v>异邦刀客19突</v>
      </c>
      <c r="AZ463" s="14" t="str">
        <f>IF(AT463&gt;0,INDEX(挂机升级突破!$CV$5:$CZ$5,卡牌消耗!AT463),"")</f>
        <v>金币</v>
      </c>
      <c r="BA463" s="14">
        <f>IF(AT463&gt;0,ROUND(INDEX(挂机升级突破!$CZ$7:$CZ$26,卡牌消耗!AX463)*INDEX(卡牌消耗!$B$8:$F$8,AV463)/$Q$4/500,0)*500,"")</f>
        <v>354500</v>
      </c>
      <c r="BB463" s="14" t="str">
        <f>IF(AU463&gt;0,INDEX(挂机升级突破!$CV$5:$CZ$5,卡牌消耗!AU463),"")</f>
        <v>铀金</v>
      </c>
      <c r="BC463" s="14">
        <f>IF(AU463&gt;0,ROUND(INDEX(挂机升级突破!$CV$7:$CY$26,卡牌消耗!AX463,卡牌消耗!AU463)*INDEX($B$6:$F$6,AV463)/$Q$4/5,0)*5,"")</f>
        <v>35</v>
      </c>
      <c r="BD463" s="104"/>
      <c r="BE463" s="104"/>
      <c r="BF463" s="106"/>
    </row>
    <row r="464" spans="8:58" ht="16.5" x14ac:dyDescent="0.2">
      <c r="H464" s="15"/>
      <c r="I464" s="15"/>
      <c r="J464" s="15"/>
      <c r="K464" s="15"/>
      <c r="L464" s="15"/>
      <c r="M464" s="15"/>
      <c r="N464" s="15"/>
      <c r="O464" s="137"/>
      <c r="P464" s="141"/>
      <c r="Q464" s="141"/>
      <c r="R464" s="141"/>
      <c r="S464" s="141"/>
      <c r="T464" s="141"/>
      <c r="U464" s="141"/>
      <c r="V464" s="141"/>
      <c r="W464" s="141"/>
      <c r="X464" s="141"/>
      <c r="Y464" s="141"/>
      <c r="Z464" s="141"/>
      <c r="AA464" s="104">
        <v>460</v>
      </c>
      <c r="AB464" s="14">
        <f t="shared" si="158"/>
        <v>9</v>
      </c>
      <c r="AC464" s="14">
        <f>INDEX(挂机升级突破!$BU$6:$BU$57,卡牌消耗!AI464)</f>
        <v>11</v>
      </c>
      <c r="AD464" s="14">
        <f>INDEX(挂机升级突破!BV$6:BV$57,卡牌消耗!$AI464)</f>
        <v>5</v>
      </c>
      <c r="AE464" s="14">
        <f>INDEX(挂机升级突破!BW$6:BW$57,卡牌消耗!$AI464)</f>
        <v>10</v>
      </c>
      <c r="AF464" s="14" t="str">
        <f t="shared" si="159"/>
        <v>徐晃</v>
      </c>
      <c r="AG464" s="14">
        <f t="shared" si="160"/>
        <v>3</v>
      </c>
      <c r="AH464" s="14" t="str">
        <f t="shared" si="161"/>
        <v>徐晃魂火-44</v>
      </c>
      <c r="AI464" s="14">
        <f t="shared" si="162"/>
        <v>44</v>
      </c>
      <c r="AJ464" s="14" t="str">
        <f>INDEX(挂机升级突破!$BX$4:$CH$4,INDEX(挂机升级突破!$BU$6:$BU$57,卡牌消耗!AI464))</f>
        <v>金币</v>
      </c>
      <c r="AK464" s="14">
        <f>ROUND(INDEX(挂机升级突破!$BN$6:$BN$57,卡牌消耗!AI464)*INDEX(卡牌消耗!$B$8:$F$8,AG464)/$Q$4/50,0)*50</f>
        <v>29250</v>
      </c>
      <c r="AL464" s="14" t="str">
        <f>IF(AD464&gt;0,INDEX(挂机升级突破!$BX$4:$CH$4,AD464),"")</f>
        <v>红色基础材料</v>
      </c>
      <c r="AM464" s="14">
        <f>ROUND(INDEX(挂机升级突破!$BX$6:$CH$57,卡牌消耗!AI464,AD464)*INDEX(卡牌消耗!$B$5:$F$5,AG464)/$Q$4/5,0)*5</f>
        <v>65</v>
      </c>
      <c r="AN464" s="14" t="str">
        <f>IF(AE464&gt;0,INDEX(挂机升级突破!$BX$4:$CH$4,AE464),"")</f>
        <v>灵玉</v>
      </c>
      <c r="AO464" s="14">
        <f>IF(AE464&gt;0,ROUND(INDEX(挂机升级突破!$BX$6:$CH$57,卡牌消耗!AI464,AE464)*INDEX(卡牌消耗!$B$7:$F$7,AG464)/$Q$4,0),"")</f>
        <v>1</v>
      </c>
      <c r="AP464" s="106"/>
      <c r="AQ464" s="15"/>
      <c r="AR464" s="104">
        <v>460</v>
      </c>
      <c r="AS464" s="14">
        <f t="shared" si="163"/>
        <v>23</v>
      </c>
      <c r="AT464" s="14">
        <f>INDEX(挂机升级突破!$CM$7:$CM$26,AX464)</f>
        <v>5</v>
      </c>
      <c r="AU464" s="14">
        <f>INDEX(挂机升级突破!$CN$7:$CN$26,AX464)</f>
        <v>4</v>
      </c>
      <c r="AV464" s="14">
        <f t="shared" si="164"/>
        <v>2</v>
      </c>
      <c r="AW464" s="14" t="str">
        <f t="shared" si="165"/>
        <v>异邦刀客</v>
      </c>
      <c r="AX464" s="14">
        <f t="shared" si="166"/>
        <v>20</v>
      </c>
      <c r="AY464" s="14" t="str">
        <f t="shared" si="167"/>
        <v>异邦刀客20突</v>
      </c>
      <c r="AZ464" s="14" t="str">
        <f>IF(AT464&gt;0,INDEX(挂机升级突破!$CV$5:$CZ$5,卡牌消耗!AT464),"")</f>
        <v>金币</v>
      </c>
      <c r="BA464" s="14">
        <f>IF(AT464&gt;0,ROUND(INDEX(挂机升级突破!$CZ$7:$CZ$26,卡牌消耗!AX464)*INDEX(卡牌消耗!$B$8:$F$8,AV464)/$Q$4/500,0)*500,"")</f>
        <v>532000</v>
      </c>
      <c r="BB464" s="14" t="str">
        <f>IF(AU464&gt;0,INDEX(挂机升级突破!$CV$5:$CZ$5,卡牌消耗!AU464),"")</f>
        <v>铀金</v>
      </c>
      <c r="BC464" s="14">
        <f>IF(AU464&gt;0,ROUND(INDEX(挂机升级突破!$CV$7:$CY$26,卡牌消耗!AX464,卡牌消耗!AU464)*INDEX($B$6:$F$6,AV464)/$Q$4/5,0)*5,"")</f>
        <v>45</v>
      </c>
      <c r="BD464" s="104"/>
      <c r="BE464" s="104"/>
      <c r="BF464" s="106"/>
    </row>
    <row r="465" spans="8:58" ht="16.5" x14ac:dyDescent="0.2">
      <c r="H465" s="15"/>
      <c r="I465" s="15"/>
      <c r="J465" s="15"/>
      <c r="K465" s="15"/>
      <c r="L465" s="15"/>
      <c r="M465" s="15"/>
      <c r="N465" s="15"/>
      <c r="O465" s="137"/>
      <c r="P465" s="141"/>
      <c r="Q465" s="141"/>
      <c r="R465" s="141"/>
      <c r="S465" s="141"/>
      <c r="T465" s="141"/>
      <c r="U465" s="141"/>
      <c r="V465" s="141"/>
      <c r="W465" s="141"/>
      <c r="X465" s="141"/>
      <c r="Y465" s="141"/>
      <c r="Z465" s="141"/>
      <c r="AA465" s="104">
        <v>461</v>
      </c>
      <c r="AB465" s="14">
        <f t="shared" si="158"/>
        <v>9</v>
      </c>
      <c r="AC465" s="14">
        <f>INDEX(挂机升级突破!$BU$6:$BU$57,卡牌消耗!AI465)</f>
        <v>11</v>
      </c>
      <c r="AD465" s="14">
        <f>INDEX(挂机升级突破!BV$6:BV$57,卡牌消耗!$AI465)</f>
        <v>5</v>
      </c>
      <c r="AE465" s="14">
        <f>INDEX(挂机升级突破!BW$6:BW$57,卡牌消耗!$AI465)</f>
        <v>10</v>
      </c>
      <c r="AF465" s="14" t="str">
        <f t="shared" si="159"/>
        <v>徐晃</v>
      </c>
      <c r="AG465" s="14">
        <f t="shared" si="160"/>
        <v>3</v>
      </c>
      <c r="AH465" s="14" t="str">
        <f t="shared" si="161"/>
        <v>徐晃魂火-45</v>
      </c>
      <c r="AI465" s="14">
        <f t="shared" si="162"/>
        <v>45</v>
      </c>
      <c r="AJ465" s="14" t="str">
        <f>INDEX(挂机升级突破!$BX$4:$CH$4,INDEX(挂机升级突破!$BU$6:$BU$57,卡牌消耗!AI465))</f>
        <v>金币</v>
      </c>
      <c r="AK465" s="14">
        <f>ROUND(INDEX(挂机升级突破!$BN$6:$BN$57,卡牌消耗!AI465)*INDEX(卡牌消耗!$B$8:$F$8,AG465)/$Q$4/50,0)*50</f>
        <v>29250</v>
      </c>
      <c r="AL465" s="14" t="str">
        <f>IF(AD465&gt;0,INDEX(挂机升级突破!$BX$4:$CH$4,AD465),"")</f>
        <v>红色基础材料</v>
      </c>
      <c r="AM465" s="14">
        <f>ROUND(INDEX(挂机升级突破!$BX$6:$CH$57,卡牌消耗!AI465,AD465)*INDEX(卡牌消耗!$B$5:$F$5,AG465)/$Q$4/5,0)*5</f>
        <v>65</v>
      </c>
      <c r="AN465" s="14" t="str">
        <f>IF(AE465&gt;0,INDEX(挂机升级突破!$BX$4:$CH$4,AE465),"")</f>
        <v>灵玉</v>
      </c>
      <c r="AO465" s="14">
        <f>IF(AE465&gt;0,ROUND(INDEX(挂机升级突破!$BX$6:$CH$57,卡牌消耗!AI465,AE465)*INDEX(卡牌消耗!$B$7:$F$7,AG465)/$Q$4,0),"")</f>
        <v>1</v>
      </c>
      <c r="AP465" s="106"/>
      <c r="AQ465" s="15"/>
      <c r="AR465" s="104">
        <v>461</v>
      </c>
      <c r="AS465" s="14">
        <f t="shared" si="163"/>
        <v>24</v>
      </c>
      <c r="AT465" s="14">
        <f>INDEX(挂机升级突破!$CM$7:$CM$26,AX465)</f>
        <v>0</v>
      </c>
      <c r="AU465" s="14">
        <f>INDEX(挂机升级突破!$CN$7:$CN$26,AX465)</f>
        <v>0</v>
      </c>
      <c r="AV465" s="14">
        <f t="shared" si="164"/>
        <v>3</v>
      </c>
      <c r="AW465" s="14" t="str">
        <f t="shared" si="165"/>
        <v>朱仙</v>
      </c>
      <c r="AX465" s="14">
        <f t="shared" si="166"/>
        <v>1</v>
      </c>
      <c r="AY465" s="14" t="str">
        <f t="shared" si="167"/>
        <v>朱仙1突</v>
      </c>
      <c r="AZ465" s="14" t="str">
        <f>IF(AT465&gt;0,INDEX(挂机升级突破!$CV$5:$CZ$5,卡牌消耗!AT465),"")</f>
        <v/>
      </c>
      <c r="BA465" s="14" t="str">
        <f>IF(AT465&gt;0,ROUND(INDEX(挂机升级突破!$CZ$7:$CZ$26,卡牌消耗!AX465)*INDEX(卡牌消耗!$B$8:$F$8,AV465)/$Q$4/500,0)*500,"")</f>
        <v/>
      </c>
      <c r="BB465" s="14" t="str">
        <f>IF(AU465&gt;0,INDEX(挂机升级突破!$CV$5:$CZ$5,卡牌消耗!AU465),"")</f>
        <v/>
      </c>
      <c r="BC465" s="14" t="str">
        <f>IF(AU465&gt;0,ROUND(INDEX(挂机升级突破!$CV$7:$CY$26,卡牌消耗!AX465,卡牌消耗!AU465)*INDEX($B$6:$F$6,AV465)/$Q$4/5,0)*5,"")</f>
        <v/>
      </c>
      <c r="BD465" s="104"/>
      <c r="BE465" s="104"/>
      <c r="BF465" s="106"/>
    </row>
    <row r="466" spans="8:58" ht="16.5" x14ac:dyDescent="0.2">
      <c r="H466" s="15"/>
      <c r="I466" s="15"/>
      <c r="J466" s="15"/>
      <c r="K466" s="15"/>
      <c r="L466" s="15"/>
      <c r="M466" s="15"/>
      <c r="N466" s="15"/>
      <c r="O466" s="137"/>
      <c r="P466" s="141"/>
      <c r="Q466" s="141"/>
      <c r="R466" s="141"/>
      <c r="S466" s="141"/>
      <c r="T466" s="141"/>
      <c r="U466" s="141"/>
      <c r="V466" s="141"/>
      <c r="W466" s="141"/>
      <c r="X466" s="141"/>
      <c r="Y466" s="141"/>
      <c r="Z466" s="141"/>
      <c r="AA466" s="104">
        <v>462</v>
      </c>
      <c r="AB466" s="14">
        <f t="shared" si="158"/>
        <v>9</v>
      </c>
      <c r="AC466" s="14">
        <f>INDEX(挂机升级突破!$BU$6:$BU$57,卡牌消耗!AI466)</f>
        <v>11</v>
      </c>
      <c r="AD466" s="14">
        <f>INDEX(挂机升级突破!BV$6:BV$57,卡牌消耗!$AI466)</f>
        <v>5</v>
      </c>
      <c r="AE466" s="14">
        <f>INDEX(挂机升级突破!BW$6:BW$57,卡牌消耗!$AI466)</f>
        <v>10</v>
      </c>
      <c r="AF466" s="14" t="str">
        <f t="shared" si="159"/>
        <v>徐晃</v>
      </c>
      <c r="AG466" s="14">
        <f t="shared" si="160"/>
        <v>3</v>
      </c>
      <c r="AH466" s="14" t="str">
        <f t="shared" si="161"/>
        <v>徐晃魂火-46</v>
      </c>
      <c r="AI466" s="14">
        <f t="shared" si="162"/>
        <v>46</v>
      </c>
      <c r="AJ466" s="14" t="str">
        <f>INDEX(挂机升级突破!$BX$4:$CH$4,INDEX(挂机升级突破!$BU$6:$BU$57,卡牌消耗!AI466))</f>
        <v>金币</v>
      </c>
      <c r="AK466" s="14">
        <f>ROUND(INDEX(挂机升级突破!$BN$6:$BN$57,卡牌消耗!AI466)*INDEX(卡牌消耗!$B$8:$F$8,AG466)/$Q$4/50,0)*50</f>
        <v>31350</v>
      </c>
      <c r="AL466" s="14" t="str">
        <f>IF(AD466&gt;0,INDEX(挂机升级突破!$BX$4:$CH$4,AD466),"")</f>
        <v>红色基础材料</v>
      </c>
      <c r="AM466" s="14">
        <f>ROUND(INDEX(挂机升级突破!$BX$6:$CH$57,卡牌消耗!AI466,AD466)*INDEX(卡牌消耗!$B$5:$F$5,AG466)/$Q$4/5,0)*5</f>
        <v>65</v>
      </c>
      <c r="AN466" s="14" t="str">
        <f>IF(AE466&gt;0,INDEX(挂机升级突破!$BX$4:$CH$4,AE466),"")</f>
        <v>灵玉</v>
      </c>
      <c r="AO466" s="14">
        <f>IF(AE466&gt;0,ROUND(INDEX(挂机升级突破!$BX$6:$CH$57,卡牌消耗!AI466,AE466)*INDEX(卡牌消耗!$B$7:$F$7,AG466)/$Q$4,0),"")</f>
        <v>1</v>
      </c>
      <c r="AP466" s="106"/>
      <c r="AQ466" s="15"/>
      <c r="AR466" s="104">
        <v>462</v>
      </c>
      <c r="AS466" s="14">
        <f t="shared" si="163"/>
        <v>24</v>
      </c>
      <c r="AT466" s="14">
        <f>INDEX(挂机升级突破!$CM$7:$CM$26,AX466)</f>
        <v>5</v>
      </c>
      <c r="AU466" s="14">
        <f>INDEX(挂机升级突破!$CN$7:$CN$26,AX466)</f>
        <v>0</v>
      </c>
      <c r="AV466" s="14">
        <f t="shared" si="164"/>
        <v>3</v>
      </c>
      <c r="AW466" s="14" t="str">
        <f t="shared" si="165"/>
        <v>朱仙</v>
      </c>
      <c r="AX466" s="14">
        <f t="shared" si="166"/>
        <v>2</v>
      </c>
      <c r="AY466" s="14" t="str">
        <f t="shared" si="167"/>
        <v>朱仙2突</v>
      </c>
      <c r="AZ466" s="14" t="str">
        <f>IF(AT466&gt;0,INDEX(挂机升级突破!$CV$5:$CZ$5,卡牌消耗!AT466),"")</f>
        <v>金币</v>
      </c>
      <c r="BA466" s="14">
        <f>IF(AT466&gt;0,ROUND(INDEX(挂机升级突破!$CZ$7:$CZ$26,卡牌消耗!AX466)*INDEX(卡牌消耗!$B$8:$F$8,AV466)/$Q$4/500,0)*500,"")</f>
        <v>2500</v>
      </c>
      <c r="BB466" s="14" t="str">
        <f>IF(AU466&gt;0,INDEX(挂机升级突破!$CV$5:$CZ$5,卡牌消耗!AU466),"")</f>
        <v/>
      </c>
      <c r="BC466" s="14" t="str">
        <f>IF(AU466&gt;0,ROUND(INDEX(挂机升级突破!$CV$7:$CY$26,卡牌消耗!AX466,卡牌消耗!AU466)*INDEX($B$6:$F$6,AV466)/$Q$4/5,0)*5,"")</f>
        <v/>
      </c>
      <c r="BD466" s="104"/>
      <c r="BE466" s="104"/>
      <c r="BF466" s="106"/>
    </row>
    <row r="467" spans="8:58" ht="16.5" x14ac:dyDescent="0.2">
      <c r="H467" s="15"/>
      <c r="I467" s="15"/>
      <c r="J467" s="15"/>
      <c r="K467" s="15"/>
      <c r="L467" s="15"/>
      <c r="M467" s="15"/>
      <c r="N467" s="15"/>
      <c r="O467" s="137"/>
      <c r="P467" s="141"/>
      <c r="Q467" s="141"/>
      <c r="R467" s="141"/>
      <c r="S467" s="141"/>
      <c r="T467" s="141"/>
      <c r="U467" s="141"/>
      <c r="V467" s="141"/>
      <c r="W467" s="141"/>
      <c r="X467" s="141"/>
      <c r="Y467" s="141"/>
      <c r="Z467" s="141"/>
      <c r="AA467" s="104">
        <v>463</v>
      </c>
      <c r="AB467" s="14">
        <f t="shared" si="158"/>
        <v>9</v>
      </c>
      <c r="AC467" s="14">
        <f>INDEX(挂机升级突破!$BU$6:$BU$57,卡牌消耗!AI467)</f>
        <v>11</v>
      </c>
      <c r="AD467" s="14">
        <f>INDEX(挂机升级突破!BV$6:BV$57,卡牌消耗!$AI467)</f>
        <v>5</v>
      </c>
      <c r="AE467" s="14">
        <f>INDEX(挂机升级突破!BW$6:BW$57,卡牌消耗!$AI467)</f>
        <v>10</v>
      </c>
      <c r="AF467" s="14" t="str">
        <f t="shared" si="159"/>
        <v>徐晃</v>
      </c>
      <c r="AG467" s="14">
        <f t="shared" si="160"/>
        <v>3</v>
      </c>
      <c r="AH467" s="14" t="str">
        <f t="shared" si="161"/>
        <v>徐晃魂火-47</v>
      </c>
      <c r="AI467" s="14">
        <f t="shared" si="162"/>
        <v>47</v>
      </c>
      <c r="AJ467" s="14" t="str">
        <f>INDEX(挂机升级突破!$BX$4:$CH$4,INDEX(挂机升级突破!$BU$6:$BU$57,卡牌消耗!AI467))</f>
        <v>金币</v>
      </c>
      <c r="AK467" s="14">
        <f>ROUND(INDEX(挂机升级突破!$BN$6:$BN$57,卡牌消耗!AI467)*INDEX(卡牌消耗!$B$8:$F$8,AG467)/$Q$4/50,0)*50</f>
        <v>151950</v>
      </c>
      <c r="AL467" s="14" t="str">
        <f>IF(AD467&gt;0,INDEX(挂机升级突破!$BX$4:$CH$4,AD467),"")</f>
        <v>红色基础材料</v>
      </c>
      <c r="AM467" s="14">
        <f>ROUND(INDEX(挂机升级突破!$BX$6:$CH$57,卡牌消耗!AI467,AD467)*INDEX(卡牌消耗!$B$5:$F$5,AG467)/$Q$4/5,0)*5</f>
        <v>65</v>
      </c>
      <c r="AN467" s="14" t="str">
        <f>IF(AE467&gt;0,INDEX(挂机升级突破!$BX$4:$CH$4,AE467),"")</f>
        <v>灵玉</v>
      </c>
      <c r="AO467" s="14">
        <f>IF(AE467&gt;0,ROUND(INDEX(挂机升级突破!$BX$6:$CH$57,卡牌消耗!AI467,AE467)*INDEX(卡牌消耗!$B$7:$F$7,AG467)/$Q$4,0),"")</f>
        <v>1</v>
      </c>
      <c r="AP467" s="106"/>
      <c r="AQ467" s="15"/>
      <c r="AR467" s="104">
        <v>463</v>
      </c>
      <c r="AS467" s="14">
        <f t="shared" si="163"/>
        <v>24</v>
      </c>
      <c r="AT467" s="14">
        <f>INDEX(挂机升级突破!$CM$7:$CM$26,AX467)</f>
        <v>5</v>
      </c>
      <c r="AU467" s="14">
        <f>INDEX(挂机升级突破!$CN$7:$CN$26,AX467)</f>
        <v>0</v>
      </c>
      <c r="AV467" s="14">
        <f t="shared" si="164"/>
        <v>3</v>
      </c>
      <c r="AW467" s="14" t="str">
        <f t="shared" si="165"/>
        <v>朱仙</v>
      </c>
      <c r="AX467" s="14">
        <f t="shared" si="166"/>
        <v>3</v>
      </c>
      <c r="AY467" s="14" t="str">
        <f t="shared" si="167"/>
        <v>朱仙3突</v>
      </c>
      <c r="AZ467" s="14" t="str">
        <f>IF(AT467&gt;0,INDEX(挂机升级突破!$CV$5:$CZ$5,卡牌消耗!AT467),"")</f>
        <v>金币</v>
      </c>
      <c r="BA467" s="14">
        <f>IF(AT467&gt;0,ROUND(INDEX(挂机升级突破!$CZ$7:$CZ$26,卡牌消耗!AX467)*INDEX(卡牌消耗!$B$8:$F$8,AV467)/$Q$4/500,0)*500,"")</f>
        <v>2500</v>
      </c>
      <c r="BB467" s="14" t="str">
        <f>IF(AU467&gt;0,INDEX(挂机升级突破!$CV$5:$CZ$5,卡牌消耗!AU467),"")</f>
        <v/>
      </c>
      <c r="BC467" s="14" t="str">
        <f>IF(AU467&gt;0,ROUND(INDEX(挂机升级突破!$CV$7:$CY$26,卡牌消耗!AX467,卡牌消耗!AU467)*INDEX($B$6:$F$6,AV467)/$Q$4/5,0)*5,"")</f>
        <v/>
      </c>
      <c r="BD467" s="104"/>
      <c r="BE467" s="104"/>
      <c r="BF467" s="106"/>
    </row>
    <row r="468" spans="8:58" ht="16.5" x14ac:dyDescent="0.2">
      <c r="H468" s="15"/>
      <c r="I468" s="15"/>
      <c r="J468" s="15"/>
      <c r="K468" s="15"/>
      <c r="L468" s="15"/>
      <c r="M468" s="15"/>
      <c r="N468" s="15"/>
      <c r="O468" s="137"/>
      <c r="P468" s="141"/>
      <c r="Q468" s="141"/>
      <c r="R468" s="141"/>
      <c r="S468" s="141"/>
      <c r="T468" s="141"/>
      <c r="U468" s="141"/>
      <c r="V468" s="141"/>
      <c r="W468" s="141"/>
      <c r="X468" s="141"/>
      <c r="Y468" s="141"/>
      <c r="Z468" s="141"/>
      <c r="AA468" s="104">
        <v>464</v>
      </c>
      <c r="AB468" s="14">
        <f t="shared" si="158"/>
        <v>9</v>
      </c>
      <c r="AC468" s="14">
        <f>INDEX(挂机升级突破!$BU$6:$BU$57,卡牌消耗!AI468)</f>
        <v>11</v>
      </c>
      <c r="AD468" s="14">
        <f>INDEX(挂机升级突破!BV$6:BV$57,卡牌消耗!$AI468)</f>
        <v>5</v>
      </c>
      <c r="AE468" s="14">
        <f>INDEX(挂机升级突破!BW$6:BW$57,卡牌消耗!$AI468)</f>
        <v>10</v>
      </c>
      <c r="AF468" s="14" t="str">
        <f t="shared" si="159"/>
        <v>徐晃</v>
      </c>
      <c r="AG468" s="14">
        <f t="shared" si="160"/>
        <v>3</v>
      </c>
      <c r="AH468" s="14" t="str">
        <f t="shared" si="161"/>
        <v>徐晃魂火-48</v>
      </c>
      <c r="AI468" s="14">
        <f t="shared" si="162"/>
        <v>48</v>
      </c>
      <c r="AJ468" s="14" t="str">
        <f>INDEX(挂机升级突破!$BX$4:$CH$4,INDEX(挂机升级突破!$BU$6:$BU$57,卡牌消耗!AI468))</f>
        <v>金币</v>
      </c>
      <c r="AK468" s="14">
        <f>ROUND(INDEX(挂机升级突破!$BN$6:$BN$57,卡牌消耗!AI468)*INDEX(卡牌消耗!$B$8:$F$8,AG468)/$Q$4/50,0)*50</f>
        <v>151950</v>
      </c>
      <c r="AL468" s="14" t="str">
        <f>IF(AD468&gt;0,INDEX(挂机升级突破!$BX$4:$CH$4,AD468),"")</f>
        <v>红色基础材料</v>
      </c>
      <c r="AM468" s="14">
        <f>ROUND(INDEX(挂机升级突破!$BX$6:$CH$57,卡牌消耗!AI468,AD468)*INDEX(卡牌消耗!$B$5:$F$5,AG468)/$Q$4/5,0)*5</f>
        <v>65</v>
      </c>
      <c r="AN468" s="14" t="str">
        <f>IF(AE468&gt;0,INDEX(挂机升级突破!$BX$4:$CH$4,AE468),"")</f>
        <v>灵玉</v>
      </c>
      <c r="AO468" s="14">
        <f>IF(AE468&gt;0,ROUND(INDEX(挂机升级突破!$BX$6:$CH$57,卡牌消耗!AI468,AE468)*INDEX(卡牌消耗!$B$7:$F$7,AG468)/$Q$4,0),"")</f>
        <v>1</v>
      </c>
      <c r="AP468" s="106"/>
      <c r="AQ468" s="15"/>
      <c r="AR468" s="104">
        <v>464</v>
      </c>
      <c r="AS468" s="14">
        <f t="shared" si="163"/>
        <v>24</v>
      </c>
      <c r="AT468" s="14">
        <f>INDEX(挂机升级突破!$CM$7:$CM$26,AX468)</f>
        <v>5</v>
      </c>
      <c r="AU468" s="14">
        <f>INDEX(挂机升级突破!$CN$7:$CN$26,AX468)</f>
        <v>1</v>
      </c>
      <c r="AV468" s="14">
        <f t="shared" si="164"/>
        <v>3</v>
      </c>
      <c r="AW468" s="14" t="str">
        <f t="shared" si="165"/>
        <v>朱仙</v>
      </c>
      <c r="AX468" s="14">
        <f t="shared" si="166"/>
        <v>4</v>
      </c>
      <c r="AY468" s="14" t="str">
        <f t="shared" si="167"/>
        <v>朱仙4突</v>
      </c>
      <c r="AZ468" s="14" t="str">
        <f>IF(AT468&gt;0,INDEX(挂机升级突破!$CV$5:$CZ$5,卡牌消耗!AT468),"")</f>
        <v>金币</v>
      </c>
      <c r="BA468" s="14">
        <f>IF(AT468&gt;0,ROUND(INDEX(挂机升级突破!$CZ$7:$CZ$26,卡牌消耗!AX468)*INDEX(卡牌消耗!$B$8:$F$8,AV468)/$Q$4/500,0)*500,"")</f>
        <v>3000</v>
      </c>
      <c r="BB468" s="14" t="str">
        <f>IF(AU468&gt;0,INDEX(挂机升级突破!$CV$5:$CZ$5,卡牌消耗!AU468),"")</f>
        <v>玄铁</v>
      </c>
      <c r="BC468" s="14">
        <f>IF(AU468&gt;0,ROUND(INDEX(挂机升级突破!$CV$7:$CY$26,卡牌消耗!AX468,卡牌消耗!AU468)*INDEX($B$6:$F$6,AV468)/$Q$4/5,0)*5,"")</f>
        <v>60</v>
      </c>
      <c r="BD468" s="104"/>
      <c r="BE468" s="104"/>
      <c r="BF468" s="106"/>
    </row>
    <row r="469" spans="8:58" ht="16.5" x14ac:dyDescent="0.2">
      <c r="H469" s="15"/>
      <c r="I469" s="15"/>
      <c r="J469" s="15"/>
      <c r="K469" s="15"/>
      <c r="L469" s="15"/>
      <c r="M469" s="15"/>
      <c r="N469" s="15"/>
      <c r="O469" s="137"/>
      <c r="P469" s="141"/>
      <c r="Q469" s="141"/>
      <c r="R469" s="141"/>
      <c r="S469" s="141"/>
      <c r="T469" s="141"/>
      <c r="U469" s="141"/>
      <c r="V469" s="141"/>
      <c r="W469" s="141"/>
      <c r="X469" s="141"/>
      <c r="Y469" s="141"/>
      <c r="Z469" s="141"/>
      <c r="AA469" s="104">
        <v>465</v>
      </c>
      <c r="AB469" s="14">
        <f t="shared" si="158"/>
        <v>9</v>
      </c>
      <c r="AC469" s="14">
        <f>INDEX(挂机升级突破!$BU$6:$BU$57,卡牌消耗!AI469)</f>
        <v>11</v>
      </c>
      <c r="AD469" s="14">
        <f>INDEX(挂机升级突破!BV$6:BV$57,卡牌消耗!$AI469)</f>
        <v>5</v>
      </c>
      <c r="AE469" s="14">
        <f>INDEX(挂机升级突破!BW$6:BW$57,卡牌消耗!$AI469)</f>
        <v>10</v>
      </c>
      <c r="AF469" s="14" t="str">
        <f t="shared" si="159"/>
        <v>徐晃</v>
      </c>
      <c r="AG469" s="14">
        <f t="shared" si="160"/>
        <v>3</v>
      </c>
      <c r="AH469" s="14" t="str">
        <f t="shared" si="161"/>
        <v>徐晃魂火-49</v>
      </c>
      <c r="AI469" s="14">
        <f t="shared" si="162"/>
        <v>49</v>
      </c>
      <c r="AJ469" s="14" t="str">
        <f>INDEX(挂机升级突破!$BX$4:$CH$4,INDEX(挂机升级突破!$BU$6:$BU$57,卡牌消耗!AI469))</f>
        <v>金币</v>
      </c>
      <c r="AK469" s="14">
        <f>ROUND(INDEX(挂机升级突破!$BN$6:$BN$57,卡牌消耗!AI469)*INDEX(卡牌消耗!$B$8:$F$8,AG469)/$Q$4/50,0)*50</f>
        <v>151950</v>
      </c>
      <c r="AL469" s="14" t="str">
        <f>IF(AD469&gt;0,INDEX(挂机升级突破!$BX$4:$CH$4,AD469),"")</f>
        <v>红色基础材料</v>
      </c>
      <c r="AM469" s="14">
        <f>ROUND(INDEX(挂机升级突破!$BX$6:$CH$57,卡牌消耗!AI469,AD469)*INDEX(卡牌消耗!$B$5:$F$5,AG469)/$Q$4/5,0)*5</f>
        <v>70</v>
      </c>
      <c r="AN469" s="14" t="str">
        <f>IF(AE469&gt;0,INDEX(挂机升级突破!$BX$4:$CH$4,AE469),"")</f>
        <v>灵玉</v>
      </c>
      <c r="AO469" s="14">
        <f>IF(AE469&gt;0,ROUND(INDEX(挂机升级突破!$BX$6:$CH$57,卡牌消耗!AI469,AE469)*INDEX(卡牌消耗!$B$7:$F$7,AG469)/$Q$4,0),"")</f>
        <v>1</v>
      </c>
      <c r="AP469" s="106"/>
      <c r="AQ469" s="15"/>
      <c r="AR469" s="104">
        <v>465</v>
      </c>
      <c r="AS469" s="14">
        <f t="shared" si="163"/>
        <v>24</v>
      </c>
      <c r="AT469" s="14">
        <f>INDEX(挂机升级突破!$CM$7:$CM$26,AX469)</f>
        <v>5</v>
      </c>
      <c r="AU469" s="14">
        <f>INDEX(挂机升级突破!$CN$7:$CN$26,AX469)</f>
        <v>1</v>
      </c>
      <c r="AV469" s="14">
        <f t="shared" si="164"/>
        <v>3</v>
      </c>
      <c r="AW469" s="14" t="str">
        <f t="shared" si="165"/>
        <v>朱仙</v>
      </c>
      <c r="AX469" s="14">
        <f t="shared" si="166"/>
        <v>5</v>
      </c>
      <c r="AY469" s="14" t="str">
        <f t="shared" si="167"/>
        <v>朱仙5突</v>
      </c>
      <c r="AZ469" s="14" t="str">
        <f>IF(AT469&gt;0,INDEX(挂机升级突破!$CV$5:$CZ$5,卡牌消耗!AT469),"")</f>
        <v>金币</v>
      </c>
      <c r="BA469" s="14">
        <f>IF(AT469&gt;0,ROUND(INDEX(挂机升级突破!$CZ$7:$CZ$26,卡牌消耗!AX469)*INDEX(卡牌消耗!$B$8:$F$8,AV469)/$Q$4/500,0)*500,"")</f>
        <v>3000</v>
      </c>
      <c r="BB469" s="14" t="str">
        <f>IF(AU469&gt;0,INDEX(挂机升级突破!$CV$5:$CZ$5,卡牌消耗!AU469),"")</f>
        <v>玄铁</v>
      </c>
      <c r="BC469" s="14">
        <f>IF(AU469&gt;0,ROUND(INDEX(挂机升级突破!$CV$7:$CY$26,卡牌消耗!AX469,卡牌消耗!AU469)*INDEX($B$6:$F$6,AV469)/$Q$4/5,0)*5,"")</f>
        <v>115</v>
      </c>
      <c r="BD469" s="104"/>
      <c r="BE469" s="104"/>
      <c r="BF469" s="106"/>
    </row>
    <row r="470" spans="8:58" ht="16.5" x14ac:dyDescent="0.2">
      <c r="H470" s="15"/>
      <c r="I470" s="15"/>
      <c r="J470" s="15"/>
      <c r="K470" s="15"/>
      <c r="L470" s="15"/>
      <c r="M470" s="15"/>
      <c r="N470" s="15"/>
      <c r="O470" s="137"/>
      <c r="P470" s="141"/>
      <c r="Q470" s="141"/>
      <c r="R470" s="141"/>
      <c r="S470" s="141"/>
      <c r="T470" s="141"/>
      <c r="U470" s="141"/>
      <c r="V470" s="141"/>
      <c r="W470" s="141"/>
      <c r="X470" s="141"/>
      <c r="Y470" s="141"/>
      <c r="Z470" s="141"/>
      <c r="AA470" s="104">
        <v>466</v>
      </c>
      <c r="AB470" s="14">
        <f t="shared" si="158"/>
        <v>9</v>
      </c>
      <c r="AC470" s="14">
        <f>INDEX(挂机升级突破!$BU$6:$BU$57,卡牌消耗!AI470)</f>
        <v>11</v>
      </c>
      <c r="AD470" s="14">
        <f>INDEX(挂机升级突破!BV$6:BV$57,卡牌消耗!$AI470)</f>
        <v>5</v>
      </c>
      <c r="AE470" s="14">
        <f>INDEX(挂机升级突破!BW$6:BW$57,卡牌消耗!$AI470)</f>
        <v>10</v>
      </c>
      <c r="AF470" s="14" t="str">
        <f t="shared" si="159"/>
        <v>徐晃</v>
      </c>
      <c r="AG470" s="14">
        <f t="shared" si="160"/>
        <v>3</v>
      </c>
      <c r="AH470" s="14" t="str">
        <f t="shared" si="161"/>
        <v>徐晃魂火-50</v>
      </c>
      <c r="AI470" s="14">
        <f t="shared" si="162"/>
        <v>50</v>
      </c>
      <c r="AJ470" s="14" t="str">
        <f>INDEX(挂机升级突破!$BX$4:$CH$4,INDEX(挂机升级突破!$BU$6:$BU$57,卡牌消耗!AI470))</f>
        <v>金币</v>
      </c>
      <c r="AK470" s="14">
        <f>ROUND(INDEX(挂机升级突破!$BN$6:$BN$57,卡牌消耗!AI470)*INDEX(卡牌消耗!$B$8:$F$8,AG470)/$Q$4/50,0)*50</f>
        <v>253250</v>
      </c>
      <c r="AL470" s="14" t="str">
        <f>IF(AD470&gt;0,INDEX(挂机升级突破!$BX$4:$CH$4,AD470),"")</f>
        <v>红色基础材料</v>
      </c>
      <c r="AM470" s="14">
        <f>ROUND(INDEX(挂机升级突破!$BX$6:$CH$57,卡牌消耗!AI470,AD470)*INDEX(卡牌消耗!$B$5:$F$5,AG470)/$Q$4/5,0)*5</f>
        <v>70</v>
      </c>
      <c r="AN470" s="14" t="str">
        <f>IF(AE470&gt;0,INDEX(挂机升级突破!$BX$4:$CH$4,AE470),"")</f>
        <v>灵玉</v>
      </c>
      <c r="AO470" s="14">
        <f>IF(AE470&gt;0,ROUND(INDEX(挂机升级突破!$BX$6:$CH$57,卡牌消耗!AI470,AE470)*INDEX(卡牌消耗!$B$7:$F$7,AG470)/$Q$4,0),"")</f>
        <v>1</v>
      </c>
      <c r="AP470" s="106"/>
      <c r="AQ470" s="15"/>
      <c r="AR470" s="104">
        <v>466</v>
      </c>
      <c r="AS470" s="14">
        <f t="shared" si="163"/>
        <v>24</v>
      </c>
      <c r="AT470" s="14">
        <f>INDEX(挂机升级突破!$CM$7:$CM$26,AX470)</f>
        <v>5</v>
      </c>
      <c r="AU470" s="14">
        <f>INDEX(挂机升级突破!$CN$7:$CN$26,AX470)</f>
        <v>1</v>
      </c>
      <c r="AV470" s="14">
        <f t="shared" si="164"/>
        <v>3</v>
      </c>
      <c r="AW470" s="14" t="str">
        <f t="shared" si="165"/>
        <v>朱仙</v>
      </c>
      <c r="AX470" s="14">
        <f t="shared" si="166"/>
        <v>6</v>
      </c>
      <c r="AY470" s="14" t="str">
        <f t="shared" si="167"/>
        <v>朱仙6突</v>
      </c>
      <c r="AZ470" s="14" t="str">
        <f>IF(AT470&gt;0,INDEX(挂机升级突破!$CV$5:$CZ$5,卡牌消耗!AT470),"")</f>
        <v>金币</v>
      </c>
      <c r="BA470" s="14">
        <f>IF(AT470&gt;0,ROUND(INDEX(挂机升级突破!$CZ$7:$CZ$26,卡牌消耗!AX470)*INDEX(卡牌消耗!$B$8:$F$8,AV470)/$Q$4/500,0)*500,"")</f>
        <v>4000</v>
      </c>
      <c r="BB470" s="14" t="str">
        <f>IF(AU470&gt;0,INDEX(挂机升级突破!$CV$5:$CZ$5,卡牌消耗!AU470),"")</f>
        <v>玄铁</v>
      </c>
      <c r="BC470" s="14">
        <f>IF(AU470&gt;0,ROUND(INDEX(挂机升级突破!$CV$7:$CY$26,卡牌消耗!AX470,卡牌消耗!AU470)*INDEX($B$6:$F$6,AV470)/$Q$4/5,0)*5,"")</f>
        <v>175</v>
      </c>
      <c r="BD470" s="104"/>
      <c r="BE470" s="104"/>
      <c r="BF470" s="106"/>
    </row>
    <row r="471" spans="8:58" ht="16.5" x14ac:dyDescent="0.2">
      <c r="H471" s="15"/>
      <c r="I471" s="15"/>
      <c r="J471" s="15"/>
      <c r="K471" s="15"/>
      <c r="L471" s="15"/>
      <c r="M471" s="15"/>
      <c r="N471" s="15"/>
      <c r="O471" s="137"/>
      <c r="P471" s="141"/>
      <c r="Q471" s="141"/>
      <c r="R471" s="141"/>
      <c r="S471" s="141"/>
      <c r="T471" s="141"/>
      <c r="U471" s="141"/>
      <c r="V471" s="141"/>
      <c r="W471" s="141"/>
      <c r="X471" s="141"/>
      <c r="Y471" s="141"/>
      <c r="Z471" s="141"/>
      <c r="AA471" s="104">
        <v>467</v>
      </c>
      <c r="AB471" s="14">
        <f t="shared" si="158"/>
        <v>9</v>
      </c>
      <c r="AC471" s="14">
        <f>INDEX(挂机升级突破!$BU$6:$BU$57,卡牌消耗!AI471)</f>
        <v>11</v>
      </c>
      <c r="AD471" s="14">
        <f>INDEX(挂机升级突破!BV$6:BV$57,卡牌消耗!$AI471)</f>
        <v>5</v>
      </c>
      <c r="AE471" s="14">
        <f>INDEX(挂机升级突破!BW$6:BW$57,卡牌消耗!$AI471)</f>
        <v>10</v>
      </c>
      <c r="AF471" s="14" t="str">
        <f t="shared" si="159"/>
        <v>徐晃</v>
      </c>
      <c r="AG471" s="14">
        <f t="shared" si="160"/>
        <v>3</v>
      </c>
      <c r="AH471" s="14" t="str">
        <f t="shared" si="161"/>
        <v>徐晃魂火-51</v>
      </c>
      <c r="AI471" s="14">
        <f t="shared" si="162"/>
        <v>51</v>
      </c>
      <c r="AJ471" s="14" t="str">
        <f>INDEX(挂机升级突破!$BX$4:$CH$4,INDEX(挂机升级突破!$BU$6:$BU$57,卡牌消耗!AI471))</f>
        <v>金币</v>
      </c>
      <c r="AK471" s="14">
        <f>ROUND(INDEX(挂机升级突破!$BN$6:$BN$57,卡牌消耗!AI471)*INDEX(卡牌消耗!$B$8:$F$8,AG471)/$Q$4/50,0)*50</f>
        <v>278600</v>
      </c>
      <c r="AL471" s="14" t="str">
        <f>IF(AD471&gt;0,INDEX(挂机升级突破!$BX$4:$CH$4,AD471),"")</f>
        <v>红色基础材料</v>
      </c>
      <c r="AM471" s="14">
        <f>ROUND(INDEX(挂机升级突破!$BX$6:$CH$57,卡牌消耗!AI471,AD471)*INDEX(卡牌消耗!$B$5:$F$5,AG471)/$Q$4/5,0)*5</f>
        <v>70</v>
      </c>
      <c r="AN471" s="14" t="str">
        <f>IF(AE471&gt;0,INDEX(挂机升级突破!$BX$4:$CH$4,AE471),"")</f>
        <v>灵玉</v>
      </c>
      <c r="AO471" s="14">
        <f>IF(AE471&gt;0,ROUND(INDEX(挂机升级突破!$BX$6:$CH$57,卡牌消耗!AI471,AE471)*INDEX(卡牌消耗!$B$7:$F$7,AG471)/$Q$4,0),"")</f>
        <v>1</v>
      </c>
      <c r="AP471" s="106"/>
      <c r="AQ471" s="15"/>
      <c r="AR471" s="104">
        <v>467</v>
      </c>
      <c r="AS471" s="14">
        <f t="shared" si="163"/>
        <v>24</v>
      </c>
      <c r="AT471" s="14">
        <f>INDEX(挂机升级突破!$CM$7:$CM$26,AX471)</f>
        <v>5</v>
      </c>
      <c r="AU471" s="14">
        <f>INDEX(挂机升级突破!$CN$7:$CN$26,AX471)</f>
        <v>1</v>
      </c>
      <c r="AV471" s="14">
        <f t="shared" si="164"/>
        <v>3</v>
      </c>
      <c r="AW471" s="14" t="str">
        <f t="shared" si="165"/>
        <v>朱仙</v>
      </c>
      <c r="AX471" s="14">
        <f t="shared" si="166"/>
        <v>7</v>
      </c>
      <c r="AY471" s="14" t="str">
        <f t="shared" si="167"/>
        <v>朱仙7突</v>
      </c>
      <c r="AZ471" s="14" t="str">
        <f>IF(AT471&gt;0,INDEX(挂机升级突破!$CV$5:$CZ$5,卡牌消耗!AT471),"")</f>
        <v>金币</v>
      </c>
      <c r="BA471" s="14">
        <f>IF(AT471&gt;0,ROUND(INDEX(挂机升级突破!$CZ$7:$CZ$26,卡牌消耗!AX471)*INDEX(卡牌消耗!$B$8:$F$8,AV471)/$Q$4/500,0)*500,"")</f>
        <v>6500</v>
      </c>
      <c r="BB471" s="14" t="str">
        <f>IF(AU471&gt;0,INDEX(挂机升级突破!$CV$5:$CZ$5,卡牌消耗!AU471),"")</f>
        <v>玄铁</v>
      </c>
      <c r="BC471" s="14">
        <f>IF(AU471&gt;0,ROUND(INDEX(挂机升级突破!$CV$7:$CY$26,卡牌消耗!AX471,卡牌消耗!AU471)*INDEX($B$6:$F$6,AV471)/$Q$4/5,0)*5,"")</f>
        <v>290</v>
      </c>
      <c r="BD471" s="104"/>
      <c r="BE471" s="104"/>
      <c r="BF471" s="106"/>
    </row>
    <row r="472" spans="8:58" ht="16.5" x14ac:dyDescent="0.2">
      <c r="H472" s="15"/>
      <c r="I472" s="15"/>
      <c r="J472" s="15"/>
      <c r="K472" s="15"/>
      <c r="L472" s="15"/>
      <c r="M472" s="15"/>
      <c r="N472" s="15"/>
      <c r="O472" s="137"/>
      <c r="P472" s="141"/>
      <c r="Q472" s="141"/>
      <c r="R472" s="141"/>
      <c r="S472" s="141"/>
      <c r="T472" s="141"/>
      <c r="U472" s="141"/>
      <c r="V472" s="141"/>
      <c r="W472" s="141"/>
      <c r="X472" s="141"/>
      <c r="Y472" s="141"/>
      <c r="Z472" s="141"/>
      <c r="AA472" s="104">
        <v>468</v>
      </c>
      <c r="AB472" s="14">
        <f t="shared" si="158"/>
        <v>9</v>
      </c>
      <c r="AC472" s="14">
        <f>INDEX(挂机升级突破!$BU$6:$BU$57,卡牌消耗!AI472)</f>
        <v>11</v>
      </c>
      <c r="AD472" s="14">
        <f>INDEX(挂机升级突破!BV$6:BV$57,卡牌消耗!$AI472)</f>
        <v>5</v>
      </c>
      <c r="AE472" s="14">
        <f>INDEX(挂机升级突破!BW$6:BW$57,卡牌消耗!$AI472)</f>
        <v>10</v>
      </c>
      <c r="AF472" s="14" t="str">
        <f t="shared" si="159"/>
        <v>徐晃</v>
      </c>
      <c r="AG472" s="14">
        <f t="shared" si="160"/>
        <v>3</v>
      </c>
      <c r="AH472" s="14" t="str">
        <f t="shared" si="161"/>
        <v>徐晃魂火-52</v>
      </c>
      <c r="AI472" s="14">
        <f t="shared" si="162"/>
        <v>52</v>
      </c>
      <c r="AJ472" s="14" t="str">
        <f>INDEX(挂机升级突破!$BX$4:$CH$4,INDEX(挂机升级突破!$BU$6:$BU$57,卡牌消耗!AI472))</f>
        <v>金币</v>
      </c>
      <c r="AK472" s="14">
        <f>ROUND(INDEX(挂机升级突破!$BN$6:$BN$57,卡牌消耗!AI472)*INDEX(卡牌消耗!$B$8:$F$8,AG472)/$Q$4/50,0)*50</f>
        <v>278600</v>
      </c>
      <c r="AL472" s="14" t="str">
        <f>IF(AD472&gt;0,INDEX(挂机升级突破!$BX$4:$CH$4,AD472),"")</f>
        <v>红色基础材料</v>
      </c>
      <c r="AM472" s="14">
        <f>ROUND(INDEX(挂机升级突破!$BX$6:$CH$57,卡牌消耗!AI472,AD472)*INDEX(卡牌消耗!$B$5:$F$5,AG472)/$Q$4/5,0)*5</f>
        <v>70</v>
      </c>
      <c r="AN472" s="14" t="str">
        <f>IF(AE472&gt;0,INDEX(挂机升级突破!$BX$4:$CH$4,AE472),"")</f>
        <v>灵玉</v>
      </c>
      <c r="AO472" s="14">
        <f>IF(AE472&gt;0,ROUND(INDEX(挂机升级突破!$BX$6:$CH$57,卡牌消耗!AI472,AE472)*INDEX(卡牌消耗!$B$7:$F$7,AG472)/$Q$4,0),"")</f>
        <v>1</v>
      </c>
      <c r="AP472" s="106"/>
      <c r="AQ472" s="15"/>
      <c r="AR472" s="104">
        <v>468</v>
      </c>
      <c r="AS472" s="14">
        <f t="shared" si="163"/>
        <v>24</v>
      </c>
      <c r="AT472" s="14">
        <f>INDEX(挂机升级突破!$CM$7:$CM$26,AX472)</f>
        <v>5</v>
      </c>
      <c r="AU472" s="14">
        <f>INDEX(挂机升级突破!$CN$7:$CN$26,AX472)</f>
        <v>1</v>
      </c>
      <c r="AV472" s="14">
        <f t="shared" si="164"/>
        <v>3</v>
      </c>
      <c r="AW472" s="14" t="str">
        <f t="shared" si="165"/>
        <v>朱仙</v>
      </c>
      <c r="AX472" s="14">
        <f t="shared" si="166"/>
        <v>8</v>
      </c>
      <c r="AY472" s="14" t="str">
        <f t="shared" si="167"/>
        <v>朱仙8突</v>
      </c>
      <c r="AZ472" s="14" t="str">
        <f>IF(AT472&gt;0,INDEX(挂机升级突破!$CV$5:$CZ$5,卡牌消耗!AT472),"")</f>
        <v>金币</v>
      </c>
      <c r="BA472" s="14">
        <f>IF(AT472&gt;0,ROUND(INDEX(挂机升级突破!$CZ$7:$CZ$26,卡牌消耗!AX472)*INDEX(卡牌消耗!$B$8:$F$8,AV472)/$Q$4/500,0)*500,"")</f>
        <v>6500</v>
      </c>
      <c r="BB472" s="14" t="str">
        <f>IF(AU472&gt;0,INDEX(挂机升级突破!$CV$5:$CZ$5,卡牌消耗!AU472),"")</f>
        <v>玄铁</v>
      </c>
      <c r="BC472" s="14">
        <f>IF(AU472&gt;0,ROUND(INDEX(挂机升级突破!$CV$7:$CY$26,卡牌消耗!AX472,卡牌消耗!AU472)*INDEX($B$6:$F$6,AV472)/$Q$4/5,0)*5,"")</f>
        <v>520</v>
      </c>
      <c r="BD472" s="104"/>
      <c r="BE472" s="104"/>
      <c r="BF472" s="106"/>
    </row>
    <row r="473" spans="8:58" ht="16.5" x14ac:dyDescent="0.2">
      <c r="H473" s="15"/>
      <c r="I473" s="15"/>
      <c r="J473" s="15"/>
      <c r="K473" s="15"/>
      <c r="L473" s="15"/>
      <c r="M473" s="15"/>
      <c r="N473" s="15"/>
      <c r="O473" s="137"/>
      <c r="P473" s="141"/>
      <c r="Q473" s="141"/>
      <c r="R473" s="141"/>
      <c r="S473" s="141"/>
      <c r="T473" s="141"/>
      <c r="U473" s="141"/>
      <c r="V473" s="141"/>
      <c r="W473" s="141"/>
      <c r="X473" s="141"/>
      <c r="Y473" s="141"/>
      <c r="Z473" s="141"/>
      <c r="AA473" s="104">
        <v>469</v>
      </c>
      <c r="AB473" s="14">
        <f t="shared" si="158"/>
        <v>10</v>
      </c>
      <c r="AC473" s="14">
        <f>INDEX(挂机升级突破!$BU$6:$BU$57,卡牌消耗!AI473)</f>
        <v>11</v>
      </c>
      <c r="AD473" s="14">
        <f>INDEX(挂机升级突破!BV$6:BV$57,卡牌消耗!$AI473)</f>
        <v>1</v>
      </c>
      <c r="AE473" s="14">
        <f>INDEX(挂机升级突破!BW$6:BW$57,卡牌消耗!$AI473)</f>
        <v>0</v>
      </c>
      <c r="AF473" s="14" t="str">
        <f t="shared" si="159"/>
        <v>张郃</v>
      </c>
      <c r="AG473" s="14">
        <f t="shared" si="160"/>
        <v>4</v>
      </c>
      <c r="AH473" s="14" t="str">
        <f t="shared" si="161"/>
        <v>张郃魂火-1</v>
      </c>
      <c r="AI473" s="14">
        <f t="shared" si="162"/>
        <v>1</v>
      </c>
      <c r="AJ473" s="14" t="str">
        <f>INDEX(挂机升级突破!$BX$4:$CH$4,INDEX(挂机升级突破!$BU$6:$BU$57,卡牌消耗!AI473))</f>
        <v>金币</v>
      </c>
      <c r="AK473" s="14">
        <f>ROUND(INDEX(挂机升级突破!$BN$6:$BN$57,卡牌消耗!AI473)*INDEX(卡牌消耗!$B$8:$F$8,AG473)/$Q$4/50,0)*50</f>
        <v>900</v>
      </c>
      <c r="AL473" s="14" t="str">
        <f>IF(AD473&gt;0,INDEX(挂机升级突破!$BX$4:$CH$4,AD473),"")</f>
        <v>绿色基础材料</v>
      </c>
      <c r="AM473" s="14">
        <f>ROUND(INDEX(挂机升级突破!$BX$6:$CH$57,卡牌消耗!AI473,AD473)*INDEX(卡牌消耗!$B$5:$F$5,AG473)/$Q$4/5,0)*5</f>
        <v>1000</v>
      </c>
      <c r="AN473" s="14" t="str">
        <f>IF(AE473&gt;0,INDEX(挂机升级突破!$BX$4:$CH$4,AE473),"")</f>
        <v/>
      </c>
      <c r="AO473" s="14" t="str">
        <f>IF(AE473&gt;0,ROUND(INDEX(挂机升级突破!$BX$6:$CH$57,卡牌消耗!AI473,AE473)*INDEX(卡牌消耗!$B$7:$F$7,AG473)/$Q$4,0),"")</f>
        <v/>
      </c>
      <c r="AP473" s="106"/>
      <c r="AQ473" s="15"/>
      <c r="AR473" s="104">
        <v>469</v>
      </c>
      <c r="AS473" s="14">
        <f t="shared" si="163"/>
        <v>24</v>
      </c>
      <c r="AT473" s="14">
        <f>INDEX(挂机升级突破!$CM$7:$CM$26,AX473)</f>
        <v>5</v>
      </c>
      <c r="AU473" s="14">
        <f>INDEX(挂机升级突破!$CN$7:$CN$26,AX473)</f>
        <v>2</v>
      </c>
      <c r="AV473" s="14">
        <f t="shared" si="164"/>
        <v>3</v>
      </c>
      <c r="AW473" s="14" t="str">
        <f t="shared" si="165"/>
        <v>朱仙</v>
      </c>
      <c r="AX473" s="14">
        <f t="shared" si="166"/>
        <v>9</v>
      </c>
      <c r="AY473" s="14" t="str">
        <f t="shared" si="167"/>
        <v>朱仙9突</v>
      </c>
      <c r="AZ473" s="14" t="str">
        <f>IF(AT473&gt;0,INDEX(挂机升级突破!$CV$5:$CZ$5,卡牌消耗!AT473),"")</f>
        <v>金币</v>
      </c>
      <c r="BA473" s="14">
        <f>IF(AT473&gt;0,ROUND(INDEX(挂机升级突破!$CZ$7:$CZ$26,卡牌消耗!AX473)*INDEX(卡牌消耗!$B$8:$F$8,AV473)/$Q$4/500,0)*500,"")</f>
        <v>8500</v>
      </c>
      <c r="BB473" s="14" t="str">
        <f>IF(AU473&gt;0,INDEX(挂机升级突破!$CV$5:$CZ$5,卡牌消耗!AU473),"")</f>
        <v>乌金</v>
      </c>
      <c r="BC473" s="14">
        <f>IF(AU473&gt;0,ROUND(INDEX(挂机升级突破!$CV$7:$CY$26,卡牌消耗!AX473,卡牌消耗!AU473)*INDEX($B$6:$F$6,AV473)/$Q$4/5,0)*5,"")</f>
        <v>65</v>
      </c>
      <c r="BD473" s="104"/>
      <c r="BE473" s="104"/>
      <c r="BF473" s="106"/>
    </row>
    <row r="474" spans="8:58" ht="16.5" x14ac:dyDescent="0.2">
      <c r="H474" s="15"/>
      <c r="I474" s="15"/>
      <c r="J474" s="15"/>
      <c r="K474" s="15"/>
      <c r="L474" s="15"/>
      <c r="M474" s="15"/>
      <c r="N474" s="15"/>
      <c r="O474" s="137"/>
      <c r="P474" s="141"/>
      <c r="Q474" s="141"/>
      <c r="R474" s="141"/>
      <c r="S474" s="141"/>
      <c r="T474" s="141"/>
      <c r="U474" s="141"/>
      <c r="V474" s="141"/>
      <c r="W474" s="141"/>
      <c r="X474" s="141"/>
      <c r="Y474" s="141"/>
      <c r="Z474" s="141"/>
      <c r="AA474" s="104">
        <v>470</v>
      </c>
      <c r="AB474" s="14">
        <f t="shared" si="158"/>
        <v>10</v>
      </c>
      <c r="AC474" s="14">
        <f>INDEX(挂机升级突破!$BU$6:$BU$57,卡牌消耗!AI474)</f>
        <v>11</v>
      </c>
      <c r="AD474" s="14">
        <f>INDEX(挂机升级突破!BV$6:BV$57,卡牌消耗!$AI474)</f>
        <v>1</v>
      </c>
      <c r="AE474" s="14">
        <f>INDEX(挂机升级突破!BW$6:BW$57,卡牌消耗!$AI474)</f>
        <v>0</v>
      </c>
      <c r="AF474" s="14" t="str">
        <f t="shared" si="159"/>
        <v>张郃</v>
      </c>
      <c r="AG474" s="14">
        <f t="shared" si="160"/>
        <v>4</v>
      </c>
      <c r="AH474" s="14" t="str">
        <f t="shared" si="161"/>
        <v>张郃魂火-2</v>
      </c>
      <c r="AI474" s="14">
        <f t="shared" si="162"/>
        <v>2</v>
      </c>
      <c r="AJ474" s="14" t="str">
        <f>INDEX(挂机升级突破!$BX$4:$CH$4,INDEX(挂机升级突破!$BU$6:$BU$57,卡牌消耗!AI474))</f>
        <v>金币</v>
      </c>
      <c r="AK474" s="14">
        <f>ROUND(INDEX(挂机升级突破!$BN$6:$BN$57,卡牌消耗!AI474)*INDEX(卡牌消耗!$B$8:$F$8,AG474)/$Q$4/50,0)*50</f>
        <v>1200</v>
      </c>
      <c r="AL474" s="14" t="str">
        <f>IF(AD474&gt;0,INDEX(挂机升级突破!$BX$4:$CH$4,AD474),"")</f>
        <v>绿色基础材料</v>
      </c>
      <c r="AM474" s="14">
        <f>ROUND(INDEX(挂机升级突破!$BX$6:$CH$57,卡牌消耗!AI474,AD474)*INDEX(卡牌消耗!$B$5:$F$5,AG474)/$Q$4/5,0)*5</f>
        <v>3005</v>
      </c>
      <c r="AN474" s="14" t="str">
        <f>IF(AE474&gt;0,INDEX(挂机升级突破!$BX$4:$CH$4,AE474),"")</f>
        <v/>
      </c>
      <c r="AO474" s="14" t="str">
        <f>IF(AE474&gt;0,ROUND(INDEX(挂机升级突破!$BX$6:$CH$57,卡牌消耗!AI474,AE474)*INDEX(卡牌消耗!$B$7:$F$7,AG474)/$Q$4,0),"")</f>
        <v/>
      </c>
      <c r="AP474" s="106"/>
      <c r="AQ474" s="15"/>
      <c r="AR474" s="104">
        <v>470</v>
      </c>
      <c r="AS474" s="14">
        <f t="shared" si="163"/>
        <v>24</v>
      </c>
      <c r="AT474" s="14">
        <f>INDEX(挂机升级突破!$CM$7:$CM$26,AX474)</f>
        <v>5</v>
      </c>
      <c r="AU474" s="14">
        <f>INDEX(挂机升级突破!$CN$7:$CN$26,AX474)</f>
        <v>2</v>
      </c>
      <c r="AV474" s="14">
        <f t="shared" si="164"/>
        <v>3</v>
      </c>
      <c r="AW474" s="14" t="str">
        <f t="shared" si="165"/>
        <v>朱仙</v>
      </c>
      <c r="AX474" s="14">
        <f t="shared" si="166"/>
        <v>10</v>
      </c>
      <c r="AY474" s="14" t="str">
        <f t="shared" si="167"/>
        <v>朱仙10突</v>
      </c>
      <c r="AZ474" s="14" t="str">
        <f>IF(AT474&gt;0,INDEX(挂机升级突破!$CV$5:$CZ$5,卡牌消耗!AT474),"")</f>
        <v>金币</v>
      </c>
      <c r="BA474" s="14">
        <f>IF(AT474&gt;0,ROUND(INDEX(挂机升级突破!$CZ$7:$CZ$26,卡牌消耗!AX474)*INDEX(卡牌消耗!$B$8:$F$8,AV474)/$Q$4/500,0)*500,"")</f>
        <v>14500</v>
      </c>
      <c r="BB474" s="14" t="str">
        <f>IF(AU474&gt;0,INDEX(挂机升级突破!$CV$5:$CZ$5,卡牌消耗!AU474),"")</f>
        <v>乌金</v>
      </c>
      <c r="BC474" s="14">
        <f>IF(AU474&gt;0,ROUND(INDEX(挂机升级突破!$CV$7:$CY$26,卡牌消耗!AX474,卡牌消耗!AU474)*INDEX($B$6:$F$6,AV474)/$Q$4/5,0)*5,"")</f>
        <v>90</v>
      </c>
      <c r="BD474" s="104"/>
      <c r="BE474" s="104"/>
      <c r="BF474" s="106"/>
    </row>
    <row r="475" spans="8:58" ht="16.5" x14ac:dyDescent="0.2">
      <c r="H475" s="15"/>
      <c r="I475" s="15"/>
      <c r="J475" s="15"/>
      <c r="K475" s="15"/>
      <c r="L475" s="15"/>
      <c r="M475" s="15"/>
      <c r="N475" s="15"/>
      <c r="O475" s="137"/>
      <c r="P475" s="141"/>
      <c r="Q475" s="141"/>
      <c r="R475" s="141"/>
      <c r="S475" s="141"/>
      <c r="T475" s="141"/>
      <c r="U475" s="141"/>
      <c r="V475" s="141"/>
      <c r="W475" s="141"/>
      <c r="X475" s="141"/>
      <c r="Y475" s="141"/>
      <c r="Z475" s="141"/>
      <c r="AA475" s="104">
        <v>471</v>
      </c>
      <c r="AB475" s="14">
        <f t="shared" si="158"/>
        <v>10</v>
      </c>
      <c r="AC475" s="14">
        <f>INDEX(挂机升级突破!$BU$6:$BU$57,卡牌消耗!AI475)</f>
        <v>11</v>
      </c>
      <c r="AD475" s="14">
        <f>INDEX(挂机升级突破!BV$6:BV$57,卡牌消耗!$AI475)</f>
        <v>1</v>
      </c>
      <c r="AE475" s="14">
        <f>INDEX(挂机升级突破!BW$6:BW$57,卡牌消耗!$AI475)</f>
        <v>0</v>
      </c>
      <c r="AF475" s="14" t="str">
        <f t="shared" si="159"/>
        <v>张郃</v>
      </c>
      <c r="AG475" s="14">
        <f t="shared" si="160"/>
        <v>4</v>
      </c>
      <c r="AH475" s="14" t="str">
        <f t="shared" si="161"/>
        <v>张郃魂火-3</v>
      </c>
      <c r="AI475" s="14">
        <f t="shared" si="162"/>
        <v>3</v>
      </c>
      <c r="AJ475" s="14" t="str">
        <f>INDEX(挂机升级突破!$BX$4:$CH$4,INDEX(挂机升级突破!$BU$6:$BU$57,卡牌消耗!AI475))</f>
        <v>金币</v>
      </c>
      <c r="AK475" s="14">
        <f>ROUND(INDEX(挂机升级突破!$BN$6:$BN$57,卡牌消耗!AI475)*INDEX(卡牌消耗!$B$8:$F$8,AG475)/$Q$4/50,0)*50</f>
        <v>1200</v>
      </c>
      <c r="AL475" s="14" t="str">
        <f>IF(AD475&gt;0,INDEX(挂机升级突破!$BX$4:$CH$4,AD475),"")</f>
        <v>绿色基础材料</v>
      </c>
      <c r="AM475" s="14">
        <f>ROUND(INDEX(挂机升级突破!$BX$6:$CH$57,卡牌消耗!AI475,AD475)*INDEX(卡牌消耗!$B$5:$F$5,AG475)/$Q$4/5,0)*5</f>
        <v>4005</v>
      </c>
      <c r="AN475" s="14" t="str">
        <f>IF(AE475&gt;0,INDEX(挂机升级突破!$BX$4:$CH$4,AE475),"")</f>
        <v/>
      </c>
      <c r="AO475" s="14" t="str">
        <f>IF(AE475&gt;0,ROUND(INDEX(挂机升级突破!$BX$6:$CH$57,卡牌消耗!AI475,AE475)*INDEX(卡牌消耗!$B$7:$F$7,AG475)/$Q$4,0),"")</f>
        <v/>
      </c>
      <c r="AP475" s="106"/>
      <c r="AQ475" s="15"/>
      <c r="AR475" s="104">
        <v>471</v>
      </c>
      <c r="AS475" s="14">
        <f t="shared" si="163"/>
        <v>24</v>
      </c>
      <c r="AT475" s="14">
        <f>INDEX(挂机升级突破!$CM$7:$CM$26,AX475)</f>
        <v>5</v>
      </c>
      <c r="AU475" s="14">
        <f>INDEX(挂机升级突破!$CN$7:$CN$26,AX475)</f>
        <v>2</v>
      </c>
      <c r="AV475" s="14">
        <f t="shared" si="164"/>
        <v>3</v>
      </c>
      <c r="AW475" s="14" t="str">
        <f t="shared" si="165"/>
        <v>朱仙</v>
      </c>
      <c r="AX475" s="14">
        <f t="shared" si="166"/>
        <v>11</v>
      </c>
      <c r="AY475" s="14" t="str">
        <f t="shared" si="167"/>
        <v>朱仙11突</v>
      </c>
      <c r="AZ475" s="14" t="str">
        <f>IF(AT475&gt;0,INDEX(挂机升级突破!$CV$5:$CZ$5,卡牌消耗!AT475),"")</f>
        <v>金币</v>
      </c>
      <c r="BA475" s="14">
        <f>IF(AT475&gt;0,ROUND(INDEX(挂机升级突破!$CZ$7:$CZ$26,卡牌消耗!AX475)*INDEX(卡牌消耗!$B$8:$F$8,AV475)/$Q$4/500,0)*500,"")</f>
        <v>14500</v>
      </c>
      <c r="BB475" s="14" t="str">
        <f>IF(AU475&gt;0,INDEX(挂机升级突破!$CV$5:$CZ$5,卡牌消耗!AU475),"")</f>
        <v>乌金</v>
      </c>
      <c r="BC475" s="14">
        <f>IF(AU475&gt;0,ROUND(INDEX(挂机升级突破!$CV$7:$CY$26,卡牌消耗!AX475,卡牌消耗!AU475)*INDEX($B$6:$F$6,AV475)/$Q$4/5,0)*5,"")</f>
        <v>120</v>
      </c>
      <c r="BD475" s="104"/>
      <c r="BE475" s="104"/>
      <c r="BF475" s="106"/>
    </row>
    <row r="476" spans="8:58" ht="16.5" x14ac:dyDescent="0.2">
      <c r="H476" s="15"/>
      <c r="I476" s="15"/>
      <c r="J476" s="15"/>
      <c r="K476" s="15"/>
      <c r="L476" s="15"/>
      <c r="M476" s="15"/>
      <c r="N476" s="15"/>
      <c r="O476" s="137"/>
      <c r="P476" s="141"/>
      <c r="Q476" s="141"/>
      <c r="R476" s="141"/>
      <c r="S476" s="141"/>
      <c r="T476" s="141"/>
      <c r="U476" s="141"/>
      <c r="V476" s="141"/>
      <c r="W476" s="141"/>
      <c r="X476" s="141"/>
      <c r="Y476" s="141"/>
      <c r="Z476" s="141"/>
      <c r="AA476" s="104">
        <v>472</v>
      </c>
      <c r="AB476" s="14">
        <f t="shared" si="158"/>
        <v>10</v>
      </c>
      <c r="AC476" s="14">
        <f>INDEX(挂机升级突破!$BU$6:$BU$57,卡牌消耗!AI476)</f>
        <v>11</v>
      </c>
      <c r="AD476" s="14">
        <f>INDEX(挂机升级突破!BV$6:BV$57,卡牌消耗!$AI476)</f>
        <v>1</v>
      </c>
      <c r="AE476" s="14">
        <f>INDEX(挂机升级突破!BW$6:BW$57,卡牌消耗!$AI476)</f>
        <v>0</v>
      </c>
      <c r="AF476" s="14" t="str">
        <f t="shared" si="159"/>
        <v>张郃</v>
      </c>
      <c r="AG476" s="14">
        <f t="shared" si="160"/>
        <v>4</v>
      </c>
      <c r="AH476" s="14" t="str">
        <f t="shared" si="161"/>
        <v>张郃魂火-4</v>
      </c>
      <c r="AI476" s="14">
        <f t="shared" si="162"/>
        <v>4</v>
      </c>
      <c r="AJ476" s="14" t="str">
        <f>INDEX(挂机升级突破!$BX$4:$CH$4,INDEX(挂机升级突破!$BU$6:$BU$57,卡牌消耗!AI476))</f>
        <v>金币</v>
      </c>
      <c r="AK476" s="14">
        <f>ROUND(INDEX(挂机升级突破!$BN$6:$BN$57,卡牌消耗!AI476)*INDEX(卡牌消耗!$B$8:$F$8,AG476)/$Q$4/50,0)*50</f>
        <v>1200</v>
      </c>
      <c r="AL476" s="14" t="str">
        <f>IF(AD476&gt;0,INDEX(挂机升级突破!$BX$4:$CH$4,AD476),"")</f>
        <v>绿色基础材料</v>
      </c>
      <c r="AM476" s="14">
        <f>ROUND(INDEX(挂机升级突破!$BX$6:$CH$57,卡牌消耗!AI476,AD476)*INDEX(卡牌消耗!$B$5:$F$5,AG476)/$Q$4/5,0)*5</f>
        <v>6005</v>
      </c>
      <c r="AN476" s="14" t="str">
        <f>IF(AE476&gt;0,INDEX(挂机升级突破!$BX$4:$CH$4,AE476),"")</f>
        <v/>
      </c>
      <c r="AO476" s="14" t="str">
        <f>IF(AE476&gt;0,ROUND(INDEX(挂机升级突破!$BX$6:$CH$57,卡牌消耗!AI476,AE476)*INDEX(卡牌消耗!$B$7:$F$7,AG476)/$Q$4,0),"")</f>
        <v/>
      </c>
      <c r="AP476" s="106"/>
      <c r="AQ476" s="15"/>
      <c r="AR476" s="104">
        <v>472</v>
      </c>
      <c r="AS476" s="14">
        <f t="shared" si="163"/>
        <v>24</v>
      </c>
      <c r="AT476" s="14">
        <f>INDEX(挂机升级突破!$CM$7:$CM$26,AX476)</f>
        <v>5</v>
      </c>
      <c r="AU476" s="14">
        <f>INDEX(挂机升级突破!$CN$7:$CN$26,AX476)</f>
        <v>2</v>
      </c>
      <c r="AV476" s="14">
        <f t="shared" si="164"/>
        <v>3</v>
      </c>
      <c r="AW476" s="14" t="str">
        <f t="shared" si="165"/>
        <v>朱仙</v>
      </c>
      <c r="AX476" s="14">
        <f t="shared" si="166"/>
        <v>12</v>
      </c>
      <c r="AY476" s="14" t="str">
        <f t="shared" si="167"/>
        <v>朱仙12突</v>
      </c>
      <c r="AZ476" s="14" t="str">
        <f>IF(AT476&gt;0,INDEX(挂机升级突破!$CV$5:$CZ$5,卡牌消耗!AT476),"")</f>
        <v>金币</v>
      </c>
      <c r="BA476" s="14">
        <f>IF(AT476&gt;0,ROUND(INDEX(挂机升级突破!$CZ$7:$CZ$26,卡牌消耗!AX476)*INDEX(卡牌消耗!$B$8:$F$8,AV476)/$Q$4/500,0)*500,"")</f>
        <v>19500</v>
      </c>
      <c r="BB476" s="14" t="str">
        <f>IF(AU476&gt;0,INDEX(挂机升级突破!$CV$5:$CZ$5,卡牌消耗!AU476),"")</f>
        <v>乌金</v>
      </c>
      <c r="BC476" s="14">
        <f>IF(AU476&gt;0,ROUND(INDEX(挂机升级突破!$CV$7:$CY$26,卡牌消耗!AX476,卡牌消耗!AU476)*INDEX($B$6:$F$6,AV476)/$Q$4/5,0)*5,"")</f>
        <v>155</v>
      </c>
      <c r="BD476" s="104"/>
      <c r="BE476" s="104"/>
      <c r="BF476" s="106"/>
    </row>
    <row r="477" spans="8:58" ht="16.5" x14ac:dyDescent="0.2">
      <c r="H477" s="15"/>
      <c r="I477" s="15"/>
      <c r="J477" s="15"/>
      <c r="K477" s="15"/>
      <c r="L477" s="15"/>
      <c r="M477" s="15"/>
      <c r="N477" s="15"/>
      <c r="O477" s="137"/>
      <c r="P477" s="141"/>
      <c r="Q477" s="141"/>
      <c r="R477" s="141"/>
      <c r="S477" s="141"/>
      <c r="T477" s="141"/>
      <c r="U477" s="141"/>
      <c r="V477" s="141"/>
      <c r="W477" s="141"/>
      <c r="X477" s="141"/>
      <c r="Y477" s="141"/>
      <c r="Z477" s="141"/>
      <c r="AA477" s="104">
        <v>473</v>
      </c>
      <c r="AB477" s="14">
        <f t="shared" si="158"/>
        <v>10</v>
      </c>
      <c r="AC477" s="14">
        <f>INDEX(挂机升级突破!$BU$6:$BU$57,卡牌消耗!AI477)</f>
        <v>11</v>
      </c>
      <c r="AD477" s="14">
        <f>INDEX(挂机升级突破!BV$6:BV$57,卡牌消耗!$AI477)</f>
        <v>1</v>
      </c>
      <c r="AE477" s="14">
        <f>INDEX(挂机升级突破!BW$6:BW$57,卡牌消耗!$AI477)</f>
        <v>0</v>
      </c>
      <c r="AF477" s="14" t="str">
        <f t="shared" si="159"/>
        <v>张郃</v>
      </c>
      <c r="AG477" s="14">
        <f t="shared" si="160"/>
        <v>4</v>
      </c>
      <c r="AH477" s="14" t="str">
        <f t="shared" si="161"/>
        <v>张郃魂火-5</v>
      </c>
      <c r="AI477" s="14">
        <f t="shared" si="162"/>
        <v>5</v>
      </c>
      <c r="AJ477" s="14" t="str">
        <f>INDEX(挂机升级突破!$BX$4:$CH$4,INDEX(挂机升级突破!$BU$6:$BU$57,卡牌消耗!AI477))</f>
        <v>金币</v>
      </c>
      <c r="AK477" s="14">
        <f>ROUND(INDEX(挂机升级突破!$BN$6:$BN$57,卡牌消耗!AI477)*INDEX(卡牌消耗!$B$8:$F$8,AG477)/$Q$4/50,0)*50</f>
        <v>1200</v>
      </c>
      <c r="AL477" s="14" t="str">
        <f>IF(AD477&gt;0,INDEX(挂机升级突破!$BX$4:$CH$4,AD477),"")</f>
        <v>绿色基础材料</v>
      </c>
      <c r="AM477" s="14">
        <f>ROUND(INDEX(挂机升级突破!$BX$6:$CH$57,卡牌消耗!AI477,AD477)*INDEX(卡牌消耗!$B$5:$F$5,AG477)/$Q$4/5,0)*5</f>
        <v>6005</v>
      </c>
      <c r="AN477" s="14" t="str">
        <f>IF(AE477&gt;0,INDEX(挂机升级突破!$BX$4:$CH$4,AE477),"")</f>
        <v/>
      </c>
      <c r="AO477" s="14" t="str">
        <f>IF(AE477&gt;0,ROUND(INDEX(挂机升级突破!$BX$6:$CH$57,卡牌消耗!AI477,AE477)*INDEX(卡牌消耗!$B$7:$F$7,AG477)/$Q$4,0),"")</f>
        <v/>
      </c>
      <c r="AP477" s="106"/>
      <c r="AQ477" s="15"/>
      <c r="AR477" s="104">
        <v>473</v>
      </c>
      <c r="AS477" s="14">
        <f t="shared" si="163"/>
        <v>24</v>
      </c>
      <c r="AT477" s="14">
        <f>INDEX(挂机升级突破!$CM$7:$CM$26,AX477)</f>
        <v>5</v>
      </c>
      <c r="AU477" s="14">
        <f>INDEX(挂机升级突破!$CN$7:$CN$26,AX477)</f>
        <v>3</v>
      </c>
      <c r="AV477" s="14">
        <f t="shared" si="164"/>
        <v>3</v>
      </c>
      <c r="AW477" s="14" t="str">
        <f t="shared" si="165"/>
        <v>朱仙</v>
      </c>
      <c r="AX477" s="14">
        <f t="shared" si="166"/>
        <v>13</v>
      </c>
      <c r="AY477" s="14" t="str">
        <f t="shared" si="167"/>
        <v>朱仙13突</v>
      </c>
      <c r="AZ477" s="14" t="str">
        <f>IF(AT477&gt;0,INDEX(挂机升级突破!$CV$5:$CZ$5,卡牌消耗!AT477),"")</f>
        <v>金币</v>
      </c>
      <c r="BA477" s="14">
        <f>IF(AT477&gt;0,ROUND(INDEX(挂机升级突破!$CZ$7:$CZ$26,卡牌消耗!AX477)*INDEX(卡牌消耗!$B$8:$F$8,AV477)/$Q$4/500,0)*500,"")</f>
        <v>26000</v>
      </c>
      <c r="BB477" s="14" t="str">
        <f>IF(AU477&gt;0,INDEX(挂机升级突破!$CV$5:$CZ$5,卡牌消耗!AU477),"")</f>
        <v>银母</v>
      </c>
      <c r="BC477" s="14">
        <f>IF(AU477&gt;0,ROUND(INDEX(挂机升级突破!$CV$7:$CY$26,卡牌消耗!AX477,卡牌消耗!AU477)*INDEX($B$6:$F$6,AV477)/$Q$4/5,0)*5,"")</f>
        <v>30</v>
      </c>
      <c r="BD477" s="104"/>
      <c r="BE477" s="104"/>
      <c r="BF477" s="106"/>
    </row>
    <row r="478" spans="8:58" ht="16.5" x14ac:dyDescent="0.2">
      <c r="H478" s="15"/>
      <c r="I478" s="15"/>
      <c r="J478" s="15"/>
      <c r="K478" s="15"/>
      <c r="L478" s="15"/>
      <c r="M478" s="15"/>
      <c r="N478" s="15"/>
      <c r="O478" s="137"/>
      <c r="P478" s="141"/>
      <c r="Q478" s="141"/>
      <c r="R478" s="141"/>
      <c r="S478" s="141"/>
      <c r="T478" s="141"/>
      <c r="U478" s="141"/>
      <c r="V478" s="141"/>
      <c r="W478" s="141"/>
      <c r="X478" s="141"/>
      <c r="Y478" s="141"/>
      <c r="Z478" s="141"/>
      <c r="AA478" s="104">
        <v>474</v>
      </c>
      <c r="AB478" s="14">
        <f t="shared" si="158"/>
        <v>10</v>
      </c>
      <c r="AC478" s="14">
        <f>INDEX(挂机升级突破!$BU$6:$BU$57,卡牌消耗!AI478)</f>
        <v>11</v>
      </c>
      <c r="AD478" s="14">
        <f>INDEX(挂机升级突破!BV$6:BV$57,卡牌消耗!$AI478)</f>
        <v>2</v>
      </c>
      <c r="AE478" s="14">
        <f>INDEX(挂机升级突破!BW$6:BW$57,卡牌消耗!$AI478)</f>
        <v>0</v>
      </c>
      <c r="AF478" s="14" t="str">
        <f t="shared" si="159"/>
        <v>张郃</v>
      </c>
      <c r="AG478" s="14">
        <f t="shared" si="160"/>
        <v>4</v>
      </c>
      <c r="AH478" s="14" t="str">
        <f t="shared" si="161"/>
        <v>张郃魂火-6</v>
      </c>
      <c r="AI478" s="14">
        <f t="shared" si="162"/>
        <v>6</v>
      </c>
      <c r="AJ478" s="14" t="str">
        <f>INDEX(挂机升级突破!$BX$4:$CH$4,INDEX(挂机升级突破!$BU$6:$BU$57,卡牌消耗!AI478))</f>
        <v>金币</v>
      </c>
      <c r="AK478" s="14">
        <f>ROUND(INDEX(挂机升级突破!$BN$6:$BN$57,卡牌消耗!AI478)*INDEX(卡牌消耗!$B$8:$F$8,AG478)/$Q$4/50,0)*50</f>
        <v>1500</v>
      </c>
      <c r="AL478" s="14" t="str">
        <f>IF(AD478&gt;0,INDEX(挂机升级突破!$BX$4:$CH$4,AD478),"")</f>
        <v>蓝色基础材料</v>
      </c>
      <c r="AM478" s="14">
        <f>ROUND(INDEX(挂机升级突破!$BX$6:$CH$57,卡牌消耗!AI478,AD478)*INDEX(卡牌消耗!$B$5:$F$5,AG478)/$Q$4/5,0)*5</f>
        <v>575</v>
      </c>
      <c r="AN478" s="14" t="str">
        <f>IF(AE478&gt;0,INDEX(挂机升级突破!$BX$4:$CH$4,AE478),"")</f>
        <v/>
      </c>
      <c r="AO478" s="14" t="str">
        <f>IF(AE478&gt;0,ROUND(INDEX(挂机升级突破!$BX$6:$CH$57,卡牌消耗!AI478,AE478)*INDEX(卡牌消耗!$B$7:$F$7,AG478)/$Q$4,0),"")</f>
        <v/>
      </c>
      <c r="AP478" s="106"/>
      <c r="AQ478" s="15"/>
      <c r="AR478" s="104">
        <v>474</v>
      </c>
      <c r="AS478" s="14">
        <f t="shared" si="163"/>
        <v>24</v>
      </c>
      <c r="AT478" s="14">
        <f>INDEX(挂机升级突破!$CM$7:$CM$26,AX478)</f>
        <v>5</v>
      </c>
      <c r="AU478" s="14">
        <f>INDEX(挂机升级突破!$CN$7:$CN$26,AX478)</f>
        <v>3</v>
      </c>
      <c r="AV478" s="14">
        <f t="shared" si="164"/>
        <v>3</v>
      </c>
      <c r="AW478" s="14" t="str">
        <f t="shared" si="165"/>
        <v>朱仙</v>
      </c>
      <c r="AX478" s="14">
        <f t="shared" si="166"/>
        <v>14</v>
      </c>
      <c r="AY478" s="14" t="str">
        <f t="shared" si="167"/>
        <v>朱仙14突</v>
      </c>
      <c r="AZ478" s="14" t="str">
        <f>IF(AT478&gt;0,INDEX(挂机升级突破!$CV$5:$CZ$5,卡牌消耗!AT478),"")</f>
        <v>金币</v>
      </c>
      <c r="BA478" s="14">
        <f>IF(AT478&gt;0,ROUND(INDEX(挂机升级突破!$CZ$7:$CZ$26,卡牌消耗!AX478)*INDEX(卡牌消耗!$B$8:$F$8,AV478)/$Q$4/500,0)*500,"")</f>
        <v>26000</v>
      </c>
      <c r="BB478" s="14" t="str">
        <f>IF(AU478&gt;0,INDEX(挂机升级突破!$CV$5:$CZ$5,卡牌消耗!AU478),"")</f>
        <v>银母</v>
      </c>
      <c r="BC478" s="14">
        <f>IF(AU478&gt;0,ROUND(INDEX(挂机升级突破!$CV$7:$CY$26,卡牌消耗!AX478,卡牌消耗!AU478)*INDEX($B$6:$F$6,AV478)/$Q$4/5,0)*5,"")</f>
        <v>40</v>
      </c>
      <c r="BD478" s="104"/>
      <c r="BE478" s="104"/>
      <c r="BF478" s="106"/>
    </row>
    <row r="479" spans="8:58" ht="16.5" x14ac:dyDescent="0.2">
      <c r="H479" s="15"/>
      <c r="I479" s="15"/>
      <c r="J479" s="15"/>
      <c r="K479" s="15"/>
      <c r="L479" s="15"/>
      <c r="M479" s="15"/>
      <c r="N479" s="15"/>
      <c r="O479" s="137"/>
      <c r="P479" s="141"/>
      <c r="Q479" s="141"/>
      <c r="R479" s="141"/>
      <c r="S479" s="141"/>
      <c r="T479" s="141"/>
      <c r="U479" s="141"/>
      <c r="V479" s="141"/>
      <c r="W479" s="141"/>
      <c r="X479" s="141"/>
      <c r="Y479" s="141"/>
      <c r="Z479" s="141"/>
      <c r="AA479" s="104">
        <v>475</v>
      </c>
      <c r="AB479" s="14">
        <f t="shared" si="158"/>
        <v>10</v>
      </c>
      <c r="AC479" s="14">
        <f>INDEX(挂机升级突破!$BU$6:$BU$57,卡牌消耗!AI479)</f>
        <v>11</v>
      </c>
      <c r="AD479" s="14">
        <f>INDEX(挂机升级突破!BV$6:BV$57,卡牌消耗!$AI479)</f>
        <v>2</v>
      </c>
      <c r="AE479" s="14">
        <f>INDEX(挂机升级突破!BW$6:BW$57,卡牌消耗!$AI479)</f>
        <v>0</v>
      </c>
      <c r="AF479" s="14" t="str">
        <f t="shared" si="159"/>
        <v>张郃</v>
      </c>
      <c r="AG479" s="14">
        <f t="shared" si="160"/>
        <v>4</v>
      </c>
      <c r="AH479" s="14" t="str">
        <f t="shared" si="161"/>
        <v>张郃魂火-7</v>
      </c>
      <c r="AI479" s="14">
        <f t="shared" si="162"/>
        <v>7</v>
      </c>
      <c r="AJ479" s="14" t="str">
        <f>INDEX(挂机升级突破!$BX$4:$CH$4,INDEX(挂机升级突破!$BU$6:$BU$57,卡牌消耗!AI479))</f>
        <v>金币</v>
      </c>
      <c r="AK479" s="14">
        <f>ROUND(INDEX(挂机升级突破!$BN$6:$BN$57,卡牌消耗!AI479)*INDEX(卡牌消耗!$B$8:$F$8,AG479)/$Q$4/50,0)*50</f>
        <v>1500</v>
      </c>
      <c r="AL479" s="14" t="str">
        <f>IF(AD479&gt;0,INDEX(挂机升级突破!$BX$4:$CH$4,AD479),"")</f>
        <v>蓝色基础材料</v>
      </c>
      <c r="AM479" s="14">
        <f>ROUND(INDEX(挂机升级突破!$BX$6:$CH$57,卡牌消耗!AI479,AD479)*INDEX(卡牌消耗!$B$5:$F$5,AG479)/$Q$4/5,0)*5</f>
        <v>575</v>
      </c>
      <c r="AN479" s="14" t="str">
        <f>IF(AE479&gt;0,INDEX(挂机升级突破!$BX$4:$CH$4,AE479),"")</f>
        <v/>
      </c>
      <c r="AO479" s="14" t="str">
        <f>IF(AE479&gt;0,ROUND(INDEX(挂机升级突破!$BX$6:$CH$57,卡牌消耗!AI479,AE479)*INDEX(卡牌消耗!$B$7:$F$7,AG479)/$Q$4,0),"")</f>
        <v/>
      </c>
      <c r="AP479" s="106"/>
      <c r="AQ479" s="15"/>
      <c r="AR479" s="104">
        <v>475</v>
      </c>
      <c r="AS479" s="14">
        <f t="shared" si="163"/>
        <v>24</v>
      </c>
      <c r="AT479" s="14">
        <f>INDEX(挂机升级突破!$CM$7:$CM$26,AX479)</f>
        <v>5</v>
      </c>
      <c r="AU479" s="14">
        <f>INDEX(挂机升级突破!$CN$7:$CN$26,AX479)</f>
        <v>3</v>
      </c>
      <c r="AV479" s="14">
        <f t="shared" si="164"/>
        <v>3</v>
      </c>
      <c r="AW479" s="14" t="str">
        <f t="shared" si="165"/>
        <v>朱仙</v>
      </c>
      <c r="AX479" s="14">
        <f t="shared" si="166"/>
        <v>15</v>
      </c>
      <c r="AY479" s="14" t="str">
        <f t="shared" si="167"/>
        <v>朱仙15突</v>
      </c>
      <c r="AZ479" s="14" t="str">
        <f>IF(AT479&gt;0,INDEX(挂机升级突破!$CV$5:$CZ$5,卡牌消耗!AT479),"")</f>
        <v>金币</v>
      </c>
      <c r="BA479" s="14">
        <f>IF(AT479&gt;0,ROUND(INDEX(挂机升级突破!$CZ$7:$CZ$26,卡牌消耗!AX479)*INDEX(卡牌消耗!$B$8:$F$8,AV479)/$Q$4/500,0)*500,"")</f>
        <v>34500</v>
      </c>
      <c r="BB479" s="14" t="str">
        <f>IF(AU479&gt;0,INDEX(挂机升级突破!$CV$5:$CZ$5,卡牌消耗!AU479),"")</f>
        <v>银母</v>
      </c>
      <c r="BC479" s="14">
        <f>IF(AU479&gt;0,ROUND(INDEX(挂机升级突破!$CV$7:$CY$26,卡牌消耗!AX479,卡牌消耗!AU479)*INDEX($B$6:$F$6,AV479)/$Q$4/5,0)*5,"")</f>
        <v>55</v>
      </c>
      <c r="BD479" s="104"/>
      <c r="BE479" s="104"/>
      <c r="BF479" s="106"/>
    </row>
    <row r="480" spans="8:58" ht="16.5" x14ac:dyDescent="0.2">
      <c r="H480" s="15"/>
      <c r="I480" s="15"/>
      <c r="J480" s="15"/>
      <c r="K480" s="15"/>
      <c r="L480" s="15"/>
      <c r="M480" s="15"/>
      <c r="N480" s="15"/>
      <c r="O480" s="137"/>
      <c r="P480" s="141"/>
      <c r="Q480" s="141"/>
      <c r="R480" s="141"/>
      <c r="S480" s="141"/>
      <c r="T480" s="141"/>
      <c r="U480" s="141"/>
      <c r="V480" s="141"/>
      <c r="W480" s="141"/>
      <c r="X480" s="141"/>
      <c r="Y480" s="141"/>
      <c r="Z480" s="141"/>
      <c r="AA480" s="104">
        <v>476</v>
      </c>
      <c r="AB480" s="14">
        <f t="shared" si="158"/>
        <v>10</v>
      </c>
      <c r="AC480" s="14">
        <f>INDEX(挂机升级突破!$BU$6:$BU$57,卡牌消耗!AI480)</f>
        <v>11</v>
      </c>
      <c r="AD480" s="14">
        <f>INDEX(挂机升级突破!BV$6:BV$57,卡牌消耗!$AI480)</f>
        <v>2</v>
      </c>
      <c r="AE480" s="14">
        <f>INDEX(挂机升级突破!BW$6:BW$57,卡牌消耗!$AI480)</f>
        <v>0</v>
      </c>
      <c r="AF480" s="14" t="str">
        <f t="shared" si="159"/>
        <v>张郃</v>
      </c>
      <c r="AG480" s="14">
        <f t="shared" si="160"/>
        <v>4</v>
      </c>
      <c r="AH480" s="14" t="str">
        <f t="shared" si="161"/>
        <v>张郃魂火-8</v>
      </c>
      <c r="AI480" s="14">
        <f t="shared" si="162"/>
        <v>8</v>
      </c>
      <c r="AJ480" s="14" t="str">
        <f>INDEX(挂机升级突破!$BX$4:$CH$4,INDEX(挂机升级突破!$BU$6:$BU$57,卡牌消耗!AI480))</f>
        <v>金币</v>
      </c>
      <c r="AK480" s="14">
        <f>ROUND(INDEX(挂机升级突破!$BN$6:$BN$57,卡牌消耗!AI480)*INDEX(卡牌消耗!$B$8:$F$8,AG480)/$Q$4/50,0)*50</f>
        <v>2250</v>
      </c>
      <c r="AL480" s="14" t="str">
        <f>IF(AD480&gt;0,INDEX(挂机升级突破!$BX$4:$CH$4,AD480),"")</f>
        <v>蓝色基础材料</v>
      </c>
      <c r="AM480" s="14">
        <f>ROUND(INDEX(挂机升级突破!$BX$6:$CH$57,卡牌消耗!AI480,AD480)*INDEX(卡牌消耗!$B$5:$F$5,AG480)/$Q$4/5,0)*5</f>
        <v>1155</v>
      </c>
      <c r="AN480" s="14" t="str">
        <f>IF(AE480&gt;0,INDEX(挂机升级突破!$BX$4:$CH$4,AE480),"")</f>
        <v/>
      </c>
      <c r="AO480" s="14" t="str">
        <f>IF(AE480&gt;0,ROUND(INDEX(挂机升级突破!$BX$6:$CH$57,卡牌消耗!AI480,AE480)*INDEX(卡牌消耗!$B$7:$F$7,AG480)/$Q$4,0),"")</f>
        <v/>
      </c>
      <c r="AP480" s="106"/>
      <c r="AQ480" s="15"/>
      <c r="AR480" s="104">
        <v>476</v>
      </c>
      <c r="AS480" s="14">
        <f t="shared" si="163"/>
        <v>24</v>
      </c>
      <c r="AT480" s="14">
        <f>INDEX(挂机升级突破!$CM$7:$CM$26,AX480)</f>
        <v>5</v>
      </c>
      <c r="AU480" s="14">
        <f>INDEX(挂机升级突破!$CN$7:$CN$26,AX480)</f>
        <v>3</v>
      </c>
      <c r="AV480" s="14">
        <f t="shared" si="164"/>
        <v>3</v>
      </c>
      <c r="AW480" s="14" t="str">
        <f t="shared" si="165"/>
        <v>朱仙</v>
      </c>
      <c r="AX480" s="14">
        <f t="shared" si="166"/>
        <v>16</v>
      </c>
      <c r="AY480" s="14" t="str">
        <f t="shared" si="167"/>
        <v>朱仙16突</v>
      </c>
      <c r="AZ480" s="14" t="str">
        <f>IF(AT480&gt;0,INDEX(挂机升级突破!$CV$5:$CZ$5,卡牌消耗!AT480),"")</f>
        <v>金币</v>
      </c>
      <c r="BA480" s="14">
        <f>IF(AT480&gt;0,ROUND(INDEX(挂机升级突破!$CZ$7:$CZ$26,卡牌消耗!AX480)*INDEX(卡牌消耗!$B$8:$F$8,AV480)/$Q$4/500,0)*500,"")</f>
        <v>62500</v>
      </c>
      <c r="BB480" s="14" t="str">
        <f>IF(AU480&gt;0,INDEX(挂机升级突破!$CV$5:$CZ$5,卡牌消耗!AU480),"")</f>
        <v>银母</v>
      </c>
      <c r="BC480" s="14">
        <f>IF(AU480&gt;0,ROUND(INDEX(挂机升级突破!$CV$7:$CY$26,卡牌消耗!AX480,卡牌消耗!AU480)*INDEX($B$6:$F$6,AV480)/$Q$4/5,0)*5,"")</f>
        <v>70</v>
      </c>
      <c r="BD480" s="104"/>
      <c r="BE480" s="104"/>
      <c r="BF480" s="106"/>
    </row>
    <row r="481" spans="8:58" ht="16.5" x14ac:dyDescent="0.2">
      <c r="H481" s="15"/>
      <c r="I481" s="15"/>
      <c r="J481" s="15"/>
      <c r="K481" s="15"/>
      <c r="L481" s="15"/>
      <c r="M481" s="15"/>
      <c r="N481" s="15"/>
      <c r="O481" s="137"/>
      <c r="P481" s="141"/>
      <c r="Q481" s="141"/>
      <c r="R481" s="141"/>
      <c r="S481" s="141"/>
      <c r="T481" s="141"/>
      <c r="U481" s="141"/>
      <c r="V481" s="141"/>
      <c r="W481" s="141"/>
      <c r="X481" s="141"/>
      <c r="Y481" s="141"/>
      <c r="Z481" s="141"/>
      <c r="AA481" s="104">
        <v>477</v>
      </c>
      <c r="AB481" s="14">
        <f t="shared" si="158"/>
        <v>10</v>
      </c>
      <c r="AC481" s="14">
        <f>INDEX(挂机升级突破!$BU$6:$BU$57,卡牌消耗!AI481)</f>
        <v>11</v>
      </c>
      <c r="AD481" s="14">
        <f>INDEX(挂机升级突破!BV$6:BV$57,卡牌消耗!$AI481)</f>
        <v>2</v>
      </c>
      <c r="AE481" s="14">
        <f>INDEX(挂机升级突破!BW$6:BW$57,卡牌消耗!$AI481)</f>
        <v>0</v>
      </c>
      <c r="AF481" s="14" t="str">
        <f t="shared" si="159"/>
        <v>张郃</v>
      </c>
      <c r="AG481" s="14">
        <f t="shared" si="160"/>
        <v>4</v>
      </c>
      <c r="AH481" s="14" t="str">
        <f t="shared" si="161"/>
        <v>张郃魂火-9</v>
      </c>
      <c r="AI481" s="14">
        <f t="shared" si="162"/>
        <v>9</v>
      </c>
      <c r="AJ481" s="14" t="str">
        <f>INDEX(挂机升级突破!$BX$4:$CH$4,INDEX(挂机升级突破!$BU$6:$BU$57,卡牌消耗!AI481))</f>
        <v>金币</v>
      </c>
      <c r="AK481" s="14">
        <f>ROUND(INDEX(挂机升级突破!$BN$6:$BN$57,卡牌消耗!AI481)*INDEX(卡牌消耗!$B$8:$F$8,AG481)/$Q$4/50,0)*50</f>
        <v>2250</v>
      </c>
      <c r="AL481" s="14" t="str">
        <f>IF(AD481&gt;0,INDEX(挂机升级突破!$BX$4:$CH$4,AD481),"")</f>
        <v>蓝色基础材料</v>
      </c>
      <c r="AM481" s="14">
        <f>ROUND(INDEX(挂机升级突破!$BX$6:$CH$57,卡牌消耗!AI481,AD481)*INDEX(卡牌消耗!$B$5:$F$5,AG481)/$Q$4/5,0)*5</f>
        <v>1155</v>
      </c>
      <c r="AN481" s="14" t="str">
        <f>IF(AE481&gt;0,INDEX(挂机升级突破!$BX$4:$CH$4,AE481),"")</f>
        <v/>
      </c>
      <c r="AO481" s="14" t="str">
        <f>IF(AE481&gt;0,ROUND(INDEX(挂机升级突破!$BX$6:$CH$57,卡牌消耗!AI481,AE481)*INDEX(卡牌消耗!$B$7:$F$7,AG481)/$Q$4,0),"")</f>
        <v/>
      </c>
      <c r="AP481" s="106"/>
      <c r="AQ481" s="15"/>
      <c r="AR481" s="104">
        <v>477</v>
      </c>
      <c r="AS481" s="14">
        <f t="shared" si="163"/>
        <v>24</v>
      </c>
      <c r="AT481" s="14">
        <f>INDEX(挂机升级突破!$CM$7:$CM$26,AX481)</f>
        <v>5</v>
      </c>
      <c r="AU481" s="14">
        <f>INDEX(挂机升级突破!$CN$7:$CN$26,AX481)</f>
        <v>4</v>
      </c>
      <c r="AV481" s="14">
        <f t="shared" si="164"/>
        <v>3</v>
      </c>
      <c r="AW481" s="14" t="str">
        <f t="shared" si="165"/>
        <v>朱仙</v>
      </c>
      <c r="AX481" s="14">
        <f t="shared" si="166"/>
        <v>17</v>
      </c>
      <c r="AY481" s="14" t="str">
        <f t="shared" si="167"/>
        <v>朱仙17突</v>
      </c>
      <c r="AZ481" s="14" t="str">
        <f>IF(AT481&gt;0,INDEX(挂机升级突破!$CV$5:$CZ$5,卡牌消耗!AT481),"")</f>
        <v>金币</v>
      </c>
      <c r="BA481" s="14">
        <f>IF(AT481&gt;0,ROUND(INDEX(挂机升级突破!$CZ$7:$CZ$26,卡牌消耗!AX481)*INDEX(卡牌消耗!$B$8:$F$8,AV481)/$Q$4/500,0)*500,"")</f>
        <v>62500</v>
      </c>
      <c r="BB481" s="14" t="str">
        <f>IF(AU481&gt;0,INDEX(挂机升级突破!$CV$5:$CZ$5,卡牌消耗!AU481),"")</f>
        <v>铀金</v>
      </c>
      <c r="BC481" s="14">
        <f>IF(AU481&gt;0,ROUND(INDEX(挂机升级突破!$CV$7:$CY$26,卡牌消耗!AX481,卡牌消耗!AU481)*INDEX($B$6:$F$6,AV481)/$Q$4/5,0)*5,"")</f>
        <v>25</v>
      </c>
      <c r="BD481" s="104"/>
      <c r="BE481" s="104"/>
      <c r="BF481" s="106"/>
    </row>
    <row r="482" spans="8:58" ht="16.5" x14ac:dyDescent="0.2">
      <c r="H482" s="15"/>
      <c r="I482" s="15"/>
      <c r="J482" s="15"/>
      <c r="K482" s="15"/>
      <c r="L482" s="15"/>
      <c r="M482" s="15"/>
      <c r="N482" s="15"/>
      <c r="O482" s="137"/>
      <c r="P482" s="141"/>
      <c r="Q482" s="141"/>
      <c r="R482" s="141"/>
      <c r="S482" s="141"/>
      <c r="T482" s="141"/>
      <c r="U482" s="141"/>
      <c r="V482" s="141"/>
      <c r="W482" s="141"/>
      <c r="X482" s="141"/>
      <c r="Y482" s="141"/>
      <c r="Z482" s="141"/>
      <c r="AA482" s="104">
        <v>478</v>
      </c>
      <c r="AB482" s="14">
        <f t="shared" si="158"/>
        <v>10</v>
      </c>
      <c r="AC482" s="14">
        <f>INDEX(挂机升级突破!$BU$6:$BU$57,卡牌消耗!AI482)</f>
        <v>11</v>
      </c>
      <c r="AD482" s="14">
        <f>INDEX(挂机升级突破!BV$6:BV$57,卡牌消耗!$AI482)</f>
        <v>2</v>
      </c>
      <c r="AE482" s="14">
        <f>INDEX(挂机升级突破!BW$6:BW$57,卡牌消耗!$AI482)</f>
        <v>0</v>
      </c>
      <c r="AF482" s="14" t="str">
        <f t="shared" si="159"/>
        <v>张郃</v>
      </c>
      <c r="AG482" s="14">
        <f t="shared" si="160"/>
        <v>4</v>
      </c>
      <c r="AH482" s="14" t="str">
        <f t="shared" si="161"/>
        <v>张郃魂火-10</v>
      </c>
      <c r="AI482" s="14">
        <f t="shared" si="162"/>
        <v>10</v>
      </c>
      <c r="AJ482" s="14" t="str">
        <f>INDEX(挂机升级突破!$BX$4:$CH$4,INDEX(挂机升级突破!$BU$6:$BU$57,卡牌消耗!AI482))</f>
        <v>金币</v>
      </c>
      <c r="AK482" s="14">
        <f>ROUND(INDEX(挂机升级突破!$BN$6:$BN$57,卡牌消耗!AI482)*INDEX(卡牌消耗!$B$8:$F$8,AG482)/$Q$4/50,0)*50</f>
        <v>3700</v>
      </c>
      <c r="AL482" s="14" t="str">
        <f>IF(AD482&gt;0,INDEX(挂机升级突破!$BX$4:$CH$4,AD482),"")</f>
        <v>蓝色基础材料</v>
      </c>
      <c r="AM482" s="14">
        <f>ROUND(INDEX(挂机升级突破!$BX$6:$CH$57,卡牌消耗!AI482,AD482)*INDEX(卡牌消耗!$B$5:$F$5,AG482)/$Q$4/5,0)*5</f>
        <v>1730</v>
      </c>
      <c r="AN482" s="14" t="str">
        <f>IF(AE482&gt;0,INDEX(挂机升级突破!$BX$4:$CH$4,AE482),"")</f>
        <v/>
      </c>
      <c r="AO482" s="14" t="str">
        <f>IF(AE482&gt;0,ROUND(INDEX(挂机升级突破!$BX$6:$CH$57,卡牌消耗!AI482,AE482)*INDEX(卡牌消耗!$B$7:$F$7,AG482)/$Q$4,0),"")</f>
        <v/>
      </c>
      <c r="AP482" s="106"/>
      <c r="AQ482" s="15"/>
      <c r="AR482" s="104">
        <v>478</v>
      </c>
      <c r="AS482" s="14">
        <f t="shared" si="163"/>
        <v>24</v>
      </c>
      <c r="AT482" s="14">
        <f>INDEX(挂机升级突破!$CM$7:$CM$26,AX482)</f>
        <v>5</v>
      </c>
      <c r="AU482" s="14">
        <f>INDEX(挂机升级突破!$CN$7:$CN$26,AX482)</f>
        <v>4</v>
      </c>
      <c r="AV482" s="14">
        <f t="shared" si="164"/>
        <v>3</v>
      </c>
      <c r="AW482" s="14" t="str">
        <f t="shared" si="165"/>
        <v>朱仙</v>
      </c>
      <c r="AX482" s="14">
        <f t="shared" si="166"/>
        <v>18</v>
      </c>
      <c r="AY482" s="14" t="str">
        <f t="shared" si="167"/>
        <v>朱仙18突</v>
      </c>
      <c r="AZ482" s="14" t="str">
        <f>IF(AT482&gt;0,INDEX(挂机升级突破!$CV$5:$CZ$5,卡牌消耗!AT482),"")</f>
        <v>金币</v>
      </c>
      <c r="BA482" s="14">
        <f>IF(AT482&gt;0,ROUND(INDEX(挂机升级突破!$CZ$7:$CZ$26,卡牌消耗!AX482)*INDEX(卡牌消耗!$B$8:$F$8,AV482)/$Q$4/500,0)*500,"")</f>
        <v>83500</v>
      </c>
      <c r="BB482" s="14" t="str">
        <f>IF(AU482&gt;0,INDEX(挂机升级突破!$CV$5:$CZ$5,卡牌消耗!AU482),"")</f>
        <v>铀金</v>
      </c>
      <c r="BC482" s="14">
        <f>IF(AU482&gt;0,ROUND(INDEX(挂机升级突破!$CV$7:$CY$26,卡牌消耗!AX482,卡牌消耗!AU482)*INDEX($B$6:$F$6,AV482)/$Q$4/5,0)*5,"")</f>
        <v>35</v>
      </c>
      <c r="BD482" s="104"/>
      <c r="BE482" s="104"/>
      <c r="BF482" s="106"/>
    </row>
    <row r="483" spans="8:58" ht="16.5" x14ac:dyDescent="0.2">
      <c r="H483" s="15"/>
      <c r="I483" s="15"/>
      <c r="J483" s="15"/>
      <c r="K483" s="15"/>
      <c r="L483" s="15"/>
      <c r="M483" s="15"/>
      <c r="N483" s="15"/>
      <c r="O483" s="137"/>
      <c r="P483" s="141"/>
      <c r="Q483" s="141"/>
      <c r="R483" s="141"/>
      <c r="S483" s="141"/>
      <c r="T483" s="141"/>
      <c r="U483" s="141"/>
      <c r="V483" s="141"/>
      <c r="W483" s="141"/>
      <c r="X483" s="141"/>
      <c r="Y483" s="141"/>
      <c r="Z483" s="141"/>
      <c r="AA483" s="104">
        <v>479</v>
      </c>
      <c r="AB483" s="14">
        <f t="shared" si="158"/>
        <v>10</v>
      </c>
      <c r="AC483" s="14">
        <f>INDEX(挂机升级突破!$BU$6:$BU$57,卡牌消耗!AI483)</f>
        <v>11</v>
      </c>
      <c r="AD483" s="14">
        <f>INDEX(挂机升级突破!BV$6:BV$57,卡牌消耗!$AI483)</f>
        <v>2</v>
      </c>
      <c r="AE483" s="14">
        <f>INDEX(挂机升级突破!BW$6:BW$57,卡牌消耗!$AI483)</f>
        <v>0</v>
      </c>
      <c r="AF483" s="14" t="str">
        <f t="shared" si="159"/>
        <v>张郃</v>
      </c>
      <c r="AG483" s="14">
        <f t="shared" si="160"/>
        <v>4</v>
      </c>
      <c r="AH483" s="14" t="str">
        <f t="shared" si="161"/>
        <v>张郃魂火-11</v>
      </c>
      <c r="AI483" s="14">
        <f t="shared" si="162"/>
        <v>11</v>
      </c>
      <c r="AJ483" s="14" t="str">
        <f>INDEX(挂机升级突破!$BX$4:$CH$4,INDEX(挂机升级突破!$BU$6:$BU$57,卡牌消耗!AI483))</f>
        <v>金币</v>
      </c>
      <c r="AK483" s="14">
        <f>ROUND(INDEX(挂机升级突破!$BN$6:$BN$57,卡牌消耗!AI483)*INDEX(卡牌消耗!$B$8:$F$8,AG483)/$Q$4/50,0)*50</f>
        <v>3700</v>
      </c>
      <c r="AL483" s="14" t="str">
        <f>IF(AD483&gt;0,INDEX(挂机升级突破!$BX$4:$CH$4,AD483),"")</f>
        <v>蓝色基础材料</v>
      </c>
      <c r="AM483" s="14">
        <f>ROUND(INDEX(挂机升级突破!$BX$6:$CH$57,卡牌消耗!AI483,AD483)*INDEX(卡牌消耗!$B$5:$F$5,AG483)/$Q$4/5,0)*5</f>
        <v>1730</v>
      </c>
      <c r="AN483" s="14" t="str">
        <f>IF(AE483&gt;0,INDEX(挂机升级突破!$BX$4:$CH$4,AE483),"")</f>
        <v/>
      </c>
      <c r="AO483" s="14" t="str">
        <f>IF(AE483&gt;0,ROUND(INDEX(挂机升级突破!$BX$6:$CH$57,卡牌消耗!AI483,AE483)*INDEX(卡牌消耗!$B$7:$F$7,AG483)/$Q$4,0),"")</f>
        <v/>
      </c>
      <c r="AP483" s="106"/>
      <c r="AQ483" s="15"/>
      <c r="AR483" s="104">
        <v>479</v>
      </c>
      <c r="AS483" s="14">
        <f t="shared" si="163"/>
        <v>24</v>
      </c>
      <c r="AT483" s="14">
        <f>INDEX(挂机升级突破!$CM$7:$CM$26,AX483)</f>
        <v>5</v>
      </c>
      <c r="AU483" s="14">
        <f>INDEX(挂机升级突破!$CN$7:$CN$26,AX483)</f>
        <v>4</v>
      </c>
      <c r="AV483" s="14">
        <f t="shared" si="164"/>
        <v>3</v>
      </c>
      <c r="AW483" s="14" t="str">
        <f t="shared" si="165"/>
        <v>朱仙</v>
      </c>
      <c r="AX483" s="14">
        <f t="shared" si="166"/>
        <v>19</v>
      </c>
      <c r="AY483" s="14" t="str">
        <f t="shared" si="167"/>
        <v>朱仙19突</v>
      </c>
      <c r="AZ483" s="14" t="str">
        <f>IF(AT483&gt;0,INDEX(挂机升级突破!$CV$5:$CZ$5,卡牌消耗!AT483),"")</f>
        <v>金币</v>
      </c>
      <c r="BA483" s="14">
        <f>IF(AT483&gt;0,ROUND(INDEX(挂机升级突破!$CZ$7:$CZ$26,卡牌消耗!AX483)*INDEX(卡牌消耗!$B$8:$F$8,AV483)/$Q$4/500,0)*500,"")</f>
        <v>506500</v>
      </c>
      <c r="BB483" s="14" t="str">
        <f>IF(AU483&gt;0,INDEX(挂机升级突破!$CV$5:$CZ$5,卡牌消耗!AU483),"")</f>
        <v>铀金</v>
      </c>
      <c r="BC483" s="14">
        <f>IF(AU483&gt;0,ROUND(INDEX(挂机升级突破!$CV$7:$CY$26,卡牌消耗!AX483,卡牌消耗!AU483)*INDEX($B$6:$F$6,AV483)/$Q$4/5,0)*5,"")</f>
        <v>45</v>
      </c>
      <c r="BD483" s="104"/>
      <c r="BE483" s="104"/>
      <c r="BF483" s="106"/>
    </row>
    <row r="484" spans="8:58" ht="16.5" x14ac:dyDescent="0.2">
      <c r="H484" s="15"/>
      <c r="I484" s="15"/>
      <c r="J484" s="15"/>
      <c r="K484" s="15"/>
      <c r="L484" s="15"/>
      <c r="M484" s="15"/>
      <c r="N484" s="15"/>
      <c r="O484" s="137"/>
      <c r="P484" s="141"/>
      <c r="Q484" s="141"/>
      <c r="R484" s="141"/>
      <c r="S484" s="141"/>
      <c r="T484" s="141"/>
      <c r="U484" s="141"/>
      <c r="V484" s="141"/>
      <c r="W484" s="141"/>
      <c r="X484" s="141"/>
      <c r="Y484" s="141"/>
      <c r="Z484" s="141"/>
      <c r="AA484" s="104">
        <v>480</v>
      </c>
      <c r="AB484" s="14">
        <f t="shared" si="158"/>
        <v>10</v>
      </c>
      <c r="AC484" s="14">
        <f>INDEX(挂机升级突破!$BU$6:$BU$57,卡牌消耗!AI484)</f>
        <v>11</v>
      </c>
      <c r="AD484" s="14">
        <f>INDEX(挂机升级突破!BV$6:BV$57,卡牌消耗!$AI484)</f>
        <v>2</v>
      </c>
      <c r="AE484" s="14">
        <f>INDEX(挂机升级突破!BW$6:BW$57,卡牌消耗!$AI484)</f>
        <v>0</v>
      </c>
      <c r="AF484" s="14" t="str">
        <f t="shared" si="159"/>
        <v>张郃</v>
      </c>
      <c r="AG484" s="14">
        <f t="shared" si="160"/>
        <v>4</v>
      </c>
      <c r="AH484" s="14" t="str">
        <f t="shared" si="161"/>
        <v>张郃魂火-12</v>
      </c>
      <c r="AI484" s="14">
        <f t="shared" si="162"/>
        <v>12</v>
      </c>
      <c r="AJ484" s="14" t="str">
        <f>INDEX(挂机升级突破!$BX$4:$CH$4,INDEX(挂机升级突破!$BU$6:$BU$57,卡牌消耗!AI484))</f>
        <v>金币</v>
      </c>
      <c r="AK484" s="14">
        <f>ROUND(INDEX(挂机升级突破!$BN$6:$BN$57,卡牌消耗!AI484)*INDEX(卡牌消耗!$B$8:$F$8,AG484)/$Q$4/50,0)*50</f>
        <v>3200</v>
      </c>
      <c r="AL484" s="14" t="str">
        <f>IF(AD484&gt;0,INDEX(挂机升级突破!$BX$4:$CH$4,AD484),"")</f>
        <v>蓝色基础材料</v>
      </c>
      <c r="AM484" s="14">
        <f>ROUND(INDEX(挂机升级突破!$BX$6:$CH$57,卡牌消耗!AI484,AD484)*INDEX(卡牌消耗!$B$5:$F$5,AG484)/$Q$4/5,0)*5</f>
        <v>2305</v>
      </c>
      <c r="AN484" s="14" t="str">
        <f>IF(AE484&gt;0,INDEX(挂机升级突破!$BX$4:$CH$4,AE484),"")</f>
        <v/>
      </c>
      <c r="AO484" s="14" t="str">
        <f>IF(AE484&gt;0,ROUND(INDEX(挂机升级突破!$BX$6:$CH$57,卡牌消耗!AI484,AE484)*INDEX(卡牌消耗!$B$7:$F$7,AG484)/$Q$4,0),"")</f>
        <v/>
      </c>
      <c r="AP484" s="106"/>
      <c r="AQ484" s="15"/>
      <c r="AR484" s="104">
        <v>480</v>
      </c>
      <c r="AS484" s="14">
        <f t="shared" si="163"/>
        <v>24</v>
      </c>
      <c r="AT484" s="14">
        <f>INDEX(挂机升级突破!$CM$7:$CM$26,AX484)</f>
        <v>5</v>
      </c>
      <c r="AU484" s="14">
        <f>INDEX(挂机升级突破!$CN$7:$CN$26,AX484)</f>
        <v>4</v>
      </c>
      <c r="AV484" s="14">
        <f t="shared" si="164"/>
        <v>3</v>
      </c>
      <c r="AW484" s="14" t="str">
        <f t="shared" si="165"/>
        <v>朱仙</v>
      </c>
      <c r="AX484" s="14">
        <f t="shared" si="166"/>
        <v>20</v>
      </c>
      <c r="AY484" s="14" t="str">
        <f t="shared" si="167"/>
        <v>朱仙20突</v>
      </c>
      <c r="AZ484" s="14" t="str">
        <f>IF(AT484&gt;0,INDEX(挂机升级突破!$CV$5:$CZ$5,卡牌消耗!AT484),"")</f>
        <v>金币</v>
      </c>
      <c r="BA484" s="14">
        <f>IF(AT484&gt;0,ROUND(INDEX(挂机升级突破!$CZ$7:$CZ$26,卡牌消耗!AX484)*INDEX(卡牌消耗!$B$8:$F$8,AV484)/$Q$4/500,0)*500,"")</f>
        <v>760000</v>
      </c>
      <c r="BB484" s="14" t="str">
        <f>IF(AU484&gt;0,INDEX(挂机升级突破!$CV$5:$CZ$5,卡牌消耗!AU484),"")</f>
        <v>铀金</v>
      </c>
      <c r="BC484" s="14">
        <f>IF(AU484&gt;0,ROUND(INDEX(挂机升级突破!$CV$7:$CY$26,卡牌消耗!AX484,卡牌消耗!AU484)*INDEX($B$6:$F$6,AV484)/$Q$4/5,0)*5,"")</f>
        <v>60</v>
      </c>
      <c r="BD484" s="104"/>
      <c r="BE484" s="104"/>
      <c r="BF484" s="106"/>
    </row>
    <row r="485" spans="8:58" ht="16.5" x14ac:dyDescent="0.2">
      <c r="H485" s="15"/>
      <c r="I485" s="15"/>
      <c r="J485" s="15"/>
      <c r="K485" s="15"/>
      <c r="L485" s="15"/>
      <c r="M485" s="15"/>
      <c r="N485" s="15"/>
      <c r="O485" s="137"/>
      <c r="P485" s="141"/>
      <c r="Q485" s="141"/>
      <c r="R485" s="141"/>
      <c r="S485" s="141"/>
      <c r="T485" s="141"/>
      <c r="U485" s="141"/>
      <c r="V485" s="141"/>
      <c r="W485" s="141"/>
      <c r="X485" s="141"/>
      <c r="Y485" s="141"/>
      <c r="Z485" s="141"/>
      <c r="AA485" s="104">
        <v>481</v>
      </c>
      <c r="AB485" s="14">
        <f t="shared" si="158"/>
        <v>10</v>
      </c>
      <c r="AC485" s="14">
        <f>INDEX(挂机升级突破!$BU$6:$BU$57,卡牌消耗!AI485)</f>
        <v>11</v>
      </c>
      <c r="AD485" s="14">
        <f>INDEX(挂机升级突破!BV$6:BV$57,卡牌消耗!$AI485)</f>
        <v>2</v>
      </c>
      <c r="AE485" s="14">
        <f>INDEX(挂机升级突破!BW$6:BW$57,卡牌消耗!$AI485)</f>
        <v>0</v>
      </c>
      <c r="AF485" s="14" t="str">
        <f t="shared" si="159"/>
        <v>张郃</v>
      </c>
      <c r="AG485" s="14">
        <f t="shared" si="160"/>
        <v>4</v>
      </c>
      <c r="AH485" s="14" t="str">
        <f t="shared" si="161"/>
        <v>张郃魂火-13</v>
      </c>
      <c r="AI485" s="14">
        <f t="shared" si="162"/>
        <v>13</v>
      </c>
      <c r="AJ485" s="14" t="str">
        <f>INDEX(挂机升级突破!$BX$4:$CH$4,INDEX(挂机升级突破!$BU$6:$BU$57,卡牌消耗!AI485))</f>
        <v>金币</v>
      </c>
      <c r="AK485" s="14">
        <f>ROUND(INDEX(挂机升级突破!$BN$6:$BN$57,卡牌消耗!AI485)*INDEX(卡牌消耗!$B$8:$F$8,AG485)/$Q$4/50,0)*50</f>
        <v>3200</v>
      </c>
      <c r="AL485" s="14" t="str">
        <f>IF(AD485&gt;0,INDEX(挂机升级突破!$BX$4:$CH$4,AD485),"")</f>
        <v>蓝色基础材料</v>
      </c>
      <c r="AM485" s="14">
        <f>ROUND(INDEX(挂机升级突破!$BX$6:$CH$57,卡牌消耗!AI485,AD485)*INDEX(卡牌消耗!$B$5:$F$5,AG485)/$Q$4/5,0)*5</f>
        <v>2305</v>
      </c>
      <c r="AN485" s="14" t="str">
        <f>IF(AE485&gt;0,INDEX(挂机升级突破!$BX$4:$CH$4,AE485),"")</f>
        <v/>
      </c>
      <c r="AO485" s="14" t="str">
        <f>IF(AE485&gt;0,ROUND(INDEX(挂机升级突破!$BX$6:$CH$57,卡牌消耗!AI485,AE485)*INDEX(卡牌消耗!$B$7:$F$7,AG485)/$Q$4,0),"")</f>
        <v/>
      </c>
      <c r="AP485" s="106"/>
      <c r="AQ485" s="15"/>
      <c r="AR485" s="104">
        <v>481</v>
      </c>
      <c r="AS485" s="14">
        <f t="shared" si="163"/>
        <v>25</v>
      </c>
      <c r="AT485" s="14">
        <f>INDEX(挂机升级突破!$CM$7:$CM$26,AX485)</f>
        <v>0</v>
      </c>
      <c r="AU485" s="14">
        <f>INDEX(挂机升级突破!$CN$7:$CN$26,AX485)</f>
        <v>0</v>
      </c>
      <c r="AV485" s="14">
        <f t="shared" si="164"/>
        <v>3</v>
      </c>
      <c r="AW485" s="14" t="str">
        <f t="shared" si="165"/>
        <v>雷震子</v>
      </c>
      <c r="AX485" s="14">
        <f t="shared" si="166"/>
        <v>1</v>
      </c>
      <c r="AY485" s="14" t="str">
        <f t="shared" si="167"/>
        <v>雷震子1突</v>
      </c>
      <c r="AZ485" s="14" t="str">
        <f>IF(AT485&gt;0,INDEX(挂机升级突破!$CV$5:$CZ$5,卡牌消耗!AT485),"")</f>
        <v/>
      </c>
      <c r="BA485" s="14" t="str">
        <f>IF(AT485&gt;0,ROUND(INDEX(挂机升级突破!$CZ$7:$CZ$26,卡牌消耗!AX485)*INDEX(卡牌消耗!$B$8:$F$8,AV485)/$Q$4/500,0)*500,"")</f>
        <v/>
      </c>
      <c r="BB485" s="14" t="str">
        <f>IF(AU485&gt;0,INDEX(挂机升级突破!$CV$5:$CZ$5,卡牌消耗!AU485),"")</f>
        <v/>
      </c>
      <c r="BC485" s="14" t="str">
        <f>IF(AU485&gt;0,ROUND(INDEX(挂机升级突破!$CV$7:$CY$26,卡牌消耗!AX485,卡牌消耗!AU485)*INDEX($B$6:$F$6,AV485)/$Q$4/5,0)*5,"")</f>
        <v/>
      </c>
      <c r="BD485" s="104"/>
      <c r="BE485" s="104"/>
      <c r="BF485" s="106"/>
    </row>
    <row r="486" spans="8:58" ht="16.5" x14ac:dyDescent="0.2">
      <c r="H486" s="15"/>
      <c r="I486" s="15"/>
      <c r="J486" s="15"/>
      <c r="K486" s="15"/>
      <c r="L486" s="15"/>
      <c r="M486" s="15"/>
      <c r="N486" s="15"/>
      <c r="O486" s="137"/>
      <c r="P486" s="141"/>
      <c r="Q486" s="141"/>
      <c r="R486" s="141"/>
      <c r="S486" s="141"/>
      <c r="T486" s="141"/>
      <c r="U486" s="141"/>
      <c r="V486" s="141"/>
      <c r="W486" s="141"/>
      <c r="X486" s="141"/>
      <c r="Y486" s="141"/>
      <c r="Z486" s="141"/>
      <c r="AA486" s="104">
        <v>482</v>
      </c>
      <c r="AB486" s="14">
        <f t="shared" si="158"/>
        <v>10</v>
      </c>
      <c r="AC486" s="14">
        <f>INDEX(挂机升级突破!$BU$6:$BU$57,卡牌消耗!AI486)</f>
        <v>11</v>
      </c>
      <c r="AD486" s="14">
        <f>INDEX(挂机升级突破!BV$6:BV$57,卡牌消耗!$AI486)</f>
        <v>3</v>
      </c>
      <c r="AE486" s="14">
        <f>INDEX(挂机升级突破!BW$6:BW$57,卡牌消耗!$AI486)</f>
        <v>0</v>
      </c>
      <c r="AF486" s="14" t="str">
        <f t="shared" si="159"/>
        <v>张郃</v>
      </c>
      <c r="AG486" s="14">
        <f t="shared" si="160"/>
        <v>4</v>
      </c>
      <c r="AH486" s="14" t="str">
        <f t="shared" si="161"/>
        <v>张郃魂火-14</v>
      </c>
      <c r="AI486" s="14">
        <f t="shared" si="162"/>
        <v>14</v>
      </c>
      <c r="AJ486" s="14" t="str">
        <f>INDEX(挂机升级突破!$BX$4:$CH$4,INDEX(挂机升级突破!$BU$6:$BU$57,卡牌消耗!AI486))</f>
        <v>金币</v>
      </c>
      <c r="AK486" s="14">
        <f>ROUND(INDEX(挂机升级突破!$BN$6:$BN$57,卡牌消耗!AI486)*INDEX(卡牌消耗!$B$8:$F$8,AG486)/$Q$4/50,0)*50</f>
        <v>3500</v>
      </c>
      <c r="AL486" s="14" t="str">
        <f>IF(AD486&gt;0,INDEX(挂机升级突破!$BX$4:$CH$4,AD486),"")</f>
        <v>紫色基础材料</v>
      </c>
      <c r="AM486" s="14">
        <f>ROUND(INDEX(挂机升级突破!$BX$6:$CH$57,卡牌消耗!AI486,AD486)*INDEX(卡牌消耗!$B$5:$F$5,AG486)/$Q$4/5,0)*5</f>
        <v>200</v>
      </c>
      <c r="AN486" s="14" t="str">
        <f>IF(AE486&gt;0,INDEX(挂机升级突破!$BX$4:$CH$4,AE486),"")</f>
        <v/>
      </c>
      <c r="AO486" s="14" t="str">
        <f>IF(AE486&gt;0,ROUND(INDEX(挂机升级突破!$BX$6:$CH$57,卡牌消耗!AI486,AE486)*INDEX(卡牌消耗!$B$7:$F$7,AG486)/$Q$4,0),"")</f>
        <v/>
      </c>
      <c r="AP486" s="106"/>
      <c r="AQ486" s="15"/>
      <c r="AR486" s="104">
        <v>482</v>
      </c>
      <c r="AS486" s="14">
        <f t="shared" si="163"/>
        <v>25</v>
      </c>
      <c r="AT486" s="14">
        <f>INDEX(挂机升级突破!$CM$7:$CM$26,AX486)</f>
        <v>5</v>
      </c>
      <c r="AU486" s="14">
        <f>INDEX(挂机升级突破!$CN$7:$CN$26,AX486)</f>
        <v>0</v>
      </c>
      <c r="AV486" s="14">
        <f t="shared" si="164"/>
        <v>3</v>
      </c>
      <c r="AW486" s="14" t="str">
        <f t="shared" si="165"/>
        <v>雷震子</v>
      </c>
      <c r="AX486" s="14">
        <f t="shared" si="166"/>
        <v>2</v>
      </c>
      <c r="AY486" s="14" t="str">
        <f t="shared" si="167"/>
        <v>雷震子2突</v>
      </c>
      <c r="AZ486" s="14" t="str">
        <f>IF(AT486&gt;0,INDEX(挂机升级突破!$CV$5:$CZ$5,卡牌消耗!AT486),"")</f>
        <v>金币</v>
      </c>
      <c r="BA486" s="14">
        <f>IF(AT486&gt;0,ROUND(INDEX(挂机升级突破!$CZ$7:$CZ$26,卡牌消耗!AX486)*INDEX(卡牌消耗!$B$8:$F$8,AV486)/$Q$4/500,0)*500,"")</f>
        <v>2500</v>
      </c>
      <c r="BB486" s="14" t="str">
        <f>IF(AU486&gt;0,INDEX(挂机升级突破!$CV$5:$CZ$5,卡牌消耗!AU486),"")</f>
        <v/>
      </c>
      <c r="BC486" s="14" t="str">
        <f>IF(AU486&gt;0,ROUND(INDEX(挂机升级突破!$CV$7:$CY$26,卡牌消耗!AX486,卡牌消耗!AU486)*INDEX($B$6:$F$6,AV486)/$Q$4/5,0)*5,"")</f>
        <v/>
      </c>
      <c r="BD486" s="104"/>
      <c r="BE486" s="104"/>
      <c r="BF486" s="106"/>
    </row>
    <row r="487" spans="8:58" ht="16.5" x14ac:dyDescent="0.2">
      <c r="H487" s="15"/>
      <c r="I487" s="15"/>
      <c r="J487" s="15"/>
      <c r="K487" s="15"/>
      <c r="L487" s="15"/>
      <c r="M487" s="15"/>
      <c r="N487" s="15"/>
      <c r="O487" s="137"/>
      <c r="P487" s="141"/>
      <c r="Q487" s="141"/>
      <c r="R487" s="141"/>
      <c r="S487" s="141"/>
      <c r="T487" s="141"/>
      <c r="U487" s="141"/>
      <c r="V487" s="141"/>
      <c r="W487" s="141"/>
      <c r="X487" s="141"/>
      <c r="Y487" s="141"/>
      <c r="Z487" s="141"/>
      <c r="AA487" s="104">
        <v>483</v>
      </c>
      <c r="AB487" s="14">
        <f t="shared" si="158"/>
        <v>10</v>
      </c>
      <c r="AC487" s="14">
        <f>INDEX(挂机升级突破!$BU$6:$BU$57,卡牌消耗!AI487)</f>
        <v>11</v>
      </c>
      <c r="AD487" s="14">
        <f>INDEX(挂机升级突破!BV$6:BV$57,卡牌消耗!$AI487)</f>
        <v>3</v>
      </c>
      <c r="AE487" s="14">
        <f>INDEX(挂机升级突破!BW$6:BW$57,卡牌消耗!$AI487)</f>
        <v>0</v>
      </c>
      <c r="AF487" s="14" t="str">
        <f t="shared" si="159"/>
        <v>张郃</v>
      </c>
      <c r="AG487" s="14">
        <f t="shared" si="160"/>
        <v>4</v>
      </c>
      <c r="AH487" s="14" t="str">
        <f t="shared" si="161"/>
        <v>张郃魂火-15</v>
      </c>
      <c r="AI487" s="14">
        <f t="shared" si="162"/>
        <v>15</v>
      </c>
      <c r="AJ487" s="14" t="str">
        <f>INDEX(挂机升级突破!$BX$4:$CH$4,INDEX(挂机升级突破!$BU$6:$BU$57,卡牌消耗!AI487))</f>
        <v>金币</v>
      </c>
      <c r="AK487" s="14">
        <f>ROUND(INDEX(挂机升级突破!$BN$6:$BN$57,卡牌消耗!AI487)*INDEX(卡牌消耗!$B$8:$F$8,AG487)/$Q$4/50,0)*50</f>
        <v>3800</v>
      </c>
      <c r="AL487" s="14" t="str">
        <f>IF(AD487&gt;0,INDEX(挂机升级突破!$BX$4:$CH$4,AD487),"")</f>
        <v>紫色基础材料</v>
      </c>
      <c r="AM487" s="14">
        <f>ROUND(INDEX(挂机升级突破!$BX$6:$CH$57,卡牌消耗!AI487,AD487)*INDEX(卡牌消耗!$B$5:$F$5,AG487)/$Q$4/5,0)*5</f>
        <v>200</v>
      </c>
      <c r="AN487" s="14" t="str">
        <f>IF(AE487&gt;0,INDEX(挂机升级突破!$BX$4:$CH$4,AE487),"")</f>
        <v/>
      </c>
      <c r="AO487" s="14" t="str">
        <f>IF(AE487&gt;0,ROUND(INDEX(挂机升级突破!$BX$6:$CH$57,卡牌消耗!AI487,AE487)*INDEX(卡牌消耗!$B$7:$F$7,AG487)/$Q$4,0),"")</f>
        <v/>
      </c>
      <c r="AP487" s="106"/>
      <c r="AQ487" s="15"/>
      <c r="AR487" s="104">
        <v>483</v>
      </c>
      <c r="AS487" s="14">
        <f t="shared" si="163"/>
        <v>25</v>
      </c>
      <c r="AT487" s="14">
        <f>INDEX(挂机升级突破!$CM$7:$CM$26,AX487)</f>
        <v>5</v>
      </c>
      <c r="AU487" s="14">
        <f>INDEX(挂机升级突破!$CN$7:$CN$26,AX487)</f>
        <v>0</v>
      </c>
      <c r="AV487" s="14">
        <f t="shared" si="164"/>
        <v>3</v>
      </c>
      <c r="AW487" s="14" t="str">
        <f t="shared" si="165"/>
        <v>雷震子</v>
      </c>
      <c r="AX487" s="14">
        <f t="shared" si="166"/>
        <v>3</v>
      </c>
      <c r="AY487" s="14" t="str">
        <f t="shared" si="167"/>
        <v>雷震子3突</v>
      </c>
      <c r="AZ487" s="14" t="str">
        <f>IF(AT487&gt;0,INDEX(挂机升级突破!$CV$5:$CZ$5,卡牌消耗!AT487),"")</f>
        <v>金币</v>
      </c>
      <c r="BA487" s="14">
        <f>IF(AT487&gt;0,ROUND(INDEX(挂机升级突破!$CZ$7:$CZ$26,卡牌消耗!AX487)*INDEX(卡牌消耗!$B$8:$F$8,AV487)/$Q$4/500,0)*500,"")</f>
        <v>2500</v>
      </c>
      <c r="BB487" s="14" t="str">
        <f>IF(AU487&gt;0,INDEX(挂机升级突破!$CV$5:$CZ$5,卡牌消耗!AU487),"")</f>
        <v/>
      </c>
      <c r="BC487" s="14" t="str">
        <f>IF(AU487&gt;0,ROUND(INDEX(挂机升级突破!$CV$7:$CY$26,卡牌消耗!AX487,卡牌消耗!AU487)*INDEX($B$6:$F$6,AV487)/$Q$4/5,0)*5,"")</f>
        <v/>
      </c>
      <c r="BD487" s="104"/>
      <c r="BE487" s="104"/>
      <c r="BF487" s="106"/>
    </row>
    <row r="488" spans="8:58" ht="16.5" x14ac:dyDescent="0.2">
      <c r="H488" s="15"/>
      <c r="I488" s="15"/>
      <c r="J488" s="15"/>
      <c r="K488" s="15"/>
      <c r="L488" s="15"/>
      <c r="M488" s="15"/>
      <c r="N488" s="15"/>
      <c r="O488" s="137"/>
      <c r="P488" s="141"/>
      <c r="Q488" s="141"/>
      <c r="R488" s="141"/>
      <c r="S488" s="141"/>
      <c r="T488" s="141"/>
      <c r="U488" s="141"/>
      <c r="V488" s="141"/>
      <c r="W488" s="141"/>
      <c r="X488" s="141"/>
      <c r="Y488" s="141"/>
      <c r="Z488" s="141"/>
      <c r="AA488" s="104">
        <v>484</v>
      </c>
      <c r="AB488" s="14">
        <f t="shared" si="158"/>
        <v>10</v>
      </c>
      <c r="AC488" s="14">
        <f>INDEX(挂机升级突破!$BU$6:$BU$57,卡牌消耗!AI488)</f>
        <v>11</v>
      </c>
      <c r="AD488" s="14">
        <f>INDEX(挂机升级突破!BV$6:BV$57,卡牌消耗!$AI488)</f>
        <v>3</v>
      </c>
      <c r="AE488" s="14">
        <f>INDEX(挂机升级突破!BW$6:BW$57,卡牌消耗!$AI488)</f>
        <v>0</v>
      </c>
      <c r="AF488" s="14" t="str">
        <f t="shared" si="159"/>
        <v>张郃</v>
      </c>
      <c r="AG488" s="14">
        <f t="shared" si="160"/>
        <v>4</v>
      </c>
      <c r="AH488" s="14" t="str">
        <f t="shared" si="161"/>
        <v>张郃魂火-16</v>
      </c>
      <c r="AI488" s="14">
        <f t="shared" si="162"/>
        <v>16</v>
      </c>
      <c r="AJ488" s="14" t="str">
        <f>INDEX(挂机升级突破!$BX$4:$CH$4,INDEX(挂机升级突破!$BU$6:$BU$57,卡牌消耗!AI488))</f>
        <v>金币</v>
      </c>
      <c r="AK488" s="14">
        <f>ROUND(INDEX(挂机升级突破!$BN$6:$BN$57,卡牌消耗!AI488)*INDEX(卡牌消耗!$B$8:$F$8,AG488)/$Q$4/50,0)*50</f>
        <v>3800</v>
      </c>
      <c r="AL488" s="14" t="str">
        <f>IF(AD488&gt;0,INDEX(挂机升级突破!$BX$4:$CH$4,AD488),"")</f>
        <v>紫色基础材料</v>
      </c>
      <c r="AM488" s="14">
        <f>ROUND(INDEX(挂机升级突破!$BX$6:$CH$57,卡牌消耗!AI488,AD488)*INDEX(卡牌消耗!$B$5:$F$5,AG488)/$Q$4/5,0)*5</f>
        <v>200</v>
      </c>
      <c r="AN488" s="14" t="str">
        <f>IF(AE488&gt;0,INDEX(挂机升级突破!$BX$4:$CH$4,AE488),"")</f>
        <v/>
      </c>
      <c r="AO488" s="14" t="str">
        <f>IF(AE488&gt;0,ROUND(INDEX(挂机升级突破!$BX$6:$CH$57,卡牌消耗!AI488,AE488)*INDEX(卡牌消耗!$B$7:$F$7,AG488)/$Q$4,0),"")</f>
        <v/>
      </c>
      <c r="AP488" s="106"/>
      <c r="AQ488" s="15"/>
      <c r="AR488" s="104">
        <v>484</v>
      </c>
      <c r="AS488" s="14">
        <f t="shared" si="163"/>
        <v>25</v>
      </c>
      <c r="AT488" s="14">
        <f>INDEX(挂机升级突破!$CM$7:$CM$26,AX488)</f>
        <v>5</v>
      </c>
      <c r="AU488" s="14">
        <f>INDEX(挂机升级突破!$CN$7:$CN$26,AX488)</f>
        <v>1</v>
      </c>
      <c r="AV488" s="14">
        <f t="shared" si="164"/>
        <v>3</v>
      </c>
      <c r="AW488" s="14" t="str">
        <f t="shared" si="165"/>
        <v>雷震子</v>
      </c>
      <c r="AX488" s="14">
        <f t="shared" si="166"/>
        <v>4</v>
      </c>
      <c r="AY488" s="14" t="str">
        <f t="shared" si="167"/>
        <v>雷震子4突</v>
      </c>
      <c r="AZ488" s="14" t="str">
        <f>IF(AT488&gt;0,INDEX(挂机升级突破!$CV$5:$CZ$5,卡牌消耗!AT488),"")</f>
        <v>金币</v>
      </c>
      <c r="BA488" s="14">
        <f>IF(AT488&gt;0,ROUND(INDEX(挂机升级突破!$CZ$7:$CZ$26,卡牌消耗!AX488)*INDEX(卡牌消耗!$B$8:$F$8,AV488)/$Q$4/500,0)*500,"")</f>
        <v>3000</v>
      </c>
      <c r="BB488" s="14" t="str">
        <f>IF(AU488&gt;0,INDEX(挂机升级突破!$CV$5:$CZ$5,卡牌消耗!AU488),"")</f>
        <v>玄铁</v>
      </c>
      <c r="BC488" s="14">
        <f>IF(AU488&gt;0,ROUND(INDEX(挂机升级突破!$CV$7:$CY$26,卡牌消耗!AX488,卡牌消耗!AU488)*INDEX($B$6:$F$6,AV488)/$Q$4/5,0)*5,"")</f>
        <v>60</v>
      </c>
      <c r="BD488" s="104"/>
      <c r="BE488" s="104"/>
      <c r="BF488" s="106"/>
    </row>
    <row r="489" spans="8:58" ht="16.5" x14ac:dyDescent="0.2">
      <c r="H489" s="15"/>
      <c r="I489" s="15"/>
      <c r="J489" s="15"/>
      <c r="K489" s="15"/>
      <c r="L489" s="15"/>
      <c r="M489" s="15"/>
      <c r="N489" s="15"/>
      <c r="O489" s="137"/>
      <c r="P489" s="141"/>
      <c r="Q489" s="141"/>
      <c r="R489" s="141"/>
      <c r="S489" s="141"/>
      <c r="T489" s="141"/>
      <c r="U489" s="141"/>
      <c r="V489" s="141"/>
      <c r="W489" s="141"/>
      <c r="X489" s="141"/>
      <c r="Y489" s="141"/>
      <c r="Z489" s="141"/>
      <c r="AA489" s="104">
        <v>485</v>
      </c>
      <c r="AB489" s="14">
        <f t="shared" si="158"/>
        <v>10</v>
      </c>
      <c r="AC489" s="14">
        <f>INDEX(挂机升级突破!$BU$6:$BU$57,卡牌消耗!AI489)</f>
        <v>11</v>
      </c>
      <c r="AD489" s="14">
        <f>INDEX(挂机升级突破!BV$6:BV$57,卡牌消耗!$AI489)</f>
        <v>3</v>
      </c>
      <c r="AE489" s="14">
        <f>INDEX(挂机升级突破!BW$6:BW$57,卡牌消耗!$AI489)</f>
        <v>0</v>
      </c>
      <c r="AF489" s="14" t="str">
        <f t="shared" si="159"/>
        <v>张郃</v>
      </c>
      <c r="AG489" s="14">
        <f t="shared" si="160"/>
        <v>4</v>
      </c>
      <c r="AH489" s="14" t="str">
        <f t="shared" si="161"/>
        <v>张郃魂火-17</v>
      </c>
      <c r="AI489" s="14">
        <f t="shared" si="162"/>
        <v>17</v>
      </c>
      <c r="AJ489" s="14" t="str">
        <f>INDEX(挂机升级突破!$BX$4:$CH$4,INDEX(挂机升级突破!$BU$6:$BU$57,卡牌消耗!AI489))</f>
        <v>金币</v>
      </c>
      <c r="AK489" s="14">
        <f>ROUND(INDEX(挂机升级突破!$BN$6:$BN$57,卡牌消耗!AI489)*INDEX(卡牌消耗!$B$8:$F$8,AG489)/$Q$4/50,0)*50</f>
        <v>4750</v>
      </c>
      <c r="AL489" s="14" t="str">
        <f>IF(AD489&gt;0,INDEX(挂机升级突破!$BX$4:$CH$4,AD489),"")</f>
        <v>紫色基础材料</v>
      </c>
      <c r="AM489" s="14">
        <f>ROUND(INDEX(挂机升级突破!$BX$6:$CH$57,卡牌消耗!AI489,AD489)*INDEX(卡牌消耗!$B$5:$F$5,AG489)/$Q$4/5,0)*5</f>
        <v>405</v>
      </c>
      <c r="AN489" s="14" t="str">
        <f>IF(AE489&gt;0,INDEX(挂机升级突破!$BX$4:$CH$4,AE489),"")</f>
        <v/>
      </c>
      <c r="AO489" s="14" t="str">
        <f>IF(AE489&gt;0,ROUND(INDEX(挂机升级突破!$BX$6:$CH$57,卡牌消耗!AI489,AE489)*INDEX(卡牌消耗!$B$7:$F$7,AG489)/$Q$4,0),"")</f>
        <v/>
      </c>
      <c r="AP489" s="106"/>
      <c r="AQ489" s="15"/>
      <c r="AR489" s="104">
        <v>485</v>
      </c>
      <c r="AS489" s="14">
        <f t="shared" si="163"/>
        <v>25</v>
      </c>
      <c r="AT489" s="14">
        <f>INDEX(挂机升级突破!$CM$7:$CM$26,AX489)</f>
        <v>5</v>
      </c>
      <c r="AU489" s="14">
        <f>INDEX(挂机升级突破!$CN$7:$CN$26,AX489)</f>
        <v>1</v>
      </c>
      <c r="AV489" s="14">
        <f t="shared" si="164"/>
        <v>3</v>
      </c>
      <c r="AW489" s="14" t="str">
        <f t="shared" si="165"/>
        <v>雷震子</v>
      </c>
      <c r="AX489" s="14">
        <f t="shared" si="166"/>
        <v>5</v>
      </c>
      <c r="AY489" s="14" t="str">
        <f t="shared" si="167"/>
        <v>雷震子5突</v>
      </c>
      <c r="AZ489" s="14" t="str">
        <f>IF(AT489&gt;0,INDEX(挂机升级突破!$CV$5:$CZ$5,卡牌消耗!AT489),"")</f>
        <v>金币</v>
      </c>
      <c r="BA489" s="14">
        <f>IF(AT489&gt;0,ROUND(INDEX(挂机升级突破!$CZ$7:$CZ$26,卡牌消耗!AX489)*INDEX(卡牌消耗!$B$8:$F$8,AV489)/$Q$4/500,0)*500,"")</f>
        <v>3000</v>
      </c>
      <c r="BB489" s="14" t="str">
        <f>IF(AU489&gt;0,INDEX(挂机升级突破!$CV$5:$CZ$5,卡牌消耗!AU489),"")</f>
        <v>玄铁</v>
      </c>
      <c r="BC489" s="14">
        <f>IF(AU489&gt;0,ROUND(INDEX(挂机升级突破!$CV$7:$CY$26,卡牌消耗!AX489,卡牌消耗!AU489)*INDEX($B$6:$F$6,AV489)/$Q$4/5,0)*5,"")</f>
        <v>115</v>
      </c>
      <c r="BD489" s="104"/>
      <c r="BE489" s="104"/>
      <c r="BF489" s="106"/>
    </row>
    <row r="490" spans="8:58" ht="16.5" x14ac:dyDescent="0.2">
      <c r="H490" s="15"/>
      <c r="I490" s="15"/>
      <c r="J490" s="15"/>
      <c r="K490" s="15"/>
      <c r="L490" s="15"/>
      <c r="M490" s="15"/>
      <c r="N490" s="15"/>
      <c r="O490" s="137"/>
      <c r="P490" s="141"/>
      <c r="Q490" s="141"/>
      <c r="R490" s="141"/>
      <c r="S490" s="141"/>
      <c r="T490" s="141"/>
      <c r="U490" s="141"/>
      <c r="V490" s="141"/>
      <c r="W490" s="141"/>
      <c r="X490" s="141"/>
      <c r="Y490" s="141"/>
      <c r="Z490" s="141"/>
      <c r="AA490" s="104">
        <v>486</v>
      </c>
      <c r="AB490" s="14">
        <f t="shared" si="158"/>
        <v>10</v>
      </c>
      <c r="AC490" s="14">
        <f>INDEX(挂机升级突破!$BU$6:$BU$57,卡牌消耗!AI490)</f>
        <v>11</v>
      </c>
      <c r="AD490" s="14">
        <f>INDEX(挂机升级突破!BV$6:BV$57,卡牌消耗!$AI490)</f>
        <v>3</v>
      </c>
      <c r="AE490" s="14">
        <f>INDEX(挂机升级突破!BW$6:BW$57,卡牌消耗!$AI490)</f>
        <v>0</v>
      </c>
      <c r="AF490" s="14" t="str">
        <f t="shared" si="159"/>
        <v>张郃</v>
      </c>
      <c r="AG490" s="14">
        <f t="shared" si="160"/>
        <v>4</v>
      </c>
      <c r="AH490" s="14" t="str">
        <f t="shared" si="161"/>
        <v>张郃魂火-18</v>
      </c>
      <c r="AI490" s="14">
        <f t="shared" si="162"/>
        <v>18</v>
      </c>
      <c r="AJ490" s="14" t="str">
        <f>INDEX(挂机升级突破!$BX$4:$CH$4,INDEX(挂机升级突破!$BU$6:$BU$57,卡牌消耗!AI490))</f>
        <v>金币</v>
      </c>
      <c r="AK490" s="14">
        <f>ROUND(INDEX(挂机升级突破!$BN$6:$BN$57,卡牌消耗!AI490)*INDEX(卡牌消耗!$B$8:$F$8,AG490)/$Q$4/50,0)*50</f>
        <v>4750</v>
      </c>
      <c r="AL490" s="14" t="str">
        <f>IF(AD490&gt;0,INDEX(挂机升级突破!$BX$4:$CH$4,AD490),"")</f>
        <v>紫色基础材料</v>
      </c>
      <c r="AM490" s="14">
        <f>ROUND(INDEX(挂机升级突破!$BX$6:$CH$57,卡牌消耗!AI490,AD490)*INDEX(卡牌消耗!$B$5:$F$5,AG490)/$Q$4/5,0)*5</f>
        <v>405</v>
      </c>
      <c r="AN490" s="14" t="str">
        <f>IF(AE490&gt;0,INDEX(挂机升级突破!$BX$4:$CH$4,AE490),"")</f>
        <v/>
      </c>
      <c r="AO490" s="14" t="str">
        <f>IF(AE490&gt;0,ROUND(INDEX(挂机升级突破!$BX$6:$CH$57,卡牌消耗!AI490,AE490)*INDEX(卡牌消耗!$B$7:$F$7,AG490)/$Q$4,0),"")</f>
        <v/>
      </c>
      <c r="AP490" s="106"/>
      <c r="AQ490" s="15"/>
      <c r="AR490" s="104">
        <v>486</v>
      </c>
      <c r="AS490" s="14">
        <f t="shared" si="163"/>
        <v>25</v>
      </c>
      <c r="AT490" s="14">
        <f>INDEX(挂机升级突破!$CM$7:$CM$26,AX490)</f>
        <v>5</v>
      </c>
      <c r="AU490" s="14">
        <f>INDEX(挂机升级突破!$CN$7:$CN$26,AX490)</f>
        <v>1</v>
      </c>
      <c r="AV490" s="14">
        <f t="shared" si="164"/>
        <v>3</v>
      </c>
      <c r="AW490" s="14" t="str">
        <f t="shared" si="165"/>
        <v>雷震子</v>
      </c>
      <c r="AX490" s="14">
        <f t="shared" si="166"/>
        <v>6</v>
      </c>
      <c r="AY490" s="14" t="str">
        <f t="shared" si="167"/>
        <v>雷震子6突</v>
      </c>
      <c r="AZ490" s="14" t="str">
        <f>IF(AT490&gt;0,INDEX(挂机升级突破!$CV$5:$CZ$5,卡牌消耗!AT490),"")</f>
        <v>金币</v>
      </c>
      <c r="BA490" s="14">
        <f>IF(AT490&gt;0,ROUND(INDEX(挂机升级突破!$CZ$7:$CZ$26,卡牌消耗!AX490)*INDEX(卡牌消耗!$B$8:$F$8,AV490)/$Q$4/500,0)*500,"")</f>
        <v>4000</v>
      </c>
      <c r="BB490" s="14" t="str">
        <f>IF(AU490&gt;0,INDEX(挂机升级突破!$CV$5:$CZ$5,卡牌消耗!AU490),"")</f>
        <v>玄铁</v>
      </c>
      <c r="BC490" s="14">
        <f>IF(AU490&gt;0,ROUND(INDEX(挂机升级突破!$CV$7:$CY$26,卡牌消耗!AX490,卡牌消耗!AU490)*INDEX($B$6:$F$6,AV490)/$Q$4/5,0)*5,"")</f>
        <v>175</v>
      </c>
      <c r="BD490" s="104"/>
      <c r="BE490" s="104"/>
      <c r="BF490" s="106"/>
    </row>
    <row r="491" spans="8:58" ht="16.5" x14ac:dyDescent="0.2">
      <c r="H491" s="15"/>
      <c r="I491" s="15"/>
      <c r="J491" s="15"/>
      <c r="K491" s="15"/>
      <c r="L491" s="15"/>
      <c r="M491" s="15"/>
      <c r="N491" s="15"/>
      <c r="O491" s="137"/>
      <c r="P491" s="141"/>
      <c r="Q491" s="141"/>
      <c r="R491" s="141"/>
      <c r="S491" s="141"/>
      <c r="T491" s="141"/>
      <c r="U491" s="141"/>
      <c r="V491" s="141"/>
      <c r="W491" s="141"/>
      <c r="X491" s="141"/>
      <c r="Y491" s="141"/>
      <c r="Z491" s="141"/>
      <c r="AA491" s="104">
        <v>487</v>
      </c>
      <c r="AB491" s="14">
        <f t="shared" si="158"/>
        <v>10</v>
      </c>
      <c r="AC491" s="14">
        <f>INDEX(挂机升级突破!$BU$6:$BU$57,卡牌消耗!AI491)</f>
        <v>11</v>
      </c>
      <c r="AD491" s="14">
        <f>INDEX(挂机升级突破!BV$6:BV$57,卡牌消耗!$AI491)</f>
        <v>3</v>
      </c>
      <c r="AE491" s="14">
        <f>INDEX(挂机升级突破!BW$6:BW$57,卡牌消耗!$AI491)</f>
        <v>0</v>
      </c>
      <c r="AF491" s="14" t="str">
        <f t="shared" si="159"/>
        <v>张郃</v>
      </c>
      <c r="AG491" s="14">
        <f t="shared" si="160"/>
        <v>4</v>
      </c>
      <c r="AH491" s="14" t="str">
        <f t="shared" si="161"/>
        <v>张郃魂火-19</v>
      </c>
      <c r="AI491" s="14">
        <f t="shared" si="162"/>
        <v>19</v>
      </c>
      <c r="AJ491" s="14" t="str">
        <f>INDEX(挂机升级突破!$BX$4:$CH$4,INDEX(挂机升级突破!$BU$6:$BU$57,卡牌消耗!AI491))</f>
        <v>金币</v>
      </c>
      <c r="AK491" s="14">
        <f>ROUND(INDEX(挂机升级突破!$BN$6:$BN$57,卡牌消耗!AI491)*INDEX(卡牌消耗!$B$8:$F$8,AG491)/$Q$4/50,0)*50</f>
        <v>4750</v>
      </c>
      <c r="AL491" s="14" t="str">
        <f>IF(AD491&gt;0,INDEX(挂机升级突破!$BX$4:$CH$4,AD491),"")</f>
        <v>紫色基础材料</v>
      </c>
      <c r="AM491" s="14">
        <f>ROUND(INDEX(挂机升级突破!$BX$6:$CH$57,卡牌消耗!AI491,AD491)*INDEX(卡牌消耗!$B$5:$F$5,AG491)/$Q$4/5,0)*5</f>
        <v>405</v>
      </c>
      <c r="AN491" s="14" t="str">
        <f>IF(AE491&gt;0,INDEX(挂机升级突破!$BX$4:$CH$4,AE491),"")</f>
        <v/>
      </c>
      <c r="AO491" s="14" t="str">
        <f>IF(AE491&gt;0,ROUND(INDEX(挂机升级突破!$BX$6:$CH$57,卡牌消耗!AI491,AE491)*INDEX(卡牌消耗!$B$7:$F$7,AG491)/$Q$4,0),"")</f>
        <v/>
      </c>
      <c r="AP491" s="106"/>
      <c r="AQ491" s="15"/>
      <c r="AR491" s="104">
        <v>487</v>
      </c>
      <c r="AS491" s="14">
        <f t="shared" si="163"/>
        <v>25</v>
      </c>
      <c r="AT491" s="14">
        <f>INDEX(挂机升级突破!$CM$7:$CM$26,AX491)</f>
        <v>5</v>
      </c>
      <c r="AU491" s="14">
        <f>INDEX(挂机升级突破!$CN$7:$CN$26,AX491)</f>
        <v>1</v>
      </c>
      <c r="AV491" s="14">
        <f t="shared" si="164"/>
        <v>3</v>
      </c>
      <c r="AW491" s="14" t="str">
        <f t="shared" si="165"/>
        <v>雷震子</v>
      </c>
      <c r="AX491" s="14">
        <f t="shared" si="166"/>
        <v>7</v>
      </c>
      <c r="AY491" s="14" t="str">
        <f t="shared" si="167"/>
        <v>雷震子7突</v>
      </c>
      <c r="AZ491" s="14" t="str">
        <f>IF(AT491&gt;0,INDEX(挂机升级突破!$CV$5:$CZ$5,卡牌消耗!AT491),"")</f>
        <v>金币</v>
      </c>
      <c r="BA491" s="14">
        <f>IF(AT491&gt;0,ROUND(INDEX(挂机升级突破!$CZ$7:$CZ$26,卡牌消耗!AX491)*INDEX(卡牌消耗!$B$8:$F$8,AV491)/$Q$4/500,0)*500,"")</f>
        <v>6500</v>
      </c>
      <c r="BB491" s="14" t="str">
        <f>IF(AU491&gt;0,INDEX(挂机升级突破!$CV$5:$CZ$5,卡牌消耗!AU491),"")</f>
        <v>玄铁</v>
      </c>
      <c r="BC491" s="14">
        <f>IF(AU491&gt;0,ROUND(INDEX(挂机升级突破!$CV$7:$CY$26,卡牌消耗!AX491,卡牌消耗!AU491)*INDEX($B$6:$F$6,AV491)/$Q$4/5,0)*5,"")</f>
        <v>290</v>
      </c>
      <c r="BD491" s="104"/>
      <c r="BE491" s="104"/>
      <c r="BF491" s="106"/>
    </row>
    <row r="492" spans="8:58" ht="16.5" x14ac:dyDescent="0.2">
      <c r="H492" s="15"/>
      <c r="I492" s="15"/>
      <c r="J492" s="15"/>
      <c r="K492" s="15"/>
      <c r="L492" s="15"/>
      <c r="M492" s="15"/>
      <c r="N492" s="15"/>
      <c r="O492" s="137"/>
      <c r="P492" s="141"/>
      <c r="Q492" s="141"/>
      <c r="R492" s="141"/>
      <c r="S492" s="141"/>
      <c r="T492" s="141"/>
      <c r="U492" s="141"/>
      <c r="V492" s="141"/>
      <c r="W492" s="141"/>
      <c r="X492" s="141"/>
      <c r="Y492" s="141"/>
      <c r="Z492" s="141"/>
      <c r="AA492" s="104">
        <v>488</v>
      </c>
      <c r="AB492" s="14">
        <f t="shared" si="158"/>
        <v>10</v>
      </c>
      <c r="AC492" s="14">
        <f>INDEX(挂机升级突破!$BU$6:$BU$57,卡牌消耗!AI492)</f>
        <v>11</v>
      </c>
      <c r="AD492" s="14">
        <f>INDEX(挂机升级突破!BV$6:BV$57,卡牌消耗!$AI492)</f>
        <v>3</v>
      </c>
      <c r="AE492" s="14">
        <f>INDEX(挂机升级突破!BW$6:BW$57,卡牌消耗!$AI492)</f>
        <v>0</v>
      </c>
      <c r="AF492" s="14" t="str">
        <f t="shared" si="159"/>
        <v>张郃</v>
      </c>
      <c r="AG492" s="14">
        <f t="shared" si="160"/>
        <v>4</v>
      </c>
      <c r="AH492" s="14" t="str">
        <f t="shared" si="161"/>
        <v>张郃魂火-20</v>
      </c>
      <c r="AI492" s="14">
        <f t="shared" si="162"/>
        <v>20</v>
      </c>
      <c r="AJ492" s="14" t="str">
        <f>INDEX(挂机升级突破!$BX$4:$CH$4,INDEX(挂机升级突破!$BU$6:$BU$57,卡牌消耗!AI492))</f>
        <v>金币</v>
      </c>
      <c r="AK492" s="14">
        <f>ROUND(INDEX(挂机升级突破!$BN$6:$BN$57,卡牌消耗!AI492)*INDEX(卡牌消耗!$B$8:$F$8,AG492)/$Q$4/50,0)*50</f>
        <v>5850</v>
      </c>
      <c r="AL492" s="14" t="str">
        <f>IF(AD492&gt;0,INDEX(挂机升级突破!$BX$4:$CH$4,AD492),"")</f>
        <v>紫色基础材料</v>
      </c>
      <c r="AM492" s="14">
        <f>ROUND(INDEX(挂机升级突破!$BX$6:$CH$57,卡牌消耗!AI492,AD492)*INDEX(卡牌消耗!$B$5:$F$5,AG492)/$Q$4/5,0)*5</f>
        <v>605</v>
      </c>
      <c r="AN492" s="14" t="str">
        <f>IF(AE492&gt;0,INDEX(挂机升级突破!$BX$4:$CH$4,AE492),"")</f>
        <v/>
      </c>
      <c r="AO492" s="14" t="str">
        <f>IF(AE492&gt;0,ROUND(INDEX(挂机升级突破!$BX$6:$CH$57,卡牌消耗!AI492,AE492)*INDEX(卡牌消耗!$B$7:$F$7,AG492)/$Q$4,0),"")</f>
        <v/>
      </c>
      <c r="AP492" s="106"/>
      <c r="AQ492" s="15"/>
      <c r="AR492" s="104">
        <v>488</v>
      </c>
      <c r="AS492" s="14">
        <f t="shared" si="163"/>
        <v>25</v>
      </c>
      <c r="AT492" s="14">
        <f>INDEX(挂机升级突破!$CM$7:$CM$26,AX492)</f>
        <v>5</v>
      </c>
      <c r="AU492" s="14">
        <f>INDEX(挂机升级突破!$CN$7:$CN$26,AX492)</f>
        <v>1</v>
      </c>
      <c r="AV492" s="14">
        <f t="shared" si="164"/>
        <v>3</v>
      </c>
      <c r="AW492" s="14" t="str">
        <f t="shared" si="165"/>
        <v>雷震子</v>
      </c>
      <c r="AX492" s="14">
        <f t="shared" si="166"/>
        <v>8</v>
      </c>
      <c r="AY492" s="14" t="str">
        <f t="shared" si="167"/>
        <v>雷震子8突</v>
      </c>
      <c r="AZ492" s="14" t="str">
        <f>IF(AT492&gt;0,INDEX(挂机升级突破!$CV$5:$CZ$5,卡牌消耗!AT492),"")</f>
        <v>金币</v>
      </c>
      <c r="BA492" s="14">
        <f>IF(AT492&gt;0,ROUND(INDEX(挂机升级突破!$CZ$7:$CZ$26,卡牌消耗!AX492)*INDEX(卡牌消耗!$B$8:$F$8,AV492)/$Q$4/500,0)*500,"")</f>
        <v>6500</v>
      </c>
      <c r="BB492" s="14" t="str">
        <f>IF(AU492&gt;0,INDEX(挂机升级突破!$CV$5:$CZ$5,卡牌消耗!AU492),"")</f>
        <v>玄铁</v>
      </c>
      <c r="BC492" s="14">
        <f>IF(AU492&gt;0,ROUND(INDEX(挂机升级突破!$CV$7:$CY$26,卡牌消耗!AX492,卡牌消耗!AU492)*INDEX($B$6:$F$6,AV492)/$Q$4/5,0)*5,"")</f>
        <v>520</v>
      </c>
      <c r="BD492" s="104"/>
      <c r="BE492" s="104"/>
      <c r="BF492" s="106"/>
    </row>
    <row r="493" spans="8:58" ht="16.5" x14ac:dyDescent="0.2">
      <c r="H493" s="15"/>
      <c r="I493" s="15"/>
      <c r="J493" s="15"/>
      <c r="K493" s="15"/>
      <c r="L493" s="15"/>
      <c r="M493" s="15"/>
      <c r="N493" s="15"/>
      <c r="O493" s="137"/>
      <c r="P493" s="141"/>
      <c r="Q493" s="141"/>
      <c r="R493" s="141"/>
      <c r="S493" s="141"/>
      <c r="T493" s="141"/>
      <c r="U493" s="141"/>
      <c r="V493" s="141"/>
      <c r="W493" s="141"/>
      <c r="X493" s="141"/>
      <c r="Y493" s="141"/>
      <c r="Z493" s="141"/>
      <c r="AA493" s="104">
        <v>489</v>
      </c>
      <c r="AB493" s="14">
        <f t="shared" si="158"/>
        <v>10</v>
      </c>
      <c r="AC493" s="14">
        <f>INDEX(挂机升级突破!$BU$6:$BU$57,卡牌消耗!AI493)</f>
        <v>11</v>
      </c>
      <c r="AD493" s="14">
        <f>INDEX(挂机升级突破!BV$6:BV$57,卡牌消耗!$AI493)</f>
        <v>3</v>
      </c>
      <c r="AE493" s="14">
        <f>INDEX(挂机升级突破!BW$6:BW$57,卡牌消耗!$AI493)</f>
        <v>0</v>
      </c>
      <c r="AF493" s="14" t="str">
        <f t="shared" si="159"/>
        <v>张郃</v>
      </c>
      <c r="AG493" s="14">
        <f t="shared" si="160"/>
        <v>4</v>
      </c>
      <c r="AH493" s="14" t="str">
        <f t="shared" si="161"/>
        <v>张郃魂火-21</v>
      </c>
      <c r="AI493" s="14">
        <f t="shared" si="162"/>
        <v>21</v>
      </c>
      <c r="AJ493" s="14" t="str">
        <f>INDEX(挂机升级突破!$BX$4:$CH$4,INDEX(挂机升级突破!$BU$6:$BU$57,卡牌消耗!AI493))</f>
        <v>金币</v>
      </c>
      <c r="AK493" s="14">
        <f>ROUND(INDEX(挂机升级突破!$BN$6:$BN$57,卡牌消耗!AI493)*INDEX(卡牌消耗!$B$8:$F$8,AG493)/$Q$4/50,0)*50</f>
        <v>5850</v>
      </c>
      <c r="AL493" s="14" t="str">
        <f>IF(AD493&gt;0,INDEX(挂机升级突破!$BX$4:$CH$4,AD493),"")</f>
        <v>紫色基础材料</v>
      </c>
      <c r="AM493" s="14">
        <f>ROUND(INDEX(挂机升级突破!$BX$6:$CH$57,卡牌消耗!AI493,AD493)*INDEX(卡牌消耗!$B$5:$F$5,AG493)/$Q$4/5,0)*5</f>
        <v>605</v>
      </c>
      <c r="AN493" s="14" t="str">
        <f>IF(AE493&gt;0,INDEX(挂机升级突破!$BX$4:$CH$4,AE493),"")</f>
        <v/>
      </c>
      <c r="AO493" s="14" t="str">
        <f>IF(AE493&gt;0,ROUND(INDEX(挂机升级突破!$BX$6:$CH$57,卡牌消耗!AI493,AE493)*INDEX(卡牌消耗!$B$7:$F$7,AG493)/$Q$4,0),"")</f>
        <v/>
      </c>
      <c r="AP493" s="106"/>
      <c r="AQ493" s="15"/>
      <c r="AR493" s="104">
        <v>489</v>
      </c>
      <c r="AS493" s="14">
        <f t="shared" si="163"/>
        <v>25</v>
      </c>
      <c r="AT493" s="14">
        <f>INDEX(挂机升级突破!$CM$7:$CM$26,AX493)</f>
        <v>5</v>
      </c>
      <c r="AU493" s="14">
        <f>INDEX(挂机升级突破!$CN$7:$CN$26,AX493)</f>
        <v>2</v>
      </c>
      <c r="AV493" s="14">
        <f t="shared" si="164"/>
        <v>3</v>
      </c>
      <c r="AW493" s="14" t="str">
        <f t="shared" si="165"/>
        <v>雷震子</v>
      </c>
      <c r="AX493" s="14">
        <f t="shared" si="166"/>
        <v>9</v>
      </c>
      <c r="AY493" s="14" t="str">
        <f t="shared" si="167"/>
        <v>雷震子9突</v>
      </c>
      <c r="AZ493" s="14" t="str">
        <f>IF(AT493&gt;0,INDEX(挂机升级突破!$CV$5:$CZ$5,卡牌消耗!AT493),"")</f>
        <v>金币</v>
      </c>
      <c r="BA493" s="14">
        <f>IF(AT493&gt;0,ROUND(INDEX(挂机升级突破!$CZ$7:$CZ$26,卡牌消耗!AX493)*INDEX(卡牌消耗!$B$8:$F$8,AV493)/$Q$4/500,0)*500,"")</f>
        <v>8500</v>
      </c>
      <c r="BB493" s="14" t="str">
        <f>IF(AU493&gt;0,INDEX(挂机升级突破!$CV$5:$CZ$5,卡牌消耗!AU493),"")</f>
        <v>乌金</v>
      </c>
      <c r="BC493" s="14">
        <f>IF(AU493&gt;0,ROUND(INDEX(挂机升级突破!$CV$7:$CY$26,卡牌消耗!AX493,卡牌消耗!AU493)*INDEX($B$6:$F$6,AV493)/$Q$4/5,0)*5,"")</f>
        <v>65</v>
      </c>
      <c r="BD493" s="104"/>
      <c r="BE493" s="104"/>
      <c r="BF493" s="106"/>
    </row>
    <row r="494" spans="8:58" ht="16.5" x14ac:dyDescent="0.2">
      <c r="H494" s="15"/>
      <c r="I494" s="15"/>
      <c r="J494" s="15"/>
      <c r="K494" s="15"/>
      <c r="L494" s="15"/>
      <c r="M494" s="15"/>
      <c r="N494" s="15"/>
      <c r="O494" s="137"/>
      <c r="P494" s="141"/>
      <c r="Q494" s="141"/>
      <c r="R494" s="141"/>
      <c r="S494" s="141"/>
      <c r="T494" s="141"/>
      <c r="U494" s="141"/>
      <c r="V494" s="141"/>
      <c r="W494" s="141"/>
      <c r="X494" s="141"/>
      <c r="Y494" s="141"/>
      <c r="Z494" s="141"/>
      <c r="AA494" s="104">
        <v>490</v>
      </c>
      <c r="AB494" s="14">
        <f t="shared" si="158"/>
        <v>10</v>
      </c>
      <c r="AC494" s="14">
        <f>INDEX(挂机升级突破!$BU$6:$BU$57,卡牌消耗!AI494)</f>
        <v>11</v>
      </c>
      <c r="AD494" s="14">
        <f>INDEX(挂机升级突破!BV$6:BV$57,卡牌消耗!$AI494)</f>
        <v>3</v>
      </c>
      <c r="AE494" s="14">
        <f>INDEX(挂机升级突破!BW$6:BW$57,卡牌消耗!$AI494)</f>
        <v>0</v>
      </c>
      <c r="AF494" s="14" t="str">
        <f t="shared" si="159"/>
        <v>张郃</v>
      </c>
      <c r="AG494" s="14">
        <f t="shared" si="160"/>
        <v>4</v>
      </c>
      <c r="AH494" s="14" t="str">
        <f t="shared" si="161"/>
        <v>张郃魂火-22</v>
      </c>
      <c r="AI494" s="14">
        <f t="shared" si="162"/>
        <v>22</v>
      </c>
      <c r="AJ494" s="14" t="str">
        <f>INDEX(挂机升级突破!$BX$4:$CH$4,INDEX(挂机升级突破!$BU$6:$BU$57,卡牌消耗!AI494))</f>
        <v>金币</v>
      </c>
      <c r="AK494" s="14">
        <f>ROUND(INDEX(挂机升级突破!$BN$6:$BN$57,卡牌消耗!AI494)*INDEX(卡牌消耗!$B$8:$F$8,AG494)/$Q$4/50,0)*50</f>
        <v>5850</v>
      </c>
      <c r="AL494" s="14" t="str">
        <f>IF(AD494&gt;0,INDEX(挂机升级突破!$BX$4:$CH$4,AD494),"")</f>
        <v>紫色基础材料</v>
      </c>
      <c r="AM494" s="14">
        <f>ROUND(INDEX(挂机升级突破!$BX$6:$CH$57,卡牌消耗!AI494,AD494)*INDEX(卡牌消耗!$B$5:$F$5,AG494)/$Q$4/5,0)*5</f>
        <v>605</v>
      </c>
      <c r="AN494" s="14" t="str">
        <f>IF(AE494&gt;0,INDEX(挂机升级突破!$BX$4:$CH$4,AE494),"")</f>
        <v/>
      </c>
      <c r="AO494" s="14" t="str">
        <f>IF(AE494&gt;0,ROUND(INDEX(挂机升级突破!$BX$6:$CH$57,卡牌消耗!AI494,AE494)*INDEX(卡牌消耗!$B$7:$F$7,AG494)/$Q$4,0),"")</f>
        <v/>
      </c>
      <c r="AP494" s="106"/>
      <c r="AQ494" s="15"/>
      <c r="AR494" s="104">
        <v>490</v>
      </c>
      <c r="AS494" s="14">
        <f t="shared" si="163"/>
        <v>25</v>
      </c>
      <c r="AT494" s="14">
        <f>INDEX(挂机升级突破!$CM$7:$CM$26,AX494)</f>
        <v>5</v>
      </c>
      <c r="AU494" s="14">
        <f>INDEX(挂机升级突破!$CN$7:$CN$26,AX494)</f>
        <v>2</v>
      </c>
      <c r="AV494" s="14">
        <f t="shared" si="164"/>
        <v>3</v>
      </c>
      <c r="AW494" s="14" t="str">
        <f t="shared" si="165"/>
        <v>雷震子</v>
      </c>
      <c r="AX494" s="14">
        <f t="shared" si="166"/>
        <v>10</v>
      </c>
      <c r="AY494" s="14" t="str">
        <f t="shared" si="167"/>
        <v>雷震子10突</v>
      </c>
      <c r="AZ494" s="14" t="str">
        <f>IF(AT494&gt;0,INDEX(挂机升级突破!$CV$5:$CZ$5,卡牌消耗!AT494),"")</f>
        <v>金币</v>
      </c>
      <c r="BA494" s="14">
        <f>IF(AT494&gt;0,ROUND(INDEX(挂机升级突破!$CZ$7:$CZ$26,卡牌消耗!AX494)*INDEX(卡牌消耗!$B$8:$F$8,AV494)/$Q$4/500,0)*500,"")</f>
        <v>14500</v>
      </c>
      <c r="BB494" s="14" t="str">
        <f>IF(AU494&gt;0,INDEX(挂机升级突破!$CV$5:$CZ$5,卡牌消耗!AU494),"")</f>
        <v>乌金</v>
      </c>
      <c r="BC494" s="14">
        <f>IF(AU494&gt;0,ROUND(INDEX(挂机升级突破!$CV$7:$CY$26,卡牌消耗!AX494,卡牌消耗!AU494)*INDEX($B$6:$F$6,AV494)/$Q$4/5,0)*5,"")</f>
        <v>90</v>
      </c>
      <c r="BD494" s="104"/>
      <c r="BE494" s="104"/>
      <c r="BF494" s="106"/>
    </row>
    <row r="495" spans="8:58" ht="16.5" x14ac:dyDescent="0.2">
      <c r="H495" s="15"/>
      <c r="I495" s="15"/>
      <c r="J495" s="15"/>
      <c r="K495" s="15"/>
      <c r="L495" s="15"/>
      <c r="M495" s="15"/>
      <c r="N495" s="15"/>
      <c r="O495" s="137"/>
      <c r="P495" s="141"/>
      <c r="Q495" s="141"/>
      <c r="R495" s="141"/>
      <c r="S495" s="141"/>
      <c r="T495" s="141"/>
      <c r="U495" s="141"/>
      <c r="V495" s="141"/>
      <c r="W495" s="141"/>
      <c r="X495" s="141"/>
      <c r="Y495" s="141"/>
      <c r="Z495" s="141"/>
      <c r="AA495" s="104">
        <v>491</v>
      </c>
      <c r="AB495" s="14">
        <f t="shared" si="158"/>
        <v>10</v>
      </c>
      <c r="AC495" s="14">
        <f>INDEX(挂机升级突破!$BU$6:$BU$57,卡牌消耗!AI495)</f>
        <v>11</v>
      </c>
      <c r="AD495" s="14">
        <f>INDEX(挂机升级突破!BV$6:BV$57,卡牌消耗!$AI495)</f>
        <v>4</v>
      </c>
      <c r="AE495" s="14">
        <f>INDEX(挂机升级突破!BW$6:BW$57,卡牌消耗!$AI495)</f>
        <v>0</v>
      </c>
      <c r="AF495" s="14" t="str">
        <f t="shared" si="159"/>
        <v>张郃</v>
      </c>
      <c r="AG495" s="14">
        <f t="shared" si="160"/>
        <v>4</v>
      </c>
      <c r="AH495" s="14" t="str">
        <f t="shared" si="161"/>
        <v>张郃魂火-23</v>
      </c>
      <c r="AI495" s="14">
        <f t="shared" si="162"/>
        <v>23</v>
      </c>
      <c r="AJ495" s="14" t="str">
        <f>INDEX(挂机升级突破!$BX$4:$CH$4,INDEX(挂机升级突破!$BU$6:$BU$57,卡牌消耗!AI495))</f>
        <v>金币</v>
      </c>
      <c r="AK495" s="14">
        <f>ROUND(INDEX(挂机升级突破!$BN$6:$BN$57,卡牌消耗!AI495)*INDEX(卡牌消耗!$B$8:$F$8,AG495)/$Q$4/50,0)*50</f>
        <v>8050</v>
      </c>
      <c r="AL495" s="14" t="str">
        <f>IF(AD495&gt;0,INDEX(挂机升级突破!$BX$4:$CH$4,AD495),"")</f>
        <v>橙色基础材料</v>
      </c>
      <c r="AM495" s="14">
        <f>ROUND(INDEX(挂机升级突破!$BX$6:$CH$57,卡牌消耗!AI495,AD495)*INDEX(卡牌消耗!$B$5:$F$5,AG495)/$Q$4/5,0)*5</f>
        <v>85</v>
      </c>
      <c r="AN495" s="14" t="str">
        <f>IF(AE495&gt;0,INDEX(挂机升级突破!$BX$4:$CH$4,AE495),"")</f>
        <v/>
      </c>
      <c r="AO495" s="14" t="str">
        <f>IF(AE495&gt;0,ROUND(INDEX(挂机升级突破!$BX$6:$CH$57,卡牌消耗!AI495,AE495)*INDEX(卡牌消耗!$B$7:$F$7,AG495)/$Q$4,0),"")</f>
        <v/>
      </c>
      <c r="AP495" s="106"/>
      <c r="AQ495" s="15"/>
      <c r="AR495" s="104">
        <v>491</v>
      </c>
      <c r="AS495" s="14">
        <f t="shared" si="163"/>
        <v>25</v>
      </c>
      <c r="AT495" s="14">
        <f>INDEX(挂机升级突破!$CM$7:$CM$26,AX495)</f>
        <v>5</v>
      </c>
      <c r="AU495" s="14">
        <f>INDEX(挂机升级突破!$CN$7:$CN$26,AX495)</f>
        <v>2</v>
      </c>
      <c r="AV495" s="14">
        <f t="shared" si="164"/>
        <v>3</v>
      </c>
      <c r="AW495" s="14" t="str">
        <f t="shared" si="165"/>
        <v>雷震子</v>
      </c>
      <c r="AX495" s="14">
        <f t="shared" si="166"/>
        <v>11</v>
      </c>
      <c r="AY495" s="14" t="str">
        <f t="shared" si="167"/>
        <v>雷震子11突</v>
      </c>
      <c r="AZ495" s="14" t="str">
        <f>IF(AT495&gt;0,INDEX(挂机升级突破!$CV$5:$CZ$5,卡牌消耗!AT495),"")</f>
        <v>金币</v>
      </c>
      <c r="BA495" s="14">
        <f>IF(AT495&gt;0,ROUND(INDEX(挂机升级突破!$CZ$7:$CZ$26,卡牌消耗!AX495)*INDEX(卡牌消耗!$B$8:$F$8,AV495)/$Q$4/500,0)*500,"")</f>
        <v>14500</v>
      </c>
      <c r="BB495" s="14" t="str">
        <f>IF(AU495&gt;0,INDEX(挂机升级突破!$CV$5:$CZ$5,卡牌消耗!AU495),"")</f>
        <v>乌金</v>
      </c>
      <c r="BC495" s="14">
        <f>IF(AU495&gt;0,ROUND(INDEX(挂机升级突破!$CV$7:$CY$26,卡牌消耗!AX495,卡牌消耗!AU495)*INDEX($B$6:$F$6,AV495)/$Q$4/5,0)*5,"")</f>
        <v>120</v>
      </c>
      <c r="BD495" s="104"/>
      <c r="BE495" s="104"/>
      <c r="BF495" s="106"/>
    </row>
    <row r="496" spans="8:58" ht="16.5" x14ac:dyDescent="0.2">
      <c r="H496" s="15"/>
      <c r="I496" s="15"/>
      <c r="J496" s="15"/>
      <c r="K496" s="15"/>
      <c r="L496" s="15"/>
      <c r="M496" s="15"/>
      <c r="N496" s="15"/>
      <c r="O496" s="137"/>
      <c r="P496" s="141"/>
      <c r="Q496" s="141"/>
      <c r="R496" s="141"/>
      <c r="S496" s="141"/>
      <c r="T496" s="141"/>
      <c r="U496" s="141"/>
      <c r="V496" s="141"/>
      <c r="W496" s="141"/>
      <c r="X496" s="141"/>
      <c r="Y496" s="141"/>
      <c r="Z496" s="141"/>
      <c r="AA496" s="104">
        <v>492</v>
      </c>
      <c r="AB496" s="14">
        <f t="shared" si="158"/>
        <v>10</v>
      </c>
      <c r="AC496" s="14">
        <f>INDEX(挂机升级突破!$BU$6:$BU$57,卡牌消耗!AI496)</f>
        <v>11</v>
      </c>
      <c r="AD496" s="14">
        <f>INDEX(挂机升级突破!BV$6:BV$57,卡牌消耗!$AI496)</f>
        <v>4</v>
      </c>
      <c r="AE496" s="14">
        <f>INDEX(挂机升级突破!BW$6:BW$57,卡牌消耗!$AI496)</f>
        <v>0</v>
      </c>
      <c r="AF496" s="14" t="str">
        <f t="shared" si="159"/>
        <v>张郃</v>
      </c>
      <c r="AG496" s="14">
        <f t="shared" si="160"/>
        <v>4</v>
      </c>
      <c r="AH496" s="14" t="str">
        <f t="shared" si="161"/>
        <v>张郃魂火-24</v>
      </c>
      <c r="AI496" s="14">
        <f t="shared" si="162"/>
        <v>24</v>
      </c>
      <c r="AJ496" s="14" t="str">
        <f>INDEX(挂机升级突破!$BX$4:$CH$4,INDEX(挂机升级突破!$BU$6:$BU$57,卡牌消耗!AI496))</f>
        <v>金币</v>
      </c>
      <c r="AK496" s="14">
        <f>ROUND(INDEX(挂机升级突破!$BN$6:$BN$57,卡牌消耗!AI496)*INDEX(卡牌消耗!$B$8:$F$8,AG496)/$Q$4/50,0)*50</f>
        <v>8050</v>
      </c>
      <c r="AL496" s="14" t="str">
        <f>IF(AD496&gt;0,INDEX(挂机升级突破!$BX$4:$CH$4,AD496),"")</f>
        <v>橙色基础材料</v>
      </c>
      <c r="AM496" s="14">
        <f>ROUND(INDEX(挂机升级突破!$BX$6:$CH$57,卡牌消耗!AI496,AD496)*INDEX(卡牌消耗!$B$5:$F$5,AG496)/$Q$4/5,0)*5</f>
        <v>85</v>
      </c>
      <c r="AN496" s="14" t="str">
        <f>IF(AE496&gt;0,INDEX(挂机升级突破!$BX$4:$CH$4,AE496),"")</f>
        <v/>
      </c>
      <c r="AO496" s="14" t="str">
        <f>IF(AE496&gt;0,ROUND(INDEX(挂机升级突破!$BX$6:$CH$57,卡牌消耗!AI496,AE496)*INDEX(卡牌消耗!$B$7:$F$7,AG496)/$Q$4,0),"")</f>
        <v/>
      </c>
      <c r="AP496" s="106"/>
      <c r="AQ496" s="15"/>
      <c r="AR496" s="104">
        <v>492</v>
      </c>
      <c r="AS496" s="14">
        <f t="shared" si="163"/>
        <v>25</v>
      </c>
      <c r="AT496" s="14">
        <f>INDEX(挂机升级突破!$CM$7:$CM$26,AX496)</f>
        <v>5</v>
      </c>
      <c r="AU496" s="14">
        <f>INDEX(挂机升级突破!$CN$7:$CN$26,AX496)</f>
        <v>2</v>
      </c>
      <c r="AV496" s="14">
        <f t="shared" si="164"/>
        <v>3</v>
      </c>
      <c r="AW496" s="14" t="str">
        <f t="shared" si="165"/>
        <v>雷震子</v>
      </c>
      <c r="AX496" s="14">
        <f t="shared" si="166"/>
        <v>12</v>
      </c>
      <c r="AY496" s="14" t="str">
        <f t="shared" si="167"/>
        <v>雷震子12突</v>
      </c>
      <c r="AZ496" s="14" t="str">
        <f>IF(AT496&gt;0,INDEX(挂机升级突破!$CV$5:$CZ$5,卡牌消耗!AT496),"")</f>
        <v>金币</v>
      </c>
      <c r="BA496" s="14">
        <f>IF(AT496&gt;0,ROUND(INDEX(挂机升级突破!$CZ$7:$CZ$26,卡牌消耗!AX496)*INDEX(卡牌消耗!$B$8:$F$8,AV496)/$Q$4/500,0)*500,"")</f>
        <v>19500</v>
      </c>
      <c r="BB496" s="14" t="str">
        <f>IF(AU496&gt;0,INDEX(挂机升级突破!$CV$5:$CZ$5,卡牌消耗!AU496),"")</f>
        <v>乌金</v>
      </c>
      <c r="BC496" s="14">
        <f>IF(AU496&gt;0,ROUND(INDEX(挂机升级突破!$CV$7:$CY$26,卡牌消耗!AX496,卡牌消耗!AU496)*INDEX($B$6:$F$6,AV496)/$Q$4/5,0)*5,"")</f>
        <v>155</v>
      </c>
      <c r="BD496" s="104"/>
      <c r="BE496" s="104"/>
      <c r="BF496" s="106"/>
    </row>
    <row r="497" spans="8:58" ht="16.5" x14ac:dyDescent="0.2">
      <c r="H497" s="15"/>
      <c r="I497" s="15"/>
      <c r="J497" s="15"/>
      <c r="K497" s="15"/>
      <c r="L497" s="15"/>
      <c r="M497" s="15"/>
      <c r="N497" s="15"/>
      <c r="O497" s="137"/>
      <c r="P497" s="141"/>
      <c r="Q497" s="141"/>
      <c r="R497" s="141"/>
      <c r="S497" s="141"/>
      <c r="T497" s="141"/>
      <c r="U497" s="141"/>
      <c r="V497" s="141"/>
      <c r="W497" s="141"/>
      <c r="X497" s="141"/>
      <c r="Y497" s="141"/>
      <c r="Z497" s="141"/>
      <c r="AA497" s="104">
        <v>493</v>
      </c>
      <c r="AB497" s="14">
        <f t="shared" si="158"/>
        <v>10</v>
      </c>
      <c r="AC497" s="14">
        <f>INDEX(挂机升级突破!$BU$6:$BU$57,卡牌消耗!AI497)</f>
        <v>11</v>
      </c>
      <c r="AD497" s="14">
        <f>INDEX(挂机升级突破!BV$6:BV$57,卡牌消耗!$AI497)</f>
        <v>4</v>
      </c>
      <c r="AE497" s="14">
        <f>INDEX(挂机升级突破!BW$6:BW$57,卡牌消耗!$AI497)</f>
        <v>0</v>
      </c>
      <c r="AF497" s="14" t="str">
        <f t="shared" si="159"/>
        <v>张郃</v>
      </c>
      <c r="AG497" s="14">
        <f t="shared" si="160"/>
        <v>4</v>
      </c>
      <c r="AH497" s="14" t="str">
        <f t="shared" si="161"/>
        <v>张郃魂火-25</v>
      </c>
      <c r="AI497" s="14">
        <f t="shared" si="162"/>
        <v>25</v>
      </c>
      <c r="AJ497" s="14" t="str">
        <f>INDEX(挂机升级突破!$BX$4:$CH$4,INDEX(挂机升级突破!$BU$6:$BU$57,卡牌消耗!AI497))</f>
        <v>金币</v>
      </c>
      <c r="AK497" s="14">
        <f>ROUND(INDEX(挂机升级突破!$BN$6:$BN$57,卡牌消耗!AI497)*INDEX(卡牌消耗!$B$8:$F$8,AG497)/$Q$4/50,0)*50</f>
        <v>8800</v>
      </c>
      <c r="AL497" s="14" t="str">
        <f>IF(AD497&gt;0,INDEX(挂机升级突破!$BX$4:$CH$4,AD497),"")</f>
        <v>橙色基础材料</v>
      </c>
      <c r="AM497" s="14">
        <f>ROUND(INDEX(挂机升级突破!$BX$6:$CH$57,卡牌消耗!AI497,AD497)*INDEX(卡牌消耗!$B$5:$F$5,AG497)/$Q$4/5,0)*5</f>
        <v>85</v>
      </c>
      <c r="AN497" s="14" t="str">
        <f>IF(AE497&gt;0,INDEX(挂机升级突破!$BX$4:$CH$4,AE497),"")</f>
        <v/>
      </c>
      <c r="AO497" s="14" t="str">
        <f>IF(AE497&gt;0,ROUND(INDEX(挂机升级突破!$BX$6:$CH$57,卡牌消耗!AI497,AE497)*INDEX(卡牌消耗!$B$7:$F$7,AG497)/$Q$4,0),"")</f>
        <v/>
      </c>
      <c r="AP497" s="106"/>
      <c r="AQ497" s="15"/>
      <c r="AR497" s="104">
        <v>493</v>
      </c>
      <c r="AS497" s="14">
        <f t="shared" si="163"/>
        <v>25</v>
      </c>
      <c r="AT497" s="14">
        <f>INDEX(挂机升级突破!$CM$7:$CM$26,AX497)</f>
        <v>5</v>
      </c>
      <c r="AU497" s="14">
        <f>INDEX(挂机升级突破!$CN$7:$CN$26,AX497)</f>
        <v>3</v>
      </c>
      <c r="AV497" s="14">
        <f t="shared" si="164"/>
        <v>3</v>
      </c>
      <c r="AW497" s="14" t="str">
        <f t="shared" si="165"/>
        <v>雷震子</v>
      </c>
      <c r="AX497" s="14">
        <f t="shared" si="166"/>
        <v>13</v>
      </c>
      <c r="AY497" s="14" t="str">
        <f t="shared" si="167"/>
        <v>雷震子13突</v>
      </c>
      <c r="AZ497" s="14" t="str">
        <f>IF(AT497&gt;0,INDEX(挂机升级突破!$CV$5:$CZ$5,卡牌消耗!AT497),"")</f>
        <v>金币</v>
      </c>
      <c r="BA497" s="14">
        <f>IF(AT497&gt;0,ROUND(INDEX(挂机升级突破!$CZ$7:$CZ$26,卡牌消耗!AX497)*INDEX(卡牌消耗!$B$8:$F$8,AV497)/$Q$4/500,0)*500,"")</f>
        <v>26000</v>
      </c>
      <c r="BB497" s="14" t="str">
        <f>IF(AU497&gt;0,INDEX(挂机升级突破!$CV$5:$CZ$5,卡牌消耗!AU497),"")</f>
        <v>银母</v>
      </c>
      <c r="BC497" s="14">
        <f>IF(AU497&gt;0,ROUND(INDEX(挂机升级突破!$CV$7:$CY$26,卡牌消耗!AX497,卡牌消耗!AU497)*INDEX($B$6:$F$6,AV497)/$Q$4/5,0)*5,"")</f>
        <v>30</v>
      </c>
      <c r="BD497" s="104"/>
      <c r="BE497" s="104"/>
      <c r="BF497" s="106"/>
    </row>
    <row r="498" spans="8:58" ht="16.5" x14ac:dyDescent="0.2">
      <c r="H498" s="15"/>
      <c r="I498" s="15"/>
      <c r="J498" s="15"/>
      <c r="K498" s="15"/>
      <c r="L498" s="15"/>
      <c r="M498" s="15"/>
      <c r="N498" s="15"/>
      <c r="O498" s="137"/>
      <c r="P498" s="141"/>
      <c r="Q498" s="141"/>
      <c r="R498" s="141"/>
      <c r="S498" s="141"/>
      <c r="T498" s="141"/>
      <c r="U498" s="141"/>
      <c r="V498" s="141"/>
      <c r="W498" s="141"/>
      <c r="X498" s="141"/>
      <c r="Y498" s="141"/>
      <c r="Z498" s="141"/>
      <c r="AA498" s="104">
        <v>494</v>
      </c>
      <c r="AB498" s="14">
        <f t="shared" si="158"/>
        <v>10</v>
      </c>
      <c r="AC498" s="14">
        <f>INDEX(挂机升级突破!$BU$6:$BU$57,卡牌消耗!AI498)</f>
        <v>11</v>
      </c>
      <c r="AD498" s="14">
        <f>INDEX(挂机升级突破!BV$6:BV$57,卡牌消耗!$AI498)</f>
        <v>4</v>
      </c>
      <c r="AE498" s="14">
        <f>INDEX(挂机升级突破!BW$6:BW$57,卡牌消耗!$AI498)</f>
        <v>0</v>
      </c>
      <c r="AF498" s="14" t="str">
        <f t="shared" si="159"/>
        <v>张郃</v>
      </c>
      <c r="AG498" s="14">
        <f t="shared" si="160"/>
        <v>4</v>
      </c>
      <c r="AH498" s="14" t="str">
        <f t="shared" si="161"/>
        <v>张郃魂火-26</v>
      </c>
      <c r="AI498" s="14">
        <f t="shared" si="162"/>
        <v>26</v>
      </c>
      <c r="AJ498" s="14" t="str">
        <f>INDEX(挂机升级突破!$BX$4:$CH$4,INDEX(挂机升级突破!$BU$6:$BU$57,卡牌消耗!AI498))</f>
        <v>金币</v>
      </c>
      <c r="AK498" s="14">
        <f>ROUND(INDEX(挂机升级突破!$BN$6:$BN$57,卡牌消耗!AI498)*INDEX(卡牌消耗!$B$8:$F$8,AG498)/$Q$4/50,0)*50</f>
        <v>10250</v>
      </c>
      <c r="AL498" s="14" t="str">
        <f>IF(AD498&gt;0,INDEX(挂机升级突破!$BX$4:$CH$4,AD498),"")</f>
        <v>橙色基础材料</v>
      </c>
      <c r="AM498" s="14">
        <f>ROUND(INDEX(挂机升级突破!$BX$6:$CH$57,卡牌消耗!AI498,AD498)*INDEX(卡牌消耗!$B$5:$F$5,AG498)/$Q$4/5,0)*5</f>
        <v>100</v>
      </c>
      <c r="AN498" s="14" t="str">
        <f>IF(AE498&gt;0,INDEX(挂机升级突破!$BX$4:$CH$4,AE498),"")</f>
        <v/>
      </c>
      <c r="AO498" s="14" t="str">
        <f>IF(AE498&gt;0,ROUND(INDEX(挂机升级突破!$BX$6:$CH$57,卡牌消耗!AI498,AE498)*INDEX(卡牌消耗!$B$7:$F$7,AG498)/$Q$4,0),"")</f>
        <v/>
      </c>
      <c r="AP498" s="106"/>
      <c r="AQ498" s="15"/>
      <c r="AR498" s="104">
        <v>494</v>
      </c>
      <c r="AS498" s="14">
        <f t="shared" si="163"/>
        <v>25</v>
      </c>
      <c r="AT498" s="14">
        <f>INDEX(挂机升级突破!$CM$7:$CM$26,AX498)</f>
        <v>5</v>
      </c>
      <c r="AU498" s="14">
        <f>INDEX(挂机升级突破!$CN$7:$CN$26,AX498)</f>
        <v>3</v>
      </c>
      <c r="AV498" s="14">
        <f t="shared" si="164"/>
        <v>3</v>
      </c>
      <c r="AW498" s="14" t="str">
        <f t="shared" si="165"/>
        <v>雷震子</v>
      </c>
      <c r="AX498" s="14">
        <f t="shared" si="166"/>
        <v>14</v>
      </c>
      <c r="AY498" s="14" t="str">
        <f t="shared" si="167"/>
        <v>雷震子14突</v>
      </c>
      <c r="AZ498" s="14" t="str">
        <f>IF(AT498&gt;0,INDEX(挂机升级突破!$CV$5:$CZ$5,卡牌消耗!AT498),"")</f>
        <v>金币</v>
      </c>
      <c r="BA498" s="14">
        <f>IF(AT498&gt;0,ROUND(INDEX(挂机升级突破!$CZ$7:$CZ$26,卡牌消耗!AX498)*INDEX(卡牌消耗!$B$8:$F$8,AV498)/$Q$4/500,0)*500,"")</f>
        <v>26000</v>
      </c>
      <c r="BB498" s="14" t="str">
        <f>IF(AU498&gt;0,INDEX(挂机升级突破!$CV$5:$CZ$5,卡牌消耗!AU498),"")</f>
        <v>银母</v>
      </c>
      <c r="BC498" s="14">
        <f>IF(AU498&gt;0,ROUND(INDEX(挂机升级突破!$CV$7:$CY$26,卡牌消耗!AX498,卡牌消耗!AU498)*INDEX($B$6:$F$6,AV498)/$Q$4/5,0)*5,"")</f>
        <v>40</v>
      </c>
      <c r="BD498" s="104"/>
      <c r="BE498" s="104"/>
      <c r="BF498" s="106"/>
    </row>
    <row r="499" spans="8:58" ht="16.5" x14ac:dyDescent="0.2">
      <c r="H499" s="15"/>
      <c r="I499" s="15"/>
      <c r="J499" s="15"/>
      <c r="K499" s="15"/>
      <c r="L499" s="15"/>
      <c r="M499" s="15"/>
      <c r="N499" s="15"/>
      <c r="O499" s="137"/>
      <c r="P499" s="141"/>
      <c r="Q499" s="141"/>
      <c r="R499" s="141"/>
      <c r="S499" s="141"/>
      <c r="T499" s="141"/>
      <c r="U499" s="141"/>
      <c r="V499" s="141"/>
      <c r="W499" s="141"/>
      <c r="X499" s="141"/>
      <c r="Y499" s="141"/>
      <c r="Z499" s="141"/>
      <c r="AA499" s="104">
        <v>495</v>
      </c>
      <c r="AB499" s="14">
        <f t="shared" si="158"/>
        <v>10</v>
      </c>
      <c r="AC499" s="14">
        <f>INDEX(挂机升级突破!$BU$6:$BU$57,卡牌消耗!AI499)</f>
        <v>11</v>
      </c>
      <c r="AD499" s="14">
        <f>INDEX(挂机升级突破!BV$6:BV$57,卡牌消耗!$AI499)</f>
        <v>4</v>
      </c>
      <c r="AE499" s="14">
        <f>INDEX(挂机升级突破!BW$6:BW$57,卡牌消耗!$AI499)</f>
        <v>0</v>
      </c>
      <c r="AF499" s="14" t="str">
        <f t="shared" si="159"/>
        <v>张郃</v>
      </c>
      <c r="AG499" s="14">
        <f t="shared" si="160"/>
        <v>4</v>
      </c>
      <c r="AH499" s="14" t="str">
        <f t="shared" si="161"/>
        <v>张郃魂火-27</v>
      </c>
      <c r="AI499" s="14">
        <f t="shared" si="162"/>
        <v>27</v>
      </c>
      <c r="AJ499" s="14" t="str">
        <f>INDEX(挂机升级突破!$BX$4:$CH$4,INDEX(挂机升级突破!$BU$6:$BU$57,卡牌消耗!AI499))</f>
        <v>金币</v>
      </c>
      <c r="AK499" s="14">
        <f>ROUND(INDEX(挂机升级突破!$BN$6:$BN$57,卡牌消耗!AI499)*INDEX(卡牌消耗!$B$8:$F$8,AG499)/$Q$4/50,0)*50</f>
        <v>10250</v>
      </c>
      <c r="AL499" s="14" t="str">
        <f>IF(AD499&gt;0,INDEX(挂机升级突破!$BX$4:$CH$4,AD499),"")</f>
        <v>橙色基础材料</v>
      </c>
      <c r="AM499" s="14">
        <f>ROUND(INDEX(挂机升级突破!$BX$6:$CH$57,卡牌消耗!AI499,AD499)*INDEX(卡牌消耗!$B$5:$F$5,AG499)/$Q$4/5,0)*5</f>
        <v>100</v>
      </c>
      <c r="AN499" s="14" t="str">
        <f>IF(AE499&gt;0,INDEX(挂机升级突破!$BX$4:$CH$4,AE499),"")</f>
        <v/>
      </c>
      <c r="AO499" s="14" t="str">
        <f>IF(AE499&gt;0,ROUND(INDEX(挂机升级突破!$BX$6:$CH$57,卡牌消耗!AI499,AE499)*INDEX(卡牌消耗!$B$7:$F$7,AG499)/$Q$4,0),"")</f>
        <v/>
      </c>
      <c r="AP499" s="106"/>
      <c r="AQ499" s="15"/>
      <c r="AR499" s="104">
        <v>495</v>
      </c>
      <c r="AS499" s="14">
        <f t="shared" si="163"/>
        <v>25</v>
      </c>
      <c r="AT499" s="14">
        <f>INDEX(挂机升级突破!$CM$7:$CM$26,AX499)</f>
        <v>5</v>
      </c>
      <c r="AU499" s="14">
        <f>INDEX(挂机升级突破!$CN$7:$CN$26,AX499)</f>
        <v>3</v>
      </c>
      <c r="AV499" s="14">
        <f t="shared" si="164"/>
        <v>3</v>
      </c>
      <c r="AW499" s="14" t="str">
        <f t="shared" si="165"/>
        <v>雷震子</v>
      </c>
      <c r="AX499" s="14">
        <f t="shared" si="166"/>
        <v>15</v>
      </c>
      <c r="AY499" s="14" t="str">
        <f t="shared" si="167"/>
        <v>雷震子15突</v>
      </c>
      <c r="AZ499" s="14" t="str">
        <f>IF(AT499&gt;0,INDEX(挂机升级突破!$CV$5:$CZ$5,卡牌消耗!AT499),"")</f>
        <v>金币</v>
      </c>
      <c r="BA499" s="14">
        <f>IF(AT499&gt;0,ROUND(INDEX(挂机升级突破!$CZ$7:$CZ$26,卡牌消耗!AX499)*INDEX(卡牌消耗!$B$8:$F$8,AV499)/$Q$4/500,0)*500,"")</f>
        <v>34500</v>
      </c>
      <c r="BB499" s="14" t="str">
        <f>IF(AU499&gt;0,INDEX(挂机升级突破!$CV$5:$CZ$5,卡牌消耗!AU499),"")</f>
        <v>银母</v>
      </c>
      <c r="BC499" s="14">
        <f>IF(AU499&gt;0,ROUND(INDEX(挂机升级突破!$CV$7:$CY$26,卡牌消耗!AX499,卡牌消耗!AU499)*INDEX($B$6:$F$6,AV499)/$Q$4/5,0)*5,"")</f>
        <v>55</v>
      </c>
      <c r="BD499" s="104"/>
      <c r="BE499" s="104"/>
      <c r="BF499" s="106"/>
    </row>
    <row r="500" spans="8:58" ht="16.5" x14ac:dyDescent="0.2">
      <c r="H500" s="15"/>
      <c r="I500" s="15"/>
      <c r="J500" s="15"/>
      <c r="K500" s="15"/>
      <c r="L500" s="15"/>
      <c r="M500" s="15"/>
      <c r="N500" s="15"/>
      <c r="O500" s="137"/>
      <c r="P500" s="141"/>
      <c r="Q500" s="141"/>
      <c r="R500" s="141"/>
      <c r="S500" s="141"/>
      <c r="T500" s="141"/>
      <c r="U500" s="141"/>
      <c r="V500" s="141"/>
      <c r="W500" s="141"/>
      <c r="X500" s="141"/>
      <c r="Y500" s="141"/>
      <c r="Z500" s="141"/>
      <c r="AA500" s="104">
        <v>496</v>
      </c>
      <c r="AB500" s="14">
        <f t="shared" si="158"/>
        <v>10</v>
      </c>
      <c r="AC500" s="14">
        <f>INDEX(挂机升级突破!$BU$6:$BU$57,卡牌消耗!AI500)</f>
        <v>11</v>
      </c>
      <c r="AD500" s="14">
        <f>INDEX(挂机升级突破!BV$6:BV$57,卡牌消耗!$AI500)</f>
        <v>4</v>
      </c>
      <c r="AE500" s="14">
        <f>INDEX(挂机升级突破!BW$6:BW$57,卡牌消耗!$AI500)</f>
        <v>0</v>
      </c>
      <c r="AF500" s="14" t="str">
        <f t="shared" si="159"/>
        <v>张郃</v>
      </c>
      <c r="AG500" s="14">
        <f t="shared" si="160"/>
        <v>4</v>
      </c>
      <c r="AH500" s="14" t="str">
        <f t="shared" si="161"/>
        <v>张郃魂火-28</v>
      </c>
      <c r="AI500" s="14">
        <f t="shared" si="162"/>
        <v>28</v>
      </c>
      <c r="AJ500" s="14" t="str">
        <f>INDEX(挂机升级突破!$BX$4:$CH$4,INDEX(挂机升级突破!$BU$6:$BU$57,卡牌消耗!AI500))</f>
        <v>金币</v>
      </c>
      <c r="AK500" s="14">
        <f>ROUND(INDEX(挂机升级突破!$BN$6:$BN$57,卡牌消耗!AI500)*INDEX(卡牌消耗!$B$8:$F$8,AG500)/$Q$4/50,0)*50</f>
        <v>10250</v>
      </c>
      <c r="AL500" s="14" t="str">
        <f>IF(AD500&gt;0,INDEX(挂机升级突破!$BX$4:$CH$4,AD500),"")</f>
        <v>橙色基础材料</v>
      </c>
      <c r="AM500" s="14">
        <f>ROUND(INDEX(挂机升级突破!$BX$6:$CH$57,卡牌消耗!AI500,AD500)*INDEX(卡牌消耗!$B$5:$F$5,AG500)/$Q$4/5,0)*5</f>
        <v>100</v>
      </c>
      <c r="AN500" s="14" t="str">
        <f>IF(AE500&gt;0,INDEX(挂机升级突破!$BX$4:$CH$4,AE500),"")</f>
        <v/>
      </c>
      <c r="AO500" s="14" t="str">
        <f>IF(AE500&gt;0,ROUND(INDEX(挂机升级突破!$BX$6:$CH$57,卡牌消耗!AI500,AE500)*INDEX(卡牌消耗!$B$7:$F$7,AG500)/$Q$4,0),"")</f>
        <v/>
      </c>
      <c r="AP500" s="106"/>
      <c r="AQ500" s="15"/>
      <c r="AR500" s="104">
        <v>496</v>
      </c>
      <c r="AS500" s="14">
        <f t="shared" si="163"/>
        <v>25</v>
      </c>
      <c r="AT500" s="14">
        <f>INDEX(挂机升级突破!$CM$7:$CM$26,AX500)</f>
        <v>5</v>
      </c>
      <c r="AU500" s="14">
        <f>INDEX(挂机升级突破!$CN$7:$CN$26,AX500)</f>
        <v>3</v>
      </c>
      <c r="AV500" s="14">
        <f t="shared" si="164"/>
        <v>3</v>
      </c>
      <c r="AW500" s="14" t="str">
        <f t="shared" si="165"/>
        <v>雷震子</v>
      </c>
      <c r="AX500" s="14">
        <f t="shared" si="166"/>
        <v>16</v>
      </c>
      <c r="AY500" s="14" t="str">
        <f t="shared" si="167"/>
        <v>雷震子16突</v>
      </c>
      <c r="AZ500" s="14" t="str">
        <f>IF(AT500&gt;0,INDEX(挂机升级突破!$CV$5:$CZ$5,卡牌消耗!AT500),"")</f>
        <v>金币</v>
      </c>
      <c r="BA500" s="14">
        <f>IF(AT500&gt;0,ROUND(INDEX(挂机升级突破!$CZ$7:$CZ$26,卡牌消耗!AX500)*INDEX(卡牌消耗!$B$8:$F$8,AV500)/$Q$4/500,0)*500,"")</f>
        <v>62500</v>
      </c>
      <c r="BB500" s="14" t="str">
        <f>IF(AU500&gt;0,INDEX(挂机升级突破!$CV$5:$CZ$5,卡牌消耗!AU500),"")</f>
        <v>银母</v>
      </c>
      <c r="BC500" s="14">
        <f>IF(AU500&gt;0,ROUND(INDEX(挂机升级突破!$CV$7:$CY$26,卡牌消耗!AX500,卡牌消耗!AU500)*INDEX($B$6:$F$6,AV500)/$Q$4/5,0)*5,"")</f>
        <v>70</v>
      </c>
      <c r="BD500" s="104"/>
      <c r="BE500" s="104"/>
      <c r="BF500" s="106"/>
    </row>
    <row r="501" spans="8:58" ht="16.5" x14ac:dyDescent="0.2">
      <c r="H501" s="15"/>
      <c r="I501" s="15"/>
      <c r="J501" s="15"/>
      <c r="K501" s="15"/>
      <c r="L501" s="15"/>
      <c r="M501" s="15"/>
      <c r="N501" s="15"/>
      <c r="O501" s="137"/>
      <c r="P501" s="141"/>
      <c r="Q501" s="141"/>
      <c r="R501" s="141"/>
      <c r="S501" s="141"/>
      <c r="T501" s="141"/>
      <c r="U501" s="141"/>
      <c r="V501" s="141"/>
      <c r="W501" s="141"/>
      <c r="X501" s="141"/>
      <c r="Y501" s="141"/>
      <c r="Z501" s="141"/>
      <c r="AA501" s="104">
        <v>497</v>
      </c>
      <c r="AB501" s="14">
        <f t="shared" si="158"/>
        <v>10</v>
      </c>
      <c r="AC501" s="14">
        <f>INDEX(挂机升级突破!$BU$6:$BU$57,卡牌消耗!AI501)</f>
        <v>11</v>
      </c>
      <c r="AD501" s="14">
        <f>INDEX(挂机升级突破!BV$6:BV$57,卡牌消耗!$AI501)</f>
        <v>4</v>
      </c>
      <c r="AE501" s="14">
        <f>INDEX(挂机升级突破!BW$6:BW$57,卡牌消耗!$AI501)</f>
        <v>0</v>
      </c>
      <c r="AF501" s="14" t="str">
        <f t="shared" si="159"/>
        <v>张郃</v>
      </c>
      <c r="AG501" s="14">
        <f t="shared" si="160"/>
        <v>4</v>
      </c>
      <c r="AH501" s="14" t="str">
        <f t="shared" si="161"/>
        <v>张郃魂火-29</v>
      </c>
      <c r="AI501" s="14">
        <f t="shared" si="162"/>
        <v>29</v>
      </c>
      <c r="AJ501" s="14" t="str">
        <f>INDEX(挂机升级突破!$BX$4:$CH$4,INDEX(挂机升级突破!$BU$6:$BU$57,卡牌消耗!AI501))</f>
        <v>金币</v>
      </c>
      <c r="AK501" s="14">
        <f>ROUND(INDEX(挂机升级突破!$BN$6:$BN$57,卡牌消耗!AI501)*INDEX(卡牌消耗!$B$8:$F$8,AG501)/$Q$4/50,0)*50</f>
        <v>10350</v>
      </c>
      <c r="AL501" s="14" t="str">
        <f>IF(AD501&gt;0,INDEX(挂机升级突破!$BX$4:$CH$4,AD501),"")</f>
        <v>橙色基础材料</v>
      </c>
      <c r="AM501" s="14">
        <f>ROUND(INDEX(挂机升级突破!$BX$6:$CH$57,卡牌消耗!AI501,AD501)*INDEX(卡牌消耗!$B$5:$F$5,AG501)/$Q$4/5,0)*5</f>
        <v>115</v>
      </c>
      <c r="AN501" s="14" t="str">
        <f>IF(AE501&gt;0,INDEX(挂机升级突破!$BX$4:$CH$4,AE501),"")</f>
        <v/>
      </c>
      <c r="AO501" s="14" t="str">
        <f>IF(AE501&gt;0,ROUND(INDEX(挂机升级突破!$BX$6:$CH$57,卡牌消耗!AI501,AE501)*INDEX(卡牌消耗!$B$7:$F$7,AG501)/$Q$4,0),"")</f>
        <v/>
      </c>
      <c r="AP501" s="106"/>
      <c r="AQ501" s="15"/>
      <c r="AR501" s="104">
        <v>497</v>
      </c>
      <c r="AS501" s="14">
        <f t="shared" si="163"/>
        <v>25</v>
      </c>
      <c r="AT501" s="14">
        <f>INDEX(挂机升级突破!$CM$7:$CM$26,AX501)</f>
        <v>5</v>
      </c>
      <c r="AU501" s="14">
        <f>INDEX(挂机升级突破!$CN$7:$CN$26,AX501)</f>
        <v>4</v>
      </c>
      <c r="AV501" s="14">
        <f t="shared" si="164"/>
        <v>3</v>
      </c>
      <c r="AW501" s="14" t="str">
        <f t="shared" si="165"/>
        <v>雷震子</v>
      </c>
      <c r="AX501" s="14">
        <f t="shared" si="166"/>
        <v>17</v>
      </c>
      <c r="AY501" s="14" t="str">
        <f t="shared" si="167"/>
        <v>雷震子17突</v>
      </c>
      <c r="AZ501" s="14" t="str">
        <f>IF(AT501&gt;0,INDEX(挂机升级突破!$CV$5:$CZ$5,卡牌消耗!AT501),"")</f>
        <v>金币</v>
      </c>
      <c r="BA501" s="14">
        <f>IF(AT501&gt;0,ROUND(INDEX(挂机升级突破!$CZ$7:$CZ$26,卡牌消耗!AX501)*INDEX(卡牌消耗!$B$8:$F$8,AV501)/$Q$4/500,0)*500,"")</f>
        <v>62500</v>
      </c>
      <c r="BB501" s="14" t="str">
        <f>IF(AU501&gt;0,INDEX(挂机升级突破!$CV$5:$CZ$5,卡牌消耗!AU501),"")</f>
        <v>铀金</v>
      </c>
      <c r="BC501" s="14">
        <f>IF(AU501&gt;0,ROUND(INDEX(挂机升级突破!$CV$7:$CY$26,卡牌消耗!AX501,卡牌消耗!AU501)*INDEX($B$6:$F$6,AV501)/$Q$4/5,0)*5,"")</f>
        <v>25</v>
      </c>
      <c r="BD501" s="104"/>
      <c r="BE501" s="104"/>
      <c r="BF501" s="106"/>
    </row>
    <row r="502" spans="8:58" ht="16.5" x14ac:dyDescent="0.2">
      <c r="H502" s="15"/>
      <c r="I502" s="15"/>
      <c r="J502" s="15"/>
      <c r="K502" s="15"/>
      <c r="L502" s="15"/>
      <c r="M502" s="15"/>
      <c r="N502" s="15"/>
      <c r="O502" s="137"/>
      <c r="P502" s="141"/>
      <c r="Q502" s="141"/>
      <c r="R502" s="141"/>
      <c r="S502" s="141"/>
      <c r="T502" s="141"/>
      <c r="U502" s="141"/>
      <c r="V502" s="141"/>
      <c r="W502" s="141"/>
      <c r="X502" s="141"/>
      <c r="Y502" s="141"/>
      <c r="Z502" s="141"/>
      <c r="AA502" s="104">
        <v>498</v>
      </c>
      <c r="AB502" s="14">
        <f t="shared" si="158"/>
        <v>10</v>
      </c>
      <c r="AC502" s="14">
        <f>INDEX(挂机升级突破!$BU$6:$BU$57,卡牌消耗!AI502)</f>
        <v>11</v>
      </c>
      <c r="AD502" s="14">
        <f>INDEX(挂机升级突破!BV$6:BV$57,卡牌消耗!$AI502)</f>
        <v>4</v>
      </c>
      <c r="AE502" s="14">
        <f>INDEX(挂机升级突破!BW$6:BW$57,卡牌消耗!$AI502)</f>
        <v>0</v>
      </c>
      <c r="AF502" s="14" t="str">
        <f t="shared" si="159"/>
        <v>张郃</v>
      </c>
      <c r="AG502" s="14">
        <f t="shared" si="160"/>
        <v>4</v>
      </c>
      <c r="AH502" s="14" t="str">
        <f t="shared" si="161"/>
        <v>张郃魂火-30</v>
      </c>
      <c r="AI502" s="14">
        <f t="shared" si="162"/>
        <v>30</v>
      </c>
      <c r="AJ502" s="14" t="str">
        <f>INDEX(挂机升级突破!$BX$4:$CH$4,INDEX(挂机升级突破!$BU$6:$BU$57,卡牌消耗!AI502))</f>
        <v>金币</v>
      </c>
      <c r="AK502" s="14">
        <f>ROUND(INDEX(挂机升级突破!$BN$6:$BN$57,卡牌消耗!AI502)*INDEX(卡牌消耗!$B$8:$F$8,AG502)/$Q$4/50,0)*50</f>
        <v>10350</v>
      </c>
      <c r="AL502" s="14" t="str">
        <f>IF(AD502&gt;0,INDEX(挂机升级突破!$BX$4:$CH$4,AD502),"")</f>
        <v>橙色基础材料</v>
      </c>
      <c r="AM502" s="14">
        <f>ROUND(INDEX(挂机升级突破!$BX$6:$CH$57,卡牌消耗!AI502,AD502)*INDEX(卡牌消耗!$B$5:$F$5,AG502)/$Q$4/5,0)*5</f>
        <v>115</v>
      </c>
      <c r="AN502" s="14" t="str">
        <f>IF(AE502&gt;0,INDEX(挂机升级突破!$BX$4:$CH$4,AE502),"")</f>
        <v/>
      </c>
      <c r="AO502" s="14" t="str">
        <f>IF(AE502&gt;0,ROUND(INDEX(挂机升级突破!$BX$6:$CH$57,卡牌消耗!AI502,AE502)*INDEX(卡牌消耗!$B$7:$F$7,AG502)/$Q$4,0),"")</f>
        <v/>
      </c>
      <c r="AP502" s="106"/>
      <c r="AQ502" s="15"/>
      <c r="AR502" s="104">
        <v>498</v>
      </c>
      <c r="AS502" s="14">
        <f t="shared" si="163"/>
        <v>25</v>
      </c>
      <c r="AT502" s="14">
        <f>INDEX(挂机升级突破!$CM$7:$CM$26,AX502)</f>
        <v>5</v>
      </c>
      <c r="AU502" s="14">
        <f>INDEX(挂机升级突破!$CN$7:$CN$26,AX502)</f>
        <v>4</v>
      </c>
      <c r="AV502" s="14">
        <f t="shared" si="164"/>
        <v>3</v>
      </c>
      <c r="AW502" s="14" t="str">
        <f t="shared" si="165"/>
        <v>雷震子</v>
      </c>
      <c r="AX502" s="14">
        <f t="shared" si="166"/>
        <v>18</v>
      </c>
      <c r="AY502" s="14" t="str">
        <f t="shared" si="167"/>
        <v>雷震子18突</v>
      </c>
      <c r="AZ502" s="14" t="str">
        <f>IF(AT502&gt;0,INDEX(挂机升级突破!$CV$5:$CZ$5,卡牌消耗!AT502),"")</f>
        <v>金币</v>
      </c>
      <c r="BA502" s="14">
        <f>IF(AT502&gt;0,ROUND(INDEX(挂机升级突破!$CZ$7:$CZ$26,卡牌消耗!AX502)*INDEX(卡牌消耗!$B$8:$F$8,AV502)/$Q$4/500,0)*500,"")</f>
        <v>83500</v>
      </c>
      <c r="BB502" s="14" t="str">
        <f>IF(AU502&gt;0,INDEX(挂机升级突破!$CV$5:$CZ$5,卡牌消耗!AU502),"")</f>
        <v>铀金</v>
      </c>
      <c r="BC502" s="14">
        <f>IF(AU502&gt;0,ROUND(INDEX(挂机升级突破!$CV$7:$CY$26,卡牌消耗!AX502,卡牌消耗!AU502)*INDEX($B$6:$F$6,AV502)/$Q$4/5,0)*5,"")</f>
        <v>35</v>
      </c>
      <c r="BD502" s="104"/>
      <c r="BE502" s="104"/>
      <c r="BF502" s="106"/>
    </row>
    <row r="503" spans="8:58" ht="16.5" x14ac:dyDescent="0.2">
      <c r="H503" s="15"/>
      <c r="I503" s="15"/>
      <c r="J503" s="15"/>
      <c r="K503" s="15"/>
      <c r="L503" s="15"/>
      <c r="M503" s="15"/>
      <c r="N503" s="15"/>
      <c r="O503" s="137"/>
      <c r="P503" s="141"/>
      <c r="Q503" s="141"/>
      <c r="R503" s="141"/>
      <c r="S503" s="141"/>
      <c r="T503" s="141"/>
      <c r="U503" s="141"/>
      <c r="V503" s="141"/>
      <c r="W503" s="141"/>
      <c r="X503" s="141"/>
      <c r="Y503" s="141"/>
      <c r="Z503" s="141"/>
      <c r="AA503" s="104">
        <v>499</v>
      </c>
      <c r="AB503" s="14">
        <f t="shared" si="158"/>
        <v>10</v>
      </c>
      <c r="AC503" s="14">
        <f>INDEX(挂机升级突破!$BU$6:$BU$57,卡牌消耗!AI503)</f>
        <v>11</v>
      </c>
      <c r="AD503" s="14">
        <f>INDEX(挂机升级突破!BV$6:BV$57,卡牌消耗!$AI503)</f>
        <v>4</v>
      </c>
      <c r="AE503" s="14">
        <f>INDEX(挂机升级突破!BW$6:BW$57,卡牌消耗!$AI503)</f>
        <v>0</v>
      </c>
      <c r="AF503" s="14" t="str">
        <f t="shared" si="159"/>
        <v>张郃</v>
      </c>
      <c r="AG503" s="14">
        <f t="shared" si="160"/>
        <v>4</v>
      </c>
      <c r="AH503" s="14" t="str">
        <f t="shared" si="161"/>
        <v>张郃魂火-31</v>
      </c>
      <c r="AI503" s="14">
        <f t="shared" si="162"/>
        <v>31</v>
      </c>
      <c r="AJ503" s="14" t="str">
        <f>INDEX(挂机升级突破!$BX$4:$CH$4,INDEX(挂机升级突破!$BU$6:$BU$57,卡牌消耗!AI503))</f>
        <v>金币</v>
      </c>
      <c r="AK503" s="14">
        <f>ROUND(INDEX(挂机升级突破!$BN$6:$BN$57,卡牌消耗!AI503)*INDEX(卡牌消耗!$B$8:$F$8,AG503)/$Q$4/50,0)*50</f>
        <v>10350</v>
      </c>
      <c r="AL503" s="14" t="str">
        <f>IF(AD503&gt;0,INDEX(挂机升级突破!$BX$4:$CH$4,AD503),"")</f>
        <v>橙色基础材料</v>
      </c>
      <c r="AM503" s="14">
        <f>ROUND(INDEX(挂机升级突破!$BX$6:$CH$57,卡牌消耗!AI503,AD503)*INDEX(卡牌消耗!$B$5:$F$5,AG503)/$Q$4/5,0)*5</f>
        <v>115</v>
      </c>
      <c r="AN503" s="14" t="str">
        <f>IF(AE503&gt;0,INDEX(挂机升级突破!$BX$4:$CH$4,AE503),"")</f>
        <v/>
      </c>
      <c r="AO503" s="14" t="str">
        <f>IF(AE503&gt;0,ROUND(INDEX(挂机升级突破!$BX$6:$CH$57,卡牌消耗!AI503,AE503)*INDEX(卡牌消耗!$B$7:$F$7,AG503)/$Q$4,0),"")</f>
        <v/>
      </c>
      <c r="AP503" s="106"/>
      <c r="AQ503" s="15"/>
      <c r="AR503" s="104">
        <v>499</v>
      </c>
      <c r="AS503" s="14">
        <f t="shared" si="163"/>
        <v>25</v>
      </c>
      <c r="AT503" s="14">
        <f>INDEX(挂机升级突破!$CM$7:$CM$26,AX503)</f>
        <v>5</v>
      </c>
      <c r="AU503" s="14">
        <f>INDEX(挂机升级突破!$CN$7:$CN$26,AX503)</f>
        <v>4</v>
      </c>
      <c r="AV503" s="14">
        <f t="shared" si="164"/>
        <v>3</v>
      </c>
      <c r="AW503" s="14" t="str">
        <f t="shared" si="165"/>
        <v>雷震子</v>
      </c>
      <c r="AX503" s="14">
        <f t="shared" si="166"/>
        <v>19</v>
      </c>
      <c r="AY503" s="14" t="str">
        <f t="shared" si="167"/>
        <v>雷震子19突</v>
      </c>
      <c r="AZ503" s="14" t="str">
        <f>IF(AT503&gt;0,INDEX(挂机升级突破!$CV$5:$CZ$5,卡牌消耗!AT503),"")</f>
        <v>金币</v>
      </c>
      <c r="BA503" s="14">
        <f>IF(AT503&gt;0,ROUND(INDEX(挂机升级突破!$CZ$7:$CZ$26,卡牌消耗!AX503)*INDEX(卡牌消耗!$B$8:$F$8,AV503)/$Q$4/500,0)*500,"")</f>
        <v>506500</v>
      </c>
      <c r="BB503" s="14" t="str">
        <f>IF(AU503&gt;0,INDEX(挂机升级突破!$CV$5:$CZ$5,卡牌消耗!AU503),"")</f>
        <v>铀金</v>
      </c>
      <c r="BC503" s="14">
        <f>IF(AU503&gt;0,ROUND(INDEX(挂机升级突破!$CV$7:$CY$26,卡牌消耗!AX503,卡牌消耗!AU503)*INDEX($B$6:$F$6,AV503)/$Q$4/5,0)*5,"")</f>
        <v>45</v>
      </c>
      <c r="BD503" s="104"/>
      <c r="BE503" s="104"/>
      <c r="BF503" s="106"/>
    </row>
    <row r="504" spans="8:58" ht="16.5" x14ac:dyDescent="0.2">
      <c r="H504" s="15"/>
      <c r="I504" s="15"/>
      <c r="J504" s="15"/>
      <c r="K504" s="15"/>
      <c r="L504" s="15"/>
      <c r="M504" s="15"/>
      <c r="N504" s="15"/>
      <c r="O504" s="137"/>
      <c r="P504" s="141"/>
      <c r="Q504" s="141"/>
      <c r="R504" s="141"/>
      <c r="S504" s="141"/>
      <c r="T504" s="141"/>
      <c r="U504" s="141"/>
      <c r="V504" s="141"/>
      <c r="W504" s="141"/>
      <c r="X504" s="141"/>
      <c r="Y504" s="141"/>
      <c r="Z504" s="141"/>
      <c r="AA504" s="104">
        <v>500</v>
      </c>
      <c r="AB504" s="14">
        <f t="shared" si="158"/>
        <v>10</v>
      </c>
      <c r="AC504" s="14">
        <f>INDEX(挂机升级突破!$BU$6:$BU$57,卡牌消耗!AI504)</f>
        <v>11</v>
      </c>
      <c r="AD504" s="14">
        <f>INDEX(挂机升级突破!BV$6:BV$57,卡牌消耗!$AI504)</f>
        <v>4</v>
      </c>
      <c r="AE504" s="14">
        <f>INDEX(挂机升级突破!BW$6:BW$57,卡牌消耗!$AI504)</f>
        <v>0</v>
      </c>
      <c r="AF504" s="14" t="str">
        <f t="shared" si="159"/>
        <v>张郃</v>
      </c>
      <c r="AG504" s="14">
        <f t="shared" si="160"/>
        <v>4</v>
      </c>
      <c r="AH504" s="14" t="str">
        <f t="shared" si="161"/>
        <v>张郃魂火-32</v>
      </c>
      <c r="AI504" s="14">
        <f t="shared" si="162"/>
        <v>32</v>
      </c>
      <c r="AJ504" s="14" t="str">
        <f>INDEX(挂机升级突破!$BX$4:$CH$4,INDEX(挂机升级突破!$BU$6:$BU$57,卡牌消耗!AI504))</f>
        <v>金币</v>
      </c>
      <c r="AK504" s="14">
        <f>ROUND(INDEX(挂机升级突破!$BN$6:$BN$57,卡牌消耗!AI504)*INDEX(卡牌消耗!$B$8:$F$8,AG504)/$Q$4/50,0)*50</f>
        <v>14250</v>
      </c>
      <c r="AL504" s="14" t="str">
        <f>IF(AD504&gt;0,INDEX(挂机升级突破!$BX$4:$CH$4,AD504),"")</f>
        <v>橙色基础材料</v>
      </c>
      <c r="AM504" s="14">
        <f>ROUND(INDEX(挂机升级突破!$BX$6:$CH$57,卡牌消耗!AI504,AD504)*INDEX(卡牌消耗!$B$5:$F$5,AG504)/$Q$4/5,0)*5</f>
        <v>115</v>
      </c>
      <c r="AN504" s="14" t="str">
        <f>IF(AE504&gt;0,INDEX(挂机升级突破!$BX$4:$CH$4,AE504),"")</f>
        <v/>
      </c>
      <c r="AO504" s="14" t="str">
        <f>IF(AE504&gt;0,ROUND(INDEX(挂机升级突破!$BX$6:$CH$57,卡牌消耗!AI504,AE504)*INDEX(卡牌消耗!$B$7:$F$7,AG504)/$Q$4,0),"")</f>
        <v/>
      </c>
      <c r="AP504" s="106"/>
      <c r="AQ504" s="15"/>
      <c r="AR504" s="104">
        <v>500</v>
      </c>
      <c r="AS504" s="14">
        <f t="shared" si="163"/>
        <v>25</v>
      </c>
      <c r="AT504" s="14">
        <f>INDEX(挂机升级突破!$CM$7:$CM$26,AX504)</f>
        <v>5</v>
      </c>
      <c r="AU504" s="14">
        <f>INDEX(挂机升级突破!$CN$7:$CN$26,AX504)</f>
        <v>4</v>
      </c>
      <c r="AV504" s="14">
        <f t="shared" si="164"/>
        <v>3</v>
      </c>
      <c r="AW504" s="14" t="str">
        <f t="shared" si="165"/>
        <v>雷震子</v>
      </c>
      <c r="AX504" s="14">
        <f t="shared" si="166"/>
        <v>20</v>
      </c>
      <c r="AY504" s="14" t="str">
        <f t="shared" si="167"/>
        <v>雷震子20突</v>
      </c>
      <c r="AZ504" s="14" t="str">
        <f>IF(AT504&gt;0,INDEX(挂机升级突破!$CV$5:$CZ$5,卡牌消耗!AT504),"")</f>
        <v>金币</v>
      </c>
      <c r="BA504" s="14">
        <f>IF(AT504&gt;0,ROUND(INDEX(挂机升级突破!$CZ$7:$CZ$26,卡牌消耗!AX504)*INDEX(卡牌消耗!$B$8:$F$8,AV504)/$Q$4/500,0)*500,"")</f>
        <v>760000</v>
      </c>
      <c r="BB504" s="14" t="str">
        <f>IF(AU504&gt;0,INDEX(挂机升级突破!$CV$5:$CZ$5,卡牌消耗!AU504),"")</f>
        <v>铀金</v>
      </c>
      <c r="BC504" s="14">
        <f>IF(AU504&gt;0,ROUND(INDEX(挂机升级突破!$CV$7:$CY$26,卡牌消耗!AX504,卡牌消耗!AU504)*INDEX($B$6:$F$6,AV504)/$Q$4/5,0)*5,"")</f>
        <v>60</v>
      </c>
      <c r="BD504" s="104"/>
      <c r="BE504" s="104"/>
      <c r="BF504" s="106"/>
    </row>
    <row r="505" spans="8:58" ht="16.5" x14ac:dyDescent="0.2">
      <c r="H505" s="15"/>
      <c r="I505" s="15"/>
      <c r="J505" s="15"/>
      <c r="K505" s="15"/>
      <c r="L505" s="15"/>
      <c r="M505" s="15"/>
      <c r="N505" s="15"/>
      <c r="O505" s="137"/>
      <c r="P505" s="141"/>
      <c r="Q505" s="141"/>
      <c r="R505" s="141"/>
      <c r="S505" s="141"/>
      <c r="T505" s="141"/>
      <c r="U505" s="141"/>
      <c r="V505" s="141"/>
      <c r="W505" s="141"/>
      <c r="X505" s="141"/>
      <c r="Y505" s="141"/>
      <c r="Z505" s="141"/>
      <c r="AA505" s="104">
        <v>501</v>
      </c>
      <c r="AB505" s="14">
        <f t="shared" si="158"/>
        <v>10</v>
      </c>
      <c r="AC505" s="14">
        <f>INDEX(挂机升级突破!$BU$6:$BU$57,卡牌消耗!AI505)</f>
        <v>11</v>
      </c>
      <c r="AD505" s="14">
        <f>INDEX(挂机升级突破!BV$6:BV$57,卡牌消耗!$AI505)</f>
        <v>4</v>
      </c>
      <c r="AE505" s="14">
        <f>INDEX(挂机升级突破!BW$6:BW$57,卡牌消耗!$AI505)</f>
        <v>0</v>
      </c>
      <c r="AF505" s="14" t="str">
        <f t="shared" si="159"/>
        <v>张郃</v>
      </c>
      <c r="AG505" s="14">
        <f t="shared" si="160"/>
        <v>4</v>
      </c>
      <c r="AH505" s="14" t="str">
        <f t="shared" si="161"/>
        <v>张郃魂火-33</v>
      </c>
      <c r="AI505" s="14">
        <f t="shared" si="162"/>
        <v>33</v>
      </c>
      <c r="AJ505" s="14" t="str">
        <f>INDEX(挂机升级突破!$BX$4:$CH$4,INDEX(挂机升级突破!$BU$6:$BU$57,卡牌消耗!AI505))</f>
        <v>金币</v>
      </c>
      <c r="AK505" s="14">
        <f>ROUND(INDEX(挂机升级突破!$BN$6:$BN$57,卡牌消耗!AI505)*INDEX(卡牌消耗!$B$8:$F$8,AG505)/$Q$4/50,0)*50</f>
        <v>14250</v>
      </c>
      <c r="AL505" s="14" t="str">
        <f>IF(AD505&gt;0,INDEX(挂机升级突破!$BX$4:$CH$4,AD505),"")</f>
        <v>橙色基础材料</v>
      </c>
      <c r="AM505" s="14">
        <f>ROUND(INDEX(挂机升级突破!$BX$6:$CH$57,卡牌消耗!AI505,AD505)*INDEX(卡牌消耗!$B$5:$F$5,AG505)/$Q$4/5,0)*5</f>
        <v>115</v>
      </c>
      <c r="AN505" s="14" t="str">
        <f>IF(AE505&gt;0,INDEX(挂机升级突破!$BX$4:$CH$4,AE505),"")</f>
        <v/>
      </c>
      <c r="AO505" s="14" t="str">
        <f>IF(AE505&gt;0,ROUND(INDEX(挂机升级突破!$BX$6:$CH$57,卡牌消耗!AI505,AE505)*INDEX(卡牌消耗!$B$7:$F$7,AG505)/$Q$4,0),"")</f>
        <v/>
      </c>
      <c r="AP505" s="106"/>
      <c r="AQ505" s="15"/>
      <c r="AR505" s="104">
        <v>501</v>
      </c>
      <c r="AS505" s="14">
        <f t="shared" si="163"/>
        <v>26</v>
      </c>
      <c r="AT505" s="14">
        <f>INDEX(挂机升级突破!$CM$7:$CM$26,AX505)</f>
        <v>0</v>
      </c>
      <c r="AU505" s="14">
        <f>INDEX(挂机升级突破!$CN$7:$CN$26,AX505)</f>
        <v>0</v>
      </c>
      <c r="AV505" s="14">
        <f t="shared" si="164"/>
        <v>5</v>
      </c>
      <c r="AW505" s="14" t="str">
        <f t="shared" si="165"/>
        <v>吕布</v>
      </c>
      <c r="AX505" s="14">
        <f t="shared" si="166"/>
        <v>1</v>
      </c>
      <c r="AY505" s="14" t="str">
        <f t="shared" si="167"/>
        <v>吕布1突</v>
      </c>
      <c r="AZ505" s="14" t="str">
        <f>IF(AT505&gt;0,INDEX(挂机升级突破!$CV$5:$CZ$5,卡牌消耗!AT505),"")</f>
        <v/>
      </c>
      <c r="BA505" s="14" t="str">
        <f>IF(AT505&gt;0,ROUND(INDEX(挂机升级突破!$CZ$7:$CZ$26,卡牌消耗!AX505)*INDEX(卡牌消耗!$B$8:$F$8,AV505)/$Q$4/500,0)*500,"")</f>
        <v/>
      </c>
      <c r="BB505" s="14" t="str">
        <f>IF(AU505&gt;0,INDEX(挂机升级突破!$CV$5:$CZ$5,卡牌消耗!AU505),"")</f>
        <v/>
      </c>
      <c r="BC505" s="14" t="str">
        <f>IF(AU505&gt;0,ROUND(INDEX(挂机升级突破!$CV$7:$CY$26,卡牌消耗!AX505,卡牌消耗!AU505)*INDEX($B$6:$F$6,AV505)/$Q$4/5,0)*5,"")</f>
        <v/>
      </c>
      <c r="BD505" s="104"/>
      <c r="BE505" s="104"/>
      <c r="BF505" s="106"/>
    </row>
    <row r="506" spans="8:58" ht="16.5" x14ac:dyDescent="0.2">
      <c r="H506" s="15"/>
      <c r="I506" s="15"/>
      <c r="J506" s="15"/>
      <c r="K506" s="15"/>
      <c r="L506" s="15"/>
      <c r="M506" s="15"/>
      <c r="N506" s="15"/>
      <c r="O506" s="137"/>
      <c r="P506" s="141"/>
      <c r="Q506" s="141"/>
      <c r="R506" s="141"/>
      <c r="S506" s="141"/>
      <c r="T506" s="141"/>
      <c r="U506" s="141"/>
      <c r="V506" s="141"/>
      <c r="W506" s="141"/>
      <c r="X506" s="141"/>
      <c r="Y506" s="141"/>
      <c r="Z506" s="141"/>
      <c r="AA506" s="104">
        <v>502</v>
      </c>
      <c r="AB506" s="14">
        <f t="shared" si="158"/>
        <v>10</v>
      </c>
      <c r="AC506" s="14">
        <f>INDEX(挂机升级突破!$BU$6:$BU$57,卡牌消耗!AI506)</f>
        <v>11</v>
      </c>
      <c r="AD506" s="14">
        <f>INDEX(挂机升级突破!BV$6:BV$57,卡牌消耗!$AI506)</f>
        <v>4</v>
      </c>
      <c r="AE506" s="14">
        <f>INDEX(挂机升级突破!BW$6:BW$57,卡牌消耗!$AI506)</f>
        <v>0</v>
      </c>
      <c r="AF506" s="14" t="str">
        <f t="shared" si="159"/>
        <v>张郃</v>
      </c>
      <c r="AG506" s="14">
        <f t="shared" si="160"/>
        <v>4</v>
      </c>
      <c r="AH506" s="14" t="str">
        <f t="shared" si="161"/>
        <v>张郃魂火-34</v>
      </c>
      <c r="AI506" s="14">
        <f t="shared" si="162"/>
        <v>34</v>
      </c>
      <c r="AJ506" s="14" t="str">
        <f>INDEX(挂机升级突破!$BX$4:$CH$4,INDEX(挂机升级突破!$BU$6:$BU$57,卡牌消耗!AI506))</f>
        <v>金币</v>
      </c>
      <c r="AK506" s="14">
        <f>ROUND(INDEX(挂机升级突破!$BN$6:$BN$57,卡牌消耗!AI506)*INDEX(卡牌消耗!$B$8:$F$8,AG506)/$Q$4/50,0)*50</f>
        <v>14250</v>
      </c>
      <c r="AL506" s="14" t="str">
        <f>IF(AD506&gt;0,INDEX(挂机升级突破!$BX$4:$CH$4,AD506),"")</f>
        <v>橙色基础材料</v>
      </c>
      <c r="AM506" s="14">
        <f>ROUND(INDEX(挂机升级突破!$BX$6:$CH$57,卡牌消耗!AI506,AD506)*INDEX(卡牌消耗!$B$5:$F$5,AG506)/$Q$4/5,0)*5</f>
        <v>135</v>
      </c>
      <c r="AN506" s="14" t="str">
        <f>IF(AE506&gt;0,INDEX(挂机升级突破!$BX$4:$CH$4,AE506),"")</f>
        <v/>
      </c>
      <c r="AO506" s="14" t="str">
        <f>IF(AE506&gt;0,ROUND(INDEX(挂机升级突破!$BX$6:$CH$57,卡牌消耗!AI506,AE506)*INDEX(卡牌消耗!$B$7:$F$7,AG506)/$Q$4,0),"")</f>
        <v/>
      </c>
      <c r="AP506" s="106"/>
      <c r="AQ506" s="15"/>
      <c r="AR506" s="104">
        <v>502</v>
      </c>
      <c r="AS506" s="14">
        <f t="shared" si="163"/>
        <v>26</v>
      </c>
      <c r="AT506" s="14">
        <f>INDEX(挂机升级突破!$CM$7:$CM$26,AX506)</f>
        <v>5</v>
      </c>
      <c r="AU506" s="14">
        <f>INDEX(挂机升级突破!$CN$7:$CN$26,AX506)</f>
        <v>0</v>
      </c>
      <c r="AV506" s="14">
        <f t="shared" si="164"/>
        <v>5</v>
      </c>
      <c r="AW506" s="14" t="str">
        <f t="shared" si="165"/>
        <v>吕布</v>
      </c>
      <c r="AX506" s="14">
        <f t="shared" si="166"/>
        <v>2</v>
      </c>
      <c r="AY506" s="14" t="str">
        <f t="shared" si="167"/>
        <v>吕布2突</v>
      </c>
      <c r="AZ506" s="14" t="str">
        <f>IF(AT506&gt;0,INDEX(挂机升级突破!$CV$5:$CZ$5,卡牌消耗!AT506),"")</f>
        <v>金币</v>
      </c>
      <c r="BA506" s="14">
        <f>IF(AT506&gt;0,ROUND(INDEX(挂机升级突破!$CZ$7:$CZ$26,卡牌消耗!AX506)*INDEX(卡牌消耗!$B$8:$F$8,AV506)/$Q$4/500,0)*500,"")</f>
        <v>5000</v>
      </c>
      <c r="BB506" s="14" t="str">
        <f>IF(AU506&gt;0,INDEX(挂机升级突破!$CV$5:$CZ$5,卡牌消耗!AU506),"")</f>
        <v/>
      </c>
      <c r="BC506" s="14" t="str">
        <f>IF(AU506&gt;0,ROUND(INDEX(挂机升级突破!$CV$7:$CY$26,卡牌消耗!AX506,卡牌消耗!AU506)*INDEX($B$6:$F$6,AV506)/$Q$4/5,0)*5,"")</f>
        <v/>
      </c>
      <c r="BD506" s="104"/>
      <c r="BE506" s="104"/>
      <c r="BF506" s="106"/>
    </row>
    <row r="507" spans="8:58" ht="16.5" x14ac:dyDescent="0.2">
      <c r="H507" s="15"/>
      <c r="I507" s="15"/>
      <c r="J507" s="15"/>
      <c r="K507" s="15"/>
      <c r="L507" s="15"/>
      <c r="M507" s="15"/>
      <c r="N507" s="15"/>
      <c r="O507" s="137"/>
      <c r="P507" s="141"/>
      <c r="Q507" s="141"/>
      <c r="R507" s="141"/>
      <c r="S507" s="141"/>
      <c r="T507" s="141"/>
      <c r="U507" s="141"/>
      <c r="V507" s="141"/>
      <c r="W507" s="141"/>
      <c r="X507" s="141"/>
      <c r="Y507" s="141"/>
      <c r="Z507" s="141"/>
      <c r="AA507" s="104">
        <v>503</v>
      </c>
      <c r="AB507" s="14">
        <f t="shared" si="158"/>
        <v>10</v>
      </c>
      <c r="AC507" s="14">
        <f>INDEX(挂机升级突破!$BU$6:$BU$57,卡牌消耗!AI507)</f>
        <v>11</v>
      </c>
      <c r="AD507" s="14">
        <f>INDEX(挂机升级突破!BV$6:BV$57,卡牌消耗!$AI507)</f>
        <v>4</v>
      </c>
      <c r="AE507" s="14">
        <f>INDEX(挂机升级突破!BW$6:BW$57,卡牌消耗!$AI507)</f>
        <v>0</v>
      </c>
      <c r="AF507" s="14" t="str">
        <f t="shared" si="159"/>
        <v>张郃</v>
      </c>
      <c r="AG507" s="14">
        <f t="shared" si="160"/>
        <v>4</v>
      </c>
      <c r="AH507" s="14" t="str">
        <f t="shared" si="161"/>
        <v>张郃魂火-35</v>
      </c>
      <c r="AI507" s="14">
        <f t="shared" si="162"/>
        <v>35</v>
      </c>
      <c r="AJ507" s="14" t="str">
        <f>INDEX(挂机升级突破!$BX$4:$CH$4,INDEX(挂机升级突破!$BU$6:$BU$57,卡牌消耗!AI507))</f>
        <v>金币</v>
      </c>
      <c r="AK507" s="14">
        <f>ROUND(INDEX(挂机升级突破!$BN$6:$BN$57,卡牌消耗!AI507)*INDEX(卡牌消耗!$B$8:$F$8,AG507)/$Q$4/50,0)*50</f>
        <v>18150</v>
      </c>
      <c r="AL507" s="14" t="str">
        <f>IF(AD507&gt;0,INDEX(挂机升级突破!$BX$4:$CH$4,AD507),"")</f>
        <v>橙色基础材料</v>
      </c>
      <c r="AM507" s="14">
        <f>ROUND(INDEX(挂机升级突破!$BX$6:$CH$57,卡牌消耗!AI507,AD507)*INDEX(卡牌消耗!$B$5:$F$5,AG507)/$Q$4/5,0)*5</f>
        <v>135</v>
      </c>
      <c r="AN507" s="14" t="str">
        <f>IF(AE507&gt;0,INDEX(挂机升级突破!$BX$4:$CH$4,AE507),"")</f>
        <v/>
      </c>
      <c r="AO507" s="14" t="str">
        <f>IF(AE507&gt;0,ROUND(INDEX(挂机升级突破!$BX$6:$CH$57,卡牌消耗!AI507,AE507)*INDEX(卡牌消耗!$B$7:$F$7,AG507)/$Q$4,0),"")</f>
        <v/>
      </c>
      <c r="AP507" s="106"/>
      <c r="AQ507" s="15"/>
      <c r="AR507" s="104">
        <v>503</v>
      </c>
      <c r="AS507" s="14">
        <f t="shared" si="163"/>
        <v>26</v>
      </c>
      <c r="AT507" s="14">
        <f>INDEX(挂机升级突破!$CM$7:$CM$26,AX507)</f>
        <v>5</v>
      </c>
      <c r="AU507" s="14">
        <f>INDEX(挂机升级突破!$CN$7:$CN$26,AX507)</f>
        <v>0</v>
      </c>
      <c r="AV507" s="14">
        <f t="shared" si="164"/>
        <v>5</v>
      </c>
      <c r="AW507" s="14" t="str">
        <f t="shared" si="165"/>
        <v>吕布</v>
      </c>
      <c r="AX507" s="14">
        <f t="shared" si="166"/>
        <v>3</v>
      </c>
      <c r="AY507" s="14" t="str">
        <f t="shared" si="167"/>
        <v>吕布3突</v>
      </c>
      <c r="AZ507" s="14" t="str">
        <f>IF(AT507&gt;0,INDEX(挂机升级突破!$CV$5:$CZ$5,卡牌消耗!AT507),"")</f>
        <v>金币</v>
      </c>
      <c r="BA507" s="14">
        <f>IF(AT507&gt;0,ROUND(INDEX(挂机升级突破!$CZ$7:$CZ$26,卡牌消耗!AX507)*INDEX(卡牌消耗!$B$8:$F$8,AV507)/$Q$4/500,0)*500,"")</f>
        <v>5000</v>
      </c>
      <c r="BB507" s="14" t="str">
        <f>IF(AU507&gt;0,INDEX(挂机升级突破!$CV$5:$CZ$5,卡牌消耗!AU507),"")</f>
        <v/>
      </c>
      <c r="BC507" s="14" t="str">
        <f>IF(AU507&gt;0,ROUND(INDEX(挂机升级突破!$CV$7:$CY$26,卡牌消耗!AX507,卡牌消耗!AU507)*INDEX($B$6:$F$6,AV507)/$Q$4/5,0)*5,"")</f>
        <v/>
      </c>
      <c r="BD507" s="104"/>
      <c r="BE507" s="104"/>
      <c r="BF507" s="106"/>
    </row>
    <row r="508" spans="8:58" ht="16.5" x14ac:dyDescent="0.2">
      <c r="H508" s="15"/>
      <c r="I508" s="15"/>
      <c r="J508" s="15"/>
      <c r="AA508" s="104">
        <v>504</v>
      </c>
      <c r="AB508" s="14">
        <f t="shared" si="158"/>
        <v>10</v>
      </c>
      <c r="AC508" s="14">
        <f>INDEX(挂机升级突破!$BU$6:$BU$57,卡牌消耗!AI508)</f>
        <v>11</v>
      </c>
      <c r="AD508" s="14">
        <f>INDEX(挂机升级突破!BV$6:BV$57,卡牌消耗!$AI508)</f>
        <v>4</v>
      </c>
      <c r="AE508" s="14">
        <f>INDEX(挂机升级突破!BW$6:BW$57,卡牌消耗!$AI508)</f>
        <v>0</v>
      </c>
      <c r="AF508" s="14" t="str">
        <f t="shared" si="159"/>
        <v>张郃</v>
      </c>
      <c r="AG508" s="14">
        <f t="shared" si="160"/>
        <v>4</v>
      </c>
      <c r="AH508" s="14" t="str">
        <f t="shared" si="161"/>
        <v>张郃魂火-36</v>
      </c>
      <c r="AI508" s="14">
        <f t="shared" si="162"/>
        <v>36</v>
      </c>
      <c r="AJ508" s="14" t="str">
        <f>INDEX(挂机升级突破!$BX$4:$CH$4,INDEX(挂机升级突破!$BU$6:$BU$57,卡牌消耗!AI508))</f>
        <v>金币</v>
      </c>
      <c r="AK508" s="14">
        <f>ROUND(INDEX(挂机升级突破!$BN$6:$BN$57,卡牌消耗!AI508)*INDEX(卡牌消耗!$B$8:$F$8,AG508)/$Q$4/50,0)*50</f>
        <v>18150</v>
      </c>
      <c r="AL508" s="14" t="str">
        <f>IF(AD508&gt;0,INDEX(挂机升级突破!$BX$4:$CH$4,AD508),"")</f>
        <v>橙色基础材料</v>
      </c>
      <c r="AM508" s="14">
        <f>ROUND(INDEX(挂机升级突破!$BX$6:$CH$57,卡牌消耗!AI508,AD508)*INDEX(卡牌消耗!$B$5:$F$5,AG508)/$Q$4/5,0)*5</f>
        <v>135</v>
      </c>
      <c r="AN508" s="14" t="str">
        <f>IF(AE508&gt;0,INDEX(挂机升级突破!$BX$4:$CH$4,AE508),"")</f>
        <v/>
      </c>
      <c r="AO508" s="14" t="str">
        <f>IF(AE508&gt;0,ROUND(INDEX(挂机升级突破!$BX$6:$CH$57,卡牌消耗!AI508,AE508)*INDEX(卡牌消耗!$B$7:$F$7,AG508)/$Q$4,0),"")</f>
        <v/>
      </c>
      <c r="AR508" s="104">
        <v>504</v>
      </c>
      <c r="AS508" s="14">
        <f t="shared" si="163"/>
        <v>26</v>
      </c>
      <c r="AT508" s="14">
        <f>INDEX(挂机升级突破!$CM$7:$CM$26,AX508)</f>
        <v>5</v>
      </c>
      <c r="AU508" s="14">
        <f>INDEX(挂机升级突破!$CN$7:$CN$26,AX508)</f>
        <v>1</v>
      </c>
      <c r="AV508" s="14">
        <f t="shared" si="164"/>
        <v>5</v>
      </c>
      <c r="AW508" s="14" t="str">
        <f t="shared" si="165"/>
        <v>吕布</v>
      </c>
      <c r="AX508" s="14">
        <f t="shared" si="166"/>
        <v>4</v>
      </c>
      <c r="AY508" s="14" t="str">
        <f t="shared" si="167"/>
        <v>吕布4突</v>
      </c>
      <c r="AZ508" s="14" t="str">
        <f>IF(AT508&gt;0,INDEX(挂机升级突破!$CV$5:$CZ$5,卡牌消耗!AT508),"")</f>
        <v>金币</v>
      </c>
      <c r="BA508" s="14">
        <f>IF(AT508&gt;0,ROUND(INDEX(挂机升级突破!$CZ$7:$CZ$26,卡牌消耗!AX508)*INDEX(卡牌消耗!$B$8:$F$8,AV508)/$Q$4/500,0)*500,"")</f>
        <v>6000</v>
      </c>
      <c r="BB508" s="14" t="str">
        <f>IF(AU508&gt;0,INDEX(挂机升级突破!$CV$5:$CZ$5,卡牌消耗!AU508),"")</f>
        <v>玄铁</v>
      </c>
      <c r="BC508" s="14">
        <f>IF(AU508&gt;0,ROUND(INDEX(挂机升级突破!$CV$7:$CY$26,卡牌消耗!AX508,卡牌消耗!AU508)*INDEX($B$6:$F$6,AV508)/$Q$4/5,0)*5,"")</f>
        <v>85</v>
      </c>
      <c r="BD508" s="104"/>
      <c r="BE508" s="104"/>
    </row>
    <row r="509" spans="8:58" ht="16.5" x14ac:dyDescent="0.2">
      <c r="H509" s="15"/>
      <c r="I509" s="15"/>
      <c r="J509" s="15"/>
      <c r="AA509" s="104">
        <v>505</v>
      </c>
      <c r="AB509" s="14">
        <f t="shared" si="158"/>
        <v>10</v>
      </c>
      <c r="AC509" s="14">
        <f>INDEX(挂机升级突破!$BU$6:$BU$57,卡牌消耗!AI509)</f>
        <v>11</v>
      </c>
      <c r="AD509" s="14">
        <f>INDEX(挂机升级突破!BV$6:BV$57,卡牌消耗!$AI509)</f>
        <v>4</v>
      </c>
      <c r="AE509" s="14">
        <f>INDEX(挂机升级突破!BW$6:BW$57,卡牌消耗!$AI509)</f>
        <v>0</v>
      </c>
      <c r="AF509" s="14" t="str">
        <f t="shared" si="159"/>
        <v>张郃</v>
      </c>
      <c r="AG509" s="14">
        <f t="shared" si="160"/>
        <v>4</v>
      </c>
      <c r="AH509" s="14" t="str">
        <f t="shared" si="161"/>
        <v>张郃魂火-37</v>
      </c>
      <c r="AI509" s="14">
        <f t="shared" si="162"/>
        <v>37</v>
      </c>
      <c r="AJ509" s="14" t="str">
        <f>INDEX(挂机升级突破!$BX$4:$CH$4,INDEX(挂机升级突破!$BU$6:$BU$57,卡牌消耗!AI509))</f>
        <v>金币</v>
      </c>
      <c r="AK509" s="14">
        <f>ROUND(INDEX(挂机升级突破!$BN$6:$BN$57,卡牌消耗!AI509)*INDEX(卡牌消耗!$B$8:$F$8,AG509)/$Q$4/50,0)*50</f>
        <v>19450</v>
      </c>
      <c r="AL509" s="14" t="str">
        <f>IF(AD509&gt;0,INDEX(挂机升级突破!$BX$4:$CH$4,AD509),"")</f>
        <v>橙色基础材料</v>
      </c>
      <c r="AM509" s="14">
        <f>ROUND(INDEX(挂机升级突破!$BX$6:$CH$57,卡牌消耗!AI509,AD509)*INDEX(卡牌消耗!$B$5:$F$5,AG509)/$Q$4/5,0)*5</f>
        <v>135</v>
      </c>
      <c r="AN509" s="14" t="str">
        <f>IF(AE509&gt;0,INDEX(挂机升级突破!$BX$4:$CH$4,AE509),"")</f>
        <v/>
      </c>
      <c r="AO509" s="14" t="str">
        <f>IF(AE509&gt;0,ROUND(INDEX(挂机升级突破!$BX$6:$CH$57,卡牌消耗!AI509,AE509)*INDEX(卡牌消耗!$B$7:$F$7,AG509)/$Q$4,0),"")</f>
        <v/>
      </c>
      <c r="AR509" s="104">
        <v>505</v>
      </c>
      <c r="AS509" s="14">
        <f t="shared" si="163"/>
        <v>26</v>
      </c>
      <c r="AT509" s="14">
        <f>INDEX(挂机升级突破!$CM$7:$CM$26,AX509)</f>
        <v>5</v>
      </c>
      <c r="AU509" s="14">
        <f>INDEX(挂机升级突破!$CN$7:$CN$26,AX509)</f>
        <v>1</v>
      </c>
      <c r="AV509" s="14">
        <f t="shared" si="164"/>
        <v>5</v>
      </c>
      <c r="AW509" s="14" t="str">
        <f t="shared" si="165"/>
        <v>吕布</v>
      </c>
      <c r="AX509" s="14">
        <f t="shared" si="166"/>
        <v>5</v>
      </c>
      <c r="AY509" s="14" t="str">
        <f t="shared" si="167"/>
        <v>吕布5突</v>
      </c>
      <c r="AZ509" s="14" t="str">
        <f>IF(AT509&gt;0,INDEX(挂机升级突破!$CV$5:$CZ$5,卡牌消耗!AT509),"")</f>
        <v>金币</v>
      </c>
      <c r="BA509" s="14">
        <f>IF(AT509&gt;0,ROUND(INDEX(挂机升级突破!$CZ$7:$CZ$26,卡牌消耗!AX509)*INDEX(卡牌消耗!$B$8:$F$8,AV509)/$Q$4/500,0)*500,"")</f>
        <v>6000</v>
      </c>
      <c r="BB509" s="14" t="str">
        <f>IF(AU509&gt;0,INDEX(挂机升级突破!$CV$5:$CZ$5,卡牌消耗!AU509),"")</f>
        <v>玄铁</v>
      </c>
      <c r="BC509" s="14">
        <f>IF(AU509&gt;0,ROUND(INDEX(挂机升级突破!$CV$7:$CY$26,卡牌消耗!AX509,卡牌消耗!AU509)*INDEX($B$6:$F$6,AV509)/$Q$4/5,0)*5,"")</f>
        <v>175</v>
      </c>
      <c r="BD509" s="104"/>
      <c r="BE509" s="104"/>
    </row>
    <row r="510" spans="8:58" ht="16.5" x14ac:dyDescent="0.2">
      <c r="H510" s="15"/>
      <c r="I510" s="15"/>
      <c r="J510" s="15"/>
      <c r="AA510" s="104">
        <v>506</v>
      </c>
      <c r="AB510" s="14">
        <f t="shared" si="158"/>
        <v>10</v>
      </c>
      <c r="AC510" s="14">
        <f>INDEX(挂机升级突破!$BU$6:$BU$57,卡牌消耗!AI510)</f>
        <v>11</v>
      </c>
      <c r="AD510" s="14">
        <f>INDEX(挂机升级突破!BV$6:BV$57,卡牌消耗!$AI510)</f>
        <v>5</v>
      </c>
      <c r="AE510" s="14">
        <f>INDEX(挂机升级突破!BW$6:BW$57,卡牌消耗!$AI510)</f>
        <v>0</v>
      </c>
      <c r="AF510" s="14" t="str">
        <f t="shared" si="159"/>
        <v>张郃</v>
      </c>
      <c r="AG510" s="14">
        <f t="shared" si="160"/>
        <v>4</v>
      </c>
      <c r="AH510" s="14" t="str">
        <f t="shared" si="161"/>
        <v>张郃魂火-38</v>
      </c>
      <c r="AI510" s="14">
        <f t="shared" si="162"/>
        <v>38</v>
      </c>
      <c r="AJ510" s="14" t="str">
        <f>INDEX(挂机升级突破!$BX$4:$CH$4,INDEX(挂机升级突破!$BU$6:$BU$57,卡牌消耗!AI510))</f>
        <v>金币</v>
      </c>
      <c r="AK510" s="14">
        <f>ROUND(INDEX(挂机升级突破!$BN$6:$BN$57,卡牌消耗!AI510)*INDEX(卡牌消耗!$B$8:$F$8,AG510)/$Q$4/50,0)*50</f>
        <v>25050</v>
      </c>
      <c r="AL510" s="14" t="str">
        <f>IF(AD510&gt;0,INDEX(挂机升级突破!$BX$4:$CH$4,AD510),"")</f>
        <v>红色基础材料</v>
      </c>
      <c r="AM510" s="14">
        <f>ROUND(INDEX(挂机升级突破!$BX$6:$CH$57,卡牌消耗!AI510,AD510)*INDEX(卡牌消耗!$B$5:$F$5,AG510)/$Q$4/5,0)*5</f>
        <v>55</v>
      </c>
      <c r="AN510" s="14" t="str">
        <f>IF(AE510&gt;0,INDEX(挂机升级突破!$BX$4:$CH$4,AE510),"")</f>
        <v/>
      </c>
      <c r="AO510" s="14" t="str">
        <f>IF(AE510&gt;0,ROUND(INDEX(挂机升级突破!$BX$6:$CH$57,卡牌消耗!AI510,AE510)*INDEX(卡牌消耗!$B$7:$F$7,AG510)/$Q$4,0),"")</f>
        <v/>
      </c>
      <c r="AR510" s="104">
        <v>506</v>
      </c>
      <c r="AS510" s="14">
        <f t="shared" si="163"/>
        <v>26</v>
      </c>
      <c r="AT510" s="14">
        <f>INDEX(挂机升级突破!$CM$7:$CM$26,AX510)</f>
        <v>5</v>
      </c>
      <c r="AU510" s="14">
        <f>INDEX(挂机升级突破!$CN$7:$CN$26,AX510)</f>
        <v>1</v>
      </c>
      <c r="AV510" s="14">
        <f t="shared" si="164"/>
        <v>5</v>
      </c>
      <c r="AW510" s="14" t="str">
        <f t="shared" si="165"/>
        <v>吕布</v>
      </c>
      <c r="AX510" s="14">
        <f t="shared" si="166"/>
        <v>6</v>
      </c>
      <c r="AY510" s="14" t="str">
        <f t="shared" si="167"/>
        <v>吕布6突</v>
      </c>
      <c r="AZ510" s="14" t="str">
        <f>IF(AT510&gt;0,INDEX(挂机升级突破!$CV$5:$CZ$5,卡牌消耗!AT510),"")</f>
        <v>金币</v>
      </c>
      <c r="BA510" s="14">
        <f>IF(AT510&gt;0,ROUND(INDEX(挂机升级突破!$CZ$7:$CZ$26,卡牌消耗!AX510)*INDEX(卡牌消耗!$B$8:$F$8,AV510)/$Q$4/500,0)*500,"")</f>
        <v>8000</v>
      </c>
      <c r="BB510" s="14" t="str">
        <f>IF(AU510&gt;0,INDEX(挂机升级突破!$CV$5:$CZ$5,卡牌消耗!AU510),"")</f>
        <v>玄铁</v>
      </c>
      <c r="BC510" s="14">
        <f>IF(AU510&gt;0,ROUND(INDEX(挂机升级突破!$CV$7:$CY$26,卡牌消耗!AX510,卡牌消耗!AU510)*INDEX($B$6:$F$6,AV510)/$Q$4/5,0)*5,"")</f>
        <v>260</v>
      </c>
      <c r="BD510" s="104"/>
      <c r="BE510" s="104"/>
    </row>
    <row r="511" spans="8:58" ht="16.5" x14ac:dyDescent="0.2">
      <c r="H511" s="15"/>
      <c r="I511" s="15"/>
      <c r="J511" s="15"/>
      <c r="AA511" s="104">
        <v>507</v>
      </c>
      <c r="AB511" s="14">
        <f t="shared" si="158"/>
        <v>10</v>
      </c>
      <c r="AC511" s="14">
        <f>INDEX(挂机升级突破!$BU$6:$BU$57,卡牌消耗!AI511)</f>
        <v>11</v>
      </c>
      <c r="AD511" s="14">
        <f>INDEX(挂机升级突破!BV$6:BV$57,卡牌消耗!$AI511)</f>
        <v>5</v>
      </c>
      <c r="AE511" s="14">
        <f>INDEX(挂机升级突破!BW$6:BW$57,卡牌消耗!$AI511)</f>
        <v>0</v>
      </c>
      <c r="AF511" s="14" t="str">
        <f t="shared" si="159"/>
        <v>张郃</v>
      </c>
      <c r="AG511" s="14">
        <f t="shared" si="160"/>
        <v>4</v>
      </c>
      <c r="AH511" s="14" t="str">
        <f t="shared" si="161"/>
        <v>张郃魂火-39</v>
      </c>
      <c r="AI511" s="14">
        <f t="shared" si="162"/>
        <v>39</v>
      </c>
      <c r="AJ511" s="14" t="str">
        <f>INDEX(挂机升级突破!$BX$4:$CH$4,INDEX(挂机升级突破!$BU$6:$BU$57,卡牌消耗!AI511))</f>
        <v>金币</v>
      </c>
      <c r="AK511" s="14">
        <f>ROUND(INDEX(挂机升级突破!$BN$6:$BN$57,卡牌消耗!AI511)*INDEX(卡牌消耗!$B$8:$F$8,AG511)/$Q$4/50,0)*50</f>
        <v>25050</v>
      </c>
      <c r="AL511" s="14" t="str">
        <f>IF(AD511&gt;0,INDEX(挂机升级突破!$BX$4:$CH$4,AD511),"")</f>
        <v>红色基础材料</v>
      </c>
      <c r="AM511" s="14">
        <f>ROUND(INDEX(挂机升级突破!$BX$6:$CH$57,卡牌消耗!AI511,AD511)*INDEX(卡牌消耗!$B$5:$F$5,AG511)/$Q$4/5,0)*5</f>
        <v>55</v>
      </c>
      <c r="AN511" s="14" t="str">
        <f>IF(AE511&gt;0,INDEX(挂机升级突破!$BX$4:$CH$4,AE511),"")</f>
        <v/>
      </c>
      <c r="AO511" s="14" t="str">
        <f>IF(AE511&gt;0,ROUND(INDEX(挂机升级突破!$BX$6:$CH$57,卡牌消耗!AI511,AE511)*INDEX(卡牌消耗!$B$7:$F$7,AG511)/$Q$4,0),"")</f>
        <v/>
      </c>
      <c r="AR511" s="104">
        <v>507</v>
      </c>
      <c r="AS511" s="14">
        <f t="shared" si="163"/>
        <v>26</v>
      </c>
      <c r="AT511" s="14">
        <f>INDEX(挂机升级突破!$CM$7:$CM$26,AX511)</f>
        <v>5</v>
      </c>
      <c r="AU511" s="14">
        <f>INDEX(挂机升级突破!$CN$7:$CN$26,AX511)</f>
        <v>1</v>
      </c>
      <c r="AV511" s="14">
        <f t="shared" si="164"/>
        <v>5</v>
      </c>
      <c r="AW511" s="14" t="str">
        <f t="shared" si="165"/>
        <v>吕布</v>
      </c>
      <c r="AX511" s="14">
        <f t="shared" si="166"/>
        <v>7</v>
      </c>
      <c r="AY511" s="14" t="str">
        <f t="shared" si="167"/>
        <v>吕布7突</v>
      </c>
      <c r="AZ511" s="14" t="str">
        <f>IF(AT511&gt;0,INDEX(挂机升级突破!$CV$5:$CZ$5,卡牌消耗!AT511),"")</f>
        <v>金币</v>
      </c>
      <c r="BA511" s="14">
        <f>IF(AT511&gt;0,ROUND(INDEX(挂机升级突破!$CZ$7:$CZ$26,卡牌消耗!AX511)*INDEX(卡牌消耗!$B$8:$F$8,AV511)/$Q$4/500,0)*500,"")</f>
        <v>12500</v>
      </c>
      <c r="BB511" s="14" t="str">
        <f>IF(AU511&gt;0,INDEX(挂机升级突破!$CV$5:$CZ$5,卡牌消耗!AU511),"")</f>
        <v>玄铁</v>
      </c>
      <c r="BC511" s="14">
        <f>IF(AU511&gt;0,ROUND(INDEX(挂机升级突破!$CV$7:$CY$26,卡牌消耗!AX511,卡牌消耗!AU511)*INDEX($B$6:$F$6,AV511)/$Q$4/5,0)*5,"")</f>
        <v>435</v>
      </c>
      <c r="BD511" s="104"/>
      <c r="BE511" s="104"/>
    </row>
    <row r="512" spans="8:58" ht="16.5" x14ac:dyDescent="0.2">
      <c r="H512" s="15"/>
      <c r="I512" s="15"/>
      <c r="J512" s="15"/>
      <c r="AA512" s="104">
        <v>508</v>
      </c>
      <c r="AB512" s="14">
        <f t="shared" si="158"/>
        <v>10</v>
      </c>
      <c r="AC512" s="14">
        <f>INDEX(挂机升级突破!$BU$6:$BU$57,卡牌消耗!AI512)</f>
        <v>11</v>
      </c>
      <c r="AD512" s="14">
        <f>INDEX(挂机升级突破!BV$6:BV$57,卡牌消耗!$AI512)</f>
        <v>5</v>
      </c>
      <c r="AE512" s="14">
        <f>INDEX(挂机升级突破!BW$6:BW$57,卡牌消耗!$AI512)</f>
        <v>0</v>
      </c>
      <c r="AF512" s="14" t="str">
        <f t="shared" si="159"/>
        <v>张郃</v>
      </c>
      <c r="AG512" s="14">
        <f t="shared" si="160"/>
        <v>4</v>
      </c>
      <c r="AH512" s="14" t="str">
        <f t="shared" si="161"/>
        <v>张郃魂火-40</v>
      </c>
      <c r="AI512" s="14">
        <f t="shared" si="162"/>
        <v>40</v>
      </c>
      <c r="AJ512" s="14" t="str">
        <f>INDEX(挂机升级突破!$BX$4:$CH$4,INDEX(挂机升级突破!$BU$6:$BU$57,卡牌消耗!AI512))</f>
        <v>金币</v>
      </c>
      <c r="AK512" s="14">
        <f>ROUND(INDEX(挂机升级突破!$BN$6:$BN$57,卡牌消耗!AI512)*INDEX(卡牌消耗!$B$8:$F$8,AG512)/$Q$4/50,0)*50</f>
        <v>25050</v>
      </c>
      <c r="AL512" s="14" t="str">
        <f>IF(AD512&gt;0,INDEX(挂机升级突破!$BX$4:$CH$4,AD512),"")</f>
        <v>红色基础材料</v>
      </c>
      <c r="AM512" s="14">
        <f>ROUND(INDEX(挂机升级突破!$BX$6:$CH$57,卡牌消耗!AI512,AD512)*INDEX(卡牌消耗!$B$5:$F$5,AG512)/$Q$4/5,0)*5</f>
        <v>55</v>
      </c>
      <c r="AN512" s="14" t="str">
        <f>IF(AE512&gt;0,INDEX(挂机升级突破!$BX$4:$CH$4,AE512),"")</f>
        <v/>
      </c>
      <c r="AO512" s="14" t="str">
        <f>IF(AE512&gt;0,ROUND(INDEX(挂机升级突破!$BX$6:$CH$57,卡牌消耗!AI512,AE512)*INDEX(卡牌消耗!$B$7:$F$7,AG512)/$Q$4,0),"")</f>
        <v/>
      </c>
      <c r="AR512" s="104">
        <v>508</v>
      </c>
      <c r="AS512" s="14">
        <f t="shared" si="163"/>
        <v>26</v>
      </c>
      <c r="AT512" s="14">
        <f>INDEX(挂机升级突破!$CM$7:$CM$26,AX512)</f>
        <v>5</v>
      </c>
      <c r="AU512" s="14">
        <f>INDEX(挂机升级突破!$CN$7:$CN$26,AX512)</f>
        <v>1</v>
      </c>
      <c r="AV512" s="14">
        <f t="shared" si="164"/>
        <v>5</v>
      </c>
      <c r="AW512" s="14" t="str">
        <f t="shared" si="165"/>
        <v>吕布</v>
      </c>
      <c r="AX512" s="14">
        <f t="shared" si="166"/>
        <v>8</v>
      </c>
      <c r="AY512" s="14" t="str">
        <f t="shared" si="167"/>
        <v>吕布8突</v>
      </c>
      <c r="AZ512" s="14" t="str">
        <f>IF(AT512&gt;0,INDEX(挂机升级突破!$CV$5:$CZ$5,卡牌消耗!AT512),"")</f>
        <v>金币</v>
      </c>
      <c r="BA512" s="14">
        <f>IF(AT512&gt;0,ROUND(INDEX(挂机升级突破!$CZ$7:$CZ$26,卡牌消耗!AX512)*INDEX(卡牌消耗!$B$8:$F$8,AV512)/$Q$4/500,0)*500,"")</f>
        <v>12500</v>
      </c>
      <c r="BB512" s="14" t="str">
        <f>IF(AU512&gt;0,INDEX(挂机升级突破!$CV$5:$CZ$5,卡牌消耗!AU512),"")</f>
        <v>玄铁</v>
      </c>
      <c r="BC512" s="14">
        <f>IF(AU512&gt;0,ROUND(INDEX(挂机升级突破!$CV$7:$CY$26,卡牌消耗!AX512,卡牌消耗!AU512)*INDEX($B$6:$F$6,AV512)/$Q$4/5,0)*5,"")</f>
        <v>780</v>
      </c>
      <c r="BD512" s="104"/>
      <c r="BE512" s="104"/>
    </row>
    <row r="513" spans="8:57" ht="16.5" x14ac:dyDescent="0.2">
      <c r="H513" s="15"/>
      <c r="I513" s="15"/>
      <c r="J513" s="15"/>
      <c r="AA513" s="104">
        <v>509</v>
      </c>
      <c r="AB513" s="14">
        <f t="shared" si="158"/>
        <v>10</v>
      </c>
      <c r="AC513" s="14">
        <f>INDEX(挂机升级突破!$BU$6:$BU$57,卡牌消耗!AI513)</f>
        <v>11</v>
      </c>
      <c r="AD513" s="14">
        <f>INDEX(挂机升级突破!BV$6:BV$57,卡牌消耗!$AI513)</f>
        <v>5</v>
      </c>
      <c r="AE513" s="14">
        <f>INDEX(挂机升级突破!BW$6:BW$57,卡牌消耗!$AI513)</f>
        <v>10</v>
      </c>
      <c r="AF513" s="14" t="str">
        <f t="shared" si="159"/>
        <v>张郃</v>
      </c>
      <c r="AG513" s="14">
        <f t="shared" si="160"/>
        <v>4</v>
      </c>
      <c r="AH513" s="14" t="str">
        <f t="shared" si="161"/>
        <v>张郃魂火-41</v>
      </c>
      <c r="AI513" s="14">
        <f t="shared" si="162"/>
        <v>41</v>
      </c>
      <c r="AJ513" s="14" t="str">
        <f>INDEX(挂机升级突破!$BX$4:$CH$4,INDEX(挂机升级突破!$BU$6:$BU$57,卡牌消耗!AI513))</f>
        <v>金币</v>
      </c>
      <c r="AK513" s="14">
        <f>ROUND(INDEX(挂机升级突破!$BN$6:$BN$57,卡牌消耗!AI513)*INDEX(卡牌消耗!$B$8:$F$8,AG513)/$Q$4/50,0)*50</f>
        <v>34450</v>
      </c>
      <c r="AL513" s="14" t="str">
        <f>IF(AD513&gt;0,INDEX(挂机升级突破!$BX$4:$CH$4,AD513),"")</f>
        <v>红色基础材料</v>
      </c>
      <c r="AM513" s="14">
        <f>ROUND(INDEX(挂机升级突破!$BX$6:$CH$57,卡牌消耗!AI513,AD513)*INDEX(卡牌消耗!$B$5:$F$5,AG513)/$Q$4/5,0)*5</f>
        <v>65</v>
      </c>
      <c r="AN513" s="14" t="str">
        <f>IF(AE513&gt;0,INDEX(挂机升级突破!$BX$4:$CH$4,AE513),"")</f>
        <v>灵玉</v>
      </c>
      <c r="AO513" s="14">
        <f>IF(AE513&gt;0,ROUND(INDEX(挂机升级突破!$BX$6:$CH$57,卡牌消耗!AI513,AE513)*INDEX(卡牌消耗!$B$7:$F$7,AG513)/$Q$4,0),"")</f>
        <v>2</v>
      </c>
      <c r="AR513" s="104">
        <v>509</v>
      </c>
      <c r="AS513" s="14">
        <f t="shared" si="163"/>
        <v>26</v>
      </c>
      <c r="AT513" s="14">
        <f>INDEX(挂机升级突破!$CM$7:$CM$26,AX513)</f>
        <v>5</v>
      </c>
      <c r="AU513" s="14">
        <f>INDEX(挂机升级突破!$CN$7:$CN$26,AX513)</f>
        <v>2</v>
      </c>
      <c r="AV513" s="14">
        <f t="shared" si="164"/>
        <v>5</v>
      </c>
      <c r="AW513" s="14" t="str">
        <f t="shared" si="165"/>
        <v>吕布</v>
      </c>
      <c r="AX513" s="14">
        <f t="shared" si="166"/>
        <v>9</v>
      </c>
      <c r="AY513" s="14" t="str">
        <f t="shared" si="167"/>
        <v>吕布9突</v>
      </c>
      <c r="AZ513" s="14" t="str">
        <f>IF(AT513&gt;0,INDEX(挂机升级突破!$CV$5:$CZ$5,卡牌消耗!AT513),"")</f>
        <v>金币</v>
      </c>
      <c r="BA513" s="14">
        <f>IF(AT513&gt;0,ROUND(INDEX(挂机升级突破!$CZ$7:$CZ$26,卡牌消耗!AX513)*INDEX(卡牌消耗!$B$8:$F$8,AV513)/$Q$4/500,0)*500,"")</f>
        <v>17000</v>
      </c>
      <c r="BB513" s="14" t="str">
        <f>IF(AU513&gt;0,INDEX(挂机升级突破!$CV$5:$CZ$5,卡牌消耗!AU513),"")</f>
        <v>乌金</v>
      </c>
      <c r="BC513" s="14">
        <f>IF(AU513&gt;0,ROUND(INDEX(挂机升级突破!$CV$7:$CY$26,卡牌消耗!AX513,卡牌消耗!AU513)*INDEX($B$6:$F$6,AV513)/$Q$4/5,0)*5,"")</f>
        <v>95</v>
      </c>
      <c r="BD513" s="104"/>
      <c r="BE513" s="104"/>
    </row>
    <row r="514" spans="8:57" ht="16.5" x14ac:dyDescent="0.2">
      <c r="H514" s="15"/>
      <c r="I514" s="15"/>
      <c r="J514" s="15"/>
      <c r="AA514" s="104">
        <v>510</v>
      </c>
      <c r="AB514" s="14">
        <f t="shared" si="158"/>
        <v>10</v>
      </c>
      <c r="AC514" s="14">
        <f>INDEX(挂机升级突破!$BU$6:$BU$57,卡牌消耗!AI514)</f>
        <v>11</v>
      </c>
      <c r="AD514" s="14">
        <f>INDEX(挂机升级突破!BV$6:BV$57,卡牌消耗!$AI514)</f>
        <v>5</v>
      </c>
      <c r="AE514" s="14">
        <f>INDEX(挂机升级突破!BW$6:BW$57,卡牌消耗!$AI514)</f>
        <v>10</v>
      </c>
      <c r="AF514" s="14" t="str">
        <f t="shared" si="159"/>
        <v>张郃</v>
      </c>
      <c r="AG514" s="14">
        <f t="shared" si="160"/>
        <v>4</v>
      </c>
      <c r="AH514" s="14" t="str">
        <f t="shared" si="161"/>
        <v>张郃魂火-42</v>
      </c>
      <c r="AI514" s="14">
        <f t="shared" si="162"/>
        <v>42</v>
      </c>
      <c r="AJ514" s="14" t="str">
        <f>INDEX(挂机升级突破!$BX$4:$CH$4,INDEX(挂机升级突破!$BU$6:$BU$57,卡牌消耗!AI514))</f>
        <v>金币</v>
      </c>
      <c r="AK514" s="14">
        <f>ROUND(INDEX(挂机升级突破!$BN$6:$BN$57,卡牌消耗!AI514)*INDEX(卡牌消耗!$B$8:$F$8,AG514)/$Q$4/50,0)*50</f>
        <v>34450</v>
      </c>
      <c r="AL514" s="14" t="str">
        <f>IF(AD514&gt;0,INDEX(挂机升级突破!$BX$4:$CH$4,AD514),"")</f>
        <v>红色基础材料</v>
      </c>
      <c r="AM514" s="14">
        <f>ROUND(INDEX(挂机升级突破!$BX$6:$CH$57,卡牌消耗!AI514,AD514)*INDEX(卡牌消耗!$B$5:$F$5,AG514)/$Q$4/5,0)*5</f>
        <v>65</v>
      </c>
      <c r="AN514" s="14" t="str">
        <f>IF(AE514&gt;0,INDEX(挂机升级突破!$BX$4:$CH$4,AE514),"")</f>
        <v>灵玉</v>
      </c>
      <c r="AO514" s="14">
        <f>IF(AE514&gt;0,ROUND(INDEX(挂机升级突破!$BX$6:$CH$57,卡牌消耗!AI514,AE514)*INDEX(卡牌消耗!$B$7:$F$7,AG514)/$Q$4,0),"")</f>
        <v>2</v>
      </c>
      <c r="AR514" s="104">
        <v>510</v>
      </c>
      <c r="AS514" s="14">
        <f t="shared" si="163"/>
        <v>26</v>
      </c>
      <c r="AT514" s="14">
        <f>INDEX(挂机升级突破!$CM$7:$CM$26,AX514)</f>
        <v>5</v>
      </c>
      <c r="AU514" s="14">
        <f>INDEX(挂机升级突破!$CN$7:$CN$26,AX514)</f>
        <v>2</v>
      </c>
      <c r="AV514" s="14">
        <f t="shared" si="164"/>
        <v>5</v>
      </c>
      <c r="AW514" s="14" t="str">
        <f t="shared" si="165"/>
        <v>吕布</v>
      </c>
      <c r="AX514" s="14">
        <f t="shared" si="166"/>
        <v>10</v>
      </c>
      <c r="AY514" s="14" t="str">
        <f t="shared" si="167"/>
        <v>吕布10突</v>
      </c>
      <c r="AZ514" s="14" t="str">
        <f>IF(AT514&gt;0,INDEX(挂机升级突破!$CV$5:$CZ$5,卡牌消耗!AT514),"")</f>
        <v>金币</v>
      </c>
      <c r="BA514" s="14">
        <f>IF(AT514&gt;0,ROUND(INDEX(挂机升级突破!$CZ$7:$CZ$26,卡牌消耗!AX514)*INDEX(卡牌消耗!$B$8:$F$8,AV514)/$Q$4/500,0)*500,"")</f>
        <v>29500</v>
      </c>
      <c r="BB514" s="14" t="str">
        <f>IF(AU514&gt;0,INDEX(挂机升级突破!$CV$5:$CZ$5,卡牌消耗!AU514),"")</f>
        <v>乌金</v>
      </c>
      <c r="BC514" s="14">
        <f>IF(AU514&gt;0,ROUND(INDEX(挂机升级突破!$CV$7:$CY$26,卡牌消耗!AX514,卡牌消耗!AU514)*INDEX($B$6:$F$6,AV514)/$Q$4/5,0)*5,"")</f>
        <v>135</v>
      </c>
      <c r="BD514" s="104"/>
      <c r="BE514" s="104"/>
    </row>
    <row r="515" spans="8:57" ht="16.5" x14ac:dyDescent="0.2">
      <c r="H515" s="15"/>
      <c r="I515" s="15"/>
      <c r="J515" s="15"/>
      <c r="AA515" s="104">
        <v>511</v>
      </c>
      <c r="AB515" s="14">
        <f t="shared" si="158"/>
        <v>10</v>
      </c>
      <c r="AC515" s="14">
        <f>INDEX(挂机升级突破!$BU$6:$BU$57,卡牌消耗!AI515)</f>
        <v>11</v>
      </c>
      <c r="AD515" s="14">
        <f>INDEX(挂机升级突破!BV$6:BV$57,卡牌消耗!$AI515)</f>
        <v>5</v>
      </c>
      <c r="AE515" s="14">
        <f>INDEX(挂机升级突破!BW$6:BW$57,卡牌消耗!$AI515)</f>
        <v>10</v>
      </c>
      <c r="AF515" s="14" t="str">
        <f t="shared" si="159"/>
        <v>张郃</v>
      </c>
      <c r="AG515" s="14">
        <f t="shared" si="160"/>
        <v>4</v>
      </c>
      <c r="AH515" s="14" t="str">
        <f t="shared" si="161"/>
        <v>张郃魂火-43</v>
      </c>
      <c r="AI515" s="14">
        <f t="shared" si="162"/>
        <v>43</v>
      </c>
      <c r="AJ515" s="14" t="str">
        <f>INDEX(挂机升级突破!$BX$4:$CH$4,INDEX(挂机升级突破!$BU$6:$BU$57,卡牌消耗!AI515))</f>
        <v>金币</v>
      </c>
      <c r="AK515" s="14">
        <f>ROUND(INDEX(挂机升级突破!$BN$6:$BN$57,卡牌消耗!AI515)*INDEX(卡牌消耗!$B$8:$F$8,AG515)/$Q$4/50,0)*50</f>
        <v>34450</v>
      </c>
      <c r="AL515" s="14" t="str">
        <f>IF(AD515&gt;0,INDEX(挂机升级突破!$BX$4:$CH$4,AD515),"")</f>
        <v>红色基础材料</v>
      </c>
      <c r="AM515" s="14">
        <f>ROUND(INDEX(挂机升级突破!$BX$6:$CH$57,卡牌消耗!AI515,AD515)*INDEX(卡牌消耗!$B$5:$F$5,AG515)/$Q$4/5,0)*5</f>
        <v>65</v>
      </c>
      <c r="AN515" s="14" t="str">
        <f>IF(AE515&gt;0,INDEX(挂机升级突破!$BX$4:$CH$4,AE515),"")</f>
        <v>灵玉</v>
      </c>
      <c r="AO515" s="14">
        <f>IF(AE515&gt;0,ROUND(INDEX(挂机升级突破!$BX$6:$CH$57,卡牌消耗!AI515,AE515)*INDEX(卡牌消耗!$B$7:$F$7,AG515)/$Q$4,0),"")</f>
        <v>2</v>
      </c>
      <c r="AR515" s="104">
        <v>511</v>
      </c>
      <c r="AS515" s="14">
        <f t="shared" si="163"/>
        <v>26</v>
      </c>
      <c r="AT515" s="14">
        <f>INDEX(挂机升级突破!$CM$7:$CM$26,AX515)</f>
        <v>5</v>
      </c>
      <c r="AU515" s="14">
        <f>INDEX(挂机升级突破!$CN$7:$CN$26,AX515)</f>
        <v>2</v>
      </c>
      <c r="AV515" s="14">
        <f t="shared" si="164"/>
        <v>5</v>
      </c>
      <c r="AW515" s="14" t="str">
        <f t="shared" si="165"/>
        <v>吕布</v>
      </c>
      <c r="AX515" s="14">
        <f t="shared" si="166"/>
        <v>11</v>
      </c>
      <c r="AY515" s="14" t="str">
        <f t="shared" si="167"/>
        <v>吕布11突</v>
      </c>
      <c r="AZ515" s="14" t="str">
        <f>IF(AT515&gt;0,INDEX(挂机升级突破!$CV$5:$CZ$5,卡牌消耗!AT515),"")</f>
        <v>金币</v>
      </c>
      <c r="BA515" s="14">
        <f>IF(AT515&gt;0,ROUND(INDEX(挂机升级突破!$CZ$7:$CZ$26,卡牌消耗!AX515)*INDEX(卡牌消耗!$B$8:$F$8,AV515)/$Q$4/500,0)*500,"")</f>
        <v>29500</v>
      </c>
      <c r="BB515" s="14" t="str">
        <f>IF(AU515&gt;0,INDEX(挂机升级突破!$CV$5:$CZ$5,卡牌消耗!AU515),"")</f>
        <v>乌金</v>
      </c>
      <c r="BC515" s="14">
        <f>IF(AU515&gt;0,ROUND(INDEX(挂机升级突破!$CV$7:$CY$26,卡牌消耗!AX515,卡牌消耗!AU515)*INDEX($B$6:$F$6,AV515)/$Q$4/5,0)*5,"")</f>
        <v>180</v>
      </c>
      <c r="BD515" s="104"/>
      <c r="BE515" s="104"/>
    </row>
    <row r="516" spans="8:57" ht="16.5" x14ac:dyDescent="0.2">
      <c r="AA516" s="104">
        <v>512</v>
      </c>
      <c r="AB516" s="14">
        <f t="shared" si="158"/>
        <v>10</v>
      </c>
      <c r="AC516" s="14">
        <f>INDEX(挂机升级突破!$BU$6:$BU$57,卡牌消耗!AI516)</f>
        <v>11</v>
      </c>
      <c r="AD516" s="14">
        <f>INDEX(挂机升级突破!BV$6:BV$57,卡牌消耗!$AI516)</f>
        <v>5</v>
      </c>
      <c r="AE516" s="14">
        <f>INDEX(挂机升级突破!BW$6:BW$57,卡牌消耗!$AI516)</f>
        <v>10</v>
      </c>
      <c r="AF516" s="14" t="str">
        <f t="shared" si="159"/>
        <v>张郃</v>
      </c>
      <c r="AG516" s="14">
        <f t="shared" si="160"/>
        <v>4</v>
      </c>
      <c r="AH516" s="14" t="str">
        <f t="shared" si="161"/>
        <v>张郃魂火-44</v>
      </c>
      <c r="AI516" s="14">
        <f t="shared" si="162"/>
        <v>44</v>
      </c>
      <c r="AJ516" s="14" t="str">
        <f>INDEX(挂机升级突破!$BX$4:$CH$4,INDEX(挂机升级突破!$BU$6:$BU$57,卡牌消耗!AI516))</f>
        <v>金币</v>
      </c>
      <c r="AK516" s="14">
        <f>ROUND(INDEX(挂机升级突破!$BN$6:$BN$57,卡牌消耗!AI516)*INDEX(卡牌消耗!$B$8:$F$8,AG516)/$Q$4/50,0)*50</f>
        <v>43850</v>
      </c>
      <c r="AL516" s="14" t="str">
        <f>IF(AD516&gt;0,INDEX(挂机升级突破!$BX$4:$CH$4,AD516),"")</f>
        <v>红色基础材料</v>
      </c>
      <c r="AM516" s="14">
        <f>ROUND(INDEX(挂机升级突破!$BX$6:$CH$57,卡牌消耗!AI516,AD516)*INDEX(卡牌消耗!$B$5:$F$5,AG516)/$Q$4/5,0)*5</f>
        <v>75</v>
      </c>
      <c r="AN516" s="14" t="str">
        <f>IF(AE516&gt;0,INDEX(挂机升级突破!$BX$4:$CH$4,AE516),"")</f>
        <v>灵玉</v>
      </c>
      <c r="AO516" s="14">
        <f>IF(AE516&gt;0,ROUND(INDEX(挂机升级突破!$BX$6:$CH$57,卡牌消耗!AI516,AE516)*INDEX(卡牌消耗!$B$7:$F$7,AG516)/$Q$4,0),"")</f>
        <v>2</v>
      </c>
      <c r="AR516" s="104">
        <v>512</v>
      </c>
      <c r="AS516" s="14">
        <f t="shared" si="163"/>
        <v>26</v>
      </c>
      <c r="AT516" s="14">
        <f>INDEX(挂机升级突破!$CM$7:$CM$26,AX516)</f>
        <v>5</v>
      </c>
      <c r="AU516" s="14">
        <f>INDEX(挂机升级突破!$CN$7:$CN$26,AX516)</f>
        <v>2</v>
      </c>
      <c r="AV516" s="14">
        <f t="shared" si="164"/>
        <v>5</v>
      </c>
      <c r="AW516" s="14" t="str">
        <f t="shared" si="165"/>
        <v>吕布</v>
      </c>
      <c r="AX516" s="14">
        <f t="shared" si="166"/>
        <v>12</v>
      </c>
      <c r="AY516" s="14" t="str">
        <f t="shared" si="167"/>
        <v>吕布12突</v>
      </c>
      <c r="AZ516" s="14" t="str">
        <f>IF(AT516&gt;0,INDEX(挂机升级突破!$CV$5:$CZ$5,卡牌消耗!AT516),"")</f>
        <v>金币</v>
      </c>
      <c r="BA516" s="14">
        <f>IF(AT516&gt;0,ROUND(INDEX(挂机升级突破!$CZ$7:$CZ$26,卡牌消耗!AX516)*INDEX(卡牌消耗!$B$8:$F$8,AV516)/$Q$4/500,0)*500,"")</f>
        <v>39000</v>
      </c>
      <c r="BB516" s="14" t="str">
        <f>IF(AU516&gt;0,INDEX(挂机升级突破!$CV$5:$CZ$5,卡牌消耗!AU516),"")</f>
        <v>乌金</v>
      </c>
      <c r="BC516" s="14">
        <f>IF(AU516&gt;0,ROUND(INDEX(挂机升级突破!$CV$7:$CY$26,卡牌消耗!AX516,卡牌消耗!AU516)*INDEX($B$6:$F$6,AV516)/$Q$4/5,0)*5,"")</f>
        <v>230</v>
      </c>
      <c r="BD516" s="104"/>
      <c r="BE516" s="104"/>
    </row>
    <row r="517" spans="8:57" ht="16.5" x14ac:dyDescent="0.2">
      <c r="AA517" s="104">
        <v>513</v>
      </c>
      <c r="AB517" s="14">
        <f t="shared" si="158"/>
        <v>10</v>
      </c>
      <c r="AC517" s="14">
        <f>INDEX(挂机升级突破!$BU$6:$BU$57,卡牌消耗!AI517)</f>
        <v>11</v>
      </c>
      <c r="AD517" s="14">
        <f>INDEX(挂机升级突破!BV$6:BV$57,卡牌消耗!$AI517)</f>
        <v>5</v>
      </c>
      <c r="AE517" s="14">
        <f>INDEX(挂机升级突破!BW$6:BW$57,卡牌消耗!$AI517)</f>
        <v>10</v>
      </c>
      <c r="AF517" s="14" t="str">
        <f t="shared" si="159"/>
        <v>张郃</v>
      </c>
      <c r="AG517" s="14">
        <f t="shared" si="160"/>
        <v>4</v>
      </c>
      <c r="AH517" s="14" t="str">
        <f t="shared" si="161"/>
        <v>张郃魂火-45</v>
      </c>
      <c r="AI517" s="14">
        <f t="shared" si="162"/>
        <v>45</v>
      </c>
      <c r="AJ517" s="14" t="str">
        <f>INDEX(挂机升级突破!$BX$4:$CH$4,INDEX(挂机升级突破!$BU$6:$BU$57,卡牌消耗!AI517))</f>
        <v>金币</v>
      </c>
      <c r="AK517" s="14">
        <f>ROUND(INDEX(挂机升级突破!$BN$6:$BN$57,卡牌消耗!AI517)*INDEX(卡牌消耗!$B$8:$F$8,AG517)/$Q$4/50,0)*50</f>
        <v>43850</v>
      </c>
      <c r="AL517" s="14" t="str">
        <f>IF(AD517&gt;0,INDEX(挂机升级突破!$BX$4:$CH$4,AD517),"")</f>
        <v>红色基础材料</v>
      </c>
      <c r="AM517" s="14">
        <f>ROUND(INDEX(挂机升级突破!$BX$6:$CH$57,卡牌消耗!AI517,AD517)*INDEX(卡牌消耗!$B$5:$F$5,AG517)/$Q$4/5,0)*5</f>
        <v>75</v>
      </c>
      <c r="AN517" s="14" t="str">
        <f>IF(AE517&gt;0,INDEX(挂机升级突破!$BX$4:$CH$4,AE517),"")</f>
        <v>灵玉</v>
      </c>
      <c r="AO517" s="14">
        <f>IF(AE517&gt;0,ROUND(INDEX(挂机升级突破!$BX$6:$CH$57,卡牌消耗!AI517,AE517)*INDEX(卡牌消耗!$B$7:$F$7,AG517)/$Q$4,0),"")</f>
        <v>2</v>
      </c>
      <c r="AR517" s="104">
        <v>513</v>
      </c>
      <c r="AS517" s="14">
        <f t="shared" si="163"/>
        <v>26</v>
      </c>
      <c r="AT517" s="14">
        <f>INDEX(挂机升级突破!$CM$7:$CM$26,AX517)</f>
        <v>5</v>
      </c>
      <c r="AU517" s="14">
        <f>INDEX(挂机升级突破!$CN$7:$CN$26,AX517)</f>
        <v>3</v>
      </c>
      <c r="AV517" s="14">
        <f t="shared" si="164"/>
        <v>5</v>
      </c>
      <c r="AW517" s="14" t="str">
        <f t="shared" si="165"/>
        <v>吕布</v>
      </c>
      <c r="AX517" s="14">
        <f t="shared" si="166"/>
        <v>13</v>
      </c>
      <c r="AY517" s="14" t="str">
        <f t="shared" si="167"/>
        <v>吕布13突</v>
      </c>
      <c r="AZ517" s="14" t="str">
        <f>IF(AT517&gt;0,INDEX(挂机升级突破!$CV$5:$CZ$5,卡牌消耗!AT517),"")</f>
        <v>金币</v>
      </c>
      <c r="BA517" s="14">
        <f>IF(AT517&gt;0,ROUND(INDEX(挂机升级突破!$CZ$7:$CZ$26,卡牌消耗!AX517)*INDEX(卡牌消耗!$B$8:$F$8,AV517)/$Q$4/500,0)*500,"")</f>
        <v>52000</v>
      </c>
      <c r="BB517" s="14" t="str">
        <f>IF(AU517&gt;0,INDEX(挂机升级突破!$CV$5:$CZ$5,卡牌消耗!AU517),"")</f>
        <v>银母</v>
      </c>
      <c r="BC517" s="14">
        <f>IF(AU517&gt;0,ROUND(INDEX(挂机升级突破!$CV$7:$CY$26,卡牌消耗!AX517,卡牌消耗!AU517)*INDEX($B$6:$F$6,AV517)/$Q$4/5,0)*5,"")</f>
        <v>45</v>
      </c>
      <c r="BD517" s="104"/>
      <c r="BE517" s="104"/>
    </row>
    <row r="518" spans="8:57" ht="16.5" x14ac:dyDescent="0.2">
      <c r="AA518" s="104">
        <v>514</v>
      </c>
      <c r="AB518" s="14">
        <f t="shared" ref="AB518:AB581" si="168">INT((AA518-1)/52)+1</f>
        <v>10</v>
      </c>
      <c r="AC518" s="14">
        <f>INDEX(挂机升级突破!$BU$6:$BU$57,卡牌消耗!AI518)</f>
        <v>11</v>
      </c>
      <c r="AD518" s="14">
        <f>INDEX(挂机升级突破!BV$6:BV$57,卡牌消耗!$AI518)</f>
        <v>5</v>
      </c>
      <c r="AE518" s="14">
        <f>INDEX(挂机升级突破!BW$6:BW$57,卡牌消耗!$AI518)</f>
        <v>10</v>
      </c>
      <c r="AF518" s="14" t="str">
        <f t="shared" ref="AF518:AF581" si="169">INDEX($B$13:$B$40,AB518)</f>
        <v>张郃</v>
      </c>
      <c r="AG518" s="14">
        <f t="shared" ref="AG518:AG581" si="170">INDEX($C$13:$C$40,AB518)</f>
        <v>4</v>
      </c>
      <c r="AH518" s="14" t="str">
        <f t="shared" ref="AH518:AH581" si="171">AF518&amp;"魂火-"&amp;AI518</f>
        <v>张郃魂火-46</v>
      </c>
      <c r="AI518" s="14">
        <f t="shared" ref="AI518:AI581" si="172">AA518-(AB518-1)*52</f>
        <v>46</v>
      </c>
      <c r="AJ518" s="14" t="str">
        <f>INDEX(挂机升级突破!$BX$4:$CH$4,INDEX(挂机升级突破!$BU$6:$BU$57,卡牌消耗!AI518))</f>
        <v>金币</v>
      </c>
      <c r="AK518" s="14">
        <f>ROUND(INDEX(挂机升级突破!$BN$6:$BN$57,卡牌消耗!AI518)*INDEX(卡牌消耗!$B$8:$F$8,AG518)/$Q$4/50,0)*50</f>
        <v>47000</v>
      </c>
      <c r="AL518" s="14" t="str">
        <f>IF(AD518&gt;0,INDEX(挂机升级突破!$BX$4:$CH$4,AD518),"")</f>
        <v>红色基础材料</v>
      </c>
      <c r="AM518" s="14">
        <f>ROUND(INDEX(挂机升级突破!$BX$6:$CH$57,卡牌消耗!AI518,AD518)*INDEX(卡牌消耗!$B$5:$F$5,AG518)/$Q$4/5,0)*5</f>
        <v>75</v>
      </c>
      <c r="AN518" s="14" t="str">
        <f>IF(AE518&gt;0,INDEX(挂机升级突破!$BX$4:$CH$4,AE518),"")</f>
        <v>灵玉</v>
      </c>
      <c r="AO518" s="14">
        <f>IF(AE518&gt;0,ROUND(INDEX(挂机升级突破!$BX$6:$CH$57,卡牌消耗!AI518,AE518)*INDEX(卡牌消耗!$B$7:$F$7,AG518)/$Q$4,0),"")</f>
        <v>2</v>
      </c>
      <c r="AR518" s="104">
        <v>514</v>
      </c>
      <c r="AS518" s="14">
        <f t="shared" ref="AS518:AS564" si="173">INT((AR518-1)/20)+1</f>
        <v>26</v>
      </c>
      <c r="AT518" s="14">
        <f>INDEX(挂机升级突破!$CM$7:$CM$26,AX518)</f>
        <v>5</v>
      </c>
      <c r="AU518" s="14">
        <f>INDEX(挂机升级突破!$CN$7:$CN$26,AX518)</f>
        <v>3</v>
      </c>
      <c r="AV518" s="14">
        <f t="shared" ref="AV518:AV564" si="174">INDEX($C$13:$C$40,AS518)</f>
        <v>5</v>
      </c>
      <c r="AW518" s="14" t="str">
        <f t="shared" ref="AW518:AW564" si="175">INDEX($B$13:$B$40,AS518)</f>
        <v>吕布</v>
      </c>
      <c r="AX518" s="14">
        <f t="shared" ref="AX518:AX564" si="176">AR518-(AS518-1)*20</f>
        <v>14</v>
      </c>
      <c r="AY518" s="14" t="str">
        <f t="shared" ref="AY518:AY564" si="177">AW518&amp;AX518&amp;"突"</f>
        <v>吕布14突</v>
      </c>
      <c r="AZ518" s="14" t="str">
        <f>IF(AT518&gt;0,INDEX(挂机升级突破!$CV$5:$CZ$5,卡牌消耗!AT518),"")</f>
        <v>金币</v>
      </c>
      <c r="BA518" s="14">
        <f>IF(AT518&gt;0,ROUND(INDEX(挂机升级突破!$CZ$7:$CZ$26,卡牌消耗!AX518)*INDEX(卡牌消耗!$B$8:$F$8,AV518)/$Q$4/500,0)*500,"")</f>
        <v>52000</v>
      </c>
      <c r="BB518" s="14" t="str">
        <f>IF(AU518&gt;0,INDEX(挂机升级突破!$CV$5:$CZ$5,卡牌消耗!AU518),"")</f>
        <v>银母</v>
      </c>
      <c r="BC518" s="14">
        <f>IF(AU518&gt;0,ROUND(INDEX(挂机升级突破!$CV$7:$CY$26,卡牌消耗!AX518,卡牌消耗!AU518)*INDEX($B$6:$F$6,AV518)/$Q$4/5,0)*5,"")</f>
        <v>60</v>
      </c>
      <c r="BD518" s="104"/>
      <c r="BE518" s="104"/>
    </row>
    <row r="519" spans="8:57" ht="16.5" x14ac:dyDescent="0.2">
      <c r="AA519" s="104">
        <v>515</v>
      </c>
      <c r="AB519" s="14">
        <f t="shared" si="168"/>
        <v>10</v>
      </c>
      <c r="AC519" s="14">
        <f>INDEX(挂机升级突破!$BU$6:$BU$57,卡牌消耗!AI519)</f>
        <v>11</v>
      </c>
      <c r="AD519" s="14">
        <f>INDEX(挂机升级突破!BV$6:BV$57,卡牌消耗!$AI519)</f>
        <v>5</v>
      </c>
      <c r="AE519" s="14">
        <f>INDEX(挂机升级突破!BW$6:BW$57,卡牌消耗!$AI519)</f>
        <v>10</v>
      </c>
      <c r="AF519" s="14" t="str">
        <f t="shared" si="169"/>
        <v>张郃</v>
      </c>
      <c r="AG519" s="14">
        <f t="shared" si="170"/>
        <v>4</v>
      </c>
      <c r="AH519" s="14" t="str">
        <f t="shared" si="171"/>
        <v>张郃魂火-47</v>
      </c>
      <c r="AI519" s="14">
        <f t="shared" si="172"/>
        <v>47</v>
      </c>
      <c r="AJ519" s="14" t="str">
        <f>INDEX(挂机升级突破!$BX$4:$CH$4,INDEX(挂机升级突破!$BU$6:$BU$57,卡牌消耗!AI519))</f>
        <v>金币</v>
      </c>
      <c r="AK519" s="14">
        <f>ROUND(INDEX(挂机升级突破!$BN$6:$BN$57,卡牌消耗!AI519)*INDEX(卡牌消耗!$B$8:$F$8,AG519)/$Q$4/50,0)*50</f>
        <v>227950</v>
      </c>
      <c r="AL519" s="14" t="str">
        <f>IF(AD519&gt;0,INDEX(挂机升级突破!$BX$4:$CH$4,AD519),"")</f>
        <v>红色基础材料</v>
      </c>
      <c r="AM519" s="14">
        <f>ROUND(INDEX(挂机升级突破!$BX$6:$CH$57,卡牌消耗!AI519,AD519)*INDEX(卡牌消耗!$B$5:$F$5,AG519)/$Q$4/5,0)*5</f>
        <v>75</v>
      </c>
      <c r="AN519" s="14" t="str">
        <f>IF(AE519&gt;0,INDEX(挂机升级突破!$BX$4:$CH$4,AE519),"")</f>
        <v>灵玉</v>
      </c>
      <c r="AO519" s="14">
        <f>IF(AE519&gt;0,ROUND(INDEX(挂机升级突破!$BX$6:$CH$57,卡牌消耗!AI519,AE519)*INDEX(卡牌消耗!$B$7:$F$7,AG519)/$Q$4,0),"")</f>
        <v>2</v>
      </c>
      <c r="AR519" s="104">
        <v>515</v>
      </c>
      <c r="AS519" s="14">
        <f t="shared" si="173"/>
        <v>26</v>
      </c>
      <c r="AT519" s="14">
        <f>INDEX(挂机升级突破!$CM$7:$CM$26,AX519)</f>
        <v>5</v>
      </c>
      <c r="AU519" s="14">
        <f>INDEX(挂机升级突破!$CN$7:$CN$26,AX519)</f>
        <v>3</v>
      </c>
      <c r="AV519" s="14">
        <f t="shared" si="174"/>
        <v>5</v>
      </c>
      <c r="AW519" s="14" t="str">
        <f t="shared" si="175"/>
        <v>吕布</v>
      </c>
      <c r="AX519" s="14">
        <f t="shared" si="176"/>
        <v>15</v>
      </c>
      <c r="AY519" s="14" t="str">
        <f t="shared" si="177"/>
        <v>吕布15突</v>
      </c>
      <c r="AZ519" s="14" t="str">
        <f>IF(AT519&gt;0,INDEX(挂机升级突破!$CV$5:$CZ$5,卡牌消耗!AT519),"")</f>
        <v>金币</v>
      </c>
      <c r="BA519" s="14">
        <f>IF(AT519&gt;0,ROUND(INDEX(挂机升级突破!$CZ$7:$CZ$26,卡牌消耗!AX519)*INDEX(卡牌消耗!$B$8:$F$8,AV519)/$Q$4/500,0)*500,"")</f>
        <v>69000</v>
      </c>
      <c r="BB519" s="14" t="str">
        <f>IF(AU519&gt;0,INDEX(挂机升级突破!$CV$5:$CZ$5,卡牌消耗!AU519),"")</f>
        <v>银母</v>
      </c>
      <c r="BC519" s="14">
        <f>IF(AU519&gt;0,ROUND(INDEX(挂机升级突破!$CV$7:$CY$26,卡牌消耗!AX519,卡牌消耗!AU519)*INDEX($B$6:$F$6,AV519)/$Q$4/5,0)*5,"")</f>
        <v>80</v>
      </c>
      <c r="BD519" s="104"/>
      <c r="BE519" s="104"/>
    </row>
    <row r="520" spans="8:57" ht="16.5" x14ac:dyDescent="0.2">
      <c r="AA520" s="104">
        <v>516</v>
      </c>
      <c r="AB520" s="14">
        <f t="shared" si="168"/>
        <v>10</v>
      </c>
      <c r="AC520" s="14">
        <f>INDEX(挂机升级突破!$BU$6:$BU$57,卡牌消耗!AI520)</f>
        <v>11</v>
      </c>
      <c r="AD520" s="14">
        <f>INDEX(挂机升级突破!BV$6:BV$57,卡牌消耗!$AI520)</f>
        <v>5</v>
      </c>
      <c r="AE520" s="14">
        <f>INDEX(挂机升级突破!BW$6:BW$57,卡牌消耗!$AI520)</f>
        <v>10</v>
      </c>
      <c r="AF520" s="14" t="str">
        <f t="shared" si="169"/>
        <v>张郃</v>
      </c>
      <c r="AG520" s="14">
        <f t="shared" si="170"/>
        <v>4</v>
      </c>
      <c r="AH520" s="14" t="str">
        <f t="shared" si="171"/>
        <v>张郃魂火-48</v>
      </c>
      <c r="AI520" s="14">
        <f t="shared" si="172"/>
        <v>48</v>
      </c>
      <c r="AJ520" s="14" t="str">
        <f>INDEX(挂机升级突破!$BX$4:$CH$4,INDEX(挂机升级突破!$BU$6:$BU$57,卡牌消耗!AI520))</f>
        <v>金币</v>
      </c>
      <c r="AK520" s="14">
        <f>ROUND(INDEX(挂机升级突破!$BN$6:$BN$57,卡牌消耗!AI520)*INDEX(卡牌消耗!$B$8:$F$8,AG520)/$Q$4/50,0)*50</f>
        <v>227950</v>
      </c>
      <c r="AL520" s="14" t="str">
        <f>IF(AD520&gt;0,INDEX(挂机升级突破!$BX$4:$CH$4,AD520),"")</f>
        <v>红色基础材料</v>
      </c>
      <c r="AM520" s="14">
        <f>ROUND(INDEX(挂机升级突破!$BX$6:$CH$57,卡牌消耗!AI520,AD520)*INDEX(卡牌消耗!$B$5:$F$5,AG520)/$Q$4/5,0)*5</f>
        <v>75</v>
      </c>
      <c r="AN520" s="14" t="str">
        <f>IF(AE520&gt;0,INDEX(挂机升级突破!$BX$4:$CH$4,AE520),"")</f>
        <v>灵玉</v>
      </c>
      <c r="AO520" s="14">
        <f>IF(AE520&gt;0,ROUND(INDEX(挂机升级突破!$BX$6:$CH$57,卡牌消耗!AI520,AE520)*INDEX(卡牌消耗!$B$7:$F$7,AG520)/$Q$4,0),"")</f>
        <v>2</v>
      </c>
      <c r="AR520" s="104">
        <v>516</v>
      </c>
      <c r="AS520" s="14">
        <f t="shared" si="173"/>
        <v>26</v>
      </c>
      <c r="AT520" s="14">
        <f>INDEX(挂机升级突破!$CM$7:$CM$26,AX520)</f>
        <v>5</v>
      </c>
      <c r="AU520" s="14">
        <f>INDEX(挂机升级突破!$CN$7:$CN$26,AX520)</f>
        <v>3</v>
      </c>
      <c r="AV520" s="14">
        <f t="shared" si="174"/>
        <v>5</v>
      </c>
      <c r="AW520" s="14" t="str">
        <f t="shared" si="175"/>
        <v>吕布</v>
      </c>
      <c r="AX520" s="14">
        <f t="shared" si="176"/>
        <v>16</v>
      </c>
      <c r="AY520" s="14" t="str">
        <f t="shared" si="177"/>
        <v>吕布16突</v>
      </c>
      <c r="AZ520" s="14" t="str">
        <f>IF(AT520&gt;0,INDEX(挂机升级突破!$CV$5:$CZ$5,卡牌消耗!AT520),"")</f>
        <v>金币</v>
      </c>
      <c r="BA520" s="14">
        <f>IF(AT520&gt;0,ROUND(INDEX(挂机升级突破!$CZ$7:$CZ$26,卡牌消耗!AX520)*INDEX(卡牌消耗!$B$8:$F$8,AV520)/$Q$4/500,0)*500,"")</f>
        <v>125500</v>
      </c>
      <c r="BB520" s="14" t="str">
        <f>IF(AU520&gt;0,INDEX(挂机升级突破!$CV$5:$CZ$5,卡牌消耗!AU520),"")</f>
        <v>银母</v>
      </c>
      <c r="BC520" s="14">
        <f>IF(AU520&gt;0,ROUND(INDEX(挂机升级突破!$CV$7:$CY$26,卡牌消耗!AX520,卡牌消耗!AU520)*INDEX($B$6:$F$6,AV520)/$Q$4/5,0)*5,"")</f>
        <v>105</v>
      </c>
      <c r="BD520" s="104"/>
      <c r="BE520" s="104"/>
    </row>
    <row r="521" spans="8:57" ht="16.5" x14ac:dyDescent="0.2">
      <c r="AA521" s="104">
        <v>517</v>
      </c>
      <c r="AB521" s="14">
        <f t="shared" si="168"/>
        <v>10</v>
      </c>
      <c r="AC521" s="14">
        <f>INDEX(挂机升级突破!$BU$6:$BU$57,卡牌消耗!AI521)</f>
        <v>11</v>
      </c>
      <c r="AD521" s="14">
        <f>INDEX(挂机升级突破!BV$6:BV$57,卡牌消耗!$AI521)</f>
        <v>5</v>
      </c>
      <c r="AE521" s="14">
        <f>INDEX(挂机升级突破!BW$6:BW$57,卡牌消耗!$AI521)</f>
        <v>10</v>
      </c>
      <c r="AF521" s="14" t="str">
        <f t="shared" si="169"/>
        <v>张郃</v>
      </c>
      <c r="AG521" s="14">
        <f t="shared" si="170"/>
        <v>4</v>
      </c>
      <c r="AH521" s="14" t="str">
        <f t="shared" si="171"/>
        <v>张郃魂火-49</v>
      </c>
      <c r="AI521" s="14">
        <f t="shared" si="172"/>
        <v>49</v>
      </c>
      <c r="AJ521" s="14" t="str">
        <f>INDEX(挂机升级突破!$BX$4:$CH$4,INDEX(挂机升级突破!$BU$6:$BU$57,卡牌消耗!AI521))</f>
        <v>金币</v>
      </c>
      <c r="AK521" s="14">
        <f>ROUND(INDEX(挂机升级突破!$BN$6:$BN$57,卡牌消耗!AI521)*INDEX(卡牌消耗!$B$8:$F$8,AG521)/$Q$4/50,0)*50</f>
        <v>227950</v>
      </c>
      <c r="AL521" s="14" t="str">
        <f>IF(AD521&gt;0,INDEX(挂机升级突破!$BX$4:$CH$4,AD521),"")</f>
        <v>红色基础材料</v>
      </c>
      <c r="AM521" s="14">
        <f>ROUND(INDEX(挂机升级突破!$BX$6:$CH$57,卡牌消耗!AI521,AD521)*INDEX(卡牌消耗!$B$5:$F$5,AG521)/$Q$4/5,0)*5</f>
        <v>85</v>
      </c>
      <c r="AN521" s="14" t="str">
        <f>IF(AE521&gt;0,INDEX(挂机升级突破!$BX$4:$CH$4,AE521),"")</f>
        <v>灵玉</v>
      </c>
      <c r="AO521" s="14">
        <f>IF(AE521&gt;0,ROUND(INDEX(挂机升级突破!$BX$6:$CH$57,卡牌消耗!AI521,AE521)*INDEX(卡牌消耗!$B$7:$F$7,AG521)/$Q$4,0),"")</f>
        <v>2</v>
      </c>
      <c r="AR521" s="104">
        <v>517</v>
      </c>
      <c r="AS521" s="14">
        <f t="shared" si="173"/>
        <v>26</v>
      </c>
      <c r="AT521" s="14">
        <f>INDEX(挂机升级突破!$CM$7:$CM$26,AX521)</f>
        <v>5</v>
      </c>
      <c r="AU521" s="14">
        <f>INDEX(挂机升级突破!$CN$7:$CN$26,AX521)</f>
        <v>4</v>
      </c>
      <c r="AV521" s="14">
        <f t="shared" si="174"/>
        <v>5</v>
      </c>
      <c r="AW521" s="14" t="str">
        <f t="shared" si="175"/>
        <v>吕布</v>
      </c>
      <c r="AX521" s="14">
        <f t="shared" si="176"/>
        <v>17</v>
      </c>
      <c r="AY521" s="14" t="str">
        <f t="shared" si="177"/>
        <v>吕布17突</v>
      </c>
      <c r="AZ521" s="14" t="str">
        <f>IF(AT521&gt;0,INDEX(挂机升级突破!$CV$5:$CZ$5,卡牌消耗!AT521),"")</f>
        <v>金币</v>
      </c>
      <c r="BA521" s="14">
        <f>IF(AT521&gt;0,ROUND(INDEX(挂机升级突破!$CZ$7:$CZ$26,卡牌消耗!AX521)*INDEX(卡牌消耗!$B$8:$F$8,AV521)/$Q$4/500,0)*500,"")</f>
        <v>125500</v>
      </c>
      <c r="BB521" s="14" t="str">
        <f>IF(AU521&gt;0,INDEX(挂机升级突破!$CV$5:$CZ$5,卡牌消耗!AU521),"")</f>
        <v>铀金</v>
      </c>
      <c r="BC521" s="14">
        <f>IF(AU521&gt;0,ROUND(INDEX(挂机升级突破!$CV$7:$CY$26,卡牌消耗!AX521,卡牌消耗!AU521)*INDEX($B$6:$F$6,AV521)/$Q$4/5,0)*5,"")</f>
        <v>35</v>
      </c>
      <c r="BD521" s="104"/>
      <c r="BE521" s="104"/>
    </row>
    <row r="522" spans="8:57" ht="16.5" x14ac:dyDescent="0.2">
      <c r="AA522" s="104">
        <v>518</v>
      </c>
      <c r="AB522" s="14">
        <f t="shared" si="168"/>
        <v>10</v>
      </c>
      <c r="AC522" s="14">
        <f>INDEX(挂机升级突破!$BU$6:$BU$57,卡牌消耗!AI522)</f>
        <v>11</v>
      </c>
      <c r="AD522" s="14">
        <f>INDEX(挂机升级突破!BV$6:BV$57,卡牌消耗!$AI522)</f>
        <v>5</v>
      </c>
      <c r="AE522" s="14">
        <f>INDEX(挂机升级突破!BW$6:BW$57,卡牌消耗!$AI522)</f>
        <v>10</v>
      </c>
      <c r="AF522" s="14" t="str">
        <f t="shared" si="169"/>
        <v>张郃</v>
      </c>
      <c r="AG522" s="14">
        <f t="shared" si="170"/>
        <v>4</v>
      </c>
      <c r="AH522" s="14" t="str">
        <f t="shared" si="171"/>
        <v>张郃魂火-50</v>
      </c>
      <c r="AI522" s="14">
        <f t="shared" si="172"/>
        <v>50</v>
      </c>
      <c r="AJ522" s="14" t="str">
        <f>INDEX(挂机升级突破!$BX$4:$CH$4,INDEX(挂机升级突破!$BU$6:$BU$57,卡牌消耗!AI522))</f>
        <v>金币</v>
      </c>
      <c r="AK522" s="14">
        <f>ROUND(INDEX(挂机升级突破!$BN$6:$BN$57,卡牌消耗!AI522)*INDEX(卡牌消耗!$B$8:$F$8,AG522)/$Q$4/50,0)*50</f>
        <v>379900</v>
      </c>
      <c r="AL522" s="14" t="str">
        <f>IF(AD522&gt;0,INDEX(挂机升级突破!$BX$4:$CH$4,AD522),"")</f>
        <v>红色基础材料</v>
      </c>
      <c r="AM522" s="14">
        <f>ROUND(INDEX(挂机升级突破!$BX$6:$CH$57,卡牌消耗!AI522,AD522)*INDEX(卡牌消耗!$B$5:$F$5,AG522)/$Q$4/5,0)*5</f>
        <v>85</v>
      </c>
      <c r="AN522" s="14" t="str">
        <f>IF(AE522&gt;0,INDEX(挂机升级突破!$BX$4:$CH$4,AE522),"")</f>
        <v>灵玉</v>
      </c>
      <c r="AO522" s="14">
        <f>IF(AE522&gt;0,ROUND(INDEX(挂机升级突破!$BX$6:$CH$57,卡牌消耗!AI522,AE522)*INDEX(卡牌消耗!$B$7:$F$7,AG522)/$Q$4,0),"")</f>
        <v>2</v>
      </c>
      <c r="AR522" s="104">
        <v>518</v>
      </c>
      <c r="AS522" s="14">
        <f t="shared" si="173"/>
        <v>26</v>
      </c>
      <c r="AT522" s="14">
        <f>INDEX(挂机升级突破!$CM$7:$CM$26,AX522)</f>
        <v>5</v>
      </c>
      <c r="AU522" s="14">
        <f>INDEX(挂机升级突破!$CN$7:$CN$26,AX522)</f>
        <v>4</v>
      </c>
      <c r="AV522" s="14">
        <f t="shared" si="174"/>
        <v>5</v>
      </c>
      <c r="AW522" s="14" t="str">
        <f t="shared" si="175"/>
        <v>吕布</v>
      </c>
      <c r="AX522" s="14">
        <f t="shared" si="176"/>
        <v>18</v>
      </c>
      <c r="AY522" s="14" t="str">
        <f t="shared" si="177"/>
        <v>吕布18突</v>
      </c>
      <c r="AZ522" s="14" t="str">
        <f>IF(AT522&gt;0,INDEX(挂机升级突破!$CV$5:$CZ$5,卡牌消耗!AT522),"")</f>
        <v>金币</v>
      </c>
      <c r="BA522" s="14">
        <f>IF(AT522&gt;0,ROUND(INDEX(挂机升级突破!$CZ$7:$CZ$26,卡牌消耗!AX522)*INDEX(卡牌消耗!$B$8:$F$8,AV522)/$Q$4/500,0)*500,"")</f>
        <v>167000</v>
      </c>
      <c r="BB522" s="14" t="str">
        <f>IF(AU522&gt;0,INDEX(挂机升级突破!$CV$5:$CZ$5,卡牌消耗!AU522),"")</f>
        <v>铀金</v>
      </c>
      <c r="BC522" s="14">
        <f>IF(AU522&gt;0,ROUND(INDEX(挂机升级突破!$CV$7:$CY$26,卡牌消耗!AX522,卡牌消耗!AU522)*INDEX($B$6:$F$6,AV522)/$Q$4/5,0)*5,"")</f>
        <v>50</v>
      </c>
      <c r="BD522" s="104"/>
      <c r="BE522" s="104"/>
    </row>
    <row r="523" spans="8:57" ht="16.5" x14ac:dyDescent="0.2">
      <c r="AA523" s="104">
        <v>519</v>
      </c>
      <c r="AB523" s="14">
        <f t="shared" si="168"/>
        <v>10</v>
      </c>
      <c r="AC523" s="14">
        <f>INDEX(挂机升级突破!$BU$6:$BU$57,卡牌消耗!AI523)</f>
        <v>11</v>
      </c>
      <c r="AD523" s="14">
        <f>INDEX(挂机升级突破!BV$6:BV$57,卡牌消耗!$AI523)</f>
        <v>5</v>
      </c>
      <c r="AE523" s="14">
        <f>INDEX(挂机升级突破!BW$6:BW$57,卡牌消耗!$AI523)</f>
        <v>10</v>
      </c>
      <c r="AF523" s="14" t="str">
        <f t="shared" si="169"/>
        <v>张郃</v>
      </c>
      <c r="AG523" s="14">
        <f t="shared" si="170"/>
        <v>4</v>
      </c>
      <c r="AH523" s="14" t="str">
        <f t="shared" si="171"/>
        <v>张郃魂火-51</v>
      </c>
      <c r="AI523" s="14">
        <f t="shared" si="172"/>
        <v>51</v>
      </c>
      <c r="AJ523" s="14" t="str">
        <f>INDEX(挂机升级突破!$BX$4:$CH$4,INDEX(挂机升级突破!$BU$6:$BU$57,卡牌消耗!AI523))</f>
        <v>金币</v>
      </c>
      <c r="AK523" s="14">
        <f>ROUND(INDEX(挂机升级突破!$BN$6:$BN$57,卡牌消耗!AI523)*INDEX(卡牌消耗!$B$8:$F$8,AG523)/$Q$4/50,0)*50</f>
        <v>417900</v>
      </c>
      <c r="AL523" s="14" t="str">
        <f>IF(AD523&gt;0,INDEX(挂机升级突破!$BX$4:$CH$4,AD523),"")</f>
        <v>红色基础材料</v>
      </c>
      <c r="AM523" s="14">
        <f>ROUND(INDEX(挂机升级突破!$BX$6:$CH$57,卡牌消耗!AI523,AD523)*INDEX(卡牌消耗!$B$5:$F$5,AG523)/$Q$4/5,0)*5</f>
        <v>85</v>
      </c>
      <c r="AN523" s="14" t="str">
        <f>IF(AE523&gt;0,INDEX(挂机升级突破!$BX$4:$CH$4,AE523),"")</f>
        <v>灵玉</v>
      </c>
      <c r="AO523" s="14">
        <f>IF(AE523&gt;0,ROUND(INDEX(挂机升级突破!$BX$6:$CH$57,卡牌消耗!AI523,AE523)*INDEX(卡牌消耗!$B$7:$F$7,AG523)/$Q$4,0),"")</f>
        <v>2</v>
      </c>
      <c r="AR523" s="104">
        <v>519</v>
      </c>
      <c r="AS523" s="14">
        <f t="shared" si="173"/>
        <v>26</v>
      </c>
      <c r="AT523" s="14">
        <f>INDEX(挂机升级突破!$CM$7:$CM$26,AX523)</f>
        <v>5</v>
      </c>
      <c r="AU523" s="14">
        <f>INDEX(挂机升级突破!$CN$7:$CN$26,AX523)</f>
        <v>4</v>
      </c>
      <c r="AV523" s="14">
        <f t="shared" si="174"/>
        <v>5</v>
      </c>
      <c r="AW523" s="14" t="str">
        <f t="shared" si="175"/>
        <v>吕布</v>
      </c>
      <c r="AX523" s="14">
        <f t="shared" si="176"/>
        <v>19</v>
      </c>
      <c r="AY523" s="14" t="str">
        <f t="shared" si="177"/>
        <v>吕布19突</v>
      </c>
      <c r="AZ523" s="14" t="str">
        <f>IF(AT523&gt;0,INDEX(挂机升级突破!$CV$5:$CZ$5,卡牌消耗!AT523),"")</f>
        <v>金币</v>
      </c>
      <c r="BA523" s="14">
        <f>IF(AT523&gt;0,ROUND(INDEX(挂机升级突破!$CZ$7:$CZ$26,卡牌消耗!AX523)*INDEX(卡牌消耗!$B$8:$F$8,AV523)/$Q$4/500,0)*500,"")</f>
        <v>1013000</v>
      </c>
      <c r="BB523" s="14" t="str">
        <f>IF(AU523&gt;0,INDEX(挂机升级突破!$CV$5:$CZ$5,卡牌消耗!AU523),"")</f>
        <v>铀金</v>
      </c>
      <c r="BC523" s="14">
        <f>IF(AU523&gt;0,ROUND(INDEX(挂机升级突破!$CV$7:$CY$26,卡牌消耗!AX523,卡牌消耗!AU523)*INDEX($B$6:$F$6,AV523)/$Q$4/5,0)*5,"")</f>
        <v>70</v>
      </c>
      <c r="BD523" s="104"/>
      <c r="BE523" s="104"/>
    </row>
    <row r="524" spans="8:57" ht="16.5" x14ac:dyDescent="0.2">
      <c r="AA524" s="104">
        <v>520</v>
      </c>
      <c r="AB524" s="14">
        <f t="shared" si="168"/>
        <v>10</v>
      </c>
      <c r="AC524" s="14">
        <f>INDEX(挂机升级突破!$BU$6:$BU$57,卡牌消耗!AI524)</f>
        <v>11</v>
      </c>
      <c r="AD524" s="14">
        <f>INDEX(挂机升级突破!BV$6:BV$57,卡牌消耗!$AI524)</f>
        <v>5</v>
      </c>
      <c r="AE524" s="14">
        <f>INDEX(挂机升级突破!BW$6:BW$57,卡牌消耗!$AI524)</f>
        <v>10</v>
      </c>
      <c r="AF524" s="14" t="str">
        <f t="shared" si="169"/>
        <v>张郃</v>
      </c>
      <c r="AG524" s="14">
        <f t="shared" si="170"/>
        <v>4</v>
      </c>
      <c r="AH524" s="14" t="str">
        <f t="shared" si="171"/>
        <v>张郃魂火-52</v>
      </c>
      <c r="AI524" s="14">
        <f t="shared" si="172"/>
        <v>52</v>
      </c>
      <c r="AJ524" s="14" t="str">
        <f>INDEX(挂机升级突破!$BX$4:$CH$4,INDEX(挂机升级突破!$BU$6:$BU$57,卡牌消耗!AI524))</f>
        <v>金币</v>
      </c>
      <c r="AK524" s="14">
        <f>ROUND(INDEX(挂机升级突破!$BN$6:$BN$57,卡牌消耗!AI524)*INDEX(卡牌消耗!$B$8:$F$8,AG524)/$Q$4/50,0)*50</f>
        <v>417900</v>
      </c>
      <c r="AL524" s="14" t="str">
        <f>IF(AD524&gt;0,INDEX(挂机升级突破!$BX$4:$CH$4,AD524),"")</f>
        <v>红色基础材料</v>
      </c>
      <c r="AM524" s="14">
        <f>ROUND(INDEX(挂机升级突破!$BX$6:$CH$57,卡牌消耗!AI524,AD524)*INDEX(卡牌消耗!$B$5:$F$5,AG524)/$Q$4/5,0)*5</f>
        <v>85</v>
      </c>
      <c r="AN524" s="14" t="str">
        <f>IF(AE524&gt;0,INDEX(挂机升级突破!$BX$4:$CH$4,AE524),"")</f>
        <v>灵玉</v>
      </c>
      <c r="AO524" s="14">
        <f>IF(AE524&gt;0,ROUND(INDEX(挂机升级突破!$BX$6:$CH$57,卡牌消耗!AI524,AE524)*INDEX(卡牌消耗!$B$7:$F$7,AG524)/$Q$4,0),"")</f>
        <v>2</v>
      </c>
      <c r="AR524" s="104">
        <v>520</v>
      </c>
      <c r="AS524" s="14">
        <f t="shared" si="173"/>
        <v>26</v>
      </c>
      <c r="AT524" s="14">
        <f>INDEX(挂机升级突破!$CM$7:$CM$26,AX524)</f>
        <v>5</v>
      </c>
      <c r="AU524" s="14">
        <f>INDEX(挂机升级突破!$CN$7:$CN$26,AX524)</f>
        <v>4</v>
      </c>
      <c r="AV524" s="14">
        <f t="shared" si="174"/>
        <v>5</v>
      </c>
      <c r="AW524" s="14" t="str">
        <f t="shared" si="175"/>
        <v>吕布</v>
      </c>
      <c r="AX524" s="14">
        <f t="shared" si="176"/>
        <v>20</v>
      </c>
      <c r="AY524" s="14" t="str">
        <f t="shared" si="177"/>
        <v>吕布20突</v>
      </c>
      <c r="AZ524" s="14" t="str">
        <f>IF(AT524&gt;0,INDEX(挂机升级突破!$CV$5:$CZ$5,卡牌消耗!AT524),"")</f>
        <v>金币</v>
      </c>
      <c r="BA524" s="14">
        <f>IF(AT524&gt;0,ROUND(INDEX(挂机升级突破!$CZ$7:$CZ$26,卡牌消耗!AX524)*INDEX(卡牌消耗!$B$8:$F$8,AV524)/$Q$4/500,0)*500,"")</f>
        <v>1519500</v>
      </c>
      <c r="BB524" s="14" t="str">
        <f>IF(AU524&gt;0,INDEX(挂机升级突破!$CV$5:$CZ$5,卡牌消耗!AU524),"")</f>
        <v>铀金</v>
      </c>
      <c r="BC524" s="14">
        <f>IF(AU524&gt;0,ROUND(INDEX(挂机升级突破!$CV$7:$CY$26,卡牌消耗!AX524,卡牌消耗!AU524)*INDEX($B$6:$F$6,AV524)/$Q$4/5,0)*5,"")</f>
        <v>85</v>
      </c>
      <c r="BD524" s="104"/>
      <c r="BE524" s="104"/>
    </row>
    <row r="525" spans="8:57" ht="16.5" x14ac:dyDescent="0.2">
      <c r="AA525" s="104">
        <v>521</v>
      </c>
      <c r="AB525" s="14">
        <f t="shared" si="168"/>
        <v>11</v>
      </c>
      <c r="AC525" s="14">
        <f>INDEX(挂机升级突破!$BU$6:$BU$57,卡牌消耗!AI525)</f>
        <v>11</v>
      </c>
      <c r="AD525" s="14">
        <f>INDEX(挂机升级突破!BV$6:BV$57,卡牌消耗!$AI525)</f>
        <v>1</v>
      </c>
      <c r="AE525" s="14">
        <f>INDEX(挂机升级突破!BW$6:BW$57,卡牌消耗!$AI525)</f>
        <v>0</v>
      </c>
      <c r="AF525" s="14" t="str">
        <f t="shared" si="169"/>
        <v>张飞</v>
      </c>
      <c r="AG525" s="14">
        <f t="shared" si="170"/>
        <v>4</v>
      </c>
      <c r="AH525" s="14" t="str">
        <f t="shared" si="171"/>
        <v>张飞魂火-1</v>
      </c>
      <c r="AI525" s="14">
        <f t="shared" si="172"/>
        <v>1</v>
      </c>
      <c r="AJ525" s="14" t="str">
        <f>INDEX(挂机升级突破!$BX$4:$CH$4,INDEX(挂机升级突破!$BU$6:$BU$57,卡牌消耗!AI525))</f>
        <v>金币</v>
      </c>
      <c r="AK525" s="14">
        <f>ROUND(INDEX(挂机升级突破!$BN$6:$BN$57,卡牌消耗!AI525)*INDEX(卡牌消耗!$B$8:$F$8,AG525)/$Q$4/50,0)*50</f>
        <v>900</v>
      </c>
      <c r="AL525" s="14" t="str">
        <f>IF(AD525&gt;0,INDEX(挂机升级突破!$BX$4:$CH$4,AD525),"")</f>
        <v>绿色基础材料</v>
      </c>
      <c r="AM525" s="14">
        <f>ROUND(INDEX(挂机升级突破!$BX$6:$CH$57,卡牌消耗!AI525,AD525)*INDEX(卡牌消耗!$B$5:$F$5,AG525)/$Q$4/5,0)*5</f>
        <v>1000</v>
      </c>
      <c r="AN525" s="14" t="str">
        <f>IF(AE525&gt;0,INDEX(挂机升级突破!$BX$4:$CH$4,AE525),"")</f>
        <v/>
      </c>
      <c r="AO525" s="14" t="str">
        <f>IF(AE525&gt;0,ROUND(INDEX(挂机升级突破!$BX$6:$CH$57,卡牌消耗!AI525,AE525)*INDEX(卡牌消耗!$B$7:$F$7,AG525)/$Q$4,0),"")</f>
        <v/>
      </c>
      <c r="AR525" s="104">
        <v>521</v>
      </c>
      <c r="AS525" s="14">
        <f t="shared" si="173"/>
        <v>27</v>
      </c>
      <c r="AT525" s="14">
        <f>INDEX(挂机升级突破!$CM$7:$CM$26,AX525)</f>
        <v>0</v>
      </c>
      <c r="AU525" s="14">
        <f>INDEX(挂机升级突破!$CN$7:$CN$26,AX525)</f>
        <v>0</v>
      </c>
      <c r="AV525" s="14">
        <f t="shared" si="174"/>
        <v>3</v>
      </c>
      <c r="AW525" s="14" t="str">
        <f t="shared" si="175"/>
        <v>燕青</v>
      </c>
      <c r="AX525" s="14">
        <f t="shared" si="176"/>
        <v>1</v>
      </c>
      <c r="AY525" s="14" t="str">
        <f t="shared" si="177"/>
        <v>燕青1突</v>
      </c>
      <c r="AZ525" s="14" t="str">
        <f>IF(AT525&gt;0,INDEX(挂机升级突破!$CV$5:$CZ$5,卡牌消耗!AT525),"")</f>
        <v/>
      </c>
      <c r="BA525" s="14" t="str">
        <f>IF(AT525&gt;0,ROUND(INDEX(挂机升级突破!$CZ$7:$CZ$26,卡牌消耗!AX525)*INDEX(卡牌消耗!$B$8:$F$8,AV525)/$Q$4/500,0)*500,"")</f>
        <v/>
      </c>
      <c r="BB525" s="14" t="str">
        <f>IF(AU525&gt;0,INDEX(挂机升级突破!$CV$5:$CZ$5,卡牌消耗!AU525),"")</f>
        <v/>
      </c>
      <c r="BC525" s="14" t="str">
        <f>IF(AU525&gt;0,ROUND(INDEX(挂机升级突破!$CV$7:$CY$26,卡牌消耗!AX525,卡牌消耗!AU525)*INDEX($B$6:$F$6,AV525)/$Q$4/5,0)*5,"")</f>
        <v/>
      </c>
      <c r="BD525" s="104"/>
      <c r="BE525" s="104"/>
    </row>
    <row r="526" spans="8:57" ht="16.5" x14ac:dyDescent="0.2">
      <c r="AA526" s="104">
        <v>522</v>
      </c>
      <c r="AB526" s="14">
        <f t="shared" si="168"/>
        <v>11</v>
      </c>
      <c r="AC526" s="14">
        <f>INDEX(挂机升级突破!$BU$6:$BU$57,卡牌消耗!AI526)</f>
        <v>11</v>
      </c>
      <c r="AD526" s="14">
        <f>INDEX(挂机升级突破!BV$6:BV$57,卡牌消耗!$AI526)</f>
        <v>1</v>
      </c>
      <c r="AE526" s="14">
        <f>INDEX(挂机升级突破!BW$6:BW$57,卡牌消耗!$AI526)</f>
        <v>0</v>
      </c>
      <c r="AF526" s="14" t="str">
        <f t="shared" si="169"/>
        <v>张飞</v>
      </c>
      <c r="AG526" s="14">
        <f t="shared" si="170"/>
        <v>4</v>
      </c>
      <c r="AH526" s="14" t="str">
        <f t="shared" si="171"/>
        <v>张飞魂火-2</v>
      </c>
      <c r="AI526" s="14">
        <f t="shared" si="172"/>
        <v>2</v>
      </c>
      <c r="AJ526" s="14" t="str">
        <f>INDEX(挂机升级突破!$BX$4:$CH$4,INDEX(挂机升级突破!$BU$6:$BU$57,卡牌消耗!AI526))</f>
        <v>金币</v>
      </c>
      <c r="AK526" s="14">
        <f>ROUND(INDEX(挂机升级突破!$BN$6:$BN$57,卡牌消耗!AI526)*INDEX(卡牌消耗!$B$8:$F$8,AG526)/$Q$4/50,0)*50</f>
        <v>1200</v>
      </c>
      <c r="AL526" s="14" t="str">
        <f>IF(AD526&gt;0,INDEX(挂机升级突破!$BX$4:$CH$4,AD526),"")</f>
        <v>绿色基础材料</v>
      </c>
      <c r="AM526" s="14">
        <f>ROUND(INDEX(挂机升级突破!$BX$6:$CH$57,卡牌消耗!AI526,AD526)*INDEX(卡牌消耗!$B$5:$F$5,AG526)/$Q$4/5,0)*5</f>
        <v>3005</v>
      </c>
      <c r="AN526" s="14" t="str">
        <f>IF(AE526&gt;0,INDEX(挂机升级突破!$BX$4:$CH$4,AE526),"")</f>
        <v/>
      </c>
      <c r="AO526" s="14" t="str">
        <f>IF(AE526&gt;0,ROUND(INDEX(挂机升级突破!$BX$6:$CH$57,卡牌消耗!AI526,AE526)*INDEX(卡牌消耗!$B$7:$F$7,AG526)/$Q$4,0),"")</f>
        <v/>
      </c>
      <c r="AR526" s="104">
        <v>522</v>
      </c>
      <c r="AS526" s="14">
        <f t="shared" si="173"/>
        <v>27</v>
      </c>
      <c r="AT526" s="14">
        <f>INDEX(挂机升级突破!$CM$7:$CM$26,AX526)</f>
        <v>5</v>
      </c>
      <c r="AU526" s="14">
        <f>INDEX(挂机升级突破!$CN$7:$CN$26,AX526)</f>
        <v>0</v>
      </c>
      <c r="AV526" s="14">
        <f t="shared" si="174"/>
        <v>3</v>
      </c>
      <c r="AW526" s="14" t="str">
        <f t="shared" si="175"/>
        <v>燕青</v>
      </c>
      <c r="AX526" s="14">
        <f t="shared" si="176"/>
        <v>2</v>
      </c>
      <c r="AY526" s="14" t="str">
        <f t="shared" si="177"/>
        <v>燕青2突</v>
      </c>
      <c r="AZ526" s="14" t="str">
        <f>IF(AT526&gt;0,INDEX(挂机升级突破!$CV$5:$CZ$5,卡牌消耗!AT526),"")</f>
        <v>金币</v>
      </c>
      <c r="BA526" s="14">
        <f>IF(AT526&gt;0,ROUND(INDEX(挂机升级突破!$CZ$7:$CZ$26,卡牌消耗!AX526)*INDEX(卡牌消耗!$B$8:$F$8,AV526)/$Q$4/500,0)*500,"")</f>
        <v>2500</v>
      </c>
      <c r="BB526" s="14" t="str">
        <f>IF(AU526&gt;0,INDEX(挂机升级突破!$CV$5:$CZ$5,卡牌消耗!AU526),"")</f>
        <v/>
      </c>
      <c r="BC526" s="14" t="str">
        <f>IF(AU526&gt;0,ROUND(INDEX(挂机升级突破!$CV$7:$CY$26,卡牌消耗!AX526,卡牌消耗!AU526)*INDEX($B$6:$F$6,AV526)/$Q$4/5,0)*5,"")</f>
        <v/>
      </c>
      <c r="BD526" s="104"/>
      <c r="BE526" s="104"/>
    </row>
    <row r="527" spans="8:57" ht="16.5" x14ac:dyDescent="0.2">
      <c r="AA527" s="104">
        <v>523</v>
      </c>
      <c r="AB527" s="14">
        <f t="shared" si="168"/>
        <v>11</v>
      </c>
      <c r="AC527" s="14">
        <f>INDEX(挂机升级突破!$BU$6:$BU$57,卡牌消耗!AI527)</f>
        <v>11</v>
      </c>
      <c r="AD527" s="14">
        <f>INDEX(挂机升级突破!BV$6:BV$57,卡牌消耗!$AI527)</f>
        <v>1</v>
      </c>
      <c r="AE527" s="14">
        <f>INDEX(挂机升级突破!BW$6:BW$57,卡牌消耗!$AI527)</f>
        <v>0</v>
      </c>
      <c r="AF527" s="14" t="str">
        <f t="shared" si="169"/>
        <v>张飞</v>
      </c>
      <c r="AG527" s="14">
        <f t="shared" si="170"/>
        <v>4</v>
      </c>
      <c r="AH527" s="14" t="str">
        <f t="shared" si="171"/>
        <v>张飞魂火-3</v>
      </c>
      <c r="AI527" s="14">
        <f t="shared" si="172"/>
        <v>3</v>
      </c>
      <c r="AJ527" s="14" t="str">
        <f>INDEX(挂机升级突破!$BX$4:$CH$4,INDEX(挂机升级突破!$BU$6:$BU$57,卡牌消耗!AI527))</f>
        <v>金币</v>
      </c>
      <c r="AK527" s="14">
        <f>ROUND(INDEX(挂机升级突破!$BN$6:$BN$57,卡牌消耗!AI527)*INDEX(卡牌消耗!$B$8:$F$8,AG527)/$Q$4/50,0)*50</f>
        <v>1200</v>
      </c>
      <c r="AL527" s="14" t="str">
        <f>IF(AD527&gt;0,INDEX(挂机升级突破!$BX$4:$CH$4,AD527),"")</f>
        <v>绿色基础材料</v>
      </c>
      <c r="AM527" s="14">
        <f>ROUND(INDEX(挂机升级突破!$BX$6:$CH$57,卡牌消耗!AI527,AD527)*INDEX(卡牌消耗!$B$5:$F$5,AG527)/$Q$4/5,0)*5</f>
        <v>4005</v>
      </c>
      <c r="AN527" s="14" t="str">
        <f>IF(AE527&gt;0,INDEX(挂机升级突破!$BX$4:$CH$4,AE527),"")</f>
        <v/>
      </c>
      <c r="AO527" s="14" t="str">
        <f>IF(AE527&gt;0,ROUND(INDEX(挂机升级突破!$BX$6:$CH$57,卡牌消耗!AI527,AE527)*INDEX(卡牌消耗!$B$7:$F$7,AG527)/$Q$4,0),"")</f>
        <v/>
      </c>
      <c r="AR527" s="104">
        <v>523</v>
      </c>
      <c r="AS527" s="14">
        <f t="shared" si="173"/>
        <v>27</v>
      </c>
      <c r="AT527" s="14">
        <f>INDEX(挂机升级突破!$CM$7:$CM$26,AX527)</f>
        <v>5</v>
      </c>
      <c r="AU527" s="14">
        <f>INDEX(挂机升级突破!$CN$7:$CN$26,AX527)</f>
        <v>0</v>
      </c>
      <c r="AV527" s="14">
        <f t="shared" si="174"/>
        <v>3</v>
      </c>
      <c r="AW527" s="14" t="str">
        <f t="shared" si="175"/>
        <v>燕青</v>
      </c>
      <c r="AX527" s="14">
        <f t="shared" si="176"/>
        <v>3</v>
      </c>
      <c r="AY527" s="14" t="str">
        <f t="shared" si="177"/>
        <v>燕青3突</v>
      </c>
      <c r="AZ527" s="14" t="str">
        <f>IF(AT527&gt;0,INDEX(挂机升级突破!$CV$5:$CZ$5,卡牌消耗!AT527),"")</f>
        <v>金币</v>
      </c>
      <c r="BA527" s="14">
        <f>IF(AT527&gt;0,ROUND(INDEX(挂机升级突破!$CZ$7:$CZ$26,卡牌消耗!AX527)*INDEX(卡牌消耗!$B$8:$F$8,AV527)/$Q$4/500,0)*500,"")</f>
        <v>2500</v>
      </c>
      <c r="BB527" s="14" t="str">
        <f>IF(AU527&gt;0,INDEX(挂机升级突破!$CV$5:$CZ$5,卡牌消耗!AU527),"")</f>
        <v/>
      </c>
      <c r="BC527" s="14" t="str">
        <f>IF(AU527&gt;0,ROUND(INDEX(挂机升级突破!$CV$7:$CY$26,卡牌消耗!AX527,卡牌消耗!AU527)*INDEX($B$6:$F$6,AV527)/$Q$4/5,0)*5,"")</f>
        <v/>
      </c>
      <c r="BD527" s="104"/>
      <c r="BE527" s="104"/>
    </row>
    <row r="528" spans="8:57" ht="16.5" x14ac:dyDescent="0.2">
      <c r="AA528" s="104">
        <v>524</v>
      </c>
      <c r="AB528" s="14">
        <f t="shared" si="168"/>
        <v>11</v>
      </c>
      <c r="AC528" s="14">
        <f>INDEX(挂机升级突破!$BU$6:$BU$57,卡牌消耗!AI528)</f>
        <v>11</v>
      </c>
      <c r="AD528" s="14">
        <f>INDEX(挂机升级突破!BV$6:BV$57,卡牌消耗!$AI528)</f>
        <v>1</v>
      </c>
      <c r="AE528" s="14">
        <f>INDEX(挂机升级突破!BW$6:BW$57,卡牌消耗!$AI528)</f>
        <v>0</v>
      </c>
      <c r="AF528" s="14" t="str">
        <f t="shared" si="169"/>
        <v>张飞</v>
      </c>
      <c r="AG528" s="14">
        <f t="shared" si="170"/>
        <v>4</v>
      </c>
      <c r="AH528" s="14" t="str">
        <f t="shared" si="171"/>
        <v>张飞魂火-4</v>
      </c>
      <c r="AI528" s="14">
        <f t="shared" si="172"/>
        <v>4</v>
      </c>
      <c r="AJ528" s="14" t="str">
        <f>INDEX(挂机升级突破!$BX$4:$CH$4,INDEX(挂机升级突破!$BU$6:$BU$57,卡牌消耗!AI528))</f>
        <v>金币</v>
      </c>
      <c r="AK528" s="14">
        <f>ROUND(INDEX(挂机升级突破!$BN$6:$BN$57,卡牌消耗!AI528)*INDEX(卡牌消耗!$B$8:$F$8,AG528)/$Q$4/50,0)*50</f>
        <v>1200</v>
      </c>
      <c r="AL528" s="14" t="str">
        <f>IF(AD528&gt;0,INDEX(挂机升级突破!$BX$4:$CH$4,AD528),"")</f>
        <v>绿色基础材料</v>
      </c>
      <c r="AM528" s="14">
        <f>ROUND(INDEX(挂机升级突破!$BX$6:$CH$57,卡牌消耗!AI528,AD528)*INDEX(卡牌消耗!$B$5:$F$5,AG528)/$Q$4/5,0)*5</f>
        <v>6005</v>
      </c>
      <c r="AN528" s="14" t="str">
        <f>IF(AE528&gt;0,INDEX(挂机升级突破!$BX$4:$CH$4,AE528),"")</f>
        <v/>
      </c>
      <c r="AO528" s="14" t="str">
        <f>IF(AE528&gt;0,ROUND(INDEX(挂机升级突破!$BX$6:$CH$57,卡牌消耗!AI528,AE528)*INDEX(卡牌消耗!$B$7:$F$7,AG528)/$Q$4,0),"")</f>
        <v/>
      </c>
      <c r="AR528" s="104">
        <v>524</v>
      </c>
      <c r="AS528" s="14">
        <f t="shared" si="173"/>
        <v>27</v>
      </c>
      <c r="AT528" s="14">
        <f>INDEX(挂机升级突破!$CM$7:$CM$26,AX528)</f>
        <v>5</v>
      </c>
      <c r="AU528" s="14">
        <f>INDEX(挂机升级突破!$CN$7:$CN$26,AX528)</f>
        <v>1</v>
      </c>
      <c r="AV528" s="14">
        <f t="shared" si="174"/>
        <v>3</v>
      </c>
      <c r="AW528" s="14" t="str">
        <f t="shared" si="175"/>
        <v>燕青</v>
      </c>
      <c r="AX528" s="14">
        <f t="shared" si="176"/>
        <v>4</v>
      </c>
      <c r="AY528" s="14" t="str">
        <f t="shared" si="177"/>
        <v>燕青4突</v>
      </c>
      <c r="AZ528" s="14" t="str">
        <f>IF(AT528&gt;0,INDEX(挂机升级突破!$CV$5:$CZ$5,卡牌消耗!AT528),"")</f>
        <v>金币</v>
      </c>
      <c r="BA528" s="14">
        <f>IF(AT528&gt;0,ROUND(INDEX(挂机升级突破!$CZ$7:$CZ$26,卡牌消耗!AX528)*INDEX(卡牌消耗!$B$8:$F$8,AV528)/$Q$4/500,0)*500,"")</f>
        <v>3000</v>
      </c>
      <c r="BB528" s="14" t="str">
        <f>IF(AU528&gt;0,INDEX(挂机升级突破!$CV$5:$CZ$5,卡牌消耗!AU528),"")</f>
        <v>玄铁</v>
      </c>
      <c r="BC528" s="14">
        <f>IF(AU528&gt;0,ROUND(INDEX(挂机升级突破!$CV$7:$CY$26,卡牌消耗!AX528,卡牌消耗!AU528)*INDEX($B$6:$F$6,AV528)/$Q$4/5,0)*5,"")</f>
        <v>60</v>
      </c>
      <c r="BD528" s="104"/>
      <c r="BE528" s="104"/>
    </row>
    <row r="529" spans="27:57" ht="16.5" x14ac:dyDescent="0.2">
      <c r="AA529" s="104">
        <v>525</v>
      </c>
      <c r="AB529" s="14">
        <f t="shared" si="168"/>
        <v>11</v>
      </c>
      <c r="AC529" s="14">
        <f>INDEX(挂机升级突破!$BU$6:$BU$57,卡牌消耗!AI529)</f>
        <v>11</v>
      </c>
      <c r="AD529" s="14">
        <f>INDEX(挂机升级突破!BV$6:BV$57,卡牌消耗!$AI529)</f>
        <v>1</v>
      </c>
      <c r="AE529" s="14">
        <f>INDEX(挂机升级突破!BW$6:BW$57,卡牌消耗!$AI529)</f>
        <v>0</v>
      </c>
      <c r="AF529" s="14" t="str">
        <f t="shared" si="169"/>
        <v>张飞</v>
      </c>
      <c r="AG529" s="14">
        <f t="shared" si="170"/>
        <v>4</v>
      </c>
      <c r="AH529" s="14" t="str">
        <f t="shared" si="171"/>
        <v>张飞魂火-5</v>
      </c>
      <c r="AI529" s="14">
        <f t="shared" si="172"/>
        <v>5</v>
      </c>
      <c r="AJ529" s="14" t="str">
        <f>INDEX(挂机升级突破!$BX$4:$CH$4,INDEX(挂机升级突破!$BU$6:$BU$57,卡牌消耗!AI529))</f>
        <v>金币</v>
      </c>
      <c r="AK529" s="14">
        <f>ROUND(INDEX(挂机升级突破!$BN$6:$BN$57,卡牌消耗!AI529)*INDEX(卡牌消耗!$B$8:$F$8,AG529)/$Q$4/50,0)*50</f>
        <v>1200</v>
      </c>
      <c r="AL529" s="14" t="str">
        <f>IF(AD529&gt;0,INDEX(挂机升级突破!$BX$4:$CH$4,AD529),"")</f>
        <v>绿色基础材料</v>
      </c>
      <c r="AM529" s="14">
        <f>ROUND(INDEX(挂机升级突破!$BX$6:$CH$57,卡牌消耗!AI529,AD529)*INDEX(卡牌消耗!$B$5:$F$5,AG529)/$Q$4/5,0)*5</f>
        <v>6005</v>
      </c>
      <c r="AN529" s="14" t="str">
        <f>IF(AE529&gt;0,INDEX(挂机升级突破!$BX$4:$CH$4,AE529),"")</f>
        <v/>
      </c>
      <c r="AO529" s="14" t="str">
        <f>IF(AE529&gt;0,ROUND(INDEX(挂机升级突破!$BX$6:$CH$57,卡牌消耗!AI529,AE529)*INDEX(卡牌消耗!$B$7:$F$7,AG529)/$Q$4,0),"")</f>
        <v/>
      </c>
      <c r="AR529" s="104">
        <v>525</v>
      </c>
      <c r="AS529" s="14">
        <f t="shared" si="173"/>
        <v>27</v>
      </c>
      <c r="AT529" s="14">
        <f>INDEX(挂机升级突破!$CM$7:$CM$26,AX529)</f>
        <v>5</v>
      </c>
      <c r="AU529" s="14">
        <f>INDEX(挂机升级突破!$CN$7:$CN$26,AX529)</f>
        <v>1</v>
      </c>
      <c r="AV529" s="14">
        <f t="shared" si="174"/>
        <v>3</v>
      </c>
      <c r="AW529" s="14" t="str">
        <f t="shared" si="175"/>
        <v>燕青</v>
      </c>
      <c r="AX529" s="14">
        <f t="shared" si="176"/>
        <v>5</v>
      </c>
      <c r="AY529" s="14" t="str">
        <f t="shared" si="177"/>
        <v>燕青5突</v>
      </c>
      <c r="AZ529" s="14" t="str">
        <f>IF(AT529&gt;0,INDEX(挂机升级突破!$CV$5:$CZ$5,卡牌消耗!AT529),"")</f>
        <v>金币</v>
      </c>
      <c r="BA529" s="14">
        <f>IF(AT529&gt;0,ROUND(INDEX(挂机升级突破!$CZ$7:$CZ$26,卡牌消耗!AX529)*INDEX(卡牌消耗!$B$8:$F$8,AV529)/$Q$4/500,0)*500,"")</f>
        <v>3000</v>
      </c>
      <c r="BB529" s="14" t="str">
        <f>IF(AU529&gt;0,INDEX(挂机升级突破!$CV$5:$CZ$5,卡牌消耗!AU529),"")</f>
        <v>玄铁</v>
      </c>
      <c r="BC529" s="14">
        <f>IF(AU529&gt;0,ROUND(INDEX(挂机升级突破!$CV$7:$CY$26,卡牌消耗!AX529,卡牌消耗!AU529)*INDEX($B$6:$F$6,AV529)/$Q$4/5,0)*5,"")</f>
        <v>115</v>
      </c>
      <c r="BD529" s="104"/>
      <c r="BE529" s="104"/>
    </row>
    <row r="530" spans="27:57" ht="16.5" x14ac:dyDescent="0.2">
      <c r="AA530" s="104">
        <v>526</v>
      </c>
      <c r="AB530" s="14">
        <f t="shared" si="168"/>
        <v>11</v>
      </c>
      <c r="AC530" s="14">
        <f>INDEX(挂机升级突破!$BU$6:$BU$57,卡牌消耗!AI530)</f>
        <v>11</v>
      </c>
      <c r="AD530" s="14">
        <f>INDEX(挂机升级突破!BV$6:BV$57,卡牌消耗!$AI530)</f>
        <v>2</v>
      </c>
      <c r="AE530" s="14">
        <f>INDEX(挂机升级突破!BW$6:BW$57,卡牌消耗!$AI530)</f>
        <v>0</v>
      </c>
      <c r="AF530" s="14" t="str">
        <f t="shared" si="169"/>
        <v>张飞</v>
      </c>
      <c r="AG530" s="14">
        <f t="shared" si="170"/>
        <v>4</v>
      </c>
      <c r="AH530" s="14" t="str">
        <f t="shared" si="171"/>
        <v>张飞魂火-6</v>
      </c>
      <c r="AI530" s="14">
        <f t="shared" si="172"/>
        <v>6</v>
      </c>
      <c r="AJ530" s="14" t="str">
        <f>INDEX(挂机升级突破!$BX$4:$CH$4,INDEX(挂机升级突破!$BU$6:$BU$57,卡牌消耗!AI530))</f>
        <v>金币</v>
      </c>
      <c r="AK530" s="14">
        <f>ROUND(INDEX(挂机升级突破!$BN$6:$BN$57,卡牌消耗!AI530)*INDEX(卡牌消耗!$B$8:$F$8,AG530)/$Q$4/50,0)*50</f>
        <v>1500</v>
      </c>
      <c r="AL530" s="14" t="str">
        <f>IF(AD530&gt;0,INDEX(挂机升级突破!$BX$4:$CH$4,AD530),"")</f>
        <v>蓝色基础材料</v>
      </c>
      <c r="AM530" s="14">
        <f>ROUND(INDEX(挂机升级突破!$BX$6:$CH$57,卡牌消耗!AI530,AD530)*INDEX(卡牌消耗!$B$5:$F$5,AG530)/$Q$4/5,0)*5</f>
        <v>575</v>
      </c>
      <c r="AN530" s="14" t="str">
        <f>IF(AE530&gt;0,INDEX(挂机升级突破!$BX$4:$CH$4,AE530),"")</f>
        <v/>
      </c>
      <c r="AO530" s="14" t="str">
        <f>IF(AE530&gt;0,ROUND(INDEX(挂机升级突破!$BX$6:$CH$57,卡牌消耗!AI530,AE530)*INDEX(卡牌消耗!$B$7:$F$7,AG530)/$Q$4,0),"")</f>
        <v/>
      </c>
      <c r="AR530" s="104">
        <v>526</v>
      </c>
      <c r="AS530" s="14">
        <f t="shared" si="173"/>
        <v>27</v>
      </c>
      <c r="AT530" s="14">
        <f>INDEX(挂机升级突破!$CM$7:$CM$26,AX530)</f>
        <v>5</v>
      </c>
      <c r="AU530" s="14">
        <f>INDEX(挂机升级突破!$CN$7:$CN$26,AX530)</f>
        <v>1</v>
      </c>
      <c r="AV530" s="14">
        <f t="shared" si="174"/>
        <v>3</v>
      </c>
      <c r="AW530" s="14" t="str">
        <f t="shared" si="175"/>
        <v>燕青</v>
      </c>
      <c r="AX530" s="14">
        <f t="shared" si="176"/>
        <v>6</v>
      </c>
      <c r="AY530" s="14" t="str">
        <f t="shared" si="177"/>
        <v>燕青6突</v>
      </c>
      <c r="AZ530" s="14" t="str">
        <f>IF(AT530&gt;0,INDEX(挂机升级突破!$CV$5:$CZ$5,卡牌消耗!AT530),"")</f>
        <v>金币</v>
      </c>
      <c r="BA530" s="14">
        <f>IF(AT530&gt;0,ROUND(INDEX(挂机升级突破!$CZ$7:$CZ$26,卡牌消耗!AX530)*INDEX(卡牌消耗!$B$8:$F$8,AV530)/$Q$4/500,0)*500,"")</f>
        <v>4000</v>
      </c>
      <c r="BB530" s="14" t="str">
        <f>IF(AU530&gt;0,INDEX(挂机升级突破!$CV$5:$CZ$5,卡牌消耗!AU530),"")</f>
        <v>玄铁</v>
      </c>
      <c r="BC530" s="14">
        <f>IF(AU530&gt;0,ROUND(INDEX(挂机升级突破!$CV$7:$CY$26,卡牌消耗!AX530,卡牌消耗!AU530)*INDEX($B$6:$F$6,AV530)/$Q$4/5,0)*5,"")</f>
        <v>175</v>
      </c>
      <c r="BD530" s="104"/>
      <c r="BE530" s="104"/>
    </row>
    <row r="531" spans="27:57" ht="16.5" x14ac:dyDescent="0.2">
      <c r="AA531" s="104">
        <v>527</v>
      </c>
      <c r="AB531" s="14">
        <f t="shared" si="168"/>
        <v>11</v>
      </c>
      <c r="AC531" s="14">
        <f>INDEX(挂机升级突破!$BU$6:$BU$57,卡牌消耗!AI531)</f>
        <v>11</v>
      </c>
      <c r="AD531" s="14">
        <f>INDEX(挂机升级突破!BV$6:BV$57,卡牌消耗!$AI531)</f>
        <v>2</v>
      </c>
      <c r="AE531" s="14">
        <f>INDEX(挂机升级突破!BW$6:BW$57,卡牌消耗!$AI531)</f>
        <v>0</v>
      </c>
      <c r="AF531" s="14" t="str">
        <f t="shared" si="169"/>
        <v>张飞</v>
      </c>
      <c r="AG531" s="14">
        <f t="shared" si="170"/>
        <v>4</v>
      </c>
      <c r="AH531" s="14" t="str">
        <f t="shared" si="171"/>
        <v>张飞魂火-7</v>
      </c>
      <c r="AI531" s="14">
        <f t="shared" si="172"/>
        <v>7</v>
      </c>
      <c r="AJ531" s="14" t="str">
        <f>INDEX(挂机升级突破!$BX$4:$CH$4,INDEX(挂机升级突破!$BU$6:$BU$57,卡牌消耗!AI531))</f>
        <v>金币</v>
      </c>
      <c r="AK531" s="14">
        <f>ROUND(INDEX(挂机升级突破!$BN$6:$BN$57,卡牌消耗!AI531)*INDEX(卡牌消耗!$B$8:$F$8,AG531)/$Q$4/50,0)*50</f>
        <v>1500</v>
      </c>
      <c r="AL531" s="14" t="str">
        <f>IF(AD531&gt;0,INDEX(挂机升级突破!$BX$4:$CH$4,AD531),"")</f>
        <v>蓝色基础材料</v>
      </c>
      <c r="AM531" s="14">
        <f>ROUND(INDEX(挂机升级突破!$BX$6:$CH$57,卡牌消耗!AI531,AD531)*INDEX(卡牌消耗!$B$5:$F$5,AG531)/$Q$4/5,0)*5</f>
        <v>575</v>
      </c>
      <c r="AN531" s="14" t="str">
        <f>IF(AE531&gt;0,INDEX(挂机升级突破!$BX$4:$CH$4,AE531),"")</f>
        <v/>
      </c>
      <c r="AO531" s="14" t="str">
        <f>IF(AE531&gt;0,ROUND(INDEX(挂机升级突破!$BX$6:$CH$57,卡牌消耗!AI531,AE531)*INDEX(卡牌消耗!$B$7:$F$7,AG531)/$Q$4,0),"")</f>
        <v/>
      </c>
      <c r="AR531" s="104">
        <v>527</v>
      </c>
      <c r="AS531" s="14">
        <f t="shared" si="173"/>
        <v>27</v>
      </c>
      <c r="AT531" s="14">
        <f>INDEX(挂机升级突破!$CM$7:$CM$26,AX531)</f>
        <v>5</v>
      </c>
      <c r="AU531" s="14">
        <f>INDEX(挂机升级突破!$CN$7:$CN$26,AX531)</f>
        <v>1</v>
      </c>
      <c r="AV531" s="14">
        <f t="shared" si="174"/>
        <v>3</v>
      </c>
      <c r="AW531" s="14" t="str">
        <f t="shared" si="175"/>
        <v>燕青</v>
      </c>
      <c r="AX531" s="14">
        <f t="shared" si="176"/>
        <v>7</v>
      </c>
      <c r="AY531" s="14" t="str">
        <f t="shared" si="177"/>
        <v>燕青7突</v>
      </c>
      <c r="AZ531" s="14" t="str">
        <f>IF(AT531&gt;0,INDEX(挂机升级突破!$CV$5:$CZ$5,卡牌消耗!AT531),"")</f>
        <v>金币</v>
      </c>
      <c r="BA531" s="14">
        <f>IF(AT531&gt;0,ROUND(INDEX(挂机升级突破!$CZ$7:$CZ$26,卡牌消耗!AX531)*INDEX(卡牌消耗!$B$8:$F$8,AV531)/$Q$4/500,0)*500,"")</f>
        <v>6500</v>
      </c>
      <c r="BB531" s="14" t="str">
        <f>IF(AU531&gt;0,INDEX(挂机升级突破!$CV$5:$CZ$5,卡牌消耗!AU531),"")</f>
        <v>玄铁</v>
      </c>
      <c r="BC531" s="14">
        <f>IF(AU531&gt;0,ROUND(INDEX(挂机升级突破!$CV$7:$CY$26,卡牌消耗!AX531,卡牌消耗!AU531)*INDEX($B$6:$F$6,AV531)/$Q$4/5,0)*5,"")</f>
        <v>290</v>
      </c>
      <c r="BD531" s="104"/>
      <c r="BE531" s="104"/>
    </row>
    <row r="532" spans="27:57" ht="16.5" x14ac:dyDescent="0.2">
      <c r="AA532" s="104">
        <v>528</v>
      </c>
      <c r="AB532" s="14">
        <f t="shared" si="168"/>
        <v>11</v>
      </c>
      <c r="AC532" s="14">
        <f>INDEX(挂机升级突破!$BU$6:$BU$57,卡牌消耗!AI532)</f>
        <v>11</v>
      </c>
      <c r="AD532" s="14">
        <f>INDEX(挂机升级突破!BV$6:BV$57,卡牌消耗!$AI532)</f>
        <v>2</v>
      </c>
      <c r="AE532" s="14">
        <f>INDEX(挂机升级突破!BW$6:BW$57,卡牌消耗!$AI532)</f>
        <v>0</v>
      </c>
      <c r="AF532" s="14" t="str">
        <f t="shared" si="169"/>
        <v>张飞</v>
      </c>
      <c r="AG532" s="14">
        <f t="shared" si="170"/>
        <v>4</v>
      </c>
      <c r="AH532" s="14" t="str">
        <f t="shared" si="171"/>
        <v>张飞魂火-8</v>
      </c>
      <c r="AI532" s="14">
        <f t="shared" si="172"/>
        <v>8</v>
      </c>
      <c r="AJ532" s="14" t="str">
        <f>INDEX(挂机升级突破!$BX$4:$CH$4,INDEX(挂机升级突破!$BU$6:$BU$57,卡牌消耗!AI532))</f>
        <v>金币</v>
      </c>
      <c r="AK532" s="14">
        <f>ROUND(INDEX(挂机升级突破!$BN$6:$BN$57,卡牌消耗!AI532)*INDEX(卡牌消耗!$B$8:$F$8,AG532)/$Q$4/50,0)*50</f>
        <v>2250</v>
      </c>
      <c r="AL532" s="14" t="str">
        <f>IF(AD532&gt;0,INDEX(挂机升级突破!$BX$4:$CH$4,AD532),"")</f>
        <v>蓝色基础材料</v>
      </c>
      <c r="AM532" s="14">
        <f>ROUND(INDEX(挂机升级突破!$BX$6:$CH$57,卡牌消耗!AI532,AD532)*INDEX(卡牌消耗!$B$5:$F$5,AG532)/$Q$4/5,0)*5</f>
        <v>1155</v>
      </c>
      <c r="AN532" s="14" t="str">
        <f>IF(AE532&gt;0,INDEX(挂机升级突破!$BX$4:$CH$4,AE532),"")</f>
        <v/>
      </c>
      <c r="AO532" s="14" t="str">
        <f>IF(AE532&gt;0,ROUND(INDEX(挂机升级突破!$BX$6:$CH$57,卡牌消耗!AI532,AE532)*INDEX(卡牌消耗!$B$7:$F$7,AG532)/$Q$4,0),"")</f>
        <v/>
      </c>
      <c r="AR532" s="104">
        <v>528</v>
      </c>
      <c r="AS532" s="14">
        <f t="shared" si="173"/>
        <v>27</v>
      </c>
      <c r="AT532" s="14">
        <f>INDEX(挂机升级突破!$CM$7:$CM$26,AX532)</f>
        <v>5</v>
      </c>
      <c r="AU532" s="14">
        <f>INDEX(挂机升级突破!$CN$7:$CN$26,AX532)</f>
        <v>1</v>
      </c>
      <c r="AV532" s="14">
        <f t="shared" si="174"/>
        <v>3</v>
      </c>
      <c r="AW532" s="14" t="str">
        <f t="shared" si="175"/>
        <v>燕青</v>
      </c>
      <c r="AX532" s="14">
        <f t="shared" si="176"/>
        <v>8</v>
      </c>
      <c r="AY532" s="14" t="str">
        <f t="shared" si="177"/>
        <v>燕青8突</v>
      </c>
      <c r="AZ532" s="14" t="str">
        <f>IF(AT532&gt;0,INDEX(挂机升级突破!$CV$5:$CZ$5,卡牌消耗!AT532),"")</f>
        <v>金币</v>
      </c>
      <c r="BA532" s="14">
        <f>IF(AT532&gt;0,ROUND(INDEX(挂机升级突破!$CZ$7:$CZ$26,卡牌消耗!AX532)*INDEX(卡牌消耗!$B$8:$F$8,AV532)/$Q$4/500,0)*500,"")</f>
        <v>6500</v>
      </c>
      <c r="BB532" s="14" t="str">
        <f>IF(AU532&gt;0,INDEX(挂机升级突破!$CV$5:$CZ$5,卡牌消耗!AU532),"")</f>
        <v>玄铁</v>
      </c>
      <c r="BC532" s="14">
        <f>IF(AU532&gt;0,ROUND(INDEX(挂机升级突破!$CV$7:$CY$26,卡牌消耗!AX532,卡牌消耗!AU532)*INDEX($B$6:$F$6,AV532)/$Q$4/5,0)*5,"")</f>
        <v>520</v>
      </c>
      <c r="BD532" s="104"/>
      <c r="BE532" s="104"/>
    </row>
    <row r="533" spans="27:57" ht="16.5" x14ac:dyDescent="0.2">
      <c r="AA533" s="104">
        <v>529</v>
      </c>
      <c r="AB533" s="14">
        <f t="shared" si="168"/>
        <v>11</v>
      </c>
      <c r="AC533" s="14">
        <f>INDEX(挂机升级突破!$BU$6:$BU$57,卡牌消耗!AI533)</f>
        <v>11</v>
      </c>
      <c r="AD533" s="14">
        <f>INDEX(挂机升级突破!BV$6:BV$57,卡牌消耗!$AI533)</f>
        <v>2</v>
      </c>
      <c r="AE533" s="14">
        <f>INDEX(挂机升级突破!BW$6:BW$57,卡牌消耗!$AI533)</f>
        <v>0</v>
      </c>
      <c r="AF533" s="14" t="str">
        <f t="shared" si="169"/>
        <v>张飞</v>
      </c>
      <c r="AG533" s="14">
        <f t="shared" si="170"/>
        <v>4</v>
      </c>
      <c r="AH533" s="14" t="str">
        <f t="shared" si="171"/>
        <v>张飞魂火-9</v>
      </c>
      <c r="AI533" s="14">
        <f t="shared" si="172"/>
        <v>9</v>
      </c>
      <c r="AJ533" s="14" t="str">
        <f>INDEX(挂机升级突破!$BX$4:$CH$4,INDEX(挂机升级突破!$BU$6:$BU$57,卡牌消耗!AI533))</f>
        <v>金币</v>
      </c>
      <c r="AK533" s="14">
        <f>ROUND(INDEX(挂机升级突破!$BN$6:$BN$57,卡牌消耗!AI533)*INDEX(卡牌消耗!$B$8:$F$8,AG533)/$Q$4/50,0)*50</f>
        <v>2250</v>
      </c>
      <c r="AL533" s="14" t="str">
        <f>IF(AD533&gt;0,INDEX(挂机升级突破!$BX$4:$CH$4,AD533),"")</f>
        <v>蓝色基础材料</v>
      </c>
      <c r="AM533" s="14">
        <f>ROUND(INDEX(挂机升级突破!$BX$6:$CH$57,卡牌消耗!AI533,AD533)*INDEX(卡牌消耗!$B$5:$F$5,AG533)/$Q$4/5,0)*5</f>
        <v>1155</v>
      </c>
      <c r="AN533" s="14" t="str">
        <f>IF(AE533&gt;0,INDEX(挂机升级突破!$BX$4:$CH$4,AE533),"")</f>
        <v/>
      </c>
      <c r="AO533" s="14" t="str">
        <f>IF(AE533&gt;0,ROUND(INDEX(挂机升级突破!$BX$6:$CH$57,卡牌消耗!AI533,AE533)*INDEX(卡牌消耗!$B$7:$F$7,AG533)/$Q$4,0),"")</f>
        <v/>
      </c>
      <c r="AR533" s="104">
        <v>529</v>
      </c>
      <c r="AS533" s="14">
        <f t="shared" si="173"/>
        <v>27</v>
      </c>
      <c r="AT533" s="14">
        <f>INDEX(挂机升级突破!$CM$7:$CM$26,AX533)</f>
        <v>5</v>
      </c>
      <c r="AU533" s="14">
        <f>INDEX(挂机升级突破!$CN$7:$CN$26,AX533)</f>
        <v>2</v>
      </c>
      <c r="AV533" s="14">
        <f t="shared" si="174"/>
        <v>3</v>
      </c>
      <c r="AW533" s="14" t="str">
        <f t="shared" si="175"/>
        <v>燕青</v>
      </c>
      <c r="AX533" s="14">
        <f t="shared" si="176"/>
        <v>9</v>
      </c>
      <c r="AY533" s="14" t="str">
        <f t="shared" si="177"/>
        <v>燕青9突</v>
      </c>
      <c r="AZ533" s="14" t="str">
        <f>IF(AT533&gt;0,INDEX(挂机升级突破!$CV$5:$CZ$5,卡牌消耗!AT533),"")</f>
        <v>金币</v>
      </c>
      <c r="BA533" s="14">
        <f>IF(AT533&gt;0,ROUND(INDEX(挂机升级突破!$CZ$7:$CZ$26,卡牌消耗!AX533)*INDEX(卡牌消耗!$B$8:$F$8,AV533)/$Q$4/500,0)*500,"")</f>
        <v>8500</v>
      </c>
      <c r="BB533" s="14" t="str">
        <f>IF(AU533&gt;0,INDEX(挂机升级突破!$CV$5:$CZ$5,卡牌消耗!AU533),"")</f>
        <v>乌金</v>
      </c>
      <c r="BC533" s="14">
        <f>IF(AU533&gt;0,ROUND(INDEX(挂机升级突破!$CV$7:$CY$26,卡牌消耗!AX533,卡牌消耗!AU533)*INDEX($B$6:$F$6,AV533)/$Q$4/5,0)*5,"")</f>
        <v>65</v>
      </c>
      <c r="BD533" s="104"/>
      <c r="BE533" s="104"/>
    </row>
    <row r="534" spans="27:57" ht="16.5" x14ac:dyDescent="0.2">
      <c r="AA534" s="104">
        <v>530</v>
      </c>
      <c r="AB534" s="14">
        <f t="shared" si="168"/>
        <v>11</v>
      </c>
      <c r="AC534" s="14">
        <f>INDEX(挂机升级突破!$BU$6:$BU$57,卡牌消耗!AI534)</f>
        <v>11</v>
      </c>
      <c r="AD534" s="14">
        <f>INDEX(挂机升级突破!BV$6:BV$57,卡牌消耗!$AI534)</f>
        <v>2</v>
      </c>
      <c r="AE534" s="14">
        <f>INDEX(挂机升级突破!BW$6:BW$57,卡牌消耗!$AI534)</f>
        <v>0</v>
      </c>
      <c r="AF534" s="14" t="str">
        <f t="shared" si="169"/>
        <v>张飞</v>
      </c>
      <c r="AG534" s="14">
        <f t="shared" si="170"/>
        <v>4</v>
      </c>
      <c r="AH534" s="14" t="str">
        <f t="shared" si="171"/>
        <v>张飞魂火-10</v>
      </c>
      <c r="AI534" s="14">
        <f t="shared" si="172"/>
        <v>10</v>
      </c>
      <c r="AJ534" s="14" t="str">
        <f>INDEX(挂机升级突破!$BX$4:$CH$4,INDEX(挂机升级突破!$BU$6:$BU$57,卡牌消耗!AI534))</f>
        <v>金币</v>
      </c>
      <c r="AK534" s="14">
        <f>ROUND(INDEX(挂机升级突破!$BN$6:$BN$57,卡牌消耗!AI534)*INDEX(卡牌消耗!$B$8:$F$8,AG534)/$Q$4/50,0)*50</f>
        <v>3700</v>
      </c>
      <c r="AL534" s="14" t="str">
        <f>IF(AD534&gt;0,INDEX(挂机升级突破!$BX$4:$CH$4,AD534),"")</f>
        <v>蓝色基础材料</v>
      </c>
      <c r="AM534" s="14">
        <f>ROUND(INDEX(挂机升级突破!$BX$6:$CH$57,卡牌消耗!AI534,AD534)*INDEX(卡牌消耗!$B$5:$F$5,AG534)/$Q$4/5,0)*5</f>
        <v>1730</v>
      </c>
      <c r="AN534" s="14" t="str">
        <f>IF(AE534&gt;0,INDEX(挂机升级突破!$BX$4:$CH$4,AE534),"")</f>
        <v/>
      </c>
      <c r="AO534" s="14" t="str">
        <f>IF(AE534&gt;0,ROUND(INDEX(挂机升级突破!$BX$6:$CH$57,卡牌消耗!AI534,AE534)*INDEX(卡牌消耗!$B$7:$F$7,AG534)/$Q$4,0),"")</f>
        <v/>
      </c>
      <c r="AR534" s="104">
        <v>530</v>
      </c>
      <c r="AS534" s="14">
        <f t="shared" si="173"/>
        <v>27</v>
      </c>
      <c r="AT534" s="14">
        <f>INDEX(挂机升级突破!$CM$7:$CM$26,AX534)</f>
        <v>5</v>
      </c>
      <c r="AU534" s="14">
        <f>INDEX(挂机升级突破!$CN$7:$CN$26,AX534)</f>
        <v>2</v>
      </c>
      <c r="AV534" s="14">
        <f t="shared" si="174"/>
        <v>3</v>
      </c>
      <c r="AW534" s="14" t="str">
        <f t="shared" si="175"/>
        <v>燕青</v>
      </c>
      <c r="AX534" s="14">
        <f t="shared" si="176"/>
        <v>10</v>
      </c>
      <c r="AY534" s="14" t="str">
        <f t="shared" si="177"/>
        <v>燕青10突</v>
      </c>
      <c r="AZ534" s="14" t="str">
        <f>IF(AT534&gt;0,INDEX(挂机升级突破!$CV$5:$CZ$5,卡牌消耗!AT534),"")</f>
        <v>金币</v>
      </c>
      <c r="BA534" s="14">
        <f>IF(AT534&gt;0,ROUND(INDEX(挂机升级突破!$CZ$7:$CZ$26,卡牌消耗!AX534)*INDEX(卡牌消耗!$B$8:$F$8,AV534)/$Q$4/500,0)*500,"")</f>
        <v>14500</v>
      </c>
      <c r="BB534" s="14" t="str">
        <f>IF(AU534&gt;0,INDEX(挂机升级突破!$CV$5:$CZ$5,卡牌消耗!AU534),"")</f>
        <v>乌金</v>
      </c>
      <c r="BC534" s="14">
        <f>IF(AU534&gt;0,ROUND(INDEX(挂机升级突破!$CV$7:$CY$26,卡牌消耗!AX534,卡牌消耗!AU534)*INDEX($B$6:$F$6,AV534)/$Q$4/5,0)*5,"")</f>
        <v>90</v>
      </c>
      <c r="BD534" s="104"/>
      <c r="BE534" s="104"/>
    </row>
    <row r="535" spans="27:57" ht="16.5" x14ac:dyDescent="0.2">
      <c r="AA535" s="104">
        <v>531</v>
      </c>
      <c r="AB535" s="14">
        <f t="shared" si="168"/>
        <v>11</v>
      </c>
      <c r="AC535" s="14">
        <f>INDEX(挂机升级突破!$BU$6:$BU$57,卡牌消耗!AI535)</f>
        <v>11</v>
      </c>
      <c r="AD535" s="14">
        <f>INDEX(挂机升级突破!BV$6:BV$57,卡牌消耗!$AI535)</f>
        <v>2</v>
      </c>
      <c r="AE535" s="14">
        <f>INDEX(挂机升级突破!BW$6:BW$57,卡牌消耗!$AI535)</f>
        <v>0</v>
      </c>
      <c r="AF535" s="14" t="str">
        <f t="shared" si="169"/>
        <v>张飞</v>
      </c>
      <c r="AG535" s="14">
        <f t="shared" si="170"/>
        <v>4</v>
      </c>
      <c r="AH535" s="14" t="str">
        <f t="shared" si="171"/>
        <v>张飞魂火-11</v>
      </c>
      <c r="AI535" s="14">
        <f t="shared" si="172"/>
        <v>11</v>
      </c>
      <c r="AJ535" s="14" t="str">
        <f>INDEX(挂机升级突破!$BX$4:$CH$4,INDEX(挂机升级突破!$BU$6:$BU$57,卡牌消耗!AI535))</f>
        <v>金币</v>
      </c>
      <c r="AK535" s="14">
        <f>ROUND(INDEX(挂机升级突破!$BN$6:$BN$57,卡牌消耗!AI535)*INDEX(卡牌消耗!$B$8:$F$8,AG535)/$Q$4/50,0)*50</f>
        <v>3700</v>
      </c>
      <c r="AL535" s="14" t="str">
        <f>IF(AD535&gt;0,INDEX(挂机升级突破!$BX$4:$CH$4,AD535),"")</f>
        <v>蓝色基础材料</v>
      </c>
      <c r="AM535" s="14">
        <f>ROUND(INDEX(挂机升级突破!$BX$6:$CH$57,卡牌消耗!AI535,AD535)*INDEX(卡牌消耗!$B$5:$F$5,AG535)/$Q$4/5,0)*5</f>
        <v>1730</v>
      </c>
      <c r="AN535" s="14" t="str">
        <f>IF(AE535&gt;0,INDEX(挂机升级突破!$BX$4:$CH$4,AE535),"")</f>
        <v/>
      </c>
      <c r="AO535" s="14" t="str">
        <f>IF(AE535&gt;0,ROUND(INDEX(挂机升级突破!$BX$6:$CH$57,卡牌消耗!AI535,AE535)*INDEX(卡牌消耗!$B$7:$F$7,AG535)/$Q$4,0),"")</f>
        <v/>
      </c>
      <c r="AR535" s="104">
        <v>531</v>
      </c>
      <c r="AS535" s="14">
        <f t="shared" si="173"/>
        <v>27</v>
      </c>
      <c r="AT535" s="14">
        <f>INDEX(挂机升级突破!$CM$7:$CM$26,AX535)</f>
        <v>5</v>
      </c>
      <c r="AU535" s="14">
        <f>INDEX(挂机升级突破!$CN$7:$CN$26,AX535)</f>
        <v>2</v>
      </c>
      <c r="AV535" s="14">
        <f t="shared" si="174"/>
        <v>3</v>
      </c>
      <c r="AW535" s="14" t="str">
        <f t="shared" si="175"/>
        <v>燕青</v>
      </c>
      <c r="AX535" s="14">
        <f t="shared" si="176"/>
        <v>11</v>
      </c>
      <c r="AY535" s="14" t="str">
        <f t="shared" si="177"/>
        <v>燕青11突</v>
      </c>
      <c r="AZ535" s="14" t="str">
        <f>IF(AT535&gt;0,INDEX(挂机升级突破!$CV$5:$CZ$5,卡牌消耗!AT535),"")</f>
        <v>金币</v>
      </c>
      <c r="BA535" s="14">
        <f>IF(AT535&gt;0,ROUND(INDEX(挂机升级突破!$CZ$7:$CZ$26,卡牌消耗!AX535)*INDEX(卡牌消耗!$B$8:$F$8,AV535)/$Q$4/500,0)*500,"")</f>
        <v>14500</v>
      </c>
      <c r="BB535" s="14" t="str">
        <f>IF(AU535&gt;0,INDEX(挂机升级突破!$CV$5:$CZ$5,卡牌消耗!AU535),"")</f>
        <v>乌金</v>
      </c>
      <c r="BC535" s="14">
        <f>IF(AU535&gt;0,ROUND(INDEX(挂机升级突破!$CV$7:$CY$26,卡牌消耗!AX535,卡牌消耗!AU535)*INDEX($B$6:$F$6,AV535)/$Q$4/5,0)*5,"")</f>
        <v>120</v>
      </c>
      <c r="BD535" s="104"/>
      <c r="BE535" s="104"/>
    </row>
    <row r="536" spans="27:57" ht="16.5" x14ac:dyDescent="0.2">
      <c r="AA536" s="104">
        <v>532</v>
      </c>
      <c r="AB536" s="14">
        <f t="shared" si="168"/>
        <v>11</v>
      </c>
      <c r="AC536" s="14">
        <f>INDEX(挂机升级突破!$BU$6:$BU$57,卡牌消耗!AI536)</f>
        <v>11</v>
      </c>
      <c r="AD536" s="14">
        <f>INDEX(挂机升级突破!BV$6:BV$57,卡牌消耗!$AI536)</f>
        <v>2</v>
      </c>
      <c r="AE536" s="14">
        <f>INDEX(挂机升级突破!BW$6:BW$57,卡牌消耗!$AI536)</f>
        <v>0</v>
      </c>
      <c r="AF536" s="14" t="str">
        <f t="shared" si="169"/>
        <v>张飞</v>
      </c>
      <c r="AG536" s="14">
        <f t="shared" si="170"/>
        <v>4</v>
      </c>
      <c r="AH536" s="14" t="str">
        <f t="shared" si="171"/>
        <v>张飞魂火-12</v>
      </c>
      <c r="AI536" s="14">
        <f t="shared" si="172"/>
        <v>12</v>
      </c>
      <c r="AJ536" s="14" t="str">
        <f>INDEX(挂机升级突破!$BX$4:$CH$4,INDEX(挂机升级突破!$BU$6:$BU$57,卡牌消耗!AI536))</f>
        <v>金币</v>
      </c>
      <c r="AK536" s="14">
        <f>ROUND(INDEX(挂机升级突破!$BN$6:$BN$57,卡牌消耗!AI536)*INDEX(卡牌消耗!$B$8:$F$8,AG536)/$Q$4/50,0)*50</f>
        <v>3200</v>
      </c>
      <c r="AL536" s="14" t="str">
        <f>IF(AD536&gt;0,INDEX(挂机升级突破!$BX$4:$CH$4,AD536),"")</f>
        <v>蓝色基础材料</v>
      </c>
      <c r="AM536" s="14">
        <f>ROUND(INDEX(挂机升级突破!$BX$6:$CH$57,卡牌消耗!AI536,AD536)*INDEX(卡牌消耗!$B$5:$F$5,AG536)/$Q$4/5,0)*5</f>
        <v>2305</v>
      </c>
      <c r="AN536" s="14" t="str">
        <f>IF(AE536&gt;0,INDEX(挂机升级突破!$BX$4:$CH$4,AE536),"")</f>
        <v/>
      </c>
      <c r="AO536" s="14" t="str">
        <f>IF(AE536&gt;0,ROUND(INDEX(挂机升级突破!$BX$6:$CH$57,卡牌消耗!AI536,AE536)*INDEX(卡牌消耗!$B$7:$F$7,AG536)/$Q$4,0),"")</f>
        <v/>
      </c>
      <c r="AR536" s="104">
        <v>532</v>
      </c>
      <c r="AS536" s="14">
        <f t="shared" si="173"/>
        <v>27</v>
      </c>
      <c r="AT536" s="14">
        <f>INDEX(挂机升级突破!$CM$7:$CM$26,AX536)</f>
        <v>5</v>
      </c>
      <c r="AU536" s="14">
        <f>INDEX(挂机升级突破!$CN$7:$CN$26,AX536)</f>
        <v>2</v>
      </c>
      <c r="AV536" s="14">
        <f t="shared" si="174"/>
        <v>3</v>
      </c>
      <c r="AW536" s="14" t="str">
        <f t="shared" si="175"/>
        <v>燕青</v>
      </c>
      <c r="AX536" s="14">
        <f t="shared" si="176"/>
        <v>12</v>
      </c>
      <c r="AY536" s="14" t="str">
        <f t="shared" si="177"/>
        <v>燕青12突</v>
      </c>
      <c r="AZ536" s="14" t="str">
        <f>IF(AT536&gt;0,INDEX(挂机升级突破!$CV$5:$CZ$5,卡牌消耗!AT536),"")</f>
        <v>金币</v>
      </c>
      <c r="BA536" s="14">
        <f>IF(AT536&gt;0,ROUND(INDEX(挂机升级突破!$CZ$7:$CZ$26,卡牌消耗!AX536)*INDEX(卡牌消耗!$B$8:$F$8,AV536)/$Q$4/500,0)*500,"")</f>
        <v>19500</v>
      </c>
      <c r="BB536" s="14" t="str">
        <f>IF(AU536&gt;0,INDEX(挂机升级突破!$CV$5:$CZ$5,卡牌消耗!AU536),"")</f>
        <v>乌金</v>
      </c>
      <c r="BC536" s="14">
        <f>IF(AU536&gt;0,ROUND(INDEX(挂机升级突破!$CV$7:$CY$26,卡牌消耗!AX536,卡牌消耗!AU536)*INDEX($B$6:$F$6,AV536)/$Q$4/5,0)*5,"")</f>
        <v>155</v>
      </c>
      <c r="BD536" s="104"/>
      <c r="BE536" s="104"/>
    </row>
    <row r="537" spans="27:57" ht="16.5" x14ac:dyDescent="0.2">
      <c r="AA537" s="104">
        <v>533</v>
      </c>
      <c r="AB537" s="14">
        <f t="shared" si="168"/>
        <v>11</v>
      </c>
      <c r="AC537" s="14">
        <f>INDEX(挂机升级突破!$BU$6:$BU$57,卡牌消耗!AI537)</f>
        <v>11</v>
      </c>
      <c r="AD537" s="14">
        <f>INDEX(挂机升级突破!BV$6:BV$57,卡牌消耗!$AI537)</f>
        <v>2</v>
      </c>
      <c r="AE537" s="14">
        <f>INDEX(挂机升级突破!BW$6:BW$57,卡牌消耗!$AI537)</f>
        <v>0</v>
      </c>
      <c r="AF537" s="14" t="str">
        <f t="shared" si="169"/>
        <v>张飞</v>
      </c>
      <c r="AG537" s="14">
        <f t="shared" si="170"/>
        <v>4</v>
      </c>
      <c r="AH537" s="14" t="str">
        <f t="shared" si="171"/>
        <v>张飞魂火-13</v>
      </c>
      <c r="AI537" s="14">
        <f t="shared" si="172"/>
        <v>13</v>
      </c>
      <c r="AJ537" s="14" t="str">
        <f>INDEX(挂机升级突破!$BX$4:$CH$4,INDEX(挂机升级突破!$BU$6:$BU$57,卡牌消耗!AI537))</f>
        <v>金币</v>
      </c>
      <c r="AK537" s="14">
        <f>ROUND(INDEX(挂机升级突破!$BN$6:$BN$57,卡牌消耗!AI537)*INDEX(卡牌消耗!$B$8:$F$8,AG537)/$Q$4/50,0)*50</f>
        <v>3200</v>
      </c>
      <c r="AL537" s="14" t="str">
        <f>IF(AD537&gt;0,INDEX(挂机升级突破!$BX$4:$CH$4,AD537),"")</f>
        <v>蓝色基础材料</v>
      </c>
      <c r="AM537" s="14">
        <f>ROUND(INDEX(挂机升级突破!$BX$6:$CH$57,卡牌消耗!AI537,AD537)*INDEX(卡牌消耗!$B$5:$F$5,AG537)/$Q$4/5,0)*5</f>
        <v>2305</v>
      </c>
      <c r="AN537" s="14" t="str">
        <f>IF(AE537&gt;0,INDEX(挂机升级突破!$BX$4:$CH$4,AE537),"")</f>
        <v/>
      </c>
      <c r="AO537" s="14" t="str">
        <f>IF(AE537&gt;0,ROUND(INDEX(挂机升级突破!$BX$6:$CH$57,卡牌消耗!AI537,AE537)*INDEX(卡牌消耗!$B$7:$F$7,AG537)/$Q$4,0),"")</f>
        <v/>
      </c>
      <c r="AR537" s="104">
        <v>533</v>
      </c>
      <c r="AS537" s="14">
        <f t="shared" si="173"/>
        <v>27</v>
      </c>
      <c r="AT537" s="14">
        <f>INDEX(挂机升级突破!$CM$7:$CM$26,AX537)</f>
        <v>5</v>
      </c>
      <c r="AU537" s="14">
        <f>INDEX(挂机升级突破!$CN$7:$CN$26,AX537)</f>
        <v>3</v>
      </c>
      <c r="AV537" s="14">
        <f t="shared" si="174"/>
        <v>3</v>
      </c>
      <c r="AW537" s="14" t="str">
        <f t="shared" si="175"/>
        <v>燕青</v>
      </c>
      <c r="AX537" s="14">
        <f t="shared" si="176"/>
        <v>13</v>
      </c>
      <c r="AY537" s="14" t="str">
        <f t="shared" si="177"/>
        <v>燕青13突</v>
      </c>
      <c r="AZ537" s="14" t="str">
        <f>IF(AT537&gt;0,INDEX(挂机升级突破!$CV$5:$CZ$5,卡牌消耗!AT537),"")</f>
        <v>金币</v>
      </c>
      <c r="BA537" s="14">
        <f>IF(AT537&gt;0,ROUND(INDEX(挂机升级突破!$CZ$7:$CZ$26,卡牌消耗!AX537)*INDEX(卡牌消耗!$B$8:$F$8,AV537)/$Q$4/500,0)*500,"")</f>
        <v>26000</v>
      </c>
      <c r="BB537" s="14" t="str">
        <f>IF(AU537&gt;0,INDEX(挂机升级突破!$CV$5:$CZ$5,卡牌消耗!AU537),"")</f>
        <v>银母</v>
      </c>
      <c r="BC537" s="14">
        <f>IF(AU537&gt;0,ROUND(INDEX(挂机升级突破!$CV$7:$CY$26,卡牌消耗!AX537,卡牌消耗!AU537)*INDEX($B$6:$F$6,AV537)/$Q$4/5,0)*5,"")</f>
        <v>30</v>
      </c>
      <c r="BD537" s="104"/>
      <c r="BE537" s="104"/>
    </row>
    <row r="538" spans="27:57" ht="16.5" x14ac:dyDescent="0.2">
      <c r="AA538" s="104">
        <v>534</v>
      </c>
      <c r="AB538" s="14">
        <f t="shared" si="168"/>
        <v>11</v>
      </c>
      <c r="AC538" s="14">
        <f>INDEX(挂机升级突破!$BU$6:$BU$57,卡牌消耗!AI538)</f>
        <v>11</v>
      </c>
      <c r="AD538" s="14">
        <f>INDEX(挂机升级突破!BV$6:BV$57,卡牌消耗!$AI538)</f>
        <v>3</v>
      </c>
      <c r="AE538" s="14">
        <f>INDEX(挂机升级突破!BW$6:BW$57,卡牌消耗!$AI538)</f>
        <v>0</v>
      </c>
      <c r="AF538" s="14" t="str">
        <f t="shared" si="169"/>
        <v>张飞</v>
      </c>
      <c r="AG538" s="14">
        <f t="shared" si="170"/>
        <v>4</v>
      </c>
      <c r="AH538" s="14" t="str">
        <f t="shared" si="171"/>
        <v>张飞魂火-14</v>
      </c>
      <c r="AI538" s="14">
        <f t="shared" si="172"/>
        <v>14</v>
      </c>
      <c r="AJ538" s="14" t="str">
        <f>INDEX(挂机升级突破!$BX$4:$CH$4,INDEX(挂机升级突破!$BU$6:$BU$57,卡牌消耗!AI538))</f>
        <v>金币</v>
      </c>
      <c r="AK538" s="14">
        <f>ROUND(INDEX(挂机升级突破!$BN$6:$BN$57,卡牌消耗!AI538)*INDEX(卡牌消耗!$B$8:$F$8,AG538)/$Q$4/50,0)*50</f>
        <v>3500</v>
      </c>
      <c r="AL538" s="14" t="str">
        <f>IF(AD538&gt;0,INDEX(挂机升级突破!$BX$4:$CH$4,AD538),"")</f>
        <v>紫色基础材料</v>
      </c>
      <c r="AM538" s="14">
        <f>ROUND(INDEX(挂机升级突破!$BX$6:$CH$57,卡牌消耗!AI538,AD538)*INDEX(卡牌消耗!$B$5:$F$5,AG538)/$Q$4/5,0)*5</f>
        <v>200</v>
      </c>
      <c r="AN538" s="14" t="str">
        <f>IF(AE538&gt;0,INDEX(挂机升级突破!$BX$4:$CH$4,AE538),"")</f>
        <v/>
      </c>
      <c r="AO538" s="14" t="str">
        <f>IF(AE538&gt;0,ROUND(INDEX(挂机升级突破!$BX$6:$CH$57,卡牌消耗!AI538,AE538)*INDEX(卡牌消耗!$B$7:$F$7,AG538)/$Q$4,0),"")</f>
        <v/>
      </c>
      <c r="AR538" s="104">
        <v>534</v>
      </c>
      <c r="AS538" s="14">
        <f t="shared" si="173"/>
        <v>27</v>
      </c>
      <c r="AT538" s="14">
        <f>INDEX(挂机升级突破!$CM$7:$CM$26,AX538)</f>
        <v>5</v>
      </c>
      <c r="AU538" s="14">
        <f>INDEX(挂机升级突破!$CN$7:$CN$26,AX538)</f>
        <v>3</v>
      </c>
      <c r="AV538" s="14">
        <f t="shared" si="174"/>
        <v>3</v>
      </c>
      <c r="AW538" s="14" t="str">
        <f t="shared" si="175"/>
        <v>燕青</v>
      </c>
      <c r="AX538" s="14">
        <f t="shared" si="176"/>
        <v>14</v>
      </c>
      <c r="AY538" s="14" t="str">
        <f t="shared" si="177"/>
        <v>燕青14突</v>
      </c>
      <c r="AZ538" s="14" t="str">
        <f>IF(AT538&gt;0,INDEX(挂机升级突破!$CV$5:$CZ$5,卡牌消耗!AT538),"")</f>
        <v>金币</v>
      </c>
      <c r="BA538" s="14">
        <f>IF(AT538&gt;0,ROUND(INDEX(挂机升级突破!$CZ$7:$CZ$26,卡牌消耗!AX538)*INDEX(卡牌消耗!$B$8:$F$8,AV538)/$Q$4/500,0)*500,"")</f>
        <v>26000</v>
      </c>
      <c r="BB538" s="14" t="str">
        <f>IF(AU538&gt;0,INDEX(挂机升级突破!$CV$5:$CZ$5,卡牌消耗!AU538),"")</f>
        <v>银母</v>
      </c>
      <c r="BC538" s="14">
        <f>IF(AU538&gt;0,ROUND(INDEX(挂机升级突破!$CV$7:$CY$26,卡牌消耗!AX538,卡牌消耗!AU538)*INDEX($B$6:$F$6,AV538)/$Q$4/5,0)*5,"")</f>
        <v>40</v>
      </c>
      <c r="BD538" s="104"/>
      <c r="BE538" s="104"/>
    </row>
    <row r="539" spans="27:57" ht="16.5" x14ac:dyDescent="0.2">
      <c r="AA539" s="104">
        <v>535</v>
      </c>
      <c r="AB539" s="14">
        <f t="shared" si="168"/>
        <v>11</v>
      </c>
      <c r="AC539" s="14">
        <f>INDEX(挂机升级突破!$BU$6:$BU$57,卡牌消耗!AI539)</f>
        <v>11</v>
      </c>
      <c r="AD539" s="14">
        <f>INDEX(挂机升级突破!BV$6:BV$57,卡牌消耗!$AI539)</f>
        <v>3</v>
      </c>
      <c r="AE539" s="14">
        <f>INDEX(挂机升级突破!BW$6:BW$57,卡牌消耗!$AI539)</f>
        <v>0</v>
      </c>
      <c r="AF539" s="14" t="str">
        <f t="shared" si="169"/>
        <v>张飞</v>
      </c>
      <c r="AG539" s="14">
        <f t="shared" si="170"/>
        <v>4</v>
      </c>
      <c r="AH539" s="14" t="str">
        <f t="shared" si="171"/>
        <v>张飞魂火-15</v>
      </c>
      <c r="AI539" s="14">
        <f t="shared" si="172"/>
        <v>15</v>
      </c>
      <c r="AJ539" s="14" t="str">
        <f>INDEX(挂机升级突破!$BX$4:$CH$4,INDEX(挂机升级突破!$BU$6:$BU$57,卡牌消耗!AI539))</f>
        <v>金币</v>
      </c>
      <c r="AK539" s="14">
        <f>ROUND(INDEX(挂机升级突破!$BN$6:$BN$57,卡牌消耗!AI539)*INDEX(卡牌消耗!$B$8:$F$8,AG539)/$Q$4/50,0)*50</f>
        <v>3800</v>
      </c>
      <c r="AL539" s="14" t="str">
        <f>IF(AD539&gt;0,INDEX(挂机升级突破!$BX$4:$CH$4,AD539),"")</f>
        <v>紫色基础材料</v>
      </c>
      <c r="AM539" s="14">
        <f>ROUND(INDEX(挂机升级突破!$BX$6:$CH$57,卡牌消耗!AI539,AD539)*INDEX(卡牌消耗!$B$5:$F$5,AG539)/$Q$4/5,0)*5</f>
        <v>200</v>
      </c>
      <c r="AN539" s="14" t="str">
        <f>IF(AE539&gt;0,INDEX(挂机升级突破!$BX$4:$CH$4,AE539),"")</f>
        <v/>
      </c>
      <c r="AO539" s="14" t="str">
        <f>IF(AE539&gt;0,ROUND(INDEX(挂机升级突破!$BX$6:$CH$57,卡牌消耗!AI539,AE539)*INDEX(卡牌消耗!$B$7:$F$7,AG539)/$Q$4,0),"")</f>
        <v/>
      </c>
      <c r="AR539" s="104">
        <v>535</v>
      </c>
      <c r="AS539" s="14">
        <f t="shared" si="173"/>
        <v>27</v>
      </c>
      <c r="AT539" s="14">
        <f>INDEX(挂机升级突破!$CM$7:$CM$26,AX539)</f>
        <v>5</v>
      </c>
      <c r="AU539" s="14">
        <f>INDEX(挂机升级突破!$CN$7:$CN$26,AX539)</f>
        <v>3</v>
      </c>
      <c r="AV539" s="14">
        <f t="shared" si="174"/>
        <v>3</v>
      </c>
      <c r="AW539" s="14" t="str">
        <f t="shared" si="175"/>
        <v>燕青</v>
      </c>
      <c r="AX539" s="14">
        <f t="shared" si="176"/>
        <v>15</v>
      </c>
      <c r="AY539" s="14" t="str">
        <f t="shared" si="177"/>
        <v>燕青15突</v>
      </c>
      <c r="AZ539" s="14" t="str">
        <f>IF(AT539&gt;0,INDEX(挂机升级突破!$CV$5:$CZ$5,卡牌消耗!AT539),"")</f>
        <v>金币</v>
      </c>
      <c r="BA539" s="14">
        <f>IF(AT539&gt;0,ROUND(INDEX(挂机升级突破!$CZ$7:$CZ$26,卡牌消耗!AX539)*INDEX(卡牌消耗!$B$8:$F$8,AV539)/$Q$4/500,0)*500,"")</f>
        <v>34500</v>
      </c>
      <c r="BB539" s="14" t="str">
        <f>IF(AU539&gt;0,INDEX(挂机升级突破!$CV$5:$CZ$5,卡牌消耗!AU539),"")</f>
        <v>银母</v>
      </c>
      <c r="BC539" s="14">
        <f>IF(AU539&gt;0,ROUND(INDEX(挂机升级突破!$CV$7:$CY$26,卡牌消耗!AX539,卡牌消耗!AU539)*INDEX($B$6:$F$6,AV539)/$Q$4/5,0)*5,"")</f>
        <v>55</v>
      </c>
      <c r="BD539" s="104"/>
      <c r="BE539" s="104"/>
    </row>
    <row r="540" spans="27:57" ht="16.5" x14ac:dyDescent="0.2">
      <c r="AA540" s="104">
        <v>536</v>
      </c>
      <c r="AB540" s="14">
        <f t="shared" si="168"/>
        <v>11</v>
      </c>
      <c r="AC540" s="14">
        <f>INDEX(挂机升级突破!$BU$6:$BU$57,卡牌消耗!AI540)</f>
        <v>11</v>
      </c>
      <c r="AD540" s="14">
        <f>INDEX(挂机升级突破!BV$6:BV$57,卡牌消耗!$AI540)</f>
        <v>3</v>
      </c>
      <c r="AE540" s="14">
        <f>INDEX(挂机升级突破!BW$6:BW$57,卡牌消耗!$AI540)</f>
        <v>0</v>
      </c>
      <c r="AF540" s="14" t="str">
        <f t="shared" si="169"/>
        <v>张飞</v>
      </c>
      <c r="AG540" s="14">
        <f t="shared" si="170"/>
        <v>4</v>
      </c>
      <c r="AH540" s="14" t="str">
        <f t="shared" si="171"/>
        <v>张飞魂火-16</v>
      </c>
      <c r="AI540" s="14">
        <f t="shared" si="172"/>
        <v>16</v>
      </c>
      <c r="AJ540" s="14" t="str">
        <f>INDEX(挂机升级突破!$BX$4:$CH$4,INDEX(挂机升级突破!$BU$6:$BU$57,卡牌消耗!AI540))</f>
        <v>金币</v>
      </c>
      <c r="AK540" s="14">
        <f>ROUND(INDEX(挂机升级突破!$BN$6:$BN$57,卡牌消耗!AI540)*INDEX(卡牌消耗!$B$8:$F$8,AG540)/$Q$4/50,0)*50</f>
        <v>3800</v>
      </c>
      <c r="AL540" s="14" t="str">
        <f>IF(AD540&gt;0,INDEX(挂机升级突破!$BX$4:$CH$4,AD540),"")</f>
        <v>紫色基础材料</v>
      </c>
      <c r="AM540" s="14">
        <f>ROUND(INDEX(挂机升级突破!$BX$6:$CH$57,卡牌消耗!AI540,AD540)*INDEX(卡牌消耗!$B$5:$F$5,AG540)/$Q$4/5,0)*5</f>
        <v>200</v>
      </c>
      <c r="AN540" s="14" t="str">
        <f>IF(AE540&gt;0,INDEX(挂机升级突破!$BX$4:$CH$4,AE540),"")</f>
        <v/>
      </c>
      <c r="AO540" s="14" t="str">
        <f>IF(AE540&gt;0,ROUND(INDEX(挂机升级突破!$BX$6:$CH$57,卡牌消耗!AI540,AE540)*INDEX(卡牌消耗!$B$7:$F$7,AG540)/$Q$4,0),"")</f>
        <v/>
      </c>
      <c r="AR540" s="104">
        <v>536</v>
      </c>
      <c r="AS540" s="14">
        <f t="shared" si="173"/>
        <v>27</v>
      </c>
      <c r="AT540" s="14">
        <f>INDEX(挂机升级突破!$CM$7:$CM$26,AX540)</f>
        <v>5</v>
      </c>
      <c r="AU540" s="14">
        <f>INDEX(挂机升级突破!$CN$7:$CN$26,AX540)</f>
        <v>3</v>
      </c>
      <c r="AV540" s="14">
        <f t="shared" si="174"/>
        <v>3</v>
      </c>
      <c r="AW540" s="14" t="str">
        <f t="shared" si="175"/>
        <v>燕青</v>
      </c>
      <c r="AX540" s="14">
        <f t="shared" si="176"/>
        <v>16</v>
      </c>
      <c r="AY540" s="14" t="str">
        <f t="shared" si="177"/>
        <v>燕青16突</v>
      </c>
      <c r="AZ540" s="14" t="str">
        <f>IF(AT540&gt;0,INDEX(挂机升级突破!$CV$5:$CZ$5,卡牌消耗!AT540),"")</f>
        <v>金币</v>
      </c>
      <c r="BA540" s="14">
        <f>IF(AT540&gt;0,ROUND(INDEX(挂机升级突破!$CZ$7:$CZ$26,卡牌消耗!AX540)*INDEX(卡牌消耗!$B$8:$F$8,AV540)/$Q$4/500,0)*500,"")</f>
        <v>62500</v>
      </c>
      <c r="BB540" s="14" t="str">
        <f>IF(AU540&gt;0,INDEX(挂机升级突破!$CV$5:$CZ$5,卡牌消耗!AU540),"")</f>
        <v>银母</v>
      </c>
      <c r="BC540" s="14">
        <f>IF(AU540&gt;0,ROUND(INDEX(挂机升级突破!$CV$7:$CY$26,卡牌消耗!AX540,卡牌消耗!AU540)*INDEX($B$6:$F$6,AV540)/$Q$4/5,0)*5,"")</f>
        <v>70</v>
      </c>
      <c r="BD540" s="104"/>
      <c r="BE540" s="104"/>
    </row>
    <row r="541" spans="27:57" ht="16.5" x14ac:dyDescent="0.2">
      <c r="AA541" s="104">
        <v>537</v>
      </c>
      <c r="AB541" s="14">
        <f t="shared" si="168"/>
        <v>11</v>
      </c>
      <c r="AC541" s="14">
        <f>INDEX(挂机升级突破!$BU$6:$BU$57,卡牌消耗!AI541)</f>
        <v>11</v>
      </c>
      <c r="AD541" s="14">
        <f>INDEX(挂机升级突破!BV$6:BV$57,卡牌消耗!$AI541)</f>
        <v>3</v>
      </c>
      <c r="AE541" s="14">
        <f>INDEX(挂机升级突破!BW$6:BW$57,卡牌消耗!$AI541)</f>
        <v>0</v>
      </c>
      <c r="AF541" s="14" t="str">
        <f t="shared" si="169"/>
        <v>张飞</v>
      </c>
      <c r="AG541" s="14">
        <f t="shared" si="170"/>
        <v>4</v>
      </c>
      <c r="AH541" s="14" t="str">
        <f t="shared" si="171"/>
        <v>张飞魂火-17</v>
      </c>
      <c r="AI541" s="14">
        <f t="shared" si="172"/>
        <v>17</v>
      </c>
      <c r="AJ541" s="14" t="str">
        <f>INDEX(挂机升级突破!$BX$4:$CH$4,INDEX(挂机升级突破!$BU$6:$BU$57,卡牌消耗!AI541))</f>
        <v>金币</v>
      </c>
      <c r="AK541" s="14">
        <f>ROUND(INDEX(挂机升级突破!$BN$6:$BN$57,卡牌消耗!AI541)*INDEX(卡牌消耗!$B$8:$F$8,AG541)/$Q$4/50,0)*50</f>
        <v>4750</v>
      </c>
      <c r="AL541" s="14" t="str">
        <f>IF(AD541&gt;0,INDEX(挂机升级突破!$BX$4:$CH$4,AD541),"")</f>
        <v>紫色基础材料</v>
      </c>
      <c r="AM541" s="14">
        <f>ROUND(INDEX(挂机升级突破!$BX$6:$CH$57,卡牌消耗!AI541,AD541)*INDEX(卡牌消耗!$B$5:$F$5,AG541)/$Q$4/5,0)*5</f>
        <v>405</v>
      </c>
      <c r="AN541" s="14" t="str">
        <f>IF(AE541&gt;0,INDEX(挂机升级突破!$BX$4:$CH$4,AE541),"")</f>
        <v/>
      </c>
      <c r="AO541" s="14" t="str">
        <f>IF(AE541&gt;0,ROUND(INDEX(挂机升级突破!$BX$6:$CH$57,卡牌消耗!AI541,AE541)*INDEX(卡牌消耗!$B$7:$F$7,AG541)/$Q$4,0),"")</f>
        <v/>
      </c>
      <c r="AR541" s="104">
        <v>537</v>
      </c>
      <c r="AS541" s="14">
        <f t="shared" si="173"/>
        <v>27</v>
      </c>
      <c r="AT541" s="14">
        <f>INDEX(挂机升级突破!$CM$7:$CM$26,AX541)</f>
        <v>5</v>
      </c>
      <c r="AU541" s="14">
        <f>INDEX(挂机升级突破!$CN$7:$CN$26,AX541)</f>
        <v>4</v>
      </c>
      <c r="AV541" s="14">
        <f t="shared" si="174"/>
        <v>3</v>
      </c>
      <c r="AW541" s="14" t="str">
        <f t="shared" si="175"/>
        <v>燕青</v>
      </c>
      <c r="AX541" s="14">
        <f t="shared" si="176"/>
        <v>17</v>
      </c>
      <c r="AY541" s="14" t="str">
        <f t="shared" si="177"/>
        <v>燕青17突</v>
      </c>
      <c r="AZ541" s="14" t="str">
        <f>IF(AT541&gt;0,INDEX(挂机升级突破!$CV$5:$CZ$5,卡牌消耗!AT541),"")</f>
        <v>金币</v>
      </c>
      <c r="BA541" s="14">
        <f>IF(AT541&gt;0,ROUND(INDEX(挂机升级突破!$CZ$7:$CZ$26,卡牌消耗!AX541)*INDEX(卡牌消耗!$B$8:$F$8,AV541)/$Q$4/500,0)*500,"")</f>
        <v>62500</v>
      </c>
      <c r="BB541" s="14" t="str">
        <f>IF(AU541&gt;0,INDEX(挂机升级突破!$CV$5:$CZ$5,卡牌消耗!AU541),"")</f>
        <v>铀金</v>
      </c>
      <c r="BC541" s="14">
        <f>IF(AU541&gt;0,ROUND(INDEX(挂机升级突破!$CV$7:$CY$26,卡牌消耗!AX541,卡牌消耗!AU541)*INDEX($B$6:$F$6,AV541)/$Q$4/5,0)*5,"")</f>
        <v>25</v>
      </c>
      <c r="BD541" s="104"/>
      <c r="BE541" s="104"/>
    </row>
    <row r="542" spans="27:57" ht="16.5" x14ac:dyDescent="0.2">
      <c r="AA542" s="104">
        <v>538</v>
      </c>
      <c r="AB542" s="14">
        <f t="shared" si="168"/>
        <v>11</v>
      </c>
      <c r="AC542" s="14">
        <f>INDEX(挂机升级突破!$BU$6:$BU$57,卡牌消耗!AI542)</f>
        <v>11</v>
      </c>
      <c r="AD542" s="14">
        <f>INDEX(挂机升级突破!BV$6:BV$57,卡牌消耗!$AI542)</f>
        <v>3</v>
      </c>
      <c r="AE542" s="14">
        <f>INDEX(挂机升级突破!BW$6:BW$57,卡牌消耗!$AI542)</f>
        <v>0</v>
      </c>
      <c r="AF542" s="14" t="str">
        <f t="shared" si="169"/>
        <v>张飞</v>
      </c>
      <c r="AG542" s="14">
        <f t="shared" si="170"/>
        <v>4</v>
      </c>
      <c r="AH542" s="14" t="str">
        <f t="shared" si="171"/>
        <v>张飞魂火-18</v>
      </c>
      <c r="AI542" s="14">
        <f t="shared" si="172"/>
        <v>18</v>
      </c>
      <c r="AJ542" s="14" t="str">
        <f>INDEX(挂机升级突破!$BX$4:$CH$4,INDEX(挂机升级突破!$BU$6:$BU$57,卡牌消耗!AI542))</f>
        <v>金币</v>
      </c>
      <c r="AK542" s="14">
        <f>ROUND(INDEX(挂机升级突破!$BN$6:$BN$57,卡牌消耗!AI542)*INDEX(卡牌消耗!$B$8:$F$8,AG542)/$Q$4/50,0)*50</f>
        <v>4750</v>
      </c>
      <c r="AL542" s="14" t="str">
        <f>IF(AD542&gt;0,INDEX(挂机升级突破!$BX$4:$CH$4,AD542),"")</f>
        <v>紫色基础材料</v>
      </c>
      <c r="AM542" s="14">
        <f>ROUND(INDEX(挂机升级突破!$BX$6:$CH$57,卡牌消耗!AI542,AD542)*INDEX(卡牌消耗!$B$5:$F$5,AG542)/$Q$4/5,0)*5</f>
        <v>405</v>
      </c>
      <c r="AN542" s="14" t="str">
        <f>IF(AE542&gt;0,INDEX(挂机升级突破!$BX$4:$CH$4,AE542),"")</f>
        <v/>
      </c>
      <c r="AO542" s="14" t="str">
        <f>IF(AE542&gt;0,ROUND(INDEX(挂机升级突破!$BX$6:$CH$57,卡牌消耗!AI542,AE542)*INDEX(卡牌消耗!$B$7:$F$7,AG542)/$Q$4,0),"")</f>
        <v/>
      </c>
      <c r="AR542" s="104">
        <v>538</v>
      </c>
      <c r="AS542" s="14">
        <f t="shared" si="173"/>
        <v>27</v>
      </c>
      <c r="AT542" s="14">
        <f>INDEX(挂机升级突破!$CM$7:$CM$26,AX542)</f>
        <v>5</v>
      </c>
      <c r="AU542" s="14">
        <f>INDEX(挂机升级突破!$CN$7:$CN$26,AX542)</f>
        <v>4</v>
      </c>
      <c r="AV542" s="14">
        <f t="shared" si="174"/>
        <v>3</v>
      </c>
      <c r="AW542" s="14" t="str">
        <f t="shared" si="175"/>
        <v>燕青</v>
      </c>
      <c r="AX542" s="14">
        <f t="shared" si="176"/>
        <v>18</v>
      </c>
      <c r="AY542" s="14" t="str">
        <f t="shared" si="177"/>
        <v>燕青18突</v>
      </c>
      <c r="AZ542" s="14" t="str">
        <f>IF(AT542&gt;0,INDEX(挂机升级突破!$CV$5:$CZ$5,卡牌消耗!AT542),"")</f>
        <v>金币</v>
      </c>
      <c r="BA542" s="14">
        <f>IF(AT542&gt;0,ROUND(INDEX(挂机升级突破!$CZ$7:$CZ$26,卡牌消耗!AX542)*INDEX(卡牌消耗!$B$8:$F$8,AV542)/$Q$4/500,0)*500,"")</f>
        <v>83500</v>
      </c>
      <c r="BB542" s="14" t="str">
        <f>IF(AU542&gt;0,INDEX(挂机升级突破!$CV$5:$CZ$5,卡牌消耗!AU542),"")</f>
        <v>铀金</v>
      </c>
      <c r="BC542" s="14">
        <f>IF(AU542&gt;0,ROUND(INDEX(挂机升级突破!$CV$7:$CY$26,卡牌消耗!AX542,卡牌消耗!AU542)*INDEX($B$6:$F$6,AV542)/$Q$4/5,0)*5,"")</f>
        <v>35</v>
      </c>
      <c r="BD542" s="104"/>
      <c r="BE542" s="104"/>
    </row>
    <row r="543" spans="27:57" ht="16.5" x14ac:dyDescent="0.2">
      <c r="AA543" s="104">
        <v>539</v>
      </c>
      <c r="AB543" s="14">
        <f t="shared" si="168"/>
        <v>11</v>
      </c>
      <c r="AC543" s="14">
        <f>INDEX(挂机升级突破!$BU$6:$BU$57,卡牌消耗!AI543)</f>
        <v>11</v>
      </c>
      <c r="AD543" s="14">
        <f>INDEX(挂机升级突破!BV$6:BV$57,卡牌消耗!$AI543)</f>
        <v>3</v>
      </c>
      <c r="AE543" s="14">
        <f>INDEX(挂机升级突破!BW$6:BW$57,卡牌消耗!$AI543)</f>
        <v>0</v>
      </c>
      <c r="AF543" s="14" t="str">
        <f t="shared" si="169"/>
        <v>张飞</v>
      </c>
      <c r="AG543" s="14">
        <f t="shared" si="170"/>
        <v>4</v>
      </c>
      <c r="AH543" s="14" t="str">
        <f t="shared" si="171"/>
        <v>张飞魂火-19</v>
      </c>
      <c r="AI543" s="14">
        <f t="shared" si="172"/>
        <v>19</v>
      </c>
      <c r="AJ543" s="14" t="str">
        <f>INDEX(挂机升级突破!$BX$4:$CH$4,INDEX(挂机升级突破!$BU$6:$BU$57,卡牌消耗!AI543))</f>
        <v>金币</v>
      </c>
      <c r="AK543" s="14">
        <f>ROUND(INDEX(挂机升级突破!$BN$6:$BN$57,卡牌消耗!AI543)*INDEX(卡牌消耗!$B$8:$F$8,AG543)/$Q$4/50,0)*50</f>
        <v>4750</v>
      </c>
      <c r="AL543" s="14" t="str">
        <f>IF(AD543&gt;0,INDEX(挂机升级突破!$BX$4:$CH$4,AD543),"")</f>
        <v>紫色基础材料</v>
      </c>
      <c r="AM543" s="14">
        <f>ROUND(INDEX(挂机升级突破!$BX$6:$CH$57,卡牌消耗!AI543,AD543)*INDEX(卡牌消耗!$B$5:$F$5,AG543)/$Q$4/5,0)*5</f>
        <v>405</v>
      </c>
      <c r="AN543" s="14" t="str">
        <f>IF(AE543&gt;0,INDEX(挂机升级突破!$BX$4:$CH$4,AE543),"")</f>
        <v/>
      </c>
      <c r="AO543" s="14" t="str">
        <f>IF(AE543&gt;0,ROUND(INDEX(挂机升级突破!$BX$6:$CH$57,卡牌消耗!AI543,AE543)*INDEX(卡牌消耗!$B$7:$F$7,AG543)/$Q$4,0),"")</f>
        <v/>
      </c>
      <c r="AR543" s="104">
        <v>539</v>
      </c>
      <c r="AS543" s="14">
        <f t="shared" si="173"/>
        <v>27</v>
      </c>
      <c r="AT543" s="14">
        <f>INDEX(挂机升级突破!$CM$7:$CM$26,AX543)</f>
        <v>5</v>
      </c>
      <c r="AU543" s="14">
        <f>INDEX(挂机升级突破!$CN$7:$CN$26,AX543)</f>
        <v>4</v>
      </c>
      <c r="AV543" s="14">
        <f t="shared" si="174"/>
        <v>3</v>
      </c>
      <c r="AW543" s="14" t="str">
        <f t="shared" si="175"/>
        <v>燕青</v>
      </c>
      <c r="AX543" s="14">
        <f t="shared" si="176"/>
        <v>19</v>
      </c>
      <c r="AY543" s="14" t="str">
        <f t="shared" si="177"/>
        <v>燕青19突</v>
      </c>
      <c r="AZ543" s="14" t="str">
        <f>IF(AT543&gt;0,INDEX(挂机升级突破!$CV$5:$CZ$5,卡牌消耗!AT543),"")</f>
        <v>金币</v>
      </c>
      <c r="BA543" s="14">
        <f>IF(AT543&gt;0,ROUND(INDEX(挂机升级突破!$CZ$7:$CZ$26,卡牌消耗!AX543)*INDEX(卡牌消耗!$B$8:$F$8,AV543)/$Q$4/500,0)*500,"")</f>
        <v>506500</v>
      </c>
      <c r="BB543" s="14" t="str">
        <f>IF(AU543&gt;0,INDEX(挂机升级突破!$CV$5:$CZ$5,卡牌消耗!AU543),"")</f>
        <v>铀金</v>
      </c>
      <c r="BC543" s="14">
        <f>IF(AU543&gt;0,ROUND(INDEX(挂机升级突破!$CV$7:$CY$26,卡牌消耗!AX543,卡牌消耗!AU543)*INDEX($B$6:$F$6,AV543)/$Q$4/5,0)*5,"")</f>
        <v>45</v>
      </c>
      <c r="BD543" s="104"/>
      <c r="BE543" s="104"/>
    </row>
    <row r="544" spans="27:57" ht="16.5" x14ac:dyDescent="0.2">
      <c r="AA544" s="104">
        <v>540</v>
      </c>
      <c r="AB544" s="14">
        <f t="shared" si="168"/>
        <v>11</v>
      </c>
      <c r="AC544" s="14">
        <f>INDEX(挂机升级突破!$BU$6:$BU$57,卡牌消耗!AI544)</f>
        <v>11</v>
      </c>
      <c r="AD544" s="14">
        <f>INDEX(挂机升级突破!BV$6:BV$57,卡牌消耗!$AI544)</f>
        <v>3</v>
      </c>
      <c r="AE544" s="14">
        <f>INDEX(挂机升级突破!BW$6:BW$57,卡牌消耗!$AI544)</f>
        <v>0</v>
      </c>
      <c r="AF544" s="14" t="str">
        <f t="shared" si="169"/>
        <v>张飞</v>
      </c>
      <c r="AG544" s="14">
        <f t="shared" si="170"/>
        <v>4</v>
      </c>
      <c r="AH544" s="14" t="str">
        <f t="shared" si="171"/>
        <v>张飞魂火-20</v>
      </c>
      <c r="AI544" s="14">
        <f t="shared" si="172"/>
        <v>20</v>
      </c>
      <c r="AJ544" s="14" t="str">
        <f>INDEX(挂机升级突破!$BX$4:$CH$4,INDEX(挂机升级突破!$BU$6:$BU$57,卡牌消耗!AI544))</f>
        <v>金币</v>
      </c>
      <c r="AK544" s="14">
        <f>ROUND(INDEX(挂机升级突破!$BN$6:$BN$57,卡牌消耗!AI544)*INDEX(卡牌消耗!$B$8:$F$8,AG544)/$Q$4/50,0)*50</f>
        <v>5850</v>
      </c>
      <c r="AL544" s="14" t="str">
        <f>IF(AD544&gt;0,INDEX(挂机升级突破!$BX$4:$CH$4,AD544),"")</f>
        <v>紫色基础材料</v>
      </c>
      <c r="AM544" s="14">
        <f>ROUND(INDEX(挂机升级突破!$BX$6:$CH$57,卡牌消耗!AI544,AD544)*INDEX(卡牌消耗!$B$5:$F$5,AG544)/$Q$4/5,0)*5</f>
        <v>605</v>
      </c>
      <c r="AN544" s="14" t="str">
        <f>IF(AE544&gt;0,INDEX(挂机升级突破!$BX$4:$CH$4,AE544),"")</f>
        <v/>
      </c>
      <c r="AO544" s="14" t="str">
        <f>IF(AE544&gt;0,ROUND(INDEX(挂机升级突破!$BX$6:$CH$57,卡牌消耗!AI544,AE544)*INDEX(卡牌消耗!$B$7:$F$7,AG544)/$Q$4,0),"")</f>
        <v/>
      </c>
      <c r="AR544" s="104">
        <v>540</v>
      </c>
      <c r="AS544" s="14">
        <f t="shared" si="173"/>
        <v>27</v>
      </c>
      <c r="AT544" s="14">
        <f>INDEX(挂机升级突破!$CM$7:$CM$26,AX544)</f>
        <v>5</v>
      </c>
      <c r="AU544" s="14">
        <f>INDEX(挂机升级突破!$CN$7:$CN$26,AX544)</f>
        <v>4</v>
      </c>
      <c r="AV544" s="14">
        <f t="shared" si="174"/>
        <v>3</v>
      </c>
      <c r="AW544" s="14" t="str">
        <f t="shared" si="175"/>
        <v>燕青</v>
      </c>
      <c r="AX544" s="14">
        <f t="shared" si="176"/>
        <v>20</v>
      </c>
      <c r="AY544" s="14" t="str">
        <f t="shared" si="177"/>
        <v>燕青20突</v>
      </c>
      <c r="AZ544" s="14" t="str">
        <f>IF(AT544&gt;0,INDEX(挂机升级突破!$CV$5:$CZ$5,卡牌消耗!AT544),"")</f>
        <v>金币</v>
      </c>
      <c r="BA544" s="14">
        <f>IF(AT544&gt;0,ROUND(INDEX(挂机升级突破!$CZ$7:$CZ$26,卡牌消耗!AX544)*INDEX(卡牌消耗!$B$8:$F$8,AV544)/$Q$4/500,0)*500,"")</f>
        <v>760000</v>
      </c>
      <c r="BB544" s="14" t="str">
        <f>IF(AU544&gt;0,INDEX(挂机升级突破!$CV$5:$CZ$5,卡牌消耗!AU544),"")</f>
        <v>铀金</v>
      </c>
      <c r="BC544" s="14">
        <f>IF(AU544&gt;0,ROUND(INDEX(挂机升级突破!$CV$7:$CY$26,卡牌消耗!AX544,卡牌消耗!AU544)*INDEX($B$6:$F$6,AV544)/$Q$4/5,0)*5,"")</f>
        <v>60</v>
      </c>
      <c r="BD544" s="104"/>
      <c r="BE544" s="104"/>
    </row>
    <row r="545" spans="27:57" ht="16.5" x14ac:dyDescent="0.2">
      <c r="AA545" s="104">
        <v>541</v>
      </c>
      <c r="AB545" s="14">
        <f t="shared" si="168"/>
        <v>11</v>
      </c>
      <c r="AC545" s="14">
        <f>INDEX(挂机升级突破!$BU$6:$BU$57,卡牌消耗!AI545)</f>
        <v>11</v>
      </c>
      <c r="AD545" s="14">
        <f>INDEX(挂机升级突破!BV$6:BV$57,卡牌消耗!$AI545)</f>
        <v>3</v>
      </c>
      <c r="AE545" s="14">
        <f>INDEX(挂机升级突破!BW$6:BW$57,卡牌消耗!$AI545)</f>
        <v>0</v>
      </c>
      <c r="AF545" s="14" t="str">
        <f t="shared" si="169"/>
        <v>张飞</v>
      </c>
      <c r="AG545" s="14">
        <f t="shared" si="170"/>
        <v>4</v>
      </c>
      <c r="AH545" s="14" t="str">
        <f t="shared" si="171"/>
        <v>张飞魂火-21</v>
      </c>
      <c r="AI545" s="14">
        <f t="shared" si="172"/>
        <v>21</v>
      </c>
      <c r="AJ545" s="14" t="str">
        <f>INDEX(挂机升级突破!$BX$4:$CH$4,INDEX(挂机升级突破!$BU$6:$BU$57,卡牌消耗!AI545))</f>
        <v>金币</v>
      </c>
      <c r="AK545" s="14">
        <f>ROUND(INDEX(挂机升级突破!$BN$6:$BN$57,卡牌消耗!AI545)*INDEX(卡牌消耗!$B$8:$F$8,AG545)/$Q$4/50,0)*50</f>
        <v>5850</v>
      </c>
      <c r="AL545" s="14" t="str">
        <f>IF(AD545&gt;0,INDEX(挂机升级突破!$BX$4:$CH$4,AD545),"")</f>
        <v>紫色基础材料</v>
      </c>
      <c r="AM545" s="14">
        <f>ROUND(INDEX(挂机升级突破!$BX$6:$CH$57,卡牌消耗!AI545,AD545)*INDEX(卡牌消耗!$B$5:$F$5,AG545)/$Q$4/5,0)*5</f>
        <v>605</v>
      </c>
      <c r="AN545" s="14" t="str">
        <f>IF(AE545&gt;0,INDEX(挂机升级突破!$BX$4:$CH$4,AE545),"")</f>
        <v/>
      </c>
      <c r="AO545" s="14" t="str">
        <f>IF(AE545&gt;0,ROUND(INDEX(挂机升级突破!$BX$6:$CH$57,卡牌消耗!AI545,AE545)*INDEX(卡牌消耗!$B$7:$F$7,AG545)/$Q$4,0),"")</f>
        <v/>
      </c>
      <c r="AR545" s="104">
        <v>541</v>
      </c>
      <c r="AS545" s="14">
        <f t="shared" si="173"/>
        <v>28</v>
      </c>
      <c r="AT545" s="14">
        <f>INDEX(挂机升级突破!$CM$7:$CM$26,AX545)</f>
        <v>0</v>
      </c>
      <c r="AU545" s="14">
        <f>INDEX(挂机升级突破!$CN$7:$CN$26,AX545)</f>
        <v>0</v>
      </c>
      <c r="AV545" s="14">
        <f t="shared" si="174"/>
        <v>4</v>
      </c>
      <c r="AW545" s="14" t="str">
        <f t="shared" si="175"/>
        <v>秦琼</v>
      </c>
      <c r="AX545" s="14">
        <f t="shared" si="176"/>
        <v>1</v>
      </c>
      <c r="AY545" s="14" t="str">
        <f t="shared" si="177"/>
        <v>秦琼1突</v>
      </c>
      <c r="AZ545" s="14" t="str">
        <f>IF(AT545&gt;0,INDEX(挂机升级突破!$CV$5:$CZ$5,卡牌消耗!AT545),"")</f>
        <v/>
      </c>
      <c r="BA545" s="14" t="str">
        <f>IF(AT545&gt;0,ROUND(INDEX(挂机升级突破!$CZ$7:$CZ$26,卡牌消耗!AX545)*INDEX(卡牌消耗!$B$8:$F$8,AV545)/$Q$4/500,0)*500,"")</f>
        <v/>
      </c>
      <c r="BB545" s="14" t="str">
        <f>IF(AU545&gt;0,INDEX(挂机升级突破!$CV$5:$CZ$5,卡牌消耗!AU545),"")</f>
        <v/>
      </c>
      <c r="BC545" s="14" t="str">
        <f>IF(AU545&gt;0,ROUND(INDEX(挂机升级突破!$CV$7:$CY$26,卡牌消耗!AX545,卡牌消耗!AU545)*INDEX($B$6:$F$6,AV545)/$Q$4/5,0)*5,"")</f>
        <v/>
      </c>
      <c r="BD545" s="104"/>
      <c r="BE545" s="104"/>
    </row>
    <row r="546" spans="27:57" ht="16.5" x14ac:dyDescent="0.2">
      <c r="AA546" s="104">
        <v>542</v>
      </c>
      <c r="AB546" s="14">
        <f t="shared" si="168"/>
        <v>11</v>
      </c>
      <c r="AC546" s="14">
        <f>INDEX(挂机升级突破!$BU$6:$BU$57,卡牌消耗!AI546)</f>
        <v>11</v>
      </c>
      <c r="AD546" s="14">
        <f>INDEX(挂机升级突破!BV$6:BV$57,卡牌消耗!$AI546)</f>
        <v>3</v>
      </c>
      <c r="AE546" s="14">
        <f>INDEX(挂机升级突破!BW$6:BW$57,卡牌消耗!$AI546)</f>
        <v>0</v>
      </c>
      <c r="AF546" s="14" t="str">
        <f t="shared" si="169"/>
        <v>张飞</v>
      </c>
      <c r="AG546" s="14">
        <f t="shared" si="170"/>
        <v>4</v>
      </c>
      <c r="AH546" s="14" t="str">
        <f t="shared" si="171"/>
        <v>张飞魂火-22</v>
      </c>
      <c r="AI546" s="14">
        <f t="shared" si="172"/>
        <v>22</v>
      </c>
      <c r="AJ546" s="14" t="str">
        <f>INDEX(挂机升级突破!$BX$4:$CH$4,INDEX(挂机升级突破!$BU$6:$BU$57,卡牌消耗!AI546))</f>
        <v>金币</v>
      </c>
      <c r="AK546" s="14">
        <f>ROUND(INDEX(挂机升级突破!$BN$6:$BN$57,卡牌消耗!AI546)*INDEX(卡牌消耗!$B$8:$F$8,AG546)/$Q$4/50,0)*50</f>
        <v>5850</v>
      </c>
      <c r="AL546" s="14" t="str">
        <f>IF(AD546&gt;0,INDEX(挂机升级突破!$BX$4:$CH$4,AD546),"")</f>
        <v>紫色基础材料</v>
      </c>
      <c r="AM546" s="14">
        <f>ROUND(INDEX(挂机升级突破!$BX$6:$CH$57,卡牌消耗!AI546,AD546)*INDEX(卡牌消耗!$B$5:$F$5,AG546)/$Q$4/5,0)*5</f>
        <v>605</v>
      </c>
      <c r="AN546" s="14" t="str">
        <f>IF(AE546&gt;0,INDEX(挂机升级突破!$BX$4:$CH$4,AE546),"")</f>
        <v/>
      </c>
      <c r="AO546" s="14" t="str">
        <f>IF(AE546&gt;0,ROUND(INDEX(挂机升级突破!$BX$6:$CH$57,卡牌消耗!AI546,AE546)*INDEX(卡牌消耗!$B$7:$F$7,AG546)/$Q$4,0),"")</f>
        <v/>
      </c>
      <c r="AR546" s="104">
        <v>542</v>
      </c>
      <c r="AS546" s="14">
        <f t="shared" si="173"/>
        <v>28</v>
      </c>
      <c r="AT546" s="14">
        <f>INDEX(挂机升级突破!$CM$7:$CM$26,AX546)</f>
        <v>5</v>
      </c>
      <c r="AU546" s="14">
        <f>INDEX(挂机升级突破!$CN$7:$CN$26,AX546)</f>
        <v>0</v>
      </c>
      <c r="AV546" s="14">
        <f t="shared" si="174"/>
        <v>4</v>
      </c>
      <c r="AW546" s="14" t="str">
        <f t="shared" si="175"/>
        <v>秦琼</v>
      </c>
      <c r="AX546" s="14">
        <f t="shared" si="176"/>
        <v>2</v>
      </c>
      <c r="AY546" s="14" t="str">
        <f t="shared" si="177"/>
        <v>秦琼2突</v>
      </c>
      <c r="AZ546" s="14" t="str">
        <f>IF(AT546&gt;0,INDEX(挂机升级突破!$CV$5:$CZ$5,卡牌消耗!AT546),"")</f>
        <v>金币</v>
      </c>
      <c r="BA546" s="14">
        <f>IF(AT546&gt;0,ROUND(INDEX(挂机升级突破!$CZ$7:$CZ$26,卡牌消耗!AX546)*INDEX(卡牌消耗!$B$8:$F$8,AV546)/$Q$4/500,0)*500,"")</f>
        <v>3500</v>
      </c>
      <c r="BB546" s="14" t="str">
        <f>IF(AU546&gt;0,INDEX(挂机升级突破!$CV$5:$CZ$5,卡牌消耗!AU546),"")</f>
        <v/>
      </c>
      <c r="BC546" s="14" t="str">
        <f>IF(AU546&gt;0,ROUND(INDEX(挂机升级突破!$CV$7:$CY$26,卡牌消耗!AX546,卡牌消耗!AU546)*INDEX($B$6:$F$6,AV546)/$Q$4/5,0)*5,"")</f>
        <v/>
      </c>
      <c r="BD546" s="104"/>
      <c r="BE546" s="104"/>
    </row>
    <row r="547" spans="27:57" ht="16.5" x14ac:dyDescent="0.2">
      <c r="AA547" s="104">
        <v>543</v>
      </c>
      <c r="AB547" s="14">
        <f t="shared" si="168"/>
        <v>11</v>
      </c>
      <c r="AC547" s="14">
        <f>INDEX(挂机升级突破!$BU$6:$BU$57,卡牌消耗!AI547)</f>
        <v>11</v>
      </c>
      <c r="AD547" s="14">
        <f>INDEX(挂机升级突破!BV$6:BV$57,卡牌消耗!$AI547)</f>
        <v>4</v>
      </c>
      <c r="AE547" s="14">
        <f>INDEX(挂机升级突破!BW$6:BW$57,卡牌消耗!$AI547)</f>
        <v>0</v>
      </c>
      <c r="AF547" s="14" t="str">
        <f t="shared" si="169"/>
        <v>张飞</v>
      </c>
      <c r="AG547" s="14">
        <f t="shared" si="170"/>
        <v>4</v>
      </c>
      <c r="AH547" s="14" t="str">
        <f t="shared" si="171"/>
        <v>张飞魂火-23</v>
      </c>
      <c r="AI547" s="14">
        <f t="shared" si="172"/>
        <v>23</v>
      </c>
      <c r="AJ547" s="14" t="str">
        <f>INDEX(挂机升级突破!$BX$4:$CH$4,INDEX(挂机升级突破!$BU$6:$BU$57,卡牌消耗!AI547))</f>
        <v>金币</v>
      </c>
      <c r="AK547" s="14">
        <f>ROUND(INDEX(挂机升级突破!$BN$6:$BN$57,卡牌消耗!AI547)*INDEX(卡牌消耗!$B$8:$F$8,AG547)/$Q$4/50,0)*50</f>
        <v>8050</v>
      </c>
      <c r="AL547" s="14" t="str">
        <f>IF(AD547&gt;0,INDEX(挂机升级突破!$BX$4:$CH$4,AD547),"")</f>
        <v>橙色基础材料</v>
      </c>
      <c r="AM547" s="14">
        <f>ROUND(INDEX(挂机升级突破!$BX$6:$CH$57,卡牌消耗!AI547,AD547)*INDEX(卡牌消耗!$B$5:$F$5,AG547)/$Q$4/5,0)*5</f>
        <v>85</v>
      </c>
      <c r="AN547" s="14" t="str">
        <f>IF(AE547&gt;0,INDEX(挂机升级突破!$BX$4:$CH$4,AE547),"")</f>
        <v/>
      </c>
      <c r="AO547" s="14" t="str">
        <f>IF(AE547&gt;0,ROUND(INDEX(挂机升级突破!$BX$6:$CH$57,卡牌消耗!AI547,AE547)*INDEX(卡牌消耗!$B$7:$F$7,AG547)/$Q$4,0),"")</f>
        <v/>
      </c>
      <c r="AR547" s="104">
        <v>543</v>
      </c>
      <c r="AS547" s="14">
        <f t="shared" si="173"/>
        <v>28</v>
      </c>
      <c r="AT547" s="14">
        <f>INDEX(挂机升级突破!$CM$7:$CM$26,AX547)</f>
        <v>5</v>
      </c>
      <c r="AU547" s="14">
        <f>INDEX(挂机升级突破!$CN$7:$CN$26,AX547)</f>
        <v>0</v>
      </c>
      <c r="AV547" s="14">
        <f t="shared" si="174"/>
        <v>4</v>
      </c>
      <c r="AW547" s="14" t="str">
        <f t="shared" si="175"/>
        <v>秦琼</v>
      </c>
      <c r="AX547" s="14">
        <f t="shared" si="176"/>
        <v>3</v>
      </c>
      <c r="AY547" s="14" t="str">
        <f t="shared" si="177"/>
        <v>秦琼3突</v>
      </c>
      <c r="AZ547" s="14" t="str">
        <f>IF(AT547&gt;0,INDEX(挂机升级突破!$CV$5:$CZ$5,卡牌消耗!AT547),"")</f>
        <v>金币</v>
      </c>
      <c r="BA547" s="14">
        <f>IF(AT547&gt;0,ROUND(INDEX(挂机升级突破!$CZ$7:$CZ$26,卡牌消耗!AX547)*INDEX(卡牌消耗!$B$8:$F$8,AV547)/$Q$4/500,0)*500,"")</f>
        <v>3500</v>
      </c>
      <c r="BB547" s="14" t="str">
        <f>IF(AU547&gt;0,INDEX(挂机升级突破!$CV$5:$CZ$5,卡牌消耗!AU547),"")</f>
        <v/>
      </c>
      <c r="BC547" s="14" t="str">
        <f>IF(AU547&gt;0,ROUND(INDEX(挂机升级突破!$CV$7:$CY$26,卡牌消耗!AX547,卡牌消耗!AU547)*INDEX($B$6:$F$6,AV547)/$Q$4/5,0)*5,"")</f>
        <v/>
      </c>
      <c r="BD547" s="104"/>
      <c r="BE547" s="104"/>
    </row>
    <row r="548" spans="27:57" ht="16.5" x14ac:dyDescent="0.2">
      <c r="AA548" s="104">
        <v>544</v>
      </c>
      <c r="AB548" s="14">
        <f t="shared" si="168"/>
        <v>11</v>
      </c>
      <c r="AC548" s="14">
        <f>INDEX(挂机升级突破!$BU$6:$BU$57,卡牌消耗!AI548)</f>
        <v>11</v>
      </c>
      <c r="AD548" s="14">
        <f>INDEX(挂机升级突破!BV$6:BV$57,卡牌消耗!$AI548)</f>
        <v>4</v>
      </c>
      <c r="AE548" s="14">
        <f>INDEX(挂机升级突破!BW$6:BW$57,卡牌消耗!$AI548)</f>
        <v>0</v>
      </c>
      <c r="AF548" s="14" t="str">
        <f t="shared" si="169"/>
        <v>张飞</v>
      </c>
      <c r="AG548" s="14">
        <f t="shared" si="170"/>
        <v>4</v>
      </c>
      <c r="AH548" s="14" t="str">
        <f t="shared" si="171"/>
        <v>张飞魂火-24</v>
      </c>
      <c r="AI548" s="14">
        <f t="shared" si="172"/>
        <v>24</v>
      </c>
      <c r="AJ548" s="14" t="str">
        <f>INDEX(挂机升级突破!$BX$4:$CH$4,INDEX(挂机升级突破!$BU$6:$BU$57,卡牌消耗!AI548))</f>
        <v>金币</v>
      </c>
      <c r="AK548" s="14">
        <f>ROUND(INDEX(挂机升级突破!$BN$6:$BN$57,卡牌消耗!AI548)*INDEX(卡牌消耗!$B$8:$F$8,AG548)/$Q$4/50,0)*50</f>
        <v>8050</v>
      </c>
      <c r="AL548" s="14" t="str">
        <f>IF(AD548&gt;0,INDEX(挂机升级突破!$BX$4:$CH$4,AD548),"")</f>
        <v>橙色基础材料</v>
      </c>
      <c r="AM548" s="14">
        <f>ROUND(INDEX(挂机升级突破!$BX$6:$CH$57,卡牌消耗!AI548,AD548)*INDEX(卡牌消耗!$B$5:$F$5,AG548)/$Q$4/5,0)*5</f>
        <v>85</v>
      </c>
      <c r="AN548" s="14" t="str">
        <f>IF(AE548&gt;0,INDEX(挂机升级突破!$BX$4:$CH$4,AE548),"")</f>
        <v/>
      </c>
      <c r="AO548" s="14" t="str">
        <f>IF(AE548&gt;0,ROUND(INDEX(挂机升级突破!$BX$6:$CH$57,卡牌消耗!AI548,AE548)*INDEX(卡牌消耗!$B$7:$F$7,AG548)/$Q$4,0),"")</f>
        <v/>
      </c>
      <c r="AR548" s="104">
        <v>544</v>
      </c>
      <c r="AS548" s="14">
        <f t="shared" si="173"/>
        <v>28</v>
      </c>
      <c r="AT548" s="14">
        <f>INDEX(挂机升级突破!$CM$7:$CM$26,AX548)</f>
        <v>5</v>
      </c>
      <c r="AU548" s="14">
        <f>INDEX(挂机升级突破!$CN$7:$CN$26,AX548)</f>
        <v>1</v>
      </c>
      <c r="AV548" s="14">
        <f t="shared" si="174"/>
        <v>4</v>
      </c>
      <c r="AW548" s="14" t="str">
        <f t="shared" si="175"/>
        <v>秦琼</v>
      </c>
      <c r="AX548" s="14">
        <f t="shared" si="176"/>
        <v>4</v>
      </c>
      <c r="AY548" s="14" t="str">
        <f t="shared" si="177"/>
        <v>秦琼4突</v>
      </c>
      <c r="AZ548" s="14" t="str">
        <f>IF(AT548&gt;0,INDEX(挂机升级突破!$CV$5:$CZ$5,卡牌消耗!AT548),"")</f>
        <v>金币</v>
      </c>
      <c r="BA548" s="14">
        <f>IF(AT548&gt;0,ROUND(INDEX(挂机升级突破!$CZ$7:$CZ$26,卡牌消耗!AX548)*INDEX(卡牌消耗!$B$8:$F$8,AV548)/$Q$4/500,0)*500,"")</f>
        <v>4500</v>
      </c>
      <c r="BB548" s="14" t="str">
        <f>IF(AU548&gt;0,INDEX(挂机升级突破!$CV$5:$CZ$5,卡牌消耗!AU548),"")</f>
        <v>玄铁</v>
      </c>
      <c r="BC548" s="14">
        <f>IF(AU548&gt;0,ROUND(INDEX(挂机升级突破!$CV$7:$CY$26,卡牌消耗!AX548,卡牌消耗!AU548)*INDEX($B$6:$F$6,AV548)/$Q$4/5,0)*5,"")</f>
        <v>70</v>
      </c>
      <c r="BD548" s="104"/>
      <c r="BE548" s="104"/>
    </row>
    <row r="549" spans="27:57" ht="16.5" x14ac:dyDescent="0.2">
      <c r="AA549" s="104">
        <v>545</v>
      </c>
      <c r="AB549" s="14">
        <f t="shared" si="168"/>
        <v>11</v>
      </c>
      <c r="AC549" s="14">
        <f>INDEX(挂机升级突破!$BU$6:$BU$57,卡牌消耗!AI549)</f>
        <v>11</v>
      </c>
      <c r="AD549" s="14">
        <f>INDEX(挂机升级突破!BV$6:BV$57,卡牌消耗!$AI549)</f>
        <v>4</v>
      </c>
      <c r="AE549" s="14">
        <f>INDEX(挂机升级突破!BW$6:BW$57,卡牌消耗!$AI549)</f>
        <v>0</v>
      </c>
      <c r="AF549" s="14" t="str">
        <f t="shared" si="169"/>
        <v>张飞</v>
      </c>
      <c r="AG549" s="14">
        <f t="shared" si="170"/>
        <v>4</v>
      </c>
      <c r="AH549" s="14" t="str">
        <f t="shared" si="171"/>
        <v>张飞魂火-25</v>
      </c>
      <c r="AI549" s="14">
        <f t="shared" si="172"/>
        <v>25</v>
      </c>
      <c r="AJ549" s="14" t="str">
        <f>INDEX(挂机升级突破!$BX$4:$CH$4,INDEX(挂机升级突破!$BU$6:$BU$57,卡牌消耗!AI549))</f>
        <v>金币</v>
      </c>
      <c r="AK549" s="14">
        <f>ROUND(INDEX(挂机升级突破!$BN$6:$BN$57,卡牌消耗!AI549)*INDEX(卡牌消耗!$B$8:$F$8,AG549)/$Q$4/50,0)*50</f>
        <v>8800</v>
      </c>
      <c r="AL549" s="14" t="str">
        <f>IF(AD549&gt;0,INDEX(挂机升级突破!$BX$4:$CH$4,AD549),"")</f>
        <v>橙色基础材料</v>
      </c>
      <c r="AM549" s="14">
        <f>ROUND(INDEX(挂机升级突破!$BX$6:$CH$57,卡牌消耗!AI549,AD549)*INDEX(卡牌消耗!$B$5:$F$5,AG549)/$Q$4/5,0)*5</f>
        <v>85</v>
      </c>
      <c r="AN549" s="14" t="str">
        <f>IF(AE549&gt;0,INDEX(挂机升级突破!$BX$4:$CH$4,AE549),"")</f>
        <v/>
      </c>
      <c r="AO549" s="14" t="str">
        <f>IF(AE549&gt;0,ROUND(INDEX(挂机升级突破!$BX$6:$CH$57,卡牌消耗!AI549,AE549)*INDEX(卡牌消耗!$B$7:$F$7,AG549)/$Q$4,0),"")</f>
        <v/>
      </c>
      <c r="AR549" s="104">
        <v>545</v>
      </c>
      <c r="AS549" s="14">
        <f t="shared" si="173"/>
        <v>28</v>
      </c>
      <c r="AT549" s="14">
        <f>INDEX(挂机升级突破!$CM$7:$CM$26,AX549)</f>
        <v>5</v>
      </c>
      <c r="AU549" s="14">
        <f>INDEX(挂机升级突破!$CN$7:$CN$26,AX549)</f>
        <v>1</v>
      </c>
      <c r="AV549" s="14">
        <f t="shared" si="174"/>
        <v>4</v>
      </c>
      <c r="AW549" s="14" t="str">
        <f t="shared" si="175"/>
        <v>秦琼</v>
      </c>
      <c r="AX549" s="14">
        <f t="shared" si="176"/>
        <v>5</v>
      </c>
      <c r="AY549" s="14" t="str">
        <f t="shared" si="177"/>
        <v>秦琼5突</v>
      </c>
      <c r="AZ549" s="14" t="str">
        <f>IF(AT549&gt;0,INDEX(挂机升级突破!$CV$5:$CZ$5,卡牌消耗!AT549),"")</f>
        <v>金币</v>
      </c>
      <c r="BA549" s="14">
        <f>IF(AT549&gt;0,ROUND(INDEX(挂机升级突破!$CZ$7:$CZ$26,卡牌消耗!AX549)*INDEX(卡牌消耗!$B$8:$F$8,AV549)/$Q$4/500,0)*500,"")</f>
        <v>4500</v>
      </c>
      <c r="BB549" s="14" t="str">
        <f>IF(AU549&gt;0,INDEX(挂机升级突破!$CV$5:$CZ$5,卡牌消耗!AU549),"")</f>
        <v>玄铁</v>
      </c>
      <c r="BC549" s="14">
        <f>IF(AU549&gt;0,ROUND(INDEX(挂机升级突破!$CV$7:$CY$26,卡牌消耗!AX549,卡牌消耗!AU549)*INDEX($B$6:$F$6,AV549)/$Q$4/5,0)*5,"")</f>
        <v>140</v>
      </c>
      <c r="BD549" s="104"/>
      <c r="BE549" s="104"/>
    </row>
    <row r="550" spans="27:57" ht="16.5" x14ac:dyDescent="0.2">
      <c r="AA550" s="104">
        <v>546</v>
      </c>
      <c r="AB550" s="14">
        <f t="shared" si="168"/>
        <v>11</v>
      </c>
      <c r="AC550" s="14">
        <f>INDEX(挂机升级突破!$BU$6:$BU$57,卡牌消耗!AI550)</f>
        <v>11</v>
      </c>
      <c r="AD550" s="14">
        <f>INDEX(挂机升级突破!BV$6:BV$57,卡牌消耗!$AI550)</f>
        <v>4</v>
      </c>
      <c r="AE550" s="14">
        <f>INDEX(挂机升级突破!BW$6:BW$57,卡牌消耗!$AI550)</f>
        <v>0</v>
      </c>
      <c r="AF550" s="14" t="str">
        <f t="shared" si="169"/>
        <v>张飞</v>
      </c>
      <c r="AG550" s="14">
        <f t="shared" si="170"/>
        <v>4</v>
      </c>
      <c r="AH550" s="14" t="str">
        <f t="shared" si="171"/>
        <v>张飞魂火-26</v>
      </c>
      <c r="AI550" s="14">
        <f t="shared" si="172"/>
        <v>26</v>
      </c>
      <c r="AJ550" s="14" t="str">
        <f>INDEX(挂机升级突破!$BX$4:$CH$4,INDEX(挂机升级突破!$BU$6:$BU$57,卡牌消耗!AI550))</f>
        <v>金币</v>
      </c>
      <c r="AK550" s="14">
        <f>ROUND(INDEX(挂机升级突破!$BN$6:$BN$57,卡牌消耗!AI550)*INDEX(卡牌消耗!$B$8:$F$8,AG550)/$Q$4/50,0)*50</f>
        <v>10250</v>
      </c>
      <c r="AL550" s="14" t="str">
        <f>IF(AD550&gt;0,INDEX(挂机升级突破!$BX$4:$CH$4,AD550),"")</f>
        <v>橙色基础材料</v>
      </c>
      <c r="AM550" s="14">
        <f>ROUND(INDEX(挂机升级突破!$BX$6:$CH$57,卡牌消耗!AI550,AD550)*INDEX(卡牌消耗!$B$5:$F$5,AG550)/$Q$4/5,0)*5</f>
        <v>100</v>
      </c>
      <c r="AN550" s="14" t="str">
        <f>IF(AE550&gt;0,INDEX(挂机升级突破!$BX$4:$CH$4,AE550),"")</f>
        <v/>
      </c>
      <c r="AO550" s="14" t="str">
        <f>IF(AE550&gt;0,ROUND(INDEX(挂机升级突破!$BX$6:$CH$57,卡牌消耗!AI550,AE550)*INDEX(卡牌消耗!$B$7:$F$7,AG550)/$Q$4,0),"")</f>
        <v/>
      </c>
      <c r="AR550" s="104">
        <v>546</v>
      </c>
      <c r="AS550" s="14">
        <f t="shared" si="173"/>
        <v>28</v>
      </c>
      <c r="AT550" s="14">
        <f>INDEX(挂机升级突破!$CM$7:$CM$26,AX550)</f>
        <v>5</v>
      </c>
      <c r="AU550" s="14">
        <f>INDEX(挂机升级突破!$CN$7:$CN$26,AX550)</f>
        <v>1</v>
      </c>
      <c r="AV550" s="14">
        <f t="shared" si="174"/>
        <v>4</v>
      </c>
      <c r="AW550" s="14" t="str">
        <f t="shared" si="175"/>
        <v>秦琼</v>
      </c>
      <c r="AX550" s="14">
        <f t="shared" si="176"/>
        <v>6</v>
      </c>
      <c r="AY550" s="14" t="str">
        <f t="shared" si="177"/>
        <v>秦琼6突</v>
      </c>
      <c r="AZ550" s="14" t="str">
        <f>IF(AT550&gt;0,INDEX(挂机升级突破!$CV$5:$CZ$5,卡牌消耗!AT550),"")</f>
        <v>金币</v>
      </c>
      <c r="BA550" s="14">
        <f>IF(AT550&gt;0,ROUND(INDEX(挂机升级突破!$CZ$7:$CZ$26,卡牌消耗!AX550)*INDEX(卡牌消耗!$B$8:$F$8,AV550)/$Q$4/500,0)*500,"")</f>
        <v>6000</v>
      </c>
      <c r="BB550" s="14" t="str">
        <f>IF(AU550&gt;0,INDEX(挂机升级突破!$CV$5:$CZ$5,卡牌消耗!AU550),"")</f>
        <v>玄铁</v>
      </c>
      <c r="BC550" s="14">
        <f>IF(AU550&gt;0,ROUND(INDEX(挂机升级突破!$CV$7:$CY$26,卡牌消耗!AX550,卡牌消耗!AU550)*INDEX($B$6:$F$6,AV550)/$Q$4/5,0)*5,"")</f>
        <v>210</v>
      </c>
      <c r="BD550" s="104"/>
      <c r="BE550" s="104"/>
    </row>
    <row r="551" spans="27:57" ht="16.5" x14ac:dyDescent="0.2">
      <c r="AA551" s="104">
        <v>547</v>
      </c>
      <c r="AB551" s="14">
        <f t="shared" si="168"/>
        <v>11</v>
      </c>
      <c r="AC551" s="14">
        <f>INDEX(挂机升级突破!$BU$6:$BU$57,卡牌消耗!AI551)</f>
        <v>11</v>
      </c>
      <c r="AD551" s="14">
        <f>INDEX(挂机升级突破!BV$6:BV$57,卡牌消耗!$AI551)</f>
        <v>4</v>
      </c>
      <c r="AE551" s="14">
        <f>INDEX(挂机升级突破!BW$6:BW$57,卡牌消耗!$AI551)</f>
        <v>0</v>
      </c>
      <c r="AF551" s="14" t="str">
        <f t="shared" si="169"/>
        <v>张飞</v>
      </c>
      <c r="AG551" s="14">
        <f t="shared" si="170"/>
        <v>4</v>
      </c>
      <c r="AH551" s="14" t="str">
        <f t="shared" si="171"/>
        <v>张飞魂火-27</v>
      </c>
      <c r="AI551" s="14">
        <f t="shared" si="172"/>
        <v>27</v>
      </c>
      <c r="AJ551" s="14" t="str">
        <f>INDEX(挂机升级突破!$BX$4:$CH$4,INDEX(挂机升级突破!$BU$6:$BU$57,卡牌消耗!AI551))</f>
        <v>金币</v>
      </c>
      <c r="AK551" s="14">
        <f>ROUND(INDEX(挂机升级突破!$BN$6:$BN$57,卡牌消耗!AI551)*INDEX(卡牌消耗!$B$8:$F$8,AG551)/$Q$4/50,0)*50</f>
        <v>10250</v>
      </c>
      <c r="AL551" s="14" t="str">
        <f>IF(AD551&gt;0,INDEX(挂机升级突破!$BX$4:$CH$4,AD551),"")</f>
        <v>橙色基础材料</v>
      </c>
      <c r="AM551" s="14">
        <f>ROUND(INDEX(挂机升级突破!$BX$6:$CH$57,卡牌消耗!AI551,AD551)*INDEX(卡牌消耗!$B$5:$F$5,AG551)/$Q$4/5,0)*5</f>
        <v>100</v>
      </c>
      <c r="AN551" s="14" t="str">
        <f>IF(AE551&gt;0,INDEX(挂机升级突破!$BX$4:$CH$4,AE551),"")</f>
        <v/>
      </c>
      <c r="AO551" s="14" t="str">
        <f>IF(AE551&gt;0,ROUND(INDEX(挂机升级突破!$BX$6:$CH$57,卡牌消耗!AI551,AE551)*INDEX(卡牌消耗!$B$7:$F$7,AG551)/$Q$4,0),"")</f>
        <v/>
      </c>
      <c r="AR551" s="104">
        <v>547</v>
      </c>
      <c r="AS551" s="14">
        <f t="shared" si="173"/>
        <v>28</v>
      </c>
      <c r="AT551" s="14">
        <f>INDEX(挂机升级突破!$CM$7:$CM$26,AX551)</f>
        <v>5</v>
      </c>
      <c r="AU551" s="14">
        <f>INDEX(挂机升级突破!$CN$7:$CN$26,AX551)</f>
        <v>1</v>
      </c>
      <c r="AV551" s="14">
        <f t="shared" si="174"/>
        <v>4</v>
      </c>
      <c r="AW551" s="14" t="str">
        <f t="shared" si="175"/>
        <v>秦琼</v>
      </c>
      <c r="AX551" s="14">
        <f t="shared" si="176"/>
        <v>7</v>
      </c>
      <c r="AY551" s="14" t="str">
        <f t="shared" si="177"/>
        <v>秦琼7突</v>
      </c>
      <c r="AZ551" s="14" t="str">
        <f>IF(AT551&gt;0,INDEX(挂机升级突破!$CV$5:$CZ$5,卡牌消耗!AT551),"")</f>
        <v>金币</v>
      </c>
      <c r="BA551" s="14">
        <f>IF(AT551&gt;0,ROUND(INDEX(挂机升级突破!$CZ$7:$CZ$26,卡牌消耗!AX551)*INDEX(卡牌消耗!$B$8:$F$8,AV551)/$Q$4/500,0)*500,"")</f>
        <v>9500</v>
      </c>
      <c r="BB551" s="14" t="str">
        <f>IF(AU551&gt;0,INDEX(挂机升级突破!$CV$5:$CZ$5,卡牌消耗!AU551),"")</f>
        <v>玄铁</v>
      </c>
      <c r="BC551" s="14">
        <f>IF(AU551&gt;0,ROUND(INDEX(挂机升级突破!$CV$7:$CY$26,卡牌消耗!AX551,卡牌消耗!AU551)*INDEX($B$6:$F$6,AV551)/$Q$4/5,0)*5,"")</f>
        <v>345</v>
      </c>
      <c r="BD551" s="104"/>
      <c r="BE551" s="104"/>
    </row>
    <row r="552" spans="27:57" ht="16.5" x14ac:dyDescent="0.2">
      <c r="AA552" s="104">
        <v>548</v>
      </c>
      <c r="AB552" s="14">
        <f t="shared" si="168"/>
        <v>11</v>
      </c>
      <c r="AC552" s="14">
        <f>INDEX(挂机升级突破!$BU$6:$BU$57,卡牌消耗!AI552)</f>
        <v>11</v>
      </c>
      <c r="AD552" s="14">
        <f>INDEX(挂机升级突破!BV$6:BV$57,卡牌消耗!$AI552)</f>
        <v>4</v>
      </c>
      <c r="AE552" s="14">
        <f>INDEX(挂机升级突破!BW$6:BW$57,卡牌消耗!$AI552)</f>
        <v>0</v>
      </c>
      <c r="AF552" s="14" t="str">
        <f t="shared" si="169"/>
        <v>张飞</v>
      </c>
      <c r="AG552" s="14">
        <f t="shared" si="170"/>
        <v>4</v>
      </c>
      <c r="AH552" s="14" t="str">
        <f t="shared" si="171"/>
        <v>张飞魂火-28</v>
      </c>
      <c r="AI552" s="14">
        <f t="shared" si="172"/>
        <v>28</v>
      </c>
      <c r="AJ552" s="14" t="str">
        <f>INDEX(挂机升级突破!$BX$4:$CH$4,INDEX(挂机升级突破!$BU$6:$BU$57,卡牌消耗!AI552))</f>
        <v>金币</v>
      </c>
      <c r="AK552" s="14">
        <f>ROUND(INDEX(挂机升级突破!$BN$6:$BN$57,卡牌消耗!AI552)*INDEX(卡牌消耗!$B$8:$F$8,AG552)/$Q$4/50,0)*50</f>
        <v>10250</v>
      </c>
      <c r="AL552" s="14" t="str">
        <f>IF(AD552&gt;0,INDEX(挂机升级突破!$BX$4:$CH$4,AD552),"")</f>
        <v>橙色基础材料</v>
      </c>
      <c r="AM552" s="14">
        <f>ROUND(INDEX(挂机升级突破!$BX$6:$CH$57,卡牌消耗!AI552,AD552)*INDEX(卡牌消耗!$B$5:$F$5,AG552)/$Q$4/5,0)*5</f>
        <v>100</v>
      </c>
      <c r="AN552" s="14" t="str">
        <f>IF(AE552&gt;0,INDEX(挂机升级突破!$BX$4:$CH$4,AE552),"")</f>
        <v/>
      </c>
      <c r="AO552" s="14" t="str">
        <f>IF(AE552&gt;0,ROUND(INDEX(挂机升级突破!$BX$6:$CH$57,卡牌消耗!AI552,AE552)*INDEX(卡牌消耗!$B$7:$F$7,AG552)/$Q$4,0),"")</f>
        <v/>
      </c>
      <c r="AR552" s="104">
        <v>548</v>
      </c>
      <c r="AS552" s="14">
        <f t="shared" si="173"/>
        <v>28</v>
      </c>
      <c r="AT552" s="14">
        <f>INDEX(挂机升级突破!$CM$7:$CM$26,AX552)</f>
        <v>5</v>
      </c>
      <c r="AU552" s="14">
        <f>INDEX(挂机升级突破!$CN$7:$CN$26,AX552)</f>
        <v>1</v>
      </c>
      <c r="AV552" s="14">
        <f t="shared" si="174"/>
        <v>4</v>
      </c>
      <c r="AW552" s="14" t="str">
        <f t="shared" si="175"/>
        <v>秦琼</v>
      </c>
      <c r="AX552" s="14">
        <f t="shared" si="176"/>
        <v>8</v>
      </c>
      <c r="AY552" s="14" t="str">
        <f t="shared" si="177"/>
        <v>秦琼8突</v>
      </c>
      <c r="AZ552" s="14" t="str">
        <f>IF(AT552&gt;0,INDEX(挂机升级突破!$CV$5:$CZ$5,卡牌消耗!AT552),"")</f>
        <v>金币</v>
      </c>
      <c r="BA552" s="14">
        <f>IF(AT552&gt;0,ROUND(INDEX(挂机升级突破!$CZ$7:$CZ$26,卡牌消耗!AX552)*INDEX(卡牌消耗!$B$8:$F$8,AV552)/$Q$4/500,0)*500,"")</f>
        <v>9500</v>
      </c>
      <c r="BB552" s="14" t="str">
        <f>IF(AU552&gt;0,INDEX(挂机升级突破!$CV$5:$CZ$5,卡牌消耗!AU552),"")</f>
        <v>玄铁</v>
      </c>
      <c r="BC552" s="14">
        <f>IF(AU552&gt;0,ROUND(INDEX(挂机升级突破!$CV$7:$CY$26,卡牌消耗!AX552,卡牌消耗!AU552)*INDEX($B$6:$F$6,AV552)/$Q$4/5,0)*5,"")</f>
        <v>625</v>
      </c>
      <c r="BD552" s="104"/>
      <c r="BE552" s="104"/>
    </row>
    <row r="553" spans="27:57" ht="16.5" x14ac:dyDescent="0.2">
      <c r="AA553" s="104">
        <v>549</v>
      </c>
      <c r="AB553" s="14">
        <f t="shared" si="168"/>
        <v>11</v>
      </c>
      <c r="AC553" s="14">
        <f>INDEX(挂机升级突破!$BU$6:$BU$57,卡牌消耗!AI553)</f>
        <v>11</v>
      </c>
      <c r="AD553" s="14">
        <f>INDEX(挂机升级突破!BV$6:BV$57,卡牌消耗!$AI553)</f>
        <v>4</v>
      </c>
      <c r="AE553" s="14">
        <f>INDEX(挂机升级突破!BW$6:BW$57,卡牌消耗!$AI553)</f>
        <v>0</v>
      </c>
      <c r="AF553" s="14" t="str">
        <f t="shared" si="169"/>
        <v>张飞</v>
      </c>
      <c r="AG553" s="14">
        <f t="shared" si="170"/>
        <v>4</v>
      </c>
      <c r="AH553" s="14" t="str">
        <f t="shared" si="171"/>
        <v>张飞魂火-29</v>
      </c>
      <c r="AI553" s="14">
        <f t="shared" si="172"/>
        <v>29</v>
      </c>
      <c r="AJ553" s="14" t="str">
        <f>INDEX(挂机升级突破!$BX$4:$CH$4,INDEX(挂机升级突破!$BU$6:$BU$57,卡牌消耗!AI553))</f>
        <v>金币</v>
      </c>
      <c r="AK553" s="14">
        <f>ROUND(INDEX(挂机升级突破!$BN$6:$BN$57,卡牌消耗!AI553)*INDEX(卡牌消耗!$B$8:$F$8,AG553)/$Q$4/50,0)*50</f>
        <v>10350</v>
      </c>
      <c r="AL553" s="14" t="str">
        <f>IF(AD553&gt;0,INDEX(挂机升级突破!$BX$4:$CH$4,AD553),"")</f>
        <v>橙色基础材料</v>
      </c>
      <c r="AM553" s="14">
        <f>ROUND(INDEX(挂机升级突破!$BX$6:$CH$57,卡牌消耗!AI553,AD553)*INDEX(卡牌消耗!$B$5:$F$5,AG553)/$Q$4/5,0)*5</f>
        <v>115</v>
      </c>
      <c r="AN553" s="14" t="str">
        <f>IF(AE553&gt;0,INDEX(挂机升级突破!$BX$4:$CH$4,AE553),"")</f>
        <v/>
      </c>
      <c r="AO553" s="14" t="str">
        <f>IF(AE553&gt;0,ROUND(INDEX(挂机升级突破!$BX$6:$CH$57,卡牌消耗!AI553,AE553)*INDEX(卡牌消耗!$B$7:$F$7,AG553)/$Q$4,0),"")</f>
        <v/>
      </c>
      <c r="AR553" s="104">
        <v>549</v>
      </c>
      <c r="AS553" s="14">
        <f t="shared" si="173"/>
        <v>28</v>
      </c>
      <c r="AT553" s="14">
        <f>INDEX(挂机升级突破!$CM$7:$CM$26,AX553)</f>
        <v>5</v>
      </c>
      <c r="AU553" s="14">
        <f>INDEX(挂机升级突破!$CN$7:$CN$26,AX553)</f>
        <v>2</v>
      </c>
      <c r="AV553" s="14">
        <f t="shared" si="174"/>
        <v>4</v>
      </c>
      <c r="AW553" s="14" t="str">
        <f t="shared" si="175"/>
        <v>秦琼</v>
      </c>
      <c r="AX553" s="14">
        <f t="shared" si="176"/>
        <v>9</v>
      </c>
      <c r="AY553" s="14" t="str">
        <f t="shared" si="177"/>
        <v>秦琼9突</v>
      </c>
      <c r="AZ553" s="14" t="str">
        <f>IF(AT553&gt;0,INDEX(挂机升级突破!$CV$5:$CZ$5,卡牌消耗!AT553),"")</f>
        <v>金币</v>
      </c>
      <c r="BA553" s="14">
        <f>IF(AT553&gt;0,ROUND(INDEX(挂机升级突破!$CZ$7:$CZ$26,卡牌消耗!AX553)*INDEX(卡牌消耗!$B$8:$F$8,AV553)/$Q$4/500,0)*500,"")</f>
        <v>12500</v>
      </c>
      <c r="BB553" s="14" t="str">
        <f>IF(AU553&gt;0,INDEX(挂机升级突破!$CV$5:$CZ$5,卡牌消耗!AU553),"")</f>
        <v>乌金</v>
      </c>
      <c r="BC553" s="14">
        <f>IF(AU553&gt;0,ROUND(INDEX(挂机升级突破!$CV$7:$CY$26,卡牌消耗!AX553,卡牌消耗!AU553)*INDEX($B$6:$F$6,AV553)/$Q$4/5,0)*5,"")</f>
        <v>75</v>
      </c>
      <c r="BD553" s="104"/>
      <c r="BE553" s="104"/>
    </row>
    <row r="554" spans="27:57" ht="16.5" x14ac:dyDescent="0.2">
      <c r="AA554" s="104">
        <v>550</v>
      </c>
      <c r="AB554" s="14">
        <f t="shared" si="168"/>
        <v>11</v>
      </c>
      <c r="AC554" s="14">
        <f>INDEX(挂机升级突破!$BU$6:$BU$57,卡牌消耗!AI554)</f>
        <v>11</v>
      </c>
      <c r="AD554" s="14">
        <f>INDEX(挂机升级突破!BV$6:BV$57,卡牌消耗!$AI554)</f>
        <v>4</v>
      </c>
      <c r="AE554" s="14">
        <f>INDEX(挂机升级突破!BW$6:BW$57,卡牌消耗!$AI554)</f>
        <v>0</v>
      </c>
      <c r="AF554" s="14" t="str">
        <f t="shared" si="169"/>
        <v>张飞</v>
      </c>
      <c r="AG554" s="14">
        <f t="shared" si="170"/>
        <v>4</v>
      </c>
      <c r="AH554" s="14" t="str">
        <f t="shared" si="171"/>
        <v>张飞魂火-30</v>
      </c>
      <c r="AI554" s="14">
        <f t="shared" si="172"/>
        <v>30</v>
      </c>
      <c r="AJ554" s="14" t="str">
        <f>INDEX(挂机升级突破!$BX$4:$CH$4,INDEX(挂机升级突破!$BU$6:$BU$57,卡牌消耗!AI554))</f>
        <v>金币</v>
      </c>
      <c r="AK554" s="14">
        <f>ROUND(INDEX(挂机升级突破!$BN$6:$BN$57,卡牌消耗!AI554)*INDEX(卡牌消耗!$B$8:$F$8,AG554)/$Q$4/50,0)*50</f>
        <v>10350</v>
      </c>
      <c r="AL554" s="14" t="str">
        <f>IF(AD554&gt;0,INDEX(挂机升级突破!$BX$4:$CH$4,AD554),"")</f>
        <v>橙色基础材料</v>
      </c>
      <c r="AM554" s="14">
        <f>ROUND(INDEX(挂机升级突破!$BX$6:$CH$57,卡牌消耗!AI554,AD554)*INDEX(卡牌消耗!$B$5:$F$5,AG554)/$Q$4/5,0)*5</f>
        <v>115</v>
      </c>
      <c r="AN554" s="14" t="str">
        <f>IF(AE554&gt;0,INDEX(挂机升级突破!$BX$4:$CH$4,AE554),"")</f>
        <v/>
      </c>
      <c r="AO554" s="14" t="str">
        <f>IF(AE554&gt;0,ROUND(INDEX(挂机升级突破!$BX$6:$CH$57,卡牌消耗!AI554,AE554)*INDEX(卡牌消耗!$B$7:$F$7,AG554)/$Q$4,0),"")</f>
        <v/>
      </c>
      <c r="AR554" s="104">
        <v>550</v>
      </c>
      <c r="AS554" s="14">
        <f t="shared" si="173"/>
        <v>28</v>
      </c>
      <c r="AT554" s="14">
        <f>INDEX(挂机升级突破!$CM$7:$CM$26,AX554)</f>
        <v>5</v>
      </c>
      <c r="AU554" s="14">
        <f>INDEX(挂机升级突破!$CN$7:$CN$26,AX554)</f>
        <v>2</v>
      </c>
      <c r="AV554" s="14">
        <f t="shared" si="174"/>
        <v>4</v>
      </c>
      <c r="AW554" s="14" t="str">
        <f t="shared" si="175"/>
        <v>秦琼</v>
      </c>
      <c r="AX554" s="14">
        <f t="shared" si="176"/>
        <v>10</v>
      </c>
      <c r="AY554" s="14" t="str">
        <f t="shared" si="177"/>
        <v>秦琼10突</v>
      </c>
      <c r="AZ554" s="14" t="str">
        <f>IF(AT554&gt;0,INDEX(挂机升级突破!$CV$5:$CZ$5,卡牌消耗!AT554),"")</f>
        <v>金币</v>
      </c>
      <c r="BA554" s="14">
        <f>IF(AT554&gt;0,ROUND(INDEX(挂机升级突破!$CZ$7:$CZ$26,卡牌消耗!AX554)*INDEX(卡牌消耗!$B$8:$F$8,AV554)/$Q$4/500,0)*500,"")</f>
        <v>22000</v>
      </c>
      <c r="BB554" s="14" t="str">
        <f>IF(AU554&gt;0,INDEX(挂机升级突破!$CV$5:$CZ$5,卡牌消耗!AU554),"")</f>
        <v>乌金</v>
      </c>
      <c r="BC554" s="14">
        <f>IF(AU554&gt;0,ROUND(INDEX(挂机升级突破!$CV$7:$CY$26,卡牌消耗!AX554,卡牌消耗!AU554)*INDEX($B$6:$F$6,AV554)/$Q$4/5,0)*5,"")</f>
        <v>110</v>
      </c>
      <c r="BD554" s="104"/>
      <c r="BE554" s="104"/>
    </row>
    <row r="555" spans="27:57" ht="16.5" x14ac:dyDescent="0.2">
      <c r="AA555" s="104">
        <v>551</v>
      </c>
      <c r="AB555" s="14">
        <f t="shared" si="168"/>
        <v>11</v>
      </c>
      <c r="AC555" s="14">
        <f>INDEX(挂机升级突破!$BU$6:$BU$57,卡牌消耗!AI555)</f>
        <v>11</v>
      </c>
      <c r="AD555" s="14">
        <f>INDEX(挂机升级突破!BV$6:BV$57,卡牌消耗!$AI555)</f>
        <v>4</v>
      </c>
      <c r="AE555" s="14">
        <f>INDEX(挂机升级突破!BW$6:BW$57,卡牌消耗!$AI555)</f>
        <v>0</v>
      </c>
      <c r="AF555" s="14" t="str">
        <f t="shared" si="169"/>
        <v>张飞</v>
      </c>
      <c r="AG555" s="14">
        <f t="shared" si="170"/>
        <v>4</v>
      </c>
      <c r="AH555" s="14" t="str">
        <f t="shared" si="171"/>
        <v>张飞魂火-31</v>
      </c>
      <c r="AI555" s="14">
        <f t="shared" si="172"/>
        <v>31</v>
      </c>
      <c r="AJ555" s="14" t="str">
        <f>INDEX(挂机升级突破!$BX$4:$CH$4,INDEX(挂机升级突破!$BU$6:$BU$57,卡牌消耗!AI555))</f>
        <v>金币</v>
      </c>
      <c r="AK555" s="14">
        <f>ROUND(INDEX(挂机升级突破!$BN$6:$BN$57,卡牌消耗!AI555)*INDEX(卡牌消耗!$B$8:$F$8,AG555)/$Q$4/50,0)*50</f>
        <v>10350</v>
      </c>
      <c r="AL555" s="14" t="str">
        <f>IF(AD555&gt;0,INDEX(挂机升级突破!$BX$4:$CH$4,AD555),"")</f>
        <v>橙色基础材料</v>
      </c>
      <c r="AM555" s="14">
        <f>ROUND(INDEX(挂机升级突破!$BX$6:$CH$57,卡牌消耗!AI555,AD555)*INDEX(卡牌消耗!$B$5:$F$5,AG555)/$Q$4/5,0)*5</f>
        <v>115</v>
      </c>
      <c r="AN555" s="14" t="str">
        <f>IF(AE555&gt;0,INDEX(挂机升级突破!$BX$4:$CH$4,AE555),"")</f>
        <v/>
      </c>
      <c r="AO555" s="14" t="str">
        <f>IF(AE555&gt;0,ROUND(INDEX(挂机升级突破!$BX$6:$CH$57,卡牌消耗!AI555,AE555)*INDEX(卡牌消耗!$B$7:$F$7,AG555)/$Q$4,0),"")</f>
        <v/>
      </c>
      <c r="AR555" s="104">
        <v>551</v>
      </c>
      <c r="AS555" s="14">
        <f t="shared" si="173"/>
        <v>28</v>
      </c>
      <c r="AT555" s="14">
        <f>INDEX(挂机升级突破!$CM$7:$CM$26,AX555)</f>
        <v>5</v>
      </c>
      <c r="AU555" s="14">
        <f>INDEX(挂机升级突破!$CN$7:$CN$26,AX555)</f>
        <v>2</v>
      </c>
      <c r="AV555" s="14">
        <f t="shared" si="174"/>
        <v>4</v>
      </c>
      <c r="AW555" s="14" t="str">
        <f t="shared" si="175"/>
        <v>秦琼</v>
      </c>
      <c r="AX555" s="14">
        <f t="shared" si="176"/>
        <v>11</v>
      </c>
      <c r="AY555" s="14" t="str">
        <f t="shared" si="177"/>
        <v>秦琼11突</v>
      </c>
      <c r="AZ555" s="14" t="str">
        <f>IF(AT555&gt;0,INDEX(挂机升级突破!$CV$5:$CZ$5,卡牌消耗!AT555),"")</f>
        <v>金币</v>
      </c>
      <c r="BA555" s="14">
        <f>IF(AT555&gt;0,ROUND(INDEX(挂机升级突破!$CZ$7:$CZ$26,卡牌消耗!AX555)*INDEX(卡牌消耗!$B$8:$F$8,AV555)/$Q$4/500,0)*500,"")</f>
        <v>22000</v>
      </c>
      <c r="BB555" s="14" t="str">
        <f>IF(AU555&gt;0,INDEX(挂机升级突破!$CV$5:$CZ$5,卡牌消耗!AU555),"")</f>
        <v>乌金</v>
      </c>
      <c r="BC555" s="14">
        <f>IF(AU555&gt;0,ROUND(INDEX(挂机升级突破!$CV$7:$CY$26,卡牌消耗!AX555,卡牌消耗!AU555)*INDEX($B$6:$F$6,AV555)/$Q$4/5,0)*5,"")</f>
        <v>145</v>
      </c>
      <c r="BD555" s="104"/>
      <c r="BE555" s="104"/>
    </row>
    <row r="556" spans="27:57" ht="16.5" x14ac:dyDescent="0.2">
      <c r="AA556" s="104">
        <v>552</v>
      </c>
      <c r="AB556" s="14">
        <f t="shared" si="168"/>
        <v>11</v>
      </c>
      <c r="AC556" s="14">
        <f>INDEX(挂机升级突破!$BU$6:$BU$57,卡牌消耗!AI556)</f>
        <v>11</v>
      </c>
      <c r="AD556" s="14">
        <f>INDEX(挂机升级突破!BV$6:BV$57,卡牌消耗!$AI556)</f>
        <v>4</v>
      </c>
      <c r="AE556" s="14">
        <f>INDEX(挂机升级突破!BW$6:BW$57,卡牌消耗!$AI556)</f>
        <v>0</v>
      </c>
      <c r="AF556" s="14" t="str">
        <f t="shared" si="169"/>
        <v>张飞</v>
      </c>
      <c r="AG556" s="14">
        <f t="shared" si="170"/>
        <v>4</v>
      </c>
      <c r="AH556" s="14" t="str">
        <f t="shared" si="171"/>
        <v>张飞魂火-32</v>
      </c>
      <c r="AI556" s="14">
        <f t="shared" si="172"/>
        <v>32</v>
      </c>
      <c r="AJ556" s="14" t="str">
        <f>INDEX(挂机升级突破!$BX$4:$CH$4,INDEX(挂机升级突破!$BU$6:$BU$57,卡牌消耗!AI556))</f>
        <v>金币</v>
      </c>
      <c r="AK556" s="14">
        <f>ROUND(INDEX(挂机升级突破!$BN$6:$BN$57,卡牌消耗!AI556)*INDEX(卡牌消耗!$B$8:$F$8,AG556)/$Q$4/50,0)*50</f>
        <v>14250</v>
      </c>
      <c r="AL556" s="14" t="str">
        <f>IF(AD556&gt;0,INDEX(挂机升级突破!$BX$4:$CH$4,AD556),"")</f>
        <v>橙色基础材料</v>
      </c>
      <c r="AM556" s="14">
        <f>ROUND(INDEX(挂机升级突破!$BX$6:$CH$57,卡牌消耗!AI556,AD556)*INDEX(卡牌消耗!$B$5:$F$5,AG556)/$Q$4/5,0)*5</f>
        <v>115</v>
      </c>
      <c r="AN556" s="14" t="str">
        <f>IF(AE556&gt;0,INDEX(挂机升级突破!$BX$4:$CH$4,AE556),"")</f>
        <v/>
      </c>
      <c r="AO556" s="14" t="str">
        <f>IF(AE556&gt;0,ROUND(INDEX(挂机升级突破!$BX$6:$CH$57,卡牌消耗!AI556,AE556)*INDEX(卡牌消耗!$B$7:$F$7,AG556)/$Q$4,0),"")</f>
        <v/>
      </c>
      <c r="AR556" s="104">
        <v>552</v>
      </c>
      <c r="AS556" s="14">
        <f t="shared" si="173"/>
        <v>28</v>
      </c>
      <c r="AT556" s="14">
        <f>INDEX(挂机升级突破!$CM$7:$CM$26,AX556)</f>
        <v>5</v>
      </c>
      <c r="AU556" s="14">
        <f>INDEX(挂机升级突破!$CN$7:$CN$26,AX556)</f>
        <v>2</v>
      </c>
      <c r="AV556" s="14">
        <f t="shared" si="174"/>
        <v>4</v>
      </c>
      <c r="AW556" s="14" t="str">
        <f t="shared" si="175"/>
        <v>秦琼</v>
      </c>
      <c r="AX556" s="14">
        <f t="shared" si="176"/>
        <v>12</v>
      </c>
      <c r="AY556" s="14" t="str">
        <f t="shared" si="177"/>
        <v>秦琼12突</v>
      </c>
      <c r="AZ556" s="14" t="str">
        <f>IF(AT556&gt;0,INDEX(挂机升级突破!$CV$5:$CZ$5,卡牌消耗!AT556),"")</f>
        <v>金币</v>
      </c>
      <c r="BA556" s="14">
        <f>IF(AT556&gt;0,ROUND(INDEX(挂机升级突破!$CZ$7:$CZ$26,卡牌消耗!AX556)*INDEX(卡牌消耗!$B$8:$F$8,AV556)/$Q$4/500,0)*500,"")</f>
        <v>29500</v>
      </c>
      <c r="BB556" s="14" t="str">
        <f>IF(AU556&gt;0,INDEX(挂机升级突破!$CV$5:$CZ$5,卡牌消耗!AU556),"")</f>
        <v>乌金</v>
      </c>
      <c r="BC556" s="14">
        <f>IF(AU556&gt;0,ROUND(INDEX(挂机升级突破!$CV$7:$CY$26,卡牌消耗!AX556,卡牌消耗!AU556)*INDEX($B$6:$F$6,AV556)/$Q$4/5,0)*5,"")</f>
        <v>185</v>
      </c>
      <c r="BD556" s="104"/>
      <c r="BE556" s="104"/>
    </row>
    <row r="557" spans="27:57" ht="16.5" x14ac:dyDescent="0.2">
      <c r="AA557" s="104">
        <v>553</v>
      </c>
      <c r="AB557" s="14">
        <f t="shared" si="168"/>
        <v>11</v>
      </c>
      <c r="AC557" s="14">
        <f>INDEX(挂机升级突破!$BU$6:$BU$57,卡牌消耗!AI557)</f>
        <v>11</v>
      </c>
      <c r="AD557" s="14">
        <f>INDEX(挂机升级突破!BV$6:BV$57,卡牌消耗!$AI557)</f>
        <v>4</v>
      </c>
      <c r="AE557" s="14">
        <f>INDEX(挂机升级突破!BW$6:BW$57,卡牌消耗!$AI557)</f>
        <v>0</v>
      </c>
      <c r="AF557" s="14" t="str">
        <f t="shared" si="169"/>
        <v>张飞</v>
      </c>
      <c r="AG557" s="14">
        <f t="shared" si="170"/>
        <v>4</v>
      </c>
      <c r="AH557" s="14" t="str">
        <f t="shared" si="171"/>
        <v>张飞魂火-33</v>
      </c>
      <c r="AI557" s="14">
        <f t="shared" si="172"/>
        <v>33</v>
      </c>
      <c r="AJ557" s="14" t="str">
        <f>INDEX(挂机升级突破!$BX$4:$CH$4,INDEX(挂机升级突破!$BU$6:$BU$57,卡牌消耗!AI557))</f>
        <v>金币</v>
      </c>
      <c r="AK557" s="14">
        <f>ROUND(INDEX(挂机升级突破!$BN$6:$BN$57,卡牌消耗!AI557)*INDEX(卡牌消耗!$B$8:$F$8,AG557)/$Q$4/50,0)*50</f>
        <v>14250</v>
      </c>
      <c r="AL557" s="14" t="str">
        <f>IF(AD557&gt;0,INDEX(挂机升级突破!$BX$4:$CH$4,AD557),"")</f>
        <v>橙色基础材料</v>
      </c>
      <c r="AM557" s="14">
        <f>ROUND(INDEX(挂机升级突破!$BX$6:$CH$57,卡牌消耗!AI557,AD557)*INDEX(卡牌消耗!$B$5:$F$5,AG557)/$Q$4/5,0)*5</f>
        <v>115</v>
      </c>
      <c r="AN557" s="14" t="str">
        <f>IF(AE557&gt;0,INDEX(挂机升级突破!$BX$4:$CH$4,AE557),"")</f>
        <v/>
      </c>
      <c r="AO557" s="14" t="str">
        <f>IF(AE557&gt;0,ROUND(INDEX(挂机升级突破!$BX$6:$CH$57,卡牌消耗!AI557,AE557)*INDEX(卡牌消耗!$B$7:$F$7,AG557)/$Q$4,0),"")</f>
        <v/>
      </c>
      <c r="AR557" s="104">
        <v>553</v>
      </c>
      <c r="AS557" s="14">
        <f t="shared" si="173"/>
        <v>28</v>
      </c>
      <c r="AT557" s="14">
        <f>INDEX(挂机升级突破!$CM$7:$CM$26,AX557)</f>
        <v>5</v>
      </c>
      <c r="AU557" s="14">
        <f>INDEX(挂机升级突破!$CN$7:$CN$26,AX557)</f>
        <v>3</v>
      </c>
      <c r="AV557" s="14">
        <f t="shared" si="174"/>
        <v>4</v>
      </c>
      <c r="AW557" s="14" t="str">
        <f t="shared" si="175"/>
        <v>秦琼</v>
      </c>
      <c r="AX557" s="14">
        <f t="shared" si="176"/>
        <v>13</v>
      </c>
      <c r="AY557" s="14" t="str">
        <f t="shared" si="177"/>
        <v>秦琼13突</v>
      </c>
      <c r="AZ557" s="14" t="str">
        <f>IF(AT557&gt;0,INDEX(挂机升级突破!$CV$5:$CZ$5,卡牌消耗!AT557),"")</f>
        <v>金币</v>
      </c>
      <c r="BA557" s="14">
        <f>IF(AT557&gt;0,ROUND(INDEX(挂机升级突破!$CZ$7:$CZ$26,卡牌消耗!AX557)*INDEX(卡牌消耗!$B$8:$F$8,AV557)/$Q$4/500,0)*500,"")</f>
        <v>39000</v>
      </c>
      <c r="BB557" s="14" t="str">
        <f>IF(AU557&gt;0,INDEX(挂机升级突破!$CV$5:$CZ$5,卡牌消耗!AU557),"")</f>
        <v>银母</v>
      </c>
      <c r="BC557" s="14">
        <f>IF(AU557&gt;0,ROUND(INDEX(挂机升级突破!$CV$7:$CY$26,卡牌消耗!AX557,卡牌消耗!AU557)*INDEX($B$6:$F$6,AV557)/$Q$4/5,0)*5,"")</f>
        <v>35</v>
      </c>
      <c r="BD557" s="104"/>
      <c r="BE557" s="104"/>
    </row>
    <row r="558" spans="27:57" ht="16.5" x14ac:dyDescent="0.2">
      <c r="AA558" s="104">
        <v>554</v>
      </c>
      <c r="AB558" s="14">
        <f t="shared" si="168"/>
        <v>11</v>
      </c>
      <c r="AC558" s="14">
        <f>INDEX(挂机升级突破!$BU$6:$BU$57,卡牌消耗!AI558)</f>
        <v>11</v>
      </c>
      <c r="AD558" s="14">
        <f>INDEX(挂机升级突破!BV$6:BV$57,卡牌消耗!$AI558)</f>
        <v>4</v>
      </c>
      <c r="AE558" s="14">
        <f>INDEX(挂机升级突破!BW$6:BW$57,卡牌消耗!$AI558)</f>
        <v>0</v>
      </c>
      <c r="AF558" s="14" t="str">
        <f t="shared" si="169"/>
        <v>张飞</v>
      </c>
      <c r="AG558" s="14">
        <f t="shared" si="170"/>
        <v>4</v>
      </c>
      <c r="AH558" s="14" t="str">
        <f t="shared" si="171"/>
        <v>张飞魂火-34</v>
      </c>
      <c r="AI558" s="14">
        <f t="shared" si="172"/>
        <v>34</v>
      </c>
      <c r="AJ558" s="14" t="str">
        <f>INDEX(挂机升级突破!$BX$4:$CH$4,INDEX(挂机升级突破!$BU$6:$BU$57,卡牌消耗!AI558))</f>
        <v>金币</v>
      </c>
      <c r="AK558" s="14">
        <f>ROUND(INDEX(挂机升级突破!$BN$6:$BN$57,卡牌消耗!AI558)*INDEX(卡牌消耗!$B$8:$F$8,AG558)/$Q$4/50,0)*50</f>
        <v>14250</v>
      </c>
      <c r="AL558" s="14" t="str">
        <f>IF(AD558&gt;0,INDEX(挂机升级突破!$BX$4:$CH$4,AD558),"")</f>
        <v>橙色基础材料</v>
      </c>
      <c r="AM558" s="14">
        <f>ROUND(INDEX(挂机升级突破!$BX$6:$CH$57,卡牌消耗!AI558,AD558)*INDEX(卡牌消耗!$B$5:$F$5,AG558)/$Q$4/5,0)*5</f>
        <v>135</v>
      </c>
      <c r="AN558" s="14" t="str">
        <f>IF(AE558&gt;0,INDEX(挂机升级突破!$BX$4:$CH$4,AE558),"")</f>
        <v/>
      </c>
      <c r="AO558" s="14" t="str">
        <f>IF(AE558&gt;0,ROUND(INDEX(挂机升级突破!$BX$6:$CH$57,卡牌消耗!AI558,AE558)*INDEX(卡牌消耗!$B$7:$F$7,AG558)/$Q$4,0),"")</f>
        <v/>
      </c>
      <c r="AR558" s="104">
        <v>554</v>
      </c>
      <c r="AS558" s="14">
        <f t="shared" si="173"/>
        <v>28</v>
      </c>
      <c r="AT558" s="14">
        <f>INDEX(挂机升级突破!$CM$7:$CM$26,AX558)</f>
        <v>5</v>
      </c>
      <c r="AU558" s="14">
        <f>INDEX(挂机升级突破!$CN$7:$CN$26,AX558)</f>
        <v>3</v>
      </c>
      <c r="AV558" s="14">
        <f t="shared" si="174"/>
        <v>4</v>
      </c>
      <c r="AW558" s="14" t="str">
        <f t="shared" si="175"/>
        <v>秦琼</v>
      </c>
      <c r="AX558" s="14">
        <f t="shared" si="176"/>
        <v>14</v>
      </c>
      <c r="AY558" s="14" t="str">
        <f t="shared" si="177"/>
        <v>秦琼14突</v>
      </c>
      <c r="AZ558" s="14" t="str">
        <f>IF(AT558&gt;0,INDEX(挂机升级突破!$CV$5:$CZ$5,卡牌消耗!AT558),"")</f>
        <v>金币</v>
      </c>
      <c r="BA558" s="14">
        <f>IF(AT558&gt;0,ROUND(INDEX(挂机升级突破!$CZ$7:$CZ$26,卡牌消耗!AX558)*INDEX(卡牌消耗!$B$8:$F$8,AV558)/$Q$4/500,0)*500,"")</f>
        <v>39000</v>
      </c>
      <c r="BB558" s="14" t="str">
        <f>IF(AU558&gt;0,INDEX(挂机升级突破!$CV$5:$CZ$5,卡牌消耗!AU558),"")</f>
        <v>银母</v>
      </c>
      <c r="BC558" s="14">
        <f>IF(AU558&gt;0,ROUND(INDEX(挂机升级突破!$CV$7:$CY$26,卡牌消耗!AX558,卡牌消耗!AU558)*INDEX($B$6:$F$6,AV558)/$Q$4/5,0)*5,"")</f>
        <v>50</v>
      </c>
      <c r="BD558" s="104"/>
      <c r="BE558" s="104"/>
    </row>
    <row r="559" spans="27:57" ht="16.5" x14ac:dyDescent="0.2">
      <c r="AA559" s="104">
        <v>555</v>
      </c>
      <c r="AB559" s="14">
        <f t="shared" si="168"/>
        <v>11</v>
      </c>
      <c r="AC559" s="14">
        <f>INDEX(挂机升级突破!$BU$6:$BU$57,卡牌消耗!AI559)</f>
        <v>11</v>
      </c>
      <c r="AD559" s="14">
        <f>INDEX(挂机升级突破!BV$6:BV$57,卡牌消耗!$AI559)</f>
        <v>4</v>
      </c>
      <c r="AE559" s="14">
        <f>INDEX(挂机升级突破!BW$6:BW$57,卡牌消耗!$AI559)</f>
        <v>0</v>
      </c>
      <c r="AF559" s="14" t="str">
        <f t="shared" si="169"/>
        <v>张飞</v>
      </c>
      <c r="AG559" s="14">
        <f t="shared" si="170"/>
        <v>4</v>
      </c>
      <c r="AH559" s="14" t="str">
        <f t="shared" si="171"/>
        <v>张飞魂火-35</v>
      </c>
      <c r="AI559" s="14">
        <f t="shared" si="172"/>
        <v>35</v>
      </c>
      <c r="AJ559" s="14" t="str">
        <f>INDEX(挂机升级突破!$BX$4:$CH$4,INDEX(挂机升级突破!$BU$6:$BU$57,卡牌消耗!AI559))</f>
        <v>金币</v>
      </c>
      <c r="AK559" s="14">
        <f>ROUND(INDEX(挂机升级突破!$BN$6:$BN$57,卡牌消耗!AI559)*INDEX(卡牌消耗!$B$8:$F$8,AG559)/$Q$4/50,0)*50</f>
        <v>18150</v>
      </c>
      <c r="AL559" s="14" t="str">
        <f>IF(AD559&gt;0,INDEX(挂机升级突破!$BX$4:$CH$4,AD559),"")</f>
        <v>橙色基础材料</v>
      </c>
      <c r="AM559" s="14">
        <f>ROUND(INDEX(挂机升级突破!$BX$6:$CH$57,卡牌消耗!AI559,AD559)*INDEX(卡牌消耗!$B$5:$F$5,AG559)/$Q$4/5,0)*5</f>
        <v>135</v>
      </c>
      <c r="AN559" s="14" t="str">
        <f>IF(AE559&gt;0,INDEX(挂机升级突破!$BX$4:$CH$4,AE559),"")</f>
        <v/>
      </c>
      <c r="AO559" s="14" t="str">
        <f>IF(AE559&gt;0,ROUND(INDEX(挂机升级突破!$BX$6:$CH$57,卡牌消耗!AI559,AE559)*INDEX(卡牌消耗!$B$7:$F$7,AG559)/$Q$4,0),"")</f>
        <v/>
      </c>
      <c r="AR559" s="104">
        <v>555</v>
      </c>
      <c r="AS559" s="14">
        <f t="shared" si="173"/>
        <v>28</v>
      </c>
      <c r="AT559" s="14">
        <f>INDEX(挂机升级突破!$CM$7:$CM$26,AX559)</f>
        <v>5</v>
      </c>
      <c r="AU559" s="14">
        <f>INDEX(挂机升级突破!$CN$7:$CN$26,AX559)</f>
        <v>3</v>
      </c>
      <c r="AV559" s="14">
        <f t="shared" si="174"/>
        <v>4</v>
      </c>
      <c r="AW559" s="14" t="str">
        <f t="shared" si="175"/>
        <v>秦琼</v>
      </c>
      <c r="AX559" s="14">
        <f t="shared" si="176"/>
        <v>15</v>
      </c>
      <c r="AY559" s="14" t="str">
        <f t="shared" si="177"/>
        <v>秦琼15突</v>
      </c>
      <c r="AZ559" s="14" t="str">
        <f>IF(AT559&gt;0,INDEX(挂机升级突破!$CV$5:$CZ$5,卡牌消耗!AT559),"")</f>
        <v>金币</v>
      </c>
      <c r="BA559" s="14">
        <f>IF(AT559&gt;0,ROUND(INDEX(挂机升级突破!$CZ$7:$CZ$26,卡牌消耗!AX559)*INDEX(卡牌消耗!$B$8:$F$8,AV559)/$Q$4/500,0)*500,"")</f>
        <v>52000</v>
      </c>
      <c r="BB559" s="14" t="str">
        <f>IF(AU559&gt;0,INDEX(挂机升级突破!$CV$5:$CZ$5,卡牌消耗!AU559),"")</f>
        <v>银母</v>
      </c>
      <c r="BC559" s="14">
        <f>IF(AU559&gt;0,ROUND(INDEX(挂机升级突破!$CV$7:$CY$26,卡牌消耗!AX559,卡牌消耗!AU559)*INDEX($B$6:$F$6,AV559)/$Q$4/5,0)*5,"")</f>
        <v>65</v>
      </c>
      <c r="BD559" s="104"/>
      <c r="BE559" s="104"/>
    </row>
    <row r="560" spans="27:57" ht="16.5" x14ac:dyDescent="0.2">
      <c r="AA560" s="104">
        <v>556</v>
      </c>
      <c r="AB560" s="14">
        <f t="shared" si="168"/>
        <v>11</v>
      </c>
      <c r="AC560" s="14">
        <f>INDEX(挂机升级突破!$BU$6:$BU$57,卡牌消耗!AI560)</f>
        <v>11</v>
      </c>
      <c r="AD560" s="14">
        <f>INDEX(挂机升级突破!BV$6:BV$57,卡牌消耗!$AI560)</f>
        <v>4</v>
      </c>
      <c r="AE560" s="14">
        <f>INDEX(挂机升级突破!BW$6:BW$57,卡牌消耗!$AI560)</f>
        <v>0</v>
      </c>
      <c r="AF560" s="14" t="str">
        <f t="shared" si="169"/>
        <v>张飞</v>
      </c>
      <c r="AG560" s="14">
        <f t="shared" si="170"/>
        <v>4</v>
      </c>
      <c r="AH560" s="14" t="str">
        <f t="shared" si="171"/>
        <v>张飞魂火-36</v>
      </c>
      <c r="AI560" s="14">
        <f t="shared" si="172"/>
        <v>36</v>
      </c>
      <c r="AJ560" s="14" t="str">
        <f>INDEX(挂机升级突破!$BX$4:$CH$4,INDEX(挂机升级突破!$BU$6:$BU$57,卡牌消耗!AI560))</f>
        <v>金币</v>
      </c>
      <c r="AK560" s="14">
        <f>ROUND(INDEX(挂机升级突破!$BN$6:$BN$57,卡牌消耗!AI560)*INDEX(卡牌消耗!$B$8:$F$8,AG560)/$Q$4/50,0)*50</f>
        <v>18150</v>
      </c>
      <c r="AL560" s="14" t="str">
        <f>IF(AD560&gt;0,INDEX(挂机升级突破!$BX$4:$CH$4,AD560),"")</f>
        <v>橙色基础材料</v>
      </c>
      <c r="AM560" s="14">
        <f>ROUND(INDEX(挂机升级突破!$BX$6:$CH$57,卡牌消耗!AI560,AD560)*INDEX(卡牌消耗!$B$5:$F$5,AG560)/$Q$4/5,0)*5</f>
        <v>135</v>
      </c>
      <c r="AN560" s="14" t="str">
        <f>IF(AE560&gt;0,INDEX(挂机升级突破!$BX$4:$CH$4,AE560),"")</f>
        <v/>
      </c>
      <c r="AO560" s="14" t="str">
        <f>IF(AE560&gt;0,ROUND(INDEX(挂机升级突破!$BX$6:$CH$57,卡牌消耗!AI560,AE560)*INDEX(卡牌消耗!$B$7:$F$7,AG560)/$Q$4,0),"")</f>
        <v/>
      </c>
      <c r="AR560" s="104">
        <v>556</v>
      </c>
      <c r="AS560" s="14">
        <f t="shared" si="173"/>
        <v>28</v>
      </c>
      <c r="AT560" s="14">
        <f>INDEX(挂机升级突破!$CM$7:$CM$26,AX560)</f>
        <v>5</v>
      </c>
      <c r="AU560" s="14">
        <f>INDEX(挂机升级突破!$CN$7:$CN$26,AX560)</f>
        <v>3</v>
      </c>
      <c r="AV560" s="14">
        <f t="shared" si="174"/>
        <v>4</v>
      </c>
      <c r="AW560" s="14" t="str">
        <f t="shared" si="175"/>
        <v>秦琼</v>
      </c>
      <c r="AX560" s="14">
        <f t="shared" si="176"/>
        <v>16</v>
      </c>
      <c r="AY560" s="14" t="str">
        <f t="shared" si="177"/>
        <v>秦琼16突</v>
      </c>
      <c r="AZ560" s="14" t="str">
        <f>IF(AT560&gt;0,INDEX(挂机升级突破!$CV$5:$CZ$5,卡牌消耗!AT560),"")</f>
        <v>金币</v>
      </c>
      <c r="BA560" s="14">
        <f>IF(AT560&gt;0,ROUND(INDEX(挂机升级突破!$CZ$7:$CZ$26,卡牌消耗!AX560)*INDEX(卡牌消耗!$B$8:$F$8,AV560)/$Q$4/500,0)*500,"")</f>
        <v>94000</v>
      </c>
      <c r="BB560" s="14" t="str">
        <f>IF(AU560&gt;0,INDEX(挂机升级突破!$CV$5:$CZ$5,卡牌消耗!AU560),"")</f>
        <v>银母</v>
      </c>
      <c r="BC560" s="14">
        <f>IF(AU560&gt;0,ROUND(INDEX(挂机升级突破!$CV$7:$CY$26,卡牌消耗!AX560,卡牌消耗!AU560)*INDEX($B$6:$F$6,AV560)/$Q$4/5,0)*5,"")</f>
        <v>85</v>
      </c>
      <c r="BD560" s="104"/>
      <c r="BE560" s="104"/>
    </row>
    <row r="561" spans="27:57" ht="16.5" x14ac:dyDescent="0.2">
      <c r="AA561" s="104">
        <v>557</v>
      </c>
      <c r="AB561" s="14">
        <f t="shared" si="168"/>
        <v>11</v>
      </c>
      <c r="AC561" s="14">
        <f>INDEX(挂机升级突破!$BU$6:$BU$57,卡牌消耗!AI561)</f>
        <v>11</v>
      </c>
      <c r="AD561" s="14">
        <f>INDEX(挂机升级突破!BV$6:BV$57,卡牌消耗!$AI561)</f>
        <v>4</v>
      </c>
      <c r="AE561" s="14">
        <f>INDEX(挂机升级突破!BW$6:BW$57,卡牌消耗!$AI561)</f>
        <v>0</v>
      </c>
      <c r="AF561" s="14" t="str">
        <f t="shared" si="169"/>
        <v>张飞</v>
      </c>
      <c r="AG561" s="14">
        <f t="shared" si="170"/>
        <v>4</v>
      </c>
      <c r="AH561" s="14" t="str">
        <f t="shared" si="171"/>
        <v>张飞魂火-37</v>
      </c>
      <c r="AI561" s="14">
        <f t="shared" si="172"/>
        <v>37</v>
      </c>
      <c r="AJ561" s="14" t="str">
        <f>INDEX(挂机升级突破!$BX$4:$CH$4,INDEX(挂机升级突破!$BU$6:$BU$57,卡牌消耗!AI561))</f>
        <v>金币</v>
      </c>
      <c r="AK561" s="14">
        <f>ROUND(INDEX(挂机升级突破!$BN$6:$BN$57,卡牌消耗!AI561)*INDEX(卡牌消耗!$B$8:$F$8,AG561)/$Q$4/50,0)*50</f>
        <v>19450</v>
      </c>
      <c r="AL561" s="14" t="str">
        <f>IF(AD561&gt;0,INDEX(挂机升级突破!$BX$4:$CH$4,AD561),"")</f>
        <v>橙色基础材料</v>
      </c>
      <c r="AM561" s="14">
        <f>ROUND(INDEX(挂机升级突破!$BX$6:$CH$57,卡牌消耗!AI561,AD561)*INDEX(卡牌消耗!$B$5:$F$5,AG561)/$Q$4/5,0)*5</f>
        <v>135</v>
      </c>
      <c r="AN561" s="14" t="str">
        <f>IF(AE561&gt;0,INDEX(挂机升级突破!$BX$4:$CH$4,AE561),"")</f>
        <v/>
      </c>
      <c r="AO561" s="14" t="str">
        <f>IF(AE561&gt;0,ROUND(INDEX(挂机升级突破!$BX$6:$CH$57,卡牌消耗!AI561,AE561)*INDEX(卡牌消耗!$B$7:$F$7,AG561)/$Q$4,0),"")</f>
        <v/>
      </c>
      <c r="AR561" s="104">
        <v>557</v>
      </c>
      <c r="AS561" s="14">
        <f t="shared" si="173"/>
        <v>28</v>
      </c>
      <c r="AT561" s="14">
        <f>INDEX(挂机升级突破!$CM$7:$CM$26,AX561)</f>
        <v>5</v>
      </c>
      <c r="AU561" s="14">
        <f>INDEX(挂机升级突破!$CN$7:$CN$26,AX561)</f>
        <v>4</v>
      </c>
      <c r="AV561" s="14">
        <f t="shared" si="174"/>
        <v>4</v>
      </c>
      <c r="AW561" s="14" t="str">
        <f t="shared" si="175"/>
        <v>秦琼</v>
      </c>
      <c r="AX561" s="14">
        <f t="shared" si="176"/>
        <v>17</v>
      </c>
      <c r="AY561" s="14" t="str">
        <f t="shared" si="177"/>
        <v>秦琼17突</v>
      </c>
      <c r="AZ561" s="14" t="str">
        <f>IF(AT561&gt;0,INDEX(挂机升级突破!$CV$5:$CZ$5,卡牌消耗!AT561),"")</f>
        <v>金币</v>
      </c>
      <c r="BA561" s="14">
        <f>IF(AT561&gt;0,ROUND(INDEX(挂机升级突破!$CZ$7:$CZ$26,卡牌消耗!AX561)*INDEX(卡牌消耗!$B$8:$F$8,AV561)/$Q$4/500,0)*500,"")</f>
        <v>94000</v>
      </c>
      <c r="BB561" s="14" t="str">
        <f>IF(AU561&gt;0,INDEX(挂机升级突破!$CV$5:$CZ$5,卡牌消耗!AU561),"")</f>
        <v>铀金</v>
      </c>
      <c r="BC561" s="14">
        <f>IF(AU561&gt;0,ROUND(INDEX(挂机升级突破!$CV$7:$CY$26,卡牌消耗!AX561,卡牌消耗!AU561)*INDEX($B$6:$F$6,AV561)/$Q$4/5,0)*5,"")</f>
        <v>30</v>
      </c>
      <c r="BD561" s="104"/>
      <c r="BE561" s="104"/>
    </row>
    <row r="562" spans="27:57" ht="16.5" x14ac:dyDescent="0.2">
      <c r="AA562" s="104">
        <v>558</v>
      </c>
      <c r="AB562" s="14">
        <f t="shared" si="168"/>
        <v>11</v>
      </c>
      <c r="AC562" s="14">
        <f>INDEX(挂机升级突破!$BU$6:$BU$57,卡牌消耗!AI562)</f>
        <v>11</v>
      </c>
      <c r="AD562" s="14">
        <f>INDEX(挂机升级突破!BV$6:BV$57,卡牌消耗!$AI562)</f>
        <v>5</v>
      </c>
      <c r="AE562" s="14">
        <f>INDEX(挂机升级突破!BW$6:BW$57,卡牌消耗!$AI562)</f>
        <v>0</v>
      </c>
      <c r="AF562" s="14" t="str">
        <f t="shared" si="169"/>
        <v>张飞</v>
      </c>
      <c r="AG562" s="14">
        <f t="shared" si="170"/>
        <v>4</v>
      </c>
      <c r="AH562" s="14" t="str">
        <f t="shared" si="171"/>
        <v>张飞魂火-38</v>
      </c>
      <c r="AI562" s="14">
        <f t="shared" si="172"/>
        <v>38</v>
      </c>
      <c r="AJ562" s="14" t="str">
        <f>INDEX(挂机升级突破!$BX$4:$CH$4,INDEX(挂机升级突破!$BU$6:$BU$57,卡牌消耗!AI562))</f>
        <v>金币</v>
      </c>
      <c r="AK562" s="14">
        <f>ROUND(INDEX(挂机升级突破!$BN$6:$BN$57,卡牌消耗!AI562)*INDEX(卡牌消耗!$B$8:$F$8,AG562)/$Q$4/50,0)*50</f>
        <v>25050</v>
      </c>
      <c r="AL562" s="14" t="str">
        <f>IF(AD562&gt;0,INDEX(挂机升级突破!$BX$4:$CH$4,AD562),"")</f>
        <v>红色基础材料</v>
      </c>
      <c r="AM562" s="14">
        <f>ROUND(INDEX(挂机升级突破!$BX$6:$CH$57,卡牌消耗!AI562,AD562)*INDEX(卡牌消耗!$B$5:$F$5,AG562)/$Q$4/5,0)*5</f>
        <v>55</v>
      </c>
      <c r="AN562" s="14" t="str">
        <f>IF(AE562&gt;0,INDEX(挂机升级突破!$BX$4:$CH$4,AE562),"")</f>
        <v/>
      </c>
      <c r="AO562" s="14" t="str">
        <f>IF(AE562&gt;0,ROUND(INDEX(挂机升级突破!$BX$6:$CH$57,卡牌消耗!AI562,AE562)*INDEX(卡牌消耗!$B$7:$F$7,AG562)/$Q$4,0),"")</f>
        <v/>
      </c>
      <c r="AR562" s="104">
        <v>558</v>
      </c>
      <c r="AS562" s="14">
        <f t="shared" si="173"/>
        <v>28</v>
      </c>
      <c r="AT562" s="14">
        <f>INDEX(挂机升级突破!$CM$7:$CM$26,AX562)</f>
        <v>5</v>
      </c>
      <c r="AU562" s="14">
        <f>INDEX(挂机升级突破!$CN$7:$CN$26,AX562)</f>
        <v>4</v>
      </c>
      <c r="AV562" s="14">
        <f t="shared" si="174"/>
        <v>4</v>
      </c>
      <c r="AW562" s="14" t="str">
        <f t="shared" si="175"/>
        <v>秦琼</v>
      </c>
      <c r="AX562" s="14">
        <f t="shared" si="176"/>
        <v>18</v>
      </c>
      <c r="AY562" s="14" t="str">
        <f t="shared" si="177"/>
        <v>秦琼18突</v>
      </c>
      <c r="AZ562" s="14" t="str">
        <f>IF(AT562&gt;0,INDEX(挂机升级突破!$CV$5:$CZ$5,卡牌消耗!AT562),"")</f>
        <v>金币</v>
      </c>
      <c r="BA562" s="14">
        <f>IF(AT562&gt;0,ROUND(INDEX(挂机升级突破!$CZ$7:$CZ$26,卡牌消耗!AX562)*INDEX(卡牌消耗!$B$8:$F$8,AV562)/$Q$4/500,0)*500,"")</f>
        <v>125500</v>
      </c>
      <c r="BB562" s="14" t="str">
        <f>IF(AU562&gt;0,INDEX(挂机升级突破!$CV$5:$CZ$5,卡牌消耗!AU562),"")</f>
        <v>铀金</v>
      </c>
      <c r="BC562" s="14">
        <f>IF(AU562&gt;0,ROUND(INDEX(挂机升级突破!$CV$7:$CY$26,卡牌消耗!AX562,卡牌消耗!AU562)*INDEX($B$6:$F$6,AV562)/$Q$4/5,0)*5,"")</f>
        <v>40</v>
      </c>
      <c r="BD562" s="104"/>
      <c r="BE562" s="104"/>
    </row>
    <row r="563" spans="27:57" ht="16.5" x14ac:dyDescent="0.2">
      <c r="AA563" s="104">
        <v>559</v>
      </c>
      <c r="AB563" s="14">
        <f t="shared" si="168"/>
        <v>11</v>
      </c>
      <c r="AC563" s="14">
        <f>INDEX(挂机升级突破!$BU$6:$BU$57,卡牌消耗!AI563)</f>
        <v>11</v>
      </c>
      <c r="AD563" s="14">
        <f>INDEX(挂机升级突破!BV$6:BV$57,卡牌消耗!$AI563)</f>
        <v>5</v>
      </c>
      <c r="AE563" s="14">
        <f>INDEX(挂机升级突破!BW$6:BW$57,卡牌消耗!$AI563)</f>
        <v>0</v>
      </c>
      <c r="AF563" s="14" t="str">
        <f t="shared" si="169"/>
        <v>张飞</v>
      </c>
      <c r="AG563" s="14">
        <f t="shared" si="170"/>
        <v>4</v>
      </c>
      <c r="AH563" s="14" t="str">
        <f t="shared" si="171"/>
        <v>张飞魂火-39</v>
      </c>
      <c r="AI563" s="14">
        <f t="shared" si="172"/>
        <v>39</v>
      </c>
      <c r="AJ563" s="14" t="str">
        <f>INDEX(挂机升级突破!$BX$4:$CH$4,INDEX(挂机升级突破!$BU$6:$BU$57,卡牌消耗!AI563))</f>
        <v>金币</v>
      </c>
      <c r="AK563" s="14">
        <f>ROUND(INDEX(挂机升级突破!$BN$6:$BN$57,卡牌消耗!AI563)*INDEX(卡牌消耗!$B$8:$F$8,AG563)/$Q$4/50,0)*50</f>
        <v>25050</v>
      </c>
      <c r="AL563" s="14" t="str">
        <f>IF(AD563&gt;0,INDEX(挂机升级突破!$BX$4:$CH$4,AD563),"")</f>
        <v>红色基础材料</v>
      </c>
      <c r="AM563" s="14">
        <f>ROUND(INDEX(挂机升级突破!$BX$6:$CH$57,卡牌消耗!AI563,AD563)*INDEX(卡牌消耗!$B$5:$F$5,AG563)/$Q$4/5,0)*5</f>
        <v>55</v>
      </c>
      <c r="AN563" s="14" t="str">
        <f>IF(AE563&gt;0,INDEX(挂机升级突破!$BX$4:$CH$4,AE563),"")</f>
        <v/>
      </c>
      <c r="AO563" s="14" t="str">
        <f>IF(AE563&gt;0,ROUND(INDEX(挂机升级突破!$BX$6:$CH$57,卡牌消耗!AI563,AE563)*INDEX(卡牌消耗!$B$7:$F$7,AG563)/$Q$4,0),"")</f>
        <v/>
      </c>
      <c r="AR563" s="104">
        <v>559</v>
      </c>
      <c r="AS563" s="14">
        <f t="shared" si="173"/>
        <v>28</v>
      </c>
      <c r="AT563" s="14">
        <f>INDEX(挂机升级突破!$CM$7:$CM$26,AX563)</f>
        <v>5</v>
      </c>
      <c r="AU563" s="14">
        <f>INDEX(挂机升级突破!$CN$7:$CN$26,AX563)</f>
        <v>4</v>
      </c>
      <c r="AV563" s="14">
        <f t="shared" si="174"/>
        <v>4</v>
      </c>
      <c r="AW563" s="14" t="str">
        <f t="shared" si="175"/>
        <v>秦琼</v>
      </c>
      <c r="AX563" s="14">
        <f t="shared" si="176"/>
        <v>19</v>
      </c>
      <c r="AY563" s="14" t="str">
        <f t="shared" si="177"/>
        <v>秦琼19突</v>
      </c>
      <c r="AZ563" s="14" t="str">
        <f>IF(AT563&gt;0,INDEX(挂机升级突破!$CV$5:$CZ$5,卡牌消耗!AT563),"")</f>
        <v>金币</v>
      </c>
      <c r="BA563" s="14">
        <f>IF(AT563&gt;0,ROUND(INDEX(挂机升级突破!$CZ$7:$CZ$26,卡牌消耗!AX563)*INDEX(卡牌消耗!$B$8:$F$8,AV563)/$Q$4/500,0)*500,"")</f>
        <v>760000</v>
      </c>
      <c r="BB563" s="14" t="str">
        <f>IF(AU563&gt;0,INDEX(挂机升级突破!$CV$5:$CZ$5,卡牌消耗!AU563),"")</f>
        <v>铀金</v>
      </c>
      <c r="BC563" s="14">
        <f>IF(AU563&gt;0,ROUND(INDEX(挂机升级突破!$CV$7:$CY$26,卡牌消耗!AX563,卡牌消耗!AU563)*INDEX($B$6:$F$6,AV563)/$Q$4/5,0)*5,"")</f>
        <v>55</v>
      </c>
      <c r="BD563" s="104"/>
      <c r="BE563" s="104"/>
    </row>
    <row r="564" spans="27:57" ht="16.5" x14ac:dyDescent="0.2">
      <c r="AA564" s="104">
        <v>560</v>
      </c>
      <c r="AB564" s="14">
        <f t="shared" si="168"/>
        <v>11</v>
      </c>
      <c r="AC564" s="14">
        <f>INDEX(挂机升级突破!$BU$6:$BU$57,卡牌消耗!AI564)</f>
        <v>11</v>
      </c>
      <c r="AD564" s="14">
        <f>INDEX(挂机升级突破!BV$6:BV$57,卡牌消耗!$AI564)</f>
        <v>5</v>
      </c>
      <c r="AE564" s="14">
        <f>INDEX(挂机升级突破!BW$6:BW$57,卡牌消耗!$AI564)</f>
        <v>0</v>
      </c>
      <c r="AF564" s="14" t="str">
        <f t="shared" si="169"/>
        <v>张飞</v>
      </c>
      <c r="AG564" s="14">
        <f t="shared" si="170"/>
        <v>4</v>
      </c>
      <c r="AH564" s="14" t="str">
        <f t="shared" si="171"/>
        <v>张飞魂火-40</v>
      </c>
      <c r="AI564" s="14">
        <f t="shared" si="172"/>
        <v>40</v>
      </c>
      <c r="AJ564" s="14" t="str">
        <f>INDEX(挂机升级突破!$BX$4:$CH$4,INDEX(挂机升级突破!$BU$6:$BU$57,卡牌消耗!AI564))</f>
        <v>金币</v>
      </c>
      <c r="AK564" s="14">
        <f>ROUND(INDEX(挂机升级突破!$BN$6:$BN$57,卡牌消耗!AI564)*INDEX(卡牌消耗!$B$8:$F$8,AG564)/$Q$4/50,0)*50</f>
        <v>25050</v>
      </c>
      <c r="AL564" s="14" t="str">
        <f>IF(AD564&gt;0,INDEX(挂机升级突破!$BX$4:$CH$4,AD564),"")</f>
        <v>红色基础材料</v>
      </c>
      <c r="AM564" s="14">
        <f>ROUND(INDEX(挂机升级突破!$BX$6:$CH$57,卡牌消耗!AI564,AD564)*INDEX(卡牌消耗!$B$5:$F$5,AG564)/$Q$4/5,0)*5</f>
        <v>55</v>
      </c>
      <c r="AN564" s="14" t="str">
        <f>IF(AE564&gt;0,INDEX(挂机升级突破!$BX$4:$CH$4,AE564),"")</f>
        <v/>
      </c>
      <c r="AO564" s="14" t="str">
        <f>IF(AE564&gt;0,ROUND(INDEX(挂机升级突破!$BX$6:$CH$57,卡牌消耗!AI564,AE564)*INDEX(卡牌消耗!$B$7:$F$7,AG564)/$Q$4,0),"")</f>
        <v/>
      </c>
      <c r="AR564" s="104">
        <v>560</v>
      </c>
      <c r="AS564" s="14">
        <f t="shared" si="173"/>
        <v>28</v>
      </c>
      <c r="AT564" s="14">
        <f>INDEX(挂机升级突破!$CM$7:$CM$26,AX564)</f>
        <v>5</v>
      </c>
      <c r="AU564" s="14">
        <f>INDEX(挂机升级突破!$CN$7:$CN$26,AX564)</f>
        <v>4</v>
      </c>
      <c r="AV564" s="14">
        <f t="shared" si="174"/>
        <v>4</v>
      </c>
      <c r="AW564" s="14" t="str">
        <f t="shared" si="175"/>
        <v>秦琼</v>
      </c>
      <c r="AX564" s="14">
        <f t="shared" si="176"/>
        <v>20</v>
      </c>
      <c r="AY564" s="14" t="str">
        <f t="shared" si="177"/>
        <v>秦琼20突</v>
      </c>
      <c r="AZ564" s="14" t="str">
        <f>IF(AT564&gt;0,INDEX(挂机升级突破!$CV$5:$CZ$5,卡牌消耗!AT564),"")</f>
        <v>金币</v>
      </c>
      <c r="BA564" s="14">
        <f>IF(AT564&gt;0,ROUND(INDEX(挂机升级突破!$CZ$7:$CZ$26,卡牌消耗!AX564)*INDEX(卡牌消耗!$B$8:$F$8,AV564)/$Q$4/500,0)*500,"")</f>
        <v>1139500</v>
      </c>
      <c r="BB564" s="14" t="str">
        <f>IF(AU564&gt;0,INDEX(挂机升级突破!$CV$5:$CZ$5,卡牌消耗!AU564),"")</f>
        <v>铀金</v>
      </c>
      <c r="BC564" s="14">
        <f>IF(AU564&gt;0,ROUND(INDEX(挂机升级突破!$CV$7:$CY$26,卡牌消耗!AX564,卡牌消耗!AU564)*INDEX($B$6:$F$6,AV564)/$Q$4/5,0)*5,"")</f>
        <v>70</v>
      </c>
      <c r="BD564" s="104"/>
      <c r="BE564" s="104"/>
    </row>
    <row r="565" spans="27:57" ht="16.5" x14ac:dyDescent="0.2">
      <c r="AA565" s="104">
        <v>561</v>
      </c>
      <c r="AB565" s="14">
        <f t="shared" si="168"/>
        <v>11</v>
      </c>
      <c r="AC565" s="14">
        <f>INDEX(挂机升级突破!$BU$6:$BU$57,卡牌消耗!AI565)</f>
        <v>11</v>
      </c>
      <c r="AD565" s="14">
        <f>INDEX(挂机升级突破!BV$6:BV$57,卡牌消耗!$AI565)</f>
        <v>5</v>
      </c>
      <c r="AE565" s="14">
        <f>INDEX(挂机升级突破!BW$6:BW$57,卡牌消耗!$AI565)</f>
        <v>10</v>
      </c>
      <c r="AF565" s="14" t="str">
        <f t="shared" si="169"/>
        <v>张飞</v>
      </c>
      <c r="AG565" s="14">
        <f t="shared" si="170"/>
        <v>4</v>
      </c>
      <c r="AH565" s="14" t="str">
        <f t="shared" si="171"/>
        <v>张飞魂火-41</v>
      </c>
      <c r="AI565" s="14">
        <f t="shared" si="172"/>
        <v>41</v>
      </c>
      <c r="AJ565" s="14" t="str">
        <f>INDEX(挂机升级突破!$BX$4:$CH$4,INDEX(挂机升级突破!$BU$6:$BU$57,卡牌消耗!AI565))</f>
        <v>金币</v>
      </c>
      <c r="AK565" s="14">
        <f>ROUND(INDEX(挂机升级突破!$BN$6:$BN$57,卡牌消耗!AI565)*INDEX(卡牌消耗!$B$8:$F$8,AG565)/$Q$4/50,0)*50</f>
        <v>34450</v>
      </c>
      <c r="AL565" s="14" t="str">
        <f>IF(AD565&gt;0,INDEX(挂机升级突破!$BX$4:$CH$4,AD565),"")</f>
        <v>红色基础材料</v>
      </c>
      <c r="AM565" s="14">
        <f>ROUND(INDEX(挂机升级突破!$BX$6:$CH$57,卡牌消耗!AI565,AD565)*INDEX(卡牌消耗!$B$5:$F$5,AG565)/$Q$4/5,0)*5</f>
        <v>65</v>
      </c>
      <c r="AN565" s="14" t="str">
        <f>IF(AE565&gt;0,INDEX(挂机升级突破!$BX$4:$CH$4,AE565),"")</f>
        <v>灵玉</v>
      </c>
      <c r="AO565" s="14">
        <f>IF(AE565&gt;0,ROUND(INDEX(挂机升级突破!$BX$6:$CH$57,卡牌消耗!AI565,AE565)*INDEX(卡牌消耗!$B$7:$F$7,AG565)/$Q$4,0),"")</f>
        <v>2</v>
      </c>
    </row>
    <row r="566" spans="27:57" ht="16.5" x14ac:dyDescent="0.2">
      <c r="AA566" s="104">
        <v>562</v>
      </c>
      <c r="AB566" s="14">
        <f t="shared" si="168"/>
        <v>11</v>
      </c>
      <c r="AC566" s="14">
        <f>INDEX(挂机升级突破!$BU$6:$BU$57,卡牌消耗!AI566)</f>
        <v>11</v>
      </c>
      <c r="AD566" s="14">
        <f>INDEX(挂机升级突破!BV$6:BV$57,卡牌消耗!$AI566)</f>
        <v>5</v>
      </c>
      <c r="AE566" s="14">
        <f>INDEX(挂机升级突破!BW$6:BW$57,卡牌消耗!$AI566)</f>
        <v>10</v>
      </c>
      <c r="AF566" s="14" t="str">
        <f t="shared" si="169"/>
        <v>张飞</v>
      </c>
      <c r="AG566" s="14">
        <f t="shared" si="170"/>
        <v>4</v>
      </c>
      <c r="AH566" s="14" t="str">
        <f t="shared" si="171"/>
        <v>张飞魂火-42</v>
      </c>
      <c r="AI566" s="14">
        <f t="shared" si="172"/>
        <v>42</v>
      </c>
      <c r="AJ566" s="14" t="str">
        <f>INDEX(挂机升级突破!$BX$4:$CH$4,INDEX(挂机升级突破!$BU$6:$BU$57,卡牌消耗!AI566))</f>
        <v>金币</v>
      </c>
      <c r="AK566" s="14">
        <f>ROUND(INDEX(挂机升级突破!$BN$6:$BN$57,卡牌消耗!AI566)*INDEX(卡牌消耗!$B$8:$F$8,AG566)/$Q$4/50,0)*50</f>
        <v>34450</v>
      </c>
      <c r="AL566" s="14" t="str">
        <f>IF(AD566&gt;0,INDEX(挂机升级突破!$BX$4:$CH$4,AD566),"")</f>
        <v>红色基础材料</v>
      </c>
      <c r="AM566" s="14">
        <f>ROUND(INDEX(挂机升级突破!$BX$6:$CH$57,卡牌消耗!AI566,AD566)*INDEX(卡牌消耗!$B$5:$F$5,AG566)/$Q$4/5,0)*5</f>
        <v>65</v>
      </c>
      <c r="AN566" s="14" t="str">
        <f>IF(AE566&gt;0,INDEX(挂机升级突破!$BX$4:$CH$4,AE566),"")</f>
        <v>灵玉</v>
      </c>
      <c r="AO566" s="14">
        <f>IF(AE566&gt;0,ROUND(INDEX(挂机升级突破!$BX$6:$CH$57,卡牌消耗!AI566,AE566)*INDEX(卡牌消耗!$B$7:$F$7,AG566)/$Q$4,0),"")</f>
        <v>2</v>
      </c>
    </row>
    <row r="567" spans="27:57" ht="16.5" x14ac:dyDescent="0.2">
      <c r="AA567" s="104">
        <v>563</v>
      </c>
      <c r="AB567" s="14">
        <f t="shared" si="168"/>
        <v>11</v>
      </c>
      <c r="AC567" s="14">
        <f>INDEX(挂机升级突破!$BU$6:$BU$57,卡牌消耗!AI567)</f>
        <v>11</v>
      </c>
      <c r="AD567" s="14">
        <f>INDEX(挂机升级突破!BV$6:BV$57,卡牌消耗!$AI567)</f>
        <v>5</v>
      </c>
      <c r="AE567" s="14">
        <f>INDEX(挂机升级突破!BW$6:BW$57,卡牌消耗!$AI567)</f>
        <v>10</v>
      </c>
      <c r="AF567" s="14" t="str">
        <f t="shared" si="169"/>
        <v>张飞</v>
      </c>
      <c r="AG567" s="14">
        <f t="shared" si="170"/>
        <v>4</v>
      </c>
      <c r="AH567" s="14" t="str">
        <f t="shared" si="171"/>
        <v>张飞魂火-43</v>
      </c>
      <c r="AI567" s="14">
        <f t="shared" si="172"/>
        <v>43</v>
      </c>
      <c r="AJ567" s="14" t="str">
        <f>INDEX(挂机升级突破!$BX$4:$CH$4,INDEX(挂机升级突破!$BU$6:$BU$57,卡牌消耗!AI567))</f>
        <v>金币</v>
      </c>
      <c r="AK567" s="14">
        <f>ROUND(INDEX(挂机升级突破!$BN$6:$BN$57,卡牌消耗!AI567)*INDEX(卡牌消耗!$B$8:$F$8,AG567)/$Q$4/50,0)*50</f>
        <v>34450</v>
      </c>
      <c r="AL567" s="14" t="str">
        <f>IF(AD567&gt;0,INDEX(挂机升级突破!$BX$4:$CH$4,AD567),"")</f>
        <v>红色基础材料</v>
      </c>
      <c r="AM567" s="14">
        <f>ROUND(INDEX(挂机升级突破!$BX$6:$CH$57,卡牌消耗!AI567,AD567)*INDEX(卡牌消耗!$B$5:$F$5,AG567)/$Q$4/5,0)*5</f>
        <v>65</v>
      </c>
      <c r="AN567" s="14" t="str">
        <f>IF(AE567&gt;0,INDEX(挂机升级突破!$BX$4:$CH$4,AE567),"")</f>
        <v>灵玉</v>
      </c>
      <c r="AO567" s="14">
        <f>IF(AE567&gt;0,ROUND(INDEX(挂机升级突破!$BX$6:$CH$57,卡牌消耗!AI567,AE567)*INDEX(卡牌消耗!$B$7:$F$7,AG567)/$Q$4,0),"")</f>
        <v>2</v>
      </c>
    </row>
    <row r="568" spans="27:57" ht="16.5" x14ac:dyDescent="0.2">
      <c r="AA568" s="104">
        <v>564</v>
      </c>
      <c r="AB568" s="14">
        <f t="shared" si="168"/>
        <v>11</v>
      </c>
      <c r="AC568" s="14">
        <f>INDEX(挂机升级突破!$BU$6:$BU$57,卡牌消耗!AI568)</f>
        <v>11</v>
      </c>
      <c r="AD568" s="14">
        <f>INDEX(挂机升级突破!BV$6:BV$57,卡牌消耗!$AI568)</f>
        <v>5</v>
      </c>
      <c r="AE568" s="14">
        <f>INDEX(挂机升级突破!BW$6:BW$57,卡牌消耗!$AI568)</f>
        <v>10</v>
      </c>
      <c r="AF568" s="14" t="str">
        <f t="shared" si="169"/>
        <v>张飞</v>
      </c>
      <c r="AG568" s="14">
        <f t="shared" si="170"/>
        <v>4</v>
      </c>
      <c r="AH568" s="14" t="str">
        <f t="shared" si="171"/>
        <v>张飞魂火-44</v>
      </c>
      <c r="AI568" s="14">
        <f t="shared" si="172"/>
        <v>44</v>
      </c>
      <c r="AJ568" s="14" t="str">
        <f>INDEX(挂机升级突破!$BX$4:$CH$4,INDEX(挂机升级突破!$BU$6:$BU$57,卡牌消耗!AI568))</f>
        <v>金币</v>
      </c>
      <c r="AK568" s="14">
        <f>ROUND(INDEX(挂机升级突破!$BN$6:$BN$57,卡牌消耗!AI568)*INDEX(卡牌消耗!$B$8:$F$8,AG568)/$Q$4/50,0)*50</f>
        <v>43850</v>
      </c>
      <c r="AL568" s="14" t="str">
        <f>IF(AD568&gt;0,INDEX(挂机升级突破!$BX$4:$CH$4,AD568),"")</f>
        <v>红色基础材料</v>
      </c>
      <c r="AM568" s="14">
        <f>ROUND(INDEX(挂机升级突破!$BX$6:$CH$57,卡牌消耗!AI568,AD568)*INDEX(卡牌消耗!$B$5:$F$5,AG568)/$Q$4/5,0)*5</f>
        <v>75</v>
      </c>
      <c r="AN568" s="14" t="str">
        <f>IF(AE568&gt;0,INDEX(挂机升级突破!$BX$4:$CH$4,AE568),"")</f>
        <v>灵玉</v>
      </c>
      <c r="AO568" s="14">
        <f>IF(AE568&gt;0,ROUND(INDEX(挂机升级突破!$BX$6:$CH$57,卡牌消耗!AI568,AE568)*INDEX(卡牌消耗!$B$7:$F$7,AG568)/$Q$4,0),"")</f>
        <v>2</v>
      </c>
    </row>
    <row r="569" spans="27:57" ht="16.5" x14ac:dyDescent="0.2">
      <c r="AA569" s="104">
        <v>565</v>
      </c>
      <c r="AB569" s="14">
        <f t="shared" si="168"/>
        <v>11</v>
      </c>
      <c r="AC569" s="14">
        <f>INDEX(挂机升级突破!$BU$6:$BU$57,卡牌消耗!AI569)</f>
        <v>11</v>
      </c>
      <c r="AD569" s="14">
        <f>INDEX(挂机升级突破!BV$6:BV$57,卡牌消耗!$AI569)</f>
        <v>5</v>
      </c>
      <c r="AE569" s="14">
        <f>INDEX(挂机升级突破!BW$6:BW$57,卡牌消耗!$AI569)</f>
        <v>10</v>
      </c>
      <c r="AF569" s="14" t="str">
        <f t="shared" si="169"/>
        <v>张飞</v>
      </c>
      <c r="AG569" s="14">
        <f t="shared" si="170"/>
        <v>4</v>
      </c>
      <c r="AH569" s="14" t="str">
        <f t="shared" si="171"/>
        <v>张飞魂火-45</v>
      </c>
      <c r="AI569" s="14">
        <f t="shared" si="172"/>
        <v>45</v>
      </c>
      <c r="AJ569" s="14" t="str">
        <f>INDEX(挂机升级突破!$BX$4:$CH$4,INDEX(挂机升级突破!$BU$6:$BU$57,卡牌消耗!AI569))</f>
        <v>金币</v>
      </c>
      <c r="AK569" s="14">
        <f>ROUND(INDEX(挂机升级突破!$BN$6:$BN$57,卡牌消耗!AI569)*INDEX(卡牌消耗!$B$8:$F$8,AG569)/$Q$4/50,0)*50</f>
        <v>43850</v>
      </c>
      <c r="AL569" s="14" t="str">
        <f>IF(AD569&gt;0,INDEX(挂机升级突破!$BX$4:$CH$4,AD569),"")</f>
        <v>红色基础材料</v>
      </c>
      <c r="AM569" s="14">
        <f>ROUND(INDEX(挂机升级突破!$BX$6:$CH$57,卡牌消耗!AI569,AD569)*INDEX(卡牌消耗!$B$5:$F$5,AG569)/$Q$4/5,0)*5</f>
        <v>75</v>
      </c>
      <c r="AN569" s="14" t="str">
        <f>IF(AE569&gt;0,INDEX(挂机升级突破!$BX$4:$CH$4,AE569),"")</f>
        <v>灵玉</v>
      </c>
      <c r="AO569" s="14">
        <f>IF(AE569&gt;0,ROUND(INDEX(挂机升级突破!$BX$6:$CH$57,卡牌消耗!AI569,AE569)*INDEX(卡牌消耗!$B$7:$F$7,AG569)/$Q$4,0),"")</f>
        <v>2</v>
      </c>
    </row>
    <row r="570" spans="27:57" ht="16.5" x14ac:dyDescent="0.2">
      <c r="AA570" s="104">
        <v>566</v>
      </c>
      <c r="AB570" s="14">
        <f t="shared" si="168"/>
        <v>11</v>
      </c>
      <c r="AC570" s="14">
        <f>INDEX(挂机升级突破!$BU$6:$BU$57,卡牌消耗!AI570)</f>
        <v>11</v>
      </c>
      <c r="AD570" s="14">
        <f>INDEX(挂机升级突破!BV$6:BV$57,卡牌消耗!$AI570)</f>
        <v>5</v>
      </c>
      <c r="AE570" s="14">
        <f>INDEX(挂机升级突破!BW$6:BW$57,卡牌消耗!$AI570)</f>
        <v>10</v>
      </c>
      <c r="AF570" s="14" t="str">
        <f t="shared" si="169"/>
        <v>张飞</v>
      </c>
      <c r="AG570" s="14">
        <f t="shared" si="170"/>
        <v>4</v>
      </c>
      <c r="AH570" s="14" t="str">
        <f t="shared" si="171"/>
        <v>张飞魂火-46</v>
      </c>
      <c r="AI570" s="14">
        <f t="shared" si="172"/>
        <v>46</v>
      </c>
      <c r="AJ570" s="14" t="str">
        <f>INDEX(挂机升级突破!$BX$4:$CH$4,INDEX(挂机升级突破!$BU$6:$BU$57,卡牌消耗!AI570))</f>
        <v>金币</v>
      </c>
      <c r="AK570" s="14">
        <f>ROUND(INDEX(挂机升级突破!$BN$6:$BN$57,卡牌消耗!AI570)*INDEX(卡牌消耗!$B$8:$F$8,AG570)/$Q$4/50,0)*50</f>
        <v>47000</v>
      </c>
      <c r="AL570" s="14" t="str">
        <f>IF(AD570&gt;0,INDEX(挂机升级突破!$BX$4:$CH$4,AD570),"")</f>
        <v>红色基础材料</v>
      </c>
      <c r="AM570" s="14">
        <f>ROUND(INDEX(挂机升级突破!$BX$6:$CH$57,卡牌消耗!AI570,AD570)*INDEX(卡牌消耗!$B$5:$F$5,AG570)/$Q$4/5,0)*5</f>
        <v>75</v>
      </c>
      <c r="AN570" s="14" t="str">
        <f>IF(AE570&gt;0,INDEX(挂机升级突破!$BX$4:$CH$4,AE570),"")</f>
        <v>灵玉</v>
      </c>
      <c r="AO570" s="14">
        <f>IF(AE570&gt;0,ROUND(INDEX(挂机升级突破!$BX$6:$CH$57,卡牌消耗!AI570,AE570)*INDEX(卡牌消耗!$B$7:$F$7,AG570)/$Q$4,0),"")</f>
        <v>2</v>
      </c>
    </row>
    <row r="571" spans="27:57" ht="16.5" x14ac:dyDescent="0.2">
      <c r="AA571" s="104">
        <v>567</v>
      </c>
      <c r="AB571" s="14">
        <f t="shared" si="168"/>
        <v>11</v>
      </c>
      <c r="AC571" s="14">
        <f>INDEX(挂机升级突破!$BU$6:$BU$57,卡牌消耗!AI571)</f>
        <v>11</v>
      </c>
      <c r="AD571" s="14">
        <f>INDEX(挂机升级突破!BV$6:BV$57,卡牌消耗!$AI571)</f>
        <v>5</v>
      </c>
      <c r="AE571" s="14">
        <f>INDEX(挂机升级突破!BW$6:BW$57,卡牌消耗!$AI571)</f>
        <v>10</v>
      </c>
      <c r="AF571" s="14" t="str">
        <f t="shared" si="169"/>
        <v>张飞</v>
      </c>
      <c r="AG571" s="14">
        <f t="shared" si="170"/>
        <v>4</v>
      </c>
      <c r="AH571" s="14" t="str">
        <f t="shared" si="171"/>
        <v>张飞魂火-47</v>
      </c>
      <c r="AI571" s="14">
        <f t="shared" si="172"/>
        <v>47</v>
      </c>
      <c r="AJ571" s="14" t="str">
        <f>INDEX(挂机升级突破!$BX$4:$CH$4,INDEX(挂机升级突破!$BU$6:$BU$57,卡牌消耗!AI571))</f>
        <v>金币</v>
      </c>
      <c r="AK571" s="14">
        <f>ROUND(INDEX(挂机升级突破!$BN$6:$BN$57,卡牌消耗!AI571)*INDEX(卡牌消耗!$B$8:$F$8,AG571)/$Q$4/50,0)*50</f>
        <v>227950</v>
      </c>
      <c r="AL571" s="14" t="str">
        <f>IF(AD571&gt;0,INDEX(挂机升级突破!$BX$4:$CH$4,AD571),"")</f>
        <v>红色基础材料</v>
      </c>
      <c r="AM571" s="14">
        <f>ROUND(INDEX(挂机升级突破!$BX$6:$CH$57,卡牌消耗!AI571,AD571)*INDEX(卡牌消耗!$B$5:$F$5,AG571)/$Q$4/5,0)*5</f>
        <v>75</v>
      </c>
      <c r="AN571" s="14" t="str">
        <f>IF(AE571&gt;0,INDEX(挂机升级突破!$BX$4:$CH$4,AE571),"")</f>
        <v>灵玉</v>
      </c>
      <c r="AO571" s="14">
        <f>IF(AE571&gt;0,ROUND(INDEX(挂机升级突破!$BX$6:$CH$57,卡牌消耗!AI571,AE571)*INDEX(卡牌消耗!$B$7:$F$7,AG571)/$Q$4,0),"")</f>
        <v>2</v>
      </c>
    </row>
    <row r="572" spans="27:57" ht="16.5" x14ac:dyDescent="0.2">
      <c r="AA572" s="104">
        <v>568</v>
      </c>
      <c r="AB572" s="14">
        <f t="shared" si="168"/>
        <v>11</v>
      </c>
      <c r="AC572" s="14">
        <f>INDEX(挂机升级突破!$BU$6:$BU$57,卡牌消耗!AI572)</f>
        <v>11</v>
      </c>
      <c r="AD572" s="14">
        <f>INDEX(挂机升级突破!BV$6:BV$57,卡牌消耗!$AI572)</f>
        <v>5</v>
      </c>
      <c r="AE572" s="14">
        <f>INDEX(挂机升级突破!BW$6:BW$57,卡牌消耗!$AI572)</f>
        <v>10</v>
      </c>
      <c r="AF572" s="14" t="str">
        <f t="shared" si="169"/>
        <v>张飞</v>
      </c>
      <c r="AG572" s="14">
        <f t="shared" si="170"/>
        <v>4</v>
      </c>
      <c r="AH572" s="14" t="str">
        <f t="shared" si="171"/>
        <v>张飞魂火-48</v>
      </c>
      <c r="AI572" s="14">
        <f t="shared" si="172"/>
        <v>48</v>
      </c>
      <c r="AJ572" s="14" t="str">
        <f>INDEX(挂机升级突破!$BX$4:$CH$4,INDEX(挂机升级突破!$BU$6:$BU$57,卡牌消耗!AI572))</f>
        <v>金币</v>
      </c>
      <c r="AK572" s="14">
        <f>ROUND(INDEX(挂机升级突破!$BN$6:$BN$57,卡牌消耗!AI572)*INDEX(卡牌消耗!$B$8:$F$8,AG572)/$Q$4/50,0)*50</f>
        <v>227950</v>
      </c>
      <c r="AL572" s="14" t="str">
        <f>IF(AD572&gt;0,INDEX(挂机升级突破!$BX$4:$CH$4,AD572),"")</f>
        <v>红色基础材料</v>
      </c>
      <c r="AM572" s="14">
        <f>ROUND(INDEX(挂机升级突破!$BX$6:$CH$57,卡牌消耗!AI572,AD572)*INDEX(卡牌消耗!$B$5:$F$5,AG572)/$Q$4/5,0)*5</f>
        <v>75</v>
      </c>
      <c r="AN572" s="14" t="str">
        <f>IF(AE572&gt;0,INDEX(挂机升级突破!$BX$4:$CH$4,AE572),"")</f>
        <v>灵玉</v>
      </c>
      <c r="AO572" s="14">
        <f>IF(AE572&gt;0,ROUND(INDEX(挂机升级突破!$BX$6:$CH$57,卡牌消耗!AI572,AE572)*INDEX(卡牌消耗!$B$7:$F$7,AG572)/$Q$4,0),"")</f>
        <v>2</v>
      </c>
    </row>
    <row r="573" spans="27:57" ht="16.5" x14ac:dyDescent="0.2">
      <c r="AA573" s="104">
        <v>569</v>
      </c>
      <c r="AB573" s="14">
        <f t="shared" si="168"/>
        <v>11</v>
      </c>
      <c r="AC573" s="14">
        <f>INDEX(挂机升级突破!$BU$6:$BU$57,卡牌消耗!AI573)</f>
        <v>11</v>
      </c>
      <c r="AD573" s="14">
        <f>INDEX(挂机升级突破!BV$6:BV$57,卡牌消耗!$AI573)</f>
        <v>5</v>
      </c>
      <c r="AE573" s="14">
        <f>INDEX(挂机升级突破!BW$6:BW$57,卡牌消耗!$AI573)</f>
        <v>10</v>
      </c>
      <c r="AF573" s="14" t="str">
        <f t="shared" si="169"/>
        <v>张飞</v>
      </c>
      <c r="AG573" s="14">
        <f t="shared" si="170"/>
        <v>4</v>
      </c>
      <c r="AH573" s="14" t="str">
        <f t="shared" si="171"/>
        <v>张飞魂火-49</v>
      </c>
      <c r="AI573" s="14">
        <f t="shared" si="172"/>
        <v>49</v>
      </c>
      <c r="AJ573" s="14" t="str">
        <f>INDEX(挂机升级突破!$BX$4:$CH$4,INDEX(挂机升级突破!$BU$6:$BU$57,卡牌消耗!AI573))</f>
        <v>金币</v>
      </c>
      <c r="AK573" s="14">
        <f>ROUND(INDEX(挂机升级突破!$BN$6:$BN$57,卡牌消耗!AI573)*INDEX(卡牌消耗!$B$8:$F$8,AG573)/$Q$4/50,0)*50</f>
        <v>227950</v>
      </c>
      <c r="AL573" s="14" t="str">
        <f>IF(AD573&gt;0,INDEX(挂机升级突破!$BX$4:$CH$4,AD573),"")</f>
        <v>红色基础材料</v>
      </c>
      <c r="AM573" s="14">
        <f>ROUND(INDEX(挂机升级突破!$BX$6:$CH$57,卡牌消耗!AI573,AD573)*INDEX(卡牌消耗!$B$5:$F$5,AG573)/$Q$4/5,0)*5</f>
        <v>85</v>
      </c>
      <c r="AN573" s="14" t="str">
        <f>IF(AE573&gt;0,INDEX(挂机升级突破!$BX$4:$CH$4,AE573),"")</f>
        <v>灵玉</v>
      </c>
      <c r="AO573" s="14">
        <f>IF(AE573&gt;0,ROUND(INDEX(挂机升级突破!$BX$6:$CH$57,卡牌消耗!AI573,AE573)*INDEX(卡牌消耗!$B$7:$F$7,AG573)/$Q$4,0),"")</f>
        <v>2</v>
      </c>
    </row>
    <row r="574" spans="27:57" ht="16.5" x14ac:dyDescent="0.2">
      <c r="AA574" s="104">
        <v>570</v>
      </c>
      <c r="AB574" s="14">
        <f t="shared" si="168"/>
        <v>11</v>
      </c>
      <c r="AC574" s="14">
        <f>INDEX(挂机升级突破!$BU$6:$BU$57,卡牌消耗!AI574)</f>
        <v>11</v>
      </c>
      <c r="AD574" s="14">
        <f>INDEX(挂机升级突破!BV$6:BV$57,卡牌消耗!$AI574)</f>
        <v>5</v>
      </c>
      <c r="AE574" s="14">
        <f>INDEX(挂机升级突破!BW$6:BW$57,卡牌消耗!$AI574)</f>
        <v>10</v>
      </c>
      <c r="AF574" s="14" t="str">
        <f t="shared" si="169"/>
        <v>张飞</v>
      </c>
      <c r="AG574" s="14">
        <f t="shared" si="170"/>
        <v>4</v>
      </c>
      <c r="AH574" s="14" t="str">
        <f t="shared" si="171"/>
        <v>张飞魂火-50</v>
      </c>
      <c r="AI574" s="14">
        <f t="shared" si="172"/>
        <v>50</v>
      </c>
      <c r="AJ574" s="14" t="str">
        <f>INDEX(挂机升级突破!$BX$4:$CH$4,INDEX(挂机升级突破!$BU$6:$BU$57,卡牌消耗!AI574))</f>
        <v>金币</v>
      </c>
      <c r="AK574" s="14">
        <f>ROUND(INDEX(挂机升级突破!$BN$6:$BN$57,卡牌消耗!AI574)*INDEX(卡牌消耗!$B$8:$F$8,AG574)/$Q$4/50,0)*50</f>
        <v>379900</v>
      </c>
      <c r="AL574" s="14" t="str">
        <f>IF(AD574&gt;0,INDEX(挂机升级突破!$BX$4:$CH$4,AD574),"")</f>
        <v>红色基础材料</v>
      </c>
      <c r="AM574" s="14">
        <f>ROUND(INDEX(挂机升级突破!$BX$6:$CH$57,卡牌消耗!AI574,AD574)*INDEX(卡牌消耗!$B$5:$F$5,AG574)/$Q$4/5,0)*5</f>
        <v>85</v>
      </c>
      <c r="AN574" s="14" t="str">
        <f>IF(AE574&gt;0,INDEX(挂机升级突破!$BX$4:$CH$4,AE574),"")</f>
        <v>灵玉</v>
      </c>
      <c r="AO574" s="14">
        <f>IF(AE574&gt;0,ROUND(INDEX(挂机升级突破!$BX$6:$CH$57,卡牌消耗!AI574,AE574)*INDEX(卡牌消耗!$B$7:$F$7,AG574)/$Q$4,0),"")</f>
        <v>2</v>
      </c>
    </row>
    <row r="575" spans="27:57" ht="16.5" x14ac:dyDescent="0.2">
      <c r="AA575" s="104">
        <v>571</v>
      </c>
      <c r="AB575" s="14">
        <f t="shared" si="168"/>
        <v>11</v>
      </c>
      <c r="AC575" s="14">
        <f>INDEX(挂机升级突破!$BU$6:$BU$57,卡牌消耗!AI575)</f>
        <v>11</v>
      </c>
      <c r="AD575" s="14">
        <f>INDEX(挂机升级突破!BV$6:BV$57,卡牌消耗!$AI575)</f>
        <v>5</v>
      </c>
      <c r="AE575" s="14">
        <f>INDEX(挂机升级突破!BW$6:BW$57,卡牌消耗!$AI575)</f>
        <v>10</v>
      </c>
      <c r="AF575" s="14" t="str">
        <f t="shared" si="169"/>
        <v>张飞</v>
      </c>
      <c r="AG575" s="14">
        <f t="shared" si="170"/>
        <v>4</v>
      </c>
      <c r="AH575" s="14" t="str">
        <f t="shared" si="171"/>
        <v>张飞魂火-51</v>
      </c>
      <c r="AI575" s="14">
        <f t="shared" si="172"/>
        <v>51</v>
      </c>
      <c r="AJ575" s="14" t="str">
        <f>INDEX(挂机升级突破!$BX$4:$CH$4,INDEX(挂机升级突破!$BU$6:$BU$57,卡牌消耗!AI575))</f>
        <v>金币</v>
      </c>
      <c r="AK575" s="14">
        <f>ROUND(INDEX(挂机升级突破!$BN$6:$BN$57,卡牌消耗!AI575)*INDEX(卡牌消耗!$B$8:$F$8,AG575)/$Q$4/50,0)*50</f>
        <v>417900</v>
      </c>
      <c r="AL575" s="14" t="str">
        <f>IF(AD575&gt;0,INDEX(挂机升级突破!$BX$4:$CH$4,AD575),"")</f>
        <v>红色基础材料</v>
      </c>
      <c r="AM575" s="14">
        <f>ROUND(INDEX(挂机升级突破!$BX$6:$CH$57,卡牌消耗!AI575,AD575)*INDEX(卡牌消耗!$B$5:$F$5,AG575)/$Q$4/5,0)*5</f>
        <v>85</v>
      </c>
      <c r="AN575" s="14" t="str">
        <f>IF(AE575&gt;0,INDEX(挂机升级突破!$BX$4:$CH$4,AE575),"")</f>
        <v>灵玉</v>
      </c>
      <c r="AO575" s="14">
        <f>IF(AE575&gt;0,ROUND(INDEX(挂机升级突破!$BX$6:$CH$57,卡牌消耗!AI575,AE575)*INDEX(卡牌消耗!$B$7:$F$7,AG575)/$Q$4,0),"")</f>
        <v>2</v>
      </c>
    </row>
    <row r="576" spans="27:57" ht="16.5" x14ac:dyDescent="0.2">
      <c r="AA576" s="104">
        <v>572</v>
      </c>
      <c r="AB576" s="14">
        <f t="shared" si="168"/>
        <v>11</v>
      </c>
      <c r="AC576" s="14">
        <f>INDEX(挂机升级突破!$BU$6:$BU$57,卡牌消耗!AI576)</f>
        <v>11</v>
      </c>
      <c r="AD576" s="14">
        <f>INDEX(挂机升级突破!BV$6:BV$57,卡牌消耗!$AI576)</f>
        <v>5</v>
      </c>
      <c r="AE576" s="14">
        <f>INDEX(挂机升级突破!BW$6:BW$57,卡牌消耗!$AI576)</f>
        <v>10</v>
      </c>
      <c r="AF576" s="14" t="str">
        <f t="shared" si="169"/>
        <v>张飞</v>
      </c>
      <c r="AG576" s="14">
        <f t="shared" si="170"/>
        <v>4</v>
      </c>
      <c r="AH576" s="14" t="str">
        <f t="shared" si="171"/>
        <v>张飞魂火-52</v>
      </c>
      <c r="AI576" s="14">
        <f t="shared" si="172"/>
        <v>52</v>
      </c>
      <c r="AJ576" s="14" t="str">
        <f>INDEX(挂机升级突破!$BX$4:$CH$4,INDEX(挂机升级突破!$BU$6:$BU$57,卡牌消耗!AI576))</f>
        <v>金币</v>
      </c>
      <c r="AK576" s="14">
        <f>ROUND(INDEX(挂机升级突破!$BN$6:$BN$57,卡牌消耗!AI576)*INDEX(卡牌消耗!$B$8:$F$8,AG576)/$Q$4/50,0)*50</f>
        <v>417900</v>
      </c>
      <c r="AL576" s="14" t="str">
        <f>IF(AD576&gt;0,INDEX(挂机升级突破!$BX$4:$CH$4,AD576),"")</f>
        <v>红色基础材料</v>
      </c>
      <c r="AM576" s="14">
        <f>ROUND(INDEX(挂机升级突破!$BX$6:$CH$57,卡牌消耗!AI576,AD576)*INDEX(卡牌消耗!$B$5:$F$5,AG576)/$Q$4/5,0)*5</f>
        <v>85</v>
      </c>
      <c r="AN576" s="14" t="str">
        <f>IF(AE576&gt;0,INDEX(挂机升级突破!$BX$4:$CH$4,AE576),"")</f>
        <v>灵玉</v>
      </c>
      <c r="AO576" s="14">
        <f>IF(AE576&gt;0,ROUND(INDEX(挂机升级突破!$BX$6:$CH$57,卡牌消耗!AI576,AE576)*INDEX(卡牌消耗!$B$7:$F$7,AG576)/$Q$4,0),"")</f>
        <v>2</v>
      </c>
    </row>
    <row r="577" spans="27:41" ht="16.5" x14ac:dyDescent="0.2">
      <c r="AA577" s="104">
        <v>573</v>
      </c>
      <c r="AB577" s="14">
        <f t="shared" si="168"/>
        <v>12</v>
      </c>
      <c r="AC577" s="14">
        <f>INDEX(挂机升级突破!$BU$6:$BU$57,卡牌消耗!AI577)</f>
        <v>11</v>
      </c>
      <c r="AD577" s="14">
        <f>INDEX(挂机升级突破!BV$6:BV$57,卡牌消耗!$AI577)</f>
        <v>1</v>
      </c>
      <c r="AE577" s="14">
        <f>INDEX(挂机升级突破!BW$6:BW$57,卡牌消耗!$AI577)</f>
        <v>0</v>
      </c>
      <c r="AF577" s="14" t="str">
        <f t="shared" si="169"/>
        <v>夏侯惇</v>
      </c>
      <c r="AG577" s="14">
        <f t="shared" si="170"/>
        <v>5</v>
      </c>
      <c r="AH577" s="14" t="str">
        <f t="shared" si="171"/>
        <v>夏侯惇魂火-1</v>
      </c>
      <c r="AI577" s="14">
        <f t="shared" si="172"/>
        <v>1</v>
      </c>
      <c r="AJ577" s="14" t="str">
        <f>INDEX(挂机升级突破!$BX$4:$CH$4,INDEX(挂机升级突破!$BU$6:$BU$57,卡牌消耗!AI577))</f>
        <v>金币</v>
      </c>
      <c r="AK577" s="14">
        <f>ROUND(INDEX(挂机升级突破!$BN$6:$BN$57,卡牌消耗!AI577)*INDEX(卡牌消耗!$B$8:$F$8,AG577)/$Q$4/50,0)*50</f>
        <v>1200</v>
      </c>
      <c r="AL577" s="14" t="str">
        <f>IF(AD577&gt;0,INDEX(挂机升级突破!$BX$4:$CH$4,AD577),"")</f>
        <v>绿色基础材料</v>
      </c>
      <c r="AM577" s="14">
        <f>ROUND(INDEX(挂机升级突破!$BX$6:$CH$57,卡牌消耗!AI577,AD577)*INDEX(卡牌消耗!$B$5:$F$5,AG577)/$Q$4/5,0)*5</f>
        <v>1250</v>
      </c>
      <c r="AN577" s="14" t="str">
        <f>IF(AE577&gt;0,INDEX(挂机升级突破!$BX$4:$CH$4,AE577),"")</f>
        <v/>
      </c>
      <c r="AO577" s="14" t="str">
        <f>IF(AE577&gt;0,ROUND(INDEX(挂机升级突破!$BX$6:$CH$57,卡牌消耗!AI577,AE577)*INDEX(卡牌消耗!$B$7:$F$7,AG577)/$Q$4,0),"")</f>
        <v/>
      </c>
    </row>
    <row r="578" spans="27:41" ht="16.5" x14ac:dyDescent="0.2">
      <c r="AA578" s="104">
        <v>574</v>
      </c>
      <c r="AB578" s="14">
        <f t="shared" si="168"/>
        <v>12</v>
      </c>
      <c r="AC578" s="14">
        <f>INDEX(挂机升级突破!$BU$6:$BU$57,卡牌消耗!AI578)</f>
        <v>11</v>
      </c>
      <c r="AD578" s="14">
        <f>INDEX(挂机升级突破!BV$6:BV$57,卡牌消耗!$AI578)</f>
        <v>1</v>
      </c>
      <c r="AE578" s="14">
        <f>INDEX(挂机升级突破!BW$6:BW$57,卡牌消耗!$AI578)</f>
        <v>0</v>
      </c>
      <c r="AF578" s="14" t="str">
        <f t="shared" si="169"/>
        <v>夏侯惇</v>
      </c>
      <c r="AG578" s="14">
        <f t="shared" si="170"/>
        <v>5</v>
      </c>
      <c r="AH578" s="14" t="str">
        <f t="shared" si="171"/>
        <v>夏侯惇魂火-2</v>
      </c>
      <c r="AI578" s="14">
        <f t="shared" si="172"/>
        <v>2</v>
      </c>
      <c r="AJ578" s="14" t="str">
        <f>INDEX(挂机升级突破!$BX$4:$CH$4,INDEX(挂机升级突破!$BU$6:$BU$57,卡牌消耗!AI578))</f>
        <v>金币</v>
      </c>
      <c r="AK578" s="14">
        <f>ROUND(INDEX(挂机升级突破!$BN$6:$BN$57,卡牌消耗!AI578)*INDEX(卡牌消耗!$B$8:$F$8,AG578)/$Q$4/50,0)*50</f>
        <v>1650</v>
      </c>
      <c r="AL578" s="14" t="str">
        <f>IF(AD578&gt;0,INDEX(挂机升级突破!$BX$4:$CH$4,AD578),"")</f>
        <v>绿色基础材料</v>
      </c>
      <c r="AM578" s="14">
        <f>ROUND(INDEX(挂机升级突破!$BX$6:$CH$57,卡牌消耗!AI578,AD578)*INDEX(卡牌消耗!$B$5:$F$5,AG578)/$Q$4/5,0)*5</f>
        <v>3755</v>
      </c>
      <c r="AN578" s="14" t="str">
        <f>IF(AE578&gt;0,INDEX(挂机升级突破!$BX$4:$CH$4,AE578),"")</f>
        <v/>
      </c>
      <c r="AO578" s="14" t="str">
        <f>IF(AE578&gt;0,ROUND(INDEX(挂机升级突破!$BX$6:$CH$57,卡牌消耗!AI578,AE578)*INDEX(卡牌消耗!$B$7:$F$7,AG578)/$Q$4,0),"")</f>
        <v/>
      </c>
    </row>
    <row r="579" spans="27:41" ht="16.5" x14ac:dyDescent="0.2">
      <c r="AA579" s="104">
        <v>575</v>
      </c>
      <c r="AB579" s="14">
        <f t="shared" si="168"/>
        <v>12</v>
      </c>
      <c r="AC579" s="14">
        <f>INDEX(挂机升级突破!$BU$6:$BU$57,卡牌消耗!AI579)</f>
        <v>11</v>
      </c>
      <c r="AD579" s="14">
        <f>INDEX(挂机升级突破!BV$6:BV$57,卡牌消耗!$AI579)</f>
        <v>1</v>
      </c>
      <c r="AE579" s="14">
        <f>INDEX(挂机升级突破!BW$6:BW$57,卡牌消耗!$AI579)</f>
        <v>0</v>
      </c>
      <c r="AF579" s="14" t="str">
        <f t="shared" si="169"/>
        <v>夏侯惇</v>
      </c>
      <c r="AG579" s="14">
        <f t="shared" si="170"/>
        <v>5</v>
      </c>
      <c r="AH579" s="14" t="str">
        <f t="shared" si="171"/>
        <v>夏侯惇魂火-3</v>
      </c>
      <c r="AI579" s="14">
        <f t="shared" si="172"/>
        <v>3</v>
      </c>
      <c r="AJ579" s="14" t="str">
        <f>INDEX(挂机升级突破!$BX$4:$CH$4,INDEX(挂机升级突破!$BU$6:$BU$57,卡牌消耗!AI579))</f>
        <v>金币</v>
      </c>
      <c r="AK579" s="14">
        <f>ROUND(INDEX(挂机升级突破!$BN$6:$BN$57,卡牌消耗!AI579)*INDEX(卡牌消耗!$B$8:$F$8,AG579)/$Q$4/50,0)*50</f>
        <v>1650</v>
      </c>
      <c r="AL579" s="14" t="str">
        <f>IF(AD579&gt;0,INDEX(挂机升级突破!$BX$4:$CH$4,AD579),"")</f>
        <v>绿色基础材料</v>
      </c>
      <c r="AM579" s="14">
        <f>ROUND(INDEX(挂机升级突破!$BX$6:$CH$57,卡牌消耗!AI579,AD579)*INDEX(卡牌消耗!$B$5:$F$5,AG579)/$Q$4/5,0)*5</f>
        <v>5005</v>
      </c>
      <c r="AN579" s="14" t="str">
        <f>IF(AE579&gt;0,INDEX(挂机升级突破!$BX$4:$CH$4,AE579),"")</f>
        <v/>
      </c>
      <c r="AO579" s="14" t="str">
        <f>IF(AE579&gt;0,ROUND(INDEX(挂机升级突破!$BX$6:$CH$57,卡牌消耗!AI579,AE579)*INDEX(卡牌消耗!$B$7:$F$7,AG579)/$Q$4,0),"")</f>
        <v/>
      </c>
    </row>
    <row r="580" spans="27:41" ht="16.5" x14ac:dyDescent="0.2">
      <c r="AA580" s="104">
        <v>576</v>
      </c>
      <c r="AB580" s="14">
        <f t="shared" si="168"/>
        <v>12</v>
      </c>
      <c r="AC580" s="14">
        <f>INDEX(挂机升级突破!$BU$6:$BU$57,卡牌消耗!AI580)</f>
        <v>11</v>
      </c>
      <c r="AD580" s="14">
        <f>INDEX(挂机升级突破!BV$6:BV$57,卡牌消耗!$AI580)</f>
        <v>1</v>
      </c>
      <c r="AE580" s="14">
        <f>INDEX(挂机升级突破!BW$6:BW$57,卡牌消耗!$AI580)</f>
        <v>0</v>
      </c>
      <c r="AF580" s="14" t="str">
        <f t="shared" si="169"/>
        <v>夏侯惇</v>
      </c>
      <c r="AG580" s="14">
        <f t="shared" si="170"/>
        <v>5</v>
      </c>
      <c r="AH580" s="14" t="str">
        <f t="shared" si="171"/>
        <v>夏侯惇魂火-4</v>
      </c>
      <c r="AI580" s="14">
        <f t="shared" si="172"/>
        <v>4</v>
      </c>
      <c r="AJ580" s="14" t="str">
        <f>INDEX(挂机升级突破!$BX$4:$CH$4,INDEX(挂机升级突破!$BU$6:$BU$57,卡牌消耗!AI580))</f>
        <v>金币</v>
      </c>
      <c r="AK580" s="14">
        <f>ROUND(INDEX(挂机升级突破!$BN$6:$BN$57,卡牌消耗!AI580)*INDEX(卡牌消耗!$B$8:$F$8,AG580)/$Q$4/50,0)*50</f>
        <v>1650</v>
      </c>
      <c r="AL580" s="14" t="str">
        <f>IF(AD580&gt;0,INDEX(挂机升级突破!$BX$4:$CH$4,AD580),"")</f>
        <v>绿色基础材料</v>
      </c>
      <c r="AM580" s="14">
        <f>ROUND(INDEX(挂机升级突破!$BX$6:$CH$57,卡牌消耗!AI580,AD580)*INDEX(卡牌消耗!$B$5:$F$5,AG580)/$Q$4/5,0)*5</f>
        <v>7510</v>
      </c>
      <c r="AN580" s="14" t="str">
        <f>IF(AE580&gt;0,INDEX(挂机升级突破!$BX$4:$CH$4,AE580),"")</f>
        <v/>
      </c>
      <c r="AO580" s="14" t="str">
        <f>IF(AE580&gt;0,ROUND(INDEX(挂机升级突破!$BX$6:$CH$57,卡牌消耗!AI580,AE580)*INDEX(卡牌消耗!$B$7:$F$7,AG580)/$Q$4,0),"")</f>
        <v/>
      </c>
    </row>
    <row r="581" spans="27:41" ht="16.5" x14ac:dyDescent="0.2">
      <c r="AA581" s="104">
        <v>577</v>
      </c>
      <c r="AB581" s="14">
        <f t="shared" si="168"/>
        <v>12</v>
      </c>
      <c r="AC581" s="14">
        <f>INDEX(挂机升级突破!$BU$6:$BU$57,卡牌消耗!AI581)</f>
        <v>11</v>
      </c>
      <c r="AD581" s="14">
        <f>INDEX(挂机升级突破!BV$6:BV$57,卡牌消耗!$AI581)</f>
        <v>1</v>
      </c>
      <c r="AE581" s="14">
        <f>INDEX(挂机升级突破!BW$6:BW$57,卡牌消耗!$AI581)</f>
        <v>0</v>
      </c>
      <c r="AF581" s="14" t="str">
        <f t="shared" si="169"/>
        <v>夏侯惇</v>
      </c>
      <c r="AG581" s="14">
        <f t="shared" si="170"/>
        <v>5</v>
      </c>
      <c r="AH581" s="14" t="str">
        <f t="shared" si="171"/>
        <v>夏侯惇魂火-5</v>
      </c>
      <c r="AI581" s="14">
        <f t="shared" si="172"/>
        <v>5</v>
      </c>
      <c r="AJ581" s="14" t="str">
        <f>INDEX(挂机升级突破!$BX$4:$CH$4,INDEX(挂机升级突破!$BU$6:$BU$57,卡牌消耗!AI581))</f>
        <v>金币</v>
      </c>
      <c r="AK581" s="14">
        <f>ROUND(INDEX(挂机升级突破!$BN$6:$BN$57,卡牌消耗!AI581)*INDEX(卡牌消耗!$B$8:$F$8,AG581)/$Q$4/50,0)*50</f>
        <v>1650</v>
      </c>
      <c r="AL581" s="14" t="str">
        <f>IF(AD581&gt;0,INDEX(挂机升级突破!$BX$4:$CH$4,AD581),"")</f>
        <v>绿色基础材料</v>
      </c>
      <c r="AM581" s="14">
        <f>ROUND(INDEX(挂机升级突破!$BX$6:$CH$57,卡牌消耗!AI581,AD581)*INDEX(卡牌消耗!$B$5:$F$5,AG581)/$Q$4/5,0)*5</f>
        <v>7510</v>
      </c>
      <c r="AN581" s="14" t="str">
        <f>IF(AE581&gt;0,INDEX(挂机升级突破!$BX$4:$CH$4,AE581),"")</f>
        <v/>
      </c>
      <c r="AO581" s="14" t="str">
        <f>IF(AE581&gt;0,ROUND(INDEX(挂机升级突破!$BX$6:$CH$57,卡牌消耗!AI581,AE581)*INDEX(卡牌消耗!$B$7:$F$7,AG581)/$Q$4,0),"")</f>
        <v/>
      </c>
    </row>
    <row r="582" spans="27:41" ht="16.5" x14ac:dyDescent="0.2">
      <c r="AA582" s="104">
        <v>578</v>
      </c>
      <c r="AB582" s="14">
        <f t="shared" ref="AB582:AB645" si="178">INT((AA582-1)/52)+1</f>
        <v>12</v>
      </c>
      <c r="AC582" s="14">
        <f>INDEX(挂机升级突破!$BU$6:$BU$57,卡牌消耗!AI582)</f>
        <v>11</v>
      </c>
      <c r="AD582" s="14">
        <f>INDEX(挂机升级突破!BV$6:BV$57,卡牌消耗!$AI582)</f>
        <v>2</v>
      </c>
      <c r="AE582" s="14">
        <f>INDEX(挂机升级突破!BW$6:BW$57,卡牌消耗!$AI582)</f>
        <v>0</v>
      </c>
      <c r="AF582" s="14" t="str">
        <f t="shared" ref="AF582:AF645" si="179">INDEX($B$13:$B$40,AB582)</f>
        <v>夏侯惇</v>
      </c>
      <c r="AG582" s="14">
        <f t="shared" ref="AG582:AG645" si="180">INDEX($C$13:$C$40,AB582)</f>
        <v>5</v>
      </c>
      <c r="AH582" s="14" t="str">
        <f t="shared" ref="AH582:AH645" si="181">AF582&amp;"魂火-"&amp;AI582</f>
        <v>夏侯惇魂火-6</v>
      </c>
      <c r="AI582" s="14">
        <f t="shared" ref="AI582:AI645" si="182">AA582-(AB582-1)*52</f>
        <v>6</v>
      </c>
      <c r="AJ582" s="14" t="str">
        <f>INDEX(挂机升级突破!$BX$4:$CH$4,INDEX(挂机升级突破!$BU$6:$BU$57,卡牌消耗!AI582))</f>
        <v>金币</v>
      </c>
      <c r="AK582" s="14">
        <f>ROUND(INDEX(挂机升级突破!$BN$6:$BN$57,卡牌消耗!AI582)*INDEX(卡牌消耗!$B$8:$F$8,AG582)/$Q$4/50,0)*50</f>
        <v>2000</v>
      </c>
      <c r="AL582" s="14" t="str">
        <f>IF(AD582&gt;0,INDEX(挂机升级突破!$BX$4:$CH$4,AD582),"")</f>
        <v>蓝色基础材料</v>
      </c>
      <c r="AM582" s="14">
        <f>ROUND(INDEX(挂机升级突破!$BX$6:$CH$57,卡牌消耗!AI582,AD582)*INDEX(卡牌消耗!$B$5:$F$5,AG582)/$Q$4/5,0)*5</f>
        <v>720</v>
      </c>
      <c r="AN582" s="14" t="str">
        <f>IF(AE582&gt;0,INDEX(挂机升级突破!$BX$4:$CH$4,AE582),"")</f>
        <v/>
      </c>
      <c r="AO582" s="14" t="str">
        <f>IF(AE582&gt;0,ROUND(INDEX(挂机升级突破!$BX$6:$CH$57,卡牌消耗!AI582,AE582)*INDEX(卡牌消耗!$B$7:$F$7,AG582)/$Q$4,0),"")</f>
        <v/>
      </c>
    </row>
    <row r="583" spans="27:41" ht="16.5" x14ac:dyDescent="0.2">
      <c r="AA583" s="104">
        <v>579</v>
      </c>
      <c r="AB583" s="14">
        <f t="shared" si="178"/>
        <v>12</v>
      </c>
      <c r="AC583" s="14">
        <f>INDEX(挂机升级突破!$BU$6:$BU$57,卡牌消耗!AI583)</f>
        <v>11</v>
      </c>
      <c r="AD583" s="14">
        <f>INDEX(挂机升级突破!BV$6:BV$57,卡牌消耗!$AI583)</f>
        <v>2</v>
      </c>
      <c r="AE583" s="14">
        <f>INDEX(挂机升级突破!BW$6:BW$57,卡牌消耗!$AI583)</f>
        <v>0</v>
      </c>
      <c r="AF583" s="14" t="str">
        <f t="shared" si="179"/>
        <v>夏侯惇</v>
      </c>
      <c r="AG583" s="14">
        <f t="shared" si="180"/>
        <v>5</v>
      </c>
      <c r="AH583" s="14" t="str">
        <f t="shared" si="181"/>
        <v>夏侯惇魂火-7</v>
      </c>
      <c r="AI583" s="14">
        <f t="shared" si="182"/>
        <v>7</v>
      </c>
      <c r="AJ583" s="14" t="str">
        <f>INDEX(挂机升级突破!$BX$4:$CH$4,INDEX(挂机升级突破!$BU$6:$BU$57,卡牌消耗!AI583))</f>
        <v>金币</v>
      </c>
      <c r="AK583" s="14">
        <f>ROUND(INDEX(挂机升级突破!$BN$6:$BN$57,卡牌消耗!AI583)*INDEX(卡牌消耗!$B$8:$F$8,AG583)/$Q$4/50,0)*50</f>
        <v>2000</v>
      </c>
      <c r="AL583" s="14" t="str">
        <f>IF(AD583&gt;0,INDEX(挂机升级突破!$BX$4:$CH$4,AD583),"")</f>
        <v>蓝色基础材料</v>
      </c>
      <c r="AM583" s="14">
        <f>ROUND(INDEX(挂机升级突破!$BX$6:$CH$57,卡牌消耗!AI583,AD583)*INDEX(卡牌消耗!$B$5:$F$5,AG583)/$Q$4/5,0)*5</f>
        <v>720</v>
      </c>
      <c r="AN583" s="14" t="str">
        <f>IF(AE583&gt;0,INDEX(挂机升级突破!$BX$4:$CH$4,AE583),"")</f>
        <v/>
      </c>
      <c r="AO583" s="14" t="str">
        <f>IF(AE583&gt;0,ROUND(INDEX(挂机升级突破!$BX$6:$CH$57,卡牌消耗!AI583,AE583)*INDEX(卡牌消耗!$B$7:$F$7,AG583)/$Q$4,0),"")</f>
        <v/>
      </c>
    </row>
    <row r="584" spans="27:41" ht="16.5" x14ac:dyDescent="0.2">
      <c r="AA584" s="104">
        <v>580</v>
      </c>
      <c r="AB584" s="14">
        <f t="shared" si="178"/>
        <v>12</v>
      </c>
      <c r="AC584" s="14">
        <f>INDEX(挂机升级突破!$BU$6:$BU$57,卡牌消耗!AI584)</f>
        <v>11</v>
      </c>
      <c r="AD584" s="14">
        <f>INDEX(挂机升级突破!BV$6:BV$57,卡牌消耗!$AI584)</f>
        <v>2</v>
      </c>
      <c r="AE584" s="14">
        <f>INDEX(挂机升级突破!BW$6:BW$57,卡牌消耗!$AI584)</f>
        <v>0</v>
      </c>
      <c r="AF584" s="14" t="str">
        <f t="shared" si="179"/>
        <v>夏侯惇</v>
      </c>
      <c r="AG584" s="14">
        <f t="shared" si="180"/>
        <v>5</v>
      </c>
      <c r="AH584" s="14" t="str">
        <f t="shared" si="181"/>
        <v>夏侯惇魂火-8</v>
      </c>
      <c r="AI584" s="14">
        <f t="shared" si="182"/>
        <v>8</v>
      </c>
      <c r="AJ584" s="14" t="str">
        <f>INDEX(挂机升级突破!$BX$4:$CH$4,INDEX(挂机升级突破!$BU$6:$BU$57,卡牌消耗!AI584))</f>
        <v>金币</v>
      </c>
      <c r="AK584" s="14">
        <f>ROUND(INDEX(挂机升级突破!$BN$6:$BN$57,卡牌消耗!AI584)*INDEX(卡牌消耗!$B$8:$F$8,AG584)/$Q$4/50,0)*50</f>
        <v>2950</v>
      </c>
      <c r="AL584" s="14" t="str">
        <f>IF(AD584&gt;0,INDEX(挂机升级突破!$BX$4:$CH$4,AD584),"")</f>
        <v>蓝色基础材料</v>
      </c>
      <c r="AM584" s="14">
        <f>ROUND(INDEX(挂机升级突破!$BX$6:$CH$57,卡牌消耗!AI584,AD584)*INDEX(卡牌消耗!$B$5:$F$5,AG584)/$Q$4/5,0)*5</f>
        <v>1440</v>
      </c>
      <c r="AN584" s="14" t="str">
        <f>IF(AE584&gt;0,INDEX(挂机升级突破!$BX$4:$CH$4,AE584),"")</f>
        <v/>
      </c>
      <c r="AO584" s="14" t="str">
        <f>IF(AE584&gt;0,ROUND(INDEX(挂机升级突破!$BX$6:$CH$57,卡牌消耗!AI584,AE584)*INDEX(卡牌消耗!$B$7:$F$7,AG584)/$Q$4,0),"")</f>
        <v/>
      </c>
    </row>
    <row r="585" spans="27:41" ht="16.5" x14ac:dyDescent="0.2">
      <c r="AA585" s="104">
        <v>581</v>
      </c>
      <c r="AB585" s="14">
        <f t="shared" si="178"/>
        <v>12</v>
      </c>
      <c r="AC585" s="14">
        <f>INDEX(挂机升级突破!$BU$6:$BU$57,卡牌消耗!AI585)</f>
        <v>11</v>
      </c>
      <c r="AD585" s="14">
        <f>INDEX(挂机升级突破!BV$6:BV$57,卡牌消耗!$AI585)</f>
        <v>2</v>
      </c>
      <c r="AE585" s="14">
        <f>INDEX(挂机升级突破!BW$6:BW$57,卡牌消耗!$AI585)</f>
        <v>0</v>
      </c>
      <c r="AF585" s="14" t="str">
        <f t="shared" si="179"/>
        <v>夏侯惇</v>
      </c>
      <c r="AG585" s="14">
        <f t="shared" si="180"/>
        <v>5</v>
      </c>
      <c r="AH585" s="14" t="str">
        <f t="shared" si="181"/>
        <v>夏侯惇魂火-9</v>
      </c>
      <c r="AI585" s="14">
        <f t="shared" si="182"/>
        <v>9</v>
      </c>
      <c r="AJ585" s="14" t="str">
        <f>INDEX(挂机升级突破!$BX$4:$CH$4,INDEX(挂机升级突破!$BU$6:$BU$57,卡牌消耗!AI585))</f>
        <v>金币</v>
      </c>
      <c r="AK585" s="14">
        <f>ROUND(INDEX(挂机升级突破!$BN$6:$BN$57,卡牌消耗!AI585)*INDEX(卡牌消耗!$B$8:$F$8,AG585)/$Q$4/50,0)*50</f>
        <v>2950</v>
      </c>
      <c r="AL585" s="14" t="str">
        <f>IF(AD585&gt;0,INDEX(挂机升级突破!$BX$4:$CH$4,AD585),"")</f>
        <v>蓝色基础材料</v>
      </c>
      <c r="AM585" s="14">
        <f>ROUND(INDEX(挂机升级突破!$BX$6:$CH$57,卡牌消耗!AI585,AD585)*INDEX(卡牌消耗!$B$5:$F$5,AG585)/$Q$4/5,0)*5</f>
        <v>1440</v>
      </c>
      <c r="AN585" s="14" t="str">
        <f>IF(AE585&gt;0,INDEX(挂机升级突破!$BX$4:$CH$4,AE585),"")</f>
        <v/>
      </c>
      <c r="AO585" s="14" t="str">
        <f>IF(AE585&gt;0,ROUND(INDEX(挂机升级突破!$BX$6:$CH$57,卡牌消耗!AI585,AE585)*INDEX(卡牌消耗!$B$7:$F$7,AG585)/$Q$4,0),"")</f>
        <v/>
      </c>
    </row>
    <row r="586" spans="27:41" ht="16.5" x14ac:dyDescent="0.2">
      <c r="AA586" s="104">
        <v>582</v>
      </c>
      <c r="AB586" s="14">
        <f t="shared" si="178"/>
        <v>12</v>
      </c>
      <c r="AC586" s="14">
        <f>INDEX(挂机升级突破!$BU$6:$BU$57,卡牌消耗!AI586)</f>
        <v>11</v>
      </c>
      <c r="AD586" s="14">
        <f>INDEX(挂机升级突破!BV$6:BV$57,卡牌消耗!$AI586)</f>
        <v>2</v>
      </c>
      <c r="AE586" s="14">
        <f>INDEX(挂机升级突破!BW$6:BW$57,卡牌消耗!$AI586)</f>
        <v>0</v>
      </c>
      <c r="AF586" s="14" t="str">
        <f t="shared" si="179"/>
        <v>夏侯惇</v>
      </c>
      <c r="AG586" s="14">
        <f t="shared" si="180"/>
        <v>5</v>
      </c>
      <c r="AH586" s="14" t="str">
        <f t="shared" si="181"/>
        <v>夏侯惇魂火-10</v>
      </c>
      <c r="AI586" s="14">
        <f t="shared" si="182"/>
        <v>10</v>
      </c>
      <c r="AJ586" s="14" t="str">
        <f>INDEX(挂机升级突破!$BX$4:$CH$4,INDEX(挂机升级突破!$BU$6:$BU$57,卡牌消耗!AI586))</f>
        <v>金币</v>
      </c>
      <c r="AK586" s="14">
        <f>ROUND(INDEX(挂机升级突破!$BN$6:$BN$57,卡牌消耗!AI586)*INDEX(卡牌消耗!$B$8:$F$8,AG586)/$Q$4/50,0)*50</f>
        <v>4950</v>
      </c>
      <c r="AL586" s="14" t="str">
        <f>IF(AD586&gt;0,INDEX(挂机升级突破!$BX$4:$CH$4,AD586),"")</f>
        <v>蓝色基础材料</v>
      </c>
      <c r="AM586" s="14">
        <f>ROUND(INDEX(挂机升级突破!$BX$6:$CH$57,卡牌消耗!AI586,AD586)*INDEX(卡牌消耗!$B$5:$F$5,AG586)/$Q$4/5,0)*5</f>
        <v>2160</v>
      </c>
      <c r="AN586" s="14" t="str">
        <f>IF(AE586&gt;0,INDEX(挂机升级突破!$BX$4:$CH$4,AE586),"")</f>
        <v/>
      </c>
      <c r="AO586" s="14" t="str">
        <f>IF(AE586&gt;0,ROUND(INDEX(挂机升级突破!$BX$6:$CH$57,卡牌消耗!AI586,AE586)*INDEX(卡牌消耗!$B$7:$F$7,AG586)/$Q$4,0),"")</f>
        <v/>
      </c>
    </row>
    <row r="587" spans="27:41" ht="16.5" x14ac:dyDescent="0.2">
      <c r="AA587" s="104">
        <v>583</v>
      </c>
      <c r="AB587" s="14">
        <f t="shared" si="178"/>
        <v>12</v>
      </c>
      <c r="AC587" s="14">
        <f>INDEX(挂机升级突破!$BU$6:$BU$57,卡牌消耗!AI587)</f>
        <v>11</v>
      </c>
      <c r="AD587" s="14">
        <f>INDEX(挂机升级突破!BV$6:BV$57,卡牌消耗!$AI587)</f>
        <v>2</v>
      </c>
      <c r="AE587" s="14">
        <f>INDEX(挂机升级突破!BW$6:BW$57,卡牌消耗!$AI587)</f>
        <v>0</v>
      </c>
      <c r="AF587" s="14" t="str">
        <f t="shared" si="179"/>
        <v>夏侯惇</v>
      </c>
      <c r="AG587" s="14">
        <f t="shared" si="180"/>
        <v>5</v>
      </c>
      <c r="AH587" s="14" t="str">
        <f t="shared" si="181"/>
        <v>夏侯惇魂火-11</v>
      </c>
      <c r="AI587" s="14">
        <f t="shared" si="182"/>
        <v>11</v>
      </c>
      <c r="AJ587" s="14" t="str">
        <f>INDEX(挂机升级突破!$BX$4:$CH$4,INDEX(挂机升级突破!$BU$6:$BU$57,卡牌消耗!AI587))</f>
        <v>金币</v>
      </c>
      <c r="AK587" s="14">
        <f>ROUND(INDEX(挂机升级突破!$BN$6:$BN$57,卡牌消耗!AI587)*INDEX(卡牌消耗!$B$8:$F$8,AG587)/$Q$4/50,0)*50</f>
        <v>4950</v>
      </c>
      <c r="AL587" s="14" t="str">
        <f>IF(AD587&gt;0,INDEX(挂机升级突破!$BX$4:$CH$4,AD587),"")</f>
        <v>蓝色基础材料</v>
      </c>
      <c r="AM587" s="14">
        <f>ROUND(INDEX(挂机升级突破!$BX$6:$CH$57,卡牌消耗!AI587,AD587)*INDEX(卡牌消耗!$B$5:$F$5,AG587)/$Q$4/5,0)*5</f>
        <v>2160</v>
      </c>
      <c r="AN587" s="14" t="str">
        <f>IF(AE587&gt;0,INDEX(挂机升级突破!$BX$4:$CH$4,AE587),"")</f>
        <v/>
      </c>
      <c r="AO587" s="14" t="str">
        <f>IF(AE587&gt;0,ROUND(INDEX(挂机升级突破!$BX$6:$CH$57,卡牌消耗!AI587,AE587)*INDEX(卡牌消耗!$B$7:$F$7,AG587)/$Q$4,0),"")</f>
        <v/>
      </c>
    </row>
    <row r="588" spans="27:41" ht="16.5" x14ac:dyDescent="0.2">
      <c r="AA588" s="104">
        <v>584</v>
      </c>
      <c r="AB588" s="14">
        <f t="shared" si="178"/>
        <v>12</v>
      </c>
      <c r="AC588" s="14">
        <f>INDEX(挂机升级突破!$BU$6:$BU$57,卡牌消耗!AI588)</f>
        <v>11</v>
      </c>
      <c r="AD588" s="14">
        <f>INDEX(挂机升级突破!BV$6:BV$57,卡牌消耗!$AI588)</f>
        <v>2</v>
      </c>
      <c r="AE588" s="14">
        <f>INDEX(挂机升级突破!BW$6:BW$57,卡牌消耗!$AI588)</f>
        <v>0</v>
      </c>
      <c r="AF588" s="14" t="str">
        <f t="shared" si="179"/>
        <v>夏侯惇</v>
      </c>
      <c r="AG588" s="14">
        <f t="shared" si="180"/>
        <v>5</v>
      </c>
      <c r="AH588" s="14" t="str">
        <f t="shared" si="181"/>
        <v>夏侯惇魂火-12</v>
      </c>
      <c r="AI588" s="14">
        <f t="shared" si="182"/>
        <v>12</v>
      </c>
      <c r="AJ588" s="14" t="str">
        <f>INDEX(挂机升级突破!$BX$4:$CH$4,INDEX(挂机升级突破!$BU$6:$BU$57,卡牌消耗!AI588))</f>
        <v>金币</v>
      </c>
      <c r="AK588" s="14">
        <f>ROUND(INDEX(挂机升级突破!$BN$6:$BN$57,卡牌消耗!AI588)*INDEX(卡牌消耗!$B$8:$F$8,AG588)/$Q$4/50,0)*50</f>
        <v>4250</v>
      </c>
      <c r="AL588" s="14" t="str">
        <f>IF(AD588&gt;0,INDEX(挂机升级突破!$BX$4:$CH$4,AD588),"")</f>
        <v>蓝色基础材料</v>
      </c>
      <c r="AM588" s="14">
        <f>ROUND(INDEX(挂机升级突破!$BX$6:$CH$57,卡牌消耗!AI588,AD588)*INDEX(卡牌消耗!$B$5:$F$5,AG588)/$Q$4/5,0)*5</f>
        <v>2880</v>
      </c>
      <c r="AN588" s="14" t="str">
        <f>IF(AE588&gt;0,INDEX(挂机升级突破!$BX$4:$CH$4,AE588),"")</f>
        <v/>
      </c>
      <c r="AO588" s="14" t="str">
        <f>IF(AE588&gt;0,ROUND(INDEX(挂机升级突破!$BX$6:$CH$57,卡牌消耗!AI588,AE588)*INDEX(卡牌消耗!$B$7:$F$7,AG588)/$Q$4,0),"")</f>
        <v/>
      </c>
    </row>
    <row r="589" spans="27:41" ht="16.5" x14ac:dyDescent="0.2">
      <c r="AA589" s="104">
        <v>585</v>
      </c>
      <c r="AB589" s="14">
        <f t="shared" si="178"/>
        <v>12</v>
      </c>
      <c r="AC589" s="14">
        <f>INDEX(挂机升级突破!$BU$6:$BU$57,卡牌消耗!AI589)</f>
        <v>11</v>
      </c>
      <c r="AD589" s="14">
        <f>INDEX(挂机升级突破!BV$6:BV$57,卡牌消耗!$AI589)</f>
        <v>2</v>
      </c>
      <c r="AE589" s="14">
        <f>INDEX(挂机升级突破!BW$6:BW$57,卡牌消耗!$AI589)</f>
        <v>0</v>
      </c>
      <c r="AF589" s="14" t="str">
        <f t="shared" si="179"/>
        <v>夏侯惇</v>
      </c>
      <c r="AG589" s="14">
        <f t="shared" si="180"/>
        <v>5</v>
      </c>
      <c r="AH589" s="14" t="str">
        <f t="shared" si="181"/>
        <v>夏侯惇魂火-13</v>
      </c>
      <c r="AI589" s="14">
        <f t="shared" si="182"/>
        <v>13</v>
      </c>
      <c r="AJ589" s="14" t="str">
        <f>INDEX(挂机升级突破!$BX$4:$CH$4,INDEX(挂机升级突破!$BU$6:$BU$57,卡牌消耗!AI589))</f>
        <v>金币</v>
      </c>
      <c r="AK589" s="14">
        <f>ROUND(INDEX(挂机升级突破!$BN$6:$BN$57,卡牌消耗!AI589)*INDEX(卡牌消耗!$B$8:$F$8,AG589)/$Q$4/50,0)*50</f>
        <v>4250</v>
      </c>
      <c r="AL589" s="14" t="str">
        <f>IF(AD589&gt;0,INDEX(挂机升级突破!$BX$4:$CH$4,AD589),"")</f>
        <v>蓝色基础材料</v>
      </c>
      <c r="AM589" s="14">
        <f>ROUND(INDEX(挂机升级突破!$BX$6:$CH$57,卡牌消耗!AI589,AD589)*INDEX(卡牌消耗!$B$5:$F$5,AG589)/$Q$4/5,0)*5</f>
        <v>2880</v>
      </c>
      <c r="AN589" s="14" t="str">
        <f>IF(AE589&gt;0,INDEX(挂机升级突破!$BX$4:$CH$4,AE589),"")</f>
        <v/>
      </c>
      <c r="AO589" s="14" t="str">
        <f>IF(AE589&gt;0,ROUND(INDEX(挂机升级突破!$BX$6:$CH$57,卡牌消耗!AI589,AE589)*INDEX(卡牌消耗!$B$7:$F$7,AG589)/$Q$4,0),"")</f>
        <v/>
      </c>
    </row>
    <row r="590" spans="27:41" ht="16.5" x14ac:dyDescent="0.2">
      <c r="AA590" s="104">
        <v>586</v>
      </c>
      <c r="AB590" s="14">
        <f t="shared" si="178"/>
        <v>12</v>
      </c>
      <c r="AC590" s="14">
        <f>INDEX(挂机升级突破!$BU$6:$BU$57,卡牌消耗!AI590)</f>
        <v>11</v>
      </c>
      <c r="AD590" s="14">
        <f>INDEX(挂机升级突破!BV$6:BV$57,卡牌消耗!$AI590)</f>
        <v>3</v>
      </c>
      <c r="AE590" s="14">
        <f>INDEX(挂机升级突破!BW$6:BW$57,卡牌消耗!$AI590)</f>
        <v>0</v>
      </c>
      <c r="AF590" s="14" t="str">
        <f t="shared" si="179"/>
        <v>夏侯惇</v>
      </c>
      <c r="AG590" s="14">
        <f t="shared" si="180"/>
        <v>5</v>
      </c>
      <c r="AH590" s="14" t="str">
        <f t="shared" si="181"/>
        <v>夏侯惇魂火-14</v>
      </c>
      <c r="AI590" s="14">
        <f t="shared" si="182"/>
        <v>14</v>
      </c>
      <c r="AJ590" s="14" t="str">
        <f>INDEX(挂机升级突破!$BX$4:$CH$4,INDEX(挂机升级突破!$BU$6:$BU$57,卡牌消耗!AI590))</f>
        <v>金币</v>
      </c>
      <c r="AK590" s="14">
        <f>ROUND(INDEX(挂机升级突破!$BN$6:$BN$57,卡牌消耗!AI590)*INDEX(卡牌消耗!$B$8:$F$8,AG590)/$Q$4/50,0)*50</f>
        <v>4650</v>
      </c>
      <c r="AL590" s="14" t="str">
        <f>IF(AD590&gt;0,INDEX(挂机升级突破!$BX$4:$CH$4,AD590),"")</f>
        <v>紫色基础材料</v>
      </c>
      <c r="AM590" s="14">
        <f>ROUND(INDEX(挂机升级突破!$BX$6:$CH$57,卡牌消耗!AI590,AD590)*INDEX(卡牌消耗!$B$5:$F$5,AG590)/$Q$4/5,0)*5</f>
        <v>250</v>
      </c>
      <c r="AN590" s="14" t="str">
        <f>IF(AE590&gt;0,INDEX(挂机升级突破!$BX$4:$CH$4,AE590),"")</f>
        <v/>
      </c>
      <c r="AO590" s="14" t="str">
        <f>IF(AE590&gt;0,ROUND(INDEX(挂机升级突破!$BX$6:$CH$57,卡牌消耗!AI590,AE590)*INDEX(卡牌消耗!$B$7:$F$7,AG590)/$Q$4,0),"")</f>
        <v/>
      </c>
    </row>
    <row r="591" spans="27:41" ht="16.5" x14ac:dyDescent="0.2">
      <c r="AA591" s="104">
        <v>587</v>
      </c>
      <c r="AB591" s="14">
        <f t="shared" si="178"/>
        <v>12</v>
      </c>
      <c r="AC591" s="14">
        <f>INDEX(挂机升级突破!$BU$6:$BU$57,卡牌消耗!AI591)</f>
        <v>11</v>
      </c>
      <c r="AD591" s="14">
        <f>INDEX(挂机升级突破!BV$6:BV$57,卡牌消耗!$AI591)</f>
        <v>3</v>
      </c>
      <c r="AE591" s="14">
        <f>INDEX(挂机升级突破!BW$6:BW$57,卡牌消耗!$AI591)</f>
        <v>0</v>
      </c>
      <c r="AF591" s="14" t="str">
        <f t="shared" si="179"/>
        <v>夏侯惇</v>
      </c>
      <c r="AG591" s="14">
        <f t="shared" si="180"/>
        <v>5</v>
      </c>
      <c r="AH591" s="14" t="str">
        <f t="shared" si="181"/>
        <v>夏侯惇魂火-15</v>
      </c>
      <c r="AI591" s="14">
        <f t="shared" si="182"/>
        <v>15</v>
      </c>
      <c r="AJ591" s="14" t="str">
        <f>INDEX(挂机升级突破!$BX$4:$CH$4,INDEX(挂机升级突破!$BU$6:$BU$57,卡牌消耗!AI591))</f>
        <v>金币</v>
      </c>
      <c r="AK591" s="14">
        <f>ROUND(INDEX(挂机升级突破!$BN$6:$BN$57,卡牌消耗!AI591)*INDEX(卡牌消耗!$B$8:$F$8,AG591)/$Q$4/50,0)*50</f>
        <v>5100</v>
      </c>
      <c r="AL591" s="14" t="str">
        <f>IF(AD591&gt;0,INDEX(挂机升级突破!$BX$4:$CH$4,AD591),"")</f>
        <v>紫色基础材料</v>
      </c>
      <c r="AM591" s="14">
        <f>ROUND(INDEX(挂机升级突破!$BX$6:$CH$57,卡牌消耗!AI591,AD591)*INDEX(卡牌消耗!$B$5:$F$5,AG591)/$Q$4/5,0)*5</f>
        <v>250</v>
      </c>
      <c r="AN591" s="14" t="str">
        <f>IF(AE591&gt;0,INDEX(挂机升级突破!$BX$4:$CH$4,AE591),"")</f>
        <v/>
      </c>
      <c r="AO591" s="14" t="str">
        <f>IF(AE591&gt;0,ROUND(INDEX(挂机升级突破!$BX$6:$CH$57,卡牌消耗!AI591,AE591)*INDEX(卡牌消耗!$B$7:$F$7,AG591)/$Q$4,0),"")</f>
        <v/>
      </c>
    </row>
    <row r="592" spans="27:41" ht="16.5" x14ac:dyDescent="0.2">
      <c r="AA592" s="104">
        <v>588</v>
      </c>
      <c r="AB592" s="14">
        <f t="shared" si="178"/>
        <v>12</v>
      </c>
      <c r="AC592" s="14">
        <f>INDEX(挂机升级突破!$BU$6:$BU$57,卡牌消耗!AI592)</f>
        <v>11</v>
      </c>
      <c r="AD592" s="14">
        <f>INDEX(挂机升级突破!BV$6:BV$57,卡牌消耗!$AI592)</f>
        <v>3</v>
      </c>
      <c r="AE592" s="14">
        <f>INDEX(挂机升级突破!BW$6:BW$57,卡牌消耗!$AI592)</f>
        <v>0</v>
      </c>
      <c r="AF592" s="14" t="str">
        <f t="shared" si="179"/>
        <v>夏侯惇</v>
      </c>
      <c r="AG592" s="14">
        <f t="shared" si="180"/>
        <v>5</v>
      </c>
      <c r="AH592" s="14" t="str">
        <f t="shared" si="181"/>
        <v>夏侯惇魂火-16</v>
      </c>
      <c r="AI592" s="14">
        <f t="shared" si="182"/>
        <v>16</v>
      </c>
      <c r="AJ592" s="14" t="str">
        <f>INDEX(挂机升级突破!$BX$4:$CH$4,INDEX(挂机升级突破!$BU$6:$BU$57,卡牌消耗!AI592))</f>
        <v>金币</v>
      </c>
      <c r="AK592" s="14">
        <f>ROUND(INDEX(挂机升级突破!$BN$6:$BN$57,卡牌消耗!AI592)*INDEX(卡牌消耗!$B$8:$F$8,AG592)/$Q$4/50,0)*50</f>
        <v>5100</v>
      </c>
      <c r="AL592" s="14" t="str">
        <f>IF(AD592&gt;0,INDEX(挂机升级突破!$BX$4:$CH$4,AD592),"")</f>
        <v>紫色基础材料</v>
      </c>
      <c r="AM592" s="14">
        <f>ROUND(INDEX(挂机升级突破!$BX$6:$CH$57,卡牌消耗!AI592,AD592)*INDEX(卡牌消耗!$B$5:$F$5,AG592)/$Q$4/5,0)*5</f>
        <v>250</v>
      </c>
      <c r="AN592" s="14" t="str">
        <f>IF(AE592&gt;0,INDEX(挂机升级突破!$BX$4:$CH$4,AE592),"")</f>
        <v/>
      </c>
      <c r="AO592" s="14" t="str">
        <f>IF(AE592&gt;0,ROUND(INDEX(挂机升级突破!$BX$6:$CH$57,卡牌消耗!AI592,AE592)*INDEX(卡牌消耗!$B$7:$F$7,AG592)/$Q$4,0),"")</f>
        <v/>
      </c>
    </row>
    <row r="593" spans="27:41" ht="16.5" x14ac:dyDescent="0.2">
      <c r="AA593" s="104">
        <v>589</v>
      </c>
      <c r="AB593" s="14">
        <f t="shared" si="178"/>
        <v>12</v>
      </c>
      <c r="AC593" s="14">
        <f>INDEX(挂机升级突破!$BU$6:$BU$57,卡牌消耗!AI593)</f>
        <v>11</v>
      </c>
      <c r="AD593" s="14">
        <f>INDEX(挂机升级突破!BV$6:BV$57,卡牌消耗!$AI593)</f>
        <v>3</v>
      </c>
      <c r="AE593" s="14">
        <f>INDEX(挂机升级突破!BW$6:BW$57,卡牌消耗!$AI593)</f>
        <v>0</v>
      </c>
      <c r="AF593" s="14" t="str">
        <f t="shared" si="179"/>
        <v>夏侯惇</v>
      </c>
      <c r="AG593" s="14">
        <f t="shared" si="180"/>
        <v>5</v>
      </c>
      <c r="AH593" s="14" t="str">
        <f t="shared" si="181"/>
        <v>夏侯惇魂火-17</v>
      </c>
      <c r="AI593" s="14">
        <f t="shared" si="182"/>
        <v>17</v>
      </c>
      <c r="AJ593" s="14" t="str">
        <f>INDEX(挂机升级突破!$BX$4:$CH$4,INDEX(挂机升级突破!$BU$6:$BU$57,卡牌消耗!AI593))</f>
        <v>金币</v>
      </c>
      <c r="AK593" s="14">
        <f>ROUND(INDEX(挂机升级突破!$BN$6:$BN$57,卡牌消耗!AI593)*INDEX(卡牌消耗!$B$8:$F$8,AG593)/$Q$4/50,0)*50</f>
        <v>6350</v>
      </c>
      <c r="AL593" s="14" t="str">
        <f>IF(AD593&gt;0,INDEX(挂机升级突破!$BX$4:$CH$4,AD593),"")</f>
        <v>紫色基础材料</v>
      </c>
      <c r="AM593" s="14">
        <f>ROUND(INDEX(挂机升级突破!$BX$6:$CH$57,卡牌消耗!AI593,AD593)*INDEX(卡牌消耗!$B$5:$F$5,AG593)/$Q$4/5,0)*5</f>
        <v>505</v>
      </c>
      <c r="AN593" s="14" t="str">
        <f>IF(AE593&gt;0,INDEX(挂机升级突破!$BX$4:$CH$4,AE593),"")</f>
        <v/>
      </c>
      <c r="AO593" s="14" t="str">
        <f>IF(AE593&gt;0,ROUND(INDEX(挂机升级突破!$BX$6:$CH$57,卡牌消耗!AI593,AE593)*INDEX(卡牌消耗!$B$7:$F$7,AG593)/$Q$4,0),"")</f>
        <v/>
      </c>
    </row>
    <row r="594" spans="27:41" ht="16.5" x14ac:dyDescent="0.2">
      <c r="AA594" s="104">
        <v>590</v>
      </c>
      <c r="AB594" s="14">
        <f t="shared" si="178"/>
        <v>12</v>
      </c>
      <c r="AC594" s="14">
        <f>INDEX(挂机升级突破!$BU$6:$BU$57,卡牌消耗!AI594)</f>
        <v>11</v>
      </c>
      <c r="AD594" s="14">
        <f>INDEX(挂机升级突破!BV$6:BV$57,卡牌消耗!$AI594)</f>
        <v>3</v>
      </c>
      <c r="AE594" s="14">
        <f>INDEX(挂机升级突破!BW$6:BW$57,卡牌消耗!$AI594)</f>
        <v>0</v>
      </c>
      <c r="AF594" s="14" t="str">
        <f t="shared" si="179"/>
        <v>夏侯惇</v>
      </c>
      <c r="AG594" s="14">
        <f t="shared" si="180"/>
        <v>5</v>
      </c>
      <c r="AH594" s="14" t="str">
        <f t="shared" si="181"/>
        <v>夏侯惇魂火-18</v>
      </c>
      <c r="AI594" s="14">
        <f t="shared" si="182"/>
        <v>18</v>
      </c>
      <c r="AJ594" s="14" t="str">
        <f>INDEX(挂机升级突破!$BX$4:$CH$4,INDEX(挂机升级突破!$BU$6:$BU$57,卡牌消耗!AI594))</f>
        <v>金币</v>
      </c>
      <c r="AK594" s="14">
        <f>ROUND(INDEX(挂机升级突破!$BN$6:$BN$57,卡牌消耗!AI594)*INDEX(卡牌消耗!$B$8:$F$8,AG594)/$Q$4/50,0)*50</f>
        <v>6350</v>
      </c>
      <c r="AL594" s="14" t="str">
        <f>IF(AD594&gt;0,INDEX(挂机升级突破!$BX$4:$CH$4,AD594),"")</f>
        <v>紫色基础材料</v>
      </c>
      <c r="AM594" s="14">
        <f>ROUND(INDEX(挂机升级突破!$BX$6:$CH$57,卡牌消耗!AI594,AD594)*INDEX(卡牌消耗!$B$5:$F$5,AG594)/$Q$4/5,0)*5</f>
        <v>505</v>
      </c>
      <c r="AN594" s="14" t="str">
        <f>IF(AE594&gt;0,INDEX(挂机升级突破!$BX$4:$CH$4,AE594),"")</f>
        <v/>
      </c>
      <c r="AO594" s="14" t="str">
        <f>IF(AE594&gt;0,ROUND(INDEX(挂机升级突破!$BX$6:$CH$57,卡牌消耗!AI594,AE594)*INDEX(卡牌消耗!$B$7:$F$7,AG594)/$Q$4,0),"")</f>
        <v/>
      </c>
    </row>
    <row r="595" spans="27:41" ht="16.5" x14ac:dyDescent="0.2">
      <c r="AA595" s="104">
        <v>591</v>
      </c>
      <c r="AB595" s="14">
        <f t="shared" si="178"/>
        <v>12</v>
      </c>
      <c r="AC595" s="14">
        <f>INDEX(挂机升级突破!$BU$6:$BU$57,卡牌消耗!AI595)</f>
        <v>11</v>
      </c>
      <c r="AD595" s="14">
        <f>INDEX(挂机升级突破!BV$6:BV$57,卡牌消耗!$AI595)</f>
        <v>3</v>
      </c>
      <c r="AE595" s="14">
        <f>INDEX(挂机升级突破!BW$6:BW$57,卡牌消耗!$AI595)</f>
        <v>0</v>
      </c>
      <c r="AF595" s="14" t="str">
        <f t="shared" si="179"/>
        <v>夏侯惇</v>
      </c>
      <c r="AG595" s="14">
        <f t="shared" si="180"/>
        <v>5</v>
      </c>
      <c r="AH595" s="14" t="str">
        <f t="shared" si="181"/>
        <v>夏侯惇魂火-19</v>
      </c>
      <c r="AI595" s="14">
        <f t="shared" si="182"/>
        <v>19</v>
      </c>
      <c r="AJ595" s="14" t="str">
        <f>INDEX(挂机升级突破!$BX$4:$CH$4,INDEX(挂机升级突破!$BU$6:$BU$57,卡牌消耗!AI595))</f>
        <v>金币</v>
      </c>
      <c r="AK595" s="14">
        <f>ROUND(INDEX(挂机升级突破!$BN$6:$BN$57,卡牌消耗!AI595)*INDEX(卡牌消耗!$B$8:$F$8,AG595)/$Q$4/50,0)*50</f>
        <v>6350</v>
      </c>
      <c r="AL595" s="14" t="str">
        <f>IF(AD595&gt;0,INDEX(挂机升级突破!$BX$4:$CH$4,AD595),"")</f>
        <v>紫色基础材料</v>
      </c>
      <c r="AM595" s="14">
        <f>ROUND(INDEX(挂机升级突破!$BX$6:$CH$57,卡牌消耗!AI595,AD595)*INDEX(卡牌消耗!$B$5:$F$5,AG595)/$Q$4/5,0)*5</f>
        <v>505</v>
      </c>
      <c r="AN595" s="14" t="str">
        <f>IF(AE595&gt;0,INDEX(挂机升级突破!$BX$4:$CH$4,AE595),"")</f>
        <v/>
      </c>
      <c r="AO595" s="14" t="str">
        <f>IF(AE595&gt;0,ROUND(INDEX(挂机升级突破!$BX$6:$CH$57,卡牌消耗!AI595,AE595)*INDEX(卡牌消耗!$B$7:$F$7,AG595)/$Q$4,0),"")</f>
        <v/>
      </c>
    </row>
    <row r="596" spans="27:41" ht="16.5" x14ac:dyDescent="0.2">
      <c r="AA596" s="104">
        <v>592</v>
      </c>
      <c r="AB596" s="14">
        <f t="shared" si="178"/>
        <v>12</v>
      </c>
      <c r="AC596" s="14">
        <f>INDEX(挂机升级突破!$BU$6:$BU$57,卡牌消耗!AI596)</f>
        <v>11</v>
      </c>
      <c r="AD596" s="14">
        <f>INDEX(挂机升级突破!BV$6:BV$57,卡牌消耗!$AI596)</f>
        <v>3</v>
      </c>
      <c r="AE596" s="14">
        <f>INDEX(挂机升级突破!BW$6:BW$57,卡牌消耗!$AI596)</f>
        <v>0</v>
      </c>
      <c r="AF596" s="14" t="str">
        <f t="shared" si="179"/>
        <v>夏侯惇</v>
      </c>
      <c r="AG596" s="14">
        <f t="shared" si="180"/>
        <v>5</v>
      </c>
      <c r="AH596" s="14" t="str">
        <f t="shared" si="181"/>
        <v>夏侯惇魂火-20</v>
      </c>
      <c r="AI596" s="14">
        <f t="shared" si="182"/>
        <v>20</v>
      </c>
      <c r="AJ596" s="14" t="str">
        <f>INDEX(挂机升级突破!$BX$4:$CH$4,INDEX(挂机升级突破!$BU$6:$BU$57,卡牌消耗!AI596))</f>
        <v>金币</v>
      </c>
      <c r="AK596" s="14">
        <f>ROUND(INDEX(挂机升级突破!$BN$6:$BN$57,卡牌消耗!AI596)*INDEX(卡牌消耗!$B$8:$F$8,AG596)/$Q$4/50,0)*50</f>
        <v>7800</v>
      </c>
      <c r="AL596" s="14" t="str">
        <f>IF(AD596&gt;0,INDEX(挂机升级突破!$BX$4:$CH$4,AD596),"")</f>
        <v>紫色基础材料</v>
      </c>
      <c r="AM596" s="14">
        <f>ROUND(INDEX(挂机升级突破!$BX$6:$CH$57,卡牌消耗!AI596,AD596)*INDEX(卡牌消耗!$B$5:$F$5,AG596)/$Q$4/5,0)*5</f>
        <v>755</v>
      </c>
      <c r="AN596" s="14" t="str">
        <f>IF(AE596&gt;0,INDEX(挂机升级突破!$BX$4:$CH$4,AE596),"")</f>
        <v/>
      </c>
      <c r="AO596" s="14" t="str">
        <f>IF(AE596&gt;0,ROUND(INDEX(挂机升级突破!$BX$6:$CH$57,卡牌消耗!AI596,AE596)*INDEX(卡牌消耗!$B$7:$F$7,AG596)/$Q$4,0),"")</f>
        <v/>
      </c>
    </row>
    <row r="597" spans="27:41" ht="16.5" x14ac:dyDescent="0.2">
      <c r="AA597" s="104">
        <v>593</v>
      </c>
      <c r="AB597" s="14">
        <f t="shared" si="178"/>
        <v>12</v>
      </c>
      <c r="AC597" s="14">
        <f>INDEX(挂机升级突破!$BU$6:$BU$57,卡牌消耗!AI597)</f>
        <v>11</v>
      </c>
      <c r="AD597" s="14">
        <f>INDEX(挂机升级突破!BV$6:BV$57,卡牌消耗!$AI597)</f>
        <v>3</v>
      </c>
      <c r="AE597" s="14">
        <f>INDEX(挂机升级突破!BW$6:BW$57,卡牌消耗!$AI597)</f>
        <v>0</v>
      </c>
      <c r="AF597" s="14" t="str">
        <f t="shared" si="179"/>
        <v>夏侯惇</v>
      </c>
      <c r="AG597" s="14">
        <f t="shared" si="180"/>
        <v>5</v>
      </c>
      <c r="AH597" s="14" t="str">
        <f t="shared" si="181"/>
        <v>夏侯惇魂火-21</v>
      </c>
      <c r="AI597" s="14">
        <f t="shared" si="182"/>
        <v>21</v>
      </c>
      <c r="AJ597" s="14" t="str">
        <f>INDEX(挂机升级突破!$BX$4:$CH$4,INDEX(挂机升级突破!$BU$6:$BU$57,卡牌消耗!AI597))</f>
        <v>金币</v>
      </c>
      <c r="AK597" s="14">
        <f>ROUND(INDEX(挂机升级突破!$BN$6:$BN$57,卡牌消耗!AI597)*INDEX(卡牌消耗!$B$8:$F$8,AG597)/$Q$4/50,0)*50</f>
        <v>7800</v>
      </c>
      <c r="AL597" s="14" t="str">
        <f>IF(AD597&gt;0,INDEX(挂机升级突破!$BX$4:$CH$4,AD597),"")</f>
        <v>紫色基础材料</v>
      </c>
      <c r="AM597" s="14">
        <f>ROUND(INDEX(挂机升级突破!$BX$6:$CH$57,卡牌消耗!AI597,AD597)*INDEX(卡牌消耗!$B$5:$F$5,AG597)/$Q$4/5,0)*5</f>
        <v>755</v>
      </c>
      <c r="AN597" s="14" t="str">
        <f>IF(AE597&gt;0,INDEX(挂机升级突破!$BX$4:$CH$4,AE597),"")</f>
        <v/>
      </c>
      <c r="AO597" s="14" t="str">
        <f>IF(AE597&gt;0,ROUND(INDEX(挂机升级突破!$BX$6:$CH$57,卡牌消耗!AI597,AE597)*INDEX(卡牌消耗!$B$7:$F$7,AG597)/$Q$4,0),"")</f>
        <v/>
      </c>
    </row>
    <row r="598" spans="27:41" ht="16.5" x14ac:dyDescent="0.2">
      <c r="AA598" s="104">
        <v>594</v>
      </c>
      <c r="AB598" s="14">
        <f t="shared" si="178"/>
        <v>12</v>
      </c>
      <c r="AC598" s="14">
        <f>INDEX(挂机升级突破!$BU$6:$BU$57,卡牌消耗!AI598)</f>
        <v>11</v>
      </c>
      <c r="AD598" s="14">
        <f>INDEX(挂机升级突破!BV$6:BV$57,卡牌消耗!$AI598)</f>
        <v>3</v>
      </c>
      <c r="AE598" s="14">
        <f>INDEX(挂机升级突破!BW$6:BW$57,卡牌消耗!$AI598)</f>
        <v>0</v>
      </c>
      <c r="AF598" s="14" t="str">
        <f t="shared" si="179"/>
        <v>夏侯惇</v>
      </c>
      <c r="AG598" s="14">
        <f t="shared" si="180"/>
        <v>5</v>
      </c>
      <c r="AH598" s="14" t="str">
        <f t="shared" si="181"/>
        <v>夏侯惇魂火-22</v>
      </c>
      <c r="AI598" s="14">
        <f t="shared" si="182"/>
        <v>22</v>
      </c>
      <c r="AJ598" s="14" t="str">
        <f>INDEX(挂机升级突破!$BX$4:$CH$4,INDEX(挂机升级突破!$BU$6:$BU$57,卡牌消耗!AI598))</f>
        <v>金币</v>
      </c>
      <c r="AK598" s="14">
        <f>ROUND(INDEX(挂机升级突破!$BN$6:$BN$57,卡牌消耗!AI598)*INDEX(卡牌消耗!$B$8:$F$8,AG598)/$Q$4/50,0)*50</f>
        <v>7800</v>
      </c>
      <c r="AL598" s="14" t="str">
        <f>IF(AD598&gt;0,INDEX(挂机升级突破!$BX$4:$CH$4,AD598),"")</f>
        <v>紫色基础材料</v>
      </c>
      <c r="AM598" s="14">
        <f>ROUND(INDEX(挂机升级突破!$BX$6:$CH$57,卡牌消耗!AI598,AD598)*INDEX(卡牌消耗!$B$5:$F$5,AG598)/$Q$4/5,0)*5</f>
        <v>755</v>
      </c>
      <c r="AN598" s="14" t="str">
        <f>IF(AE598&gt;0,INDEX(挂机升级突破!$BX$4:$CH$4,AE598),"")</f>
        <v/>
      </c>
      <c r="AO598" s="14" t="str">
        <f>IF(AE598&gt;0,ROUND(INDEX(挂机升级突破!$BX$6:$CH$57,卡牌消耗!AI598,AE598)*INDEX(卡牌消耗!$B$7:$F$7,AG598)/$Q$4,0),"")</f>
        <v/>
      </c>
    </row>
    <row r="599" spans="27:41" ht="16.5" x14ac:dyDescent="0.2">
      <c r="AA599" s="104">
        <v>595</v>
      </c>
      <c r="AB599" s="14">
        <f t="shared" si="178"/>
        <v>12</v>
      </c>
      <c r="AC599" s="14">
        <f>INDEX(挂机升级突破!$BU$6:$BU$57,卡牌消耗!AI599)</f>
        <v>11</v>
      </c>
      <c r="AD599" s="14">
        <f>INDEX(挂机升级突破!BV$6:BV$57,卡牌消耗!$AI599)</f>
        <v>4</v>
      </c>
      <c r="AE599" s="14">
        <f>INDEX(挂机升级突破!BW$6:BW$57,卡牌消耗!$AI599)</f>
        <v>0</v>
      </c>
      <c r="AF599" s="14" t="str">
        <f t="shared" si="179"/>
        <v>夏侯惇</v>
      </c>
      <c r="AG599" s="14">
        <f t="shared" si="180"/>
        <v>5</v>
      </c>
      <c r="AH599" s="14" t="str">
        <f t="shared" si="181"/>
        <v>夏侯惇魂火-23</v>
      </c>
      <c r="AI599" s="14">
        <f t="shared" si="182"/>
        <v>23</v>
      </c>
      <c r="AJ599" s="14" t="str">
        <f>INDEX(挂机升级突破!$BX$4:$CH$4,INDEX(挂机升级突破!$BU$6:$BU$57,卡牌消耗!AI599))</f>
        <v>金币</v>
      </c>
      <c r="AK599" s="14">
        <f>ROUND(INDEX(挂机升级突破!$BN$6:$BN$57,卡牌消耗!AI599)*INDEX(卡牌消耗!$B$8:$F$8,AG599)/$Q$4/50,0)*50</f>
        <v>10750</v>
      </c>
      <c r="AL599" s="14" t="str">
        <f>IF(AD599&gt;0,INDEX(挂机升级突破!$BX$4:$CH$4,AD599),"")</f>
        <v>橙色基础材料</v>
      </c>
      <c r="AM599" s="14">
        <f>ROUND(INDEX(挂机升级突破!$BX$6:$CH$57,卡牌消耗!AI599,AD599)*INDEX(卡牌消耗!$B$5:$F$5,AG599)/$Q$4/5,0)*5</f>
        <v>105</v>
      </c>
      <c r="AN599" s="14" t="str">
        <f>IF(AE599&gt;0,INDEX(挂机升级突破!$BX$4:$CH$4,AE599),"")</f>
        <v/>
      </c>
      <c r="AO599" s="14" t="str">
        <f>IF(AE599&gt;0,ROUND(INDEX(挂机升级突破!$BX$6:$CH$57,卡牌消耗!AI599,AE599)*INDEX(卡牌消耗!$B$7:$F$7,AG599)/$Q$4,0),"")</f>
        <v/>
      </c>
    </row>
    <row r="600" spans="27:41" ht="16.5" x14ac:dyDescent="0.2">
      <c r="AA600" s="104">
        <v>596</v>
      </c>
      <c r="AB600" s="14">
        <f t="shared" si="178"/>
        <v>12</v>
      </c>
      <c r="AC600" s="14">
        <f>INDEX(挂机升级突破!$BU$6:$BU$57,卡牌消耗!AI600)</f>
        <v>11</v>
      </c>
      <c r="AD600" s="14">
        <f>INDEX(挂机升级突破!BV$6:BV$57,卡牌消耗!$AI600)</f>
        <v>4</v>
      </c>
      <c r="AE600" s="14">
        <f>INDEX(挂机升级突破!BW$6:BW$57,卡牌消耗!$AI600)</f>
        <v>0</v>
      </c>
      <c r="AF600" s="14" t="str">
        <f t="shared" si="179"/>
        <v>夏侯惇</v>
      </c>
      <c r="AG600" s="14">
        <f t="shared" si="180"/>
        <v>5</v>
      </c>
      <c r="AH600" s="14" t="str">
        <f t="shared" si="181"/>
        <v>夏侯惇魂火-24</v>
      </c>
      <c r="AI600" s="14">
        <f t="shared" si="182"/>
        <v>24</v>
      </c>
      <c r="AJ600" s="14" t="str">
        <f>INDEX(挂机升级突破!$BX$4:$CH$4,INDEX(挂机升级突破!$BU$6:$BU$57,卡牌消耗!AI600))</f>
        <v>金币</v>
      </c>
      <c r="AK600" s="14">
        <f>ROUND(INDEX(挂机升级突破!$BN$6:$BN$57,卡牌消耗!AI600)*INDEX(卡牌消耗!$B$8:$F$8,AG600)/$Q$4/50,0)*50</f>
        <v>10750</v>
      </c>
      <c r="AL600" s="14" t="str">
        <f>IF(AD600&gt;0,INDEX(挂机升级突破!$BX$4:$CH$4,AD600),"")</f>
        <v>橙色基础材料</v>
      </c>
      <c r="AM600" s="14">
        <f>ROUND(INDEX(挂机升级突破!$BX$6:$CH$57,卡牌消耗!AI600,AD600)*INDEX(卡牌消耗!$B$5:$F$5,AG600)/$Q$4/5,0)*5</f>
        <v>105</v>
      </c>
      <c r="AN600" s="14" t="str">
        <f>IF(AE600&gt;0,INDEX(挂机升级突破!$BX$4:$CH$4,AE600),"")</f>
        <v/>
      </c>
      <c r="AO600" s="14" t="str">
        <f>IF(AE600&gt;0,ROUND(INDEX(挂机升级突破!$BX$6:$CH$57,卡牌消耗!AI600,AE600)*INDEX(卡牌消耗!$B$7:$F$7,AG600)/$Q$4,0),"")</f>
        <v/>
      </c>
    </row>
    <row r="601" spans="27:41" ht="16.5" x14ac:dyDescent="0.2">
      <c r="AA601" s="104">
        <v>597</v>
      </c>
      <c r="AB601" s="14">
        <f t="shared" si="178"/>
        <v>12</v>
      </c>
      <c r="AC601" s="14">
        <f>INDEX(挂机升级突破!$BU$6:$BU$57,卡牌消耗!AI601)</f>
        <v>11</v>
      </c>
      <c r="AD601" s="14">
        <f>INDEX(挂机升级突破!BV$6:BV$57,卡牌消耗!$AI601)</f>
        <v>4</v>
      </c>
      <c r="AE601" s="14">
        <f>INDEX(挂机升级突破!BW$6:BW$57,卡牌消耗!$AI601)</f>
        <v>0</v>
      </c>
      <c r="AF601" s="14" t="str">
        <f t="shared" si="179"/>
        <v>夏侯惇</v>
      </c>
      <c r="AG601" s="14">
        <f t="shared" si="180"/>
        <v>5</v>
      </c>
      <c r="AH601" s="14" t="str">
        <f t="shared" si="181"/>
        <v>夏侯惇魂火-25</v>
      </c>
      <c r="AI601" s="14">
        <f t="shared" si="182"/>
        <v>25</v>
      </c>
      <c r="AJ601" s="14" t="str">
        <f>INDEX(挂机升级突破!$BX$4:$CH$4,INDEX(挂机升级突破!$BU$6:$BU$57,卡牌消耗!AI601))</f>
        <v>金币</v>
      </c>
      <c r="AK601" s="14">
        <f>ROUND(INDEX(挂机升级突破!$BN$6:$BN$57,卡牌消耗!AI601)*INDEX(卡牌消耗!$B$8:$F$8,AG601)/$Q$4/50,0)*50</f>
        <v>11700</v>
      </c>
      <c r="AL601" s="14" t="str">
        <f>IF(AD601&gt;0,INDEX(挂机升级突破!$BX$4:$CH$4,AD601),"")</f>
        <v>橙色基础材料</v>
      </c>
      <c r="AM601" s="14">
        <f>ROUND(INDEX(挂机升级突破!$BX$6:$CH$57,卡牌消耗!AI601,AD601)*INDEX(卡牌消耗!$B$5:$F$5,AG601)/$Q$4/5,0)*5</f>
        <v>105</v>
      </c>
      <c r="AN601" s="14" t="str">
        <f>IF(AE601&gt;0,INDEX(挂机升级突破!$BX$4:$CH$4,AE601),"")</f>
        <v/>
      </c>
      <c r="AO601" s="14" t="str">
        <f>IF(AE601&gt;0,ROUND(INDEX(挂机升级突破!$BX$6:$CH$57,卡牌消耗!AI601,AE601)*INDEX(卡牌消耗!$B$7:$F$7,AG601)/$Q$4,0),"")</f>
        <v/>
      </c>
    </row>
    <row r="602" spans="27:41" ht="16.5" x14ac:dyDescent="0.2">
      <c r="AA602" s="104">
        <v>598</v>
      </c>
      <c r="AB602" s="14">
        <f t="shared" si="178"/>
        <v>12</v>
      </c>
      <c r="AC602" s="14">
        <f>INDEX(挂机升级突破!$BU$6:$BU$57,卡牌消耗!AI602)</f>
        <v>11</v>
      </c>
      <c r="AD602" s="14">
        <f>INDEX(挂机升级突破!BV$6:BV$57,卡牌消耗!$AI602)</f>
        <v>4</v>
      </c>
      <c r="AE602" s="14">
        <f>INDEX(挂机升级突破!BW$6:BW$57,卡牌消耗!$AI602)</f>
        <v>0</v>
      </c>
      <c r="AF602" s="14" t="str">
        <f t="shared" si="179"/>
        <v>夏侯惇</v>
      </c>
      <c r="AG602" s="14">
        <f t="shared" si="180"/>
        <v>5</v>
      </c>
      <c r="AH602" s="14" t="str">
        <f t="shared" si="181"/>
        <v>夏侯惇魂火-26</v>
      </c>
      <c r="AI602" s="14">
        <f t="shared" si="182"/>
        <v>26</v>
      </c>
      <c r="AJ602" s="14" t="str">
        <f>INDEX(挂机升级突破!$BX$4:$CH$4,INDEX(挂机升级突破!$BU$6:$BU$57,卡牌消耗!AI602))</f>
        <v>金币</v>
      </c>
      <c r="AK602" s="14">
        <f>ROUND(INDEX(挂机升级突破!$BN$6:$BN$57,卡牌消耗!AI602)*INDEX(卡牌消耗!$B$8:$F$8,AG602)/$Q$4/50,0)*50</f>
        <v>13650</v>
      </c>
      <c r="AL602" s="14" t="str">
        <f>IF(AD602&gt;0,INDEX(挂机升级突破!$BX$4:$CH$4,AD602),"")</f>
        <v>橙色基础材料</v>
      </c>
      <c r="AM602" s="14">
        <f>ROUND(INDEX(挂机升级突破!$BX$6:$CH$57,卡牌消耗!AI602,AD602)*INDEX(卡牌消耗!$B$5:$F$5,AG602)/$Q$4/5,0)*5</f>
        <v>125</v>
      </c>
      <c r="AN602" s="14" t="str">
        <f>IF(AE602&gt;0,INDEX(挂机升级突破!$BX$4:$CH$4,AE602),"")</f>
        <v/>
      </c>
      <c r="AO602" s="14" t="str">
        <f>IF(AE602&gt;0,ROUND(INDEX(挂机升级突破!$BX$6:$CH$57,卡牌消耗!AI602,AE602)*INDEX(卡牌消耗!$B$7:$F$7,AG602)/$Q$4,0),"")</f>
        <v/>
      </c>
    </row>
    <row r="603" spans="27:41" ht="16.5" x14ac:dyDescent="0.2">
      <c r="AA603" s="104">
        <v>599</v>
      </c>
      <c r="AB603" s="14">
        <f t="shared" si="178"/>
        <v>12</v>
      </c>
      <c r="AC603" s="14">
        <f>INDEX(挂机升级突破!$BU$6:$BU$57,卡牌消耗!AI603)</f>
        <v>11</v>
      </c>
      <c r="AD603" s="14">
        <f>INDEX(挂机升级突破!BV$6:BV$57,卡牌消耗!$AI603)</f>
        <v>4</v>
      </c>
      <c r="AE603" s="14">
        <f>INDEX(挂机升级突破!BW$6:BW$57,卡牌消耗!$AI603)</f>
        <v>0</v>
      </c>
      <c r="AF603" s="14" t="str">
        <f t="shared" si="179"/>
        <v>夏侯惇</v>
      </c>
      <c r="AG603" s="14">
        <f t="shared" si="180"/>
        <v>5</v>
      </c>
      <c r="AH603" s="14" t="str">
        <f t="shared" si="181"/>
        <v>夏侯惇魂火-27</v>
      </c>
      <c r="AI603" s="14">
        <f t="shared" si="182"/>
        <v>27</v>
      </c>
      <c r="AJ603" s="14" t="str">
        <f>INDEX(挂机升级突破!$BX$4:$CH$4,INDEX(挂机升级突破!$BU$6:$BU$57,卡牌消耗!AI603))</f>
        <v>金币</v>
      </c>
      <c r="AK603" s="14">
        <f>ROUND(INDEX(挂机升级突破!$BN$6:$BN$57,卡牌消耗!AI603)*INDEX(卡牌消耗!$B$8:$F$8,AG603)/$Q$4/50,0)*50</f>
        <v>13650</v>
      </c>
      <c r="AL603" s="14" t="str">
        <f>IF(AD603&gt;0,INDEX(挂机升级突破!$BX$4:$CH$4,AD603),"")</f>
        <v>橙色基础材料</v>
      </c>
      <c r="AM603" s="14">
        <f>ROUND(INDEX(挂机升级突破!$BX$6:$CH$57,卡牌消耗!AI603,AD603)*INDEX(卡牌消耗!$B$5:$F$5,AG603)/$Q$4/5,0)*5</f>
        <v>125</v>
      </c>
      <c r="AN603" s="14" t="str">
        <f>IF(AE603&gt;0,INDEX(挂机升级突破!$BX$4:$CH$4,AE603),"")</f>
        <v/>
      </c>
      <c r="AO603" s="14" t="str">
        <f>IF(AE603&gt;0,ROUND(INDEX(挂机升级突破!$BX$6:$CH$57,卡牌消耗!AI603,AE603)*INDEX(卡牌消耗!$B$7:$F$7,AG603)/$Q$4,0),"")</f>
        <v/>
      </c>
    </row>
    <row r="604" spans="27:41" ht="16.5" x14ac:dyDescent="0.2">
      <c r="AA604" s="104">
        <v>600</v>
      </c>
      <c r="AB604" s="14">
        <f t="shared" si="178"/>
        <v>12</v>
      </c>
      <c r="AC604" s="14">
        <f>INDEX(挂机升级突破!$BU$6:$BU$57,卡牌消耗!AI604)</f>
        <v>11</v>
      </c>
      <c r="AD604" s="14">
        <f>INDEX(挂机升级突破!BV$6:BV$57,卡牌消耗!$AI604)</f>
        <v>4</v>
      </c>
      <c r="AE604" s="14">
        <f>INDEX(挂机升级突破!BW$6:BW$57,卡牌消耗!$AI604)</f>
        <v>0</v>
      </c>
      <c r="AF604" s="14" t="str">
        <f t="shared" si="179"/>
        <v>夏侯惇</v>
      </c>
      <c r="AG604" s="14">
        <f t="shared" si="180"/>
        <v>5</v>
      </c>
      <c r="AH604" s="14" t="str">
        <f t="shared" si="181"/>
        <v>夏侯惇魂火-28</v>
      </c>
      <c r="AI604" s="14">
        <f t="shared" si="182"/>
        <v>28</v>
      </c>
      <c r="AJ604" s="14" t="str">
        <f>INDEX(挂机升级突破!$BX$4:$CH$4,INDEX(挂机升级突破!$BU$6:$BU$57,卡牌消耗!AI604))</f>
        <v>金币</v>
      </c>
      <c r="AK604" s="14">
        <f>ROUND(INDEX(挂机升级突破!$BN$6:$BN$57,卡牌消耗!AI604)*INDEX(卡牌消耗!$B$8:$F$8,AG604)/$Q$4/50,0)*50</f>
        <v>13650</v>
      </c>
      <c r="AL604" s="14" t="str">
        <f>IF(AD604&gt;0,INDEX(挂机升级突破!$BX$4:$CH$4,AD604),"")</f>
        <v>橙色基础材料</v>
      </c>
      <c r="AM604" s="14">
        <f>ROUND(INDEX(挂机升级突破!$BX$6:$CH$57,卡牌消耗!AI604,AD604)*INDEX(卡牌消耗!$B$5:$F$5,AG604)/$Q$4/5,0)*5</f>
        <v>125</v>
      </c>
      <c r="AN604" s="14" t="str">
        <f>IF(AE604&gt;0,INDEX(挂机升级突破!$BX$4:$CH$4,AE604),"")</f>
        <v/>
      </c>
      <c r="AO604" s="14" t="str">
        <f>IF(AE604&gt;0,ROUND(INDEX(挂机升级突破!$BX$6:$CH$57,卡牌消耗!AI604,AE604)*INDEX(卡牌消耗!$B$7:$F$7,AG604)/$Q$4,0),"")</f>
        <v/>
      </c>
    </row>
    <row r="605" spans="27:41" ht="16.5" x14ac:dyDescent="0.2">
      <c r="AA605" s="104">
        <v>601</v>
      </c>
      <c r="AB605" s="14">
        <f t="shared" si="178"/>
        <v>12</v>
      </c>
      <c r="AC605" s="14">
        <f>INDEX(挂机升级突破!$BU$6:$BU$57,卡牌消耗!AI605)</f>
        <v>11</v>
      </c>
      <c r="AD605" s="14">
        <f>INDEX(挂机升级突破!BV$6:BV$57,卡牌消耗!$AI605)</f>
        <v>4</v>
      </c>
      <c r="AE605" s="14">
        <f>INDEX(挂机升级突破!BW$6:BW$57,卡牌消耗!$AI605)</f>
        <v>0</v>
      </c>
      <c r="AF605" s="14" t="str">
        <f t="shared" si="179"/>
        <v>夏侯惇</v>
      </c>
      <c r="AG605" s="14">
        <f t="shared" si="180"/>
        <v>5</v>
      </c>
      <c r="AH605" s="14" t="str">
        <f t="shared" si="181"/>
        <v>夏侯惇魂火-29</v>
      </c>
      <c r="AI605" s="14">
        <f t="shared" si="182"/>
        <v>29</v>
      </c>
      <c r="AJ605" s="14" t="str">
        <f>INDEX(挂机升级突破!$BX$4:$CH$4,INDEX(挂机升级突破!$BU$6:$BU$57,卡牌消耗!AI605))</f>
        <v>金币</v>
      </c>
      <c r="AK605" s="14">
        <f>ROUND(INDEX(挂机升级突破!$BN$6:$BN$57,卡牌消耗!AI605)*INDEX(卡牌消耗!$B$8:$F$8,AG605)/$Q$4/50,0)*50</f>
        <v>13850</v>
      </c>
      <c r="AL605" s="14" t="str">
        <f>IF(AD605&gt;0,INDEX(挂机升级突破!$BX$4:$CH$4,AD605),"")</f>
        <v>橙色基础材料</v>
      </c>
      <c r="AM605" s="14">
        <f>ROUND(INDEX(挂机升级突破!$BX$6:$CH$57,卡牌消耗!AI605,AD605)*INDEX(卡牌消耗!$B$5:$F$5,AG605)/$Q$4/5,0)*5</f>
        <v>145</v>
      </c>
      <c r="AN605" s="14" t="str">
        <f>IF(AE605&gt;0,INDEX(挂机升级突破!$BX$4:$CH$4,AE605),"")</f>
        <v/>
      </c>
      <c r="AO605" s="14" t="str">
        <f>IF(AE605&gt;0,ROUND(INDEX(挂机升级突破!$BX$6:$CH$57,卡牌消耗!AI605,AE605)*INDEX(卡牌消耗!$B$7:$F$7,AG605)/$Q$4,0),"")</f>
        <v/>
      </c>
    </row>
    <row r="606" spans="27:41" ht="16.5" x14ac:dyDescent="0.2">
      <c r="AA606" s="104">
        <v>602</v>
      </c>
      <c r="AB606" s="14">
        <f t="shared" si="178"/>
        <v>12</v>
      </c>
      <c r="AC606" s="14">
        <f>INDEX(挂机升级突破!$BU$6:$BU$57,卡牌消耗!AI606)</f>
        <v>11</v>
      </c>
      <c r="AD606" s="14">
        <f>INDEX(挂机升级突破!BV$6:BV$57,卡牌消耗!$AI606)</f>
        <v>4</v>
      </c>
      <c r="AE606" s="14">
        <f>INDEX(挂机升级突破!BW$6:BW$57,卡牌消耗!$AI606)</f>
        <v>0</v>
      </c>
      <c r="AF606" s="14" t="str">
        <f t="shared" si="179"/>
        <v>夏侯惇</v>
      </c>
      <c r="AG606" s="14">
        <f t="shared" si="180"/>
        <v>5</v>
      </c>
      <c r="AH606" s="14" t="str">
        <f t="shared" si="181"/>
        <v>夏侯惇魂火-30</v>
      </c>
      <c r="AI606" s="14">
        <f t="shared" si="182"/>
        <v>30</v>
      </c>
      <c r="AJ606" s="14" t="str">
        <f>INDEX(挂机升级突破!$BX$4:$CH$4,INDEX(挂机升级突破!$BU$6:$BU$57,卡牌消耗!AI606))</f>
        <v>金币</v>
      </c>
      <c r="AK606" s="14">
        <f>ROUND(INDEX(挂机升级突破!$BN$6:$BN$57,卡牌消耗!AI606)*INDEX(卡牌消耗!$B$8:$F$8,AG606)/$Q$4/50,0)*50</f>
        <v>13850</v>
      </c>
      <c r="AL606" s="14" t="str">
        <f>IF(AD606&gt;0,INDEX(挂机升级突破!$BX$4:$CH$4,AD606),"")</f>
        <v>橙色基础材料</v>
      </c>
      <c r="AM606" s="14">
        <f>ROUND(INDEX(挂机升级突破!$BX$6:$CH$57,卡牌消耗!AI606,AD606)*INDEX(卡牌消耗!$B$5:$F$5,AG606)/$Q$4/5,0)*5</f>
        <v>145</v>
      </c>
      <c r="AN606" s="14" t="str">
        <f>IF(AE606&gt;0,INDEX(挂机升级突破!$BX$4:$CH$4,AE606),"")</f>
        <v/>
      </c>
      <c r="AO606" s="14" t="str">
        <f>IF(AE606&gt;0,ROUND(INDEX(挂机升级突破!$BX$6:$CH$57,卡牌消耗!AI606,AE606)*INDEX(卡牌消耗!$B$7:$F$7,AG606)/$Q$4,0),"")</f>
        <v/>
      </c>
    </row>
    <row r="607" spans="27:41" ht="16.5" x14ac:dyDescent="0.2">
      <c r="AA607" s="104">
        <v>603</v>
      </c>
      <c r="AB607" s="14">
        <f t="shared" si="178"/>
        <v>12</v>
      </c>
      <c r="AC607" s="14">
        <f>INDEX(挂机升级突破!$BU$6:$BU$57,卡牌消耗!AI607)</f>
        <v>11</v>
      </c>
      <c r="AD607" s="14">
        <f>INDEX(挂机升级突破!BV$6:BV$57,卡牌消耗!$AI607)</f>
        <v>4</v>
      </c>
      <c r="AE607" s="14">
        <f>INDEX(挂机升级突破!BW$6:BW$57,卡牌消耗!$AI607)</f>
        <v>0</v>
      </c>
      <c r="AF607" s="14" t="str">
        <f t="shared" si="179"/>
        <v>夏侯惇</v>
      </c>
      <c r="AG607" s="14">
        <f t="shared" si="180"/>
        <v>5</v>
      </c>
      <c r="AH607" s="14" t="str">
        <f t="shared" si="181"/>
        <v>夏侯惇魂火-31</v>
      </c>
      <c r="AI607" s="14">
        <f t="shared" si="182"/>
        <v>31</v>
      </c>
      <c r="AJ607" s="14" t="str">
        <f>INDEX(挂机升级突破!$BX$4:$CH$4,INDEX(挂机升级突破!$BU$6:$BU$57,卡牌消耗!AI607))</f>
        <v>金币</v>
      </c>
      <c r="AK607" s="14">
        <f>ROUND(INDEX(挂机升级突破!$BN$6:$BN$57,卡牌消耗!AI607)*INDEX(卡牌消耗!$B$8:$F$8,AG607)/$Q$4/50,0)*50</f>
        <v>13850</v>
      </c>
      <c r="AL607" s="14" t="str">
        <f>IF(AD607&gt;0,INDEX(挂机升级突破!$BX$4:$CH$4,AD607),"")</f>
        <v>橙色基础材料</v>
      </c>
      <c r="AM607" s="14">
        <f>ROUND(INDEX(挂机升级突破!$BX$6:$CH$57,卡牌消耗!AI607,AD607)*INDEX(卡牌消耗!$B$5:$F$5,AG607)/$Q$4/5,0)*5</f>
        <v>145</v>
      </c>
      <c r="AN607" s="14" t="str">
        <f>IF(AE607&gt;0,INDEX(挂机升级突破!$BX$4:$CH$4,AE607),"")</f>
        <v/>
      </c>
      <c r="AO607" s="14" t="str">
        <f>IF(AE607&gt;0,ROUND(INDEX(挂机升级突破!$BX$6:$CH$57,卡牌消耗!AI607,AE607)*INDEX(卡牌消耗!$B$7:$F$7,AG607)/$Q$4,0),"")</f>
        <v/>
      </c>
    </row>
    <row r="608" spans="27:41" ht="16.5" x14ac:dyDescent="0.2">
      <c r="AA608" s="104">
        <v>604</v>
      </c>
      <c r="AB608" s="14">
        <f t="shared" si="178"/>
        <v>12</v>
      </c>
      <c r="AC608" s="14">
        <f>INDEX(挂机升级突破!$BU$6:$BU$57,卡牌消耗!AI608)</f>
        <v>11</v>
      </c>
      <c r="AD608" s="14">
        <f>INDEX(挂机升级突破!BV$6:BV$57,卡牌消耗!$AI608)</f>
        <v>4</v>
      </c>
      <c r="AE608" s="14">
        <f>INDEX(挂机升级突破!BW$6:BW$57,卡牌消耗!$AI608)</f>
        <v>0</v>
      </c>
      <c r="AF608" s="14" t="str">
        <f t="shared" si="179"/>
        <v>夏侯惇</v>
      </c>
      <c r="AG608" s="14">
        <f t="shared" si="180"/>
        <v>5</v>
      </c>
      <c r="AH608" s="14" t="str">
        <f t="shared" si="181"/>
        <v>夏侯惇魂火-32</v>
      </c>
      <c r="AI608" s="14">
        <f t="shared" si="182"/>
        <v>32</v>
      </c>
      <c r="AJ608" s="14" t="str">
        <f>INDEX(挂机升级突破!$BX$4:$CH$4,INDEX(挂机升级突破!$BU$6:$BU$57,卡牌消耗!AI608))</f>
        <v>金币</v>
      </c>
      <c r="AK608" s="14">
        <f>ROUND(INDEX(挂机升级突破!$BN$6:$BN$57,卡牌消耗!AI608)*INDEX(卡牌消耗!$B$8:$F$8,AG608)/$Q$4/50,0)*50</f>
        <v>19000</v>
      </c>
      <c r="AL608" s="14" t="str">
        <f>IF(AD608&gt;0,INDEX(挂机升级突破!$BX$4:$CH$4,AD608),"")</f>
        <v>橙色基础材料</v>
      </c>
      <c r="AM608" s="14">
        <f>ROUND(INDEX(挂机升级突破!$BX$6:$CH$57,卡牌消耗!AI608,AD608)*INDEX(卡牌消耗!$B$5:$F$5,AG608)/$Q$4/5,0)*5</f>
        <v>145</v>
      </c>
      <c r="AN608" s="14" t="str">
        <f>IF(AE608&gt;0,INDEX(挂机升级突破!$BX$4:$CH$4,AE608),"")</f>
        <v/>
      </c>
      <c r="AO608" s="14" t="str">
        <f>IF(AE608&gt;0,ROUND(INDEX(挂机升级突破!$BX$6:$CH$57,卡牌消耗!AI608,AE608)*INDEX(卡牌消耗!$B$7:$F$7,AG608)/$Q$4,0),"")</f>
        <v/>
      </c>
    </row>
    <row r="609" spans="27:41" ht="16.5" x14ac:dyDescent="0.2">
      <c r="AA609" s="104">
        <v>605</v>
      </c>
      <c r="AB609" s="14">
        <f t="shared" si="178"/>
        <v>12</v>
      </c>
      <c r="AC609" s="14">
        <f>INDEX(挂机升级突破!$BU$6:$BU$57,卡牌消耗!AI609)</f>
        <v>11</v>
      </c>
      <c r="AD609" s="14">
        <f>INDEX(挂机升级突破!BV$6:BV$57,卡牌消耗!$AI609)</f>
        <v>4</v>
      </c>
      <c r="AE609" s="14">
        <f>INDEX(挂机升级突破!BW$6:BW$57,卡牌消耗!$AI609)</f>
        <v>0</v>
      </c>
      <c r="AF609" s="14" t="str">
        <f t="shared" si="179"/>
        <v>夏侯惇</v>
      </c>
      <c r="AG609" s="14">
        <f t="shared" si="180"/>
        <v>5</v>
      </c>
      <c r="AH609" s="14" t="str">
        <f t="shared" si="181"/>
        <v>夏侯惇魂火-33</v>
      </c>
      <c r="AI609" s="14">
        <f t="shared" si="182"/>
        <v>33</v>
      </c>
      <c r="AJ609" s="14" t="str">
        <f>INDEX(挂机升级突破!$BX$4:$CH$4,INDEX(挂机升级突破!$BU$6:$BU$57,卡牌消耗!AI609))</f>
        <v>金币</v>
      </c>
      <c r="AK609" s="14">
        <f>ROUND(INDEX(挂机升级突破!$BN$6:$BN$57,卡牌消耗!AI609)*INDEX(卡牌消耗!$B$8:$F$8,AG609)/$Q$4/50,0)*50</f>
        <v>19000</v>
      </c>
      <c r="AL609" s="14" t="str">
        <f>IF(AD609&gt;0,INDEX(挂机升级突破!$BX$4:$CH$4,AD609),"")</f>
        <v>橙色基础材料</v>
      </c>
      <c r="AM609" s="14">
        <f>ROUND(INDEX(挂机升级突破!$BX$6:$CH$57,卡牌消耗!AI609,AD609)*INDEX(卡牌消耗!$B$5:$F$5,AG609)/$Q$4/5,0)*5</f>
        <v>145</v>
      </c>
      <c r="AN609" s="14" t="str">
        <f>IF(AE609&gt;0,INDEX(挂机升级突破!$BX$4:$CH$4,AE609),"")</f>
        <v/>
      </c>
      <c r="AO609" s="14" t="str">
        <f>IF(AE609&gt;0,ROUND(INDEX(挂机升级突破!$BX$6:$CH$57,卡牌消耗!AI609,AE609)*INDEX(卡牌消耗!$B$7:$F$7,AG609)/$Q$4,0),"")</f>
        <v/>
      </c>
    </row>
    <row r="610" spans="27:41" ht="16.5" x14ac:dyDescent="0.2">
      <c r="AA610" s="104">
        <v>606</v>
      </c>
      <c r="AB610" s="14">
        <f t="shared" si="178"/>
        <v>12</v>
      </c>
      <c r="AC610" s="14">
        <f>INDEX(挂机升级突破!$BU$6:$BU$57,卡牌消耗!AI610)</f>
        <v>11</v>
      </c>
      <c r="AD610" s="14">
        <f>INDEX(挂机升级突破!BV$6:BV$57,卡牌消耗!$AI610)</f>
        <v>4</v>
      </c>
      <c r="AE610" s="14">
        <f>INDEX(挂机升级突破!BW$6:BW$57,卡牌消耗!$AI610)</f>
        <v>0</v>
      </c>
      <c r="AF610" s="14" t="str">
        <f t="shared" si="179"/>
        <v>夏侯惇</v>
      </c>
      <c r="AG610" s="14">
        <f t="shared" si="180"/>
        <v>5</v>
      </c>
      <c r="AH610" s="14" t="str">
        <f t="shared" si="181"/>
        <v>夏侯惇魂火-34</v>
      </c>
      <c r="AI610" s="14">
        <f t="shared" si="182"/>
        <v>34</v>
      </c>
      <c r="AJ610" s="14" t="str">
        <f>INDEX(挂机升级突破!$BX$4:$CH$4,INDEX(挂机升级突破!$BU$6:$BU$57,卡牌消耗!AI610))</f>
        <v>金币</v>
      </c>
      <c r="AK610" s="14">
        <f>ROUND(INDEX(挂机升级突破!$BN$6:$BN$57,卡牌消耗!AI610)*INDEX(卡牌消耗!$B$8:$F$8,AG610)/$Q$4/50,0)*50</f>
        <v>19000</v>
      </c>
      <c r="AL610" s="14" t="str">
        <f>IF(AD610&gt;0,INDEX(挂机升级突破!$BX$4:$CH$4,AD610),"")</f>
        <v>橙色基础材料</v>
      </c>
      <c r="AM610" s="14">
        <f>ROUND(INDEX(挂机升级突破!$BX$6:$CH$57,卡牌消耗!AI610,AD610)*INDEX(卡牌消耗!$B$5:$F$5,AG610)/$Q$4/5,0)*5</f>
        <v>165</v>
      </c>
      <c r="AN610" s="14" t="str">
        <f>IF(AE610&gt;0,INDEX(挂机升级突破!$BX$4:$CH$4,AE610),"")</f>
        <v/>
      </c>
      <c r="AO610" s="14" t="str">
        <f>IF(AE610&gt;0,ROUND(INDEX(挂机升级突破!$BX$6:$CH$57,卡牌消耗!AI610,AE610)*INDEX(卡牌消耗!$B$7:$F$7,AG610)/$Q$4,0),"")</f>
        <v/>
      </c>
    </row>
    <row r="611" spans="27:41" ht="16.5" x14ac:dyDescent="0.2">
      <c r="AA611" s="104">
        <v>607</v>
      </c>
      <c r="AB611" s="14">
        <f t="shared" si="178"/>
        <v>12</v>
      </c>
      <c r="AC611" s="14">
        <f>INDEX(挂机升级突破!$BU$6:$BU$57,卡牌消耗!AI611)</f>
        <v>11</v>
      </c>
      <c r="AD611" s="14">
        <f>INDEX(挂机升级突破!BV$6:BV$57,卡牌消耗!$AI611)</f>
        <v>4</v>
      </c>
      <c r="AE611" s="14">
        <f>INDEX(挂机升级突破!BW$6:BW$57,卡牌消耗!$AI611)</f>
        <v>0</v>
      </c>
      <c r="AF611" s="14" t="str">
        <f t="shared" si="179"/>
        <v>夏侯惇</v>
      </c>
      <c r="AG611" s="14">
        <f t="shared" si="180"/>
        <v>5</v>
      </c>
      <c r="AH611" s="14" t="str">
        <f t="shared" si="181"/>
        <v>夏侯惇魂火-35</v>
      </c>
      <c r="AI611" s="14">
        <f t="shared" si="182"/>
        <v>35</v>
      </c>
      <c r="AJ611" s="14" t="str">
        <f>INDEX(挂机升级突破!$BX$4:$CH$4,INDEX(挂机升级突破!$BU$6:$BU$57,卡牌消耗!AI611))</f>
        <v>金币</v>
      </c>
      <c r="AK611" s="14">
        <f>ROUND(INDEX(挂机升级突破!$BN$6:$BN$57,卡牌消耗!AI611)*INDEX(卡牌消耗!$B$8:$F$8,AG611)/$Q$4/50,0)*50</f>
        <v>24200</v>
      </c>
      <c r="AL611" s="14" t="str">
        <f>IF(AD611&gt;0,INDEX(挂机升级突破!$BX$4:$CH$4,AD611),"")</f>
        <v>橙色基础材料</v>
      </c>
      <c r="AM611" s="14">
        <f>ROUND(INDEX(挂机升级突破!$BX$6:$CH$57,卡牌消耗!AI611,AD611)*INDEX(卡牌消耗!$B$5:$F$5,AG611)/$Q$4/5,0)*5</f>
        <v>165</v>
      </c>
      <c r="AN611" s="14" t="str">
        <f>IF(AE611&gt;0,INDEX(挂机升级突破!$BX$4:$CH$4,AE611),"")</f>
        <v/>
      </c>
      <c r="AO611" s="14" t="str">
        <f>IF(AE611&gt;0,ROUND(INDEX(挂机升级突破!$BX$6:$CH$57,卡牌消耗!AI611,AE611)*INDEX(卡牌消耗!$B$7:$F$7,AG611)/$Q$4,0),"")</f>
        <v/>
      </c>
    </row>
    <row r="612" spans="27:41" ht="16.5" x14ac:dyDescent="0.2">
      <c r="AA612" s="104">
        <v>608</v>
      </c>
      <c r="AB612" s="14">
        <f t="shared" si="178"/>
        <v>12</v>
      </c>
      <c r="AC612" s="14">
        <f>INDEX(挂机升级突破!$BU$6:$BU$57,卡牌消耗!AI612)</f>
        <v>11</v>
      </c>
      <c r="AD612" s="14">
        <f>INDEX(挂机升级突破!BV$6:BV$57,卡牌消耗!$AI612)</f>
        <v>4</v>
      </c>
      <c r="AE612" s="14">
        <f>INDEX(挂机升级突破!BW$6:BW$57,卡牌消耗!$AI612)</f>
        <v>0</v>
      </c>
      <c r="AF612" s="14" t="str">
        <f t="shared" si="179"/>
        <v>夏侯惇</v>
      </c>
      <c r="AG612" s="14">
        <f t="shared" si="180"/>
        <v>5</v>
      </c>
      <c r="AH612" s="14" t="str">
        <f t="shared" si="181"/>
        <v>夏侯惇魂火-36</v>
      </c>
      <c r="AI612" s="14">
        <f t="shared" si="182"/>
        <v>36</v>
      </c>
      <c r="AJ612" s="14" t="str">
        <f>INDEX(挂机升级突破!$BX$4:$CH$4,INDEX(挂机升级突破!$BU$6:$BU$57,卡牌消耗!AI612))</f>
        <v>金币</v>
      </c>
      <c r="AK612" s="14">
        <f>ROUND(INDEX(挂机升级突破!$BN$6:$BN$57,卡牌消耗!AI612)*INDEX(卡牌消耗!$B$8:$F$8,AG612)/$Q$4/50,0)*50</f>
        <v>24200</v>
      </c>
      <c r="AL612" s="14" t="str">
        <f>IF(AD612&gt;0,INDEX(挂机升级突破!$BX$4:$CH$4,AD612),"")</f>
        <v>橙色基础材料</v>
      </c>
      <c r="AM612" s="14">
        <f>ROUND(INDEX(挂机升级突破!$BX$6:$CH$57,卡牌消耗!AI612,AD612)*INDEX(卡牌消耗!$B$5:$F$5,AG612)/$Q$4/5,0)*5</f>
        <v>165</v>
      </c>
      <c r="AN612" s="14" t="str">
        <f>IF(AE612&gt;0,INDEX(挂机升级突破!$BX$4:$CH$4,AE612),"")</f>
        <v/>
      </c>
      <c r="AO612" s="14" t="str">
        <f>IF(AE612&gt;0,ROUND(INDEX(挂机升级突破!$BX$6:$CH$57,卡牌消耗!AI612,AE612)*INDEX(卡牌消耗!$B$7:$F$7,AG612)/$Q$4,0),"")</f>
        <v/>
      </c>
    </row>
    <row r="613" spans="27:41" ht="16.5" x14ac:dyDescent="0.2">
      <c r="AA613" s="104">
        <v>609</v>
      </c>
      <c r="AB613" s="14">
        <f t="shared" si="178"/>
        <v>12</v>
      </c>
      <c r="AC613" s="14">
        <f>INDEX(挂机升级突破!$BU$6:$BU$57,卡牌消耗!AI613)</f>
        <v>11</v>
      </c>
      <c r="AD613" s="14">
        <f>INDEX(挂机升级突破!BV$6:BV$57,卡牌消耗!$AI613)</f>
        <v>4</v>
      </c>
      <c r="AE613" s="14">
        <f>INDEX(挂机升级突破!BW$6:BW$57,卡牌消耗!$AI613)</f>
        <v>0</v>
      </c>
      <c r="AF613" s="14" t="str">
        <f t="shared" si="179"/>
        <v>夏侯惇</v>
      </c>
      <c r="AG613" s="14">
        <f t="shared" si="180"/>
        <v>5</v>
      </c>
      <c r="AH613" s="14" t="str">
        <f t="shared" si="181"/>
        <v>夏侯惇魂火-37</v>
      </c>
      <c r="AI613" s="14">
        <f t="shared" si="182"/>
        <v>37</v>
      </c>
      <c r="AJ613" s="14" t="str">
        <f>INDEX(挂机升级突破!$BX$4:$CH$4,INDEX(挂机升级突破!$BU$6:$BU$57,卡牌消耗!AI613))</f>
        <v>金币</v>
      </c>
      <c r="AK613" s="14">
        <f>ROUND(INDEX(挂机升级突破!$BN$6:$BN$57,卡牌消耗!AI613)*INDEX(卡牌消耗!$B$8:$F$8,AG613)/$Q$4/50,0)*50</f>
        <v>25900</v>
      </c>
      <c r="AL613" s="14" t="str">
        <f>IF(AD613&gt;0,INDEX(挂机升级突破!$BX$4:$CH$4,AD613),"")</f>
        <v>橙色基础材料</v>
      </c>
      <c r="AM613" s="14">
        <f>ROUND(INDEX(挂机升级突破!$BX$6:$CH$57,卡牌消耗!AI613,AD613)*INDEX(卡牌消耗!$B$5:$F$5,AG613)/$Q$4/5,0)*5</f>
        <v>165</v>
      </c>
      <c r="AN613" s="14" t="str">
        <f>IF(AE613&gt;0,INDEX(挂机升级突破!$BX$4:$CH$4,AE613),"")</f>
        <v/>
      </c>
      <c r="AO613" s="14" t="str">
        <f>IF(AE613&gt;0,ROUND(INDEX(挂机升级突破!$BX$6:$CH$57,卡牌消耗!AI613,AE613)*INDEX(卡牌消耗!$B$7:$F$7,AG613)/$Q$4,0),"")</f>
        <v/>
      </c>
    </row>
    <row r="614" spans="27:41" ht="16.5" x14ac:dyDescent="0.2">
      <c r="AA614" s="104">
        <v>610</v>
      </c>
      <c r="AB614" s="14">
        <f t="shared" si="178"/>
        <v>12</v>
      </c>
      <c r="AC614" s="14">
        <f>INDEX(挂机升级突破!$BU$6:$BU$57,卡牌消耗!AI614)</f>
        <v>11</v>
      </c>
      <c r="AD614" s="14">
        <f>INDEX(挂机升级突破!BV$6:BV$57,卡牌消耗!$AI614)</f>
        <v>5</v>
      </c>
      <c r="AE614" s="14">
        <f>INDEX(挂机升级突破!BW$6:BW$57,卡牌消耗!$AI614)</f>
        <v>0</v>
      </c>
      <c r="AF614" s="14" t="str">
        <f t="shared" si="179"/>
        <v>夏侯惇</v>
      </c>
      <c r="AG614" s="14">
        <f t="shared" si="180"/>
        <v>5</v>
      </c>
      <c r="AH614" s="14" t="str">
        <f t="shared" si="181"/>
        <v>夏侯惇魂火-38</v>
      </c>
      <c r="AI614" s="14">
        <f t="shared" si="182"/>
        <v>38</v>
      </c>
      <c r="AJ614" s="14" t="str">
        <f>INDEX(挂机升级突破!$BX$4:$CH$4,INDEX(挂机升级突破!$BU$6:$BU$57,卡牌消耗!AI614))</f>
        <v>金币</v>
      </c>
      <c r="AK614" s="14">
        <f>ROUND(INDEX(挂机升级突破!$BN$6:$BN$57,卡牌消耗!AI614)*INDEX(卡牌消耗!$B$8:$F$8,AG614)/$Q$4/50,0)*50</f>
        <v>33450</v>
      </c>
      <c r="AL614" s="14" t="str">
        <f>IF(AD614&gt;0,INDEX(挂机升级突破!$BX$4:$CH$4,AD614),"")</f>
        <v>红色基础材料</v>
      </c>
      <c r="AM614" s="14">
        <f>ROUND(INDEX(挂机升级突破!$BX$6:$CH$57,卡牌消耗!AI614,AD614)*INDEX(卡牌消耗!$B$5:$F$5,AG614)/$Q$4/5,0)*5</f>
        <v>65</v>
      </c>
      <c r="AN614" s="14" t="str">
        <f>IF(AE614&gt;0,INDEX(挂机升级突破!$BX$4:$CH$4,AE614),"")</f>
        <v/>
      </c>
      <c r="AO614" s="14" t="str">
        <f>IF(AE614&gt;0,ROUND(INDEX(挂机升级突破!$BX$6:$CH$57,卡牌消耗!AI614,AE614)*INDEX(卡牌消耗!$B$7:$F$7,AG614)/$Q$4,0),"")</f>
        <v/>
      </c>
    </row>
    <row r="615" spans="27:41" ht="16.5" x14ac:dyDescent="0.2">
      <c r="AA615" s="104">
        <v>611</v>
      </c>
      <c r="AB615" s="14">
        <f t="shared" si="178"/>
        <v>12</v>
      </c>
      <c r="AC615" s="14">
        <f>INDEX(挂机升级突破!$BU$6:$BU$57,卡牌消耗!AI615)</f>
        <v>11</v>
      </c>
      <c r="AD615" s="14">
        <f>INDEX(挂机升级突破!BV$6:BV$57,卡牌消耗!$AI615)</f>
        <v>5</v>
      </c>
      <c r="AE615" s="14">
        <f>INDEX(挂机升级突破!BW$6:BW$57,卡牌消耗!$AI615)</f>
        <v>0</v>
      </c>
      <c r="AF615" s="14" t="str">
        <f t="shared" si="179"/>
        <v>夏侯惇</v>
      </c>
      <c r="AG615" s="14">
        <f t="shared" si="180"/>
        <v>5</v>
      </c>
      <c r="AH615" s="14" t="str">
        <f t="shared" si="181"/>
        <v>夏侯惇魂火-39</v>
      </c>
      <c r="AI615" s="14">
        <f t="shared" si="182"/>
        <v>39</v>
      </c>
      <c r="AJ615" s="14" t="str">
        <f>INDEX(挂机升级突破!$BX$4:$CH$4,INDEX(挂机升级突破!$BU$6:$BU$57,卡牌消耗!AI615))</f>
        <v>金币</v>
      </c>
      <c r="AK615" s="14">
        <f>ROUND(INDEX(挂机升级突破!$BN$6:$BN$57,卡牌消耗!AI615)*INDEX(卡牌消耗!$B$8:$F$8,AG615)/$Q$4/50,0)*50</f>
        <v>33450</v>
      </c>
      <c r="AL615" s="14" t="str">
        <f>IF(AD615&gt;0,INDEX(挂机升级突破!$BX$4:$CH$4,AD615),"")</f>
        <v>红色基础材料</v>
      </c>
      <c r="AM615" s="14">
        <f>ROUND(INDEX(挂机升级突破!$BX$6:$CH$57,卡牌消耗!AI615,AD615)*INDEX(卡牌消耗!$B$5:$F$5,AG615)/$Q$4/5,0)*5</f>
        <v>65</v>
      </c>
      <c r="AN615" s="14" t="str">
        <f>IF(AE615&gt;0,INDEX(挂机升级突破!$BX$4:$CH$4,AE615),"")</f>
        <v/>
      </c>
      <c r="AO615" s="14" t="str">
        <f>IF(AE615&gt;0,ROUND(INDEX(挂机升级突破!$BX$6:$CH$57,卡牌消耗!AI615,AE615)*INDEX(卡牌消耗!$B$7:$F$7,AG615)/$Q$4,0),"")</f>
        <v/>
      </c>
    </row>
    <row r="616" spans="27:41" ht="16.5" x14ac:dyDescent="0.2">
      <c r="AA616" s="104">
        <v>612</v>
      </c>
      <c r="AB616" s="14">
        <f t="shared" si="178"/>
        <v>12</v>
      </c>
      <c r="AC616" s="14">
        <f>INDEX(挂机升级突破!$BU$6:$BU$57,卡牌消耗!AI616)</f>
        <v>11</v>
      </c>
      <c r="AD616" s="14">
        <f>INDEX(挂机升级突破!BV$6:BV$57,卡牌消耗!$AI616)</f>
        <v>5</v>
      </c>
      <c r="AE616" s="14">
        <f>INDEX(挂机升级突破!BW$6:BW$57,卡牌消耗!$AI616)</f>
        <v>0</v>
      </c>
      <c r="AF616" s="14" t="str">
        <f t="shared" si="179"/>
        <v>夏侯惇</v>
      </c>
      <c r="AG616" s="14">
        <f t="shared" si="180"/>
        <v>5</v>
      </c>
      <c r="AH616" s="14" t="str">
        <f t="shared" si="181"/>
        <v>夏侯惇魂火-40</v>
      </c>
      <c r="AI616" s="14">
        <f t="shared" si="182"/>
        <v>40</v>
      </c>
      <c r="AJ616" s="14" t="str">
        <f>INDEX(挂机升级突破!$BX$4:$CH$4,INDEX(挂机升级突破!$BU$6:$BU$57,卡牌消耗!AI616))</f>
        <v>金币</v>
      </c>
      <c r="AK616" s="14">
        <f>ROUND(INDEX(挂机升级突破!$BN$6:$BN$57,卡牌消耗!AI616)*INDEX(卡牌消耗!$B$8:$F$8,AG616)/$Q$4/50,0)*50</f>
        <v>33450</v>
      </c>
      <c r="AL616" s="14" t="str">
        <f>IF(AD616&gt;0,INDEX(挂机升级突破!$BX$4:$CH$4,AD616),"")</f>
        <v>红色基础材料</v>
      </c>
      <c r="AM616" s="14">
        <f>ROUND(INDEX(挂机升级突破!$BX$6:$CH$57,卡牌消耗!AI616,AD616)*INDEX(卡牌消耗!$B$5:$F$5,AG616)/$Q$4/5,0)*5</f>
        <v>65</v>
      </c>
      <c r="AN616" s="14" t="str">
        <f>IF(AE616&gt;0,INDEX(挂机升级突破!$BX$4:$CH$4,AE616),"")</f>
        <v/>
      </c>
      <c r="AO616" s="14" t="str">
        <f>IF(AE616&gt;0,ROUND(INDEX(挂机升级突破!$BX$6:$CH$57,卡牌消耗!AI616,AE616)*INDEX(卡牌消耗!$B$7:$F$7,AG616)/$Q$4,0),"")</f>
        <v/>
      </c>
    </row>
    <row r="617" spans="27:41" ht="16.5" x14ac:dyDescent="0.2">
      <c r="AA617" s="104">
        <v>613</v>
      </c>
      <c r="AB617" s="14">
        <f t="shared" si="178"/>
        <v>12</v>
      </c>
      <c r="AC617" s="14">
        <f>INDEX(挂机升级突破!$BU$6:$BU$57,卡牌消耗!AI617)</f>
        <v>11</v>
      </c>
      <c r="AD617" s="14">
        <f>INDEX(挂机升级突破!BV$6:BV$57,卡牌消耗!$AI617)</f>
        <v>5</v>
      </c>
      <c r="AE617" s="14">
        <f>INDEX(挂机升级突破!BW$6:BW$57,卡牌消耗!$AI617)</f>
        <v>10</v>
      </c>
      <c r="AF617" s="14" t="str">
        <f t="shared" si="179"/>
        <v>夏侯惇</v>
      </c>
      <c r="AG617" s="14">
        <f t="shared" si="180"/>
        <v>5</v>
      </c>
      <c r="AH617" s="14" t="str">
        <f t="shared" si="181"/>
        <v>夏侯惇魂火-41</v>
      </c>
      <c r="AI617" s="14">
        <f t="shared" si="182"/>
        <v>41</v>
      </c>
      <c r="AJ617" s="14" t="str">
        <f>INDEX(挂机升级突破!$BX$4:$CH$4,INDEX(挂机升级突破!$BU$6:$BU$57,卡牌消耗!AI617))</f>
        <v>金币</v>
      </c>
      <c r="AK617" s="14">
        <f>ROUND(INDEX(挂机升级突破!$BN$6:$BN$57,卡牌消耗!AI617)*INDEX(卡牌消耗!$B$8:$F$8,AG617)/$Q$4/50,0)*50</f>
        <v>45950</v>
      </c>
      <c r="AL617" s="14" t="str">
        <f>IF(AD617&gt;0,INDEX(挂机升级突破!$BX$4:$CH$4,AD617),"")</f>
        <v>红色基础材料</v>
      </c>
      <c r="AM617" s="14">
        <f>ROUND(INDEX(挂机升级突破!$BX$6:$CH$57,卡牌消耗!AI617,AD617)*INDEX(卡牌消耗!$B$5:$F$5,AG617)/$Q$4/5,0)*5</f>
        <v>80</v>
      </c>
      <c r="AN617" s="14" t="str">
        <f>IF(AE617&gt;0,INDEX(挂机升级突破!$BX$4:$CH$4,AE617),"")</f>
        <v>灵玉</v>
      </c>
      <c r="AO617" s="14">
        <f>IF(AE617&gt;0,ROUND(INDEX(挂机升级突破!$BX$6:$CH$57,卡牌消耗!AI617,AE617)*INDEX(卡牌消耗!$B$7:$F$7,AG617)/$Q$4,0),"")</f>
        <v>2</v>
      </c>
    </row>
    <row r="618" spans="27:41" ht="16.5" x14ac:dyDescent="0.2">
      <c r="AA618" s="104">
        <v>614</v>
      </c>
      <c r="AB618" s="14">
        <f t="shared" si="178"/>
        <v>12</v>
      </c>
      <c r="AC618" s="14">
        <f>INDEX(挂机升级突破!$BU$6:$BU$57,卡牌消耗!AI618)</f>
        <v>11</v>
      </c>
      <c r="AD618" s="14">
        <f>INDEX(挂机升级突破!BV$6:BV$57,卡牌消耗!$AI618)</f>
        <v>5</v>
      </c>
      <c r="AE618" s="14">
        <f>INDEX(挂机升级突破!BW$6:BW$57,卡牌消耗!$AI618)</f>
        <v>10</v>
      </c>
      <c r="AF618" s="14" t="str">
        <f t="shared" si="179"/>
        <v>夏侯惇</v>
      </c>
      <c r="AG618" s="14">
        <f t="shared" si="180"/>
        <v>5</v>
      </c>
      <c r="AH618" s="14" t="str">
        <f t="shared" si="181"/>
        <v>夏侯惇魂火-42</v>
      </c>
      <c r="AI618" s="14">
        <f t="shared" si="182"/>
        <v>42</v>
      </c>
      <c r="AJ618" s="14" t="str">
        <f>INDEX(挂机升级突破!$BX$4:$CH$4,INDEX(挂机升级突破!$BU$6:$BU$57,卡牌消耗!AI618))</f>
        <v>金币</v>
      </c>
      <c r="AK618" s="14">
        <f>ROUND(INDEX(挂机升级突破!$BN$6:$BN$57,卡牌消耗!AI618)*INDEX(卡牌消耗!$B$8:$F$8,AG618)/$Q$4/50,0)*50</f>
        <v>45950</v>
      </c>
      <c r="AL618" s="14" t="str">
        <f>IF(AD618&gt;0,INDEX(挂机升级突破!$BX$4:$CH$4,AD618),"")</f>
        <v>红色基础材料</v>
      </c>
      <c r="AM618" s="14">
        <f>ROUND(INDEX(挂机升级突破!$BX$6:$CH$57,卡牌消耗!AI618,AD618)*INDEX(卡牌消耗!$B$5:$F$5,AG618)/$Q$4/5,0)*5</f>
        <v>80</v>
      </c>
      <c r="AN618" s="14" t="str">
        <f>IF(AE618&gt;0,INDEX(挂机升级突破!$BX$4:$CH$4,AE618),"")</f>
        <v>灵玉</v>
      </c>
      <c r="AO618" s="14">
        <f>IF(AE618&gt;0,ROUND(INDEX(挂机升级突破!$BX$6:$CH$57,卡牌消耗!AI618,AE618)*INDEX(卡牌消耗!$B$7:$F$7,AG618)/$Q$4,0),"")</f>
        <v>2</v>
      </c>
    </row>
    <row r="619" spans="27:41" ht="16.5" x14ac:dyDescent="0.2">
      <c r="AA619" s="104">
        <v>615</v>
      </c>
      <c r="AB619" s="14">
        <f t="shared" si="178"/>
        <v>12</v>
      </c>
      <c r="AC619" s="14">
        <f>INDEX(挂机升级突破!$BU$6:$BU$57,卡牌消耗!AI619)</f>
        <v>11</v>
      </c>
      <c r="AD619" s="14">
        <f>INDEX(挂机升级突破!BV$6:BV$57,卡牌消耗!$AI619)</f>
        <v>5</v>
      </c>
      <c r="AE619" s="14">
        <f>INDEX(挂机升级突破!BW$6:BW$57,卡牌消耗!$AI619)</f>
        <v>10</v>
      </c>
      <c r="AF619" s="14" t="str">
        <f t="shared" si="179"/>
        <v>夏侯惇</v>
      </c>
      <c r="AG619" s="14">
        <f t="shared" si="180"/>
        <v>5</v>
      </c>
      <c r="AH619" s="14" t="str">
        <f t="shared" si="181"/>
        <v>夏侯惇魂火-43</v>
      </c>
      <c r="AI619" s="14">
        <f t="shared" si="182"/>
        <v>43</v>
      </c>
      <c r="AJ619" s="14" t="str">
        <f>INDEX(挂机升级突破!$BX$4:$CH$4,INDEX(挂机升级突破!$BU$6:$BU$57,卡牌消耗!AI619))</f>
        <v>金币</v>
      </c>
      <c r="AK619" s="14">
        <f>ROUND(INDEX(挂机升级突破!$BN$6:$BN$57,卡牌消耗!AI619)*INDEX(卡牌消耗!$B$8:$F$8,AG619)/$Q$4/50,0)*50</f>
        <v>45950</v>
      </c>
      <c r="AL619" s="14" t="str">
        <f>IF(AD619&gt;0,INDEX(挂机升级突破!$BX$4:$CH$4,AD619),"")</f>
        <v>红色基础材料</v>
      </c>
      <c r="AM619" s="14">
        <f>ROUND(INDEX(挂机升级突破!$BX$6:$CH$57,卡牌消耗!AI619,AD619)*INDEX(卡牌消耗!$B$5:$F$5,AG619)/$Q$4/5,0)*5</f>
        <v>80</v>
      </c>
      <c r="AN619" s="14" t="str">
        <f>IF(AE619&gt;0,INDEX(挂机升级突破!$BX$4:$CH$4,AE619),"")</f>
        <v>灵玉</v>
      </c>
      <c r="AO619" s="14">
        <f>IF(AE619&gt;0,ROUND(INDEX(挂机升级突破!$BX$6:$CH$57,卡牌消耗!AI619,AE619)*INDEX(卡牌消耗!$B$7:$F$7,AG619)/$Q$4,0),"")</f>
        <v>2</v>
      </c>
    </row>
    <row r="620" spans="27:41" ht="16.5" x14ac:dyDescent="0.2">
      <c r="AA620" s="104">
        <v>616</v>
      </c>
      <c r="AB620" s="14">
        <f t="shared" si="178"/>
        <v>12</v>
      </c>
      <c r="AC620" s="14">
        <f>INDEX(挂机升级突破!$BU$6:$BU$57,卡牌消耗!AI620)</f>
        <v>11</v>
      </c>
      <c r="AD620" s="14">
        <f>INDEX(挂机升级突破!BV$6:BV$57,卡牌消耗!$AI620)</f>
        <v>5</v>
      </c>
      <c r="AE620" s="14">
        <f>INDEX(挂机升级突破!BW$6:BW$57,卡牌消耗!$AI620)</f>
        <v>10</v>
      </c>
      <c r="AF620" s="14" t="str">
        <f t="shared" si="179"/>
        <v>夏侯惇</v>
      </c>
      <c r="AG620" s="14">
        <f t="shared" si="180"/>
        <v>5</v>
      </c>
      <c r="AH620" s="14" t="str">
        <f t="shared" si="181"/>
        <v>夏侯惇魂火-44</v>
      </c>
      <c r="AI620" s="14">
        <f t="shared" si="182"/>
        <v>44</v>
      </c>
      <c r="AJ620" s="14" t="str">
        <f>INDEX(挂机升级突破!$BX$4:$CH$4,INDEX(挂机升级突破!$BU$6:$BU$57,卡牌消耗!AI620))</f>
        <v>金币</v>
      </c>
      <c r="AK620" s="14">
        <f>ROUND(INDEX(挂机升级突破!$BN$6:$BN$57,卡牌消耗!AI620)*INDEX(卡牌消耗!$B$8:$F$8,AG620)/$Q$4/50,0)*50</f>
        <v>58500</v>
      </c>
      <c r="AL620" s="14" t="str">
        <f>IF(AD620&gt;0,INDEX(挂机升级突破!$BX$4:$CH$4,AD620),"")</f>
        <v>红色基础材料</v>
      </c>
      <c r="AM620" s="14">
        <f>ROUND(INDEX(挂机升级突破!$BX$6:$CH$57,卡牌消耗!AI620,AD620)*INDEX(卡牌消耗!$B$5:$F$5,AG620)/$Q$4/5,0)*5</f>
        <v>95</v>
      </c>
      <c r="AN620" s="14" t="str">
        <f>IF(AE620&gt;0,INDEX(挂机升级突破!$BX$4:$CH$4,AE620),"")</f>
        <v>灵玉</v>
      </c>
      <c r="AO620" s="14">
        <f>IF(AE620&gt;0,ROUND(INDEX(挂机升级突破!$BX$6:$CH$57,卡牌消耗!AI620,AE620)*INDEX(卡牌消耗!$B$7:$F$7,AG620)/$Q$4,0),"")</f>
        <v>2</v>
      </c>
    </row>
    <row r="621" spans="27:41" ht="16.5" x14ac:dyDescent="0.2">
      <c r="AA621" s="104">
        <v>617</v>
      </c>
      <c r="AB621" s="14">
        <f t="shared" si="178"/>
        <v>12</v>
      </c>
      <c r="AC621" s="14">
        <f>INDEX(挂机升级突破!$BU$6:$BU$57,卡牌消耗!AI621)</f>
        <v>11</v>
      </c>
      <c r="AD621" s="14">
        <f>INDEX(挂机升级突破!BV$6:BV$57,卡牌消耗!$AI621)</f>
        <v>5</v>
      </c>
      <c r="AE621" s="14">
        <f>INDEX(挂机升级突破!BW$6:BW$57,卡牌消耗!$AI621)</f>
        <v>10</v>
      </c>
      <c r="AF621" s="14" t="str">
        <f t="shared" si="179"/>
        <v>夏侯惇</v>
      </c>
      <c r="AG621" s="14">
        <f t="shared" si="180"/>
        <v>5</v>
      </c>
      <c r="AH621" s="14" t="str">
        <f t="shared" si="181"/>
        <v>夏侯惇魂火-45</v>
      </c>
      <c r="AI621" s="14">
        <f t="shared" si="182"/>
        <v>45</v>
      </c>
      <c r="AJ621" s="14" t="str">
        <f>INDEX(挂机升级突破!$BX$4:$CH$4,INDEX(挂机升级突破!$BU$6:$BU$57,卡牌消耗!AI621))</f>
        <v>金币</v>
      </c>
      <c r="AK621" s="14">
        <f>ROUND(INDEX(挂机升级突破!$BN$6:$BN$57,卡牌消耗!AI621)*INDEX(卡牌消耗!$B$8:$F$8,AG621)/$Q$4/50,0)*50</f>
        <v>58500</v>
      </c>
      <c r="AL621" s="14" t="str">
        <f>IF(AD621&gt;0,INDEX(挂机升级突破!$BX$4:$CH$4,AD621),"")</f>
        <v>红色基础材料</v>
      </c>
      <c r="AM621" s="14">
        <f>ROUND(INDEX(挂机升级突破!$BX$6:$CH$57,卡牌消耗!AI621,AD621)*INDEX(卡牌消耗!$B$5:$F$5,AG621)/$Q$4/5,0)*5</f>
        <v>95</v>
      </c>
      <c r="AN621" s="14" t="str">
        <f>IF(AE621&gt;0,INDEX(挂机升级突破!$BX$4:$CH$4,AE621),"")</f>
        <v>灵玉</v>
      </c>
      <c r="AO621" s="14">
        <f>IF(AE621&gt;0,ROUND(INDEX(挂机升级突破!$BX$6:$CH$57,卡牌消耗!AI621,AE621)*INDEX(卡牌消耗!$B$7:$F$7,AG621)/$Q$4,0),"")</f>
        <v>2</v>
      </c>
    </row>
    <row r="622" spans="27:41" ht="16.5" x14ac:dyDescent="0.2">
      <c r="AA622" s="104">
        <v>618</v>
      </c>
      <c r="AB622" s="14">
        <f t="shared" si="178"/>
        <v>12</v>
      </c>
      <c r="AC622" s="14">
        <f>INDEX(挂机升级突破!$BU$6:$BU$57,卡牌消耗!AI622)</f>
        <v>11</v>
      </c>
      <c r="AD622" s="14">
        <f>INDEX(挂机升级突破!BV$6:BV$57,卡牌消耗!$AI622)</f>
        <v>5</v>
      </c>
      <c r="AE622" s="14">
        <f>INDEX(挂机升级突破!BW$6:BW$57,卡牌消耗!$AI622)</f>
        <v>10</v>
      </c>
      <c r="AF622" s="14" t="str">
        <f t="shared" si="179"/>
        <v>夏侯惇</v>
      </c>
      <c r="AG622" s="14">
        <f t="shared" si="180"/>
        <v>5</v>
      </c>
      <c r="AH622" s="14" t="str">
        <f t="shared" si="181"/>
        <v>夏侯惇魂火-46</v>
      </c>
      <c r="AI622" s="14">
        <f t="shared" si="182"/>
        <v>46</v>
      </c>
      <c r="AJ622" s="14" t="str">
        <f>INDEX(挂机升级突破!$BX$4:$CH$4,INDEX(挂机升级突破!$BU$6:$BU$57,卡牌消耗!AI622))</f>
        <v>金币</v>
      </c>
      <c r="AK622" s="14">
        <f>ROUND(INDEX(挂机升级突破!$BN$6:$BN$57,卡牌消耗!AI622)*INDEX(卡牌消耗!$B$8:$F$8,AG622)/$Q$4/50,0)*50</f>
        <v>62650</v>
      </c>
      <c r="AL622" s="14" t="str">
        <f>IF(AD622&gt;0,INDEX(挂机升级突破!$BX$4:$CH$4,AD622),"")</f>
        <v>红色基础材料</v>
      </c>
      <c r="AM622" s="14">
        <f>ROUND(INDEX(挂机升级突破!$BX$6:$CH$57,卡牌消耗!AI622,AD622)*INDEX(卡牌消耗!$B$5:$F$5,AG622)/$Q$4/5,0)*5</f>
        <v>95</v>
      </c>
      <c r="AN622" s="14" t="str">
        <f>IF(AE622&gt;0,INDEX(挂机升级突破!$BX$4:$CH$4,AE622),"")</f>
        <v>灵玉</v>
      </c>
      <c r="AO622" s="14">
        <f>IF(AE622&gt;0,ROUND(INDEX(挂机升级突破!$BX$6:$CH$57,卡牌消耗!AI622,AE622)*INDEX(卡牌消耗!$B$7:$F$7,AG622)/$Q$4,0),"")</f>
        <v>2</v>
      </c>
    </row>
    <row r="623" spans="27:41" ht="16.5" x14ac:dyDescent="0.2">
      <c r="AA623" s="104">
        <v>619</v>
      </c>
      <c r="AB623" s="14">
        <f t="shared" si="178"/>
        <v>12</v>
      </c>
      <c r="AC623" s="14">
        <f>INDEX(挂机升级突破!$BU$6:$BU$57,卡牌消耗!AI623)</f>
        <v>11</v>
      </c>
      <c r="AD623" s="14">
        <f>INDEX(挂机升级突破!BV$6:BV$57,卡牌消耗!$AI623)</f>
        <v>5</v>
      </c>
      <c r="AE623" s="14">
        <f>INDEX(挂机升级突破!BW$6:BW$57,卡牌消耗!$AI623)</f>
        <v>10</v>
      </c>
      <c r="AF623" s="14" t="str">
        <f t="shared" si="179"/>
        <v>夏侯惇</v>
      </c>
      <c r="AG623" s="14">
        <f t="shared" si="180"/>
        <v>5</v>
      </c>
      <c r="AH623" s="14" t="str">
        <f t="shared" si="181"/>
        <v>夏侯惇魂火-47</v>
      </c>
      <c r="AI623" s="14">
        <f t="shared" si="182"/>
        <v>47</v>
      </c>
      <c r="AJ623" s="14" t="str">
        <f>INDEX(挂机升级突破!$BX$4:$CH$4,INDEX(挂机升级突破!$BU$6:$BU$57,卡牌消耗!AI623))</f>
        <v>金币</v>
      </c>
      <c r="AK623" s="14">
        <f>ROUND(INDEX(挂机升级突破!$BN$6:$BN$57,卡牌消耗!AI623)*INDEX(卡牌消耗!$B$8:$F$8,AG623)/$Q$4/50,0)*50</f>
        <v>303900</v>
      </c>
      <c r="AL623" s="14" t="str">
        <f>IF(AD623&gt;0,INDEX(挂机升级突破!$BX$4:$CH$4,AD623),"")</f>
        <v>红色基础材料</v>
      </c>
      <c r="AM623" s="14">
        <f>ROUND(INDEX(挂机升级突破!$BX$6:$CH$57,卡牌消耗!AI623,AD623)*INDEX(卡牌消耗!$B$5:$F$5,AG623)/$Q$4/5,0)*5</f>
        <v>95</v>
      </c>
      <c r="AN623" s="14" t="str">
        <f>IF(AE623&gt;0,INDEX(挂机升级突破!$BX$4:$CH$4,AE623),"")</f>
        <v>灵玉</v>
      </c>
      <c r="AO623" s="14">
        <f>IF(AE623&gt;0,ROUND(INDEX(挂机升级突破!$BX$6:$CH$57,卡牌消耗!AI623,AE623)*INDEX(卡牌消耗!$B$7:$F$7,AG623)/$Q$4,0),"")</f>
        <v>2</v>
      </c>
    </row>
    <row r="624" spans="27:41" ht="16.5" x14ac:dyDescent="0.2">
      <c r="AA624" s="104">
        <v>620</v>
      </c>
      <c r="AB624" s="14">
        <f t="shared" si="178"/>
        <v>12</v>
      </c>
      <c r="AC624" s="14">
        <f>INDEX(挂机升级突破!$BU$6:$BU$57,卡牌消耗!AI624)</f>
        <v>11</v>
      </c>
      <c r="AD624" s="14">
        <f>INDEX(挂机升级突破!BV$6:BV$57,卡牌消耗!$AI624)</f>
        <v>5</v>
      </c>
      <c r="AE624" s="14">
        <f>INDEX(挂机升级突破!BW$6:BW$57,卡牌消耗!$AI624)</f>
        <v>10</v>
      </c>
      <c r="AF624" s="14" t="str">
        <f t="shared" si="179"/>
        <v>夏侯惇</v>
      </c>
      <c r="AG624" s="14">
        <f t="shared" si="180"/>
        <v>5</v>
      </c>
      <c r="AH624" s="14" t="str">
        <f t="shared" si="181"/>
        <v>夏侯惇魂火-48</v>
      </c>
      <c r="AI624" s="14">
        <f t="shared" si="182"/>
        <v>48</v>
      </c>
      <c r="AJ624" s="14" t="str">
        <f>INDEX(挂机升级突破!$BX$4:$CH$4,INDEX(挂机升级突破!$BU$6:$BU$57,卡牌消耗!AI624))</f>
        <v>金币</v>
      </c>
      <c r="AK624" s="14">
        <f>ROUND(INDEX(挂机升级突破!$BN$6:$BN$57,卡牌消耗!AI624)*INDEX(卡牌消耗!$B$8:$F$8,AG624)/$Q$4/50,0)*50</f>
        <v>303900</v>
      </c>
      <c r="AL624" s="14" t="str">
        <f>IF(AD624&gt;0,INDEX(挂机升级突破!$BX$4:$CH$4,AD624),"")</f>
        <v>红色基础材料</v>
      </c>
      <c r="AM624" s="14">
        <f>ROUND(INDEX(挂机升级突破!$BX$6:$CH$57,卡牌消耗!AI624,AD624)*INDEX(卡牌消耗!$B$5:$F$5,AG624)/$Q$4/5,0)*5</f>
        <v>95</v>
      </c>
      <c r="AN624" s="14" t="str">
        <f>IF(AE624&gt;0,INDEX(挂机升级突破!$BX$4:$CH$4,AE624),"")</f>
        <v>灵玉</v>
      </c>
      <c r="AO624" s="14">
        <f>IF(AE624&gt;0,ROUND(INDEX(挂机升级突破!$BX$6:$CH$57,卡牌消耗!AI624,AE624)*INDEX(卡牌消耗!$B$7:$F$7,AG624)/$Q$4,0),"")</f>
        <v>2</v>
      </c>
    </row>
    <row r="625" spans="27:41" ht="16.5" x14ac:dyDescent="0.2">
      <c r="AA625" s="104">
        <v>621</v>
      </c>
      <c r="AB625" s="14">
        <f t="shared" si="178"/>
        <v>12</v>
      </c>
      <c r="AC625" s="14">
        <f>INDEX(挂机升级突破!$BU$6:$BU$57,卡牌消耗!AI625)</f>
        <v>11</v>
      </c>
      <c r="AD625" s="14">
        <f>INDEX(挂机升级突破!BV$6:BV$57,卡牌消耗!$AI625)</f>
        <v>5</v>
      </c>
      <c r="AE625" s="14">
        <f>INDEX(挂机升级突破!BW$6:BW$57,卡牌消耗!$AI625)</f>
        <v>10</v>
      </c>
      <c r="AF625" s="14" t="str">
        <f t="shared" si="179"/>
        <v>夏侯惇</v>
      </c>
      <c r="AG625" s="14">
        <f t="shared" si="180"/>
        <v>5</v>
      </c>
      <c r="AH625" s="14" t="str">
        <f t="shared" si="181"/>
        <v>夏侯惇魂火-49</v>
      </c>
      <c r="AI625" s="14">
        <f t="shared" si="182"/>
        <v>49</v>
      </c>
      <c r="AJ625" s="14" t="str">
        <f>INDEX(挂机升级突破!$BX$4:$CH$4,INDEX(挂机升级突破!$BU$6:$BU$57,卡牌消耗!AI625))</f>
        <v>金币</v>
      </c>
      <c r="AK625" s="14">
        <f>ROUND(INDEX(挂机升级突破!$BN$6:$BN$57,卡牌消耗!AI625)*INDEX(卡牌消耗!$B$8:$F$8,AG625)/$Q$4/50,0)*50</f>
        <v>303900</v>
      </c>
      <c r="AL625" s="14" t="str">
        <f>IF(AD625&gt;0,INDEX(挂机升级突破!$BX$4:$CH$4,AD625),"")</f>
        <v>红色基础材料</v>
      </c>
      <c r="AM625" s="14">
        <f>ROUND(INDEX(挂机升级突破!$BX$6:$CH$57,卡牌消耗!AI625,AD625)*INDEX(卡牌消耗!$B$5:$F$5,AG625)/$Q$4/5,0)*5</f>
        <v>110</v>
      </c>
      <c r="AN625" s="14" t="str">
        <f>IF(AE625&gt;0,INDEX(挂机升级突破!$BX$4:$CH$4,AE625),"")</f>
        <v>灵玉</v>
      </c>
      <c r="AO625" s="14">
        <f>IF(AE625&gt;0,ROUND(INDEX(挂机升级突破!$BX$6:$CH$57,卡牌消耗!AI625,AE625)*INDEX(卡牌消耗!$B$7:$F$7,AG625)/$Q$4,0),"")</f>
        <v>2</v>
      </c>
    </row>
    <row r="626" spans="27:41" ht="16.5" x14ac:dyDescent="0.2">
      <c r="AA626" s="104">
        <v>622</v>
      </c>
      <c r="AB626" s="14">
        <f t="shared" si="178"/>
        <v>12</v>
      </c>
      <c r="AC626" s="14">
        <f>INDEX(挂机升级突破!$BU$6:$BU$57,卡牌消耗!AI626)</f>
        <v>11</v>
      </c>
      <c r="AD626" s="14">
        <f>INDEX(挂机升级突破!BV$6:BV$57,卡牌消耗!$AI626)</f>
        <v>5</v>
      </c>
      <c r="AE626" s="14">
        <f>INDEX(挂机升级突破!BW$6:BW$57,卡牌消耗!$AI626)</f>
        <v>10</v>
      </c>
      <c r="AF626" s="14" t="str">
        <f t="shared" si="179"/>
        <v>夏侯惇</v>
      </c>
      <c r="AG626" s="14">
        <f t="shared" si="180"/>
        <v>5</v>
      </c>
      <c r="AH626" s="14" t="str">
        <f t="shared" si="181"/>
        <v>夏侯惇魂火-50</v>
      </c>
      <c r="AI626" s="14">
        <f t="shared" si="182"/>
        <v>50</v>
      </c>
      <c r="AJ626" s="14" t="str">
        <f>INDEX(挂机升级突破!$BX$4:$CH$4,INDEX(挂机升级突破!$BU$6:$BU$57,卡牌消耗!AI626))</f>
        <v>金币</v>
      </c>
      <c r="AK626" s="14">
        <f>ROUND(INDEX(挂机升级突破!$BN$6:$BN$57,卡牌消耗!AI626)*INDEX(卡牌消耗!$B$8:$F$8,AG626)/$Q$4/50,0)*50</f>
        <v>506550</v>
      </c>
      <c r="AL626" s="14" t="str">
        <f>IF(AD626&gt;0,INDEX(挂机升级突破!$BX$4:$CH$4,AD626),"")</f>
        <v>红色基础材料</v>
      </c>
      <c r="AM626" s="14">
        <f>ROUND(INDEX(挂机升级突破!$BX$6:$CH$57,卡牌消耗!AI626,AD626)*INDEX(卡牌消耗!$B$5:$F$5,AG626)/$Q$4/5,0)*5</f>
        <v>110</v>
      </c>
      <c r="AN626" s="14" t="str">
        <f>IF(AE626&gt;0,INDEX(挂机升级突破!$BX$4:$CH$4,AE626),"")</f>
        <v>灵玉</v>
      </c>
      <c r="AO626" s="14">
        <f>IF(AE626&gt;0,ROUND(INDEX(挂机升级突破!$BX$6:$CH$57,卡牌消耗!AI626,AE626)*INDEX(卡牌消耗!$B$7:$F$7,AG626)/$Q$4,0),"")</f>
        <v>2</v>
      </c>
    </row>
    <row r="627" spans="27:41" ht="16.5" x14ac:dyDescent="0.2">
      <c r="AA627" s="104">
        <v>623</v>
      </c>
      <c r="AB627" s="14">
        <f t="shared" si="178"/>
        <v>12</v>
      </c>
      <c r="AC627" s="14">
        <f>INDEX(挂机升级突破!$BU$6:$BU$57,卡牌消耗!AI627)</f>
        <v>11</v>
      </c>
      <c r="AD627" s="14">
        <f>INDEX(挂机升级突破!BV$6:BV$57,卡牌消耗!$AI627)</f>
        <v>5</v>
      </c>
      <c r="AE627" s="14">
        <f>INDEX(挂机升级突破!BW$6:BW$57,卡牌消耗!$AI627)</f>
        <v>10</v>
      </c>
      <c r="AF627" s="14" t="str">
        <f t="shared" si="179"/>
        <v>夏侯惇</v>
      </c>
      <c r="AG627" s="14">
        <f t="shared" si="180"/>
        <v>5</v>
      </c>
      <c r="AH627" s="14" t="str">
        <f t="shared" si="181"/>
        <v>夏侯惇魂火-51</v>
      </c>
      <c r="AI627" s="14">
        <f t="shared" si="182"/>
        <v>51</v>
      </c>
      <c r="AJ627" s="14" t="str">
        <f>INDEX(挂机升级突破!$BX$4:$CH$4,INDEX(挂机升级突破!$BU$6:$BU$57,卡牌消耗!AI627))</f>
        <v>金币</v>
      </c>
      <c r="AK627" s="14">
        <f>ROUND(INDEX(挂机升级突破!$BN$6:$BN$57,卡牌消耗!AI627)*INDEX(卡牌消耗!$B$8:$F$8,AG627)/$Q$4/50,0)*50</f>
        <v>557200</v>
      </c>
      <c r="AL627" s="14" t="str">
        <f>IF(AD627&gt;0,INDEX(挂机升级突破!$BX$4:$CH$4,AD627),"")</f>
        <v>红色基础材料</v>
      </c>
      <c r="AM627" s="14">
        <f>ROUND(INDEX(挂机升级突破!$BX$6:$CH$57,卡牌消耗!AI627,AD627)*INDEX(卡牌消耗!$B$5:$F$5,AG627)/$Q$4/5,0)*5</f>
        <v>110</v>
      </c>
      <c r="AN627" s="14" t="str">
        <f>IF(AE627&gt;0,INDEX(挂机升级突破!$BX$4:$CH$4,AE627),"")</f>
        <v>灵玉</v>
      </c>
      <c r="AO627" s="14">
        <f>IF(AE627&gt;0,ROUND(INDEX(挂机升级突破!$BX$6:$CH$57,卡牌消耗!AI627,AE627)*INDEX(卡牌消耗!$B$7:$F$7,AG627)/$Q$4,0),"")</f>
        <v>2</v>
      </c>
    </row>
    <row r="628" spans="27:41" ht="16.5" x14ac:dyDescent="0.2">
      <c r="AA628" s="104">
        <v>624</v>
      </c>
      <c r="AB628" s="14">
        <f t="shared" si="178"/>
        <v>12</v>
      </c>
      <c r="AC628" s="14">
        <f>INDEX(挂机升级突破!$BU$6:$BU$57,卡牌消耗!AI628)</f>
        <v>11</v>
      </c>
      <c r="AD628" s="14">
        <f>INDEX(挂机升级突破!BV$6:BV$57,卡牌消耗!$AI628)</f>
        <v>5</v>
      </c>
      <c r="AE628" s="14">
        <f>INDEX(挂机升级突破!BW$6:BW$57,卡牌消耗!$AI628)</f>
        <v>10</v>
      </c>
      <c r="AF628" s="14" t="str">
        <f t="shared" si="179"/>
        <v>夏侯惇</v>
      </c>
      <c r="AG628" s="14">
        <f t="shared" si="180"/>
        <v>5</v>
      </c>
      <c r="AH628" s="14" t="str">
        <f t="shared" si="181"/>
        <v>夏侯惇魂火-52</v>
      </c>
      <c r="AI628" s="14">
        <f t="shared" si="182"/>
        <v>52</v>
      </c>
      <c r="AJ628" s="14" t="str">
        <f>INDEX(挂机升级突破!$BX$4:$CH$4,INDEX(挂机升级突破!$BU$6:$BU$57,卡牌消耗!AI628))</f>
        <v>金币</v>
      </c>
      <c r="AK628" s="14">
        <f>ROUND(INDEX(挂机升级突破!$BN$6:$BN$57,卡牌消耗!AI628)*INDEX(卡牌消耗!$B$8:$F$8,AG628)/$Q$4/50,0)*50</f>
        <v>557200</v>
      </c>
      <c r="AL628" s="14" t="str">
        <f>IF(AD628&gt;0,INDEX(挂机升级突破!$BX$4:$CH$4,AD628),"")</f>
        <v>红色基础材料</v>
      </c>
      <c r="AM628" s="14">
        <f>ROUND(INDEX(挂机升级突破!$BX$6:$CH$57,卡牌消耗!AI628,AD628)*INDEX(卡牌消耗!$B$5:$F$5,AG628)/$Q$4/5,0)*5</f>
        <v>110</v>
      </c>
      <c r="AN628" s="14" t="str">
        <f>IF(AE628&gt;0,INDEX(挂机升级突破!$BX$4:$CH$4,AE628),"")</f>
        <v>灵玉</v>
      </c>
      <c r="AO628" s="14">
        <f>IF(AE628&gt;0,ROUND(INDEX(挂机升级突破!$BX$6:$CH$57,卡牌消耗!AI628,AE628)*INDEX(卡牌消耗!$B$7:$F$7,AG628)/$Q$4,0),"")</f>
        <v>2</v>
      </c>
    </row>
    <row r="629" spans="27:41" ht="16.5" x14ac:dyDescent="0.2">
      <c r="AA629" s="104">
        <v>625</v>
      </c>
      <c r="AB629" s="14">
        <f t="shared" si="178"/>
        <v>13</v>
      </c>
      <c r="AC629" s="14">
        <f>INDEX(挂机升级突破!$BU$6:$BU$57,卡牌消耗!AI629)</f>
        <v>11</v>
      </c>
      <c r="AD629" s="14">
        <f>INDEX(挂机升级突破!BV$6:BV$57,卡牌消耗!$AI629)</f>
        <v>1</v>
      </c>
      <c r="AE629" s="14">
        <f>INDEX(挂机升级突破!BW$6:BW$57,卡牌消耗!$AI629)</f>
        <v>0</v>
      </c>
      <c r="AF629" s="14" t="str">
        <f t="shared" si="179"/>
        <v>塞伯罗斯</v>
      </c>
      <c r="AG629" s="14">
        <f t="shared" si="180"/>
        <v>2</v>
      </c>
      <c r="AH629" s="14" t="str">
        <f t="shared" si="181"/>
        <v>塞伯罗斯魂火-1</v>
      </c>
      <c r="AI629" s="14">
        <f t="shared" si="182"/>
        <v>1</v>
      </c>
      <c r="AJ629" s="14" t="str">
        <f>INDEX(挂机升级突破!$BX$4:$CH$4,INDEX(挂机升级突破!$BU$6:$BU$57,卡牌消耗!AI629))</f>
        <v>金币</v>
      </c>
      <c r="AK629" s="14">
        <f>ROUND(INDEX(挂机升级突破!$BN$6:$BN$57,卡牌消耗!AI629)*INDEX(卡牌消耗!$B$8:$F$8,AG629)/$Q$4/50,0)*50</f>
        <v>400</v>
      </c>
      <c r="AL629" s="14" t="str">
        <f>IF(AD629&gt;0,INDEX(挂机升级突破!$BX$4:$CH$4,AD629),"")</f>
        <v>绿色基础材料</v>
      </c>
      <c r="AM629" s="14">
        <f>ROUND(INDEX(挂机升级突破!$BX$6:$CH$57,卡牌消耗!AI629,AD629)*INDEX(卡牌消耗!$B$5:$F$5,AG629)/$Q$4/5,0)*5</f>
        <v>665</v>
      </c>
      <c r="AN629" s="14" t="str">
        <f>IF(AE629&gt;0,INDEX(挂机升级突破!$BX$4:$CH$4,AE629),"")</f>
        <v/>
      </c>
      <c r="AO629" s="14" t="str">
        <f>IF(AE629&gt;0,ROUND(INDEX(挂机升级突破!$BX$6:$CH$57,卡牌消耗!AI629,AE629)*INDEX(卡牌消耗!$B$7:$F$7,AG629)/$Q$4,0),"")</f>
        <v/>
      </c>
    </row>
    <row r="630" spans="27:41" ht="16.5" x14ac:dyDescent="0.2">
      <c r="AA630" s="104">
        <v>626</v>
      </c>
      <c r="AB630" s="14">
        <f t="shared" si="178"/>
        <v>13</v>
      </c>
      <c r="AC630" s="14">
        <f>INDEX(挂机升级突破!$BU$6:$BU$57,卡牌消耗!AI630)</f>
        <v>11</v>
      </c>
      <c r="AD630" s="14">
        <f>INDEX(挂机升级突破!BV$6:BV$57,卡牌消耗!$AI630)</f>
        <v>1</v>
      </c>
      <c r="AE630" s="14">
        <f>INDEX(挂机升级突破!BW$6:BW$57,卡牌消耗!$AI630)</f>
        <v>0</v>
      </c>
      <c r="AF630" s="14" t="str">
        <f t="shared" si="179"/>
        <v>塞伯罗斯</v>
      </c>
      <c r="AG630" s="14">
        <f t="shared" si="180"/>
        <v>2</v>
      </c>
      <c r="AH630" s="14" t="str">
        <f t="shared" si="181"/>
        <v>塞伯罗斯魂火-2</v>
      </c>
      <c r="AI630" s="14">
        <f t="shared" si="182"/>
        <v>2</v>
      </c>
      <c r="AJ630" s="14" t="str">
        <f>INDEX(挂机升级突破!$BX$4:$CH$4,INDEX(挂机升级突破!$BU$6:$BU$57,卡牌消耗!AI630))</f>
        <v>金币</v>
      </c>
      <c r="AK630" s="14">
        <f>ROUND(INDEX(挂机升级突破!$BN$6:$BN$57,卡牌消耗!AI630)*INDEX(卡牌消耗!$B$8:$F$8,AG630)/$Q$4/50,0)*50</f>
        <v>550</v>
      </c>
      <c r="AL630" s="14" t="str">
        <f>IF(AD630&gt;0,INDEX(挂机升级突破!$BX$4:$CH$4,AD630),"")</f>
        <v>绿色基础材料</v>
      </c>
      <c r="AM630" s="14">
        <f>ROUND(INDEX(挂机升级突破!$BX$6:$CH$57,卡牌消耗!AI630,AD630)*INDEX(卡牌消耗!$B$5:$F$5,AG630)/$Q$4/5,0)*5</f>
        <v>2000</v>
      </c>
      <c r="AN630" s="14" t="str">
        <f>IF(AE630&gt;0,INDEX(挂机升级突破!$BX$4:$CH$4,AE630),"")</f>
        <v/>
      </c>
      <c r="AO630" s="14" t="str">
        <f>IF(AE630&gt;0,ROUND(INDEX(挂机升级突破!$BX$6:$CH$57,卡牌消耗!AI630,AE630)*INDEX(卡牌消耗!$B$7:$F$7,AG630)/$Q$4,0),"")</f>
        <v/>
      </c>
    </row>
    <row r="631" spans="27:41" ht="16.5" x14ac:dyDescent="0.2">
      <c r="AA631" s="104">
        <v>627</v>
      </c>
      <c r="AB631" s="14">
        <f t="shared" si="178"/>
        <v>13</v>
      </c>
      <c r="AC631" s="14">
        <f>INDEX(挂机升级突破!$BU$6:$BU$57,卡牌消耗!AI631)</f>
        <v>11</v>
      </c>
      <c r="AD631" s="14">
        <f>INDEX(挂机升级突破!BV$6:BV$57,卡牌消耗!$AI631)</f>
        <v>1</v>
      </c>
      <c r="AE631" s="14">
        <f>INDEX(挂机升级突破!BW$6:BW$57,卡牌消耗!$AI631)</f>
        <v>0</v>
      </c>
      <c r="AF631" s="14" t="str">
        <f t="shared" si="179"/>
        <v>塞伯罗斯</v>
      </c>
      <c r="AG631" s="14">
        <f t="shared" si="180"/>
        <v>2</v>
      </c>
      <c r="AH631" s="14" t="str">
        <f t="shared" si="181"/>
        <v>塞伯罗斯魂火-3</v>
      </c>
      <c r="AI631" s="14">
        <f t="shared" si="182"/>
        <v>3</v>
      </c>
      <c r="AJ631" s="14" t="str">
        <f>INDEX(挂机升级突破!$BX$4:$CH$4,INDEX(挂机升级突破!$BU$6:$BU$57,卡牌消耗!AI631))</f>
        <v>金币</v>
      </c>
      <c r="AK631" s="14">
        <f>ROUND(INDEX(挂机升级突破!$BN$6:$BN$57,卡牌消耗!AI631)*INDEX(卡牌消耗!$B$8:$F$8,AG631)/$Q$4/50,0)*50</f>
        <v>550</v>
      </c>
      <c r="AL631" s="14" t="str">
        <f>IF(AD631&gt;0,INDEX(挂机升级突破!$BX$4:$CH$4,AD631),"")</f>
        <v>绿色基础材料</v>
      </c>
      <c r="AM631" s="14">
        <f>ROUND(INDEX(挂机升级突破!$BX$6:$CH$57,卡牌消耗!AI631,AD631)*INDEX(卡牌消耗!$B$5:$F$5,AG631)/$Q$4/5,0)*5</f>
        <v>2670</v>
      </c>
      <c r="AN631" s="14" t="str">
        <f>IF(AE631&gt;0,INDEX(挂机升级突破!$BX$4:$CH$4,AE631),"")</f>
        <v/>
      </c>
      <c r="AO631" s="14" t="str">
        <f>IF(AE631&gt;0,ROUND(INDEX(挂机升级突破!$BX$6:$CH$57,卡牌消耗!AI631,AE631)*INDEX(卡牌消耗!$B$7:$F$7,AG631)/$Q$4,0),"")</f>
        <v/>
      </c>
    </row>
    <row r="632" spans="27:41" ht="16.5" x14ac:dyDescent="0.2">
      <c r="AA632" s="104">
        <v>628</v>
      </c>
      <c r="AB632" s="14">
        <f t="shared" si="178"/>
        <v>13</v>
      </c>
      <c r="AC632" s="14">
        <f>INDEX(挂机升级突破!$BU$6:$BU$57,卡牌消耗!AI632)</f>
        <v>11</v>
      </c>
      <c r="AD632" s="14">
        <f>INDEX(挂机升级突破!BV$6:BV$57,卡牌消耗!$AI632)</f>
        <v>1</v>
      </c>
      <c r="AE632" s="14">
        <f>INDEX(挂机升级突破!BW$6:BW$57,卡牌消耗!$AI632)</f>
        <v>0</v>
      </c>
      <c r="AF632" s="14" t="str">
        <f t="shared" si="179"/>
        <v>塞伯罗斯</v>
      </c>
      <c r="AG632" s="14">
        <f t="shared" si="180"/>
        <v>2</v>
      </c>
      <c r="AH632" s="14" t="str">
        <f t="shared" si="181"/>
        <v>塞伯罗斯魂火-4</v>
      </c>
      <c r="AI632" s="14">
        <f t="shared" si="182"/>
        <v>4</v>
      </c>
      <c r="AJ632" s="14" t="str">
        <f>INDEX(挂机升级突破!$BX$4:$CH$4,INDEX(挂机升级突破!$BU$6:$BU$57,卡牌消耗!AI632))</f>
        <v>金币</v>
      </c>
      <c r="AK632" s="14">
        <f>ROUND(INDEX(挂机升级突破!$BN$6:$BN$57,卡牌消耗!AI632)*INDEX(卡牌消耗!$B$8:$F$8,AG632)/$Q$4/50,0)*50</f>
        <v>550</v>
      </c>
      <c r="AL632" s="14" t="str">
        <f>IF(AD632&gt;0,INDEX(挂机升级突破!$BX$4:$CH$4,AD632),"")</f>
        <v>绿色基础材料</v>
      </c>
      <c r="AM632" s="14">
        <f>ROUND(INDEX(挂机升级突破!$BX$6:$CH$57,卡牌消耗!AI632,AD632)*INDEX(卡牌消耗!$B$5:$F$5,AG632)/$Q$4/5,0)*5</f>
        <v>4005</v>
      </c>
      <c r="AN632" s="14" t="str">
        <f>IF(AE632&gt;0,INDEX(挂机升级突破!$BX$4:$CH$4,AE632),"")</f>
        <v/>
      </c>
      <c r="AO632" s="14" t="str">
        <f>IF(AE632&gt;0,ROUND(INDEX(挂机升级突破!$BX$6:$CH$57,卡牌消耗!AI632,AE632)*INDEX(卡牌消耗!$B$7:$F$7,AG632)/$Q$4,0),"")</f>
        <v/>
      </c>
    </row>
    <row r="633" spans="27:41" ht="16.5" x14ac:dyDescent="0.2">
      <c r="AA633" s="104">
        <v>629</v>
      </c>
      <c r="AB633" s="14">
        <f t="shared" si="178"/>
        <v>13</v>
      </c>
      <c r="AC633" s="14">
        <f>INDEX(挂机升级突破!$BU$6:$BU$57,卡牌消耗!AI633)</f>
        <v>11</v>
      </c>
      <c r="AD633" s="14">
        <f>INDEX(挂机升级突破!BV$6:BV$57,卡牌消耗!$AI633)</f>
        <v>1</v>
      </c>
      <c r="AE633" s="14">
        <f>INDEX(挂机升级突破!BW$6:BW$57,卡牌消耗!$AI633)</f>
        <v>0</v>
      </c>
      <c r="AF633" s="14" t="str">
        <f t="shared" si="179"/>
        <v>塞伯罗斯</v>
      </c>
      <c r="AG633" s="14">
        <f t="shared" si="180"/>
        <v>2</v>
      </c>
      <c r="AH633" s="14" t="str">
        <f t="shared" si="181"/>
        <v>塞伯罗斯魂火-5</v>
      </c>
      <c r="AI633" s="14">
        <f t="shared" si="182"/>
        <v>5</v>
      </c>
      <c r="AJ633" s="14" t="str">
        <f>INDEX(挂机升级突破!$BX$4:$CH$4,INDEX(挂机升级突破!$BU$6:$BU$57,卡牌消耗!AI633))</f>
        <v>金币</v>
      </c>
      <c r="AK633" s="14">
        <f>ROUND(INDEX(挂机升级突破!$BN$6:$BN$57,卡牌消耗!AI633)*INDEX(卡牌消耗!$B$8:$F$8,AG633)/$Q$4/50,0)*50</f>
        <v>550</v>
      </c>
      <c r="AL633" s="14" t="str">
        <f>IF(AD633&gt;0,INDEX(挂机升级突破!$BX$4:$CH$4,AD633),"")</f>
        <v>绿色基础材料</v>
      </c>
      <c r="AM633" s="14">
        <f>ROUND(INDEX(挂机升级突破!$BX$6:$CH$57,卡牌消耗!AI633,AD633)*INDEX(卡牌消耗!$B$5:$F$5,AG633)/$Q$4/5,0)*5</f>
        <v>4005</v>
      </c>
      <c r="AN633" s="14" t="str">
        <f>IF(AE633&gt;0,INDEX(挂机升级突破!$BX$4:$CH$4,AE633),"")</f>
        <v/>
      </c>
      <c r="AO633" s="14" t="str">
        <f>IF(AE633&gt;0,ROUND(INDEX(挂机升级突破!$BX$6:$CH$57,卡牌消耗!AI633,AE633)*INDEX(卡牌消耗!$B$7:$F$7,AG633)/$Q$4,0),"")</f>
        <v/>
      </c>
    </row>
    <row r="634" spans="27:41" ht="16.5" x14ac:dyDescent="0.2">
      <c r="AA634" s="104">
        <v>630</v>
      </c>
      <c r="AB634" s="14">
        <f t="shared" si="178"/>
        <v>13</v>
      </c>
      <c r="AC634" s="14">
        <f>INDEX(挂机升级突破!$BU$6:$BU$57,卡牌消耗!AI634)</f>
        <v>11</v>
      </c>
      <c r="AD634" s="14">
        <f>INDEX(挂机升级突破!BV$6:BV$57,卡牌消耗!$AI634)</f>
        <v>2</v>
      </c>
      <c r="AE634" s="14">
        <f>INDEX(挂机升级突破!BW$6:BW$57,卡牌消耗!$AI634)</f>
        <v>0</v>
      </c>
      <c r="AF634" s="14" t="str">
        <f t="shared" si="179"/>
        <v>塞伯罗斯</v>
      </c>
      <c r="AG634" s="14">
        <f t="shared" si="180"/>
        <v>2</v>
      </c>
      <c r="AH634" s="14" t="str">
        <f t="shared" si="181"/>
        <v>塞伯罗斯魂火-6</v>
      </c>
      <c r="AI634" s="14">
        <f t="shared" si="182"/>
        <v>6</v>
      </c>
      <c r="AJ634" s="14" t="str">
        <f>INDEX(挂机升级突破!$BX$4:$CH$4,INDEX(挂机升级突破!$BU$6:$BU$57,卡牌消耗!AI634))</f>
        <v>金币</v>
      </c>
      <c r="AK634" s="14">
        <f>ROUND(INDEX(挂机升级突破!$BN$6:$BN$57,卡牌消耗!AI634)*INDEX(卡牌消耗!$B$8:$F$8,AG634)/$Q$4/50,0)*50</f>
        <v>700</v>
      </c>
      <c r="AL634" s="14" t="str">
        <f>IF(AD634&gt;0,INDEX(挂机升级突破!$BX$4:$CH$4,AD634),"")</f>
        <v>蓝色基础材料</v>
      </c>
      <c r="AM634" s="14">
        <f>ROUND(INDEX(挂机升级突破!$BX$6:$CH$57,卡牌消耗!AI634,AD634)*INDEX(卡牌消耗!$B$5:$F$5,AG634)/$Q$4/5,0)*5</f>
        <v>385</v>
      </c>
      <c r="AN634" s="14" t="str">
        <f>IF(AE634&gt;0,INDEX(挂机升级突破!$BX$4:$CH$4,AE634),"")</f>
        <v/>
      </c>
      <c r="AO634" s="14" t="str">
        <f>IF(AE634&gt;0,ROUND(INDEX(挂机升级突破!$BX$6:$CH$57,卡牌消耗!AI634,AE634)*INDEX(卡牌消耗!$B$7:$F$7,AG634)/$Q$4,0),"")</f>
        <v/>
      </c>
    </row>
    <row r="635" spans="27:41" ht="16.5" x14ac:dyDescent="0.2">
      <c r="AA635" s="104">
        <v>631</v>
      </c>
      <c r="AB635" s="14">
        <f t="shared" si="178"/>
        <v>13</v>
      </c>
      <c r="AC635" s="14">
        <f>INDEX(挂机升级突破!$BU$6:$BU$57,卡牌消耗!AI635)</f>
        <v>11</v>
      </c>
      <c r="AD635" s="14">
        <f>INDEX(挂机升级突破!BV$6:BV$57,卡牌消耗!$AI635)</f>
        <v>2</v>
      </c>
      <c r="AE635" s="14">
        <f>INDEX(挂机升级突破!BW$6:BW$57,卡牌消耗!$AI635)</f>
        <v>0</v>
      </c>
      <c r="AF635" s="14" t="str">
        <f t="shared" si="179"/>
        <v>塞伯罗斯</v>
      </c>
      <c r="AG635" s="14">
        <f t="shared" si="180"/>
        <v>2</v>
      </c>
      <c r="AH635" s="14" t="str">
        <f t="shared" si="181"/>
        <v>塞伯罗斯魂火-7</v>
      </c>
      <c r="AI635" s="14">
        <f t="shared" si="182"/>
        <v>7</v>
      </c>
      <c r="AJ635" s="14" t="str">
        <f>INDEX(挂机升级突破!$BX$4:$CH$4,INDEX(挂机升级突破!$BU$6:$BU$57,卡牌消耗!AI635))</f>
        <v>金币</v>
      </c>
      <c r="AK635" s="14">
        <f>ROUND(INDEX(挂机升级突破!$BN$6:$BN$57,卡牌消耗!AI635)*INDEX(卡牌消耗!$B$8:$F$8,AG635)/$Q$4/50,0)*50</f>
        <v>700</v>
      </c>
      <c r="AL635" s="14" t="str">
        <f>IF(AD635&gt;0,INDEX(挂机升级突破!$BX$4:$CH$4,AD635),"")</f>
        <v>蓝色基础材料</v>
      </c>
      <c r="AM635" s="14">
        <f>ROUND(INDEX(挂机升级突破!$BX$6:$CH$57,卡牌消耗!AI635,AD635)*INDEX(卡牌消耗!$B$5:$F$5,AG635)/$Q$4/5,0)*5</f>
        <v>385</v>
      </c>
      <c r="AN635" s="14" t="str">
        <f>IF(AE635&gt;0,INDEX(挂机升级突破!$BX$4:$CH$4,AE635),"")</f>
        <v/>
      </c>
      <c r="AO635" s="14" t="str">
        <f>IF(AE635&gt;0,ROUND(INDEX(挂机升级突破!$BX$6:$CH$57,卡牌消耗!AI635,AE635)*INDEX(卡牌消耗!$B$7:$F$7,AG635)/$Q$4,0),"")</f>
        <v/>
      </c>
    </row>
    <row r="636" spans="27:41" ht="16.5" x14ac:dyDescent="0.2">
      <c r="AA636" s="104">
        <v>632</v>
      </c>
      <c r="AB636" s="14">
        <f t="shared" si="178"/>
        <v>13</v>
      </c>
      <c r="AC636" s="14">
        <f>INDEX(挂机升级突破!$BU$6:$BU$57,卡牌消耗!AI636)</f>
        <v>11</v>
      </c>
      <c r="AD636" s="14">
        <f>INDEX(挂机升级突破!BV$6:BV$57,卡牌消耗!$AI636)</f>
        <v>2</v>
      </c>
      <c r="AE636" s="14">
        <f>INDEX(挂机升级突破!BW$6:BW$57,卡牌消耗!$AI636)</f>
        <v>0</v>
      </c>
      <c r="AF636" s="14" t="str">
        <f t="shared" si="179"/>
        <v>塞伯罗斯</v>
      </c>
      <c r="AG636" s="14">
        <f t="shared" si="180"/>
        <v>2</v>
      </c>
      <c r="AH636" s="14" t="str">
        <f t="shared" si="181"/>
        <v>塞伯罗斯魂火-8</v>
      </c>
      <c r="AI636" s="14">
        <f t="shared" si="182"/>
        <v>8</v>
      </c>
      <c r="AJ636" s="14" t="str">
        <f>INDEX(挂机升级突破!$BX$4:$CH$4,INDEX(挂机升级突破!$BU$6:$BU$57,卡牌消耗!AI636))</f>
        <v>金币</v>
      </c>
      <c r="AK636" s="14">
        <f>ROUND(INDEX(挂机升级突破!$BN$6:$BN$57,卡牌消耗!AI636)*INDEX(卡牌消耗!$B$8:$F$8,AG636)/$Q$4/50,0)*50</f>
        <v>1050</v>
      </c>
      <c r="AL636" s="14" t="str">
        <f>IF(AD636&gt;0,INDEX(挂机升级突破!$BX$4:$CH$4,AD636),"")</f>
        <v>蓝色基础材料</v>
      </c>
      <c r="AM636" s="14">
        <f>ROUND(INDEX(挂机升级突破!$BX$6:$CH$57,卡牌消耗!AI636,AD636)*INDEX(卡牌消耗!$B$5:$F$5,AG636)/$Q$4/5,0)*5</f>
        <v>770</v>
      </c>
      <c r="AN636" s="14" t="str">
        <f>IF(AE636&gt;0,INDEX(挂机升级突破!$BX$4:$CH$4,AE636),"")</f>
        <v/>
      </c>
      <c r="AO636" s="14" t="str">
        <f>IF(AE636&gt;0,ROUND(INDEX(挂机升级突破!$BX$6:$CH$57,卡牌消耗!AI636,AE636)*INDEX(卡牌消耗!$B$7:$F$7,AG636)/$Q$4,0),"")</f>
        <v/>
      </c>
    </row>
    <row r="637" spans="27:41" ht="16.5" x14ac:dyDescent="0.2">
      <c r="AA637" s="104">
        <v>633</v>
      </c>
      <c r="AB637" s="14">
        <f t="shared" si="178"/>
        <v>13</v>
      </c>
      <c r="AC637" s="14">
        <f>INDEX(挂机升级突破!$BU$6:$BU$57,卡牌消耗!AI637)</f>
        <v>11</v>
      </c>
      <c r="AD637" s="14">
        <f>INDEX(挂机升级突破!BV$6:BV$57,卡牌消耗!$AI637)</f>
        <v>2</v>
      </c>
      <c r="AE637" s="14">
        <f>INDEX(挂机升级突破!BW$6:BW$57,卡牌消耗!$AI637)</f>
        <v>0</v>
      </c>
      <c r="AF637" s="14" t="str">
        <f t="shared" si="179"/>
        <v>塞伯罗斯</v>
      </c>
      <c r="AG637" s="14">
        <f t="shared" si="180"/>
        <v>2</v>
      </c>
      <c r="AH637" s="14" t="str">
        <f t="shared" si="181"/>
        <v>塞伯罗斯魂火-9</v>
      </c>
      <c r="AI637" s="14">
        <f t="shared" si="182"/>
        <v>9</v>
      </c>
      <c r="AJ637" s="14" t="str">
        <f>INDEX(挂机升级突破!$BX$4:$CH$4,INDEX(挂机升级突破!$BU$6:$BU$57,卡牌消耗!AI637))</f>
        <v>金币</v>
      </c>
      <c r="AK637" s="14">
        <f>ROUND(INDEX(挂机升级突破!$BN$6:$BN$57,卡牌消耗!AI637)*INDEX(卡牌消耗!$B$8:$F$8,AG637)/$Q$4/50,0)*50</f>
        <v>1050</v>
      </c>
      <c r="AL637" s="14" t="str">
        <f>IF(AD637&gt;0,INDEX(挂机升级突破!$BX$4:$CH$4,AD637),"")</f>
        <v>蓝色基础材料</v>
      </c>
      <c r="AM637" s="14">
        <f>ROUND(INDEX(挂机升级突破!$BX$6:$CH$57,卡牌消耗!AI637,AD637)*INDEX(卡牌消耗!$B$5:$F$5,AG637)/$Q$4/5,0)*5</f>
        <v>770</v>
      </c>
      <c r="AN637" s="14" t="str">
        <f>IF(AE637&gt;0,INDEX(挂机升级突破!$BX$4:$CH$4,AE637),"")</f>
        <v/>
      </c>
      <c r="AO637" s="14" t="str">
        <f>IF(AE637&gt;0,ROUND(INDEX(挂机升级突破!$BX$6:$CH$57,卡牌消耗!AI637,AE637)*INDEX(卡牌消耗!$B$7:$F$7,AG637)/$Q$4,0),"")</f>
        <v/>
      </c>
    </row>
    <row r="638" spans="27:41" ht="16.5" x14ac:dyDescent="0.2">
      <c r="AA638" s="104">
        <v>634</v>
      </c>
      <c r="AB638" s="14">
        <f t="shared" si="178"/>
        <v>13</v>
      </c>
      <c r="AC638" s="14">
        <f>INDEX(挂机升级突破!$BU$6:$BU$57,卡牌消耗!AI638)</f>
        <v>11</v>
      </c>
      <c r="AD638" s="14">
        <f>INDEX(挂机升级突破!BV$6:BV$57,卡牌消耗!$AI638)</f>
        <v>2</v>
      </c>
      <c r="AE638" s="14">
        <f>INDEX(挂机升级突破!BW$6:BW$57,卡牌消耗!$AI638)</f>
        <v>0</v>
      </c>
      <c r="AF638" s="14" t="str">
        <f t="shared" si="179"/>
        <v>塞伯罗斯</v>
      </c>
      <c r="AG638" s="14">
        <f t="shared" si="180"/>
        <v>2</v>
      </c>
      <c r="AH638" s="14" t="str">
        <f t="shared" si="181"/>
        <v>塞伯罗斯魂火-10</v>
      </c>
      <c r="AI638" s="14">
        <f t="shared" si="182"/>
        <v>10</v>
      </c>
      <c r="AJ638" s="14" t="str">
        <f>INDEX(挂机升级突破!$BX$4:$CH$4,INDEX(挂机升级突破!$BU$6:$BU$57,卡牌消耗!AI638))</f>
        <v>金币</v>
      </c>
      <c r="AK638" s="14">
        <f>ROUND(INDEX(挂机升级突破!$BN$6:$BN$57,卡牌消耗!AI638)*INDEX(卡牌消耗!$B$8:$F$8,AG638)/$Q$4/50,0)*50</f>
        <v>1750</v>
      </c>
      <c r="AL638" s="14" t="str">
        <f>IF(AD638&gt;0,INDEX(挂机升级突破!$BX$4:$CH$4,AD638),"")</f>
        <v>蓝色基础材料</v>
      </c>
      <c r="AM638" s="14">
        <f>ROUND(INDEX(挂机升级突破!$BX$6:$CH$57,卡牌消耗!AI638,AD638)*INDEX(卡牌消耗!$B$5:$F$5,AG638)/$Q$4/5,0)*5</f>
        <v>1155</v>
      </c>
      <c r="AN638" s="14" t="str">
        <f>IF(AE638&gt;0,INDEX(挂机升级突破!$BX$4:$CH$4,AE638),"")</f>
        <v/>
      </c>
      <c r="AO638" s="14" t="str">
        <f>IF(AE638&gt;0,ROUND(INDEX(挂机升级突破!$BX$6:$CH$57,卡牌消耗!AI638,AE638)*INDEX(卡牌消耗!$B$7:$F$7,AG638)/$Q$4,0),"")</f>
        <v/>
      </c>
    </row>
    <row r="639" spans="27:41" ht="16.5" x14ac:dyDescent="0.2">
      <c r="AA639" s="104">
        <v>635</v>
      </c>
      <c r="AB639" s="14">
        <f t="shared" si="178"/>
        <v>13</v>
      </c>
      <c r="AC639" s="14">
        <f>INDEX(挂机升级突破!$BU$6:$BU$57,卡牌消耗!AI639)</f>
        <v>11</v>
      </c>
      <c r="AD639" s="14">
        <f>INDEX(挂机升级突破!BV$6:BV$57,卡牌消耗!$AI639)</f>
        <v>2</v>
      </c>
      <c r="AE639" s="14">
        <f>INDEX(挂机升级突破!BW$6:BW$57,卡牌消耗!$AI639)</f>
        <v>0</v>
      </c>
      <c r="AF639" s="14" t="str">
        <f t="shared" si="179"/>
        <v>塞伯罗斯</v>
      </c>
      <c r="AG639" s="14">
        <f t="shared" si="180"/>
        <v>2</v>
      </c>
      <c r="AH639" s="14" t="str">
        <f t="shared" si="181"/>
        <v>塞伯罗斯魂火-11</v>
      </c>
      <c r="AI639" s="14">
        <f t="shared" si="182"/>
        <v>11</v>
      </c>
      <c r="AJ639" s="14" t="str">
        <f>INDEX(挂机升级突破!$BX$4:$CH$4,INDEX(挂机升级突破!$BU$6:$BU$57,卡牌消耗!AI639))</f>
        <v>金币</v>
      </c>
      <c r="AK639" s="14">
        <f>ROUND(INDEX(挂机升级突破!$BN$6:$BN$57,卡牌消耗!AI639)*INDEX(卡牌消耗!$B$8:$F$8,AG639)/$Q$4/50,0)*50</f>
        <v>1750</v>
      </c>
      <c r="AL639" s="14" t="str">
        <f>IF(AD639&gt;0,INDEX(挂机升级突破!$BX$4:$CH$4,AD639),"")</f>
        <v>蓝色基础材料</v>
      </c>
      <c r="AM639" s="14">
        <f>ROUND(INDEX(挂机升级突破!$BX$6:$CH$57,卡牌消耗!AI639,AD639)*INDEX(卡牌消耗!$B$5:$F$5,AG639)/$Q$4/5,0)*5</f>
        <v>1155</v>
      </c>
      <c r="AN639" s="14" t="str">
        <f>IF(AE639&gt;0,INDEX(挂机升级突破!$BX$4:$CH$4,AE639),"")</f>
        <v/>
      </c>
      <c r="AO639" s="14" t="str">
        <f>IF(AE639&gt;0,ROUND(INDEX(挂机升级突破!$BX$6:$CH$57,卡牌消耗!AI639,AE639)*INDEX(卡牌消耗!$B$7:$F$7,AG639)/$Q$4,0),"")</f>
        <v/>
      </c>
    </row>
    <row r="640" spans="27:41" ht="16.5" x14ac:dyDescent="0.2">
      <c r="AA640" s="104">
        <v>636</v>
      </c>
      <c r="AB640" s="14">
        <f t="shared" si="178"/>
        <v>13</v>
      </c>
      <c r="AC640" s="14">
        <f>INDEX(挂机升级突破!$BU$6:$BU$57,卡牌消耗!AI640)</f>
        <v>11</v>
      </c>
      <c r="AD640" s="14">
        <f>INDEX(挂机升级突破!BV$6:BV$57,卡牌消耗!$AI640)</f>
        <v>2</v>
      </c>
      <c r="AE640" s="14">
        <f>INDEX(挂机升级突破!BW$6:BW$57,卡牌消耗!$AI640)</f>
        <v>0</v>
      </c>
      <c r="AF640" s="14" t="str">
        <f t="shared" si="179"/>
        <v>塞伯罗斯</v>
      </c>
      <c r="AG640" s="14">
        <f t="shared" si="180"/>
        <v>2</v>
      </c>
      <c r="AH640" s="14" t="str">
        <f t="shared" si="181"/>
        <v>塞伯罗斯魂火-12</v>
      </c>
      <c r="AI640" s="14">
        <f t="shared" si="182"/>
        <v>12</v>
      </c>
      <c r="AJ640" s="14" t="str">
        <f>INDEX(挂机升级突破!$BX$4:$CH$4,INDEX(挂机升级突破!$BU$6:$BU$57,卡牌消耗!AI640))</f>
        <v>金币</v>
      </c>
      <c r="AK640" s="14">
        <f>ROUND(INDEX(挂机升级突破!$BN$6:$BN$57,卡牌消耗!AI640)*INDEX(卡牌消耗!$B$8:$F$8,AG640)/$Q$4/50,0)*50</f>
        <v>1500</v>
      </c>
      <c r="AL640" s="14" t="str">
        <f>IF(AD640&gt;0,INDEX(挂机升级突破!$BX$4:$CH$4,AD640),"")</f>
        <v>蓝色基础材料</v>
      </c>
      <c r="AM640" s="14">
        <f>ROUND(INDEX(挂机升级突破!$BX$6:$CH$57,卡牌消耗!AI640,AD640)*INDEX(卡牌消耗!$B$5:$F$5,AG640)/$Q$4/5,0)*5</f>
        <v>1535</v>
      </c>
      <c r="AN640" s="14" t="str">
        <f>IF(AE640&gt;0,INDEX(挂机升级突破!$BX$4:$CH$4,AE640),"")</f>
        <v/>
      </c>
      <c r="AO640" s="14" t="str">
        <f>IF(AE640&gt;0,ROUND(INDEX(挂机升级突破!$BX$6:$CH$57,卡牌消耗!AI640,AE640)*INDEX(卡牌消耗!$B$7:$F$7,AG640)/$Q$4,0),"")</f>
        <v/>
      </c>
    </row>
    <row r="641" spans="27:41" ht="16.5" x14ac:dyDescent="0.2">
      <c r="AA641" s="104">
        <v>637</v>
      </c>
      <c r="AB641" s="14">
        <f t="shared" si="178"/>
        <v>13</v>
      </c>
      <c r="AC641" s="14">
        <f>INDEX(挂机升级突破!$BU$6:$BU$57,卡牌消耗!AI641)</f>
        <v>11</v>
      </c>
      <c r="AD641" s="14">
        <f>INDEX(挂机升级突破!BV$6:BV$57,卡牌消耗!$AI641)</f>
        <v>2</v>
      </c>
      <c r="AE641" s="14">
        <f>INDEX(挂机升级突破!BW$6:BW$57,卡牌消耗!$AI641)</f>
        <v>0</v>
      </c>
      <c r="AF641" s="14" t="str">
        <f t="shared" si="179"/>
        <v>塞伯罗斯</v>
      </c>
      <c r="AG641" s="14">
        <f t="shared" si="180"/>
        <v>2</v>
      </c>
      <c r="AH641" s="14" t="str">
        <f t="shared" si="181"/>
        <v>塞伯罗斯魂火-13</v>
      </c>
      <c r="AI641" s="14">
        <f t="shared" si="182"/>
        <v>13</v>
      </c>
      <c r="AJ641" s="14" t="str">
        <f>INDEX(挂机升级突破!$BX$4:$CH$4,INDEX(挂机升级突破!$BU$6:$BU$57,卡牌消耗!AI641))</f>
        <v>金币</v>
      </c>
      <c r="AK641" s="14">
        <f>ROUND(INDEX(挂机升级突破!$BN$6:$BN$57,卡牌消耗!AI641)*INDEX(卡牌消耗!$B$8:$F$8,AG641)/$Q$4/50,0)*50</f>
        <v>1500</v>
      </c>
      <c r="AL641" s="14" t="str">
        <f>IF(AD641&gt;0,INDEX(挂机升级突破!$BX$4:$CH$4,AD641),"")</f>
        <v>蓝色基础材料</v>
      </c>
      <c r="AM641" s="14">
        <f>ROUND(INDEX(挂机升级突破!$BX$6:$CH$57,卡牌消耗!AI641,AD641)*INDEX(卡牌消耗!$B$5:$F$5,AG641)/$Q$4/5,0)*5</f>
        <v>1535</v>
      </c>
      <c r="AN641" s="14" t="str">
        <f>IF(AE641&gt;0,INDEX(挂机升级突破!$BX$4:$CH$4,AE641),"")</f>
        <v/>
      </c>
      <c r="AO641" s="14" t="str">
        <f>IF(AE641&gt;0,ROUND(INDEX(挂机升级突破!$BX$6:$CH$57,卡牌消耗!AI641,AE641)*INDEX(卡牌消耗!$B$7:$F$7,AG641)/$Q$4,0),"")</f>
        <v/>
      </c>
    </row>
    <row r="642" spans="27:41" ht="16.5" x14ac:dyDescent="0.2">
      <c r="AA642" s="104">
        <v>638</v>
      </c>
      <c r="AB642" s="14">
        <f t="shared" si="178"/>
        <v>13</v>
      </c>
      <c r="AC642" s="14">
        <f>INDEX(挂机升级突破!$BU$6:$BU$57,卡牌消耗!AI642)</f>
        <v>11</v>
      </c>
      <c r="AD642" s="14">
        <f>INDEX(挂机升级突破!BV$6:BV$57,卡牌消耗!$AI642)</f>
        <v>3</v>
      </c>
      <c r="AE642" s="14">
        <f>INDEX(挂机升级突破!BW$6:BW$57,卡牌消耗!$AI642)</f>
        <v>0</v>
      </c>
      <c r="AF642" s="14" t="str">
        <f t="shared" si="179"/>
        <v>塞伯罗斯</v>
      </c>
      <c r="AG642" s="14">
        <f t="shared" si="180"/>
        <v>2</v>
      </c>
      <c r="AH642" s="14" t="str">
        <f t="shared" si="181"/>
        <v>塞伯罗斯魂火-14</v>
      </c>
      <c r="AI642" s="14">
        <f t="shared" si="182"/>
        <v>14</v>
      </c>
      <c r="AJ642" s="14" t="str">
        <f>INDEX(挂机升级突破!$BX$4:$CH$4,INDEX(挂机升级突破!$BU$6:$BU$57,卡牌消耗!AI642))</f>
        <v>金币</v>
      </c>
      <c r="AK642" s="14">
        <f>ROUND(INDEX(挂机升级突破!$BN$6:$BN$57,卡牌消耗!AI642)*INDEX(卡牌消耗!$B$8:$F$8,AG642)/$Q$4/50,0)*50</f>
        <v>1650</v>
      </c>
      <c r="AL642" s="14" t="str">
        <f>IF(AD642&gt;0,INDEX(挂机升级突破!$BX$4:$CH$4,AD642),"")</f>
        <v>紫色基础材料</v>
      </c>
      <c r="AM642" s="14">
        <f>ROUND(INDEX(挂机升级突破!$BX$6:$CH$57,卡牌消耗!AI642,AD642)*INDEX(卡牌消耗!$B$5:$F$5,AG642)/$Q$4/5,0)*5</f>
        <v>135</v>
      </c>
      <c r="AN642" s="14" t="str">
        <f>IF(AE642&gt;0,INDEX(挂机升级突破!$BX$4:$CH$4,AE642),"")</f>
        <v/>
      </c>
      <c r="AO642" s="14" t="str">
        <f>IF(AE642&gt;0,ROUND(INDEX(挂机升级突破!$BX$6:$CH$57,卡牌消耗!AI642,AE642)*INDEX(卡牌消耗!$B$7:$F$7,AG642)/$Q$4,0),"")</f>
        <v/>
      </c>
    </row>
    <row r="643" spans="27:41" ht="16.5" x14ac:dyDescent="0.2">
      <c r="AA643" s="104">
        <v>639</v>
      </c>
      <c r="AB643" s="14">
        <f t="shared" si="178"/>
        <v>13</v>
      </c>
      <c r="AC643" s="14">
        <f>INDEX(挂机升级突破!$BU$6:$BU$57,卡牌消耗!AI643)</f>
        <v>11</v>
      </c>
      <c r="AD643" s="14">
        <f>INDEX(挂机升级突破!BV$6:BV$57,卡牌消耗!$AI643)</f>
        <v>3</v>
      </c>
      <c r="AE643" s="14">
        <f>INDEX(挂机升级突破!BW$6:BW$57,卡牌消耗!$AI643)</f>
        <v>0</v>
      </c>
      <c r="AF643" s="14" t="str">
        <f t="shared" si="179"/>
        <v>塞伯罗斯</v>
      </c>
      <c r="AG643" s="14">
        <f t="shared" si="180"/>
        <v>2</v>
      </c>
      <c r="AH643" s="14" t="str">
        <f t="shared" si="181"/>
        <v>塞伯罗斯魂火-15</v>
      </c>
      <c r="AI643" s="14">
        <f t="shared" si="182"/>
        <v>15</v>
      </c>
      <c r="AJ643" s="14" t="str">
        <f>INDEX(挂机升级突破!$BX$4:$CH$4,INDEX(挂机升级突破!$BU$6:$BU$57,卡牌消耗!AI643))</f>
        <v>金币</v>
      </c>
      <c r="AK643" s="14">
        <f>ROUND(INDEX(挂机升级突破!$BN$6:$BN$57,卡牌消耗!AI643)*INDEX(卡牌消耗!$B$8:$F$8,AG643)/$Q$4/50,0)*50</f>
        <v>1800</v>
      </c>
      <c r="AL643" s="14" t="str">
        <f>IF(AD643&gt;0,INDEX(挂机升级突破!$BX$4:$CH$4,AD643),"")</f>
        <v>紫色基础材料</v>
      </c>
      <c r="AM643" s="14">
        <f>ROUND(INDEX(挂机升级突破!$BX$6:$CH$57,卡牌消耗!AI643,AD643)*INDEX(卡牌消耗!$B$5:$F$5,AG643)/$Q$4/5,0)*5</f>
        <v>135</v>
      </c>
      <c r="AN643" s="14" t="str">
        <f>IF(AE643&gt;0,INDEX(挂机升级突破!$BX$4:$CH$4,AE643),"")</f>
        <v/>
      </c>
      <c r="AO643" s="14" t="str">
        <f>IF(AE643&gt;0,ROUND(INDEX(挂机升级突破!$BX$6:$CH$57,卡牌消耗!AI643,AE643)*INDEX(卡牌消耗!$B$7:$F$7,AG643)/$Q$4,0),"")</f>
        <v/>
      </c>
    </row>
    <row r="644" spans="27:41" ht="16.5" x14ac:dyDescent="0.2">
      <c r="AA644" s="104">
        <v>640</v>
      </c>
      <c r="AB644" s="14">
        <f t="shared" si="178"/>
        <v>13</v>
      </c>
      <c r="AC644" s="14">
        <f>INDEX(挂机升级突破!$BU$6:$BU$57,卡牌消耗!AI644)</f>
        <v>11</v>
      </c>
      <c r="AD644" s="14">
        <f>INDEX(挂机升级突破!BV$6:BV$57,卡牌消耗!$AI644)</f>
        <v>3</v>
      </c>
      <c r="AE644" s="14">
        <f>INDEX(挂机升级突破!BW$6:BW$57,卡牌消耗!$AI644)</f>
        <v>0</v>
      </c>
      <c r="AF644" s="14" t="str">
        <f t="shared" si="179"/>
        <v>塞伯罗斯</v>
      </c>
      <c r="AG644" s="14">
        <f t="shared" si="180"/>
        <v>2</v>
      </c>
      <c r="AH644" s="14" t="str">
        <f t="shared" si="181"/>
        <v>塞伯罗斯魂火-16</v>
      </c>
      <c r="AI644" s="14">
        <f t="shared" si="182"/>
        <v>16</v>
      </c>
      <c r="AJ644" s="14" t="str">
        <f>INDEX(挂机升级突破!$BX$4:$CH$4,INDEX(挂机升级突破!$BU$6:$BU$57,卡牌消耗!AI644))</f>
        <v>金币</v>
      </c>
      <c r="AK644" s="14">
        <f>ROUND(INDEX(挂机升级突破!$BN$6:$BN$57,卡牌消耗!AI644)*INDEX(卡牌消耗!$B$8:$F$8,AG644)/$Q$4/50,0)*50</f>
        <v>1800</v>
      </c>
      <c r="AL644" s="14" t="str">
        <f>IF(AD644&gt;0,INDEX(挂机升级突破!$BX$4:$CH$4,AD644),"")</f>
        <v>紫色基础材料</v>
      </c>
      <c r="AM644" s="14">
        <f>ROUND(INDEX(挂机升级突破!$BX$6:$CH$57,卡牌消耗!AI644,AD644)*INDEX(卡牌消耗!$B$5:$F$5,AG644)/$Q$4/5,0)*5</f>
        <v>135</v>
      </c>
      <c r="AN644" s="14" t="str">
        <f>IF(AE644&gt;0,INDEX(挂机升级突破!$BX$4:$CH$4,AE644),"")</f>
        <v/>
      </c>
      <c r="AO644" s="14" t="str">
        <f>IF(AE644&gt;0,ROUND(INDEX(挂机升级突破!$BX$6:$CH$57,卡牌消耗!AI644,AE644)*INDEX(卡牌消耗!$B$7:$F$7,AG644)/$Q$4,0),"")</f>
        <v/>
      </c>
    </row>
    <row r="645" spans="27:41" ht="16.5" x14ac:dyDescent="0.2">
      <c r="AA645" s="104">
        <v>641</v>
      </c>
      <c r="AB645" s="14">
        <f t="shared" si="178"/>
        <v>13</v>
      </c>
      <c r="AC645" s="14">
        <f>INDEX(挂机升级突破!$BU$6:$BU$57,卡牌消耗!AI645)</f>
        <v>11</v>
      </c>
      <c r="AD645" s="14">
        <f>INDEX(挂机升级突破!BV$6:BV$57,卡牌消耗!$AI645)</f>
        <v>3</v>
      </c>
      <c r="AE645" s="14">
        <f>INDEX(挂机升级突破!BW$6:BW$57,卡牌消耗!$AI645)</f>
        <v>0</v>
      </c>
      <c r="AF645" s="14" t="str">
        <f t="shared" si="179"/>
        <v>塞伯罗斯</v>
      </c>
      <c r="AG645" s="14">
        <f t="shared" si="180"/>
        <v>2</v>
      </c>
      <c r="AH645" s="14" t="str">
        <f t="shared" si="181"/>
        <v>塞伯罗斯魂火-17</v>
      </c>
      <c r="AI645" s="14">
        <f t="shared" si="182"/>
        <v>17</v>
      </c>
      <c r="AJ645" s="14" t="str">
        <f>INDEX(挂机升级突破!$BX$4:$CH$4,INDEX(挂机升级突破!$BU$6:$BU$57,卡牌消耗!AI645))</f>
        <v>金币</v>
      </c>
      <c r="AK645" s="14">
        <f>ROUND(INDEX(挂机升级突破!$BN$6:$BN$57,卡牌消耗!AI645)*INDEX(卡牌消耗!$B$8:$F$8,AG645)/$Q$4/50,0)*50</f>
        <v>2250</v>
      </c>
      <c r="AL645" s="14" t="str">
        <f>IF(AD645&gt;0,INDEX(挂机升级突破!$BX$4:$CH$4,AD645),"")</f>
        <v>紫色基础材料</v>
      </c>
      <c r="AM645" s="14">
        <f>ROUND(INDEX(挂机升级突破!$BX$6:$CH$57,卡牌消耗!AI645,AD645)*INDEX(卡牌消耗!$B$5:$F$5,AG645)/$Q$4/5,0)*5</f>
        <v>270</v>
      </c>
      <c r="AN645" s="14" t="str">
        <f>IF(AE645&gt;0,INDEX(挂机升级突破!$BX$4:$CH$4,AE645),"")</f>
        <v/>
      </c>
      <c r="AO645" s="14" t="str">
        <f>IF(AE645&gt;0,ROUND(INDEX(挂机升级突破!$BX$6:$CH$57,卡牌消耗!AI645,AE645)*INDEX(卡牌消耗!$B$7:$F$7,AG645)/$Q$4,0),"")</f>
        <v/>
      </c>
    </row>
    <row r="646" spans="27:41" ht="16.5" x14ac:dyDescent="0.2">
      <c r="AA646" s="104">
        <v>642</v>
      </c>
      <c r="AB646" s="14">
        <f t="shared" ref="AB646:AB709" si="183">INT((AA646-1)/52)+1</f>
        <v>13</v>
      </c>
      <c r="AC646" s="14">
        <f>INDEX(挂机升级突破!$BU$6:$BU$57,卡牌消耗!AI646)</f>
        <v>11</v>
      </c>
      <c r="AD646" s="14">
        <f>INDEX(挂机升级突破!BV$6:BV$57,卡牌消耗!$AI646)</f>
        <v>3</v>
      </c>
      <c r="AE646" s="14">
        <f>INDEX(挂机升级突破!BW$6:BW$57,卡牌消耗!$AI646)</f>
        <v>0</v>
      </c>
      <c r="AF646" s="14" t="str">
        <f t="shared" ref="AF646:AF709" si="184">INDEX($B$13:$B$40,AB646)</f>
        <v>塞伯罗斯</v>
      </c>
      <c r="AG646" s="14">
        <f t="shared" ref="AG646:AG709" si="185">INDEX($C$13:$C$40,AB646)</f>
        <v>2</v>
      </c>
      <c r="AH646" s="14" t="str">
        <f t="shared" ref="AH646:AH709" si="186">AF646&amp;"魂火-"&amp;AI646</f>
        <v>塞伯罗斯魂火-18</v>
      </c>
      <c r="AI646" s="14">
        <f t="shared" ref="AI646:AI709" si="187">AA646-(AB646-1)*52</f>
        <v>18</v>
      </c>
      <c r="AJ646" s="14" t="str">
        <f>INDEX(挂机升级突破!$BX$4:$CH$4,INDEX(挂机升级突破!$BU$6:$BU$57,卡牌消耗!AI646))</f>
        <v>金币</v>
      </c>
      <c r="AK646" s="14">
        <f>ROUND(INDEX(挂机升级突破!$BN$6:$BN$57,卡牌消耗!AI646)*INDEX(卡牌消耗!$B$8:$F$8,AG646)/$Q$4/50,0)*50</f>
        <v>2250</v>
      </c>
      <c r="AL646" s="14" t="str">
        <f>IF(AD646&gt;0,INDEX(挂机升级突破!$BX$4:$CH$4,AD646),"")</f>
        <v>紫色基础材料</v>
      </c>
      <c r="AM646" s="14">
        <f>ROUND(INDEX(挂机升级突破!$BX$6:$CH$57,卡牌消耗!AI646,AD646)*INDEX(卡牌消耗!$B$5:$F$5,AG646)/$Q$4/5,0)*5</f>
        <v>270</v>
      </c>
      <c r="AN646" s="14" t="str">
        <f>IF(AE646&gt;0,INDEX(挂机升级突破!$BX$4:$CH$4,AE646),"")</f>
        <v/>
      </c>
      <c r="AO646" s="14" t="str">
        <f>IF(AE646&gt;0,ROUND(INDEX(挂机升级突破!$BX$6:$CH$57,卡牌消耗!AI646,AE646)*INDEX(卡牌消耗!$B$7:$F$7,AG646)/$Q$4,0),"")</f>
        <v/>
      </c>
    </row>
    <row r="647" spans="27:41" ht="16.5" x14ac:dyDescent="0.2">
      <c r="AA647" s="104">
        <v>643</v>
      </c>
      <c r="AB647" s="14">
        <f t="shared" si="183"/>
        <v>13</v>
      </c>
      <c r="AC647" s="14">
        <f>INDEX(挂机升级突破!$BU$6:$BU$57,卡牌消耗!AI647)</f>
        <v>11</v>
      </c>
      <c r="AD647" s="14">
        <f>INDEX(挂机升级突破!BV$6:BV$57,卡牌消耗!$AI647)</f>
        <v>3</v>
      </c>
      <c r="AE647" s="14">
        <f>INDEX(挂机升级突破!BW$6:BW$57,卡牌消耗!$AI647)</f>
        <v>0</v>
      </c>
      <c r="AF647" s="14" t="str">
        <f t="shared" si="184"/>
        <v>塞伯罗斯</v>
      </c>
      <c r="AG647" s="14">
        <f t="shared" si="185"/>
        <v>2</v>
      </c>
      <c r="AH647" s="14" t="str">
        <f t="shared" si="186"/>
        <v>塞伯罗斯魂火-19</v>
      </c>
      <c r="AI647" s="14">
        <f t="shared" si="187"/>
        <v>19</v>
      </c>
      <c r="AJ647" s="14" t="str">
        <f>INDEX(挂机升级突破!$BX$4:$CH$4,INDEX(挂机升级突破!$BU$6:$BU$57,卡牌消耗!AI647))</f>
        <v>金币</v>
      </c>
      <c r="AK647" s="14">
        <f>ROUND(INDEX(挂机升级突破!$BN$6:$BN$57,卡牌消耗!AI647)*INDEX(卡牌消耗!$B$8:$F$8,AG647)/$Q$4/50,0)*50</f>
        <v>2250</v>
      </c>
      <c r="AL647" s="14" t="str">
        <f>IF(AD647&gt;0,INDEX(挂机升级突破!$BX$4:$CH$4,AD647),"")</f>
        <v>紫色基础材料</v>
      </c>
      <c r="AM647" s="14">
        <f>ROUND(INDEX(挂机升级突破!$BX$6:$CH$57,卡牌消耗!AI647,AD647)*INDEX(卡牌消耗!$B$5:$F$5,AG647)/$Q$4/5,0)*5</f>
        <v>270</v>
      </c>
      <c r="AN647" s="14" t="str">
        <f>IF(AE647&gt;0,INDEX(挂机升级突破!$BX$4:$CH$4,AE647),"")</f>
        <v/>
      </c>
      <c r="AO647" s="14" t="str">
        <f>IF(AE647&gt;0,ROUND(INDEX(挂机升级突破!$BX$6:$CH$57,卡牌消耗!AI647,AE647)*INDEX(卡牌消耗!$B$7:$F$7,AG647)/$Q$4,0),"")</f>
        <v/>
      </c>
    </row>
    <row r="648" spans="27:41" ht="16.5" x14ac:dyDescent="0.2">
      <c r="AA648" s="104">
        <v>644</v>
      </c>
      <c r="AB648" s="14">
        <f t="shared" si="183"/>
        <v>13</v>
      </c>
      <c r="AC648" s="14">
        <f>INDEX(挂机升级突破!$BU$6:$BU$57,卡牌消耗!AI648)</f>
        <v>11</v>
      </c>
      <c r="AD648" s="14">
        <f>INDEX(挂机升级突破!BV$6:BV$57,卡牌消耗!$AI648)</f>
        <v>3</v>
      </c>
      <c r="AE648" s="14">
        <f>INDEX(挂机升级突破!BW$6:BW$57,卡牌消耗!$AI648)</f>
        <v>0</v>
      </c>
      <c r="AF648" s="14" t="str">
        <f t="shared" si="184"/>
        <v>塞伯罗斯</v>
      </c>
      <c r="AG648" s="14">
        <f t="shared" si="185"/>
        <v>2</v>
      </c>
      <c r="AH648" s="14" t="str">
        <f t="shared" si="186"/>
        <v>塞伯罗斯魂火-20</v>
      </c>
      <c r="AI648" s="14">
        <f t="shared" si="187"/>
        <v>20</v>
      </c>
      <c r="AJ648" s="14" t="str">
        <f>INDEX(挂机升级突破!$BX$4:$CH$4,INDEX(挂机升级突破!$BU$6:$BU$57,卡牌消耗!AI648))</f>
        <v>金币</v>
      </c>
      <c r="AK648" s="14">
        <f>ROUND(INDEX(挂机升级突破!$BN$6:$BN$57,卡牌消耗!AI648)*INDEX(卡牌消耗!$B$8:$F$8,AG648)/$Q$4/50,0)*50</f>
        <v>2750</v>
      </c>
      <c r="AL648" s="14" t="str">
        <f>IF(AD648&gt;0,INDEX(挂机升级突破!$BX$4:$CH$4,AD648),"")</f>
        <v>紫色基础材料</v>
      </c>
      <c r="AM648" s="14">
        <f>ROUND(INDEX(挂机升级突破!$BX$6:$CH$57,卡牌消耗!AI648,AD648)*INDEX(卡牌消耗!$B$5:$F$5,AG648)/$Q$4/5,0)*5</f>
        <v>405</v>
      </c>
      <c r="AN648" s="14" t="str">
        <f>IF(AE648&gt;0,INDEX(挂机升级突破!$BX$4:$CH$4,AE648),"")</f>
        <v/>
      </c>
      <c r="AO648" s="14" t="str">
        <f>IF(AE648&gt;0,ROUND(INDEX(挂机升级突破!$BX$6:$CH$57,卡牌消耗!AI648,AE648)*INDEX(卡牌消耗!$B$7:$F$7,AG648)/$Q$4,0),"")</f>
        <v/>
      </c>
    </row>
    <row r="649" spans="27:41" ht="16.5" x14ac:dyDescent="0.2">
      <c r="AA649" s="104">
        <v>645</v>
      </c>
      <c r="AB649" s="14">
        <f t="shared" si="183"/>
        <v>13</v>
      </c>
      <c r="AC649" s="14">
        <f>INDEX(挂机升级突破!$BU$6:$BU$57,卡牌消耗!AI649)</f>
        <v>11</v>
      </c>
      <c r="AD649" s="14">
        <f>INDEX(挂机升级突破!BV$6:BV$57,卡牌消耗!$AI649)</f>
        <v>3</v>
      </c>
      <c r="AE649" s="14">
        <f>INDEX(挂机升级突破!BW$6:BW$57,卡牌消耗!$AI649)</f>
        <v>0</v>
      </c>
      <c r="AF649" s="14" t="str">
        <f t="shared" si="184"/>
        <v>塞伯罗斯</v>
      </c>
      <c r="AG649" s="14">
        <f t="shared" si="185"/>
        <v>2</v>
      </c>
      <c r="AH649" s="14" t="str">
        <f t="shared" si="186"/>
        <v>塞伯罗斯魂火-21</v>
      </c>
      <c r="AI649" s="14">
        <f t="shared" si="187"/>
        <v>21</v>
      </c>
      <c r="AJ649" s="14" t="str">
        <f>INDEX(挂机升级突破!$BX$4:$CH$4,INDEX(挂机升级突破!$BU$6:$BU$57,卡牌消耗!AI649))</f>
        <v>金币</v>
      </c>
      <c r="AK649" s="14">
        <f>ROUND(INDEX(挂机升级突破!$BN$6:$BN$57,卡牌消耗!AI649)*INDEX(卡牌消耗!$B$8:$F$8,AG649)/$Q$4/50,0)*50</f>
        <v>2750</v>
      </c>
      <c r="AL649" s="14" t="str">
        <f>IF(AD649&gt;0,INDEX(挂机升级突破!$BX$4:$CH$4,AD649),"")</f>
        <v>紫色基础材料</v>
      </c>
      <c r="AM649" s="14">
        <f>ROUND(INDEX(挂机升级突破!$BX$6:$CH$57,卡牌消耗!AI649,AD649)*INDEX(卡牌消耗!$B$5:$F$5,AG649)/$Q$4/5,0)*5</f>
        <v>405</v>
      </c>
      <c r="AN649" s="14" t="str">
        <f>IF(AE649&gt;0,INDEX(挂机升级突破!$BX$4:$CH$4,AE649),"")</f>
        <v/>
      </c>
      <c r="AO649" s="14" t="str">
        <f>IF(AE649&gt;0,ROUND(INDEX(挂机升级突破!$BX$6:$CH$57,卡牌消耗!AI649,AE649)*INDEX(卡牌消耗!$B$7:$F$7,AG649)/$Q$4,0),"")</f>
        <v/>
      </c>
    </row>
    <row r="650" spans="27:41" ht="16.5" x14ac:dyDescent="0.2">
      <c r="AA650" s="104">
        <v>646</v>
      </c>
      <c r="AB650" s="14">
        <f t="shared" si="183"/>
        <v>13</v>
      </c>
      <c r="AC650" s="14">
        <f>INDEX(挂机升级突破!$BU$6:$BU$57,卡牌消耗!AI650)</f>
        <v>11</v>
      </c>
      <c r="AD650" s="14">
        <f>INDEX(挂机升级突破!BV$6:BV$57,卡牌消耗!$AI650)</f>
        <v>3</v>
      </c>
      <c r="AE650" s="14">
        <f>INDEX(挂机升级突破!BW$6:BW$57,卡牌消耗!$AI650)</f>
        <v>0</v>
      </c>
      <c r="AF650" s="14" t="str">
        <f t="shared" si="184"/>
        <v>塞伯罗斯</v>
      </c>
      <c r="AG650" s="14">
        <f t="shared" si="185"/>
        <v>2</v>
      </c>
      <c r="AH650" s="14" t="str">
        <f t="shared" si="186"/>
        <v>塞伯罗斯魂火-22</v>
      </c>
      <c r="AI650" s="14">
        <f t="shared" si="187"/>
        <v>22</v>
      </c>
      <c r="AJ650" s="14" t="str">
        <f>INDEX(挂机升级突破!$BX$4:$CH$4,INDEX(挂机升级突破!$BU$6:$BU$57,卡牌消耗!AI650))</f>
        <v>金币</v>
      </c>
      <c r="AK650" s="14">
        <f>ROUND(INDEX(挂机升级突破!$BN$6:$BN$57,卡牌消耗!AI650)*INDEX(卡牌消耗!$B$8:$F$8,AG650)/$Q$4/50,0)*50</f>
        <v>2750</v>
      </c>
      <c r="AL650" s="14" t="str">
        <f>IF(AD650&gt;0,INDEX(挂机升级突破!$BX$4:$CH$4,AD650),"")</f>
        <v>紫色基础材料</v>
      </c>
      <c r="AM650" s="14">
        <f>ROUND(INDEX(挂机升级突破!$BX$6:$CH$57,卡牌消耗!AI650,AD650)*INDEX(卡牌消耗!$B$5:$F$5,AG650)/$Q$4/5,0)*5</f>
        <v>405</v>
      </c>
      <c r="AN650" s="14" t="str">
        <f>IF(AE650&gt;0,INDEX(挂机升级突破!$BX$4:$CH$4,AE650),"")</f>
        <v/>
      </c>
      <c r="AO650" s="14" t="str">
        <f>IF(AE650&gt;0,ROUND(INDEX(挂机升级突破!$BX$6:$CH$57,卡牌消耗!AI650,AE650)*INDEX(卡牌消耗!$B$7:$F$7,AG650)/$Q$4,0),"")</f>
        <v/>
      </c>
    </row>
    <row r="651" spans="27:41" ht="16.5" x14ac:dyDescent="0.2">
      <c r="AA651" s="104">
        <v>647</v>
      </c>
      <c r="AB651" s="14">
        <f t="shared" si="183"/>
        <v>13</v>
      </c>
      <c r="AC651" s="14">
        <f>INDEX(挂机升级突破!$BU$6:$BU$57,卡牌消耗!AI651)</f>
        <v>11</v>
      </c>
      <c r="AD651" s="14">
        <f>INDEX(挂机升级突破!BV$6:BV$57,卡牌消耗!$AI651)</f>
        <v>4</v>
      </c>
      <c r="AE651" s="14">
        <f>INDEX(挂机升级突破!BW$6:BW$57,卡牌消耗!$AI651)</f>
        <v>0</v>
      </c>
      <c r="AF651" s="14" t="str">
        <f t="shared" si="184"/>
        <v>塞伯罗斯</v>
      </c>
      <c r="AG651" s="14">
        <f t="shared" si="185"/>
        <v>2</v>
      </c>
      <c r="AH651" s="14" t="str">
        <f t="shared" si="186"/>
        <v>塞伯罗斯魂火-23</v>
      </c>
      <c r="AI651" s="14">
        <f t="shared" si="187"/>
        <v>23</v>
      </c>
      <c r="AJ651" s="14" t="str">
        <f>INDEX(挂机升级突破!$BX$4:$CH$4,INDEX(挂机升级突破!$BU$6:$BU$57,卡牌消耗!AI651))</f>
        <v>金币</v>
      </c>
      <c r="AK651" s="14">
        <f>ROUND(INDEX(挂机升级突破!$BN$6:$BN$57,卡牌消耗!AI651)*INDEX(卡牌消耗!$B$8:$F$8,AG651)/$Q$4/50,0)*50</f>
        <v>3750</v>
      </c>
      <c r="AL651" s="14" t="str">
        <f>IF(AD651&gt;0,INDEX(挂机升级突破!$BX$4:$CH$4,AD651),"")</f>
        <v>橙色基础材料</v>
      </c>
      <c r="AM651" s="14">
        <f>ROUND(INDEX(挂机升级突破!$BX$6:$CH$57,卡牌消耗!AI651,AD651)*INDEX(卡牌消耗!$B$5:$F$5,AG651)/$Q$4/5,0)*5</f>
        <v>55</v>
      </c>
      <c r="AN651" s="14" t="str">
        <f>IF(AE651&gt;0,INDEX(挂机升级突破!$BX$4:$CH$4,AE651),"")</f>
        <v/>
      </c>
      <c r="AO651" s="14" t="str">
        <f>IF(AE651&gt;0,ROUND(INDEX(挂机升级突破!$BX$6:$CH$57,卡牌消耗!AI651,AE651)*INDEX(卡牌消耗!$B$7:$F$7,AG651)/$Q$4,0),"")</f>
        <v/>
      </c>
    </row>
    <row r="652" spans="27:41" ht="16.5" x14ac:dyDescent="0.2">
      <c r="AA652" s="104">
        <v>648</v>
      </c>
      <c r="AB652" s="14">
        <f t="shared" si="183"/>
        <v>13</v>
      </c>
      <c r="AC652" s="14">
        <f>INDEX(挂机升级突破!$BU$6:$BU$57,卡牌消耗!AI652)</f>
        <v>11</v>
      </c>
      <c r="AD652" s="14">
        <f>INDEX(挂机升级突破!BV$6:BV$57,卡牌消耗!$AI652)</f>
        <v>4</v>
      </c>
      <c r="AE652" s="14">
        <f>INDEX(挂机升级突破!BW$6:BW$57,卡牌消耗!$AI652)</f>
        <v>0</v>
      </c>
      <c r="AF652" s="14" t="str">
        <f t="shared" si="184"/>
        <v>塞伯罗斯</v>
      </c>
      <c r="AG652" s="14">
        <f t="shared" si="185"/>
        <v>2</v>
      </c>
      <c r="AH652" s="14" t="str">
        <f t="shared" si="186"/>
        <v>塞伯罗斯魂火-24</v>
      </c>
      <c r="AI652" s="14">
        <f t="shared" si="187"/>
        <v>24</v>
      </c>
      <c r="AJ652" s="14" t="str">
        <f>INDEX(挂机升级突破!$BX$4:$CH$4,INDEX(挂机升级突破!$BU$6:$BU$57,卡牌消耗!AI652))</f>
        <v>金币</v>
      </c>
      <c r="AK652" s="14">
        <f>ROUND(INDEX(挂机升级突破!$BN$6:$BN$57,卡牌消耗!AI652)*INDEX(卡牌消耗!$B$8:$F$8,AG652)/$Q$4/50,0)*50</f>
        <v>3750</v>
      </c>
      <c r="AL652" s="14" t="str">
        <f>IF(AD652&gt;0,INDEX(挂机升级突破!$BX$4:$CH$4,AD652),"")</f>
        <v>橙色基础材料</v>
      </c>
      <c r="AM652" s="14">
        <f>ROUND(INDEX(挂机升级突破!$BX$6:$CH$57,卡牌消耗!AI652,AD652)*INDEX(卡牌消耗!$B$5:$F$5,AG652)/$Q$4/5,0)*5</f>
        <v>55</v>
      </c>
      <c r="AN652" s="14" t="str">
        <f>IF(AE652&gt;0,INDEX(挂机升级突破!$BX$4:$CH$4,AE652),"")</f>
        <v/>
      </c>
      <c r="AO652" s="14" t="str">
        <f>IF(AE652&gt;0,ROUND(INDEX(挂机升级突破!$BX$6:$CH$57,卡牌消耗!AI652,AE652)*INDEX(卡牌消耗!$B$7:$F$7,AG652)/$Q$4,0),"")</f>
        <v/>
      </c>
    </row>
    <row r="653" spans="27:41" ht="16.5" x14ac:dyDescent="0.2">
      <c r="AA653" s="104">
        <v>649</v>
      </c>
      <c r="AB653" s="14">
        <f t="shared" si="183"/>
        <v>13</v>
      </c>
      <c r="AC653" s="14">
        <f>INDEX(挂机升级突破!$BU$6:$BU$57,卡牌消耗!AI653)</f>
        <v>11</v>
      </c>
      <c r="AD653" s="14">
        <f>INDEX(挂机升级突破!BV$6:BV$57,卡牌消耗!$AI653)</f>
        <v>4</v>
      </c>
      <c r="AE653" s="14">
        <f>INDEX(挂机升级突破!BW$6:BW$57,卡牌消耗!$AI653)</f>
        <v>0</v>
      </c>
      <c r="AF653" s="14" t="str">
        <f t="shared" si="184"/>
        <v>塞伯罗斯</v>
      </c>
      <c r="AG653" s="14">
        <f t="shared" si="185"/>
        <v>2</v>
      </c>
      <c r="AH653" s="14" t="str">
        <f t="shared" si="186"/>
        <v>塞伯罗斯魂火-25</v>
      </c>
      <c r="AI653" s="14">
        <f t="shared" si="187"/>
        <v>25</v>
      </c>
      <c r="AJ653" s="14" t="str">
        <f>INDEX(挂机升级突破!$BX$4:$CH$4,INDEX(挂机升级突破!$BU$6:$BU$57,卡牌消耗!AI653))</f>
        <v>金币</v>
      </c>
      <c r="AK653" s="14">
        <f>ROUND(INDEX(挂机升级突破!$BN$6:$BN$57,卡牌消耗!AI653)*INDEX(卡牌消耗!$B$8:$F$8,AG653)/$Q$4/50,0)*50</f>
        <v>4100</v>
      </c>
      <c r="AL653" s="14" t="str">
        <f>IF(AD653&gt;0,INDEX(挂机升级突破!$BX$4:$CH$4,AD653),"")</f>
        <v>橙色基础材料</v>
      </c>
      <c r="AM653" s="14">
        <f>ROUND(INDEX(挂机升级突破!$BX$6:$CH$57,卡牌消耗!AI653,AD653)*INDEX(卡牌消耗!$B$5:$F$5,AG653)/$Q$4/5,0)*5</f>
        <v>55</v>
      </c>
      <c r="AN653" s="14" t="str">
        <f>IF(AE653&gt;0,INDEX(挂机升级突破!$BX$4:$CH$4,AE653),"")</f>
        <v/>
      </c>
      <c r="AO653" s="14" t="str">
        <f>IF(AE653&gt;0,ROUND(INDEX(挂机升级突破!$BX$6:$CH$57,卡牌消耗!AI653,AE653)*INDEX(卡牌消耗!$B$7:$F$7,AG653)/$Q$4,0),"")</f>
        <v/>
      </c>
    </row>
    <row r="654" spans="27:41" ht="16.5" x14ac:dyDescent="0.2">
      <c r="AA654" s="104">
        <v>650</v>
      </c>
      <c r="AB654" s="14">
        <f t="shared" si="183"/>
        <v>13</v>
      </c>
      <c r="AC654" s="14">
        <f>INDEX(挂机升级突破!$BU$6:$BU$57,卡牌消耗!AI654)</f>
        <v>11</v>
      </c>
      <c r="AD654" s="14">
        <f>INDEX(挂机升级突破!BV$6:BV$57,卡牌消耗!$AI654)</f>
        <v>4</v>
      </c>
      <c r="AE654" s="14">
        <f>INDEX(挂机升级突破!BW$6:BW$57,卡牌消耗!$AI654)</f>
        <v>0</v>
      </c>
      <c r="AF654" s="14" t="str">
        <f t="shared" si="184"/>
        <v>塞伯罗斯</v>
      </c>
      <c r="AG654" s="14">
        <f t="shared" si="185"/>
        <v>2</v>
      </c>
      <c r="AH654" s="14" t="str">
        <f t="shared" si="186"/>
        <v>塞伯罗斯魂火-26</v>
      </c>
      <c r="AI654" s="14">
        <f t="shared" si="187"/>
        <v>26</v>
      </c>
      <c r="AJ654" s="14" t="str">
        <f>INDEX(挂机升级突破!$BX$4:$CH$4,INDEX(挂机升级突破!$BU$6:$BU$57,卡牌消耗!AI654))</f>
        <v>金币</v>
      </c>
      <c r="AK654" s="14">
        <f>ROUND(INDEX(挂机升级突破!$BN$6:$BN$57,卡牌消耗!AI654)*INDEX(卡牌消耗!$B$8:$F$8,AG654)/$Q$4/50,0)*50</f>
        <v>4800</v>
      </c>
      <c r="AL654" s="14" t="str">
        <f>IF(AD654&gt;0,INDEX(挂机升级突破!$BX$4:$CH$4,AD654),"")</f>
        <v>橙色基础材料</v>
      </c>
      <c r="AM654" s="14">
        <f>ROUND(INDEX(挂机升级突破!$BX$6:$CH$57,卡牌消耗!AI654,AD654)*INDEX(卡牌消耗!$B$5:$F$5,AG654)/$Q$4/5,0)*5</f>
        <v>65</v>
      </c>
      <c r="AN654" s="14" t="str">
        <f>IF(AE654&gt;0,INDEX(挂机升级突破!$BX$4:$CH$4,AE654),"")</f>
        <v/>
      </c>
      <c r="AO654" s="14" t="str">
        <f>IF(AE654&gt;0,ROUND(INDEX(挂机升级突破!$BX$6:$CH$57,卡牌消耗!AI654,AE654)*INDEX(卡牌消耗!$B$7:$F$7,AG654)/$Q$4,0),"")</f>
        <v/>
      </c>
    </row>
    <row r="655" spans="27:41" ht="16.5" x14ac:dyDescent="0.2">
      <c r="AA655" s="104">
        <v>651</v>
      </c>
      <c r="AB655" s="14">
        <f t="shared" si="183"/>
        <v>13</v>
      </c>
      <c r="AC655" s="14">
        <f>INDEX(挂机升级突破!$BU$6:$BU$57,卡牌消耗!AI655)</f>
        <v>11</v>
      </c>
      <c r="AD655" s="14">
        <f>INDEX(挂机升级突破!BV$6:BV$57,卡牌消耗!$AI655)</f>
        <v>4</v>
      </c>
      <c r="AE655" s="14">
        <f>INDEX(挂机升级突破!BW$6:BW$57,卡牌消耗!$AI655)</f>
        <v>0</v>
      </c>
      <c r="AF655" s="14" t="str">
        <f t="shared" si="184"/>
        <v>塞伯罗斯</v>
      </c>
      <c r="AG655" s="14">
        <f t="shared" si="185"/>
        <v>2</v>
      </c>
      <c r="AH655" s="14" t="str">
        <f t="shared" si="186"/>
        <v>塞伯罗斯魂火-27</v>
      </c>
      <c r="AI655" s="14">
        <f t="shared" si="187"/>
        <v>27</v>
      </c>
      <c r="AJ655" s="14" t="str">
        <f>INDEX(挂机升级突破!$BX$4:$CH$4,INDEX(挂机升级突破!$BU$6:$BU$57,卡牌消耗!AI655))</f>
        <v>金币</v>
      </c>
      <c r="AK655" s="14">
        <f>ROUND(INDEX(挂机升级突破!$BN$6:$BN$57,卡牌消耗!AI655)*INDEX(卡牌消耗!$B$8:$F$8,AG655)/$Q$4/50,0)*50</f>
        <v>4800</v>
      </c>
      <c r="AL655" s="14" t="str">
        <f>IF(AD655&gt;0,INDEX(挂机升级突破!$BX$4:$CH$4,AD655),"")</f>
        <v>橙色基础材料</v>
      </c>
      <c r="AM655" s="14">
        <f>ROUND(INDEX(挂机升级突破!$BX$6:$CH$57,卡牌消耗!AI655,AD655)*INDEX(卡牌消耗!$B$5:$F$5,AG655)/$Q$4/5,0)*5</f>
        <v>65</v>
      </c>
      <c r="AN655" s="14" t="str">
        <f>IF(AE655&gt;0,INDEX(挂机升级突破!$BX$4:$CH$4,AE655),"")</f>
        <v/>
      </c>
      <c r="AO655" s="14" t="str">
        <f>IF(AE655&gt;0,ROUND(INDEX(挂机升级突破!$BX$6:$CH$57,卡牌消耗!AI655,AE655)*INDEX(卡牌消耗!$B$7:$F$7,AG655)/$Q$4,0),"")</f>
        <v/>
      </c>
    </row>
    <row r="656" spans="27:41" ht="16.5" x14ac:dyDescent="0.2">
      <c r="AA656" s="104">
        <v>652</v>
      </c>
      <c r="AB656" s="14">
        <f t="shared" si="183"/>
        <v>13</v>
      </c>
      <c r="AC656" s="14">
        <f>INDEX(挂机升级突破!$BU$6:$BU$57,卡牌消耗!AI656)</f>
        <v>11</v>
      </c>
      <c r="AD656" s="14">
        <f>INDEX(挂机升级突破!BV$6:BV$57,卡牌消耗!$AI656)</f>
        <v>4</v>
      </c>
      <c r="AE656" s="14">
        <f>INDEX(挂机升级突破!BW$6:BW$57,卡牌消耗!$AI656)</f>
        <v>0</v>
      </c>
      <c r="AF656" s="14" t="str">
        <f t="shared" si="184"/>
        <v>塞伯罗斯</v>
      </c>
      <c r="AG656" s="14">
        <f t="shared" si="185"/>
        <v>2</v>
      </c>
      <c r="AH656" s="14" t="str">
        <f t="shared" si="186"/>
        <v>塞伯罗斯魂火-28</v>
      </c>
      <c r="AI656" s="14">
        <f t="shared" si="187"/>
        <v>28</v>
      </c>
      <c r="AJ656" s="14" t="str">
        <f>INDEX(挂机升级突破!$BX$4:$CH$4,INDEX(挂机升级突破!$BU$6:$BU$57,卡牌消耗!AI656))</f>
        <v>金币</v>
      </c>
      <c r="AK656" s="14">
        <f>ROUND(INDEX(挂机升级突破!$BN$6:$BN$57,卡牌消耗!AI656)*INDEX(卡牌消耗!$B$8:$F$8,AG656)/$Q$4/50,0)*50</f>
        <v>4800</v>
      </c>
      <c r="AL656" s="14" t="str">
        <f>IF(AD656&gt;0,INDEX(挂机升级突破!$BX$4:$CH$4,AD656),"")</f>
        <v>橙色基础材料</v>
      </c>
      <c r="AM656" s="14">
        <f>ROUND(INDEX(挂机升级突破!$BX$6:$CH$57,卡牌消耗!AI656,AD656)*INDEX(卡牌消耗!$B$5:$F$5,AG656)/$Q$4/5,0)*5</f>
        <v>65</v>
      </c>
      <c r="AN656" s="14" t="str">
        <f>IF(AE656&gt;0,INDEX(挂机升级突破!$BX$4:$CH$4,AE656),"")</f>
        <v/>
      </c>
      <c r="AO656" s="14" t="str">
        <f>IF(AE656&gt;0,ROUND(INDEX(挂机升级突破!$BX$6:$CH$57,卡牌消耗!AI656,AE656)*INDEX(卡牌消耗!$B$7:$F$7,AG656)/$Q$4,0),"")</f>
        <v/>
      </c>
    </row>
    <row r="657" spans="27:41" ht="16.5" x14ac:dyDescent="0.2">
      <c r="AA657" s="104">
        <v>653</v>
      </c>
      <c r="AB657" s="14">
        <f t="shared" si="183"/>
        <v>13</v>
      </c>
      <c r="AC657" s="14">
        <f>INDEX(挂机升级突破!$BU$6:$BU$57,卡牌消耗!AI657)</f>
        <v>11</v>
      </c>
      <c r="AD657" s="14">
        <f>INDEX(挂机升级突破!BV$6:BV$57,卡牌消耗!$AI657)</f>
        <v>4</v>
      </c>
      <c r="AE657" s="14">
        <f>INDEX(挂机升级突破!BW$6:BW$57,卡牌消耗!$AI657)</f>
        <v>0</v>
      </c>
      <c r="AF657" s="14" t="str">
        <f t="shared" si="184"/>
        <v>塞伯罗斯</v>
      </c>
      <c r="AG657" s="14">
        <f t="shared" si="185"/>
        <v>2</v>
      </c>
      <c r="AH657" s="14" t="str">
        <f t="shared" si="186"/>
        <v>塞伯罗斯魂火-29</v>
      </c>
      <c r="AI657" s="14">
        <f t="shared" si="187"/>
        <v>29</v>
      </c>
      <c r="AJ657" s="14" t="str">
        <f>INDEX(挂机升级突破!$BX$4:$CH$4,INDEX(挂机升级突破!$BU$6:$BU$57,卡牌消耗!AI657))</f>
        <v>金币</v>
      </c>
      <c r="AK657" s="14">
        <f>ROUND(INDEX(挂机升级突破!$BN$6:$BN$57,卡牌消耗!AI657)*INDEX(卡牌消耗!$B$8:$F$8,AG657)/$Q$4/50,0)*50</f>
        <v>4850</v>
      </c>
      <c r="AL657" s="14" t="str">
        <f>IF(AD657&gt;0,INDEX(挂机升级突破!$BX$4:$CH$4,AD657),"")</f>
        <v>橙色基础材料</v>
      </c>
      <c r="AM657" s="14">
        <f>ROUND(INDEX(挂机升级突破!$BX$6:$CH$57,卡牌消耗!AI657,AD657)*INDEX(卡牌消耗!$B$5:$F$5,AG657)/$Q$4/5,0)*5</f>
        <v>80</v>
      </c>
      <c r="AN657" s="14" t="str">
        <f>IF(AE657&gt;0,INDEX(挂机升级突破!$BX$4:$CH$4,AE657),"")</f>
        <v/>
      </c>
      <c r="AO657" s="14" t="str">
        <f>IF(AE657&gt;0,ROUND(INDEX(挂机升级突破!$BX$6:$CH$57,卡牌消耗!AI657,AE657)*INDEX(卡牌消耗!$B$7:$F$7,AG657)/$Q$4,0),"")</f>
        <v/>
      </c>
    </row>
    <row r="658" spans="27:41" ht="16.5" x14ac:dyDescent="0.2">
      <c r="AA658" s="104">
        <v>654</v>
      </c>
      <c r="AB658" s="14">
        <f t="shared" si="183"/>
        <v>13</v>
      </c>
      <c r="AC658" s="14">
        <f>INDEX(挂机升级突破!$BU$6:$BU$57,卡牌消耗!AI658)</f>
        <v>11</v>
      </c>
      <c r="AD658" s="14">
        <f>INDEX(挂机升级突破!BV$6:BV$57,卡牌消耗!$AI658)</f>
        <v>4</v>
      </c>
      <c r="AE658" s="14">
        <f>INDEX(挂机升级突破!BW$6:BW$57,卡牌消耗!$AI658)</f>
        <v>0</v>
      </c>
      <c r="AF658" s="14" t="str">
        <f t="shared" si="184"/>
        <v>塞伯罗斯</v>
      </c>
      <c r="AG658" s="14">
        <f t="shared" si="185"/>
        <v>2</v>
      </c>
      <c r="AH658" s="14" t="str">
        <f t="shared" si="186"/>
        <v>塞伯罗斯魂火-30</v>
      </c>
      <c r="AI658" s="14">
        <f t="shared" si="187"/>
        <v>30</v>
      </c>
      <c r="AJ658" s="14" t="str">
        <f>INDEX(挂机升级突破!$BX$4:$CH$4,INDEX(挂机升级突破!$BU$6:$BU$57,卡牌消耗!AI658))</f>
        <v>金币</v>
      </c>
      <c r="AK658" s="14">
        <f>ROUND(INDEX(挂机升级突破!$BN$6:$BN$57,卡牌消耗!AI658)*INDEX(卡牌消耗!$B$8:$F$8,AG658)/$Q$4/50,0)*50</f>
        <v>4850</v>
      </c>
      <c r="AL658" s="14" t="str">
        <f>IF(AD658&gt;0,INDEX(挂机升级突破!$BX$4:$CH$4,AD658),"")</f>
        <v>橙色基础材料</v>
      </c>
      <c r="AM658" s="14">
        <f>ROUND(INDEX(挂机升级突破!$BX$6:$CH$57,卡牌消耗!AI658,AD658)*INDEX(卡牌消耗!$B$5:$F$5,AG658)/$Q$4/5,0)*5</f>
        <v>80</v>
      </c>
      <c r="AN658" s="14" t="str">
        <f>IF(AE658&gt;0,INDEX(挂机升级突破!$BX$4:$CH$4,AE658),"")</f>
        <v/>
      </c>
      <c r="AO658" s="14" t="str">
        <f>IF(AE658&gt;0,ROUND(INDEX(挂机升级突破!$BX$6:$CH$57,卡牌消耗!AI658,AE658)*INDEX(卡牌消耗!$B$7:$F$7,AG658)/$Q$4,0),"")</f>
        <v/>
      </c>
    </row>
    <row r="659" spans="27:41" ht="16.5" x14ac:dyDescent="0.2">
      <c r="AA659" s="104">
        <v>655</v>
      </c>
      <c r="AB659" s="14">
        <f t="shared" si="183"/>
        <v>13</v>
      </c>
      <c r="AC659" s="14">
        <f>INDEX(挂机升级突破!$BU$6:$BU$57,卡牌消耗!AI659)</f>
        <v>11</v>
      </c>
      <c r="AD659" s="14">
        <f>INDEX(挂机升级突破!BV$6:BV$57,卡牌消耗!$AI659)</f>
        <v>4</v>
      </c>
      <c r="AE659" s="14">
        <f>INDEX(挂机升级突破!BW$6:BW$57,卡牌消耗!$AI659)</f>
        <v>0</v>
      </c>
      <c r="AF659" s="14" t="str">
        <f t="shared" si="184"/>
        <v>塞伯罗斯</v>
      </c>
      <c r="AG659" s="14">
        <f t="shared" si="185"/>
        <v>2</v>
      </c>
      <c r="AH659" s="14" t="str">
        <f t="shared" si="186"/>
        <v>塞伯罗斯魂火-31</v>
      </c>
      <c r="AI659" s="14">
        <f t="shared" si="187"/>
        <v>31</v>
      </c>
      <c r="AJ659" s="14" t="str">
        <f>INDEX(挂机升级突破!$BX$4:$CH$4,INDEX(挂机升级突破!$BU$6:$BU$57,卡牌消耗!AI659))</f>
        <v>金币</v>
      </c>
      <c r="AK659" s="14">
        <f>ROUND(INDEX(挂机升级突破!$BN$6:$BN$57,卡牌消耗!AI659)*INDEX(卡牌消耗!$B$8:$F$8,AG659)/$Q$4/50,0)*50</f>
        <v>4850</v>
      </c>
      <c r="AL659" s="14" t="str">
        <f>IF(AD659&gt;0,INDEX(挂机升级突破!$BX$4:$CH$4,AD659),"")</f>
        <v>橙色基础材料</v>
      </c>
      <c r="AM659" s="14">
        <f>ROUND(INDEX(挂机升级突破!$BX$6:$CH$57,卡牌消耗!AI659,AD659)*INDEX(卡牌消耗!$B$5:$F$5,AG659)/$Q$4/5,0)*5</f>
        <v>80</v>
      </c>
      <c r="AN659" s="14" t="str">
        <f>IF(AE659&gt;0,INDEX(挂机升级突破!$BX$4:$CH$4,AE659),"")</f>
        <v/>
      </c>
      <c r="AO659" s="14" t="str">
        <f>IF(AE659&gt;0,ROUND(INDEX(挂机升级突破!$BX$6:$CH$57,卡牌消耗!AI659,AE659)*INDEX(卡牌消耗!$B$7:$F$7,AG659)/$Q$4,0),"")</f>
        <v/>
      </c>
    </row>
    <row r="660" spans="27:41" ht="16.5" x14ac:dyDescent="0.2">
      <c r="AA660" s="104">
        <v>656</v>
      </c>
      <c r="AB660" s="14">
        <f t="shared" si="183"/>
        <v>13</v>
      </c>
      <c r="AC660" s="14">
        <f>INDEX(挂机升级突破!$BU$6:$BU$57,卡牌消耗!AI660)</f>
        <v>11</v>
      </c>
      <c r="AD660" s="14">
        <f>INDEX(挂机升级突破!BV$6:BV$57,卡牌消耗!$AI660)</f>
        <v>4</v>
      </c>
      <c r="AE660" s="14">
        <f>INDEX(挂机升级突破!BW$6:BW$57,卡牌消耗!$AI660)</f>
        <v>0</v>
      </c>
      <c r="AF660" s="14" t="str">
        <f t="shared" si="184"/>
        <v>塞伯罗斯</v>
      </c>
      <c r="AG660" s="14">
        <f t="shared" si="185"/>
        <v>2</v>
      </c>
      <c r="AH660" s="14" t="str">
        <f t="shared" si="186"/>
        <v>塞伯罗斯魂火-32</v>
      </c>
      <c r="AI660" s="14">
        <f t="shared" si="187"/>
        <v>32</v>
      </c>
      <c r="AJ660" s="14" t="str">
        <f>INDEX(挂机升级突破!$BX$4:$CH$4,INDEX(挂机升级突破!$BU$6:$BU$57,卡牌消耗!AI660))</f>
        <v>金币</v>
      </c>
      <c r="AK660" s="14">
        <f>ROUND(INDEX(挂机升级突破!$BN$6:$BN$57,卡牌消耗!AI660)*INDEX(卡牌消耗!$B$8:$F$8,AG660)/$Q$4/50,0)*50</f>
        <v>6650</v>
      </c>
      <c r="AL660" s="14" t="str">
        <f>IF(AD660&gt;0,INDEX(挂机升级突破!$BX$4:$CH$4,AD660),"")</f>
        <v>橙色基础材料</v>
      </c>
      <c r="AM660" s="14">
        <f>ROUND(INDEX(挂机升级突破!$BX$6:$CH$57,卡牌消耗!AI660,AD660)*INDEX(卡牌消耗!$B$5:$F$5,AG660)/$Q$4/5,0)*5</f>
        <v>80</v>
      </c>
      <c r="AN660" s="14" t="str">
        <f>IF(AE660&gt;0,INDEX(挂机升级突破!$BX$4:$CH$4,AE660),"")</f>
        <v/>
      </c>
      <c r="AO660" s="14" t="str">
        <f>IF(AE660&gt;0,ROUND(INDEX(挂机升级突破!$BX$6:$CH$57,卡牌消耗!AI660,AE660)*INDEX(卡牌消耗!$B$7:$F$7,AG660)/$Q$4,0),"")</f>
        <v/>
      </c>
    </row>
    <row r="661" spans="27:41" ht="16.5" x14ac:dyDescent="0.2">
      <c r="AA661" s="104">
        <v>657</v>
      </c>
      <c r="AB661" s="14">
        <f t="shared" si="183"/>
        <v>13</v>
      </c>
      <c r="AC661" s="14">
        <f>INDEX(挂机升级突破!$BU$6:$BU$57,卡牌消耗!AI661)</f>
        <v>11</v>
      </c>
      <c r="AD661" s="14">
        <f>INDEX(挂机升级突破!BV$6:BV$57,卡牌消耗!$AI661)</f>
        <v>4</v>
      </c>
      <c r="AE661" s="14">
        <f>INDEX(挂机升级突破!BW$6:BW$57,卡牌消耗!$AI661)</f>
        <v>0</v>
      </c>
      <c r="AF661" s="14" t="str">
        <f t="shared" si="184"/>
        <v>塞伯罗斯</v>
      </c>
      <c r="AG661" s="14">
        <f t="shared" si="185"/>
        <v>2</v>
      </c>
      <c r="AH661" s="14" t="str">
        <f t="shared" si="186"/>
        <v>塞伯罗斯魂火-33</v>
      </c>
      <c r="AI661" s="14">
        <f t="shared" si="187"/>
        <v>33</v>
      </c>
      <c r="AJ661" s="14" t="str">
        <f>INDEX(挂机升级突破!$BX$4:$CH$4,INDEX(挂机升级突破!$BU$6:$BU$57,卡牌消耗!AI661))</f>
        <v>金币</v>
      </c>
      <c r="AK661" s="14">
        <f>ROUND(INDEX(挂机升级突破!$BN$6:$BN$57,卡牌消耗!AI661)*INDEX(卡牌消耗!$B$8:$F$8,AG661)/$Q$4/50,0)*50</f>
        <v>6650</v>
      </c>
      <c r="AL661" s="14" t="str">
        <f>IF(AD661&gt;0,INDEX(挂机升级突破!$BX$4:$CH$4,AD661),"")</f>
        <v>橙色基础材料</v>
      </c>
      <c r="AM661" s="14">
        <f>ROUND(INDEX(挂机升级突破!$BX$6:$CH$57,卡牌消耗!AI661,AD661)*INDEX(卡牌消耗!$B$5:$F$5,AG661)/$Q$4/5,0)*5</f>
        <v>80</v>
      </c>
      <c r="AN661" s="14" t="str">
        <f>IF(AE661&gt;0,INDEX(挂机升级突破!$BX$4:$CH$4,AE661),"")</f>
        <v/>
      </c>
      <c r="AO661" s="14" t="str">
        <f>IF(AE661&gt;0,ROUND(INDEX(挂机升级突破!$BX$6:$CH$57,卡牌消耗!AI661,AE661)*INDEX(卡牌消耗!$B$7:$F$7,AG661)/$Q$4,0),"")</f>
        <v/>
      </c>
    </row>
    <row r="662" spans="27:41" ht="16.5" x14ac:dyDescent="0.2">
      <c r="AA662" s="104">
        <v>658</v>
      </c>
      <c r="AB662" s="14">
        <f t="shared" si="183"/>
        <v>13</v>
      </c>
      <c r="AC662" s="14">
        <f>INDEX(挂机升级突破!$BU$6:$BU$57,卡牌消耗!AI662)</f>
        <v>11</v>
      </c>
      <c r="AD662" s="14">
        <f>INDEX(挂机升级突破!BV$6:BV$57,卡牌消耗!$AI662)</f>
        <v>4</v>
      </c>
      <c r="AE662" s="14">
        <f>INDEX(挂机升级突破!BW$6:BW$57,卡牌消耗!$AI662)</f>
        <v>0</v>
      </c>
      <c r="AF662" s="14" t="str">
        <f t="shared" si="184"/>
        <v>塞伯罗斯</v>
      </c>
      <c r="AG662" s="14">
        <f t="shared" si="185"/>
        <v>2</v>
      </c>
      <c r="AH662" s="14" t="str">
        <f t="shared" si="186"/>
        <v>塞伯罗斯魂火-34</v>
      </c>
      <c r="AI662" s="14">
        <f t="shared" si="187"/>
        <v>34</v>
      </c>
      <c r="AJ662" s="14" t="str">
        <f>INDEX(挂机升级突破!$BX$4:$CH$4,INDEX(挂机升级突破!$BU$6:$BU$57,卡牌消耗!AI662))</f>
        <v>金币</v>
      </c>
      <c r="AK662" s="14">
        <f>ROUND(INDEX(挂机升级突破!$BN$6:$BN$57,卡牌消耗!AI662)*INDEX(卡牌消耗!$B$8:$F$8,AG662)/$Q$4/50,0)*50</f>
        <v>6650</v>
      </c>
      <c r="AL662" s="14" t="str">
        <f>IF(AD662&gt;0,INDEX(挂机升级突破!$BX$4:$CH$4,AD662),"")</f>
        <v>橙色基础材料</v>
      </c>
      <c r="AM662" s="14">
        <f>ROUND(INDEX(挂机升级突破!$BX$6:$CH$57,卡牌消耗!AI662,AD662)*INDEX(卡牌消耗!$B$5:$F$5,AG662)/$Q$4/5,0)*5</f>
        <v>90</v>
      </c>
      <c r="AN662" s="14" t="str">
        <f>IF(AE662&gt;0,INDEX(挂机升级突破!$BX$4:$CH$4,AE662),"")</f>
        <v/>
      </c>
      <c r="AO662" s="14" t="str">
        <f>IF(AE662&gt;0,ROUND(INDEX(挂机升级突破!$BX$6:$CH$57,卡牌消耗!AI662,AE662)*INDEX(卡牌消耗!$B$7:$F$7,AG662)/$Q$4,0),"")</f>
        <v/>
      </c>
    </row>
    <row r="663" spans="27:41" ht="16.5" x14ac:dyDescent="0.2">
      <c r="AA663" s="104">
        <v>659</v>
      </c>
      <c r="AB663" s="14">
        <f t="shared" si="183"/>
        <v>13</v>
      </c>
      <c r="AC663" s="14">
        <f>INDEX(挂机升级突破!$BU$6:$BU$57,卡牌消耗!AI663)</f>
        <v>11</v>
      </c>
      <c r="AD663" s="14">
        <f>INDEX(挂机升级突破!BV$6:BV$57,卡牌消耗!$AI663)</f>
        <v>4</v>
      </c>
      <c r="AE663" s="14">
        <f>INDEX(挂机升级突破!BW$6:BW$57,卡牌消耗!$AI663)</f>
        <v>0</v>
      </c>
      <c r="AF663" s="14" t="str">
        <f t="shared" si="184"/>
        <v>塞伯罗斯</v>
      </c>
      <c r="AG663" s="14">
        <f t="shared" si="185"/>
        <v>2</v>
      </c>
      <c r="AH663" s="14" t="str">
        <f t="shared" si="186"/>
        <v>塞伯罗斯魂火-35</v>
      </c>
      <c r="AI663" s="14">
        <f t="shared" si="187"/>
        <v>35</v>
      </c>
      <c r="AJ663" s="14" t="str">
        <f>INDEX(挂机升级突破!$BX$4:$CH$4,INDEX(挂机升级突破!$BU$6:$BU$57,卡牌消耗!AI663))</f>
        <v>金币</v>
      </c>
      <c r="AK663" s="14">
        <f>ROUND(INDEX(挂机升级突破!$BN$6:$BN$57,卡牌消耗!AI663)*INDEX(卡牌消耗!$B$8:$F$8,AG663)/$Q$4/50,0)*50</f>
        <v>8450</v>
      </c>
      <c r="AL663" s="14" t="str">
        <f>IF(AD663&gt;0,INDEX(挂机升级突破!$BX$4:$CH$4,AD663),"")</f>
        <v>橙色基础材料</v>
      </c>
      <c r="AM663" s="14">
        <f>ROUND(INDEX(挂机升级突破!$BX$6:$CH$57,卡牌消耗!AI663,AD663)*INDEX(卡牌消耗!$B$5:$F$5,AG663)/$Q$4/5,0)*5</f>
        <v>90</v>
      </c>
      <c r="AN663" s="14" t="str">
        <f>IF(AE663&gt;0,INDEX(挂机升级突破!$BX$4:$CH$4,AE663),"")</f>
        <v/>
      </c>
      <c r="AO663" s="14" t="str">
        <f>IF(AE663&gt;0,ROUND(INDEX(挂机升级突破!$BX$6:$CH$57,卡牌消耗!AI663,AE663)*INDEX(卡牌消耗!$B$7:$F$7,AG663)/$Q$4,0),"")</f>
        <v/>
      </c>
    </row>
    <row r="664" spans="27:41" ht="16.5" x14ac:dyDescent="0.2">
      <c r="AA664" s="104">
        <v>660</v>
      </c>
      <c r="AB664" s="14">
        <f t="shared" si="183"/>
        <v>13</v>
      </c>
      <c r="AC664" s="14">
        <f>INDEX(挂机升级突破!$BU$6:$BU$57,卡牌消耗!AI664)</f>
        <v>11</v>
      </c>
      <c r="AD664" s="14">
        <f>INDEX(挂机升级突破!BV$6:BV$57,卡牌消耗!$AI664)</f>
        <v>4</v>
      </c>
      <c r="AE664" s="14">
        <f>INDEX(挂机升级突破!BW$6:BW$57,卡牌消耗!$AI664)</f>
        <v>0</v>
      </c>
      <c r="AF664" s="14" t="str">
        <f t="shared" si="184"/>
        <v>塞伯罗斯</v>
      </c>
      <c r="AG664" s="14">
        <f t="shared" si="185"/>
        <v>2</v>
      </c>
      <c r="AH664" s="14" t="str">
        <f t="shared" si="186"/>
        <v>塞伯罗斯魂火-36</v>
      </c>
      <c r="AI664" s="14">
        <f t="shared" si="187"/>
        <v>36</v>
      </c>
      <c r="AJ664" s="14" t="str">
        <f>INDEX(挂机升级突破!$BX$4:$CH$4,INDEX(挂机升级突破!$BU$6:$BU$57,卡牌消耗!AI664))</f>
        <v>金币</v>
      </c>
      <c r="AK664" s="14">
        <f>ROUND(INDEX(挂机升级突破!$BN$6:$BN$57,卡牌消耗!AI664)*INDEX(卡牌消耗!$B$8:$F$8,AG664)/$Q$4/50,0)*50</f>
        <v>8450</v>
      </c>
      <c r="AL664" s="14" t="str">
        <f>IF(AD664&gt;0,INDEX(挂机升级突破!$BX$4:$CH$4,AD664),"")</f>
        <v>橙色基础材料</v>
      </c>
      <c r="AM664" s="14">
        <f>ROUND(INDEX(挂机升级突破!$BX$6:$CH$57,卡牌消耗!AI664,AD664)*INDEX(卡牌消耗!$B$5:$F$5,AG664)/$Q$4/5,0)*5</f>
        <v>90</v>
      </c>
      <c r="AN664" s="14" t="str">
        <f>IF(AE664&gt;0,INDEX(挂机升级突破!$BX$4:$CH$4,AE664),"")</f>
        <v/>
      </c>
      <c r="AO664" s="14" t="str">
        <f>IF(AE664&gt;0,ROUND(INDEX(挂机升级突破!$BX$6:$CH$57,卡牌消耗!AI664,AE664)*INDEX(卡牌消耗!$B$7:$F$7,AG664)/$Q$4,0),"")</f>
        <v/>
      </c>
    </row>
    <row r="665" spans="27:41" ht="16.5" x14ac:dyDescent="0.2">
      <c r="AA665" s="104">
        <v>661</v>
      </c>
      <c r="AB665" s="14">
        <f t="shared" si="183"/>
        <v>13</v>
      </c>
      <c r="AC665" s="14">
        <f>INDEX(挂机升级突破!$BU$6:$BU$57,卡牌消耗!AI665)</f>
        <v>11</v>
      </c>
      <c r="AD665" s="14">
        <f>INDEX(挂机升级突破!BV$6:BV$57,卡牌消耗!$AI665)</f>
        <v>4</v>
      </c>
      <c r="AE665" s="14">
        <f>INDEX(挂机升级突破!BW$6:BW$57,卡牌消耗!$AI665)</f>
        <v>0</v>
      </c>
      <c r="AF665" s="14" t="str">
        <f t="shared" si="184"/>
        <v>塞伯罗斯</v>
      </c>
      <c r="AG665" s="14">
        <f t="shared" si="185"/>
        <v>2</v>
      </c>
      <c r="AH665" s="14" t="str">
        <f t="shared" si="186"/>
        <v>塞伯罗斯魂火-37</v>
      </c>
      <c r="AI665" s="14">
        <f t="shared" si="187"/>
        <v>37</v>
      </c>
      <c r="AJ665" s="14" t="str">
        <f>INDEX(挂机升级突破!$BX$4:$CH$4,INDEX(挂机升级突破!$BU$6:$BU$57,卡牌消耗!AI665))</f>
        <v>金币</v>
      </c>
      <c r="AK665" s="14">
        <f>ROUND(INDEX(挂机升级突破!$BN$6:$BN$57,卡牌消耗!AI665)*INDEX(卡牌消耗!$B$8:$F$8,AG665)/$Q$4/50,0)*50</f>
        <v>9050</v>
      </c>
      <c r="AL665" s="14" t="str">
        <f>IF(AD665&gt;0,INDEX(挂机升级突破!$BX$4:$CH$4,AD665),"")</f>
        <v>橙色基础材料</v>
      </c>
      <c r="AM665" s="14">
        <f>ROUND(INDEX(挂机升级突破!$BX$6:$CH$57,卡牌消耗!AI665,AD665)*INDEX(卡牌消耗!$B$5:$F$5,AG665)/$Q$4/5,0)*5</f>
        <v>90</v>
      </c>
      <c r="AN665" s="14" t="str">
        <f>IF(AE665&gt;0,INDEX(挂机升级突破!$BX$4:$CH$4,AE665),"")</f>
        <v/>
      </c>
      <c r="AO665" s="14" t="str">
        <f>IF(AE665&gt;0,ROUND(INDEX(挂机升级突破!$BX$6:$CH$57,卡牌消耗!AI665,AE665)*INDEX(卡牌消耗!$B$7:$F$7,AG665)/$Q$4,0),"")</f>
        <v/>
      </c>
    </row>
    <row r="666" spans="27:41" ht="16.5" x14ac:dyDescent="0.2">
      <c r="AA666" s="104">
        <v>662</v>
      </c>
      <c r="AB666" s="14">
        <f t="shared" si="183"/>
        <v>13</v>
      </c>
      <c r="AC666" s="14">
        <f>INDEX(挂机升级突破!$BU$6:$BU$57,卡牌消耗!AI666)</f>
        <v>11</v>
      </c>
      <c r="AD666" s="14">
        <f>INDEX(挂机升级突破!BV$6:BV$57,卡牌消耗!$AI666)</f>
        <v>5</v>
      </c>
      <c r="AE666" s="14">
        <f>INDEX(挂机升级突破!BW$6:BW$57,卡牌消耗!$AI666)</f>
        <v>0</v>
      </c>
      <c r="AF666" s="14" t="str">
        <f t="shared" si="184"/>
        <v>塞伯罗斯</v>
      </c>
      <c r="AG666" s="14">
        <f t="shared" si="185"/>
        <v>2</v>
      </c>
      <c r="AH666" s="14" t="str">
        <f t="shared" si="186"/>
        <v>塞伯罗斯魂火-38</v>
      </c>
      <c r="AI666" s="14">
        <f t="shared" si="187"/>
        <v>38</v>
      </c>
      <c r="AJ666" s="14" t="str">
        <f>INDEX(挂机升级突破!$BX$4:$CH$4,INDEX(挂机升级突破!$BU$6:$BU$57,卡牌消耗!AI666))</f>
        <v>金币</v>
      </c>
      <c r="AK666" s="14">
        <f>ROUND(INDEX(挂机升级突破!$BN$6:$BN$57,卡牌消耗!AI666)*INDEX(卡牌消耗!$B$8:$F$8,AG666)/$Q$4/50,0)*50</f>
        <v>11700</v>
      </c>
      <c r="AL666" s="14" t="str">
        <f>IF(AD666&gt;0,INDEX(挂机升级突破!$BX$4:$CH$4,AD666),"")</f>
        <v>红色基础材料</v>
      </c>
      <c r="AM666" s="14">
        <f>ROUND(INDEX(挂机升级突破!$BX$6:$CH$57,卡牌消耗!AI666,AD666)*INDEX(卡牌消耗!$B$5:$F$5,AG666)/$Q$4/5,0)*5</f>
        <v>35</v>
      </c>
      <c r="AN666" s="14" t="str">
        <f>IF(AE666&gt;0,INDEX(挂机升级突破!$BX$4:$CH$4,AE666),"")</f>
        <v/>
      </c>
      <c r="AO666" s="14" t="str">
        <f>IF(AE666&gt;0,ROUND(INDEX(挂机升级突破!$BX$6:$CH$57,卡牌消耗!AI666,AE666)*INDEX(卡牌消耗!$B$7:$F$7,AG666)/$Q$4,0),"")</f>
        <v/>
      </c>
    </row>
    <row r="667" spans="27:41" ht="16.5" x14ac:dyDescent="0.2">
      <c r="AA667" s="104">
        <v>663</v>
      </c>
      <c r="AB667" s="14">
        <f t="shared" si="183"/>
        <v>13</v>
      </c>
      <c r="AC667" s="14">
        <f>INDEX(挂机升级突破!$BU$6:$BU$57,卡牌消耗!AI667)</f>
        <v>11</v>
      </c>
      <c r="AD667" s="14">
        <f>INDEX(挂机升级突破!BV$6:BV$57,卡牌消耗!$AI667)</f>
        <v>5</v>
      </c>
      <c r="AE667" s="14">
        <f>INDEX(挂机升级突破!BW$6:BW$57,卡牌消耗!$AI667)</f>
        <v>0</v>
      </c>
      <c r="AF667" s="14" t="str">
        <f t="shared" si="184"/>
        <v>塞伯罗斯</v>
      </c>
      <c r="AG667" s="14">
        <f t="shared" si="185"/>
        <v>2</v>
      </c>
      <c r="AH667" s="14" t="str">
        <f t="shared" si="186"/>
        <v>塞伯罗斯魂火-39</v>
      </c>
      <c r="AI667" s="14">
        <f t="shared" si="187"/>
        <v>39</v>
      </c>
      <c r="AJ667" s="14" t="str">
        <f>INDEX(挂机升级突破!$BX$4:$CH$4,INDEX(挂机升级突破!$BU$6:$BU$57,卡牌消耗!AI667))</f>
        <v>金币</v>
      </c>
      <c r="AK667" s="14">
        <f>ROUND(INDEX(挂机升级突破!$BN$6:$BN$57,卡牌消耗!AI667)*INDEX(卡牌消耗!$B$8:$F$8,AG667)/$Q$4/50,0)*50</f>
        <v>11700</v>
      </c>
      <c r="AL667" s="14" t="str">
        <f>IF(AD667&gt;0,INDEX(挂机升级突破!$BX$4:$CH$4,AD667),"")</f>
        <v>红色基础材料</v>
      </c>
      <c r="AM667" s="14">
        <f>ROUND(INDEX(挂机升级突破!$BX$6:$CH$57,卡牌消耗!AI667,AD667)*INDEX(卡牌消耗!$B$5:$F$5,AG667)/$Q$4/5,0)*5</f>
        <v>35</v>
      </c>
      <c r="AN667" s="14" t="str">
        <f>IF(AE667&gt;0,INDEX(挂机升级突破!$BX$4:$CH$4,AE667),"")</f>
        <v/>
      </c>
      <c r="AO667" s="14" t="str">
        <f>IF(AE667&gt;0,ROUND(INDEX(挂机升级突破!$BX$6:$CH$57,卡牌消耗!AI667,AE667)*INDEX(卡牌消耗!$B$7:$F$7,AG667)/$Q$4,0),"")</f>
        <v/>
      </c>
    </row>
    <row r="668" spans="27:41" ht="16.5" x14ac:dyDescent="0.2">
      <c r="AA668" s="104">
        <v>664</v>
      </c>
      <c r="AB668" s="14">
        <f t="shared" si="183"/>
        <v>13</v>
      </c>
      <c r="AC668" s="14">
        <f>INDEX(挂机升级突破!$BU$6:$BU$57,卡牌消耗!AI668)</f>
        <v>11</v>
      </c>
      <c r="AD668" s="14">
        <f>INDEX(挂机升级突破!BV$6:BV$57,卡牌消耗!$AI668)</f>
        <v>5</v>
      </c>
      <c r="AE668" s="14">
        <f>INDEX(挂机升级突破!BW$6:BW$57,卡牌消耗!$AI668)</f>
        <v>0</v>
      </c>
      <c r="AF668" s="14" t="str">
        <f t="shared" si="184"/>
        <v>塞伯罗斯</v>
      </c>
      <c r="AG668" s="14">
        <f t="shared" si="185"/>
        <v>2</v>
      </c>
      <c r="AH668" s="14" t="str">
        <f t="shared" si="186"/>
        <v>塞伯罗斯魂火-40</v>
      </c>
      <c r="AI668" s="14">
        <f t="shared" si="187"/>
        <v>40</v>
      </c>
      <c r="AJ668" s="14" t="str">
        <f>INDEX(挂机升级突破!$BX$4:$CH$4,INDEX(挂机升级突破!$BU$6:$BU$57,卡牌消耗!AI668))</f>
        <v>金币</v>
      </c>
      <c r="AK668" s="14">
        <f>ROUND(INDEX(挂机升级突破!$BN$6:$BN$57,卡牌消耗!AI668)*INDEX(卡牌消耗!$B$8:$F$8,AG668)/$Q$4/50,0)*50</f>
        <v>11700</v>
      </c>
      <c r="AL668" s="14" t="str">
        <f>IF(AD668&gt;0,INDEX(挂机升级突破!$BX$4:$CH$4,AD668),"")</f>
        <v>红色基础材料</v>
      </c>
      <c r="AM668" s="14">
        <f>ROUND(INDEX(挂机升级突破!$BX$6:$CH$57,卡牌消耗!AI668,AD668)*INDEX(卡牌消耗!$B$5:$F$5,AG668)/$Q$4/5,0)*5</f>
        <v>35</v>
      </c>
      <c r="AN668" s="14" t="str">
        <f>IF(AE668&gt;0,INDEX(挂机升级突破!$BX$4:$CH$4,AE668),"")</f>
        <v/>
      </c>
      <c r="AO668" s="14" t="str">
        <f>IF(AE668&gt;0,ROUND(INDEX(挂机升级突破!$BX$6:$CH$57,卡牌消耗!AI668,AE668)*INDEX(卡牌消耗!$B$7:$F$7,AG668)/$Q$4,0),"")</f>
        <v/>
      </c>
    </row>
    <row r="669" spans="27:41" ht="16.5" x14ac:dyDescent="0.2">
      <c r="AA669" s="104">
        <v>665</v>
      </c>
      <c r="AB669" s="14">
        <f t="shared" si="183"/>
        <v>13</v>
      </c>
      <c r="AC669" s="14">
        <f>INDEX(挂机升级突破!$BU$6:$BU$57,卡牌消耗!AI669)</f>
        <v>11</v>
      </c>
      <c r="AD669" s="14">
        <f>INDEX(挂机升级突破!BV$6:BV$57,卡牌消耗!$AI669)</f>
        <v>5</v>
      </c>
      <c r="AE669" s="14">
        <f>INDEX(挂机升级突破!BW$6:BW$57,卡牌消耗!$AI669)</f>
        <v>10</v>
      </c>
      <c r="AF669" s="14" t="str">
        <f t="shared" si="184"/>
        <v>塞伯罗斯</v>
      </c>
      <c r="AG669" s="14">
        <f t="shared" si="185"/>
        <v>2</v>
      </c>
      <c r="AH669" s="14" t="str">
        <f t="shared" si="186"/>
        <v>塞伯罗斯魂火-41</v>
      </c>
      <c r="AI669" s="14">
        <f t="shared" si="187"/>
        <v>41</v>
      </c>
      <c r="AJ669" s="14" t="str">
        <f>INDEX(挂机升级突破!$BX$4:$CH$4,INDEX(挂机升级突破!$BU$6:$BU$57,卡牌消耗!AI669))</f>
        <v>金币</v>
      </c>
      <c r="AK669" s="14">
        <f>ROUND(INDEX(挂机升级突破!$BN$6:$BN$57,卡牌消耗!AI669)*INDEX(卡牌消耗!$B$8:$F$8,AG669)/$Q$4/50,0)*50</f>
        <v>16100</v>
      </c>
      <c r="AL669" s="14" t="str">
        <f>IF(AD669&gt;0,INDEX(挂机升级突破!$BX$4:$CH$4,AD669),"")</f>
        <v>红色基础材料</v>
      </c>
      <c r="AM669" s="14">
        <f>ROUND(INDEX(挂机升级突破!$BX$6:$CH$57,卡牌消耗!AI669,AD669)*INDEX(卡牌消耗!$B$5:$F$5,AG669)/$Q$4/5,0)*5</f>
        <v>45</v>
      </c>
      <c r="AN669" s="14" t="str">
        <f>IF(AE669&gt;0,INDEX(挂机升级突破!$BX$4:$CH$4,AE669),"")</f>
        <v>灵玉</v>
      </c>
      <c r="AO669" s="14">
        <f>IF(AE669&gt;0,ROUND(INDEX(挂机升级突破!$BX$6:$CH$57,卡牌消耗!AI669,AE669)*INDEX(卡牌消耗!$B$7:$F$7,AG669)/$Q$4,0),"")</f>
        <v>1</v>
      </c>
    </row>
    <row r="670" spans="27:41" ht="16.5" x14ac:dyDescent="0.2">
      <c r="AA670" s="104">
        <v>666</v>
      </c>
      <c r="AB670" s="14">
        <f t="shared" si="183"/>
        <v>13</v>
      </c>
      <c r="AC670" s="14">
        <f>INDEX(挂机升级突破!$BU$6:$BU$57,卡牌消耗!AI670)</f>
        <v>11</v>
      </c>
      <c r="AD670" s="14">
        <f>INDEX(挂机升级突破!BV$6:BV$57,卡牌消耗!$AI670)</f>
        <v>5</v>
      </c>
      <c r="AE670" s="14">
        <f>INDEX(挂机升级突破!BW$6:BW$57,卡牌消耗!$AI670)</f>
        <v>10</v>
      </c>
      <c r="AF670" s="14" t="str">
        <f t="shared" si="184"/>
        <v>塞伯罗斯</v>
      </c>
      <c r="AG670" s="14">
        <f t="shared" si="185"/>
        <v>2</v>
      </c>
      <c r="AH670" s="14" t="str">
        <f t="shared" si="186"/>
        <v>塞伯罗斯魂火-42</v>
      </c>
      <c r="AI670" s="14">
        <f t="shared" si="187"/>
        <v>42</v>
      </c>
      <c r="AJ670" s="14" t="str">
        <f>INDEX(挂机升级突破!$BX$4:$CH$4,INDEX(挂机升级突破!$BU$6:$BU$57,卡牌消耗!AI670))</f>
        <v>金币</v>
      </c>
      <c r="AK670" s="14">
        <f>ROUND(INDEX(挂机升级突破!$BN$6:$BN$57,卡牌消耗!AI670)*INDEX(卡牌消耗!$B$8:$F$8,AG670)/$Q$4/50,0)*50</f>
        <v>16100</v>
      </c>
      <c r="AL670" s="14" t="str">
        <f>IF(AD670&gt;0,INDEX(挂机升级突破!$BX$4:$CH$4,AD670),"")</f>
        <v>红色基础材料</v>
      </c>
      <c r="AM670" s="14">
        <f>ROUND(INDEX(挂机升级突破!$BX$6:$CH$57,卡牌消耗!AI670,AD670)*INDEX(卡牌消耗!$B$5:$F$5,AG670)/$Q$4/5,0)*5</f>
        <v>45</v>
      </c>
      <c r="AN670" s="14" t="str">
        <f>IF(AE670&gt;0,INDEX(挂机升级突破!$BX$4:$CH$4,AE670),"")</f>
        <v>灵玉</v>
      </c>
      <c r="AO670" s="14">
        <f>IF(AE670&gt;0,ROUND(INDEX(挂机升级突破!$BX$6:$CH$57,卡牌消耗!AI670,AE670)*INDEX(卡牌消耗!$B$7:$F$7,AG670)/$Q$4,0),"")</f>
        <v>1</v>
      </c>
    </row>
    <row r="671" spans="27:41" ht="16.5" x14ac:dyDescent="0.2">
      <c r="AA671" s="104">
        <v>667</v>
      </c>
      <c r="AB671" s="14">
        <f t="shared" si="183"/>
        <v>13</v>
      </c>
      <c r="AC671" s="14">
        <f>INDEX(挂机升级突破!$BU$6:$BU$57,卡牌消耗!AI671)</f>
        <v>11</v>
      </c>
      <c r="AD671" s="14">
        <f>INDEX(挂机升级突破!BV$6:BV$57,卡牌消耗!$AI671)</f>
        <v>5</v>
      </c>
      <c r="AE671" s="14">
        <f>INDEX(挂机升级突破!BW$6:BW$57,卡牌消耗!$AI671)</f>
        <v>10</v>
      </c>
      <c r="AF671" s="14" t="str">
        <f t="shared" si="184"/>
        <v>塞伯罗斯</v>
      </c>
      <c r="AG671" s="14">
        <f t="shared" si="185"/>
        <v>2</v>
      </c>
      <c r="AH671" s="14" t="str">
        <f t="shared" si="186"/>
        <v>塞伯罗斯魂火-43</v>
      </c>
      <c r="AI671" s="14">
        <f t="shared" si="187"/>
        <v>43</v>
      </c>
      <c r="AJ671" s="14" t="str">
        <f>INDEX(挂机升级突破!$BX$4:$CH$4,INDEX(挂机升级突破!$BU$6:$BU$57,卡牌消耗!AI671))</f>
        <v>金币</v>
      </c>
      <c r="AK671" s="14">
        <f>ROUND(INDEX(挂机升级突破!$BN$6:$BN$57,卡牌消耗!AI671)*INDEX(卡牌消耗!$B$8:$F$8,AG671)/$Q$4/50,0)*50</f>
        <v>16100</v>
      </c>
      <c r="AL671" s="14" t="str">
        <f>IF(AD671&gt;0,INDEX(挂机升级突破!$BX$4:$CH$4,AD671),"")</f>
        <v>红色基础材料</v>
      </c>
      <c r="AM671" s="14">
        <f>ROUND(INDEX(挂机升级突破!$BX$6:$CH$57,卡牌消耗!AI671,AD671)*INDEX(卡牌消耗!$B$5:$F$5,AG671)/$Q$4/5,0)*5</f>
        <v>45</v>
      </c>
      <c r="AN671" s="14" t="str">
        <f>IF(AE671&gt;0,INDEX(挂机升级突破!$BX$4:$CH$4,AE671),"")</f>
        <v>灵玉</v>
      </c>
      <c r="AO671" s="14">
        <f>IF(AE671&gt;0,ROUND(INDEX(挂机升级突破!$BX$6:$CH$57,卡牌消耗!AI671,AE671)*INDEX(卡牌消耗!$B$7:$F$7,AG671)/$Q$4,0),"")</f>
        <v>1</v>
      </c>
    </row>
    <row r="672" spans="27:41" ht="16.5" x14ac:dyDescent="0.2">
      <c r="AA672" s="104">
        <v>668</v>
      </c>
      <c r="AB672" s="14">
        <f t="shared" si="183"/>
        <v>13</v>
      </c>
      <c r="AC672" s="14">
        <f>INDEX(挂机升级突破!$BU$6:$BU$57,卡牌消耗!AI672)</f>
        <v>11</v>
      </c>
      <c r="AD672" s="14">
        <f>INDEX(挂机升级突破!BV$6:BV$57,卡牌消耗!$AI672)</f>
        <v>5</v>
      </c>
      <c r="AE672" s="14">
        <f>INDEX(挂机升级突破!BW$6:BW$57,卡牌消耗!$AI672)</f>
        <v>10</v>
      </c>
      <c r="AF672" s="14" t="str">
        <f t="shared" si="184"/>
        <v>塞伯罗斯</v>
      </c>
      <c r="AG672" s="14">
        <f t="shared" si="185"/>
        <v>2</v>
      </c>
      <c r="AH672" s="14" t="str">
        <f t="shared" si="186"/>
        <v>塞伯罗斯魂火-44</v>
      </c>
      <c r="AI672" s="14">
        <f t="shared" si="187"/>
        <v>44</v>
      </c>
      <c r="AJ672" s="14" t="str">
        <f>INDEX(挂机升级突破!$BX$4:$CH$4,INDEX(挂机升级突破!$BU$6:$BU$57,卡牌消耗!AI672))</f>
        <v>金币</v>
      </c>
      <c r="AK672" s="14">
        <f>ROUND(INDEX(挂机升级突破!$BN$6:$BN$57,卡牌消耗!AI672)*INDEX(卡牌消耗!$B$8:$F$8,AG672)/$Q$4/50,0)*50</f>
        <v>20450</v>
      </c>
      <c r="AL672" s="14" t="str">
        <f>IF(AD672&gt;0,INDEX(挂机升级突破!$BX$4:$CH$4,AD672),"")</f>
        <v>红色基础材料</v>
      </c>
      <c r="AM672" s="14">
        <f>ROUND(INDEX(挂机升级突破!$BX$6:$CH$57,卡牌消耗!AI672,AD672)*INDEX(卡牌消耗!$B$5:$F$5,AG672)/$Q$4/5,0)*5</f>
        <v>50</v>
      </c>
      <c r="AN672" s="14" t="str">
        <f>IF(AE672&gt;0,INDEX(挂机升级突破!$BX$4:$CH$4,AE672),"")</f>
        <v>灵玉</v>
      </c>
      <c r="AO672" s="14">
        <f>IF(AE672&gt;0,ROUND(INDEX(挂机升级突破!$BX$6:$CH$57,卡牌消耗!AI672,AE672)*INDEX(卡牌消耗!$B$7:$F$7,AG672)/$Q$4,0),"")</f>
        <v>1</v>
      </c>
    </row>
    <row r="673" spans="27:41" ht="16.5" x14ac:dyDescent="0.2">
      <c r="AA673" s="104">
        <v>669</v>
      </c>
      <c r="AB673" s="14">
        <f t="shared" si="183"/>
        <v>13</v>
      </c>
      <c r="AC673" s="14">
        <f>INDEX(挂机升级突破!$BU$6:$BU$57,卡牌消耗!AI673)</f>
        <v>11</v>
      </c>
      <c r="AD673" s="14">
        <f>INDEX(挂机升级突破!BV$6:BV$57,卡牌消耗!$AI673)</f>
        <v>5</v>
      </c>
      <c r="AE673" s="14">
        <f>INDEX(挂机升级突破!BW$6:BW$57,卡牌消耗!$AI673)</f>
        <v>10</v>
      </c>
      <c r="AF673" s="14" t="str">
        <f t="shared" si="184"/>
        <v>塞伯罗斯</v>
      </c>
      <c r="AG673" s="14">
        <f t="shared" si="185"/>
        <v>2</v>
      </c>
      <c r="AH673" s="14" t="str">
        <f t="shared" si="186"/>
        <v>塞伯罗斯魂火-45</v>
      </c>
      <c r="AI673" s="14">
        <f t="shared" si="187"/>
        <v>45</v>
      </c>
      <c r="AJ673" s="14" t="str">
        <f>INDEX(挂机升级突破!$BX$4:$CH$4,INDEX(挂机升级突破!$BU$6:$BU$57,卡牌消耗!AI673))</f>
        <v>金币</v>
      </c>
      <c r="AK673" s="14">
        <f>ROUND(INDEX(挂机升级突破!$BN$6:$BN$57,卡牌消耗!AI673)*INDEX(卡牌消耗!$B$8:$F$8,AG673)/$Q$4/50,0)*50</f>
        <v>20450</v>
      </c>
      <c r="AL673" s="14" t="str">
        <f>IF(AD673&gt;0,INDEX(挂机升级突破!$BX$4:$CH$4,AD673),"")</f>
        <v>红色基础材料</v>
      </c>
      <c r="AM673" s="14">
        <f>ROUND(INDEX(挂机升级突破!$BX$6:$CH$57,卡牌消耗!AI673,AD673)*INDEX(卡牌消耗!$B$5:$F$5,AG673)/$Q$4/5,0)*5</f>
        <v>50</v>
      </c>
      <c r="AN673" s="14" t="str">
        <f>IF(AE673&gt;0,INDEX(挂机升级突破!$BX$4:$CH$4,AE673),"")</f>
        <v>灵玉</v>
      </c>
      <c r="AO673" s="14">
        <f>IF(AE673&gt;0,ROUND(INDEX(挂机升级突破!$BX$6:$CH$57,卡牌消耗!AI673,AE673)*INDEX(卡牌消耗!$B$7:$F$7,AG673)/$Q$4,0),"")</f>
        <v>1</v>
      </c>
    </row>
    <row r="674" spans="27:41" ht="16.5" x14ac:dyDescent="0.2">
      <c r="AA674" s="104">
        <v>670</v>
      </c>
      <c r="AB674" s="14">
        <f t="shared" si="183"/>
        <v>13</v>
      </c>
      <c r="AC674" s="14">
        <f>INDEX(挂机升级突破!$BU$6:$BU$57,卡牌消耗!AI674)</f>
        <v>11</v>
      </c>
      <c r="AD674" s="14">
        <f>INDEX(挂机升级突破!BV$6:BV$57,卡牌消耗!$AI674)</f>
        <v>5</v>
      </c>
      <c r="AE674" s="14">
        <f>INDEX(挂机升级突破!BW$6:BW$57,卡牌消耗!$AI674)</f>
        <v>10</v>
      </c>
      <c r="AF674" s="14" t="str">
        <f t="shared" si="184"/>
        <v>塞伯罗斯</v>
      </c>
      <c r="AG674" s="14">
        <f t="shared" si="185"/>
        <v>2</v>
      </c>
      <c r="AH674" s="14" t="str">
        <f t="shared" si="186"/>
        <v>塞伯罗斯魂火-46</v>
      </c>
      <c r="AI674" s="14">
        <f t="shared" si="187"/>
        <v>46</v>
      </c>
      <c r="AJ674" s="14" t="str">
        <f>INDEX(挂机升级突破!$BX$4:$CH$4,INDEX(挂机升级突破!$BU$6:$BU$57,卡牌消耗!AI674))</f>
        <v>金币</v>
      </c>
      <c r="AK674" s="14">
        <f>ROUND(INDEX(挂机升级突破!$BN$6:$BN$57,卡牌消耗!AI674)*INDEX(卡牌消耗!$B$8:$F$8,AG674)/$Q$4/50,0)*50</f>
        <v>21950</v>
      </c>
      <c r="AL674" s="14" t="str">
        <f>IF(AD674&gt;0,INDEX(挂机升级突破!$BX$4:$CH$4,AD674),"")</f>
        <v>红色基础材料</v>
      </c>
      <c r="AM674" s="14">
        <f>ROUND(INDEX(挂机升级突破!$BX$6:$CH$57,卡牌消耗!AI674,AD674)*INDEX(卡牌消耗!$B$5:$F$5,AG674)/$Q$4/5,0)*5</f>
        <v>50</v>
      </c>
      <c r="AN674" s="14" t="str">
        <f>IF(AE674&gt;0,INDEX(挂机升级突破!$BX$4:$CH$4,AE674),"")</f>
        <v>灵玉</v>
      </c>
      <c r="AO674" s="14">
        <f>IF(AE674&gt;0,ROUND(INDEX(挂机升级突破!$BX$6:$CH$57,卡牌消耗!AI674,AE674)*INDEX(卡牌消耗!$B$7:$F$7,AG674)/$Q$4,0),"")</f>
        <v>1</v>
      </c>
    </row>
    <row r="675" spans="27:41" ht="16.5" x14ac:dyDescent="0.2">
      <c r="AA675" s="104">
        <v>671</v>
      </c>
      <c r="AB675" s="14">
        <f t="shared" si="183"/>
        <v>13</v>
      </c>
      <c r="AC675" s="14">
        <f>INDEX(挂机升级突破!$BU$6:$BU$57,卡牌消耗!AI675)</f>
        <v>11</v>
      </c>
      <c r="AD675" s="14">
        <f>INDEX(挂机升级突破!BV$6:BV$57,卡牌消耗!$AI675)</f>
        <v>5</v>
      </c>
      <c r="AE675" s="14">
        <f>INDEX(挂机升级突破!BW$6:BW$57,卡牌消耗!$AI675)</f>
        <v>10</v>
      </c>
      <c r="AF675" s="14" t="str">
        <f t="shared" si="184"/>
        <v>塞伯罗斯</v>
      </c>
      <c r="AG675" s="14">
        <f t="shared" si="185"/>
        <v>2</v>
      </c>
      <c r="AH675" s="14" t="str">
        <f t="shared" si="186"/>
        <v>塞伯罗斯魂火-47</v>
      </c>
      <c r="AI675" s="14">
        <f t="shared" si="187"/>
        <v>47</v>
      </c>
      <c r="AJ675" s="14" t="str">
        <f>INDEX(挂机升级突破!$BX$4:$CH$4,INDEX(挂机升级突破!$BU$6:$BU$57,卡牌消耗!AI675))</f>
        <v>金币</v>
      </c>
      <c r="AK675" s="14">
        <f>ROUND(INDEX(挂机升级突破!$BN$6:$BN$57,卡牌消耗!AI675)*INDEX(卡牌消耗!$B$8:$F$8,AG675)/$Q$4/50,0)*50</f>
        <v>106350</v>
      </c>
      <c r="AL675" s="14" t="str">
        <f>IF(AD675&gt;0,INDEX(挂机升级突破!$BX$4:$CH$4,AD675),"")</f>
        <v>红色基础材料</v>
      </c>
      <c r="AM675" s="14">
        <f>ROUND(INDEX(挂机升级突破!$BX$6:$CH$57,卡牌消耗!AI675,AD675)*INDEX(卡牌消耗!$B$5:$F$5,AG675)/$Q$4/5,0)*5</f>
        <v>50</v>
      </c>
      <c r="AN675" s="14" t="str">
        <f>IF(AE675&gt;0,INDEX(挂机升级突破!$BX$4:$CH$4,AE675),"")</f>
        <v>灵玉</v>
      </c>
      <c r="AO675" s="14">
        <f>IF(AE675&gt;0,ROUND(INDEX(挂机升级突破!$BX$6:$CH$57,卡牌消耗!AI675,AE675)*INDEX(卡牌消耗!$B$7:$F$7,AG675)/$Q$4,0),"")</f>
        <v>1</v>
      </c>
    </row>
    <row r="676" spans="27:41" ht="16.5" x14ac:dyDescent="0.2">
      <c r="AA676" s="104">
        <v>672</v>
      </c>
      <c r="AB676" s="14">
        <f t="shared" si="183"/>
        <v>13</v>
      </c>
      <c r="AC676" s="14">
        <f>INDEX(挂机升级突破!$BU$6:$BU$57,卡牌消耗!AI676)</f>
        <v>11</v>
      </c>
      <c r="AD676" s="14">
        <f>INDEX(挂机升级突破!BV$6:BV$57,卡牌消耗!$AI676)</f>
        <v>5</v>
      </c>
      <c r="AE676" s="14">
        <f>INDEX(挂机升级突破!BW$6:BW$57,卡牌消耗!$AI676)</f>
        <v>10</v>
      </c>
      <c r="AF676" s="14" t="str">
        <f t="shared" si="184"/>
        <v>塞伯罗斯</v>
      </c>
      <c r="AG676" s="14">
        <f t="shared" si="185"/>
        <v>2</v>
      </c>
      <c r="AH676" s="14" t="str">
        <f t="shared" si="186"/>
        <v>塞伯罗斯魂火-48</v>
      </c>
      <c r="AI676" s="14">
        <f t="shared" si="187"/>
        <v>48</v>
      </c>
      <c r="AJ676" s="14" t="str">
        <f>INDEX(挂机升级突破!$BX$4:$CH$4,INDEX(挂机升级突破!$BU$6:$BU$57,卡牌消耗!AI676))</f>
        <v>金币</v>
      </c>
      <c r="AK676" s="14">
        <f>ROUND(INDEX(挂机升级突破!$BN$6:$BN$57,卡牌消耗!AI676)*INDEX(卡牌消耗!$B$8:$F$8,AG676)/$Q$4/50,0)*50</f>
        <v>106350</v>
      </c>
      <c r="AL676" s="14" t="str">
        <f>IF(AD676&gt;0,INDEX(挂机升级突破!$BX$4:$CH$4,AD676),"")</f>
        <v>红色基础材料</v>
      </c>
      <c r="AM676" s="14">
        <f>ROUND(INDEX(挂机升级突破!$BX$6:$CH$57,卡牌消耗!AI676,AD676)*INDEX(卡牌消耗!$B$5:$F$5,AG676)/$Q$4/5,0)*5</f>
        <v>50</v>
      </c>
      <c r="AN676" s="14" t="str">
        <f>IF(AE676&gt;0,INDEX(挂机升级突破!$BX$4:$CH$4,AE676),"")</f>
        <v>灵玉</v>
      </c>
      <c r="AO676" s="14">
        <f>IF(AE676&gt;0,ROUND(INDEX(挂机升级突破!$BX$6:$CH$57,卡牌消耗!AI676,AE676)*INDEX(卡牌消耗!$B$7:$F$7,AG676)/$Q$4,0),"")</f>
        <v>1</v>
      </c>
    </row>
    <row r="677" spans="27:41" ht="16.5" x14ac:dyDescent="0.2">
      <c r="AA677" s="104">
        <v>673</v>
      </c>
      <c r="AB677" s="14">
        <f t="shared" si="183"/>
        <v>13</v>
      </c>
      <c r="AC677" s="14">
        <f>INDEX(挂机升级突破!$BU$6:$BU$57,卡牌消耗!AI677)</f>
        <v>11</v>
      </c>
      <c r="AD677" s="14">
        <f>INDEX(挂机升级突破!BV$6:BV$57,卡牌消耗!$AI677)</f>
        <v>5</v>
      </c>
      <c r="AE677" s="14">
        <f>INDEX(挂机升级突破!BW$6:BW$57,卡牌消耗!$AI677)</f>
        <v>10</v>
      </c>
      <c r="AF677" s="14" t="str">
        <f t="shared" si="184"/>
        <v>塞伯罗斯</v>
      </c>
      <c r="AG677" s="14">
        <f t="shared" si="185"/>
        <v>2</v>
      </c>
      <c r="AH677" s="14" t="str">
        <f t="shared" si="186"/>
        <v>塞伯罗斯魂火-49</v>
      </c>
      <c r="AI677" s="14">
        <f t="shared" si="187"/>
        <v>49</v>
      </c>
      <c r="AJ677" s="14" t="str">
        <f>INDEX(挂机升级突破!$BX$4:$CH$4,INDEX(挂机升级突破!$BU$6:$BU$57,卡牌消耗!AI677))</f>
        <v>金币</v>
      </c>
      <c r="AK677" s="14">
        <f>ROUND(INDEX(挂机升级突破!$BN$6:$BN$57,卡牌消耗!AI677)*INDEX(卡牌消耗!$B$8:$F$8,AG677)/$Q$4/50,0)*50</f>
        <v>106350</v>
      </c>
      <c r="AL677" s="14" t="str">
        <f>IF(AD677&gt;0,INDEX(挂机升级突破!$BX$4:$CH$4,AD677),"")</f>
        <v>红色基础材料</v>
      </c>
      <c r="AM677" s="14">
        <f>ROUND(INDEX(挂机升级突破!$BX$6:$CH$57,卡牌消耗!AI677,AD677)*INDEX(卡牌消耗!$B$5:$F$5,AG677)/$Q$4/5,0)*5</f>
        <v>55</v>
      </c>
      <c r="AN677" s="14" t="str">
        <f>IF(AE677&gt;0,INDEX(挂机升级突破!$BX$4:$CH$4,AE677),"")</f>
        <v>灵玉</v>
      </c>
      <c r="AO677" s="14">
        <f>IF(AE677&gt;0,ROUND(INDEX(挂机升级突破!$BX$6:$CH$57,卡牌消耗!AI677,AE677)*INDEX(卡牌消耗!$B$7:$F$7,AG677)/$Q$4,0),"")</f>
        <v>1</v>
      </c>
    </row>
    <row r="678" spans="27:41" ht="16.5" x14ac:dyDescent="0.2">
      <c r="AA678" s="104">
        <v>674</v>
      </c>
      <c r="AB678" s="14">
        <f t="shared" si="183"/>
        <v>13</v>
      </c>
      <c r="AC678" s="14">
        <f>INDEX(挂机升级突破!$BU$6:$BU$57,卡牌消耗!AI678)</f>
        <v>11</v>
      </c>
      <c r="AD678" s="14">
        <f>INDEX(挂机升级突破!BV$6:BV$57,卡牌消耗!$AI678)</f>
        <v>5</v>
      </c>
      <c r="AE678" s="14">
        <f>INDEX(挂机升级突破!BW$6:BW$57,卡牌消耗!$AI678)</f>
        <v>10</v>
      </c>
      <c r="AF678" s="14" t="str">
        <f t="shared" si="184"/>
        <v>塞伯罗斯</v>
      </c>
      <c r="AG678" s="14">
        <f t="shared" si="185"/>
        <v>2</v>
      </c>
      <c r="AH678" s="14" t="str">
        <f t="shared" si="186"/>
        <v>塞伯罗斯魂火-50</v>
      </c>
      <c r="AI678" s="14">
        <f t="shared" si="187"/>
        <v>50</v>
      </c>
      <c r="AJ678" s="14" t="str">
        <f>INDEX(挂机升级突破!$BX$4:$CH$4,INDEX(挂机升级突破!$BU$6:$BU$57,卡牌消耗!AI678))</f>
        <v>金币</v>
      </c>
      <c r="AK678" s="14">
        <f>ROUND(INDEX(挂机升级突破!$BN$6:$BN$57,卡牌消耗!AI678)*INDEX(卡牌消耗!$B$8:$F$8,AG678)/$Q$4/50,0)*50</f>
        <v>177300</v>
      </c>
      <c r="AL678" s="14" t="str">
        <f>IF(AD678&gt;0,INDEX(挂机升级突破!$BX$4:$CH$4,AD678),"")</f>
        <v>红色基础材料</v>
      </c>
      <c r="AM678" s="14">
        <f>ROUND(INDEX(挂机升级突破!$BX$6:$CH$57,卡牌消耗!AI678,AD678)*INDEX(卡牌消耗!$B$5:$F$5,AG678)/$Q$4/5,0)*5</f>
        <v>55</v>
      </c>
      <c r="AN678" s="14" t="str">
        <f>IF(AE678&gt;0,INDEX(挂机升级突破!$BX$4:$CH$4,AE678),"")</f>
        <v>灵玉</v>
      </c>
      <c r="AO678" s="14">
        <f>IF(AE678&gt;0,ROUND(INDEX(挂机升级突破!$BX$6:$CH$57,卡牌消耗!AI678,AE678)*INDEX(卡牌消耗!$B$7:$F$7,AG678)/$Q$4,0),"")</f>
        <v>1</v>
      </c>
    </row>
    <row r="679" spans="27:41" ht="16.5" x14ac:dyDescent="0.2">
      <c r="AA679" s="104">
        <v>675</v>
      </c>
      <c r="AB679" s="14">
        <f t="shared" si="183"/>
        <v>13</v>
      </c>
      <c r="AC679" s="14">
        <f>INDEX(挂机升级突破!$BU$6:$BU$57,卡牌消耗!AI679)</f>
        <v>11</v>
      </c>
      <c r="AD679" s="14">
        <f>INDEX(挂机升级突破!BV$6:BV$57,卡牌消耗!$AI679)</f>
        <v>5</v>
      </c>
      <c r="AE679" s="14">
        <f>INDEX(挂机升级突破!BW$6:BW$57,卡牌消耗!$AI679)</f>
        <v>10</v>
      </c>
      <c r="AF679" s="14" t="str">
        <f t="shared" si="184"/>
        <v>塞伯罗斯</v>
      </c>
      <c r="AG679" s="14">
        <f t="shared" si="185"/>
        <v>2</v>
      </c>
      <c r="AH679" s="14" t="str">
        <f t="shared" si="186"/>
        <v>塞伯罗斯魂火-51</v>
      </c>
      <c r="AI679" s="14">
        <f t="shared" si="187"/>
        <v>51</v>
      </c>
      <c r="AJ679" s="14" t="str">
        <f>INDEX(挂机升级突破!$BX$4:$CH$4,INDEX(挂机升级突破!$BU$6:$BU$57,卡牌消耗!AI679))</f>
        <v>金币</v>
      </c>
      <c r="AK679" s="14">
        <f>ROUND(INDEX(挂机升级突破!$BN$6:$BN$57,卡牌消耗!AI679)*INDEX(卡牌消耗!$B$8:$F$8,AG679)/$Q$4/50,0)*50</f>
        <v>195000</v>
      </c>
      <c r="AL679" s="14" t="str">
        <f>IF(AD679&gt;0,INDEX(挂机升级突破!$BX$4:$CH$4,AD679),"")</f>
        <v>红色基础材料</v>
      </c>
      <c r="AM679" s="14">
        <f>ROUND(INDEX(挂机升级突破!$BX$6:$CH$57,卡牌消耗!AI679,AD679)*INDEX(卡牌消耗!$B$5:$F$5,AG679)/$Q$4/5,0)*5</f>
        <v>55</v>
      </c>
      <c r="AN679" s="14" t="str">
        <f>IF(AE679&gt;0,INDEX(挂机升级突破!$BX$4:$CH$4,AE679),"")</f>
        <v>灵玉</v>
      </c>
      <c r="AO679" s="14">
        <f>IF(AE679&gt;0,ROUND(INDEX(挂机升级突破!$BX$6:$CH$57,卡牌消耗!AI679,AE679)*INDEX(卡牌消耗!$B$7:$F$7,AG679)/$Q$4,0),"")</f>
        <v>1</v>
      </c>
    </row>
    <row r="680" spans="27:41" ht="16.5" x14ac:dyDescent="0.2">
      <c r="AA680" s="104">
        <v>676</v>
      </c>
      <c r="AB680" s="14">
        <f t="shared" si="183"/>
        <v>13</v>
      </c>
      <c r="AC680" s="14">
        <f>INDEX(挂机升级突破!$BU$6:$BU$57,卡牌消耗!AI680)</f>
        <v>11</v>
      </c>
      <c r="AD680" s="14">
        <f>INDEX(挂机升级突破!BV$6:BV$57,卡牌消耗!$AI680)</f>
        <v>5</v>
      </c>
      <c r="AE680" s="14">
        <f>INDEX(挂机升级突破!BW$6:BW$57,卡牌消耗!$AI680)</f>
        <v>10</v>
      </c>
      <c r="AF680" s="14" t="str">
        <f t="shared" si="184"/>
        <v>塞伯罗斯</v>
      </c>
      <c r="AG680" s="14">
        <f t="shared" si="185"/>
        <v>2</v>
      </c>
      <c r="AH680" s="14" t="str">
        <f t="shared" si="186"/>
        <v>塞伯罗斯魂火-52</v>
      </c>
      <c r="AI680" s="14">
        <f t="shared" si="187"/>
        <v>52</v>
      </c>
      <c r="AJ680" s="14" t="str">
        <f>INDEX(挂机升级突破!$BX$4:$CH$4,INDEX(挂机升级突破!$BU$6:$BU$57,卡牌消耗!AI680))</f>
        <v>金币</v>
      </c>
      <c r="AK680" s="14">
        <f>ROUND(INDEX(挂机升级突破!$BN$6:$BN$57,卡牌消耗!AI680)*INDEX(卡牌消耗!$B$8:$F$8,AG680)/$Q$4/50,0)*50</f>
        <v>195000</v>
      </c>
      <c r="AL680" s="14" t="str">
        <f>IF(AD680&gt;0,INDEX(挂机升级突破!$BX$4:$CH$4,AD680),"")</f>
        <v>红色基础材料</v>
      </c>
      <c r="AM680" s="14">
        <f>ROUND(INDEX(挂机升级突破!$BX$6:$CH$57,卡牌消耗!AI680,AD680)*INDEX(卡牌消耗!$B$5:$F$5,AG680)/$Q$4/5,0)*5</f>
        <v>55</v>
      </c>
      <c r="AN680" s="14" t="str">
        <f>IF(AE680&gt;0,INDEX(挂机升级突破!$BX$4:$CH$4,AE680),"")</f>
        <v>灵玉</v>
      </c>
      <c r="AO680" s="14">
        <f>IF(AE680&gt;0,ROUND(INDEX(挂机升级突破!$BX$6:$CH$57,卡牌消耗!AI680,AE680)*INDEX(卡牌消耗!$B$7:$F$7,AG680)/$Q$4,0),"")</f>
        <v>1</v>
      </c>
    </row>
    <row r="681" spans="27:41" ht="16.5" x14ac:dyDescent="0.2">
      <c r="AA681" s="104">
        <v>677</v>
      </c>
      <c r="AB681" s="14">
        <f t="shared" si="183"/>
        <v>14</v>
      </c>
      <c r="AC681" s="14">
        <f>INDEX(挂机升级突破!$BU$6:$BU$57,卡牌消耗!AI681)</f>
        <v>11</v>
      </c>
      <c r="AD681" s="14">
        <f>INDEX(挂机升级突破!BV$6:BV$57,卡牌消耗!$AI681)</f>
        <v>1</v>
      </c>
      <c r="AE681" s="14">
        <f>INDEX(挂机升级突破!BW$6:BW$57,卡牌消耗!$AI681)</f>
        <v>0</v>
      </c>
      <c r="AF681" s="14" t="str">
        <f t="shared" si="184"/>
        <v>石灵明</v>
      </c>
      <c r="AG681" s="14">
        <f t="shared" si="185"/>
        <v>3</v>
      </c>
      <c r="AH681" s="14" t="str">
        <f t="shared" si="186"/>
        <v>石灵明魂火-1</v>
      </c>
      <c r="AI681" s="14">
        <f t="shared" si="187"/>
        <v>1</v>
      </c>
      <c r="AJ681" s="14" t="str">
        <f>INDEX(挂机升级突破!$BX$4:$CH$4,INDEX(挂机升级突破!$BU$6:$BU$57,卡牌消耗!AI681))</f>
        <v>金币</v>
      </c>
      <c r="AK681" s="14">
        <f>ROUND(INDEX(挂机升级突破!$BN$6:$BN$57,卡牌消耗!AI681)*INDEX(卡牌消耗!$B$8:$F$8,AG681)/$Q$4/50,0)*50</f>
        <v>600</v>
      </c>
      <c r="AL681" s="14" t="str">
        <f>IF(AD681&gt;0,INDEX(挂机升级突破!$BX$4:$CH$4,AD681),"")</f>
        <v>绿色基础材料</v>
      </c>
      <c r="AM681" s="14">
        <f>ROUND(INDEX(挂机升级突破!$BX$6:$CH$57,卡牌消耗!AI681,AD681)*INDEX(卡牌消耗!$B$5:$F$5,AG681)/$Q$4/5,0)*5</f>
        <v>835</v>
      </c>
      <c r="AN681" s="14" t="str">
        <f>IF(AE681&gt;0,INDEX(挂机升级突破!$BX$4:$CH$4,AE681),"")</f>
        <v/>
      </c>
      <c r="AO681" s="14" t="str">
        <f>IF(AE681&gt;0,ROUND(INDEX(挂机升级突破!$BX$6:$CH$57,卡牌消耗!AI681,AE681)*INDEX(卡牌消耗!$B$7:$F$7,AG681)/$Q$4,0),"")</f>
        <v/>
      </c>
    </row>
    <row r="682" spans="27:41" ht="16.5" x14ac:dyDescent="0.2">
      <c r="AA682" s="104">
        <v>678</v>
      </c>
      <c r="AB682" s="14">
        <f t="shared" si="183"/>
        <v>14</v>
      </c>
      <c r="AC682" s="14">
        <f>INDEX(挂机升级突破!$BU$6:$BU$57,卡牌消耗!AI682)</f>
        <v>11</v>
      </c>
      <c r="AD682" s="14">
        <f>INDEX(挂机升级突破!BV$6:BV$57,卡牌消耗!$AI682)</f>
        <v>1</v>
      </c>
      <c r="AE682" s="14">
        <f>INDEX(挂机升级突破!BW$6:BW$57,卡牌消耗!$AI682)</f>
        <v>0</v>
      </c>
      <c r="AF682" s="14" t="str">
        <f t="shared" si="184"/>
        <v>石灵明</v>
      </c>
      <c r="AG682" s="14">
        <f t="shared" si="185"/>
        <v>3</v>
      </c>
      <c r="AH682" s="14" t="str">
        <f t="shared" si="186"/>
        <v>石灵明魂火-2</v>
      </c>
      <c r="AI682" s="14">
        <f t="shared" si="187"/>
        <v>2</v>
      </c>
      <c r="AJ682" s="14" t="str">
        <f>INDEX(挂机升级突破!$BX$4:$CH$4,INDEX(挂机升级突破!$BU$6:$BU$57,卡牌消耗!AI682))</f>
        <v>金币</v>
      </c>
      <c r="AK682" s="14">
        <f>ROUND(INDEX(挂机升级突破!$BN$6:$BN$57,卡牌消耗!AI682)*INDEX(卡牌消耗!$B$8:$F$8,AG682)/$Q$4/50,0)*50</f>
        <v>800</v>
      </c>
      <c r="AL682" s="14" t="str">
        <f>IF(AD682&gt;0,INDEX(挂机升级突破!$BX$4:$CH$4,AD682),"")</f>
        <v>绿色基础材料</v>
      </c>
      <c r="AM682" s="14">
        <f>ROUND(INDEX(挂机升级突破!$BX$6:$CH$57,卡牌消耗!AI682,AD682)*INDEX(卡牌消耗!$B$5:$F$5,AG682)/$Q$4/5,0)*5</f>
        <v>2505</v>
      </c>
      <c r="AN682" s="14" t="str">
        <f>IF(AE682&gt;0,INDEX(挂机升级突破!$BX$4:$CH$4,AE682),"")</f>
        <v/>
      </c>
      <c r="AO682" s="14" t="str">
        <f>IF(AE682&gt;0,ROUND(INDEX(挂机升级突破!$BX$6:$CH$57,卡牌消耗!AI682,AE682)*INDEX(卡牌消耗!$B$7:$F$7,AG682)/$Q$4,0),"")</f>
        <v/>
      </c>
    </row>
    <row r="683" spans="27:41" ht="16.5" x14ac:dyDescent="0.2">
      <c r="AA683" s="104">
        <v>679</v>
      </c>
      <c r="AB683" s="14">
        <f t="shared" si="183"/>
        <v>14</v>
      </c>
      <c r="AC683" s="14">
        <f>INDEX(挂机升级突破!$BU$6:$BU$57,卡牌消耗!AI683)</f>
        <v>11</v>
      </c>
      <c r="AD683" s="14">
        <f>INDEX(挂机升级突破!BV$6:BV$57,卡牌消耗!$AI683)</f>
        <v>1</v>
      </c>
      <c r="AE683" s="14">
        <f>INDEX(挂机升级突破!BW$6:BW$57,卡牌消耗!$AI683)</f>
        <v>0</v>
      </c>
      <c r="AF683" s="14" t="str">
        <f t="shared" si="184"/>
        <v>石灵明</v>
      </c>
      <c r="AG683" s="14">
        <f t="shared" si="185"/>
        <v>3</v>
      </c>
      <c r="AH683" s="14" t="str">
        <f t="shared" si="186"/>
        <v>石灵明魂火-3</v>
      </c>
      <c r="AI683" s="14">
        <f t="shared" si="187"/>
        <v>3</v>
      </c>
      <c r="AJ683" s="14" t="str">
        <f>INDEX(挂机升级突破!$BX$4:$CH$4,INDEX(挂机升级突破!$BU$6:$BU$57,卡牌消耗!AI683))</f>
        <v>金币</v>
      </c>
      <c r="AK683" s="14">
        <f>ROUND(INDEX(挂机升级突破!$BN$6:$BN$57,卡牌消耗!AI683)*INDEX(卡牌消耗!$B$8:$F$8,AG683)/$Q$4/50,0)*50</f>
        <v>800</v>
      </c>
      <c r="AL683" s="14" t="str">
        <f>IF(AD683&gt;0,INDEX(挂机升级突破!$BX$4:$CH$4,AD683),"")</f>
        <v>绿色基础材料</v>
      </c>
      <c r="AM683" s="14">
        <f>ROUND(INDEX(挂机升级突破!$BX$6:$CH$57,卡牌消耗!AI683,AD683)*INDEX(卡牌消耗!$B$5:$F$5,AG683)/$Q$4/5,0)*5</f>
        <v>3335</v>
      </c>
      <c r="AN683" s="14" t="str">
        <f>IF(AE683&gt;0,INDEX(挂机升级突破!$BX$4:$CH$4,AE683),"")</f>
        <v/>
      </c>
      <c r="AO683" s="14" t="str">
        <f>IF(AE683&gt;0,ROUND(INDEX(挂机升级突破!$BX$6:$CH$57,卡牌消耗!AI683,AE683)*INDEX(卡牌消耗!$B$7:$F$7,AG683)/$Q$4,0),"")</f>
        <v/>
      </c>
    </row>
    <row r="684" spans="27:41" ht="16.5" x14ac:dyDescent="0.2">
      <c r="AA684" s="104">
        <v>680</v>
      </c>
      <c r="AB684" s="14">
        <f t="shared" si="183"/>
        <v>14</v>
      </c>
      <c r="AC684" s="14">
        <f>INDEX(挂机升级突破!$BU$6:$BU$57,卡牌消耗!AI684)</f>
        <v>11</v>
      </c>
      <c r="AD684" s="14">
        <f>INDEX(挂机升级突破!BV$6:BV$57,卡牌消耗!$AI684)</f>
        <v>1</v>
      </c>
      <c r="AE684" s="14">
        <f>INDEX(挂机升级突破!BW$6:BW$57,卡牌消耗!$AI684)</f>
        <v>0</v>
      </c>
      <c r="AF684" s="14" t="str">
        <f t="shared" si="184"/>
        <v>石灵明</v>
      </c>
      <c r="AG684" s="14">
        <f t="shared" si="185"/>
        <v>3</v>
      </c>
      <c r="AH684" s="14" t="str">
        <f t="shared" si="186"/>
        <v>石灵明魂火-4</v>
      </c>
      <c r="AI684" s="14">
        <f t="shared" si="187"/>
        <v>4</v>
      </c>
      <c r="AJ684" s="14" t="str">
        <f>INDEX(挂机升级突破!$BX$4:$CH$4,INDEX(挂机升级突破!$BU$6:$BU$57,卡牌消耗!AI684))</f>
        <v>金币</v>
      </c>
      <c r="AK684" s="14">
        <f>ROUND(INDEX(挂机升级突破!$BN$6:$BN$57,卡牌消耗!AI684)*INDEX(卡牌消耗!$B$8:$F$8,AG684)/$Q$4/50,0)*50</f>
        <v>800</v>
      </c>
      <c r="AL684" s="14" t="str">
        <f>IF(AD684&gt;0,INDEX(挂机升级突破!$BX$4:$CH$4,AD684),"")</f>
        <v>绿色基础材料</v>
      </c>
      <c r="AM684" s="14">
        <f>ROUND(INDEX(挂机升级突破!$BX$6:$CH$57,卡牌消耗!AI684,AD684)*INDEX(卡牌消耗!$B$5:$F$5,AG684)/$Q$4/5,0)*5</f>
        <v>5005</v>
      </c>
      <c r="AN684" s="14" t="str">
        <f>IF(AE684&gt;0,INDEX(挂机升级突破!$BX$4:$CH$4,AE684),"")</f>
        <v/>
      </c>
      <c r="AO684" s="14" t="str">
        <f>IF(AE684&gt;0,ROUND(INDEX(挂机升级突破!$BX$6:$CH$57,卡牌消耗!AI684,AE684)*INDEX(卡牌消耗!$B$7:$F$7,AG684)/$Q$4,0),"")</f>
        <v/>
      </c>
    </row>
    <row r="685" spans="27:41" ht="16.5" x14ac:dyDescent="0.2">
      <c r="AA685" s="104">
        <v>681</v>
      </c>
      <c r="AB685" s="14">
        <f t="shared" si="183"/>
        <v>14</v>
      </c>
      <c r="AC685" s="14">
        <f>INDEX(挂机升级突破!$BU$6:$BU$57,卡牌消耗!AI685)</f>
        <v>11</v>
      </c>
      <c r="AD685" s="14">
        <f>INDEX(挂机升级突破!BV$6:BV$57,卡牌消耗!$AI685)</f>
        <v>1</v>
      </c>
      <c r="AE685" s="14">
        <f>INDEX(挂机升级突破!BW$6:BW$57,卡牌消耗!$AI685)</f>
        <v>0</v>
      </c>
      <c r="AF685" s="14" t="str">
        <f t="shared" si="184"/>
        <v>石灵明</v>
      </c>
      <c r="AG685" s="14">
        <f t="shared" si="185"/>
        <v>3</v>
      </c>
      <c r="AH685" s="14" t="str">
        <f t="shared" si="186"/>
        <v>石灵明魂火-5</v>
      </c>
      <c r="AI685" s="14">
        <f t="shared" si="187"/>
        <v>5</v>
      </c>
      <c r="AJ685" s="14" t="str">
        <f>INDEX(挂机升级突破!$BX$4:$CH$4,INDEX(挂机升级突破!$BU$6:$BU$57,卡牌消耗!AI685))</f>
        <v>金币</v>
      </c>
      <c r="AK685" s="14">
        <f>ROUND(INDEX(挂机升级突破!$BN$6:$BN$57,卡牌消耗!AI685)*INDEX(卡牌消耗!$B$8:$F$8,AG685)/$Q$4/50,0)*50</f>
        <v>800</v>
      </c>
      <c r="AL685" s="14" t="str">
        <f>IF(AD685&gt;0,INDEX(挂机升级突破!$BX$4:$CH$4,AD685),"")</f>
        <v>绿色基础材料</v>
      </c>
      <c r="AM685" s="14">
        <f>ROUND(INDEX(挂机升级突破!$BX$6:$CH$57,卡牌消耗!AI685,AD685)*INDEX(卡牌消耗!$B$5:$F$5,AG685)/$Q$4/5,0)*5</f>
        <v>5005</v>
      </c>
      <c r="AN685" s="14" t="str">
        <f>IF(AE685&gt;0,INDEX(挂机升级突破!$BX$4:$CH$4,AE685),"")</f>
        <v/>
      </c>
      <c r="AO685" s="14" t="str">
        <f>IF(AE685&gt;0,ROUND(INDEX(挂机升级突破!$BX$6:$CH$57,卡牌消耗!AI685,AE685)*INDEX(卡牌消耗!$B$7:$F$7,AG685)/$Q$4,0),"")</f>
        <v/>
      </c>
    </row>
    <row r="686" spans="27:41" ht="16.5" x14ac:dyDescent="0.2">
      <c r="AA686" s="104">
        <v>682</v>
      </c>
      <c r="AB686" s="14">
        <f t="shared" si="183"/>
        <v>14</v>
      </c>
      <c r="AC686" s="14">
        <f>INDEX(挂机升级突破!$BU$6:$BU$57,卡牌消耗!AI686)</f>
        <v>11</v>
      </c>
      <c r="AD686" s="14">
        <f>INDEX(挂机升级突破!BV$6:BV$57,卡牌消耗!$AI686)</f>
        <v>2</v>
      </c>
      <c r="AE686" s="14">
        <f>INDEX(挂机升级突破!BW$6:BW$57,卡牌消耗!$AI686)</f>
        <v>0</v>
      </c>
      <c r="AF686" s="14" t="str">
        <f t="shared" si="184"/>
        <v>石灵明</v>
      </c>
      <c r="AG686" s="14">
        <f t="shared" si="185"/>
        <v>3</v>
      </c>
      <c r="AH686" s="14" t="str">
        <f t="shared" si="186"/>
        <v>石灵明魂火-6</v>
      </c>
      <c r="AI686" s="14">
        <f t="shared" si="187"/>
        <v>6</v>
      </c>
      <c r="AJ686" s="14" t="str">
        <f>INDEX(挂机升级突破!$BX$4:$CH$4,INDEX(挂机升级突破!$BU$6:$BU$57,卡牌消耗!AI686))</f>
        <v>金币</v>
      </c>
      <c r="AK686" s="14">
        <f>ROUND(INDEX(挂机升级突破!$BN$6:$BN$57,卡牌消耗!AI686)*INDEX(卡牌消耗!$B$8:$F$8,AG686)/$Q$4/50,0)*50</f>
        <v>1000</v>
      </c>
      <c r="AL686" s="14" t="str">
        <f>IF(AD686&gt;0,INDEX(挂机升级突破!$BX$4:$CH$4,AD686),"")</f>
        <v>蓝色基础材料</v>
      </c>
      <c r="AM686" s="14">
        <f>ROUND(INDEX(挂机升级突破!$BX$6:$CH$57,卡牌消耗!AI686,AD686)*INDEX(卡牌消耗!$B$5:$F$5,AG686)/$Q$4/5,0)*5</f>
        <v>480</v>
      </c>
      <c r="AN686" s="14" t="str">
        <f>IF(AE686&gt;0,INDEX(挂机升级突破!$BX$4:$CH$4,AE686),"")</f>
        <v/>
      </c>
      <c r="AO686" s="14" t="str">
        <f>IF(AE686&gt;0,ROUND(INDEX(挂机升级突破!$BX$6:$CH$57,卡牌消耗!AI686,AE686)*INDEX(卡牌消耗!$B$7:$F$7,AG686)/$Q$4,0),"")</f>
        <v/>
      </c>
    </row>
    <row r="687" spans="27:41" ht="16.5" x14ac:dyDescent="0.2">
      <c r="AA687" s="104">
        <v>683</v>
      </c>
      <c r="AB687" s="14">
        <f t="shared" si="183"/>
        <v>14</v>
      </c>
      <c r="AC687" s="14">
        <f>INDEX(挂机升级突破!$BU$6:$BU$57,卡牌消耗!AI687)</f>
        <v>11</v>
      </c>
      <c r="AD687" s="14">
        <f>INDEX(挂机升级突破!BV$6:BV$57,卡牌消耗!$AI687)</f>
        <v>2</v>
      </c>
      <c r="AE687" s="14">
        <f>INDEX(挂机升级突破!BW$6:BW$57,卡牌消耗!$AI687)</f>
        <v>0</v>
      </c>
      <c r="AF687" s="14" t="str">
        <f t="shared" si="184"/>
        <v>石灵明</v>
      </c>
      <c r="AG687" s="14">
        <f t="shared" si="185"/>
        <v>3</v>
      </c>
      <c r="AH687" s="14" t="str">
        <f t="shared" si="186"/>
        <v>石灵明魂火-7</v>
      </c>
      <c r="AI687" s="14">
        <f t="shared" si="187"/>
        <v>7</v>
      </c>
      <c r="AJ687" s="14" t="str">
        <f>INDEX(挂机升级突破!$BX$4:$CH$4,INDEX(挂机升级突破!$BU$6:$BU$57,卡牌消耗!AI687))</f>
        <v>金币</v>
      </c>
      <c r="AK687" s="14">
        <f>ROUND(INDEX(挂机升级突破!$BN$6:$BN$57,卡牌消耗!AI687)*INDEX(卡牌消耗!$B$8:$F$8,AG687)/$Q$4/50,0)*50</f>
        <v>1000</v>
      </c>
      <c r="AL687" s="14" t="str">
        <f>IF(AD687&gt;0,INDEX(挂机升级突破!$BX$4:$CH$4,AD687),"")</f>
        <v>蓝色基础材料</v>
      </c>
      <c r="AM687" s="14">
        <f>ROUND(INDEX(挂机升级突破!$BX$6:$CH$57,卡牌消耗!AI687,AD687)*INDEX(卡牌消耗!$B$5:$F$5,AG687)/$Q$4/5,0)*5</f>
        <v>480</v>
      </c>
      <c r="AN687" s="14" t="str">
        <f>IF(AE687&gt;0,INDEX(挂机升级突破!$BX$4:$CH$4,AE687),"")</f>
        <v/>
      </c>
      <c r="AO687" s="14" t="str">
        <f>IF(AE687&gt;0,ROUND(INDEX(挂机升级突破!$BX$6:$CH$57,卡牌消耗!AI687,AE687)*INDEX(卡牌消耗!$B$7:$F$7,AG687)/$Q$4,0),"")</f>
        <v/>
      </c>
    </row>
    <row r="688" spans="27:41" ht="16.5" x14ac:dyDescent="0.2">
      <c r="AA688" s="104">
        <v>684</v>
      </c>
      <c r="AB688" s="14">
        <f t="shared" si="183"/>
        <v>14</v>
      </c>
      <c r="AC688" s="14">
        <f>INDEX(挂机升级突破!$BU$6:$BU$57,卡牌消耗!AI688)</f>
        <v>11</v>
      </c>
      <c r="AD688" s="14">
        <f>INDEX(挂机升级突破!BV$6:BV$57,卡牌消耗!$AI688)</f>
        <v>2</v>
      </c>
      <c r="AE688" s="14">
        <f>INDEX(挂机升级突破!BW$6:BW$57,卡牌消耗!$AI688)</f>
        <v>0</v>
      </c>
      <c r="AF688" s="14" t="str">
        <f t="shared" si="184"/>
        <v>石灵明</v>
      </c>
      <c r="AG688" s="14">
        <f t="shared" si="185"/>
        <v>3</v>
      </c>
      <c r="AH688" s="14" t="str">
        <f t="shared" si="186"/>
        <v>石灵明魂火-8</v>
      </c>
      <c r="AI688" s="14">
        <f t="shared" si="187"/>
        <v>8</v>
      </c>
      <c r="AJ688" s="14" t="str">
        <f>INDEX(挂机升级突破!$BX$4:$CH$4,INDEX(挂机升级突破!$BU$6:$BU$57,卡牌消耗!AI688))</f>
        <v>金币</v>
      </c>
      <c r="AK688" s="14">
        <f>ROUND(INDEX(挂机升级突破!$BN$6:$BN$57,卡牌消耗!AI688)*INDEX(卡牌消耗!$B$8:$F$8,AG688)/$Q$4/50,0)*50</f>
        <v>1500</v>
      </c>
      <c r="AL688" s="14" t="str">
        <f>IF(AD688&gt;0,INDEX(挂机升级突破!$BX$4:$CH$4,AD688),"")</f>
        <v>蓝色基础材料</v>
      </c>
      <c r="AM688" s="14">
        <f>ROUND(INDEX(挂机升级突破!$BX$6:$CH$57,卡牌消耗!AI688,AD688)*INDEX(卡牌消耗!$B$5:$F$5,AG688)/$Q$4/5,0)*5</f>
        <v>960</v>
      </c>
      <c r="AN688" s="14" t="str">
        <f>IF(AE688&gt;0,INDEX(挂机升级突破!$BX$4:$CH$4,AE688),"")</f>
        <v/>
      </c>
      <c r="AO688" s="14" t="str">
        <f>IF(AE688&gt;0,ROUND(INDEX(挂机升级突破!$BX$6:$CH$57,卡牌消耗!AI688,AE688)*INDEX(卡牌消耗!$B$7:$F$7,AG688)/$Q$4,0),"")</f>
        <v/>
      </c>
    </row>
    <row r="689" spans="27:41" ht="16.5" x14ac:dyDescent="0.2">
      <c r="AA689" s="104">
        <v>685</v>
      </c>
      <c r="AB689" s="14">
        <f t="shared" si="183"/>
        <v>14</v>
      </c>
      <c r="AC689" s="14">
        <f>INDEX(挂机升级突破!$BU$6:$BU$57,卡牌消耗!AI689)</f>
        <v>11</v>
      </c>
      <c r="AD689" s="14">
        <f>INDEX(挂机升级突破!BV$6:BV$57,卡牌消耗!$AI689)</f>
        <v>2</v>
      </c>
      <c r="AE689" s="14">
        <f>INDEX(挂机升级突破!BW$6:BW$57,卡牌消耗!$AI689)</f>
        <v>0</v>
      </c>
      <c r="AF689" s="14" t="str">
        <f t="shared" si="184"/>
        <v>石灵明</v>
      </c>
      <c r="AG689" s="14">
        <f t="shared" si="185"/>
        <v>3</v>
      </c>
      <c r="AH689" s="14" t="str">
        <f t="shared" si="186"/>
        <v>石灵明魂火-9</v>
      </c>
      <c r="AI689" s="14">
        <f t="shared" si="187"/>
        <v>9</v>
      </c>
      <c r="AJ689" s="14" t="str">
        <f>INDEX(挂机升级突破!$BX$4:$CH$4,INDEX(挂机升级突破!$BU$6:$BU$57,卡牌消耗!AI689))</f>
        <v>金币</v>
      </c>
      <c r="AK689" s="14">
        <f>ROUND(INDEX(挂机升级突破!$BN$6:$BN$57,卡牌消耗!AI689)*INDEX(卡牌消耗!$B$8:$F$8,AG689)/$Q$4/50,0)*50</f>
        <v>1500</v>
      </c>
      <c r="AL689" s="14" t="str">
        <f>IF(AD689&gt;0,INDEX(挂机升级突破!$BX$4:$CH$4,AD689),"")</f>
        <v>蓝色基础材料</v>
      </c>
      <c r="AM689" s="14">
        <f>ROUND(INDEX(挂机升级突破!$BX$6:$CH$57,卡牌消耗!AI689,AD689)*INDEX(卡牌消耗!$B$5:$F$5,AG689)/$Q$4/5,0)*5</f>
        <v>960</v>
      </c>
      <c r="AN689" s="14" t="str">
        <f>IF(AE689&gt;0,INDEX(挂机升级突破!$BX$4:$CH$4,AE689),"")</f>
        <v/>
      </c>
      <c r="AO689" s="14" t="str">
        <f>IF(AE689&gt;0,ROUND(INDEX(挂机升级突破!$BX$6:$CH$57,卡牌消耗!AI689,AE689)*INDEX(卡牌消耗!$B$7:$F$7,AG689)/$Q$4,0),"")</f>
        <v/>
      </c>
    </row>
    <row r="690" spans="27:41" ht="16.5" x14ac:dyDescent="0.2">
      <c r="AA690" s="104">
        <v>686</v>
      </c>
      <c r="AB690" s="14">
        <f t="shared" si="183"/>
        <v>14</v>
      </c>
      <c r="AC690" s="14">
        <f>INDEX(挂机升级突破!$BU$6:$BU$57,卡牌消耗!AI690)</f>
        <v>11</v>
      </c>
      <c r="AD690" s="14">
        <f>INDEX(挂机升级突破!BV$6:BV$57,卡牌消耗!$AI690)</f>
        <v>2</v>
      </c>
      <c r="AE690" s="14">
        <f>INDEX(挂机升级突破!BW$6:BW$57,卡牌消耗!$AI690)</f>
        <v>0</v>
      </c>
      <c r="AF690" s="14" t="str">
        <f t="shared" si="184"/>
        <v>石灵明</v>
      </c>
      <c r="AG690" s="14">
        <f t="shared" si="185"/>
        <v>3</v>
      </c>
      <c r="AH690" s="14" t="str">
        <f t="shared" si="186"/>
        <v>石灵明魂火-10</v>
      </c>
      <c r="AI690" s="14">
        <f t="shared" si="187"/>
        <v>10</v>
      </c>
      <c r="AJ690" s="14" t="str">
        <f>INDEX(挂机升级突破!$BX$4:$CH$4,INDEX(挂机升级突破!$BU$6:$BU$57,卡牌消耗!AI690))</f>
        <v>金币</v>
      </c>
      <c r="AK690" s="14">
        <f>ROUND(INDEX(挂机升级突破!$BN$6:$BN$57,卡牌消耗!AI690)*INDEX(卡牌消耗!$B$8:$F$8,AG690)/$Q$4/50,0)*50</f>
        <v>2450</v>
      </c>
      <c r="AL690" s="14" t="str">
        <f>IF(AD690&gt;0,INDEX(挂机升级突破!$BX$4:$CH$4,AD690),"")</f>
        <v>蓝色基础材料</v>
      </c>
      <c r="AM690" s="14">
        <f>ROUND(INDEX(挂机升级突破!$BX$6:$CH$57,卡牌消耗!AI690,AD690)*INDEX(卡牌消耗!$B$5:$F$5,AG690)/$Q$4/5,0)*5</f>
        <v>1440</v>
      </c>
      <c r="AN690" s="14" t="str">
        <f>IF(AE690&gt;0,INDEX(挂机升级突破!$BX$4:$CH$4,AE690),"")</f>
        <v/>
      </c>
      <c r="AO690" s="14" t="str">
        <f>IF(AE690&gt;0,ROUND(INDEX(挂机升级突破!$BX$6:$CH$57,卡牌消耗!AI690,AE690)*INDEX(卡牌消耗!$B$7:$F$7,AG690)/$Q$4,0),"")</f>
        <v/>
      </c>
    </row>
    <row r="691" spans="27:41" ht="16.5" x14ac:dyDescent="0.2">
      <c r="AA691" s="104">
        <v>687</v>
      </c>
      <c r="AB691" s="14">
        <f t="shared" si="183"/>
        <v>14</v>
      </c>
      <c r="AC691" s="14">
        <f>INDEX(挂机升级突破!$BU$6:$BU$57,卡牌消耗!AI691)</f>
        <v>11</v>
      </c>
      <c r="AD691" s="14">
        <f>INDEX(挂机升级突破!BV$6:BV$57,卡牌消耗!$AI691)</f>
        <v>2</v>
      </c>
      <c r="AE691" s="14">
        <f>INDEX(挂机升级突破!BW$6:BW$57,卡牌消耗!$AI691)</f>
        <v>0</v>
      </c>
      <c r="AF691" s="14" t="str">
        <f t="shared" si="184"/>
        <v>石灵明</v>
      </c>
      <c r="AG691" s="14">
        <f t="shared" si="185"/>
        <v>3</v>
      </c>
      <c r="AH691" s="14" t="str">
        <f t="shared" si="186"/>
        <v>石灵明魂火-11</v>
      </c>
      <c r="AI691" s="14">
        <f t="shared" si="187"/>
        <v>11</v>
      </c>
      <c r="AJ691" s="14" t="str">
        <f>INDEX(挂机升级突破!$BX$4:$CH$4,INDEX(挂机升级突破!$BU$6:$BU$57,卡牌消耗!AI691))</f>
        <v>金币</v>
      </c>
      <c r="AK691" s="14">
        <f>ROUND(INDEX(挂机升级突破!$BN$6:$BN$57,卡牌消耗!AI691)*INDEX(卡牌消耗!$B$8:$F$8,AG691)/$Q$4/50,0)*50</f>
        <v>2450</v>
      </c>
      <c r="AL691" s="14" t="str">
        <f>IF(AD691&gt;0,INDEX(挂机升级突破!$BX$4:$CH$4,AD691),"")</f>
        <v>蓝色基础材料</v>
      </c>
      <c r="AM691" s="14">
        <f>ROUND(INDEX(挂机升级突破!$BX$6:$CH$57,卡牌消耗!AI691,AD691)*INDEX(卡牌消耗!$B$5:$F$5,AG691)/$Q$4/5,0)*5</f>
        <v>1440</v>
      </c>
      <c r="AN691" s="14" t="str">
        <f>IF(AE691&gt;0,INDEX(挂机升级突破!$BX$4:$CH$4,AE691),"")</f>
        <v/>
      </c>
      <c r="AO691" s="14" t="str">
        <f>IF(AE691&gt;0,ROUND(INDEX(挂机升级突破!$BX$6:$CH$57,卡牌消耗!AI691,AE691)*INDEX(卡牌消耗!$B$7:$F$7,AG691)/$Q$4,0),"")</f>
        <v/>
      </c>
    </row>
    <row r="692" spans="27:41" ht="16.5" x14ac:dyDescent="0.2">
      <c r="AA692" s="104">
        <v>688</v>
      </c>
      <c r="AB692" s="14">
        <f t="shared" si="183"/>
        <v>14</v>
      </c>
      <c r="AC692" s="14">
        <f>INDEX(挂机升级突破!$BU$6:$BU$57,卡牌消耗!AI692)</f>
        <v>11</v>
      </c>
      <c r="AD692" s="14">
        <f>INDEX(挂机升级突破!BV$6:BV$57,卡牌消耗!$AI692)</f>
        <v>2</v>
      </c>
      <c r="AE692" s="14">
        <f>INDEX(挂机升级突破!BW$6:BW$57,卡牌消耗!$AI692)</f>
        <v>0</v>
      </c>
      <c r="AF692" s="14" t="str">
        <f t="shared" si="184"/>
        <v>石灵明</v>
      </c>
      <c r="AG692" s="14">
        <f t="shared" si="185"/>
        <v>3</v>
      </c>
      <c r="AH692" s="14" t="str">
        <f t="shared" si="186"/>
        <v>石灵明魂火-12</v>
      </c>
      <c r="AI692" s="14">
        <f t="shared" si="187"/>
        <v>12</v>
      </c>
      <c r="AJ692" s="14" t="str">
        <f>INDEX(挂机升级突破!$BX$4:$CH$4,INDEX(挂机升级突破!$BU$6:$BU$57,卡牌消耗!AI692))</f>
        <v>金币</v>
      </c>
      <c r="AK692" s="14">
        <f>ROUND(INDEX(挂机升级突破!$BN$6:$BN$57,卡牌消耗!AI692)*INDEX(卡牌消耗!$B$8:$F$8,AG692)/$Q$4/50,0)*50</f>
        <v>2100</v>
      </c>
      <c r="AL692" s="14" t="str">
        <f>IF(AD692&gt;0,INDEX(挂机升级突破!$BX$4:$CH$4,AD692),"")</f>
        <v>蓝色基础材料</v>
      </c>
      <c r="AM692" s="14">
        <f>ROUND(INDEX(挂机升级突破!$BX$6:$CH$57,卡牌消耗!AI692,AD692)*INDEX(卡牌消耗!$B$5:$F$5,AG692)/$Q$4/5,0)*5</f>
        <v>1920</v>
      </c>
      <c r="AN692" s="14" t="str">
        <f>IF(AE692&gt;0,INDEX(挂机升级突破!$BX$4:$CH$4,AE692),"")</f>
        <v/>
      </c>
      <c r="AO692" s="14" t="str">
        <f>IF(AE692&gt;0,ROUND(INDEX(挂机升级突破!$BX$6:$CH$57,卡牌消耗!AI692,AE692)*INDEX(卡牌消耗!$B$7:$F$7,AG692)/$Q$4,0),"")</f>
        <v/>
      </c>
    </row>
    <row r="693" spans="27:41" ht="16.5" x14ac:dyDescent="0.2">
      <c r="AA693" s="104">
        <v>689</v>
      </c>
      <c r="AB693" s="14">
        <f t="shared" si="183"/>
        <v>14</v>
      </c>
      <c r="AC693" s="14">
        <f>INDEX(挂机升级突破!$BU$6:$BU$57,卡牌消耗!AI693)</f>
        <v>11</v>
      </c>
      <c r="AD693" s="14">
        <f>INDEX(挂机升级突破!BV$6:BV$57,卡牌消耗!$AI693)</f>
        <v>2</v>
      </c>
      <c r="AE693" s="14">
        <f>INDEX(挂机升级突破!BW$6:BW$57,卡牌消耗!$AI693)</f>
        <v>0</v>
      </c>
      <c r="AF693" s="14" t="str">
        <f t="shared" si="184"/>
        <v>石灵明</v>
      </c>
      <c r="AG693" s="14">
        <f t="shared" si="185"/>
        <v>3</v>
      </c>
      <c r="AH693" s="14" t="str">
        <f t="shared" si="186"/>
        <v>石灵明魂火-13</v>
      </c>
      <c r="AI693" s="14">
        <f t="shared" si="187"/>
        <v>13</v>
      </c>
      <c r="AJ693" s="14" t="str">
        <f>INDEX(挂机升级突破!$BX$4:$CH$4,INDEX(挂机升级突破!$BU$6:$BU$57,卡牌消耗!AI693))</f>
        <v>金币</v>
      </c>
      <c r="AK693" s="14">
        <f>ROUND(INDEX(挂机升级突破!$BN$6:$BN$57,卡牌消耗!AI693)*INDEX(卡牌消耗!$B$8:$F$8,AG693)/$Q$4/50,0)*50</f>
        <v>2100</v>
      </c>
      <c r="AL693" s="14" t="str">
        <f>IF(AD693&gt;0,INDEX(挂机升级突破!$BX$4:$CH$4,AD693),"")</f>
        <v>蓝色基础材料</v>
      </c>
      <c r="AM693" s="14">
        <f>ROUND(INDEX(挂机升级突破!$BX$6:$CH$57,卡牌消耗!AI693,AD693)*INDEX(卡牌消耗!$B$5:$F$5,AG693)/$Q$4/5,0)*5</f>
        <v>1920</v>
      </c>
      <c r="AN693" s="14" t="str">
        <f>IF(AE693&gt;0,INDEX(挂机升级突破!$BX$4:$CH$4,AE693),"")</f>
        <v/>
      </c>
      <c r="AO693" s="14" t="str">
        <f>IF(AE693&gt;0,ROUND(INDEX(挂机升级突破!$BX$6:$CH$57,卡牌消耗!AI693,AE693)*INDEX(卡牌消耗!$B$7:$F$7,AG693)/$Q$4,0),"")</f>
        <v/>
      </c>
    </row>
    <row r="694" spans="27:41" ht="16.5" x14ac:dyDescent="0.2">
      <c r="AA694" s="104">
        <v>690</v>
      </c>
      <c r="AB694" s="14">
        <f t="shared" si="183"/>
        <v>14</v>
      </c>
      <c r="AC694" s="14">
        <f>INDEX(挂机升级突破!$BU$6:$BU$57,卡牌消耗!AI694)</f>
        <v>11</v>
      </c>
      <c r="AD694" s="14">
        <f>INDEX(挂机升级突破!BV$6:BV$57,卡牌消耗!$AI694)</f>
        <v>3</v>
      </c>
      <c r="AE694" s="14">
        <f>INDEX(挂机升级突破!BW$6:BW$57,卡牌消耗!$AI694)</f>
        <v>0</v>
      </c>
      <c r="AF694" s="14" t="str">
        <f t="shared" si="184"/>
        <v>石灵明</v>
      </c>
      <c r="AG694" s="14">
        <f t="shared" si="185"/>
        <v>3</v>
      </c>
      <c r="AH694" s="14" t="str">
        <f t="shared" si="186"/>
        <v>石灵明魂火-14</v>
      </c>
      <c r="AI694" s="14">
        <f t="shared" si="187"/>
        <v>14</v>
      </c>
      <c r="AJ694" s="14" t="str">
        <f>INDEX(挂机升级突破!$BX$4:$CH$4,INDEX(挂机升级突破!$BU$6:$BU$57,卡牌消耗!AI694))</f>
        <v>金币</v>
      </c>
      <c r="AK694" s="14">
        <f>ROUND(INDEX(挂机升级突破!$BN$6:$BN$57,卡牌消耗!AI694)*INDEX(卡牌消耗!$B$8:$F$8,AG694)/$Q$4/50,0)*50</f>
        <v>2350</v>
      </c>
      <c r="AL694" s="14" t="str">
        <f>IF(AD694&gt;0,INDEX(挂机升级突破!$BX$4:$CH$4,AD694),"")</f>
        <v>紫色基础材料</v>
      </c>
      <c r="AM694" s="14">
        <f>ROUND(INDEX(挂机升级突破!$BX$6:$CH$57,卡牌消耗!AI694,AD694)*INDEX(卡牌消耗!$B$5:$F$5,AG694)/$Q$4/5,0)*5</f>
        <v>170</v>
      </c>
      <c r="AN694" s="14" t="str">
        <f>IF(AE694&gt;0,INDEX(挂机升级突破!$BX$4:$CH$4,AE694),"")</f>
        <v/>
      </c>
      <c r="AO694" s="14" t="str">
        <f>IF(AE694&gt;0,ROUND(INDEX(挂机升级突破!$BX$6:$CH$57,卡牌消耗!AI694,AE694)*INDEX(卡牌消耗!$B$7:$F$7,AG694)/$Q$4,0),"")</f>
        <v/>
      </c>
    </row>
    <row r="695" spans="27:41" ht="16.5" x14ac:dyDescent="0.2">
      <c r="AA695" s="104">
        <v>691</v>
      </c>
      <c r="AB695" s="14">
        <f t="shared" si="183"/>
        <v>14</v>
      </c>
      <c r="AC695" s="14">
        <f>INDEX(挂机升级突破!$BU$6:$BU$57,卡牌消耗!AI695)</f>
        <v>11</v>
      </c>
      <c r="AD695" s="14">
        <f>INDEX(挂机升级突破!BV$6:BV$57,卡牌消耗!$AI695)</f>
        <v>3</v>
      </c>
      <c r="AE695" s="14">
        <f>INDEX(挂机升级突破!BW$6:BW$57,卡牌消耗!$AI695)</f>
        <v>0</v>
      </c>
      <c r="AF695" s="14" t="str">
        <f t="shared" si="184"/>
        <v>石灵明</v>
      </c>
      <c r="AG695" s="14">
        <f t="shared" si="185"/>
        <v>3</v>
      </c>
      <c r="AH695" s="14" t="str">
        <f t="shared" si="186"/>
        <v>石灵明魂火-15</v>
      </c>
      <c r="AI695" s="14">
        <f t="shared" si="187"/>
        <v>15</v>
      </c>
      <c r="AJ695" s="14" t="str">
        <f>INDEX(挂机升级突破!$BX$4:$CH$4,INDEX(挂机升级突破!$BU$6:$BU$57,卡牌消耗!AI695))</f>
        <v>金币</v>
      </c>
      <c r="AK695" s="14">
        <f>ROUND(INDEX(挂机升级突破!$BN$6:$BN$57,卡牌消耗!AI695)*INDEX(卡牌消耗!$B$8:$F$8,AG695)/$Q$4/50,0)*50</f>
        <v>2550</v>
      </c>
      <c r="AL695" s="14" t="str">
        <f>IF(AD695&gt;0,INDEX(挂机升级突破!$BX$4:$CH$4,AD695),"")</f>
        <v>紫色基础材料</v>
      </c>
      <c r="AM695" s="14">
        <f>ROUND(INDEX(挂机升级突破!$BX$6:$CH$57,卡牌消耗!AI695,AD695)*INDEX(卡牌消耗!$B$5:$F$5,AG695)/$Q$4/5,0)*5</f>
        <v>170</v>
      </c>
      <c r="AN695" s="14" t="str">
        <f>IF(AE695&gt;0,INDEX(挂机升级突破!$BX$4:$CH$4,AE695),"")</f>
        <v/>
      </c>
      <c r="AO695" s="14" t="str">
        <f>IF(AE695&gt;0,ROUND(INDEX(挂机升级突破!$BX$6:$CH$57,卡牌消耗!AI695,AE695)*INDEX(卡牌消耗!$B$7:$F$7,AG695)/$Q$4,0),"")</f>
        <v/>
      </c>
    </row>
    <row r="696" spans="27:41" ht="16.5" x14ac:dyDescent="0.2">
      <c r="AA696" s="104">
        <v>692</v>
      </c>
      <c r="AB696" s="14">
        <f t="shared" si="183"/>
        <v>14</v>
      </c>
      <c r="AC696" s="14">
        <f>INDEX(挂机升级突破!$BU$6:$BU$57,卡牌消耗!AI696)</f>
        <v>11</v>
      </c>
      <c r="AD696" s="14">
        <f>INDEX(挂机升级突破!BV$6:BV$57,卡牌消耗!$AI696)</f>
        <v>3</v>
      </c>
      <c r="AE696" s="14">
        <f>INDEX(挂机升级突破!BW$6:BW$57,卡牌消耗!$AI696)</f>
        <v>0</v>
      </c>
      <c r="AF696" s="14" t="str">
        <f t="shared" si="184"/>
        <v>石灵明</v>
      </c>
      <c r="AG696" s="14">
        <f t="shared" si="185"/>
        <v>3</v>
      </c>
      <c r="AH696" s="14" t="str">
        <f t="shared" si="186"/>
        <v>石灵明魂火-16</v>
      </c>
      <c r="AI696" s="14">
        <f t="shared" si="187"/>
        <v>16</v>
      </c>
      <c r="AJ696" s="14" t="str">
        <f>INDEX(挂机升级突破!$BX$4:$CH$4,INDEX(挂机升级突破!$BU$6:$BU$57,卡牌消耗!AI696))</f>
        <v>金币</v>
      </c>
      <c r="AK696" s="14">
        <f>ROUND(INDEX(挂机升级突破!$BN$6:$BN$57,卡牌消耗!AI696)*INDEX(卡牌消耗!$B$8:$F$8,AG696)/$Q$4/50,0)*50</f>
        <v>2550</v>
      </c>
      <c r="AL696" s="14" t="str">
        <f>IF(AD696&gt;0,INDEX(挂机升级突破!$BX$4:$CH$4,AD696),"")</f>
        <v>紫色基础材料</v>
      </c>
      <c r="AM696" s="14">
        <f>ROUND(INDEX(挂机升级突破!$BX$6:$CH$57,卡牌消耗!AI696,AD696)*INDEX(卡牌消耗!$B$5:$F$5,AG696)/$Q$4/5,0)*5</f>
        <v>170</v>
      </c>
      <c r="AN696" s="14" t="str">
        <f>IF(AE696&gt;0,INDEX(挂机升级突破!$BX$4:$CH$4,AE696),"")</f>
        <v/>
      </c>
      <c r="AO696" s="14" t="str">
        <f>IF(AE696&gt;0,ROUND(INDEX(挂机升级突破!$BX$6:$CH$57,卡牌消耗!AI696,AE696)*INDEX(卡牌消耗!$B$7:$F$7,AG696)/$Q$4,0),"")</f>
        <v/>
      </c>
    </row>
    <row r="697" spans="27:41" ht="16.5" x14ac:dyDescent="0.2">
      <c r="AA697" s="104">
        <v>693</v>
      </c>
      <c r="AB697" s="14">
        <f t="shared" si="183"/>
        <v>14</v>
      </c>
      <c r="AC697" s="14">
        <f>INDEX(挂机升级突破!$BU$6:$BU$57,卡牌消耗!AI697)</f>
        <v>11</v>
      </c>
      <c r="AD697" s="14">
        <f>INDEX(挂机升级突破!BV$6:BV$57,卡牌消耗!$AI697)</f>
        <v>3</v>
      </c>
      <c r="AE697" s="14">
        <f>INDEX(挂机升级突破!BW$6:BW$57,卡牌消耗!$AI697)</f>
        <v>0</v>
      </c>
      <c r="AF697" s="14" t="str">
        <f t="shared" si="184"/>
        <v>石灵明</v>
      </c>
      <c r="AG697" s="14">
        <f t="shared" si="185"/>
        <v>3</v>
      </c>
      <c r="AH697" s="14" t="str">
        <f t="shared" si="186"/>
        <v>石灵明魂火-17</v>
      </c>
      <c r="AI697" s="14">
        <f t="shared" si="187"/>
        <v>17</v>
      </c>
      <c r="AJ697" s="14" t="str">
        <f>INDEX(挂机升级突破!$BX$4:$CH$4,INDEX(挂机升级突破!$BU$6:$BU$57,卡牌消耗!AI697))</f>
        <v>金币</v>
      </c>
      <c r="AK697" s="14">
        <f>ROUND(INDEX(挂机升级突破!$BN$6:$BN$57,卡牌消耗!AI697)*INDEX(卡牌消耗!$B$8:$F$8,AG697)/$Q$4/50,0)*50</f>
        <v>3200</v>
      </c>
      <c r="AL697" s="14" t="str">
        <f>IF(AD697&gt;0,INDEX(挂机升级突破!$BX$4:$CH$4,AD697),"")</f>
        <v>紫色基础材料</v>
      </c>
      <c r="AM697" s="14">
        <f>ROUND(INDEX(挂机升级突破!$BX$6:$CH$57,卡牌消耗!AI697,AD697)*INDEX(卡牌消耗!$B$5:$F$5,AG697)/$Q$4/5,0)*5</f>
        <v>335</v>
      </c>
      <c r="AN697" s="14" t="str">
        <f>IF(AE697&gt;0,INDEX(挂机升级突破!$BX$4:$CH$4,AE697),"")</f>
        <v/>
      </c>
      <c r="AO697" s="14" t="str">
        <f>IF(AE697&gt;0,ROUND(INDEX(挂机升级突破!$BX$6:$CH$57,卡牌消耗!AI697,AE697)*INDEX(卡牌消耗!$B$7:$F$7,AG697)/$Q$4,0),"")</f>
        <v/>
      </c>
    </row>
    <row r="698" spans="27:41" ht="16.5" x14ac:dyDescent="0.2">
      <c r="AA698" s="104">
        <v>694</v>
      </c>
      <c r="AB698" s="14">
        <f t="shared" si="183"/>
        <v>14</v>
      </c>
      <c r="AC698" s="14">
        <f>INDEX(挂机升级突破!$BU$6:$BU$57,卡牌消耗!AI698)</f>
        <v>11</v>
      </c>
      <c r="AD698" s="14">
        <f>INDEX(挂机升级突破!BV$6:BV$57,卡牌消耗!$AI698)</f>
        <v>3</v>
      </c>
      <c r="AE698" s="14">
        <f>INDEX(挂机升级突破!BW$6:BW$57,卡牌消耗!$AI698)</f>
        <v>0</v>
      </c>
      <c r="AF698" s="14" t="str">
        <f t="shared" si="184"/>
        <v>石灵明</v>
      </c>
      <c r="AG698" s="14">
        <f t="shared" si="185"/>
        <v>3</v>
      </c>
      <c r="AH698" s="14" t="str">
        <f t="shared" si="186"/>
        <v>石灵明魂火-18</v>
      </c>
      <c r="AI698" s="14">
        <f t="shared" si="187"/>
        <v>18</v>
      </c>
      <c r="AJ698" s="14" t="str">
        <f>INDEX(挂机升级突破!$BX$4:$CH$4,INDEX(挂机升级突破!$BU$6:$BU$57,卡牌消耗!AI698))</f>
        <v>金币</v>
      </c>
      <c r="AK698" s="14">
        <f>ROUND(INDEX(挂机升级突破!$BN$6:$BN$57,卡牌消耗!AI698)*INDEX(卡牌消耗!$B$8:$F$8,AG698)/$Q$4/50,0)*50</f>
        <v>3200</v>
      </c>
      <c r="AL698" s="14" t="str">
        <f>IF(AD698&gt;0,INDEX(挂机升级突破!$BX$4:$CH$4,AD698),"")</f>
        <v>紫色基础材料</v>
      </c>
      <c r="AM698" s="14">
        <f>ROUND(INDEX(挂机升级突破!$BX$6:$CH$57,卡牌消耗!AI698,AD698)*INDEX(卡牌消耗!$B$5:$F$5,AG698)/$Q$4/5,0)*5</f>
        <v>335</v>
      </c>
      <c r="AN698" s="14" t="str">
        <f>IF(AE698&gt;0,INDEX(挂机升级突破!$BX$4:$CH$4,AE698),"")</f>
        <v/>
      </c>
      <c r="AO698" s="14" t="str">
        <f>IF(AE698&gt;0,ROUND(INDEX(挂机升级突破!$BX$6:$CH$57,卡牌消耗!AI698,AE698)*INDEX(卡牌消耗!$B$7:$F$7,AG698)/$Q$4,0),"")</f>
        <v/>
      </c>
    </row>
    <row r="699" spans="27:41" ht="16.5" x14ac:dyDescent="0.2">
      <c r="AA699" s="104">
        <v>695</v>
      </c>
      <c r="AB699" s="14">
        <f t="shared" si="183"/>
        <v>14</v>
      </c>
      <c r="AC699" s="14">
        <f>INDEX(挂机升级突破!$BU$6:$BU$57,卡牌消耗!AI699)</f>
        <v>11</v>
      </c>
      <c r="AD699" s="14">
        <f>INDEX(挂机升级突破!BV$6:BV$57,卡牌消耗!$AI699)</f>
        <v>3</v>
      </c>
      <c r="AE699" s="14">
        <f>INDEX(挂机升级突破!BW$6:BW$57,卡牌消耗!$AI699)</f>
        <v>0</v>
      </c>
      <c r="AF699" s="14" t="str">
        <f t="shared" si="184"/>
        <v>石灵明</v>
      </c>
      <c r="AG699" s="14">
        <f t="shared" si="185"/>
        <v>3</v>
      </c>
      <c r="AH699" s="14" t="str">
        <f t="shared" si="186"/>
        <v>石灵明魂火-19</v>
      </c>
      <c r="AI699" s="14">
        <f t="shared" si="187"/>
        <v>19</v>
      </c>
      <c r="AJ699" s="14" t="str">
        <f>INDEX(挂机升级突破!$BX$4:$CH$4,INDEX(挂机升级突破!$BU$6:$BU$57,卡牌消耗!AI699))</f>
        <v>金币</v>
      </c>
      <c r="AK699" s="14">
        <f>ROUND(INDEX(挂机升级突破!$BN$6:$BN$57,卡牌消耗!AI699)*INDEX(卡牌消耗!$B$8:$F$8,AG699)/$Q$4/50,0)*50</f>
        <v>3200</v>
      </c>
      <c r="AL699" s="14" t="str">
        <f>IF(AD699&gt;0,INDEX(挂机升级突破!$BX$4:$CH$4,AD699),"")</f>
        <v>紫色基础材料</v>
      </c>
      <c r="AM699" s="14">
        <f>ROUND(INDEX(挂机升级突破!$BX$6:$CH$57,卡牌消耗!AI699,AD699)*INDEX(卡牌消耗!$B$5:$F$5,AG699)/$Q$4/5,0)*5</f>
        <v>335</v>
      </c>
      <c r="AN699" s="14" t="str">
        <f>IF(AE699&gt;0,INDEX(挂机升级突破!$BX$4:$CH$4,AE699),"")</f>
        <v/>
      </c>
      <c r="AO699" s="14" t="str">
        <f>IF(AE699&gt;0,ROUND(INDEX(挂机升级突破!$BX$6:$CH$57,卡牌消耗!AI699,AE699)*INDEX(卡牌消耗!$B$7:$F$7,AG699)/$Q$4,0),"")</f>
        <v/>
      </c>
    </row>
    <row r="700" spans="27:41" ht="16.5" x14ac:dyDescent="0.2">
      <c r="AA700" s="104">
        <v>696</v>
      </c>
      <c r="AB700" s="14">
        <f t="shared" si="183"/>
        <v>14</v>
      </c>
      <c r="AC700" s="14">
        <f>INDEX(挂机升级突破!$BU$6:$BU$57,卡牌消耗!AI700)</f>
        <v>11</v>
      </c>
      <c r="AD700" s="14">
        <f>INDEX(挂机升级突破!BV$6:BV$57,卡牌消耗!$AI700)</f>
        <v>3</v>
      </c>
      <c r="AE700" s="14">
        <f>INDEX(挂机升级突破!BW$6:BW$57,卡牌消耗!$AI700)</f>
        <v>0</v>
      </c>
      <c r="AF700" s="14" t="str">
        <f t="shared" si="184"/>
        <v>石灵明</v>
      </c>
      <c r="AG700" s="14">
        <f t="shared" si="185"/>
        <v>3</v>
      </c>
      <c r="AH700" s="14" t="str">
        <f t="shared" si="186"/>
        <v>石灵明魂火-20</v>
      </c>
      <c r="AI700" s="14">
        <f t="shared" si="187"/>
        <v>20</v>
      </c>
      <c r="AJ700" s="14" t="str">
        <f>INDEX(挂机升级突破!$BX$4:$CH$4,INDEX(挂机升级突破!$BU$6:$BU$57,卡牌消耗!AI700))</f>
        <v>金币</v>
      </c>
      <c r="AK700" s="14">
        <f>ROUND(INDEX(挂机升级突破!$BN$6:$BN$57,卡牌消耗!AI700)*INDEX(卡牌消耗!$B$8:$F$8,AG700)/$Q$4/50,0)*50</f>
        <v>3900</v>
      </c>
      <c r="AL700" s="14" t="str">
        <f>IF(AD700&gt;0,INDEX(挂机升级突破!$BX$4:$CH$4,AD700),"")</f>
        <v>紫色基础材料</v>
      </c>
      <c r="AM700" s="14">
        <f>ROUND(INDEX(挂机升级突破!$BX$6:$CH$57,卡牌消耗!AI700,AD700)*INDEX(卡牌消耗!$B$5:$F$5,AG700)/$Q$4/5,0)*5</f>
        <v>505</v>
      </c>
      <c r="AN700" s="14" t="str">
        <f>IF(AE700&gt;0,INDEX(挂机升级突破!$BX$4:$CH$4,AE700),"")</f>
        <v/>
      </c>
      <c r="AO700" s="14" t="str">
        <f>IF(AE700&gt;0,ROUND(INDEX(挂机升级突破!$BX$6:$CH$57,卡牌消耗!AI700,AE700)*INDEX(卡牌消耗!$B$7:$F$7,AG700)/$Q$4,0),"")</f>
        <v/>
      </c>
    </row>
    <row r="701" spans="27:41" ht="16.5" x14ac:dyDescent="0.2">
      <c r="AA701" s="104">
        <v>697</v>
      </c>
      <c r="AB701" s="14">
        <f t="shared" si="183"/>
        <v>14</v>
      </c>
      <c r="AC701" s="14">
        <f>INDEX(挂机升级突破!$BU$6:$BU$57,卡牌消耗!AI701)</f>
        <v>11</v>
      </c>
      <c r="AD701" s="14">
        <f>INDEX(挂机升级突破!BV$6:BV$57,卡牌消耗!$AI701)</f>
        <v>3</v>
      </c>
      <c r="AE701" s="14">
        <f>INDEX(挂机升级突破!BW$6:BW$57,卡牌消耗!$AI701)</f>
        <v>0</v>
      </c>
      <c r="AF701" s="14" t="str">
        <f t="shared" si="184"/>
        <v>石灵明</v>
      </c>
      <c r="AG701" s="14">
        <f t="shared" si="185"/>
        <v>3</v>
      </c>
      <c r="AH701" s="14" t="str">
        <f t="shared" si="186"/>
        <v>石灵明魂火-21</v>
      </c>
      <c r="AI701" s="14">
        <f t="shared" si="187"/>
        <v>21</v>
      </c>
      <c r="AJ701" s="14" t="str">
        <f>INDEX(挂机升级突破!$BX$4:$CH$4,INDEX(挂机升级突破!$BU$6:$BU$57,卡牌消耗!AI701))</f>
        <v>金币</v>
      </c>
      <c r="AK701" s="14">
        <f>ROUND(INDEX(挂机升级突破!$BN$6:$BN$57,卡牌消耗!AI701)*INDEX(卡牌消耗!$B$8:$F$8,AG701)/$Q$4/50,0)*50</f>
        <v>3900</v>
      </c>
      <c r="AL701" s="14" t="str">
        <f>IF(AD701&gt;0,INDEX(挂机升级突破!$BX$4:$CH$4,AD701),"")</f>
        <v>紫色基础材料</v>
      </c>
      <c r="AM701" s="14">
        <f>ROUND(INDEX(挂机升级突破!$BX$6:$CH$57,卡牌消耗!AI701,AD701)*INDEX(卡牌消耗!$B$5:$F$5,AG701)/$Q$4/5,0)*5</f>
        <v>505</v>
      </c>
      <c r="AN701" s="14" t="str">
        <f>IF(AE701&gt;0,INDEX(挂机升级突破!$BX$4:$CH$4,AE701),"")</f>
        <v/>
      </c>
      <c r="AO701" s="14" t="str">
        <f>IF(AE701&gt;0,ROUND(INDEX(挂机升级突破!$BX$6:$CH$57,卡牌消耗!AI701,AE701)*INDEX(卡牌消耗!$B$7:$F$7,AG701)/$Q$4,0),"")</f>
        <v/>
      </c>
    </row>
    <row r="702" spans="27:41" ht="16.5" x14ac:dyDescent="0.2">
      <c r="AA702" s="104">
        <v>698</v>
      </c>
      <c r="AB702" s="14">
        <f t="shared" si="183"/>
        <v>14</v>
      </c>
      <c r="AC702" s="14">
        <f>INDEX(挂机升级突破!$BU$6:$BU$57,卡牌消耗!AI702)</f>
        <v>11</v>
      </c>
      <c r="AD702" s="14">
        <f>INDEX(挂机升级突破!BV$6:BV$57,卡牌消耗!$AI702)</f>
        <v>3</v>
      </c>
      <c r="AE702" s="14">
        <f>INDEX(挂机升级突破!BW$6:BW$57,卡牌消耗!$AI702)</f>
        <v>0</v>
      </c>
      <c r="AF702" s="14" t="str">
        <f t="shared" si="184"/>
        <v>石灵明</v>
      </c>
      <c r="AG702" s="14">
        <f t="shared" si="185"/>
        <v>3</v>
      </c>
      <c r="AH702" s="14" t="str">
        <f t="shared" si="186"/>
        <v>石灵明魂火-22</v>
      </c>
      <c r="AI702" s="14">
        <f t="shared" si="187"/>
        <v>22</v>
      </c>
      <c r="AJ702" s="14" t="str">
        <f>INDEX(挂机升级突破!$BX$4:$CH$4,INDEX(挂机升级突破!$BU$6:$BU$57,卡牌消耗!AI702))</f>
        <v>金币</v>
      </c>
      <c r="AK702" s="14">
        <f>ROUND(INDEX(挂机升级突破!$BN$6:$BN$57,卡牌消耗!AI702)*INDEX(卡牌消耗!$B$8:$F$8,AG702)/$Q$4/50,0)*50</f>
        <v>3900</v>
      </c>
      <c r="AL702" s="14" t="str">
        <f>IF(AD702&gt;0,INDEX(挂机升级突破!$BX$4:$CH$4,AD702),"")</f>
        <v>紫色基础材料</v>
      </c>
      <c r="AM702" s="14">
        <f>ROUND(INDEX(挂机升级突破!$BX$6:$CH$57,卡牌消耗!AI702,AD702)*INDEX(卡牌消耗!$B$5:$F$5,AG702)/$Q$4/5,0)*5</f>
        <v>505</v>
      </c>
      <c r="AN702" s="14" t="str">
        <f>IF(AE702&gt;0,INDEX(挂机升级突破!$BX$4:$CH$4,AE702),"")</f>
        <v/>
      </c>
      <c r="AO702" s="14" t="str">
        <f>IF(AE702&gt;0,ROUND(INDEX(挂机升级突破!$BX$6:$CH$57,卡牌消耗!AI702,AE702)*INDEX(卡牌消耗!$B$7:$F$7,AG702)/$Q$4,0),"")</f>
        <v/>
      </c>
    </row>
    <row r="703" spans="27:41" ht="16.5" x14ac:dyDescent="0.2">
      <c r="AA703" s="104">
        <v>699</v>
      </c>
      <c r="AB703" s="14">
        <f t="shared" si="183"/>
        <v>14</v>
      </c>
      <c r="AC703" s="14">
        <f>INDEX(挂机升级突破!$BU$6:$BU$57,卡牌消耗!AI703)</f>
        <v>11</v>
      </c>
      <c r="AD703" s="14">
        <f>INDEX(挂机升级突破!BV$6:BV$57,卡牌消耗!$AI703)</f>
        <v>4</v>
      </c>
      <c r="AE703" s="14">
        <f>INDEX(挂机升级突破!BW$6:BW$57,卡牌消耗!$AI703)</f>
        <v>0</v>
      </c>
      <c r="AF703" s="14" t="str">
        <f t="shared" si="184"/>
        <v>石灵明</v>
      </c>
      <c r="AG703" s="14">
        <f t="shared" si="185"/>
        <v>3</v>
      </c>
      <c r="AH703" s="14" t="str">
        <f t="shared" si="186"/>
        <v>石灵明魂火-23</v>
      </c>
      <c r="AI703" s="14">
        <f t="shared" si="187"/>
        <v>23</v>
      </c>
      <c r="AJ703" s="14" t="str">
        <f>INDEX(挂机升级突破!$BX$4:$CH$4,INDEX(挂机升级突破!$BU$6:$BU$57,卡牌消耗!AI703))</f>
        <v>金币</v>
      </c>
      <c r="AK703" s="14">
        <f>ROUND(INDEX(挂机升级突破!$BN$6:$BN$57,卡牌消耗!AI703)*INDEX(卡牌消耗!$B$8:$F$8,AG703)/$Q$4/50,0)*50</f>
        <v>5350</v>
      </c>
      <c r="AL703" s="14" t="str">
        <f>IF(AD703&gt;0,INDEX(挂机升级突破!$BX$4:$CH$4,AD703),"")</f>
        <v>橙色基础材料</v>
      </c>
      <c r="AM703" s="14">
        <f>ROUND(INDEX(挂机升级突破!$BX$6:$CH$57,卡牌消耗!AI703,AD703)*INDEX(卡牌消耗!$B$5:$F$5,AG703)/$Q$4/5,0)*5</f>
        <v>70</v>
      </c>
      <c r="AN703" s="14" t="str">
        <f>IF(AE703&gt;0,INDEX(挂机升级突破!$BX$4:$CH$4,AE703),"")</f>
        <v/>
      </c>
      <c r="AO703" s="14" t="str">
        <f>IF(AE703&gt;0,ROUND(INDEX(挂机升级突破!$BX$6:$CH$57,卡牌消耗!AI703,AE703)*INDEX(卡牌消耗!$B$7:$F$7,AG703)/$Q$4,0),"")</f>
        <v/>
      </c>
    </row>
    <row r="704" spans="27:41" ht="16.5" x14ac:dyDescent="0.2">
      <c r="AA704" s="104">
        <v>700</v>
      </c>
      <c r="AB704" s="14">
        <f t="shared" si="183"/>
        <v>14</v>
      </c>
      <c r="AC704" s="14">
        <f>INDEX(挂机升级突破!$BU$6:$BU$57,卡牌消耗!AI704)</f>
        <v>11</v>
      </c>
      <c r="AD704" s="14">
        <f>INDEX(挂机升级突破!BV$6:BV$57,卡牌消耗!$AI704)</f>
        <v>4</v>
      </c>
      <c r="AE704" s="14">
        <f>INDEX(挂机升级突破!BW$6:BW$57,卡牌消耗!$AI704)</f>
        <v>0</v>
      </c>
      <c r="AF704" s="14" t="str">
        <f t="shared" si="184"/>
        <v>石灵明</v>
      </c>
      <c r="AG704" s="14">
        <f t="shared" si="185"/>
        <v>3</v>
      </c>
      <c r="AH704" s="14" t="str">
        <f t="shared" si="186"/>
        <v>石灵明魂火-24</v>
      </c>
      <c r="AI704" s="14">
        <f t="shared" si="187"/>
        <v>24</v>
      </c>
      <c r="AJ704" s="14" t="str">
        <f>INDEX(挂机升级突破!$BX$4:$CH$4,INDEX(挂机升级突破!$BU$6:$BU$57,卡牌消耗!AI704))</f>
        <v>金币</v>
      </c>
      <c r="AK704" s="14">
        <f>ROUND(INDEX(挂机升级突破!$BN$6:$BN$57,卡牌消耗!AI704)*INDEX(卡牌消耗!$B$8:$F$8,AG704)/$Q$4/50,0)*50</f>
        <v>5350</v>
      </c>
      <c r="AL704" s="14" t="str">
        <f>IF(AD704&gt;0,INDEX(挂机升级突破!$BX$4:$CH$4,AD704),"")</f>
        <v>橙色基础材料</v>
      </c>
      <c r="AM704" s="14">
        <f>ROUND(INDEX(挂机升级突破!$BX$6:$CH$57,卡牌消耗!AI704,AD704)*INDEX(卡牌消耗!$B$5:$F$5,AG704)/$Q$4/5,0)*5</f>
        <v>70</v>
      </c>
      <c r="AN704" s="14" t="str">
        <f>IF(AE704&gt;0,INDEX(挂机升级突破!$BX$4:$CH$4,AE704),"")</f>
        <v/>
      </c>
      <c r="AO704" s="14" t="str">
        <f>IF(AE704&gt;0,ROUND(INDEX(挂机升级突破!$BX$6:$CH$57,卡牌消耗!AI704,AE704)*INDEX(卡牌消耗!$B$7:$F$7,AG704)/$Q$4,0),"")</f>
        <v/>
      </c>
    </row>
    <row r="705" spans="27:41" ht="16.5" x14ac:dyDescent="0.2">
      <c r="AA705" s="104">
        <v>701</v>
      </c>
      <c r="AB705" s="14">
        <f t="shared" si="183"/>
        <v>14</v>
      </c>
      <c r="AC705" s="14">
        <f>INDEX(挂机升级突破!$BU$6:$BU$57,卡牌消耗!AI705)</f>
        <v>11</v>
      </c>
      <c r="AD705" s="14">
        <f>INDEX(挂机升级突破!BV$6:BV$57,卡牌消耗!$AI705)</f>
        <v>4</v>
      </c>
      <c r="AE705" s="14">
        <f>INDEX(挂机升级突破!BW$6:BW$57,卡牌消耗!$AI705)</f>
        <v>0</v>
      </c>
      <c r="AF705" s="14" t="str">
        <f t="shared" si="184"/>
        <v>石灵明</v>
      </c>
      <c r="AG705" s="14">
        <f t="shared" si="185"/>
        <v>3</v>
      </c>
      <c r="AH705" s="14" t="str">
        <f t="shared" si="186"/>
        <v>石灵明魂火-25</v>
      </c>
      <c r="AI705" s="14">
        <f t="shared" si="187"/>
        <v>25</v>
      </c>
      <c r="AJ705" s="14" t="str">
        <f>INDEX(挂机升级突破!$BX$4:$CH$4,INDEX(挂机升级突破!$BU$6:$BU$57,卡牌消耗!AI705))</f>
        <v>金币</v>
      </c>
      <c r="AK705" s="14">
        <f>ROUND(INDEX(挂机升级突破!$BN$6:$BN$57,卡牌消耗!AI705)*INDEX(卡牌消耗!$B$8:$F$8,AG705)/$Q$4/50,0)*50</f>
        <v>5850</v>
      </c>
      <c r="AL705" s="14" t="str">
        <f>IF(AD705&gt;0,INDEX(挂机升级突破!$BX$4:$CH$4,AD705),"")</f>
        <v>橙色基础材料</v>
      </c>
      <c r="AM705" s="14">
        <f>ROUND(INDEX(挂机升级突破!$BX$6:$CH$57,卡牌消耗!AI705,AD705)*INDEX(卡牌消耗!$B$5:$F$5,AG705)/$Q$4/5,0)*5</f>
        <v>70</v>
      </c>
      <c r="AN705" s="14" t="str">
        <f>IF(AE705&gt;0,INDEX(挂机升级突破!$BX$4:$CH$4,AE705),"")</f>
        <v/>
      </c>
      <c r="AO705" s="14" t="str">
        <f>IF(AE705&gt;0,ROUND(INDEX(挂机升级突破!$BX$6:$CH$57,卡牌消耗!AI705,AE705)*INDEX(卡牌消耗!$B$7:$F$7,AG705)/$Q$4,0),"")</f>
        <v/>
      </c>
    </row>
    <row r="706" spans="27:41" ht="16.5" x14ac:dyDescent="0.2">
      <c r="AA706" s="104">
        <v>702</v>
      </c>
      <c r="AB706" s="14">
        <f t="shared" si="183"/>
        <v>14</v>
      </c>
      <c r="AC706" s="14">
        <f>INDEX(挂机升级突破!$BU$6:$BU$57,卡牌消耗!AI706)</f>
        <v>11</v>
      </c>
      <c r="AD706" s="14">
        <f>INDEX(挂机升级突破!BV$6:BV$57,卡牌消耗!$AI706)</f>
        <v>4</v>
      </c>
      <c r="AE706" s="14">
        <f>INDEX(挂机升级突破!BW$6:BW$57,卡牌消耗!$AI706)</f>
        <v>0</v>
      </c>
      <c r="AF706" s="14" t="str">
        <f t="shared" si="184"/>
        <v>石灵明</v>
      </c>
      <c r="AG706" s="14">
        <f t="shared" si="185"/>
        <v>3</v>
      </c>
      <c r="AH706" s="14" t="str">
        <f t="shared" si="186"/>
        <v>石灵明魂火-26</v>
      </c>
      <c r="AI706" s="14">
        <f t="shared" si="187"/>
        <v>26</v>
      </c>
      <c r="AJ706" s="14" t="str">
        <f>INDEX(挂机升级突破!$BX$4:$CH$4,INDEX(挂机升级突破!$BU$6:$BU$57,卡牌消耗!AI706))</f>
        <v>金币</v>
      </c>
      <c r="AK706" s="14">
        <f>ROUND(INDEX(挂机升级突破!$BN$6:$BN$57,卡牌消耗!AI706)*INDEX(卡牌消耗!$B$8:$F$8,AG706)/$Q$4/50,0)*50</f>
        <v>6850</v>
      </c>
      <c r="AL706" s="14" t="str">
        <f>IF(AD706&gt;0,INDEX(挂机升级突破!$BX$4:$CH$4,AD706),"")</f>
        <v>橙色基础材料</v>
      </c>
      <c r="AM706" s="14">
        <f>ROUND(INDEX(挂机升级突破!$BX$6:$CH$57,卡牌消耗!AI706,AD706)*INDEX(卡牌消耗!$B$5:$F$5,AG706)/$Q$4/5,0)*5</f>
        <v>85</v>
      </c>
      <c r="AN706" s="14" t="str">
        <f>IF(AE706&gt;0,INDEX(挂机升级突破!$BX$4:$CH$4,AE706),"")</f>
        <v/>
      </c>
      <c r="AO706" s="14" t="str">
        <f>IF(AE706&gt;0,ROUND(INDEX(挂机升级突破!$BX$6:$CH$57,卡牌消耗!AI706,AE706)*INDEX(卡牌消耗!$B$7:$F$7,AG706)/$Q$4,0),"")</f>
        <v/>
      </c>
    </row>
    <row r="707" spans="27:41" ht="16.5" x14ac:dyDescent="0.2">
      <c r="AA707" s="104">
        <v>703</v>
      </c>
      <c r="AB707" s="14">
        <f t="shared" si="183"/>
        <v>14</v>
      </c>
      <c r="AC707" s="14">
        <f>INDEX(挂机升级突破!$BU$6:$BU$57,卡牌消耗!AI707)</f>
        <v>11</v>
      </c>
      <c r="AD707" s="14">
        <f>INDEX(挂机升级突破!BV$6:BV$57,卡牌消耗!$AI707)</f>
        <v>4</v>
      </c>
      <c r="AE707" s="14">
        <f>INDEX(挂机升级突破!BW$6:BW$57,卡牌消耗!$AI707)</f>
        <v>0</v>
      </c>
      <c r="AF707" s="14" t="str">
        <f t="shared" si="184"/>
        <v>石灵明</v>
      </c>
      <c r="AG707" s="14">
        <f t="shared" si="185"/>
        <v>3</v>
      </c>
      <c r="AH707" s="14" t="str">
        <f t="shared" si="186"/>
        <v>石灵明魂火-27</v>
      </c>
      <c r="AI707" s="14">
        <f t="shared" si="187"/>
        <v>27</v>
      </c>
      <c r="AJ707" s="14" t="str">
        <f>INDEX(挂机升级突破!$BX$4:$CH$4,INDEX(挂机升级突破!$BU$6:$BU$57,卡牌消耗!AI707))</f>
        <v>金币</v>
      </c>
      <c r="AK707" s="14">
        <f>ROUND(INDEX(挂机升级突破!$BN$6:$BN$57,卡牌消耗!AI707)*INDEX(卡牌消耗!$B$8:$F$8,AG707)/$Q$4/50,0)*50</f>
        <v>6850</v>
      </c>
      <c r="AL707" s="14" t="str">
        <f>IF(AD707&gt;0,INDEX(挂机升级突破!$BX$4:$CH$4,AD707),"")</f>
        <v>橙色基础材料</v>
      </c>
      <c r="AM707" s="14">
        <f>ROUND(INDEX(挂机升级突破!$BX$6:$CH$57,卡牌消耗!AI707,AD707)*INDEX(卡牌消耗!$B$5:$F$5,AG707)/$Q$4/5,0)*5</f>
        <v>85</v>
      </c>
      <c r="AN707" s="14" t="str">
        <f>IF(AE707&gt;0,INDEX(挂机升级突破!$BX$4:$CH$4,AE707),"")</f>
        <v/>
      </c>
      <c r="AO707" s="14" t="str">
        <f>IF(AE707&gt;0,ROUND(INDEX(挂机升级突破!$BX$6:$CH$57,卡牌消耗!AI707,AE707)*INDEX(卡牌消耗!$B$7:$F$7,AG707)/$Q$4,0),"")</f>
        <v/>
      </c>
    </row>
    <row r="708" spans="27:41" ht="16.5" x14ac:dyDescent="0.2">
      <c r="AA708" s="104">
        <v>704</v>
      </c>
      <c r="AB708" s="14">
        <f t="shared" si="183"/>
        <v>14</v>
      </c>
      <c r="AC708" s="14">
        <f>INDEX(挂机升级突破!$BU$6:$BU$57,卡牌消耗!AI708)</f>
        <v>11</v>
      </c>
      <c r="AD708" s="14">
        <f>INDEX(挂机升级突破!BV$6:BV$57,卡牌消耗!$AI708)</f>
        <v>4</v>
      </c>
      <c r="AE708" s="14">
        <f>INDEX(挂机升级突破!BW$6:BW$57,卡牌消耗!$AI708)</f>
        <v>0</v>
      </c>
      <c r="AF708" s="14" t="str">
        <f t="shared" si="184"/>
        <v>石灵明</v>
      </c>
      <c r="AG708" s="14">
        <f t="shared" si="185"/>
        <v>3</v>
      </c>
      <c r="AH708" s="14" t="str">
        <f t="shared" si="186"/>
        <v>石灵明魂火-28</v>
      </c>
      <c r="AI708" s="14">
        <f t="shared" si="187"/>
        <v>28</v>
      </c>
      <c r="AJ708" s="14" t="str">
        <f>INDEX(挂机升级突破!$BX$4:$CH$4,INDEX(挂机升级突破!$BU$6:$BU$57,卡牌消耗!AI708))</f>
        <v>金币</v>
      </c>
      <c r="AK708" s="14">
        <f>ROUND(INDEX(挂机升级突破!$BN$6:$BN$57,卡牌消耗!AI708)*INDEX(卡牌消耗!$B$8:$F$8,AG708)/$Q$4/50,0)*50</f>
        <v>6850</v>
      </c>
      <c r="AL708" s="14" t="str">
        <f>IF(AD708&gt;0,INDEX(挂机升级突破!$BX$4:$CH$4,AD708),"")</f>
        <v>橙色基础材料</v>
      </c>
      <c r="AM708" s="14">
        <f>ROUND(INDEX(挂机升级突破!$BX$6:$CH$57,卡牌消耗!AI708,AD708)*INDEX(卡牌消耗!$B$5:$F$5,AG708)/$Q$4/5,0)*5</f>
        <v>85</v>
      </c>
      <c r="AN708" s="14" t="str">
        <f>IF(AE708&gt;0,INDEX(挂机升级突破!$BX$4:$CH$4,AE708),"")</f>
        <v/>
      </c>
      <c r="AO708" s="14" t="str">
        <f>IF(AE708&gt;0,ROUND(INDEX(挂机升级突破!$BX$6:$CH$57,卡牌消耗!AI708,AE708)*INDEX(卡牌消耗!$B$7:$F$7,AG708)/$Q$4,0),"")</f>
        <v/>
      </c>
    </row>
    <row r="709" spans="27:41" ht="16.5" x14ac:dyDescent="0.2">
      <c r="AA709" s="104">
        <v>705</v>
      </c>
      <c r="AB709" s="14">
        <f t="shared" si="183"/>
        <v>14</v>
      </c>
      <c r="AC709" s="14">
        <f>INDEX(挂机升级突破!$BU$6:$BU$57,卡牌消耗!AI709)</f>
        <v>11</v>
      </c>
      <c r="AD709" s="14">
        <f>INDEX(挂机升级突破!BV$6:BV$57,卡牌消耗!$AI709)</f>
        <v>4</v>
      </c>
      <c r="AE709" s="14">
        <f>INDEX(挂机升级突破!BW$6:BW$57,卡牌消耗!$AI709)</f>
        <v>0</v>
      </c>
      <c r="AF709" s="14" t="str">
        <f t="shared" si="184"/>
        <v>石灵明</v>
      </c>
      <c r="AG709" s="14">
        <f t="shared" si="185"/>
        <v>3</v>
      </c>
      <c r="AH709" s="14" t="str">
        <f t="shared" si="186"/>
        <v>石灵明魂火-29</v>
      </c>
      <c r="AI709" s="14">
        <f t="shared" si="187"/>
        <v>29</v>
      </c>
      <c r="AJ709" s="14" t="str">
        <f>INDEX(挂机升级突破!$BX$4:$CH$4,INDEX(挂机升级突破!$BU$6:$BU$57,卡牌消耗!AI709))</f>
        <v>金币</v>
      </c>
      <c r="AK709" s="14">
        <f>ROUND(INDEX(挂机升级突破!$BN$6:$BN$57,卡牌消耗!AI709)*INDEX(卡牌消耗!$B$8:$F$8,AG709)/$Q$4/50,0)*50</f>
        <v>6900</v>
      </c>
      <c r="AL709" s="14" t="str">
        <f>IF(AD709&gt;0,INDEX(挂机升级突破!$BX$4:$CH$4,AD709),"")</f>
        <v>橙色基础材料</v>
      </c>
      <c r="AM709" s="14">
        <f>ROUND(INDEX(挂机升级突破!$BX$6:$CH$57,卡牌消耗!AI709,AD709)*INDEX(卡牌消耗!$B$5:$F$5,AG709)/$Q$4/5,0)*5</f>
        <v>100</v>
      </c>
      <c r="AN709" s="14" t="str">
        <f>IF(AE709&gt;0,INDEX(挂机升级突破!$BX$4:$CH$4,AE709),"")</f>
        <v/>
      </c>
      <c r="AO709" s="14" t="str">
        <f>IF(AE709&gt;0,ROUND(INDEX(挂机升级突破!$BX$6:$CH$57,卡牌消耗!AI709,AE709)*INDEX(卡牌消耗!$B$7:$F$7,AG709)/$Q$4,0),"")</f>
        <v/>
      </c>
    </row>
    <row r="710" spans="27:41" ht="16.5" x14ac:dyDescent="0.2">
      <c r="AA710" s="104">
        <v>706</v>
      </c>
      <c r="AB710" s="14">
        <f t="shared" ref="AB710:AB773" si="188">INT((AA710-1)/52)+1</f>
        <v>14</v>
      </c>
      <c r="AC710" s="14">
        <f>INDEX(挂机升级突破!$BU$6:$BU$57,卡牌消耗!AI710)</f>
        <v>11</v>
      </c>
      <c r="AD710" s="14">
        <f>INDEX(挂机升级突破!BV$6:BV$57,卡牌消耗!$AI710)</f>
        <v>4</v>
      </c>
      <c r="AE710" s="14">
        <f>INDEX(挂机升级突破!BW$6:BW$57,卡牌消耗!$AI710)</f>
        <v>0</v>
      </c>
      <c r="AF710" s="14" t="str">
        <f t="shared" ref="AF710:AF773" si="189">INDEX($B$13:$B$40,AB710)</f>
        <v>石灵明</v>
      </c>
      <c r="AG710" s="14">
        <f t="shared" ref="AG710:AG773" si="190">INDEX($C$13:$C$40,AB710)</f>
        <v>3</v>
      </c>
      <c r="AH710" s="14" t="str">
        <f t="shared" ref="AH710:AH773" si="191">AF710&amp;"魂火-"&amp;AI710</f>
        <v>石灵明魂火-30</v>
      </c>
      <c r="AI710" s="14">
        <f t="shared" ref="AI710:AI773" si="192">AA710-(AB710-1)*52</f>
        <v>30</v>
      </c>
      <c r="AJ710" s="14" t="str">
        <f>INDEX(挂机升级突破!$BX$4:$CH$4,INDEX(挂机升级突破!$BU$6:$BU$57,卡牌消耗!AI710))</f>
        <v>金币</v>
      </c>
      <c r="AK710" s="14">
        <f>ROUND(INDEX(挂机升级突破!$BN$6:$BN$57,卡牌消耗!AI710)*INDEX(卡牌消耗!$B$8:$F$8,AG710)/$Q$4/50,0)*50</f>
        <v>6900</v>
      </c>
      <c r="AL710" s="14" t="str">
        <f>IF(AD710&gt;0,INDEX(挂机升级突破!$BX$4:$CH$4,AD710),"")</f>
        <v>橙色基础材料</v>
      </c>
      <c r="AM710" s="14">
        <f>ROUND(INDEX(挂机升级突破!$BX$6:$CH$57,卡牌消耗!AI710,AD710)*INDEX(卡牌消耗!$B$5:$F$5,AG710)/$Q$4/5,0)*5</f>
        <v>100</v>
      </c>
      <c r="AN710" s="14" t="str">
        <f>IF(AE710&gt;0,INDEX(挂机升级突破!$BX$4:$CH$4,AE710),"")</f>
        <v/>
      </c>
      <c r="AO710" s="14" t="str">
        <f>IF(AE710&gt;0,ROUND(INDEX(挂机升级突破!$BX$6:$CH$57,卡牌消耗!AI710,AE710)*INDEX(卡牌消耗!$B$7:$F$7,AG710)/$Q$4,0),"")</f>
        <v/>
      </c>
    </row>
    <row r="711" spans="27:41" ht="16.5" x14ac:dyDescent="0.2">
      <c r="AA711" s="104">
        <v>707</v>
      </c>
      <c r="AB711" s="14">
        <f t="shared" si="188"/>
        <v>14</v>
      </c>
      <c r="AC711" s="14">
        <f>INDEX(挂机升级突破!$BU$6:$BU$57,卡牌消耗!AI711)</f>
        <v>11</v>
      </c>
      <c r="AD711" s="14">
        <f>INDEX(挂机升级突破!BV$6:BV$57,卡牌消耗!$AI711)</f>
        <v>4</v>
      </c>
      <c r="AE711" s="14">
        <f>INDEX(挂机升级突破!BW$6:BW$57,卡牌消耗!$AI711)</f>
        <v>0</v>
      </c>
      <c r="AF711" s="14" t="str">
        <f t="shared" si="189"/>
        <v>石灵明</v>
      </c>
      <c r="AG711" s="14">
        <f t="shared" si="190"/>
        <v>3</v>
      </c>
      <c r="AH711" s="14" t="str">
        <f t="shared" si="191"/>
        <v>石灵明魂火-31</v>
      </c>
      <c r="AI711" s="14">
        <f t="shared" si="192"/>
        <v>31</v>
      </c>
      <c r="AJ711" s="14" t="str">
        <f>INDEX(挂机升级突破!$BX$4:$CH$4,INDEX(挂机升级突破!$BU$6:$BU$57,卡牌消耗!AI711))</f>
        <v>金币</v>
      </c>
      <c r="AK711" s="14">
        <f>ROUND(INDEX(挂机升级突破!$BN$6:$BN$57,卡牌消耗!AI711)*INDEX(卡牌消耗!$B$8:$F$8,AG711)/$Q$4/50,0)*50</f>
        <v>6900</v>
      </c>
      <c r="AL711" s="14" t="str">
        <f>IF(AD711&gt;0,INDEX(挂机升级突破!$BX$4:$CH$4,AD711),"")</f>
        <v>橙色基础材料</v>
      </c>
      <c r="AM711" s="14">
        <f>ROUND(INDEX(挂机升级突破!$BX$6:$CH$57,卡牌消耗!AI711,AD711)*INDEX(卡牌消耗!$B$5:$F$5,AG711)/$Q$4/5,0)*5</f>
        <v>100</v>
      </c>
      <c r="AN711" s="14" t="str">
        <f>IF(AE711&gt;0,INDEX(挂机升级突破!$BX$4:$CH$4,AE711),"")</f>
        <v/>
      </c>
      <c r="AO711" s="14" t="str">
        <f>IF(AE711&gt;0,ROUND(INDEX(挂机升级突破!$BX$6:$CH$57,卡牌消耗!AI711,AE711)*INDEX(卡牌消耗!$B$7:$F$7,AG711)/$Q$4,0),"")</f>
        <v/>
      </c>
    </row>
    <row r="712" spans="27:41" ht="16.5" x14ac:dyDescent="0.2">
      <c r="AA712" s="104">
        <v>708</v>
      </c>
      <c r="AB712" s="14">
        <f t="shared" si="188"/>
        <v>14</v>
      </c>
      <c r="AC712" s="14">
        <f>INDEX(挂机升级突破!$BU$6:$BU$57,卡牌消耗!AI712)</f>
        <v>11</v>
      </c>
      <c r="AD712" s="14">
        <f>INDEX(挂机升级突破!BV$6:BV$57,卡牌消耗!$AI712)</f>
        <v>4</v>
      </c>
      <c r="AE712" s="14">
        <f>INDEX(挂机升级突破!BW$6:BW$57,卡牌消耗!$AI712)</f>
        <v>0</v>
      </c>
      <c r="AF712" s="14" t="str">
        <f t="shared" si="189"/>
        <v>石灵明</v>
      </c>
      <c r="AG712" s="14">
        <f t="shared" si="190"/>
        <v>3</v>
      </c>
      <c r="AH712" s="14" t="str">
        <f t="shared" si="191"/>
        <v>石灵明魂火-32</v>
      </c>
      <c r="AI712" s="14">
        <f t="shared" si="192"/>
        <v>32</v>
      </c>
      <c r="AJ712" s="14" t="str">
        <f>INDEX(挂机升级突破!$BX$4:$CH$4,INDEX(挂机升级突破!$BU$6:$BU$57,卡牌消耗!AI712))</f>
        <v>金币</v>
      </c>
      <c r="AK712" s="14">
        <f>ROUND(INDEX(挂机升级突破!$BN$6:$BN$57,卡牌消耗!AI712)*INDEX(卡牌消耗!$B$8:$F$8,AG712)/$Q$4/50,0)*50</f>
        <v>9500</v>
      </c>
      <c r="AL712" s="14" t="str">
        <f>IF(AD712&gt;0,INDEX(挂机升级突破!$BX$4:$CH$4,AD712),"")</f>
        <v>橙色基础材料</v>
      </c>
      <c r="AM712" s="14">
        <f>ROUND(INDEX(挂机升级突破!$BX$6:$CH$57,卡牌消耗!AI712,AD712)*INDEX(卡牌消耗!$B$5:$F$5,AG712)/$Q$4/5,0)*5</f>
        <v>100</v>
      </c>
      <c r="AN712" s="14" t="str">
        <f>IF(AE712&gt;0,INDEX(挂机升级突破!$BX$4:$CH$4,AE712),"")</f>
        <v/>
      </c>
      <c r="AO712" s="14" t="str">
        <f>IF(AE712&gt;0,ROUND(INDEX(挂机升级突破!$BX$6:$CH$57,卡牌消耗!AI712,AE712)*INDEX(卡牌消耗!$B$7:$F$7,AG712)/$Q$4,0),"")</f>
        <v/>
      </c>
    </row>
    <row r="713" spans="27:41" ht="16.5" x14ac:dyDescent="0.2">
      <c r="AA713" s="104">
        <v>709</v>
      </c>
      <c r="AB713" s="14">
        <f t="shared" si="188"/>
        <v>14</v>
      </c>
      <c r="AC713" s="14">
        <f>INDEX(挂机升级突破!$BU$6:$BU$57,卡牌消耗!AI713)</f>
        <v>11</v>
      </c>
      <c r="AD713" s="14">
        <f>INDEX(挂机升级突破!BV$6:BV$57,卡牌消耗!$AI713)</f>
        <v>4</v>
      </c>
      <c r="AE713" s="14">
        <f>INDEX(挂机升级突破!BW$6:BW$57,卡牌消耗!$AI713)</f>
        <v>0</v>
      </c>
      <c r="AF713" s="14" t="str">
        <f t="shared" si="189"/>
        <v>石灵明</v>
      </c>
      <c r="AG713" s="14">
        <f t="shared" si="190"/>
        <v>3</v>
      </c>
      <c r="AH713" s="14" t="str">
        <f t="shared" si="191"/>
        <v>石灵明魂火-33</v>
      </c>
      <c r="AI713" s="14">
        <f t="shared" si="192"/>
        <v>33</v>
      </c>
      <c r="AJ713" s="14" t="str">
        <f>INDEX(挂机升级突破!$BX$4:$CH$4,INDEX(挂机升级突破!$BU$6:$BU$57,卡牌消耗!AI713))</f>
        <v>金币</v>
      </c>
      <c r="AK713" s="14">
        <f>ROUND(INDEX(挂机升级突破!$BN$6:$BN$57,卡牌消耗!AI713)*INDEX(卡牌消耗!$B$8:$F$8,AG713)/$Q$4/50,0)*50</f>
        <v>9500</v>
      </c>
      <c r="AL713" s="14" t="str">
        <f>IF(AD713&gt;0,INDEX(挂机升级突破!$BX$4:$CH$4,AD713),"")</f>
        <v>橙色基础材料</v>
      </c>
      <c r="AM713" s="14">
        <f>ROUND(INDEX(挂机升级突破!$BX$6:$CH$57,卡牌消耗!AI713,AD713)*INDEX(卡牌消耗!$B$5:$F$5,AG713)/$Q$4/5,0)*5</f>
        <v>100</v>
      </c>
      <c r="AN713" s="14" t="str">
        <f>IF(AE713&gt;0,INDEX(挂机升级突破!$BX$4:$CH$4,AE713),"")</f>
        <v/>
      </c>
      <c r="AO713" s="14" t="str">
        <f>IF(AE713&gt;0,ROUND(INDEX(挂机升级突破!$BX$6:$CH$57,卡牌消耗!AI713,AE713)*INDEX(卡牌消耗!$B$7:$F$7,AG713)/$Q$4,0),"")</f>
        <v/>
      </c>
    </row>
    <row r="714" spans="27:41" ht="16.5" x14ac:dyDescent="0.2">
      <c r="AA714" s="104">
        <v>710</v>
      </c>
      <c r="AB714" s="14">
        <f t="shared" si="188"/>
        <v>14</v>
      </c>
      <c r="AC714" s="14">
        <f>INDEX(挂机升级突破!$BU$6:$BU$57,卡牌消耗!AI714)</f>
        <v>11</v>
      </c>
      <c r="AD714" s="14">
        <f>INDEX(挂机升级突破!BV$6:BV$57,卡牌消耗!$AI714)</f>
        <v>4</v>
      </c>
      <c r="AE714" s="14">
        <f>INDEX(挂机升级突破!BW$6:BW$57,卡牌消耗!$AI714)</f>
        <v>0</v>
      </c>
      <c r="AF714" s="14" t="str">
        <f t="shared" si="189"/>
        <v>石灵明</v>
      </c>
      <c r="AG714" s="14">
        <f t="shared" si="190"/>
        <v>3</v>
      </c>
      <c r="AH714" s="14" t="str">
        <f t="shared" si="191"/>
        <v>石灵明魂火-34</v>
      </c>
      <c r="AI714" s="14">
        <f t="shared" si="192"/>
        <v>34</v>
      </c>
      <c r="AJ714" s="14" t="str">
        <f>INDEX(挂机升级突破!$BX$4:$CH$4,INDEX(挂机升级突破!$BU$6:$BU$57,卡牌消耗!AI714))</f>
        <v>金币</v>
      </c>
      <c r="AK714" s="14">
        <f>ROUND(INDEX(挂机升级突破!$BN$6:$BN$57,卡牌消耗!AI714)*INDEX(卡牌消耗!$B$8:$F$8,AG714)/$Q$4/50,0)*50</f>
        <v>9500</v>
      </c>
      <c r="AL714" s="14" t="str">
        <f>IF(AD714&gt;0,INDEX(挂机升级突破!$BX$4:$CH$4,AD714),"")</f>
        <v>橙色基础材料</v>
      </c>
      <c r="AM714" s="14">
        <f>ROUND(INDEX(挂机升级突破!$BX$6:$CH$57,卡牌消耗!AI714,AD714)*INDEX(卡牌消耗!$B$5:$F$5,AG714)/$Q$4/5,0)*5</f>
        <v>110</v>
      </c>
      <c r="AN714" s="14" t="str">
        <f>IF(AE714&gt;0,INDEX(挂机升级突破!$BX$4:$CH$4,AE714),"")</f>
        <v/>
      </c>
      <c r="AO714" s="14" t="str">
        <f>IF(AE714&gt;0,ROUND(INDEX(挂机升级突破!$BX$6:$CH$57,卡牌消耗!AI714,AE714)*INDEX(卡牌消耗!$B$7:$F$7,AG714)/$Q$4,0),"")</f>
        <v/>
      </c>
    </row>
    <row r="715" spans="27:41" ht="16.5" x14ac:dyDescent="0.2">
      <c r="AA715" s="104">
        <v>711</v>
      </c>
      <c r="AB715" s="14">
        <f t="shared" si="188"/>
        <v>14</v>
      </c>
      <c r="AC715" s="14">
        <f>INDEX(挂机升级突破!$BU$6:$BU$57,卡牌消耗!AI715)</f>
        <v>11</v>
      </c>
      <c r="AD715" s="14">
        <f>INDEX(挂机升级突破!BV$6:BV$57,卡牌消耗!$AI715)</f>
        <v>4</v>
      </c>
      <c r="AE715" s="14">
        <f>INDEX(挂机升级突破!BW$6:BW$57,卡牌消耗!$AI715)</f>
        <v>0</v>
      </c>
      <c r="AF715" s="14" t="str">
        <f t="shared" si="189"/>
        <v>石灵明</v>
      </c>
      <c r="AG715" s="14">
        <f t="shared" si="190"/>
        <v>3</v>
      </c>
      <c r="AH715" s="14" t="str">
        <f t="shared" si="191"/>
        <v>石灵明魂火-35</v>
      </c>
      <c r="AI715" s="14">
        <f t="shared" si="192"/>
        <v>35</v>
      </c>
      <c r="AJ715" s="14" t="str">
        <f>INDEX(挂机升级突破!$BX$4:$CH$4,INDEX(挂机升级突破!$BU$6:$BU$57,卡牌消耗!AI715))</f>
        <v>金币</v>
      </c>
      <c r="AK715" s="14">
        <f>ROUND(INDEX(挂机升级突破!$BN$6:$BN$57,卡牌消耗!AI715)*INDEX(卡牌消耗!$B$8:$F$8,AG715)/$Q$4/50,0)*50</f>
        <v>12100</v>
      </c>
      <c r="AL715" s="14" t="str">
        <f>IF(AD715&gt;0,INDEX(挂机升级突破!$BX$4:$CH$4,AD715),"")</f>
        <v>橙色基础材料</v>
      </c>
      <c r="AM715" s="14">
        <f>ROUND(INDEX(挂机升级突破!$BX$6:$CH$57,卡牌消耗!AI715,AD715)*INDEX(卡牌消耗!$B$5:$F$5,AG715)/$Q$4/5,0)*5</f>
        <v>110</v>
      </c>
      <c r="AN715" s="14" t="str">
        <f>IF(AE715&gt;0,INDEX(挂机升级突破!$BX$4:$CH$4,AE715),"")</f>
        <v/>
      </c>
      <c r="AO715" s="14" t="str">
        <f>IF(AE715&gt;0,ROUND(INDEX(挂机升级突破!$BX$6:$CH$57,卡牌消耗!AI715,AE715)*INDEX(卡牌消耗!$B$7:$F$7,AG715)/$Q$4,0),"")</f>
        <v/>
      </c>
    </row>
    <row r="716" spans="27:41" ht="16.5" x14ac:dyDescent="0.2">
      <c r="AA716" s="104">
        <v>712</v>
      </c>
      <c r="AB716" s="14">
        <f t="shared" si="188"/>
        <v>14</v>
      </c>
      <c r="AC716" s="14">
        <f>INDEX(挂机升级突破!$BU$6:$BU$57,卡牌消耗!AI716)</f>
        <v>11</v>
      </c>
      <c r="AD716" s="14">
        <f>INDEX(挂机升级突破!BV$6:BV$57,卡牌消耗!$AI716)</f>
        <v>4</v>
      </c>
      <c r="AE716" s="14">
        <f>INDEX(挂机升级突破!BW$6:BW$57,卡牌消耗!$AI716)</f>
        <v>0</v>
      </c>
      <c r="AF716" s="14" t="str">
        <f t="shared" si="189"/>
        <v>石灵明</v>
      </c>
      <c r="AG716" s="14">
        <f t="shared" si="190"/>
        <v>3</v>
      </c>
      <c r="AH716" s="14" t="str">
        <f t="shared" si="191"/>
        <v>石灵明魂火-36</v>
      </c>
      <c r="AI716" s="14">
        <f t="shared" si="192"/>
        <v>36</v>
      </c>
      <c r="AJ716" s="14" t="str">
        <f>INDEX(挂机升级突破!$BX$4:$CH$4,INDEX(挂机升级突破!$BU$6:$BU$57,卡牌消耗!AI716))</f>
        <v>金币</v>
      </c>
      <c r="AK716" s="14">
        <f>ROUND(INDEX(挂机升级突破!$BN$6:$BN$57,卡牌消耗!AI716)*INDEX(卡牌消耗!$B$8:$F$8,AG716)/$Q$4/50,0)*50</f>
        <v>12100</v>
      </c>
      <c r="AL716" s="14" t="str">
        <f>IF(AD716&gt;0,INDEX(挂机升级突破!$BX$4:$CH$4,AD716),"")</f>
        <v>橙色基础材料</v>
      </c>
      <c r="AM716" s="14">
        <f>ROUND(INDEX(挂机升级突破!$BX$6:$CH$57,卡牌消耗!AI716,AD716)*INDEX(卡牌消耗!$B$5:$F$5,AG716)/$Q$4/5,0)*5</f>
        <v>110</v>
      </c>
      <c r="AN716" s="14" t="str">
        <f>IF(AE716&gt;0,INDEX(挂机升级突破!$BX$4:$CH$4,AE716),"")</f>
        <v/>
      </c>
      <c r="AO716" s="14" t="str">
        <f>IF(AE716&gt;0,ROUND(INDEX(挂机升级突破!$BX$6:$CH$57,卡牌消耗!AI716,AE716)*INDEX(卡牌消耗!$B$7:$F$7,AG716)/$Q$4,0),"")</f>
        <v/>
      </c>
    </row>
    <row r="717" spans="27:41" ht="16.5" x14ac:dyDescent="0.2">
      <c r="AA717" s="104">
        <v>713</v>
      </c>
      <c r="AB717" s="14">
        <f t="shared" si="188"/>
        <v>14</v>
      </c>
      <c r="AC717" s="14">
        <f>INDEX(挂机升级突破!$BU$6:$BU$57,卡牌消耗!AI717)</f>
        <v>11</v>
      </c>
      <c r="AD717" s="14">
        <f>INDEX(挂机升级突破!BV$6:BV$57,卡牌消耗!$AI717)</f>
        <v>4</v>
      </c>
      <c r="AE717" s="14">
        <f>INDEX(挂机升级突破!BW$6:BW$57,卡牌消耗!$AI717)</f>
        <v>0</v>
      </c>
      <c r="AF717" s="14" t="str">
        <f t="shared" si="189"/>
        <v>石灵明</v>
      </c>
      <c r="AG717" s="14">
        <f t="shared" si="190"/>
        <v>3</v>
      </c>
      <c r="AH717" s="14" t="str">
        <f t="shared" si="191"/>
        <v>石灵明魂火-37</v>
      </c>
      <c r="AI717" s="14">
        <f t="shared" si="192"/>
        <v>37</v>
      </c>
      <c r="AJ717" s="14" t="str">
        <f>INDEX(挂机升级突破!$BX$4:$CH$4,INDEX(挂机升级突破!$BU$6:$BU$57,卡牌消耗!AI717))</f>
        <v>金币</v>
      </c>
      <c r="AK717" s="14">
        <f>ROUND(INDEX(挂机升级突破!$BN$6:$BN$57,卡牌消耗!AI717)*INDEX(卡牌消耗!$B$8:$F$8,AG717)/$Q$4/50,0)*50</f>
        <v>12950</v>
      </c>
      <c r="AL717" s="14" t="str">
        <f>IF(AD717&gt;0,INDEX(挂机升级突破!$BX$4:$CH$4,AD717),"")</f>
        <v>橙色基础材料</v>
      </c>
      <c r="AM717" s="14">
        <f>ROUND(INDEX(挂机升级突破!$BX$6:$CH$57,卡牌消耗!AI717,AD717)*INDEX(卡牌消耗!$B$5:$F$5,AG717)/$Q$4/5,0)*5</f>
        <v>110</v>
      </c>
      <c r="AN717" s="14" t="str">
        <f>IF(AE717&gt;0,INDEX(挂机升级突破!$BX$4:$CH$4,AE717),"")</f>
        <v/>
      </c>
      <c r="AO717" s="14" t="str">
        <f>IF(AE717&gt;0,ROUND(INDEX(挂机升级突破!$BX$6:$CH$57,卡牌消耗!AI717,AE717)*INDEX(卡牌消耗!$B$7:$F$7,AG717)/$Q$4,0),"")</f>
        <v/>
      </c>
    </row>
    <row r="718" spans="27:41" ht="16.5" x14ac:dyDescent="0.2">
      <c r="AA718" s="104">
        <v>714</v>
      </c>
      <c r="AB718" s="14">
        <f t="shared" si="188"/>
        <v>14</v>
      </c>
      <c r="AC718" s="14">
        <f>INDEX(挂机升级突破!$BU$6:$BU$57,卡牌消耗!AI718)</f>
        <v>11</v>
      </c>
      <c r="AD718" s="14">
        <f>INDEX(挂机升级突破!BV$6:BV$57,卡牌消耗!$AI718)</f>
        <v>5</v>
      </c>
      <c r="AE718" s="14">
        <f>INDEX(挂机升级突破!BW$6:BW$57,卡牌消耗!$AI718)</f>
        <v>0</v>
      </c>
      <c r="AF718" s="14" t="str">
        <f t="shared" si="189"/>
        <v>石灵明</v>
      </c>
      <c r="AG718" s="14">
        <f t="shared" si="190"/>
        <v>3</v>
      </c>
      <c r="AH718" s="14" t="str">
        <f t="shared" si="191"/>
        <v>石灵明魂火-38</v>
      </c>
      <c r="AI718" s="14">
        <f t="shared" si="192"/>
        <v>38</v>
      </c>
      <c r="AJ718" s="14" t="str">
        <f>INDEX(挂机升级突破!$BX$4:$CH$4,INDEX(挂机升级突破!$BU$6:$BU$57,卡牌消耗!AI718))</f>
        <v>金币</v>
      </c>
      <c r="AK718" s="14">
        <f>ROUND(INDEX(挂机升级突破!$BN$6:$BN$57,卡牌消耗!AI718)*INDEX(卡牌消耗!$B$8:$F$8,AG718)/$Q$4/50,0)*50</f>
        <v>16700</v>
      </c>
      <c r="AL718" s="14" t="str">
        <f>IF(AD718&gt;0,INDEX(挂机升级突破!$BX$4:$CH$4,AD718),"")</f>
        <v>红色基础材料</v>
      </c>
      <c r="AM718" s="14">
        <f>ROUND(INDEX(挂机升级突破!$BX$6:$CH$57,卡牌消耗!AI718,AD718)*INDEX(卡牌消耗!$B$5:$F$5,AG718)/$Q$4/5,0)*5</f>
        <v>45</v>
      </c>
      <c r="AN718" s="14" t="str">
        <f>IF(AE718&gt;0,INDEX(挂机升级突破!$BX$4:$CH$4,AE718),"")</f>
        <v/>
      </c>
      <c r="AO718" s="14" t="str">
        <f>IF(AE718&gt;0,ROUND(INDEX(挂机升级突破!$BX$6:$CH$57,卡牌消耗!AI718,AE718)*INDEX(卡牌消耗!$B$7:$F$7,AG718)/$Q$4,0),"")</f>
        <v/>
      </c>
    </row>
    <row r="719" spans="27:41" ht="16.5" x14ac:dyDescent="0.2">
      <c r="AA719" s="104">
        <v>715</v>
      </c>
      <c r="AB719" s="14">
        <f t="shared" si="188"/>
        <v>14</v>
      </c>
      <c r="AC719" s="14">
        <f>INDEX(挂机升级突破!$BU$6:$BU$57,卡牌消耗!AI719)</f>
        <v>11</v>
      </c>
      <c r="AD719" s="14">
        <f>INDEX(挂机升级突破!BV$6:BV$57,卡牌消耗!$AI719)</f>
        <v>5</v>
      </c>
      <c r="AE719" s="14">
        <f>INDEX(挂机升级突破!BW$6:BW$57,卡牌消耗!$AI719)</f>
        <v>0</v>
      </c>
      <c r="AF719" s="14" t="str">
        <f t="shared" si="189"/>
        <v>石灵明</v>
      </c>
      <c r="AG719" s="14">
        <f t="shared" si="190"/>
        <v>3</v>
      </c>
      <c r="AH719" s="14" t="str">
        <f t="shared" si="191"/>
        <v>石灵明魂火-39</v>
      </c>
      <c r="AI719" s="14">
        <f t="shared" si="192"/>
        <v>39</v>
      </c>
      <c r="AJ719" s="14" t="str">
        <f>INDEX(挂机升级突破!$BX$4:$CH$4,INDEX(挂机升级突破!$BU$6:$BU$57,卡牌消耗!AI719))</f>
        <v>金币</v>
      </c>
      <c r="AK719" s="14">
        <f>ROUND(INDEX(挂机升级突破!$BN$6:$BN$57,卡牌消耗!AI719)*INDEX(卡牌消耗!$B$8:$F$8,AG719)/$Q$4/50,0)*50</f>
        <v>16700</v>
      </c>
      <c r="AL719" s="14" t="str">
        <f>IF(AD719&gt;0,INDEX(挂机升级突破!$BX$4:$CH$4,AD719),"")</f>
        <v>红色基础材料</v>
      </c>
      <c r="AM719" s="14">
        <f>ROUND(INDEX(挂机升级突破!$BX$6:$CH$57,卡牌消耗!AI719,AD719)*INDEX(卡牌消耗!$B$5:$F$5,AG719)/$Q$4/5,0)*5</f>
        <v>45</v>
      </c>
      <c r="AN719" s="14" t="str">
        <f>IF(AE719&gt;0,INDEX(挂机升级突破!$BX$4:$CH$4,AE719),"")</f>
        <v/>
      </c>
      <c r="AO719" s="14" t="str">
        <f>IF(AE719&gt;0,ROUND(INDEX(挂机升级突破!$BX$6:$CH$57,卡牌消耗!AI719,AE719)*INDEX(卡牌消耗!$B$7:$F$7,AG719)/$Q$4,0),"")</f>
        <v/>
      </c>
    </row>
    <row r="720" spans="27:41" ht="16.5" x14ac:dyDescent="0.2">
      <c r="AA720" s="104">
        <v>716</v>
      </c>
      <c r="AB720" s="14">
        <f t="shared" si="188"/>
        <v>14</v>
      </c>
      <c r="AC720" s="14">
        <f>INDEX(挂机升级突破!$BU$6:$BU$57,卡牌消耗!AI720)</f>
        <v>11</v>
      </c>
      <c r="AD720" s="14">
        <f>INDEX(挂机升级突破!BV$6:BV$57,卡牌消耗!$AI720)</f>
        <v>5</v>
      </c>
      <c r="AE720" s="14">
        <f>INDEX(挂机升级突破!BW$6:BW$57,卡牌消耗!$AI720)</f>
        <v>0</v>
      </c>
      <c r="AF720" s="14" t="str">
        <f t="shared" si="189"/>
        <v>石灵明</v>
      </c>
      <c r="AG720" s="14">
        <f t="shared" si="190"/>
        <v>3</v>
      </c>
      <c r="AH720" s="14" t="str">
        <f t="shared" si="191"/>
        <v>石灵明魂火-40</v>
      </c>
      <c r="AI720" s="14">
        <f t="shared" si="192"/>
        <v>40</v>
      </c>
      <c r="AJ720" s="14" t="str">
        <f>INDEX(挂机升级突破!$BX$4:$CH$4,INDEX(挂机升级突破!$BU$6:$BU$57,卡牌消耗!AI720))</f>
        <v>金币</v>
      </c>
      <c r="AK720" s="14">
        <f>ROUND(INDEX(挂机升级突破!$BN$6:$BN$57,卡牌消耗!AI720)*INDEX(卡牌消耗!$B$8:$F$8,AG720)/$Q$4/50,0)*50</f>
        <v>16700</v>
      </c>
      <c r="AL720" s="14" t="str">
        <f>IF(AD720&gt;0,INDEX(挂机升级突破!$BX$4:$CH$4,AD720),"")</f>
        <v>红色基础材料</v>
      </c>
      <c r="AM720" s="14">
        <f>ROUND(INDEX(挂机升级突破!$BX$6:$CH$57,卡牌消耗!AI720,AD720)*INDEX(卡牌消耗!$B$5:$F$5,AG720)/$Q$4/5,0)*5</f>
        <v>45</v>
      </c>
      <c r="AN720" s="14" t="str">
        <f>IF(AE720&gt;0,INDEX(挂机升级突破!$BX$4:$CH$4,AE720),"")</f>
        <v/>
      </c>
      <c r="AO720" s="14" t="str">
        <f>IF(AE720&gt;0,ROUND(INDEX(挂机升级突破!$BX$6:$CH$57,卡牌消耗!AI720,AE720)*INDEX(卡牌消耗!$B$7:$F$7,AG720)/$Q$4,0),"")</f>
        <v/>
      </c>
    </row>
    <row r="721" spans="27:41" ht="16.5" x14ac:dyDescent="0.2">
      <c r="AA721" s="104">
        <v>717</v>
      </c>
      <c r="AB721" s="14">
        <f t="shared" si="188"/>
        <v>14</v>
      </c>
      <c r="AC721" s="14">
        <f>INDEX(挂机升级突破!$BU$6:$BU$57,卡牌消耗!AI721)</f>
        <v>11</v>
      </c>
      <c r="AD721" s="14">
        <f>INDEX(挂机升级突破!BV$6:BV$57,卡牌消耗!$AI721)</f>
        <v>5</v>
      </c>
      <c r="AE721" s="14">
        <f>INDEX(挂机升级突破!BW$6:BW$57,卡牌消耗!$AI721)</f>
        <v>10</v>
      </c>
      <c r="AF721" s="14" t="str">
        <f t="shared" si="189"/>
        <v>石灵明</v>
      </c>
      <c r="AG721" s="14">
        <f t="shared" si="190"/>
        <v>3</v>
      </c>
      <c r="AH721" s="14" t="str">
        <f t="shared" si="191"/>
        <v>石灵明魂火-41</v>
      </c>
      <c r="AI721" s="14">
        <f t="shared" si="192"/>
        <v>41</v>
      </c>
      <c r="AJ721" s="14" t="str">
        <f>INDEX(挂机升级突破!$BX$4:$CH$4,INDEX(挂机升级突破!$BU$6:$BU$57,卡牌消耗!AI721))</f>
        <v>金币</v>
      </c>
      <c r="AK721" s="14">
        <f>ROUND(INDEX(挂机升级突破!$BN$6:$BN$57,卡牌消耗!AI721)*INDEX(卡牌消耗!$B$8:$F$8,AG721)/$Q$4/50,0)*50</f>
        <v>23000</v>
      </c>
      <c r="AL721" s="14" t="str">
        <f>IF(AD721&gt;0,INDEX(挂机升级突破!$BX$4:$CH$4,AD721),"")</f>
        <v>红色基础材料</v>
      </c>
      <c r="AM721" s="14">
        <f>ROUND(INDEX(挂机升级突破!$BX$6:$CH$57,卡牌消耗!AI721,AD721)*INDEX(卡牌消耗!$B$5:$F$5,AG721)/$Q$4/5,0)*5</f>
        <v>55</v>
      </c>
      <c r="AN721" s="14" t="str">
        <f>IF(AE721&gt;0,INDEX(挂机升级突破!$BX$4:$CH$4,AE721),"")</f>
        <v>灵玉</v>
      </c>
      <c r="AO721" s="14">
        <f>IF(AE721&gt;0,ROUND(INDEX(挂机升级突破!$BX$6:$CH$57,卡牌消耗!AI721,AE721)*INDEX(卡牌消耗!$B$7:$F$7,AG721)/$Q$4,0),"")</f>
        <v>1</v>
      </c>
    </row>
    <row r="722" spans="27:41" ht="16.5" x14ac:dyDescent="0.2">
      <c r="AA722" s="104">
        <v>718</v>
      </c>
      <c r="AB722" s="14">
        <f t="shared" si="188"/>
        <v>14</v>
      </c>
      <c r="AC722" s="14">
        <f>INDEX(挂机升级突破!$BU$6:$BU$57,卡牌消耗!AI722)</f>
        <v>11</v>
      </c>
      <c r="AD722" s="14">
        <f>INDEX(挂机升级突破!BV$6:BV$57,卡牌消耗!$AI722)</f>
        <v>5</v>
      </c>
      <c r="AE722" s="14">
        <f>INDEX(挂机升级突破!BW$6:BW$57,卡牌消耗!$AI722)</f>
        <v>10</v>
      </c>
      <c r="AF722" s="14" t="str">
        <f t="shared" si="189"/>
        <v>石灵明</v>
      </c>
      <c r="AG722" s="14">
        <f t="shared" si="190"/>
        <v>3</v>
      </c>
      <c r="AH722" s="14" t="str">
        <f t="shared" si="191"/>
        <v>石灵明魂火-42</v>
      </c>
      <c r="AI722" s="14">
        <f t="shared" si="192"/>
        <v>42</v>
      </c>
      <c r="AJ722" s="14" t="str">
        <f>INDEX(挂机升级突破!$BX$4:$CH$4,INDEX(挂机升级突破!$BU$6:$BU$57,卡牌消耗!AI722))</f>
        <v>金币</v>
      </c>
      <c r="AK722" s="14">
        <f>ROUND(INDEX(挂机升级突破!$BN$6:$BN$57,卡牌消耗!AI722)*INDEX(卡牌消耗!$B$8:$F$8,AG722)/$Q$4/50,0)*50</f>
        <v>23000</v>
      </c>
      <c r="AL722" s="14" t="str">
        <f>IF(AD722&gt;0,INDEX(挂机升级突破!$BX$4:$CH$4,AD722),"")</f>
        <v>红色基础材料</v>
      </c>
      <c r="AM722" s="14">
        <f>ROUND(INDEX(挂机升级突破!$BX$6:$CH$57,卡牌消耗!AI722,AD722)*INDEX(卡牌消耗!$B$5:$F$5,AG722)/$Q$4/5,0)*5</f>
        <v>55</v>
      </c>
      <c r="AN722" s="14" t="str">
        <f>IF(AE722&gt;0,INDEX(挂机升级突破!$BX$4:$CH$4,AE722),"")</f>
        <v>灵玉</v>
      </c>
      <c r="AO722" s="14">
        <f>IF(AE722&gt;0,ROUND(INDEX(挂机升级突破!$BX$6:$CH$57,卡牌消耗!AI722,AE722)*INDEX(卡牌消耗!$B$7:$F$7,AG722)/$Q$4,0),"")</f>
        <v>1</v>
      </c>
    </row>
    <row r="723" spans="27:41" ht="16.5" x14ac:dyDescent="0.2">
      <c r="AA723" s="104">
        <v>719</v>
      </c>
      <c r="AB723" s="14">
        <f t="shared" si="188"/>
        <v>14</v>
      </c>
      <c r="AC723" s="14">
        <f>INDEX(挂机升级突破!$BU$6:$BU$57,卡牌消耗!AI723)</f>
        <v>11</v>
      </c>
      <c r="AD723" s="14">
        <f>INDEX(挂机升级突破!BV$6:BV$57,卡牌消耗!$AI723)</f>
        <v>5</v>
      </c>
      <c r="AE723" s="14">
        <f>INDEX(挂机升级突破!BW$6:BW$57,卡牌消耗!$AI723)</f>
        <v>10</v>
      </c>
      <c r="AF723" s="14" t="str">
        <f t="shared" si="189"/>
        <v>石灵明</v>
      </c>
      <c r="AG723" s="14">
        <f t="shared" si="190"/>
        <v>3</v>
      </c>
      <c r="AH723" s="14" t="str">
        <f t="shared" si="191"/>
        <v>石灵明魂火-43</v>
      </c>
      <c r="AI723" s="14">
        <f t="shared" si="192"/>
        <v>43</v>
      </c>
      <c r="AJ723" s="14" t="str">
        <f>INDEX(挂机升级突破!$BX$4:$CH$4,INDEX(挂机升级突破!$BU$6:$BU$57,卡牌消耗!AI723))</f>
        <v>金币</v>
      </c>
      <c r="AK723" s="14">
        <f>ROUND(INDEX(挂机升级突破!$BN$6:$BN$57,卡牌消耗!AI723)*INDEX(卡牌消耗!$B$8:$F$8,AG723)/$Q$4/50,0)*50</f>
        <v>23000</v>
      </c>
      <c r="AL723" s="14" t="str">
        <f>IF(AD723&gt;0,INDEX(挂机升级突破!$BX$4:$CH$4,AD723),"")</f>
        <v>红色基础材料</v>
      </c>
      <c r="AM723" s="14">
        <f>ROUND(INDEX(挂机升级突破!$BX$6:$CH$57,卡牌消耗!AI723,AD723)*INDEX(卡牌消耗!$B$5:$F$5,AG723)/$Q$4/5,0)*5</f>
        <v>55</v>
      </c>
      <c r="AN723" s="14" t="str">
        <f>IF(AE723&gt;0,INDEX(挂机升级突破!$BX$4:$CH$4,AE723),"")</f>
        <v>灵玉</v>
      </c>
      <c r="AO723" s="14">
        <f>IF(AE723&gt;0,ROUND(INDEX(挂机升级突破!$BX$6:$CH$57,卡牌消耗!AI723,AE723)*INDEX(卡牌消耗!$B$7:$F$7,AG723)/$Q$4,0),"")</f>
        <v>1</v>
      </c>
    </row>
    <row r="724" spans="27:41" ht="16.5" x14ac:dyDescent="0.2">
      <c r="AA724" s="104">
        <v>720</v>
      </c>
      <c r="AB724" s="14">
        <f t="shared" si="188"/>
        <v>14</v>
      </c>
      <c r="AC724" s="14">
        <f>INDEX(挂机升级突破!$BU$6:$BU$57,卡牌消耗!AI724)</f>
        <v>11</v>
      </c>
      <c r="AD724" s="14">
        <f>INDEX(挂机升级突破!BV$6:BV$57,卡牌消耗!$AI724)</f>
        <v>5</v>
      </c>
      <c r="AE724" s="14">
        <f>INDEX(挂机升级突破!BW$6:BW$57,卡牌消耗!$AI724)</f>
        <v>10</v>
      </c>
      <c r="AF724" s="14" t="str">
        <f t="shared" si="189"/>
        <v>石灵明</v>
      </c>
      <c r="AG724" s="14">
        <f t="shared" si="190"/>
        <v>3</v>
      </c>
      <c r="AH724" s="14" t="str">
        <f t="shared" si="191"/>
        <v>石灵明魂火-44</v>
      </c>
      <c r="AI724" s="14">
        <f t="shared" si="192"/>
        <v>44</v>
      </c>
      <c r="AJ724" s="14" t="str">
        <f>INDEX(挂机升级突破!$BX$4:$CH$4,INDEX(挂机升级突破!$BU$6:$BU$57,卡牌消耗!AI724))</f>
        <v>金币</v>
      </c>
      <c r="AK724" s="14">
        <f>ROUND(INDEX(挂机升级突破!$BN$6:$BN$57,卡牌消耗!AI724)*INDEX(卡牌消耗!$B$8:$F$8,AG724)/$Q$4/50,0)*50</f>
        <v>29250</v>
      </c>
      <c r="AL724" s="14" t="str">
        <f>IF(AD724&gt;0,INDEX(挂机升级突破!$BX$4:$CH$4,AD724),"")</f>
        <v>红色基础材料</v>
      </c>
      <c r="AM724" s="14">
        <f>ROUND(INDEX(挂机升级突破!$BX$6:$CH$57,卡牌消耗!AI724,AD724)*INDEX(卡牌消耗!$B$5:$F$5,AG724)/$Q$4/5,0)*5</f>
        <v>65</v>
      </c>
      <c r="AN724" s="14" t="str">
        <f>IF(AE724&gt;0,INDEX(挂机升级突破!$BX$4:$CH$4,AE724),"")</f>
        <v>灵玉</v>
      </c>
      <c r="AO724" s="14">
        <f>IF(AE724&gt;0,ROUND(INDEX(挂机升级突破!$BX$6:$CH$57,卡牌消耗!AI724,AE724)*INDEX(卡牌消耗!$B$7:$F$7,AG724)/$Q$4,0),"")</f>
        <v>1</v>
      </c>
    </row>
    <row r="725" spans="27:41" ht="16.5" x14ac:dyDescent="0.2">
      <c r="AA725" s="104">
        <v>721</v>
      </c>
      <c r="AB725" s="14">
        <f t="shared" si="188"/>
        <v>14</v>
      </c>
      <c r="AC725" s="14">
        <f>INDEX(挂机升级突破!$BU$6:$BU$57,卡牌消耗!AI725)</f>
        <v>11</v>
      </c>
      <c r="AD725" s="14">
        <f>INDEX(挂机升级突破!BV$6:BV$57,卡牌消耗!$AI725)</f>
        <v>5</v>
      </c>
      <c r="AE725" s="14">
        <f>INDEX(挂机升级突破!BW$6:BW$57,卡牌消耗!$AI725)</f>
        <v>10</v>
      </c>
      <c r="AF725" s="14" t="str">
        <f t="shared" si="189"/>
        <v>石灵明</v>
      </c>
      <c r="AG725" s="14">
        <f t="shared" si="190"/>
        <v>3</v>
      </c>
      <c r="AH725" s="14" t="str">
        <f t="shared" si="191"/>
        <v>石灵明魂火-45</v>
      </c>
      <c r="AI725" s="14">
        <f t="shared" si="192"/>
        <v>45</v>
      </c>
      <c r="AJ725" s="14" t="str">
        <f>INDEX(挂机升级突破!$BX$4:$CH$4,INDEX(挂机升级突破!$BU$6:$BU$57,卡牌消耗!AI725))</f>
        <v>金币</v>
      </c>
      <c r="AK725" s="14">
        <f>ROUND(INDEX(挂机升级突破!$BN$6:$BN$57,卡牌消耗!AI725)*INDEX(卡牌消耗!$B$8:$F$8,AG725)/$Q$4/50,0)*50</f>
        <v>29250</v>
      </c>
      <c r="AL725" s="14" t="str">
        <f>IF(AD725&gt;0,INDEX(挂机升级突破!$BX$4:$CH$4,AD725),"")</f>
        <v>红色基础材料</v>
      </c>
      <c r="AM725" s="14">
        <f>ROUND(INDEX(挂机升级突破!$BX$6:$CH$57,卡牌消耗!AI725,AD725)*INDEX(卡牌消耗!$B$5:$F$5,AG725)/$Q$4/5,0)*5</f>
        <v>65</v>
      </c>
      <c r="AN725" s="14" t="str">
        <f>IF(AE725&gt;0,INDEX(挂机升级突破!$BX$4:$CH$4,AE725),"")</f>
        <v>灵玉</v>
      </c>
      <c r="AO725" s="14">
        <f>IF(AE725&gt;0,ROUND(INDEX(挂机升级突破!$BX$6:$CH$57,卡牌消耗!AI725,AE725)*INDEX(卡牌消耗!$B$7:$F$7,AG725)/$Q$4,0),"")</f>
        <v>1</v>
      </c>
    </row>
    <row r="726" spans="27:41" ht="16.5" x14ac:dyDescent="0.2">
      <c r="AA726" s="104">
        <v>722</v>
      </c>
      <c r="AB726" s="14">
        <f t="shared" si="188"/>
        <v>14</v>
      </c>
      <c r="AC726" s="14">
        <f>INDEX(挂机升级突破!$BU$6:$BU$57,卡牌消耗!AI726)</f>
        <v>11</v>
      </c>
      <c r="AD726" s="14">
        <f>INDEX(挂机升级突破!BV$6:BV$57,卡牌消耗!$AI726)</f>
        <v>5</v>
      </c>
      <c r="AE726" s="14">
        <f>INDEX(挂机升级突破!BW$6:BW$57,卡牌消耗!$AI726)</f>
        <v>10</v>
      </c>
      <c r="AF726" s="14" t="str">
        <f t="shared" si="189"/>
        <v>石灵明</v>
      </c>
      <c r="AG726" s="14">
        <f t="shared" si="190"/>
        <v>3</v>
      </c>
      <c r="AH726" s="14" t="str">
        <f t="shared" si="191"/>
        <v>石灵明魂火-46</v>
      </c>
      <c r="AI726" s="14">
        <f t="shared" si="192"/>
        <v>46</v>
      </c>
      <c r="AJ726" s="14" t="str">
        <f>INDEX(挂机升级突破!$BX$4:$CH$4,INDEX(挂机升级突破!$BU$6:$BU$57,卡牌消耗!AI726))</f>
        <v>金币</v>
      </c>
      <c r="AK726" s="14">
        <f>ROUND(INDEX(挂机升级突破!$BN$6:$BN$57,卡牌消耗!AI726)*INDEX(卡牌消耗!$B$8:$F$8,AG726)/$Q$4/50,0)*50</f>
        <v>31350</v>
      </c>
      <c r="AL726" s="14" t="str">
        <f>IF(AD726&gt;0,INDEX(挂机升级突破!$BX$4:$CH$4,AD726),"")</f>
        <v>红色基础材料</v>
      </c>
      <c r="AM726" s="14">
        <f>ROUND(INDEX(挂机升级突破!$BX$6:$CH$57,卡牌消耗!AI726,AD726)*INDEX(卡牌消耗!$B$5:$F$5,AG726)/$Q$4/5,0)*5</f>
        <v>65</v>
      </c>
      <c r="AN726" s="14" t="str">
        <f>IF(AE726&gt;0,INDEX(挂机升级突破!$BX$4:$CH$4,AE726),"")</f>
        <v>灵玉</v>
      </c>
      <c r="AO726" s="14">
        <f>IF(AE726&gt;0,ROUND(INDEX(挂机升级突破!$BX$6:$CH$57,卡牌消耗!AI726,AE726)*INDEX(卡牌消耗!$B$7:$F$7,AG726)/$Q$4,0),"")</f>
        <v>1</v>
      </c>
    </row>
    <row r="727" spans="27:41" ht="16.5" x14ac:dyDescent="0.2">
      <c r="AA727" s="104">
        <v>723</v>
      </c>
      <c r="AB727" s="14">
        <f t="shared" si="188"/>
        <v>14</v>
      </c>
      <c r="AC727" s="14">
        <f>INDEX(挂机升级突破!$BU$6:$BU$57,卡牌消耗!AI727)</f>
        <v>11</v>
      </c>
      <c r="AD727" s="14">
        <f>INDEX(挂机升级突破!BV$6:BV$57,卡牌消耗!$AI727)</f>
        <v>5</v>
      </c>
      <c r="AE727" s="14">
        <f>INDEX(挂机升级突破!BW$6:BW$57,卡牌消耗!$AI727)</f>
        <v>10</v>
      </c>
      <c r="AF727" s="14" t="str">
        <f t="shared" si="189"/>
        <v>石灵明</v>
      </c>
      <c r="AG727" s="14">
        <f t="shared" si="190"/>
        <v>3</v>
      </c>
      <c r="AH727" s="14" t="str">
        <f t="shared" si="191"/>
        <v>石灵明魂火-47</v>
      </c>
      <c r="AI727" s="14">
        <f t="shared" si="192"/>
        <v>47</v>
      </c>
      <c r="AJ727" s="14" t="str">
        <f>INDEX(挂机升级突破!$BX$4:$CH$4,INDEX(挂机升级突破!$BU$6:$BU$57,卡牌消耗!AI727))</f>
        <v>金币</v>
      </c>
      <c r="AK727" s="14">
        <f>ROUND(INDEX(挂机升级突破!$BN$6:$BN$57,卡牌消耗!AI727)*INDEX(卡牌消耗!$B$8:$F$8,AG727)/$Q$4/50,0)*50</f>
        <v>151950</v>
      </c>
      <c r="AL727" s="14" t="str">
        <f>IF(AD727&gt;0,INDEX(挂机升级突破!$BX$4:$CH$4,AD727),"")</f>
        <v>红色基础材料</v>
      </c>
      <c r="AM727" s="14">
        <f>ROUND(INDEX(挂机升级突破!$BX$6:$CH$57,卡牌消耗!AI727,AD727)*INDEX(卡牌消耗!$B$5:$F$5,AG727)/$Q$4/5,0)*5</f>
        <v>65</v>
      </c>
      <c r="AN727" s="14" t="str">
        <f>IF(AE727&gt;0,INDEX(挂机升级突破!$BX$4:$CH$4,AE727),"")</f>
        <v>灵玉</v>
      </c>
      <c r="AO727" s="14">
        <f>IF(AE727&gt;0,ROUND(INDEX(挂机升级突破!$BX$6:$CH$57,卡牌消耗!AI727,AE727)*INDEX(卡牌消耗!$B$7:$F$7,AG727)/$Q$4,0),"")</f>
        <v>1</v>
      </c>
    </row>
    <row r="728" spans="27:41" ht="16.5" x14ac:dyDescent="0.2">
      <c r="AA728" s="104">
        <v>724</v>
      </c>
      <c r="AB728" s="14">
        <f t="shared" si="188"/>
        <v>14</v>
      </c>
      <c r="AC728" s="14">
        <f>INDEX(挂机升级突破!$BU$6:$BU$57,卡牌消耗!AI728)</f>
        <v>11</v>
      </c>
      <c r="AD728" s="14">
        <f>INDEX(挂机升级突破!BV$6:BV$57,卡牌消耗!$AI728)</f>
        <v>5</v>
      </c>
      <c r="AE728" s="14">
        <f>INDEX(挂机升级突破!BW$6:BW$57,卡牌消耗!$AI728)</f>
        <v>10</v>
      </c>
      <c r="AF728" s="14" t="str">
        <f t="shared" si="189"/>
        <v>石灵明</v>
      </c>
      <c r="AG728" s="14">
        <f t="shared" si="190"/>
        <v>3</v>
      </c>
      <c r="AH728" s="14" t="str">
        <f t="shared" si="191"/>
        <v>石灵明魂火-48</v>
      </c>
      <c r="AI728" s="14">
        <f t="shared" si="192"/>
        <v>48</v>
      </c>
      <c r="AJ728" s="14" t="str">
        <f>INDEX(挂机升级突破!$BX$4:$CH$4,INDEX(挂机升级突破!$BU$6:$BU$57,卡牌消耗!AI728))</f>
        <v>金币</v>
      </c>
      <c r="AK728" s="14">
        <f>ROUND(INDEX(挂机升级突破!$BN$6:$BN$57,卡牌消耗!AI728)*INDEX(卡牌消耗!$B$8:$F$8,AG728)/$Q$4/50,0)*50</f>
        <v>151950</v>
      </c>
      <c r="AL728" s="14" t="str">
        <f>IF(AD728&gt;0,INDEX(挂机升级突破!$BX$4:$CH$4,AD728),"")</f>
        <v>红色基础材料</v>
      </c>
      <c r="AM728" s="14">
        <f>ROUND(INDEX(挂机升级突破!$BX$6:$CH$57,卡牌消耗!AI728,AD728)*INDEX(卡牌消耗!$B$5:$F$5,AG728)/$Q$4/5,0)*5</f>
        <v>65</v>
      </c>
      <c r="AN728" s="14" t="str">
        <f>IF(AE728&gt;0,INDEX(挂机升级突破!$BX$4:$CH$4,AE728),"")</f>
        <v>灵玉</v>
      </c>
      <c r="AO728" s="14">
        <f>IF(AE728&gt;0,ROUND(INDEX(挂机升级突破!$BX$6:$CH$57,卡牌消耗!AI728,AE728)*INDEX(卡牌消耗!$B$7:$F$7,AG728)/$Q$4,0),"")</f>
        <v>1</v>
      </c>
    </row>
    <row r="729" spans="27:41" ht="16.5" x14ac:dyDescent="0.2">
      <c r="AA729" s="104">
        <v>725</v>
      </c>
      <c r="AB729" s="14">
        <f t="shared" si="188"/>
        <v>14</v>
      </c>
      <c r="AC729" s="14">
        <f>INDEX(挂机升级突破!$BU$6:$BU$57,卡牌消耗!AI729)</f>
        <v>11</v>
      </c>
      <c r="AD729" s="14">
        <f>INDEX(挂机升级突破!BV$6:BV$57,卡牌消耗!$AI729)</f>
        <v>5</v>
      </c>
      <c r="AE729" s="14">
        <f>INDEX(挂机升级突破!BW$6:BW$57,卡牌消耗!$AI729)</f>
        <v>10</v>
      </c>
      <c r="AF729" s="14" t="str">
        <f t="shared" si="189"/>
        <v>石灵明</v>
      </c>
      <c r="AG729" s="14">
        <f t="shared" si="190"/>
        <v>3</v>
      </c>
      <c r="AH729" s="14" t="str">
        <f t="shared" si="191"/>
        <v>石灵明魂火-49</v>
      </c>
      <c r="AI729" s="14">
        <f t="shared" si="192"/>
        <v>49</v>
      </c>
      <c r="AJ729" s="14" t="str">
        <f>INDEX(挂机升级突破!$BX$4:$CH$4,INDEX(挂机升级突破!$BU$6:$BU$57,卡牌消耗!AI729))</f>
        <v>金币</v>
      </c>
      <c r="AK729" s="14">
        <f>ROUND(INDEX(挂机升级突破!$BN$6:$BN$57,卡牌消耗!AI729)*INDEX(卡牌消耗!$B$8:$F$8,AG729)/$Q$4/50,0)*50</f>
        <v>151950</v>
      </c>
      <c r="AL729" s="14" t="str">
        <f>IF(AD729&gt;0,INDEX(挂机升级突破!$BX$4:$CH$4,AD729),"")</f>
        <v>红色基础材料</v>
      </c>
      <c r="AM729" s="14">
        <f>ROUND(INDEX(挂机升级突破!$BX$6:$CH$57,卡牌消耗!AI729,AD729)*INDEX(卡牌消耗!$B$5:$F$5,AG729)/$Q$4/5,0)*5</f>
        <v>70</v>
      </c>
      <c r="AN729" s="14" t="str">
        <f>IF(AE729&gt;0,INDEX(挂机升级突破!$BX$4:$CH$4,AE729),"")</f>
        <v>灵玉</v>
      </c>
      <c r="AO729" s="14">
        <f>IF(AE729&gt;0,ROUND(INDEX(挂机升级突破!$BX$6:$CH$57,卡牌消耗!AI729,AE729)*INDEX(卡牌消耗!$B$7:$F$7,AG729)/$Q$4,0),"")</f>
        <v>1</v>
      </c>
    </row>
    <row r="730" spans="27:41" ht="16.5" x14ac:dyDescent="0.2">
      <c r="AA730" s="104">
        <v>726</v>
      </c>
      <c r="AB730" s="14">
        <f t="shared" si="188"/>
        <v>14</v>
      </c>
      <c r="AC730" s="14">
        <f>INDEX(挂机升级突破!$BU$6:$BU$57,卡牌消耗!AI730)</f>
        <v>11</v>
      </c>
      <c r="AD730" s="14">
        <f>INDEX(挂机升级突破!BV$6:BV$57,卡牌消耗!$AI730)</f>
        <v>5</v>
      </c>
      <c r="AE730" s="14">
        <f>INDEX(挂机升级突破!BW$6:BW$57,卡牌消耗!$AI730)</f>
        <v>10</v>
      </c>
      <c r="AF730" s="14" t="str">
        <f t="shared" si="189"/>
        <v>石灵明</v>
      </c>
      <c r="AG730" s="14">
        <f t="shared" si="190"/>
        <v>3</v>
      </c>
      <c r="AH730" s="14" t="str">
        <f t="shared" si="191"/>
        <v>石灵明魂火-50</v>
      </c>
      <c r="AI730" s="14">
        <f t="shared" si="192"/>
        <v>50</v>
      </c>
      <c r="AJ730" s="14" t="str">
        <f>INDEX(挂机升级突破!$BX$4:$CH$4,INDEX(挂机升级突破!$BU$6:$BU$57,卡牌消耗!AI730))</f>
        <v>金币</v>
      </c>
      <c r="AK730" s="14">
        <f>ROUND(INDEX(挂机升级突破!$BN$6:$BN$57,卡牌消耗!AI730)*INDEX(卡牌消耗!$B$8:$F$8,AG730)/$Q$4/50,0)*50</f>
        <v>253250</v>
      </c>
      <c r="AL730" s="14" t="str">
        <f>IF(AD730&gt;0,INDEX(挂机升级突破!$BX$4:$CH$4,AD730),"")</f>
        <v>红色基础材料</v>
      </c>
      <c r="AM730" s="14">
        <f>ROUND(INDEX(挂机升级突破!$BX$6:$CH$57,卡牌消耗!AI730,AD730)*INDEX(卡牌消耗!$B$5:$F$5,AG730)/$Q$4/5,0)*5</f>
        <v>70</v>
      </c>
      <c r="AN730" s="14" t="str">
        <f>IF(AE730&gt;0,INDEX(挂机升级突破!$BX$4:$CH$4,AE730),"")</f>
        <v>灵玉</v>
      </c>
      <c r="AO730" s="14">
        <f>IF(AE730&gt;0,ROUND(INDEX(挂机升级突破!$BX$6:$CH$57,卡牌消耗!AI730,AE730)*INDEX(卡牌消耗!$B$7:$F$7,AG730)/$Q$4,0),"")</f>
        <v>1</v>
      </c>
    </row>
    <row r="731" spans="27:41" ht="16.5" x14ac:dyDescent="0.2">
      <c r="AA731" s="104">
        <v>727</v>
      </c>
      <c r="AB731" s="14">
        <f t="shared" si="188"/>
        <v>14</v>
      </c>
      <c r="AC731" s="14">
        <f>INDEX(挂机升级突破!$BU$6:$BU$57,卡牌消耗!AI731)</f>
        <v>11</v>
      </c>
      <c r="AD731" s="14">
        <f>INDEX(挂机升级突破!BV$6:BV$57,卡牌消耗!$AI731)</f>
        <v>5</v>
      </c>
      <c r="AE731" s="14">
        <f>INDEX(挂机升级突破!BW$6:BW$57,卡牌消耗!$AI731)</f>
        <v>10</v>
      </c>
      <c r="AF731" s="14" t="str">
        <f t="shared" si="189"/>
        <v>石灵明</v>
      </c>
      <c r="AG731" s="14">
        <f t="shared" si="190"/>
        <v>3</v>
      </c>
      <c r="AH731" s="14" t="str">
        <f t="shared" si="191"/>
        <v>石灵明魂火-51</v>
      </c>
      <c r="AI731" s="14">
        <f t="shared" si="192"/>
        <v>51</v>
      </c>
      <c r="AJ731" s="14" t="str">
        <f>INDEX(挂机升级突破!$BX$4:$CH$4,INDEX(挂机升级突破!$BU$6:$BU$57,卡牌消耗!AI731))</f>
        <v>金币</v>
      </c>
      <c r="AK731" s="14">
        <f>ROUND(INDEX(挂机升级突破!$BN$6:$BN$57,卡牌消耗!AI731)*INDEX(卡牌消耗!$B$8:$F$8,AG731)/$Q$4/50,0)*50</f>
        <v>278600</v>
      </c>
      <c r="AL731" s="14" t="str">
        <f>IF(AD731&gt;0,INDEX(挂机升级突破!$BX$4:$CH$4,AD731),"")</f>
        <v>红色基础材料</v>
      </c>
      <c r="AM731" s="14">
        <f>ROUND(INDEX(挂机升级突破!$BX$6:$CH$57,卡牌消耗!AI731,AD731)*INDEX(卡牌消耗!$B$5:$F$5,AG731)/$Q$4/5,0)*5</f>
        <v>70</v>
      </c>
      <c r="AN731" s="14" t="str">
        <f>IF(AE731&gt;0,INDEX(挂机升级突破!$BX$4:$CH$4,AE731),"")</f>
        <v>灵玉</v>
      </c>
      <c r="AO731" s="14">
        <f>IF(AE731&gt;0,ROUND(INDEX(挂机升级突破!$BX$6:$CH$57,卡牌消耗!AI731,AE731)*INDEX(卡牌消耗!$B$7:$F$7,AG731)/$Q$4,0),"")</f>
        <v>1</v>
      </c>
    </row>
    <row r="732" spans="27:41" ht="16.5" x14ac:dyDescent="0.2">
      <c r="AA732" s="104">
        <v>728</v>
      </c>
      <c r="AB732" s="14">
        <f t="shared" si="188"/>
        <v>14</v>
      </c>
      <c r="AC732" s="14">
        <f>INDEX(挂机升级突破!$BU$6:$BU$57,卡牌消耗!AI732)</f>
        <v>11</v>
      </c>
      <c r="AD732" s="14">
        <f>INDEX(挂机升级突破!BV$6:BV$57,卡牌消耗!$AI732)</f>
        <v>5</v>
      </c>
      <c r="AE732" s="14">
        <f>INDEX(挂机升级突破!BW$6:BW$57,卡牌消耗!$AI732)</f>
        <v>10</v>
      </c>
      <c r="AF732" s="14" t="str">
        <f t="shared" si="189"/>
        <v>石灵明</v>
      </c>
      <c r="AG732" s="14">
        <f t="shared" si="190"/>
        <v>3</v>
      </c>
      <c r="AH732" s="14" t="str">
        <f t="shared" si="191"/>
        <v>石灵明魂火-52</v>
      </c>
      <c r="AI732" s="14">
        <f t="shared" si="192"/>
        <v>52</v>
      </c>
      <c r="AJ732" s="14" t="str">
        <f>INDEX(挂机升级突破!$BX$4:$CH$4,INDEX(挂机升级突破!$BU$6:$BU$57,卡牌消耗!AI732))</f>
        <v>金币</v>
      </c>
      <c r="AK732" s="14">
        <f>ROUND(INDEX(挂机升级突破!$BN$6:$BN$57,卡牌消耗!AI732)*INDEX(卡牌消耗!$B$8:$F$8,AG732)/$Q$4/50,0)*50</f>
        <v>278600</v>
      </c>
      <c r="AL732" s="14" t="str">
        <f>IF(AD732&gt;0,INDEX(挂机升级突破!$BX$4:$CH$4,AD732),"")</f>
        <v>红色基础材料</v>
      </c>
      <c r="AM732" s="14">
        <f>ROUND(INDEX(挂机升级突破!$BX$6:$CH$57,卡牌消耗!AI732,AD732)*INDEX(卡牌消耗!$B$5:$F$5,AG732)/$Q$4/5,0)*5</f>
        <v>70</v>
      </c>
      <c r="AN732" s="14" t="str">
        <f>IF(AE732&gt;0,INDEX(挂机升级突破!$BX$4:$CH$4,AE732),"")</f>
        <v>灵玉</v>
      </c>
      <c r="AO732" s="14">
        <f>IF(AE732&gt;0,ROUND(INDEX(挂机升级突破!$BX$6:$CH$57,卡牌消耗!AI732,AE732)*INDEX(卡牌消耗!$B$7:$F$7,AG732)/$Q$4,0),"")</f>
        <v>1</v>
      </c>
    </row>
    <row r="733" spans="27:41" ht="16.5" x14ac:dyDescent="0.2">
      <c r="AA733" s="104">
        <v>729</v>
      </c>
      <c r="AB733" s="14">
        <f t="shared" si="188"/>
        <v>15</v>
      </c>
      <c r="AC733" s="14">
        <f>INDEX(挂机升级突破!$BU$6:$BU$57,卡牌消耗!AI733)</f>
        <v>11</v>
      </c>
      <c r="AD733" s="14">
        <f>INDEX(挂机升级突破!BV$6:BV$57,卡牌消耗!$AI733)</f>
        <v>1</v>
      </c>
      <c r="AE733" s="14">
        <f>INDEX(挂机升级突破!BW$6:BW$57,卡牌消耗!$AI733)</f>
        <v>0</v>
      </c>
      <c r="AF733" s="14" t="str">
        <f t="shared" si="189"/>
        <v>于禁</v>
      </c>
      <c r="AG733" s="14">
        <f t="shared" si="190"/>
        <v>2</v>
      </c>
      <c r="AH733" s="14" t="str">
        <f t="shared" si="191"/>
        <v>于禁魂火-1</v>
      </c>
      <c r="AI733" s="14">
        <f t="shared" si="192"/>
        <v>1</v>
      </c>
      <c r="AJ733" s="14" t="str">
        <f>INDEX(挂机升级突破!$BX$4:$CH$4,INDEX(挂机升级突破!$BU$6:$BU$57,卡牌消耗!AI733))</f>
        <v>金币</v>
      </c>
      <c r="AK733" s="14">
        <f>ROUND(INDEX(挂机升级突破!$BN$6:$BN$57,卡牌消耗!AI733)*INDEX(卡牌消耗!$B$8:$F$8,AG733)/$Q$4/50,0)*50</f>
        <v>400</v>
      </c>
      <c r="AL733" s="14" t="str">
        <f>IF(AD733&gt;0,INDEX(挂机升级突破!$BX$4:$CH$4,AD733),"")</f>
        <v>绿色基础材料</v>
      </c>
      <c r="AM733" s="14">
        <f>ROUND(INDEX(挂机升级突破!$BX$6:$CH$57,卡牌消耗!AI733,AD733)*INDEX(卡牌消耗!$B$5:$F$5,AG733)/$Q$4/5,0)*5</f>
        <v>665</v>
      </c>
      <c r="AN733" s="14" t="str">
        <f>IF(AE733&gt;0,INDEX(挂机升级突破!$BX$4:$CH$4,AE733),"")</f>
        <v/>
      </c>
      <c r="AO733" s="14" t="str">
        <f>IF(AE733&gt;0,ROUND(INDEX(挂机升级突破!$BX$6:$CH$57,卡牌消耗!AI733,AE733)*INDEX(卡牌消耗!$B$7:$F$7,AG733)/$Q$4,0),"")</f>
        <v/>
      </c>
    </row>
    <row r="734" spans="27:41" ht="16.5" x14ac:dyDescent="0.2">
      <c r="AA734" s="104">
        <v>730</v>
      </c>
      <c r="AB734" s="14">
        <f t="shared" si="188"/>
        <v>15</v>
      </c>
      <c r="AC734" s="14">
        <f>INDEX(挂机升级突破!$BU$6:$BU$57,卡牌消耗!AI734)</f>
        <v>11</v>
      </c>
      <c r="AD734" s="14">
        <f>INDEX(挂机升级突破!BV$6:BV$57,卡牌消耗!$AI734)</f>
        <v>1</v>
      </c>
      <c r="AE734" s="14">
        <f>INDEX(挂机升级突破!BW$6:BW$57,卡牌消耗!$AI734)</f>
        <v>0</v>
      </c>
      <c r="AF734" s="14" t="str">
        <f t="shared" si="189"/>
        <v>于禁</v>
      </c>
      <c r="AG734" s="14">
        <f t="shared" si="190"/>
        <v>2</v>
      </c>
      <c r="AH734" s="14" t="str">
        <f t="shared" si="191"/>
        <v>于禁魂火-2</v>
      </c>
      <c r="AI734" s="14">
        <f t="shared" si="192"/>
        <v>2</v>
      </c>
      <c r="AJ734" s="14" t="str">
        <f>INDEX(挂机升级突破!$BX$4:$CH$4,INDEX(挂机升级突破!$BU$6:$BU$57,卡牌消耗!AI734))</f>
        <v>金币</v>
      </c>
      <c r="AK734" s="14">
        <f>ROUND(INDEX(挂机升级突破!$BN$6:$BN$57,卡牌消耗!AI734)*INDEX(卡牌消耗!$B$8:$F$8,AG734)/$Q$4/50,0)*50</f>
        <v>550</v>
      </c>
      <c r="AL734" s="14" t="str">
        <f>IF(AD734&gt;0,INDEX(挂机升级突破!$BX$4:$CH$4,AD734),"")</f>
        <v>绿色基础材料</v>
      </c>
      <c r="AM734" s="14">
        <f>ROUND(INDEX(挂机升级突破!$BX$6:$CH$57,卡牌消耗!AI734,AD734)*INDEX(卡牌消耗!$B$5:$F$5,AG734)/$Q$4/5,0)*5</f>
        <v>2000</v>
      </c>
      <c r="AN734" s="14" t="str">
        <f>IF(AE734&gt;0,INDEX(挂机升级突破!$BX$4:$CH$4,AE734),"")</f>
        <v/>
      </c>
      <c r="AO734" s="14" t="str">
        <f>IF(AE734&gt;0,ROUND(INDEX(挂机升级突破!$BX$6:$CH$57,卡牌消耗!AI734,AE734)*INDEX(卡牌消耗!$B$7:$F$7,AG734)/$Q$4,0),"")</f>
        <v/>
      </c>
    </row>
    <row r="735" spans="27:41" ht="16.5" x14ac:dyDescent="0.2">
      <c r="AA735" s="104">
        <v>731</v>
      </c>
      <c r="AB735" s="14">
        <f t="shared" si="188"/>
        <v>15</v>
      </c>
      <c r="AC735" s="14">
        <f>INDEX(挂机升级突破!$BU$6:$BU$57,卡牌消耗!AI735)</f>
        <v>11</v>
      </c>
      <c r="AD735" s="14">
        <f>INDEX(挂机升级突破!BV$6:BV$57,卡牌消耗!$AI735)</f>
        <v>1</v>
      </c>
      <c r="AE735" s="14">
        <f>INDEX(挂机升级突破!BW$6:BW$57,卡牌消耗!$AI735)</f>
        <v>0</v>
      </c>
      <c r="AF735" s="14" t="str">
        <f t="shared" si="189"/>
        <v>于禁</v>
      </c>
      <c r="AG735" s="14">
        <f t="shared" si="190"/>
        <v>2</v>
      </c>
      <c r="AH735" s="14" t="str">
        <f t="shared" si="191"/>
        <v>于禁魂火-3</v>
      </c>
      <c r="AI735" s="14">
        <f t="shared" si="192"/>
        <v>3</v>
      </c>
      <c r="AJ735" s="14" t="str">
        <f>INDEX(挂机升级突破!$BX$4:$CH$4,INDEX(挂机升级突破!$BU$6:$BU$57,卡牌消耗!AI735))</f>
        <v>金币</v>
      </c>
      <c r="AK735" s="14">
        <f>ROUND(INDEX(挂机升级突破!$BN$6:$BN$57,卡牌消耗!AI735)*INDEX(卡牌消耗!$B$8:$F$8,AG735)/$Q$4/50,0)*50</f>
        <v>550</v>
      </c>
      <c r="AL735" s="14" t="str">
        <f>IF(AD735&gt;0,INDEX(挂机升级突破!$BX$4:$CH$4,AD735),"")</f>
        <v>绿色基础材料</v>
      </c>
      <c r="AM735" s="14">
        <f>ROUND(INDEX(挂机升级突破!$BX$6:$CH$57,卡牌消耗!AI735,AD735)*INDEX(卡牌消耗!$B$5:$F$5,AG735)/$Q$4/5,0)*5</f>
        <v>2670</v>
      </c>
      <c r="AN735" s="14" t="str">
        <f>IF(AE735&gt;0,INDEX(挂机升级突破!$BX$4:$CH$4,AE735),"")</f>
        <v/>
      </c>
      <c r="AO735" s="14" t="str">
        <f>IF(AE735&gt;0,ROUND(INDEX(挂机升级突破!$BX$6:$CH$57,卡牌消耗!AI735,AE735)*INDEX(卡牌消耗!$B$7:$F$7,AG735)/$Q$4,0),"")</f>
        <v/>
      </c>
    </row>
    <row r="736" spans="27:41" ht="16.5" x14ac:dyDescent="0.2">
      <c r="AA736" s="104">
        <v>732</v>
      </c>
      <c r="AB736" s="14">
        <f t="shared" si="188"/>
        <v>15</v>
      </c>
      <c r="AC736" s="14">
        <f>INDEX(挂机升级突破!$BU$6:$BU$57,卡牌消耗!AI736)</f>
        <v>11</v>
      </c>
      <c r="AD736" s="14">
        <f>INDEX(挂机升级突破!BV$6:BV$57,卡牌消耗!$AI736)</f>
        <v>1</v>
      </c>
      <c r="AE736" s="14">
        <f>INDEX(挂机升级突破!BW$6:BW$57,卡牌消耗!$AI736)</f>
        <v>0</v>
      </c>
      <c r="AF736" s="14" t="str">
        <f t="shared" si="189"/>
        <v>于禁</v>
      </c>
      <c r="AG736" s="14">
        <f t="shared" si="190"/>
        <v>2</v>
      </c>
      <c r="AH736" s="14" t="str">
        <f t="shared" si="191"/>
        <v>于禁魂火-4</v>
      </c>
      <c r="AI736" s="14">
        <f t="shared" si="192"/>
        <v>4</v>
      </c>
      <c r="AJ736" s="14" t="str">
        <f>INDEX(挂机升级突破!$BX$4:$CH$4,INDEX(挂机升级突破!$BU$6:$BU$57,卡牌消耗!AI736))</f>
        <v>金币</v>
      </c>
      <c r="AK736" s="14">
        <f>ROUND(INDEX(挂机升级突破!$BN$6:$BN$57,卡牌消耗!AI736)*INDEX(卡牌消耗!$B$8:$F$8,AG736)/$Q$4/50,0)*50</f>
        <v>550</v>
      </c>
      <c r="AL736" s="14" t="str">
        <f>IF(AD736&gt;0,INDEX(挂机升级突破!$BX$4:$CH$4,AD736),"")</f>
        <v>绿色基础材料</v>
      </c>
      <c r="AM736" s="14">
        <f>ROUND(INDEX(挂机升级突破!$BX$6:$CH$57,卡牌消耗!AI736,AD736)*INDEX(卡牌消耗!$B$5:$F$5,AG736)/$Q$4/5,0)*5</f>
        <v>4005</v>
      </c>
      <c r="AN736" s="14" t="str">
        <f>IF(AE736&gt;0,INDEX(挂机升级突破!$BX$4:$CH$4,AE736),"")</f>
        <v/>
      </c>
      <c r="AO736" s="14" t="str">
        <f>IF(AE736&gt;0,ROUND(INDEX(挂机升级突破!$BX$6:$CH$57,卡牌消耗!AI736,AE736)*INDEX(卡牌消耗!$B$7:$F$7,AG736)/$Q$4,0),"")</f>
        <v/>
      </c>
    </row>
    <row r="737" spans="27:41" ht="16.5" x14ac:dyDescent="0.2">
      <c r="AA737" s="104">
        <v>733</v>
      </c>
      <c r="AB737" s="14">
        <f t="shared" si="188"/>
        <v>15</v>
      </c>
      <c r="AC737" s="14">
        <f>INDEX(挂机升级突破!$BU$6:$BU$57,卡牌消耗!AI737)</f>
        <v>11</v>
      </c>
      <c r="AD737" s="14">
        <f>INDEX(挂机升级突破!BV$6:BV$57,卡牌消耗!$AI737)</f>
        <v>1</v>
      </c>
      <c r="AE737" s="14">
        <f>INDEX(挂机升级突破!BW$6:BW$57,卡牌消耗!$AI737)</f>
        <v>0</v>
      </c>
      <c r="AF737" s="14" t="str">
        <f t="shared" si="189"/>
        <v>于禁</v>
      </c>
      <c r="AG737" s="14">
        <f t="shared" si="190"/>
        <v>2</v>
      </c>
      <c r="AH737" s="14" t="str">
        <f t="shared" si="191"/>
        <v>于禁魂火-5</v>
      </c>
      <c r="AI737" s="14">
        <f t="shared" si="192"/>
        <v>5</v>
      </c>
      <c r="AJ737" s="14" t="str">
        <f>INDEX(挂机升级突破!$BX$4:$CH$4,INDEX(挂机升级突破!$BU$6:$BU$57,卡牌消耗!AI737))</f>
        <v>金币</v>
      </c>
      <c r="AK737" s="14">
        <f>ROUND(INDEX(挂机升级突破!$BN$6:$BN$57,卡牌消耗!AI737)*INDEX(卡牌消耗!$B$8:$F$8,AG737)/$Q$4/50,0)*50</f>
        <v>550</v>
      </c>
      <c r="AL737" s="14" t="str">
        <f>IF(AD737&gt;0,INDEX(挂机升级突破!$BX$4:$CH$4,AD737),"")</f>
        <v>绿色基础材料</v>
      </c>
      <c r="AM737" s="14">
        <f>ROUND(INDEX(挂机升级突破!$BX$6:$CH$57,卡牌消耗!AI737,AD737)*INDEX(卡牌消耗!$B$5:$F$5,AG737)/$Q$4/5,0)*5</f>
        <v>4005</v>
      </c>
      <c r="AN737" s="14" t="str">
        <f>IF(AE737&gt;0,INDEX(挂机升级突破!$BX$4:$CH$4,AE737),"")</f>
        <v/>
      </c>
      <c r="AO737" s="14" t="str">
        <f>IF(AE737&gt;0,ROUND(INDEX(挂机升级突破!$BX$6:$CH$57,卡牌消耗!AI737,AE737)*INDEX(卡牌消耗!$B$7:$F$7,AG737)/$Q$4,0),"")</f>
        <v/>
      </c>
    </row>
    <row r="738" spans="27:41" ht="16.5" x14ac:dyDescent="0.2">
      <c r="AA738" s="104">
        <v>734</v>
      </c>
      <c r="AB738" s="14">
        <f t="shared" si="188"/>
        <v>15</v>
      </c>
      <c r="AC738" s="14">
        <f>INDEX(挂机升级突破!$BU$6:$BU$57,卡牌消耗!AI738)</f>
        <v>11</v>
      </c>
      <c r="AD738" s="14">
        <f>INDEX(挂机升级突破!BV$6:BV$57,卡牌消耗!$AI738)</f>
        <v>2</v>
      </c>
      <c r="AE738" s="14">
        <f>INDEX(挂机升级突破!BW$6:BW$57,卡牌消耗!$AI738)</f>
        <v>0</v>
      </c>
      <c r="AF738" s="14" t="str">
        <f t="shared" si="189"/>
        <v>于禁</v>
      </c>
      <c r="AG738" s="14">
        <f t="shared" si="190"/>
        <v>2</v>
      </c>
      <c r="AH738" s="14" t="str">
        <f t="shared" si="191"/>
        <v>于禁魂火-6</v>
      </c>
      <c r="AI738" s="14">
        <f t="shared" si="192"/>
        <v>6</v>
      </c>
      <c r="AJ738" s="14" t="str">
        <f>INDEX(挂机升级突破!$BX$4:$CH$4,INDEX(挂机升级突破!$BU$6:$BU$57,卡牌消耗!AI738))</f>
        <v>金币</v>
      </c>
      <c r="AK738" s="14">
        <f>ROUND(INDEX(挂机升级突破!$BN$6:$BN$57,卡牌消耗!AI738)*INDEX(卡牌消耗!$B$8:$F$8,AG738)/$Q$4/50,0)*50</f>
        <v>700</v>
      </c>
      <c r="AL738" s="14" t="str">
        <f>IF(AD738&gt;0,INDEX(挂机升级突破!$BX$4:$CH$4,AD738),"")</f>
        <v>蓝色基础材料</v>
      </c>
      <c r="AM738" s="14">
        <f>ROUND(INDEX(挂机升级突破!$BX$6:$CH$57,卡牌消耗!AI738,AD738)*INDEX(卡牌消耗!$B$5:$F$5,AG738)/$Q$4/5,0)*5</f>
        <v>385</v>
      </c>
      <c r="AN738" s="14" t="str">
        <f>IF(AE738&gt;0,INDEX(挂机升级突破!$BX$4:$CH$4,AE738),"")</f>
        <v/>
      </c>
      <c r="AO738" s="14" t="str">
        <f>IF(AE738&gt;0,ROUND(INDEX(挂机升级突破!$BX$6:$CH$57,卡牌消耗!AI738,AE738)*INDEX(卡牌消耗!$B$7:$F$7,AG738)/$Q$4,0),"")</f>
        <v/>
      </c>
    </row>
    <row r="739" spans="27:41" ht="16.5" x14ac:dyDescent="0.2">
      <c r="AA739" s="104">
        <v>735</v>
      </c>
      <c r="AB739" s="14">
        <f t="shared" si="188"/>
        <v>15</v>
      </c>
      <c r="AC739" s="14">
        <f>INDEX(挂机升级突破!$BU$6:$BU$57,卡牌消耗!AI739)</f>
        <v>11</v>
      </c>
      <c r="AD739" s="14">
        <f>INDEX(挂机升级突破!BV$6:BV$57,卡牌消耗!$AI739)</f>
        <v>2</v>
      </c>
      <c r="AE739" s="14">
        <f>INDEX(挂机升级突破!BW$6:BW$57,卡牌消耗!$AI739)</f>
        <v>0</v>
      </c>
      <c r="AF739" s="14" t="str">
        <f t="shared" si="189"/>
        <v>于禁</v>
      </c>
      <c r="AG739" s="14">
        <f t="shared" si="190"/>
        <v>2</v>
      </c>
      <c r="AH739" s="14" t="str">
        <f t="shared" si="191"/>
        <v>于禁魂火-7</v>
      </c>
      <c r="AI739" s="14">
        <f t="shared" si="192"/>
        <v>7</v>
      </c>
      <c r="AJ739" s="14" t="str">
        <f>INDEX(挂机升级突破!$BX$4:$CH$4,INDEX(挂机升级突破!$BU$6:$BU$57,卡牌消耗!AI739))</f>
        <v>金币</v>
      </c>
      <c r="AK739" s="14">
        <f>ROUND(INDEX(挂机升级突破!$BN$6:$BN$57,卡牌消耗!AI739)*INDEX(卡牌消耗!$B$8:$F$8,AG739)/$Q$4/50,0)*50</f>
        <v>700</v>
      </c>
      <c r="AL739" s="14" t="str">
        <f>IF(AD739&gt;0,INDEX(挂机升级突破!$BX$4:$CH$4,AD739),"")</f>
        <v>蓝色基础材料</v>
      </c>
      <c r="AM739" s="14">
        <f>ROUND(INDEX(挂机升级突破!$BX$6:$CH$57,卡牌消耗!AI739,AD739)*INDEX(卡牌消耗!$B$5:$F$5,AG739)/$Q$4/5,0)*5</f>
        <v>385</v>
      </c>
      <c r="AN739" s="14" t="str">
        <f>IF(AE739&gt;0,INDEX(挂机升级突破!$BX$4:$CH$4,AE739),"")</f>
        <v/>
      </c>
      <c r="AO739" s="14" t="str">
        <f>IF(AE739&gt;0,ROUND(INDEX(挂机升级突破!$BX$6:$CH$57,卡牌消耗!AI739,AE739)*INDEX(卡牌消耗!$B$7:$F$7,AG739)/$Q$4,0),"")</f>
        <v/>
      </c>
    </row>
    <row r="740" spans="27:41" ht="16.5" x14ac:dyDescent="0.2">
      <c r="AA740" s="104">
        <v>736</v>
      </c>
      <c r="AB740" s="14">
        <f t="shared" si="188"/>
        <v>15</v>
      </c>
      <c r="AC740" s="14">
        <f>INDEX(挂机升级突破!$BU$6:$BU$57,卡牌消耗!AI740)</f>
        <v>11</v>
      </c>
      <c r="AD740" s="14">
        <f>INDEX(挂机升级突破!BV$6:BV$57,卡牌消耗!$AI740)</f>
        <v>2</v>
      </c>
      <c r="AE740" s="14">
        <f>INDEX(挂机升级突破!BW$6:BW$57,卡牌消耗!$AI740)</f>
        <v>0</v>
      </c>
      <c r="AF740" s="14" t="str">
        <f t="shared" si="189"/>
        <v>于禁</v>
      </c>
      <c r="AG740" s="14">
        <f t="shared" si="190"/>
        <v>2</v>
      </c>
      <c r="AH740" s="14" t="str">
        <f t="shared" si="191"/>
        <v>于禁魂火-8</v>
      </c>
      <c r="AI740" s="14">
        <f t="shared" si="192"/>
        <v>8</v>
      </c>
      <c r="AJ740" s="14" t="str">
        <f>INDEX(挂机升级突破!$BX$4:$CH$4,INDEX(挂机升级突破!$BU$6:$BU$57,卡牌消耗!AI740))</f>
        <v>金币</v>
      </c>
      <c r="AK740" s="14">
        <f>ROUND(INDEX(挂机升级突破!$BN$6:$BN$57,卡牌消耗!AI740)*INDEX(卡牌消耗!$B$8:$F$8,AG740)/$Q$4/50,0)*50</f>
        <v>1050</v>
      </c>
      <c r="AL740" s="14" t="str">
        <f>IF(AD740&gt;0,INDEX(挂机升级突破!$BX$4:$CH$4,AD740),"")</f>
        <v>蓝色基础材料</v>
      </c>
      <c r="AM740" s="14">
        <f>ROUND(INDEX(挂机升级突破!$BX$6:$CH$57,卡牌消耗!AI740,AD740)*INDEX(卡牌消耗!$B$5:$F$5,AG740)/$Q$4/5,0)*5</f>
        <v>770</v>
      </c>
      <c r="AN740" s="14" t="str">
        <f>IF(AE740&gt;0,INDEX(挂机升级突破!$BX$4:$CH$4,AE740),"")</f>
        <v/>
      </c>
      <c r="AO740" s="14" t="str">
        <f>IF(AE740&gt;0,ROUND(INDEX(挂机升级突破!$BX$6:$CH$57,卡牌消耗!AI740,AE740)*INDEX(卡牌消耗!$B$7:$F$7,AG740)/$Q$4,0),"")</f>
        <v/>
      </c>
    </row>
    <row r="741" spans="27:41" ht="16.5" x14ac:dyDescent="0.2">
      <c r="AA741" s="104">
        <v>737</v>
      </c>
      <c r="AB741" s="14">
        <f t="shared" si="188"/>
        <v>15</v>
      </c>
      <c r="AC741" s="14">
        <f>INDEX(挂机升级突破!$BU$6:$BU$57,卡牌消耗!AI741)</f>
        <v>11</v>
      </c>
      <c r="AD741" s="14">
        <f>INDEX(挂机升级突破!BV$6:BV$57,卡牌消耗!$AI741)</f>
        <v>2</v>
      </c>
      <c r="AE741" s="14">
        <f>INDEX(挂机升级突破!BW$6:BW$57,卡牌消耗!$AI741)</f>
        <v>0</v>
      </c>
      <c r="AF741" s="14" t="str">
        <f t="shared" si="189"/>
        <v>于禁</v>
      </c>
      <c r="AG741" s="14">
        <f t="shared" si="190"/>
        <v>2</v>
      </c>
      <c r="AH741" s="14" t="str">
        <f t="shared" si="191"/>
        <v>于禁魂火-9</v>
      </c>
      <c r="AI741" s="14">
        <f t="shared" si="192"/>
        <v>9</v>
      </c>
      <c r="AJ741" s="14" t="str">
        <f>INDEX(挂机升级突破!$BX$4:$CH$4,INDEX(挂机升级突破!$BU$6:$BU$57,卡牌消耗!AI741))</f>
        <v>金币</v>
      </c>
      <c r="AK741" s="14">
        <f>ROUND(INDEX(挂机升级突破!$BN$6:$BN$57,卡牌消耗!AI741)*INDEX(卡牌消耗!$B$8:$F$8,AG741)/$Q$4/50,0)*50</f>
        <v>1050</v>
      </c>
      <c r="AL741" s="14" t="str">
        <f>IF(AD741&gt;0,INDEX(挂机升级突破!$BX$4:$CH$4,AD741),"")</f>
        <v>蓝色基础材料</v>
      </c>
      <c r="AM741" s="14">
        <f>ROUND(INDEX(挂机升级突破!$BX$6:$CH$57,卡牌消耗!AI741,AD741)*INDEX(卡牌消耗!$B$5:$F$5,AG741)/$Q$4/5,0)*5</f>
        <v>770</v>
      </c>
      <c r="AN741" s="14" t="str">
        <f>IF(AE741&gt;0,INDEX(挂机升级突破!$BX$4:$CH$4,AE741),"")</f>
        <v/>
      </c>
      <c r="AO741" s="14" t="str">
        <f>IF(AE741&gt;0,ROUND(INDEX(挂机升级突破!$BX$6:$CH$57,卡牌消耗!AI741,AE741)*INDEX(卡牌消耗!$B$7:$F$7,AG741)/$Q$4,0),"")</f>
        <v/>
      </c>
    </row>
    <row r="742" spans="27:41" ht="16.5" x14ac:dyDescent="0.2">
      <c r="AA742" s="104">
        <v>738</v>
      </c>
      <c r="AB742" s="14">
        <f t="shared" si="188"/>
        <v>15</v>
      </c>
      <c r="AC742" s="14">
        <f>INDEX(挂机升级突破!$BU$6:$BU$57,卡牌消耗!AI742)</f>
        <v>11</v>
      </c>
      <c r="AD742" s="14">
        <f>INDEX(挂机升级突破!BV$6:BV$57,卡牌消耗!$AI742)</f>
        <v>2</v>
      </c>
      <c r="AE742" s="14">
        <f>INDEX(挂机升级突破!BW$6:BW$57,卡牌消耗!$AI742)</f>
        <v>0</v>
      </c>
      <c r="AF742" s="14" t="str">
        <f t="shared" si="189"/>
        <v>于禁</v>
      </c>
      <c r="AG742" s="14">
        <f t="shared" si="190"/>
        <v>2</v>
      </c>
      <c r="AH742" s="14" t="str">
        <f t="shared" si="191"/>
        <v>于禁魂火-10</v>
      </c>
      <c r="AI742" s="14">
        <f t="shared" si="192"/>
        <v>10</v>
      </c>
      <c r="AJ742" s="14" t="str">
        <f>INDEX(挂机升级突破!$BX$4:$CH$4,INDEX(挂机升级突破!$BU$6:$BU$57,卡牌消耗!AI742))</f>
        <v>金币</v>
      </c>
      <c r="AK742" s="14">
        <f>ROUND(INDEX(挂机升级突破!$BN$6:$BN$57,卡牌消耗!AI742)*INDEX(卡牌消耗!$B$8:$F$8,AG742)/$Q$4/50,0)*50</f>
        <v>1750</v>
      </c>
      <c r="AL742" s="14" t="str">
        <f>IF(AD742&gt;0,INDEX(挂机升级突破!$BX$4:$CH$4,AD742),"")</f>
        <v>蓝色基础材料</v>
      </c>
      <c r="AM742" s="14">
        <f>ROUND(INDEX(挂机升级突破!$BX$6:$CH$57,卡牌消耗!AI742,AD742)*INDEX(卡牌消耗!$B$5:$F$5,AG742)/$Q$4/5,0)*5</f>
        <v>1155</v>
      </c>
      <c r="AN742" s="14" t="str">
        <f>IF(AE742&gt;0,INDEX(挂机升级突破!$BX$4:$CH$4,AE742),"")</f>
        <v/>
      </c>
      <c r="AO742" s="14" t="str">
        <f>IF(AE742&gt;0,ROUND(INDEX(挂机升级突破!$BX$6:$CH$57,卡牌消耗!AI742,AE742)*INDEX(卡牌消耗!$B$7:$F$7,AG742)/$Q$4,0),"")</f>
        <v/>
      </c>
    </row>
    <row r="743" spans="27:41" ht="16.5" x14ac:dyDescent="0.2">
      <c r="AA743" s="104">
        <v>739</v>
      </c>
      <c r="AB743" s="14">
        <f t="shared" si="188"/>
        <v>15</v>
      </c>
      <c r="AC743" s="14">
        <f>INDEX(挂机升级突破!$BU$6:$BU$57,卡牌消耗!AI743)</f>
        <v>11</v>
      </c>
      <c r="AD743" s="14">
        <f>INDEX(挂机升级突破!BV$6:BV$57,卡牌消耗!$AI743)</f>
        <v>2</v>
      </c>
      <c r="AE743" s="14">
        <f>INDEX(挂机升级突破!BW$6:BW$57,卡牌消耗!$AI743)</f>
        <v>0</v>
      </c>
      <c r="AF743" s="14" t="str">
        <f t="shared" si="189"/>
        <v>于禁</v>
      </c>
      <c r="AG743" s="14">
        <f t="shared" si="190"/>
        <v>2</v>
      </c>
      <c r="AH743" s="14" t="str">
        <f t="shared" si="191"/>
        <v>于禁魂火-11</v>
      </c>
      <c r="AI743" s="14">
        <f t="shared" si="192"/>
        <v>11</v>
      </c>
      <c r="AJ743" s="14" t="str">
        <f>INDEX(挂机升级突破!$BX$4:$CH$4,INDEX(挂机升级突破!$BU$6:$BU$57,卡牌消耗!AI743))</f>
        <v>金币</v>
      </c>
      <c r="AK743" s="14">
        <f>ROUND(INDEX(挂机升级突破!$BN$6:$BN$57,卡牌消耗!AI743)*INDEX(卡牌消耗!$B$8:$F$8,AG743)/$Q$4/50,0)*50</f>
        <v>1750</v>
      </c>
      <c r="AL743" s="14" t="str">
        <f>IF(AD743&gt;0,INDEX(挂机升级突破!$BX$4:$CH$4,AD743),"")</f>
        <v>蓝色基础材料</v>
      </c>
      <c r="AM743" s="14">
        <f>ROUND(INDEX(挂机升级突破!$BX$6:$CH$57,卡牌消耗!AI743,AD743)*INDEX(卡牌消耗!$B$5:$F$5,AG743)/$Q$4/5,0)*5</f>
        <v>1155</v>
      </c>
      <c r="AN743" s="14" t="str">
        <f>IF(AE743&gt;0,INDEX(挂机升级突破!$BX$4:$CH$4,AE743),"")</f>
        <v/>
      </c>
      <c r="AO743" s="14" t="str">
        <f>IF(AE743&gt;0,ROUND(INDEX(挂机升级突破!$BX$6:$CH$57,卡牌消耗!AI743,AE743)*INDEX(卡牌消耗!$B$7:$F$7,AG743)/$Q$4,0),"")</f>
        <v/>
      </c>
    </row>
    <row r="744" spans="27:41" ht="16.5" x14ac:dyDescent="0.2">
      <c r="AA744" s="104">
        <v>740</v>
      </c>
      <c r="AB744" s="14">
        <f t="shared" si="188"/>
        <v>15</v>
      </c>
      <c r="AC744" s="14">
        <f>INDEX(挂机升级突破!$BU$6:$BU$57,卡牌消耗!AI744)</f>
        <v>11</v>
      </c>
      <c r="AD744" s="14">
        <f>INDEX(挂机升级突破!BV$6:BV$57,卡牌消耗!$AI744)</f>
        <v>2</v>
      </c>
      <c r="AE744" s="14">
        <f>INDEX(挂机升级突破!BW$6:BW$57,卡牌消耗!$AI744)</f>
        <v>0</v>
      </c>
      <c r="AF744" s="14" t="str">
        <f t="shared" si="189"/>
        <v>于禁</v>
      </c>
      <c r="AG744" s="14">
        <f t="shared" si="190"/>
        <v>2</v>
      </c>
      <c r="AH744" s="14" t="str">
        <f t="shared" si="191"/>
        <v>于禁魂火-12</v>
      </c>
      <c r="AI744" s="14">
        <f t="shared" si="192"/>
        <v>12</v>
      </c>
      <c r="AJ744" s="14" t="str">
        <f>INDEX(挂机升级突破!$BX$4:$CH$4,INDEX(挂机升级突破!$BU$6:$BU$57,卡牌消耗!AI744))</f>
        <v>金币</v>
      </c>
      <c r="AK744" s="14">
        <f>ROUND(INDEX(挂机升级突破!$BN$6:$BN$57,卡牌消耗!AI744)*INDEX(卡牌消耗!$B$8:$F$8,AG744)/$Q$4/50,0)*50</f>
        <v>1500</v>
      </c>
      <c r="AL744" s="14" t="str">
        <f>IF(AD744&gt;0,INDEX(挂机升级突破!$BX$4:$CH$4,AD744),"")</f>
        <v>蓝色基础材料</v>
      </c>
      <c r="AM744" s="14">
        <f>ROUND(INDEX(挂机升级突破!$BX$6:$CH$57,卡牌消耗!AI744,AD744)*INDEX(卡牌消耗!$B$5:$F$5,AG744)/$Q$4/5,0)*5</f>
        <v>1535</v>
      </c>
      <c r="AN744" s="14" t="str">
        <f>IF(AE744&gt;0,INDEX(挂机升级突破!$BX$4:$CH$4,AE744),"")</f>
        <v/>
      </c>
      <c r="AO744" s="14" t="str">
        <f>IF(AE744&gt;0,ROUND(INDEX(挂机升级突破!$BX$6:$CH$57,卡牌消耗!AI744,AE744)*INDEX(卡牌消耗!$B$7:$F$7,AG744)/$Q$4,0),"")</f>
        <v/>
      </c>
    </row>
    <row r="745" spans="27:41" ht="16.5" x14ac:dyDescent="0.2">
      <c r="AA745" s="104">
        <v>741</v>
      </c>
      <c r="AB745" s="14">
        <f t="shared" si="188"/>
        <v>15</v>
      </c>
      <c r="AC745" s="14">
        <f>INDEX(挂机升级突破!$BU$6:$BU$57,卡牌消耗!AI745)</f>
        <v>11</v>
      </c>
      <c r="AD745" s="14">
        <f>INDEX(挂机升级突破!BV$6:BV$57,卡牌消耗!$AI745)</f>
        <v>2</v>
      </c>
      <c r="AE745" s="14">
        <f>INDEX(挂机升级突破!BW$6:BW$57,卡牌消耗!$AI745)</f>
        <v>0</v>
      </c>
      <c r="AF745" s="14" t="str">
        <f t="shared" si="189"/>
        <v>于禁</v>
      </c>
      <c r="AG745" s="14">
        <f t="shared" si="190"/>
        <v>2</v>
      </c>
      <c r="AH745" s="14" t="str">
        <f t="shared" si="191"/>
        <v>于禁魂火-13</v>
      </c>
      <c r="AI745" s="14">
        <f t="shared" si="192"/>
        <v>13</v>
      </c>
      <c r="AJ745" s="14" t="str">
        <f>INDEX(挂机升级突破!$BX$4:$CH$4,INDEX(挂机升级突破!$BU$6:$BU$57,卡牌消耗!AI745))</f>
        <v>金币</v>
      </c>
      <c r="AK745" s="14">
        <f>ROUND(INDEX(挂机升级突破!$BN$6:$BN$57,卡牌消耗!AI745)*INDEX(卡牌消耗!$B$8:$F$8,AG745)/$Q$4/50,0)*50</f>
        <v>1500</v>
      </c>
      <c r="AL745" s="14" t="str">
        <f>IF(AD745&gt;0,INDEX(挂机升级突破!$BX$4:$CH$4,AD745),"")</f>
        <v>蓝色基础材料</v>
      </c>
      <c r="AM745" s="14">
        <f>ROUND(INDEX(挂机升级突破!$BX$6:$CH$57,卡牌消耗!AI745,AD745)*INDEX(卡牌消耗!$B$5:$F$5,AG745)/$Q$4/5,0)*5</f>
        <v>1535</v>
      </c>
      <c r="AN745" s="14" t="str">
        <f>IF(AE745&gt;0,INDEX(挂机升级突破!$BX$4:$CH$4,AE745),"")</f>
        <v/>
      </c>
      <c r="AO745" s="14" t="str">
        <f>IF(AE745&gt;0,ROUND(INDEX(挂机升级突破!$BX$6:$CH$57,卡牌消耗!AI745,AE745)*INDEX(卡牌消耗!$B$7:$F$7,AG745)/$Q$4,0),"")</f>
        <v/>
      </c>
    </row>
    <row r="746" spans="27:41" ht="16.5" x14ac:dyDescent="0.2">
      <c r="AA746" s="104">
        <v>742</v>
      </c>
      <c r="AB746" s="14">
        <f t="shared" si="188"/>
        <v>15</v>
      </c>
      <c r="AC746" s="14">
        <f>INDEX(挂机升级突破!$BU$6:$BU$57,卡牌消耗!AI746)</f>
        <v>11</v>
      </c>
      <c r="AD746" s="14">
        <f>INDEX(挂机升级突破!BV$6:BV$57,卡牌消耗!$AI746)</f>
        <v>3</v>
      </c>
      <c r="AE746" s="14">
        <f>INDEX(挂机升级突破!BW$6:BW$57,卡牌消耗!$AI746)</f>
        <v>0</v>
      </c>
      <c r="AF746" s="14" t="str">
        <f t="shared" si="189"/>
        <v>于禁</v>
      </c>
      <c r="AG746" s="14">
        <f t="shared" si="190"/>
        <v>2</v>
      </c>
      <c r="AH746" s="14" t="str">
        <f t="shared" si="191"/>
        <v>于禁魂火-14</v>
      </c>
      <c r="AI746" s="14">
        <f t="shared" si="192"/>
        <v>14</v>
      </c>
      <c r="AJ746" s="14" t="str">
        <f>INDEX(挂机升级突破!$BX$4:$CH$4,INDEX(挂机升级突破!$BU$6:$BU$57,卡牌消耗!AI746))</f>
        <v>金币</v>
      </c>
      <c r="AK746" s="14">
        <f>ROUND(INDEX(挂机升级突破!$BN$6:$BN$57,卡牌消耗!AI746)*INDEX(卡牌消耗!$B$8:$F$8,AG746)/$Q$4/50,0)*50</f>
        <v>1650</v>
      </c>
      <c r="AL746" s="14" t="str">
        <f>IF(AD746&gt;0,INDEX(挂机升级突破!$BX$4:$CH$4,AD746),"")</f>
        <v>紫色基础材料</v>
      </c>
      <c r="AM746" s="14">
        <f>ROUND(INDEX(挂机升级突破!$BX$6:$CH$57,卡牌消耗!AI746,AD746)*INDEX(卡牌消耗!$B$5:$F$5,AG746)/$Q$4/5,0)*5</f>
        <v>135</v>
      </c>
      <c r="AN746" s="14" t="str">
        <f>IF(AE746&gt;0,INDEX(挂机升级突破!$BX$4:$CH$4,AE746),"")</f>
        <v/>
      </c>
      <c r="AO746" s="14" t="str">
        <f>IF(AE746&gt;0,ROUND(INDEX(挂机升级突破!$BX$6:$CH$57,卡牌消耗!AI746,AE746)*INDEX(卡牌消耗!$B$7:$F$7,AG746)/$Q$4,0),"")</f>
        <v/>
      </c>
    </row>
    <row r="747" spans="27:41" ht="16.5" x14ac:dyDescent="0.2">
      <c r="AA747" s="104">
        <v>743</v>
      </c>
      <c r="AB747" s="14">
        <f t="shared" si="188"/>
        <v>15</v>
      </c>
      <c r="AC747" s="14">
        <f>INDEX(挂机升级突破!$BU$6:$BU$57,卡牌消耗!AI747)</f>
        <v>11</v>
      </c>
      <c r="AD747" s="14">
        <f>INDEX(挂机升级突破!BV$6:BV$57,卡牌消耗!$AI747)</f>
        <v>3</v>
      </c>
      <c r="AE747" s="14">
        <f>INDEX(挂机升级突破!BW$6:BW$57,卡牌消耗!$AI747)</f>
        <v>0</v>
      </c>
      <c r="AF747" s="14" t="str">
        <f t="shared" si="189"/>
        <v>于禁</v>
      </c>
      <c r="AG747" s="14">
        <f t="shared" si="190"/>
        <v>2</v>
      </c>
      <c r="AH747" s="14" t="str">
        <f t="shared" si="191"/>
        <v>于禁魂火-15</v>
      </c>
      <c r="AI747" s="14">
        <f t="shared" si="192"/>
        <v>15</v>
      </c>
      <c r="AJ747" s="14" t="str">
        <f>INDEX(挂机升级突破!$BX$4:$CH$4,INDEX(挂机升级突破!$BU$6:$BU$57,卡牌消耗!AI747))</f>
        <v>金币</v>
      </c>
      <c r="AK747" s="14">
        <f>ROUND(INDEX(挂机升级突破!$BN$6:$BN$57,卡牌消耗!AI747)*INDEX(卡牌消耗!$B$8:$F$8,AG747)/$Q$4/50,0)*50</f>
        <v>1800</v>
      </c>
      <c r="AL747" s="14" t="str">
        <f>IF(AD747&gt;0,INDEX(挂机升级突破!$BX$4:$CH$4,AD747),"")</f>
        <v>紫色基础材料</v>
      </c>
      <c r="AM747" s="14">
        <f>ROUND(INDEX(挂机升级突破!$BX$6:$CH$57,卡牌消耗!AI747,AD747)*INDEX(卡牌消耗!$B$5:$F$5,AG747)/$Q$4/5,0)*5</f>
        <v>135</v>
      </c>
      <c r="AN747" s="14" t="str">
        <f>IF(AE747&gt;0,INDEX(挂机升级突破!$BX$4:$CH$4,AE747),"")</f>
        <v/>
      </c>
      <c r="AO747" s="14" t="str">
        <f>IF(AE747&gt;0,ROUND(INDEX(挂机升级突破!$BX$6:$CH$57,卡牌消耗!AI747,AE747)*INDEX(卡牌消耗!$B$7:$F$7,AG747)/$Q$4,0),"")</f>
        <v/>
      </c>
    </row>
    <row r="748" spans="27:41" ht="16.5" x14ac:dyDescent="0.2">
      <c r="AA748" s="104">
        <v>744</v>
      </c>
      <c r="AB748" s="14">
        <f t="shared" si="188"/>
        <v>15</v>
      </c>
      <c r="AC748" s="14">
        <f>INDEX(挂机升级突破!$BU$6:$BU$57,卡牌消耗!AI748)</f>
        <v>11</v>
      </c>
      <c r="AD748" s="14">
        <f>INDEX(挂机升级突破!BV$6:BV$57,卡牌消耗!$AI748)</f>
        <v>3</v>
      </c>
      <c r="AE748" s="14">
        <f>INDEX(挂机升级突破!BW$6:BW$57,卡牌消耗!$AI748)</f>
        <v>0</v>
      </c>
      <c r="AF748" s="14" t="str">
        <f t="shared" si="189"/>
        <v>于禁</v>
      </c>
      <c r="AG748" s="14">
        <f t="shared" si="190"/>
        <v>2</v>
      </c>
      <c r="AH748" s="14" t="str">
        <f t="shared" si="191"/>
        <v>于禁魂火-16</v>
      </c>
      <c r="AI748" s="14">
        <f t="shared" si="192"/>
        <v>16</v>
      </c>
      <c r="AJ748" s="14" t="str">
        <f>INDEX(挂机升级突破!$BX$4:$CH$4,INDEX(挂机升级突破!$BU$6:$BU$57,卡牌消耗!AI748))</f>
        <v>金币</v>
      </c>
      <c r="AK748" s="14">
        <f>ROUND(INDEX(挂机升级突破!$BN$6:$BN$57,卡牌消耗!AI748)*INDEX(卡牌消耗!$B$8:$F$8,AG748)/$Q$4/50,0)*50</f>
        <v>1800</v>
      </c>
      <c r="AL748" s="14" t="str">
        <f>IF(AD748&gt;0,INDEX(挂机升级突破!$BX$4:$CH$4,AD748),"")</f>
        <v>紫色基础材料</v>
      </c>
      <c r="AM748" s="14">
        <f>ROUND(INDEX(挂机升级突破!$BX$6:$CH$57,卡牌消耗!AI748,AD748)*INDEX(卡牌消耗!$B$5:$F$5,AG748)/$Q$4/5,0)*5</f>
        <v>135</v>
      </c>
      <c r="AN748" s="14" t="str">
        <f>IF(AE748&gt;0,INDEX(挂机升级突破!$BX$4:$CH$4,AE748),"")</f>
        <v/>
      </c>
      <c r="AO748" s="14" t="str">
        <f>IF(AE748&gt;0,ROUND(INDEX(挂机升级突破!$BX$6:$CH$57,卡牌消耗!AI748,AE748)*INDEX(卡牌消耗!$B$7:$F$7,AG748)/$Q$4,0),"")</f>
        <v/>
      </c>
    </row>
    <row r="749" spans="27:41" ht="16.5" x14ac:dyDescent="0.2">
      <c r="AA749" s="104">
        <v>745</v>
      </c>
      <c r="AB749" s="14">
        <f t="shared" si="188"/>
        <v>15</v>
      </c>
      <c r="AC749" s="14">
        <f>INDEX(挂机升级突破!$BU$6:$BU$57,卡牌消耗!AI749)</f>
        <v>11</v>
      </c>
      <c r="AD749" s="14">
        <f>INDEX(挂机升级突破!BV$6:BV$57,卡牌消耗!$AI749)</f>
        <v>3</v>
      </c>
      <c r="AE749" s="14">
        <f>INDEX(挂机升级突破!BW$6:BW$57,卡牌消耗!$AI749)</f>
        <v>0</v>
      </c>
      <c r="AF749" s="14" t="str">
        <f t="shared" si="189"/>
        <v>于禁</v>
      </c>
      <c r="AG749" s="14">
        <f t="shared" si="190"/>
        <v>2</v>
      </c>
      <c r="AH749" s="14" t="str">
        <f t="shared" si="191"/>
        <v>于禁魂火-17</v>
      </c>
      <c r="AI749" s="14">
        <f t="shared" si="192"/>
        <v>17</v>
      </c>
      <c r="AJ749" s="14" t="str">
        <f>INDEX(挂机升级突破!$BX$4:$CH$4,INDEX(挂机升级突破!$BU$6:$BU$57,卡牌消耗!AI749))</f>
        <v>金币</v>
      </c>
      <c r="AK749" s="14">
        <f>ROUND(INDEX(挂机升级突破!$BN$6:$BN$57,卡牌消耗!AI749)*INDEX(卡牌消耗!$B$8:$F$8,AG749)/$Q$4/50,0)*50</f>
        <v>2250</v>
      </c>
      <c r="AL749" s="14" t="str">
        <f>IF(AD749&gt;0,INDEX(挂机升级突破!$BX$4:$CH$4,AD749),"")</f>
        <v>紫色基础材料</v>
      </c>
      <c r="AM749" s="14">
        <f>ROUND(INDEX(挂机升级突破!$BX$6:$CH$57,卡牌消耗!AI749,AD749)*INDEX(卡牌消耗!$B$5:$F$5,AG749)/$Q$4/5,0)*5</f>
        <v>270</v>
      </c>
      <c r="AN749" s="14" t="str">
        <f>IF(AE749&gt;0,INDEX(挂机升级突破!$BX$4:$CH$4,AE749),"")</f>
        <v/>
      </c>
      <c r="AO749" s="14" t="str">
        <f>IF(AE749&gt;0,ROUND(INDEX(挂机升级突破!$BX$6:$CH$57,卡牌消耗!AI749,AE749)*INDEX(卡牌消耗!$B$7:$F$7,AG749)/$Q$4,0),"")</f>
        <v/>
      </c>
    </row>
    <row r="750" spans="27:41" ht="16.5" x14ac:dyDescent="0.2">
      <c r="AA750" s="104">
        <v>746</v>
      </c>
      <c r="AB750" s="14">
        <f t="shared" si="188"/>
        <v>15</v>
      </c>
      <c r="AC750" s="14">
        <f>INDEX(挂机升级突破!$BU$6:$BU$57,卡牌消耗!AI750)</f>
        <v>11</v>
      </c>
      <c r="AD750" s="14">
        <f>INDEX(挂机升级突破!BV$6:BV$57,卡牌消耗!$AI750)</f>
        <v>3</v>
      </c>
      <c r="AE750" s="14">
        <f>INDEX(挂机升级突破!BW$6:BW$57,卡牌消耗!$AI750)</f>
        <v>0</v>
      </c>
      <c r="AF750" s="14" t="str">
        <f t="shared" si="189"/>
        <v>于禁</v>
      </c>
      <c r="AG750" s="14">
        <f t="shared" si="190"/>
        <v>2</v>
      </c>
      <c r="AH750" s="14" t="str">
        <f t="shared" si="191"/>
        <v>于禁魂火-18</v>
      </c>
      <c r="AI750" s="14">
        <f t="shared" si="192"/>
        <v>18</v>
      </c>
      <c r="AJ750" s="14" t="str">
        <f>INDEX(挂机升级突破!$BX$4:$CH$4,INDEX(挂机升级突破!$BU$6:$BU$57,卡牌消耗!AI750))</f>
        <v>金币</v>
      </c>
      <c r="AK750" s="14">
        <f>ROUND(INDEX(挂机升级突破!$BN$6:$BN$57,卡牌消耗!AI750)*INDEX(卡牌消耗!$B$8:$F$8,AG750)/$Q$4/50,0)*50</f>
        <v>2250</v>
      </c>
      <c r="AL750" s="14" t="str">
        <f>IF(AD750&gt;0,INDEX(挂机升级突破!$BX$4:$CH$4,AD750),"")</f>
        <v>紫色基础材料</v>
      </c>
      <c r="AM750" s="14">
        <f>ROUND(INDEX(挂机升级突破!$BX$6:$CH$57,卡牌消耗!AI750,AD750)*INDEX(卡牌消耗!$B$5:$F$5,AG750)/$Q$4/5,0)*5</f>
        <v>270</v>
      </c>
      <c r="AN750" s="14" t="str">
        <f>IF(AE750&gt;0,INDEX(挂机升级突破!$BX$4:$CH$4,AE750),"")</f>
        <v/>
      </c>
      <c r="AO750" s="14" t="str">
        <f>IF(AE750&gt;0,ROUND(INDEX(挂机升级突破!$BX$6:$CH$57,卡牌消耗!AI750,AE750)*INDEX(卡牌消耗!$B$7:$F$7,AG750)/$Q$4,0),"")</f>
        <v/>
      </c>
    </row>
    <row r="751" spans="27:41" ht="16.5" x14ac:dyDescent="0.2">
      <c r="AA751" s="104">
        <v>747</v>
      </c>
      <c r="AB751" s="14">
        <f t="shared" si="188"/>
        <v>15</v>
      </c>
      <c r="AC751" s="14">
        <f>INDEX(挂机升级突破!$BU$6:$BU$57,卡牌消耗!AI751)</f>
        <v>11</v>
      </c>
      <c r="AD751" s="14">
        <f>INDEX(挂机升级突破!BV$6:BV$57,卡牌消耗!$AI751)</f>
        <v>3</v>
      </c>
      <c r="AE751" s="14">
        <f>INDEX(挂机升级突破!BW$6:BW$57,卡牌消耗!$AI751)</f>
        <v>0</v>
      </c>
      <c r="AF751" s="14" t="str">
        <f t="shared" si="189"/>
        <v>于禁</v>
      </c>
      <c r="AG751" s="14">
        <f t="shared" si="190"/>
        <v>2</v>
      </c>
      <c r="AH751" s="14" t="str">
        <f t="shared" si="191"/>
        <v>于禁魂火-19</v>
      </c>
      <c r="AI751" s="14">
        <f t="shared" si="192"/>
        <v>19</v>
      </c>
      <c r="AJ751" s="14" t="str">
        <f>INDEX(挂机升级突破!$BX$4:$CH$4,INDEX(挂机升级突破!$BU$6:$BU$57,卡牌消耗!AI751))</f>
        <v>金币</v>
      </c>
      <c r="AK751" s="14">
        <f>ROUND(INDEX(挂机升级突破!$BN$6:$BN$57,卡牌消耗!AI751)*INDEX(卡牌消耗!$B$8:$F$8,AG751)/$Q$4/50,0)*50</f>
        <v>2250</v>
      </c>
      <c r="AL751" s="14" t="str">
        <f>IF(AD751&gt;0,INDEX(挂机升级突破!$BX$4:$CH$4,AD751),"")</f>
        <v>紫色基础材料</v>
      </c>
      <c r="AM751" s="14">
        <f>ROUND(INDEX(挂机升级突破!$BX$6:$CH$57,卡牌消耗!AI751,AD751)*INDEX(卡牌消耗!$B$5:$F$5,AG751)/$Q$4/5,0)*5</f>
        <v>270</v>
      </c>
      <c r="AN751" s="14" t="str">
        <f>IF(AE751&gt;0,INDEX(挂机升级突破!$BX$4:$CH$4,AE751),"")</f>
        <v/>
      </c>
      <c r="AO751" s="14" t="str">
        <f>IF(AE751&gt;0,ROUND(INDEX(挂机升级突破!$BX$6:$CH$57,卡牌消耗!AI751,AE751)*INDEX(卡牌消耗!$B$7:$F$7,AG751)/$Q$4,0),"")</f>
        <v/>
      </c>
    </row>
    <row r="752" spans="27:41" ht="16.5" x14ac:dyDescent="0.2">
      <c r="AA752" s="104">
        <v>748</v>
      </c>
      <c r="AB752" s="14">
        <f t="shared" si="188"/>
        <v>15</v>
      </c>
      <c r="AC752" s="14">
        <f>INDEX(挂机升级突破!$BU$6:$BU$57,卡牌消耗!AI752)</f>
        <v>11</v>
      </c>
      <c r="AD752" s="14">
        <f>INDEX(挂机升级突破!BV$6:BV$57,卡牌消耗!$AI752)</f>
        <v>3</v>
      </c>
      <c r="AE752" s="14">
        <f>INDEX(挂机升级突破!BW$6:BW$57,卡牌消耗!$AI752)</f>
        <v>0</v>
      </c>
      <c r="AF752" s="14" t="str">
        <f t="shared" si="189"/>
        <v>于禁</v>
      </c>
      <c r="AG752" s="14">
        <f t="shared" si="190"/>
        <v>2</v>
      </c>
      <c r="AH752" s="14" t="str">
        <f t="shared" si="191"/>
        <v>于禁魂火-20</v>
      </c>
      <c r="AI752" s="14">
        <f t="shared" si="192"/>
        <v>20</v>
      </c>
      <c r="AJ752" s="14" t="str">
        <f>INDEX(挂机升级突破!$BX$4:$CH$4,INDEX(挂机升级突破!$BU$6:$BU$57,卡牌消耗!AI752))</f>
        <v>金币</v>
      </c>
      <c r="AK752" s="14">
        <f>ROUND(INDEX(挂机升级突破!$BN$6:$BN$57,卡牌消耗!AI752)*INDEX(卡牌消耗!$B$8:$F$8,AG752)/$Q$4/50,0)*50</f>
        <v>2750</v>
      </c>
      <c r="AL752" s="14" t="str">
        <f>IF(AD752&gt;0,INDEX(挂机升级突破!$BX$4:$CH$4,AD752),"")</f>
        <v>紫色基础材料</v>
      </c>
      <c r="AM752" s="14">
        <f>ROUND(INDEX(挂机升级突破!$BX$6:$CH$57,卡牌消耗!AI752,AD752)*INDEX(卡牌消耗!$B$5:$F$5,AG752)/$Q$4/5,0)*5</f>
        <v>405</v>
      </c>
      <c r="AN752" s="14" t="str">
        <f>IF(AE752&gt;0,INDEX(挂机升级突破!$BX$4:$CH$4,AE752),"")</f>
        <v/>
      </c>
      <c r="AO752" s="14" t="str">
        <f>IF(AE752&gt;0,ROUND(INDEX(挂机升级突破!$BX$6:$CH$57,卡牌消耗!AI752,AE752)*INDEX(卡牌消耗!$B$7:$F$7,AG752)/$Q$4,0),"")</f>
        <v/>
      </c>
    </row>
    <row r="753" spans="27:41" ht="16.5" x14ac:dyDescent="0.2">
      <c r="AA753" s="104">
        <v>749</v>
      </c>
      <c r="AB753" s="14">
        <f t="shared" si="188"/>
        <v>15</v>
      </c>
      <c r="AC753" s="14">
        <f>INDEX(挂机升级突破!$BU$6:$BU$57,卡牌消耗!AI753)</f>
        <v>11</v>
      </c>
      <c r="AD753" s="14">
        <f>INDEX(挂机升级突破!BV$6:BV$57,卡牌消耗!$AI753)</f>
        <v>3</v>
      </c>
      <c r="AE753" s="14">
        <f>INDEX(挂机升级突破!BW$6:BW$57,卡牌消耗!$AI753)</f>
        <v>0</v>
      </c>
      <c r="AF753" s="14" t="str">
        <f t="shared" si="189"/>
        <v>于禁</v>
      </c>
      <c r="AG753" s="14">
        <f t="shared" si="190"/>
        <v>2</v>
      </c>
      <c r="AH753" s="14" t="str">
        <f t="shared" si="191"/>
        <v>于禁魂火-21</v>
      </c>
      <c r="AI753" s="14">
        <f t="shared" si="192"/>
        <v>21</v>
      </c>
      <c r="AJ753" s="14" t="str">
        <f>INDEX(挂机升级突破!$BX$4:$CH$4,INDEX(挂机升级突破!$BU$6:$BU$57,卡牌消耗!AI753))</f>
        <v>金币</v>
      </c>
      <c r="AK753" s="14">
        <f>ROUND(INDEX(挂机升级突破!$BN$6:$BN$57,卡牌消耗!AI753)*INDEX(卡牌消耗!$B$8:$F$8,AG753)/$Q$4/50,0)*50</f>
        <v>2750</v>
      </c>
      <c r="AL753" s="14" t="str">
        <f>IF(AD753&gt;0,INDEX(挂机升级突破!$BX$4:$CH$4,AD753),"")</f>
        <v>紫色基础材料</v>
      </c>
      <c r="AM753" s="14">
        <f>ROUND(INDEX(挂机升级突破!$BX$6:$CH$57,卡牌消耗!AI753,AD753)*INDEX(卡牌消耗!$B$5:$F$5,AG753)/$Q$4/5,0)*5</f>
        <v>405</v>
      </c>
      <c r="AN753" s="14" t="str">
        <f>IF(AE753&gt;0,INDEX(挂机升级突破!$BX$4:$CH$4,AE753),"")</f>
        <v/>
      </c>
      <c r="AO753" s="14" t="str">
        <f>IF(AE753&gt;0,ROUND(INDEX(挂机升级突破!$BX$6:$CH$57,卡牌消耗!AI753,AE753)*INDEX(卡牌消耗!$B$7:$F$7,AG753)/$Q$4,0),"")</f>
        <v/>
      </c>
    </row>
    <row r="754" spans="27:41" ht="16.5" x14ac:dyDescent="0.2">
      <c r="AA754" s="104">
        <v>750</v>
      </c>
      <c r="AB754" s="14">
        <f t="shared" si="188"/>
        <v>15</v>
      </c>
      <c r="AC754" s="14">
        <f>INDEX(挂机升级突破!$BU$6:$BU$57,卡牌消耗!AI754)</f>
        <v>11</v>
      </c>
      <c r="AD754" s="14">
        <f>INDEX(挂机升级突破!BV$6:BV$57,卡牌消耗!$AI754)</f>
        <v>3</v>
      </c>
      <c r="AE754" s="14">
        <f>INDEX(挂机升级突破!BW$6:BW$57,卡牌消耗!$AI754)</f>
        <v>0</v>
      </c>
      <c r="AF754" s="14" t="str">
        <f t="shared" si="189"/>
        <v>于禁</v>
      </c>
      <c r="AG754" s="14">
        <f t="shared" si="190"/>
        <v>2</v>
      </c>
      <c r="AH754" s="14" t="str">
        <f t="shared" si="191"/>
        <v>于禁魂火-22</v>
      </c>
      <c r="AI754" s="14">
        <f t="shared" si="192"/>
        <v>22</v>
      </c>
      <c r="AJ754" s="14" t="str">
        <f>INDEX(挂机升级突破!$BX$4:$CH$4,INDEX(挂机升级突破!$BU$6:$BU$57,卡牌消耗!AI754))</f>
        <v>金币</v>
      </c>
      <c r="AK754" s="14">
        <f>ROUND(INDEX(挂机升级突破!$BN$6:$BN$57,卡牌消耗!AI754)*INDEX(卡牌消耗!$B$8:$F$8,AG754)/$Q$4/50,0)*50</f>
        <v>2750</v>
      </c>
      <c r="AL754" s="14" t="str">
        <f>IF(AD754&gt;0,INDEX(挂机升级突破!$BX$4:$CH$4,AD754),"")</f>
        <v>紫色基础材料</v>
      </c>
      <c r="AM754" s="14">
        <f>ROUND(INDEX(挂机升级突破!$BX$6:$CH$57,卡牌消耗!AI754,AD754)*INDEX(卡牌消耗!$B$5:$F$5,AG754)/$Q$4/5,0)*5</f>
        <v>405</v>
      </c>
      <c r="AN754" s="14" t="str">
        <f>IF(AE754&gt;0,INDEX(挂机升级突破!$BX$4:$CH$4,AE754),"")</f>
        <v/>
      </c>
      <c r="AO754" s="14" t="str">
        <f>IF(AE754&gt;0,ROUND(INDEX(挂机升级突破!$BX$6:$CH$57,卡牌消耗!AI754,AE754)*INDEX(卡牌消耗!$B$7:$F$7,AG754)/$Q$4,0),"")</f>
        <v/>
      </c>
    </row>
    <row r="755" spans="27:41" ht="16.5" x14ac:dyDescent="0.2">
      <c r="AA755" s="104">
        <v>751</v>
      </c>
      <c r="AB755" s="14">
        <f t="shared" si="188"/>
        <v>15</v>
      </c>
      <c r="AC755" s="14">
        <f>INDEX(挂机升级突破!$BU$6:$BU$57,卡牌消耗!AI755)</f>
        <v>11</v>
      </c>
      <c r="AD755" s="14">
        <f>INDEX(挂机升级突破!BV$6:BV$57,卡牌消耗!$AI755)</f>
        <v>4</v>
      </c>
      <c r="AE755" s="14">
        <f>INDEX(挂机升级突破!BW$6:BW$57,卡牌消耗!$AI755)</f>
        <v>0</v>
      </c>
      <c r="AF755" s="14" t="str">
        <f t="shared" si="189"/>
        <v>于禁</v>
      </c>
      <c r="AG755" s="14">
        <f t="shared" si="190"/>
        <v>2</v>
      </c>
      <c r="AH755" s="14" t="str">
        <f t="shared" si="191"/>
        <v>于禁魂火-23</v>
      </c>
      <c r="AI755" s="14">
        <f t="shared" si="192"/>
        <v>23</v>
      </c>
      <c r="AJ755" s="14" t="str">
        <f>INDEX(挂机升级突破!$BX$4:$CH$4,INDEX(挂机升级突破!$BU$6:$BU$57,卡牌消耗!AI755))</f>
        <v>金币</v>
      </c>
      <c r="AK755" s="14">
        <f>ROUND(INDEX(挂机升级突破!$BN$6:$BN$57,卡牌消耗!AI755)*INDEX(卡牌消耗!$B$8:$F$8,AG755)/$Q$4/50,0)*50</f>
        <v>3750</v>
      </c>
      <c r="AL755" s="14" t="str">
        <f>IF(AD755&gt;0,INDEX(挂机升级突破!$BX$4:$CH$4,AD755),"")</f>
        <v>橙色基础材料</v>
      </c>
      <c r="AM755" s="14">
        <f>ROUND(INDEX(挂机升级突破!$BX$6:$CH$57,卡牌消耗!AI755,AD755)*INDEX(卡牌消耗!$B$5:$F$5,AG755)/$Q$4/5,0)*5</f>
        <v>55</v>
      </c>
      <c r="AN755" s="14" t="str">
        <f>IF(AE755&gt;0,INDEX(挂机升级突破!$BX$4:$CH$4,AE755),"")</f>
        <v/>
      </c>
      <c r="AO755" s="14" t="str">
        <f>IF(AE755&gt;0,ROUND(INDEX(挂机升级突破!$BX$6:$CH$57,卡牌消耗!AI755,AE755)*INDEX(卡牌消耗!$B$7:$F$7,AG755)/$Q$4,0),"")</f>
        <v/>
      </c>
    </row>
    <row r="756" spans="27:41" ht="16.5" x14ac:dyDescent="0.2">
      <c r="AA756" s="104">
        <v>752</v>
      </c>
      <c r="AB756" s="14">
        <f t="shared" si="188"/>
        <v>15</v>
      </c>
      <c r="AC756" s="14">
        <f>INDEX(挂机升级突破!$BU$6:$BU$57,卡牌消耗!AI756)</f>
        <v>11</v>
      </c>
      <c r="AD756" s="14">
        <f>INDEX(挂机升级突破!BV$6:BV$57,卡牌消耗!$AI756)</f>
        <v>4</v>
      </c>
      <c r="AE756" s="14">
        <f>INDEX(挂机升级突破!BW$6:BW$57,卡牌消耗!$AI756)</f>
        <v>0</v>
      </c>
      <c r="AF756" s="14" t="str">
        <f t="shared" si="189"/>
        <v>于禁</v>
      </c>
      <c r="AG756" s="14">
        <f t="shared" si="190"/>
        <v>2</v>
      </c>
      <c r="AH756" s="14" t="str">
        <f t="shared" si="191"/>
        <v>于禁魂火-24</v>
      </c>
      <c r="AI756" s="14">
        <f t="shared" si="192"/>
        <v>24</v>
      </c>
      <c r="AJ756" s="14" t="str">
        <f>INDEX(挂机升级突破!$BX$4:$CH$4,INDEX(挂机升级突破!$BU$6:$BU$57,卡牌消耗!AI756))</f>
        <v>金币</v>
      </c>
      <c r="AK756" s="14">
        <f>ROUND(INDEX(挂机升级突破!$BN$6:$BN$57,卡牌消耗!AI756)*INDEX(卡牌消耗!$B$8:$F$8,AG756)/$Q$4/50,0)*50</f>
        <v>3750</v>
      </c>
      <c r="AL756" s="14" t="str">
        <f>IF(AD756&gt;0,INDEX(挂机升级突破!$BX$4:$CH$4,AD756),"")</f>
        <v>橙色基础材料</v>
      </c>
      <c r="AM756" s="14">
        <f>ROUND(INDEX(挂机升级突破!$BX$6:$CH$57,卡牌消耗!AI756,AD756)*INDEX(卡牌消耗!$B$5:$F$5,AG756)/$Q$4/5,0)*5</f>
        <v>55</v>
      </c>
      <c r="AN756" s="14" t="str">
        <f>IF(AE756&gt;0,INDEX(挂机升级突破!$BX$4:$CH$4,AE756),"")</f>
        <v/>
      </c>
      <c r="AO756" s="14" t="str">
        <f>IF(AE756&gt;0,ROUND(INDEX(挂机升级突破!$BX$6:$CH$57,卡牌消耗!AI756,AE756)*INDEX(卡牌消耗!$B$7:$F$7,AG756)/$Q$4,0),"")</f>
        <v/>
      </c>
    </row>
    <row r="757" spans="27:41" ht="16.5" x14ac:dyDescent="0.2">
      <c r="AA757" s="104">
        <v>753</v>
      </c>
      <c r="AB757" s="14">
        <f t="shared" si="188"/>
        <v>15</v>
      </c>
      <c r="AC757" s="14">
        <f>INDEX(挂机升级突破!$BU$6:$BU$57,卡牌消耗!AI757)</f>
        <v>11</v>
      </c>
      <c r="AD757" s="14">
        <f>INDEX(挂机升级突破!BV$6:BV$57,卡牌消耗!$AI757)</f>
        <v>4</v>
      </c>
      <c r="AE757" s="14">
        <f>INDEX(挂机升级突破!BW$6:BW$57,卡牌消耗!$AI757)</f>
        <v>0</v>
      </c>
      <c r="AF757" s="14" t="str">
        <f t="shared" si="189"/>
        <v>于禁</v>
      </c>
      <c r="AG757" s="14">
        <f t="shared" si="190"/>
        <v>2</v>
      </c>
      <c r="AH757" s="14" t="str">
        <f t="shared" si="191"/>
        <v>于禁魂火-25</v>
      </c>
      <c r="AI757" s="14">
        <f t="shared" si="192"/>
        <v>25</v>
      </c>
      <c r="AJ757" s="14" t="str">
        <f>INDEX(挂机升级突破!$BX$4:$CH$4,INDEX(挂机升级突破!$BU$6:$BU$57,卡牌消耗!AI757))</f>
        <v>金币</v>
      </c>
      <c r="AK757" s="14">
        <f>ROUND(INDEX(挂机升级突破!$BN$6:$BN$57,卡牌消耗!AI757)*INDEX(卡牌消耗!$B$8:$F$8,AG757)/$Q$4/50,0)*50</f>
        <v>4100</v>
      </c>
      <c r="AL757" s="14" t="str">
        <f>IF(AD757&gt;0,INDEX(挂机升级突破!$BX$4:$CH$4,AD757),"")</f>
        <v>橙色基础材料</v>
      </c>
      <c r="AM757" s="14">
        <f>ROUND(INDEX(挂机升级突破!$BX$6:$CH$57,卡牌消耗!AI757,AD757)*INDEX(卡牌消耗!$B$5:$F$5,AG757)/$Q$4/5,0)*5</f>
        <v>55</v>
      </c>
      <c r="AN757" s="14" t="str">
        <f>IF(AE757&gt;0,INDEX(挂机升级突破!$BX$4:$CH$4,AE757),"")</f>
        <v/>
      </c>
      <c r="AO757" s="14" t="str">
        <f>IF(AE757&gt;0,ROUND(INDEX(挂机升级突破!$BX$6:$CH$57,卡牌消耗!AI757,AE757)*INDEX(卡牌消耗!$B$7:$F$7,AG757)/$Q$4,0),"")</f>
        <v/>
      </c>
    </row>
    <row r="758" spans="27:41" ht="16.5" x14ac:dyDescent="0.2">
      <c r="AA758" s="104">
        <v>754</v>
      </c>
      <c r="AB758" s="14">
        <f t="shared" si="188"/>
        <v>15</v>
      </c>
      <c r="AC758" s="14">
        <f>INDEX(挂机升级突破!$BU$6:$BU$57,卡牌消耗!AI758)</f>
        <v>11</v>
      </c>
      <c r="AD758" s="14">
        <f>INDEX(挂机升级突破!BV$6:BV$57,卡牌消耗!$AI758)</f>
        <v>4</v>
      </c>
      <c r="AE758" s="14">
        <f>INDEX(挂机升级突破!BW$6:BW$57,卡牌消耗!$AI758)</f>
        <v>0</v>
      </c>
      <c r="AF758" s="14" t="str">
        <f t="shared" si="189"/>
        <v>于禁</v>
      </c>
      <c r="AG758" s="14">
        <f t="shared" si="190"/>
        <v>2</v>
      </c>
      <c r="AH758" s="14" t="str">
        <f t="shared" si="191"/>
        <v>于禁魂火-26</v>
      </c>
      <c r="AI758" s="14">
        <f t="shared" si="192"/>
        <v>26</v>
      </c>
      <c r="AJ758" s="14" t="str">
        <f>INDEX(挂机升级突破!$BX$4:$CH$4,INDEX(挂机升级突破!$BU$6:$BU$57,卡牌消耗!AI758))</f>
        <v>金币</v>
      </c>
      <c r="AK758" s="14">
        <f>ROUND(INDEX(挂机升级突破!$BN$6:$BN$57,卡牌消耗!AI758)*INDEX(卡牌消耗!$B$8:$F$8,AG758)/$Q$4/50,0)*50</f>
        <v>4800</v>
      </c>
      <c r="AL758" s="14" t="str">
        <f>IF(AD758&gt;0,INDEX(挂机升级突破!$BX$4:$CH$4,AD758),"")</f>
        <v>橙色基础材料</v>
      </c>
      <c r="AM758" s="14">
        <f>ROUND(INDEX(挂机升级突破!$BX$6:$CH$57,卡牌消耗!AI758,AD758)*INDEX(卡牌消耗!$B$5:$F$5,AG758)/$Q$4/5,0)*5</f>
        <v>65</v>
      </c>
      <c r="AN758" s="14" t="str">
        <f>IF(AE758&gt;0,INDEX(挂机升级突破!$BX$4:$CH$4,AE758),"")</f>
        <v/>
      </c>
      <c r="AO758" s="14" t="str">
        <f>IF(AE758&gt;0,ROUND(INDEX(挂机升级突破!$BX$6:$CH$57,卡牌消耗!AI758,AE758)*INDEX(卡牌消耗!$B$7:$F$7,AG758)/$Q$4,0),"")</f>
        <v/>
      </c>
    </row>
    <row r="759" spans="27:41" ht="16.5" x14ac:dyDescent="0.2">
      <c r="AA759" s="104">
        <v>755</v>
      </c>
      <c r="AB759" s="14">
        <f t="shared" si="188"/>
        <v>15</v>
      </c>
      <c r="AC759" s="14">
        <f>INDEX(挂机升级突破!$BU$6:$BU$57,卡牌消耗!AI759)</f>
        <v>11</v>
      </c>
      <c r="AD759" s="14">
        <f>INDEX(挂机升级突破!BV$6:BV$57,卡牌消耗!$AI759)</f>
        <v>4</v>
      </c>
      <c r="AE759" s="14">
        <f>INDEX(挂机升级突破!BW$6:BW$57,卡牌消耗!$AI759)</f>
        <v>0</v>
      </c>
      <c r="AF759" s="14" t="str">
        <f t="shared" si="189"/>
        <v>于禁</v>
      </c>
      <c r="AG759" s="14">
        <f t="shared" si="190"/>
        <v>2</v>
      </c>
      <c r="AH759" s="14" t="str">
        <f t="shared" si="191"/>
        <v>于禁魂火-27</v>
      </c>
      <c r="AI759" s="14">
        <f t="shared" si="192"/>
        <v>27</v>
      </c>
      <c r="AJ759" s="14" t="str">
        <f>INDEX(挂机升级突破!$BX$4:$CH$4,INDEX(挂机升级突破!$BU$6:$BU$57,卡牌消耗!AI759))</f>
        <v>金币</v>
      </c>
      <c r="AK759" s="14">
        <f>ROUND(INDEX(挂机升级突破!$BN$6:$BN$57,卡牌消耗!AI759)*INDEX(卡牌消耗!$B$8:$F$8,AG759)/$Q$4/50,0)*50</f>
        <v>4800</v>
      </c>
      <c r="AL759" s="14" t="str">
        <f>IF(AD759&gt;0,INDEX(挂机升级突破!$BX$4:$CH$4,AD759),"")</f>
        <v>橙色基础材料</v>
      </c>
      <c r="AM759" s="14">
        <f>ROUND(INDEX(挂机升级突破!$BX$6:$CH$57,卡牌消耗!AI759,AD759)*INDEX(卡牌消耗!$B$5:$F$5,AG759)/$Q$4/5,0)*5</f>
        <v>65</v>
      </c>
      <c r="AN759" s="14" t="str">
        <f>IF(AE759&gt;0,INDEX(挂机升级突破!$BX$4:$CH$4,AE759),"")</f>
        <v/>
      </c>
      <c r="AO759" s="14" t="str">
        <f>IF(AE759&gt;0,ROUND(INDEX(挂机升级突破!$BX$6:$CH$57,卡牌消耗!AI759,AE759)*INDEX(卡牌消耗!$B$7:$F$7,AG759)/$Q$4,0),"")</f>
        <v/>
      </c>
    </row>
    <row r="760" spans="27:41" ht="16.5" x14ac:dyDescent="0.2">
      <c r="AA760" s="104">
        <v>756</v>
      </c>
      <c r="AB760" s="14">
        <f t="shared" si="188"/>
        <v>15</v>
      </c>
      <c r="AC760" s="14">
        <f>INDEX(挂机升级突破!$BU$6:$BU$57,卡牌消耗!AI760)</f>
        <v>11</v>
      </c>
      <c r="AD760" s="14">
        <f>INDEX(挂机升级突破!BV$6:BV$57,卡牌消耗!$AI760)</f>
        <v>4</v>
      </c>
      <c r="AE760" s="14">
        <f>INDEX(挂机升级突破!BW$6:BW$57,卡牌消耗!$AI760)</f>
        <v>0</v>
      </c>
      <c r="AF760" s="14" t="str">
        <f t="shared" si="189"/>
        <v>于禁</v>
      </c>
      <c r="AG760" s="14">
        <f t="shared" si="190"/>
        <v>2</v>
      </c>
      <c r="AH760" s="14" t="str">
        <f t="shared" si="191"/>
        <v>于禁魂火-28</v>
      </c>
      <c r="AI760" s="14">
        <f t="shared" si="192"/>
        <v>28</v>
      </c>
      <c r="AJ760" s="14" t="str">
        <f>INDEX(挂机升级突破!$BX$4:$CH$4,INDEX(挂机升级突破!$BU$6:$BU$57,卡牌消耗!AI760))</f>
        <v>金币</v>
      </c>
      <c r="AK760" s="14">
        <f>ROUND(INDEX(挂机升级突破!$BN$6:$BN$57,卡牌消耗!AI760)*INDEX(卡牌消耗!$B$8:$F$8,AG760)/$Q$4/50,0)*50</f>
        <v>4800</v>
      </c>
      <c r="AL760" s="14" t="str">
        <f>IF(AD760&gt;0,INDEX(挂机升级突破!$BX$4:$CH$4,AD760),"")</f>
        <v>橙色基础材料</v>
      </c>
      <c r="AM760" s="14">
        <f>ROUND(INDEX(挂机升级突破!$BX$6:$CH$57,卡牌消耗!AI760,AD760)*INDEX(卡牌消耗!$B$5:$F$5,AG760)/$Q$4/5,0)*5</f>
        <v>65</v>
      </c>
      <c r="AN760" s="14" t="str">
        <f>IF(AE760&gt;0,INDEX(挂机升级突破!$BX$4:$CH$4,AE760),"")</f>
        <v/>
      </c>
      <c r="AO760" s="14" t="str">
        <f>IF(AE760&gt;0,ROUND(INDEX(挂机升级突破!$BX$6:$CH$57,卡牌消耗!AI760,AE760)*INDEX(卡牌消耗!$B$7:$F$7,AG760)/$Q$4,0),"")</f>
        <v/>
      </c>
    </row>
    <row r="761" spans="27:41" ht="16.5" x14ac:dyDescent="0.2">
      <c r="AA761" s="104">
        <v>757</v>
      </c>
      <c r="AB761" s="14">
        <f t="shared" si="188"/>
        <v>15</v>
      </c>
      <c r="AC761" s="14">
        <f>INDEX(挂机升级突破!$BU$6:$BU$57,卡牌消耗!AI761)</f>
        <v>11</v>
      </c>
      <c r="AD761" s="14">
        <f>INDEX(挂机升级突破!BV$6:BV$57,卡牌消耗!$AI761)</f>
        <v>4</v>
      </c>
      <c r="AE761" s="14">
        <f>INDEX(挂机升级突破!BW$6:BW$57,卡牌消耗!$AI761)</f>
        <v>0</v>
      </c>
      <c r="AF761" s="14" t="str">
        <f t="shared" si="189"/>
        <v>于禁</v>
      </c>
      <c r="AG761" s="14">
        <f t="shared" si="190"/>
        <v>2</v>
      </c>
      <c r="AH761" s="14" t="str">
        <f t="shared" si="191"/>
        <v>于禁魂火-29</v>
      </c>
      <c r="AI761" s="14">
        <f t="shared" si="192"/>
        <v>29</v>
      </c>
      <c r="AJ761" s="14" t="str">
        <f>INDEX(挂机升级突破!$BX$4:$CH$4,INDEX(挂机升级突破!$BU$6:$BU$57,卡牌消耗!AI761))</f>
        <v>金币</v>
      </c>
      <c r="AK761" s="14">
        <f>ROUND(INDEX(挂机升级突破!$BN$6:$BN$57,卡牌消耗!AI761)*INDEX(卡牌消耗!$B$8:$F$8,AG761)/$Q$4/50,0)*50</f>
        <v>4850</v>
      </c>
      <c r="AL761" s="14" t="str">
        <f>IF(AD761&gt;0,INDEX(挂机升级突破!$BX$4:$CH$4,AD761),"")</f>
        <v>橙色基础材料</v>
      </c>
      <c r="AM761" s="14">
        <f>ROUND(INDEX(挂机升级突破!$BX$6:$CH$57,卡牌消耗!AI761,AD761)*INDEX(卡牌消耗!$B$5:$F$5,AG761)/$Q$4/5,0)*5</f>
        <v>80</v>
      </c>
      <c r="AN761" s="14" t="str">
        <f>IF(AE761&gt;0,INDEX(挂机升级突破!$BX$4:$CH$4,AE761),"")</f>
        <v/>
      </c>
      <c r="AO761" s="14" t="str">
        <f>IF(AE761&gt;0,ROUND(INDEX(挂机升级突破!$BX$6:$CH$57,卡牌消耗!AI761,AE761)*INDEX(卡牌消耗!$B$7:$F$7,AG761)/$Q$4,0),"")</f>
        <v/>
      </c>
    </row>
    <row r="762" spans="27:41" ht="16.5" x14ac:dyDescent="0.2">
      <c r="AA762" s="104">
        <v>758</v>
      </c>
      <c r="AB762" s="14">
        <f t="shared" si="188"/>
        <v>15</v>
      </c>
      <c r="AC762" s="14">
        <f>INDEX(挂机升级突破!$BU$6:$BU$57,卡牌消耗!AI762)</f>
        <v>11</v>
      </c>
      <c r="AD762" s="14">
        <f>INDEX(挂机升级突破!BV$6:BV$57,卡牌消耗!$AI762)</f>
        <v>4</v>
      </c>
      <c r="AE762" s="14">
        <f>INDEX(挂机升级突破!BW$6:BW$57,卡牌消耗!$AI762)</f>
        <v>0</v>
      </c>
      <c r="AF762" s="14" t="str">
        <f t="shared" si="189"/>
        <v>于禁</v>
      </c>
      <c r="AG762" s="14">
        <f t="shared" si="190"/>
        <v>2</v>
      </c>
      <c r="AH762" s="14" t="str">
        <f t="shared" si="191"/>
        <v>于禁魂火-30</v>
      </c>
      <c r="AI762" s="14">
        <f t="shared" si="192"/>
        <v>30</v>
      </c>
      <c r="AJ762" s="14" t="str">
        <f>INDEX(挂机升级突破!$BX$4:$CH$4,INDEX(挂机升级突破!$BU$6:$BU$57,卡牌消耗!AI762))</f>
        <v>金币</v>
      </c>
      <c r="AK762" s="14">
        <f>ROUND(INDEX(挂机升级突破!$BN$6:$BN$57,卡牌消耗!AI762)*INDEX(卡牌消耗!$B$8:$F$8,AG762)/$Q$4/50,0)*50</f>
        <v>4850</v>
      </c>
      <c r="AL762" s="14" t="str">
        <f>IF(AD762&gt;0,INDEX(挂机升级突破!$BX$4:$CH$4,AD762),"")</f>
        <v>橙色基础材料</v>
      </c>
      <c r="AM762" s="14">
        <f>ROUND(INDEX(挂机升级突破!$BX$6:$CH$57,卡牌消耗!AI762,AD762)*INDEX(卡牌消耗!$B$5:$F$5,AG762)/$Q$4/5,0)*5</f>
        <v>80</v>
      </c>
      <c r="AN762" s="14" t="str">
        <f>IF(AE762&gt;0,INDEX(挂机升级突破!$BX$4:$CH$4,AE762),"")</f>
        <v/>
      </c>
      <c r="AO762" s="14" t="str">
        <f>IF(AE762&gt;0,ROUND(INDEX(挂机升级突破!$BX$6:$CH$57,卡牌消耗!AI762,AE762)*INDEX(卡牌消耗!$B$7:$F$7,AG762)/$Q$4,0),"")</f>
        <v/>
      </c>
    </row>
    <row r="763" spans="27:41" ht="16.5" x14ac:dyDescent="0.2">
      <c r="AA763" s="104">
        <v>759</v>
      </c>
      <c r="AB763" s="14">
        <f t="shared" si="188"/>
        <v>15</v>
      </c>
      <c r="AC763" s="14">
        <f>INDEX(挂机升级突破!$BU$6:$BU$57,卡牌消耗!AI763)</f>
        <v>11</v>
      </c>
      <c r="AD763" s="14">
        <f>INDEX(挂机升级突破!BV$6:BV$57,卡牌消耗!$AI763)</f>
        <v>4</v>
      </c>
      <c r="AE763" s="14">
        <f>INDEX(挂机升级突破!BW$6:BW$57,卡牌消耗!$AI763)</f>
        <v>0</v>
      </c>
      <c r="AF763" s="14" t="str">
        <f t="shared" si="189"/>
        <v>于禁</v>
      </c>
      <c r="AG763" s="14">
        <f t="shared" si="190"/>
        <v>2</v>
      </c>
      <c r="AH763" s="14" t="str">
        <f t="shared" si="191"/>
        <v>于禁魂火-31</v>
      </c>
      <c r="AI763" s="14">
        <f t="shared" si="192"/>
        <v>31</v>
      </c>
      <c r="AJ763" s="14" t="str">
        <f>INDEX(挂机升级突破!$BX$4:$CH$4,INDEX(挂机升级突破!$BU$6:$BU$57,卡牌消耗!AI763))</f>
        <v>金币</v>
      </c>
      <c r="AK763" s="14">
        <f>ROUND(INDEX(挂机升级突破!$BN$6:$BN$57,卡牌消耗!AI763)*INDEX(卡牌消耗!$B$8:$F$8,AG763)/$Q$4/50,0)*50</f>
        <v>4850</v>
      </c>
      <c r="AL763" s="14" t="str">
        <f>IF(AD763&gt;0,INDEX(挂机升级突破!$BX$4:$CH$4,AD763),"")</f>
        <v>橙色基础材料</v>
      </c>
      <c r="AM763" s="14">
        <f>ROUND(INDEX(挂机升级突破!$BX$6:$CH$57,卡牌消耗!AI763,AD763)*INDEX(卡牌消耗!$B$5:$F$5,AG763)/$Q$4/5,0)*5</f>
        <v>80</v>
      </c>
      <c r="AN763" s="14" t="str">
        <f>IF(AE763&gt;0,INDEX(挂机升级突破!$BX$4:$CH$4,AE763),"")</f>
        <v/>
      </c>
      <c r="AO763" s="14" t="str">
        <f>IF(AE763&gt;0,ROUND(INDEX(挂机升级突破!$BX$6:$CH$57,卡牌消耗!AI763,AE763)*INDEX(卡牌消耗!$B$7:$F$7,AG763)/$Q$4,0),"")</f>
        <v/>
      </c>
    </row>
    <row r="764" spans="27:41" ht="16.5" x14ac:dyDescent="0.2">
      <c r="AA764" s="104">
        <v>760</v>
      </c>
      <c r="AB764" s="14">
        <f t="shared" si="188"/>
        <v>15</v>
      </c>
      <c r="AC764" s="14">
        <f>INDEX(挂机升级突破!$BU$6:$BU$57,卡牌消耗!AI764)</f>
        <v>11</v>
      </c>
      <c r="AD764" s="14">
        <f>INDEX(挂机升级突破!BV$6:BV$57,卡牌消耗!$AI764)</f>
        <v>4</v>
      </c>
      <c r="AE764" s="14">
        <f>INDEX(挂机升级突破!BW$6:BW$57,卡牌消耗!$AI764)</f>
        <v>0</v>
      </c>
      <c r="AF764" s="14" t="str">
        <f t="shared" si="189"/>
        <v>于禁</v>
      </c>
      <c r="AG764" s="14">
        <f t="shared" si="190"/>
        <v>2</v>
      </c>
      <c r="AH764" s="14" t="str">
        <f t="shared" si="191"/>
        <v>于禁魂火-32</v>
      </c>
      <c r="AI764" s="14">
        <f t="shared" si="192"/>
        <v>32</v>
      </c>
      <c r="AJ764" s="14" t="str">
        <f>INDEX(挂机升级突破!$BX$4:$CH$4,INDEX(挂机升级突破!$BU$6:$BU$57,卡牌消耗!AI764))</f>
        <v>金币</v>
      </c>
      <c r="AK764" s="14">
        <f>ROUND(INDEX(挂机升级突破!$BN$6:$BN$57,卡牌消耗!AI764)*INDEX(卡牌消耗!$B$8:$F$8,AG764)/$Q$4/50,0)*50</f>
        <v>6650</v>
      </c>
      <c r="AL764" s="14" t="str">
        <f>IF(AD764&gt;0,INDEX(挂机升级突破!$BX$4:$CH$4,AD764),"")</f>
        <v>橙色基础材料</v>
      </c>
      <c r="AM764" s="14">
        <f>ROUND(INDEX(挂机升级突破!$BX$6:$CH$57,卡牌消耗!AI764,AD764)*INDEX(卡牌消耗!$B$5:$F$5,AG764)/$Q$4/5,0)*5</f>
        <v>80</v>
      </c>
      <c r="AN764" s="14" t="str">
        <f>IF(AE764&gt;0,INDEX(挂机升级突破!$BX$4:$CH$4,AE764),"")</f>
        <v/>
      </c>
      <c r="AO764" s="14" t="str">
        <f>IF(AE764&gt;0,ROUND(INDEX(挂机升级突破!$BX$6:$CH$57,卡牌消耗!AI764,AE764)*INDEX(卡牌消耗!$B$7:$F$7,AG764)/$Q$4,0),"")</f>
        <v/>
      </c>
    </row>
    <row r="765" spans="27:41" ht="16.5" x14ac:dyDescent="0.2">
      <c r="AA765" s="104">
        <v>761</v>
      </c>
      <c r="AB765" s="14">
        <f t="shared" si="188"/>
        <v>15</v>
      </c>
      <c r="AC765" s="14">
        <f>INDEX(挂机升级突破!$BU$6:$BU$57,卡牌消耗!AI765)</f>
        <v>11</v>
      </c>
      <c r="AD765" s="14">
        <f>INDEX(挂机升级突破!BV$6:BV$57,卡牌消耗!$AI765)</f>
        <v>4</v>
      </c>
      <c r="AE765" s="14">
        <f>INDEX(挂机升级突破!BW$6:BW$57,卡牌消耗!$AI765)</f>
        <v>0</v>
      </c>
      <c r="AF765" s="14" t="str">
        <f t="shared" si="189"/>
        <v>于禁</v>
      </c>
      <c r="AG765" s="14">
        <f t="shared" si="190"/>
        <v>2</v>
      </c>
      <c r="AH765" s="14" t="str">
        <f t="shared" si="191"/>
        <v>于禁魂火-33</v>
      </c>
      <c r="AI765" s="14">
        <f t="shared" si="192"/>
        <v>33</v>
      </c>
      <c r="AJ765" s="14" t="str">
        <f>INDEX(挂机升级突破!$BX$4:$CH$4,INDEX(挂机升级突破!$BU$6:$BU$57,卡牌消耗!AI765))</f>
        <v>金币</v>
      </c>
      <c r="AK765" s="14">
        <f>ROUND(INDEX(挂机升级突破!$BN$6:$BN$57,卡牌消耗!AI765)*INDEX(卡牌消耗!$B$8:$F$8,AG765)/$Q$4/50,0)*50</f>
        <v>6650</v>
      </c>
      <c r="AL765" s="14" t="str">
        <f>IF(AD765&gt;0,INDEX(挂机升级突破!$BX$4:$CH$4,AD765),"")</f>
        <v>橙色基础材料</v>
      </c>
      <c r="AM765" s="14">
        <f>ROUND(INDEX(挂机升级突破!$BX$6:$CH$57,卡牌消耗!AI765,AD765)*INDEX(卡牌消耗!$B$5:$F$5,AG765)/$Q$4/5,0)*5</f>
        <v>80</v>
      </c>
      <c r="AN765" s="14" t="str">
        <f>IF(AE765&gt;0,INDEX(挂机升级突破!$BX$4:$CH$4,AE765),"")</f>
        <v/>
      </c>
      <c r="AO765" s="14" t="str">
        <f>IF(AE765&gt;0,ROUND(INDEX(挂机升级突破!$BX$6:$CH$57,卡牌消耗!AI765,AE765)*INDEX(卡牌消耗!$B$7:$F$7,AG765)/$Q$4,0),"")</f>
        <v/>
      </c>
    </row>
    <row r="766" spans="27:41" ht="16.5" x14ac:dyDescent="0.2">
      <c r="AA766" s="104">
        <v>762</v>
      </c>
      <c r="AB766" s="14">
        <f t="shared" si="188"/>
        <v>15</v>
      </c>
      <c r="AC766" s="14">
        <f>INDEX(挂机升级突破!$BU$6:$BU$57,卡牌消耗!AI766)</f>
        <v>11</v>
      </c>
      <c r="AD766" s="14">
        <f>INDEX(挂机升级突破!BV$6:BV$57,卡牌消耗!$AI766)</f>
        <v>4</v>
      </c>
      <c r="AE766" s="14">
        <f>INDEX(挂机升级突破!BW$6:BW$57,卡牌消耗!$AI766)</f>
        <v>0</v>
      </c>
      <c r="AF766" s="14" t="str">
        <f t="shared" si="189"/>
        <v>于禁</v>
      </c>
      <c r="AG766" s="14">
        <f t="shared" si="190"/>
        <v>2</v>
      </c>
      <c r="AH766" s="14" t="str">
        <f t="shared" si="191"/>
        <v>于禁魂火-34</v>
      </c>
      <c r="AI766" s="14">
        <f t="shared" si="192"/>
        <v>34</v>
      </c>
      <c r="AJ766" s="14" t="str">
        <f>INDEX(挂机升级突破!$BX$4:$CH$4,INDEX(挂机升级突破!$BU$6:$BU$57,卡牌消耗!AI766))</f>
        <v>金币</v>
      </c>
      <c r="AK766" s="14">
        <f>ROUND(INDEX(挂机升级突破!$BN$6:$BN$57,卡牌消耗!AI766)*INDEX(卡牌消耗!$B$8:$F$8,AG766)/$Q$4/50,0)*50</f>
        <v>6650</v>
      </c>
      <c r="AL766" s="14" t="str">
        <f>IF(AD766&gt;0,INDEX(挂机升级突破!$BX$4:$CH$4,AD766),"")</f>
        <v>橙色基础材料</v>
      </c>
      <c r="AM766" s="14">
        <f>ROUND(INDEX(挂机升级突破!$BX$6:$CH$57,卡牌消耗!AI766,AD766)*INDEX(卡牌消耗!$B$5:$F$5,AG766)/$Q$4/5,0)*5</f>
        <v>90</v>
      </c>
      <c r="AN766" s="14" t="str">
        <f>IF(AE766&gt;0,INDEX(挂机升级突破!$BX$4:$CH$4,AE766),"")</f>
        <v/>
      </c>
      <c r="AO766" s="14" t="str">
        <f>IF(AE766&gt;0,ROUND(INDEX(挂机升级突破!$BX$6:$CH$57,卡牌消耗!AI766,AE766)*INDEX(卡牌消耗!$B$7:$F$7,AG766)/$Q$4,0),"")</f>
        <v/>
      </c>
    </row>
    <row r="767" spans="27:41" ht="16.5" x14ac:dyDescent="0.2">
      <c r="AA767" s="104">
        <v>763</v>
      </c>
      <c r="AB767" s="14">
        <f t="shared" si="188"/>
        <v>15</v>
      </c>
      <c r="AC767" s="14">
        <f>INDEX(挂机升级突破!$BU$6:$BU$57,卡牌消耗!AI767)</f>
        <v>11</v>
      </c>
      <c r="AD767" s="14">
        <f>INDEX(挂机升级突破!BV$6:BV$57,卡牌消耗!$AI767)</f>
        <v>4</v>
      </c>
      <c r="AE767" s="14">
        <f>INDEX(挂机升级突破!BW$6:BW$57,卡牌消耗!$AI767)</f>
        <v>0</v>
      </c>
      <c r="AF767" s="14" t="str">
        <f t="shared" si="189"/>
        <v>于禁</v>
      </c>
      <c r="AG767" s="14">
        <f t="shared" si="190"/>
        <v>2</v>
      </c>
      <c r="AH767" s="14" t="str">
        <f t="shared" si="191"/>
        <v>于禁魂火-35</v>
      </c>
      <c r="AI767" s="14">
        <f t="shared" si="192"/>
        <v>35</v>
      </c>
      <c r="AJ767" s="14" t="str">
        <f>INDEX(挂机升级突破!$BX$4:$CH$4,INDEX(挂机升级突破!$BU$6:$BU$57,卡牌消耗!AI767))</f>
        <v>金币</v>
      </c>
      <c r="AK767" s="14">
        <f>ROUND(INDEX(挂机升级突破!$BN$6:$BN$57,卡牌消耗!AI767)*INDEX(卡牌消耗!$B$8:$F$8,AG767)/$Q$4/50,0)*50</f>
        <v>8450</v>
      </c>
      <c r="AL767" s="14" t="str">
        <f>IF(AD767&gt;0,INDEX(挂机升级突破!$BX$4:$CH$4,AD767),"")</f>
        <v>橙色基础材料</v>
      </c>
      <c r="AM767" s="14">
        <f>ROUND(INDEX(挂机升级突破!$BX$6:$CH$57,卡牌消耗!AI767,AD767)*INDEX(卡牌消耗!$B$5:$F$5,AG767)/$Q$4/5,0)*5</f>
        <v>90</v>
      </c>
      <c r="AN767" s="14" t="str">
        <f>IF(AE767&gt;0,INDEX(挂机升级突破!$BX$4:$CH$4,AE767),"")</f>
        <v/>
      </c>
      <c r="AO767" s="14" t="str">
        <f>IF(AE767&gt;0,ROUND(INDEX(挂机升级突破!$BX$6:$CH$57,卡牌消耗!AI767,AE767)*INDEX(卡牌消耗!$B$7:$F$7,AG767)/$Q$4,0),"")</f>
        <v/>
      </c>
    </row>
    <row r="768" spans="27:41" ht="16.5" x14ac:dyDescent="0.2">
      <c r="AA768" s="104">
        <v>764</v>
      </c>
      <c r="AB768" s="14">
        <f t="shared" si="188"/>
        <v>15</v>
      </c>
      <c r="AC768" s="14">
        <f>INDEX(挂机升级突破!$BU$6:$BU$57,卡牌消耗!AI768)</f>
        <v>11</v>
      </c>
      <c r="AD768" s="14">
        <f>INDEX(挂机升级突破!BV$6:BV$57,卡牌消耗!$AI768)</f>
        <v>4</v>
      </c>
      <c r="AE768" s="14">
        <f>INDEX(挂机升级突破!BW$6:BW$57,卡牌消耗!$AI768)</f>
        <v>0</v>
      </c>
      <c r="AF768" s="14" t="str">
        <f t="shared" si="189"/>
        <v>于禁</v>
      </c>
      <c r="AG768" s="14">
        <f t="shared" si="190"/>
        <v>2</v>
      </c>
      <c r="AH768" s="14" t="str">
        <f t="shared" si="191"/>
        <v>于禁魂火-36</v>
      </c>
      <c r="AI768" s="14">
        <f t="shared" si="192"/>
        <v>36</v>
      </c>
      <c r="AJ768" s="14" t="str">
        <f>INDEX(挂机升级突破!$BX$4:$CH$4,INDEX(挂机升级突破!$BU$6:$BU$57,卡牌消耗!AI768))</f>
        <v>金币</v>
      </c>
      <c r="AK768" s="14">
        <f>ROUND(INDEX(挂机升级突破!$BN$6:$BN$57,卡牌消耗!AI768)*INDEX(卡牌消耗!$B$8:$F$8,AG768)/$Q$4/50,0)*50</f>
        <v>8450</v>
      </c>
      <c r="AL768" s="14" t="str">
        <f>IF(AD768&gt;0,INDEX(挂机升级突破!$BX$4:$CH$4,AD768),"")</f>
        <v>橙色基础材料</v>
      </c>
      <c r="AM768" s="14">
        <f>ROUND(INDEX(挂机升级突破!$BX$6:$CH$57,卡牌消耗!AI768,AD768)*INDEX(卡牌消耗!$B$5:$F$5,AG768)/$Q$4/5,0)*5</f>
        <v>90</v>
      </c>
      <c r="AN768" s="14" t="str">
        <f>IF(AE768&gt;0,INDEX(挂机升级突破!$BX$4:$CH$4,AE768),"")</f>
        <v/>
      </c>
      <c r="AO768" s="14" t="str">
        <f>IF(AE768&gt;0,ROUND(INDEX(挂机升级突破!$BX$6:$CH$57,卡牌消耗!AI768,AE768)*INDEX(卡牌消耗!$B$7:$F$7,AG768)/$Q$4,0),"")</f>
        <v/>
      </c>
    </row>
    <row r="769" spans="27:41" ht="16.5" x14ac:dyDescent="0.2">
      <c r="AA769" s="104">
        <v>765</v>
      </c>
      <c r="AB769" s="14">
        <f t="shared" si="188"/>
        <v>15</v>
      </c>
      <c r="AC769" s="14">
        <f>INDEX(挂机升级突破!$BU$6:$BU$57,卡牌消耗!AI769)</f>
        <v>11</v>
      </c>
      <c r="AD769" s="14">
        <f>INDEX(挂机升级突破!BV$6:BV$57,卡牌消耗!$AI769)</f>
        <v>4</v>
      </c>
      <c r="AE769" s="14">
        <f>INDEX(挂机升级突破!BW$6:BW$57,卡牌消耗!$AI769)</f>
        <v>0</v>
      </c>
      <c r="AF769" s="14" t="str">
        <f t="shared" si="189"/>
        <v>于禁</v>
      </c>
      <c r="AG769" s="14">
        <f t="shared" si="190"/>
        <v>2</v>
      </c>
      <c r="AH769" s="14" t="str">
        <f t="shared" si="191"/>
        <v>于禁魂火-37</v>
      </c>
      <c r="AI769" s="14">
        <f t="shared" si="192"/>
        <v>37</v>
      </c>
      <c r="AJ769" s="14" t="str">
        <f>INDEX(挂机升级突破!$BX$4:$CH$4,INDEX(挂机升级突破!$BU$6:$BU$57,卡牌消耗!AI769))</f>
        <v>金币</v>
      </c>
      <c r="AK769" s="14">
        <f>ROUND(INDEX(挂机升级突破!$BN$6:$BN$57,卡牌消耗!AI769)*INDEX(卡牌消耗!$B$8:$F$8,AG769)/$Q$4/50,0)*50</f>
        <v>9050</v>
      </c>
      <c r="AL769" s="14" t="str">
        <f>IF(AD769&gt;0,INDEX(挂机升级突破!$BX$4:$CH$4,AD769),"")</f>
        <v>橙色基础材料</v>
      </c>
      <c r="AM769" s="14">
        <f>ROUND(INDEX(挂机升级突破!$BX$6:$CH$57,卡牌消耗!AI769,AD769)*INDEX(卡牌消耗!$B$5:$F$5,AG769)/$Q$4/5,0)*5</f>
        <v>90</v>
      </c>
      <c r="AN769" s="14" t="str">
        <f>IF(AE769&gt;0,INDEX(挂机升级突破!$BX$4:$CH$4,AE769),"")</f>
        <v/>
      </c>
      <c r="AO769" s="14" t="str">
        <f>IF(AE769&gt;0,ROUND(INDEX(挂机升级突破!$BX$6:$CH$57,卡牌消耗!AI769,AE769)*INDEX(卡牌消耗!$B$7:$F$7,AG769)/$Q$4,0),"")</f>
        <v/>
      </c>
    </row>
    <row r="770" spans="27:41" ht="16.5" x14ac:dyDescent="0.2">
      <c r="AA770" s="104">
        <v>766</v>
      </c>
      <c r="AB770" s="14">
        <f t="shared" si="188"/>
        <v>15</v>
      </c>
      <c r="AC770" s="14">
        <f>INDEX(挂机升级突破!$BU$6:$BU$57,卡牌消耗!AI770)</f>
        <v>11</v>
      </c>
      <c r="AD770" s="14">
        <f>INDEX(挂机升级突破!BV$6:BV$57,卡牌消耗!$AI770)</f>
        <v>5</v>
      </c>
      <c r="AE770" s="14">
        <f>INDEX(挂机升级突破!BW$6:BW$57,卡牌消耗!$AI770)</f>
        <v>0</v>
      </c>
      <c r="AF770" s="14" t="str">
        <f t="shared" si="189"/>
        <v>于禁</v>
      </c>
      <c r="AG770" s="14">
        <f t="shared" si="190"/>
        <v>2</v>
      </c>
      <c r="AH770" s="14" t="str">
        <f t="shared" si="191"/>
        <v>于禁魂火-38</v>
      </c>
      <c r="AI770" s="14">
        <f t="shared" si="192"/>
        <v>38</v>
      </c>
      <c r="AJ770" s="14" t="str">
        <f>INDEX(挂机升级突破!$BX$4:$CH$4,INDEX(挂机升级突破!$BU$6:$BU$57,卡牌消耗!AI770))</f>
        <v>金币</v>
      </c>
      <c r="AK770" s="14">
        <f>ROUND(INDEX(挂机升级突破!$BN$6:$BN$57,卡牌消耗!AI770)*INDEX(卡牌消耗!$B$8:$F$8,AG770)/$Q$4/50,0)*50</f>
        <v>11700</v>
      </c>
      <c r="AL770" s="14" t="str">
        <f>IF(AD770&gt;0,INDEX(挂机升级突破!$BX$4:$CH$4,AD770),"")</f>
        <v>红色基础材料</v>
      </c>
      <c r="AM770" s="14">
        <f>ROUND(INDEX(挂机升级突破!$BX$6:$CH$57,卡牌消耗!AI770,AD770)*INDEX(卡牌消耗!$B$5:$F$5,AG770)/$Q$4/5,0)*5</f>
        <v>35</v>
      </c>
      <c r="AN770" s="14" t="str">
        <f>IF(AE770&gt;0,INDEX(挂机升级突破!$BX$4:$CH$4,AE770),"")</f>
        <v/>
      </c>
      <c r="AO770" s="14" t="str">
        <f>IF(AE770&gt;0,ROUND(INDEX(挂机升级突破!$BX$6:$CH$57,卡牌消耗!AI770,AE770)*INDEX(卡牌消耗!$B$7:$F$7,AG770)/$Q$4,0),"")</f>
        <v/>
      </c>
    </row>
    <row r="771" spans="27:41" ht="16.5" x14ac:dyDescent="0.2">
      <c r="AA771" s="104">
        <v>767</v>
      </c>
      <c r="AB771" s="14">
        <f t="shared" si="188"/>
        <v>15</v>
      </c>
      <c r="AC771" s="14">
        <f>INDEX(挂机升级突破!$BU$6:$BU$57,卡牌消耗!AI771)</f>
        <v>11</v>
      </c>
      <c r="AD771" s="14">
        <f>INDEX(挂机升级突破!BV$6:BV$57,卡牌消耗!$AI771)</f>
        <v>5</v>
      </c>
      <c r="AE771" s="14">
        <f>INDEX(挂机升级突破!BW$6:BW$57,卡牌消耗!$AI771)</f>
        <v>0</v>
      </c>
      <c r="AF771" s="14" t="str">
        <f t="shared" si="189"/>
        <v>于禁</v>
      </c>
      <c r="AG771" s="14">
        <f t="shared" si="190"/>
        <v>2</v>
      </c>
      <c r="AH771" s="14" t="str">
        <f t="shared" si="191"/>
        <v>于禁魂火-39</v>
      </c>
      <c r="AI771" s="14">
        <f t="shared" si="192"/>
        <v>39</v>
      </c>
      <c r="AJ771" s="14" t="str">
        <f>INDEX(挂机升级突破!$BX$4:$CH$4,INDEX(挂机升级突破!$BU$6:$BU$57,卡牌消耗!AI771))</f>
        <v>金币</v>
      </c>
      <c r="AK771" s="14">
        <f>ROUND(INDEX(挂机升级突破!$BN$6:$BN$57,卡牌消耗!AI771)*INDEX(卡牌消耗!$B$8:$F$8,AG771)/$Q$4/50,0)*50</f>
        <v>11700</v>
      </c>
      <c r="AL771" s="14" t="str">
        <f>IF(AD771&gt;0,INDEX(挂机升级突破!$BX$4:$CH$4,AD771),"")</f>
        <v>红色基础材料</v>
      </c>
      <c r="AM771" s="14">
        <f>ROUND(INDEX(挂机升级突破!$BX$6:$CH$57,卡牌消耗!AI771,AD771)*INDEX(卡牌消耗!$B$5:$F$5,AG771)/$Q$4/5,0)*5</f>
        <v>35</v>
      </c>
      <c r="AN771" s="14" t="str">
        <f>IF(AE771&gt;0,INDEX(挂机升级突破!$BX$4:$CH$4,AE771),"")</f>
        <v/>
      </c>
      <c r="AO771" s="14" t="str">
        <f>IF(AE771&gt;0,ROUND(INDEX(挂机升级突破!$BX$6:$CH$57,卡牌消耗!AI771,AE771)*INDEX(卡牌消耗!$B$7:$F$7,AG771)/$Q$4,0),"")</f>
        <v/>
      </c>
    </row>
    <row r="772" spans="27:41" ht="16.5" x14ac:dyDescent="0.2">
      <c r="AA772" s="104">
        <v>768</v>
      </c>
      <c r="AB772" s="14">
        <f t="shared" si="188"/>
        <v>15</v>
      </c>
      <c r="AC772" s="14">
        <f>INDEX(挂机升级突破!$BU$6:$BU$57,卡牌消耗!AI772)</f>
        <v>11</v>
      </c>
      <c r="AD772" s="14">
        <f>INDEX(挂机升级突破!BV$6:BV$57,卡牌消耗!$AI772)</f>
        <v>5</v>
      </c>
      <c r="AE772" s="14">
        <f>INDEX(挂机升级突破!BW$6:BW$57,卡牌消耗!$AI772)</f>
        <v>0</v>
      </c>
      <c r="AF772" s="14" t="str">
        <f t="shared" si="189"/>
        <v>于禁</v>
      </c>
      <c r="AG772" s="14">
        <f t="shared" si="190"/>
        <v>2</v>
      </c>
      <c r="AH772" s="14" t="str">
        <f t="shared" si="191"/>
        <v>于禁魂火-40</v>
      </c>
      <c r="AI772" s="14">
        <f t="shared" si="192"/>
        <v>40</v>
      </c>
      <c r="AJ772" s="14" t="str">
        <f>INDEX(挂机升级突破!$BX$4:$CH$4,INDEX(挂机升级突破!$BU$6:$BU$57,卡牌消耗!AI772))</f>
        <v>金币</v>
      </c>
      <c r="AK772" s="14">
        <f>ROUND(INDEX(挂机升级突破!$BN$6:$BN$57,卡牌消耗!AI772)*INDEX(卡牌消耗!$B$8:$F$8,AG772)/$Q$4/50,0)*50</f>
        <v>11700</v>
      </c>
      <c r="AL772" s="14" t="str">
        <f>IF(AD772&gt;0,INDEX(挂机升级突破!$BX$4:$CH$4,AD772),"")</f>
        <v>红色基础材料</v>
      </c>
      <c r="AM772" s="14">
        <f>ROUND(INDEX(挂机升级突破!$BX$6:$CH$57,卡牌消耗!AI772,AD772)*INDEX(卡牌消耗!$B$5:$F$5,AG772)/$Q$4/5,0)*5</f>
        <v>35</v>
      </c>
      <c r="AN772" s="14" t="str">
        <f>IF(AE772&gt;0,INDEX(挂机升级突破!$BX$4:$CH$4,AE772),"")</f>
        <v/>
      </c>
      <c r="AO772" s="14" t="str">
        <f>IF(AE772&gt;0,ROUND(INDEX(挂机升级突破!$BX$6:$CH$57,卡牌消耗!AI772,AE772)*INDEX(卡牌消耗!$B$7:$F$7,AG772)/$Q$4,0),"")</f>
        <v/>
      </c>
    </row>
    <row r="773" spans="27:41" ht="16.5" x14ac:dyDescent="0.2">
      <c r="AA773" s="104">
        <v>769</v>
      </c>
      <c r="AB773" s="14">
        <f t="shared" si="188"/>
        <v>15</v>
      </c>
      <c r="AC773" s="14">
        <f>INDEX(挂机升级突破!$BU$6:$BU$57,卡牌消耗!AI773)</f>
        <v>11</v>
      </c>
      <c r="AD773" s="14">
        <f>INDEX(挂机升级突破!BV$6:BV$57,卡牌消耗!$AI773)</f>
        <v>5</v>
      </c>
      <c r="AE773" s="14">
        <f>INDEX(挂机升级突破!BW$6:BW$57,卡牌消耗!$AI773)</f>
        <v>10</v>
      </c>
      <c r="AF773" s="14" t="str">
        <f t="shared" si="189"/>
        <v>于禁</v>
      </c>
      <c r="AG773" s="14">
        <f t="shared" si="190"/>
        <v>2</v>
      </c>
      <c r="AH773" s="14" t="str">
        <f t="shared" si="191"/>
        <v>于禁魂火-41</v>
      </c>
      <c r="AI773" s="14">
        <f t="shared" si="192"/>
        <v>41</v>
      </c>
      <c r="AJ773" s="14" t="str">
        <f>INDEX(挂机升级突破!$BX$4:$CH$4,INDEX(挂机升级突破!$BU$6:$BU$57,卡牌消耗!AI773))</f>
        <v>金币</v>
      </c>
      <c r="AK773" s="14">
        <f>ROUND(INDEX(挂机升级突破!$BN$6:$BN$57,卡牌消耗!AI773)*INDEX(卡牌消耗!$B$8:$F$8,AG773)/$Q$4/50,0)*50</f>
        <v>16100</v>
      </c>
      <c r="AL773" s="14" t="str">
        <f>IF(AD773&gt;0,INDEX(挂机升级突破!$BX$4:$CH$4,AD773),"")</f>
        <v>红色基础材料</v>
      </c>
      <c r="AM773" s="14">
        <f>ROUND(INDEX(挂机升级突破!$BX$6:$CH$57,卡牌消耗!AI773,AD773)*INDEX(卡牌消耗!$B$5:$F$5,AG773)/$Q$4/5,0)*5</f>
        <v>45</v>
      </c>
      <c r="AN773" s="14" t="str">
        <f>IF(AE773&gt;0,INDEX(挂机升级突破!$BX$4:$CH$4,AE773),"")</f>
        <v>灵玉</v>
      </c>
      <c r="AO773" s="14">
        <f>IF(AE773&gt;0,ROUND(INDEX(挂机升级突破!$BX$6:$CH$57,卡牌消耗!AI773,AE773)*INDEX(卡牌消耗!$B$7:$F$7,AG773)/$Q$4,0),"")</f>
        <v>1</v>
      </c>
    </row>
    <row r="774" spans="27:41" ht="16.5" x14ac:dyDescent="0.2">
      <c r="AA774" s="104">
        <v>770</v>
      </c>
      <c r="AB774" s="14">
        <f t="shared" ref="AB774:AB837" si="193">INT((AA774-1)/52)+1</f>
        <v>15</v>
      </c>
      <c r="AC774" s="14">
        <f>INDEX(挂机升级突破!$BU$6:$BU$57,卡牌消耗!AI774)</f>
        <v>11</v>
      </c>
      <c r="AD774" s="14">
        <f>INDEX(挂机升级突破!BV$6:BV$57,卡牌消耗!$AI774)</f>
        <v>5</v>
      </c>
      <c r="AE774" s="14">
        <f>INDEX(挂机升级突破!BW$6:BW$57,卡牌消耗!$AI774)</f>
        <v>10</v>
      </c>
      <c r="AF774" s="14" t="str">
        <f t="shared" ref="AF774:AF837" si="194">INDEX($B$13:$B$40,AB774)</f>
        <v>于禁</v>
      </c>
      <c r="AG774" s="14">
        <f t="shared" ref="AG774:AG837" si="195">INDEX($C$13:$C$40,AB774)</f>
        <v>2</v>
      </c>
      <c r="AH774" s="14" t="str">
        <f t="shared" ref="AH774:AH837" si="196">AF774&amp;"魂火-"&amp;AI774</f>
        <v>于禁魂火-42</v>
      </c>
      <c r="AI774" s="14">
        <f t="shared" ref="AI774:AI837" si="197">AA774-(AB774-1)*52</f>
        <v>42</v>
      </c>
      <c r="AJ774" s="14" t="str">
        <f>INDEX(挂机升级突破!$BX$4:$CH$4,INDEX(挂机升级突破!$BU$6:$BU$57,卡牌消耗!AI774))</f>
        <v>金币</v>
      </c>
      <c r="AK774" s="14">
        <f>ROUND(INDEX(挂机升级突破!$BN$6:$BN$57,卡牌消耗!AI774)*INDEX(卡牌消耗!$B$8:$F$8,AG774)/$Q$4/50,0)*50</f>
        <v>16100</v>
      </c>
      <c r="AL774" s="14" t="str">
        <f>IF(AD774&gt;0,INDEX(挂机升级突破!$BX$4:$CH$4,AD774),"")</f>
        <v>红色基础材料</v>
      </c>
      <c r="AM774" s="14">
        <f>ROUND(INDEX(挂机升级突破!$BX$6:$CH$57,卡牌消耗!AI774,AD774)*INDEX(卡牌消耗!$B$5:$F$5,AG774)/$Q$4/5,0)*5</f>
        <v>45</v>
      </c>
      <c r="AN774" s="14" t="str">
        <f>IF(AE774&gt;0,INDEX(挂机升级突破!$BX$4:$CH$4,AE774),"")</f>
        <v>灵玉</v>
      </c>
      <c r="AO774" s="14">
        <f>IF(AE774&gt;0,ROUND(INDEX(挂机升级突破!$BX$6:$CH$57,卡牌消耗!AI774,AE774)*INDEX(卡牌消耗!$B$7:$F$7,AG774)/$Q$4,0),"")</f>
        <v>1</v>
      </c>
    </row>
    <row r="775" spans="27:41" ht="16.5" x14ac:dyDescent="0.2">
      <c r="AA775" s="104">
        <v>771</v>
      </c>
      <c r="AB775" s="14">
        <f t="shared" si="193"/>
        <v>15</v>
      </c>
      <c r="AC775" s="14">
        <f>INDEX(挂机升级突破!$BU$6:$BU$57,卡牌消耗!AI775)</f>
        <v>11</v>
      </c>
      <c r="AD775" s="14">
        <f>INDEX(挂机升级突破!BV$6:BV$57,卡牌消耗!$AI775)</f>
        <v>5</v>
      </c>
      <c r="AE775" s="14">
        <f>INDEX(挂机升级突破!BW$6:BW$57,卡牌消耗!$AI775)</f>
        <v>10</v>
      </c>
      <c r="AF775" s="14" t="str">
        <f t="shared" si="194"/>
        <v>于禁</v>
      </c>
      <c r="AG775" s="14">
        <f t="shared" si="195"/>
        <v>2</v>
      </c>
      <c r="AH775" s="14" t="str">
        <f t="shared" si="196"/>
        <v>于禁魂火-43</v>
      </c>
      <c r="AI775" s="14">
        <f t="shared" si="197"/>
        <v>43</v>
      </c>
      <c r="AJ775" s="14" t="str">
        <f>INDEX(挂机升级突破!$BX$4:$CH$4,INDEX(挂机升级突破!$BU$6:$BU$57,卡牌消耗!AI775))</f>
        <v>金币</v>
      </c>
      <c r="AK775" s="14">
        <f>ROUND(INDEX(挂机升级突破!$BN$6:$BN$57,卡牌消耗!AI775)*INDEX(卡牌消耗!$B$8:$F$8,AG775)/$Q$4/50,0)*50</f>
        <v>16100</v>
      </c>
      <c r="AL775" s="14" t="str">
        <f>IF(AD775&gt;0,INDEX(挂机升级突破!$BX$4:$CH$4,AD775),"")</f>
        <v>红色基础材料</v>
      </c>
      <c r="AM775" s="14">
        <f>ROUND(INDEX(挂机升级突破!$BX$6:$CH$57,卡牌消耗!AI775,AD775)*INDEX(卡牌消耗!$B$5:$F$5,AG775)/$Q$4/5,0)*5</f>
        <v>45</v>
      </c>
      <c r="AN775" s="14" t="str">
        <f>IF(AE775&gt;0,INDEX(挂机升级突破!$BX$4:$CH$4,AE775),"")</f>
        <v>灵玉</v>
      </c>
      <c r="AO775" s="14">
        <f>IF(AE775&gt;0,ROUND(INDEX(挂机升级突破!$BX$6:$CH$57,卡牌消耗!AI775,AE775)*INDEX(卡牌消耗!$B$7:$F$7,AG775)/$Q$4,0),"")</f>
        <v>1</v>
      </c>
    </row>
    <row r="776" spans="27:41" ht="16.5" x14ac:dyDescent="0.2">
      <c r="AA776" s="104">
        <v>772</v>
      </c>
      <c r="AB776" s="14">
        <f t="shared" si="193"/>
        <v>15</v>
      </c>
      <c r="AC776" s="14">
        <f>INDEX(挂机升级突破!$BU$6:$BU$57,卡牌消耗!AI776)</f>
        <v>11</v>
      </c>
      <c r="AD776" s="14">
        <f>INDEX(挂机升级突破!BV$6:BV$57,卡牌消耗!$AI776)</f>
        <v>5</v>
      </c>
      <c r="AE776" s="14">
        <f>INDEX(挂机升级突破!BW$6:BW$57,卡牌消耗!$AI776)</f>
        <v>10</v>
      </c>
      <c r="AF776" s="14" t="str">
        <f t="shared" si="194"/>
        <v>于禁</v>
      </c>
      <c r="AG776" s="14">
        <f t="shared" si="195"/>
        <v>2</v>
      </c>
      <c r="AH776" s="14" t="str">
        <f t="shared" si="196"/>
        <v>于禁魂火-44</v>
      </c>
      <c r="AI776" s="14">
        <f t="shared" si="197"/>
        <v>44</v>
      </c>
      <c r="AJ776" s="14" t="str">
        <f>INDEX(挂机升级突破!$BX$4:$CH$4,INDEX(挂机升级突破!$BU$6:$BU$57,卡牌消耗!AI776))</f>
        <v>金币</v>
      </c>
      <c r="AK776" s="14">
        <f>ROUND(INDEX(挂机升级突破!$BN$6:$BN$57,卡牌消耗!AI776)*INDEX(卡牌消耗!$B$8:$F$8,AG776)/$Q$4/50,0)*50</f>
        <v>20450</v>
      </c>
      <c r="AL776" s="14" t="str">
        <f>IF(AD776&gt;0,INDEX(挂机升级突破!$BX$4:$CH$4,AD776),"")</f>
        <v>红色基础材料</v>
      </c>
      <c r="AM776" s="14">
        <f>ROUND(INDEX(挂机升级突破!$BX$6:$CH$57,卡牌消耗!AI776,AD776)*INDEX(卡牌消耗!$B$5:$F$5,AG776)/$Q$4/5,0)*5</f>
        <v>50</v>
      </c>
      <c r="AN776" s="14" t="str">
        <f>IF(AE776&gt;0,INDEX(挂机升级突破!$BX$4:$CH$4,AE776),"")</f>
        <v>灵玉</v>
      </c>
      <c r="AO776" s="14">
        <f>IF(AE776&gt;0,ROUND(INDEX(挂机升级突破!$BX$6:$CH$57,卡牌消耗!AI776,AE776)*INDEX(卡牌消耗!$B$7:$F$7,AG776)/$Q$4,0),"")</f>
        <v>1</v>
      </c>
    </row>
    <row r="777" spans="27:41" ht="16.5" x14ac:dyDescent="0.2">
      <c r="AA777" s="104">
        <v>773</v>
      </c>
      <c r="AB777" s="14">
        <f t="shared" si="193"/>
        <v>15</v>
      </c>
      <c r="AC777" s="14">
        <f>INDEX(挂机升级突破!$BU$6:$BU$57,卡牌消耗!AI777)</f>
        <v>11</v>
      </c>
      <c r="AD777" s="14">
        <f>INDEX(挂机升级突破!BV$6:BV$57,卡牌消耗!$AI777)</f>
        <v>5</v>
      </c>
      <c r="AE777" s="14">
        <f>INDEX(挂机升级突破!BW$6:BW$57,卡牌消耗!$AI777)</f>
        <v>10</v>
      </c>
      <c r="AF777" s="14" t="str">
        <f t="shared" si="194"/>
        <v>于禁</v>
      </c>
      <c r="AG777" s="14">
        <f t="shared" si="195"/>
        <v>2</v>
      </c>
      <c r="AH777" s="14" t="str">
        <f t="shared" si="196"/>
        <v>于禁魂火-45</v>
      </c>
      <c r="AI777" s="14">
        <f t="shared" si="197"/>
        <v>45</v>
      </c>
      <c r="AJ777" s="14" t="str">
        <f>INDEX(挂机升级突破!$BX$4:$CH$4,INDEX(挂机升级突破!$BU$6:$BU$57,卡牌消耗!AI777))</f>
        <v>金币</v>
      </c>
      <c r="AK777" s="14">
        <f>ROUND(INDEX(挂机升级突破!$BN$6:$BN$57,卡牌消耗!AI777)*INDEX(卡牌消耗!$B$8:$F$8,AG777)/$Q$4/50,0)*50</f>
        <v>20450</v>
      </c>
      <c r="AL777" s="14" t="str">
        <f>IF(AD777&gt;0,INDEX(挂机升级突破!$BX$4:$CH$4,AD777),"")</f>
        <v>红色基础材料</v>
      </c>
      <c r="AM777" s="14">
        <f>ROUND(INDEX(挂机升级突破!$BX$6:$CH$57,卡牌消耗!AI777,AD777)*INDEX(卡牌消耗!$B$5:$F$5,AG777)/$Q$4/5,0)*5</f>
        <v>50</v>
      </c>
      <c r="AN777" s="14" t="str">
        <f>IF(AE777&gt;0,INDEX(挂机升级突破!$BX$4:$CH$4,AE777),"")</f>
        <v>灵玉</v>
      </c>
      <c r="AO777" s="14">
        <f>IF(AE777&gt;0,ROUND(INDEX(挂机升级突破!$BX$6:$CH$57,卡牌消耗!AI777,AE777)*INDEX(卡牌消耗!$B$7:$F$7,AG777)/$Q$4,0),"")</f>
        <v>1</v>
      </c>
    </row>
    <row r="778" spans="27:41" ht="16.5" x14ac:dyDescent="0.2">
      <c r="AA778" s="104">
        <v>774</v>
      </c>
      <c r="AB778" s="14">
        <f t="shared" si="193"/>
        <v>15</v>
      </c>
      <c r="AC778" s="14">
        <f>INDEX(挂机升级突破!$BU$6:$BU$57,卡牌消耗!AI778)</f>
        <v>11</v>
      </c>
      <c r="AD778" s="14">
        <f>INDEX(挂机升级突破!BV$6:BV$57,卡牌消耗!$AI778)</f>
        <v>5</v>
      </c>
      <c r="AE778" s="14">
        <f>INDEX(挂机升级突破!BW$6:BW$57,卡牌消耗!$AI778)</f>
        <v>10</v>
      </c>
      <c r="AF778" s="14" t="str">
        <f t="shared" si="194"/>
        <v>于禁</v>
      </c>
      <c r="AG778" s="14">
        <f t="shared" si="195"/>
        <v>2</v>
      </c>
      <c r="AH778" s="14" t="str">
        <f t="shared" si="196"/>
        <v>于禁魂火-46</v>
      </c>
      <c r="AI778" s="14">
        <f t="shared" si="197"/>
        <v>46</v>
      </c>
      <c r="AJ778" s="14" t="str">
        <f>INDEX(挂机升级突破!$BX$4:$CH$4,INDEX(挂机升级突破!$BU$6:$BU$57,卡牌消耗!AI778))</f>
        <v>金币</v>
      </c>
      <c r="AK778" s="14">
        <f>ROUND(INDEX(挂机升级突破!$BN$6:$BN$57,卡牌消耗!AI778)*INDEX(卡牌消耗!$B$8:$F$8,AG778)/$Q$4/50,0)*50</f>
        <v>21950</v>
      </c>
      <c r="AL778" s="14" t="str">
        <f>IF(AD778&gt;0,INDEX(挂机升级突破!$BX$4:$CH$4,AD778),"")</f>
        <v>红色基础材料</v>
      </c>
      <c r="AM778" s="14">
        <f>ROUND(INDEX(挂机升级突破!$BX$6:$CH$57,卡牌消耗!AI778,AD778)*INDEX(卡牌消耗!$B$5:$F$5,AG778)/$Q$4/5,0)*5</f>
        <v>50</v>
      </c>
      <c r="AN778" s="14" t="str">
        <f>IF(AE778&gt;0,INDEX(挂机升级突破!$BX$4:$CH$4,AE778),"")</f>
        <v>灵玉</v>
      </c>
      <c r="AO778" s="14">
        <f>IF(AE778&gt;0,ROUND(INDEX(挂机升级突破!$BX$6:$CH$57,卡牌消耗!AI778,AE778)*INDEX(卡牌消耗!$B$7:$F$7,AG778)/$Q$4,0),"")</f>
        <v>1</v>
      </c>
    </row>
    <row r="779" spans="27:41" ht="16.5" x14ac:dyDescent="0.2">
      <c r="AA779" s="104">
        <v>775</v>
      </c>
      <c r="AB779" s="14">
        <f t="shared" si="193"/>
        <v>15</v>
      </c>
      <c r="AC779" s="14">
        <f>INDEX(挂机升级突破!$BU$6:$BU$57,卡牌消耗!AI779)</f>
        <v>11</v>
      </c>
      <c r="AD779" s="14">
        <f>INDEX(挂机升级突破!BV$6:BV$57,卡牌消耗!$AI779)</f>
        <v>5</v>
      </c>
      <c r="AE779" s="14">
        <f>INDEX(挂机升级突破!BW$6:BW$57,卡牌消耗!$AI779)</f>
        <v>10</v>
      </c>
      <c r="AF779" s="14" t="str">
        <f t="shared" si="194"/>
        <v>于禁</v>
      </c>
      <c r="AG779" s="14">
        <f t="shared" si="195"/>
        <v>2</v>
      </c>
      <c r="AH779" s="14" t="str">
        <f t="shared" si="196"/>
        <v>于禁魂火-47</v>
      </c>
      <c r="AI779" s="14">
        <f t="shared" si="197"/>
        <v>47</v>
      </c>
      <c r="AJ779" s="14" t="str">
        <f>INDEX(挂机升级突破!$BX$4:$CH$4,INDEX(挂机升级突破!$BU$6:$BU$57,卡牌消耗!AI779))</f>
        <v>金币</v>
      </c>
      <c r="AK779" s="14">
        <f>ROUND(INDEX(挂机升级突破!$BN$6:$BN$57,卡牌消耗!AI779)*INDEX(卡牌消耗!$B$8:$F$8,AG779)/$Q$4/50,0)*50</f>
        <v>106350</v>
      </c>
      <c r="AL779" s="14" t="str">
        <f>IF(AD779&gt;0,INDEX(挂机升级突破!$BX$4:$CH$4,AD779),"")</f>
        <v>红色基础材料</v>
      </c>
      <c r="AM779" s="14">
        <f>ROUND(INDEX(挂机升级突破!$BX$6:$CH$57,卡牌消耗!AI779,AD779)*INDEX(卡牌消耗!$B$5:$F$5,AG779)/$Q$4/5,0)*5</f>
        <v>50</v>
      </c>
      <c r="AN779" s="14" t="str">
        <f>IF(AE779&gt;0,INDEX(挂机升级突破!$BX$4:$CH$4,AE779),"")</f>
        <v>灵玉</v>
      </c>
      <c r="AO779" s="14">
        <f>IF(AE779&gt;0,ROUND(INDEX(挂机升级突破!$BX$6:$CH$57,卡牌消耗!AI779,AE779)*INDEX(卡牌消耗!$B$7:$F$7,AG779)/$Q$4,0),"")</f>
        <v>1</v>
      </c>
    </row>
    <row r="780" spans="27:41" ht="16.5" x14ac:dyDescent="0.2">
      <c r="AA780" s="104">
        <v>776</v>
      </c>
      <c r="AB780" s="14">
        <f t="shared" si="193"/>
        <v>15</v>
      </c>
      <c r="AC780" s="14">
        <f>INDEX(挂机升级突破!$BU$6:$BU$57,卡牌消耗!AI780)</f>
        <v>11</v>
      </c>
      <c r="AD780" s="14">
        <f>INDEX(挂机升级突破!BV$6:BV$57,卡牌消耗!$AI780)</f>
        <v>5</v>
      </c>
      <c r="AE780" s="14">
        <f>INDEX(挂机升级突破!BW$6:BW$57,卡牌消耗!$AI780)</f>
        <v>10</v>
      </c>
      <c r="AF780" s="14" t="str">
        <f t="shared" si="194"/>
        <v>于禁</v>
      </c>
      <c r="AG780" s="14">
        <f t="shared" si="195"/>
        <v>2</v>
      </c>
      <c r="AH780" s="14" t="str">
        <f t="shared" si="196"/>
        <v>于禁魂火-48</v>
      </c>
      <c r="AI780" s="14">
        <f t="shared" si="197"/>
        <v>48</v>
      </c>
      <c r="AJ780" s="14" t="str">
        <f>INDEX(挂机升级突破!$BX$4:$CH$4,INDEX(挂机升级突破!$BU$6:$BU$57,卡牌消耗!AI780))</f>
        <v>金币</v>
      </c>
      <c r="AK780" s="14">
        <f>ROUND(INDEX(挂机升级突破!$BN$6:$BN$57,卡牌消耗!AI780)*INDEX(卡牌消耗!$B$8:$F$8,AG780)/$Q$4/50,0)*50</f>
        <v>106350</v>
      </c>
      <c r="AL780" s="14" t="str">
        <f>IF(AD780&gt;0,INDEX(挂机升级突破!$BX$4:$CH$4,AD780),"")</f>
        <v>红色基础材料</v>
      </c>
      <c r="AM780" s="14">
        <f>ROUND(INDEX(挂机升级突破!$BX$6:$CH$57,卡牌消耗!AI780,AD780)*INDEX(卡牌消耗!$B$5:$F$5,AG780)/$Q$4/5,0)*5</f>
        <v>50</v>
      </c>
      <c r="AN780" s="14" t="str">
        <f>IF(AE780&gt;0,INDEX(挂机升级突破!$BX$4:$CH$4,AE780),"")</f>
        <v>灵玉</v>
      </c>
      <c r="AO780" s="14">
        <f>IF(AE780&gt;0,ROUND(INDEX(挂机升级突破!$BX$6:$CH$57,卡牌消耗!AI780,AE780)*INDEX(卡牌消耗!$B$7:$F$7,AG780)/$Q$4,0),"")</f>
        <v>1</v>
      </c>
    </row>
    <row r="781" spans="27:41" ht="16.5" x14ac:dyDescent="0.2">
      <c r="AA781" s="104">
        <v>777</v>
      </c>
      <c r="AB781" s="14">
        <f t="shared" si="193"/>
        <v>15</v>
      </c>
      <c r="AC781" s="14">
        <f>INDEX(挂机升级突破!$BU$6:$BU$57,卡牌消耗!AI781)</f>
        <v>11</v>
      </c>
      <c r="AD781" s="14">
        <f>INDEX(挂机升级突破!BV$6:BV$57,卡牌消耗!$AI781)</f>
        <v>5</v>
      </c>
      <c r="AE781" s="14">
        <f>INDEX(挂机升级突破!BW$6:BW$57,卡牌消耗!$AI781)</f>
        <v>10</v>
      </c>
      <c r="AF781" s="14" t="str">
        <f t="shared" si="194"/>
        <v>于禁</v>
      </c>
      <c r="AG781" s="14">
        <f t="shared" si="195"/>
        <v>2</v>
      </c>
      <c r="AH781" s="14" t="str">
        <f t="shared" si="196"/>
        <v>于禁魂火-49</v>
      </c>
      <c r="AI781" s="14">
        <f t="shared" si="197"/>
        <v>49</v>
      </c>
      <c r="AJ781" s="14" t="str">
        <f>INDEX(挂机升级突破!$BX$4:$CH$4,INDEX(挂机升级突破!$BU$6:$BU$57,卡牌消耗!AI781))</f>
        <v>金币</v>
      </c>
      <c r="AK781" s="14">
        <f>ROUND(INDEX(挂机升级突破!$BN$6:$BN$57,卡牌消耗!AI781)*INDEX(卡牌消耗!$B$8:$F$8,AG781)/$Q$4/50,0)*50</f>
        <v>106350</v>
      </c>
      <c r="AL781" s="14" t="str">
        <f>IF(AD781&gt;0,INDEX(挂机升级突破!$BX$4:$CH$4,AD781),"")</f>
        <v>红色基础材料</v>
      </c>
      <c r="AM781" s="14">
        <f>ROUND(INDEX(挂机升级突破!$BX$6:$CH$57,卡牌消耗!AI781,AD781)*INDEX(卡牌消耗!$B$5:$F$5,AG781)/$Q$4/5,0)*5</f>
        <v>55</v>
      </c>
      <c r="AN781" s="14" t="str">
        <f>IF(AE781&gt;0,INDEX(挂机升级突破!$BX$4:$CH$4,AE781),"")</f>
        <v>灵玉</v>
      </c>
      <c r="AO781" s="14">
        <f>IF(AE781&gt;0,ROUND(INDEX(挂机升级突破!$BX$6:$CH$57,卡牌消耗!AI781,AE781)*INDEX(卡牌消耗!$B$7:$F$7,AG781)/$Q$4,0),"")</f>
        <v>1</v>
      </c>
    </row>
    <row r="782" spans="27:41" ht="16.5" x14ac:dyDescent="0.2">
      <c r="AA782" s="104">
        <v>778</v>
      </c>
      <c r="AB782" s="14">
        <f t="shared" si="193"/>
        <v>15</v>
      </c>
      <c r="AC782" s="14">
        <f>INDEX(挂机升级突破!$BU$6:$BU$57,卡牌消耗!AI782)</f>
        <v>11</v>
      </c>
      <c r="AD782" s="14">
        <f>INDEX(挂机升级突破!BV$6:BV$57,卡牌消耗!$AI782)</f>
        <v>5</v>
      </c>
      <c r="AE782" s="14">
        <f>INDEX(挂机升级突破!BW$6:BW$57,卡牌消耗!$AI782)</f>
        <v>10</v>
      </c>
      <c r="AF782" s="14" t="str">
        <f t="shared" si="194"/>
        <v>于禁</v>
      </c>
      <c r="AG782" s="14">
        <f t="shared" si="195"/>
        <v>2</v>
      </c>
      <c r="AH782" s="14" t="str">
        <f t="shared" si="196"/>
        <v>于禁魂火-50</v>
      </c>
      <c r="AI782" s="14">
        <f t="shared" si="197"/>
        <v>50</v>
      </c>
      <c r="AJ782" s="14" t="str">
        <f>INDEX(挂机升级突破!$BX$4:$CH$4,INDEX(挂机升级突破!$BU$6:$BU$57,卡牌消耗!AI782))</f>
        <v>金币</v>
      </c>
      <c r="AK782" s="14">
        <f>ROUND(INDEX(挂机升级突破!$BN$6:$BN$57,卡牌消耗!AI782)*INDEX(卡牌消耗!$B$8:$F$8,AG782)/$Q$4/50,0)*50</f>
        <v>177300</v>
      </c>
      <c r="AL782" s="14" t="str">
        <f>IF(AD782&gt;0,INDEX(挂机升级突破!$BX$4:$CH$4,AD782),"")</f>
        <v>红色基础材料</v>
      </c>
      <c r="AM782" s="14">
        <f>ROUND(INDEX(挂机升级突破!$BX$6:$CH$57,卡牌消耗!AI782,AD782)*INDEX(卡牌消耗!$B$5:$F$5,AG782)/$Q$4/5,0)*5</f>
        <v>55</v>
      </c>
      <c r="AN782" s="14" t="str">
        <f>IF(AE782&gt;0,INDEX(挂机升级突破!$BX$4:$CH$4,AE782),"")</f>
        <v>灵玉</v>
      </c>
      <c r="AO782" s="14">
        <f>IF(AE782&gt;0,ROUND(INDEX(挂机升级突破!$BX$6:$CH$57,卡牌消耗!AI782,AE782)*INDEX(卡牌消耗!$B$7:$F$7,AG782)/$Q$4,0),"")</f>
        <v>1</v>
      </c>
    </row>
    <row r="783" spans="27:41" ht="16.5" x14ac:dyDescent="0.2">
      <c r="AA783" s="104">
        <v>779</v>
      </c>
      <c r="AB783" s="14">
        <f t="shared" si="193"/>
        <v>15</v>
      </c>
      <c r="AC783" s="14">
        <f>INDEX(挂机升级突破!$BU$6:$BU$57,卡牌消耗!AI783)</f>
        <v>11</v>
      </c>
      <c r="AD783" s="14">
        <f>INDEX(挂机升级突破!BV$6:BV$57,卡牌消耗!$AI783)</f>
        <v>5</v>
      </c>
      <c r="AE783" s="14">
        <f>INDEX(挂机升级突破!BW$6:BW$57,卡牌消耗!$AI783)</f>
        <v>10</v>
      </c>
      <c r="AF783" s="14" t="str">
        <f t="shared" si="194"/>
        <v>于禁</v>
      </c>
      <c r="AG783" s="14">
        <f t="shared" si="195"/>
        <v>2</v>
      </c>
      <c r="AH783" s="14" t="str">
        <f t="shared" si="196"/>
        <v>于禁魂火-51</v>
      </c>
      <c r="AI783" s="14">
        <f t="shared" si="197"/>
        <v>51</v>
      </c>
      <c r="AJ783" s="14" t="str">
        <f>INDEX(挂机升级突破!$BX$4:$CH$4,INDEX(挂机升级突破!$BU$6:$BU$57,卡牌消耗!AI783))</f>
        <v>金币</v>
      </c>
      <c r="AK783" s="14">
        <f>ROUND(INDEX(挂机升级突破!$BN$6:$BN$57,卡牌消耗!AI783)*INDEX(卡牌消耗!$B$8:$F$8,AG783)/$Q$4/50,0)*50</f>
        <v>195000</v>
      </c>
      <c r="AL783" s="14" t="str">
        <f>IF(AD783&gt;0,INDEX(挂机升级突破!$BX$4:$CH$4,AD783),"")</f>
        <v>红色基础材料</v>
      </c>
      <c r="AM783" s="14">
        <f>ROUND(INDEX(挂机升级突破!$BX$6:$CH$57,卡牌消耗!AI783,AD783)*INDEX(卡牌消耗!$B$5:$F$5,AG783)/$Q$4/5,0)*5</f>
        <v>55</v>
      </c>
      <c r="AN783" s="14" t="str">
        <f>IF(AE783&gt;0,INDEX(挂机升级突破!$BX$4:$CH$4,AE783),"")</f>
        <v>灵玉</v>
      </c>
      <c r="AO783" s="14">
        <f>IF(AE783&gt;0,ROUND(INDEX(挂机升级突破!$BX$6:$CH$57,卡牌消耗!AI783,AE783)*INDEX(卡牌消耗!$B$7:$F$7,AG783)/$Q$4,0),"")</f>
        <v>1</v>
      </c>
    </row>
    <row r="784" spans="27:41" ht="16.5" x14ac:dyDescent="0.2">
      <c r="AA784" s="104">
        <v>780</v>
      </c>
      <c r="AB784" s="14">
        <f t="shared" si="193"/>
        <v>15</v>
      </c>
      <c r="AC784" s="14">
        <f>INDEX(挂机升级突破!$BU$6:$BU$57,卡牌消耗!AI784)</f>
        <v>11</v>
      </c>
      <c r="AD784" s="14">
        <f>INDEX(挂机升级突破!BV$6:BV$57,卡牌消耗!$AI784)</f>
        <v>5</v>
      </c>
      <c r="AE784" s="14">
        <f>INDEX(挂机升级突破!BW$6:BW$57,卡牌消耗!$AI784)</f>
        <v>10</v>
      </c>
      <c r="AF784" s="14" t="str">
        <f t="shared" si="194"/>
        <v>于禁</v>
      </c>
      <c r="AG784" s="14">
        <f t="shared" si="195"/>
        <v>2</v>
      </c>
      <c r="AH784" s="14" t="str">
        <f t="shared" si="196"/>
        <v>于禁魂火-52</v>
      </c>
      <c r="AI784" s="14">
        <f t="shared" si="197"/>
        <v>52</v>
      </c>
      <c r="AJ784" s="14" t="str">
        <f>INDEX(挂机升级突破!$BX$4:$CH$4,INDEX(挂机升级突破!$BU$6:$BU$57,卡牌消耗!AI784))</f>
        <v>金币</v>
      </c>
      <c r="AK784" s="14">
        <f>ROUND(INDEX(挂机升级突破!$BN$6:$BN$57,卡牌消耗!AI784)*INDEX(卡牌消耗!$B$8:$F$8,AG784)/$Q$4/50,0)*50</f>
        <v>195000</v>
      </c>
      <c r="AL784" s="14" t="str">
        <f>IF(AD784&gt;0,INDEX(挂机升级突破!$BX$4:$CH$4,AD784),"")</f>
        <v>红色基础材料</v>
      </c>
      <c r="AM784" s="14">
        <f>ROUND(INDEX(挂机升级突破!$BX$6:$CH$57,卡牌消耗!AI784,AD784)*INDEX(卡牌消耗!$B$5:$F$5,AG784)/$Q$4/5,0)*5</f>
        <v>55</v>
      </c>
      <c r="AN784" s="14" t="str">
        <f>IF(AE784&gt;0,INDEX(挂机升级突破!$BX$4:$CH$4,AE784),"")</f>
        <v>灵玉</v>
      </c>
      <c r="AO784" s="14">
        <f>IF(AE784&gt;0,ROUND(INDEX(挂机升级突破!$BX$6:$CH$57,卡牌消耗!AI784,AE784)*INDEX(卡牌消耗!$B$7:$F$7,AG784)/$Q$4,0),"")</f>
        <v>1</v>
      </c>
    </row>
    <row r="785" spans="27:41" ht="16.5" x14ac:dyDescent="0.2">
      <c r="AA785" s="104">
        <v>781</v>
      </c>
      <c r="AB785" s="14">
        <f t="shared" si="193"/>
        <v>16</v>
      </c>
      <c r="AC785" s="14">
        <f>INDEX(挂机升级突破!$BU$6:$BU$57,卡牌消耗!AI785)</f>
        <v>11</v>
      </c>
      <c r="AD785" s="14">
        <f>INDEX(挂机升级突破!BV$6:BV$57,卡牌消耗!$AI785)</f>
        <v>1</v>
      </c>
      <c r="AE785" s="14">
        <f>INDEX(挂机升级突破!BW$6:BW$57,卡牌消耗!$AI785)</f>
        <v>0</v>
      </c>
      <c r="AF785" s="14" t="str">
        <f t="shared" si="194"/>
        <v>西方龙</v>
      </c>
      <c r="AG785" s="14">
        <f t="shared" si="195"/>
        <v>4</v>
      </c>
      <c r="AH785" s="14" t="str">
        <f t="shared" si="196"/>
        <v>西方龙魂火-1</v>
      </c>
      <c r="AI785" s="14">
        <f t="shared" si="197"/>
        <v>1</v>
      </c>
      <c r="AJ785" s="14" t="str">
        <f>INDEX(挂机升级突破!$BX$4:$CH$4,INDEX(挂机升级突破!$BU$6:$BU$57,卡牌消耗!AI785))</f>
        <v>金币</v>
      </c>
      <c r="AK785" s="14">
        <f>ROUND(INDEX(挂机升级突破!$BN$6:$BN$57,卡牌消耗!AI785)*INDEX(卡牌消耗!$B$8:$F$8,AG785)/$Q$4/50,0)*50</f>
        <v>900</v>
      </c>
      <c r="AL785" s="14" t="str">
        <f>IF(AD785&gt;0,INDEX(挂机升级突破!$BX$4:$CH$4,AD785),"")</f>
        <v>绿色基础材料</v>
      </c>
      <c r="AM785" s="14">
        <f>ROUND(INDEX(挂机升级突破!$BX$6:$CH$57,卡牌消耗!AI785,AD785)*INDEX(卡牌消耗!$B$5:$F$5,AG785)/$Q$4/5,0)*5</f>
        <v>1000</v>
      </c>
      <c r="AN785" s="14" t="str">
        <f>IF(AE785&gt;0,INDEX(挂机升级突破!$BX$4:$CH$4,AE785),"")</f>
        <v/>
      </c>
      <c r="AO785" s="14" t="str">
        <f>IF(AE785&gt;0,ROUND(INDEX(挂机升级突破!$BX$6:$CH$57,卡牌消耗!AI785,AE785)*INDEX(卡牌消耗!$B$7:$F$7,AG785)/$Q$4,0),"")</f>
        <v/>
      </c>
    </row>
    <row r="786" spans="27:41" ht="16.5" x14ac:dyDescent="0.2">
      <c r="AA786" s="104">
        <v>782</v>
      </c>
      <c r="AB786" s="14">
        <f t="shared" si="193"/>
        <v>16</v>
      </c>
      <c r="AC786" s="14">
        <f>INDEX(挂机升级突破!$BU$6:$BU$57,卡牌消耗!AI786)</f>
        <v>11</v>
      </c>
      <c r="AD786" s="14">
        <f>INDEX(挂机升级突破!BV$6:BV$57,卡牌消耗!$AI786)</f>
        <v>1</v>
      </c>
      <c r="AE786" s="14">
        <f>INDEX(挂机升级突破!BW$6:BW$57,卡牌消耗!$AI786)</f>
        <v>0</v>
      </c>
      <c r="AF786" s="14" t="str">
        <f t="shared" si="194"/>
        <v>西方龙</v>
      </c>
      <c r="AG786" s="14">
        <f t="shared" si="195"/>
        <v>4</v>
      </c>
      <c r="AH786" s="14" t="str">
        <f t="shared" si="196"/>
        <v>西方龙魂火-2</v>
      </c>
      <c r="AI786" s="14">
        <f t="shared" si="197"/>
        <v>2</v>
      </c>
      <c r="AJ786" s="14" t="str">
        <f>INDEX(挂机升级突破!$BX$4:$CH$4,INDEX(挂机升级突破!$BU$6:$BU$57,卡牌消耗!AI786))</f>
        <v>金币</v>
      </c>
      <c r="AK786" s="14">
        <f>ROUND(INDEX(挂机升级突破!$BN$6:$BN$57,卡牌消耗!AI786)*INDEX(卡牌消耗!$B$8:$F$8,AG786)/$Q$4/50,0)*50</f>
        <v>1200</v>
      </c>
      <c r="AL786" s="14" t="str">
        <f>IF(AD786&gt;0,INDEX(挂机升级突破!$BX$4:$CH$4,AD786),"")</f>
        <v>绿色基础材料</v>
      </c>
      <c r="AM786" s="14">
        <f>ROUND(INDEX(挂机升级突破!$BX$6:$CH$57,卡牌消耗!AI786,AD786)*INDEX(卡牌消耗!$B$5:$F$5,AG786)/$Q$4/5,0)*5</f>
        <v>3005</v>
      </c>
      <c r="AN786" s="14" t="str">
        <f>IF(AE786&gt;0,INDEX(挂机升级突破!$BX$4:$CH$4,AE786),"")</f>
        <v/>
      </c>
      <c r="AO786" s="14" t="str">
        <f>IF(AE786&gt;0,ROUND(INDEX(挂机升级突破!$BX$6:$CH$57,卡牌消耗!AI786,AE786)*INDEX(卡牌消耗!$B$7:$F$7,AG786)/$Q$4,0),"")</f>
        <v/>
      </c>
    </row>
    <row r="787" spans="27:41" ht="16.5" x14ac:dyDescent="0.2">
      <c r="AA787" s="104">
        <v>783</v>
      </c>
      <c r="AB787" s="14">
        <f t="shared" si="193"/>
        <v>16</v>
      </c>
      <c r="AC787" s="14">
        <f>INDEX(挂机升级突破!$BU$6:$BU$57,卡牌消耗!AI787)</f>
        <v>11</v>
      </c>
      <c r="AD787" s="14">
        <f>INDEX(挂机升级突破!BV$6:BV$57,卡牌消耗!$AI787)</f>
        <v>1</v>
      </c>
      <c r="AE787" s="14">
        <f>INDEX(挂机升级突破!BW$6:BW$57,卡牌消耗!$AI787)</f>
        <v>0</v>
      </c>
      <c r="AF787" s="14" t="str">
        <f t="shared" si="194"/>
        <v>西方龙</v>
      </c>
      <c r="AG787" s="14">
        <f t="shared" si="195"/>
        <v>4</v>
      </c>
      <c r="AH787" s="14" t="str">
        <f t="shared" si="196"/>
        <v>西方龙魂火-3</v>
      </c>
      <c r="AI787" s="14">
        <f t="shared" si="197"/>
        <v>3</v>
      </c>
      <c r="AJ787" s="14" t="str">
        <f>INDEX(挂机升级突破!$BX$4:$CH$4,INDEX(挂机升级突破!$BU$6:$BU$57,卡牌消耗!AI787))</f>
        <v>金币</v>
      </c>
      <c r="AK787" s="14">
        <f>ROUND(INDEX(挂机升级突破!$BN$6:$BN$57,卡牌消耗!AI787)*INDEX(卡牌消耗!$B$8:$F$8,AG787)/$Q$4/50,0)*50</f>
        <v>1200</v>
      </c>
      <c r="AL787" s="14" t="str">
        <f>IF(AD787&gt;0,INDEX(挂机升级突破!$BX$4:$CH$4,AD787),"")</f>
        <v>绿色基础材料</v>
      </c>
      <c r="AM787" s="14">
        <f>ROUND(INDEX(挂机升级突破!$BX$6:$CH$57,卡牌消耗!AI787,AD787)*INDEX(卡牌消耗!$B$5:$F$5,AG787)/$Q$4/5,0)*5</f>
        <v>4005</v>
      </c>
      <c r="AN787" s="14" t="str">
        <f>IF(AE787&gt;0,INDEX(挂机升级突破!$BX$4:$CH$4,AE787),"")</f>
        <v/>
      </c>
      <c r="AO787" s="14" t="str">
        <f>IF(AE787&gt;0,ROUND(INDEX(挂机升级突破!$BX$6:$CH$57,卡牌消耗!AI787,AE787)*INDEX(卡牌消耗!$B$7:$F$7,AG787)/$Q$4,0),"")</f>
        <v/>
      </c>
    </row>
    <row r="788" spans="27:41" ht="16.5" x14ac:dyDescent="0.2">
      <c r="AA788" s="104">
        <v>784</v>
      </c>
      <c r="AB788" s="14">
        <f t="shared" si="193"/>
        <v>16</v>
      </c>
      <c r="AC788" s="14">
        <f>INDEX(挂机升级突破!$BU$6:$BU$57,卡牌消耗!AI788)</f>
        <v>11</v>
      </c>
      <c r="AD788" s="14">
        <f>INDEX(挂机升级突破!BV$6:BV$57,卡牌消耗!$AI788)</f>
        <v>1</v>
      </c>
      <c r="AE788" s="14">
        <f>INDEX(挂机升级突破!BW$6:BW$57,卡牌消耗!$AI788)</f>
        <v>0</v>
      </c>
      <c r="AF788" s="14" t="str">
        <f t="shared" si="194"/>
        <v>西方龙</v>
      </c>
      <c r="AG788" s="14">
        <f t="shared" si="195"/>
        <v>4</v>
      </c>
      <c r="AH788" s="14" t="str">
        <f t="shared" si="196"/>
        <v>西方龙魂火-4</v>
      </c>
      <c r="AI788" s="14">
        <f t="shared" si="197"/>
        <v>4</v>
      </c>
      <c r="AJ788" s="14" t="str">
        <f>INDEX(挂机升级突破!$BX$4:$CH$4,INDEX(挂机升级突破!$BU$6:$BU$57,卡牌消耗!AI788))</f>
        <v>金币</v>
      </c>
      <c r="AK788" s="14">
        <f>ROUND(INDEX(挂机升级突破!$BN$6:$BN$57,卡牌消耗!AI788)*INDEX(卡牌消耗!$B$8:$F$8,AG788)/$Q$4/50,0)*50</f>
        <v>1200</v>
      </c>
      <c r="AL788" s="14" t="str">
        <f>IF(AD788&gt;0,INDEX(挂机升级突破!$BX$4:$CH$4,AD788),"")</f>
        <v>绿色基础材料</v>
      </c>
      <c r="AM788" s="14">
        <f>ROUND(INDEX(挂机升级突破!$BX$6:$CH$57,卡牌消耗!AI788,AD788)*INDEX(卡牌消耗!$B$5:$F$5,AG788)/$Q$4/5,0)*5</f>
        <v>6005</v>
      </c>
      <c r="AN788" s="14" t="str">
        <f>IF(AE788&gt;0,INDEX(挂机升级突破!$BX$4:$CH$4,AE788),"")</f>
        <v/>
      </c>
      <c r="AO788" s="14" t="str">
        <f>IF(AE788&gt;0,ROUND(INDEX(挂机升级突破!$BX$6:$CH$57,卡牌消耗!AI788,AE788)*INDEX(卡牌消耗!$B$7:$F$7,AG788)/$Q$4,0),"")</f>
        <v/>
      </c>
    </row>
    <row r="789" spans="27:41" ht="16.5" x14ac:dyDescent="0.2">
      <c r="AA789" s="104">
        <v>785</v>
      </c>
      <c r="AB789" s="14">
        <f t="shared" si="193"/>
        <v>16</v>
      </c>
      <c r="AC789" s="14">
        <f>INDEX(挂机升级突破!$BU$6:$BU$57,卡牌消耗!AI789)</f>
        <v>11</v>
      </c>
      <c r="AD789" s="14">
        <f>INDEX(挂机升级突破!BV$6:BV$57,卡牌消耗!$AI789)</f>
        <v>1</v>
      </c>
      <c r="AE789" s="14">
        <f>INDEX(挂机升级突破!BW$6:BW$57,卡牌消耗!$AI789)</f>
        <v>0</v>
      </c>
      <c r="AF789" s="14" t="str">
        <f t="shared" si="194"/>
        <v>西方龙</v>
      </c>
      <c r="AG789" s="14">
        <f t="shared" si="195"/>
        <v>4</v>
      </c>
      <c r="AH789" s="14" t="str">
        <f t="shared" si="196"/>
        <v>西方龙魂火-5</v>
      </c>
      <c r="AI789" s="14">
        <f t="shared" si="197"/>
        <v>5</v>
      </c>
      <c r="AJ789" s="14" t="str">
        <f>INDEX(挂机升级突破!$BX$4:$CH$4,INDEX(挂机升级突破!$BU$6:$BU$57,卡牌消耗!AI789))</f>
        <v>金币</v>
      </c>
      <c r="AK789" s="14">
        <f>ROUND(INDEX(挂机升级突破!$BN$6:$BN$57,卡牌消耗!AI789)*INDEX(卡牌消耗!$B$8:$F$8,AG789)/$Q$4/50,0)*50</f>
        <v>1200</v>
      </c>
      <c r="AL789" s="14" t="str">
        <f>IF(AD789&gt;0,INDEX(挂机升级突破!$BX$4:$CH$4,AD789),"")</f>
        <v>绿色基础材料</v>
      </c>
      <c r="AM789" s="14">
        <f>ROUND(INDEX(挂机升级突破!$BX$6:$CH$57,卡牌消耗!AI789,AD789)*INDEX(卡牌消耗!$B$5:$F$5,AG789)/$Q$4/5,0)*5</f>
        <v>6005</v>
      </c>
      <c r="AN789" s="14" t="str">
        <f>IF(AE789&gt;0,INDEX(挂机升级突破!$BX$4:$CH$4,AE789),"")</f>
        <v/>
      </c>
      <c r="AO789" s="14" t="str">
        <f>IF(AE789&gt;0,ROUND(INDEX(挂机升级突破!$BX$6:$CH$57,卡牌消耗!AI789,AE789)*INDEX(卡牌消耗!$B$7:$F$7,AG789)/$Q$4,0),"")</f>
        <v/>
      </c>
    </row>
    <row r="790" spans="27:41" ht="16.5" x14ac:dyDescent="0.2">
      <c r="AA790" s="104">
        <v>786</v>
      </c>
      <c r="AB790" s="14">
        <f t="shared" si="193"/>
        <v>16</v>
      </c>
      <c r="AC790" s="14">
        <f>INDEX(挂机升级突破!$BU$6:$BU$57,卡牌消耗!AI790)</f>
        <v>11</v>
      </c>
      <c r="AD790" s="14">
        <f>INDEX(挂机升级突破!BV$6:BV$57,卡牌消耗!$AI790)</f>
        <v>2</v>
      </c>
      <c r="AE790" s="14">
        <f>INDEX(挂机升级突破!BW$6:BW$57,卡牌消耗!$AI790)</f>
        <v>0</v>
      </c>
      <c r="AF790" s="14" t="str">
        <f t="shared" si="194"/>
        <v>西方龙</v>
      </c>
      <c r="AG790" s="14">
        <f t="shared" si="195"/>
        <v>4</v>
      </c>
      <c r="AH790" s="14" t="str">
        <f t="shared" si="196"/>
        <v>西方龙魂火-6</v>
      </c>
      <c r="AI790" s="14">
        <f t="shared" si="197"/>
        <v>6</v>
      </c>
      <c r="AJ790" s="14" t="str">
        <f>INDEX(挂机升级突破!$BX$4:$CH$4,INDEX(挂机升级突破!$BU$6:$BU$57,卡牌消耗!AI790))</f>
        <v>金币</v>
      </c>
      <c r="AK790" s="14">
        <f>ROUND(INDEX(挂机升级突破!$BN$6:$BN$57,卡牌消耗!AI790)*INDEX(卡牌消耗!$B$8:$F$8,AG790)/$Q$4/50,0)*50</f>
        <v>1500</v>
      </c>
      <c r="AL790" s="14" t="str">
        <f>IF(AD790&gt;0,INDEX(挂机升级突破!$BX$4:$CH$4,AD790),"")</f>
        <v>蓝色基础材料</v>
      </c>
      <c r="AM790" s="14">
        <f>ROUND(INDEX(挂机升级突破!$BX$6:$CH$57,卡牌消耗!AI790,AD790)*INDEX(卡牌消耗!$B$5:$F$5,AG790)/$Q$4/5,0)*5</f>
        <v>575</v>
      </c>
      <c r="AN790" s="14" t="str">
        <f>IF(AE790&gt;0,INDEX(挂机升级突破!$BX$4:$CH$4,AE790),"")</f>
        <v/>
      </c>
      <c r="AO790" s="14" t="str">
        <f>IF(AE790&gt;0,ROUND(INDEX(挂机升级突破!$BX$6:$CH$57,卡牌消耗!AI790,AE790)*INDEX(卡牌消耗!$B$7:$F$7,AG790)/$Q$4,0),"")</f>
        <v/>
      </c>
    </row>
    <row r="791" spans="27:41" ht="16.5" x14ac:dyDescent="0.2">
      <c r="AA791" s="104">
        <v>787</v>
      </c>
      <c r="AB791" s="14">
        <f t="shared" si="193"/>
        <v>16</v>
      </c>
      <c r="AC791" s="14">
        <f>INDEX(挂机升级突破!$BU$6:$BU$57,卡牌消耗!AI791)</f>
        <v>11</v>
      </c>
      <c r="AD791" s="14">
        <f>INDEX(挂机升级突破!BV$6:BV$57,卡牌消耗!$AI791)</f>
        <v>2</v>
      </c>
      <c r="AE791" s="14">
        <f>INDEX(挂机升级突破!BW$6:BW$57,卡牌消耗!$AI791)</f>
        <v>0</v>
      </c>
      <c r="AF791" s="14" t="str">
        <f t="shared" si="194"/>
        <v>西方龙</v>
      </c>
      <c r="AG791" s="14">
        <f t="shared" si="195"/>
        <v>4</v>
      </c>
      <c r="AH791" s="14" t="str">
        <f t="shared" si="196"/>
        <v>西方龙魂火-7</v>
      </c>
      <c r="AI791" s="14">
        <f t="shared" si="197"/>
        <v>7</v>
      </c>
      <c r="AJ791" s="14" t="str">
        <f>INDEX(挂机升级突破!$BX$4:$CH$4,INDEX(挂机升级突破!$BU$6:$BU$57,卡牌消耗!AI791))</f>
        <v>金币</v>
      </c>
      <c r="AK791" s="14">
        <f>ROUND(INDEX(挂机升级突破!$BN$6:$BN$57,卡牌消耗!AI791)*INDEX(卡牌消耗!$B$8:$F$8,AG791)/$Q$4/50,0)*50</f>
        <v>1500</v>
      </c>
      <c r="AL791" s="14" t="str">
        <f>IF(AD791&gt;0,INDEX(挂机升级突破!$BX$4:$CH$4,AD791),"")</f>
        <v>蓝色基础材料</v>
      </c>
      <c r="AM791" s="14">
        <f>ROUND(INDEX(挂机升级突破!$BX$6:$CH$57,卡牌消耗!AI791,AD791)*INDEX(卡牌消耗!$B$5:$F$5,AG791)/$Q$4/5,0)*5</f>
        <v>575</v>
      </c>
      <c r="AN791" s="14" t="str">
        <f>IF(AE791&gt;0,INDEX(挂机升级突破!$BX$4:$CH$4,AE791),"")</f>
        <v/>
      </c>
      <c r="AO791" s="14" t="str">
        <f>IF(AE791&gt;0,ROUND(INDEX(挂机升级突破!$BX$6:$CH$57,卡牌消耗!AI791,AE791)*INDEX(卡牌消耗!$B$7:$F$7,AG791)/$Q$4,0),"")</f>
        <v/>
      </c>
    </row>
    <row r="792" spans="27:41" ht="16.5" x14ac:dyDescent="0.2">
      <c r="AA792" s="104">
        <v>788</v>
      </c>
      <c r="AB792" s="14">
        <f t="shared" si="193"/>
        <v>16</v>
      </c>
      <c r="AC792" s="14">
        <f>INDEX(挂机升级突破!$BU$6:$BU$57,卡牌消耗!AI792)</f>
        <v>11</v>
      </c>
      <c r="AD792" s="14">
        <f>INDEX(挂机升级突破!BV$6:BV$57,卡牌消耗!$AI792)</f>
        <v>2</v>
      </c>
      <c r="AE792" s="14">
        <f>INDEX(挂机升级突破!BW$6:BW$57,卡牌消耗!$AI792)</f>
        <v>0</v>
      </c>
      <c r="AF792" s="14" t="str">
        <f t="shared" si="194"/>
        <v>西方龙</v>
      </c>
      <c r="AG792" s="14">
        <f t="shared" si="195"/>
        <v>4</v>
      </c>
      <c r="AH792" s="14" t="str">
        <f t="shared" si="196"/>
        <v>西方龙魂火-8</v>
      </c>
      <c r="AI792" s="14">
        <f t="shared" si="197"/>
        <v>8</v>
      </c>
      <c r="AJ792" s="14" t="str">
        <f>INDEX(挂机升级突破!$BX$4:$CH$4,INDEX(挂机升级突破!$BU$6:$BU$57,卡牌消耗!AI792))</f>
        <v>金币</v>
      </c>
      <c r="AK792" s="14">
        <f>ROUND(INDEX(挂机升级突破!$BN$6:$BN$57,卡牌消耗!AI792)*INDEX(卡牌消耗!$B$8:$F$8,AG792)/$Q$4/50,0)*50</f>
        <v>2250</v>
      </c>
      <c r="AL792" s="14" t="str">
        <f>IF(AD792&gt;0,INDEX(挂机升级突破!$BX$4:$CH$4,AD792),"")</f>
        <v>蓝色基础材料</v>
      </c>
      <c r="AM792" s="14">
        <f>ROUND(INDEX(挂机升级突破!$BX$6:$CH$57,卡牌消耗!AI792,AD792)*INDEX(卡牌消耗!$B$5:$F$5,AG792)/$Q$4/5,0)*5</f>
        <v>1155</v>
      </c>
      <c r="AN792" s="14" t="str">
        <f>IF(AE792&gt;0,INDEX(挂机升级突破!$BX$4:$CH$4,AE792),"")</f>
        <v/>
      </c>
      <c r="AO792" s="14" t="str">
        <f>IF(AE792&gt;0,ROUND(INDEX(挂机升级突破!$BX$6:$CH$57,卡牌消耗!AI792,AE792)*INDEX(卡牌消耗!$B$7:$F$7,AG792)/$Q$4,0),"")</f>
        <v/>
      </c>
    </row>
    <row r="793" spans="27:41" ht="16.5" x14ac:dyDescent="0.2">
      <c r="AA793" s="104">
        <v>789</v>
      </c>
      <c r="AB793" s="14">
        <f t="shared" si="193"/>
        <v>16</v>
      </c>
      <c r="AC793" s="14">
        <f>INDEX(挂机升级突破!$BU$6:$BU$57,卡牌消耗!AI793)</f>
        <v>11</v>
      </c>
      <c r="AD793" s="14">
        <f>INDEX(挂机升级突破!BV$6:BV$57,卡牌消耗!$AI793)</f>
        <v>2</v>
      </c>
      <c r="AE793" s="14">
        <f>INDEX(挂机升级突破!BW$6:BW$57,卡牌消耗!$AI793)</f>
        <v>0</v>
      </c>
      <c r="AF793" s="14" t="str">
        <f t="shared" si="194"/>
        <v>西方龙</v>
      </c>
      <c r="AG793" s="14">
        <f t="shared" si="195"/>
        <v>4</v>
      </c>
      <c r="AH793" s="14" t="str">
        <f t="shared" si="196"/>
        <v>西方龙魂火-9</v>
      </c>
      <c r="AI793" s="14">
        <f t="shared" si="197"/>
        <v>9</v>
      </c>
      <c r="AJ793" s="14" t="str">
        <f>INDEX(挂机升级突破!$BX$4:$CH$4,INDEX(挂机升级突破!$BU$6:$BU$57,卡牌消耗!AI793))</f>
        <v>金币</v>
      </c>
      <c r="AK793" s="14">
        <f>ROUND(INDEX(挂机升级突破!$BN$6:$BN$57,卡牌消耗!AI793)*INDEX(卡牌消耗!$B$8:$F$8,AG793)/$Q$4/50,0)*50</f>
        <v>2250</v>
      </c>
      <c r="AL793" s="14" t="str">
        <f>IF(AD793&gt;0,INDEX(挂机升级突破!$BX$4:$CH$4,AD793),"")</f>
        <v>蓝色基础材料</v>
      </c>
      <c r="AM793" s="14">
        <f>ROUND(INDEX(挂机升级突破!$BX$6:$CH$57,卡牌消耗!AI793,AD793)*INDEX(卡牌消耗!$B$5:$F$5,AG793)/$Q$4/5,0)*5</f>
        <v>1155</v>
      </c>
      <c r="AN793" s="14" t="str">
        <f>IF(AE793&gt;0,INDEX(挂机升级突破!$BX$4:$CH$4,AE793),"")</f>
        <v/>
      </c>
      <c r="AO793" s="14" t="str">
        <f>IF(AE793&gt;0,ROUND(INDEX(挂机升级突破!$BX$6:$CH$57,卡牌消耗!AI793,AE793)*INDEX(卡牌消耗!$B$7:$F$7,AG793)/$Q$4,0),"")</f>
        <v/>
      </c>
    </row>
    <row r="794" spans="27:41" ht="16.5" x14ac:dyDescent="0.2">
      <c r="AA794" s="104">
        <v>790</v>
      </c>
      <c r="AB794" s="14">
        <f t="shared" si="193"/>
        <v>16</v>
      </c>
      <c r="AC794" s="14">
        <f>INDEX(挂机升级突破!$BU$6:$BU$57,卡牌消耗!AI794)</f>
        <v>11</v>
      </c>
      <c r="AD794" s="14">
        <f>INDEX(挂机升级突破!BV$6:BV$57,卡牌消耗!$AI794)</f>
        <v>2</v>
      </c>
      <c r="AE794" s="14">
        <f>INDEX(挂机升级突破!BW$6:BW$57,卡牌消耗!$AI794)</f>
        <v>0</v>
      </c>
      <c r="AF794" s="14" t="str">
        <f t="shared" si="194"/>
        <v>西方龙</v>
      </c>
      <c r="AG794" s="14">
        <f t="shared" si="195"/>
        <v>4</v>
      </c>
      <c r="AH794" s="14" t="str">
        <f t="shared" si="196"/>
        <v>西方龙魂火-10</v>
      </c>
      <c r="AI794" s="14">
        <f t="shared" si="197"/>
        <v>10</v>
      </c>
      <c r="AJ794" s="14" t="str">
        <f>INDEX(挂机升级突破!$BX$4:$CH$4,INDEX(挂机升级突破!$BU$6:$BU$57,卡牌消耗!AI794))</f>
        <v>金币</v>
      </c>
      <c r="AK794" s="14">
        <f>ROUND(INDEX(挂机升级突破!$BN$6:$BN$57,卡牌消耗!AI794)*INDEX(卡牌消耗!$B$8:$F$8,AG794)/$Q$4/50,0)*50</f>
        <v>3700</v>
      </c>
      <c r="AL794" s="14" t="str">
        <f>IF(AD794&gt;0,INDEX(挂机升级突破!$BX$4:$CH$4,AD794),"")</f>
        <v>蓝色基础材料</v>
      </c>
      <c r="AM794" s="14">
        <f>ROUND(INDEX(挂机升级突破!$BX$6:$CH$57,卡牌消耗!AI794,AD794)*INDEX(卡牌消耗!$B$5:$F$5,AG794)/$Q$4/5,0)*5</f>
        <v>1730</v>
      </c>
      <c r="AN794" s="14" t="str">
        <f>IF(AE794&gt;0,INDEX(挂机升级突破!$BX$4:$CH$4,AE794),"")</f>
        <v/>
      </c>
      <c r="AO794" s="14" t="str">
        <f>IF(AE794&gt;0,ROUND(INDEX(挂机升级突破!$BX$6:$CH$57,卡牌消耗!AI794,AE794)*INDEX(卡牌消耗!$B$7:$F$7,AG794)/$Q$4,0),"")</f>
        <v/>
      </c>
    </row>
    <row r="795" spans="27:41" ht="16.5" x14ac:dyDescent="0.2">
      <c r="AA795" s="104">
        <v>791</v>
      </c>
      <c r="AB795" s="14">
        <f t="shared" si="193"/>
        <v>16</v>
      </c>
      <c r="AC795" s="14">
        <f>INDEX(挂机升级突破!$BU$6:$BU$57,卡牌消耗!AI795)</f>
        <v>11</v>
      </c>
      <c r="AD795" s="14">
        <f>INDEX(挂机升级突破!BV$6:BV$57,卡牌消耗!$AI795)</f>
        <v>2</v>
      </c>
      <c r="AE795" s="14">
        <f>INDEX(挂机升级突破!BW$6:BW$57,卡牌消耗!$AI795)</f>
        <v>0</v>
      </c>
      <c r="AF795" s="14" t="str">
        <f t="shared" si="194"/>
        <v>西方龙</v>
      </c>
      <c r="AG795" s="14">
        <f t="shared" si="195"/>
        <v>4</v>
      </c>
      <c r="AH795" s="14" t="str">
        <f t="shared" si="196"/>
        <v>西方龙魂火-11</v>
      </c>
      <c r="AI795" s="14">
        <f t="shared" si="197"/>
        <v>11</v>
      </c>
      <c r="AJ795" s="14" t="str">
        <f>INDEX(挂机升级突破!$BX$4:$CH$4,INDEX(挂机升级突破!$BU$6:$BU$57,卡牌消耗!AI795))</f>
        <v>金币</v>
      </c>
      <c r="AK795" s="14">
        <f>ROUND(INDEX(挂机升级突破!$BN$6:$BN$57,卡牌消耗!AI795)*INDEX(卡牌消耗!$B$8:$F$8,AG795)/$Q$4/50,0)*50</f>
        <v>3700</v>
      </c>
      <c r="AL795" s="14" t="str">
        <f>IF(AD795&gt;0,INDEX(挂机升级突破!$BX$4:$CH$4,AD795),"")</f>
        <v>蓝色基础材料</v>
      </c>
      <c r="AM795" s="14">
        <f>ROUND(INDEX(挂机升级突破!$BX$6:$CH$57,卡牌消耗!AI795,AD795)*INDEX(卡牌消耗!$B$5:$F$5,AG795)/$Q$4/5,0)*5</f>
        <v>1730</v>
      </c>
      <c r="AN795" s="14" t="str">
        <f>IF(AE795&gt;0,INDEX(挂机升级突破!$BX$4:$CH$4,AE795),"")</f>
        <v/>
      </c>
      <c r="AO795" s="14" t="str">
        <f>IF(AE795&gt;0,ROUND(INDEX(挂机升级突破!$BX$6:$CH$57,卡牌消耗!AI795,AE795)*INDEX(卡牌消耗!$B$7:$F$7,AG795)/$Q$4,0),"")</f>
        <v/>
      </c>
    </row>
    <row r="796" spans="27:41" ht="16.5" x14ac:dyDescent="0.2">
      <c r="AA796" s="104">
        <v>792</v>
      </c>
      <c r="AB796" s="14">
        <f t="shared" si="193"/>
        <v>16</v>
      </c>
      <c r="AC796" s="14">
        <f>INDEX(挂机升级突破!$BU$6:$BU$57,卡牌消耗!AI796)</f>
        <v>11</v>
      </c>
      <c r="AD796" s="14">
        <f>INDEX(挂机升级突破!BV$6:BV$57,卡牌消耗!$AI796)</f>
        <v>2</v>
      </c>
      <c r="AE796" s="14">
        <f>INDEX(挂机升级突破!BW$6:BW$57,卡牌消耗!$AI796)</f>
        <v>0</v>
      </c>
      <c r="AF796" s="14" t="str">
        <f t="shared" si="194"/>
        <v>西方龙</v>
      </c>
      <c r="AG796" s="14">
        <f t="shared" si="195"/>
        <v>4</v>
      </c>
      <c r="AH796" s="14" t="str">
        <f t="shared" si="196"/>
        <v>西方龙魂火-12</v>
      </c>
      <c r="AI796" s="14">
        <f t="shared" si="197"/>
        <v>12</v>
      </c>
      <c r="AJ796" s="14" t="str">
        <f>INDEX(挂机升级突破!$BX$4:$CH$4,INDEX(挂机升级突破!$BU$6:$BU$57,卡牌消耗!AI796))</f>
        <v>金币</v>
      </c>
      <c r="AK796" s="14">
        <f>ROUND(INDEX(挂机升级突破!$BN$6:$BN$57,卡牌消耗!AI796)*INDEX(卡牌消耗!$B$8:$F$8,AG796)/$Q$4/50,0)*50</f>
        <v>3200</v>
      </c>
      <c r="AL796" s="14" t="str">
        <f>IF(AD796&gt;0,INDEX(挂机升级突破!$BX$4:$CH$4,AD796),"")</f>
        <v>蓝色基础材料</v>
      </c>
      <c r="AM796" s="14">
        <f>ROUND(INDEX(挂机升级突破!$BX$6:$CH$57,卡牌消耗!AI796,AD796)*INDEX(卡牌消耗!$B$5:$F$5,AG796)/$Q$4/5,0)*5</f>
        <v>2305</v>
      </c>
      <c r="AN796" s="14" t="str">
        <f>IF(AE796&gt;0,INDEX(挂机升级突破!$BX$4:$CH$4,AE796),"")</f>
        <v/>
      </c>
      <c r="AO796" s="14" t="str">
        <f>IF(AE796&gt;0,ROUND(INDEX(挂机升级突破!$BX$6:$CH$57,卡牌消耗!AI796,AE796)*INDEX(卡牌消耗!$B$7:$F$7,AG796)/$Q$4,0),"")</f>
        <v/>
      </c>
    </row>
    <row r="797" spans="27:41" ht="16.5" x14ac:dyDescent="0.2">
      <c r="AA797" s="104">
        <v>793</v>
      </c>
      <c r="AB797" s="14">
        <f t="shared" si="193"/>
        <v>16</v>
      </c>
      <c r="AC797" s="14">
        <f>INDEX(挂机升级突破!$BU$6:$BU$57,卡牌消耗!AI797)</f>
        <v>11</v>
      </c>
      <c r="AD797" s="14">
        <f>INDEX(挂机升级突破!BV$6:BV$57,卡牌消耗!$AI797)</f>
        <v>2</v>
      </c>
      <c r="AE797" s="14">
        <f>INDEX(挂机升级突破!BW$6:BW$57,卡牌消耗!$AI797)</f>
        <v>0</v>
      </c>
      <c r="AF797" s="14" t="str">
        <f t="shared" si="194"/>
        <v>西方龙</v>
      </c>
      <c r="AG797" s="14">
        <f t="shared" si="195"/>
        <v>4</v>
      </c>
      <c r="AH797" s="14" t="str">
        <f t="shared" si="196"/>
        <v>西方龙魂火-13</v>
      </c>
      <c r="AI797" s="14">
        <f t="shared" si="197"/>
        <v>13</v>
      </c>
      <c r="AJ797" s="14" t="str">
        <f>INDEX(挂机升级突破!$BX$4:$CH$4,INDEX(挂机升级突破!$BU$6:$BU$57,卡牌消耗!AI797))</f>
        <v>金币</v>
      </c>
      <c r="AK797" s="14">
        <f>ROUND(INDEX(挂机升级突破!$BN$6:$BN$57,卡牌消耗!AI797)*INDEX(卡牌消耗!$B$8:$F$8,AG797)/$Q$4/50,0)*50</f>
        <v>3200</v>
      </c>
      <c r="AL797" s="14" t="str">
        <f>IF(AD797&gt;0,INDEX(挂机升级突破!$BX$4:$CH$4,AD797),"")</f>
        <v>蓝色基础材料</v>
      </c>
      <c r="AM797" s="14">
        <f>ROUND(INDEX(挂机升级突破!$BX$6:$CH$57,卡牌消耗!AI797,AD797)*INDEX(卡牌消耗!$B$5:$F$5,AG797)/$Q$4/5,0)*5</f>
        <v>2305</v>
      </c>
      <c r="AN797" s="14" t="str">
        <f>IF(AE797&gt;0,INDEX(挂机升级突破!$BX$4:$CH$4,AE797),"")</f>
        <v/>
      </c>
      <c r="AO797" s="14" t="str">
        <f>IF(AE797&gt;0,ROUND(INDEX(挂机升级突破!$BX$6:$CH$57,卡牌消耗!AI797,AE797)*INDEX(卡牌消耗!$B$7:$F$7,AG797)/$Q$4,0),"")</f>
        <v/>
      </c>
    </row>
    <row r="798" spans="27:41" ht="16.5" x14ac:dyDescent="0.2">
      <c r="AA798" s="104">
        <v>794</v>
      </c>
      <c r="AB798" s="14">
        <f t="shared" si="193"/>
        <v>16</v>
      </c>
      <c r="AC798" s="14">
        <f>INDEX(挂机升级突破!$BU$6:$BU$57,卡牌消耗!AI798)</f>
        <v>11</v>
      </c>
      <c r="AD798" s="14">
        <f>INDEX(挂机升级突破!BV$6:BV$57,卡牌消耗!$AI798)</f>
        <v>3</v>
      </c>
      <c r="AE798" s="14">
        <f>INDEX(挂机升级突破!BW$6:BW$57,卡牌消耗!$AI798)</f>
        <v>0</v>
      </c>
      <c r="AF798" s="14" t="str">
        <f t="shared" si="194"/>
        <v>西方龙</v>
      </c>
      <c r="AG798" s="14">
        <f t="shared" si="195"/>
        <v>4</v>
      </c>
      <c r="AH798" s="14" t="str">
        <f t="shared" si="196"/>
        <v>西方龙魂火-14</v>
      </c>
      <c r="AI798" s="14">
        <f t="shared" si="197"/>
        <v>14</v>
      </c>
      <c r="AJ798" s="14" t="str">
        <f>INDEX(挂机升级突破!$BX$4:$CH$4,INDEX(挂机升级突破!$BU$6:$BU$57,卡牌消耗!AI798))</f>
        <v>金币</v>
      </c>
      <c r="AK798" s="14">
        <f>ROUND(INDEX(挂机升级突破!$BN$6:$BN$57,卡牌消耗!AI798)*INDEX(卡牌消耗!$B$8:$F$8,AG798)/$Q$4/50,0)*50</f>
        <v>3500</v>
      </c>
      <c r="AL798" s="14" t="str">
        <f>IF(AD798&gt;0,INDEX(挂机升级突破!$BX$4:$CH$4,AD798),"")</f>
        <v>紫色基础材料</v>
      </c>
      <c r="AM798" s="14">
        <f>ROUND(INDEX(挂机升级突破!$BX$6:$CH$57,卡牌消耗!AI798,AD798)*INDEX(卡牌消耗!$B$5:$F$5,AG798)/$Q$4/5,0)*5</f>
        <v>200</v>
      </c>
      <c r="AN798" s="14" t="str">
        <f>IF(AE798&gt;0,INDEX(挂机升级突破!$BX$4:$CH$4,AE798),"")</f>
        <v/>
      </c>
      <c r="AO798" s="14" t="str">
        <f>IF(AE798&gt;0,ROUND(INDEX(挂机升级突破!$BX$6:$CH$57,卡牌消耗!AI798,AE798)*INDEX(卡牌消耗!$B$7:$F$7,AG798)/$Q$4,0),"")</f>
        <v/>
      </c>
    </row>
    <row r="799" spans="27:41" ht="16.5" x14ac:dyDescent="0.2">
      <c r="AA799" s="104">
        <v>795</v>
      </c>
      <c r="AB799" s="14">
        <f t="shared" si="193"/>
        <v>16</v>
      </c>
      <c r="AC799" s="14">
        <f>INDEX(挂机升级突破!$BU$6:$BU$57,卡牌消耗!AI799)</f>
        <v>11</v>
      </c>
      <c r="AD799" s="14">
        <f>INDEX(挂机升级突破!BV$6:BV$57,卡牌消耗!$AI799)</f>
        <v>3</v>
      </c>
      <c r="AE799" s="14">
        <f>INDEX(挂机升级突破!BW$6:BW$57,卡牌消耗!$AI799)</f>
        <v>0</v>
      </c>
      <c r="AF799" s="14" t="str">
        <f t="shared" si="194"/>
        <v>西方龙</v>
      </c>
      <c r="AG799" s="14">
        <f t="shared" si="195"/>
        <v>4</v>
      </c>
      <c r="AH799" s="14" t="str">
        <f t="shared" si="196"/>
        <v>西方龙魂火-15</v>
      </c>
      <c r="AI799" s="14">
        <f t="shared" si="197"/>
        <v>15</v>
      </c>
      <c r="AJ799" s="14" t="str">
        <f>INDEX(挂机升级突破!$BX$4:$CH$4,INDEX(挂机升级突破!$BU$6:$BU$57,卡牌消耗!AI799))</f>
        <v>金币</v>
      </c>
      <c r="AK799" s="14">
        <f>ROUND(INDEX(挂机升级突破!$BN$6:$BN$57,卡牌消耗!AI799)*INDEX(卡牌消耗!$B$8:$F$8,AG799)/$Q$4/50,0)*50</f>
        <v>3800</v>
      </c>
      <c r="AL799" s="14" t="str">
        <f>IF(AD799&gt;0,INDEX(挂机升级突破!$BX$4:$CH$4,AD799),"")</f>
        <v>紫色基础材料</v>
      </c>
      <c r="AM799" s="14">
        <f>ROUND(INDEX(挂机升级突破!$BX$6:$CH$57,卡牌消耗!AI799,AD799)*INDEX(卡牌消耗!$B$5:$F$5,AG799)/$Q$4/5,0)*5</f>
        <v>200</v>
      </c>
      <c r="AN799" s="14" t="str">
        <f>IF(AE799&gt;0,INDEX(挂机升级突破!$BX$4:$CH$4,AE799),"")</f>
        <v/>
      </c>
      <c r="AO799" s="14" t="str">
        <f>IF(AE799&gt;0,ROUND(INDEX(挂机升级突破!$BX$6:$CH$57,卡牌消耗!AI799,AE799)*INDEX(卡牌消耗!$B$7:$F$7,AG799)/$Q$4,0),"")</f>
        <v/>
      </c>
    </row>
    <row r="800" spans="27:41" ht="16.5" x14ac:dyDescent="0.2">
      <c r="AA800" s="104">
        <v>796</v>
      </c>
      <c r="AB800" s="14">
        <f t="shared" si="193"/>
        <v>16</v>
      </c>
      <c r="AC800" s="14">
        <f>INDEX(挂机升级突破!$BU$6:$BU$57,卡牌消耗!AI800)</f>
        <v>11</v>
      </c>
      <c r="AD800" s="14">
        <f>INDEX(挂机升级突破!BV$6:BV$57,卡牌消耗!$AI800)</f>
        <v>3</v>
      </c>
      <c r="AE800" s="14">
        <f>INDEX(挂机升级突破!BW$6:BW$57,卡牌消耗!$AI800)</f>
        <v>0</v>
      </c>
      <c r="AF800" s="14" t="str">
        <f t="shared" si="194"/>
        <v>西方龙</v>
      </c>
      <c r="AG800" s="14">
        <f t="shared" si="195"/>
        <v>4</v>
      </c>
      <c r="AH800" s="14" t="str">
        <f t="shared" si="196"/>
        <v>西方龙魂火-16</v>
      </c>
      <c r="AI800" s="14">
        <f t="shared" si="197"/>
        <v>16</v>
      </c>
      <c r="AJ800" s="14" t="str">
        <f>INDEX(挂机升级突破!$BX$4:$CH$4,INDEX(挂机升级突破!$BU$6:$BU$57,卡牌消耗!AI800))</f>
        <v>金币</v>
      </c>
      <c r="AK800" s="14">
        <f>ROUND(INDEX(挂机升级突破!$BN$6:$BN$57,卡牌消耗!AI800)*INDEX(卡牌消耗!$B$8:$F$8,AG800)/$Q$4/50,0)*50</f>
        <v>3800</v>
      </c>
      <c r="AL800" s="14" t="str">
        <f>IF(AD800&gt;0,INDEX(挂机升级突破!$BX$4:$CH$4,AD800),"")</f>
        <v>紫色基础材料</v>
      </c>
      <c r="AM800" s="14">
        <f>ROUND(INDEX(挂机升级突破!$BX$6:$CH$57,卡牌消耗!AI800,AD800)*INDEX(卡牌消耗!$B$5:$F$5,AG800)/$Q$4/5,0)*5</f>
        <v>200</v>
      </c>
      <c r="AN800" s="14" t="str">
        <f>IF(AE800&gt;0,INDEX(挂机升级突破!$BX$4:$CH$4,AE800),"")</f>
        <v/>
      </c>
      <c r="AO800" s="14" t="str">
        <f>IF(AE800&gt;0,ROUND(INDEX(挂机升级突破!$BX$6:$CH$57,卡牌消耗!AI800,AE800)*INDEX(卡牌消耗!$B$7:$F$7,AG800)/$Q$4,0),"")</f>
        <v/>
      </c>
    </row>
    <row r="801" spans="27:41" ht="16.5" x14ac:dyDescent="0.2">
      <c r="AA801" s="104">
        <v>797</v>
      </c>
      <c r="AB801" s="14">
        <f t="shared" si="193"/>
        <v>16</v>
      </c>
      <c r="AC801" s="14">
        <f>INDEX(挂机升级突破!$BU$6:$BU$57,卡牌消耗!AI801)</f>
        <v>11</v>
      </c>
      <c r="AD801" s="14">
        <f>INDEX(挂机升级突破!BV$6:BV$57,卡牌消耗!$AI801)</f>
        <v>3</v>
      </c>
      <c r="AE801" s="14">
        <f>INDEX(挂机升级突破!BW$6:BW$57,卡牌消耗!$AI801)</f>
        <v>0</v>
      </c>
      <c r="AF801" s="14" t="str">
        <f t="shared" si="194"/>
        <v>西方龙</v>
      </c>
      <c r="AG801" s="14">
        <f t="shared" si="195"/>
        <v>4</v>
      </c>
      <c r="AH801" s="14" t="str">
        <f t="shared" si="196"/>
        <v>西方龙魂火-17</v>
      </c>
      <c r="AI801" s="14">
        <f t="shared" si="197"/>
        <v>17</v>
      </c>
      <c r="AJ801" s="14" t="str">
        <f>INDEX(挂机升级突破!$BX$4:$CH$4,INDEX(挂机升级突破!$BU$6:$BU$57,卡牌消耗!AI801))</f>
        <v>金币</v>
      </c>
      <c r="AK801" s="14">
        <f>ROUND(INDEX(挂机升级突破!$BN$6:$BN$57,卡牌消耗!AI801)*INDEX(卡牌消耗!$B$8:$F$8,AG801)/$Q$4/50,0)*50</f>
        <v>4750</v>
      </c>
      <c r="AL801" s="14" t="str">
        <f>IF(AD801&gt;0,INDEX(挂机升级突破!$BX$4:$CH$4,AD801),"")</f>
        <v>紫色基础材料</v>
      </c>
      <c r="AM801" s="14">
        <f>ROUND(INDEX(挂机升级突破!$BX$6:$CH$57,卡牌消耗!AI801,AD801)*INDEX(卡牌消耗!$B$5:$F$5,AG801)/$Q$4/5,0)*5</f>
        <v>405</v>
      </c>
      <c r="AN801" s="14" t="str">
        <f>IF(AE801&gt;0,INDEX(挂机升级突破!$BX$4:$CH$4,AE801),"")</f>
        <v/>
      </c>
      <c r="AO801" s="14" t="str">
        <f>IF(AE801&gt;0,ROUND(INDEX(挂机升级突破!$BX$6:$CH$57,卡牌消耗!AI801,AE801)*INDEX(卡牌消耗!$B$7:$F$7,AG801)/$Q$4,0),"")</f>
        <v/>
      </c>
    </row>
    <row r="802" spans="27:41" ht="16.5" x14ac:dyDescent="0.2">
      <c r="AA802" s="104">
        <v>798</v>
      </c>
      <c r="AB802" s="14">
        <f t="shared" si="193"/>
        <v>16</v>
      </c>
      <c r="AC802" s="14">
        <f>INDEX(挂机升级突破!$BU$6:$BU$57,卡牌消耗!AI802)</f>
        <v>11</v>
      </c>
      <c r="AD802" s="14">
        <f>INDEX(挂机升级突破!BV$6:BV$57,卡牌消耗!$AI802)</f>
        <v>3</v>
      </c>
      <c r="AE802" s="14">
        <f>INDEX(挂机升级突破!BW$6:BW$57,卡牌消耗!$AI802)</f>
        <v>0</v>
      </c>
      <c r="AF802" s="14" t="str">
        <f t="shared" si="194"/>
        <v>西方龙</v>
      </c>
      <c r="AG802" s="14">
        <f t="shared" si="195"/>
        <v>4</v>
      </c>
      <c r="AH802" s="14" t="str">
        <f t="shared" si="196"/>
        <v>西方龙魂火-18</v>
      </c>
      <c r="AI802" s="14">
        <f t="shared" si="197"/>
        <v>18</v>
      </c>
      <c r="AJ802" s="14" t="str">
        <f>INDEX(挂机升级突破!$BX$4:$CH$4,INDEX(挂机升级突破!$BU$6:$BU$57,卡牌消耗!AI802))</f>
        <v>金币</v>
      </c>
      <c r="AK802" s="14">
        <f>ROUND(INDEX(挂机升级突破!$BN$6:$BN$57,卡牌消耗!AI802)*INDEX(卡牌消耗!$B$8:$F$8,AG802)/$Q$4/50,0)*50</f>
        <v>4750</v>
      </c>
      <c r="AL802" s="14" t="str">
        <f>IF(AD802&gt;0,INDEX(挂机升级突破!$BX$4:$CH$4,AD802),"")</f>
        <v>紫色基础材料</v>
      </c>
      <c r="AM802" s="14">
        <f>ROUND(INDEX(挂机升级突破!$BX$6:$CH$57,卡牌消耗!AI802,AD802)*INDEX(卡牌消耗!$B$5:$F$5,AG802)/$Q$4/5,0)*5</f>
        <v>405</v>
      </c>
      <c r="AN802" s="14" t="str">
        <f>IF(AE802&gt;0,INDEX(挂机升级突破!$BX$4:$CH$4,AE802),"")</f>
        <v/>
      </c>
      <c r="AO802" s="14" t="str">
        <f>IF(AE802&gt;0,ROUND(INDEX(挂机升级突破!$BX$6:$CH$57,卡牌消耗!AI802,AE802)*INDEX(卡牌消耗!$B$7:$F$7,AG802)/$Q$4,0),"")</f>
        <v/>
      </c>
    </row>
    <row r="803" spans="27:41" ht="16.5" x14ac:dyDescent="0.2">
      <c r="AA803" s="104">
        <v>799</v>
      </c>
      <c r="AB803" s="14">
        <f t="shared" si="193"/>
        <v>16</v>
      </c>
      <c r="AC803" s="14">
        <f>INDEX(挂机升级突破!$BU$6:$BU$57,卡牌消耗!AI803)</f>
        <v>11</v>
      </c>
      <c r="AD803" s="14">
        <f>INDEX(挂机升级突破!BV$6:BV$57,卡牌消耗!$AI803)</f>
        <v>3</v>
      </c>
      <c r="AE803" s="14">
        <f>INDEX(挂机升级突破!BW$6:BW$57,卡牌消耗!$AI803)</f>
        <v>0</v>
      </c>
      <c r="AF803" s="14" t="str">
        <f t="shared" si="194"/>
        <v>西方龙</v>
      </c>
      <c r="AG803" s="14">
        <f t="shared" si="195"/>
        <v>4</v>
      </c>
      <c r="AH803" s="14" t="str">
        <f t="shared" si="196"/>
        <v>西方龙魂火-19</v>
      </c>
      <c r="AI803" s="14">
        <f t="shared" si="197"/>
        <v>19</v>
      </c>
      <c r="AJ803" s="14" t="str">
        <f>INDEX(挂机升级突破!$BX$4:$CH$4,INDEX(挂机升级突破!$BU$6:$BU$57,卡牌消耗!AI803))</f>
        <v>金币</v>
      </c>
      <c r="AK803" s="14">
        <f>ROUND(INDEX(挂机升级突破!$BN$6:$BN$57,卡牌消耗!AI803)*INDEX(卡牌消耗!$B$8:$F$8,AG803)/$Q$4/50,0)*50</f>
        <v>4750</v>
      </c>
      <c r="AL803" s="14" t="str">
        <f>IF(AD803&gt;0,INDEX(挂机升级突破!$BX$4:$CH$4,AD803),"")</f>
        <v>紫色基础材料</v>
      </c>
      <c r="AM803" s="14">
        <f>ROUND(INDEX(挂机升级突破!$BX$6:$CH$57,卡牌消耗!AI803,AD803)*INDEX(卡牌消耗!$B$5:$F$5,AG803)/$Q$4/5,0)*5</f>
        <v>405</v>
      </c>
      <c r="AN803" s="14" t="str">
        <f>IF(AE803&gt;0,INDEX(挂机升级突破!$BX$4:$CH$4,AE803),"")</f>
        <v/>
      </c>
      <c r="AO803" s="14" t="str">
        <f>IF(AE803&gt;0,ROUND(INDEX(挂机升级突破!$BX$6:$CH$57,卡牌消耗!AI803,AE803)*INDEX(卡牌消耗!$B$7:$F$7,AG803)/$Q$4,0),"")</f>
        <v/>
      </c>
    </row>
    <row r="804" spans="27:41" ht="16.5" x14ac:dyDescent="0.2">
      <c r="AA804" s="104">
        <v>800</v>
      </c>
      <c r="AB804" s="14">
        <f t="shared" si="193"/>
        <v>16</v>
      </c>
      <c r="AC804" s="14">
        <f>INDEX(挂机升级突破!$BU$6:$BU$57,卡牌消耗!AI804)</f>
        <v>11</v>
      </c>
      <c r="AD804" s="14">
        <f>INDEX(挂机升级突破!BV$6:BV$57,卡牌消耗!$AI804)</f>
        <v>3</v>
      </c>
      <c r="AE804" s="14">
        <f>INDEX(挂机升级突破!BW$6:BW$57,卡牌消耗!$AI804)</f>
        <v>0</v>
      </c>
      <c r="AF804" s="14" t="str">
        <f t="shared" si="194"/>
        <v>西方龙</v>
      </c>
      <c r="AG804" s="14">
        <f t="shared" si="195"/>
        <v>4</v>
      </c>
      <c r="AH804" s="14" t="str">
        <f t="shared" si="196"/>
        <v>西方龙魂火-20</v>
      </c>
      <c r="AI804" s="14">
        <f t="shared" si="197"/>
        <v>20</v>
      </c>
      <c r="AJ804" s="14" t="str">
        <f>INDEX(挂机升级突破!$BX$4:$CH$4,INDEX(挂机升级突破!$BU$6:$BU$57,卡牌消耗!AI804))</f>
        <v>金币</v>
      </c>
      <c r="AK804" s="14">
        <f>ROUND(INDEX(挂机升级突破!$BN$6:$BN$57,卡牌消耗!AI804)*INDEX(卡牌消耗!$B$8:$F$8,AG804)/$Q$4/50,0)*50</f>
        <v>5850</v>
      </c>
      <c r="AL804" s="14" t="str">
        <f>IF(AD804&gt;0,INDEX(挂机升级突破!$BX$4:$CH$4,AD804),"")</f>
        <v>紫色基础材料</v>
      </c>
      <c r="AM804" s="14">
        <f>ROUND(INDEX(挂机升级突破!$BX$6:$CH$57,卡牌消耗!AI804,AD804)*INDEX(卡牌消耗!$B$5:$F$5,AG804)/$Q$4/5,0)*5</f>
        <v>605</v>
      </c>
      <c r="AN804" s="14" t="str">
        <f>IF(AE804&gt;0,INDEX(挂机升级突破!$BX$4:$CH$4,AE804),"")</f>
        <v/>
      </c>
      <c r="AO804" s="14" t="str">
        <f>IF(AE804&gt;0,ROUND(INDEX(挂机升级突破!$BX$6:$CH$57,卡牌消耗!AI804,AE804)*INDEX(卡牌消耗!$B$7:$F$7,AG804)/$Q$4,0),"")</f>
        <v/>
      </c>
    </row>
    <row r="805" spans="27:41" ht="16.5" x14ac:dyDescent="0.2">
      <c r="AA805" s="104">
        <v>801</v>
      </c>
      <c r="AB805" s="14">
        <f t="shared" si="193"/>
        <v>16</v>
      </c>
      <c r="AC805" s="14">
        <f>INDEX(挂机升级突破!$BU$6:$BU$57,卡牌消耗!AI805)</f>
        <v>11</v>
      </c>
      <c r="AD805" s="14">
        <f>INDEX(挂机升级突破!BV$6:BV$57,卡牌消耗!$AI805)</f>
        <v>3</v>
      </c>
      <c r="AE805" s="14">
        <f>INDEX(挂机升级突破!BW$6:BW$57,卡牌消耗!$AI805)</f>
        <v>0</v>
      </c>
      <c r="AF805" s="14" t="str">
        <f t="shared" si="194"/>
        <v>西方龙</v>
      </c>
      <c r="AG805" s="14">
        <f t="shared" si="195"/>
        <v>4</v>
      </c>
      <c r="AH805" s="14" t="str">
        <f t="shared" si="196"/>
        <v>西方龙魂火-21</v>
      </c>
      <c r="AI805" s="14">
        <f t="shared" si="197"/>
        <v>21</v>
      </c>
      <c r="AJ805" s="14" t="str">
        <f>INDEX(挂机升级突破!$BX$4:$CH$4,INDEX(挂机升级突破!$BU$6:$BU$57,卡牌消耗!AI805))</f>
        <v>金币</v>
      </c>
      <c r="AK805" s="14">
        <f>ROUND(INDEX(挂机升级突破!$BN$6:$BN$57,卡牌消耗!AI805)*INDEX(卡牌消耗!$B$8:$F$8,AG805)/$Q$4/50,0)*50</f>
        <v>5850</v>
      </c>
      <c r="AL805" s="14" t="str">
        <f>IF(AD805&gt;0,INDEX(挂机升级突破!$BX$4:$CH$4,AD805),"")</f>
        <v>紫色基础材料</v>
      </c>
      <c r="AM805" s="14">
        <f>ROUND(INDEX(挂机升级突破!$BX$6:$CH$57,卡牌消耗!AI805,AD805)*INDEX(卡牌消耗!$B$5:$F$5,AG805)/$Q$4/5,0)*5</f>
        <v>605</v>
      </c>
      <c r="AN805" s="14" t="str">
        <f>IF(AE805&gt;0,INDEX(挂机升级突破!$BX$4:$CH$4,AE805),"")</f>
        <v/>
      </c>
      <c r="AO805" s="14" t="str">
        <f>IF(AE805&gt;0,ROUND(INDEX(挂机升级突破!$BX$6:$CH$57,卡牌消耗!AI805,AE805)*INDEX(卡牌消耗!$B$7:$F$7,AG805)/$Q$4,0),"")</f>
        <v/>
      </c>
    </row>
    <row r="806" spans="27:41" ht="16.5" x14ac:dyDescent="0.2">
      <c r="AA806" s="104">
        <v>802</v>
      </c>
      <c r="AB806" s="14">
        <f t="shared" si="193"/>
        <v>16</v>
      </c>
      <c r="AC806" s="14">
        <f>INDEX(挂机升级突破!$BU$6:$BU$57,卡牌消耗!AI806)</f>
        <v>11</v>
      </c>
      <c r="AD806" s="14">
        <f>INDEX(挂机升级突破!BV$6:BV$57,卡牌消耗!$AI806)</f>
        <v>3</v>
      </c>
      <c r="AE806" s="14">
        <f>INDEX(挂机升级突破!BW$6:BW$57,卡牌消耗!$AI806)</f>
        <v>0</v>
      </c>
      <c r="AF806" s="14" t="str">
        <f t="shared" si="194"/>
        <v>西方龙</v>
      </c>
      <c r="AG806" s="14">
        <f t="shared" si="195"/>
        <v>4</v>
      </c>
      <c r="AH806" s="14" t="str">
        <f t="shared" si="196"/>
        <v>西方龙魂火-22</v>
      </c>
      <c r="AI806" s="14">
        <f t="shared" si="197"/>
        <v>22</v>
      </c>
      <c r="AJ806" s="14" t="str">
        <f>INDEX(挂机升级突破!$BX$4:$CH$4,INDEX(挂机升级突破!$BU$6:$BU$57,卡牌消耗!AI806))</f>
        <v>金币</v>
      </c>
      <c r="AK806" s="14">
        <f>ROUND(INDEX(挂机升级突破!$BN$6:$BN$57,卡牌消耗!AI806)*INDEX(卡牌消耗!$B$8:$F$8,AG806)/$Q$4/50,0)*50</f>
        <v>5850</v>
      </c>
      <c r="AL806" s="14" t="str">
        <f>IF(AD806&gt;0,INDEX(挂机升级突破!$BX$4:$CH$4,AD806),"")</f>
        <v>紫色基础材料</v>
      </c>
      <c r="AM806" s="14">
        <f>ROUND(INDEX(挂机升级突破!$BX$6:$CH$57,卡牌消耗!AI806,AD806)*INDEX(卡牌消耗!$B$5:$F$5,AG806)/$Q$4/5,0)*5</f>
        <v>605</v>
      </c>
      <c r="AN806" s="14" t="str">
        <f>IF(AE806&gt;0,INDEX(挂机升级突破!$BX$4:$CH$4,AE806),"")</f>
        <v/>
      </c>
      <c r="AO806" s="14" t="str">
        <f>IF(AE806&gt;0,ROUND(INDEX(挂机升级突破!$BX$6:$CH$57,卡牌消耗!AI806,AE806)*INDEX(卡牌消耗!$B$7:$F$7,AG806)/$Q$4,0),"")</f>
        <v/>
      </c>
    </row>
    <row r="807" spans="27:41" ht="16.5" x14ac:dyDescent="0.2">
      <c r="AA807" s="104">
        <v>803</v>
      </c>
      <c r="AB807" s="14">
        <f t="shared" si="193"/>
        <v>16</v>
      </c>
      <c r="AC807" s="14">
        <f>INDEX(挂机升级突破!$BU$6:$BU$57,卡牌消耗!AI807)</f>
        <v>11</v>
      </c>
      <c r="AD807" s="14">
        <f>INDEX(挂机升级突破!BV$6:BV$57,卡牌消耗!$AI807)</f>
        <v>4</v>
      </c>
      <c r="AE807" s="14">
        <f>INDEX(挂机升级突破!BW$6:BW$57,卡牌消耗!$AI807)</f>
        <v>0</v>
      </c>
      <c r="AF807" s="14" t="str">
        <f t="shared" si="194"/>
        <v>西方龙</v>
      </c>
      <c r="AG807" s="14">
        <f t="shared" si="195"/>
        <v>4</v>
      </c>
      <c r="AH807" s="14" t="str">
        <f t="shared" si="196"/>
        <v>西方龙魂火-23</v>
      </c>
      <c r="AI807" s="14">
        <f t="shared" si="197"/>
        <v>23</v>
      </c>
      <c r="AJ807" s="14" t="str">
        <f>INDEX(挂机升级突破!$BX$4:$CH$4,INDEX(挂机升级突破!$BU$6:$BU$57,卡牌消耗!AI807))</f>
        <v>金币</v>
      </c>
      <c r="AK807" s="14">
        <f>ROUND(INDEX(挂机升级突破!$BN$6:$BN$57,卡牌消耗!AI807)*INDEX(卡牌消耗!$B$8:$F$8,AG807)/$Q$4/50,0)*50</f>
        <v>8050</v>
      </c>
      <c r="AL807" s="14" t="str">
        <f>IF(AD807&gt;0,INDEX(挂机升级突破!$BX$4:$CH$4,AD807),"")</f>
        <v>橙色基础材料</v>
      </c>
      <c r="AM807" s="14">
        <f>ROUND(INDEX(挂机升级突破!$BX$6:$CH$57,卡牌消耗!AI807,AD807)*INDEX(卡牌消耗!$B$5:$F$5,AG807)/$Q$4/5,0)*5</f>
        <v>85</v>
      </c>
      <c r="AN807" s="14" t="str">
        <f>IF(AE807&gt;0,INDEX(挂机升级突破!$BX$4:$CH$4,AE807),"")</f>
        <v/>
      </c>
      <c r="AO807" s="14" t="str">
        <f>IF(AE807&gt;0,ROUND(INDEX(挂机升级突破!$BX$6:$CH$57,卡牌消耗!AI807,AE807)*INDEX(卡牌消耗!$B$7:$F$7,AG807)/$Q$4,0),"")</f>
        <v/>
      </c>
    </row>
    <row r="808" spans="27:41" ht="16.5" x14ac:dyDescent="0.2">
      <c r="AA808" s="104">
        <v>804</v>
      </c>
      <c r="AB808" s="14">
        <f t="shared" si="193"/>
        <v>16</v>
      </c>
      <c r="AC808" s="14">
        <f>INDEX(挂机升级突破!$BU$6:$BU$57,卡牌消耗!AI808)</f>
        <v>11</v>
      </c>
      <c r="AD808" s="14">
        <f>INDEX(挂机升级突破!BV$6:BV$57,卡牌消耗!$AI808)</f>
        <v>4</v>
      </c>
      <c r="AE808" s="14">
        <f>INDEX(挂机升级突破!BW$6:BW$57,卡牌消耗!$AI808)</f>
        <v>0</v>
      </c>
      <c r="AF808" s="14" t="str">
        <f t="shared" si="194"/>
        <v>西方龙</v>
      </c>
      <c r="AG808" s="14">
        <f t="shared" si="195"/>
        <v>4</v>
      </c>
      <c r="AH808" s="14" t="str">
        <f t="shared" si="196"/>
        <v>西方龙魂火-24</v>
      </c>
      <c r="AI808" s="14">
        <f t="shared" si="197"/>
        <v>24</v>
      </c>
      <c r="AJ808" s="14" t="str">
        <f>INDEX(挂机升级突破!$BX$4:$CH$4,INDEX(挂机升级突破!$BU$6:$BU$57,卡牌消耗!AI808))</f>
        <v>金币</v>
      </c>
      <c r="AK808" s="14">
        <f>ROUND(INDEX(挂机升级突破!$BN$6:$BN$57,卡牌消耗!AI808)*INDEX(卡牌消耗!$B$8:$F$8,AG808)/$Q$4/50,0)*50</f>
        <v>8050</v>
      </c>
      <c r="AL808" s="14" t="str">
        <f>IF(AD808&gt;0,INDEX(挂机升级突破!$BX$4:$CH$4,AD808),"")</f>
        <v>橙色基础材料</v>
      </c>
      <c r="AM808" s="14">
        <f>ROUND(INDEX(挂机升级突破!$BX$6:$CH$57,卡牌消耗!AI808,AD808)*INDEX(卡牌消耗!$B$5:$F$5,AG808)/$Q$4/5,0)*5</f>
        <v>85</v>
      </c>
      <c r="AN808" s="14" t="str">
        <f>IF(AE808&gt;0,INDEX(挂机升级突破!$BX$4:$CH$4,AE808),"")</f>
        <v/>
      </c>
      <c r="AO808" s="14" t="str">
        <f>IF(AE808&gt;0,ROUND(INDEX(挂机升级突破!$BX$6:$CH$57,卡牌消耗!AI808,AE808)*INDEX(卡牌消耗!$B$7:$F$7,AG808)/$Q$4,0),"")</f>
        <v/>
      </c>
    </row>
    <row r="809" spans="27:41" ht="16.5" x14ac:dyDescent="0.2">
      <c r="AA809" s="104">
        <v>805</v>
      </c>
      <c r="AB809" s="14">
        <f t="shared" si="193"/>
        <v>16</v>
      </c>
      <c r="AC809" s="14">
        <f>INDEX(挂机升级突破!$BU$6:$BU$57,卡牌消耗!AI809)</f>
        <v>11</v>
      </c>
      <c r="AD809" s="14">
        <f>INDEX(挂机升级突破!BV$6:BV$57,卡牌消耗!$AI809)</f>
        <v>4</v>
      </c>
      <c r="AE809" s="14">
        <f>INDEX(挂机升级突破!BW$6:BW$57,卡牌消耗!$AI809)</f>
        <v>0</v>
      </c>
      <c r="AF809" s="14" t="str">
        <f t="shared" si="194"/>
        <v>西方龙</v>
      </c>
      <c r="AG809" s="14">
        <f t="shared" si="195"/>
        <v>4</v>
      </c>
      <c r="AH809" s="14" t="str">
        <f t="shared" si="196"/>
        <v>西方龙魂火-25</v>
      </c>
      <c r="AI809" s="14">
        <f t="shared" si="197"/>
        <v>25</v>
      </c>
      <c r="AJ809" s="14" t="str">
        <f>INDEX(挂机升级突破!$BX$4:$CH$4,INDEX(挂机升级突破!$BU$6:$BU$57,卡牌消耗!AI809))</f>
        <v>金币</v>
      </c>
      <c r="AK809" s="14">
        <f>ROUND(INDEX(挂机升级突破!$BN$6:$BN$57,卡牌消耗!AI809)*INDEX(卡牌消耗!$B$8:$F$8,AG809)/$Q$4/50,0)*50</f>
        <v>8800</v>
      </c>
      <c r="AL809" s="14" t="str">
        <f>IF(AD809&gt;0,INDEX(挂机升级突破!$BX$4:$CH$4,AD809),"")</f>
        <v>橙色基础材料</v>
      </c>
      <c r="AM809" s="14">
        <f>ROUND(INDEX(挂机升级突破!$BX$6:$CH$57,卡牌消耗!AI809,AD809)*INDEX(卡牌消耗!$B$5:$F$5,AG809)/$Q$4/5,0)*5</f>
        <v>85</v>
      </c>
      <c r="AN809" s="14" t="str">
        <f>IF(AE809&gt;0,INDEX(挂机升级突破!$BX$4:$CH$4,AE809),"")</f>
        <v/>
      </c>
      <c r="AO809" s="14" t="str">
        <f>IF(AE809&gt;0,ROUND(INDEX(挂机升级突破!$BX$6:$CH$57,卡牌消耗!AI809,AE809)*INDEX(卡牌消耗!$B$7:$F$7,AG809)/$Q$4,0),"")</f>
        <v/>
      </c>
    </row>
    <row r="810" spans="27:41" ht="16.5" x14ac:dyDescent="0.2">
      <c r="AA810" s="104">
        <v>806</v>
      </c>
      <c r="AB810" s="14">
        <f t="shared" si="193"/>
        <v>16</v>
      </c>
      <c r="AC810" s="14">
        <f>INDEX(挂机升级突破!$BU$6:$BU$57,卡牌消耗!AI810)</f>
        <v>11</v>
      </c>
      <c r="AD810" s="14">
        <f>INDEX(挂机升级突破!BV$6:BV$57,卡牌消耗!$AI810)</f>
        <v>4</v>
      </c>
      <c r="AE810" s="14">
        <f>INDEX(挂机升级突破!BW$6:BW$57,卡牌消耗!$AI810)</f>
        <v>0</v>
      </c>
      <c r="AF810" s="14" t="str">
        <f t="shared" si="194"/>
        <v>西方龙</v>
      </c>
      <c r="AG810" s="14">
        <f t="shared" si="195"/>
        <v>4</v>
      </c>
      <c r="AH810" s="14" t="str">
        <f t="shared" si="196"/>
        <v>西方龙魂火-26</v>
      </c>
      <c r="AI810" s="14">
        <f t="shared" si="197"/>
        <v>26</v>
      </c>
      <c r="AJ810" s="14" t="str">
        <f>INDEX(挂机升级突破!$BX$4:$CH$4,INDEX(挂机升级突破!$BU$6:$BU$57,卡牌消耗!AI810))</f>
        <v>金币</v>
      </c>
      <c r="AK810" s="14">
        <f>ROUND(INDEX(挂机升级突破!$BN$6:$BN$57,卡牌消耗!AI810)*INDEX(卡牌消耗!$B$8:$F$8,AG810)/$Q$4/50,0)*50</f>
        <v>10250</v>
      </c>
      <c r="AL810" s="14" t="str">
        <f>IF(AD810&gt;0,INDEX(挂机升级突破!$BX$4:$CH$4,AD810),"")</f>
        <v>橙色基础材料</v>
      </c>
      <c r="AM810" s="14">
        <f>ROUND(INDEX(挂机升级突破!$BX$6:$CH$57,卡牌消耗!AI810,AD810)*INDEX(卡牌消耗!$B$5:$F$5,AG810)/$Q$4/5,0)*5</f>
        <v>100</v>
      </c>
      <c r="AN810" s="14" t="str">
        <f>IF(AE810&gt;0,INDEX(挂机升级突破!$BX$4:$CH$4,AE810),"")</f>
        <v/>
      </c>
      <c r="AO810" s="14" t="str">
        <f>IF(AE810&gt;0,ROUND(INDEX(挂机升级突破!$BX$6:$CH$57,卡牌消耗!AI810,AE810)*INDEX(卡牌消耗!$B$7:$F$7,AG810)/$Q$4,0),"")</f>
        <v/>
      </c>
    </row>
    <row r="811" spans="27:41" ht="16.5" x14ac:dyDescent="0.2">
      <c r="AA811" s="104">
        <v>807</v>
      </c>
      <c r="AB811" s="14">
        <f t="shared" si="193"/>
        <v>16</v>
      </c>
      <c r="AC811" s="14">
        <f>INDEX(挂机升级突破!$BU$6:$BU$57,卡牌消耗!AI811)</f>
        <v>11</v>
      </c>
      <c r="AD811" s="14">
        <f>INDEX(挂机升级突破!BV$6:BV$57,卡牌消耗!$AI811)</f>
        <v>4</v>
      </c>
      <c r="AE811" s="14">
        <f>INDEX(挂机升级突破!BW$6:BW$57,卡牌消耗!$AI811)</f>
        <v>0</v>
      </c>
      <c r="AF811" s="14" t="str">
        <f t="shared" si="194"/>
        <v>西方龙</v>
      </c>
      <c r="AG811" s="14">
        <f t="shared" si="195"/>
        <v>4</v>
      </c>
      <c r="AH811" s="14" t="str">
        <f t="shared" si="196"/>
        <v>西方龙魂火-27</v>
      </c>
      <c r="AI811" s="14">
        <f t="shared" si="197"/>
        <v>27</v>
      </c>
      <c r="AJ811" s="14" t="str">
        <f>INDEX(挂机升级突破!$BX$4:$CH$4,INDEX(挂机升级突破!$BU$6:$BU$57,卡牌消耗!AI811))</f>
        <v>金币</v>
      </c>
      <c r="AK811" s="14">
        <f>ROUND(INDEX(挂机升级突破!$BN$6:$BN$57,卡牌消耗!AI811)*INDEX(卡牌消耗!$B$8:$F$8,AG811)/$Q$4/50,0)*50</f>
        <v>10250</v>
      </c>
      <c r="AL811" s="14" t="str">
        <f>IF(AD811&gt;0,INDEX(挂机升级突破!$BX$4:$CH$4,AD811),"")</f>
        <v>橙色基础材料</v>
      </c>
      <c r="AM811" s="14">
        <f>ROUND(INDEX(挂机升级突破!$BX$6:$CH$57,卡牌消耗!AI811,AD811)*INDEX(卡牌消耗!$B$5:$F$5,AG811)/$Q$4/5,0)*5</f>
        <v>100</v>
      </c>
      <c r="AN811" s="14" t="str">
        <f>IF(AE811&gt;0,INDEX(挂机升级突破!$BX$4:$CH$4,AE811),"")</f>
        <v/>
      </c>
      <c r="AO811" s="14" t="str">
        <f>IF(AE811&gt;0,ROUND(INDEX(挂机升级突破!$BX$6:$CH$57,卡牌消耗!AI811,AE811)*INDEX(卡牌消耗!$B$7:$F$7,AG811)/$Q$4,0),"")</f>
        <v/>
      </c>
    </row>
    <row r="812" spans="27:41" ht="16.5" x14ac:dyDescent="0.2">
      <c r="AA812" s="104">
        <v>808</v>
      </c>
      <c r="AB812" s="14">
        <f t="shared" si="193"/>
        <v>16</v>
      </c>
      <c r="AC812" s="14">
        <f>INDEX(挂机升级突破!$BU$6:$BU$57,卡牌消耗!AI812)</f>
        <v>11</v>
      </c>
      <c r="AD812" s="14">
        <f>INDEX(挂机升级突破!BV$6:BV$57,卡牌消耗!$AI812)</f>
        <v>4</v>
      </c>
      <c r="AE812" s="14">
        <f>INDEX(挂机升级突破!BW$6:BW$57,卡牌消耗!$AI812)</f>
        <v>0</v>
      </c>
      <c r="AF812" s="14" t="str">
        <f t="shared" si="194"/>
        <v>西方龙</v>
      </c>
      <c r="AG812" s="14">
        <f t="shared" si="195"/>
        <v>4</v>
      </c>
      <c r="AH812" s="14" t="str">
        <f t="shared" si="196"/>
        <v>西方龙魂火-28</v>
      </c>
      <c r="AI812" s="14">
        <f t="shared" si="197"/>
        <v>28</v>
      </c>
      <c r="AJ812" s="14" t="str">
        <f>INDEX(挂机升级突破!$BX$4:$CH$4,INDEX(挂机升级突破!$BU$6:$BU$57,卡牌消耗!AI812))</f>
        <v>金币</v>
      </c>
      <c r="AK812" s="14">
        <f>ROUND(INDEX(挂机升级突破!$BN$6:$BN$57,卡牌消耗!AI812)*INDEX(卡牌消耗!$B$8:$F$8,AG812)/$Q$4/50,0)*50</f>
        <v>10250</v>
      </c>
      <c r="AL812" s="14" t="str">
        <f>IF(AD812&gt;0,INDEX(挂机升级突破!$BX$4:$CH$4,AD812),"")</f>
        <v>橙色基础材料</v>
      </c>
      <c r="AM812" s="14">
        <f>ROUND(INDEX(挂机升级突破!$BX$6:$CH$57,卡牌消耗!AI812,AD812)*INDEX(卡牌消耗!$B$5:$F$5,AG812)/$Q$4/5,0)*5</f>
        <v>100</v>
      </c>
      <c r="AN812" s="14" t="str">
        <f>IF(AE812&gt;0,INDEX(挂机升级突破!$BX$4:$CH$4,AE812),"")</f>
        <v/>
      </c>
      <c r="AO812" s="14" t="str">
        <f>IF(AE812&gt;0,ROUND(INDEX(挂机升级突破!$BX$6:$CH$57,卡牌消耗!AI812,AE812)*INDEX(卡牌消耗!$B$7:$F$7,AG812)/$Q$4,0),"")</f>
        <v/>
      </c>
    </row>
    <row r="813" spans="27:41" ht="16.5" x14ac:dyDescent="0.2">
      <c r="AA813" s="104">
        <v>809</v>
      </c>
      <c r="AB813" s="14">
        <f t="shared" si="193"/>
        <v>16</v>
      </c>
      <c r="AC813" s="14">
        <f>INDEX(挂机升级突破!$BU$6:$BU$57,卡牌消耗!AI813)</f>
        <v>11</v>
      </c>
      <c r="AD813" s="14">
        <f>INDEX(挂机升级突破!BV$6:BV$57,卡牌消耗!$AI813)</f>
        <v>4</v>
      </c>
      <c r="AE813" s="14">
        <f>INDEX(挂机升级突破!BW$6:BW$57,卡牌消耗!$AI813)</f>
        <v>0</v>
      </c>
      <c r="AF813" s="14" t="str">
        <f t="shared" si="194"/>
        <v>西方龙</v>
      </c>
      <c r="AG813" s="14">
        <f t="shared" si="195"/>
        <v>4</v>
      </c>
      <c r="AH813" s="14" t="str">
        <f t="shared" si="196"/>
        <v>西方龙魂火-29</v>
      </c>
      <c r="AI813" s="14">
        <f t="shared" si="197"/>
        <v>29</v>
      </c>
      <c r="AJ813" s="14" t="str">
        <f>INDEX(挂机升级突破!$BX$4:$CH$4,INDEX(挂机升级突破!$BU$6:$BU$57,卡牌消耗!AI813))</f>
        <v>金币</v>
      </c>
      <c r="AK813" s="14">
        <f>ROUND(INDEX(挂机升级突破!$BN$6:$BN$57,卡牌消耗!AI813)*INDEX(卡牌消耗!$B$8:$F$8,AG813)/$Q$4/50,0)*50</f>
        <v>10350</v>
      </c>
      <c r="AL813" s="14" t="str">
        <f>IF(AD813&gt;0,INDEX(挂机升级突破!$BX$4:$CH$4,AD813),"")</f>
        <v>橙色基础材料</v>
      </c>
      <c r="AM813" s="14">
        <f>ROUND(INDEX(挂机升级突破!$BX$6:$CH$57,卡牌消耗!AI813,AD813)*INDEX(卡牌消耗!$B$5:$F$5,AG813)/$Q$4/5,0)*5</f>
        <v>115</v>
      </c>
      <c r="AN813" s="14" t="str">
        <f>IF(AE813&gt;0,INDEX(挂机升级突破!$BX$4:$CH$4,AE813),"")</f>
        <v/>
      </c>
      <c r="AO813" s="14" t="str">
        <f>IF(AE813&gt;0,ROUND(INDEX(挂机升级突破!$BX$6:$CH$57,卡牌消耗!AI813,AE813)*INDEX(卡牌消耗!$B$7:$F$7,AG813)/$Q$4,0),"")</f>
        <v/>
      </c>
    </row>
    <row r="814" spans="27:41" ht="16.5" x14ac:dyDescent="0.2">
      <c r="AA814" s="104">
        <v>810</v>
      </c>
      <c r="AB814" s="14">
        <f t="shared" si="193"/>
        <v>16</v>
      </c>
      <c r="AC814" s="14">
        <f>INDEX(挂机升级突破!$BU$6:$BU$57,卡牌消耗!AI814)</f>
        <v>11</v>
      </c>
      <c r="AD814" s="14">
        <f>INDEX(挂机升级突破!BV$6:BV$57,卡牌消耗!$AI814)</f>
        <v>4</v>
      </c>
      <c r="AE814" s="14">
        <f>INDEX(挂机升级突破!BW$6:BW$57,卡牌消耗!$AI814)</f>
        <v>0</v>
      </c>
      <c r="AF814" s="14" t="str">
        <f t="shared" si="194"/>
        <v>西方龙</v>
      </c>
      <c r="AG814" s="14">
        <f t="shared" si="195"/>
        <v>4</v>
      </c>
      <c r="AH814" s="14" t="str">
        <f t="shared" si="196"/>
        <v>西方龙魂火-30</v>
      </c>
      <c r="AI814" s="14">
        <f t="shared" si="197"/>
        <v>30</v>
      </c>
      <c r="AJ814" s="14" t="str">
        <f>INDEX(挂机升级突破!$BX$4:$CH$4,INDEX(挂机升级突破!$BU$6:$BU$57,卡牌消耗!AI814))</f>
        <v>金币</v>
      </c>
      <c r="AK814" s="14">
        <f>ROUND(INDEX(挂机升级突破!$BN$6:$BN$57,卡牌消耗!AI814)*INDEX(卡牌消耗!$B$8:$F$8,AG814)/$Q$4/50,0)*50</f>
        <v>10350</v>
      </c>
      <c r="AL814" s="14" t="str">
        <f>IF(AD814&gt;0,INDEX(挂机升级突破!$BX$4:$CH$4,AD814),"")</f>
        <v>橙色基础材料</v>
      </c>
      <c r="AM814" s="14">
        <f>ROUND(INDEX(挂机升级突破!$BX$6:$CH$57,卡牌消耗!AI814,AD814)*INDEX(卡牌消耗!$B$5:$F$5,AG814)/$Q$4/5,0)*5</f>
        <v>115</v>
      </c>
      <c r="AN814" s="14" t="str">
        <f>IF(AE814&gt;0,INDEX(挂机升级突破!$BX$4:$CH$4,AE814),"")</f>
        <v/>
      </c>
      <c r="AO814" s="14" t="str">
        <f>IF(AE814&gt;0,ROUND(INDEX(挂机升级突破!$BX$6:$CH$57,卡牌消耗!AI814,AE814)*INDEX(卡牌消耗!$B$7:$F$7,AG814)/$Q$4,0),"")</f>
        <v/>
      </c>
    </row>
    <row r="815" spans="27:41" ht="16.5" x14ac:dyDescent="0.2">
      <c r="AA815" s="104">
        <v>811</v>
      </c>
      <c r="AB815" s="14">
        <f t="shared" si="193"/>
        <v>16</v>
      </c>
      <c r="AC815" s="14">
        <f>INDEX(挂机升级突破!$BU$6:$BU$57,卡牌消耗!AI815)</f>
        <v>11</v>
      </c>
      <c r="AD815" s="14">
        <f>INDEX(挂机升级突破!BV$6:BV$57,卡牌消耗!$AI815)</f>
        <v>4</v>
      </c>
      <c r="AE815" s="14">
        <f>INDEX(挂机升级突破!BW$6:BW$57,卡牌消耗!$AI815)</f>
        <v>0</v>
      </c>
      <c r="AF815" s="14" t="str">
        <f t="shared" si="194"/>
        <v>西方龙</v>
      </c>
      <c r="AG815" s="14">
        <f t="shared" si="195"/>
        <v>4</v>
      </c>
      <c r="AH815" s="14" t="str">
        <f t="shared" si="196"/>
        <v>西方龙魂火-31</v>
      </c>
      <c r="AI815" s="14">
        <f t="shared" si="197"/>
        <v>31</v>
      </c>
      <c r="AJ815" s="14" t="str">
        <f>INDEX(挂机升级突破!$BX$4:$CH$4,INDEX(挂机升级突破!$BU$6:$BU$57,卡牌消耗!AI815))</f>
        <v>金币</v>
      </c>
      <c r="AK815" s="14">
        <f>ROUND(INDEX(挂机升级突破!$BN$6:$BN$57,卡牌消耗!AI815)*INDEX(卡牌消耗!$B$8:$F$8,AG815)/$Q$4/50,0)*50</f>
        <v>10350</v>
      </c>
      <c r="AL815" s="14" t="str">
        <f>IF(AD815&gt;0,INDEX(挂机升级突破!$BX$4:$CH$4,AD815),"")</f>
        <v>橙色基础材料</v>
      </c>
      <c r="AM815" s="14">
        <f>ROUND(INDEX(挂机升级突破!$BX$6:$CH$57,卡牌消耗!AI815,AD815)*INDEX(卡牌消耗!$B$5:$F$5,AG815)/$Q$4/5,0)*5</f>
        <v>115</v>
      </c>
      <c r="AN815" s="14" t="str">
        <f>IF(AE815&gt;0,INDEX(挂机升级突破!$BX$4:$CH$4,AE815),"")</f>
        <v/>
      </c>
      <c r="AO815" s="14" t="str">
        <f>IF(AE815&gt;0,ROUND(INDEX(挂机升级突破!$BX$6:$CH$57,卡牌消耗!AI815,AE815)*INDEX(卡牌消耗!$B$7:$F$7,AG815)/$Q$4,0),"")</f>
        <v/>
      </c>
    </row>
    <row r="816" spans="27:41" ht="16.5" x14ac:dyDescent="0.2">
      <c r="AA816" s="104">
        <v>812</v>
      </c>
      <c r="AB816" s="14">
        <f t="shared" si="193"/>
        <v>16</v>
      </c>
      <c r="AC816" s="14">
        <f>INDEX(挂机升级突破!$BU$6:$BU$57,卡牌消耗!AI816)</f>
        <v>11</v>
      </c>
      <c r="AD816" s="14">
        <f>INDEX(挂机升级突破!BV$6:BV$57,卡牌消耗!$AI816)</f>
        <v>4</v>
      </c>
      <c r="AE816" s="14">
        <f>INDEX(挂机升级突破!BW$6:BW$57,卡牌消耗!$AI816)</f>
        <v>0</v>
      </c>
      <c r="AF816" s="14" t="str">
        <f t="shared" si="194"/>
        <v>西方龙</v>
      </c>
      <c r="AG816" s="14">
        <f t="shared" si="195"/>
        <v>4</v>
      </c>
      <c r="AH816" s="14" t="str">
        <f t="shared" si="196"/>
        <v>西方龙魂火-32</v>
      </c>
      <c r="AI816" s="14">
        <f t="shared" si="197"/>
        <v>32</v>
      </c>
      <c r="AJ816" s="14" t="str">
        <f>INDEX(挂机升级突破!$BX$4:$CH$4,INDEX(挂机升级突破!$BU$6:$BU$57,卡牌消耗!AI816))</f>
        <v>金币</v>
      </c>
      <c r="AK816" s="14">
        <f>ROUND(INDEX(挂机升级突破!$BN$6:$BN$57,卡牌消耗!AI816)*INDEX(卡牌消耗!$B$8:$F$8,AG816)/$Q$4/50,0)*50</f>
        <v>14250</v>
      </c>
      <c r="AL816" s="14" t="str">
        <f>IF(AD816&gt;0,INDEX(挂机升级突破!$BX$4:$CH$4,AD816),"")</f>
        <v>橙色基础材料</v>
      </c>
      <c r="AM816" s="14">
        <f>ROUND(INDEX(挂机升级突破!$BX$6:$CH$57,卡牌消耗!AI816,AD816)*INDEX(卡牌消耗!$B$5:$F$5,AG816)/$Q$4/5,0)*5</f>
        <v>115</v>
      </c>
      <c r="AN816" s="14" t="str">
        <f>IF(AE816&gt;0,INDEX(挂机升级突破!$BX$4:$CH$4,AE816),"")</f>
        <v/>
      </c>
      <c r="AO816" s="14" t="str">
        <f>IF(AE816&gt;0,ROUND(INDEX(挂机升级突破!$BX$6:$CH$57,卡牌消耗!AI816,AE816)*INDEX(卡牌消耗!$B$7:$F$7,AG816)/$Q$4,0),"")</f>
        <v/>
      </c>
    </row>
    <row r="817" spans="27:41" ht="16.5" x14ac:dyDescent="0.2">
      <c r="AA817" s="104">
        <v>813</v>
      </c>
      <c r="AB817" s="14">
        <f t="shared" si="193"/>
        <v>16</v>
      </c>
      <c r="AC817" s="14">
        <f>INDEX(挂机升级突破!$BU$6:$BU$57,卡牌消耗!AI817)</f>
        <v>11</v>
      </c>
      <c r="AD817" s="14">
        <f>INDEX(挂机升级突破!BV$6:BV$57,卡牌消耗!$AI817)</f>
        <v>4</v>
      </c>
      <c r="AE817" s="14">
        <f>INDEX(挂机升级突破!BW$6:BW$57,卡牌消耗!$AI817)</f>
        <v>0</v>
      </c>
      <c r="AF817" s="14" t="str">
        <f t="shared" si="194"/>
        <v>西方龙</v>
      </c>
      <c r="AG817" s="14">
        <f t="shared" si="195"/>
        <v>4</v>
      </c>
      <c r="AH817" s="14" t="str">
        <f t="shared" si="196"/>
        <v>西方龙魂火-33</v>
      </c>
      <c r="AI817" s="14">
        <f t="shared" si="197"/>
        <v>33</v>
      </c>
      <c r="AJ817" s="14" t="str">
        <f>INDEX(挂机升级突破!$BX$4:$CH$4,INDEX(挂机升级突破!$BU$6:$BU$57,卡牌消耗!AI817))</f>
        <v>金币</v>
      </c>
      <c r="AK817" s="14">
        <f>ROUND(INDEX(挂机升级突破!$BN$6:$BN$57,卡牌消耗!AI817)*INDEX(卡牌消耗!$B$8:$F$8,AG817)/$Q$4/50,0)*50</f>
        <v>14250</v>
      </c>
      <c r="AL817" s="14" t="str">
        <f>IF(AD817&gt;0,INDEX(挂机升级突破!$BX$4:$CH$4,AD817),"")</f>
        <v>橙色基础材料</v>
      </c>
      <c r="AM817" s="14">
        <f>ROUND(INDEX(挂机升级突破!$BX$6:$CH$57,卡牌消耗!AI817,AD817)*INDEX(卡牌消耗!$B$5:$F$5,AG817)/$Q$4/5,0)*5</f>
        <v>115</v>
      </c>
      <c r="AN817" s="14" t="str">
        <f>IF(AE817&gt;0,INDEX(挂机升级突破!$BX$4:$CH$4,AE817),"")</f>
        <v/>
      </c>
      <c r="AO817" s="14" t="str">
        <f>IF(AE817&gt;0,ROUND(INDEX(挂机升级突破!$BX$6:$CH$57,卡牌消耗!AI817,AE817)*INDEX(卡牌消耗!$B$7:$F$7,AG817)/$Q$4,0),"")</f>
        <v/>
      </c>
    </row>
    <row r="818" spans="27:41" ht="16.5" x14ac:dyDescent="0.2">
      <c r="AA818" s="104">
        <v>814</v>
      </c>
      <c r="AB818" s="14">
        <f t="shared" si="193"/>
        <v>16</v>
      </c>
      <c r="AC818" s="14">
        <f>INDEX(挂机升级突破!$BU$6:$BU$57,卡牌消耗!AI818)</f>
        <v>11</v>
      </c>
      <c r="AD818" s="14">
        <f>INDEX(挂机升级突破!BV$6:BV$57,卡牌消耗!$AI818)</f>
        <v>4</v>
      </c>
      <c r="AE818" s="14">
        <f>INDEX(挂机升级突破!BW$6:BW$57,卡牌消耗!$AI818)</f>
        <v>0</v>
      </c>
      <c r="AF818" s="14" t="str">
        <f t="shared" si="194"/>
        <v>西方龙</v>
      </c>
      <c r="AG818" s="14">
        <f t="shared" si="195"/>
        <v>4</v>
      </c>
      <c r="AH818" s="14" t="str">
        <f t="shared" si="196"/>
        <v>西方龙魂火-34</v>
      </c>
      <c r="AI818" s="14">
        <f t="shared" si="197"/>
        <v>34</v>
      </c>
      <c r="AJ818" s="14" t="str">
        <f>INDEX(挂机升级突破!$BX$4:$CH$4,INDEX(挂机升级突破!$BU$6:$BU$57,卡牌消耗!AI818))</f>
        <v>金币</v>
      </c>
      <c r="AK818" s="14">
        <f>ROUND(INDEX(挂机升级突破!$BN$6:$BN$57,卡牌消耗!AI818)*INDEX(卡牌消耗!$B$8:$F$8,AG818)/$Q$4/50,0)*50</f>
        <v>14250</v>
      </c>
      <c r="AL818" s="14" t="str">
        <f>IF(AD818&gt;0,INDEX(挂机升级突破!$BX$4:$CH$4,AD818),"")</f>
        <v>橙色基础材料</v>
      </c>
      <c r="AM818" s="14">
        <f>ROUND(INDEX(挂机升级突破!$BX$6:$CH$57,卡牌消耗!AI818,AD818)*INDEX(卡牌消耗!$B$5:$F$5,AG818)/$Q$4/5,0)*5</f>
        <v>135</v>
      </c>
      <c r="AN818" s="14" t="str">
        <f>IF(AE818&gt;0,INDEX(挂机升级突破!$BX$4:$CH$4,AE818),"")</f>
        <v/>
      </c>
      <c r="AO818" s="14" t="str">
        <f>IF(AE818&gt;0,ROUND(INDEX(挂机升级突破!$BX$6:$CH$57,卡牌消耗!AI818,AE818)*INDEX(卡牌消耗!$B$7:$F$7,AG818)/$Q$4,0),"")</f>
        <v/>
      </c>
    </row>
    <row r="819" spans="27:41" ht="16.5" x14ac:dyDescent="0.2">
      <c r="AA819" s="104">
        <v>815</v>
      </c>
      <c r="AB819" s="14">
        <f t="shared" si="193"/>
        <v>16</v>
      </c>
      <c r="AC819" s="14">
        <f>INDEX(挂机升级突破!$BU$6:$BU$57,卡牌消耗!AI819)</f>
        <v>11</v>
      </c>
      <c r="AD819" s="14">
        <f>INDEX(挂机升级突破!BV$6:BV$57,卡牌消耗!$AI819)</f>
        <v>4</v>
      </c>
      <c r="AE819" s="14">
        <f>INDEX(挂机升级突破!BW$6:BW$57,卡牌消耗!$AI819)</f>
        <v>0</v>
      </c>
      <c r="AF819" s="14" t="str">
        <f t="shared" si="194"/>
        <v>西方龙</v>
      </c>
      <c r="AG819" s="14">
        <f t="shared" si="195"/>
        <v>4</v>
      </c>
      <c r="AH819" s="14" t="str">
        <f t="shared" si="196"/>
        <v>西方龙魂火-35</v>
      </c>
      <c r="AI819" s="14">
        <f t="shared" si="197"/>
        <v>35</v>
      </c>
      <c r="AJ819" s="14" t="str">
        <f>INDEX(挂机升级突破!$BX$4:$CH$4,INDEX(挂机升级突破!$BU$6:$BU$57,卡牌消耗!AI819))</f>
        <v>金币</v>
      </c>
      <c r="AK819" s="14">
        <f>ROUND(INDEX(挂机升级突破!$BN$6:$BN$57,卡牌消耗!AI819)*INDEX(卡牌消耗!$B$8:$F$8,AG819)/$Q$4/50,0)*50</f>
        <v>18150</v>
      </c>
      <c r="AL819" s="14" t="str">
        <f>IF(AD819&gt;0,INDEX(挂机升级突破!$BX$4:$CH$4,AD819),"")</f>
        <v>橙色基础材料</v>
      </c>
      <c r="AM819" s="14">
        <f>ROUND(INDEX(挂机升级突破!$BX$6:$CH$57,卡牌消耗!AI819,AD819)*INDEX(卡牌消耗!$B$5:$F$5,AG819)/$Q$4/5,0)*5</f>
        <v>135</v>
      </c>
      <c r="AN819" s="14" t="str">
        <f>IF(AE819&gt;0,INDEX(挂机升级突破!$BX$4:$CH$4,AE819),"")</f>
        <v/>
      </c>
      <c r="AO819" s="14" t="str">
        <f>IF(AE819&gt;0,ROUND(INDEX(挂机升级突破!$BX$6:$CH$57,卡牌消耗!AI819,AE819)*INDEX(卡牌消耗!$B$7:$F$7,AG819)/$Q$4,0),"")</f>
        <v/>
      </c>
    </row>
    <row r="820" spans="27:41" ht="16.5" x14ac:dyDescent="0.2">
      <c r="AA820" s="104">
        <v>816</v>
      </c>
      <c r="AB820" s="14">
        <f t="shared" si="193"/>
        <v>16</v>
      </c>
      <c r="AC820" s="14">
        <f>INDEX(挂机升级突破!$BU$6:$BU$57,卡牌消耗!AI820)</f>
        <v>11</v>
      </c>
      <c r="AD820" s="14">
        <f>INDEX(挂机升级突破!BV$6:BV$57,卡牌消耗!$AI820)</f>
        <v>4</v>
      </c>
      <c r="AE820" s="14">
        <f>INDEX(挂机升级突破!BW$6:BW$57,卡牌消耗!$AI820)</f>
        <v>0</v>
      </c>
      <c r="AF820" s="14" t="str">
        <f t="shared" si="194"/>
        <v>西方龙</v>
      </c>
      <c r="AG820" s="14">
        <f t="shared" si="195"/>
        <v>4</v>
      </c>
      <c r="AH820" s="14" t="str">
        <f t="shared" si="196"/>
        <v>西方龙魂火-36</v>
      </c>
      <c r="AI820" s="14">
        <f t="shared" si="197"/>
        <v>36</v>
      </c>
      <c r="AJ820" s="14" t="str">
        <f>INDEX(挂机升级突破!$BX$4:$CH$4,INDEX(挂机升级突破!$BU$6:$BU$57,卡牌消耗!AI820))</f>
        <v>金币</v>
      </c>
      <c r="AK820" s="14">
        <f>ROUND(INDEX(挂机升级突破!$BN$6:$BN$57,卡牌消耗!AI820)*INDEX(卡牌消耗!$B$8:$F$8,AG820)/$Q$4/50,0)*50</f>
        <v>18150</v>
      </c>
      <c r="AL820" s="14" t="str">
        <f>IF(AD820&gt;0,INDEX(挂机升级突破!$BX$4:$CH$4,AD820),"")</f>
        <v>橙色基础材料</v>
      </c>
      <c r="AM820" s="14">
        <f>ROUND(INDEX(挂机升级突破!$BX$6:$CH$57,卡牌消耗!AI820,AD820)*INDEX(卡牌消耗!$B$5:$F$5,AG820)/$Q$4/5,0)*5</f>
        <v>135</v>
      </c>
      <c r="AN820" s="14" t="str">
        <f>IF(AE820&gt;0,INDEX(挂机升级突破!$BX$4:$CH$4,AE820),"")</f>
        <v/>
      </c>
      <c r="AO820" s="14" t="str">
        <f>IF(AE820&gt;0,ROUND(INDEX(挂机升级突破!$BX$6:$CH$57,卡牌消耗!AI820,AE820)*INDEX(卡牌消耗!$B$7:$F$7,AG820)/$Q$4,0),"")</f>
        <v/>
      </c>
    </row>
    <row r="821" spans="27:41" ht="16.5" x14ac:dyDescent="0.2">
      <c r="AA821" s="104">
        <v>817</v>
      </c>
      <c r="AB821" s="14">
        <f t="shared" si="193"/>
        <v>16</v>
      </c>
      <c r="AC821" s="14">
        <f>INDEX(挂机升级突破!$BU$6:$BU$57,卡牌消耗!AI821)</f>
        <v>11</v>
      </c>
      <c r="AD821" s="14">
        <f>INDEX(挂机升级突破!BV$6:BV$57,卡牌消耗!$AI821)</f>
        <v>4</v>
      </c>
      <c r="AE821" s="14">
        <f>INDEX(挂机升级突破!BW$6:BW$57,卡牌消耗!$AI821)</f>
        <v>0</v>
      </c>
      <c r="AF821" s="14" t="str">
        <f t="shared" si="194"/>
        <v>西方龙</v>
      </c>
      <c r="AG821" s="14">
        <f t="shared" si="195"/>
        <v>4</v>
      </c>
      <c r="AH821" s="14" t="str">
        <f t="shared" si="196"/>
        <v>西方龙魂火-37</v>
      </c>
      <c r="AI821" s="14">
        <f t="shared" si="197"/>
        <v>37</v>
      </c>
      <c r="AJ821" s="14" t="str">
        <f>INDEX(挂机升级突破!$BX$4:$CH$4,INDEX(挂机升级突破!$BU$6:$BU$57,卡牌消耗!AI821))</f>
        <v>金币</v>
      </c>
      <c r="AK821" s="14">
        <f>ROUND(INDEX(挂机升级突破!$BN$6:$BN$57,卡牌消耗!AI821)*INDEX(卡牌消耗!$B$8:$F$8,AG821)/$Q$4/50,0)*50</f>
        <v>19450</v>
      </c>
      <c r="AL821" s="14" t="str">
        <f>IF(AD821&gt;0,INDEX(挂机升级突破!$BX$4:$CH$4,AD821),"")</f>
        <v>橙色基础材料</v>
      </c>
      <c r="AM821" s="14">
        <f>ROUND(INDEX(挂机升级突破!$BX$6:$CH$57,卡牌消耗!AI821,AD821)*INDEX(卡牌消耗!$B$5:$F$5,AG821)/$Q$4/5,0)*5</f>
        <v>135</v>
      </c>
      <c r="AN821" s="14" t="str">
        <f>IF(AE821&gt;0,INDEX(挂机升级突破!$BX$4:$CH$4,AE821),"")</f>
        <v/>
      </c>
      <c r="AO821" s="14" t="str">
        <f>IF(AE821&gt;0,ROUND(INDEX(挂机升级突破!$BX$6:$CH$57,卡牌消耗!AI821,AE821)*INDEX(卡牌消耗!$B$7:$F$7,AG821)/$Q$4,0),"")</f>
        <v/>
      </c>
    </row>
    <row r="822" spans="27:41" ht="16.5" x14ac:dyDescent="0.2">
      <c r="AA822" s="104">
        <v>818</v>
      </c>
      <c r="AB822" s="14">
        <f t="shared" si="193"/>
        <v>16</v>
      </c>
      <c r="AC822" s="14">
        <f>INDEX(挂机升级突破!$BU$6:$BU$57,卡牌消耗!AI822)</f>
        <v>11</v>
      </c>
      <c r="AD822" s="14">
        <f>INDEX(挂机升级突破!BV$6:BV$57,卡牌消耗!$AI822)</f>
        <v>5</v>
      </c>
      <c r="AE822" s="14">
        <f>INDEX(挂机升级突破!BW$6:BW$57,卡牌消耗!$AI822)</f>
        <v>0</v>
      </c>
      <c r="AF822" s="14" t="str">
        <f t="shared" si="194"/>
        <v>西方龙</v>
      </c>
      <c r="AG822" s="14">
        <f t="shared" si="195"/>
        <v>4</v>
      </c>
      <c r="AH822" s="14" t="str">
        <f t="shared" si="196"/>
        <v>西方龙魂火-38</v>
      </c>
      <c r="AI822" s="14">
        <f t="shared" si="197"/>
        <v>38</v>
      </c>
      <c r="AJ822" s="14" t="str">
        <f>INDEX(挂机升级突破!$BX$4:$CH$4,INDEX(挂机升级突破!$BU$6:$BU$57,卡牌消耗!AI822))</f>
        <v>金币</v>
      </c>
      <c r="AK822" s="14">
        <f>ROUND(INDEX(挂机升级突破!$BN$6:$BN$57,卡牌消耗!AI822)*INDEX(卡牌消耗!$B$8:$F$8,AG822)/$Q$4/50,0)*50</f>
        <v>25050</v>
      </c>
      <c r="AL822" s="14" t="str">
        <f>IF(AD822&gt;0,INDEX(挂机升级突破!$BX$4:$CH$4,AD822),"")</f>
        <v>红色基础材料</v>
      </c>
      <c r="AM822" s="14">
        <f>ROUND(INDEX(挂机升级突破!$BX$6:$CH$57,卡牌消耗!AI822,AD822)*INDEX(卡牌消耗!$B$5:$F$5,AG822)/$Q$4/5,0)*5</f>
        <v>55</v>
      </c>
      <c r="AN822" s="14" t="str">
        <f>IF(AE822&gt;0,INDEX(挂机升级突破!$BX$4:$CH$4,AE822),"")</f>
        <v/>
      </c>
      <c r="AO822" s="14" t="str">
        <f>IF(AE822&gt;0,ROUND(INDEX(挂机升级突破!$BX$6:$CH$57,卡牌消耗!AI822,AE822)*INDEX(卡牌消耗!$B$7:$F$7,AG822)/$Q$4,0),"")</f>
        <v/>
      </c>
    </row>
    <row r="823" spans="27:41" ht="16.5" x14ac:dyDescent="0.2">
      <c r="AA823" s="104">
        <v>819</v>
      </c>
      <c r="AB823" s="14">
        <f t="shared" si="193"/>
        <v>16</v>
      </c>
      <c r="AC823" s="14">
        <f>INDEX(挂机升级突破!$BU$6:$BU$57,卡牌消耗!AI823)</f>
        <v>11</v>
      </c>
      <c r="AD823" s="14">
        <f>INDEX(挂机升级突破!BV$6:BV$57,卡牌消耗!$AI823)</f>
        <v>5</v>
      </c>
      <c r="AE823" s="14">
        <f>INDEX(挂机升级突破!BW$6:BW$57,卡牌消耗!$AI823)</f>
        <v>0</v>
      </c>
      <c r="AF823" s="14" t="str">
        <f t="shared" si="194"/>
        <v>西方龙</v>
      </c>
      <c r="AG823" s="14">
        <f t="shared" si="195"/>
        <v>4</v>
      </c>
      <c r="AH823" s="14" t="str">
        <f t="shared" si="196"/>
        <v>西方龙魂火-39</v>
      </c>
      <c r="AI823" s="14">
        <f t="shared" si="197"/>
        <v>39</v>
      </c>
      <c r="AJ823" s="14" t="str">
        <f>INDEX(挂机升级突破!$BX$4:$CH$4,INDEX(挂机升级突破!$BU$6:$BU$57,卡牌消耗!AI823))</f>
        <v>金币</v>
      </c>
      <c r="AK823" s="14">
        <f>ROUND(INDEX(挂机升级突破!$BN$6:$BN$57,卡牌消耗!AI823)*INDEX(卡牌消耗!$B$8:$F$8,AG823)/$Q$4/50,0)*50</f>
        <v>25050</v>
      </c>
      <c r="AL823" s="14" t="str">
        <f>IF(AD823&gt;0,INDEX(挂机升级突破!$BX$4:$CH$4,AD823),"")</f>
        <v>红色基础材料</v>
      </c>
      <c r="AM823" s="14">
        <f>ROUND(INDEX(挂机升级突破!$BX$6:$CH$57,卡牌消耗!AI823,AD823)*INDEX(卡牌消耗!$B$5:$F$5,AG823)/$Q$4/5,0)*5</f>
        <v>55</v>
      </c>
      <c r="AN823" s="14" t="str">
        <f>IF(AE823&gt;0,INDEX(挂机升级突破!$BX$4:$CH$4,AE823),"")</f>
        <v/>
      </c>
      <c r="AO823" s="14" t="str">
        <f>IF(AE823&gt;0,ROUND(INDEX(挂机升级突破!$BX$6:$CH$57,卡牌消耗!AI823,AE823)*INDEX(卡牌消耗!$B$7:$F$7,AG823)/$Q$4,0),"")</f>
        <v/>
      </c>
    </row>
    <row r="824" spans="27:41" ht="16.5" x14ac:dyDescent="0.2">
      <c r="AA824" s="104">
        <v>820</v>
      </c>
      <c r="AB824" s="14">
        <f t="shared" si="193"/>
        <v>16</v>
      </c>
      <c r="AC824" s="14">
        <f>INDEX(挂机升级突破!$BU$6:$BU$57,卡牌消耗!AI824)</f>
        <v>11</v>
      </c>
      <c r="AD824" s="14">
        <f>INDEX(挂机升级突破!BV$6:BV$57,卡牌消耗!$AI824)</f>
        <v>5</v>
      </c>
      <c r="AE824" s="14">
        <f>INDEX(挂机升级突破!BW$6:BW$57,卡牌消耗!$AI824)</f>
        <v>0</v>
      </c>
      <c r="AF824" s="14" t="str">
        <f t="shared" si="194"/>
        <v>西方龙</v>
      </c>
      <c r="AG824" s="14">
        <f t="shared" si="195"/>
        <v>4</v>
      </c>
      <c r="AH824" s="14" t="str">
        <f t="shared" si="196"/>
        <v>西方龙魂火-40</v>
      </c>
      <c r="AI824" s="14">
        <f t="shared" si="197"/>
        <v>40</v>
      </c>
      <c r="AJ824" s="14" t="str">
        <f>INDEX(挂机升级突破!$BX$4:$CH$4,INDEX(挂机升级突破!$BU$6:$BU$57,卡牌消耗!AI824))</f>
        <v>金币</v>
      </c>
      <c r="AK824" s="14">
        <f>ROUND(INDEX(挂机升级突破!$BN$6:$BN$57,卡牌消耗!AI824)*INDEX(卡牌消耗!$B$8:$F$8,AG824)/$Q$4/50,0)*50</f>
        <v>25050</v>
      </c>
      <c r="AL824" s="14" t="str">
        <f>IF(AD824&gt;0,INDEX(挂机升级突破!$BX$4:$CH$4,AD824),"")</f>
        <v>红色基础材料</v>
      </c>
      <c r="AM824" s="14">
        <f>ROUND(INDEX(挂机升级突破!$BX$6:$CH$57,卡牌消耗!AI824,AD824)*INDEX(卡牌消耗!$B$5:$F$5,AG824)/$Q$4/5,0)*5</f>
        <v>55</v>
      </c>
      <c r="AN824" s="14" t="str">
        <f>IF(AE824&gt;0,INDEX(挂机升级突破!$BX$4:$CH$4,AE824),"")</f>
        <v/>
      </c>
      <c r="AO824" s="14" t="str">
        <f>IF(AE824&gt;0,ROUND(INDEX(挂机升级突破!$BX$6:$CH$57,卡牌消耗!AI824,AE824)*INDEX(卡牌消耗!$B$7:$F$7,AG824)/$Q$4,0),"")</f>
        <v/>
      </c>
    </row>
    <row r="825" spans="27:41" ht="16.5" x14ac:dyDescent="0.2">
      <c r="AA825" s="104">
        <v>821</v>
      </c>
      <c r="AB825" s="14">
        <f t="shared" si="193"/>
        <v>16</v>
      </c>
      <c r="AC825" s="14">
        <f>INDEX(挂机升级突破!$BU$6:$BU$57,卡牌消耗!AI825)</f>
        <v>11</v>
      </c>
      <c r="AD825" s="14">
        <f>INDEX(挂机升级突破!BV$6:BV$57,卡牌消耗!$AI825)</f>
        <v>5</v>
      </c>
      <c r="AE825" s="14">
        <f>INDEX(挂机升级突破!BW$6:BW$57,卡牌消耗!$AI825)</f>
        <v>10</v>
      </c>
      <c r="AF825" s="14" t="str">
        <f t="shared" si="194"/>
        <v>西方龙</v>
      </c>
      <c r="AG825" s="14">
        <f t="shared" si="195"/>
        <v>4</v>
      </c>
      <c r="AH825" s="14" t="str">
        <f t="shared" si="196"/>
        <v>西方龙魂火-41</v>
      </c>
      <c r="AI825" s="14">
        <f t="shared" si="197"/>
        <v>41</v>
      </c>
      <c r="AJ825" s="14" t="str">
        <f>INDEX(挂机升级突破!$BX$4:$CH$4,INDEX(挂机升级突破!$BU$6:$BU$57,卡牌消耗!AI825))</f>
        <v>金币</v>
      </c>
      <c r="AK825" s="14">
        <f>ROUND(INDEX(挂机升级突破!$BN$6:$BN$57,卡牌消耗!AI825)*INDEX(卡牌消耗!$B$8:$F$8,AG825)/$Q$4/50,0)*50</f>
        <v>34450</v>
      </c>
      <c r="AL825" s="14" t="str">
        <f>IF(AD825&gt;0,INDEX(挂机升级突破!$BX$4:$CH$4,AD825),"")</f>
        <v>红色基础材料</v>
      </c>
      <c r="AM825" s="14">
        <f>ROUND(INDEX(挂机升级突破!$BX$6:$CH$57,卡牌消耗!AI825,AD825)*INDEX(卡牌消耗!$B$5:$F$5,AG825)/$Q$4/5,0)*5</f>
        <v>65</v>
      </c>
      <c r="AN825" s="14" t="str">
        <f>IF(AE825&gt;0,INDEX(挂机升级突破!$BX$4:$CH$4,AE825),"")</f>
        <v>灵玉</v>
      </c>
      <c r="AO825" s="14">
        <f>IF(AE825&gt;0,ROUND(INDEX(挂机升级突破!$BX$6:$CH$57,卡牌消耗!AI825,AE825)*INDEX(卡牌消耗!$B$7:$F$7,AG825)/$Q$4,0),"")</f>
        <v>2</v>
      </c>
    </row>
    <row r="826" spans="27:41" ht="16.5" x14ac:dyDescent="0.2">
      <c r="AA826" s="104">
        <v>822</v>
      </c>
      <c r="AB826" s="14">
        <f t="shared" si="193"/>
        <v>16</v>
      </c>
      <c r="AC826" s="14">
        <f>INDEX(挂机升级突破!$BU$6:$BU$57,卡牌消耗!AI826)</f>
        <v>11</v>
      </c>
      <c r="AD826" s="14">
        <f>INDEX(挂机升级突破!BV$6:BV$57,卡牌消耗!$AI826)</f>
        <v>5</v>
      </c>
      <c r="AE826" s="14">
        <f>INDEX(挂机升级突破!BW$6:BW$57,卡牌消耗!$AI826)</f>
        <v>10</v>
      </c>
      <c r="AF826" s="14" t="str">
        <f t="shared" si="194"/>
        <v>西方龙</v>
      </c>
      <c r="AG826" s="14">
        <f t="shared" si="195"/>
        <v>4</v>
      </c>
      <c r="AH826" s="14" t="str">
        <f t="shared" si="196"/>
        <v>西方龙魂火-42</v>
      </c>
      <c r="AI826" s="14">
        <f t="shared" si="197"/>
        <v>42</v>
      </c>
      <c r="AJ826" s="14" t="str">
        <f>INDEX(挂机升级突破!$BX$4:$CH$4,INDEX(挂机升级突破!$BU$6:$BU$57,卡牌消耗!AI826))</f>
        <v>金币</v>
      </c>
      <c r="AK826" s="14">
        <f>ROUND(INDEX(挂机升级突破!$BN$6:$BN$57,卡牌消耗!AI826)*INDEX(卡牌消耗!$B$8:$F$8,AG826)/$Q$4/50,0)*50</f>
        <v>34450</v>
      </c>
      <c r="AL826" s="14" t="str">
        <f>IF(AD826&gt;0,INDEX(挂机升级突破!$BX$4:$CH$4,AD826),"")</f>
        <v>红色基础材料</v>
      </c>
      <c r="AM826" s="14">
        <f>ROUND(INDEX(挂机升级突破!$BX$6:$CH$57,卡牌消耗!AI826,AD826)*INDEX(卡牌消耗!$B$5:$F$5,AG826)/$Q$4/5,0)*5</f>
        <v>65</v>
      </c>
      <c r="AN826" s="14" t="str">
        <f>IF(AE826&gt;0,INDEX(挂机升级突破!$BX$4:$CH$4,AE826),"")</f>
        <v>灵玉</v>
      </c>
      <c r="AO826" s="14">
        <f>IF(AE826&gt;0,ROUND(INDEX(挂机升级突破!$BX$6:$CH$57,卡牌消耗!AI826,AE826)*INDEX(卡牌消耗!$B$7:$F$7,AG826)/$Q$4,0),"")</f>
        <v>2</v>
      </c>
    </row>
    <row r="827" spans="27:41" ht="16.5" x14ac:dyDescent="0.2">
      <c r="AA827" s="104">
        <v>823</v>
      </c>
      <c r="AB827" s="14">
        <f t="shared" si="193"/>
        <v>16</v>
      </c>
      <c r="AC827" s="14">
        <f>INDEX(挂机升级突破!$BU$6:$BU$57,卡牌消耗!AI827)</f>
        <v>11</v>
      </c>
      <c r="AD827" s="14">
        <f>INDEX(挂机升级突破!BV$6:BV$57,卡牌消耗!$AI827)</f>
        <v>5</v>
      </c>
      <c r="AE827" s="14">
        <f>INDEX(挂机升级突破!BW$6:BW$57,卡牌消耗!$AI827)</f>
        <v>10</v>
      </c>
      <c r="AF827" s="14" t="str">
        <f t="shared" si="194"/>
        <v>西方龙</v>
      </c>
      <c r="AG827" s="14">
        <f t="shared" si="195"/>
        <v>4</v>
      </c>
      <c r="AH827" s="14" t="str">
        <f t="shared" si="196"/>
        <v>西方龙魂火-43</v>
      </c>
      <c r="AI827" s="14">
        <f t="shared" si="197"/>
        <v>43</v>
      </c>
      <c r="AJ827" s="14" t="str">
        <f>INDEX(挂机升级突破!$BX$4:$CH$4,INDEX(挂机升级突破!$BU$6:$BU$57,卡牌消耗!AI827))</f>
        <v>金币</v>
      </c>
      <c r="AK827" s="14">
        <f>ROUND(INDEX(挂机升级突破!$BN$6:$BN$57,卡牌消耗!AI827)*INDEX(卡牌消耗!$B$8:$F$8,AG827)/$Q$4/50,0)*50</f>
        <v>34450</v>
      </c>
      <c r="AL827" s="14" t="str">
        <f>IF(AD827&gt;0,INDEX(挂机升级突破!$BX$4:$CH$4,AD827),"")</f>
        <v>红色基础材料</v>
      </c>
      <c r="AM827" s="14">
        <f>ROUND(INDEX(挂机升级突破!$BX$6:$CH$57,卡牌消耗!AI827,AD827)*INDEX(卡牌消耗!$B$5:$F$5,AG827)/$Q$4/5,0)*5</f>
        <v>65</v>
      </c>
      <c r="AN827" s="14" t="str">
        <f>IF(AE827&gt;0,INDEX(挂机升级突破!$BX$4:$CH$4,AE827),"")</f>
        <v>灵玉</v>
      </c>
      <c r="AO827" s="14">
        <f>IF(AE827&gt;0,ROUND(INDEX(挂机升级突破!$BX$6:$CH$57,卡牌消耗!AI827,AE827)*INDEX(卡牌消耗!$B$7:$F$7,AG827)/$Q$4,0),"")</f>
        <v>2</v>
      </c>
    </row>
    <row r="828" spans="27:41" ht="16.5" x14ac:dyDescent="0.2">
      <c r="AA828" s="104">
        <v>824</v>
      </c>
      <c r="AB828" s="14">
        <f t="shared" si="193"/>
        <v>16</v>
      </c>
      <c r="AC828" s="14">
        <f>INDEX(挂机升级突破!$BU$6:$BU$57,卡牌消耗!AI828)</f>
        <v>11</v>
      </c>
      <c r="AD828" s="14">
        <f>INDEX(挂机升级突破!BV$6:BV$57,卡牌消耗!$AI828)</f>
        <v>5</v>
      </c>
      <c r="AE828" s="14">
        <f>INDEX(挂机升级突破!BW$6:BW$57,卡牌消耗!$AI828)</f>
        <v>10</v>
      </c>
      <c r="AF828" s="14" t="str">
        <f t="shared" si="194"/>
        <v>西方龙</v>
      </c>
      <c r="AG828" s="14">
        <f t="shared" si="195"/>
        <v>4</v>
      </c>
      <c r="AH828" s="14" t="str">
        <f t="shared" si="196"/>
        <v>西方龙魂火-44</v>
      </c>
      <c r="AI828" s="14">
        <f t="shared" si="197"/>
        <v>44</v>
      </c>
      <c r="AJ828" s="14" t="str">
        <f>INDEX(挂机升级突破!$BX$4:$CH$4,INDEX(挂机升级突破!$BU$6:$BU$57,卡牌消耗!AI828))</f>
        <v>金币</v>
      </c>
      <c r="AK828" s="14">
        <f>ROUND(INDEX(挂机升级突破!$BN$6:$BN$57,卡牌消耗!AI828)*INDEX(卡牌消耗!$B$8:$F$8,AG828)/$Q$4/50,0)*50</f>
        <v>43850</v>
      </c>
      <c r="AL828" s="14" t="str">
        <f>IF(AD828&gt;0,INDEX(挂机升级突破!$BX$4:$CH$4,AD828),"")</f>
        <v>红色基础材料</v>
      </c>
      <c r="AM828" s="14">
        <f>ROUND(INDEX(挂机升级突破!$BX$6:$CH$57,卡牌消耗!AI828,AD828)*INDEX(卡牌消耗!$B$5:$F$5,AG828)/$Q$4/5,0)*5</f>
        <v>75</v>
      </c>
      <c r="AN828" s="14" t="str">
        <f>IF(AE828&gt;0,INDEX(挂机升级突破!$BX$4:$CH$4,AE828),"")</f>
        <v>灵玉</v>
      </c>
      <c r="AO828" s="14">
        <f>IF(AE828&gt;0,ROUND(INDEX(挂机升级突破!$BX$6:$CH$57,卡牌消耗!AI828,AE828)*INDEX(卡牌消耗!$B$7:$F$7,AG828)/$Q$4,0),"")</f>
        <v>2</v>
      </c>
    </row>
    <row r="829" spans="27:41" ht="16.5" x14ac:dyDescent="0.2">
      <c r="AA829" s="104">
        <v>825</v>
      </c>
      <c r="AB829" s="14">
        <f t="shared" si="193"/>
        <v>16</v>
      </c>
      <c r="AC829" s="14">
        <f>INDEX(挂机升级突破!$BU$6:$BU$57,卡牌消耗!AI829)</f>
        <v>11</v>
      </c>
      <c r="AD829" s="14">
        <f>INDEX(挂机升级突破!BV$6:BV$57,卡牌消耗!$AI829)</f>
        <v>5</v>
      </c>
      <c r="AE829" s="14">
        <f>INDEX(挂机升级突破!BW$6:BW$57,卡牌消耗!$AI829)</f>
        <v>10</v>
      </c>
      <c r="AF829" s="14" t="str">
        <f t="shared" si="194"/>
        <v>西方龙</v>
      </c>
      <c r="AG829" s="14">
        <f t="shared" si="195"/>
        <v>4</v>
      </c>
      <c r="AH829" s="14" t="str">
        <f t="shared" si="196"/>
        <v>西方龙魂火-45</v>
      </c>
      <c r="AI829" s="14">
        <f t="shared" si="197"/>
        <v>45</v>
      </c>
      <c r="AJ829" s="14" t="str">
        <f>INDEX(挂机升级突破!$BX$4:$CH$4,INDEX(挂机升级突破!$BU$6:$BU$57,卡牌消耗!AI829))</f>
        <v>金币</v>
      </c>
      <c r="AK829" s="14">
        <f>ROUND(INDEX(挂机升级突破!$BN$6:$BN$57,卡牌消耗!AI829)*INDEX(卡牌消耗!$B$8:$F$8,AG829)/$Q$4/50,0)*50</f>
        <v>43850</v>
      </c>
      <c r="AL829" s="14" t="str">
        <f>IF(AD829&gt;0,INDEX(挂机升级突破!$BX$4:$CH$4,AD829),"")</f>
        <v>红色基础材料</v>
      </c>
      <c r="AM829" s="14">
        <f>ROUND(INDEX(挂机升级突破!$BX$6:$CH$57,卡牌消耗!AI829,AD829)*INDEX(卡牌消耗!$B$5:$F$5,AG829)/$Q$4/5,0)*5</f>
        <v>75</v>
      </c>
      <c r="AN829" s="14" t="str">
        <f>IF(AE829&gt;0,INDEX(挂机升级突破!$BX$4:$CH$4,AE829),"")</f>
        <v>灵玉</v>
      </c>
      <c r="AO829" s="14">
        <f>IF(AE829&gt;0,ROUND(INDEX(挂机升级突破!$BX$6:$CH$57,卡牌消耗!AI829,AE829)*INDEX(卡牌消耗!$B$7:$F$7,AG829)/$Q$4,0),"")</f>
        <v>2</v>
      </c>
    </row>
    <row r="830" spans="27:41" ht="16.5" x14ac:dyDescent="0.2">
      <c r="AA830" s="104">
        <v>826</v>
      </c>
      <c r="AB830" s="14">
        <f t="shared" si="193"/>
        <v>16</v>
      </c>
      <c r="AC830" s="14">
        <f>INDEX(挂机升级突破!$BU$6:$BU$57,卡牌消耗!AI830)</f>
        <v>11</v>
      </c>
      <c r="AD830" s="14">
        <f>INDEX(挂机升级突破!BV$6:BV$57,卡牌消耗!$AI830)</f>
        <v>5</v>
      </c>
      <c r="AE830" s="14">
        <f>INDEX(挂机升级突破!BW$6:BW$57,卡牌消耗!$AI830)</f>
        <v>10</v>
      </c>
      <c r="AF830" s="14" t="str">
        <f t="shared" si="194"/>
        <v>西方龙</v>
      </c>
      <c r="AG830" s="14">
        <f t="shared" si="195"/>
        <v>4</v>
      </c>
      <c r="AH830" s="14" t="str">
        <f t="shared" si="196"/>
        <v>西方龙魂火-46</v>
      </c>
      <c r="AI830" s="14">
        <f t="shared" si="197"/>
        <v>46</v>
      </c>
      <c r="AJ830" s="14" t="str">
        <f>INDEX(挂机升级突破!$BX$4:$CH$4,INDEX(挂机升级突破!$BU$6:$BU$57,卡牌消耗!AI830))</f>
        <v>金币</v>
      </c>
      <c r="AK830" s="14">
        <f>ROUND(INDEX(挂机升级突破!$BN$6:$BN$57,卡牌消耗!AI830)*INDEX(卡牌消耗!$B$8:$F$8,AG830)/$Q$4/50,0)*50</f>
        <v>47000</v>
      </c>
      <c r="AL830" s="14" t="str">
        <f>IF(AD830&gt;0,INDEX(挂机升级突破!$BX$4:$CH$4,AD830),"")</f>
        <v>红色基础材料</v>
      </c>
      <c r="AM830" s="14">
        <f>ROUND(INDEX(挂机升级突破!$BX$6:$CH$57,卡牌消耗!AI830,AD830)*INDEX(卡牌消耗!$B$5:$F$5,AG830)/$Q$4/5,0)*5</f>
        <v>75</v>
      </c>
      <c r="AN830" s="14" t="str">
        <f>IF(AE830&gt;0,INDEX(挂机升级突破!$BX$4:$CH$4,AE830),"")</f>
        <v>灵玉</v>
      </c>
      <c r="AO830" s="14">
        <f>IF(AE830&gt;0,ROUND(INDEX(挂机升级突破!$BX$6:$CH$57,卡牌消耗!AI830,AE830)*INDEX(卡牌消耗!$B$7:$F$7,AG830)/$Q$4,0),"")</f>
        <v>2</v>
      </c>
    </row>
    <row r="831" spans="27:41" ht="16.5" x14ac:dyDescent="0.2">
      <c r="AA831" s="104">
        <v>827</v>
      </c>
      <c r="AB831" s="14">
        <f t="shared" si="193"/>
        <v>16</v>
      </c>
      <c r="AC831" s="14">
        <f>INDEX(挂机升级突破!$BU$6:$BU$57,卡牌消耗!AI831)</f>
        <v>11</v>
      </c>
      <c r="AD831" s="14">
        <f>INDEX(挂机升级突破!BV$6:BV$57,卡牌消耗!$AI831)</f>
        <v>5</v>
      </c>
      <c r="AE831" s="14">
        <f>INDEX(挂机升级突破!BW$6:BW$57,卡牌消耗!$AI831)</f>
        <v>10</v>
      </c>
      <c r="AF831" s="14" t="str">
        <f t="shared" si="194"/>
        <v>西方龙</v>
      </c>
      <c r="AG831" s="14">
        <f t="shared" si="195"/>
        <v>4</v>
      </c>
      <c r="AH831" s="14" t="str">
        <f t="shared" si="196"/>
        <v>西方龙魂火-47</v>
      </c>
      <c r="AI831" s="14">
        <f t="shared" si="197"/>
        <v>47</v>
      </c>
      <c r="AJ831" s="14" t="str">
        <f>INDEX(挂机升级突破!$BX$4:$CH$4,INDEX(挂机升级突破!$BU$6:$BU$57,卡牌消耗!AI831))</f>
        <v>金币</v>
      </c>
      <c r="AK831" s="14">
        <f>ROUND(INDEX(挂机升级突破!$BN$6:$BN$57,卡牌消耗!AI831)*INDEX(卡牌消耗!$B$8:$F$8,AG831)/$Q$4/50,0)*50</f>
        <v>227950</v>
      </c>
      <c r="AL831" s="14" t="str">
        <f>IF(AD831&gt;0,INDEX(挂机升级突破!$BX$4:$CH$4,AD831),"")</f>
        <v>红色基础材料</v>
      </c>
      <c r="AM831" s="14">
        <f>ROUND(INDEX(挂机升级突破!$BX$6:$CH$57,卡牌消耗!AI831,AD831)*INDEX(卡牌消耗!$B$5:$F$5,AG831)/$Q$4/5,0)*5</f>
        <v>75</v>
      </c>
      <c r="AN831" s="14" t="str">
        <f>IF(AE831&gt;0,INDEX(挂机升级突破!$BX$4:$CH$4,AE831),"")</f>
        <v>灵玉</v>
      </c>
      <c r="AO831" s="14">
        <f>IF(AE831&gt;0,ROUND(INDEX(挂机升级突破!$BX$6:$CH$57,卡牌消耗!AI831,AE831)*INDEX(卡牌消耗!$B$7:$F$7,AG831)/$Q$4,0),"")</f>
        <v>2</v>
      </c>
    </row>
    <row r="832" spans="27:41" ht="16.5" x14ac:dyDescent="0.2">
      <c r="AA832" s="104">
        <v>828</v>
      </c>
      <c r="AB832" s="14">
        <f t="shared" si="193"/>
        <v>16</v>
      </c>
      <c r="AC832" s="14">
        <f>INDEX(挂机升级突破!$BU$6:$BU$57,卡牌消耗!AI832)</f>
        <v>11</v>
      </c>
      <c r="AD832" s="14">
        <f>INDEX(挂机升级突破!BV$6:BV$57,卡牌消耗!$AI832)</f>
        <v>5</v>
      </c>
      <c r="AE832" s="14">
        <f>INDEX(挂机升级突破!BW$6:BW$57,卡牌消耗!$AI832)</f>
        <v>10</v>
      </c>
      <c r="AF832" s="14" t="str">
        <f t="shared" si="194"/>
        <v>西方龙</v>
      </c>
      <c r="AG832" s="14">
        <f t="shared" si="195"/>
        <v>4</v>
      </c>
      <c r="AH832" s="14" t="str">
        <f t="shared" si="196"/>
        <v>西方龙魂火-48</v>
      </c>
      <c r="AI832" s="14">
        <f t="shared" si="197"/>
        <v>48</v>
      </c>
      <c r="AJ832" s="14" t="str">
        <f>INDEX(挂机升级突破!$BX$4:$CH$4,INDEX(挂机升级突破!$BU$6:$BU$57,卡牌消耗!AI832))</f>
        <v>金币</v>
      </c>
      <c r="AK832" s="14">
        <f>ROUND(INDEX(挂机升级突破!$BN$6:$BN$57,卡牌消耗!AI832)*INDEX(卡牌消耗!$B$8:$F$8,AG832)/$Q$4/50,0)*50</f>
        <v>227950</v>
      </c>
      <c r="AL832" s="14" t="str">
        <f>IF(AD832&gt;0,INDEX(挂机升级突破!$BX$4:$CH$4,AD832),"")</f>
        <v>红色基础材料</v>
      </c>
      <c r="AM832" s="14">
        <f>ROUND(INDEX(挂机升级突破!$BX$6:$CH$57,卡牌消耗!AI832,AD832)*INDEX(卡牌消耗!$B$5:$F$5,AG832)/$Q$4/5,0)*5</f>
        <v>75</v>
      </c>
      <c r="AN832" s="14" t="str">
        <f>IF(AE832&gt;0,INDEX(挂机升级突破!$BX$4:$CH$4,AE832),"")</f>
        <v>灵玉</v>
      </c>
      <c r="AO832" s="14">
        <f>IF(AE832&gt;0,ROUND(INDEX(挂机升级突破!$BX$6:$CH$57,卡牌消耗!AI832,AE832)*INDEX(卡牌消耗!$B$7:$F$7,AG832)/$Q$4,0),"")</f>
        <v>2</v>
      </c>
    </row>
    <row r="833" spans="27:41" ht="16.5" x14ac:dyDescent="0.2">
      <c r="AA833" s="104">
        <v>829</v>
      </c>
      <c r="AB833" s="14">
        <f t="shared" si="193"/>
        <v>16</v>
      </c>
      <c r="AC833" s="14">
        <f>INDEX(挂机升级突破!$BU$6:$BU$57,卡牌消耗!AI833)</f>
        <v>11</v>
      </c>
      <c r="AD833" s="14">
        <f>INDEX(挂机升级突破!BV$6:BV$57,卡牌消耗!$AI833)</f>
        <v>5</v>
      </c>
      <c r="AE833" s="14">
        <f>INDEX(挂机升级突破!BW$6:BW$57,卡牌消耗!$AI833)</f>
        <v>10</v>
      </c>
      <c r="AF833" s="14" t="str">
        <f t="shared" si="194"/>
        <v>西方龙</v>
      </c>
      <c r="AG833" s="14">
        <f t="shared" si="195"/>
        <v>4</v>
      </c>
      <c r="AH833" s="14" t="str">
        <f t="shared" si="196"/>
        <v>西方龙魂火-49</v>
      </c>
      <c r="AI833" s="14">
        <f t="shared" si="197"/>
        <v>49</v>
      </c>
      <c r="AJ833" s="14" t="str">
        <f>INDEX(挂机升级突破!$BX$4:$CH$4,INDEX(挂机升级突破!$BU$6:$BU$57,卡牌消耗!AI833))</f>
        <v>金币</v>
      </c>
      <c r="AK833" s="14">
        <f>ROUND(INDEX(挂机升级突破!$BN$6:$BN$57,卡牌消耗!AI833)*INDEX(卡牌消耗!$B$8:$F$8,AG833)/$Q$4/50,0)*50</f>
        <v>227950</v>
      </c>
      <c r="AL833" s="14" t="str">
        <f>IF(AD833&gt;0,INDEX(挂机升级突破!$BX$4:$CH$4,AD833),"")</f>
        <v>红色基础材料</v>
      </c>
      <c r="AM833" s="14">
        <f>ROUND(INDEX(挂机升级突破!$BX$6:$CH$57,卡牌消耗!AI833,AD833)*INDEX(卡牌消耗!$B$5:$F$5,AG833)/$Q$4/5,0)*5</f>
        <v>85</v>
      </c>
      <c r="AN833" s="14" t="str">
        <f>IF(AE833&gt;0,INDEX(挂机升级突破!$BX$4:$CH$4,AE833),"")</f>
        <v>灵玉</v>
      </c>
      <c r="AO833" s="14">
        <f>IF(AE833&gt;0,ROUND(INDEX(挂机升级突破!$BX$6:$CH$57,卡牌消耗!AI833,AE833)*INDEX(卡牌消耗!$B$7:$F$7,AG833)/$Q$4,0),"")</f>
        <v>2</v>
      </c>
    </row>
    <row r="834" spans="27:41" ht="16.5" x14ac:dyDescent="0.2">
      <c r="AA834" s="104">
        <v>830</v>
      </c>
      <c r="AB834" s="14">
        <f t="shared" si="193"/>
        <v>16</v>
      </c>
      <c r="AC834" s="14">
        <f>INDEX(挂机升级突破!$BU$6:$BU$57,卡牌消耗!AI834)</f>
        <v>11</v>
      </c>
      <c r="AD834" s="14">
        <f>INDEX(挂机升级突破!BV$6:BV$57,卡牌消耗!$AI834)</f>
        <v>5</v>
      </c>
      <c r="AE834" s="14">
        <f>INDEX(挂机升级突破!BW$6:BW$57,卡牌消耗!$AI834)</f>
        <v>10</v>
      </c>
      <c r="AF834" s="14" t="str">
        <f t="shared" si="194"/>
        <v>西方龙</v>
      </c>
      <c r="AG834" s="14">
        <f t="shared" si="195"/>
        <v>4</v>
      </c>
      <c r="AH834" s="14" t="str">
        <f t="shared" si="196"/>
        <v>西方龙魂火-50</v>
      </c>
      <c r="AI834" s="14">
        <f t="shared" si="197"/>
        <v>50</v>
      </c>
      <c r="AJ834" s="14" t="str">
        <f>INDEX(挂机升级突破!$BX$4:$CH$4,INDEX(挂机升级突破!$BU$6:$BU$57,卡牌消耗!AI834))</f>
        <v>金币</v>
      </c>
      <c r="AK834" s="14">
        <f>ROUND(INDEX(挂机升级突破!$BN$6:$BN$57,卡牌消耗!AI834)*INDEX(卡牌消耗!$B$8:$F$8,AG834)/$Q$4/50,0)*50</f>
        <v>379900</v>
      </c>
      <c r="AL834" s="14" t="str">
        <f>IF(AD834&gt;0,INDEX(挂机升级突破!$BX$4:$CH$4,AD834),"")</f>
        <v>红色基础材料</v>
      </c>
      <c r="AM834" s="14">
        <f>ROUND(INDEX(挂机升级突破!$BX$6:$CH$57,卡牌消耗!AI834,AD834)*INDEX(卡牌消耗!$B$5:$F$5,AG834)/$Q$4/5,0)*5</f>
        <v>85</v>
      </c>
      <c r="AN834" s="14" t="str">
        <f>IF(AE834&gt;0,INDEX(挂机升级突破!$BX$4:$CH$4,AE834),"")</f>
        <v>灵玉</v>
      </c>
      <c r="AO834" s="14">
        <f>IF(AE834&gt;0,ROUND(INDEX(挂机升级突破!$BX$6:$CH$57,卡牌消耗!AI834,AE834)*INDEX(卡牌消耗!$B$7:$F$7,AG834)/$Q$4,0),"")</f>
        <v>2</v>
      </c>
    </row>
    <row r="835" spans="27:41" ht="16.5" x14ac:dyDescent="0.2">
      <c r="AA835" s="104">
        <v>831</v>
      </c>
      <c r="AB835" s="14">
        <f t="shared" si="193"/>
        <v>16</v>
      </c>
      <c r="AC835" s="14">
        <f>INDEX(挂机升级突破!$BU$6:$BU$57,卡牌消耗!AI835)</f>
        <v>11</v>
      </c>
      <c r="AD835" s="14">
        <f>INDEX(挂机升级突破!BV$6:BV$57,卡牌消耗!$AI835)</f>
        <v>5</v>
      </c>
      <c r="AE835" s="14">
        <f>INDEX(挂机升级突破!BW$6:BW$57,卡牌消耗!$AI835)</f>
        <v>10</v>
      </c>
      <c r="AF835" s="14" t="str">
        <f t="shared" si="194"/>
        <v>西方龙</v>
      </c>
      <c r="AG835" s="14">
        <f t="shared" si="195"/>
        <v>4</v>
      </c>
      <c r="AH835" s="14" t="str">
        <f t="shared" si="196"/>
        <v>西方龙魂火-51</v>
      </c>
      <c r="AI835" s="14">
        <f t="shared" si="197"/>
        <v>51</v>
      </c>
      <c r="AJ835" s="14" t="str">
        <f>INDEX(挂机升级突破!$BX$4:$CH$4,INDEX(挂机升级突破!$BU$6:$BU$57,卡牌消耗!AI835))</f>
        <v>金币</v>
      </c>
      <c r="AK835" s="14">
        <f>ROUND(INDEX(挂机升级突破!$BN$6:$BN$57,卡牌消耗!AI835)*INDEX(卡牌消耗!$B$8:$F$8,AG835)/$Q$4/50,0)*50</f>
        <v>417900</v>
      </c>
      <c r="AL835" s="14" t="str">
        <f>IF(AD835&gt;0,INDEX(挂机升级突破!$BX$4:$CH$4,AD835),"")</f>
        <v>红色基础材料</v>
      </c>
      <c r="AM835" s="14">
        <f>ROUND(INDEX(挂机升级突破!$BX$6:$CH$57,卡牌消耗!AI835,AD835)*INDEX(卡牌消耗!$B$5:$F$5,AG835)/$Q$4/5,0)*5</f>
        <v>85</v>
      </c>
      <c r="AN835" s="14" t="str">
        <f>IF(AE835&gt;0,INDEX(挂机升级突破!$BX$4:$CH$4,AE835),"")</f>
        <v>灵玉</v>
      </c>
      <c r="AO835" s="14">
        <f>IF(AE835&gt;0,ROUND(INDEX(挂机升级突破!$BX$6:$CH$57,卡牌消耗!AI835,AE835)*INDEX(卡牌消耗!$B$7:$F$7,AG835)/$Q$4,0),"")</f>
        <v>2</v>
      </c>
    </row>
    <row r="836" spans="27:41" ht="16.5" x14ac:dyDescent="0.2">
      <c r="AA836" s="104">
        <v>832</v>
      </c>
      <c r="AB836" s="14">
        <f t="shared" si="193"/>
        <v>16</v>
      </c>
      <c r="AC836" s="14">
        <f>INDEX(挂机升级突破!$BU$6:$BU$57,卡牌消耗!AI836)</f>
        <v>11</v>
      </c>
      <c r="AD836" s="14">
        <f>INDEX(挂机升级突破!BV$6:BV$57,卡牌消耗!$AI836)</f>
        <v>5</v>
      </c>
      <c r="AE836" s="14">
        <f>INDEX(挂机升级突破!BW$6:BW$57,卡牌消耗!$AI836)</f>
        <v>10</v>
      </c>
      <c r="AF836" s="14" t="str">
        <f t="shared" si="194"/>
        <v>西方龙</v>
      </c>
      <c r="AG836" s="14">
        <f t="shared" si="195"/>
        <v>4</v>
      </c>
      <c r="AH836" s="14" t="str">
        <f t="shared" si="196"/>
        <v>西方龙魂火-52</v>
      </c>
      <c r="AI836" s="14">
        <f t="shared" si="197"/>
        <v>52</v>
      </c>
      <c r="AJ836" s="14" t="str">
        <f>INDEX(挂机升级突破!$BX$4:$CH$4,INDEX(挂机升级突破!$BU$6:$BU$57,卡牌消耗!AI836))</f>
        <v>金币</v>
      </c>
      <c r="AK836" s="14">
        <f>ROUND(INDEX(挂机升级突破!$BN$6:$BN$57,卡牌消耗!AI836)*INDEX(卡牌消耗!$B$8:$F$8,AG836)/$Q$4/50,0)*50</f>
        <v>417900</v>
      </c>
      <c r="AL836" s="14" t="str">
        <f>IF(AD836&gt;0,INDEX(挂机升级突破!$BX$4:$CH$4,AD836),"")</f>
        <v>红色基础材料</v>
      </c>
      <c r="AM836" s="14">
        <f>ROUND(INDEX(挂机升级突破!$BX$6:$CH$57,卡牌消耗!AI836,AD836)*INDEX(卡牌消耗!$B$5:$F$5,AG836)/$Q$4/5,0)*5</f>
        <v>85</v>
      </c>
      <c r="AN836" s="14" t="str">
        <f>IF(AE836&gt;0,INDEX(挂机升级突破!$BX$4:$CH$4,AE836),"")</f>
        <v>灵玉</v>
      </c>
      <c r="AO836" s="14">
        <f>IF(AE836&gt;0,ROUND(INDEX(挂机升级突破!$BX$6:$CH$57,卡牌消耗!AI836,AE836)*INDEX(卡牌消耗!$B$7:$F$7,AG836)/$Q$4,0),"")</f>
        <v>2</v>
      </c>
    </row>
    <row r="837" spans="27:41" ht="16.5" x14ac:dyDescent="0.2">
      <c r="AA837" s="104">
        <v>833</v>
      </c>
      <c r="AB837" s="14">
        <f t="shared" si="193"/>
        <v>17</v>
      </c>
      <c r="AC837" s="14">
        <f>INDEX(挂机升级突破!$BU$6:$BU$57,卡牌消耗!AI837)</f>
        <v>11</v>
      </c>
      <c r="AD837" s="14">
        <f>INDEX(挂机升级突破!BV$6:BV$57,卡牌消耗!$AI837)</f>
        <v>1</v>
      </c>
      <c r="AE837" s="14">
        <f>INDEX(挂机升级突破!BW$6:BW$57,卡牌消耗!$AI837)</f>
        <v>0</v>
      </c>
      <c r="AF837" s="14" t="str">
        <f t="shared" si="194"/>
        <v>飞廉</v>
      </c>
      <c r="AG837" s="14">
        <f t="shared" si="195"/>
        <v>3</v>
      </c>
      <c r="AH837" s="14" t="str">
        <f t="shared" si="196"/>
        <v>飞廉魂火-1</v>
      </c>
      <c r="AI837" s="14">
        <f t="shared" si="197"/>
        <v>1</v>
      </c>
      <c r="AJ837" s="14" t="str">
        <f>INDEX(挂机升级突破!$BX$4:$CH$4,INDEX(挂机升级突破!$BU$6:$BU$57,卡牌消耗!AI837))</f>
        <v>金币</v>
      </c>
      <c r="AK837" s="14">
        <f>ROUND(INDEX(挂机升级突破!$BN$6:$BN$57,卡牌消耗!AI837)*INDEX(卡牌消耗!$B$8:$F$8,AG837)/$Q$4/50,0)*50</f>
        <v>600</v>
      </c>
      <c r="AL837" s="14" t="str">
        <f>IF(AD837&gt;0,INDEX(挂机升级突破!$BX$4:$CH$4,AD837),"")</f>
        <v>绿色基础材料</v>
      </c>
      <c r="AM837" s="14">
        <f>ROUND(INDEX(挂机升级突破!$BX$6:$CH$57,卡牌消耗!AI837,AD837)*INDEX(卡牌消耗!$B$5:$F$5,AG837)/$Q$4/5,0)*5</f>
        <v>835</v>
      </c>
      <c r="AN837" s="14" t="str">
        <f>IF(AE837&gt;0,INDEX(挂机升级突破!$BX$4:$CH$4,AE837),"")</f>
        <v/>
      </c>
      <c r="AO837" s="14" t="str">
        <f>IF(AE837&gt;0,ROUND(INDEX(挂机升级突破!$BX$6:$CH$57,卡牌消耗!AI837,AE837)*INDEX(卡牌消耗!$B$7:$F$7,AG837)/$Q$4,0),"")</f>
        <v/>
      </c>
    </row>
    <row r="838" spans="27:41" ht="16.5" x14ac:dyDescent="0.2">
      <c r="AA838" s="104">
        <v>834</v>
      </c>
      <c r="AB838" s="14">
        <f t="shared" ref="AB838:AB901" si="198">INT((AA838-1)/52)+1</f>
        <v>17</v>
      </c>
      <c r="AC838" s="14">
        <f>INDEX(挂机升级突破!$BU$6:$BU$57,卡牌消耗!AI838)</f>
        <v>11</v>
      </c>
      <c r="AD838" s="14">
        <f>INDEX(挂机升级突破!BV$6:BV$57,卡牌消耗!$AI838)</f>
        <v>1</v>
      </c>
      <c r="AE838" s="14">
        <f>INDEX(挂机升级突破!BW$6:BW$57,卡牌消耗!$AI838)</f>
        <v>0</v>
      </c>
      <c r="AF838" s="14" t="str">
        <f t="shared" ref="AF838:AF901" si="199">INDEX($B$13:$B$40,AB838)</f>
        <v>飞廉</v>
      </c>
      <c r="AG838" s="14">
        <f t="shared" ref="AG838:AG901" si="200">INDEX($C$13:$C$40,AB838)</f>
        <v>3</v>
      </c>
      <c r="AH838" s="14" t="str">
        <f t="shared" ref="AH838:AH901" si="201">AF838&amp;"魂火-"&amp;AI838</f>
        <v>飞廉魂火-2</v>
      </c>
      <c r="AI838" s="14">
        <f t="shared" ref="AI838:AI901" si="202">AA838-(AB838-1)*52</f>
        <v>2</v>
      </c>
      <c r="AJ838" s="14" t="str">
        <f>INDEX(挂机升级突破!$BX$4:$CH$4,INDEX(挂机升级突破!$BU$6:$BU$57,卡牌消耗!AI838))</f>
        <v>金币</v>
      </c>
      <c r="AK838" s="14">
        <f>ROUND(INDEX(挂机升级突破!$BN$6:$BN$57,卡牌消耗!AI838)*INDEX(卡牌消耗!$B$8:$F$8,AG838)/$Q$4/50,0)*50</f>
        <v>800</v>
      </c>
      <c r="AL838" s="14" t="str">
        <f>IF(AD838&gt;0,INDEX(挂机升级突破!$BX$4:$CH$4,AD838),"")</f>
        <v>绿色基础材料</v>
      </c>
      <c r="AM838" s="14">
        <f>ROUND(INDEX(挂机升级突破!$BX$6:$CH$57,卡牌消耗!AI838,AD838)*INDEX(卡牌消耗!$B$5:$F$5,AG838)/$Q$4/5,0)*5</f>
        <v>2505</v>
      </c>
      <c r="AN838" s="14" t="str">
        <f>IF(AE838&gt;0,INDEX(挂机升级突破!$BX$4:$CH$4,AE838),"")</f>
        <v/>
      </c>
      <c r="AO838" s="14" t="str">
        <f>IF(AE838&gt;0,ROUND(INDEX(挂机升级突破!$BX$6:$CH$57,卡牌消耗!AI838,AE838)*INDEX(卡牌消耗!$B$7:$F$7,AG838)/$Q$4,0),"")</f>
        <v/>
      </c>
    </row>
    <row r="839" spans="27:41" ht="16.5" x14ac:dyDescent="0.2">
      <c r="AA839" s="104">
        <v>835</v>
      </c>
      <c r="AB839" s="14">
        <f t="shared" si="198"/>
        <v>17</v>
      </c>
      <c r="AC839" s="14">
        <f>INDEX(挂机升级突破!$BU$6:$BU$57,卡牌消耗!AI839)</f>
        <v>11</v>
      </c>
      <c r="AD839" s="14">
        <f>INDEX(挂机升级突破!BV$6:BV$57,卡牌消耗!$AI839)</f>
        <v>1</v>
      </c>
      <c r="AE839" s="14">
        <f>INDEX(挂机升级突破!BW$6:BW$57,卡牌消耗!$AI839)</f>
        <v>0</v>
      </c>
      <c r="AF839" s="14" t="str">
        <f t="shared" si="199"/>
        <v>飞廉</v>
      </c>
      <c r="AG839" s="14">
        <f t="shared" si="200"/>
        <v>3</v>
      </c>
      <c r="AH839" s="14" t="str">
        <f t="shared" si="201"/>
        <v>飞廉魂火-3</v>
      </c>
      <c r="AI839" s="14">
        <f t="shared" si="202"/>
        <v>3</v>
      </c>
      <c r="AJ839" s="14" t="str">
        <f>INDEX(挂机升级突破!$BX$4:$CH$4,INDEX(挂机升级突破!$BU$6:$BU$57,卡牌消耗!AI839))</f>
        <v>金币</v>
      </c>
      <c r="AK839" s="14">
        <f>ROUND(INDEX(挂机升级突破!$BN$6:$BN$57,卡牌消耗!AI839)*INDEX(卡牌消耗!$B$8:$F$8,AG839)/$Q$4/50,0)*50</f>
        <v>800</v>
      </c>
      <c r="AL839" s="14" t="str">
        <f>IF(AD839&gt;0,INDEX(挂机升级突破!$BX$4:$CH$4,AD839),"")</f>
        <v>绿色基础材料</v>
      </c>
      <c r="AM839" s="14">
        <f>ROUND(INDEX(挂机升级突破!$BX$6:$CH$57,卡牌消耗!AI839,AD839)*INDEX(卡牌消耗!$B$5:$F$5,AG839)/$Q$4/5,0)*5</f>
        <v>3335</v>
      </c>
      <c r="AN839" s="14" t="str">
        <f>IF(AE839&gt;0,INDEX(挂机升级突破!$BX$4:$CH$4,AE839),"")</f>
        <v/>
      </c>
      <c r="AO839" s="14" t="str">
        <f>IF(AE839&gt;0,ROUND(INDEX(挂机升级突破!$BX$6:$CH$57,卡牌消耗!AI839,AE839)*INDEX(卡牌消耗!$B$7:$F$7,AG839)/$Q$4,0),"")</f>
        <v/>
      </c>
    </row>
    <row r="840" spans="27:41" ht="16.5" x14ac:dyDescent="0.2">
      <c r="AA840" s="104">
        <v>836</v>
      </c>
      <c r="AB840" s="14">
        <f t="shared" si="198"/>
        <v>17</v>
      </c>
      <c r="AC840" s="14">
        <f>INDEX(挂机升级突破!$BU$6:$BU$57,卡牌消耗!AI840)</f>
        <v>11</v>
      </c>
      <c r="AD840" s="14">
        <f>INDEX(挂机升级突破!BV$6:BV$57,卡牌消耗!$AI840)</f>
        <v>1</v>
      </c>
      <c r="AE840" s="14">
        <f>INDEX(挂机升级突破!BW$6:BW$57,卡牌消耗!$AI840)</f>
        <v>0</v>
      </c>
      <c r="AF840" s="14" t="str">
        <f t="shared" si="199"/>
        <v>飞廉</v>
      </c>
      <c r="AG840" s="14">
        <f t="shared" si="200"/>
        <v>3</v>
      </c>
      <c r="AH840" s="14" t="str">
        <f t="shared" si="201"/>
        <v>飞廉魂火-4</v>
      </c>
      <c r="AI840" s="14">
        <f t="shared" si="202"/>
        <v>4</v>
      </c>
      <c r="AJ840" s="14" t="str">
        <f>INDEX(挂机升级突破!$BX$4:$CH$4,INDEX(挂机升级突破!$BU$6:$BU$57,卡牌消耗!AI840))</f>
        <v>金币</v>
      </c>
      <c r="AK840" s="14">
        <f>ROUND(INDEX(挂机升级突破!$BN$6:$BN$57,卡牌消耗!AI840)*INDEX(卡牌消耗!$B$8:$F$8,AG840)/$Q$4/50,0)*50</f>
        <v>800</v>
      </c>
      <c r="AL840" s="14" t="str">
        <f>IF(AD840&gt;0,INDEX(挂机升级突破!$BX$4:$CH$4,AD840),"")</f>
        <v>绿色基础材料</v>
      </c>
      <c r="AM840" s="14">
        <f>ROUND(INDEX(挂机升级突破!$BX$6:$CH$57,卡牌消耗!AI840,AD840)*INDEX(卡牌消耗!$B$5:$F$5,AG840)/$Q$4/5,0)*5</f>
        <v>5005</v>
      </c>
      <c r="AN840" s="14" t="str">
        <f>IF(AE840&gt;0,INDEX(挂机升级突破!$BX$4:$CH$4,AE840),"")</f>
        <v/>
      </c>
      <c r="AO840" s="14" t="str">
        <f>IF(AE840&gt;0,ROUND(INDEX(挂机升级突破!$BX$6:$CH$57,卡牌消耗!AI840,AE840)*INDEX(卡牌消耗!$B$7:$F$7,AG840)/$Q$4,0),"")</f>
        <v/>
      </c>
    </row>
    <row r="841" spans="27:41" ht="16.5" x14ac:dyDescent="0.2">
      <c r="AA841" s="104">
        <v>837</v>
      </c>
      <c r="AB841" s="14">
        <f t="shared" si="198"/>
        <v>17</v>
      </c>
      <c r="AC841" s="14">
        <f>INDEX(挂机升级突破!$BU$6:$BU$57,卡牌消耗!AI841)</f>
        <v>11</v>
      </c>
      <c r="AD841" s="14">
        <f>INDEX(挂机升级突破!BV$6:BV$57,卡牌消耗!$AI841)</f>
        <v>1</v>
      </c>
      <c r="AE841" s="14">
        <f>INDEX(挂机升级突破!BW$6:BW$57,卡牌消耗!$AI841)</f>
        <v>0</v>
      </c>
      <c r="AF841" s="14" t="str">
        <f t="shared" si="199"/>
        <v>飞廉</v>
      </c>
      <c r="AG841" s="14">
        <f t="shared" si="200"/>
        <v>3</v>
      </c>
      <c r="AH841" s="14" t="str">
        <f t="shared" si="201"/>
        <v>飞廉魂火-5</v>
      </c>
      <c r="AI841" s="14">
        <f t="shared" si="202"/>
        <v>5</v>
      </c>
      <c r="AJ841" s="14" t="str">
        <f>INDEX(挂机升级突破!$BX$4:$CH$4,INDEX(挂机升级突破!$BU$6:$BU$57,卡牌消耗!AI841))</f>
        <v>金币</v>
      </c>
      <c r="AK841" s="14">
        <f>ROUND(INDEX(挂机升级突破!$BN$6:$BN$57,卡牌消耗!AI841)*INDEX(卡牌消耗!$B$8:$F$8,AG841)/$Q$4/50,0)*50</f>
        <v>800</v>
      </c>
      <c r="AL841" s="14" t="str">
        <f>IF(AD841&gt;0,INDEX(挂机升级突破!$BX$4:$CH$4,AD841),"")</f>
        <v>绿色基础材料</v>
      </c>
      <c r="AM841" s="14">
        <f>ROUND(INDEX(挂机升级突破!$BX$6:$CH$57,卡牌消耗!AI841,AD841)*INDEX(卡牌消耗!$B$5:$F$5,AG841)/$Q$4/5,0)*5</f>
        <v>5005</v>
      </c>
      <c r="AN841" s="14" t="str">
        <f>IF(AE841&gt;0,INDEX(挂机升级突破!$BX$4:$CH$4,AE841),"")</f>
        <v/>
      </c>
      <c r="AO841" s="14" t="str">
        <f>IF(AE841&gt;0,ROUND(INDEX(挂机升级突破!$BX$6:$CH$57,卡牌消耗!AI841,AE841)*INDEX(卡牌消耗!$B$7:$F$7,AG841)/$Q$4,0),"")</f>
        <v/>
      </c>
    </row>
    <row r="842" spans="27:41" ht="16.5" x14ac:dyDescent="0.2">
      <c r="AA842" s="104">
        <v>838</v>
      </c>
      <c r="AB842" s="14">
        <f t="shared" si="198"/>
        <v>17</v>
      </c>
      <c r="AC842" s="14">
        <f>INDEX(挂机升级突破!$BU$6:$BU$57,卡牌消耗!AI842)</f>
        <v>11</v>
      </c>
      <c r="AD842" s="14">
        <f>INDEX(挂机升级突破!BV$6:BV$57,卡牌消耗!$AI842)</f>
        <v>2</v>
      </c>
      <c r="AE842" s="14">
        <f>INDEX(挂机升级突破!BW$6:BW$57,卡牌消耗!$AI842)</f>
        <v>0</v>
      </c>
      <c r="AF842" s="14" t="str">
        <f t="shared" si="199"/>
        <v>飞廉</v>
      </c>
      <c r="AG842" s="14">
        <f t="shared" si="200"/>
        <v>3</v>
      </c>
      <c r="AH842" s="14" t="str">
        <f t="shared" si="201"/>
        <v>飞廉魂火-6</v>
      </c>
      <c r="AI842" s="14">
        <f t="shared" si="202"/>
        <v>6</v>
      </c>
      <c r="AJ842" s="14" t="str">
        <f>INDEX(挂机升级突破!$BX$4:$CH$4,INDEX(挂机升级突破!$BU$6:$BU$57,卡牌消耗!AI842))</f>
        <v>金币</v>
      </c>
      <c r="AK842" s="14">
        <f>ROUND(INDEX(挂机升级突破!$BN$6:$BN$57,卡牌消耗!AI842)*INDEX(卡牌消耗!$B$8:$F$8,AG842)/$Q$4/50,0)*50</f>
        <v>1000</v>
      </c>
      <c r="AL842" s="14" t="str">
        <f>IF(AD842&gt;0,INDEX(挂机升级突破!$BX$4:$CH$4,AD842),"")</f>
        <v>蓝色基础材料</v>
      </c>
      <c r="AM842" s="14">
        <f>ROUND(INDEX(挂机升级突破!$BX$6:$CH$57,卡牌消耗!AI842,AD842)*INDEX(卡牌消耗!$B$5:$F$5,AG842)/$Q$4/5,0)*5</f>
        <v>480</v>
      </c>
      <c r="AN842" s="14" t="str">
        <f>IF(AE842&gt;0,INDEX(挂机升级突破!$BX$4:$CH$4,AE842),"")</f>
        <v/>
      </c>
      <c r="AO842" s="14" t="str">
        <f>IF(AE842&gt;0,ROUND(INDEX(挂机升级突破!$BX$6:$CH$57,卡牌消耗!AI842,AE842)*INDEX(卡牌消耗!$B$7:$F$7,AG842)/$Q$4,0),"")</f>
        <v/>
      </c>
    </row>
    <row r="843" spans="27:41" ht="16.5" x14ac:dyDescent="0.2">
      <c r="AA843" s="104">
        <v>839</v>
      </c>
      <c r="AB843" s="14">
        <f t="shared" si="198"/>
        <v>17</v>
      </c>
      <c r="AC843" s="14">
        <f>INDEX(挂机升级突破!$BU$6:$BU$57,卡牌消耗!AI843)</f>
        <v>11</v>
      </c>
      <c r="AD843" s="14">
        <f>INDEX(挂机升级突破!BV$6:BV$57,卡牌消耗!$AI843)</f>
        <v>2</v>
      </c>
      <c r="AE843" s="14">
        <f>INDEX(挂机升级突破!BW$6:BW$57,卡牌消耗!$AI843)</f>
        <v>0</v>
      </c>
      <c r="AF843" s="14" t="str">
        <f t="shared" si="199"/>
        <v>飞廉</v>
      </c>
      <c r="AG843" s="14">
        <f t="shared" si="200"/>
        <v>3</v>
      </c>
      <c r="AH843" s="14" t="str">
        <f t="shared" si="201"/>
        <v>飞廉魂火-7</v>
      </c>
      <c r="AI843" s="14">
        <f t="shared" si="202"/>
        <v>7</v>
      </c>
      <c r="AJ843" s="14" t="str">
        <f>INDEX(挂机升级突破!$BX$4:$CH$4,INDEX(挂机升级突破!$BU$6:$BU$57,卡牌消耗!AI843))</f>
        <v>金币</v>
      </c>
      <c r="AK843" s="14">
        <f>ROUND(INDEX(挂机升级突破!$BN$6:$BN$57,卡牌消耗!AI843)*INDEX(卡牌消耗!$B$8:$F$8,AG843)/$Q$4/50,0)*50</f>
        <v>1000</v>
      </c>
      <c r="AL843" s="14" t="str">
        <f>IF(AD843&gt;0,INDEX(挂机升级突破!$BX$4:$CH$4,AD843),"")</f>
        <v>蓝色基础材料</v>
      </c>
      <c r="AM843" s="14">
        <f>ROUND(INDEX(挂机升级突破!$BX$6:$CH$57,卡牌消耗!AI843,AD843)*INDEX(卡牌消耗!$B$5:$F$5,AG843)/$Q$4/5,0)*5</f>
        <v>480</v>
      </c>
      <c r="AN843" s="14" t="str">
        <f>IF(AE843&gt;0,INDEX(挂机升级突破!$BX$4:$CH$4,AE843),"")</f>
        <v/>
      </c>
      <c r="AO843" s="14" t="str">
        <f>IF(AE843&gt;0,ROUND(INDEX(挂机升级突破!$BX$6:$CH$57,卡牌消耗!AI843,AE843)*INDEX(卡牌消耗!$B$7:$F$7,AG843)/$Q$4,0),"")</f>
        <v/>
      </c>
    </row>
    <row r="844" spans="27:41" ht="16.5" x14ac:dyDescent="0.2">
      <c r="AA844" s="104">
        <v>840</v>
      </c>
      <c r="AB844" s="14">
        <f t="shared" si="198"/>
        <v>17</v>
      </c>
      <c r="AC844" s="14">
        <f>INDEX(挂机升级突破!$BU$6:$BU$57,卡牌消耗!AI844)</f>
        <v>11</v>
      </c>
      <c r="AD844" s="14">
        <f>INDEX(挂机升级突破!BV$6:BV$57,卡牌消耗!$AI844)</f>
        <v>2</v>
      </c>
      <c r="AE844" s="14">
        <f>INDEX(挂机升级突破!BW$6:BW$57,卡牌消耗!$AI844)</f>
        <v>0</v>
      </c>
      <c r="AF844" s="14" t="str">
        <f t="shared" si="199"/>
        <v>飞廉</v>
      </c>
      <c r="AG844" s="14">
        <f t="shared" si="200"/>
        <v>3</v>
      </c>
      <c r="AH844" s="14" t="str">
        <f t="shared" si="201"/>
        <v>飞廉魂火-8</v>
      </c>
      <c r="AI844" s="14">
        <f t="shared" si="202"/>
        <v>8</v>
      </c>
      <c r="AJ844" s="14" t="str">
        <f>INDEX(挂机升级突破!$BX$4:$CH$4,INDEX(挂机升级突破!$BU$6:$BU$57,卡牌消耗!AI844))</f>
        <v>金币</v>
      </c>
      <c r="AK844" s="14">
        <f>ROUND(INDEX(挂机升级突破!$BN$6:$BN$57,卡牌消耗!AI844)*INDEX(卡牌消耗!$B$8:$F$8,AG844)/$Q$4/50,0)*50</f>
        <v>1500</v>
      </c>
      <c r="AL844" s="14" t="str">
        <f>IF(AD844&gt;0,INDEX(挂机升级突破!$BX$4:$CH$4,AD844),"")</f>
        <v>蓝色基础材料</v>
      </c>
      <c r="AM844" s="14">
        <f>ROUND(INDEX(挂机升级突破!$BX$6:$CH$57,卡牌消耗!AI844,AD844)*INDEX(卡牌消耗!$B$5:$F$5,AG844)/$Q$4/5,0)*5</f>
        <v>960</v>
      </c>
      <c r="AN844" s="14" t="str">
        <f>IF(AE844&gt;0,INDEX(挂机升级突破!$BX$4:$CH$4,AE844),"")</f>
        <v/>
      </c>
      <c r="AO844" s="14" t="str">
        <f>IF(AE844&gt;0,ROUND(INDEX(挂机升级突破!$BX$6:$CH$57,卡牌消耗!AI844,AE844)*INDEX(卡牌消耗!$B$7:$F$7,AG844)/$Q$4,0),"")</f>
        <v/>
      </c>
    </row>
    <row r="845" spans="27:41" ht="16.5" x14ac:dyDescent="0.2">
      <c r="AA845" s="104">
        <v>841</v>
      </c>
      <c r="AB845" s="14">
        <f t="shared" si="198"/>
        <v>17</v>
      </c>
      <c r="AC845" s="14">
        <f>INDEX(挂机升级突破!$BU$6:$BU$57,卡牌消耗!AI845)</f>
        <v>11</v>
      </c>
      <c r="AD845" s="14">
        <f>INDEX(挂机升级突破!BV$6:BV$57,卡牌消耗!$AI845)</f>
        <v>2</v>
      </c>
      <c r="AE845" s="14">
        <f>INDEX(挂机升级突破!BW$6:BW$57,卡牌消耗!$AI845)</f>
        <v>0</v>
      </c>
      <c r="AF845" s="14" t="str">
        <f t="shared" si="199"/>
        <v>飞廉</v>
      </c>
      <c r="AG845" s="14">
        <f t="shared" si="200"/>
        <v>3</v>
      </c>
      <c r="AH845" s="14" t="str">
        <f t="shared" si="201"/>
        <v>飞廉魂火-9</v>
      </c>
      <c r="AI845" s="14">
        <f t="shared" si="202"/>
        <v>9</v>
      </c>
      <c r="AJ845" s="14" t="str">
        <f>INDEX(挂机升级突破!$BX$4:$CH$4,INDEX(挂机升级突破!$BU$6:$BU$57,卡牌消耗!AI845))</f>
        <v>金币</v>
      </c>
      <c r="AK845" s="14">
        <f>ROUND(INDEX(挂机升级突破!$BN$6:$BN$57,卡牌消耗!AI845)*INDEX(卡牌消耗!$B$8:$F$8,AG845)/$Q$4/50,0)*50</f>
        <v>1500</v>
      </c>
      <c r="AL845" s="14" t="str">
        <f>IF(AD845&gt;0,INDEX(挂机升级突破!$BX$4:$CH$4,AD845),"")</f>
        <v>蓝色基础材料</v>
      </c>
      <c r="AM845" s="14">
        <f>ROUND(INDEX(挂机升级突破!$BX$6:$CH$57,卡牌消耗!AI845,AD845)*INDEX(卡牌消耗!$B$5:$F$5,AG845)/$Q$4/5,0)*5</f>
        <v>960</v>
      </c>
      <c r="AN845" s="14" t="str">
        <f>IF(AE845&gt;0,INDEX(挂机升级突破!$BX$4:$CH$4,AE845),"")</f>
        <v/>
      </c>
      <c r="AO845" s="14" t="str">
        <f>IF(AE845&gt;0,ROUND(INDEX(挂机升级突破!$BX$6:$CH$57,卡牌消耗!AI845,AE845)*INDEX(卡牌消耗!$B$7:$F$7,AG845)/$Q$4,0),"")</f>
        <v/>
      </c>
    </row>
    <row r="846" spans="27:41" ht="16.5" x14ac:dyDescent="0.2">
      <c r="AA846" s="104">
        <v>842</v>
      </c>
      <c r="AB846" s="14">
        <f t="shared" si="198"/>
        <v>17</v>
      </c>
      <c r="AC846" s="14">
        <f>INDEX(挂机升级突破!$BU$6:$BU$57,卡牌消耗!AI846)</f>
        <v>11</v>
      </c>
      <c r="AD846" s="14">
        <f>INDEX(挂机升级突破!BV$6:BV$57,卡牌消耗!$AI846)</f>
        <v>2</v>
      </c>
      <c r="AE846" s="14">
        <f>INDEX(挂机升级突破!BW$6:BW$57,卡牌消耗!$AI846)</f>
        <v>0</v>
      </c>
      <c r="AF846" s="14" t="str">
        <f t="shared" si="199"/>
        <v>飞廉</v>
      </c>
      <c r="AG846" s="14">
        <f t="shared" si="200"/>
        <v>3</v>
      </c>
      <c r="AH846" s="14" t="str">
        <f t="shared" si="201"/>
        <v>飞廉魂火-10</v>
      </c>
      <c r="AI846" s="14">
        <f t="shared" si="202"/>
        <v>10</v>
      </c>
      <c r="AJ846" s="14" t="str">
        <f>INDEX(挂机升级突破!$BX$4:$CH$4,INDEX(挂机升级突破!$BU$6:$BU$57,卡牌消耗!AI846))</f>
        <v>金币</v>
      </c>
      <c r="AK846" s="14">
        <f>ROUND(INDEX(挂机升级突破!$BN$6:$BN$57,卡牌消耗!AI846)*INDEX(卡牌消耗!$B$8:$F$8,AG846)/$Q$4/50,0)*50</f>
        <v>2450</v>
      </c>
      <c r="AL846" s="14" t="str">
        <f>IF(AD846&gt;0,INDEX(挂机升级突破!$BX$4:$CH$4,AD846),"")</f>
        <v>蓝色基础材料</v>
      </c>
      <c r="AM846" s="14">
        <f>ROUND(INDEX(挂机升级突破!$BX$6:$CH$57,卡牌消耗!AI846,AD846)*INDEX(卡牌消耗!$B$5:$F$5,AG846)/$Q$4/5,0)*5</f>
        <v>1440</v>
      </c>
      <c r="AN846" s="14" t="str">
        <f>IF(AE846&gt;0,INDEX(挂机升级突破!$BX$4:$CH$4,AE846),"")</f>
        <v/>
      </c>
      <c r="AO846" s="14" t="str">
        <f>IF(AE846&gt;0,ROUND(INDEX(挂机升级突破!$BX$6:$CH$57,卡牌消耗!AI846,AE846)*INDEX(卡牌消耗!$B$7:$F$7,AG846)/$Q$4,0),"")</f>
        <v/>
      </c>
    </row>
    <row r="847" spans="27:41" ht="16.5" x14ac:dyDescent="0.2">
      <c r="AA847" s="104">
        <v>843</v>
      </c>
      <c r="AB847" s="14">
        <f t="shared" si="198"/>
        <v>17</v>
      </c>
      <c r="AC847" s="14">
        <f>INDEX(挂机升级突破!$BU$6:$BU$57,卡牌消耗!AI847)</f>
        <v>11</v>
      </c>
      <c r="AD847" s="14">
        <f>INDEX(挂机升级突破!BV$6:BV$57,卡牌消耗!$AI847)</f>
        <v>2</v>
      </c>
      <c r="AE847" s="14">
        <f>INDEX(挂机升级突破!BW$6:BW$57,卡牌消耗!$AI847)</f>
        <v>0</v>
      </c>
      <c r="AF847" s="14" t="str">
        <f t="shared" si="199"/>
        <v>飞廉</v>
      </c>
      <c r="AG847" s="14">
        <f t="shared" si="200"/>
        <v>3</v>
      </c>
      <c r="AH847" s="14" t="str">
        <f t="shared" si="201"/>
        <v>飞廉魂火-11</v>
      </c>
      <c r="AI847" s="14">
        <f t="shared" si="202"/>
        <v>11</v>
      </c>
      <c r="AJ847" s="14" t="str">
        <f>INDEX(挂机升级突破!$BX$4:$CH$4,INDEX(挂机升级突破!$BU$6:$BU$57,卡牌消耗!AI847))</f>
        <v>金币</v>
      </c>
      <c r="AK847" s="14">
        <f>ROUND(INDEX(挂机升级突破!$BN$6:$BN$57,卡牌消耗!AI847)*INDEX(卡牌消耗!$B$8:$F$8,AG847)/$Q$4/50,0)*50</f>
        <v>2450</v>
      </c>
      <c r="AL847" s="14" t="str">
        <f>IF(AD847&gt;0,INDEX(挂机升级突破!$BX$4:$CH$4,AD847),"")</f>
        <v>蓝色基础材料</v>
      </c>
      <c r="AM847" s="14">
        <f>ROUND(INDEX(挂机升级突破!$BX$6:$CH$57,卡牌消耗!AI847,AD847)*INDEX(卡牌消耗!$B$5:$F$5,AG847)/$Q$4/5,0)*5</f>
        <v>1440</v>
      </c>
      <c r="AN847" s="14" t="str">
        <f>IF(AE847&gt;0,INDEX(挂机升级突破!$BX$4:$CH$4,AE847),"")</f>
        <v/>
      </c>
      <c r="AO847" s="14" t="str">
        <f>IF(AE847&gt;0,ROUND(INDEX(挂机升级突破!$BX$6:$CH$57,卡牌消耗!AI847,AE847)*INDEX(卡牌消耗!$B$7:$F$7,AG847)/$Q$4,0),"")</f>
        <v/>
      </c>
    </row>
    <row r="848" spans="27:41" ht="16.5" x14ac:dyDescent="0.2">
      <c r="AA848" s="104">
        <v>844</v>
      </c>
      <c r="AB848" s="14">
        <f t="shared" si="198"/>
        <v>17</v>
      </c>
      <c r="AC848" s="14">
        <f>INDEX(挂机升级突破!$BU$6:$BU$57,卡牌消耗!AI848)</f>
        <v>11</v>
      </c>
      <c r="AD848" s="14">
        <f>INDEX(挂机升级突破!BV$6:BV$57,卡牌消耗!$AI848)</f>
        <v>2</v>
      </c>
      <c r="AE848" s="14">
        <f>INDEX(挂机升级突破!BW$6:BW$57,卡牌消耗!$AI848)</f>
        <v>0</v>
      </c>
      <c r="AF848" s="14" t="str">
        <f t="shared" si="199"/>
        <v>飞廉</v>
      </c>
      <c r="AG848" s="14">
        <f t="shared" si="200"/>
        <v>3</v>
      </c>
      <c r="AH848" s="14" t="str">
        <f t="shared" si="201"/>
        <v>飞廉魂火-12</v>
      </c>
      <c r="AI848" s="14">
        <f t="shared" si="202"/>
        <v>12</v>
      </c>
      <c r="AJ848" s="14" t="str">
        <f>INDEX(挂机升级突破!$BX$4:$CH$4,INDEX(挂机升级突破!$BU$6:$BU$57,卡牌消耗!AI848))</f>
        <v>金币</v>
      </c>
      <c r="AK848" s="14">
        <f>ROUND(INDEX(挂机升级突破!$BN$6:$BN$57,卡牌消耗!AI848)*INDEX(卡牌消耗!$B$8:$F$8,AG848)/$Q$4/50,0)*50</f>
        <v>2100</v>
      </c>
      <c r="AL848" s="14" t="str">
        <f>IF(AD848&gt;0,INDEX(挂机升级突破!$BX$4:$CH$4,AD848),"")</f>
        <v>蓝色基础材料</v>
      </c>
      <c r="AM848" s="14">
        <f>ROUND(INDEX(挂机升级突破!$BX$6:$CH$57,卡牌消耗!AI848,AD848)*INDEX(卡牌消耗!$B$5:$F$5,AG848)/$Q$4/5,0)*5</f>
        <v>1920</v>
      </c>
      <c r="AN848" s="14" t="str">
        <f>IF(AE848&gt;0,INDEX(挂机升级突破!$BX$4:$CH$4,AE848),"")</f>
        <v/>
      </c>
      <c r="AO848" s="14" t="str">
        <f>IF(AE848&gt;0,ROUND(INDEX(挂机升级突破!$BX$6:$CH$57,卡牌消耗!AI848,AE848)*INDEX(卡牌消耗!$B$7:$F$7,AG848)/$Q$4,0),"")</f>
        <v/>
      </c>
    </row>
    <row r="849" spans="27:41" ht="16.5" x14ac:dyDescent="0.2">
      <c r="AA849" s="104">
        <v>845</v>
      </c>
      <c r="AB849" s="14">
        <f t="shared" si="198"/>
        <v>17</v>
      </c>
      <c r="AC849" s="14">
        <f>INDEX(挂机升级突破!$BU$6:$BU$57,卡牌消耗!AI849)</f>
        <v>11</v>
      </c>
      <c r="AD849" s="14">
        <f>INDEX(挂机升级突破!BV$6:BV$57,卡牌消耗!$AI849)</f>
        <v>2</v>
      </c>
      <c r="AE849" s="14">
        <f>INDEX(挂机升级突破!BW$6:BW$57,卡牌消耗!$AI849)</f>
        <v>0</v>
      </c>
      <c r="AF849" s="14" t="str">
        <f t="shared" si="199"/>
        <v>飞廉</v>
      </c>
      <c r="AG849" s="14">
        <f t="shared" si="200"/>
        <v>3</v>
      </c>
      <c r="AH849" s="14" t="str">
        <f t="shared" si="201"/>
        <v>飞廉魂火-13</v>
      </c>
      <c r="AI849" s="14">
        <f t="shared" si="202"/>
        <v>13</v>
      </c>
      <c r="AJ849" s="14" t="str">
        <f>INDEX(挂机升级突破!$BX$4:$CH$4,INDEX(挂机升级突破!$BU$6:$BU$57,卡牌消耗!AI849))</f>
        <v>金币</v>
      </c>
      <c r="AK849" s="14">
        <f>ROUND(INDEX(挂机升级突破!$BN$6:$BN$57,卡牌消耗!AI849)*INDEX(卡牌消耗!$B$8:$F$8,AG849)/$Q$4/50,0)*50</f>
        <v>2100</v>
      </c>
      <c r="AL849" s="14" t="str">
        <f>IF(AD849&gt;0,INDEX(挂机升级突破!$BX$4:$CH$4,AD849),"")</f>
        <v>蓝色基础材料</v>
      </c>
      <c r="AM849" s="14">
        <f>ROUND(INDEX(挂机升级突破!$BX$6:$CH$57,卡牌消耗!AI849,AD849)*INDEX(卡牌消耗!$B$5:$F$5,AG849)/$Q$4/5,0)*5</f>
        <v>1920</v>
      </c>
      <c r="AN849" s="14" t="str">
        <f>IF(AE849&gt;0,INDEX(挂机升级突破!$BX$4:$CH$4,AE849),"")</f>
        <v/>
      </c>
      <c r="AO849" s="14" t="str">
        <f>IF(AE849&gt;0,ROUND(INDEX(挂机升级突破!$BX$6:$CH$57,卡牌消耗!AI849,AE849)*INDEX(卡牌消耗!$B$7:$F$7,AG849)/$Q$4,0),"")</f>
        <v/>
      </c>
    </row>
    <row r="850" spans="27:41" ht="16.5" x14ac:dyDescent="0.2">
      <c r="AA850" s="104">
        <v>846</v>
      </c>
      <c r="AB850" s="14">
        <f t="shared" si="198"/>
        <v>17</v>
      </c>
      <c r="AC850" s="14">
        <f>INDEX(挂机升级突破!$BU$6:$BU$57,卡牌消耗!AI850)</f>
        <v>11</v>
      </c>
      <c r="AD850" s="14">
        <f>INDEX(挂机升级突破!BV$6:BV$57,卡牌消耗!$AI850)</f>
        <v>3</v>
      </c>
      <c r="AE850" s="14">
        <f>INDEX(挂机升级突破!BW$6:BW$57,卡牌消耗!$AI850)</f>
        <v>0</v>
      </c>
      <c r="AF850" s="14" t="str">
        <f t="shared" si="199"/>
        <v>飞廉</v>
      </c>
      <c r="AG850" s="14">
        <f t="shared" si="200"/>
        <v>3</v>
      </c>
      <c r="AH850" s="14" t="str">
        <f t="shared" si="201"/>
        <v>飞廉魂火-14</v>
      </c>
      <c r="AI850" s="14">
        <f t="shared" si="202"/>
        <v>14</v>
      </c>
      <c r="AJ850" s="14" t="str">
        <f>INDEX(挂机升级突破!$BX$4:$CH$4,INDEX(挂机升级突破!$BU$6:$BU$57,卡牌消耗!AI850))</f>
        <v>金币</v>
      </c>
      <c r="AK850" s="14">
        <f>ROUND(INDEX(挂机升级突破!$BN$6:$BN$57,卡牌消耗!AI850)*INDEX(卡牌消耗!$B$8:$F$8,AG850)/$Q$4/50,0)*50</f>
        <v>2350</v>
      </c>
      <c r="AL850" s="14" t="str">
        <f>IF(AD850&gt;0,INDEX(挂机升级突破!$BX$4:$CH$4,AD850),"")</f>
        <v>紫色基础材料</v>
      </c>
      <c r="AM850" s="14">
        <f>ROUND(INDEX(挂机升级突破!$BX$6:$CH$57,卡牌消耗!AI850,AD850)*INDEX(卡牌消耗!$B$5:$F$5,AG850)/$Q$4/5,0)*5</f>
        <v>170</v>
      </c>
      <c r="AN850" s="14" t="str">
        <f>IF(AE850&gt;0,INDEX(挂机升级突破!$BX$4:$CH$4,AE850),"")</f>
        <v/>
      </c>
      <c r="AO850" s="14" t="str">
        <f>IF(AE850&gt;0,ROUND(INDEX(挂机升级突破!$BX$6:$CH$57,卡牌消耗!AI850,AE850)*INDEX(卡牌消耗!$B$7:$F$7,AG850)/$Q$4,0),"")</f>
        <v/>
      </c>
    </row>
    <row r="851" spans="27:41" ht="16.5" x14ac:dyDescent="0.2">
      <c r="AA851" s="104">
        <v>847</v>
      </c>
      <c r="AB851" s="14">
        <f t="shared" si="198"/>
        <v>17</v>
      </c>
      <c r="AC851" s="14">
        <f>INDEX(挂机升级突破!$BU$6:$BU$57,卡牌消耗!AI851)</f>
        <v>11</v>
      </c>
      <c r="AD851" s="14">
        <f>INDEX(挂机升级突破!BV$6:BV$57,卡牌消耗!$AI851)</f>
        <v>3</v>
      </c>
      <c r="AE851" s="14">
        <f>INDEX(挂机升级突破!BW$6:BW$57,卡牌消耗!$AI851)</f>
        <v>0</v>
      </c>
      <c r="AF851" s="14" t="str">
        <f t="shared" si="199"/>
        <v>飞廉</v>
      </c>
      <c r="AG851" s="14">
        <f t="shared" si="200"/>
        <v>3</v>
      </c>
      <c r="AH851" s="14" t="str">
        <f t="shared" si="201"/>
        <v>飞廉魂火-15</v>
      </c>
      <c r="AI851" s="14">
        <f t="shared" si="202"/>
        <v>15</v>
      </c>
      <c r="AJ851" s="14" t="str">
        <f>INDEX(挂机升级突破!$BX$4:$CH$4,INDEX(挂机升级突破!$BU$6:$BU$57,卡牌消耗!AI851))</f>
        <v>金币</v>
      </c>
      <c r="AK851" s="14">
        <f>ROUND(INDEX(挂机升级突破!$BN$6:$BN$57,卡牌消耗!AI851)*INDEX(卡牌消耗!$B$8:$F$8,AG851)/$Q$4/50,0)*50</f>
        <v>2550</v>
      </c>
      <c r="AL851" s="14" t="str">
        <f>IF(AD851&gt;0,INDEX(挂机升级突破!$BX$4:$CH$4,AD851),"")</f>
        <v>紫色基础材料</v>
      </c>
      <c r="AM851" s="14">
        <f>ROUND(INDEX(挂机升级突破!$BX$6:$CH$57,卡牌消耗!AI851,AD851)*INDEX(卡牌消耗!$B$5:$F$5,AG851)/$Q$4/5,0)*5</f>
        <v>170</v>
      </c>
      <c r="AN851" s="14" t="str">
        <f>IF(AE851&gt;0,INDEX(挂机升级突破!$BX$4:$CH$4,AE851),"")</f>
        <v/>
      </c>
      <c r="AO851" s="14" t="str">
        <f>IF(AE851&gt;0,ROUND(INDEX(挂机升级突破!$BX$6:$CH$57,卡牌消耗!AI851,AE851)*INDEX(卡牌消耗!$B$7:$F$7,AG851)/$Q$4,0),"")</f>
        <v/>
      </c>
    </row>
    <row r="852" spans="27:41" ht="16.5" x14ac:dyDescent="0.2">
      <c r="AA852" s="104">
        <v>848</v>
      </c>
      <c r="AB852" s="14">
        <f t="shared" si="198"/>
        <v>17</v>
      </c>
      <c r="AC852" s="14">
        <f>INDEX(挂机升级突破!$BU$6:$BU$57,卡牌消耗!AI852)</f>
        <v>11</v>
      </c>
      <c r="AD852" s="14">
        <f>INDEX(挂机升级突破!BV$6:BV$57,卡牌消耗!$AI852)</f>
        <v>3</v>
      </c>
      <c r="AE852" s="14">
        <f>INDEX(挂机升级突破!BW$6:BW$57,卡牌消耗!$AI852)</f>
        <v>0</v>
      </c>
      <c r="AF852" s="14" t="str">
        <f t="shared" si="199"/>
        <v>飞廉</v>
      </c>
      <c r="AG852" s="14">
        <f t="shared" si="200"/>
        <v>3</v>
      </c>
      <c r="AH852" s="14" t="str">
        <f t="shared" si="201"/>
        <v>飞廉魂火-16</v>
      </c>
      <c r="AI852" s="14">
        <f t="shared" si="202"/>
        <v>16</v>
      </c>
      <c r="AJ852" s="14" t="str">
        <f>INDEX(挂机升级突破!$BX$4:$CH$4,INDEX(挂机升级突破!$BU$6:$BU$57,卡牌消耗!AI852))</f>
        <v>金币</v>
      </c>
      <c r="AK852" s="14">
        <f>ROUND(INDEX(挂机升级突破!$BN$6:$BN$57,卡牌消耗!AI852)*INDEX(卡牌消耗!$B$8:$F$8,AG852)/$Q$4/50,0)*50</f>
        <v>2550</v>
      </c>
      <c r="AL852" s="14" t="str">
        <f>IF(AD852&gt;0,INDEX(挂机升级突破!$BX$4:$CH$4,AD852),"")</f>
        <v>紫色基础材料</v>
      </c>
      <c r="AM852" s="14">
        <f>ROUND(INDEX(挂机升级突破!$BX$6:$CH$57,卡牌消耗!AI852,AD852)*INDEX(卡牌消耗!$B$5:$F$5,AG852)/$Q$4/5,0)*5</f>
        <v>170</v>
      </c>
      <c r="AN852" s="14" t="str">
        <f>IF(AE852&gt;0,INDEX(挂机升级突破!$BX$4:$CH$4,AE852),"")</f>
        <v/>
      </c>
      <c r="AO852" s="14" t="str">
        <f>IF(AE852&gt;0,ROUND(INDEX(挂机升级突破!$BX$6:$CH$57,卡牌消耗!AI852,AE852)*INDEX(卡牌消耗!$B$7:$F$7,AG852)/$Q$4,0),"")</f>
        <v/>
      </c>
    </row>
    <row r="853" spans="27:41" ht="16.5" x14ac:dyDescent="0.2">
      <c r="AA853" s="104">
        <v>849</v>
      </c>
      <c r="AB853" s="14">
        <f t="shared" si="198"/>
        <v>17</v>
      </c>
      <c r="AC853" s="14">
        <f>INDEX(挂机升级突破!$BU$6:$BU$57,卡牌消耗!AI853)</f>
        <v>11</v>
      </c>
      <c r="AD853" s="14">
        <f>INDEX(挂机升级突破!BV$6:BV$57,卡牌消耗!$AI853)</f>
        <v>3</v>
      </c>
      <c r="AE853" s="14">
        <f>INDEX(挂机升级突破!BW$6:BW$57,卡牌消耗!$AI853)</f>
        <v>0</v>
      </c>
      <c r="AF853" s="14" t="str">
        <f t="shared" si="199"/>
        <v>飞廉</v>
      </c>
      <c r="AG853" s="14">
        <f t="shared" si="200"/>
        <v>3</v>
      </c>
      <c r="AH853" s="14" t="str">
        <f t="shared" si="201"/>
        <v>飞廉魂火-17</v>
      </c>
      <c r="AI853" s="14">
        <f t="shared" si="202"/>
        <v>17</v>
      </c>
      <c r="AJ853" s="14" t="str">
        <f>INDEX(挂机升级突破!$BX$4:$CH$4,INDEX(挂机升级突破!$BU$6:$BU$57,卡牌消耗!AI853))</f>
        <v>金币</v>
      </c>
      <c r="AK853" s="14">
        <f>ROUND(INDEX(挂机升级突破!$BN$6:$BN$57,卡牌消耗!AI853)*INDEX(卡牌消耗!$B$8:$F$8,AG853)/$Q$4/50,0)*50</f>
        <v>3200</v>
      </c>
      <c r="AL853" s="14" t="str">
        <f>IF(AD853&gt;0,INDEX(挂机升级突破!$BX$4:$CH$4,AD853),"")</f>
        <v>紫色基础材料</v>
      </c>
      <c r="AM853" s="14">
        <f>ROUND(INDEX(挂机升级突破!$BX$6:$CH$57,卡牌消耗!AI853,AD853)*INDEX(卡牌消耗!$B$5:$F$5,AG853)/$Q$4/5,0)*5</f>
        <v>335</v>
      </c>
      <c r="AN853" s="14" t="str">
        <f>IF(AE853&gt;0,INDEX(挂机升级突破!$BX$4:$CH$4,AE853),"")</f>
        <v/>
      </c>
      <c r="AO853" s="14" t="str">
        <f>IF(AE853&gt;0,ROUND(INDEX(挂机升级突破!$BX$6:$CH$57,卡牌消耗!AI853,AE853)*INDEX(卡牌消耗!$B$7:$F$7,AG853)/$Q$4,0),"")</f>
        <v/>
      </c>
    </row>
    <row r="854" spans="27:41" ht="16.5" x14ac:dyDescent="0.2">
      <c r="AA854" s="104">
        <v>850</v>
      </c>
      <c r="AB854" s="14">
        <f t="shared" si="198"/>
        <v>17</v>
      </c>
      <c r="AC854" s="14">
        <f>INDEX(挂机升级突破!$BU$6:$BU$57,卡牌消耗!AI854)</f>
        <v>11</v>
      </c>
      <c r="AD854" s="14">
        <f>INDEX(挂机升级突破!BV$6:BV$57,卡牌消耗!$AI854)</f>
        <v>3</v>
      </c>
      <c r="AE854" s="14">
        <f>INDEX(挂机升级突破!BW$6:BW$57,卡牌消耗!$AI854)</f>
        <v>0</v>
      </c>
      <c r="AF854" s="14" t="str">
        <f t="shared" si="199"/>
        <v>飞廉</v>
      </c>
      <c r="AG854" s="14">
        <f t="shared" si="200"/>
        <v>3</v>
      </c>
      <c r="AH854" s="14" t="str">
        <f t="shared" si="201"/>
        <v>飞廉魂火-18</v>
      </c>
      <c r="AI854" s="14">
        <f t="shared" si="202"/>
        <v>18</v>
      </c>
      <c r="AJ854" s="14" t="str">
        <f>INDEX(挂机升级突破!$BX$4:$CH$4,INDEX(挂机升级突破!$BU$6:$BU$57,卡牌消耗!AI854))</f>
        <v>金币</v>
      </c>
      <c r="AK854" s="14">
        <f>ROUND(INDEX(挂机升级突破!$BN$6:$BN$57,卡牌消耗!AI854)*INDEX(卡牌消耗!$B$8:$F$8,AG854)/$Q$4/50,0)*50</f>
        <v>3200</v>
      </c>
      <c r="AL854" s="14" t="str">
        <f>IF(AD854&gt;0,INDEX(挂机升级突破!$BX$4:$CH$4,AD854),"")</f>
        <v>紫色基础材料</v>
      </c>
      <c r="AM854" s="14">
        <f>ROUND(INDEX(挂机升级突破!$BX$6:$CH$57,卡牌消耗!AI854,AD854)*INDEX(卡牌消耗!$B$5:$F$5,AG854)/$Q$4/5,0)*5</f>
        <v>335</v>
      </c>
      <c r="AN854" s="14" t="str">
        <f>IF(AE854&gt;0,INDEX(挂机升级突破!$BX$4:$CH$4,AE854),"")</f>
        <v/>
      </c>
      <c r="AO854" s="14" t="str">
        <f>IF(AE854&gt;0,ROUND(INDEX(挂机升级突破!$BX$6:$CH$57,卡牌消耗!AI854,AE854)*INDEX(卡牌消耗!$B$7:$F$7,AG854)/$Q$4,0),"")</f>
        <v/>
      </c>
    </row>
    <row r="855" spans="27:41" ht="16.5" x14ac:dyDescent="0.2">
      <c r="AA855" s="104">
        <v>851</v>
      </c>
      <c r="AB855" s="14">
        <f t="shared" si="198"/>
        <v>17</v>
      </c>
      <c r="AC855" s="14">
        <f>INDEX(挂机升级突破!$BU$6:$BU$57,卡牌消耗!AI855)</f>
        <v>11</v>
      </c>
      <c r="AD855" s="14">
        <f>INDEX(挂机升级突破!BV$6:BV$57,卡牌消耗!$AI855)</f>
        <v>3</v>
      </c>
      <c r="AE855" s="14">
        <f>INDEX(挂机升级突破!BW$6:BW$57,卡牌消耗!$AI855)</f>
        <v>0</v>
      </c>
      <c r="AF855" s="14" t="str">
        <f t="shared" si="199"/>
        <v>飞廉</v>
      </c>
      <c r="AG855" s="14">
        <f t="shared" si="200"/>
        <v>3</v>
      </c>
      <c r="AH855" s="14" t="str">
        <f t="shared" si="201"/>
        <v>飞廉魂火-19</v>
      </c>
      <c r="AI855" s="14">
        <f t="shared" si="202"/>
        <v>19</v>
      </c>
      <c r="AJ855" s="14" t="str">
        <f>INDEX(挂机升级突破!$BX$4:$CH$4,INDEX(挂机升级突破!$BU$6:$BU$57,卡牌消耗!AI855))</f>
        <v>金币</v>
      </c>
      <c r="AK855" s="14">
        <f>ROUND(INDEX(挂机升级突破!$BN$6:$BN$57,卡牌消耗!AI855)*INDEX(卡牌消耗!$B$8:$F$8,AG855)/$Q$4/50,0)*50</f>
        <v>3200</v>
      </c>
      <c r="AL855" s="14" t="str">
        <f>IF(AD855&gt;0,INDEX(挂机升级突破!$BX$4:$CH$4,AD855),"")</f>
        <v>紫色基础材料</v>
      </c>
      <c r="AM855" s="14">
        <f>ROUND(INDEX(挂机升级突破!$BX$6:$CH$57,卡牌消耗!AI855,AD855)*INDEX(卡牌消耗!$B$5:$F$5,AG855)/$Q$4/5,0)*5</f>
        <v>335</v>
      </c>
      <c r="AN855" s="14" t="str">
        <f>IF(AE855&gt;0,INDEX(挂机升级突破!$BX$4:$CH$4,AE855),"")</f>
        <v/>
      </c>
      <c r="AO855" s="14" t="str">
        <f>IF(AE855&gt;0,ROUND(INDEX(挂机升级突破!$BX$6:$CH$57,卡牌消耗!AI855,AE855)*INDEX(卡牌消耗!$B$7:$F$7,AG855)/$Q$4,0),"")</f>
        <v/>
      </c>
    </row>
    <row r="856" spans="27:41" ht="16.5" x14ac:dyDescent="0.2">
      <c r="AA856" s="104">
        <v>852</v>
      </c>
      <c r="AB856" s="14">
        <f t="shared" si="198"/>
        <v>17</v>
      </c>
      <c r="AC856" s="14">
        <f>INDEX(挂机升级突破!$BU$6:$BU$57,卡牌消耗!AI856)</f>
        <v>11</v>
      </c>
      <c r="AD856" s="14">
        <f>INDEX(挂机升级突破!BV$6:BV$57,卡牌消耗!$AI856)</f>
        <v>3</v>
      </c>
      <c r="AE856" s="14">
        <f>INDEX(挂机升级突破!BW$6:BW$57,卡牌消耗!$AI856)</f>
        <v>0</v>
      </c>
      <c r="AF856" s="14" t="str">
        <f t="shared" si="199"/>
        <v>飞廉</v>
      </c>
      <c r="AG856" s="14">
        <f t="shared" si="200"/>
        <v>3</v>
      </c>
      <c r="AH856" s="14" t="str">
        <f t="shared" si="201"/>
        <v>飞廉魂火-20</v>
      </c>
      <c r="AI856" s="14">
        <f t="shared" si="202"/>
        <v>20</v>
      </c>
      <c r="AJ856" s="14" t="str">
        <f>INDEX(挂机升级突破!$BX$4:$CH$4,INDEX(挂机升级突破!$BU$6:$BU$57,卡牌消耗!AI856))</f>
        <v>金币</v>
      </c>
      <c r="AK856" s="14">
        <f>ROUND(INDEX(挂机升级突破!$BN$6:$BN$57,卡牌消耗!AI856)*INDEX(卡牌消耗!$B$8:$F$8,AG856)/$Q$4/50,0)*50</f>
        <v>3900</v>
      </c>
      <c r="AL856" s="14" t="str">
        <f>IF(AD856&gt;0,INDEX(挂机升级突破!$BX$4:$CH$4,AD856),"")</f>
        <v>紫色基础材料</v>
      </c>
      <c r="AM856" s="14">
        <f>ROUND(INDEX(挂机升级突破!$BX$6:$CH$57,卡牌消耗!AI856,AD856)*INDEX(卡牌消耗!$B$5:$F$5,AG856)/$Q$4/5,0)*5</f>
        <v>505</v>
      </c>
      <c r="AN856" s="14" t="str">
        <f>IF(AE856&gt;0,INDEX(挂机升级突破!$BX$4:$CH$4,AE856),"")</f>
        <v/>
      </c>
      <c r="AO856" s="14" t="str">
        <f>IF(AE856&gt;0,ROUND(INDEX(挂机升级突破!$BX$6:$CH$57,卡牌消耗!AI856,AE856)*INDEX(卡牌消耗!$B$7:$F$7,AG856)/$Q$4,0),"")</f>
        <v/>
      </c>
    </row>
    <row r="857" spans="27:41" ht="16.5" x14ac:dyDescent="0.2">
      <c r="AA857" s="104">
        <v>853</v>
      </c>
      <c r="AB857" s="14">
        <f t="shared" si="198"/>
        <v>17</v>
      </c>
      <c r="AC857" s="14">
        <f>INDEX(挂机升级突破!$BU$6:$BU$57,卡牌消耗!AI857)</f>
        <v>11</v>
      </c>
      <c r="AD857" s="14">
        <f>INDEX(挂机升级突破!BV$6:BV$57,卡牌消耗!$AI857)</f>
        <v>3</v>
      </c>
      <c r="AE857" s="14">
        <f>INDEX(挂机升级突破!BW$6:BW$57,卡牌消耗!$AI857)</f>
        <v>0</v>
      </c>
      <c r="AF857" s="14" t="str">
        <f t="shared" si="199"/>
        <v>飞廉</v>
      </c>
      <c r="AG857" s="14">
        <f t="shared" si="200"/>
        <v>3</v>
      </c>
      <c r="AH857" s="14" t="str">
        <f t="shared" si="201"/>
        <v>飞廉魂火-21</v>
      </c>
      <c r="AI857" s="14">
        <f t="shared" si="202"/>
        <v>21</v>
      </c>
      <c r="AJ857" s="14" t="str">
        <f>INDEX(挂机升级突破!$BX$4:$CH$4,INDEX(挂机升级突破!$BU$6:$BU$57,卡牌消耗!AI857))</f>
        <v>金币</v>
      </c>
      <c r="AK857" s="14">
        <f>ROUND(INDEX(挂机升级突破!$BN$6:$BN$57,卡牌消耗!AI857)*INDEX(卡牌消耗!$B$8:$F$8,AG857)/$Q$4/50,0)*50</f>
        <v>3900</v>
      </c>
      <c r="AL857" s="14" t="str">
        <f>IF(AD857&gt;0,INDEX(挂机升级突破!$BX$4:$CH$4,AD857),"")</f>
        <v>紫色基础材料</v>
      </c>
      <c r="AM857" s="14">
        <f>ROUND(INDEX(挂机升级突破!$BX$6:$CH$57,卡牌消耗!AI857,AD857)*INDEX(卡牌消耗!$B$5:$F$5,AG857)/$Q$4/5,0)*5</f>
        <v>505</v>
      </c>
      <c r="AN857" s="14" t="str">
        <f>IF(AE857&gt;0,INDEX(挂机升级突破!$BX$4:$CH$4,AE857),"")</f>
        <v/>
      </c>
      <c r="AO857" s="14" t="str">
        <f>IF(AE857&gt;0,ROUND(INDEX(挂机升级突破!$BX$6:$CH$57,卡牌消耗!AI857,AE857)*INDEX(卡牌消耗!$B$7:$F$7,AG857)/$Q$4,0),"")</f>
        <v/>
      </c>
    </row>
    <row r="858" spans="27:41" ht="16.5" x14ac:dyDescent="0.2">
      <c r="AA858" s="104">
        <v>854</v>
      </c>
      <c r="AB858" s="14">
        <f t="shared" si="198"/>
        <v>17</v>
      </c>
      <c r="AC858" s="14">
        <f>INDEX(挂机升级突破!$BU$6:$BU$57,卡牌消耗!AI858)</f>
        <v>11</v>
      </c>
      <c r="AD858" s="14">
        <f>INDEX(挂机升级突破!BV$6:BV$57,卡牌消耗!$AI858)</f>
        <v>3</v>
      </c>
      <c r="AE858" s="14">
        <f>INDEX(挂机升级突破!BW$6:BW$57,卡牌消耗!$AI858)</f>
        <v>0</v>
      </c>
      <c r="AF858" s="14" t="str">
        <f t="shared" si="199"/>
        <v>飞廉</v>
      </c>
      <c r="AG858" s="14">
        <f t="shared" si="200"/>
        <v>3</v>
      </c>
      <c r="AH858" s="14" t="str">
        <f t="shared" si="201"/>
        <v>飞廉魂火-22</v>
      </c>
      <c r="AI858" s="14">
        <f t="shared" si="202"/>
        <v>22</v>
      </c>
      <c r="AJ858" s="14" t="str">
        <f>INDEX(挂机升级突破!$BX$4:$CH$4,INDEX(挂机升级突破!$BU$6:$BU$57,卡牌消耗!AI858))</f>
        <v>金币</v>
      </c>
      <c r="AK858" s="14">
        <f>ROUND(INDEX(挂机升级突破!$BN$6:$BN$57,卡牌消耗!AI858)*INDEX(卡牌消耗!$B$8:$F$8,AG858)/$Q$4/50,0)*50</f>
        <v>3900</v>
      </c>
      <c r="AL858" s="14" t="str">
        <f>IF(AD858&gt;0,INDEX(挂机升级突破!$BX$4:$CH$4,AD858),"")</f>
        <v>紫色基础材料</v>
      </c>
      <c r="AM858" s="14">
        <f>ROUND(INDEX(挂机升级突破!$BX$6:$CH$57,卡牌消耗!AI858,AD858)*INDEX(卡牌消耗!$B$5:$F$5,AG858)/$Q$4/5,0)*5</f>
        <v>505</v>
      </c>
      <c r="AN858" s="14" t="str">
        <f>IF(AE858&gt;0,INDEX(挂机升级突破!$BX$4:$CH$4,AE858),"")</f>
        <v/>
      </c>
      <c r="AO858" s="14" t="str">
        <f>IF(AE858&gt;0,ROUND(INDEX(挂机升级突破!$BX$6:$CH$57,卡牌消耗!AI858,AE858)*INDEX(卡牌消耗!$B$7:$F$7,AG858)/$Q$4,0),"")</f>
        <v/>
      </c>
    </row>
    <row r="859" spans="27:41" ht="16.5" x14ac:dyDescent="0.2">
      <c r="AA859" s="104">
        <v>855</v>
      </c>
      <c r="AB859" s="14">
        <f t="shared" si="198"/>
        <v>17</v>
      </c>
      <c r="AC859" s="14">
        <f>INDEX(挂机升级突破!$BU$6:$BU$57,卡牌消耗!AI859)</f>
        <v>11</v>
      </c>
      <c r="AD859" s="14">
        <f>INDEX(挂机升级突破!BV$6:BV$57,卡牌消耗!$AI859)</f>
        <v>4</v>
      </c>
      <c r="AE859" s="14">
        <f>INDEX(挂机升级突破!BW$6:BW$57,卡牌消耗!$AI859)</f>
        <v>0</v>
      </c>
      <c r="AF859" s="14" t="str">
        <f t="shared" si="199"/>
        <v>飞廉</v>
      </c>
      <c r="AG859" s="14">
        <f t="shared" si="200"/>
        <v>3</v>
      </c>
      <c r="AH859" s="14" t="str">
        <f t="shared" si="201"/>
        <v>飞廉魂火-23</v>
      </c>
      <c r="AI859" s="14">
        <f t="shared" si="202"/>
        <v>23</v>
      </c>
      <c r="AJ859" s="14" t="str">
        <f>INDEX(挂机升级突破!$BX$4:$CH$4,INDEX(挂机升级突破!$BU$6:$BU$57,卡牌消耗!AI859))</f>
        <v>金币</v>
      </c>
      <c r="AK859" s="14">
        <f>ROUND(INDEX(挂机升级突破!$BN$6:$BN$57,卡牌消耗!AI859)*INDEX(卡牌消耗!$B$8:$F$8,AG859)/$Q$4/50,0)*50</f>
        <v>5350</v>
      </c>
      <c r="AL859" s="14" t="str">
        <f>IF(AD859&gt;0,INDEX(挂机升级突破!$BX$4:$CH$4,AD859),"")</f>
        <v>橙色基础材料</v>
      </c>
      <c r="AM859" s="14">
        <f>ROUND(INDEX(挂机升级突破!$BX$6:$CH$57,卡牌消耗!AI859,AD859)*INDEX(卡牌消耗!$B$5:$F$5,AG859)/$Q$4/5,0)*5</f>
        <v>70</v>
      </c>
      <c r="AN859" s="14" t="str">
        <f>IF(AE859&gt;0,INDEX(挂机升级突破!$BX$4:$CH$4,AE859),"")</f>
        <v/>
      </c>
      <c r="AO859" s="14" t="str">
        <f>IF(AE859&gt;0,ROUND(INDEX(挂机升级突破!$BX$6:$CH$57,卡牌消耗!AI859,AE859)*INDEX(卡牌消耗!$B$7:$F$7,AG859)/$Q$4,0),"")</f>
        <v/>
      </c>
    </row>
    <row r="860" spans="27:41" ht="16.5" x14ac:dyDescent="0.2">
      <c r="AA860" s="104">
        <v>856</v>
      </c>
      <c r="AB860" s="14">
        <f t="shared" si="198"/>
        <v>17</v>
      </c>
      <c r="AC860" s="14">
        <f>INDEX(挂机升级突破!$BU$6:$BU$57,卡牌消耗!AI860)</f>
        <v>11</v>
      </c>
      <c r="AD860" s="14">
        <f>INDEX(挂机升级突破!BV$6:BV$57,卡牌消耗!$AI860)</f>
        <v>4</v>
      </c>
      <c r="AE860" s="14">
        <f>INDEX(挂机升级突破!BW$6:BW$57,卡牌消耗!$AI860)</f>
        <v>0</v>
      </c>
      <c r="AF860" s="14" t="str">
        <f t="shared" si="199"/>
        <v>飞廉</v>
      </c>
      <c r="AG860" s="14">
        <f t="shared" si="200"/>
        <v>3</v>
      </c>
      <c r="AH860" s="14" t="str">
        <f t="shared" si="201"/>
        <v>飞廉魂火-24</v>
      </c>
      <c r="AI860" s="14">
        <f t="shared" si="202"/>
        <v>24</v>
      </c>
      <c r="AJ860" s="14" t="str">
        <f>INDEX(挂机升级突破!$BX$4:$CH$4,INDEX(挂机升级突破!$BU$6:$BU$57,卡牌消耗!AI860))</f>
        <v>金币</v>
      </c>
      <c r="AK860" s="14">
        <f>ROUND(INDEX(挂机升级突破!$BN$6:$BN$57,卡牌消耗!AI860)*INDEX(卡牌消耗!$B$8:$F$8,AG860)/$Q$4/50,0)*50</f>
        <v>5350</v>
      </c>
      <c r="AL860" s="14" t="str">
        <f>IF(AD860&gt;0,INDEX(挂机升级突破!$BX$4:$CH$4,AD860),"")</f>
        <v>橙色基础材料</v>
      </c>
      <c r="AM860" s="14">
        <f>ROUND(INDEX(挂机升级突破!$BX$6:$CH$57,卡牌消耗!AI860,AD860)*INDEX(卡牌消耗!$B$5:$F$5,AG860)/$Q$4/5,0)*5</f>
        <v>70</v>
      </c>
      <c r="AN860" s="14" t="str">
        <f>IF(AE860&gt;0,INDEX(挂机升级突破!$BX$4:$CH$4,AE860),"")</f>
        <v/>
      </c>
      <c r="AO860" s="14" t="str">
        <f>IF(AE860&gt;0,ROUND(INDEX(挂机升级突破!$BX$6:$CH$57,卡牌消耗!AI860,AE860)*INDEX(卡牌消耗!$B$7:$F$7,AG860)/$Q$4,0),"")</f>
        <v/>
      </c>
    </row>
    <row r="861" spans="27:41" ht="16.5" x14ac:dyDescent="0.2">
      <c r="AA861" s="104">
        <v>857</v>
      </c>
      <c r="AB861" s="14">
        <f t="shared" si="198"/>
        <v>17</v>
      </c>
      <c r="AC861" s="14">
        <f>INDEX(挂机升级突破!$BU$6:$BU$57,卡牌消耗!AI861)</f>
        <v>11</v>
      </c>
      <c r="AD861" s="14">
        <f>INDEX(挂机升级突破!BV$6:BV$57,卡牌消耗!$AI861)</f>
        <v>4</v>
      </c>
      <c r="AE861" s="14">
        <f>INDEX(挂机升级突破!BW$6:BW$57,卡牌消耗!$AI861)</f>
        <v>0</v>
      </c>
      <c r="AF861" s="14" t="str">
        <f t="shared" si="199"/>
        <v>飞廉</v>
      </c>
      <c r="AG861" s="14">
        <f t="shared" si="200"/>
        <v>3</v>
      </c>
      <c r="AH861" s="14" t="str">
        <f t="shared" si="201"/>
        <v>飞廉魂火-25</v>
      </c>
      <c r="AI861" s="14">
        <f t="shared" si="202"/>
        <v>25</v>
      </c>
      <c r="AJ861" s="14" t="str">
        <f>INDEX(挂机升级突破!$BX$4:$CH$4,INDEX(挂机升级突破!$BU$6:$BU$57,卡牌消耗!AI861))</f>
        <v>金币</v>
      </c>
      <c r="AK861" s="14">
        <f>ROUND(INDEX(挂机升级突破!$BN$6:$BN$57,卡牌消耗!AI861)*INDEX(卡牌消耗!$B$8:$F$8,AG861)/$Q$4/50,0)*50</f>
        <v>5850</v>
      </c>
      <c r="AL861" s="14" t="str">
        <f>IF(AD861&gt;0,INDEX(挂机升级突破!$BX$4:$CH$4,AD861),"")</f>
        <v>橙色基础材料</v>
      </c>
      <c r="AM861" s="14">
        <f>ROUND(INDEX(挂机升级突破!$BX$6:$CH$57,卡牌消耗!AI861,AD861)*INDEX(卡牌消耗!$B$5:$F$5,AG861)/$Q$4/5,0)*5</f>
        <v>70</v>
      </c>
      <c r="AN861" s="14" t="str">
        <f>IF(AE861&gt;0,INDEX(挂机升级突破!$BX$4:$CH$4,AE861),"")</f>
        <v/>
      </c>
      <c r="AO861" s="14" t="str">
        <f>IF(AE861&gt;0,ROUND(INDEX(挂机升级突破!$BX$6:$CH$57,卡牌消耗!AI861,AE861)*INDEX(卡牌消耗!$B$7:$F$7,AG861)/$Q$4,0),"")</f>
        <v/>
      </c>
    </row>
    <row r="862" spans="27:41" ht="16.5" x14ac:dyDescent="0.2">
      <c r="AA862" s="104">
        <v>858</v>
      </c>
      <c r="AB862" s="14">
        <f t="shared" si="198"/>
        <v>17</v>
      </c>
      <c r="AC862" s="14">
        <f>INDEX(挂机升级突破!$BU$6:$BU$57,卡牌消耗!AI862)</f>
        <v>11</v>
      </c>
      <c r="AD862" s="14">
        <f>INDEX(挂机升级突破!BV$6:BV$57,卡牌消耗!$AI862)</f>
        <v>4</v>
      </c>
      <c r="AE862" s="14">
        <f>INDEX(挂机升级突破!BW$6:BW$57,卡牌消耗!$AI862)</f>
        <v>0</v>
      </c>
      <c r="AF862" s="14" t="str">
        <f t="shared" si="199"/>
        <v>飞廉</v>
      </c>
      <c r="AG862" s="14">
        <f t="shared" si="200"/>
        <v>3</v>
      </c>
      <c r="AH862" s="14" t="str">
        <f t="shared" si="201"/>
        <v>飞廉魂火-26</v>
      </c>
      <c r="AI862" s="14">
        <f t="shared" si="202"/>
        <v>26</v>
      </c>
      <c r="AJ862" s="14" t="str">
        <f>INDEX(挂机升级突破!$BX$4:$CH$4,INDEX(挂机升级突破!$BU$6:$BU$57,卡牌消耗!AI862))</f>
        <v>金币</v>
      </c>
      <c r="AK862" s="14">
        <f>ROUND(INDEX(挂机升级突破!$BN$6:$BN$57,卡牌消耗!AI862)*INDEX(卡牌消耗!$B$8:$F$8,AG862)/$Q$4/50,0)*50</f>
        <v>6850</v>
      </c>
      <c r="AL862" s="14" t="str">
        <f>IF(AD862&gt;0,INDEX(挂机升级突破!$BX$4:$CH$4,AD862),"")</f>
        <v>橙色基础材料</v>
      </c>
      <c r="AM862" s="14">
        <f>ROUND(INDEX(挂机升级突破!$BX$6:$CH$57,卡牌消耗!AI862,AD862)*INDEX(卡牌消耗!$B$5:$F$5,AG862)/$Q$4/5,0)*5</f>
        <v>85</v>
      </c>
      <c r="AN862" s="14" t="str">
        <f>IF(AE862&gt;0,INDEX(挂机升级突破!$BX$4:$CH$4,AE862),"")</f>
        <v/>
      </c>
      <c r="AO862" s="14" t="str">
        <f>IF(AE862&gt;0,ROUND(INDEX(挂机升级突破!$BX$6:$CH$57,卡牌消耗!AI862,AE862)*INDEX(卡牌消耗!$B$7:$F$7,AG862)/$Q$4,0),"")</f>
        <v/>
      </c>
    </row>
    <row r="863" spans="27:41" ht="16.5" x14ac:dyDescent="0.2">
      <c r="AA863" s="104">
        <v>859</v>
      </c>
      <c r="AB863" s="14">
        <f t="shared" si="198"/>
        <v>17</v>
      </c>
      <c r="AC863" s="14">
        <f>INDEX(挂机升级突破!$BU$6:$BU$57,卡牌消耗!AI863)</f>
        <v>11</v>
      </c>
      <c r="AD863" s="14">
        <f>INDEX(挂机升级突破!BV$6:BV$57,卡牌消耗!$AI863)</f>
        <v>4</v>
      </c>
      <c r="AE863" s="14">
        <f>INDEX(挂机升级突破!BW$6:BW$57,卡牌消耗!$AI863)</f>
        <v>0</v>
      </c>
      <c r="AF863" s="14" t="str">
        <f t="shared" si="199"/>
        <v>飞廉</v>
      </c>
      <c r="AG863" s="14">
        <f t="shared" si="200"/>
        <v>3</v>
      </c>
      <c r="AH863" s="14" t="str">
        <f t="shared" si="201"/>
        <v>飞廉魂火-27</v>
      </c>
      <c r="AI863" s="14">
        <f t="shared" si="202"/>
        <v>27</v>
      </c>
      <c r="AJ863" s="14" t="str">
        <f>INDEX(挂机升级突破!$BX$4:$CH$4,INDEX(挂机升级突破!$BU$6:$BU$57,卡牌消耗!AI863))</f>
        <v>金币</v>
      </c>
      <c r="AK863" s="14">
        <f>ROUND(INDEX(挂机升级突破!$BN$6:$BN$57,卡牌消耗!AI863)*INDEX(卡牌消耗!$B$8:$F$8,AG863)/$Q$4/50,0)*50</f>
        <v>6850</v>
      </c>
      <c r="AL863" s="14" t="str">
        <f>IF(AD863&gt;0,INDEX(挂机升级突破!$BX$4:$CH$4,AD863),"")</f>
        <v>橙色基础材料</v>
      </c>
      <c r="AM863" s="14">
        <f>ROUND(INDEX(挂机升级突破!$BX$6:$CH$57,卡牌消耗!AI863,AD863)*INDEX(卡牌消耗!$B$5:$F$5,AG863)/$Q$4/5,0)*5</f>
        <v>85</v>
      </c>
      <c r="AN863" s="14" t="str">
        <f>IF(AE863&gt;0,INDEX(挂机升级突破!$BX$4:$CH$4,AE863),"")</f>
        <v/>
      </c>
      <c r="AO863" s="14" t="str">
        <f>IF(AE863&gt;0,ROUND(INDEX(挂机升级突破!$BX$6:$CH$57,卡牌消耗!AI863,AE863)*INDEX(卡牌消耗!$B$7:$F$7,AG863)/$Q$4,0),"")</f>
        <v/>
      </c>
    </row>
    <row r="864" spans="27:41" ht="16.5" x14ac:dyDescent="0.2">
      <c r="AA864" s="104">
        <v>860</v>
      </c>
      <c r="AB864" s="14">
        <f t="shared" si="198"/>
        <v>17</v>
      </c>
      <c r="AC864" s="14">
        <f>INDEX(挂机升级突破!$BU$6:$BU$57,卡牌消耗!AI864)</f>
        <v>11</v>
      </c>
      <c r="AD864" s="14">
        <f>INDEX(挂机升级突破!BV$6:BV$57,卡牌消耗!$AI864)</f>
        <v>4</v>
      </c>
      <c r="AE864" s="14">
        <f>INDEX(挂机升级突破!BW$6:BW$57,卡牌消耗!$AI864)</f>
        <v>0</v>
      </c>
      <c r="AF864" s="14" t="str">
        <f t="shared" si="199"/>
        <v>飞廉</v>
      </c>
      <c r="AG864" s="14">
        <f t="shared" si="200"/>
        <v>3</v>
      </c>
      <c r="AH864" s="14" t="str">
        <f t="shared" si="201"/>
        <v>飞廉魂火-28</v>
      </c>
      <c r="AI864" s="14">
        <f t="shared" si="202"/>
        <v>28</v>
      </c>
      <c r="AJ864" s="14" t="str">
        <f>INDEX(挂机升级突破!$BX$4:$CH$4,INDEX(挂机升级突破!$BU$6:$BU$57,卡牌消耗!AI864))</f>
        <v>金币</v>
      </c>
      <c r="AK864" s="14">
        <f>ROUND(INDEX(挂机升级突破!$BN$6:$BN$57,卡牌消耗!AI864)*INDEX(卡牌消耗!$B$8:$F$8,AG864)/$Q$4/50,0)*50</f>
        <v>6850</v>
      </c>
      <c r="AL864" s="14" t="str">
        <f>IF(AD864&gt;0,INDEX(挂机升级突破!$BX$4:$CH$4,AD864),"")</f>
        <v>橙色基础材料</v>
      </c>
      <c r="AM864" s="14">
        <f>ROUND(INDEX(挂机升级突破!$BX$6:$CH$57,卡牌消耗!AI864,AD864)*INDEX(卡牌消耗!$B$5:$F$5,AG864)/$Q$4/5,0)*5</f>
        <v>85</v>
      </c>
      <c r="AN864" s="14" t="str">
        <f>IF(AE864&gt;0,INDEX(挂机升级突破!$BX$4:$CH$4,AE864),"")</f>
        <v/>
      </c>
      <c r="AO864" s="14" t="str">
        <f>IF(AE864&gt;0,ROUND(INDEX(挂机升级突破!$BX$6:$CH$57,卡牌消耗!AI864,AE864)*INDEX(卡牌消耗!$B$7:$F$7,AG864)/$Q$4,0),"")</f>
        <v/>
      </c>
    </row>
    <row r="865" spans="27:41" ht="16.5" x14ac:dyDescent="0.2">
      <c r="AA865" s="104">
        <v>861</v>
      </c>
      <c r="AB865" s="14">
        <f t="shared" si="198"/>
        <v>17</v>
      </c>
      <c r="AC865" s="14">
        <f>INDEX(挂机升级突破!$BU$6:$BU$57,卡牌消耗!AI865)</f>
        <v>11</v>
      </c>
      <c r="AD865" s="14">
        <f>INDEX(挂机升级突破!BV$6:BV$57,卡牌消耗!$AI865)</f>
        <v>4</v>
      </c>
      <c r="AE865" s="14">
        <f>INDEX(挂机升级突破!BW$6:BW$57,卡牌消耗!$AI865)</f>
        <v>0</v>
      </c>
      <c r="AF865" s="14" t="str">
        <f t="shared" si="199"/>
        <v>飞廉</v>
      </c>
      <c r="AG865" s="14">
        <f t="shared" si="200"/>
        <v>3</v>
      </c>
      <c r="AH865" s="14" t="str">
        <f t="shared" si="201"/>
        <v>飞廉魂火-29</v>
      </c>
      <c r="AI865" s="14">
        <f t="shared" si="202"/>
        <v>29</v>
      </c>
      <c r="AJ865" s="14" t="str">
        <f>INDEX(挂机升级突破!$BX$4:$CH$4,INDEX(挂机升级突破!$BU$6:$BU$57,卡牌消耗!AI865))</f>
        <v>金币</v>
      </c>
      <c r="AK865" s="14">
        <f>ROUND(INDEX(挂机升级突破!$BN$6:$BN$57,卡牌消耗!AI865)*INDEX(卡牌消耗!$B$8:$F$8,AG865)/$Q$4/50,0)*50</f>
        <v>6900</v>
      </c>
      <c r="AL865" s="14" t="str">
        <f>IF(AD865&gt;0,INDEX(挂机升级突破!$BX$4:$CH$4,AD865),"")</f>
        <v>橙色基础材料</v>
      </c>
      <c r="AM865" s="14">
        <f>ROUND(INDEX(挂机升级突破!$BX$6:$CH$57,卡牌消耗!AI865,AD865)*INDEX(卡牌消耗!$B$5:$F$5,AG865)/$Q$4/5,0)*5</f>
        <v>100</v>
      </c>
      <c r="AN865" s="14" t="str">
        <f>IF(AE865&gt;0,INDEX(挂机升级突破!$BX$4:$CH$4,AE865),"")</f>
        <v/>
      </c>
      <c r="AO865" s="14" t="str">
        <f>IF(AE865&gt;0,ROUND(INDEX(挂机升级突破!$BX$6:$CH$57,卡牌消耗!AI865,AE865)*INDEX(卡牌消耗!$B$7:$F$7,AG865)/$Q$4,0),"")</f>
        <v/>
      </c>
    </row>
    <row r="866" spans="27:41" ht="16.5" x14ac:dyDescent="0.2">
      <c r="AA866" s="104">
        <v>862</v>
      </c>
      <c r="AB866" s="14">
        <f t="shared" si="198"/>
        <v>17</v>
      </c>
      <c r="AC866" s="14">
        <f>INDEX(挂机升级突破!$BU$6:$BU$57,卡牌消耗!AI866)</f>
        <v>11</v>
      </c>
      <c r="AD866" s="14">
        <f>INDEX(挂机升级突破!BV$6:BV$57,卡牌消耗!$AI866)</f>
        <v>4</v>
      </c>
      <c r="AE866" s="14">
        <f>INDEX(挂机升级突破!BW$6:BW$57,卡牌消耗!$AI866)</f>
        <v>0</v>
      </c>
      <c r="AF866" s="14" t="str">
        <f t="shared" si="199"/>
        <v>飞廉</v>
      </c>
      <c r="AG866" s="14">
        <f t="shared" si="200"/>
        <v>3</v>
      </c>
      <c r="AH866" s="14" t="str">
        <f t="shared" si="201"/>
        <v>飞廉魂火-30</v>
      </c>
      <c r="AI866" s="14">
        <f t="shared" si="202"/>
        <v>30</v>
      </c>
      <c r="AJ866" s="14" t="str">
        <f>INDEX(挂机升级突破!$BX$4:$CH$4,INDEX(挂机升级突破!$BU$6:$BU$57,卡牌消耗!AI866))</f>
        <v>金币</v>
      </c>
      <c r="AK866" s="14">
        <f>ROUND(INDEX(挂机升级突破!$BN$6:$BN$57,卡牌消耗!AI866)*INDEX(卡牌消耗!$B$8:$F$8,AG866)/$Q$4/50,0)*50</f>
        <v>6900</v>
      </c>
      <c r="AL866" s="14" t="str">
        <f>IF(AD866&gt;0,INDEX(挂机升级突破!$BX$4:$CH$4,AD866),"")</f>
        <v>橙色基础材料</v>
      </c>
      <c r="AM866" s="14">
        <f>ROUND(INDEX(挂机升级突破!$BX$6:$CH$57,卡牌消耗!AI866,AD866)*INDEX(卡牌消耗!$B$5:$F$5,AG866)/$Q$4/5,0)*5</f>
        <v>100</v>
      </c>
      <c r="AN866" s="14" t="str">
        <f>IF(AE866&gt;0,INDEX(挂机升级突破!$BX$4:$CH$4,AE866),"")</f>
        <v/>
      </c>
      <c r="AO866" s="14" t="str">
        <f>IF(AE866&gt;0,ROUND(INDEX(挂机升级突破!$BX$6:$CH$57,卡牌消耗!AI866,AE866)*INDEX(卡牌消耗!$B$7:$F$7,AG866)/$Q$4,0),"")</f>
        <v/>
      </c>
    </row>
    <row r="867" spans="27:41" ht="16.5" x14ac:dyDescent="0.2">
      <c r="AA867" s="104">
        <v>863</v>
      </c>
      <c r="AB867" s="14">
        <f t="shared" si="198"/>
        <v>17</v>
      </c>
      <c r="AC867" s="14">
        <f>INDEX(挂机升级突破!$BU$6:$BU$57,卡牌消耗!AI867)</f>
        <v>11</v>
      </c>
      <c r="AD867" s="14">
        <f>INDEX(挂机升级突破!BV$6:BV$57,卡牌消耗!$AI867)</f>
        <v>4</v>
      </c>
      <c r="AE867" s="14">
        <f>INDEX(挂机升级突破!BW$6:BW$57,卡牌消耗!$AI867)</f>
        <v>0</v>
      </c>
      <c r="AF867" s="14" t="str">
        <f t="shared" si="199"/>
        <v>飞廉</v>
      </c>
      <c r="AG867" s="14">
        <f t="shared" si="200"/>
        <v>3</v>
      </c>
      <c r="AH867" s="14" t="str">
        <f t="shared" si="201"/>
        <v>飞廉魂火-31</v>
      </c>
      <c r="AI867" s="14">
        <f t="shared" si="202"/>
        <v>31</v>
      </c>
      <c r="AJ867" s="14" t="str">
        <f>INDEX(挂机升级突破!$BX$4:$CH$4,INDEX(挂机升级突破!$BU$6:$BU$57,卡牌消耗!AI867))</f>
        <v>金币</v>
      </c>
      <c r="AK867" s="14">
        <f>ROUND(INDEX(挂机升级突破!$BN$6:$BN$57,卡牌消耗!AI867)*INDEX(卡牌消耗!$B$8:$F$8,AG867)/$Q$4/50,0)*50</f>
        <v>6900</v>
      </c>
      <c r="AL867" s="14" t="str">
        <f>IF(AD867&gt;0,INDEX(挂机升级突破!$BX$4:$CH$4,AD867),"")</f>
        <v>橙色基础材料</v>
      </c>
      <c r="AM867" s="14">
        <f>ROUND(INDEX(挂机升级突破!$BX$6:$CH$57,卡牌消耗!AI867,AD867)*INDEX(卡牌消耗!$B$5:$F$5,AG867)/$Q$4/5,0)*5</f>
        <v>100</v>
      </c>
      <c r="AN867" s="14" t="str">
        <f>IF(AE867&gt;0,INDEX(挂机升级突破!$BX$4:$CH$4,AE867),"")</f>
        <v/>
      </c>
      <c r="AO867" s="14" t="str">
        <f>IF(AE867&gt;0,ROUND(INDEX(挂机升级突破!$BX$6:$CH$57,卡牌消耗!AI867,AE867)*INDEX(卡牌消耗!$B$7:$F$7,AG867)/$Q$4,0),"")</f>
        <v/>
      </c>
    </row>
    <row r="868" spans="27:41" ht="16.5" x14ac:dyDescent="0.2">
      <c r="AA868" s="104">
        <v>864</v>
      </c>
      <c r="AB868" s="14">
        <f t="shared" si="198"/>
        <v>17</v>
      </c>
      <c r="AC868" s="14">
        <f>INDEX(挂机升级突破!$BU$6:$BU$57,卡牌消耗!AI868)</f>
        <v>11</v>
      </c>
      <c r="AD868" s="14">
        <f>INDEX(挂机升级突破!BV$6:BV$57,卡牌消耗!$AI868)</f>
        <v>4</v>
      </c>
      <c r="AE868" s="14">
        <f>INDEX(挂机升级突破!BW$6:BW$57,卡牌消耗!$AI868)</f>
        <v>0</v>
      </c>
      <c r="AF868" s="14" t="str">
        <f t="shared" si="199"/>
        <v>飞廉</v>
      </c>
      <c r="AG868" s="14">
        <f t="shared" si="200"/>
        <v>3</v>
      </c>
      <c r="AH868" s="14" t="str">
        <f t="shared" si="201"/>
        <v>飞廉魂火-32</v>
      </c>
      <c r="AI868" s="14">
        <f t="shared" si="202"/>
        <v>32</v>
      </c>
      <c r="AJ868" s="14" t="str">
        <f>INDEX(挂机升级突破!$BX$4:$CH$4,INDEX(挂机升级突破!$BU$6:$BU$57,卡牌消耗!AI868))</f>
        <v>金币</v>
      </c>
      <c r="AK868" s="14">
        <f>ROUND(INDEX(挂机升级突破!$BN$6:$BN$57,卡牌消耗!AI868)*INDEX(卡牌消耗!$B$8:$F$8,AG868)/$Q$4/50,0)*50</f>
        <v>9500</v>
      </c>
      <c r="AL868" s="14" t="str">
        <f>IF(AD868&gt;0,INDEX(挂机升级突破!$BX$4:$CH$4,AD868),"")</f>
        <v>橙色基础材料</v>
      </c>
      <c r="AM868" s="14">
        <f>ROUND(INDEX(挂机升级突破!$BX$6:$CH$57,卡牌消耗!AI868,AD868)*INDEX(卡牌消耗!$B$5:$F$5,AG868)/$Q$4/5,0)*5</f>
        <v>100</v>
      </c>
      <c r="AN868" s="14" t="str">
        <f>IF(AE868&gt;0,INDEX(挂机升级突破!$BX$4:$CH$4,AE868),"")</f>
        <v/>
      </c>
      <c r="AO868" s="14" t="str">
        <f>IF(AE868&gt;0,ROUND(INDEX(挂机升级突破!$BX$6:$CH$57,卡牌消耗!AI868,AE868)*INDEX(卡牌消耗!$B$7:$F$7,AG868)/$Q$4,0),"")</f>
        <v/>
      </c>
    </row>
    <row r="869" spans="27:41" ht="16.5" x14ac:dyDescent="0.2">
      <c r="AA869" s="104">
        <v>865</v>
      </c>
      <c r="AB869" s="14">
        <f t="shared" si="198"/>
        <v>17</v>
      </c>
      <c r="AC869" s="14">
        <f>INDEX(挂机升级突破!$BU$6:$BU$57,卡牌消耗!AI869)</f>
        <v>11</v>
      </c>
      <c r="AD869" s="14">
        <f>INDEX(挂机升级突破!BV$6:BV$57,卡牌消耗!$AI869)</f>
        <v>4</v>
      </c>
      <c r="AE869" s="14">
        <f>INDEX(挂机升级突破!BW$6:BW$57,卡牌消耗!$AI869)</f>
        <v>0</v>
      </c>
      <c r="AF869" s="14" t="str">
        <f t="shared" si="199"/>
        <v>飞廉</v>
      </c>
      <c r="AG869" s="14">
        <f t="shared" si="200"/>
        <v>3</v>
      </c>
      <c r="AH869" s="14" t="str">
        <f t="shared" si="201"/>
        <v>飞廉魂火-33</v>
      </c>
      <c r="AI869" s="14">
        <f t="shared" si="202"/>
        <v>33</v>
      </c>
      <c r="AJ869" s="14" t="str">
        <f>INDEX(挂机升级突破!$BX$4:$CH$4,INDEX(挂机升级突破!$BU$6:$BU$57,卡牌消耗!AI869))</f>
        <v>金币</v>
      </c>
      <c r="AK869" s="14">
        <f>ROUND(INDEX(挂机升级突破!$BN$6:$BN$57,卡牌消耗!AI869)*INDEX(卡牌消耗!$B$8:$F$8,AG869)/$Q$4/50,0)*50</f>
        <v>9500</v>
      </c>
      <c r="AL869" s="14" t="str">
        <f>IF(AD869&gt;0,INDEX(挂机升级突破!$BX$4:$CH$4,AD869),"")</f>
        <v>橙色基础材料</v>
      </c>
      <c r="AM869" s="14">
        <f>ROUND(INDEX(挂机升级突破!$BX$6:$CH$57,卡牌消耗!AI869,AD869)*INDEX(卡牌消耗!$B$5:$F$5,AG869)/$Q$4/5,0)*5</f>
        <v>100</v>
      </c>
      <c r="AN869" s="14" t="str">
        <f>IF(AE869&gt;0,INDEX(挂机升级突破!$BX$4:$CH$4,AE869),"")</f>
        <v/>
      </c>
      <c r="AO869" s="14" t="str">
        <f>IF(AE869&gt;0,ROUND(INDEX(挂机升级突破!$BX$6:$CH$57,卡牌消耗!AI869,AE869)*INDEX(卡牌消耗!$B$7:$F$7,AG869)/$Q$4,0),"")</f>
        <v/>
      </c>
    </row>
    <row r="870" spans="27:41" ht="16.5" x14ac:dyDescent="0.2">
      <c r="AA870" s="104">
        <v>866</v>
      </c>
      <c r="AB870" s="14">
        <f t="shared" si="198"/>
        <v>17</v>
      </c>
      <c r="AC870" s="14">
        <f>INDEX(挂机升级突破!$BU$6:$BU$57,卡牌消耗!AI870)</f>
        <v>11</v>
      </c>
      <c r="AD870" s="14">
        <f>INDEX(挂机升级突破!BV$6:BV$57,卡牌消耗!$AI870)</f>
        <v>4</v>
      </c>
      <c r="AE870" s="14">
        <f>INDEX(挂机升级突破!BW$6:BW$57,卡牌消耗!$AI870)</f>
        <v>0</v>
      </c>
      <c r="AF870" s="14" t="str">
        <f t="shared" si="199"/>
        <v>飞廉</v>
      </c>
      <c r="AG870" s="14">
        <f t="shared" si="200"/>
        <v>3</v>
      </c>
      <c r="AH870" s="14" t="str">
        <f t="shared" si="201"/>
        <v>飞廉魂火-34</v>
      </c>
      <c r="AI870" s="14">
        <f t="shared" si="202"/>
        <v>34</v>
      </c>
      <c r="AJ870" s="14" t="str">
        <f>INDEX(挂机升级突破!$BX$4:$CH$4,INDEX(挂机升级突破!$BU$6:$BU$57,卡牌消耗!AI870))</f>
        <v>金币</v>
      </c>
      <c r="AK870" s="14">
        <f>ROUND(INDEX(挂机升级突破!$BN$6:$BN$57,卡牌消耗!AI870)*INDEX(卡牌消耗!$B$8:$F$8,AG870)/$Q$4/50,0)*50</f>
        <v>9500</v>
      </c>
      <c r="AL870" s="14" t="str">
        <f>IF(AD870&gt;0,INDEX(挂机升级突破!$BX$4:$CH$4,AD870),"")</f>
        <v>橙色基础材料</v>
      </c>
      <c r="AM870" s="14">
        <f>ROUND(INDEX(挂机升级突破!$BX$6:$CH$57,卡牌消耗!AI870,AD870)*INDEX(卡牌消耗!$B$5:$F$5,AG870)/$Q$4/5,0)*5</f>
        <v>110</v>
      </c>
      <c r="AN870" s="14" t="str">
        <f>IF(AE870&gt;0,INDEX(挂机升级突破!$BX$4:$CH$4,AE870),"")</f>
        <v/>
      </c>
      <c r="AO870" s="14" t="str">
        <f>IF(AE870&gt;0,ROUND(INDEX(挂机升级突破!$BX$6:$CH$57,卡牌消耗!AI870,AE870)*INDEX(卡牌消耗!$B$7:$F$7,AG870)/$Q$4,0),"")</f>
        <v/>
      </c>
    </row>
    <row r="871" spans="27:41" ht="16.5" x14ac:dyDescent="0.2">
      <c r="AA871" s="104">
        <v>867</v>
      </c>
      <c r="AB871" s="14">
        <f t="shared" si="198"/>
        <v>17</v>
      </c>
      <c r="AC871" s="14">
        <f>INDEX(挂机升级突破!$BU$6:$BU$57,卡牌消耗!AI871)</f>
        <v>11</v>
      </c>
      <c r="AD871" s="14">
        <f>INDEX(挂机升级突破!BV$6:BV$57,卡牌消耗!$AI871)</f>
        <v>4</v>
      </c>
      <c r="AE871" s="14">
        <f>INDEX(挂机升级突破!BW$6:BW$57,卡牌消耗!$AI871)</f>
        <v>0</v>
      </c>
      <c r="AF871" s="14" t="str">
        <f t="shared" si="199"/>
        <v>飞廉</v>
      </c>
      <c r="AG871" s="14">
        <f t="shared" si="200"/>
        <v>3</v>
      </c>
      <c r="AH871" s="14" t="str">
        <f t="shared" si="201"/>
        <v>飞廉魂火-35</v>
      </c>
      <c r="AI871" s="14">
        <f t="shared" si="202"/>
        <v>35</v>
      </c>
      <c r="AJ871" s="14" t="str">
        <f>INDEX(挂机升级突破!$BX$4:$CH$4,INDEX(挂机升级突破!$BU$6:$BU$57,卡牌消耗!AI871))</f>
        <v>金币</v>
      </c>
      <c r="AK871" s="14">
        <f>ROUND(INDEX(挂机升级突破!$BN$6:$BN$57,卡牌消耗!AI871)*INDEX(卡牌消耗!$B$8:$F$8,AG871)/$Q$4/50,0)*50</f>
        <v>12100</v>
      </c>
      <c r="AL871" s="14" t="str">
        <f>IF(AD871&gt;0,INDEX(挂机升级突破!$BX$4:$CH$4,AD871),"")</f>
        <v>橙色基础材料</v>
      </c>
      <c r="AM871" s="14">
        <f>ROUND(INDEX(挂机升级突破!$BX$6:$CH$57,卡牌消耗!AI871,AD871)*INDEX(卡牌消耗!$B$5:$F$5,AG871)/$Q$4/5,0)*5</f>
        <v>110</v>
      </c>
      <c r="AN871" s="14" t="str">
        <f>IF(AE871&gt;0,INDEX(挂机升级突破!$BX$4:$CH$4,AE871),"")</f>
        <v/>
      </c>
      <c r="AO871" s="14" t="str">
        <f>IF(AE871&gt;0,ROUND(INDEX(挂机升级突破!$BX$6:$CH$57,卡牌消耗!AI871,AE871)*INDEX(卡牌消耗!$B$7:$F$7,AG871)/$Q$4,0),"")</f>
        <v/>
      </c>
    </row>
    <row r="872" spans="27:41" ht="16.5" x14ac:dyDescent="0.2">
      <c r="AA872" s="104">
        <v>868</v>
      </c>
      <c r="AB872" s="14">
        <f t="shared" si="198"/>
        <v>17</v>
      </c>
      <c r="AC872" s="14">
        <f>INDEX(挂机升级突破!$BU$6:$BU$57,卡牌消耗!AI872)</f>
        <v>11</v>
      </c>
      <c r="AD872" s="14">
        <f>INDEX(挂机升级突破!BV$6:BV$57,卡牌消耗!$AI872)</f>
        <v>4</v>
      </c>
      <c r="AE872" s="14">
        <f>INDEX(挂机升级突破!BW$6:BW$57,卡牌消耗!$AI872)</f>
        <v>0</v>
      </c>
      <c r="AF872" s="14" t="str">
        <f t="shared" si="199"/>
        <v>飞廉</v>
      </c>
      <c r="AG872" s="14">
        <f t="shared" si="200"/>
        <v>3</v>
      </c>
      <c r="AH872" s="14" t="str">
        <f t="shared" si="201"/>
        <v>飞廉魂火-36</v>
      </c>
      <c r="AI872" s="14">
        <f t="shared" si="202"/>
        <v>36</v>
      </c>
      <c r="AJ872" s="14" t="str">
        <f>INDEX(挂机升级突破!$BX$4:$CH$4,INDEX(挂机升级突破!$BU$6:$BU$57,卡牌消耗!AI872))</f>
        <v>金币</v>
      </c>
      <c r="AK872" s="14">
        <f>ROUND(INDEX(挂机升级突破!$BN$6:$BN$57,卡牌消耗!AI872)*INDEX(卡牌消耗!$B$8:$F$8,AG872)/$Q$4/50,0)*50</f>
        <v>12100</v>
      </c>
      <c r="AL872" s="14" t="str">
        <f>IF(AD872&gt;0,INDEX(挂机升级突破!$BX$4:$CH$4,AD872),"")</f>
        <v>橙色基础材料</v>
      </c>
      <c r="AM872" s="14">
        <f>ROUND(INDEX(挂机升级突破!$BX$6:$CH$57,卡牌消耗!AI872,AD872)*INDEX(卡牌消耗!$B$5:$F$5,AG872)/$Q$4/5,0)*5</f>
        <v>110</v>
      </c>
      <c r="AN872" s="14" t="str">
        <f>IF(AE872&gt;0,INDEX(挂机升级突破!$BX$4:$CH$4,AE872),"")</f>
        <v/>
      </c>
      <c r="AO872" s="14" t="str">
        <f>IF(AE872&gt;0,ROUND(INDEX(挂机升级突破!$BX$6:$CH$57,卡牌消耗!AI872,AE872)*INDEX(卡牌消耗!$B$7:$F$7,AG872)/$Q$4,0),"")</f>
        <v/>
      </c>
    </row>
    <row r="873" spans="27:41" ht="16.5" x14ac:dyDescent="0.2">
      <c r="AA873" s="104">
        <v>869</v>
      </c>
      <c r="AB873" s="14">
        <f t="shared" si="198"/>
        <v>17</v>
      </c>
      <c r="AC873" s="14">
        <f>INDEX(挂机升级突破!$BU$6:$BU$57,卡牌消耗!AI873)</f>
        <v>11</v>
      </c>
      <c r="AD873" s="14">
        <f>INDEX(挂机升级突破!BV$6:BV$57,卡牌消耗!$AI873)</f>
        <v>4</v>
      </c>
      <c r="AE873" s="14">
        <f>INDEX(挂机升级突破!BW$6:BW$57,卡牌消耗!$AI873)</f>
        <v>0</v>
      </c>
      <c r="AF873" s="14" t="str">
        <f t="shared" si="199"/>
        <v>飞廉</v>
      </c>
      <c r="AG873" s="14">
        <f t="shared" si="200"/>
        <v>3</v>
      </c>
      <c r="AH873" s="14" t="str">
        <f t="shared" si="201"/>
        <v>飞廉魂火-37</v>
      </c>
      <c r="AI873" s="14">
        <f t="shared" si="202"/>
        <v>37</v>
      </c>
      <c r="AJ873" s="14" t="str">
        <f>INDEX(挂机升级突破!$BX$4:$CH$4,INDEX(挂机升级突破!$BU$6:$BU$57,卡牌消耗!AI873))</f>
        <v>金币</v>
      </c>
      <c r="AK873" s="14">
        <f>ROUND(INDEX(挂机升级突破!$BN$6:$BN$57,卡牌消耗!AI873)*INDEX(卡牌消耗!$B$8:$F$8,AG873)/$Q$4/50,0)*50</f>
        <v>12950</v>
      </c>
      <c r="AL873" s="14" t="str">
        <f>IF(AD873&gt;0,INDEX(挂机升级突破!$BX$4:$CH$4,AD873),"")</f>
        <v>橙色基础材料</v>
      </c>
      <c r="AM873" s="14">
        <f>ROUND(INDEX(挂机升级突破!$BX$6:$CH$57,卡牌消耗!AI873,AD873)*INDEX(卡牌消耗!$B$5:$F$5,AG873)/$Q$4/5,0)*5</f>
        <v>110</v>
      </c>
      <c r="AN873" s="14" t="str">
        <f>IF(AE873&gt;0,INDEX(挂机升级突破!$BX$4:$CH$4,AE873),"")</f>
        <v/>
      </c>
      <c r="AO873" s="14" t="str">
        <f>IF(AE873&gt;0,ROUND(INDEX(挂机升级突破!$BX$6:$CH$57,卡牌消耗!AI873,AE873)*INDEX(卡牌消耗!$B$7:$F$7,AG873)/$Q$4,0),"")</f>
        <v/>
      </c>
    </row>
    <row r="874" spans="27:41" ht="16.5" x14ac:dyDescent="0.2">
      <c r="AA874" s="104">
        <v>870</v>
      </c>
      <c r="AB874" s="14">
        <f t="shared" si="198"/>
        <v>17</v>
      </c>
      <c r="AC874" s="14">
        <f>INDEX(挂机升级突破!$BU$6:$BU$57,卡牌消耗!AI874)</f>
        <v>11</v>
      </c>
      <c r="AD874" s="14">
        <f>INDEX(挂机升级突破!BV$6:BV$57,卡牌消耗!$AI874)</f>
        <v>5</v>
      </c>
      <c r="AE874" s="14">
        <f>INDEX(挂机升级突破!BW$6:BW$57,卡牌消耗!$AI874)</f>
        <v>0</v>
      </c>
      <c r="AF874" s="14" t="str">
        <f t="shared" si="199"/>
        <v>飞廉</v>
      </c>
      <c r="AG874" s="14">
        <f t="shared" si="200"/>
        <v>3</v>
      </c>
      <c r="AH874" s="14" t="str">
        <f t="shared" si="201"/>
        <v>飞廉魂火-38</v>
      </c>
      <c r="AI874" s="14">
        <f t="shared" si="202"/>
        <v>38</v>
      </c>
      <c r="AJ874" s="14" t="str">
        <f>INDEX(挂机升级突破!$BX$4:$CH$4,INDEX(挂机升级突破!$BU$6:$BU$57,卡牌消耗!AI874))</f>
        <v>金币</v>
      </c>
      <c r="AK874" s="14">
        <f>ROUND(INDEX(挂机升级突破!$BN$6:$BN$57,卡牌消耗!AI874)*INDEX(卡牌消耗!$B$8:$F$8,AG874)/$Q$4/50,0)*50</f>
        <v>16700</v>
      </c>
      <c r="AL874" s="14" t="str">
        <f>IF(AD874&gt;0,INDEX(挂机升级突破!$BX$4:$CH$4,AD874),"")</f>
        <v>红色基础材料</v>
      </c>
      <c r="AM874" s="14">
        <f>ROUND(INDEX(挂机升级突破!$BX$6:$CH$57,卡牌消耗!AI874,AD874)*INDEX(卡牌消耗!$B$5:$F$5,AG874)/$Q$4/5,0)*5</f>
        <v>45</v>
      </c>
      <c r="AN874" s="14" t="str">
        <f>IF(AE874&gt;0,INDEX(挂机升级突破!$BX$4:$CH$4,AE874),"")</f>
        <v/>
      </c>
      <c r="AO874" s="14" t="str">
        <f>IF(AE874&gt;0,ROUND(INDEX(挂机升级突破!$BX$6:$CH$57,卡牌消耗!AI874,AE874)*INDEX(卡牌消耗!$B$7:$F$7,AG874)/$Q$4,0),"")</f>
        <v/>
      </c>
    </row>
    <row r="875" spans="27:41" ht="16.5" x14ac:dyDescent="0.2">
      <c r="AA875" s="104">
        <v>871</v>
      </c>
      <c r="AB875" s="14">
        <f t="shared" si="198"/>
        <v>17</v>
      </c>
      <c r="AC875" s="14">
        <f>INDEX(挂机升级突破!$BU$6:$BU$57,卡牌消耗!AI875)</f>
        <v>11</v>
      </c>
      <c r="AD875" s="14">
        <f>INDEX(挂机升级突破!BV$6:BV$57,卡牌消耗!$AI875)</f>
        <v>5</v>
      </c>
      <c r="AE875" s="14">
        <f>INDEX(挂机升级突破!BW$6:BW$57,卡牌消耗!$AI875)</f>
        <v>0</v>
      </c>
      <c r="AF875" s="14" t="str">
        <f t="shared" si="199"/>
        <v>飞廉</v>
      </c>
      <c r="AG875" s="14">
        <f t="shared" si="200"/>
        <v>3</v>
      </c>
      <c r="AH875" s="14" t="str">
        <f t="shared" si="201"/>
        <v>飞廉魂火-39</v>
      </c>
      <c r="AI875" s="14">
        <f t="shared" si="202"/>
        <v>39</v>
      </c>
      <c r="AJ875" s="14" t="str">
        <f>INDEX(挂机升级突破!$BX$4:$CH$4,INDEX(挂机升级突破!$BU$6:$BU$57,卡牌消耗!AI875))</f>
        <v>金币</v>
      </c>
      <c r="AK875" s="14">
        <f>ROUND(INDEX(挂机升级突破!$BN$6:$BN$57,卡牌消耗!AI875)*INDEX(卡牌消耗!$B$8:$F$8,AG875)/$Q$4/50,0)*50</f>
        <v>16700</v>
      </c>
      <c r="AL875" s="14" t="str">
        <f>IF(AD875&gt;0,INDEX(挂机升级突破!$BX$4:$CH$4,AD875),"")</f>
        <v>红色基础材料</v>
      </c>
      <c r="AM875" s="14">
        <f>ROUND(INDEX(挂机升级突破!$BX$6:$CH$57,卡牌消耗!AI875,AD875)*INDEX(卡牌消耗!$B$5:$F$5,AG875)/$Q$4/5,0)*5</f>
        <v>45</v>
      </c>
      <c r="AN875" s="14" t="str">
        <f>IF(AE875&gt;0,INDEX(挂机升级突破!$BX$4:$CH$4,AE875),"")</f>
        <v/>
      </c>
      <c r="AO875" s="14" t="str">
        <f>IF(AE875&gt;0,ROUND(INDEX(挂机升级突破!$BX$6:$CH$57,卡牌消耗!AI875,AE875)*INDEX(卡牌消耗!$B$7:$F$7,AG875)/$Q$4,0),"")</f>
        <v/>
      </c>
    </row>
    <row r="876" spans="27:41" ht="16.5" x14ac:dyDescent="0.2">
      <c r="AA876" s="104">
        <v>872</v>
      </c>
      <c r="AB876" s="14">
        <f t="shared" si="198"/>
        <v>17</v>
      </c>
      <c r="AC876" s="14">
        <f>INDEX(挂机升级突破!$BU$6:$BU$57,卡牌消耗!AI876)</f>
        <v>11</v>
      </c>
      <c r="AD876" s="14">
        <f>INDEX(挂机升级突破!BV$6:BV$57,卡牌消耗!$AI876)</f>
        <v>5</v>
      </c>
      <c r="AE876" s="14">
        <f>INDEX(挂机升级突破!BW$6:BW$57,卡牌消耗!$AI876)</f>
        <v>0</v>
      </c>
      <c r="AF876" s="14" t="str">
        <f t="shared" si="199"/>
        <v>飞廉</v>
      </c>
      <c r="AG876" s="14">
        <f t="shared" si="200"/>
        <v>3</v>
      </c>
      <c r="AH876" s="14" t="str">
        <f t="shared" si="201"/>
        <v>飞廉魂火-40</v>
      </c>
      <c r="AI876" s="14">
        <f t="shared" si="202"/>
        <v>40</v>
      </c>
      <c r="AJ876" s="14" t="str">
        <f>INDEX(挂机升级突破!$BX$4:$CH$4,INDEX(挂机升级突破!$BU$6:$BU$57,卡牌消耗!AI876))</f>
        <v>金币</v>
      </c>
      <c r="AK876" s="14">
        <f>ROUND(INDEX(挂机升级突破!$BN$6:$BN$57,卡牌消耗!AI876)*INDEX(卡牌消耗!$B$8:$F$8,AG876)/$Q$4/50,0)*50</f>
        <v>16700</v>
      </c>
      <c r="AL876" s="14" t="str">
        <f>IF(AD876&gt;0,INDEX(挂机升级突破!$BX$4:$CH$4,AD876),"")</f>
        <v>红色基础材料</v>
      </c>
      <c r="AM876" s="14">
        <f>ROUND(INDEX(挂机升级突破!$BX$6:$CH$57,卡牌消耗!AI876,AD876)*INDEX(卡牌消耗!$B$5:$F$5,AG876)/$Q$4/5,0)*5</f>
        <v>45</v>
      </c>
      <c r="AN876" s="14" t="str">
        <f>IF(AE876&gt;0,INDEX(挂机升级突破!$BX$4:$CH$4,AE876),"")</f>
        <v/>
      </c>
      <c r="AO876" s="14" t="str">
        <f>IF(AE876&gt;0,ROUND(INDEX(挂机升级突破!$BX$6:$CH$57,卡牌消耗!AI876,AE876)*INDEX(卡牌消耗!$B$7:$F$7,AG876)/$Q$4,0),"")</f>
        <v/>
      </c>
    </row>
    <row r="877" spans="27:41" ht="16.5" x14ac:dyDescent="0.2">
      <c r="AA877" s="104">
        <v>873</v>
      </c>
      <c r="AB877" s="14">
        <f t="shared" si="198"/>
        <v>17</v>
      </c>
      <c r="AC877" s="14">
        <f>INDEX(挂机升级突破!$BU$6:$BU$57,卡牌消耗!AI877)</f>
        <v>11</v>
      </c>
      <c r="AD877" s="14">
        <f>INDEX(挂机升级突破!BV$6:BV$57,卡牌消耗!$AI877)</f>
        <v>5</v>
      </c>
      <c r="AE877" s="14">
        <f>INDEX(挂机升级突破!BW$6:BW$57,卡牌消耗!$AI877)</f>
        <v>10</v>
      </c>
      <c r="AF877" s="14" t="str">
        <f t="shared" si="199"/>
        <v>飞廉</v>
      </c>
      <c r="AG877" s="14">
        <f t="shared" si="200"/>
        <v>3</v>
      </c>
      <c r="AH877" s="14" t="str">
        <f t="shared" si="201"/>
        <v>飞廉魂火-41</v>
      </c>
      <c r="AI877" s="14">
        <f t="shared" si="202"/>
        <v>41</v>
      </c>
      <c r="AJ877" s="14" t="str">
        <f>INDEX(挂机升级突破!$BX$4:$CH$4,INDEX(挂机升级突破!$BU$6:$BU$57,卡牌消耗!AI877))</f>
        <v>金币</v>
      </c>
      <c r="AK877" s="14">
        <f>ROUND(INDEX(挂机升级突破!$BN$6:$BN$57,卡牌消耗!AI877)*INDEX(卡牌消耗!$B$8:$F$8,AG877)/$Q$4/50,0)*50</f>
        <v>23000</v>
      </c>
      <c r="AL877" s="14" t="str">
        <f>IF(AD877&gt;0,INDEX(挂机升级突破!$BX$4:$CH$4,AD877),"")</f>
        <v>红色基础材料</v>
      </c>
      <c r="AM877" s="14">
        <f>ROUND(INDEX(挂机升级突破!$BX$6:$CH$57,卡牌消耗!AI877,AD877)*INDEX(卡牌消耗!$B$5:$F$5,AG877)/$Q$4/5,0)*5</f>
        <v>55</v>
      </c>
      <c r="AN877" s="14" t="str">
        <f>IF(AE877&gt;0,INDEX(挂机升级突破!$BX$4:$CH$4,AE877),"")</f>
        <v>灵玉</v>
      </c>
      <c r="AO877" s="14">
        <f>IF(AE877&gt;0,ROUND(INDEX(挂机升级突破!$BX$6:$CH$57,卡牌消耗!AI877,AE877)*INDEX(卡牌消耗!$B$7:$F$7,AG877)/$Q$4,0),"")</f>
        <v>1</v>
      </c>
    </row>
    <row r="878" spans="27:41" ht="16.5" x14ac:dyDescent="0.2">
      <c r="AA878" s="104">
        <v>874</v>
      </c>
      <c r="AB878" s="14">
        <f t="shared" si="198"/>
        <v>17</v>
      </c>
      <c r="AC878" s="14">
        <f>INDEX(挂机升级突破!$BU$6:$BU$57,卡牌消耗!AI878)</f>
        <v>11</v>
      </c>
      <c r="AD878" s="14">
        <f>INDEX(挂机升级突破!BV$6:BV$57,卡牌消耗!$AI878)</f>
        <v>5</v>
      </c>
      <c r="AE878" s="14">
        <f>INDEX(挂机升级突破!BW$6:BW$57,卡牌消耗!$AI878)</f>
        <v>10</v>
      </c>
      <c r="AF878" s="14" t="str">
        <f t="shared" si="199"/>
        <v>飞廉</v>
      </c>
      <c r="AG878" s="14">
        <f t="shared" si="200"/>
        <v>3</v>
      </c>
      <c r="AH878" s="14" t="str">
        <f t="shared" si="201"/>
        <v>飞廉魂火-42</v>
      </c>
      <c r="AI878" s="14">
        <f t="shared" si="202"/>
        <v>42</v>
      </c>
      <c r="AJ878" s="14" t="str">
        <f>INDEX(挂机升级突破!$BX$4:$CH$4,INDEX(挂机升级突破!$BU$6:$BU$57,卡牌消耗!AI878))</f>
        <v>金币</v>
      </c>
      <c r="AK878" s="14">
        <f>ROUND(INDEX(挂机升级突破!$BN$6:$BN$57,卡牌消耗!AI878)*INDEX(卡牌消耗!$B$8:$F$8,AG878)/$Q$4/50,0)*50</f>
        <v>23000</v>
      </c>
      <c r="AL878" s="14" t="str">
        <f>IF(AD878&gt;0,INDEX(挂机升级突破!$BX$4:$CH$4,AD878),"")</f>
        <v>红色基础材料</v>
      </c>
      <c r="AM878" s="14">
        <f>ROUND(INDEX(挂机升级突破!$BX$6:$CH$57,卡牌消耗!AI878,AD878)*INDEX(卡牌消耗!$B$5:$F$5,AG878)/$Q$4/5,0)*5</f>
        <v>55</v>
      </c>
      <c r="AN878" s="14" t="str">
        <f>IF(AE878&gt;0,INDEX(挂机升级突破!$BX$4:$CH$4,AE878),"")</f>
        <v>灵玉</v>
      </c>
      <c r="AO878" s="14">
        <f>IF(AE878&gt;0,ROUND(INDEX(挂机升级突破!$BX$6:$CH$57,卡牌消耗!AI878,AE878)*INDEX(卡牌消耗!$B$7:$F$7,AG878)/$Q$4,0),"")</f>
        <v>1</v>
      </c>
    </row>
    <row r="879" spans="27:41" ht="16.5" x14ac:dyDescent="0.2">
      <c r="AA879" s="104">
        <v>875</v>
      </c>
      <c r="AB879" s="14">
        <f t="shared" si="198"/>
        <v>17</v>
      </c>
      <c r="AC879" s="14">
        <f>INDEX(挂机升级突破!$BU$6:$BU$57,卡牌消耗!AI879)</f>
        <v>11</v>
      </c>
      <c r="AD879" s="14">
        <f>INDEX(挂机升级突破!BV$6:BV$57,卡牌消耗!$AI879)</f>
        <v>5</v>
      </c>
      <c r="AE879" s="14">
        <f>INDEX(挂机升级突破!BW$6:BW$57,卡牌消耗!$AI879)</f>
        <v>10</v>
      </c>
      <c r="AF879" s="14" t="str">
        <f t="shared" si="199"/>
        <v>飞廉</v>
      </c>
      <c r="AG879" s="14">
        <f t="shared" si="200"/>
        <v>3</v>
      </c>
      <c r="AH879" s="14" t="str">
        <f t="shared" si="201"/>
        <v>飞廉魂火-43</v>
      </c>
      <c r="AI879" s="14">
        <f t="shared" si="202"/>
        <v>43</v>
      </c>
      <c r="AJ879" s="14" t="str">
        <f>INDEX(挂机升级突破!$BX$4:$CH$4,INDEX(挂机升级突破!$BU$6:$BU$57,卡牌消耗!AI879))</f>
        <v>金币</v>
      </c>
      <c r="AK879" s="14">
        <f>ROUND(INDEX(挂机升级突破!$BN$6:$BN$57,卡牌消耗!AI879)*INDEX(卡牌消耗!$B$8:$F$8,AG879)/$Q$4/50,0)*50</f>
        <v>23000</v>
      </c>
      <c r="AL879" s="14" t="str">
        <f>IF(AD879&gt;0,INDEX(挂机升级突破!$BX$4:$CH$4,AD879),"")</f>
        <v>红色基础材料</v>
      </c>
      <c r="AM879" s="14">
        <f>ROUND(INDEX(挂机升级突破!$BX$6:$CH$57,卡牌消耗!AI879,AD879)*INDEX(卡牌消耗!$B$5:$F$5,AG879)/$Q$4/5,0)*5</f>
        <v>55</v>
      </c>
      <c r="AN879" s="14" t="str">
        <f>IF(AE879&gt;0,INDEX(挂机升级突破!$BX$4:$CH$4,AE879),"")</f>
        <v>灵玉</v>
      </c>
      <c r="AO879" s="14">
        <f>IF(AE879&gt;0,ROUND(INDEX(挂机升级突破!$BX$6:$CH$57,卡牌消耗!AI879,AE879)*INDEX(卡牌消耗!$B$7:$F$7,AG879)/$Q$4,0),"")</f>
        <v>1</v>
      </c>
    </row>
    <row r="880" spans="27:41" ht="16.5" x14ac:dyDescent="0.2">
      <c r="AA880" s="104">
        <v>876</v>
      </c>
      <c r="AB880" s="14">
        <f t="shared" si="198"/>
        <v>17</v>
      </c>
      <c r="AC880" s="14">
        <f>INDEX(挂机升级突破!$BU$6:$BU$57,卡牌消耗!AI880)</f>
        <v>11</v>
      </c>
      <c r="AD880" s="14">
        <f>INDEX(挂机升级突破!BV$6:BV$57,卡牌消耗!$AI880)</f>
        <v>5</v>
      </c>
      <c r="AE880" s="14">
        <f>INDEX(挂机升级突破!BW$6:BW$57,卡牌消耗!$AI880)</f>
        <v>10</v>
      </c>
      <c r="AF880" s="14" t="str">
        <f t="shared" si="199"/>
        <v>飞廉</v>
      </c>
      <c r="AG880" s="14">
        <f t="shared" si="200"/>
        <v>3</v>
      </c>
      <c r="AH880" s="14" t="str">
        <f t="shared" si="201"/>
        <v>飞廉魂火-44</v>
      </c>
      <c r="AI880" s="14">
        <f t="shared" si="202"/>
        <v>44</v>
      </c>
      <c r="AJ880" s="14" t="str">
        <f>INDEX(挂机升级突破!$BX$4:$CH$4,INDEX(挂机升级突破!$BU$6:$BU$57,卡牌消耗!AI880))</f>
        <v>金币</v>
      </c>
      <c r="AK880" s="14">
        <f>ROUND(INDEX(挂机升级突破!$BN$6:$BN$57,卡牌消耗!AI880)*INDEX(卡牌消耗!$B$8:$F$8,AG880)/$Q$4/50,0)*50</f>
        <v>29250</v>
      </c>
      <c r="AL880" s="14" t="str">
        <f>IF(AD880&gt;0,INDEX(挂机升级突破!$BX$4:$CH$4,AD880),"")</f>
        <v>红色基础材料</v>
      </c>
      <c r="AM880" s="14">
        <f>ROUND(INDEX(挂机升级突破!$BX$6:$CH$57,卡牌消耗!AI880,AD880)*INDEX(卡牌消耗!$B$5:$F$5,AG880)/$Q$4/5,0)*5</f>
        <v>65</v>
      </c>
      <c r="AN880" s="14" t="str">
        <f>IF(AE880&gt;0,INDEX(挂机升级突破!$BX$4:$CH$4,AE880),"")</f>
        <v>灵玉</v>
      </c>
      <c r="AO880" s="14">
        <f>IF(AE880&gt;0,ROUND(INDEX(挂机升级突破!$BX$6:$CH$57,卡牌消耗!AI880,AE880)*INDEX(卡牌消耗!$B$7:$F$7,AG880)/$Q$4,0),"")</f>
        <v>1</v>
      </c>
    </row>
    <row r="881" spans="27:41" ht="16.5" x14ac:dyDescent="0.2">
      <c r="AA881" s="104">
        <v>877</v>
      </c>
      <c r="AB881" s="14">
        <f t="shared" si="198"/>
        <v>17</v>
      </c>
      <c r="AC881" s="14">
        <f>INDEX(挂机升级突破!$BU$6:$BU$57,卡牌消耗!AI881)</f>
        <v>11</v>
      </c>
      <c r="AD881" s="14">
        <f>INDEX(挂机升级突破!BV$6:BV$57,卡牌消耗!$AI881)</f>
        <v>5</v>
      </c>
      <c r="AE881" s="14">
        <f>INDEX(挂机升级突破!BW$6:BW$57,卡牌消耗!$AI881)</f>
        <v>10</v>
      </c>
      <c r="AF881" s="14" t="str">
        <f t="shared" si="199"/>
        <v>飞廉</v>
      </c>
      <c r="AG881" s="14">
        <f t="shared" si="200"/>
        <v>3</v>
      </c>
      <c r="AH881" s="14" t="str">
        <f t="shared" si="201"/>
        <v>飞廉魂火-45</v>
      </c>
      <c r="AI881" s="14">
        <f t="shared" si="202"/>
        <v>45</v>
      </c>
      <c r="AJ881" s="14" t="str">
        <f>INDEX(挂机升级突破!$BX$4:$CH$4,INDEX(挂机升级突破!$BU$6:$BU$57,卡牌消耗!AI881))</f>
        <v>金币</v>
      </c>
      <c r="AK881" s="14">
        <f>ROUND(INDEX(挂机升级突破!$BN$6:$BN$57,卡牌消耗!AI881)*INDEX(卡牌消耗!$B$8:$F$8,AG881)/$Q$4/50,0)*50</f>
        <v>29250</v>
      </c>
      <c r="AL881" s="14" t="str">
        <f>IF(AD881&gt;0,INDEX(挂机升级突破!$BX$4:$CH$4,AD881),"")</f>
        <v>红色基础材料</v>
      </c>
      <c r="AM881" s="14">
        <f>ROUND(INDEX(挂机升级突破!$BX$6:$CH$57,卡牌消耗!AI881,AD881)*INDEX(卡牌消耗!$B$5:$F$5,AG881)/$Q$4/5,0)*5</f>
        <v>65</v>
      </c>
      <c r="AN881" s="14" t="str">
        <f>IF(AE881&gt;0,INDEX(挂机升级突破!$BX$4:$CH$4,AE881),"")</f>
        <v>灵玉</v>
      </c>
      <c r="AO881" s="14">
        <f>IF(AE881&gt;0,ROUND(INDEX(挂机升级突破!$BX$6:$CH$57,卡牌消耗!AI881,AE881)*INDEX(卡牌消耗!$B$7:$F$7,AG881)/$Q$4,0),"")</f>
        <v>1</v>
      </c>
    </row>
    <row r="882" spans="27:41" ht="16.5" x14ac:dyDescent="0.2">
      <c r="AA882" s="104">
        <v>878</v>
      </c>
      <c r="AB882" s="14">
        <f t="shared" si="198"/>
        <v>17</v>
      </c>
      <c r="AC882" s="14">
        <f>INDEX(挂机升级突破!$BU$6:$BU$57,卡牌消耗!AI882)</f>
        <v>11</v>
      </c>
      <c r="AD882" s="14">
        <f>INDEX(挂机升级突破!BV$6:BV$57,卡牌消耗!$AI882)</f>
        <v>5</v>
      </c>
      <c r="AE882" s="14">
        <f>INDEX(挂机升级突破!BW$6:BW$57,卡牌消耗!$AI882)</f>
        <v>10</v>
      </c>
      <c r="AF882" s="14" t="str">
        <f t="shared" si="199"/>
        <v>飞廉</v>
      </c>
      <c r="AG882" s="14">
        <f t="shared" si="200"/>
        <v>3</v>
      </c>
      <c r="AH882" s="14" t="str">
        <f t="shared" si="201"/>
        <v>飞廉魂火-46</v>
      </c>
      <c r="AI882" s="14">
        <f t="shared" si="202"/>
        <v>46</v>
      </c>
      <c r="AJ882" s="14" t="str">
        <f>INDEX(挂机升级突破!$BX$4:$CH$4,INDEX(挂机升级突破!$BU$6:$BU$57,卡牌消耗!AI882))</f>
        <v>金币</v>
      </c>
      <c r="AK882" s="14">
        <f>ROUND(INDEX(挂机升级突破!$BN$6:$BN$57,卡牌消耗!AI882)*INDEX(卡牌消耗!$B$8:$F$8,AG882)/$Q$4/50,0)*50</f>
        <v>31350</v>
      </c>
      <c r="AL882" s="14" t="str">
        <f>IF(AD882&gt;0,INDEX(挂机升级突破!$BX$4:$CH$4,AD882),"")</f>
        <v>红色基础材料</v>
      </c>
      <c r="AM882" s="14">
        <f>ROUND(INDEX(挂机升级突破!$BX$6:$CH$57,卡牌消耗!AI882,AD882)*INDEX(卡牌消耗!$B$5:$F$5,AG882)/$Q$4/5,0)*5</f>
        <v>65</v>
      </c>
      <c r="AN882" s="14" t="str">
        <f>IF(AE882&gt;0,INDEX(挂机升级突破!$BX$4:$CH$4,AE882),"")</f>
        <v>灵玉</v>
      </c>
      <c r="AO882" s="14">
        <f>IF(AE882&gt;0,ROUND(INDEX(挂机升级突破!$BX$6:$CH$57,卡牌消耗!AI882,AE882)*INDEX(卡牌消耗!$B$7:$F$7,AG882)/$Q$4,0),"")</f>
        <v>1</v>
      </c>
    </row>
    <row r="883" spans="27:41" ht="16.5" x14ac:dyDescent="0.2">
      <c r="AA883" s="104">
        <v>879</v>
      </c>
      <c r="AB883" s="14">
        <f t="shared" si="198"/>
        <v>17</v>
      </c>
      <c r="AC883" s="14">
        <f>INDEX(挂机升级突破!$BU$6:$BU$57,卡牌消耗!AI883)</f>
        <v>11</v>
      </c>
      <c r="AD883" s="14">
        <f>INDEX(挂机升级突破!BV$6:BV$57,卡牌消耗!$AI883)</f>
        <v>5</v>
      </c>
      <c r="AE883" s="14">
        <f>INDEX(挂机升级突破!BW$6:BW$57,卡牌消耗!$AI883)</f>
        <v>10</v>
      </c>
      <c r="AF883" s="14" t="str">
        <f t="shared" si="199"/>
        <v>飞廉</v>
      </c>
      <c r="AG883" s="14">
        <f t="shared" si="200"/>
        <v>3</v>
      </c>
      <c r="AH883" s="14" t="str">
        <f t="shared" si="201"/>
        <v>飞廉魂火-47</v>
      </c>
      <c r="AI883" s="14">
        <f t="shared" si="202"/>
        <v>47</v>
      </c>
      <c r="AJ883" s="14" t="str">
        <f>INDEX(挂机升级突破!$BX$4:$CH$4,INDEX(挂机升级突破!$BU$6:$BU$57,卡牌消耗!AI883))</f>
        <v>金币</v>
      </c>
      <c r="AK883" s="14">
        <f>ROUND(INDEX(挂机升级突破!$BN$6:$BN$57,卡牌消耗!AI883)*INDEX(卡牌消耗!$B$8:$F$8,AG883)/$Q$4/50,0)*50</f>
        <v>151950</v>
      </c>
      <c r="AL883" s="14" t="str">
        <f>IF(AD883&gt;0,INDEX(挂机升级突破!$BX$4:$CH$4,AD883),"")</f>
        <v>红色基础材料</v>
      </c>
      <c r="AM883" s="14">
        <f>ROUND(INDEX(挂机升级突破!$BX$6:$CH$57,卡牌消耗!AI883,AD883)*INDEX(卡牌消耗!$B$5:$F$5,AG883)/$Q$4/5,0)*5</f>
        <v>65</v>
      </c>
      <c r="AN883" s="14" t="str">
        <f>IF(AE883&gt;0,INDEX(挂机升级突破!$BX$4:$CH$4,AE883),"")</f>
        <v>灵玉</v>
      </c>
      <c r="AO883" s="14">
        <f>IF(AE883&gt;0,ROUND(INDEX(挂机升级突破!$BX$6:$CH$57,卡牌消耗!AI883,AE883)*INDEX(卡牌消耗!$B$7:$F$7,AG883)/$Q$4,0),"")</f>
        <v>1</v>
      </c>
    </row>
    <row r="884" spans="27:41" ht="16.5" x14ac:dyDescent="0.2">
      <c r="AA884" s="104">
        <v>880</v>
      </c>
      <c r="AB884" s="14">
        <f t="shared" si="198"/>
        <v>17</v>
      </c>
      <c r="AC884" s="14">
        <f>INDEX(挂机升级突破!$BU$6:$BU$57,卡牌消耗!AI884)</f>
        <v>11</v>
      </c>
      <c r="AD884" s="14">
        <f>INDEX(挂机升级突破!BV$6:BV$57,卡牌消耗!$AI884)</f>
        <v>5</v>
      </c>
      <c r="AE884" s="14">
        <f>INDEX(挂机升级突破!BW$6:BW$57,卡牌消耗!$AI884)</f>
        <v>10</v>
      </c>
      <c r="AF884" s="14" t="str">
        <f t="shared" si="199"/>
        <v>飞廉</v>
      </c>
      <c r="AG884" s="14">
        <f t="shared" si="200"/>
        <v>3</v>
      </c>
      <c r="AH884" s="14" t="str">
        <f t="shared" si="201"/>
        <v>飞廉魂火-48</v>
      </c>
      <c r="AI884" s="14">
        <f t="shared" si="202"/>
        <v>48</v>
      </c>
      <c r="AJ884" s="14" t="str">
        <f>INDEX(挂机升级突破!$BX$4:$CH$4,INDEX(挂机升级突破!$BU$6:$BU$57,卡牌消耗!AI884))</f>
        <v>金币</v>
      </c>
      <c r="AK884" s="14">
        <f>ROUND(INDEX(挂机升级突破!$BN$6:$BN$57,卡牌消耗!AI884)*INDEX(卡牌消耗!$B$8:$F$8,AG884)/$Q$4/50,0)*50</f>
        <v>151950</v>
      </c>
      <c r="AL884" s="14" t="str">
        <f>IF(AD884&gt;0,INDEX(挂机升级突破!$BX$4:$CH$4,AD884),"")</f>
        <v>红色基础材料</v>
      </c>
      <c r="AM884" s="14">
        <f>ROUND(INDEX(挂机升级突破!$BX$6:$CH$57,卡牌消耗!AI884,AD884)*INDEX(卡牌消耗!$B$5:$F$5,AG884)/$Q$4/5,0)*5</f>
        <v>65</v>
      </c>
      <c r="AN884" s="14" t="str">
        <f>IF(AE884&gt;0,INDEX(挂机升级突破!$BX$4:$CH$4,AE884),"")</f>
        <v>灵玉</v>
      </c>
      <c r="AO884" s="14">
        <f>IF(AE884&gt;0,ROUND(INDEX(挂机升级突破!$BX$6:$CH$57,卡牌消耗!AI884,AE884)*INDEX(卡牌消耗!$B$7:$F$7,AG884)/$Q$4,0),"")</f>
        <v>1</v>
      </c>
    </row>
    <row r="885" spans="27:41" ht="16.5" x14ac:dyDescent="0.2">
      <c r="AA885" s="104">
        <v>881</v>
      </c>
      <c r="AB885" s="14">
        <f t="shared" si="198"/>
        <v>17</v>
      </c>
      <c r="AC885" s="14">
        <f>INDEX(挂机升级突破!$BU$6:$BU$57,卡牌消耗!AI885)</f>
        <v>11</v>
      </c>
      <c r="AD885" s="14">
        <f>INDEX(挂机升级突破!BV$6:BV$57,卡牌消耗!$AI885)</f>
        <v>5</v>
      </c>
      <c r="AE885" s="14">
        <f>INDEX(挂机升级突破!BW$6:BW$57,卡牌消耗!$AI885)</f>
        <v>10</v>
      </c>
      <c r="AF885" s="14" t="str">
        <f t="shared" si="199"/>
        <v>飞廉</v>
      </c>
      <c r="AG885" s="14">
        <f t="shared" si="200"/>
        <v>3</v>
      </c>
      <c r="AH885" s="14" t="str">
        <f t="shared" si="201"/>
        <v>飞廉魂火-49</v>
      </c>
      <c r="AI885" s="14">
        <f t="shared" si="202"/>
        <v>49</v>
      </c>
      <c r="AJ885" s="14" t="str">
        <f>INDEX(挂机升级突破!$BX$4:$CH$4,INDEX(挂机升级突破!$BU$6:$BU$57,卡牌消耗!AI885))</f>
        <v>金币</v>
      </c>
      <c r="AK885" s="14">
        <f>ROUND(INDEX(挂机升级突破!$BN$6:$BN$57,卡牌消耗!AI885)*INDEX(卡牌消耗!$B$8:$F$8,AG885)/$Q$4/50,0)*50</f>
        <v>151950</v>
      </c>
      <c r="AL885" s="14" t="str">
        <f>IF(AD885&gt;0,INDEX(挂机升级突破!$BX$4:$CH$4,AD885),"")</f>
        <v>红色基础材料</v>
      </c>
      <c r="AM885" s="14">
        <f>ROUND(INDEX(挂机升级突破!$BX$6:$CH$57,卡牌消耗!AI885,AD885)*INDEX(卡牌消耗!$B$5:$F$5,AG885)/$Q$4/5,0)*5</f>
        <v>70</v>
      </c>
      <c r="AN885" s="14" t="str">
        <f>IF(AE885&gt;0,INDEX(挂机升级突破!$BX$4:$CH$4,AE885),"")</f>
        <v>灵玉</v>
      </c>
      <c r="AO885" s="14">
        <f>IF(AE885&gt;0,ROUND(INDEX(挂机升级突破!$BX$6:$CH$57,卡牌消耗!AI885,AE885)*INDEX(卡牌消耗!$B$7:$F$7,AG885)/$Q$4,0),"")</f>
        <v>1</v>
      </c>
    </row>
    <row r="886" spans="27:41" ht="16.5" x14ac:dyDescent="0.2">
      <c r="AA886" s="104">
        <v>882</v>
      </c>
      <c r="AB886" s="14">
        <f t="shared" si="198"/>
        <v>17</v>
      </c>
      <c r="AC886" s="14">
        <f>INDEX(挂机升级突破!$BU$6:$BU$57,卡牌消耗!AI886)</f>
        <v>11</v>
      </c>
      <c r="AD886" s="14">
        <f>INDEX(挂机升级突破!BV$6:BV$57,卡牌消耗!$AI886)</f>
        <v>5</v>
      </c>
      <c r="AE886" s="14">
        <f>INDEX(挂机升级突破!BW$6:BW$57,卡牌消耗!$AI886)</f>
        <v>10</v>
      </c>
      <c r="AF886" s="14" t="str">
        <f t="shared" si="199"/>
        <v>飞廉</v>
      </c>
      <c r="AG886" s="14">
        <f t="shared" si="200"/>
        <v>3</v>
      </c>
      <c r="AH886" s="14" t="str">
        <f t="shared" si="201"/>
        <v>飞廉魂火-50</v>
      </c>
      <c r="AI886" s="14">
        <f t="shared" si="202"/>
        <v>50</v>
      </c>
      <c r="AJ886" s="14" t="str">
        <f>INDEX(挂机升级突破!$BX$4:$CH$4,INDEX(挂机升级突破!$BU$6:$BU$57,卡牌消耗!AI886))</f>
        <v>金币</v>
      </c>
      <c r="AK886" s="14">
        <f>ROUND(INDEX(挂机升级突破!$BN$6:$BN$57,卡牌消耗!AI886)*INDEX(卡牌消耗!$B$8:$F$8,AG886)/$Q$4/50,0)*50</f>
        <v>253250</v>
      </c>
      <c r="AL886" s="14" t="str">
        <f>IF(AD886&gt;0,INDEX(挂机升级突破!$BX$4:$CH$4,AD886),"")</f>
        <v>红色基础材料</v>
      </c>
      <c r="AM886" s="14">
        <f>ROUND(INDEX(挂机升级突破!$BX$6:$CH$57,卡牌消耗!AI886,AD886)*INDEX(卡牌消耗!$B$5:$F$5,AG886)/$Q$4/5,0)*5</f>
        <v>70</v>
      </c>
      <c r="AN886" s="14" t="str">
        <f>IF(AE886&gt;0,INDEX(挂机升级突破!$BX$4:$CH$4,AE886),"")</f>
        <v>灵玉</v>
      </c>
      <c r="AO886" s="14">
        <f>IF(AE886&gt;0,ROUND(INDEX(挂机升级突破!$BX$6:$CH$57,卡牌消耗!AI886,AE886)*INDEX(卡牌消耗!$B$7:$F$7,AG886)/$Q$4,0),"")</f>
        <v>1</v>
      </c>
    </row>
    <row r="887" spans="27:41" ht="16.5" x14ac:dyDescent="0.2">
      <c r="AA887" s="104">
        <v>883</v>
      </c>
      <c r="AB887" s="14">
        <f t="shared" si="198"/>
        <v>17</v>
      </c>
      <c r="AC887" s="14">
        <f>INDEX(挂机升级突破!$BU$6:$BU$57,卡牌消耗!AI887)</f>
        <v>11</v>
      </c>
      <c r="AD887" s="14">
        <f>INDEX(挂机升级突破!BV$6:BV$57,卡牌消耗!$AI887)</f>
        <v>5</v>
      </c>
      <c r="AE887" s="14">
        <f>INDEX(挂机升级突破!BW$6:BW$57,卡牌消耗!$AI887)</f>
        <v>10</v>
      </c>
      <c r="AF887" s="14" t="str">
        <f t="shared" si="199"/>
        <v>飞廉</v>
      </c>
      <c r="AG887" s="14">
        <f t="shared" si="200"/>
        <v>3</v>
      </c>
      <c r="AH887" s="14" t="str">
        <f t="shared" si="201"/>
        <v>飞廉魂火-51</v>
      </c>
      <c r="AI887" s="14">
        <f t="shared" si="202"/>
        <v>51</v>
      </c>
      <c r="AJ887" s="14" t="str">
        <f>INDEX(挂机升级突破!$BX$4:$CH$4,INDEX(挂机升级突破!$BU$6:$BU$57,卡牌消耗!AI887))</f>
        <v>金币</v>
      </c>
      <c r="AK887" s="14">
        <f>ROUND(INDEX(挂机升级突破!$BN$6:$BN$57,卡牌消耗!AI887)*INDEX(卡牌消耗!$B$8:$F$8,AG887)/$Q$4/50,0)*50</f>
        <v>278600</v>
      </c>
      <c r="AL887" s="14" t="str">
        <f>IF(AD887&gt;0,INDEX(挂机升级突破!$BX$4:$CH$4,AD887),"")</f>
        <v>红色基础材料</v>
      </c>
      <c r="AM887" s="14">
        <f>ROUND(INDEX(挂机升级突破!$BX$6:$CH$57,卡牌消耗!AI887,AD887)*INDEX(卡牌消耗!$B$5:$F$5,AG887)/$Q$4/5,0)*5</f>
        <v>70</v>
      </c>
      <c r="AN887" s="14" t="str">
        <f>IF(AE887&gt;0,INDEX(挂机升级突破!$BX$4:$CH$4,AE887),"")</f>
        <v>灵玉</v>
      </c>
      <c r="AO887" s="14">
        <f>IF(AE887&gt;0,ROUND(INDEX(挂机升级突破!$BX$6:$CH$57,卡牌消耗!AI887,AE887)*INDEX(卡牌消耗!$B$7:$F$7,AG887)/$Q$4,0),"")</f>
        <v>1</v>
      </c>
    </row>
    <row r="888" spans="27:41" ht="16.5" x14ac:dyDescent="0.2">
      <c r="AA888" s="104">
        <v>884</v>
      </c>
      <c r="AB888" s="14">
        <f t="shared" si="198"/>
        <v>17</v>
      </c>
      <c r="AC888" s="14">
        <f>INDEX(挂机升级突破!$BU$6:$BU$57,卡牌消耗!AI888)</f>
        <v>11</v>
      </c>
      <c r="AD888" s="14">
        <f>INDEX(挂机升级突破!BV$6:BV$57,卡牌消耗!$AI888)</f>
        <v>5</v>
      </c>
      <c r="AE888" s="14">
        <f>INDEX(挂机升级突破!BW$6:BW$57,卡牌消耗!$AI888)</f>
        <v>10</v>
      </c>
      <c r="AF888" s="14" t="str">
        <f t="shared" si="199"/>
        <v>飞廉</v>
      </c>
      <c r="AG888" s="14">
        <f t="shared" si="200"/>
        <v>3</v>
      </c>
      <c r="AH888" s="14" t="str">
        <f t="shared" si="201"/>
        <v>飞廉魂火-52</v>
      </c>
      <c r="AI888" s="14">
        <f t="shared" si="202"/>
        <v>52</v>
      </c>
      <c r="AJ888" s="14" t="str">
        <f>INDEX(挂机升级突破!$BX$4:$CH$4,INDEX(挂机升级突破!$BU$6:$BU$57,卡牌消耗!AI888))</f>
        <v>金币</v>
      </c>
      <c r="AK888" s="14">
        <f>ROUND(INDEX(挂机升级突破!$BN$6:$BN$57,卡牌消耗!AI888)*INDEX(卡牌消耗!$B$8:$F$8,AG888)/$Q$4/50,0)*50</f>
        <v>278600</v>
      </c>
      <c r="AL888" s="14" t="str">
        <f>IF(AD888&gt;0,INDEX(挂机升级突破!$BX$4:$CH$4,AD888),"")</f>
        <v>红色基础材料</v>
      </c>
      <c r="AM888" s="14">
        <f>ROUND(INDEX(挂机升级突破!$BX$6:$CH$57,卡牌消耗!AI888,AD888)*INDEX(卡牌消耗!$B$5:$F$5,AG888)/$Q$4/5,0)*5</f>
        <v>70</v>
      </c>
      <c r="AN888" s="14" t="str">
        <f>IF(AE888&gt;0,INDEX(挂机升级突破!$BX$4:$CH$4,AE888),"")</f>
        <v>灵玉</v>
      </c>
      <c r="AO888" s="14">
        <f>IF(AE888&gt;0,ROUND(INDEX(挂机升级突破!$BX$6:$CH$57,卡牌消耗!AI888,AE888)*INDEX(卡牌消耗!$B$7:$F$7,AG888)/$Q$4,0),"")</f>
        <v>1</v>
      </c>
    </row>
    <row r="889" spans="27:41" ht="16.5" x14ac:dyDescent="0.2">
      <c r="AA889" s="104">
        <v>885</v>
      </c>
      <c r="AB889" s="14">
        <f t="shared" si="198"/>
        <v>18</v>
      </c>
      <c r="AC889" s="14">
        <f>INDEX(挂机升级突破!$BU$6:$BU$57,卡牌消耗!AI889)</f>
        <v>11</v>
      </c>
      <c r="AD889" s="14">
        <f>INDEX(挂机升级突破!BV$6:BV$57,卡牌消耗!$AI889)</f>
        <v>1</v>
      </c>
      <c r="AE889" s="14">
        <f>INDEX(挂机升级突破!BW$6:BW$57,卡牌消耗!$AI889)</f>
        <v>0</v>
      </c>
      <c r="AF889" s="14" t="str">
        <f t="shared" si="199"/>
        <v>噬日</v>
      </c>
      <c r="AG889" s="14">
        <f t="shared" si="200"/>
        <v>2</v>
      </c>
      <c r="AH889" s="14" t="str">
        <f t="shared" si="201"/>
        <v>噬日魂火-1</v>
      </c>
      <c r="AI889" s="14">
        <f t="shared" si="202"/>
        <v>1</v>
      </c>
      <c r="AJ889" s="14" t="str">
        <f>INDEX(挂机升级突破!$BX$4:$CH$4,INDEX(挂机升级突破!$BU$6:$BU$57,卡牌消耗!AI889))</f>
        <v>金币</v>
      </c>
      <c r="AK889" s="14">
        <f>ROUND(INDEX(挂机升级突破!$BN$6:$BN$57,卡牌消耗!AI889)*INDEX(卡牌消耗!$B$8:$F$8,AG889)/$Q$4/50,0)*50</f>
        <v>400</v>
      </c>
      <c r="AL889" s="14" t="str">
        <f>IF(AD889&gt;0,INDEX(挂机升级突破!$BX$4:$CH$4,AD889),"")</f>
        <v>绿色基础材料</v>
      </c>
      <c r="AM889" s="14">
        <f>ROUND(INDEX(挂机升级突破!$BX$6:$CH$57,卡牌消耗!AI889,AD889)*INDEX(卡牌消耗!$B$5:$F$5,AG889)/$Q$4/5,0)*5</f>
        <v>665</v>
      </c>
      <c r="AN889" s="14" t="str">
        <f>IF(AE889&gt;0,INDEX(挂机升级突破!$BX$4:$CH$4,AE889),"")</f>
        <v/>
      </c>
      <c r="AO889" s="14" t="str">
        <f>IF(AE889&gt;0,ROUND(INDEX(挂机升级突破!$BX$6:$CH$57,卡牌消耗!AI889,AE889)*INDEX(卡牌消耗!$B$7:$F$7,AG889)/$Q$4,0),"")</f>
        <v/>
      </c>
    </row>
    <row r="890" spans="27:41" ht="16.5" x14ac:dyDescent="0.2">
      <c r="AA890" s="104">
        <v>886</v>
      </c>
      <c r="AB890" s="14">
        <f t="shared" si="198"/>
        <v>18</v>
      </c>
      <c r="AC890" s="14">
        <f>INDEX(挂机升级突破!$BU$6:$BU$57,卡牌消耗!AI890)</f>
        <v>11</v>
      </c>
      <c r="AD890" s="14">
        <f>INDEX(挂机升级突破!BV$6:BV$57,卡牌消耗!$AI890)</f>
        <v>1</v>
      </c>
      <c r="AE890" s="14">
        <f>INDEX(挂机升级突破!BW$6:BW$57,卡牌消耗!$AI890)</f>
        <v>0</v>
      </c>
      <c r="AF890" s="14" t="str">
        <f t="shared" si="199"/>
        <v>噬日</v>
      </c>
      <c r="AG890" s="14">
        <f t="shared" si="200"/>
        <v>2</v>
      </c>
      <c r="AH890" s="14" t="str">
        <f t="shared" si="201"/>
        <v>噬日魂火-2</v>
      </c>
      <c r="AI890" s="14">
        <f t="shared" si="202"/>
        <v>2</v>
      </c>
      <c r="AJ890" s="14" t="str">
        <f>INDEX(挂机升级突破!$BX$4:$CH$4,INDEX(挂机升级突破!$BU$6:$BU$57,卡牌消耗!AI890))</f>
        <v>金币</v>
      </c>
      <c r="AK890" s="14">
        <f>ROUND(INDEX(挂机升级突破!$BN$6:$BN$57,卡牌消耗!AI890)*INDEX(卡牌消耗!$B$8:$F$8,AG890)/$Q$4/50,0)*50</f>
        <v>550</v>
      </c>
      <c r="AL890" s="14" t="str">
        <f>IF(AD890&gt;0,INDEX(挂机升级突破!$BX$4:$CH$4,AD890),"")</f>
        <v>绿色基础材料</v>
      </c>
      <c r="AM890" s="14">
        <f>ROUND(INDEX(挂机升级突破!$BX$6:$CH$57,卡牌消耗!AI890,AD890)*INDEX(卡牌消耗!$B$5:$F$5,AG890)/$Q$4/5,0)*5</f>
        <v>2000</v>
      </c>
      <c r="AN890" s="14" t="str">
        <f>IF(AE890&gt;0,INDEX(挂机升级突破!$BX$4:$CH$4,AE890),"")</f>
        <v/>
      </c>
      <c r="AO890" s="14" t="str">
        <f>IF(AE890&gt;0,ROUND(INDEX(挂机升级突破!$BX$6:$CH$57,卡牌消耗!AI890,AE890)*INDEX(卡牌消耗!$B$7:$F$7,AG890)/$Q$4,0),"")</f>
        <v/>
      </c>
    </row>
    <row r="891" spans="27:41" ht="16.5" x14ac:dyDescent="0.2">
      <c r="AA891" s="104">
        <v>887</v>
      </c>
      <c r="AB891" s="14">
        <f t="shared" si="198"/>
        <v>18</v>
      </c>
      <c r="AC891" s="14">
        <f>INDEX(挂机升级突破!$BU$6:$BU$57,卡牌消耗!AI891)</f>
        <v>11</v>
      </c>
      <c r="AD891" s="14">
        <f>INDEX(挂机升级突破!BV$6:BV$57,卡牌消耗!$AI891)</f>
        <v>1</v>
      </c>
      <c r="AE891" s="14">
        <f>INDEX(挂机升级突破!BW$6:BW$57,卡牌消耗!$AI891)</f>
        <v>0</v>
      </c>
      <c r="AF891" s="14" t="str">
        <f t="shared" si="199"/>
        <v>噬日</v>
      </c>
      <c r="AG891" s="14">
        <f t="shared" si="200"/>
        <v>2</v>
      </c>
      <c r="AH891" s="14" t="str">
        <f t="shared" si="201"/>
        <v>噬日魂火-3</v>
      </c>
      <c r="AI891" s="14">
        <f t="shared" si="202"/>
        <v>3</v>
      </c>
      <c r="AJ891" s="14" t="str">
        <f>INDEX(挂机升级突破!$BX$4:$CH$4,INDEX(挂机升级突破!$BU$6:$BU$57,卡牌消耗!AI891))</f>
        <v>金币</v>
      </c>
      <c r="AK891" s="14">
        <f>ROUND(INDEX(挂机升级突破!$BN$6:$BN$57,卡牌消耗!AI891)*INDEX(卡牌消耗!$B$8:$F$8,AG891)/$Q$4/50,0)*50</f>
        <v>550</v>
      </c>
      <c r="AL891" s="14" t="str">
        <f>IF(AD891&gt;0,INDEX(挂机升级突破!$BX$4:$CH$4,AD891),"")</f>
        <v>绿色基础材料</v>
      </c>
      <c r="AM891" s="14">
        <f>ROUND(INDEX(挂机升级突破!$BX$6:$CH$57,卡牌消耗!AI891,AD891)*INDEX(卡牌消耗!$B$5:$F$5,AG891)/$Q$4/5,0)*5</f>
        <v>2670</v>
      </c>
      <c r="AN891" s="14" t="str">
        <f>IF(AE891&gt;0,INDEX(挂机升级突破!$BX$4:$CH$4,AE891),"")</f>
        <v/>
      </c>
      <c r="AO891" s="14" t="str">
        <f>IF(AE891&gt;0,ROUND(INDEX(挂机升级突破!$BX$6:$CH$57,卡牌消耗!AI891,AE891)*INDEX(卡牌消耗!$B$7:$F$7,AG891)/$Q$4,0),"")</f>
        <v/>
      </c>
    </row>
    <row r="892" spans="27:41" ht="16.5" x14ac:dyDescent="0.2">
      <c r="AA892" s="104">
        <v>888</v>
      </c>
      <c r="AB892" s="14">
        <f t="shared" si="198"/>
        <v>18</v>
      </c>
      <c r="AC892" s="14">
        <f>INDEX(挂机升级突破!$BU$6:$BU$57,卡牌消耗!AI892)</f>
        <v>11</v>
      </c>
      <c r="AD892" s="14">
        <f>INDEX(挂机升级突破!BV$6:BV$57,卡牌消耗!$AI892)</f>
        <v>1</v>
      </c>
      <c r="AE892" s="14">
        <f>INDEX(挂机升级突破!BW$6:BW$57,卡牌消耗!$AI892)</f>
        <v>0</v>
      </c>
      <c r="AF892" s="14" t="str">
        <f t="shared" si="199"/>
        <v>噬日</v>
      </c>
      <c r="AG892" s="14">
        <f t="shared" si="200"/>
        <v>2</v>
      </c>
      <c r="AH892" s="14" t="str">
        <f t="shared" si="201"/>
        <v>噬日魂火-4</v>
      </c>
      <c r="AI892" s="14">
        <f t="shared" si="202"/>
        <v>4</v>
      </c>
      <c r="AJ892" s="14" t="str">
        <f>INDEX(挂机升级突破!$BX$4:$CH$4,INDEX(挂机升级突破!$BU$6:$BU$57,卡牌消耗!AI892))</f>
        <v>金币</v>
      </c>
      <c r="AK892" s="14">
        <f>ROUND(INDEX(挂机升级突破!$BN$6:$BN$57,卡牌消耗!AI892)*INDEX(卡牌消耗!$B$8:$F$8,AG892)/$Q$4/50,0)*50</f>
        <v>550</v>
      </c>
      <c r="AL892" s="14" t="str">
        <f>IF(AD892&gt;0,INDEX(挂机升级突破!$BX$4:$CH$4,AD892),"")</f>
        <v>绿色基础材料</v>
      </c>
      <c r="AM892" s="14">
        <f>ROUND(INDEX(挂机升级突破!$BX$6:$CH$57,卡牌消耗!AI892,AD892)*INDEX(卡牌消耗!$B$5:$F$5,AG892)/$Q$4/5,0)*5</f>
        <v>4005</v>
      </c>
      <c r="AN892" s="14" t="str">
        <f>IF(AE892&gt;0,INDEX(挂机升级突破!$BX$4:$CH$4,AE892),"")</f>
        <v/>
      </c>
      <c r="AO892" s="14" t="str">
        <f>IF(AE892&gt;0,ROUND(INDEX(挂机升级突破!$BX$6:$CH$57,卡牌消耗!AI892,AE892)*INDEX(卡牌消耗!$B$7:$F$7,AG892)/$Q$4,0),"")</f>
        <v/>
      </c>
    </row>
    <row r="893" spans="27:41" ht="16.5" x14ac:dyDescent="0.2">
      <c r="AA893" s="104">
        <v>889</v>
      </c>
      <c r="AB893" s="14">
        <f t="shared" si="198"/>
        <v>18</v>
      </c>
      <c r="AC893" s="14">
        <f>INDEX(挂机升级突破!$BU$6:$BU$57,卡牌消耗!AI893)</f>
        <v>11</v>
      </c>
      <c r="AD893" s="14">
        <f>INDEX(挂机升级突破!BV$6:BV$57,卡牌消耗!$AI893)</f>
        <v>1</v>
      </c>
      <c r="AE893" s="14">
        <f>INDEX(挂机升级突破!BW$6:BW$57,卡牌消耗!$AI893)</f>
        <v>0</v>
      </c>
      <c r="AF893" s="14" t="str">
        <f t="shared" si="199"/>
        <v>噬日</v>
      </c>
      <c r="AG893" s="14">
        <f t="shared" si="200"/>
        <v>2</v>
      </c>
      <c r="AH893" s="14" t="str">
        <f t="shared" si="201"/>
        <v>噬日魂火-5</v>
      </c>
      <c r="AI893" s="14">
        <f t="shared" si="202"/>
        <v>5</v>
      </c>
      <c r="AJ893" s="14" t="str">
        <f>INDEX(挂机升级突破!$BX$4:$CH$4,INDEX(挂机升级突破!$BU$6:$BU$57,卡牌消耗!AI893))</f>
        <v>金币</v>
      </c>
      <c r="AK893" s="14">
        <f>ROUND(INDEX(挂机升级突破!$BN$6:$BN$57,卡牌消耗!AI893)*INDEX(卡牌消耗!$B$8:$F$8,AG893)/$Q$4/50,0)*50</f>
        <v>550</v>
      </c>
      <c r="AL893" s="14" t="str">
        <f>IF(AD893&gt;0,INDEX(挂机升级突破!$BX$4:$CH$4,AD893),"")</f>
        <v>绿色基础材料</v>
      </c>
      <c r="AM893" s="14">
        <f>ROUND(INDEX(挂机升级突破!$BX$6:$CH$57,卡牌消耗!AI893,AD893)*INDEX(卡牌消耗!$B$5:$F$5,AG893)/$Q$4/5,0)*5</f>
        <v>4005</v>
      </c>
      <c r="AN893" s="14" t="str">
        <f>IF(AE893&gt;0,INDEX(挂机升级突破!$BX$4:$CH$4,AE893),"")</f>
        <v/>
      </c>
      <c r="AO893" s="14" t="str">
        <f>IF(AE893&gt;0,ROUND(INDEX(挂机升级突破!$BX$6:$CH$57,卡牌消耗!AI893,AE893)*INDEX(卡牌消耗!$B$7:$F$7,AG893)/$Q$4,0),"")</f>
        <v/>
      </c>
    </row>
    <row r="894" spans="27:41" ht="16.5" x14ac:dyDescent="0.2">
      <c r="AA894" s="104">
        <v>890</v>
      </c>
      <c r="AB894" s="14">
        <f t="shared" si="198"/>
        <v>18</v>
      </c>
      <c r="AC894" s="14">
        <f>INDEX(挂机升级突破!$BU$6:$BU$57,卡牌消耗!AI894)</f>
        <v>11</v>
      </c>
      <c r="AD894" s="14">
        <f>INDEX(挂机升级突破!BV$6:BV$57,卡牌消耗!$AI894)</f>
        <v>2</v>
      </c>
      <c r="AE894" s="14">
        <f>INDEX(挂机升级突破!BW$6:BW$57,卡牌消耗!$AI894)</f>
        <v>0</v>
      </c>
      <c r="AF894" s="14" t="str">
        <f t="shared" si="199"/>
        <v>噬日</v>
      </c>
      <c r="AG894" s="14">
        <f t="shared" si="200"/>
        <v>2</v>
      </c>
      <c r="AH894" s="14" t="str">
        <f t="shared" si="201"/>
        <v>噬日魂火-6</v>
      </c>
      <c r="AI894" s="14">
        <f t="shared" si="202"/>
        <v>6</v>
      </c>
      <c r="AJ894" s="14" t="str">
        <f>INDEX(挂机升级突破!$BX$4:$CH$4,INDEX(挂机升级突破!$BU$6:$BU$57,卡牌消耗!AI894))</f>
        <v>金币</v>
      </c>
      <c r="AK894" s="14">
        <f>ROUND(INDEX(挂机升级突破!$BN$6:$BN$57,卡牌消耗!AI894)*INDEX(卡牌消耗!$B$8:$F$8,AG894)/$Q$4/50,0)*50</f>
        <v>700</v>
      </c>
      <c r="AL894" s="14" t="str">
        <f>IF(AD894&gt;0,INDEX(挂机升级突破!$BX$4:$CH$4,AD894),"")</f>
        <v>蓝色基础材料</v>
      </c>
      <c r="AM894" s="14">
        <f>ROUND(INDEX(挂机升级突破!$BX$6:$CH$57,卡牌消耗!AI894,AD894)*INDEX(卡牌消耗!$B$5:$F$5,AG894)/$Q$4/5,0)*5</f>
        <v>385</v>
      </c>
      <c r="AN894" s="14" t="str">
        <f>IF(AE894&gt;0,INDEX(挂机升级突破!$BX$4:$CH$4,AE894),"")</f>
        <v/>
      </c>
      <c r="AO894" s="14" t="str">
        <f>IF(AE894&gt;0,ROUND(INDEX(挂机升级突破!$BX$6:$CH$57,卡牌消耗!AI894,AE894)*INDEX(卡牌消耗!$B$7:$F$7,AG894)/$Q$4,0),"")</f>
        <v/>
      </c>
    </row>
    <row r="895" spans="27:41" ht="16.5" x14ac:dyDescent="0.2">
      <c r="AA895" s="104">
        <v>891</v>
      </c>
      <c r="AB895" s="14">
        <f t="shared" si="198"/>
        <v>18</v>
      </c>
      <c r="AC895" s="14">
        <f>INDEX(挂机升级突破!$BU$6:$BU$57,卡牌消耗!AI895)</f>
        <v>11</v>
      </c>
      <c r="AD895" s="14">
        <f>INDEX(挂机升级突破!BV$6:BV$57,卡牌消耗!$AI895)</f>
        <v>2</v>
      </c>
      <c r="AE895" s="14">
        <f>INDEX(挂机升级突破!BW$6:BW$57,卡牌消耗!$AI895)</f>
        <v>0</v>
      </c>
      <c r="AF895" s="14" t="str">
        <f t="shared" si="199"/>
        <v>噬日</v>
      </c>
      <c r="AG895" s="14">
        <f t="shared" si="200"/>
        <v>2</v>
      </c>
      <c r="AH895" s="14" t="str">
        <f t="shared" si="201"/>
        <v>噬日魂火-7</v>
      </c>
      <c r="AI895" s="14">
        <f t="shared" si="202"/>
        <v>7</v>
      </c>
      <c r="AJ895" s="14" t="str">
        <f>INDEX(挂机升级突破!$BX$4:$CH$4,INDEX(挂机升级突破!$BU$6:$BU$57,卡牌消耗!AI895))</f>
        <v>金币</v>
      </c>
      <c r="AK895" s="14">
        <f>ROUND(INDEX(挂机升级突破!$BN$6:$BN$57,卡牌消耗!AI895)*INDEX(卡牌消耗!$B$8:$F$8,AG895)/$Q$4/50,0)*50</f>
        <v>700</v>
      </c>
      <c r="AL895" s="14" t="str">
        <f>IF(AD895&gt;0,INDEX(挂机升级突破!$BX$4:$CH$4,AD895),"")</f>
        <v>蓝色基础材料</v>
      </c>
      <c r="AM895" s="14">
        <f>ROUND(INDEX(挂机升级突破!$BX$6:$CH$57,卡牌消耗!AI895,AD895)*INDEX(卡牌消耗!$B$5:$F$5,AG895)/$Q$4/5,0)*5</f>
        <v>385</v>
      </c>
      <c r="AN895" s="14" t="str">
        <f>IF(AE895&gt;0,INDEX(挂机升级突破!$BX$4:$CH$4,AE895),"")</f>
        <v/>
      </c>
      <c r="AO895" s="14" t="str">
        <f>IF(AE895&gt;0,ROUND(INDEX(挂机升级突破!$BX$6:$CH$57,卡牌消耗!AI895,AE895)*INDEX(卡牌消耗!$B$7:$F$7,AG895)/$Q$4,0),"")</f>
        <v/>
      </c>
    </row>
    <row r="896" spans="27:41" ht="16.5" x14ac:dyDescent="0.2">
      <c r="AA896" s="104">
        <v>892</v>
      </c>
      <c r="AB896" s="14">
        <f t="shared" si="198"/>
        <v>18</v>
      </c>
      <c r="AC896" s="14">
        <f>INDEX(挂机升级突破!$BU$6:$BU$57,卡牌消耗!AI896)</f>
        <v>11</v>
      </c>
      <c r="AD896" s="14">
        <f>INDEX(挂机升级突破!BV$6:BV$57,卡牌消耗!$AI896)</f>
        <v>2</v>
      </c>
      <c r="AE896" s="14">
        <f>INDEX(挂机升级突破!BW$6:BW$57,卡牌消耗!$AI896)</f>
        <v>0</v>
      </c>
      <c r="AF896" s="14" t="str">
        <f t="shared" si="199"/>
        <v>噬日</v>
      </c>
      <c r="AG896" s="14">
        <f t="shared" si="200"/>
        <v>2</v>
      </c>
      <c r="AH896" s="14" t="str">
        <f t="shared" si="201"/>
        <v>噬日魂火-8</v>
      </c>
      <c r="AI896" s="14">
        <f t="shared" si="202"/>
        <v>8</v>
      </c>
      <c r="AJ896" s="14" t="str">
        <f>INDEX(挂机升级突破!$BX$4:$CH$4,INDEX(挂机升级突破!$BU$6:$BU$57,卡牌消耗!AI896))</f>
        <v>金币</v>
      </c>
      <c r="AK896" s="14">
        <f>ROUND(INDEX(挂机升级突破!$BN$6:$BN$57,卡牌消耗!AI896)*INDEX(卡牌消耗!$B$8:$F$8,AG896)/$Q$4/50,0)*50</f>
        <v>1050</v>
      </c>
      <c r="AL896" s="14" t="str">
        <f>IF(AD896&gt;0,INDEX(挂机升级突破!$BX$4:$CH$4,AD896),"")</f>
        <v>蓝色基础材料</v>
      </c>
      <c r="AM896" s="14">
        <f>ROUND(INDEX(挂机升级突破!$BX$6:$CH$57,卡牌消耗!AI896,AD896)*INDEX(卡牌消耗!$B$5:$F$5,AG896)/$Q$4/5,0)*5</f>
        <v>770</v>
      </c>
      <c r="AN896" s="14" t="str">
        <f>IF(AE896&gt;0,INDEX(挂机升级突破!$BX$4:$CH$4,AE896),"")</f>
        <v/>
      </c>
      <c r="AO896" s="14" t="str">
        <f>IF(AE896&gt;0,ROUND(INDEX(挂机升级突破!$BX$6:$CH$57,卡牌消耗!AI896,AE896)*INDEX(卡牌消耗!$B$7:$F$7,AG896)/$Q$4,0),"")</f>
        <v/>
      </c>
    </row>
    <row r="897" spans="27:41" ht="16.5" x14ac:dyDescent="0.2">
      <c r="AA897" s="104">
        <v>893</v>
      </c>
      <c r="AB897" s="14">
        <f t="shared" si="198"/>
        <v>18</v>
      </c>
      <c r="AC897" s="14">
        <f>INDEX(挂机升级突破!$BU$6:$BU$57,卡牌消耗!AI897)</f>
        <v>11</v>
      </c>
      <c r="AD897" s="14">
        <f>INDEX(挂机升级突破!BV$6:BV$57,卡牌消耗!$AI897)</f>
        <v>2</v>
      </c>
      <c r="AE897" s="14">
        <f>INDEX(挂机升级突破!BW$6:BW$57,卡牌消耗!$AI897)</f>
        <v>0</v>
      </c>
      <c r="AF897" s="14" t="str">
        <f t="shared" si="199"/>
        <v>噬日</v>
      </c>
      <c r="AG897" s="14">
        <f t="shared" si="200"/>
        <v>2</v>
      </c>
      <c r="AH897" s="14" t="str">
        <f t="shared" si="201"/>
        <v>噬日魂火-9</v>
      </c>
      <c r="AI897" s="14">
        <f t="shared" si="202"/>
        <v>9</v>
      </c>
      <c r="AJ897" s="14" t="str">
        <f>INDEX(挂机升级突破!$BX$4:$CH$4,INDEX(挂机升级突破!$BU$6:$BU$57,卡牌消耗!AI897))</f>
        <v>金币</v>
      </c>
      <c r="AK897" s="14">
        <f>ROUND(INDEX(挂机升级突破!$BN$6:$BN$57,卡牌消耗!AI897)*INDEX(卡牌消耗!$B$8:$F$8,AG897)/$Q$4/50,0)*50</f>
        <v>1050</v>
      </c>
      <c r="AL897" s="14" t="str">
        <f>IF(AD897&gt;0,INDEX(挂机升级突破!$BX$4:$CH$4,AD897),"")</f>
        <v>蓝色基础材料</v>
      </c>
      <c r="AM897" s="14">
        <f>ROUND(INDEX(挂机升级突破!$BX$6:$CH$57,卡牌消耗!AI897,AD897)*INDEX(卡牌消耗!$B$5:$F$5,AG897)/$Q$4/5,0)*5</f>
        <v>770</v>
      </c>
      <c r="AN897" s="14" t="str">
        <f>IF(AE897&gt;0,INDEX(挂机升级突破!$BX$4:$CH$4,AE897),"")</f>
        <v/>
      </c>
      <c r="AO897" s="14" t="str">
        <f>IF(AE897&gt;0,ROUND(INDEX(挂机升级突破!$BX$6:$CH$57,卡牌消耗!AI897,AE897)*INDEX(卡牌消耗!$B$7:$F$7,AG897)/$Q$4,0),"")</f>
        <v/>
      </c>
    </row>
    <row r="898" spans="27:41" ht="16.5" x14ac:dyDescent="0.2">
      <c r="AA898" s="104">
        <v>894</v>
      </c>
      <c r="AB898" s="14">
        <f t="shared" si="198"/>
        <v>18</v>
      </c>
      <c r="AC898" s="14">
        <f>INDEX(挂机升级突破!$BU$6:$BU$57,卡牌消耗!AI898)</f>
        <v>11</v>
      </c>
      <c r="AD898" s="14">
        <f>INDEX(挂机升级突破!BV$6:BV$57,卡牌消耗!$AI898)</f>
        <v>2</v>
      </c>
      <c r="AE898" s="14">
        <f>INDEX(挂机升级突破!BW$6:BW$57,卡牌消耗!$AI898)</f>
        <v>0</v>
      </c>
      <c r="AF898" s="14" t="str">
        <f t="shared" si="199"/>
        <v>噬日</v>
      </c>
      <c r="AG898" s="14">
        <f t="shared" si="200"/>
        <v>2</v>
      </c>
      <c r="AH898" s="14" t="str">
        <f t="shared" si="201"/>
        <v>噬日魂火-10</v>
      </c>
      <c r="AI898" s="14">
        <f t="shared" si="202"/>
        <v>10</v>
      </c>
      <c r="AJ898" s="14" t="str">
        <f>INDEX(挂机升级突破!$BX$4:$CH$4,INDEX(挂机升级突破!$BU$6:$BU$57,卡牌消耗!AI898))</f>
        <v>金币</v>
      </c>
      <c r="AK898" s="14">
        <f>ROUND(INDEX(挂机升级突破!$BN$6:$BN$57,卡牌消耗!AI898)*INDEX(卡牌消耗!$B$8:$F$8,AG898)/$Q$4/50,0)*50</f>
        <v>1750</v>
      </c>
      <c r="AL898" s="14" t="str">
        <f>IF(AD898&gt;0,INDEX(挂机升级突破!$BX$4:$CH$4,AD898),"")</f>
        <v>蓝色基础材料</v>
      </c>
      <c r="AM898" s="14">
        <f>ROUND(INDEX(挂机升级突破!$BX$6:$CH$57,卡牌消耗!AI898,AD898)*INDEX(卡牌消耗!$B$5:$F$5,AG898)/$Q$4/5,0)*5</f>
        <v>1155</v>
      </c>
      <c r="AN898" s="14" t="str">
        <f>IF(AE898&gt;0,INDEX(挂机升级突破!$BX$4:$CH$4,AE898),"")</f>
        <v/>
      </c>
      <c r="AO898" s="14" t="str">
        <f>IF(AE898&gt;0,ROUND(INDEX(挂机升级突破!$BX$6:$CH$57,卡牌消耗!AI898,AE898)*INDEX(卡牌消耗!$B$7:$F$7,AG898)/$Q$4,0),"")</f>
        <v/>
      </c>
    </row>
    <row r="899" spans="27:41" ht="16.5" x14ac:dyDescent="0.2">
      <c r="AA899" s="104">
        <v>895</v>
      </c>
      <c r="AB899" s="14">
        <f t="shared" si="198"/>
        <v>18</v>
      </c>
      <c r="AC899" s="14">
        <f>INDEX(挂机升级突破!$BU$6:$BU$57,卡牌消耗!AI899)</f>
        <v>11</v>
      </c>
      <c r="AD899" s="14">
        <f>INDEX(挂机升级突破!BV$6:BV$57,卡牌消耗!$AI899)</f>
        <v>2</v>
      </c>
      <c r="AE899" s="14">
        <f>INDEX(挂机升级突破!BW$6:BW$57,卡牌消耗!$AI899)</f>
        <v>0</v>
      </c>
      <c r="AF899" s="14" t="str">
        <f t="shared" si="199"/>
        <v>噬日</v>
      </c>
      <c r="AG899" s="14">
        <f t="shared" si="200"/>
        <v>2</v>
      </c>
      <c r="AH899" s="14" t="str">
        <f t="shared" si="201"/>
        <v>噬日魂火-11</v>
      </c>
      <c r="AI899" s="14">
        <f t="shared" si="202"/>
        <v>11</v>
      </c>
      <c r="AJ899" s="14" t="str">
        <f>INDEX(挂机升级突破!$BX$4:$CH$4,INDEX(挂机升级突破!$BU$6:$BU$57,卡牌消耗!AI899))</f>
        <v>金币</v>
      </c>
      <c r="AK899" s="14">
        <f>ROUND(INDEX(挂机升级突破!$BN$6:$BN$57,卡牌消耗!AI899)*INDEX(卡牌消耗!$B$8:$F$8,AG899)/$Q$4/50,0)*50</f>
        <v>1750</v>
      </c>
      <c r="AL899" s="14" t="str">
        <f>IF(AD899&gt;0,INDEX(挂机升级突破!$BX$4:$CH$4,AD899),"")</f>
        <v>蓝色基础材料</v>
      </c>
      <c r="AM899" s="14">
        <f>ROUND(INDEX(挂机升级突破!$BX$6:$CH$57,卡牌消耗!AI899,AD899)*INDEX(卡牌消耗!$B$5:$F$5,AG899)/$Q$4/5,0)*5</f>
        <v>1155</v>
      </c>
      <c r="AN899" s="14" t="str">
        <f>IF(AE899&gt;0,INDEX(挂机升级突破!$BX$4:$CH$4,AE899),"")</f>
        <v/>
      </c>
      <c r="AO899" s="14" t="str">
        <f>IF(AE899&gt;0,ROUND(INDEX(挂机升级突破!$BX$6:$CH$57,卡牌消耗!AI899,AE899)*INDEX(卡牌消耗!$B$7:$F$7,AG899)/$Q$4,0),"")</f>
        <v/>
      </c>
    </row>
    <row r="900" spans="27:41" ht="16.5" x14ac:dyDescent="0.2">
      <c r="AA900" s="104">
        <v>896</v>
      </c>
      <c r="AB900" s="14">
        <f t="shared" si="198"/>
        <v>18</v>
      </c>
      <c r="AC900" s="14">
        <f>INDEX(挂机升级突破!$BU$6:$BU$57,卡牌消耗!AI900)</f>
        <v>11</v>
      </c>
      <c r="AD900" s="14">
        <f>INDEX(挂机升级突破!BV$6:BV$57,卡牌消耗!$AI900)</f>
        <v>2</v>
      </c>
      <c r="AE900" s="14">
        <f>INDEX(挂机升级突破!BW$6:BW$57,卡牌消耗!$AI900)</f>
        <v>0</v>
      </c>
      <c r="AF900" s="14" t="str">
        <f t="shared" si="199"/>
        <v>噬日</v>
      </c>
      <c r="AG900" s="14">
        <f t="shared" si="200"/>
        <v>2</v>
      </c>
      <c r="AH900" s="14" t="str">
        <f t="shared" si="201"/>
        <v>噬日魂火-12</v>
      </c>
      <c r="AI900" s="14">
        <f t="shared" si="202"/>
        <v>12</v>
      </c>
      <c r="AJ900" s="14" t="str">
        <f>INDEX(挂机升级突破!$BX$4:$CH$4,INDEX(挂机升级突破!$BU$6:$BU$57,卡牌消耗!AI900))</f>
        <v>金币</v>
      </c>
      <c r="AK900" s="14">
        <f>ROUND(INDEX(挂机升级突破!$BN$6:$BN$57,卡牌消耗!AI900)*INDEX(卡牌消耗!$B$8:$F$8,AG900)/$Q$4/50,0)*50</f>
        <v>1500</v>
      </c>
      <c r="AL900" s="14" t="str">
        <f>IF(AD900&gt;0,INDEX(挂机升级突破!$BX$4:$CH$4,AD900),"")</f>
        <v>蓝色基础材料</v>
      </c>
      <c r="AM900" s="14">
        <f>ROUND(INDEX(挂机升级突破!$BX$6:$CH$57,卡牌消耗!AI900,AD900)*INDEX(卡牌消耗!$B$5:$F$5,AG900)/$Q$4/5,0)*5</f>
        <v>1535</v>
      </c>
      <c r="AN900" s="14" t="str">
        <f>IF(AE900&gt;0,INDEX(挂机升级突破!$BX$4:$CH$4,AE900),"")</f>
        <v/>
      </c>
      <c r="AO900" s="14" t="str">
        <f>IF(AE900&gt;0,ROUND(INDEX(挂机升级突破!$BX$6:$CH$57,卡牌消耗!AI900,AE900)*INDEX(卡牌消耗!$B$7:$F$7,AG900)/$Q$4,0),"")</f>
        <v/>
      </c>
    </row>
    <row r="901" spans="27:41" ht="16.5" x14ac:dyDescent="0.2">
      <c r="AA901" s="104">
        <v>897</v>
      </c>
      <c r="AB901" s="14">
        <f t="shared" si="198"/>
        <v>18</v>
      </c>
      <c r="AC901" s="14">
        <f>INDEX(挂机升级突破!$BU$6:$BU$57,卡牌消耗!AI901)</f>
        <v>11</v>
      </c>
      <c r="AD901" s="14">
        <f>INDEX(挂机升级突破!BV$6:BV$57,卡牌消耗!$AI901)</f>
        <v>2</v>
      </c>
      <c r="AE901" s="14">
        <f>INDEX(挂机升级突破!BW$6:BW$57,卡牌消耗!$AI901)</f>
        <v>0</v>
      </c>
      <c r="AF901" s="14" t="str">
        <f t="shared" si="199"/>
        <v>噬日</v>
      </c>
      <c r="AG901" s="14">
        <f t="shared" si="200"/>
        <v>2</v>
      </c>
      <c r="AH901" s="14" t="str">
        <f t="shared" si="201"/>
        <v>噬日魂火-13</v>
      </c>
      <c r="AI901" s="14">
        <f t="shared" si="202"/>
        <v>13</v>
      </c>
      <c r="AJ901" s="14" t="str">
        <f>INDEX(挂机升级突破!$BX$4:$CH$4,INDEX(挂机升级突破!$BU$6:$BU$57,卡牌消耗!AI901))</f>
        <v>金币</v>
      </c>
      <c r="AK901" s="14">
        <f>ROUND(INDEX(挂机升级突破!$BN$6:$BN$57,卡牌消耗!AI901)*INDEX(卡牌消耗!$B$8:$F$8,AG901)/$Q$4/50,0)*50</f>
        <v>1500</v>
      </c>
      <c r="AL901" s="14" t="str">
        <f>IF(AD901&gt;0,INDEX(挂机升级突破!$BX$4:$CH$4,AD901),"")</f>
        <v>蓝色基础材料</v>
      </c>
      <c r="AM901" s="14">
        <f>ROUND(INDEX(挂机升级突破!$BX$6:$CH$57,卡牌消耗!AI901,AD901)*INDEX(卡牌消耗!$B$5:$F$5,AG901)/$Q$4/5,0)*5</f>
        <v>1535</v>
      </c>
      <c r="AN901" s="14" t="str">
        <f>IF(AE901&gt;0,INDEX(挂机升级突破!$BX$4:$CH$4,AE901),"")</f>
        <v/>
      </c>
      <c r="AO901" s="14" t="str">
        <f>IF(AE901&gt;0,ROUND(INDEX(挂机升级突破!$BX$6:$CH$57,卡牌消耗!AI901,AE901)*INDEX(卡牌消耗!$B$7:$F$7,AG901)/$Q$4,0),"")</f>
        <v/>
      </c>
    </row>
    <row r="902" spans="27:41" ht="16.5" x14ac:dyDescent="0.2">
      <c r="AA902" s="104">
        <v>898</v>
      </c>
      <c r="AB902" s="14">
        <f t="shared" ref="AB902:AB965" si="203">INT((AA902-1)/52)+1</f>
        <v>18</v>
      </c>
      <c r="AC902" s="14">
        <f>INDEX(挂机升级突破!$BU$6:$BU$57,卡牌消耗!AI902)</f>
        <v>11</v>
      </c>
      <c r="AD902" s="14">
        <f>INDEX(挂机升级突破!BV$6:BV$57,卡牌消耗!$AI902)</f>
        <v>3</v>
      </c>
      <c r="AE902" s="14">
        <f>INDEX(挂机升级突破!BW$6:BW$57,卡牌消耗!$AI902)</f>
        <v>0</v>
      </c>
      <c r="AF902" s="14" t="str">
        <f t="shared" ref="AF902:AF965" si="204">INDEX($B$13:$B$40,AB902)</f>
        <v>噬日</v>
      </c>
      <c r="AG902" s="14">
        <f t="shared" ref="AG902:AG965" si="205">INDEX($C$13:$C$40,AB902)</f>
        <v>2</v>
      </c>
      <c r="AH902" s="14" t="str">
        <f t="shared" ref="AH902:AH965" si="206">AF902&amp;"魂火-"&amp;AI902</f>
        <v>噬日魂火-14</v>
      </c>
      <c r="AI902" s="14">
        <f t="shared" ref="AI902:AI965" si="207">AA902-(AB902-1)*52</f>
        <v>14</v>
      </c>
      <c r="AJ902" s="14" t="str">
        <f>INDEX(挂机升级突破!$BX$4:$CH$4,INDEX(挂机升级突破!$BU$6:$BU$57,卡牌消耗!AI902))</f>
        <v>金币</v>
      </c>
      <c r="AK902" s="14">
        <f>ROUND(INDEX(挂机升级突破!$BN$6:$BN$57,卡牌消耗!AI902)*INDEX(卡牌消耗!$B$8:$F$8,AG902)/$Q$4/50,0)*50</f>
        <v>1650</v>
      </c>
      <c r="AL902" s="14" t="str">
        <f>IF(AD902&gt;0,INDEX(挂机升级突破!$BX$4:$CH$4,AD902),"")</f>
        <v>紫色基础材料</v>
      </c>
      <c r="AM902" s="14">
        <f>ROUND(INDEX(挂机升级突破!$BX$6:$CH$57,卡牌消耗!AI902,AD902)*INDEX(卡牌消耗!$B$5:$F$5,AG902)/$Q$4/5,0)*5</f>
        <v>135</v>
      </c>
      <c r="AN902" s="14" t="str">
        <f>IF(AE902&gt;0,INDEX(挂机升级突破!$BX$4:$CH$4,AE902),"")</f>
        <v/>
      </c>
      <c r="AO902" s="14" t="str">
        <f>IF(AE902&gt;0,ROUND(INDEX(挂机升级突破!$BX$6:$CH$57,卡牌消耗!AI902,AE902)*INDEX(卡牌消耗!$B$7:$F$7,AG902)/$Q$4,0),"")</f>
        <v/>
      </c>
    </row>
    <row r="903" spans="27:41" ht="16.5" x14ac:dyDescent="0.2">
      <c r="AA903" s="104">
        <v>899</v>
      </c>
      <c r="AB903" s="14">
        <f t="shared" si="203"/>
        <v>18</v>
      </c>
      <c r="AC903" s="14">
        <f>INDEX(挂机升级突破!$BU$6:$BU$57,卡牌消耗!AI903)</f>
        <v>11</v>
      </c>
      <c r="AD903" s="14">
        <f>INDEX(挂机升级突破!BV$6:BV$57,卡牌消耗!$AI903)</f>
        <v>3</v>
      </c>
      <c r="AE903" s="14">
        <f>INDEX(挂机升级突破!BW$6:BW$57,卡牌消耗!$AI903)</f>
        <v>0</v>
      </c>
      <c r="AF903" s="14" t="str">
        <f t="shared" si="204"/>
        <v>噬日</v>
      </c>
      <c r="AG903" s="14">
        <f t="shared" si="205"/>
        <v>2</v>
      </c>
      <c r="AH903" s="14" t="str">
        <f t="shared" si="206"/>
        <v>噬日魂火-15</v>
      </c>
      <c r="AI903" s="14">
        <f t="shared" si="207"/>
        <v>15</v>
      </c>
      <c r="AJ903" s="14" t="str">
        <f>INDEX(挂机升级突破!$BX$4:$CH$4,INDEX(挂机升级突破!$BU$6:$BU$57,卡牌消耗!AI903))</f>
        <v>金币</v>
      </c>
      <c r="AK903" s="14">
        <f>ROUND(INDEX(挂机升级突破!$BN$6:$BN$57,卡牌消耗!AI903)*INDEX(卡牌消耗!$B$8:$F$8,AG903)/$Q$4/50,0)*50</f>
        <v>1800</v>
      </c>
      <c r="AL903" s="14" t="str">
        <f>IF(AD903&gt;0,INDEX(挂机升级突破!$BX$4:$CH$4,AD903),"")</f>
        <v>紫色基础材料</v>
      </c>
      <c r="AM903" s="14">
        <f>ROUND(INDEX(挂机升级突破!$BX$6:$CH$57,卡牌消耗!AI903,AD903)*INDEX(卡牌消耗!$B$5:$F$5,AG903)/$Q$4/5,0)*5</f>
        <v>135</v>
      </c>
      <c r="AN903" s="14" t="str">
        <f>IF(AE903&gt;0,INDEX(挂机升级突破!$BX$4:$CH$4,AE903),"")</f>
        <v/>
      </c>
      <c r="AO903" s="14" t="str">
        <f>IF(AE903&gt;0,ROUND(INDEX(挂机升级突破!$BX$6:$CH$57,卡牌消耗!AI903,AE903)*INDEX(卡牌消耗!$B$7:$F$7,AG903)/$Q$4,0),"")</f>
        <v/>
      </c>
    </row>
    <row r="904" spans="27:41" ht="16.5" x14ac:dyDescent="0.2">
      <c r="AA904" s="104">
        <v>900</v>
      </c>
      <c r="AB904" s="14">
        <f t="shared" si="203"/>
        <v>18</v>
      </c>
      <c r="AC904" s="14">
        <f>INDEX(挂机升级突破!$BU$6:$BU$57,卡牌消耗!AI904)</f>
        <v>11</v>
      </c>
      <c r="AD904" s="14">
        <f>INDEX(挂机升级突破!BV$6:BV$57,卡牌消耗!$AI904)</f>
        <v>3</v>
      </c>
      <c r="AE904" s="14">
        <f>INDEX(挂机升级突破!BW$6:BW$57,卡牌消耗!$AI904)</f>
        <v>0</v>
      </c>
      <c r="AF904" s="14" t="str">
        <f t="shared" si="204"/>
        <v>噬日</v>
      </c>
      <c r="AG904" s="14">
        <f t="shared" si="205"/>
        <v>2</v>
      </c>
      <c r="AH904" s="14" t="str">
        <f t="shared" si="206"/>
        <v>噬日魂火-16</v>
      </c>
      <c r="AI904" s="14">
        <f t="shared" si="207"/>
        <v>16</v>
      </c>
      <c r="AJ904" s="14" t="str">
        <f>INDEX(挂机升级突破!$BX$4:$CH$4,INDEX(挂机升级突破!$BU$6:$BU$57,卡牌消耗!AI904))</f>
        <v>金币</v>
      </c>
      <c r="AK904" s="14">
        <f>ROUND(INDEX(挂机升级突破!$BN$6:$BN$57,卡牌消耗!AI904)*INDEX(卡牌消耗!$B$8:$F$8,AG904)/$Q$4/50,0)*50</f>
        <v>1800</v>
      </c>
      <c r="AL904" s="14" t="str">
        <f>IF(AD904&gt;0,INDEX(挂机升级突破!$BX$4:$CH$4,AD904),"")</f>
        <v>紫色基础材料</v>
      </c>
      <c r="AM904" s="14">
        <f>ROUND(INDEX(挂机升级突破!$BX$6:$CH$57,卡牌消耗!AI904,AD904)*INDEX(卡牌消耗!$B$5:$F$5,AG904)/$Q$4/5,0)*5</f>
        <v>135</v>
      </c>
      <c r="AN904" s="14" t="str">
        <f>IF(AE904&gt;0,INDEX(挂机升级突破!$BX$4:$CH$4,AE904),"")</f>
        <v/>
      </c>
      <c r="AO904" s="14" t="str">
        <f>IF(AE904&gt;0,ROUND(INDEX(挂机升级突破!$BX$6:$CH$57,卡牌消耗!AI904,AE904)*INDEX(卡牌消耗!$B$7:$F$7,AG904)/$Q$4,0),"")</f>
        <v/>
      </c>
    </row>
    <row r="905" spans="27:41" ht="16.5" x14ac:dyDescent="0.2">
      <c r="AA905" s="104">
        <v>901</v>
      </c>
      <c r="AB905" s="14">
        <f t="shared" si="203"/>
        <v>18</v>
      </c>
      <c r="AC905" s="14">
        <f>INDEX(挂机升级突破!$BU$6:$BU$57,卡牌消耗!AI905)</f>
        <v>11</v>
      </c>
      <c r="AD905" s="14">
        <f>INDEX(挂机升级突破!BV$6:BV$57,卡牌消耗!$AI905)</f>
        <v>3</v>
      </c>
      <c r="AE905" s="14">
        <f>INDEX(挂机升级突破!BW$6:BW$57,卡牌消耗!$AI905)</f>
        <v>0</v>
      </c>
      <c r="AF905" s="14" t="str">
        <f t="shared" si="204"/>
        <v>噬日</v>
      </c>
      <c r="AG905" s="14">
        <f t="shared" si="205"/>
        <v>2</v>
      </c>
      <c r="AH905" s="14" t="str">
        <f t="shared" si="206"/>
        <v>噬日魂火-17</v>
      </c>
      <c r="AI905" s="14">
        <f t="shared" si="207"/>
        <v>17</v>
      </c>
      <c r="AJ905" s="14" t="str">
        <f>INDEX(挂机升级突破!$BX$4:$CH$4,INDEX(挂机升级突破!$BU$6:$BU$57,卡牌消耗!AI905))</f>
        <v>金币</v>
      </c>
      <c r="AK905" s="14">
        <f>ROUND(INDEX(挂机升级突破!$BN$6:$BN$57,卡牌消耗!AI905)*INDEX(卡牌消耗!$B$8:$F$8,AG905)/$Q$4/50,0)*50</f>
        <v>2250</v>
      </c>
      <c r="AL905" s="14" t="str">
        <f>IF(AD905&gt;0,INDEX(挂机升级突破!$BX$4:$CH$4,AD905),"")</f>
        <v>紫色基础材料</v>
      </c>
      <c r="AM905" s="14">
        <f>ROUND(INDEX(挂机升级突破!$BX$6:$CH$57,卡牌消耗!AI905,AD905)*INDEX(卡牌消耗!$B$5:$F$5,AG905)/$Q$4/5,0)*5</f>
        <v>270</v>
      </c>
      <c r="AN905" s="14" t="str">
        <f>IF(AE905&gt;0,INDEX(挂机升级突破!$BX$4:$CH$4,AE905),"")</f>
        <v/>
      </c>
      <c r="AO905" s="14" t="str">
        <f>IF(AE905&gt;0,ROUND(INDEX(挂机升级突破!$BX$6:$CH$57,卡牌消耗!AI905,AE905)*INDEX(卡牌消耗!$B$7:$F$7,AG905)/$Q$4,0),"")</f>
        <v/>
      </c>
    </row>
    <row r="906" spans="27:41" ht="16.5" x14ac:dyDescent="0.2">
      <c r="AA906" s="104">
        <v>902</v>
      </c>
      <c r="AB906" s="14">
        <f t="shared" si="203"/>
        <v>18</v>
      </c>
      <c r="AC906" s="14">
        <f>INDEX(挂机升级突破!$BU$6:$BU$57,卡牌消耗!AI906)</f>
        <v>11</v>
      </c>
      <c r="AD906" s="14">
        <f>INDEX(挂机升级突破!BV$6:BV$57,卡牌消耗!$AI906)</f>
        <v>3</v>
      </c>
      <c r="AE906" s="14">
        <f>INDEX(挂机升级突破!BW$6:BW$57,卡牌消耗!$AI906)</f>
        <v>0</v>
      </c>
      <c r="AF906" s="14" t="str">
        <f t="shared" si="204"/>
        <v>噬日</v>
      </c>
      <c r="AG906" s="14">
        <f t="shared" si="205"/>
        <v>2</v>
      </c>
      <c r="AH906" s="14" t="str">
        <f t="shared" si="206"/>
        <v>噬日魂火-18</v>
      </c>
      <c r="AI906" s="14">
        <f t="shared" si="207"/>
        <v>18</v>
      </c>
      <c r="AJ906" s="14" t="str">
        <f>INDEX(挂机升级突破!$BX$4:$CH$4,INDEX(挂机升级突破!$BU$6:$BU$57,卡牌消耗!AI906))</f>
        <v>金币</v>
      </c>
      <c r="AK906" s="14">
        <f>ROUND(INDEX(挂机升级突破!$BN$6:$BN$57,卡牌消耗!AI906)*INDEX(卡牌消耗!$B$8:$F$8,AG906)/$Q$4/50,0)*50</f>
        <v>2250</v>
      </c>
      <c r="AL906" s="14" t="str">
        <f>IF(AD906&gt;0,INDEX(挂机升级突破!$BX$4:$CH$4,AD906),"")</f>
        <v>紫色基础材料</v>
      </c>
      <c r="AM906" s="14">
        <f>ROUND(INDEX(挂机升级突破!$BX$6:$CH$57,卡牌消耗!AI906,AD906)*INDEX(卡牌消耗!$B$5:$F$5,AG906)/$Q$4/5,0)*5</f>
        <v>270</v>
      </c>
      <c r="AN906" s="14" t="str">
        <f>IF(AE906&gt;0,INDEX(挂机升级突破!$BX$4:$CH$4,AE906),"")</f>
        <v/>
      </c>
      <c r="AO906" s="14" t="str">
        <f>IF(AE906&gt;0,ROUND(INDEX(挂机升级突破!$BX$6:$CH$57,卡牌消耗!AI906,AE906)*INDEX(卡牌消耗!$B$7:$F$7,AG906)/$Q$4,0),"")</f>
        <v/>
      </c>
    </row>
    <row r="907" spans="27:41" ht="16.5" x14ac:dyDescent="0.2">
      <c r="AA907" s="104">
        <v>903</v>
      </c>
      <c r="AB907" s="14">
        <f t="shared" si="203"/>
        <v>18</v>
      </c>
      <c r="AC907" s="14">
        <f>INDEX(挂机升级突破!$BU$6:$BU$57,卡牌消耗!AI907)</f>
        <v>11</v>
      </c>
      <c r="AD907" s="14">
        <f>INDEX(挂机升级突破!BV$6:BV$57,卡牌消耗!$AI907)</f>
        <v>3</v>
      </c>
      <c r="AE907" s="14">
        <f>INDEX(挂机升级突破!BW$6:BW$57,卡牌消耗!$AI907)</f>
        <v>0</v>
      </c>
      <c r="AF907" s="14" t="str">
        <f t="shared" si="204"/>
        <v>噬日</v>
      </c>
      <c r="AG907" s="14">
        <f t="shared" si="205"/>
        <v>2</v>
      </c>
      <c r="AH907" s="14" t="str">
        <f t="shared" si="206"/>
        <v>噬日魂火-19</v>
      </c>
      <c r="AI907" s="14">
        <f t="shared" si="207"/>
        <v>19</v>
      </c>
      <c r="AJ907" s="14" t="str">
        <f>INDEX(挂机升级突破!$BX$4:$CH$4,INDEX(挂机升级突破!$BU$6:$BU$57,卡牌消耗!AI907))</f>
        <v>金币</v>
      </c>
      <c r="AK907" s="14">
        <f>ROUND(INDEX(挂机升级突破!$BN$6:$BN$57,卡牌消耗!AI907)*INDEX(卡牌消耗!$B$8:$F$8,AG907)/$Q$4/50,0)*50</f>
        <v>2250</v>
      </c>
      <c r="AL907" s="14" t="str">
        <f>IF(AD907&gt;0,INDEX(挂机升级突破!$BX$4:$CH$4,AD907),"")</f>
        <v>紫色基础材料</v>
      </c>
      <c r="AM907" s="14">
        <f>ROUND(INDEX(挂机升级突破!$BX$6:$CH$57,卡牌消耗!AI907,AD907)*INDEX(卡牌消耗!$B$5:$F$5,AG907)/$Q$4/5,0)*5</f>
        <v>270</v>
      </c>
      <c r="AN907" s="14" t="str">
        <f>IF(AE907&gt;0,INDEX(挂机升级突破!$BX$4:$CH$4,AE907),"")</f>
        <v/>
      </c>
      <c r="AO907" s="14" t="str">
        <f>IF(AE907&gt;0,ROUND(INDEX(挂机升级突破!$BX$6:$CH$57,卡牌消耗!AI907,AE907)*INDEX(卡牌消耗!$B$7:$F$7,AG907)/$Q$4,0),"")</f>
        <v/>
      </c>
    </row>
    <row r="908" spans="27:41" ht="16.5" x14ac:dyDescent="0.2">
      <c r="AA908" s="104">
        <v>904</v>
      </c>
      <c r="AB908" s="14">
        <f t="shared" si="203"/>
        <v>18</v>
      </c>
      <c r="AC908" s="14">
        <f>INDEX(挂机升级突破!$BU$6:$BU$57,卡牌消耗!AI908)</f>
        <v>11</v>
      </c>
      <c r="AD908" s="14">
        <f>INDEX(挂机升级突破!BV$6:BV$57,卡牌消耗!$AI908)</f>
        <v>3</v>
      </c>
      <c r="AE908" s="14">
        <f>INDEX(挂机升级突破!BW$6:BW$57,卡牌消耗!$AI908)</f>
        <v>0</v>
      </c>
      <c r="AF908" s="14" t="str">
        <f t="shared" si="204"/>
        <v>噬日</v>
      </c>
      <c r="AG908" s="14">
        <f t="shared" si="205"/>
        <v>2</v>
      </c>
      <c r="AH908" s="14" t="str">
        <f t="shared" si="206"/>
        <v>噬日魂火-20</v>
      </c>
      <c r="AI908" s="14">
        <f t="shared" si="207"/>
        <v>20</v>
      </c>
      <c r="AJ908" s="14" t="str">
        <f>INDEX(挂机升级突破!$BX$4:$CH$4,INDEX(挂机升级突破!$BU$6:$BU$57,卡牌消耗!AI908))</f>
        <v>金币</v>
      </c>
      <c r="AK908" s="14">
        <f>ROUND(INDEX(挂机升级突破!$BN$6:$BN$57,卡牌消耗!AI908)*INDEX(卡牌消耗!$B$8:$F$8,AG908)/$Q$4/50,0)*50</f>
        <v>2750</v>
      </c>
      <c r="AL908" s="14" t="str">
        <f>IF(AD908&gt;0,INDEX(挂机升级突破!$BX$4:$CH$4,AD908),"")</f>
        <v>紫色基础材料</v>
      </c>
      <c r="AM908" s="14">
        <f>ROUND(INDEX(挂机升级突破!$BX$6:$CH$57,卡牌消耗!AI908,AD908)*INDEX(卡牌消耗!$B$5:$F$5,AG908)/$Q$4/5,0)*5</f>
        <v>405</v>
      </c>
      <c r="AN908" s="14" t="str">
        <f>IF(AE908&gt;0,INDEX(挂机升级突破!$BX$4:$CH$4,AE908),"")</f>
        <v/>
      </c>
      <c r="AO908" s="14" t="str">
        <f>IF(AE908&gt;0,ROUND(INDEX(挂机升级突破!$BX$6:$CH$57,卡牌消耗!AI908,AE908)*INDEX(卡牌消耗!$B$7:$F$7,AG908)/$Q$4,0),"")</f>
        <v/>
      </c>
    </row>
    <row r="909" spans="27:41" ht="16.5" x14ac:dyDescent="0.2">
      <c r="AA909" s="104">
        <v>905</v>
      </c>
      <c r="AB909" s="14">
        <f t="shared" si="203"/>
        <v>18</v>
      </c>
      <c r="AC909" s="14">
        <f>INDEX(挂机升级突破!$BU$6:$BU$57,卡牌消耗!AI909)</f>
        <v>11</v>
      </c>
      <c r="AD909" s="14">
        <f>INDEX(挂机升级突破!BV$6:BV$57,卡牌消耗!$AI909)</f>
        <v>3</v>
      </c>
      <c r="AE909" s="14">
        <f>INDEX(挂机升级突破!BW$6:BW$57,卡牌消耗!$AI909)</f>
        <v>0</v>
      </c>
      <c r="AF909" s="14" t="str">
        <f t="shared" si="204"/>
        <v>噬日</v>
      </c>
      <c r="AG909" s="14">
        <f t="shared" si="205"/>
        <v>2</v>
      </c>
      <c r="AH909" s="14" t="str">
        <f t="shared" si="206"/>
        <v>噬日魂火-21</v>
      </c>
      <c r="AI909" s="14">
        <f t="shared" si="207"/>
        <v>21</v>
      </c>
      <c r="AJ909" s="14" t="str">
        <f>INDEX(挂机升级突破!$BX$4:$CH$4,INDEX(挂机升级突破!$BU$6:$BU$57,卡牌消耗!AI909))</f>
        <v>金币</v>
      </c>
      <c r="AK909" s="14">
        <f>ROUND(INDEX(挂机升级突破!$BN$6:$BN$57,卡牌消耗!AI909)*INDEX(卡牌消耗!$B$8:$F$8,AG909)/$Q$4/50,0)*50</f>
        <v>2750</v>
      </c>
      <c r="AL909" s="14" t="str">
        <f>IF(AD909&gt;0,INDEX(挂机升级突破!$BX$4:$CH$4,AD909),"")</f>
        <v>紫色基础材料</v>
      </c>
      <c r="AM909" s="14">
        <f>ROUND(INDEX(挂机升级突破!$BX$6:$CH$57,卡牌消耗!AI909,AD909)*INDEX(卡牌消耗!$B$5:$F$5,AG909)/$Q$4/5,0)*5</f>
        <v>405</v>
      </c>
      <c r="AN909" s="14" t="str">
        <f>IF(AE909&gt;0,INDEX(挂机升级突破!$BX$4:$CH$4,AE909),"")</f>
        <v/>
      </c>
      <c r="AO909" s="14" t="str">
        <f>IF(AE909&gt;0,ROUND(INDEX(挂机升级突破!$BX$6:$CH$57,卡牌消耗!AI909,AE909)*INDEX(卡牌消耗!$B$7:$F$7,AG909)/$Q$4,0),"")</f>
        <v/>
      </c>
    </row>
    <row r="910" spans="27:41" ht="16.5" x14ac:dyDescent="0.2">
      <c r="AA910" s="104">
        <v>906</v>
      </c>
      <c r="AB910" s="14">
        <f t="shared" si="203"/>
        <v>18</v>
      </c>
      <c r="AC910" s="14">
        <f>INDEX(挂机升级突破!$BU$6:$BU$57,卡牌消耗!AI910)</f>
        <v>11</v>
      </c>
      <c r="AD910" s="14">
        <f>INDEX(挂机升级突破!BV$6:BV$57,卡牌消耗!$AI910)</f>
        <v>3</v>
      </c>
      <c r="AE910" s="14">
        <f>INDEX(挂机升级突破!BW$6:BW$57,卡牌消耗!$AI910)</f>
        <v>0</v>
      </c>
      <c r="AF910" s="14" t="str">
        <f t="shared" si="204"/>
        <v>噬日</v>
      </c>
      <c r="AG910" s="14">
        <f t="shared" si="205"/>
        <v>2</v>
      </c>
      <c r="AH910" s="14" t="str">
        <f t="shared" si="206"/>
        <v>噬日魂火-22</v>
      </c>
      <c r="AI910" s="14">
        <f t="shared" si="207"/>
        <v>22</v>
      </c>
      <c r="AJ910" s="14" t="str">
        <f>INDEX(挂机升级突破!$BX$4:$CH$4,INDEX(挂机升级突破!$BU$6:$BU$57,卡牌消耗!AI910))</f>
        <v>金币</v>
      </c>
      <c r="AK910" s="14">
        <f>ROUND(INDEX(挂机升级突破!$BN$6:$BN$57,卡牌消耗!AI910)*INDEX(卡牌消耗!$B$8:$F$8,AG910)/$Q$4/50,0)*50</f>
        <v>2750</v>
      </c>
      <c r="AL910" s="14" t="str">
        <f>IF(AD910&gt;0,INDEX(挂机升级突破!$BX$4:$CH$4,AD910),"")</f>
        <v>紫色基础材料</v>
      </c>
      <c r="AM910" s="14">
        <f>ROUND(INDEX(挂机升级突破!$BX$6:$CH$57,卡牌消耗!AI910,AD910)*INDEX(卡牌消耗!$B$5:$F$5,AG910)/$Q$4/5,0)*5</f>
        <v>405</v>
      </c>
      <c r="AN910" s="14" t="str">
        <f>IF(AE910&gt;0,INDEX(挂机升级突破!$BX$4:$CH$4,AE910),"")</f>
        <v/>
      </c>
      <c r="AO910" s="14" t="str">
        <f>IF(AE910&gt;0,ROUND(INDEX(挂机升级突破!$BX$6:$CH$57,卡牌消耗!AI910,AE910)*INDEX(卡牌消耗!$B$7:$F$7,AG910)/$Q$4,0),"")</f>
        <v/>
      </c>
    </row>
    <row r="911" spans="27:41" ht="16.5" x14ac:dyDescent="0.2">
      <c r="AA911" s="104">
        <v>907</v>
      </c>
      <c r="AB911" s="14">
        <f t="shared" si="203"/>
        <v>18</v>
      </c>
      <c r="AC911" s="14">
        <f>INDEX(挂机升级突破!$BU$6:$BU$57,卡牌消耗!AI911)</f>
        <v>11</v>
      </c>
      <c r="AD911" s="14">
        <f>INDEX(挂机升级突破!BV$6:BV$57,卡牌消耗!$AI911)</f>
        <v>4</v>
      </c>
      <c r="AE911" s="14">
        <f>INDEX(挂机升级突破!BW$6:BW$57,卡牌消耗!$AI911)</f>
        <v>0</v>
      </c>
      <c r="AF911" s="14" t="str">
        <f t="shared" si="204"/>
        <v>噬日</v>
      </c>
      <c r="AG911" s="14">
        <f t="shared" si="205"/>
        <v>2</v>
      </c>
      <c r="AH911" s="14" t="str">
        <f t="shared" si="206"/>
        <v>噬日魂火-23</v>
      </c>
      <c r="AI911" s="14">
        <f t="shared" si="207"/>
        <v>23</v>
      </c>
      <c r="AJ911" s="14" t="str">
        <f>INDEX(挂机升级突破!$BX$4:$CH$4,INDEX(挂机升级突破!$BU$6:$BU$57,卡牌消耗!AI911))</f>
        <v>金币</v>
      </c>
      <c r="AK911" s="14">
        <f>ROUND(INDEX(挂机升级突破!$BN$6:$BN$57,卡牌消耗!AI911)*INDEX(卡牌消耗!$B$8:$F$8,AG911)/$Q$4/50,0)*50</f>
        <v>3750</v>
      </c>
      <c r="AL911" s="14" t="str">
        <f>IF(AD911&gt;0,INDEX(挂机升级突破!$BX$4:$CH$4,AD911),"")</f>
        <v>橙色基础材料</v>
      </c>
      <c r="AM911" s="14">
        <f>ROUND(INDEX(挂机升级突破!$BX$6:$CH$57,卡牌消耗!AI911,AD911)*INDEX(卡牌消耗!$B$5:$F$5,AG911)/$Q$4/5,0)*5</f>
        <v>55</v>
      </c>
      <c r="AN911" s="14" t="str">
        <f>IF(AE911&gt;0,INDEX(挂机升级突破!$BX$4:$CH$4,AE911),"")</f>
        <v/>
      </c>
      <c r="AO911" s="14" t="str">
        <f>IF(AE911&gt;0,ROUND(INDEX(挂机升级突破!$BX$6:$CH$57,卡牌消耗!AI911,AE911)*INDEX(卡牌消耗!$B$7:$F$7,AG911)/$Q$4,0),"")</f>
        <v/>
      </c>
    </row>
    <row r="912" spans="27:41" ht="16.5" x14ac:dyDescent="0.2">
      <c r="AA912" s="104">
        <v>908</v>
      </c>
      <c r="AB912" s="14">
        <f t="shared" si="203"/>
        <v>18</v>
      </c>
      <c r="AC912" s="14">
        <f>INDEX(挂机升级突破!$BU$6:$BU$57,卡牌消耗!AI912)</f>
        <v>11</v>
      </c>
      <c r="AD912" s="14">
        <f>INDEX(挂机升级突破!BV$6:BV$57,卡牌消耗!$AI912)</f>
        <v>4</v>
      </c>
      <c r="AE912" s="14">
        <f>INDEX(挂机升级突破!BW$6:BW$57,卡牌消耗!$AI912)</f>
        <v>0</v>
      </c>
      <c r="AF912" s="14" t="str">
        <f t="shared" si="204"/>
        <v>噬日</v>
      </c>
      <c r="AG912" s="14">
        <f t="shared" si="205"/>
        <v>2</v>
      </c>
      <c r="AH912" s="14" t="str">
        <f t="shared" si="206"/>
        <v>噬日魂火-24</v>
      </c>
      <c r="AI912" s="14">
        <f t="shared" si="207"/>
        <v>24</v>
      </c>
      <c r="AJ912" s="14" t="str">
        <f>INDEX(挂机升级突破!$BX$4:$CH$4,INDEX(挂机升级突破!$BU$6:$BU$57,卡牌消耗!AI912))</f>
        <v>金币</v>
      </c>
      <c r="AK912" s="14">
        <f>ROUND(INDEX(挂机升级突破!$BN$6:$BN$57,卡牌消耗!AI912)*INDEX(卡牌消耗!$B$8:$F$8,AG912)/$Q$4/50,0)*50</f>
        <v>3750</v>
      </c>
      <c r="AL912" s="14" t="str">
        <f>IF(AD912&gt;0,INDEX(挂机升级突破!$BX$4:$CH$4,AD912),"")</f>
        <v>橙色基础材料</v>
      </c>
      <c r="AM912" s="14">
        <f>ROUND(INDEX(挂机升级突破!$BX$6:$CH$57,卡牌消耗!AI912,AD912)*INDEX(卡牌消耗!$B$5:$F$5,AG912)/$Q$4/5,0)*5</f>
        <v>55</v>
      </c>
      <c r="AN912" s="14" t="str">
        <f>IF(AE912&gt;0,INDEX(挂机升级突破!$BX$4:$CH$4,AE912),"")</f>
        <v/>
      </c>
      <c r="AO912" s="14" t="str">
        <f>IF(AE912&gt;0,ROUND(INDEX(挂机升级突破!$BX$6:$CH$57,卡牌消耗!AI912,AE912)*INDEX(卡牌消耗!$B$7:$F$7,AG912)/$Q$4,0),"")</f>
        <v/>
      </c>
    </row>
    <row r="913" spans="27:41" ht="16.5" x14ac:dyDescent="0.2">
      <c r="AA913" s="104">
        <v>909</v>
      </c>
      <c r="AB913" s="14">
        <f t="shared" si="203"/>
        <v>18</v>
      </c>
      <c r="AC913" s="14">
        <f>INDEX(挂机升级突破!$BU$6:$BU$57,卡牌消耗!AI913)</f>
        <v>11</v>
      </c>
      <c r="AD913" s="14">
        <f>INDEX(挂机升级突破!BV$6:BV$57,卡牌消耗!$AI913)</f>
        <v>4</v>
      </c>
      <c r="AE913" s="14">
        <f>INDEX(挂机升级突破!BW$6:BW$57,卡牌消耗!$AI913)</f>
        <v>0</v>
      </c>
      <c r="AF913" s="14" t="str">
        <f t="shared" si="204"/>
        <v>噬日</v>
      </c>
      <c r="AG913" s="14">
        <f t="shared" si="205"/>
        <v>2</v>
      </c>
      <c r="AH913" s="14" t="str">
        <f t="shared" si="206"/>
        <v>噬日魂火-25</v>
      </c>
      <c r="AI913" s="14">
        <f t="shared" si="207"/>
        <v>25</v>
      </c>
      <c r="AJ913" s="14" t="str">
        <f>INDEX(挂机升级突破!$BX$4:$CH$4,INDEX(挂机升级突破!$BU$6:$BU$57,卡牌消耗!AI913))</f>
        <v>金币</v>
      </c>
      <c r="AK913" s="14">
        <f>ROUND(INDEX(挂机升级突破!$BN$6:$BN$57,卡牌消耗!AI913)*INDEX(卡牌消耗!$B$8:$F$8,AG913)/$Q$4/50,0)*50</f>
        <v>4100</v>
      </c>
      <c r="AL913" s="14" t="str">
        <f>IF(AD913&gt;0,INDEX(挂机升级突破!$BX$4:$CH$4,AD913),"")</f>
        <v>橙色基础材料</v>
      </c>
      <c r="AM913" s="14">
        <f>ROUND(INDEX(挂机升级突破!$BX$6:$CH$57,卡牌消耗!AI913,AD913)*INDEX(卡牌消耗!$B$5:$F$5,AG913)/$Q$4/5,0)*5</f>
        <v>55</v>
      </c>
      <c r="AN913" s="14" t="str">
        <f>IF(AE913&gt;0,INDEX(挂机升级突破!$BX$4:$CH$4,AE913),"")</f>
        <v/>
      </c>
      <c r="AO913" s="14" t="str">
        <f>IF(AE913&gt;0,ROUND(INDEX(挂机升级突破!$BX$6:$CH$57,卡牌消耗!AI913,AE913)*INDEX(卡牌消耗!$B$7:$F$7,AG913)/$Q$4,0),"")</f>
        <v/>
      </c>
    </row>
    <row r="914" spans="27:41" ht="16.5" x14ac:dyDescent="0.2">
      <c r="AA914" s="104">
        <v>910</v>
      </c>
      <c r="AB914" s="14">
        <f t="shared" si="203"/>
        <v>18</v>
      </c>
      <c r="AC914" s="14">
        <f>INDEX(挂机升级突破!$BU$6:$BU$57,卡牌消耗!AI914)</f>
        <v>11</v>
      </c>
      <c r="AD914" s="14">
        <f>INDEX(挂机升级突破!BV$6:BV$57,卡牌消耗!$AI914)</f>
        <v>4</v>
      </c>
      <c r="AE914" s="14">
        <f>INDEX(挂机升级突破!BW$6:BW$57,卡牌消耗!$AI914)</f>
        <v>0</v>
      </c>
      <c r="AF914" s="14" t="str">
        <f t="shared" si="204"/>
        <v>噬日</v>
      </c>
      <c r="AG914" s="14">
        <f t="shared" si="205"/>
        <v>2</v>
      </c>
      <c r="AH914" s="14" t="str">
        <f t="shared" si="206"/>
        <v>噬日魂火-26</v>
      </c>
      <c r="AI914" s="14">
        <f t="shared" si="207"/>
        <v>26</v>
      </c>
      <c r="AJ914" s="14" t="str">
        <f>INDEX(挂机升级突破!$BX$4:$CH$4,INDEX(挂机升级突破!$BU$6:$BU$57,卡牌消耗!AI914))</f>
        <v>金币</v>
      </c>
      <c r="AK914" s="14">
        <f>ROUND(INDEX(挂机升级突破!$BN$6:$BN$57,卡牌消耗!AI914)*INDEX(卡牌消耗!$B$8:$F$8,AG914)/$Q$4/50,0)*50</f>
        <v>4800</v>
      </c>
      <c r="AL914" s="14" t="str">
        <f>IF(AD914&gt;0,INDEX(挂机升级突破!$BX$4:$CH$4,AD914),"")</f>
        <v>橙色基础材料</v>
      </c>
      <c r="AM914" s="14">
        <f>ROUND(INDEX(挂机升级突破!$BX$6:$CH$57,卡牌消耗!AI914,AD914)*INDEX(卡牌消耗!$B$5:$F$5,AG914)/$Q$4/5,0)*5</f>
        <v>65</v>
      </c>
      <c r="AN914" s="14" t="str">
        <f>IF(AE914&gt;0,INDEX(挂机升级突破!$BX$4:$CH$4,AE914),"")</f>
        <v/>
      </c>
      <c r="AO914" s="14" t="str">
        <f>IF(AE914&gt;0,ROUND(INDEX(挂机升级突破!$BX$6:$CH$57,卡牌消耗!AI914,AE914)*INDEX(卡牌消耗!$B$7:$F$7,AG914)/$Q$4,0),"")</f>
        <v/>
      </c>
    </row>
    <row r="915" spans="27:41" ht="16.5" x14ac:dyDescent="0.2">
      <c r="AA915" s="104">
        <v>911</v>
      </c>
      <c r="AB915" s="14">
        <f t="shared" si="203"/>
        <v>18</v>
      </c>
      <c r="AC915" s="14">
        <f>INDEX(挂机升级突破!$BU$6:$BU$57,卡牌消耗!AI915)</f>
        <v>11</v>
      </c>
      <c r="AD915" s="14">
        <f>INDEX(挂机升级突破!BV$6:BV$57,卡牌消耗!$AI915)</f>
        <v>4</v>
      </c>
      <c r="AE915" s="14">
        <f>INDEX(挂机升级突破!BW$6:BW$57,卡牌消耗!$AI915)</f>
        <v>0</v>
      </c>
      <c r="AF915" s="14" t="str">
        <f t="shared" si="204"/>
        <v>噬日</v>
      </c>
      <c r="AG915" s="14">
        <f t="shared" si="205"/>
        <v>2</v>
      </c>
      <c r="AH915" s="14" t="str">
        <f t="shared" si="206"/>
        <v>噬日魂火-27</v>
      </c>
      <c r="AI915" s="14">
        <f t="shared" si="207"/>
        <v>27</v>
      </c>
      <c r="AJ915" s="14" t="str">
        <f>INDEX(挂机升级突破!$BX$4:$CH$4,INDEX(挂机升级突破!$BU$6:$BU$57,卡牌消耗!AI915))</f>
        <v>金币</v>
      </c>
      <c r="AK915" s="14">
        <f>ROUND(INDEX(挂机升级突破!$BN$6:$BN$57,卡牌消耗!AI915)*INDEX(卡牌消耗!$B$8:$F$8,AG915)/$Q$4/50,0)*50</f>
        <v>4800</v>
      </c>
      <c r="AL915" s="14" t="str">
        <f>IF(AD915&gt;0,INDEX(挂机升级突破!$BX$4:$CH$4,AD915),"")</f>
        <v>橙色基础材料</v>
      </c>
      <c r="AM915" s="14">
        <f>ROUND(INDEX(挂机升级突破!$BX$6:$CH$57,卡牌消耗!AI915,AD915)*INDEX(卡牌消耗!$B$5:$F$5,AG915)/$Q$4/5,0)*5</f>
        <v>65</v>
      </c>
      <c r="AN915" s="14" t="str">
        <f>IF(AE915&gt;0,INDEX(挂机升级突破!$BX$4:$CH$4,AE915),"")</f>
        <v/>
      </c>
      <c r="AO915" s="14" t="str">
        <f>IF(AE915&gt;0,ROUND(INDEX(挂机升级突破!$BX$6:$CH$57,卡牌消耗!AI915,AE915)*INDEX(卡牌消耗!$B$7:$F$7,AG915)/$Q$4,0),"")</f>
        <v/>
      </c>
    </row>
    <row r="916" spans="27:41" ht="16.5" x14ac:dyDescent="0.2">
      <c r="AA916" s="104">
        <v>912</v>
      </c>
      <c r="AB916" s="14">
        <f t="shared" si="203"/>
        <v>18</v>
      </c>
      <c r="AC916" s="14">
        <f>INDEX(挂机升级突破!$BU$6:$BU$57,卡牌消耗!AI916)</f>
        <v>11</v>
      </c>
      <c r="AD916" s="14">
        <f>INDEX(挂机升级突破!BV$6:BV$57,卡牌消耗!$AI916)</f>
        <v>4</v>
      </c>
      <c r="AE916" s="14">
        <f>INDEX(挂机升级突破!BW$6:BW$57,卡牌消耗!$AI916)</f>
        <v>0</v>
      </c>
      <c r="AF916" s="14" t="str">
        <f t="shared" si="204"/>
        <v>噬日</v>
      </c>
      <c r="AG916" s="14">
        <f t="shared" si="205"/>
        <v>2</v>
      </c>
      <c r="AH916" s="14" t="str">
        <f t="shared" si="206"/>
        <v>噬日魂火-28</v>
      </c>
      <c r="AI916" s="14">
        <f t="shared" si="207"/>
        <v>28</v>
      </c>
      <c r="AJ916" s="14" t="str">
        <f>INDEX(挂机升级突破!$BX$4:$CH$4,INDEX(挂机升级突破!$BU$6:$BU$57,卡牌消耗!AI916))</f>
        <v>金币</v>
      </c>
      <c r="AK916" s="14">
        <f>ROUND(INDEX(挂机升级突破!$BN$6:$BN$57,卡牌消耗!AI916)*INDEX(卡牌消耗!$B$8:$F$8,AG916)/$Q$4/50,0)*50</f>
        <v>4800</v>
      </c>
      <c r="AL916" s="14" t="str">
        <f>IF(AD916&gt;0,INDEX(挂机升级突破!$BX$4:$CH$4,AD916),"")</f>
        <v>橙色基础材料</v>
      </c>
      <c r="AM916" s="14">
        <f>ROUND(INDEX(挂机升级突破!$BX$6:$CH$57,卡牌消耗!AI916,AD916)*INDEX(卡牌消耗!$B$5:$F$5,AG916)/$Q$4/5,0)*5</f>
        <v>65</v>
      </c>
      <c r="AN916" s="14" t="str">
        <f>IF(AE916&gt;0,INDEX(挂机升级突破!$BX$4:$CH$4,AE916),"")</f>
        <v/>
      </c>
      <c r="AO916" s="14" t="str">
        <f>IF(AE916&gt;0,ROUND(INDEX(挂机升级突破!$BX$6:$CH$57,卡牌消耗!AI916,AE916)*INDEX(卡牌消耗!$B$7:$F$7,AG916)/$Q$4,0),"")</f>
        <v/>
      </c>
    </row>
    <row r="917" spans="27:41" ht="16.5" x14ac:dyDescent="0.2">
      <c r="AA917" s="104">
        <v>913</v>
      </c>
      <c r="AB917" s="14">
        <f t="shared" si="203"/>
        <v>18</v>
      </c>
      <c r="AC917" s="14">
        <f>INDEX(挂机升级突破!$BU$6:$BU$57,卡牌消耗!AI917)</f>
        <v>11</v>
      </c>
      <c r="AD917" s="14">
        <f>INDEX(挂机升级突破!BV$6:BV$57,卡牌消耗!$AI917)</f>
        <v>4</v>
      </c>
      <c r="AE917" s="14">
        <f>INDEX(挂机升级突破!BW$6:BW$57,卡牌消耗!$AI917)</f>
        <v>0</v>
      </c>
      <c r="AF917" s="14" t="str">
        <f t="shared" si="204"/>
        <v>噬日</v>
      </c>
      <c r="AG917" s="14">
        <f t="shared" si="205"/>
        <v>2</v>
      </c>
      <c r="AH917" s="14" t="str">
        <f t="shared" si="206"/>
        <v>噬日魂火-29</v>
      </c>
      <c r="AI917" s="14">
        <f t="shared" si="207"/>
        <v>29</v>
      </c>
      <c r="AJ917" s="14" t="str">
        <f>INDEX(挂机升级突破!$BX$4:$CH$4,INDEX(挂机升级突破!$BU$6:$BU$57,卡牌消耗!AI917))</f>
        <v>金币</v>
      </c>
      <c r="AK917" s="14">
        <f>ROUND(INDEX(挂机升级突破!$BN$6:$BN$57,卡牌消耗!AI917)*INDEX(卡牌消耗!$B$8:$F$8,AG917)/$Q$4/50,0)*50</f>
        <v>4850</v>
      </c>
      <c r="AL917" s="14" t="str">
        <f>IF(AD917&gt;0,INDEX(挂机升级突破!$BX$4:$CH$4,AD917),"")</f>
        <v>橙色基础材料</v>
      </c>
      <c r="AM917" s="14">
        <f>ROUND(INDEX(挂机升级突破!$BX$6:$CH$57,卡牌消耗!AI917,AD917)*INDEX(卡牌消耗!$B$5:$F$5,AG917)/$Q$4/5,0)*5</f>
        <v>80</v>
      </c>
      <c r="AN917" s="14" t="str">
        <f>IF(AE917&gt;0,INDEX(挂机升级突破!$BX$4:$CH$4,AE917),"")</f>
        <v/>
      </c>
      <c r="AO917" s="14" t="str">
        <f>IF(AE917&gt;0,ROUND(INDEX(挂机升级突破!$BX$6:$CH$57,卡牌消耗!AI917,AE917)*INDEX(卡牌消耗!$B$7:$F$7,AG917)/$Q$4,0),"")</f>
        <v/>
      </c>
    </row>
    <row r="918" spans="27:41" ht="16.5" x14ac:dyDescent="0.2">
      <c r="AA918" s="104">
        <v>914</v>
      </c>
      <c r="AB918" s="14">
        <f t="shared" si="203"/>
        <v>18</v>
      </c>
      <c r="AC918" s="14">
        <f>INDEX(挂机升级突破!$BU$6:$BU$57,卡牌消耗!AI918)</f>
        <v>11</v>
      </c>
      <c r="AD918" s="14">
        <f>INDEX(挂机升级突破!BV$6:BV$57,卡牌消耗!$AI918)</f>
        <v>4</v>
      </c>
      <c r="AE918" s="14">
        <f>INDEX(挂机升级突破!BW$6:BW$57,卡牌消耗!$AI918)</f>
        <v>0</v>
      </c>
      <c r="AF918" s="14" t="str">
        <f t="shared" si="204"/>
        <v>噬日</v>
      </c>
      <c r="AG918" s="14">
        <f t="shared" si="205"/>
        <v>2</v>
      </c>
      <c r="AH918" s="14" t="str">
        <f t="shared" si="206"/>
        <v>噬日魂火-30</v>
      </c>
      <c r="AI918" s="14">
        <f t="shared" si="207"/>
        <v>30</v>
      </c>
      <c r="AJ918" s="14" t="str">
        <f>INDEX(挂机升级突破!$BX$4:$CH$4,INDEX(挂机升级突破!$BU$6:$BU$57,卡牌消耗!AI918))</f>
        <v>金币</v>
      </c>
      <c r="AK918" s="14">
        <f>ROUND(INDEX(挂机升级突破!$BN$6:$BN$57,卡牌消耗!AI918)*INDEX(卡牌消耗!$B$8:$F$8,AG918)/$Q$4/50,0)*50</f>
        <v>4850</v>
      </c>
      <c r="AL918" s="14" t="str">
        <f>IF(AD918&gt;0,INDEX(挂机升级突破!$BX$4:$CH$4,AD918),"")</f>
        <v>橙色基础材料</v>
      </c>
      <c r="AM918" s="14">
        <f>ROUND(INDEX(挂机升级突破!$BX$6:$CH$57,卡牌消耗!AI918,AD918)*INDEX(卡牌消耗!$B$5:$F$5,AG918)/$Q$4/5,0)*5</f>
        <v>80</v>
      </c>
      <c r="AN918" s="14" t="str">
        <f>IF(AE918&gt;0,INDEX(挂机升级突破!$BX$4:$CH$4,AE918),"")</f>
        <v/>
      </c>
      <c r="AO918" s="14" t="str">
        <f>IF(AE918&gt;0,ROUND(INDEX(挂机升级突破!$BX$6:$CH$57,卡牌消耗!AI918,AE918)*INDEX(卡牌消耗!$B$7:$F$7,AG918)/$Q$4,0),"")</f>
        <v/>
      </c>
    </row>
    <row r="919" spans="27:41" ht="16.5" x14ac:dyDescent="0.2">
      <c r="AA919" s="104">
        <v>915</v>
      </c>
      <c r="AB919" s="14">
        <f t="shared" si="203"/>
        <v>18</v>
      </c>
      <c r="AC919" s="14">
        <f>INDEX(挂机升级突破!$BU$6:$BU$57,卡牌消耗!AI919)</f>
        <v>11</v>
      </c>
      <c r="AD919" s="14">
        <f>INDEX(挂机升级突破!BV$6:BV$57,卡牌消耗!$AI919)</f>
        <v>4</v>
      </c>
      <c r="AE919" s="14">
        <f>INDEX(挂机升级突破!BW$6:BW$57,卡牌消耗!$AI919)</f>
        <v>0</v>
      </c>
      <c r="AF919" s="14" t="str">
        <f t="shared" si="204"/>
        <v>噬日</v>
      </c>
      <c r="AG919" s="14">
        <f t="shared" si="205"/>
        <v>2</v>
      </c>
      <c r="AH919" s="14" t="str">
        <f t="shared" si="206"/>
        <v>噬日魂火-31</v>
      </c>
      <c r="AI919" s="14">
        <f t="shared" si="207"/>
        <v>31</v>
      </c>
      <c r="AJ919" s="14" t="str">
        <f>INDEX(挂机升级突破!$BX$4:$CH$4,INDEX(挂机升级突破!$BU$6:$BU$57,卡牌消耗!AI919))</f>
        <v>金币</v>
      </c>
      <c r="AK919" s="14">
        <f>ROUND(INDEX(挂机升级突破!$BN$6:$BN$57,卡牌消耗!AI919)*INDEX(卡牌消耗!$B$8:$F$8,AG919)/$Q$4/50,0)*50</f>
        <v>4850</v>
      </c>
      <c r="AL919" s="14" t="str">
        <f>IF(AD919&gt;0,INDEX(挂机升级突破!$BX$4:$CH$4,AD919),"")</f>
        <v>橙色基础材料</v>
      </c>
      <c r="AM919" s="14">
        <f>ROUND(INDEX(挂机升级突破!$BX$6:$CH$57,卡牌消耗!AI919,AD919)*INDEX(卡牌消耗!$B$5:$F$5,AG919)/$Q$4/5,0)*5</f>
        <v>80</v>
      </c>
      <c r="AN919" s="14" t="str">
        <f>IF(AE919&gt;0,INDEX(挂机升级突破!$BX$4:$CH$4,AE919),"")</f>
        <v/>
      </c>
      <c r="AO919" s="14" t="str">
        <f>IF(AE919&gt;0,ROUND(INDEX(挂机升级突破!$BX$6:$CH$57,卡牌消耗!AI919,AE919)*INDEX(卡牌消耗!$B$7:$F$7,AG919)/$Q$4,0),"")</f>
        <v/>
      </c>
    </row>
    <row r="920" spans="27:41" ht="16.5" x14ac:dyDescent="0.2">
      <c r="AA920" s="104">
        <v>916</v>
      </c>
      <c r="AB920" s="14">
        <f t="shared" si="203"/>
        <v>18</v>
      </c>
      <c r="AC920" s="14">
        <f>INDEX(挂机升级突破!$BU$6:$BU$57,卡牌消耗!AI920)</f>
        <v>11</v>
      </c>
      <c r="AD920" s="14">
        <f>INDEX(挂机升级突破!BV$6:BV$57,卡牌消耗!$AI920)</f>
        <v>4</v>
      </c>
      <c r="AE920" s="14">
        <f>INDEX(挂机升级突破!BW$6:BW$57,卡牌消耗!$AI920)</f>
        <v>0</v>
      </c>
      <c r="AF920" s="14" t="str">
        <f t="shared" si="204"/>
        <v>噬日</v>
      </c>
      <c r="AG920" s="14">
        <f t="shared" si="205"/>
        <v>2</v>
      </c>
      <c r="AH920" s="14" t="str">
        <f t="shared" si="206"/>
        <v>噬日魂火-32</v>
      </c>
      <c r="AI920" s="14">
        <f t="shared" si="207"/>
        <v>32</v>
      </c>
      <c r="AJ920" s="14" t="str">
        <f>INDEX(挂机升级突破!$BX$4:$CH$4,INDEX(挂机升级突破!$BU$6:$BU$57,卡牌消耗!AI920))</f>
        <v>金币</v>
      </c>
      <c r="AK920" s="14">
        <f>ROUND(INDEX(挂机升级突破!$BN$6:$BN$57,卡牌消耗!AI920)*INDEX(卡牌消耗!$B$8:$F$8,AG920)/$Q$4/50,0)*50</f>
        <v>6650</v>
      </c>
      <c r="AL920" s="14" t="str">
        <f>IF(AD920&gt;0,INDEX(挂机升级突破!$BX$4:$CH$4,AD920),"")</f>
        <v>橙色基础材料</v>
      </c>
      <c r="AM920" s="14">
        <f>ROUND(INDEX(挂机升级突破!$BX$6:$CH$57,卡牌消耗!AI920,AD920)*INDEX(卡牌消耗!$B$5:$F$5,AG920)/$Q$4/5,0)*5</f>
        <v>80</v>
      </c>
      <c r="AN920" s="14" t="str">
        <f>IF(AE920&gt;0,INDEX(挂机升级突破!$BX$4:$CH$4,AE920),"")</f>
        <v/>
      </c>
      <c r="AO920" s="14" t="str">
        <f>IF(AE920&gt;0,ROUND(INDEX(挂机升级突破!$BX$6:$CH$57,卡牌消耗!AI920,AE920)*INDEX(卡牌消耗!$B$7:$F$7,AG920)/$Q$4,0),"")</f>
        <v/>
      </c>
    </row>
    <row r="921" spans="27:41" ht="16.5" x14ac:dyDescent="0.2">
      <c r="AA921" s="104">
        <v>917</v>
      </c>
      <c r="AB921" s="14">
        <f t="shared" si="203"/>
        <v>18</v>
      </c>
      <c r="AC921" s="14">
        <f>INDEX(挂机升级突破!$BU$6:$BU$57,卡牌消耗!AI921)</f>
        <v>11</v>
      </c>
      <c r="AD921" s="14">
        <f>INDEX(挂机升级突破!BV$6:BV$57,卡牌消耗!$AI921)</f>
        <v>4</v>
      </c>
      <c r="AE921" s="14">
        <f>INDEX(挂机升级突破!BW$6:BW$57,卡牌消耗!$AI921)</f>
        <v>0</v>
      </c>
      <c r="AF921" s="14" t="str">
        <f t="shared" si="204"/>
        <v>噬日</v>
      </c>
      <c r="AG921" s="14">
        <f t="shared" si="205"/>
        <v>2</v>
      </c>
      <c r="AH921" s="14" t="str">
        <f t="shared" si="206"/>
        <v>噬日魂火-33</v>
      </c>
      <c r="AI921" s="14">
        <f t="shared" si="207"/>
        <v>33</v>
      </c>
      <c r="AJ921" s="14" t="str">
        <f>INDEX(挂机升级突破!$BX$4:$CH$4,INDEX(挂机升级突破!$BU$6:$BU$57,卡牌消耗!AI921))</f>
        <v>金币</v>
      </c>
      <c r="AK921" s="14">
        <f>ROUND(INDEX(挂机升级突破!$BN$6:$BN$57,卡牌消耗!AI921)*INDEX(卡牌消耗!$B$8:$F$8,AG921)/$Q$4/50,0)*50</f>
        <v>6650</v>
      </c>
      <c r="AL921" s="14" t="str">
        <f>IF(AD921&gt;0,INDEX(挂机升级突破!$BX$4:$CH$4,AD921),"")</f>
        <v>橙色基础材料</v>
      </c>
      <c r="AM921" s="14">
        <f>ROUND(INDEX(挂机升级突破!$BX$6:$CH$57,卡牌消耗!AI921,AD921)*INDEX(卡牌消耗!$B$5:$F$5,AG921)/$Q$4/5,0)*5</f>
        <v>80</v>
      </c>
      <c r="AN921" s="14" t="str">
        <f>IF(AE921&gt;0,INDEX(挂机升级突破!$BX$4:$CH$4,AE921),"")</f>
        <v/>
      </c>
      <c r="AO921" s="14" t="str">
        <f>IF(AE921&gt;0,ROUND(INDEX(挂机升级突破!$BX$6:$CH$57,卡牌消耗!AI921,AE921)*INDEX(卡牌消耗!$B$7:$F$7,AG921)/$Q$4,0),"")</f>
        <v/>
      </c>
    </row>
    <row r="922" spans="27:41" ht="16.5" x14ac:dyDescent="0.2">
      <c r="AA922" s="104">
        <v>918</v>
      </c>
      <c r="AB922" s="14">
        <f t="shared" si="203"/>
        <v>18</v>
      </c>
      <c r="AC922" s="14">
        <f>INDEX(挂机升级突破!$BU$6:$BU$57,卡牌消耗!AI922)</f>
        <v>11</v>
      </c>
      <c r="AD922" s="14">
        <f>INDEX(挂机升级突破!BV$6:BV$57,卡牌消耗!$AI922)</f>
        <v>4</v>
      </c>
      <c r="AE922" s="14">
        <f>INDEX(挂机升级突破!BW$6:BW$57,卡牌消耗!$AI922)</f>
        <v>0</v>
      </c>
      <c r="AF922" s="14" t="str">
        <f t="shared" si="204"/>
        <v>噬日</v>
      </c>
      <c r="AG922" s="14">
        <f t="shared" si="205"/>
        <v>2</v>
      </c>
      <c r="AH922" s="14" t="str">
        <f t="shared" si="206"/>
        <v>噬日魂火-34</v>
      </c>
      <c r="AI922" s="14">
        <f t="shared" si="207"/>
        <v>34</v>
      </c>
      <c r="AJ922" s="14" t="str">
        <f>INDEX(挂机升级突破!$BX$4:$CH$4,INDEX(挂机升级突破!$BU$6:$BU$57,卡牌消耗!AI922))</f>
        <v>金币</v>
      </c>
      <c r="AK922" s="14">
        <f>ROUND(INDEX(挂机升级突破!$BN$6:$BN$57,卡牌消耗!AI922)*INDEX(卡牌消耗!$B$8:$F$8,AG922)/$Q$4/50,0)*50</f>
        <v>6650</v>
      </c>
      <c r="AL922" s="14" t="str">
        <f>IF(AD922&gt;0,INDEX(挂机升级突破!$BX$4:$CH$4,AD922),"")</f>
        <v>橙色基础材料</v>
      </c>
      <c r="AM922" s="14">
        <f>ROUND(INDEX(挂机升级突破!$BX$6:$CH$57,卡牌消耗!AI922,AD922)*INDEX(卡牌消耗!$B$5:$F$5,AG922)/$Q$4/5,0)*5</f>
        <v>90</v>
      </c>
      <c r="AN922" s="14" t="str">
        <f>IF(AE922&gt;0,INDEX(挂机升级突破!$BX$4:$CH$4,AE922),"")</f>
        <v/>
      </c>
      <c r="AO922" s="14" t="str">
        <f>IF(AE922&gt;0,ROUND(INDEX(挂机升级突破!$BX$6:$CH$57,卡牌消耗!AI922,AE922)*INDEX(卡牌消耗!$B$7:$F$7,AG922)/$Q$4,0),"")</f>
        <v/>
      </c>
    </row>
    <row r="923" spans="27:41" ht="16.5" x14ac:dyDescent="0.2">
      <c r="AA923" s="104">
        <v>919</v>
      </c>
      <c r="AB923" s="14">
        <f t="shared" si="203"/>
        <v>18</v>
      </c>
      <c r="AC923" s="14">
        <f>INDEX(挂机升级突破!$BU$6:$BU$57,卡牌消耗!AI923)</f>
        <v>11</v>
      </c>
      <c r="AD923" s="14">
        <f>INDEX(挂机升级突破!BV$6:BV$57,卡牌消耗!$AI923)</f>
        <v>4</v>
      </c>
      <c r="AE923" s="14">
        <f>INDEX(挂机升级突破!BW$6:BW$57,卡牌消耗!$AI923)</f>
        <v>0</v>
      </c>
      <c r="AF923" s="14" t="str">
        <f t="shared" si="204"/>
        <v>噬日</v>
      </c>
      <c r="AG923" s="14">
        <f t="shared" si="205"/>
        <v>2</v>
      </c>
      <c r="AH923" s="14" t="str">
        <f t="shared" si="206"/>
        <v>噬日魂火-35</v>
      </c>
      <c r="AI923" s="14">
        <f t="shared" si="207"/>
        <v>35</v>
      </c>
      <c r="AJ923" s="14" t="str">
        <f>INDEX(挂机升级突破!$BX$4:$CH$4,INDEX(挂机升级突破!$BU$6:$BU$57,卡牌消耗!AI923))</f>
        <v>金币</v>
      </c>
      <c r="AK923" s="14">
        <f>ROUND(INDEX(挂机升级突破!$BN$6:$BN$57,卡牌消耗!AI923)*INDEX(卡牌消耗!$B$8:$F$8,AG923)/$Q$4/50,0)*50</f>
        <v>8450</v>
      </c>
      <c r="AL923" s="14" t="str">
        <f>IF(AD923&gt;0,INDEX(挂机升级突破!$BX$4:$CH$4,AD923),"")</f>
        <v>橙色基础材料</v>
      </c>
      <c r="AM923" s="14">
        <f>ROUND(INDEX(挂机升级突破!$BX$6:$CH$57,卡牌消耗!AI923,AD923)*INDEX(卡牌消耗!$B$5:$F$5,AG923)/$Q$4/5,0)*5</f>
        <v>90</v>
      </c>
      <c r="AN923" s="14" t="str">
        <f>IF(AE923&gt;0,INDEX(挂机升级突破!$BX$4:$CH$4,AE923),"")</f>
        <v/>
      </c>
      <c r="AO923" s="14" t="str">
        <f>IF(AE923&gt;0,ROUND(INDEX(挂机升级突破!$BX$6:$CH$57,卡牌消耗!AI923,AE923)*INDEX(卡牌消耗!$B$7:$F$7,AG923)/$Q$4,0),"")</f>
        <v/>
      </c>
    </row>
    <row r="924" spans="27:41" ht="16.5" x14ac:dyDescent="0.2">
      <c r="AA924" s="104">
        <v>920</v>
      </c>
      <c r="AB924" s="14">
        <f t="shared" si="203"/>
        <v>18</v>
      </c>
      <c r="AC924" s="14">
        <f>INDEX(挂机升级突破!$BU$6:$BU$57,卡牌消耗!AI924)</f>
        <v>11</v>
      </c>
      <c r="AD924" s="14">
        <f>INDEX(挂机升级突破!BV$6:BV$57,卡牌消耗!$AI924)</f>
        <v>4</v>
      </c>
      <c r="AE924" s="14">
        <f>INDEX(挂机升级突破!BW$6:BW$57,卡牌消耗!$AI924)</f>
        <v>0</v>
      </c>
      <c r="AF924" s="14" t="str">
        <f t="shared" si="204"/>
        <v>噬日</v>
      </c>
      <c r="AG924" s="14">
        <f t="shared" si="205"/>
        <v>2</v>
      </c>
      <c r="AH924" s="14" t="str">
        <f t="shared" si="206"/>
        <v>噬日魂火-36</v>
      </c>
      <c r="AI924" s="14">
        <f t="shared" si="207"/>
        <v>36</v>
      </c>
      <c r="AJ924" s="14" t="str">
        <f>INDEX(挂机升级突破!$BX$4:$CH$4,INDEX(挂机升级突破!$BU$6:$BU$57,卡牌消耗!AI924))</f>
        <v>金币</v>
      </c>
      <c r="AK924" s="14">
        <f>ROUND(INDEX(挂机升级突破!$BN$6:$BN$57,卡牌消耗!AI924)*INDEX(卡牌消耗!$B$8:$F$8,AG924)/$Q$4/50,0)*50</f>
        <v>8450</v>
      </c>
      <c r="AL924" s="14" t="str">
        <f>IF(AD924&gt;0,INDEX(挂机升级突破!$BX$4:$CH$4,AD924),"")</f>
        <v>橙色基础材料</v>
      </c>
      <c r="AM924" s="14">
        <f>ROUND(INDEX(挂机升级突破!$BX$6:$CH$57,卡牌消耗!AI924,AD924)*INDEX(卡牌消耗!$B$5:$F$5,AG924)/$Q$4/5,0)*5</f>
        <v>90</v>
      </c>
      <c r="AN924" s="14" t="str">
        <f>IF(AE924&gt;0,INDEX(挂机升级突破!$BX$4:$CH$4,AE924),"")</f>
        <v/>
      </c>
      <c r="AO924" s="14" t="str">
        <f>IF(AE924&gt;0,ROUND(INDEX(挂机升级突破!$BX$6:$CH$57,卡牌消耗!AI924,AE924)*INDEX(卡牌消耗!$B$7:$F$7,AG924)/$Q$4,0),"")</f>
        <v/>
      </c>
    </row>
    <row r="925" spans="27:41" ht="16.5" x14ac:dyDescent="0.2">
      <c r="AA925" s="104">
        <v>921</v>
      </c>
      <c r="AB925" s="14">
        <f t="shared" si="203"/>
        <v>18</v>
      </c>
      <c r="AC925" s="14">
        <f>INDEX(挂机升级突破!$BU$6:$BU$57,卡牌消耗!AI925)</f>
        <v>11</v>
      </c>
      <c r="AD925" s="14">
        <f>INDEX(挂机升级突破!BV$6:BV$57,卡牌消耗!$AI925)</f>
        <v>4</v>
      </c>
      <c r="AE925" s="14">
        <f>INDEX(挂机升级突破!BW$6:BW$57,卡牌消耗!$AI925)</f>
        <v>0</v>
      </c>
      <c r="AF925" s="14" t="str">
        <f t="shared" si="204"/>
        <v>噬日</v>
      </c>
      <c r="AG925" s="14">
        <f t="shared" si="205"/>
        <v>2</v>
      </c>
      <c r="AH925" s="14" t="str">
        <f t="shared" si="206"/>
        <v>噬日魂火-37</v>
      </c>
      <c r="AI925" s="14">
        <f t="shared" si="207"/>
        <v>37</v>
      </c>
      <c r="AJ925" s="14" t="str">
        <f>INDEX(挂机升级突破!$BX$4:$CH$4,INDEX(挂机升级突破!$BU$6:$BU$57,卡牌消耗!AI925))</f>
        <v>金币</v>
      </c>
      <c r="AK925" s="14">
        <f>ROUND(INDEX(挂机升级突破!$BN$6:$BN$57,卡牌消耗!AI925)*INDEX(卡牌消耗!$B$8:$F$8,AG925)/$Q$4/50,0)*50</f>
        <v>9050</v>
      </c>
      <c r="AL925" s="14" t="str">
        <f>IF(AD925&gt;0,INDEX(挂机升级突破!$BX$4:$CH$4,AD925),"")</f>
        <v>橙色基础材料</v>
      </c>
      <c r="AM925" s="14">
        <f>ROUND(INDEX(挂机升级突破!$BX$6:$CH$57,卡牌消耗!AI925,AD925)*INDEX(卡牌消耗!$B$5:$F$5,AG925)/$Q$4/5,0)*5</f>
        <v>90</v>
      </c>
      <c r="AN925" s="14" t="str">
        <f>IF(AE925&gt;0,INDEX(挂机升级突破!$BX$4:$CH$4,AE925),"")</f>
        <v/>
      </c>
      <c r="AO925" s="14" t="str">
        <f>IF(AE925&gt;0,ROUND(INDEX(挂机升级突破!$BX$6:$CH$57,卡牌消耗!AI925,AE925)*INDEX(卡牌消耗!$B$7:$F$7,AG925)/$Q$4,0),"")</f>
        <v/>
      </c>
    </row>
    <row r="926" spans="27:41" ht="16.5" x14ac:dyDescent="0.2">
      <c r="AA926" s="104">
        <v>922</v>
      </c>
      <c r="AB926" s="14">
        <f t="shared" si="203"/>
        <v>18</v>
      </c>
      <c r="AC926" s="14">
        <f>INDEX(挂机升级突破!$BU$6:$BU$57,卡牌消耗!AI926)</f>
        <v>11</v>
      </c>
      <c r="AD926" s="14">
        <f>INDEX(挂机升级突破!BV$6:BV$57,卡牌消耗!$AI926)</f>
        <v>5</v>
      </c>
      <c r="AE926" s="14">
        <f>INDEX(挂机升级突破!BW$6:BW$57,卡牌消耗!$AI926)</f>
        <v>0</v>
      </c>
      <c r="AF926" s="14" t="str">
        <f t="shared" si="204"/>
        <v>噬日</v>
      </c>
      <c r="AG926" s="14">
        <f t="shared" si="205"/>
        <v>2</v>
      </c>
      <c r="AH926" s="14" t="str">
        <f t="shared" si="206"/>
        <v>噬日魂火-38</v>
      </c>
      <c r="AI926" s="14">
        <f t="shared" si="207"/>
        <v>38</v>
      </c>
      <c r="AJ926" s="14" t="str">
        <f>INDEX(挂机升级突破!$BX$4:$CH$4,INDEX(挂机升级突破!$BU$6:$BU$57,卡牌消耗!AI926))</f>
        <v>金币</v>
      </c>
      <c r="AK926" s="14">
        <f>ROUND(INDEX(挂机升级突破!$BN$6:$BN$57,卡牌消耗!AI926)*INDEX(卡牌消耗!$B$8:$F$8,AG926)/$Q$4/50,0)*50</f>
        <v>11700</v>
      </c>
      <c r="AL926" s="14" t="str">
        <f>IF(AD926&gt;0,INDEX(挂机升级突破!$BX$4:$CH$4,AD926),"")</f>
        <v>红色基础材料</v>
      </c>
      <c r="AM926" s="14">
        <f>ROUND(INDEX(挂机升级突破!$BX$6:$CH$57,卡牌消耗!AI926,AD926)*INDEX(卡牌消耗!$B$5:$F$5,AG926)/$Q$4/5,0)*5</f>
        <v>35</v>
      </c>
      <c r="AN926" s="14" t="str">
        <f>IF(AE926&gt;0,INDEX(挂机升级突破!$BX$4:$CH$4,AE926),"")</f>
        <v/>
      </c>
      <c r="AO926" s="14" t="str">
        <f>IF(AE926&gt;0,ROUND(INDEX(挂机升级突破!$BX$6:$CH$57,卡牌消耗!AI926,AE926)*INDEX(卡牌消耗!$B$7:$F$7,AG926)/$Q$4,0),"")</f>
        <v/>
      </c>
    </row>
    <row r="927" spans="27:41" ht="16.5" x14ac:dyDescent="0.2">
      <c r="AA927" s="104">
        <v>923</v>
      </c>
      <c r="AB927" s="14">
        <f t="shared" si="203"/>
        <v>18</v>
      </c>
      <c r="AC927" s="14">
        <f>INDEX(挂机升级突破!$BU$6:$BU$57,卡牌消耗!AI927)</f>
        <v>11</v>
      </c>
      <c r="AD927" s="14">
        <f>INDEX(挂机升级突破!BV$6:BV$57,卡牌消耗!$AI927)</f>
        <v>5</v>
      </c>
      <c r="AE927" s="14">
        <f>INDEX(挂机升级突破!BW$6:BW$57,卡牌消耗!$AI927)</f>
        <v>0</v>
      </c>
      <c r="AF927" s="14" t="str">
        <f t="shared" si="204"/>
        <v>噬日</v>
      </c>
      <c r="AG927" s="14">
        <f t="shared" si="205"/>
        <v>2</v>
      </c>
      <c r="AH927" s="14" t="str">
        <f t="shared" si="206"/>
        <v>噬日魂火-39</v>
      </c>
      <c r="AI927" s="14">
        <f t="shared" si="207"/>
        <v>39</v>
      </c>
      <c r="AJ927" s="14" t="str">
        <f>INDEX(挂机升级突破!$BX$4:$CH$4,INDEX(挂机升级突破!$BU$6:$BU$57,卡牌消耗!AI927))</f>
        <v>金币</v>
      </c>
      <c r="AK927" s="14">
        <f>ROUND(INDEX(挂机升级突破!$BN$6:$BN$57,卡牌消耗!AI927)*INDEX(卡牌消耗!$B$8:$F$8,AG927)/$Q$4/50,0)*50</f>
        <v>11700</v>
      </c>
      <c r="AL927" s="14" t="str">
        <f>IF(AD927&gt;0,INDEX(挂机升级突破!$BX$4:$CH$4,AD927),"")</f>
        <v>红色基础材料</v>
      </c>
      <c r="AM927" s="14">
        <f>ROUND(INDEX(挂机升级突破!$BX$6:$CH$57,卡牌消耗!AI927,AD927)*INDEX(卡牌消耗!$B$5:$F$5,AG927)/$Q$4/5,0)*5</f>
        <v>35</v>
      </c>
      <c r="AN927" s="14" t="str">
        <f>IF(AE927&gt;0,INDEX(挂机升级突破!$BX$4:$CH$4,AE927),"")</f>
        <v/>
      </c>
      <c r="AO927" s="14" t="str">
        <f>IF(AE927&gt;0,ROUND(INDEX(挂机升级突破!$BX$6:$CH$57,卡牌消耗!AI927,AE927)*INDEX(卡牌消耗!$B$7:$F$7,AG927)/$Q$4,0),"")</f>
        <v/>
      </c>
    </row>
    <row r="928" spans="27:41" ht="16.5" x14ac:dyDescent="0.2">
      <c r="AA928" s="104">
        <v>924</v>
      </c>
      <c r="AB928" s="14">
        <f t="shared" si="203"/>
        <v>18</v>
      </c>
      <c r="AC928" s="14">
        <f>INDEX(挂机升级突破!$BU$6:$BU$57,卡牌消耗!AI928)</f>
        <v>11</v>
      </c>
      <c r="AD928" s="14">
        <f>INDEX(挂机升级突破!BV$6:BV$57,卡牌消耗!$AI928)</f>
        <v>5</v>
      </c>
      <c r="AE928" s="14">
        <f>INDEX(挂机升级突破!BW$6:BW$57,卡牌消耗!$AI928)</f>
        <v>0</v>
      </c>
      <c r="AF928" s="14" t="str">
        <f t="shared" si="204"/>
        <v>噬日</v>
      </c>
      <c r="AG928" s="14">
        <f t="shared" si="205"/>
        <v>2</v>
      </c>
      <c r="AH928" s="14" t="str">
        <f t="shared" si="206"/>
        <v>噬日魂火-40</v>
      </c>
      <c r="AI928" s="14">
        <f t="shared" si="207"/>
        <v>40</v>
      </c>
      <c r="AJ928" s="14" t="str">
        <f>INDEX(挂机升级突破!$BX$4:$CH$4,INDEX(挂机升级突破!$BU$6:$BU$57,卡牌消耗!AI928))</f>
        <v>金币</v>
      </c>
      <c r="AK928" s="14">
        <f>ROUND(INDEX(挂机升级突破!$BN$6:$BN$57,卡牌消耗!AI928)*INDEX(卡牌消耗!$B$8:$F$8,AG928)/$Q$4/50,0)*50</f>
        <v>11700</v>
      </c>
      <c r="AL928" s="14" t="str">
        <f>IF(AD928&gt;0,INDEX(挂机升级突破!$BX$4:$CH$4,AD928),"")</f>
        <v>红色基础材料</v>
      </c>
      <c r="AM928" s="14">
        <f>ROUND(INDEX(挂机升级突破!$BX$6:$CH$57,卡牌消耗!AI928,AD928)*INDEX(卡牌消耗!$B$5:$F$5,AG928)/$Q$4/5,0)*5</f>
        <v>35</v>
      </c>
      <c r="AN928" s="14" t="str">
        <f>IF(AE928&gt;0,INDEX(挂机升级突破!$BX$4:$CH$4,AE928),"")</f>
        <v/>
      </c>
      <c r="AO928" s="14" t="str">
        <f>IF(AE928&gt;0,ROUND(INDEX(挂机升级突破!$BX$6:$CH$57,卡牌消耗!AI928,AE928)*INDEX(卡牌消耗!$B$7:$F$7,AG928)/$Q$4,0),"")</f>
        <v/>
      </c>
    </row>
    <row r="929" spans="27:41" ht="16.5" x14ac:dyDescent="0.2">
      <c r="AA929" s="104">
        <v>925</v>
      </c>
      <c r="AB929" s="14">
        <f t="shared" si="203"/>
        <v>18</v>
      </c>
      <c r="AC929" s="14">
        <f>INDEX(挂机升级突破!$BU$6:$BU$57,卡牌消耗!AI929)</f>
        <v>11</v>
      </c>
      <c r="AD929" s="14">
        <f>INDEX(挂机升级突破!BV$6:BV$57,卡牌消耗!$AI929)</f>
        <v>5</v>
      </c>
      <c r="AE929" s="14">
        <f>INDEX(挂机升级突破!BW$6:BW$57,卡牌消耗!$AI929)</f>
        <v>10</v>
      </c>
      <c r="AF929" s="14" t="str">
        <f t="shared" si="204"/>
        <v>噬日</v>
      </c>
      <c r="AG929" s="14">
        <f t="shared" si="205"/>
        <v>2</v>
      </c>
      <c r="AH929" s="14" t="str">
        <f t="shared" si="206"/>
        <v>噬日魂火-41</v>
      </c>
      <c r="AI929" s="14">
        <f t="shared" si="207"/>
        <v>41</v>
      </c>
      <c r="AJ929" s="14" t="str">
        <f>INDEX(挂机升级突破!$BX$4:$CH$4,INDEX(挂机升级突破!$BU$6:$BU$57,卡牌消耗!AI929))</f>
        <v>金币</v>
      </c>
      <c r="AK929" s="14">
        <f>ROUND(INDEX(挂机升级突破!$BN$6:$BN$57,卡牌消耗!AI929)*INDEX(卡牌消耗!$B$8:$F$8,AG929)/$Q$4/50,0)*50</f>
        <v>16100</v>
      </c>
      <c r="AL929" s="14" t="str">
        <f>IF(AD929&gt;0,INDEX(挂机升级突破!$BX$4:$CH$4,AD929),"")</f>
        <v>红色基础材料</v>
      </c>
      <c r="AM929" s="14">
        <f>ROUND(INDEX(挂机升级突破!$BX$6:$CH$57,卡牌消耗!AI929,AD929)*INDEX(卡牌消耗!$B$5:$F$5,AG929)/$Q$4/5,0)*5</f>
        <v>45</v>
      </c>
      <c r="AN929" s="14" t="str">
        <f>IF(AE929&gt;0,INDEX(挂机升级突破!$BX$4:$CH$4,AE929),"")</f>
        <v>灵玉</v>
      </c>
      <c r="AO929" s="14">
        <f>IF(AE929&gt;0,ROUND(INDEX(挂机升级突破!$BX$6:$CH$57,卡牌消耗!AI929,AE929)*INDEX(卡牌消耗!$B$7:$F$7,AG929)/$Q$4,0),"")</f>
        <v>1</v>
      </c>
    </row>
    <row r="930" spans="27:41" ht="16.5" x14ac:dyDescent="0.2">
      <c r="AA930" s="104">
        <v>926</v>
      </c>
      <c r="AB930" s="14">
        <f t="shared" si="203"/>
        <v>18</v>
      </c>
      <c r="AC930" s="14">
        <f>INDEX(挂机升级突破!$BU$6:$BU$57,卡牌消耗!AI930)</f>
        <v>11</v>
      </c>
      <c r="AD930" s="14">
        <f>INDEX(挂机升级突破!BV$6:BV$57,卡牌消耗!$AI930)</f>
        <v>5</v>
      </c>
      <c r="AE930" s="14">
        <f>INDEX(挂机升级突破!BW$6:BW$57,卡牌消耗!$AI930)</f>
        <v>10</v>
      </c>
      <c r="AF930" s="14" t="str">
        <f t="shared" si="204"/>
        <v>噬日</v>
      </c>
      <c r="AG930" s="14">
        <f t="shared" si="205"/>
        <v>2</v>
      </c>
      <c r="AH930" s="14" t="str">
        <f t="shared" si="206"/>
        <v>噬日魂火-42</v>
      </c>
      <c r="AI930" s="14">
        <f t="shared" si="207"/>
        <v>42</v>
      </c>
      <c r="AJ930" s="14" t="str">
        <f>INDEX(挂机升级突破!$BX$4:$CH$4,INDEX(挂机升级突破!$BU$6:$BU$57,卡牌消耗!AI930))</f>
        <v>金币</v>
      </c>
      <c r="AK930" s="14">
        <f>ROUND(INDEX(挂机升级突破!$BN$6:$BN$57,卡牌消耗!AI930)*INDEX(卡牌消耗!$B$8:$F$8,AG930)/$Q$4/50,0)*50</f>
        <v>16100</v>
      </c>
      <c r="AL930" s="14" t="str">
        <f>IF(AD930&gt;0,INDEX(挂机升级突破!$BX$4:$CH$4,AD930),"")</f>
        <v>红色基础材料</v>
      </c>
      <c r="AM930" s="14">
        <f>ROUND(INDEX(挂机升级突破!$BX$6:$CH$57,卡牌消耗!AI930,AD930)*INDEX(卡牌消耗!$B$5:$F$5,AG930)/$Q$4/5,0)*5</f>
        <v>45</v>
      </c>
      <c r="AN930" s="14" t="str">
        <f>IF(AE930&gt;0,INDEX(挂机升级突破!$BX$4:$CH$4,AE930),"")</f>
        <v>灵玉</v>
      </c>
      <c r="AO930" s="14">
        <f>IF(AE930&gt;0,ROUND(INDEX(挂机升级突破!$BX$6:$CH$57,卡牌消耗!AI930,AE930)*INDEX(卡牌消耗!$B$7:$F$7,AG930)/$Q$4,0),"")</f>
        <v>1</v>
      </c>
    </row>
    <row r="931" spans="27:41" ht="16.5" x14ac:dyDescent="0.2">
      <c r="AA931" s="104">
        <v>927</v>
      </c>
      <c r="AB931" s="14">
        <f t="shared" si="203"/>
        <v>18</v>
      </c>
      <c r="AC931" s="14">
        <f>INDEX(挂机升级突破!$BU$6:$BU$57,卡牌消耗!AI931)</f>
        <v>11</v>
      </c>
      <c r="AD931" s="14">
        <f>INDEX(挂机升级突破!BV$6:BV$57,卡牌消耗!$AI931)</f>
        <v>5</v>
      </c>
      <c r="AE931" s="14">
        <f>INDEX(挂机升级突破!BW$6:BW$57,卡牌消耗!$AI931)</f>
        <v>10</v>
      </c>
      <c r="AF931" s="14" t="str">
        <f t="shared" si="204"/>
        <v>噬日</v>
      </c>
      <c r="AG931" s="14">
        <f t="shared" si="205"/>
        <v>2</v>
      </c>
      <c r="AH931" s="14" t="str">
        <f t="shared" si="206"/>
        <v>噬日魂火-43</v>
      </c>
      <c r="AI931" s="14">
        <f t="shared" si="207"/>
        <v>43</v>
      </c>
      <c r="AJ931" s="14" t="str">
        <f>INDEX(挂机升级突破!$BX$4:$CH$4,INDEX(挂机升级突破!$BU$6:$BU$57,卡牌消耗!AI931))</f>
        <v>金币</v>
      </c>
      <c r="AK931" s="14">
        <f>ROUND(INDEX(挂机升级突破!$BN$6:$BN$57,卡牌消耗!AI931)*INDEX(卡牌消耗!$B$8:$F$8,AG931)/$Q$4/50,0)*50</f>
        <v>16100</v>
      </c>
      <c r="AL931" s="14" t="str">
        <f>IF(AD931&gt;0,INDEX(挂机升级突破!$BX$4:$CH$4,AD931),"")</f>
        <v>红色基础材料</v>
      </c>
      <c r="AM931" s="14">
        <f>ROUND(INDEX(挂机升级突破!$BX$6:$CH$57,卡牌消耗!AI931,AD931)*INDEX(卡牌消耗!$B$5:$F$5,AG931)/$Q$4/5,0)*5</f>
        <v>45</v>
      </c>
      <c r="AN931" s="14" t="str">
        <f>IF(AE931&gt;0,INDEX(挂机升级突破!$BX$4:$CH$4,AE931),"")</f>
        <v>灵玉</v>
      </c>
      <c r="AO931" s="14">
        <f>IF(AE931&gt;0,ROUND(INDEX(挂机升级突破!$BX$6:$CH$57,卡牌消耗!AI931,AE931)*INDEX(卡牌消耗!$B$7:$F$7,AG931)/$Q$4,0),"")</f>
        <v>1</v>
      </c>
    </row>
    <row r="932" spans="27:41" ht="16.5" x14ac:dyDescent="0.2">
      <c r="AA932" s="104">
        <v>928</v>
      </c>
      <c r="AB932" s="14">
        <f t="shared" si="203"/>
        <v>18</v>
      </c>
      <c r="AC932" s="14">
        <f>INDEX(挂机升级突破!$BU$6:$BU$57,卡牌消耗!AI932)</f>
        <v>11</v>
      </c>
      <c r="AD932" s="14">
        <f>INDEX(挂机升级突破!BV$6:BV$57,卡牌消耗!$AI932)</f>
        <v>5</v>
      </c>
      <c r="AE932" s="14">
        <f>INDEX(挂机升级突破!BW$6:BW$57,卡牌消耗!$AI932)</f>
        <v>10</v>
      </c>
      <c r="AF932" s="14" t="str">
        <f t="shared" si="204"/>
        <v>噬日</v>
      </c>
      <c r="AG932" s="14">
        <f t="shared" si="205"/>
        <v>2</v>
      </c>
      <c r="AH932" s="14" t="str">
        <f t="shared" si="206"/>
        <v>噬日魂火-44</v>
      </c>
      <c r="AI932" s="14">
        <f t="shared" si="207"/>
        <v>44</v>
      </c>
      <c r="AJ932" s="14" t="str">
        <f>INDEX(挂机升级突破!$BX$4:$CH$4,INDEX(挂机升级突破!$BU$6:$BU$57,卡牌消耗!AI932))</f>
        <v>金币</v>
      </c>
      <c r="AK932" s="14">
        <f>ROUND(INDEX(挂机升级突破!$BN$6:$BN$57,卡牌消耗!AI932)*INDEX(卡牌消耗!$B$8:$F$8,AG932)/$Q$4/50,0)*50</f>
        <v>20450</v>
      </c>
      <c r="AL932" s="14" t="str">
        <f>IF(AD932&gt;0,INDEX(挂机升级突破!$BX$4:$CH$4,AD932),"")</f>
        <v>红色基础材料</v>
      </c>
      <c r="AM932" s="14">
        <f>ROUND(INDEX(挂机升级突破!$BX$6:$CH$57,卡牌消耗!AI932,AD932)*INDEX(卡牌消耗!$B$5:$F$5,AG932)/$Q$4/5,0)*5</f>
        <v>50</v>
      </c>
      <c r="AN932" s="14" t="str">
        <f>IF(AE932&gt;0,INDEX(挂机升级突破!$BX$4:$CH$4,AE932),"")</f>
        <v>灵玉</v>
      </c>
      <c r="AO932" s="14">
        <f>IF(AE932&gt;0,ROUND(INDEX(挂机升级突破!$BX$6:$CH$57,卡牌消耗!AI932,AE932)*INDEX(卡牌消耗!$B$7:$F$7,AG932)/$Q$4,0),"")</f>
        <v>1</v>
      </c>
    </row>
    <row r="933" spans="27:41" ht="16.5" x14ac:dyDescent="0.2">
      <c r="AA933" s="104">
        <v>929</v>
      </c>
      <c r="AB933" s="14">
        <f t="shared" si="203"/>
        <v>18</v>
      </c>
      <c r="AC933" s="14">
        <f>INDEX(挂机升级突破!$BU$6:$BU$57,卡牌消耗!AI933)</f>
        <v>11</v>
      </c>
      <c r="AD933" s="14">
        <f>INDEX(挂机升级突破!BV$6:BV$57,卡牌消耗!$AI933)</f>
        <v>5</v>
      </c>
      <c r="AE933" s="14">
        <f>INDEX(挂机升级突破!BW$6:BW$57,卡牌消耗!$AI933)</f>
        <v>10</v>
      </c>
      <c r="AF933" s="14" t="str">
        <f t="shared" si="204"/>
        <v>噬日</v>
      </c>
      <c r="AG933" s="14">
        <f t="shared" si="205"/>
        <v>2</v>
      </c>
      <c r="AH933" s="14" t="str">
        <f t="shared" si="206"/>
        <v>噬日魂火-45</v>
      </c>
      <c r="AI933" s="14">
        <f t="shared" si="207"/>
        <v>45</v>
      </c>
      <c r="AJ933" s="14" t="str">
        <f>INDEX(挂机升级突破!$BX$4:$CH$4,INDEX(挂机升级突破!$BU$6:$BU$57,卡牌消耗!AI933))</f>
        <v>金币</v>
      </c>
      <c r="AK933" s="14">
        <f>ROUND(INDEX(挂机升级突破!$BN$6:$BN$57,卡牌消耗!AI933)*INDEX(卡牌消耗!$B$8:$F$8,AG933)/$Q$4/50,0)*50</f>
        <v>20450</v>
      </c>
      <c r="AL933" s="14" t="str">
        <f>IF(AD933&gt;0,INDEX(挂机升级突破!$BX$4:$CH$4,AD933),"")</f>
        <v>红色基础材料</v>
      </c>
      <c r="AM933" s="14">
        <f>ROUND(INDEX(挂机升级突破!$BX$6:$CH$57,卡牌消耗!AI933,AD933)*INDEX(卡牌消耗!$B$5:$F$5,AG933)/$Q$4/5,0)*5</f>
        <v>50</v>
      </c>
      <c r="AN933" s="14" t="str">
        <f>IF(AE933&gt;0,INDEX(挂机升级突破!$BX$4:$CH$4,AE933),"")</f>
        <v>灵玉</v>
      </c>
      <c r="AO933" s="14">
        <f>IF(AE933&gt;0,ROUND(INDEX(挂机升级突破!$BX$6:$CH$57,卡牌消耗!AI933,AE933)*INDEX(卡牌消耗!$B$7:$F$7,AG933)/$Q$4,0),"")</f>
        <v>1</v>
      </c>
    </row>
    <row r="934" spans="27:41" ht="16.5" x14ac:dyDescent="0.2">
      <c r="AA934" s="104">
        <v>930</v>
      </c>
      <c r="AB934" s="14">
        <f t="shared" si="203"/>
        <v>18</v>
      </c>
      <c r="AC934" s="14">
        <f>INDEX(挂机升级突破!$BU$6:$BU$57,卡牌消耗!AI934)</f>
        <v>11</v>
      </c>
      <c r="AD934" s="14">
        <f>INDEX(挂机升级突破!BV$6:BV$57,卡牌消耗!$AI934)</f>
        <v>5</v>
      </c>
      <c r="AE934" s="14">
        <f>INDEX(挂机升级突破!BW$6:BW$57,卡牌消耗!$AI934)</f>
        <v>10</v>
      </c>
      <c r="AF934" s="14" t="str">
        <f t="shared" si="204"/>
        <v>噬日</v>
      </c>
      <c r="AG934" s="14">
        <f t="shared" si="205"/>
        <v>2</v>
      </c>
      <c r="AH934" s="14" t="str">
        <f t="shared" si="206"/>
        <v>噬日魂火-46</v>
      </c>
      <c r="AI934" s="14">
        <f t="shared" si="207"/>
        <v>46</v>
      </c>
      <c r="AJ934" s="14" t="str">
        <f>INDEX(挂机升级突破!$BX$4:$CH$4,INDEX(挂机升级突破!$BU$6:$BU$57,卡牌消耗!AI934))</f>
        <v>金币</v>
      </c>
      <c r="AK934" s="14">
        <f>ROUND(INDEX(挂机升级突破!$BN$6:$BN$57,卡牌消耗!AI934)*INDEX(卡牌消耗!$B$8:$F$8,AG934)/$Q$4/50,0)*50</f>
        <v>21950</v>
      </c>
      <c r="AL934" s="14" t="str">
        <f>IF(AD934&gt;0,INDEX(挂机升级突破!$BX$4:$CH$4,AD934),"")</f>
        <v>红色基础材料</v>
      </c>
      <c r="AM934" s="14">
        <f>ROUND(INDEX(挂机升级突破!$BX$6:$CH$57,卡牌消耗!AI934,AD934)*INDEX(卡牌消耗!$B$5:$F$5,AG934)/$Q$4/5,0)*5</f>
        <v>50</v>
      </c>
      <c r="AN934" s="14" t="str">
        <f>IF(AE934&gt;0,INDEX(挂机升级突破!$BX$4:$CH$4,AE934),"")</f>
        <v>灵玉</v>
      </c>
      <c r="AO934" s="14">
        <f>IF(AE934&gt;0,ROUND(INDEX(挂机升级突破!$BX$6:$CH$57,卡牌消耗!AI934,AE934)*INDEX(卡牌消耗!$B$7:$F$7,AG934)/$Q$4,0),"")</f>
        <v>1</v>
      </c>
    </row>
    <row r="935" spans="27:41" ht="16.5" x14ac:dyDescent="0.2">
      <c r="AA935" s="104">
        <v>931</v>
      </c>
      <c r="AB935" s="14">
        <f t="shared" si="203"/>
        <v>18</v>
      </c>
      <c r="AC935" s="14">
        <f>INDEX(挂机升级突破!$BU$6:$BU$57,卡牌消耗!AI935)</f>
        <v>11</v>
      </c>
      <c r="AD935" s="14">
        <f>INDEX(挂机升级突破!BV$6:BV$57,卡牌消耗!$AI935)</f>
        <v>5</v>
      </c>
      <c r="AE935" s="14">
        <f>INDEX(挂机升级突破!BW$6:BW$57,卡牌消耗!$AI935)</f>
        <v>10</v>
      </c>
      <c r="AF935" s="14" t="str">
        <f t="shared" si="204"/>
        <v>噬日</v>
      </c>
      <c r="AG935" s="14">
        <f t="shared" si="205"/>
        <v>2</v>
      </c>
      <c r="AH935" s="14" t="str">
        <f t="shared" si="206"/>
        <v>噬日魂火-47</v>
      </c>
      <c r="AI935" s="14">
        <f t="shared" si="207"/>
        <v>47</v>
      </c>
      <c r="AJ935" s="14" t="str">
        <f>INDEX(挂机升级突破!$BX$4:$CH$4,INDEX(挂机升级突破!$BU$6:$BU$57,卡牌消耗!AI935))</f>
        <v>金币</v>
      </c>
      <c r="AK935" s="14">
        <f>ROUND(INDEX(挂机升级突破!$BN$6:$BN$57,卡牌消耗!AI935)*INDEX(卡牌消耗!$B$8:$F$8,AG935)/$Q$4/50,0)*50</f>
        <v>106350</v>
      </c>
      <c r="AL935" s="14" t="str">
        <f>IF(AD935&gt;0,INDEX(挂机升级突破!$BX$4:$CH$4,AD935),"")</f>
        <v>红色基础材料</v>
      </c>
      <c r="AM935" s="14">
        <f>ROUND(INDEX(挂机升级突破!$BX$6:$CH$57,卡牌消耗!AI935,AD935)*INDEX(卡牌消耗!$B$5:$F$5,AG935)/$Q$4/5,0)*5</f>
        <v>50</v>
      </c>
      <c r="AN935" s="14" t="str">
        <f>IF(AE935&gt;0,INDEX(挂机升级突破!$BX$4:$CH$4,AE935),"")</f>
        <v>灵玉</v>
      </c>
      <c r="AO935" s="14">
        <f>IF(AE935&gt;0,ROUND(INDEX(挂机升级突破!$BX$6:$CH$57,卡牌消耗!AI935,AE935)*INDEX(卡牌消耗!$B$7:$F$7,AG935)/$Q$4,0),"")</f>
        <v>1</v>
      </c>
    </row>
    <row r="936" spans="27:41" ht="16.5" x14ac:dyDescent="0.2">
      <c r="AA936" s="104">
        <v>932</v>
      </c>
      <c r="AB936" s="14">
        <f t="shared" si="203"/>
        <v>18</v>
      </c>
      <c r="AC936" s="14">
        <f>INDEX(挂机升级突破!$BU$6:$BU$57,卡牌消耗!AI936)</f>
        <v>11</v>
      </c>
      <c r="AD936" s="14">
        <f>INDEX(挂机升级突破!BV$6:BV$57,卡牌消耗!$AI936)</f>
        <v>5</v>
      </c>
      <c r="AE936" s="14">
        <f>INDEX(挂机升级突破!BW$6:BW$57,卡牌消耗!$AI936)</f>
        <v>10</v>
      </c>
      <c r="AF936" s="14" t="str">
        <f t="shared" si="204"/>
        <v>噬日</v>
      </c>
      <c r="AG936" s="14">
        <f t="shared" si="205"/>
        <v>2</v>
      </c>
      <c r="AH936" s="14" t="str">
        <f t="shared" si="206"/>
        <v>噬日魂火-48</v>
      </c>
      <c r="AI936" s="14">
        <f t="shared" si="207"/>
        <v>48</v>
      </c>
      <c r="AJ936" s="14" t="str">
        <f>INDEX(挂机升级突破!$BX$4:$CH$4,INDEX(挂机升级突破!$BU$6:$BU$57,卡牌消耗!AI936))</f>
        <v>金币</v>
      </c>
      <c r="AK936" s="14">
        <f>ROUND(INDEX(挂机升级突破!$BN$6:$BN$57,卡牌消耗!AI936)*INDEX(卡牌消耗!$B$8:$F$8,AG936)/$Q$4/50,0)*50</f>
        <v>106350</v>
      </c>
      <c r="AL936" s="14" t="str">
        <f>IF(AD936&gt;0,INDEX(挂机升级突破!$BX$4:$CH$4,AD936),"")</f>
        <v>红色基础材料</v>
      </c>
      <c r="AM936" s="14">
        <f>ROUND(INDEX(挂机升级突破!$BX$6:$CH$57,卡牌消耗!AI936,AD936)*INDEX(卡牌消耗!$B$5:$F$5,AG936)/$Q$4/5,0)*5</f>
        <v>50</v>
      </c>
      <c r="AN936" s="14" t="str">
        <f>IF(AE936&gt;0,INDEX(挂机升级突破!$BX$4:$CH$4,AE936),"")</f>
        <v>灵玉</v>
      </c>
      <c r="AO936" s="14">
        <f>IF(AE936&gt;0,ROUND(INDEX(挂机升级突破!$BX$6:$CH$57,卡牌消耗!AI936,AE936)*INDEX(卡牌消耗!$B$7:$F$7,AG936)/$Q$4,0),"")</f>
        <v>1</v>
      </c>
    </row>
    <row r="937" spans="27:41" ht="16.5" x14ac:dyDescent="0.2">
      <c r="AA937" s="104">
        <v>933</v>
      </c>
      <c r="AB937" s="14">
        <f t="shared" si="203"/>
        <v>18</v>
      </c>
      <c r="AC937" s="14">
        <f>INDEX(挂机升级突破!$BU$6:$BU$57,卡牌消耗!AI937)</f>
        <v>11</v>
      </c>
      <c r="AD937" s="14">
        <f>INDEX(挂机升级突破!BV$6:BV$57,卡牌消耗!$AI937)</f>
        <v>5</v>
      </c>
      <c r="AE937" s="14">
        <f>INDEX(挂机升级突破!BW$6:BW$57,卡牌消耗!$AI937)</f>
        <v>10</v>
      </c>
      <c r="AF937" s="14" t="str">
        <f t="shared" si="204"/>
        <v>噬日</v>
      </c>
      <c r="AG937" s="14">
        <f t="shared" si="205"/>
        <v>2</v>
      </c>
      <c r="AH937" s="14" t="str">
        <f t="shared" si="206"/>
        <v>噬日魂火-49</v>
      </c>
      <c r="AI937" s="14">
        <f t="shared" si="207"/>
        <v>49</v>
      </c>
      <c r="AJ937" s="14" t="str">
        <f>INDEX(挂机升级突破!$BX$4:$CH$4,INDEX(挂机升级突破!$BU$6:$BU$57,卡牌消耗!AI937))</f>
        <v>金币</v>
      </c>
      <c r="AK937" s="14">
        <f>ROUND(INDEX(挂机升级突破!$BN$6:$BN$57,卡牌消耗!AI937)*INDEX(卡牌消耗!$B$8:$F$8,AG937)/$Q$4/50,0)*50</f>
        <v>106350</v>
      </c>
      <c r="AL937" s="14" t="str">
        <f>IF(AD937&gt;0,INDEX(挂机升级突破!$BX$4:$CH$4,AD937),"")</f>
        <v>红色基础材料</v>
      </c>
      <c r="AM937" s="14">
        <f>ROUND(INDEX(挂机升级突破!$BX$6:$CH$57,卡牌消耗!AI937,AD937)*INDEX(卡牌消耗!$B$5:$F$5,AG937)/$Q$4/5,0)*5</f>
        <v>55</v>
      </c>
      <c r="AN937" s="14" t="str">
        <f>IF(AE937&gt;0,INDEX(挂机升级突破!$BX$4:$CH$4,AE937),"")</f>
        <v>灵玉</v>
      </c>
      <c r="AO937" s="14">
        <f>IF(AE937&gt;0,ROUND(INDEX(挂机升级突破!$BX$6:$CH$57,卡牌消耗!AI937,AE937)*INDEX(卡牌消耗!$B$7:$F$7,AG937)/$Q$4,0),"")</f>
        <v>1</v>
      </c>
    </row>
    <row r="938" spans="27:41" ht="16.5" x14ac:dyDescent="0.2">
      <c r="AA938" s="104">
        <v>934</v>
      </c>
      <c r="AB938" s="14">
        <f t="shared" si="203"/>
        <v>18</v>
      </c>
      <c r="AC938" s="14">
        <f>INDEX(挂机升级突破!$BU$6:$BU$57,卡牌消耗!AI938)</f>
        <v>11</v>
      </c>
      <c r="AD938" s="14">
        <f>INDEX(挂机升级突破!BV$6:BV$57,卡牌消耗!$AI938)</f>
        <v>5</v>
      </c>
      <c r="AE938" s="14">
        <f>INDEX(挂机升级突破!BW$6:BW$57,卡牌消耗!$AI938)</f>
        <v>10</v>
      </c>
      <c r="AF938" s="14" t="str">
        <f t="shared" si="204"/>
        <v>噬日</v>
      </c>
      <c r="AG938" s="14">
        <f t="shared" si="205"/>
        <v>2</v>
      </c>
      <c r="AH938" s="14" t="str">
        <f t="shared" si="206"/>
        <v>噬日魂火-50</v>
      </c>
      <c r="AI938" s="14">
        <f t="shared" si="207"/>
        <v>50</v>
      </c>
      <c r="AJ938" s="14" t="str">
        <f>INDEX(挂机升级突破!$BX$4:$CH$4,INDEX(挂机升级突破!$BU$6:$BU$57,卡牌消耗!AI938))</f>
        <v>金币</v>
      </c>
      <c r="AK938" s="14">
        <f>ROUND(INDEX(挂机升级突破!$BN$6:$BN$57,卡牌消耗!AI938)*INDEX(卡牌消耗!$B$8:$F$8,AG938)/$Q$4/50,0)*50</f>
        <v>177300</v>
      </c>
      <c r="AL938" s="14" t="str">
        <f>IF(AD938&gt;0,INDEX(挂机升级突破!$BX$4:$CH$4,AD938),"")</f>
        <v>红色基础材料</v>
      </c>
      <c r="AM938" s="14">
        <f>ROUND(INDEX(挂机升级突破!$BX$6:$CH$57,卡牌消耗!AI938,AD938)*INDEX(卡牌消耗!$B$5:$F$5,AG938)/$Q$4/5,0)*5</f>
        <v>55</v>
      </c>
      <c r="AN938" s="14" t="str">
        <f>IF(AE938&gt;0,INDEX(挂机升级突破!$BX$4:$CH$4,AE938),"")</f>
        <v>灵玉</v>
      </c>
      <c r="AO938" s="14">
        <f>IF(AE938&gt;0,ROUND(INDEX(挂机升级突破!$BX$6:$CH$57,卡牌消耗!AI938,AE938)*INDEX(卡牌消耗!$B$7:$F$7,AG938)/$Q$4,0),"")</f>
        <v>1</v>
      </c>
    </row>
    <row r="939" spans="27:41" ht="16.5" x14ac:dyDescent="0.2">
      <c r="AA939" s="104">
        <v>935</v>
      </c>
      <c r="AB939" s="14">
        <f t="shared" si="203"/>
        <v>18</v>
      </c>
      <c r="AC939" s="14">
        <f>INDEX(挂机升级突破!$BU$6:$BU$57,卡牌消耗!AI939)</f>
        <v>11</v>
      </c>
      <c r="AD939" s="14">
        <f>INDEX(挂机升级突破!BV$6:BV$57,卡牌消耗!$AI939)</f>
        <v>5</v>
      </c>
      <c r="AE939" s="14">
        <f>INDEX(挂机升级突破!BW$6:BW$57,卡牌消耗!$AI939)</f>
        <v>10</v>
      </c>
      <c r="AF939" s="14" t="str">
        <f t="shared" si="204"/>
        <v>噬日</v>
      </c>
      <c r="AG939" s="14">
        <f t="shared" si="205"/>
        <v>2</v>
      </c>
      <c r="AH939" s="14" t="str">
        <f t="shared" si="206"/>
        <v>噬日魂火-51</v>
      </c>
      <c r="AI939" s="14">
        <f t="shared" si="207"/>
        <v>51</v>
      </c>
      <c r="AJ939" s="14" t="str">
        <f>INDEX(挂机升级突破!$BX$4:$CH$4,INDEX(挂机升级突破!$BU$6:$BU$57,卡牌消耗!AI939))</f>
        <v>金币</v>
      </c>
      <c r="AK939" s="14">
        <f>ROUND(INDEX(挂机升级突破!$BN$6:$BN$57,卡牌消耗!AI939)*INDEX(卡牌消耗!$B$8:$F$8,AG939)/$Q$4/50,0)*50</f>
        <v>195000</v>
      </c>
      <c r="AL939" s="14" t="str">
        <f>IF(AD939&gt;0,INDEX(挂机升级突破!$BX$4:$CH$4,AD939),"")</f>
        <v>红色基础材料</v>
      </c>
      <c r="AM939" s="14">
        <f>ROUND(INDEX(挂机升级突破!$BX$6:$CH$57,卡牌消耗!AI939,AD939)*INDEX(卡牌消耗!$B$5:$F$5,AG939)/$Q$4/5,0)*5</f>
        <v>55</v>
      </c>
      <c r="AN939" s="14" t="str">
        <f>IF(AE939&gt;0,INDEX(挂机升级突破!$BX$4:$CH$4,AE939),"")</f>
        <v>灵玉</v>
      </c>
      <c r="AO939" s="14">
        <f>IF(AE939&gt;0,ROUND(INDEX(挂机升级突破!$BX$6:$CH$57,卡牌消耗!AI939,AE939)*INDEX(卡牌消耗!$B$7:$F$7,AG939)/$Q$4,0),"")</f>
        <v>1</v>
      </c>
    </row>
    <row r="940" spans="27:41" ht="16.5" x14ac:dyDescent="0.2">
      <c r="AA940" s="104">
        <v>936</v>
      </c>
      <c r="AB940" s="14">
        <f t="shared" si="203"/>
        <v>18</v>
      </c>
      <c r="AC940" s="14">
        <f>INDEX(挂机升级突破!$BU$6:$BU$57,卡牌消耗!AI940)</f>
        <v>11</v>
      </c>
      <c r="AD940" s="14">
        <f>INDEX(挂机升级突破!BV$6:BV$57,卡牌消耗!$AI940)</f>
        <v>5</v>
      </c>
      <c r="AE940" s="14">
        <f>INDEX(挂机升级突破!BW$6:BW$57,卡牌消耗!$AI940)</f>
        <v>10</v>
      </c>
      <c r="AF940" s="14" t="str">
        <f t="shared" si="204"/>
        <v>噬日</v>
      </c>
      <c r="AG940" s="14">
        <f t="shared" si="205"/>
        <v>2</v>
      </c>
      <c r="AH940" s="14" t="str">
        <f t="shared" si="206"/>
        <v>噬日魂火-52</v>
      </c>
      <c r="AI940" s="14">
        <f t="shared" si="207"/>
        <v>52</v>
      </c>
      <c r="AJ940" s="14" t="str">
        <f>INDEX(挂机升级突破!$BX$4:$CH$4,INDEX(挂机升级突破!$BU$6:$BU$57,卡牌消耗!AI940))</f>
        <v>金币</v>
      </c>
      <c r="AK940" s="14">
        <f>ROUND(INDEX(挂机升级突破!$BN$6:$BN$57,卡牌消耗!AI940)*INDEX(卡牌消耗!$B$8:$F$8,AG940)/$Q$4/50,0)*50</f>
        <v>195000</v>
      </c>
      <c r="AL940" s="14" t="str">
        <f>IF(AD940&gt;0,INDEX(挂机升级突破!$BX$4:$CH$4,AD940),"")</f>
        <v>红色基础材料</v>
      </c>
      <c r="AM940" s="14">
        <f>ROUND(INDEX(挂机升级突破!$BX$6:$CH$57,卡牌消耗!AI940,AD940)*INDEX(卡牌消耗!$B$5:$F$5,AG940)/$Q$4/5,0)*5</f>
        <v>55</v>
      </c>
      <c r="AN940" s="14" t="str">
        <f>IF(AE940&gt;0,INDEX(挂机升级突破!$BX$4:$CH$4,AE940),"")</f>
        <v>灵玉</v>
      </c>
      <c r="AO940" s="14">
        <f>IF(AE940&gt;0,ROUND(INDEX(挂机升级突破!$BX$6:$CH$57,卡牌消耗!AI940,AE940)*INDEX(卡牌消耗!$B$7:$F$7,AG940)/$Q$4,0),"")</f>
        <v>1</v>
      </c>
    </row>
    <row r="941" spans="27:41" ht="16.5" x14ac:dyDescent="0.2">
      <c r="AA941" s="104">
        <v>937</v>
      </c>
      <c r="AB941" s="14">
        <f t="shared" si="203"/>
        <v>19</v>
      </c>
      <c r="AC941" s="14">
        <f>INDEX(挂机升级突破!$BU$6:$BU$57,卡牌消耗!AI941)</f>
        <v>11</v>
      </c>
      <c r="AD941" s="14">
        <f>INDEX(挂机升级突破!BV$6:BV$57,卡牌消耗!$AI941)</f>
        <v>1</v>
      </c>
      <c r="AE941" s="14">
        <f>INDEX(挂机升级突破!BW$6:BW$57,卡牌消耗!$AI941)</f>
        <v>0</v>
      </c>
      <c r="AF941" s="14" t="str">
        <f t="shared" si="204"/>
        <v>食火蜥</v>
      </c>
      <c r="AG941" s="14">
        <f t="shared" si="205"/>
        <v>2</v>
      </c>
      <c r="AH941" s="14" t="str">
        <f t="shared" si="206"/>
        <v>食火蜥魂火-1</v>
      </c>
      <c r="AI941" s="14">
        <f t="shared" si="207"/>
        <v>1</v>
      </c>
      <c r="AJ941" s="14" t="str">
        <f>INDEX(挂机升级突破!$BX$4:$CH$4,INDEX(挂机升级突破!$BU$6:$BU$57,卡牌消耗!AI941))</f>
        <v>金币</v>
      </c>
      <c r="AK941" s="14">
        <f>ROUND(INDEX(挂机升级突破!$BN$6:$BN$57,卡牌消耗!AI941)*INDEX(卡牌消耗!$B$8:$F$8,AG941)/$Q$4/50,0)*50</f>
        <v>400</v>
      </c>
      <c r="AL941" s="14" t="str">
        <f>IF(AD941&gt;0,INDEX(挂机升级突破!$BX$4:$CH$4,AD941),"")</f>
        <v>绿色基础材料</v>
      </c>
      <c r="AM941" s="14">
        <f>ROUND(INDEX(挂机升级突破!$BX$6:$CH$57,卡牌消耗!AI941,AD941)*INDEX(卡牌消耗!$B$5:$F$5,AG941)/$Q$4/5,0)*5</f>
        <v>665</v>
      </c>
      <c r="AN941" s="14" t="str">
        <f>IF(AE941&gt;0,INDEX(挂机升级突破!$BX$4:$CH$4,AE941),"")</f>
        <v/>
      </c>
      <c r="AO941" s="14" t="str">
        <f>IF(AE941&gt;0,ROUND(INDEX(挂机升级突破!$BX$6:$CH$57,卡牌消耗!AI941,AE941)*INDEX(卡牌消耗!$B$7:$F$7,AG941)/$Q$4,0),"")</f>
        <v/>
      </c>
    </row>
    <row r="942" spans="27:41" ht="16.5" x14ac:dyDescent="0.2">
      <c r="AA942" s="104">
        <v>938</v>
      </c>
      <c r="AB942" s="14">
        <f t="shared" si="203"/>
        <v>19</v>
      </c>
      <c r="AC942" s="14">
        <f>INDEX(挂机升级突破!$BU$6:$BU$57,卡牌消耗!AI942)</f>
        <v>11</v>
      </c>
      <c r="AD942" s="14">
        <f>INDEX(挂机升级突破!BV$6:BV$57,卡牌消耗!$AI942)</f>
        <v>1</v>
      </c>
      <c r="AE942" s="14">
        <f>INDEX(挂机升级突破!BW$6:BW$57,卡牌消耗!$AI942)</f>
        <v>0</v>
      </c>
      <c r="AF942" s="14" t="str">
        <f t="shared" si="204"/>
        <v>食火蜥</v>
      </c>
      <c r="AG942" s="14">
        <f t="shared" si="205"/>
        <v>2</v>
      </c>
      <c r="AH942" s="14" t="str">
        <f t="shared" si="206"/>
        <v>食火蜥魂火-2</v>
      </c>
      <c r="AI942" s="14">
        <f t="shared" si="207"/>
        <v>2</v>
      </c>
      <c r="AJ942" s="14" t="str">
        <f>INDEX(挂机升级突破!$BX$4:$CH$4,INDEX(挂机升级突破!$BU$6:$BU$57,卡牌消耗!AI942))</f>
        <v>金币</v>
      </c>
      <c r="AK942" s="14">
        <f>ROUND(INDEX(挂机升级突破!$BN$6:$BN$57,卡牌消耗!AI942)*INDEX(卡牌消耗!$B$8:$F$8,AG942)/$Q$4/50,0)*50</f>
        <v>550</v>
      </c>
      <c r="AL942" s="14" t="str">
        <f>IF(AD942&gt;0,INDEX(挂机升级突破!$BX$4:$CH$4,AD942),"")</f>
        <v>绿色基础材料</v>
      </c>
      <c r="AM942" s="14">
        <f>ROUND(INDEX(挂机升级突破!$BX$6:$CH$57,卡牌消耗!AI942,AD942)*INDEX(卡牌消耗!$B$5:$F$5,AG942)/$Q$4/5,0)*5</f>
        <v>2000</v>
      </c>
      <c r="AN942" s="14" t="str">
        <f>IF(AE942&gt;0,INDEX(挂机升级突破!$BX$4:$CH$4,AE942),"")</f>
        <v/>
      </c>
      <c r="AO942" s="14" t="str">
        <f>IF(AE942&gt;0,ROUND(INDEX(挂机升级突破!$BX$6:$CH$57,卡牌消耗!AI942,AE942)*INDEX(卡牌消耗!$B$7:$F$7,AG942)/$Q$4,0),"")</f>
        <v/>
      </c>
    </row>
    <row r="943" spans="27:41" ht="16.5" x14ac:dyDescent="0.2">
      <c r="AA943" s="104">
        <v>939</v>
      </c>
      <c r="AB943" s="14">
        <f t="shared" si="203"/>
        <v>19</v>
      </c>
      <c r="AC943" s="14">
        <f>INDEX(挂机升级突破!$BU$6:$BU$57,卡牌消耗!AI943)</f>
        <v>11</v>
      </c>
      <c r="AD943" s="14">
        <f>INDEX(挂机升级突破!BV$6:BV$57,卡牌消耗!$AI943)</f>
        <v>1</v>
      </c>
      <c r="AE943" s="14">
        <f>INDEX(挂机升级突破!BW$6:BW$57,卡牌消耗!$AI943)</f>
        <v>0</v>
      </c>
      <c r="AF943" s="14" t="str">
        <f t="shared" si="204"/>
        <v>食火蜥</v>
      </c>
      <c r="AG943" s="14">
        <f t="shared" si="205"/>
        <v>2</v>
      </c>
      <c r="AH943" s="14" t="str">
        <f t="shared" si="206"/>
        <v>食火蜥魂火-3</v>
      </c>
      <c r="AI943" s="14">
        <f t="shared" si="207"/>
        <v>3</v>
      </c>
      <c r="AJ943" s="14" t="str">
        <f>INDEX(挂机升级突破!$BX$4:$CH$4,INDEX(挂机升级突破!$BU$6:$BU$57,卡牌消耗!AI943))</f>
        <v>金币</v>
      </c>
      <c r="AK943" s="14">
        <f>ROUND(INDEX(挂机升级突破!$BN$6:$BN$57,卡牌消耗!AI943)*INDEX(卡牌消耗!$B$8:$F$8,AG943)/$Q$4/50,0)*50</f>
        <v>550</v>
      </c>
      <c r="AL943" s="14" t="str">
        <f>IF(AD943&gt;0,INDEX(挂机升级突破!$BX$4:$CH$4,AD943),"")</f>
        <v>绿色基础材料</v>
      </c>
      <c r="AM943" s="14">
        <f>ROUND(INDEX(挂机升级突破!$BX$6:$CH$57,卡牌消耗!AI943,AD943)*INDEX(卡牌消耗!$B$5:$F$5,AG943)/$Q$4/5,0)*5</f>
        <v>2670</v>
      </c>
      <c r="AN943" s="14" t="str">
        <f>IF(AE943&gt;0,INDEX(挂机升级突破!$BX$4:$CH$4,AE943),"")</f>
        <v/>
      </c>
      <c r="AO943" s="14" t="str">
        <f>IF(AE943&gt;0,ROUND(INDEX(挂机升级突破!$BX$6:$CH$57,卡牌消耗!AI943,AE943)*INDEX(卡牌消耗!$B$7:$F$7,AG943)/$Q$4,0),"")</f>
        <v/>
      </c>
    </row>
    <row r="944" spans="27:41" ht="16.5" x14ac:dyDescent="0.2">
      <c r="AA944" s="104">
        <v>940</v>
      </c>
      <c r="AB944" s="14">
        <f t="shared" si="203"/>
        <v>19</v>
      </c>
      <c r="AC944" s="14">
        <f>INDEX(挂机升级突破!$BU$6:$BU$57,卡牌消耗!AI944)</f>
        <v>11</v>
      </c>
      <c r="AD944" s="14">
        <f>INDEX(挂机升级突破!BV$6:BV$57,卡牌消耗!$AI944)</f>
        <v>1</v>
      </c>
      <c r="AE944" s="14">
        <f>INDEX(挂机升级突破!BW$6:BW$57,卡牌消耗!$AI944)</f>
        <v>0</v>
      </c>
      <c r="AF944" s="14" t="str">
        <f t="shared" si="204"/>
        <v>食火蜥</v>
      </c>
      <c r="AG944" s="14">
        <f t="shared" si="205"/>
        <v>2</v>
      </c>
      <c r="AH944" s="14" t="str">
        <f t="shared" si="206"/>
        <v>食火蜥魂火-4</v>
      </c>
      <c r="AI944" s="14">
        <f t="shared" si="207"/>
        <v>4</v>
      </c>
      <c r="AJ944" s="14" t="str">
        <f>INDEX(挂机升级突破!$BX$4:$CH$4,INDEX(挂机升级突破!$BU$6:$BU$57,卡牌消耗!AI944))</f>
        <v>金币</v>
      </c>
      <c r="AK944" s="14">
        <f>ROUND(INDEX(挂机升级突破!$BN$6:$BN$57,卡牌消耗!AI944)*INDEX(卡牌消耗!$B$8:$F$8,AG944)/$Q$4/50,0)*50</f>
        <v>550</v>
      </c>
      <c r="AL944" s="14" t="str">
        <f>IF(AD944&gt;0,INDEX(挂机升级突破!$BX$4:$CH$4,AD944),"")</f>
        <v>绿色基础材料</v>
      </c>
      <c r="AM944" s="14">
        <f>ROUND(INDEX(挂机升级突破!$BX$6:$CH$57,卡牌消耗!AI944,AD944)*INDEX(卡牌消耗!$B$5:$F$5,AG944)/$Q$4/5,0)*5</f>
        <v>4005</v>
      </c>
      <c r="AN944" s="14" t="str">
        <f>IF(AE944&gt;0,INDEX(挂机升级突破!$BX$4:$CH$4,AE944),"")</f>
        <v/>
      </c>
      <c r="AO944" s="14" t="str">
        <f>IF(AE944&gt;0,ROUND(INDEX(挂机升级突破!$BX$6:$CH$57,卡牌消耗!AI944,AE944)*INDEX(卡牌消耗!$B$7:$F$7,AG944)/$Q$4,0),"")</f>
        <v/>
      </c>
    </row>
    <row r="945" spans="27:41" ht="16.5" x14ac:dyDescent="0.2">
      <c r="AA945" s="104">
        <v>941</v>
      </c>
      <c r="AB945" s="14">
        <f t="shared" si="203"/>
        <v>19</v>
      </c>
      <c r="AC945" s="14">
        <f>INDEX(挂机升级突破!$BU$6:$BU$57,卡牌消耗!AI945)</f>
        <v>11</v>
      </c>
      <c r="AD945" s="14">
        <f>INDEX(挂机升级突破!BV$6:BV$57,卡牌消耗!$AI945)</f>
        <v>1</v>
      </c>
      <c r="AE945" s="14">
        <f>INDEX(挂机升级突破!BW$6:BW$57,卡牌消耗!$AI945)</f>
        <v>0</v>
      </c>
      <c r="AF945" s="14" t="str">
        <f t="shared" si="204"/>
        <v>食火蜥</v>
      </c>
      <c r="AG945" s="14">
        <f t="shared" si="205"/>
        <v>2</v>
      </c>
      <c r="AH945" s="14" t="str">
        <f t="shared" si="206"/>
        <v>食火蜥魂火-5</v>
      </c>
      <c r="AI945" s="14">
        <f t="shared" si="207"/>
        <v>5</v>
      </c>
      <c r="AJ945" s="14" t="str">
        <f>INDEX(挂机升级突破!$BX$4:$CH$4,INDEX(挂机升级突破!$BU$6:$BU$57,卡牌消耗!AI945))</f>
        <v>金币</v>
      </c>
      <c r="AK945" s="14">
        <f>ROUND(INDEX(挂机升级突破!$BN$6:$BN$57,卡牌消耗!AI945)*INDEX(卡牌消耗!$B$8:$F$8,AG945)/$Q$4/50,0)*50</f>
        <v>550</v>
      </c>
      <c r="AL945" s="14" t="str">
        <f>IF(AD945&gt;0,INDEX(挂机升级突破!$BX$4:$CH$4,AD945),"")</f>
        <v>绿色基础材料</v>
      </c>
      <c r="AM945" s="14">
        <f>ROUND(INDEX(挂机升级突破!$BX$6:$CH$57,卡牌消耗!AI945,AD945)*INDEX(卡牌消耗!$B$5:$F$5,AG945)/$Q$4/5,0)*5</f>
        <v>4005</v>
      </c>
      <c r="AN945" s="14" t="str">
        <f>IF(AE945&gt;0,INDEX(挂机升级突破!$BX$4:$CH$4,AE945),"")</f>
        <v/>
      </c>
      <c r="AO945" s="14" t="str">
        <f>IF(AE945&gt;0,ROUND(INDEX(挂机升级突破!$BX$6:$CH$57,卡牌消耗!AI945,AE945)*INDEX(卡牌消耗!$B$7:$F$7,AG945)/$Q$4,0),"")</f>
        <v/>
      </c>
    </row>
    <row r="946" spans="27:41" ht="16.5" x14ac:dyDescent="0.2">
      <c r="AA946" s="104">
        <v>942</v>
      </c>
      <c r="AB946" s="14">
        <f t="shared" si="203"/>
        <v>19</v>
      </c>
      <c r="AC946" s="14">
        <f>INDEX(挂机升级突破!$BU$6:$BU$57,卡牌消耗!AI946)</f>
        <v>11</v>
      </c>
      <c r="AD946" s="14">
        <f>INDEX(挂机升级突破!BV$6:BV$57,卡牌消耗!$AI946)</f>
        <v>2</v>
      </c>
      <c r="AE946" s="14">
        <f>INDEX(挂机升级突破!BW$6:BW$57,卡牌消耗!$AI946)</f>
        <v>0</v>
      </c>
      <c r="AF946" s="14" t="str">
        <f t="shared" si="204"/>
        <v>食火蜥</v>
      </c>
      <c r="AG946" s="14">
        <f t="shared" si="205"/>
        <v>2</v>
      </c>
      <c r="AH946" s="14" t="str">
        <f t="shared" si="206"/>
        <v>食火蜥魂火-6</v>
      </c>
      <c r="AI946" s="14">
        <f t="shared" si="207"/>
        <v>6</v>
      </c>
      <c r="AJ946" s="14" t="str">
        <f>INDEX(挂机升级突破!$BX$4:$CH$4,INDEX(挂机升级突破!$BU$6:$BU$57,卡牌消耗!AI946))</f>
        <v>金币</v>
      </c>
      <c r="AK946" s="14">
        <f>ROUND(INDEX(挂机升级突破!$BN$6:$BN$57,卡牌消耗!AI946)*INDEX(卡牌消耗!$B$8:$F$8,AG946)/$Q$4/50,0)*50</f>
        <v>700</v>
      </c>
      <c r="AL946" s="14" t="str">
        <f>IF(AD946&gt;0,INDEX(挂机升级突破!$BX$4:$CH$4,AD946),"")</f>
        <v>蓝色基础材料</v>
      </c>
      <c r="AM946" s="14">
        <f>ROUND(INDEX(挂机升级突破!$BX$6:$CH$57,卡牌消耗!AI946,AD946)*INDEX(卡牌消耗!$B$5:$F$5,AG946)/$Q$4/5,0)*5</f>
        <v>385</v>
      </c>
      <c r="AN946" s="14" t="str">
        <f>IF(AE946&gt;0,INDEX(挂机升级突破!$BX$4:$CH$4,AE946),"")</f>
        <v/>
      </c>
      <c r="AO946" s="14" t="str">
        <f>IF(AE946&gt;0,ROUND(INDEX(挂机升级突破!$BX$6:$CH$57,卡牌消耗!AI946,AE946)*INDEX(卡牌消耗!$B$7:$F$7,AG946)/$Q$4,0),"")</f>
        <v/>
      </c>
    </row>
    <row r="947" spans="27:41" ht="16.5" x14ac:dyDescent="0.2">
      <c r="AA947" s="104">
        <v>943</v>
      </c>
      <c r="AB947" s="14">
        <f t="shared" si="203"/>
        <v>19</v>
      </c>
      <c r="AC947" s="14">
        <f>INDEX(挂机升级突破!$BU$6:$BU$57,卡牌消耗!AI947)</f>
        <v>11</v>
      </c>
      <c r="AD947" s="14">
        <f>INDEX(挂机升级突破!BV$6:BV$57,卡牌消耗!$AI947)</f>
        <v>2</v>
      </c>
      <c r="AE947" s="14">
        <f>INDEX(挂机升级突破!BW$6:BW$57,卡牌消耗!$AI947)</f>
        <v>0</v>
      </c>
      <c r="AF947" s="14" t="str">
        <f t="shared" si="204"/>
        <v>食火蜥</v>
      </c>
      <c r="AG947" s="14">
        <f t="shared" si="205"/>
        <v>2</v>
      </c>
      <c r="AH947" s="14" t="str">
        <f t="shared" si="206"/>
        <v>食火蜥魂火-7</v>
      </c>
      <c r="AI947" s="14">
        <f t="shared" si="207"/>
        <v>7</v>
      </c>
      <c r="AJ947" s="14" t="str">
        <f>INDEX(挂机升级突破!$BX$4:$CH$4,INDEX(挂机升级突破!$BU$6:$BU$57,卡牌消耗!AI947))</f>
        <v>金币</v>
      </c>
      <c r="AK947" s="14">
        <f>ROUND(INDEX(挂机升级突破!$BN$6:$BN$57,卡牌消耗!AI947)*INDEX(卡牌消耗!$B$8:$F$8,AG947)/$Q$4/50,0)*50</f>
        <v>700</v>
      </c>
      <c r="AL947" s="14" t="str">
        <f>IF(AD947&gt;0,INDEX(挂机升级突破!$BX$4:$CH$4,AD947),"")</f>
        <v>蓝色基础材料</v>
      </c>
      <c r="AM947" s="14">
        <f>ROUND(INDEX(挂机升级突破!$BX$6:$CH$57,卡牌消耗!AI947,AD947)*INDEX(卡牌消耗!$B$5:$F$5,AG947)/$Q$4/5,0)*5</f>
        <v>385</v>
      </c>
      <c r="AN947" s="14" t="str">
        <f>IF(AE947&gt;0,INDEX(挂机升级突破!$BX$4:$CH$4,AE947),"")</f>
        <v/>
      </c>
      <c r="AO947" s="14" t="str">
        <f>IF(AE947&gt;0,ROUND(INDEX(挂机升级突破!$BX$6:$CH$57,卡牌消耗!AI947,AE947)*INDEX(卡牌消耗!$B$7:$F$7,AG947)/$Q$4,0),"")</f>
        <v/>
      </c>
    </row>
    <row r="948" spans="27:41" ht="16.5" x14ac:dyDescent="0.2">
      <c r="AA948" s="104">
        <v>944</v>
      </c>
      <c r="AB948" s="14">
        <f t="shared" si="203"/>
        <v>19</v>
      </c>
      <c r="AC948" s="14">
        <f>INDEX(挂机升级突破!$BU$6:$BU$57,卡牌消耗!AI948)</f>
        <v>11</v>
      </c>
      <c r="AD948" s="14">
        <f>INDEX(挂机升级突破!BV$6:BV$57,卡牌消耗!$AI948)</f>
        <v>2</v>
      </c>
      <c r="AE948" s="14">
        <f>INDEX(挂机升级突破!BW$6:BW$57,卡牌消耗!$AI948)</f>
        <v>0</v>
      </c>
      <c r="AF948" s="14" t="str">
        <f t="shared" si="204"/>
        <v>食火蜥</v>
      </c>
      <c r="AG948" s="14">
        <f t="shared" si="205"/>
        <v>2</v>
      </c>
      <c r="AH948" s="14" t="str">
        <f t="shared" si="206"/>
        <v>食火蜥魂火-8</v>
      </c>
      <c r="AI948" s="14">
        <f t="shared" si="207"/>
        <v>8</v>
      </c>
      <c r="AJ948" s="14" t="str">
        <f>INDEX(挂机升级突破!$BX$4:$CH$4,INDEX(挂机升级突破!$BU$6:$BU$57,卡牌消耗!AI948))</f>
        <v>金币</v>
      </c>
      <c r="AK948" s="14">
        <f>ROUND(INDEX(挂机升级突破!$BN$6:$BN$57,卡牌消耗!AI948)*INDEX(卡牌消耗!$B$8:$F$8,AG948)/$Q$4/50,0)*50</f>
        <v>1050</v>
      </c>
      <c r="AL948" s="14" t="str">
        <f>IF(AD948&gt;0,INDEX(挂机升级突破!$BX$4:$CH$4,AD948),"")</f>
        <v>蓝色基础材料</v>
      </c>
      <c r="AM948" s="14">
        <f>ROUND(INDEX(挂机升级突破!$BX$6:$CH$57,卡牌消耗!AI948,AD948)*INDEX(卡牌消耗!$B$5:$F$5,AG948)/$Q$4/5,0)*5</f>
        <v>770</v>
      </c>
      <c r="AN948" s="14" t="str">
        <f>IF(AE948&gt;0,INDEX(挂机升级突破!$BX$4:$CH$4,AE948),"")</f>
        <v/>
      </c>
      <c r="AO948" s="14" t="str">
        <f>IF(AE948&gt;0,ROUND(INDEX(挂机升级突破!$BX$6:$CH$57,卡牌消耗!AI948,AE948)*INDEX(卡牌消耗!$B$7:$F$7,AG948)/$Q$4,0),"")</f>
        <v/>
      </c>
    </row>
    <row r="949" spans="27:41" ht="16.5" x14ac:dyDescent="0.2">
      <c r="AA949" s="104">
        <v>945</v>
      </c>
      <c r="AB949" s="14">
        <f t="shared" si="203"/>
        <v>19</v>
      </c>
      <c r="AC949" s="14">
        <f>INDEX(挂机升级突破!$BU$6:$BU$57,卡牌消耗!AI949)</f>
        <v>11</v>
      </c>
      <c r="AD949" s="14">
        <f>INDEX(挂机升级突破!BV$6:BV$57,卡牌消耗!$AI949)</f>
        <v>2</v>
      </c>
      <c r="AE949" s="14">
        <f>INDEX(挂机升级突破!BW$6:BW$57,卡牌消耗!$AI949)</f>
        <v>0</v>
      </c>
      <c r="AF949" s="14" t="str">
        <f t="shared" si="204"/>
        <v>食火蜥</v>
      </c>
      <c r="AG949" s="14">
        <f t="shared" si="205"/>
        <v>2</v>
      </c>
      <c r="AH949" s="14" t="str">
        <f t="shared" si="206"/>
        <v>食火蜥魂火-9</v>
      </c>
      <c r="AI949" s="14">
        <f t="shared" si="207"/>
        <v>9</v>
      </c>
      <c r="AJ949" s="14" t="str">
        <f>INDEX(挂机升级突破!$BX$4:$CH$4,INDEX(挂机升级突破!$BU$6:$BU$57,卡牌消耗!AI949))</f>
        <v>金币</v>
      </c>
      <c r="AK949" s="14">
        <f>ROUND(INDEX(挂机升级突破!$BN$6:$BN$57,卡牌消耗!AI949)*INDEX(卡牌消耗!$B$8:$F$8,AG949)/$Q$4/50,0)*50</f>
        <v>1050</v>
      </c>
      <c r="AL949" s="14" t="str">
        <f>IF(AD949&gt;0,INDEX(挂机升级突破!$BX$4:$CH$4,AD949),"")</f>
        <v>蓝色基础材料</v>
      </c>
      <c r="AM949" s="14">
        <f>ROUND(INDEX(挂机升级突破!$BX$6:$CH$57,卡牌消耗!AI949,AD949)*INDEX(卡牌消耗!$B$5:$F$5,AG949)/$Q$4/5,0)*5</f>
        <v>770</v>
      </c>
      <c r="AN949" s="14" t="str">
        <f>IF(AE949&gt;0,INDEX(挂机升级突破!$BX$4:$CH$4,AE949),"")</f>
        <v/>
      </c>
      <c r="AO949" s="14" t="str">
        <f>IF(AE949&gt;0,ROUND(INDEX(挂机升级突破!$BX$6:$CH$57,卡牌消耗!AI949,AE949)*INDEX(卡牌消耗!$B$7:$F$7,AG949)/$Q$4,0),"")</f>
        <v/>
      </c>
    </row>
    <row r="950" spans="27:41" ht="16.5" x14ac:dyDescent="0.2">
      <c r="AA950" s="104">
        <v>946</v>
      </c>
      <c r="AB950" s="14">
        <f t="shared" si="203"/>
        <v>19</v>
      </c>
      <c r="AC950" s="14">
        <f>INDEX(挂机升级突破!$BU$6:$BU$57,卡牌消耗!AI950)</f>
        <v>11</v>
      </c>
      <c r="AD950" s="14">
        <f>INDEX(挂机升级突破!BV$6:BV$57,卡牌消耗!$AI950)</f>
        <v>2</v>
      </c>
      <c r="AE950" s="14">
        <f>INDEX(挂机升级突破!BW$6:BW$57,卡牌消耗!$AI950)</f>
        <v>0</v>
      </c>
      <c r="AF950" s="14" t="str">
        <f t="shared" si="204"/>
        <v>食火蜥</v>
      </c>
      <c r="AG950" s="14">
        <f t="shared" si="205"/>
        <v>2</v>
      </c>
      <c r="AH950" s="14" t="str">
        <f t="shared" si="206"/>
        <v>食火蜥魂火-10</v>
      </c>
      <c r="AI950" s="14">
        <f t="shared" si="207"/>
        <v>10</v>
      </c>
      <c r="AJ950" s="14" t="str">
        <f>INDEX(挂机升级突破!$BX$4:$CH$4,INDEX(挂机升级突破!$BU$6:$BU$57,卡牌消耗!AI950))</f>
        <v>金币</v>
      </c>
      <c r="AK950" s="14">
        <f>ROUND(INDEX(挂机升级突破!$BN$6:$BN$57,卡牌消耗!AI950)*INDEX(卡牌消耗!$B$8:$F$8,AG950)/$Q$4/50,0)*50</f>
        <v>1750</v>
      </c>
      <c r="AL950" s="14" t="str">
        <f>IF(AD950&gt;0,INDEX(挂机升级突破!$BX$4:$CH$4,AD950),"")</f>
        <v>蓝色基础材料</v>
      </c>
      <c r="AM950" s="14">
        <f>ROUND(INDEX(挂机升级突破!$BX$6:$CH$57,卡牌消耗!AI950,AD950)*INDEX(卡牌消耗!$B$5:$F$5,AG950)/$Q$4/5,0)*5</f>
        <v>1155</v>
      </c>
      <c r="AN950" s="14" t="str">
        <f>IF(AE950&gt;0,INDEX(挂机升级突破!$BX$4:$CH$4,AE950),"")</f>
        <v/>
      </c>
      <c r="AO950" s="14" t="str">
        <f>IF(AE950&gt;0,ROUND(INDEX(挂机升级突破!$BX$6:$CH$57,卡牌消耗!AI950,AE950)*INDEX(卡牌消耗!$B$7:$F$7,AG950)/$Q$4,0),"")</f>
        <v/>
      </c>
    </row>
    <row r="951" spans="27:41" ht="16.5" x14ac:dyDescent="0.2">
      <c r="AA951" s="104">
        <v>947</v>
      </c>
      <c r="AB951" s="14">
        <f t="shared" si="203"/>
        <v>19</v>
      </c>
      <c r="AC951" s="14">
        <f>INDEX(挂机升级突破!$BU$6:$BU$57,卡牌消耗!AI951)</f>
        <v>11</v>
      </c>
      <c r="AD951" s="14">
        <f>INDEX(挂机升级突破!BV$6:BV$57,卡牌消耗!$AI951)</f>
        <v>2</v>
      </c>
      <c r="AE951" s="14">
        <f>INDEX(挂机升级突破!BW$6:BW$57,卡牌消耗!$AI951)</f>
        <v>0</v>
      </c>
      <c r="AF951" s="14" t="str">
        <f t="shared" si="204"/>
        <v>食火蜥</v>
      </c>
      <c r="AG951" s="14">
        <f t="shared" si="205"/>
        <v>2</v>
      </c>
      <c r="AH951" s="14" t="str">
        <f t="shared" si="206"/>
        <v>食火蜥魂火-11</v>
      </c>
      <c r="AI951" s="14">
        <f t="shared" si="207"/>
        <v>11</v>
      </c>
      <c r="AJ951" s="14" t="str">
        <f>INDEX(挂机升级突破!$BX$4:$CH$4,INDEX(挂机升级突破!$BU$6:$BU$57,卡牌消耗!AI951))</f>
        <v>金币</v>
      </c>
      <c r="AK951" s="14">
        <f>ROUND(INDEX(挂机升级突破!$BN$6:$BN$57,卡牌消耗!AI951)*INDEX(卡牌消耗!$B$8:$F$8,AG951)/$Q$4/50,0)*50</f>
        <v>1750</v>
      </c>
      <c r="AL951" s="14" t="str">
        <f>IF(AD951&gt;0,INDEX(挂机升级突破!$BX$4:$CH$4,AD951),"")</f>
        <v>蓝色基础材料</v>
      </c>
      <c r="AM951" s="14">
        <f>ROUND(INDEX(挂机升级突破!$BX$6:$CH$57,卡牌消耗!AI951,AD951)*INDEX(卡牌消耗!$B$5:$F$5,AG951)/$Q$4/5,0)*5</f>
        <v>1155</v>
      </c>
      <c r="AN951" s="14" t="str">
        <f>IF(AE951&gt;0,INDEX(挂机升级突破!$BX$4:$CH$4,AE951),"")</f>
        <v/>
      </c>
      <c r="AO951" s="14" t="str">
        <f>IF(AE951&gt;0,ROUND(INDEX(挂机升级突破!$BX$6:$CH$57,卡牌消耗!AI951,AE951)*INDEX(卡牌消耗!$B$7:$F$7,AG951)/$Q$4,0),"")</f>
        <v/>
      </c>
    </row>
    <row r="952" spans="27:41" ht="16.5" x14ac:dyDescent="0.2">
      <c r="AA952" s="104">
        <v>948</v>
      </c>
      <c r="AB952" s="14">
        <f t="shared" si="203"/>
        <v>19</v>
      </c>
      <c r="AC952" s="14">
        <f>INDEX(挂机升级突破!$BU$6:$BU$57,卡牌消耗!AI952)</f>
        <v>11</v>
      </c>
      <c r="AD952" s="14">
        <f>INDEX(挂机升级突破!BV$6:BV$57,卡牌消耗!$AI952)</f>
        <v>2</v>
      </c>
      <c r="AE952" s="14">
        <f>INDEX(挂机升级突破!BW$6:BW$57,卡牌消耗!$AI952)</f>
        <v>0</v>
      </c>
      <c r="AF952" s="14" t="str">
        <f t="shared" si="204"/>
        <v>食火蜥</v>
      </c>
      <c r="AG952" s="14">
        <f t="shared" si="205"/>
        <v>2</v>
      </c>
      <c r="AH952" s="14" t="str">
        <f t="shared" si="206"/>
        <v>食火蜥魂火-12</v>
      </c>
      <c r="AI952" s="14">
        <f t="shared" si="207"/>
        <v>12</v>
      </c>
      <c r="AJ952" s="14" t="str">
        <f>INDEX(挂机升级突破!$BX$4:$CH$4,INDEX(挂机升级突破!$BU$6:$BU$57,卡牌消耗!AI952))</f>
        <v>金币</v>
      </c>
      <c r="AK952" s="14">
        <f>ROUND(INDEX(挂机升级突破!$BN$6:$BN$57,卡牌消耗!AI952)*INDEX(卡牌消耗!$B$8:$F$8,AG952)/$Q$4/50,0)*50</f>
        <v>1500</v>
      </c>
      <c r="AL952" s="14" t="str">
        <f>IF(AD952&gt;0,INDEX(挂机升级突破!$BX$4:$CH$4,AD952),"")</f>
        <v>蓝色基础材料</v>
      </c>
      <c r="AM952" s="14">
        <f>ROUND(INDEX(挂机升级突破!$BX$6:$CH$57,卡牌消耗!AI952,AD952)*INDEX(卡牌消耗!$B$5:$F$5,AG952)/$Q$4/5,0)*5</f>
        <v>1535</v>
      </c>
      <c r="AN952" s="14" t="str">
        <f>IF(AE952&gt;0,INDEX(挂机升级突破!$BX$4:$CH$4,AE952),"")</f>
        <v/>
      </c>
      <c r="AO952" s="14" t="str">
        <f>IF(AE952&gt;0,ROUND(INDEX(挂机升级突破!$BX$6:$CH$57,卡牌消耗!AI952,AE952)*INDEX(卡牌消耗!$B$7:$F$7,AG952)/$Q$4,0),"")</f>
        <v/>
      </c>
    </row>
    <row r="953" spans="27:41" ht="16.5" x14ac:dyDescent="0.2">
      <c r="AA953" s="104">
        <v>949</v>
      </c>
      <c r="AB953" s="14">
        <f t="shared" si="203"/>
        <v>19</v>
      </c>
      <c r="AC953" s="14">
        <f>INDEX(挂机升级突破!$BU$6:$BU$57,卡牌消耗!AI953)</f>
        <v>11</v>
      </c>
      <c r="AD953" s="14">
        <f>INDEX(挂机升级突破!BV$6:BV$57,卡牌消耗!$AI953)</f>
        <v>2</v>
      </c>
      <c r="AE953" s="14">
        <f>INDEX(挂机升级突破!BW$6:BW$57,卡牌消耗!$AI953)</f>
        <v>0</v>
      </c>
      <c r="AF953" s="14" t="str">
        <f t="shared" si="204"/>
        <v>食火蜥</v>
      </c>
      <c r="AG953" s="14">
        <f t="shared" si="205"/>
        <v>2</v>
      </c>
      <c r="AH953" s="14" t="str">
        <f t="shared" si="206"/>
        <v>食火蜥魂火-13</v>
      </c>
      <c r="AI953" s="14">
        <f t="shared" si="207"/>
        <v>13</v>
      </c>
      <c r="AJ953" s="14" t="str">
        <f>INDEX(挂机升级突破!$BX$4:$CH$4,INDEX(挂机升级突破!$BU$6:$BU$57,卡牌消耗!AI953))</f>
        <v>金币</v>
      </c>
      <c r="AK953" s="14">
        <f>ROUND(INDEX(挂机升级突破!$BN$6:$BN$57,卡牌消耗!AI953)*INDEX(卡牌消耗!$B$8:$F$8,AG953)/$Q$4/50,0)*50</f>
        <v>1500</v>
      </c>
      <c r="AL953" s="14" t="str">
        <f>IF(AD953&gt;0,INDEX(挂机升级突破!$BX$4:$CH$4,AD953),"")</f>
        <v>蓝色基础材料</v>
      </c>
      <c r="AM953" s="14">
        <f>ROUND(INDEX(挂机升级突破!$BX$6:$CH$57,卡牌消耗!AI953,AD953)*INDEX(卡牌消耗!$B$5:$F$5,AG953)/$Q$4/5,0)*5</f>
        <v>1535</v>
      </c>
      <c r="AN953" s="14" t="str">
        <f>IF(AE953&gt;0,INDEX(挂机升级突破!$BX$4:$CH$4,AE953),"")</f>
        <v/>
      </c>
      <c r="AO953" s="14" t="str">
        <f>IF(AE953&gt;0,ROUND(INDEX(挂机升级突破!$BX$6:$CH$57,卡牌消耗!AI953,AE953)*INDEX(卡牌消耗!$B$7:$F$7,AG953)/$Q$4,0),"")</f>
        <v/>
      </c>
    </row>
    <row r="954" spans="27:41" ht="16.5" x14ac:dyDescent="0.2">
      <c r="AA954" s="104">
        <v>950</v>
      </c>
      <c r="AB954" s="14">
        <f t="shared" si="203"/>
        <v>19</v>
      </c>
      <c r="AC954" s="14">
        <f>INDEX(挂机升级突破!$BU$6:$BU$57,卡牌消耗!AI954)</f>
        <v>11</v>
      </c>
      <c r="AD954" s="14">
        <f>INDEX(挂机升级突破!BV$6:BV$57,卡牌消耗!$AI954)</f>
        <v>3</v>
      </c>
      <c r="AE954" s="14">
        <f>INDEX(挂机升级突破!BW$6:BW$57,卡牌消耗!$AI954)</f>
        <v>0</v>
      </c>
      <c r="AF954" s="14" t="str">
        <f t="shared" si="204"/>
        <v>食火蜥</v>
      </c>
      <c r="AG954" s="14">
        <f t="shared" si="205"/>
        <v>2</v>
      </c>
      <c r="AH954" s="14" t="str">
        <f t="shared" si="206"/>
        <v>食火蜥魂火-14</v>
      </c>
      <c r="AI954" s="14">
        <f t="shared" si="207"/>
        <v>14</v>
      </c>
      <c r="AJ954" s="14" t="str">
        <f>INDEX(挂机升级突破!$BX$4:$CH$4,INDEX(挂机升级突破!$BU$6:$BU$57,卡牌消耗!AI954))</f>
        <v>金币</v>
      </c>
      <c r="AK954" s="14">
        <f>ROUND(INDEX(挂机升级突破!$BN$6:$BN$57,卡牌消耗!AI954)*INDEX(卡牌消耗!$B$8:$F$8,AG954)/$Q$4/50,0)*50</f>
        <v>1650</v>
      </c>
      <c r="AL954" s="14" t="str">
        <f>IF(AD954&gt;0,INDEX(挂机升级突破!$BX$4:$CH$4,AD954),"")</f>
        <v>紫色基础材料</v>
      </c>
      <c r="AM954" s="14">
        <f>ROUND(INDEX(挂机升级突破!$BX$6:$CH$57,卡牌消耗!AI954,AD954)*INDEX(卡牌消耗!$B$5:$F$5,AG954)/$Q$4/5,0)*5</f>
        <v>135</v>
      </c>
      <c r="AN954" s="14" t="str">
        <f>IF(AE954&gt;0,INDEX(挂机升级突破!$BX$4:$CH$4,AE954),"")</f>
        <v/>
      </c>
      <c r="AO954" s="14" t="str">
        <f>IF(AE954&gt;0,ROUND(INDEX(挂机升级突破!$BX$6:$CH$57,卡牌消耗!AI954,AE954)*INDEX(卡牌消耗!$B$7:$F$7,AG954)/$Q$4,0),"")</f>
        <v/>
      </c>
    </row>
    <row r="955" spans="27:41" ht="16.5" x14ac:dyDescent="0.2">
      <c r="AA955" s="104">
        <v>951</v>
      </c>
      <c r="AB955" s="14">
        <f t="shared" si="203"/>
        <v>19</v>
      </c>
      <c r="AC955" s="14">
        <f>INDEX(挂机升级突破!$BU$6:$BU$57,卡牌消耗!AI955)</f>
        <v>11</v>
      </c>
      <c r="AD955" s="14">
        <f>INDEX(挂机升级突破!BV$6:BV$57,卡牌消耗!$AI955)</f>
        <v>3</v>
      </c>
      <c r="AE955" s="14">
        <f>INDEX(挂机升级突破!BW$6:BW$57,卡牌消耗!$AI955)</f>
        <v>0</v>
      </c>
      <c r="AF955" s="14" t="str">
        <f t="shared" si="204"/>
        <v>食火蜥</v>
      </c>
      <c r="AG955" s="14">
        <f t="shared" si="205"/>
        <v>2</v>
      </c>
      <c r="AH955" s="14" t="str">
        <f t="shared" si="206"/>
        <v>食火蜥魂火-15</v>
      </c>
      <c r="AI955" s="14">
        <f t="shared" si="207"/>
        <v>15</v>
      </c>
      <c r="AJ955" s="14" t="str">
        <f>INDEX(挂机升级突破!$BX$4:$CH$4,INDEX(挂机升级突破!$BU$6:$BU$57,卡牌消耗!AI955))</f>
        <v>金币</v>
      </c>
      <c r="AK955" s="14">
        <f>ROUND(INDEX(挂机升级突破!$BN$6:$BN$57,卡牌消耗!AI955)*INDEX(卡牌消耗!$B$8:$F$8,AG955)/$Q$4/50,0)*50</f>
        <v>1800</v>
      </c>
      <c r="AL955" s="14" t="str">
        <f>IF(AD955&gt;0,INDEX(挂机升级突破!$BX$4:$CH$4,AD955),"")</f>
        <v>紫色基础材料</v>
      </c>
      <c r="AM955" s="14">
        <f>ROUND(INDEX(挂机升级突破!$BX$6:$CH$57,卡牌消耗!AI955,AD955)*INDEX(卡牌消耗!$B$5:$F$5,AG955)/$Q$4/5,0)*5</f>
        <v>135</v>
      </c>
      <c r="AN955" s="14" t="str">
        <f>IF(AE955&gt;0,INDEX(挂机升级突破!$BX$4:$CH$4,AE955),"")</f>
        <v/>
      </c>
      <c r="AO955" s="14" t="str">
        <f>IF(AE955&gt;0,ROUND(INDEX(挂机升级突破!$BX$6:$CH$57,卡牌消耗!AI955,AE955)*INDEX(卡牌消耗!$B$7:$F$7,AG955)/$Q$4,0),"")</f>
        <v/>
      </c>
    </row>
    <row r="956" spans="27:41" ht="16.5" x14ac:dyDescent="0.2">
      <c r="AA956" s="104">
        <v>952</v>
      </c>
      <c r="AB956" s="14">
        <f t="shared" si="203"/>
        <v>19</v>
      </c>
      <c r="AC956" s="14">
        <f>INDEX(挂机升级突破!$BU$6:$BU$57,卡牌消耗!AI956)</f>
        <v>11</v>
      </c>
      <c r="AD956" s="14">
        <f>INDEX(挂机升级突破!BV$6:BV$57,卡牌消耗!$AI956)</f>
        <v>3</v>
      </c>
      <c r="AE956" s="14">
        <f>INDEX(挂机升级突破!BW$6:BW$57,卡牌消耗!$AI956)</f>
        <v>0</v>
      </c>
      <c r="AF956" s="14" t="str">
        <f t="shared" si="204"/>
        <v>食火蜥</v>
      </c>
      <c r="AG956" s="14">
        <f t="shared" si="205"/>
        <v>2</v>
      </c>
      <c r="AH956" s="14" t="str">
        <f t="shared" si="206"/>
        <v>食火蜥魂火-16</v>
      </c>
      <c r="AI956" s="14">
        <f t="shared" si="207"/>
        <v>16</v>
      </c>
      <c r="AJ956" s="14" t="str">
        <f>INDEX(挂机升级突破!$BX$4:$CH$4,INDEX(挂机升级突破!$BU$6:$BU$57,卡牌消耗!AI956))</f>
        <v>金币</v>
      </c>
      <c r="AK956" s="14">
        <f>ROUND(INDEX(挂机升级突破!$BN$6:$BN$57,卡牌消耗!AI956)*INDEX(卡牌消耗!$B$8:$F$8,AG956)/$Q$4/50,0)*50</f>
        <v>1800</v>
      </c>
      <c r="AL956" s="14" t="str">
        <f>IF(AD956&gt;0,INDEX(挂机升级突破!$BX$4:$CH$4,AD956),"")</f>
        <v>紫色基础材料</v>
      </c>
      <c r="AM956" s="14">
        <f>ROUND(INDEX(挂机升级突破!$BX$6:$CH$57,卡牌消耗!AI956,AD956)*INDEX(卡牌消耗!$B$5:$F$5,AG956)/$Q$4/5,0)*5</f>
        <v>135</v>
      </c>
      <c r="AN956" s="14" t="str">
        <f>IF(AE956&gt;0,INDEX(挂机升级突破!$BX$4:$CH$4,AE956),"")</f>
        <v/>
      </c>
      <c r="AO956" s="14" t="str">
        <f>IF(AE956&gt;0,ROUND(INDEX(挂机升级突破!$BX$6:$CH$57,卡牌消耗!AI956,AE956)*INDEX(卡牌消耗!$B$7:$F$7,AG956)/$Q$4,0),"")</f>
        <v/>
      </c>
    </row>
    <row r="957" spans="27:41" ht="16.5" x14ac:dyDescent="0.2">
      <c r="AA957" s="104">
        <v>953</v>
      </c>
      <c r="AB957" s="14">
        <f t="shared" si="203"/>
        <v>19</v>
      </c>
      <c r="AC957" s="14">
        <f>INDEX(挂机升级突破!$BU$6:$BU$57,卡牌消耗!AI957)</f>
        <v>11</v>
      </c>
      <c r="AD957" s="14">
        <f>INDEX(挂机升级突破!BV$6:BV$57,卡牌消耗!$AI957)</f>
        <v>3</v>
      </c>
      <c r="AE957" s="14">
        <f>INDEX(挂机升级突破!BW$6:BW$57,卡牌消耗!$AI957)</f>
        <v>0</v>
      </c>
      <c r="AF957" s="14" t="str">
        <f t="shared" si="204"/>
        <v>食火蜥</v>
      </c>
      <c r="AG957" s="14">
        <f t="shared" si="205"/>
        <v>2</v>
      </c>
      <c r="AH957" s="14" t="str">
        <f t="shared" si="206"/>
        <v>食火蜥魂火-17</v>
      </c>
      <c r="AI957" s="14">
        <f t="shared" si="207"/>
        <v>17</v>
      </c>
      <c r="AJ957" s="14" t="str">
        <f>INDEX(挂机升级突破!$BX$4:$CH$4,INDEX(挂机升级突破!$BU$6:$BU$57,卡牌消耗!AI957))</f>
        <v>金币</v>
      </c>
      <c r="AK957" s="14">
        <f>ROUND(INDEX(挂机升级突破!$BN$6:$BN$57,卡牌消耗!AI957)*INDEX(卡牌消耗!$B$8:$F$8,AG957)/$Q$4/50,0)*50</f>
        <v>2250</v>
      </c>
      <c r="AL957" s="14" t="str">
        <f>IF(AD957&gt;0,INDEX(挂机升级突破!$BX$4:$CH$4,AD957),"")</f>
        <v>紫色基础材料</v>
      </c>
      <c r="AM957" s="14">
        <f>ROUND(INDEX(挂机升级突破!$BX$6:$CH$57,卡牌消耗!AI957,AD957)*INDEX(卡牌消耗!$B$5:$F$5,AG957)/$Q$4/5,0)*5</f>
        <v>270</v>
      </c>
      <c r="AN957" s="14" t="str">
        <f>IF(AE957&gt;0,INDEX(挂机升级突破!$BX$4:$CH$4,AE957),"")</f>
        <v/>
      </c>
      <c r="AO957" s="14" t="str">
        <f>IF(AE957&gt;0,ROUND(INDEX(挂机升级突破!$BX$6:$CH$57,卡牌消耗!AI957,AE957)*INDEX(卡牌消耗!$B$7:$F$7,AG957)/$Q$4,0),"")</f>
        <v/>
      </c>
    </row>
    <row r="958" spans="27:41" ht="16.5" x14ac:dyDescent="0.2">
      <c r="AA958" s="104">
        <v>954</v>
      </c>
      <c r="AB958" s="14">
        <f t="shared" si="203"/>
        <v>19</v>
      </c>
      <c r="AC958" s="14">
        <f>INDEX(挂机升级突破!$BU$6:$BU$57,卡牌消耗!AI958)</f>
        <v>11</v>
      </c>
      <c r="AD958" s="14">
        <f>INDEX(挂机升级突破!BV$6:BV$57,卡牌消耗!$AI958)</f>
        <v>3</v>
      </c>
      <c r="AE958" s="14">
        <f>INDEX(挂机升级突破!BW$6:BW$57,卡牌消耗!$AI958)</f>
        <v>0</v>
      </c>
      <c r="AF958" s="14" t="str">
        <f t="shared" si="204"/>
        <v>食火蜥</v>
      </c>
      <c r="AG958" s="14">
        <f t="shared" si="205"/>
        <v>2</v>
      </c>
      <c r="AH958" s="14" t="str">
        <f t="shared" si="206"/>
        <v>食火蜥魂火-18</v>
      </c>
      <c r="AI958" s="14">
        <f t="shared" si="207"/>
        <v>18</v>
      </c>
      <c r="AJ958" s="14" t="str">
        <f>INDEX(挂机升级突破!$BX$4:$CH$4,INDEX(挂机升级突破!$BU$6:$BU$57,卡牌消耗!AI958))</f>
        <v>金币</v>
      </c>
      <c r="AK958" s="14">
        <f>ROUND(INDEX(挂机升级突破!$BN$6:$BN$57,卡牌消耗!AI958)*INDEX(卡牌消耗!$B$8:$F$8,AG958)/$Q$4/50,0)*50</f>
        <v>2250</v>
      </c>
      <c r="AL958" s="14" t="str">
        <f>IF(AD958&gt;0,INDEX(挂机升级突破!$BX$4:$CH$4,AD958),"")</f>
        <v>紫色基础材料</v>
      </c>
      <c r="AM958" s="14">
        <f>ROUND(INDEX(挂机升级突破!$BX$6:$CH$57,卡牌消耗!AI958,AD958)*INDEX(卡牌消耗!$B$5:$F$5,AG958)/$Q$4/5,0)*5</f>
        <v>270</v>
      </c>
      <c r="AN958" s="14" t="str">
        <f>IF(AE958&gt;0,INDEX(挂机升级突破!$BX$4:$CH$4,AE958),"")</f>
        <v/>
      </c>
      <c r="AO958" s="14" t="str">
        <f>IF(AE958&gt;0,ROUND(INDEX(挂机升级突破!$BX$6:$CH$57,卡牌消耗!AI958,AE958)*INDEX(卡牌消耗!$B$7:$F$7,AG958)/$Q$4,0),"")</f>
        <v/>
      </c>
    </row>
    <row r="959" spans="27:41" ht="16.5" x14ac:dyDescent="0.2">
      <c r="AA959" s="104">
        <v>955</v>
      </c>
      <c r="AB959" s="14">
        <f t="shared" si="203"/>
        <v>19</v>
      </c>
      <c r="AC959" s="14">
        <f>INDEX(挂机升级突破!$BU$6:$BU$57,卡牌消耗!AI959)</f>
        <v>11</v>
      </c>
      <c r="AD959" s="14">
        <f>INDEX(挂机升级突破!BV$6:BV$57,卡牌消耗!$AI959)</f>
        <v>3</v>
      </c>
      <c r="AE959" s="14">
        <f>INDEX(挂机升级突破!BW$6:BW$57,卡牌消耗!$AI959)</f>
        <v>0</v>
      </c>
      <c r="AF959" s="14" t="str">
        <f t="shared" si="204"/>
        <v>食火蜥</v>
      </c>
      <c r="AG959" s="14">
        <f t="shared" si="205"/>
        <v>2</v>
      </c>
      <c r="AH959" s="14" t="str">
        <f t="shared" si="206"/>
        <v>食火蜥魂火-19</v>
      </c>
      <c r="AI959" s="14">
        <f t="shared" si="207"/>
        <v>19</v>
      </c>
      <c r="AJ959" s="14" t="str">
        <f>INDEX(挂机升级突破!$BX$4:$CH$4,INDEX(挂机升级突破!$BU$6:$BU$57,卡牌消耗!AI959))</f>
        <v>金币</v>
      </c>
      <c r="AK959" s="14">
        <f>ROUND(INDEX(挂机升级突破!$BN$6:$BN$57,卡牌消耗!AI959)*INDEX(卡牌消耗!$B$8:$F$8,AG959)/$Q$4/50,0)*50</f>
        <v>2250</v>
      </c>
      <c r="AL959" s="14" t="str">
        <f>IF(AD959&gt;0,INDEX(挂机升级突破!$BX$4:$CH$4,AD959),"")</f>
        <v>紫色基础材料</v>
      </c>
      <c r="AM959" s="14">
        <f>ROUND(INDEX(挂机升级突破!$BX$6:$CH$57,卡牌消耗!AI959,AD959)*INDEX(卡牌消耗!$B$5:$F$5,AG959)/$Q$4/5,0)*5</f>
        <v>270</v>
      </c>
      <c r="AN959" s="14" t="str">
        <f>IF(AE959&gt;0,INDEX(挂机升级突破!$BX$4:$CH$4,AE959),"")</f>
        <v/>
      </c>
      <c r="AO959" s="14" t="str">
        <f>IF(AE959&gt;0,ROUND(INDEX(挂机升级突破!$BX$6:$CH$57,卡牌消耗!AI959,AE959)*INDEX(卡牌消耗!$B$7:$F$7,AG959)/$Q$4,0),"")</f>
        <v/>
      </c>
    </row>
    <row r="960" spans="27:41" ht="16.5" x14ac:dyDescent="0.2">
      <c r="AA960" s="104">
        <v>956</v>
      </c>
      <c r="AB960" s="14">
        <f t="shared" si="203"/>
        <v>19</v>
      </c>
      <c r="AC960" s="14">
        <f>INDEX(挂机升级突破!$BU$6:$BU$57,卡牌消耗!AI960)</f>
        <v>11</v>
      </c>
      <c r="AD960" s="14">
        <f>INDEX(挂机升级突破!BV$6:BV$57,卡牌消耗!$AI960)</f>
        <v>3</v>
      </c>
      <c r="AE960" s="14">
        <f>INDEX(挂机升级突破!BW$6:BW$57,卡牌消耗!$AI960)</f>
        <v>0</v>
      </c>
      <c r="AF960" s="14" t="str">
        <f t="shared" si="204"/>
        <v>食火蜥</v>
      </c>
      <c r="AG960" s="14">
        <f t="shared" si="205"/>
        <v>2</v>
      </c>
      <c r="AH960" s="14" t="str">
        <f t="shared" si="206"/>
        <v>食火蜥魂火-20</v>
      </c>
      <c r="AI960" s="14">
        <f t="shared" si="207"/>
        <v>20</v>
      </c>
      <c r="AJ960" s="14" t="str">
        <f>INDEX(挂机升级突破!$BX$4:$CH$4,INDEX(挂机升级突破!$BU$6:$BU$57,卡牌消耗!AI960))</f>
        <v>金币</v>
      </c>
      <c r="AK960" s="14">
        <f>ROUND(INDEX(挂机升级突破!$BN$6:$BN$57,卡牌消耗!AI960)*INDEX(卡牌消耗!$B$8:$F$8,AG960)/$Q$4/50,0)*50</f>
        <v>2750</v>
      </c>
      <c r="AL960" s="14" t="str">
        <f>IF(AD960&gt;0,INDEX(挂机升级突破!$BX$4:$CH$4,AD960),"")</f>
        <v>紫色基础材料</v>
      </c>
      <c r="AM960" s="14">
        <f>ROUND(INDEX(挂机升级突破!$BX$6:$CH$57,卡牌消耗!AI960,AD960)*INDEX(卡牌消耗!$B$5:$F$5,AG960)/$Q$4/5,0)*5</f>
        <v>405</v>
      </c>
      <c r="AN960" s="14" t="str">
        <f>IF(AE960&gt;0,INDEX(挂机升级突破!$BX$4:$CH$4,AE960),"")</f>
        <v/>
      </c>
      <c r="AO960" s="14" t="str">
        <f>IF(AE960&gt;0,ROUND(INDEX(挂机升级突破!$BX$6:$CH$57,卡牌消耗!AI960,AE960)*INDEX(卡牌消耗!$B$7:$F$7,AG960)/$Q$4,0),"")</f>
        <v/>
      </c>
    </row>
    <row r="961" spans="27:41" ht="16.5" x14ac:dyDescent="0.2">
      <c r="AA961" s="104">
        <v>957</v>
      </c>
      <c r="AB961" s="14">
        <f t="shared" si="203"/>
        <v>19</v>
      </c>
      <c r="AC961" s="14">
        <f>INDEX(挂机升级突破!$BU$6:$BU$57,卡牌消耗!AI961)</f>
        <v>11</v>
      </c>
      <c r="AD961" s="14">
        <f>INDEX(挂机升级突破!BV$6:BV$57,卡牌消耗!$AI961)</f>
        <v>3</v>
      </c>
      <c r="AE961" s="14">
        <f>INDEX(挂机升级突破!BW$6:BW$57,卡牌消耗!$AI961)</f>
        <v>0</v>
      </c>
      <c r="AF961" s="14" t="str">
        <f t="shared" si="204"/>
        <v>食火蜥</v>
      </c>
      <c r="AG961" s="14">
        <f t="shared" si="205"/>
        <v>2</v>
      </c>
      <c r="AH961" s="14" t="str">
        <f t="shared" si="206"/>
        <v>食火蜥魂火-21</v>
      </c>
      <c r="AI961" s="14">
        <f t="shared" si="207"/>
        <v>21</v>
      </c>
      <c r="AJ961" s="14" t="str">
        <f>INDEX(挂机升级突破!$BX$4:$CH$4,INDEX(挂机升级突破!$BU$6:$BU$57,卡牌消耗!AI961))</f>
        <v>金币</v>
      </c>
      <c r="AK961" s="14">
        <f>ROUND(INDEX(挂机升级突破!$BN$6:$BN$57,卡牌消耗!AI961)*INDEX(卡牌消耗!$B$8:$F$8,AG961)/$Q$4/50,0)*50</f>
        <v>2750</v>
      </c>
      <c r="AL961" s="14" t="str">
        <f>IF(AD961&gt;0,INDEX(挂机升级突破!$BX$4:$CH$4,AD961),"")</f>
        <v>紫色基础材料</v>
      </c>
      <c r="AM961" s="14">
        <f>ROUND(INDEX(挂机升级突破!$BX$6:$CH$57,卡牌消耗!AI961,AD961)*INDEX(卡牌消耗!$B$5:$F$5,AG961)/$Q$4/5,0)*5</f>
        <v>405</v>
      </c>
      <c r="AN961" s="14" t="str">
        <f>IF(AE961&gt;0,INDEX(挂机升级突破!$BX$4:$CH$4,AE961),"")</f>
        <v/>
      </c>
      <c r="AO961" s="14" t="str">
        <f>IF(AE961&gt;0,ROUND(INDEX(挂机升级突破!$BX$6:$CH$57,卡牌消耗!AI961,AE961)*INDEX(卡牌消耗!$B$7:$F$7,AG961)/$Q$4,0),"")</f>
        <v/>
      </c>
    </row>
    <row r="962" spans="27:41" ht="16.5" x14ac:dyDescent="0.2">
      <c r="AA962" s="104">
        <v>958</v>
      </c>
      <c r="AB962" s="14">
        <f t="shared" si="203"/>
        <v>19</v>
      </c>
      <c r="AC962" s="14">
        <f>INDEX(挂机升级突破!$BU$6:$BU$57,卡牌消耗!AI962)</f>
        <v>11</v>
      </c>
      <c r="AD962" s="14">
        <f>INDEX(挂机升级突破!BV$6:BV$57,卡牌消耗!$AI962)</f>
        <v>3</v>
      </c>
      <c r="AE962" s="14">
        <f>INDEX(挂机升级突破!BW$6:BW$57,卡牌消耗!$AI962)</f>
        <v>0</v>
      </c>
      <c r="AF962" s="14" t="str">
        <f t="shared" si="204"/>
        <v>食火蜥</v>
      </c>
      <c r="AG962" s="14">
        <f t="shared" si="205"/>
        <v>2</v>
      </c>
      <c r="AH962" s="14" t="str">
        <f t="shared" si="206"/>
        <v>食火蜥魂火-22</v>
      </c>
      <c r="AI962" s="14">
        <f t="shared" si="207"/>
        <v>22</v>
      </c>
      <c r="AJ962" s="14" t="str">
        <f>INDEX(挂机升级突破!$BX$4:$CH$4,INDEX(挂机升级突破!$BU$6:$BU$57,卡牌消耗!AI962))</f>
        <v>金币</v>
      </c>
      <c r="AK962" s="14">
        <f>ROUND(INDEX(挂机升级突破!$BN$6:$BN$57,卡牌消耗!AI962)*INDEX(卡牌消耗!$B$8:$F$8,AG962)/$Q$4/50,0)*50</f>
        <v>2750</v>
      </c>
      <c r="AL962" s="14" t="str">
        <f>IF(AD962&gt;0,INDEX(挂机升级突破!$BX$4:$CH$4,AD962),"")</f>
        <v>紫色基础材料</v>
      </c>
      <c r="AM962" s="14">
        <f>ROUND(INDEX(挂机升级突破!$BX$6:$CH$57,卡牌消耗!AI962,AD962)*INDEX(卡牌消耗!$B$5:$F$5,AG962)/$Q$4/5,0)*5</f>
        <v>405</v>
      </c>
      <c r="AN962" s="14" t="str">
        <f>IF(AE962&gt;0,INDEX(挂机升级突破!$BX$4:$CH$4,AE962),"")</f>
        <v/>
      </c>
      <c r="AO962" s="14" t="str">
        <f>IF(AE962&gt;0,ROUND(INDEX(挂机升级突破!$BX$6:$CH$57,卡牌消耗!AI962,AE962)*INDEX(卡牌消耗!$B$7:$F$7,AG962)/$Q$4,0),"")</f>
        <v/>
      </c>
    </row>
    <row r="963" spans="27:41" ht="16.5" x14ac:dyDescent="0.2">
      <c r="AA963" s="104">
        <v>959</v>
      </c>
      <c r="AB963" s="14">
        <f t="shared" si="203"/>
        <v>19</v>
      </c>
      <c r="AC963" s="14">
        <f>INDEX(挂机升级突破!$BU$6:$BU$57,卡牌消耗!AI963)</f>
        <v>11</v>
      </c>
      <c r="AD963" s="14">
        <f>INDEX(挂机升级突破!BV$6:BV$57,卡牌消耗!$AI963)</f>
        <v>4</v>
      </c>
      <c r="AE963" s="14">
        <f>INDEX(挂机升级突破!BW$6:BW$57,卡牌消耗!$AI963)</f>
        <v>0</v>
      </c>
      <c r="AF963" s="14" t="str">
        <f t="shared" si="204"/>
        <v>食火蜥</v>
      </c>
      <c r="AG963" s="14">
        <f t="shared" si="205"/>
        <v>2</v>
      </c>
      <c r="AH963" s="14" t="str">
        <f t="shared" si="206"/>
        <v>食火蜥魂火-23</v>
      </c>
      <c r="AI963" s="14">
        <f t="shared" si="207"/>
        <v>23</v>
      </c>
      <c r="AJ963" s="14" t="str">
        <f>INDEX(挂机升级突破!$BX$4:$CH$4,INDEX(挂机升级突破!$BU$6:$BU$57,卡牌消耗!AI963))</f>
        <v>金币</v>
      </c>
      <c r="AK963" s="14">
        <f>ROUND(INDEX(挂机升级突破!$BN$6:$BN$57,卡牌消耗!AI963)*INDEX(卡牌消耗!$B$8:$F$8,AG963)/$Q$4/50,0)*50</f>
        <v>3750</v>
      </c>
      <c r="AL963" s="14" t="str">
        <f>IF(AD963&gt;0,INDEX(挂机升级突破!$BX$4:$CH$4,AD963),"")</f>
        <v>橙色基础材料</v>
      </c>
      <c r="AM963" s="14">
        <f>ROUND(INDEX(挂机升级突破!$BX$6:$CH$57,卡牌消耗!AI963,AD963)*INDEX(卡牌消耗!$B$5:$F$5,AG963)/$Q$4/5,0)*5</f>
        <v>55</v>
      </c>
      <c r="AN963" s="14" t="str">
        <f>IF(AE963&gt;0,INDEX(挂机升级突破!$BX$4:$CH$4,AE963),"")</f>
        <v/>
      </c>
      <c r="AO963" s="14" t="str">
        <f>IF(AE963&gt;0,ROUND(INDEX(挂机升级突破!$BX$6:$CH$57,卡牌消耗!AI963,AE963)*INDEX(卡牌消耗!$B$7:$F$7,AG963)/$Q$4,0),"")</f>
        <v/>
      </c>
    </row>
    <row r="964" spans="27:41" ht="16.5" x14ac:dyDescent="0.2">
      <c r="AA964" s="104">
        <v>960</v>
      </c>
      <c r="AB964" s="14">
        <f t="shared" si="203"/>
        <v>19</v>
      </c>
      <c r="AC964" s="14">
        <f>INDEX(挂机升级突破!$BU$6:$BU$57,卡牌消耗!AI964)</f>
        <v>11</v>
      </c>
      <c r="AD964" s="14">
        <f>INDEX(挂机升级突破!BV$6:BV$57,卡牌消耗!$AI964)</f>
        <v>4</v>
      </c>
      <c r="AE964" s="14">
        <f>INDEX(挂机升级突破!BW$6:BW$57,卡牌消耗!$AI964)</f>
        <v>0</v>
      </c>
      <c r="AF964" s="14" t="str">
        <f t="shared" si="204"/>
        <v>食火蜥</v>
      </c>
      <c r="AG964" s="14">
        <f t="shared" si="205"/>
        <v>2</v>
      </c>
      <c r="AH964" s="14" t="str">
        <f t="shared" si="206"/>
        <v>食火蜥魂火-24</v>
      </c>
      <c r="AI964" s="14">
        <f t="shared" si="207"/>
        <v>24</v>
      </c>
      <c r="AJ964" s="14" t="str">
        <f>INDEX(挂机升级突破!$BX$4:$CH$4,INDEX(挂机升级突破!$BU$6:$BU$57,卡牌消耗!AI964))</f>
        <v>金币</v>
      </c>
      <c r="AK964" s="14">
        <f>ROUND(INDEX(挂机升级突破!$BN$6:$BN$57,卡牌消耗!AI964)*INDEX(卡牌消耗!$B$8:$F$8,AG964)/$Q$4/50,0)*50</f>
        <v>3750</v>
      </c>
      <c r="AL964" s="14" t="str">
        <f>IF(AD964&gt;0,INDEX(挂机升级突破!$BX$4:$CH$4,AD964),"")</f>
        <v>橙色基础材料</v>
      </c>
      <c r="AM964" s="14">
        <f>ROUND(INDEX(挂机升级突破!$BX$6:$CH$57,卡牌消耗!AI964,AD964)*INDEX(卡牌消耗!$B$5:$F$5,AG964)/$Q$4/5,0)*5</f>
        <v>55</v>
      </c>
      <c r="AN964" s="14" t="str">
        <f>IF(AE964&gt;0,INDEX(挂机升级突破!$BX$4:$CH$4,AE964),"")</f>
        <v/>
      </c>
      <c r="AO964" s="14" t="str">
        <f>IF(AE964&gt;0,ROUND(INDEX(挂机升级突破!$BX$6:$CH$57,卡牌消耗!AI964,AE964)*INDEX(卡牌消耗!$B$7:$F$7,AG964)/$Q$4,0),"")</f>
        <v/>
      </c>
    </row>
    <row r="965" spans="27:41" ht="16.5" x14ac:dyDescent="0.2">
      <c r="AA965" s="104">
        <v>961</v>
      </c>
      <c r="AB965" s="14">
        <f t="shared" si="203"/>
        <v>19</v>
      </c>
      <c r="AC965" s="14">
        <f>INDEX(挂机升级突破!$BU$6:$BU$57,卡牌消耗!AI965)</f>
        <v>11</v>
      </c>
      <c r="AD965" s="14">
        <f>INDEX(挂机升级突破!BV$6:BV$57,卡牌消耗!$AI965)</f>
        <v>4</v>
      </c>
      <c r="AE965" s="14">
        <f>INDEX(挂机升级突破!BW$6:BW$57,卡牌消耗!$AI965)</f>
        <v>0</v>
      </c>
      <c r="AF965" s="14" t="str">
        <f t="shared" si="204"/>
        <v>食火蜥</v>
      </c>
      <c r="AG965" s="14">
        <f t="shared" si="205"/>
        <v>2</v>
      </c>
      <c r="AH965" s="14" t="str">
        <f t="shared" si="206"/>
        <v>食火蜥魂火-25</v>
      </c>
      <c r="AI965" s="14">
        <f t="shared" si="207"/>
        <v>25</v>
      </c>
      <c r="AJ965" s="14" t="str">
        <f>INDEX(挂机升级突破!$BX$4:$CH$4,INDEX(挂机升级突破!$BU$6:$BU$57,卡牌消耗!AI965))</f>
        <v>金币</v>
      </c>
      <c r="AK965" s="14">
        <f>ROUND(INDEX(挂机升级突破!$BN$6:$BN$57,卡牌消耗!AI965)*INDEX(卡牌消耗!$B$8:$F$8,AG965)/$Q$4/50,0)*50</f>
        <v>4100</v>
      </c>
      <c r="AL965" s="14" t="str">
        <f>IF(AD965&gt;0,INDEX(挂机升级突破!$BX$4:$CH$4,AD965),"")</f>
        <v>橙色基础材料</v>
      </c>
      <c r="AM965" s="14">
        <f>ROUND(INDEX(挂机升级突破!$BX$6:$CH$57,卡牌消耗!AI965,AD965)*INDEX(卡牌消耗!$B$5:$F$5,AG965)/$Q$4/5,0)*5</f>
        <v>55</v>
      </c>
      <c r="AN965" s="14" t="str">
        <f>IF(AE965&gt;0,INDEX(挂机升级突破!$BX$4:$CH$4,AE965),"")</f>
        <v/>
      </c>
      <c r="AO965" s="14" t="str">
        <f>IF(AE965&gt;0,ROUND(INDEX(挂机升级突破!$BX$6:$CH$57,卡牌消耗!AI965,AE965)*INDEX(卡牌消耗!$B$7:$F$7,AG965)/$Q$4,0),"")</f>
        <v/>
      </c>
    </row>
    <row r="966" spans="27:41" ht="16.5" x14ac:dyDescent="0.2">
      <c r="AA966" s="104">
        <v>962</v>
      </c>
      <c r="AB966" s="14">
        <f t="shared" ref="AB966:AB1029" si="208">INT((AA966-1)/52)+1</f>
        <v>19</v>
      </c>
      <c r="AC966" s="14">
        <f>INDEX(挂机升级突破!$BU$6:$BU$57,卡牌消耗!AI966)</f>
        <v>11</v>
      </c>
      <c r="AD966" s="14">
        <f>INDEX(挂机升级突破!BV$6:BV$57,卡牌消耗!$AI966)</f>
        <v>4</v>
      </c>
      <c r="AE966" s="14">
        <f>INDEX(挂机升级突破!BW$6:BW$57,卡牌消耗!$AI966)</f>
        <v>0</v>
      </c>
      <c r="AF966" s="14" t="str">
        <f t="shared" ref="AF966:AF1029" si="209">INDEX($B$13:$B$40,AB966)</f>
        <v>食火蜥</v>
      </c>
      <c r="AG966" s="14">
        <f t="shared" ref="AG966:AG1029" si="210">INDEX($C$13:$C$40,AB966)</f>
        <v>2</v>
      </c>
      <c r="AH966" s="14" t="str">
        <f t="shared" ref="AH966:AH1029" si="211">AF966&amp;"魂火-"&amp;AI966</f>
        <v>食火蜥魂火-26</v>
      </c>
      <c r="AI966" s="14">
        <f t="shared" ref="AI966:AI1029" si="212">AA966-(AB966-1)*52</f>
        <v>26</v>
      </c>
      <c r="AJ966" s="14" t="str">
        <f>INDEX(挂机升级突破!$BX$4:$CH$4,INDEX(挂机升级突破!$BU$6:$BU$57,卡牌消耗!AI966))</f>
        <v>金币</v>
      </c>
      <c r="AK966" s="14">
        <f>ROUND(INDEX(挂机升级突破!$BN$6:$BN$57,卡牌消耗!AI966)*INDEX(卡牌消耗!$B$8:$F$8,AG966)/$Q$4/50,0)*50</f>
        <v>4800</v>
      </c>
      <c r="AL966" s="14" t="str">
        <f>IF(AD966&gt;0,INDEX(挂机升级突破!$BX$4:$CH$4,AD966),"")</f>
        <v>橙色基础材料</v>
      </c>
      <c r="AM966" s="14">
        <f>ROUND(INDEX(挂机升级突破!$BX$6:$CH$57,卡牌消耗!AI966,AD966)*INDEX(卡牌消耗!$B$5:$F$5,AG966)/$Q$4/5,0)*5</f>
        <v>65</v>
      </c>
      <c r="AN966" s="14" t="str">
        <f>IF(AE966&gt;0,INDEX(挂机升级突破!$BX$4:$CH$4,AE966),"")</f>
        <v/>
      </c>
      <c r="AO966" s="14" t="str">
        <f>IF(AE966&gt;0,ROUND(INDEX(挂机升级突破!$BX$6:$CH$57,卡牌消耗!AI966,AE966)*INDEX(卡牌消耗!$B$7:$F$7,AG966)/$Q$4,0),"")</f>
        <v/>
      </c>
    </row>
    <row r="967" spans="27:41" ht="16.5" x14ac:dyDescent="0.2">
      <c r="AA967" s="104">
        <v>963</v>
      </c>
      <c r="AB967" s="14">
        <f t="shared" si="208"/>
        <v>19</v>
      </c>
      <c r="AC967" s="14">
        <f>INDEX(挂机升级突破!$BU$6:$BU$57,卡牌消耗!AI967)</f>
        <v>11</v>
      </c>
      <c r="AD967" s="14">
        <f>INDEX(挂机升级突破!BV$6:BV$57,卡牌消耗!$AI967)</f>
        <v>4</v>
      </c>
      <c r="AE967" s="14">
        <f>INDEX(挂机升级突破!BW$6:BW$57,卡牌消耗!$AI967)</f>
        <v>0</v>
      </c>
      <c r="AF967" s="14" t="str">
        <f t="shared" si="209"/>
        <v>食火蜥</v>
      </c>
      <c r="AG967" s="14">
        <f t="shared" si="210"/>
        <v>2</v>
      </c>
      <c r="AH967" s="14" t="str">
        <f t="shared" si="211"/>
        <v>食火蜥魂火-27</v>
      </c>
      <c r="AI967" s="14">
        <f t="shared" si="212"/>
        <v>27</v>
      </c>
      <c r="AJ967" s="14" t="str">
        <f>INDEX(挂机升级突破!$BX$4:$CH$4,INDEX(挂机升级突破!$BU$6:$BU$57,卡牌消耗!AI967))</f>
        <v>金币</v>
      </c>
      <c r="AK967" s="14">
        <f>ROUND(INDEX(挂机升级突破!$BN$6:$BN$57,卡牌消耗!AI967)*INDEX(卡牌消耗!$B$8:$F$8,AG967)/$Q$4/50,0)*50</f>
        <v>4800</v>
      </c>
      <c r="AL967" s="14" t="str">
        <f>IF(AD967&gt;0,INDEX(挂机升级突破!$BX$4:$CH$4,AD967),"")</f>
        <v>橙色基础材料</v>
      </c>
      <c r="AM967" s="14">
        <f>ROUND(INDEX(挂机升级突破!$BX$6:$CH$57,卡牌消耗!AI967,AD967)*INDEX(卡牌消耗!$B$5:$F$5,AG967)/$Q$4/5,0)*5</f>
        <v>65</v>
      </c>
      <c r="AN967" s="14" t="str">
        <f>IF(AE967&gt;0,INDEX(挂机升级突破!$BX$4:$CH$4,AE967),"")</f>
        <v/>
      </c>
      <c r="AO967" s="14" t="str">
        <f>IF(AE967&gt;0,ROUND(INDEX(挂机升级突破!$BX$6:$CH$57,卡牌消耗!AI967,AE967)*INDEX(卡牌消耗!$B$7:$F$7,AG967)/$Q$4,0),"")</f>
        <v/>
      </c>
    </row>
    <row r="968" spans="27:41" ht="16.5" x14ac:dyDescent="0.2">
      <c r="AA968" s="104">
        <v>964</v>
      </c>
      <c r="AB968" s="14">
        <f t="shared" si="208"/>
        <v>19</v>
      </c>
      <c r="AC968" s="14">
        <f>INDEX(挂机升级突破!$BU$6:$BU$57,卡牌消耗!AI968)</f>
        <v>11</v>
      </c>
      <c r="AD968" s="14">
        <f>INDEX(挂机升级突破!BV$6:BV$57,卡牌消耗!$AI968)</f>
        <v>4</v>
      </c>
      <c r="AE968" s="14">
        <f>INDEX(挂机升级突破!BW$6:BW$57,卡牌消耗!$AI968)</f>
        <v>0</v>
      </c>
      <c r="AF968" s="14" t="str">
        <f t="shared" si="209"/>
        <v>食火蜥</v>
      </c>
      <c r="AG968" s="14">
        <f t="shared" si="210"/>
        <v>2</v>
      </c>
      <c r="AH968" s="14" t="str">
        <f t="shared" si="211"/>
        <v>食火蜥魂火-28</v>
      </c>
      <c r="AI968" s="14">
        <f t="shared" si="212"/>
        <v>28</v>
      </c>
      <c r="AJ968" s="14" t="str">
        <f>INDEX(挂机升级突破!$BX$4:$CH$4,INDEX(挂机升级突破!$BU$6:$BU$57,卡牌消耗!AI968))</f>
        <v>金币</v>
      </c>
      <c r="AK968" s="14">
        <f>ROUND(INDEX(挂机升级突破!$BN$6:$BN$57,卡牌消耗!AI968)*INDEX(卡牌消耗!$B$8:$F$8,AG968)/$Q$4/50,0)*50</f>
        <v>4800</v>
      </c>
      <c r="AL968" s="14" t="str">
        <f>IF(AD968&gt;0,INDEX(挂机升级突破!$BX$4:$CH$4,AD968),"")</f>
        <v>橙色基础材料</v>
      </c>
      <c r="AM968" s="14">
        <f>ROUND(INDEX(挂机升级突破!$BX$6:$CH$57,卡牌消耗!AI968,AD968)*INDEX(卡牌消耗!$B$5:$F$5,AG968)/$Q$4/5,0)*5</f>
        <v>65</v>
      </c>
      <c r="AN968" s="14" t="str">
        <f>IF(AE968&gt;0,INDEX(挂机升级突破!$BX$4:$CH$4,AE968),"")</f>
        <v/>
      </c>
      <c r="AO968" s="14" t="str">
        <f>IF(AE968&gt;0,ROUND(INDEX(挂机升级突破!$BX$6:$CH$57,卡牌消耗!AI968,AE968)*INDEX(卡牌消耗!$B$7:$F$7,AG968)/$Q$4,0),"")</f>
        <v/>
      </c>
    </row>
    <row r="969" spans="27:41" ht="16.5" x14ac:dyDescent="0.2">
      <c r="AA969" s="104">
        <v>965</v>
      </c>
      <c r="AB969" s="14">
        <f t="shared" si="208"/>
        <v>19</v>
      </c>
      <c r="AC969" s="14">
        <f>INDEX(挂机升级突破!$BU$6:$BU$57,卡牌消耗!AI969)</f>
        <v>11</v>
      </c>
      <c r="AD969" s="14">
        <f>INDEX(挂机升级突破!BV$6:BV$57,卡牌消耗!$AI969)</f>
        <v>4</v>
      </c>
      <c r="AE969" s="14">
        <f>INDEX(挂机升级突破!BW$6:BW$57,卡牌消耗!$AI969)</f>
        <v>0</v>
      </c>
      <c r="AF969" s="14" t="str">
        <f t="shared" si="209"/>
        <v>食火蜥</v>
      </c>
      <c r="AG969" s="14">
        <f t="shared" si="210"/>
        <v>2</v>
      </c>
      <c r="AH969" s="14" t="str">
        <f t="shared" si="211"/>
        <v>食火蜥魂火-29</v>
      </c>
      <c r="AI969" s="14">
        <f t="shared" si="212"/>
        <v>29</v>
      </c>
      <c r="AJ969" s="14" t="str">
        <f>INDEX(挂机升级突破!$BX$4:$CH$4,INDEX(挂机升级突破!$BU$6:$BU$57,卡牌消耗!AI969))</f>
        <v>金币</v>
      </c>
      <c r="AK969" s="14">
        <f>ROUND(INDEX(挂机升级突破!$BN$6:$BN$57,卡牌消耗!AI969)*INDEX(卡牌消耗!$B$8:$F$8,AG969)/$Q$4/50,0)*50</f>
        <v>4850</v>
      </c>
      <c r="AL969" s="14" t="str">
        <f>IF(AD969&gt;0,INDEX(挂机升级突破!$BX$4:$CH$4,AD969),"")</f>
        <v>橙色基础材料</v>
      </c>
      <c r="AM969" s="14">
        <f>ROUND(INDEX(挂机升级突破!$BX$6:$CH$57,卡牌消耗!AI969,AD969)*INDEX(卡牌消耗!$B$5:$F$5,AG969)/$Q$4/5,0)*5</f>
        <v>80</v>
      </c>
      <c r="AN969" s="14" t="str">
        <f>IF(AE969&gt;0,INDEX(挂机升级突破!$BX$4:$CH$4,AE969),"")</f>
        <v/>
      </c>
      <c r="AO969" s="14" t="str">
        <f>IF(AE969&gt;0,ROUND(INDEX(挂机升级突破!$BX$6:$CH$57,卡牌消耗!AI969,AE969)*INDEX(卡牌消耗!$B$7:$F$7,AG969)/$Q$4,0),"")</f>
        <v/>
      </c>
    </row>
    <row r="970" spans="27:41" ht="16.5" x14ac:dyDescent="0.2">
      <c r="AA970" s="104">
        <v>966</v>
      </c>
      <c r="AB970" s="14">
        <f t="shared" si="208"/>
        <v>19</v>
      </c>
      <c r="AC970" s="14">
        <f>INDEX(挂机升级突破!$BU$6:$BU$57,卡牌消耗!AI970)</f>
        <v>11</v>
      </c>
      <c r="AD970" s="14">
        <f>INDEX(挂机升级突破!BV$6:BV$57,卡牌消耗!$AI970)</f>
        <v>4</v>
      </c>
      <c r="AE970" s="14">
        <f>INDEX(挂机升级突破!BW$6:BW$57,卡牌消耗!$AI970)</f>
        <v>0</v>
      </c>
      <c r="AF970" s="14" t="str">
        <f t="shared" si="209"/>
        <v>食火蜥</v>
      </c>
      <c r="AG970" s="14">
        <f t="shared" si="210"/>
        <v>2</v>
      </c>
      <c r="AH970" s="14" t="str">
        <f t="shared" si="211"/>
        <v>食火蜥魂火-30</v>
      </c>
      <c r="AI970" s="14">
        <f t="shared" si="212"/>
        <v>30</v>
      </c>
      <c r="AJ970" s="14" t="str">
        <f>INDEX(挂机升级突破!$BX$4:$CH$4,INDEX(挂机升级突破!$BU$6:$BU$57,卡牌消耗!AI970))</f>
        <v>金币</v>
      </c>
      <c r="AK970" s="14">
        <f>ROUND(INDEX(挂机升级突破!$BN$6:$BN$57,卡牌消耗!AI970)*INDEX(卡牌消耗!$B$8:$F$8,AG970)/$Q$4/50,0)*50</f>
        <v>4850</v>
      </c>
      <c r="AL970" s="14" t="str">
        <f>IF(AD970&gt;0,INDEX(挂机升级突破!$BX$4:$CH$4,AD970),"")</f>
        <v>橙色基础材料</v>
      </c>
      <c r="AM970" s="14">
        <f>ROUND(INDEX(挂机升级突破!$BX$6:$CH$57,卡牌消耗!AI970,AD970)*INDEX(卡牌消耗!$B$5:$F$5,AG970)/$Q$4/5,0)*5</f>
        <v>80</v>
      </c>
      <c r="AN970" s="14" t="str">
        <f>IF(AE970&gt;0,INDEX(挂机升级突破!$BX$4:$CH$4,AE970),"")</f>
        <v/>
      </c>
      <c r="AO970" s="14" t="str">
        <f>IF(AE970&gt;0,ROUND(INDEX(挂机升级突破!$BX$6:$CH$57,卡牌消耗!AI970,AE970)*INDEX(卡牌消耗!$B$7:$F$7,AG970)/$Q$4,0),"")</f>
        <v/>
      </c>
    </row>
    <row r="971" spans="27:41" ht="16.5" x14ac:dyDescent="0.2">
      <c r="AA971" s="104">
        <v>967</v>
      </c>
      <c r="AB971" s="14">
        <f t="shared" si="208"/>
        <v>19</v>
      </c>
      <c r="AC971" s="14">
        <f>INDEX(挂机升级突破!$BU$6:$BU$57,卡牌消耗!AI971)</f>
        <v>11</v>
      </c>
      <c r="AD971" s="14">
        <f>INDEX(挂机升级突破!BV$6:BV$57,卡牌消耗!$AI971)</f>
        <v>4</v>
      </c>
      <c r="AE971" s="14">
        <f>INDEX(挂机升级突破!BW$6:BW$57,卡牌消耗!$AI971)</f>
        <v>0</v>
      </c>
      <c r="AF971" s="14" t="str">
        <f t="shared" si="209"/>
        <v>食火蜥</v>
      </c>
      <c r="AG971" s="14">
        <f t="shared" si="210"/>
        <v>2</v>
      </c>
      <c r="AH971" s="14" t="str">
        <f t="shared" si="211"/>
        <v>食火蜥魂火-31</v>
      </c>
      <c r="AI971" s="14">
        <f t="shared" si="212"/>
        <v>31</v>
      </c>
      <c r="AJ971" s="14" t="str">
        <f>INDEX(挂机升级突破!$BX$4:$CH$4,INDEX(挂机升级突破!$BU$6:$BU$57,卡牌消耗!AI971))</f>
        <v>金币</v>
      </c>
      <c r="AK971" s="14">
        <f>ROUND(INDEX(挂机升级突破!$BN$6:$BN$57,卡牌消耗!AI971)*INDEX(卡牌消耗!$B$8:$F$8,AG971)/$Q$4/50,0)*50</f>
        <v>4850</v>
      </c>
      <c r="AL971" s="14" t="str">
        <f>IF(AD971&gt;0,INDEX(挂机升级突破!$BX$4:$CH$4,AD971),"")</f>
        <v>橙色基础材料</v>
      </c>
      <c r="AM971" s="14">
        <f>ROUND(INDEX(挂机升级突破!$BX$6:$CH$57,卡牌消耗!AI971,AD971)*INDEX(卡牌消耗!$B$5:$F$5,AG971)/$Q$4/5,0)*5</f>
        <v>80</v>
      </c>
      <c r="AN971" s="14" t="str">
        <f>IF(AE971&gt;0,INDEX(挂机升级突破!$BX$4:$CH$4,AE971),"")</f>
        <v/>
      </c>
      <c r="AO971" s="14" t="str">
        <f>IF(AE971&gt;0,ROUND(INDEX(挂机升级突破!$BX$6:$CH$57,卡牌消耗!AI971,AE971)*INDEX(卡牌消耗!$B$7:$F$7,AG971)/$Q$4,0),"")</f>
        <v/>
      </c>
    </row>
    <row r="972" spans="27:41" ht="16.5" x14ac:dyDescent="0.2">
      <c r="AA972" s="104">
        <v>968</v>
      </c>
      <c r="AB972" s="14">
        <f t="shared" si="208"/>
        <v>19</v>
      </c>
      <c r="AC972" s="14">
        <f>INDEX(挂机升级突破!$BU$6:$BU$57,卡牌消耗!AI972)</f>
        <v>11</v>
      </c>
      <c r="AD972" s="14">
        <f>INDEX(挂机升级突破!BV$6:BV$57,卡牌消耗!$AI972)</f>
        <v>4</v>
      </c>
      <c r="AE972" s="14">
        <f>INDEX(挂机升级突破!BW$6:BW$57,卡牌消耗!$AI972)</f>
        <v>0</v>
      </c>
      <c r="AF972" s="14" t="str">
        <f t="shared" si="209"/>
        <v>食火蜥</v>
      </c>
      <c r="AG972" s="14">
        <f t="shared" si="210"/>
        <v>2</v>
      </c>
      <c r="AH972" s="14" t="str">
        <f t="shared" si="211"/>
        <v>食火蜥魂火-32</v>
      </c>
      <c r="AI972" s="14">
        <f t="shared" si="212"/>
        <v>32</v>
      </c>
      <c r="AJ972" s="14" t="str">
        <f>INDEX(挂机升级突破!$BX$4:$CH$4,INDEX(挂机升级突破!$BU$6:$BU$57,卡牌消耗!AI972))</f>
        <v>金币</v>
      </c>
      <c r="AK972" s="14">
        <f>ROUND(INDEX(挂机升级突破!$BN$6:$BN$57,卡牌消耗!AI972)*INDEX(卡牌消耗!$B$8:$F$8,AG972)/$Q$4/50,0)*50</f>
        <v>6650</v>
      </c>
      <c r="AL972" s="14" t="str">
        <f>IF(AD972&gt;0,INDEX(挂机升级突破!$BX$4:$CH$4,AD972),"")</f>
        <v>橙色基础材料</v>
      </c>
      <c r="AM972" s="14">
        <f>ROUND(INDEX(挂机升级突破!$BX$6:$CH$57,卡牌消耗!AI972,AD972)*INDEX(卡牌消耗!$B$5:$F$5,AG972)/$Q$4/5,0)*5</f>
        <v>80</v>
      </c>
      <c r="AN972" s="14" t="str">
        <f>IF(AE972&gt;0,INDEX(挂机升级突破!$BX$4:$CH$4,AE972),"")</f>
        <v/>
      </c>
      <c r="AO972" s="14" t="str">
        <f>IF(AE972&gt;0,ROUND(INDEX(挂机升级突破!$BX$6:$CH$57,卡牌消耗!AI972,AE972)*INDEX(卡牌消耗!$B$7:$F$7,AG972)/$Q$4,0),"")</f>
        <v/>
      </c>
    </row>
    <row r="973" spans="27:41" ht="16.5" x14ac:dyDescent="0.2">
      <c r="AA973" s="104">
        <v>969</v>
      </c>
      <c r="AB973" s="14">
        <f t="shared" si="208"/>
        <v>19</v>
      </c>
      <c r="AC973" s="14">
        <f>INDEX(挂机升级突破!$BU$6:$BU$57,卡牌消耗!AI973)</f>
        <v>11</v>
      </c>
      <c r="AD973" s="14">
        <f>INDEX(挂机升级突破!BV$6:BV$57,卡牌消耗!$AI973)</f>
        <v>4</v>
      </c>
      <c r="AE973" s="14">
        <f>INDEX(挂机升级突破!BW$6:BW$57,卡牌消耗!$AI973)</f>
        <v>0</v>
      </c>
      <c r="AF973" s="14" t="str">
        <f t="shared" si="209"/>
        <v>食火蜥</v>
      </c>
      <c r="AG973" s="14">
        <f t="shared" si="210"/>
        <v>2</v>
      </c>
      <c r="AH973" s="14" t="str">
        <f t="shared" si="211"/>
        <v>食火蜥魂火-33</v>
      </c>
      <c r="AI973" s="14">
        <f t="shared" si="212"/>
        <v>33</v>
      </c>
      <c r="AJ973" s="14" t="str">
        <f>INDEX(挂机升级突破!$BX$4:$CH$4,INDEX(挂机升级突破!$BU$6:$BU$57,卡牌消耗!AI973))</f>
        <v>金币</v>
      </c>
      <c r="AK973" s="14">
        <f>ROUND(INDEX(挂机升级突破!$BN$6:$BN$57,卡牌消耗!AI973)*INDEX(卡牌消耗!$B$8:$F$8,AG973)/$Q$4/50,0)*50</f>
        <v>6650</v>
      </c>
      <c r="AL973" s="14" t="str">
        <f>IF(AD973&gt;0,INDEX(挂机升级突破!$BX$4:$CH$4,AD973),"")</f>
        <v>橙色基础材料</v>
      </c>
      <c r="AM973" s="14">
        <f>ROUND(INDEX(挂机升级突破!$BX$6:$CH$57,卡牌消耗!AI973,AD973)*INDEX(卡牌消耗!$B$5:$F$5,AG973)/$Q$4/5,0)*5</f>
        <v>80</v>
      </c>
      <c r="AN973" s="14" t="str">
        <f>IF(AE973&gt;0,INDEX(挂机升级突破!$BX$4:$CH$4,AE973),"")</f>
        <v/>
      </c>
      <c r="AO973" s="14" t="str">
        <f>IF(AE973&gt;0,ROUND(INDEX(挂机升级突破!$BX$6:$CH$57,卡牌消耗!AI973,AE973)*INDEX(卡牌消耗!$B$7:$F$7,AG973)/$Q$4,0),"")</f>
        <v/>
      </c>
    </row>
    <row r="974" spans="27:41" ht="16.5" x14ac:dyDescent="0.2">
      <c r="AA974" s="104">
        <v>970</v>
      </c>
      <c r="AB974" s="14">
        <f t="shared" si="208"/>
        <v>19</v>
      </c>
      <c r="AC974" s="14">
        <f>INDEX(挂机升级突破!$BU$6:$BU$57,卡牌消耗!AI974)</f>
        <v>11</v>
      </c>
      <c r="AD974" s="14">
        <f>INDEX(挂机升级突破!BV$6:BV$57,卡牌消耗!$AI974)</f>
        <v>4</v>
      </c>
      <c r="AE974" s="14">
        <f>INDEX(挂机升级突破!BW$6:BW$57,卡牌消耗!$AI974)</f>
        <v>0</v>
      </c>
      <c r="AF974" s="14" t="str">
        <f t="shared" si="209"/>
        <v>食火蜥</v>
      </c>
      <c r="AG974" s="14">
        <f t="shared" si="210"/>
        <v>2</v>
      </c>
      <c r="AH974" s="14" t="str">
        <f t="shared" si="211"/>
        <v>食火蜥魂火-34</v>
      </c>
      <c r="AI974" s="14">
        <f t="shared" si="212"/>
        <v>34</v>
      </c>
      <c r="AJ974" s="14" t="str">
        <f>INDEX(挂机升级突破!$BX$4:$CH$4,INDEX(挂机升级突破!$BU$6:$BU$57,卡牌消耗!AI974))</f>
        <v>金币</v>
      </c>
      <c r="AK974" s="14">
        <f>ROUND(INDEX(挂机升级突破!$BN$6:$BN$57,卡牌消耗!AI974)*INDEX(卡牌消耗!$B$8:$F$8,AG974)/$Q$4/50,0)*50</f>
        <v>6650</v>
      </c>
      <c r="AL974" s="14" t="str">
        <f>IF(AD974&gt;0,INDEX(挂机升级突破!$BX$4:$CH$4,AD974),"")</f>
        <v>橙色基础材料</v>
      </c>
      <c r="AM974" s="14">
        <f>ROUND(INDEX(挂机升级突破!$BX$6:$CH$57,卡牌消耗!AI974,AD974)*INDEX(卡牌消耗!$B$5:$F$5,AG974)/$Q$4/5,0)*5</f>
        <v>90</v>
      </c>
      <c r="AN974" s="14" t="str">
        <f>IF(AE974&gt;0,INDEX(挂机升级突破!$BX$4:$CH$4,AE974),"")</f>
        <v/>
      </c>
      <c r="AO974" s="14" t="str">
        <f>IF(AE974&gt;0,ROUND(INDEX(挂机升级突破!$BX$6:$CH$57,卡牌消耗!AI974,AE974)*INDEX(卡牌消耗!$B$7:$F$7,AG974)/$Q$4,0),"")</f>
        <v/>
      </c>
    </row>
    <row r="975" spans="27:41" ht="16.5" x14ac:dyDescent="0.2">
      <c r="AA975" s="104">
        <v>971</v>
      </c>
      <c r="AB975" s="14">
        <f t="shared" si="208"/>
        <v>19</v>
      </c>
      <c r="AC975" s="14">
        <f>INDEX(挂机升级突破!$BU$6:$BU$57,卡牌消耗!AI975)</f>
        <v>11</v>
      </c>
      <c r="AD975" s="14">
        <f>INDEX(挂机升级突破!BV$6:BV$57,卡牌消耗!$AI975)</f>
        <v>4</v>
      </c>
      <c r="AE975" s="14">
        <f>INDEX(挂机升级突破!BW$6:BW$57,卡牌消耗!$AI975)</f>
        <v>0</v>
      </c>
      <c r="AF975" s="14" t="str">
        <f t="shared" si="209"/>
        <v>食火蜥</v>
      </c>
      <c r="AG975" s="14">
        <f t="shared" si="210"/>
        <v>2</v>
      </c>
      <c r="AH975" s="14" t="str">
        <f t="shared" si="211"/>
        <v>食火蜥魂火-35</v>
      </c>
      <c r="AI975" s="14">
        <f t="shared" si="212"/>
        <v>35</v>
      </c>
      <c r="AJ975" s="14" t="str">
        <f>INDEX(挂机升级突破!$BX$4:$CH$4,INDEX(挂机升级突破!$BU$6:$BU$57,卡牌消耗!AI975))</f>
        <v>金币</v>
      </c>
      <c r="AK975" s="14">
        <f>ROUND(INDEX(挂机升级突破!$BN$6:$BN$57,卡牌消耗!AI975)*INDEX(卡牌消耗!$B$8:$F$8,AG975)/$Q$4/50,0)*50</f>
        <v>8450</v>
      </c>
      <c r="AL975" s="14" t="str">
        <f>IF(AD975&gt;0,INDEX(挂机升级突破!$BX$4:$CH$4,AD975),"")</f>
        <v>橙色基础材料</v>
      </c>
      <c r="AM975" s="14">
        <f>ROUND(INDEX(挂机升级突破!$BX$6:$CH$57,卡牌消耗!AI975,AD975)*INDEX(卡牌消耗!$B$5:$F$5,AG975)/$Q$4/5,0)*5</f>
        <v>90</v>
      </c>
      <c r="AN975" s="14" t="str">
        <f>IF(AE975&gt;0,INDEX(挂机升级突破!$BX$4:$CH$4,AE975),"")</f>
        <v/>
      </c>
      <c r="AO975" s="14" t="str">
        <f>IF(AE975&gt;0,ROUND(INDEX(挂机升级突破!$BX$6:$CH$57,卡牌消耗!AI975,AE975)*INDEX(卡牌消耗!$B$7:$F$7,AG975)/$Q$4,0),"")</f>
        <v/>
      </c>
    </row>
    <row r="976" spans="27:41" ht="16.5" x14ac:dyDescent="0.2">
      <c r="AA976" s="104">
        <v>972</v>
      </c>
      <c r="AB976" s="14">
        <f t="shared" si="208"/>
        <v>19</v>
      </c>
      <c r="AC976" s="14">
        <f>INDEX(挂机升级突破!$BU$6:$BU$57,卡牌消耗!AI976)</f>
        <v>11</v>
      </c>
      <c r="AD976" s="14">
        <f>INDEX(挂机升级突破!BV$6:BV$57,卡牌消耗!$AI976)</f>
        <v>4</v>
      </c>
      <c r="AE976" s="14">
        <f>INDEX(挂机升级突破!BW$6:BW$57,卡牌消耗!$AI976)</f>
        <v>0</v>
      </c>
      <c r="AF976" s="14" t="str">
        <f t="shared" si="209"/>
        <v>食火蜥</v>
      </c>
      <c r="AG976" s="14">
        <f t="shared" si="210"/>
        <v>2</v>
      </c>
      <c r="AH976" s="14" t="str">
        <f t="shared" si="211"/>
        <v>食火蜥魂火-36</v>
      </c>
      <c r="AI976" s="14">
        <f t="shared" si="212"/>
        <v>36</v>
      </c>
      <c r="AJ976" s="14" t="str">
        <f>INDEX(挂机升级突破!$BX$4:$CH$4,INDEX(挂机升级突破!$BU$6:$BU$57,卡牌消耗!AI976))</f>
        <v>金币</v>
      </c>
      <c r="AK976" s="14">
        <f>ROUND(INDEX(挂机升级突破!$BN$6:$BN$57,卡牌消耗!AI976)*INDEX(卡牌消耗!$B$8:$F$8,AG976)/$Q$4/50,0)*50</f>
        <v>8450</v>
      </c>
      <c r="AL976" s="14" t="str">
        <f>IF(AD976&gt;0,INDEX(挂机升级突破!$BX$4:$CH$4,AD976),"")</f>
        <v>橙色基础材料</v>
      </c>
      <c r="AM976" s="14">
        <f>ROUND(INDEX(挂机升级突破!$BX$6:$CH$57,卡牌消耗!AI976,AD976)*INDEX(卡牌消耗!$B$5:$F$5,AG976)/$Q$4/5,0)*5</f>
        <v>90</v>
      </c>
      <c r="AN976" s="14" t="str">
        <f>IF(AE976&gt;0,INDEX(挂机升级突破!$BX$4:$CH$4,AE976),"")</f>
        <v/>
      </c>
      <c r="AO976" s="14" t="str">
        <f>IF(AE976&gt;0,ROUND(INDEX(挂机升级突破!$BX$6:$CH$57,卡牌消耗!AI976,AE976)*INDEX(卡牌消耗!$B$7:$F$7,AG976)/$Q$4,0),"")</f>
        <v/>
      </c>
    </row>
    <row r="977" spans="27:41" ht="16.5" x14ac:dyDescent="0.2">
      <c r="AA977" s="104">
        <v>973</v>
      </c>
      <c r="AB977" s="14">
        <f t="shared" si="208"/>
        <v>19</v>
      </c>
      <c r="AC977" s="14">
        <f>INDEX(挂机升级突破!$BU$6:$BU$57,卡牌消耗!AI977)</f>
        <v>11</v>
      </c>
      <c r="AD977" s="14">
        <f>INDEX(挂机升级突破!BV$6:BV$57,卡牌消耗!$AI977)</f>
        <v>4</v>
      </c>
      <c r="AE977" s="14">
        <f>INDEX(挂机升级突破!BW$6:BW$57,卡牌消耗!$AI977)</f>
        <v>0</v>
      </c>
      <c r="AF977" s="14" t="str">
        <f t="shared" si="209"/>
        <v>食火蜥</v>
      </c>
      <c r="AG977" s="14">
        <f t="shared" si="210"/>
        <v>2</v>
      </c>
      <c r="AH977" s="14" t="str">
        <f t="shared" si="211"/>
        <v>食火蜥魂火-37</v>
      </c>
      <c r="AI977" s="14">
        <f t="shared" si="212"/>
        <v>37</v>
      </c>
      <c r="AJ977" s="14" t="str">
        <f>INDEX(挂机升级突破!$BX$4:$CH$4,INDEX(挂机升级突破!$BU$6:$BU$57,卡牌消耗!AI977))</f>
        <v>金币</v>
      </c>
      <c r="AK977" s="14">
        <f>ROUND(INDEX(挂机升级突破!$BN$6:$BN$57,卡牌消耗!AI977)*INDEX(卡牌消耗!$B$8:$F$8,AG977)/$Q$4/50,0)*50</f>
        <v>9050</v>
      </c>
      <c r="AL977" s="14" t="str">
        <f>IF(AD977&gt;0,INDEX(挂机升级突破!$BX$4:$CH$4,AD977),"")</f>
        <v>橙色基础材料</v>
      </c>
      <c r="AM977" s="14">
        <f>ROUND(INDEX(挂机升级突破!$BX$6:$CH$57,卡牌消耗!AI977,AD977)*INDEX(卡牌消耗!$B$5:$F$5,AG977)/$Q$4/5,0)*5</f>
        <v>90</v>
      </c>
      <c r="AN977" s="14" t="str">
        <f>IF(AE977&gt;0,INDEX(挂机升级突破!$BX$4:$CH$4,AE977),"")</f>
        <v/>
      </c>
      <c r="AO977" s="14" t="str">
        <f>IF(AE977&gt;0,ROUND(INDEX(挂机升级突破!$BX$6:$CH$57,卡牌消耗!AI977,AE977)*INDEX(卡牌消耗!$B$7:$F$7,AG977)/$Q$4,0),"")</f>
        <v/>
      </c>
    </row>
    <row r="978" spans="27:41" ht="16.5" x14ac:dyDescent="0.2">
      <c r="AA978" s="104">
        <v>974</v>
      </c>
      <c r="AB978" s="14">
        <f t="shared" si="208"/>
        <v>19</v>
      </c>
      <c r="AC978" s="14">
        <f>INDEX(挂机升级突破!$BU$6:$BU$57,卡牌消耗!AI978)</f>
        <v>11</v>
      </c>
      <c r="AD978" s="14">
        <f>INDEX(挂机升级突破!BV$6:BV$57,卡牌消耗!$AI978)</f>
        <v>5</v>
      </c>
      <c r="AE978" s="14">
        <f>INDEX(挂机升级突破!BW$6:BW$57,卡牌消耗!$AI978)</f>
        <v>0</v>
      </c>
      <c r="AF978" s="14" t="str">
        <f t="shared" si="209"/>
        <v>食火蜥</v>
      </c>
      <c r="AG978" s="14">
        <f t="shared" si="210"/>
        <v>2</v>
      </c>
      <c r="AH978" s="14" t="str">
        <f t="shared" si="211"/>
        <v>食火蜥魂火-38</v>
      </c>
      <c r="AI978" s="14">
        <f t="shared" si="212"/>
        <v>38</v>
      </c>
      <c r="AJ978" s="14" t="str">
        <f>INDEX(挂机升级突破!$BX$4:$CH$4,INDEX(挂机升级突破!$BU$6:$BU$57,卡牌消耗!AI978))</f>
        <v>金币</v>
      </c>
      <c r="AK978" s="14">
        <f>ROUND(INDEX(挂机升级突破!$BN$6:$BN$57,卡牌消耗!AI978)*INDEX(卡牌消耗!$B$8:$F$8,AG978)/$Q$4/50,0)*50</f>
        <v>11700</v>
      </c>
      <c r="AL978" s="14" t="str">
        <f>IF(AD978&gt;0,INDEX(挂机升级突破!$BX$4:$CH$4,AD978),"")</f>
        <v>红色基础材料</v>
      </c>
      <c r="AM978" s="14">
        <f>ROUND(INDEX(挂机升级突破!$BX$6:$CH$57,卡牌消耗!AI978,AD978)*INDEX(卡牌消耗!$B$5:$F$5,AG978)/$Q$4/5,0)*5</f>
        <v>35</v>
      </c>
      <c r="AN978" s="14" t="str">
        <f>IF(AE978&gt;0,INDEX(挂机升级突破!$BX$4:$CH$4,AE978),"")</f>
        <v/>
      </c>
      <c r="AO978" s="14" t="str">
        <f>IF(AE978&gt;0,ROUND(INDEX(挂机升级突破!$BX$6:$CH$57,卡牌消耗!AI978,AE978)*INDEX(卡牌消耗!$B$7:$F$7,AG978)/$Q$4,0),"")</f>
        <v/>
      </c>
    </row>
    <row r="979" spans="27:41" ht="16.5" x14ac:dyDescent="0.2">
      <c r="AA979" s="104">
        <v>975</v>
      </c>
      <c r="AB979" s="14">
        <f t="shared" si="208"/>
        <v>19</v>
      </c>
      <c r="AC979" s="14">
        <f>INDEX(挂机升级突破!$BU$6:$BU$57,卡牌消耗!AI979)</f>
        <v>11</v>
      </c>
      <c r="AD979" s="14">
        <f>INDEX(挂机升级突破!BV$6:BV$57,卡牌消耗!$AI979)</f>
        <v>5</v>
      </c>
      <c r="AE979" s="14">
        <f>INDEX(挂机升级突破!BW$6:BW$57,卡牌消耗!$AI979)</f>
        <v>0</v>
      </c>
      <c r="AF979" s="14" t="str">
        <f t="shared" si="209"/>
        <v>食火蜥</v>
      </c>
      <c r="AG979" s="14">
        <f t="shared" si="210"/>
        <v>2</v>
      </c>
      <c r="AH979" s="14" t="str">
        <f t="shared" si="211"/>
        <v>食火蜥魂火-39</v>
      </c>
      <c r="AI979" s="14">
        <f t="shared" si="212"/>
        <v>39</v>
      </c>
      <c r="AJ979" s="14" t="str">
        <f>INDEX(挂机升级突破!$BX$4:$CH$4,INDEX(挂机升级突破!$BU$6:$BU$57,卡牌消耗!AI979))</f>
        <v>金币</v>
      </c>
      <c r="AK979" s="14">
        <f>ROUND(INDEX(挂机升级突破!$BN$6:$BN$57,卡牌消耗!AI979)*INDEX(卡牌消耗!$B$8:$F$8,AG979)/$Q$4/50,0)*50</f>
        <v>11700</v>
      </c>
      <c r="AL979" s="14" t="str">
        <f>IF(AD979&gt;0,INDEX(挂机升级突破!$BX$4:$CH$4,AD979),"")</f>
        <v>红色基础材料</v>
      </c>
      <c r="AM979" s="14">
        <f>ROUND(INDEX(挂机升级突破!$BX$6:$CH$57,卡牌消耗!AI979,AD979)*INDEX(卡牌消耗!$B$5:$F$5,AG979)/$Q$4/5,0)*5</f>
        <v>35</v>
      </c>
      <c r="AN979" s="14" t="str">
        <f>IF(AE979&gt;0,INDEX(挂机升级突破!$BX$4:$CH$4,AE979),"")</f>
        <v/>
      </c>
      <c r="AO979" s="14" t="str">
        <f>IF(AE979&gt;0,ROUND(INDEX(挂机升级突破!$BX$6:$CH$57,卡牌消耗!AI979,AE979)*INDEX(卡牌消耗!$B$7:$F$7,AG979)/$Q$4,0),"")</f>
        <v/>
      </c>
    </row>
    <row r="980" spans="27:41" ht="16.5" x14ac:dyDescent="0.2">
      <c r="AA980" s="104">
        <v>976</v>
      </c>
      <c r="AB980" s="14">
        <f t="shared" si="208"/>
        <v>19</v>
      </c>
      <c r="AC980" s="14">
        <f>INDEX(挂机升级突破!$BU$6:$BU$57,卡牌消耗!AI980)</f>
        <v>11</v>
      </c>
      <c r="AD980" s="14">
        <f>INDEX(挂机升级突破!BV$6:BV$57,卡牌消耗!$AI980)</f>
        <v>5</v>
      </c>
      <c r="AE980" s="14">
        <f>INDEX(挂机升级突破!BW$6:BW$57,卡牌消耗!$AI980)</f>
        <v>0</v>
      </c>
      <c r="AF980" s="14" t="str">
        <f t="shared" si="209"/>
        <v>食火蜥</v>
      </c>
      <c r="AG980" s="14">
        <f t="shared" si="210"/>
        <v>2</v>
      </c>
      <c r="AH980" s="14" t="str">
        <f t="shared" si="211"/>
        <v>食火蜥魂火-40</v>
      </c>
      <c r="AI980" s="14">
        <f t="shared" si="212"/>
        <v>40</v>
      </c>
      <c r="AJ980" s="14" t="str">
        <f>INDEX(挂机升级突破!$BX$4:$CH$4,INDEX(挂机升级突破!$BU$6:$BU$57,卡牌消耗!AI980))</f>
        <v>金币</v>
      </c>
      <c r="AK980" s="14">
        <f>ROUND(INDEX(挂机升级突破!$BN$6:$BN$57,卡牌消耗!AI980)*INDEX(卡牌消耗!$B$8:$F$8,AG980)/$Q$4/50,0)*50</f>
        <v>11700</v>
      </c>
      <c r="AL980" s="14" t="str">
        <f>IF(AD980&gt;0,INDEX(挂机升级突破!$BX$4:$CH$4,AD980),"")</f>
        <v>红色基础材料</v>
      </c>
      <c r="AM980" s="14">
        <f>ROUND(INDEX(挂机升级突破!$BX$6:$CH$57,卡牌消耗!AI980,AD980)*INDEX(卡牌消耗!$B$5:$F$5,AG980)/$Q$4/5,0)*5</f>
        <v>35</v>
      </c>
      <c r="AN980" s="14" t="str">
        <f>IF(AE980&gt;0,INDEX(挂机升级突破!$BX$4:$CH$4,AE980),"")</f>
        <v/>
      </c>
      <c r="AO980" s="14" t="str">
        <f>IF(AE980&gt;0,ROUND(INDEX(挂机升级突破!$BX$6:$CH$57,卡牌消耗!AI980,AE980)*INDEX(卡牌消耗!$B$7:$F$7,AG980)/$Q$4,0),"")</f>
        <v/>
      </c>
    </row>
    <row r="981" spans="27:41" ht="16.5" x14ac:dyDescent="0.2">
      <c r="AA981" s="104">
        <v>977</v>
      </c>
      <c r="AB981" s="14">
        <f t="shared" si="208"/>
        <v>19</v>
      </c>
      <c r="AC981" s="14">
        <f>INDEX(挂机升级突破!$BU$6:$BU$57,卡牌消耗!AI981)</f>
        <v>11</v>
      </c>
      <c r="AD981" s="14">
        <f>INDEX(挂机升级突破!BV$6:BV$57,卡牌消耗!$AI981)</f>
        <v>5</v>
      </c>
      <c r="AE981" s="14">
        <f>INDEX(挂机升级突破!BW$6:BW$57,卡牌消耗!$AI981)</f>
        <v>10</v>
      </c>
      <c r="AF981" s="14" t="str">
        <f t="shared" si="209"/>
        <v>食火蜥</v>
      </c>
      <c r="AG981" s="14">
        <f t="shared" si="210"/>
        <v>2</v>
      </c>
      <c r="AH981" s="14" t="str">
        <f t="shared" si="211"/>
        <v>食火蜥魂火-41</v>
      </c>
      <c r="AI981" s="14">
        <f t="shared" si="212"/>
        <v>41</v>
      </c>
      <c r="AJ981" s="14" t="str">
        <f>INDEX(挂机升级突破!$BX$4:$CH$4,INDEX(挂机升级突破!$BU$6:$BU$57,卡牌消耗!AI981))</f>
        <v>金币</v>
      </c>
      <c r="AK981" s="14">
        <f>ROUND(INDEX(挂机升级突破!$BN$6:$BN$57,卡牌消耗!AI981)*INDEX(卡牌消耗!$B$8:$F$8,AG981)/$Q$4/50,0)*50</f>
        <v>16100</v>
      </c>
      <c r="AL981" s="14" t="str">
        <f>IF(AD981&gt;0,INDEX(挂机升级突破!$BX$4:$CH$4,AD981),"")</f>
        <v>红色基础材料</v>
      </c>
      <c r="AM981" s="14">
        <f>ROUND(INDEX(挂机升级突破!$BX$6:$CH$57,卡牌消耗!AI981,AD981)*INDEX(卡牌消耗!$B$5:$F$5,AG981)/$Q$4/5,0)*5</f>
        <v>45</v>
      </c>
      <c r="AN981" s="14" t="str">
        <f>IF(AE981&gt;0,INDEX(挂机升级突破!$BX$4:$CH$4,AE981),"")</f>
        <v>灵玉</v>
      </c>
      <c r="AO981" s="14">
        <f>IF(AE981&gt;0,ROUND(INDEX(挂机升级突破!$BX$6:$CH$57,卡牌消耗!AI981,AE981)*INDEX(卡牌消耗!$B$7:$F$7,AG981)/$Q$4,0),"")</f>
        <v>1</v>
      </c>
    </row>
    <row r="982" spans="27:41" ht="16.5" x14ac:dyDescent="0.2">
      <c r="AA982" s="104">
        <v>978</v>
      </c>
      <c r="AB982" s="14">
        <f t="shared" si="208"/>
        <v>19</v>
      </c>
      <c r="AC982" s="14">
        <f>INDEX(挂机升级突破!$BU$6:$BU$57,卡牌消耗!AI982)</f>
        <v>11</v>
      </c>
      <c r="AD982" s="14">
        <f>INDEX(挂机升级突破!BV$6:BV$57,卡牌消耗!$AI982)</f>
        <v>5</v>
      </c>
      <c r="AE982" s="14">
        <f>INDEX(挂机升级突破!BW$6:BW$57,卡牌消耗!$AI982)</f>
        <v>10</v>
      </c>
      <c r="AF982" s="14" t="str">
        <f t="shared" si="209"/>
        <v>食火蜥</v>
      </c>
      <c r="AG982" s="14">
        <f t="shared" si="210"/>
        <v>2</v>
      </c>
      <c r="AH982" s="14" t="str">
        <f t="shared" si="211"/>
        <v>食火蜥魂火-42</v>
      </c>
      <c r="AI982" s="14">
        <f t="shared" si="212"/>
        <v>42</v>
      </c>
      <c r="AJ982" s="14" t="str">
        <f>INDEX(挂机升级突破!$BX$4:$CH$4,INDEX(挂机升级突破!$BU$6:$BU$57,卡牌消耗!AI982))</f>
        <v>金币</v>
      </c>
      <c r="AK982" s="14">
        <f>ROUND(INDEX(挂机升级突破!$BN$6:$BN$57,卡牌消耗!AI982)*INDEX(卡牌消耗!$B$8:$F$8,AG982)/$Q$4/50,0)*50</f>
        <v>16100</v>
      </c>
      <c r="AL982" s="14" t="str">
        <f>IF(AD982&gt;0,INDEX(挂机升级突破!$BX$4:$CH$4,AD982),"")</f>
        <v>红色基础材料</v>
      </c>
      <c r="AM982" s="14">
        <f>ROUND(INDEX(挂机升级突破!$BX$6:$CH$57,卡牌消耗!AI982,AD982)*INDEX(卡牌消耗!$B$5:$F$5,AG982)/$Q$4/5,0)*5</f>
        <v>45</v>
      </c>
      <c r="AN982" s="14" t="str">
        <f>IF(AE982&gt;0,INDEX(挂机升级突破!$BX$4:$CH$4,AE982),"")</f>
        <v>灵玉</v>
      </c>
      <c r="AO982" s="14">
        <f>IF(AE982&gt;0,ROUND(INDEX(挂机升级突破!$BX$6:$CH$57,卡牌消耗!AI982,AE982)*INDEX(卡牌消耗!$B$7:$F$7,AG982)/$Q$4,0),"")</f>
        <v>1</v>
      </c>
    </row>
    <row r="983" spans="27:41" ht="16.5" x14ac:dyDescent="0.2">
      <c r="AA983" s="104">
        <v>979</v>
      </c>
      <c r="AB983" s="14">
        <f t="shared" si="208"/>
        <v>19</v>
      </c>
      <c r="AC983" s="14">
        <f>INDEX(挂机升级突破!$BU$6:$BU$57,卡牌消耗!AI983)</f>
        <v>11</v>
      </c>
      <c r="AD983" s="14">
        <f>INDEX(挂机升级突破!BV$6:BV$57,卡牌消耗!$AI983)</f>
        <v>5</v>
      </c>
      <c r="AE983" s="14">
        <f>INDEX(挂机升级突破!BW$6:BW$57,卡牌消耗!$AI983)</f>
        <v>10</v>
      </c>
      <c r="AF983" s="14" t="str">
        <f t="shared" si="209"/>
        <v>食火蜥</v>
      </c>
      <c r="AG983" s="14">
        <f t="shared" si="210"/>
        <v>2</v>
      </c>
      <c r="AH983" s="14" t="str">
        <f t="shared" si="211"/>
        <v>食火蜥魂火-43</v>
      </c>
      <c r="AI983" s="14">
        <f t="shared" si="212"/>
        <v>43</v>
      </c>
      <c r="AJ983" s="14" t="str">
        <f>INDEX(挂机升级突破!$BX$4:$CH$4,INDEX(挂机升级突破!$BU$6:$BU$57,卡牌消耗!AI983))</f>
        <v>金币</v>
      </c>
      <c r="AK983" s="14">
        <f>ROUND(INDEX(挂机升级突破!$BN$6:$BN$57,卡牌消耗!AI983)*INDEX(卡牌消耗!$B$8:$F$8,AG983)/$Q$4/50,0)*50</f>
        <v>16100</v>
      </c>
      <c r="AL983" s="14" t="str">
        <f>IF(AD983&gt;0,INDEX(挂机升级突破!$BX$4:$CH$4,AD983),"")</f>
        <v>红色基础材料</v>
      </c>
      <c r="AM983" s="14">
        <f>ROUND(INDEX(挂机升级突破!$BX$6:$CH$57,卡牌消耗!AI983,AD983)*INDEX(卡牌消耗!$B$5:$F$5,AG983)/$Q$4/5,0)*5</f>
        <v>45</v>
      </c>
      <c r="AN983" s="14" t="str">
        <f>IF(AE983&gt;0,INDEX(挂机升级突破!$BX$4:$CH$4,AE983),"")</f>
        <v>灵玉</v>
      </c>
      <c r="AO983" s="14">
        <f>IF(AE983&gt;0,ROUND(INDEX(挂机升级突破!$BX$6:$CH$57,卡牌消耗!AI983,AE983)*INDEX(卡牌消耗!$B$7:$F$7,AG983)/$Q$4,0),"")</f>
        <v>1</v>
      </c>
    </row>
    <row r="984" spans="27:41" ht="16.5" x14ac:dyDescent="0.2">
      <c r="AA984" s="104">
        <v>980</v>
      </c>
      <c r="AB984" s="14">
        <f t="shared" si="208"/>
        <v>19</v>
      </c>
      <c r="AC984" s="14">
        <f>INDEX(挂机升级突破!$BU$6:$BU$57,卡牌消耗!AI984)</f>
        <v>11</v>
      </c>
      <c r="AD984" s="14">
        <f>INDEX(挂机升级突破!BV$6:BV$57,卡牌消耗!$AI984)</f>
        <v>5</v>
      </c>
      <c r="AE984" s="14">
        <f>INDEX(挂机升级突破!BW$6:BW$57,卡牌消耗!$AI984)</f>
        <v>10</v>
      </c>
      <c r="AF984" s="14" t="str">
        <f t="shared" si="209"/>
        <v>食火蜥</v>
      </c>
      <c r="AG984" s="14">
        <f t="shared" si="210"/>
        <v>2</v>
      </c>
      <c r="AH984" s="14" t="str">
        <f t="shared" si="211"/>
        <v>食火蜥魂火-44</v>
      </c>
      <c r="AI984" s="14">
        <f t="shared" si="212"/>
        <v>44</v>
      </c>
      <c r="AJ984" s="14" t="str">
        <f>INDEX(挂机升级突破!$BX$4:$CH$4,INDEX(挂机升级突破!$BU$6:$BU$57,卡牌消耗!AI984))</f>
        <v>金币</v>
      </c>
      <c r="AK984" s="14">
        <f>ROUND(INDEX(挂机升级突破!$BN$6:$BN$57,卡牌消耗!AI984)*INDEX(卡牌消耗!$B$8:$F$8,AG984)/$Q$4/50,0)*50</f>
        <v>20450</v>
      </c>
      <c r="AL984" s="14" t="str">
        <f>IF(AD984&gt;0,INDEX(挂机升级突破!$BX$4:$CH$4,AD984),"")</f>
        <v>红色基础材料</v>
      </c>
      <c r="AM984" s="14">
        <f>ROUND(INDEX(挂机升级突破!$BX$6:$CH$57,卡牌消耗!AI984,AD984)*INDEX(卡牌消耗!$B$5:$F$5,AG984)/$Q$4/5,0)*5</f>
        <v>50</v>
      </c>
      <c r="AN984" s="14" t="str">
        <f>IF(AE984&gt;0,INDEX(挂机升级突破!$BX$4:$CH$4,AE984),"")</f>
        <v>灵玉</v>
      </c>
      <c r="AO984" s="14">
        <f>IF(AE984&gt;0,ROUND(INDEX(挂机升级突破!$BX$6:$CH$57,卡牌消耗!AI984,AE984)*INDEX(卡牌消耗!$B$7:$F$7,AG984)/$Q$4,0),"")</f>
        <v>1</v>
      </c>
    </row>
    <row r="985" spans="27:41" ht="16.5" x14ac:dyDescent="0.2">
      <c r="AA985" s="104">
        <v>981</v>
      </c>
      <c r="AB985" s="14">
        <f t="shared" si="208"/>
        <v>19</v>
      </c>
      <c r="AC985" s="14">
        <f>INDEX(挂机升级突破!$BU$6:$BU$57,卡牌消耗!AI985)</f>
        <v>11</v>
      </c>
      <c r="AD985" s="14">
        <f>INDEX(挂机升级突破!BV$6:BV$57,卡牌消耗!$AI985)</f>
        <v>5</v>
      </c>
      <c r="AE985" s="14">
        <f>INDEX(挂机升级突破!BW$6:BW$57,卡牌消耗!$AI985)</f>
        <v>10</v>
      </c>
      <c r="AF985" s="14" t="str">
        <f t="shared" si="209"/>
        <v>食火蜥</v>
      </c>
      <c r="AG985" s="14">
        <f t="shared" si="210"/>
        <v>2</v>
      </c>
      <c r="AH985" s="14" t="str">
        <f t="shared" si="211"/>
        <v>食火蜥魂火-45</v>
      </c>
      <c r="AI985" s="14">
        <f t="shared" si="212"/>
        <v>45</v>
      </c>
      <c r="AJ985" s="14" t="str">
        <f>INDEX(挂机升级突破!$BX$4:$CH$4,INDEX(挂机升级突破!$BU$6:$BU$57,卡牌消耗!AI985))</f>
        <v>金币</v>
      </c>
      <c r="AK985" s="14">
        <f>ROUND(INDEX(挂机升级突破!$BN$6:$BN$57,卡牌消耗!AI985)*INDEX(卡牌消耗!$B$8:$F$8,AG985)/$Q$4/50,0)*50</f>
        <v>20450</v>
      </c>
      <c r="AL985" s="14" t="str">
        <f>IF(AD985&gt;0,INDEX(挂机升级突破!$BX$4:$CH$4,AD985),"")</f>
        <v>红色基础材料</v>
      </c>
      <c r="AM985" s="14">
        <f>ROUND(INDEX(挂机升级突破!$BX$6:$CH$57,卡牌消耗!AI985,AD985)*INDEX(卡牌消耗!$B$5:$F$5,AG985)/$Q$4/5,0)*5</f>
        <v>50</v>
      </c>
      <c r="AN985" s="14" t="str">
        <f>IF(AE985&gt;0,INDEX(挂机升级突破!$BX$4:$CH$4,AE985),"")</f>
        <v>灵玉</v>
      </c>
      <c r="AO985" s="14">
        <f>IF(AE985&gt;0,ROUND(INDEX(挂机升级突破!$BX$6:$CH$57,卡牌消耗!AI985,AE985)*INDEX(卡牌消耗!$B$7:$F$7,AG985)/$Q$4,0),"")</f>
        <v>1</v>
      </c>
    </row>
    <row r="986" spans="27:41" ht="16.5" x14ac:dyDescent="0.2">
      <c r="AA986" s="104">
        <v>982</v>
      </c>
      <c r="AB986" s="14">
        <f t="shared" si="208"/>
        <v>19</v>
      </c>
      <c r="AC986" s="14">
        <f>INDEX(挂机升级突破!$BU$6:$BU$57,卡牌消耗!AI986)</f>
        <v>11</v>
      </c>
      <c r="AD986" s="14">
        <f>INDEX(挂机升级突破!BV$6:BV$57,卡牌消耗!$AI986)</f>
        <v>5</v>
      </c>
      <c r="AE986" s="14">
        <f>INDEX(挂机升级突破!BW$6:BW$57,卡牌消耗!$AI986)</f>
        <v>10</v>
      </c>
      <c r="AF986" s="14" t="str">
        <f t="shared" si="209"/>
        <v>食火蜥</v>
      </c>
      <c r="AG986" s="14">
        <f t="shared" si="210"/>
        <v>2</v>
      </c>
      <c r="AH986" s="14" t="str">
        <f t="shared" si="211"/>
        <v>食火蜥魂火-46</v>
      </c>
      <c r="AI986" s="14">
        <f t="shared" si="212"/>
        <v>46</v>
      </c>
      <c r="AJ986" s="14" t="str">
        <f>INDEX(挂机升级突破!$BX$4:$CH$4,INDEX(挂机升级突破!$BU$6:$BU$57,卡牌消耗!AI986))</f>
        <v>金币</v>
      </c>
      <c r="AK986" s="14">
        <f>ROUND(INDEX(挂机升级突破!$BN$6:$BN$57,卡牌消耗!AI986)*INDEX(卡牌消耗!$B$8:$F$8,AG986)/$Q$4/50,0)*50</f>
        <v>21950</v>
      </c>
      <c r="AL986" s="14" t="str">
        <f>IF(AD986&gt;0,INDEX(挂机升级突破!$BX$4:$CH$4,AD986),"")</f>
        <v>红色基础材料</v>
      </c>
      <c r="AM986" s="14">
        <f>ROUND(INDEX(挂机升级突破!$BX$6:$CH$57,卡牌消耗!AI986,AD986)*INDEX(卡牌消耗!$B$5:$F$5,AG986)/$Q$4/5,0)*5</f>
        <v>50</v>
      </c>
      <c r="AN986" s="14" t="str">
        <f>IF(AE986&gt;0,INDEX(挂机升级突破!$BX$4:$CH$4,AE986),"")</f>
        <v>灵玉</v>
      </c>
      <c r="AO986" s="14">
        <f>IF(AE986&gt;0,ROUND(INDEX(挂机升级突破!$BX$6:$CH$57,卡牌消耗!AI986,AE986)*INDEX(卡牌消耗!$B$7:$F$7,AG986)/$Q$4,0),"")</f>
        <v>1</v>
      </c>
    </row>
    <row r="987" spans="27:41" ht="16.5" x14ac:dyDescent="0.2">
      <c r="AA987" s="104">
        <v>983</v>
      </c>
      <c r="AB987" s="14">
        <f t="shared" si="208"/>
        <v>19</v>
      </c>
      <c r="AC987" s="14">
        <f>INDEX(挂机升级突破!$BU$6:$BU$57,卡牌消耗!AI987)</f>
        <v>11</v>
      </c>
      <c r="AD987" s="14">
        <f>INDEX(挂机升级突破!BV$6:BV$57,卡牌消耗!$AI987)</f>
        <v>5</v>
      </c>
      <c r="AE987" s="14">
        <f>INDEX(挂机升级突破!BW$6:BW$57,卡牌消耗!$AI987)</f>
        <v>10</v>
      </c>
      <c r="AF987" s="14" t="str">
        <f t="shared" si="209"/>
        <v>食火蜥</v>
      </c>
      <c r="AG987" s="14">
        <f t="shared" si="210"/>
        <v>2</v>
      </c>
      <c r="AH987" s="14" t="str">
        <f t="shared" si="211"/>
        <v>食火蜥魂火-47</v>
      </c>
      <c r="AI987" s="14">
        <f t="shared" si="212"/>
        <v>47</v>
      </c>
      <c r="AJ987" s="14" t="str">
        <f>INDEX(挂机升级突破!$BX$4:$CH$4,INDEX(挂机升级突破!$BU$6:$BU$57,卡牌消耗!AI987))</f>
        <v>金币</v>
      </c>
      <c r="AK987" s="14">
        <f>ROUND(INDEX(挂机升级突破!$BN$6:$BN$57,卡牌消耗!AI987)*INDEX(卡牌消耗!$B$8:$F$8,AG987)/$Q$4/50,0)*50</f>
        <v>106350</v>
      </c>
      <c r="AL987" s="14" t="str">
        <f>IF(AD987&gt;0,INDEX(挂机升级突破!$BX$4:$CH$4,AD987),"")</f>
        <v>红色基础材料</v>
      </c>
      <c r="AM987" s="14">
        <f>ROUND(INDEX(挂机升级突破!$BX$6:$CH$57,卡牌消耗!AI987,AD987)*INDEX(卡牌消耗!$B$5:$F$5,AG987)/$Q$4/5,0)*5</f>
        <v>50</v>
      </c>
      <c r="AN987" s="14" t="str">
        <f>IF(AE987&gt;0,INDEX(挂机升级突破!$BX$4:$CH$4,AE987),"")</f>
        <v>灵玉</v>
      </c>
      <c r="AO987" s="14">
        <f>IF(AE987&gt;0,ROUND(INDEX(挂机升级突破!$BX$6:$CH$57,卡牌消耗!AI987,AE987)*INDEX(卡牌消耗!$B$7:$F$7,AG987)/$Q$4,0),"")</f>
        <v>1</v>
      </c>
    </row>
    <row r="988" spans="27:41" ht="16.5" x14ac:dyDescent="0.2">
      <c r="AA988" s="104">
        <v>984</v>
      </c>
      <c r="AB988" s="14">
        <f t="shared" si="208"/>
        <v>19</v>
      </c>
      <c r="AC988" s="14">
        <f>INDEX(挂机升级突破!$BU$6:$BU$57,卡牌消耗!AI988)</f>
        <v>11</v>
      </c>
      <c r="AD988" s="14">
        <f>INDEX(挂机升级突破!BV$6:BV$57,卡牌消耗!$AI988)</f>
        <v>5</v>
      </c>
      <c r="AE988" s="14">
        <f>INDEX(挂机升级突破!BW$6:BW$57,卡牌消耗!$AI988)</f>
        <v>10</v>
      </c>
      <c r="AF988" s="14" t="str">
        <f t="shared" si="209"/>
        <v>食火蜥</v>
      </c>
      <c r="AG988" s="14">
        <f t="shared" si="210"/>
        <v>2</v>
      </c>
      <c r="AH988" s="14" t="str">
        <f t="shared" si="211"/>
        <v>食火蜥魂火-48</v>
      </c>
      <c r="AI988" s="14">
        <f t="shared" si="212"/>
        <v>48</v>
      </c>
      <c r="AJ988" s="14" t="str">
        <f>INDEX(挂机升级突破!$BX$4:$CH$4,INDEX(挂机升级突破!$BU$6:$BU$57,卡牌消耗!AI988))</f>
        <v>金币</v>
      </c>
      <c r="AK988" s="14">
        <f>ROUND(INDEX(挂机升级突破!$BN$6:$BN$57,卡牌消耗!AI988)*INDEX(卡牌消耗!$B$8:$F$8,AG988)/$Q$4/50,0)*50</f>
        <v>106350</v>
      </c>
      <c r="AL988" s="14" t="str">
        <f>IF(AD988&gt;0,INDEX(挂机升级突破!$BX$4:$CH$4,AD988),"")</f>
        <v>红色基础材料</v>
      </c>
      <c r="AM988" s="14">
        <f>ROUND(INDEX(挂机升级突破!$BX$6:$CH$57,卡牌消耗!AI988,AD988)*INDEX(卡牌消耗!$B$5:$F$5,AG988)/$Q$4/5,0)*5</f>
        <v>50</v>
      </c>
      <c r="AN988" s="14" t="str">
        <f>IF(AE988&gt;0,INDEX(挂机升级突破!$BX$4:$CH$4,AE988),"")</f>
        <v>灵玉</v>
      </c>
      <c r="AO988" s="14">
        <f>IF(AE988&gt;0,ROUND(INDEX(挂机升级突破!$BX$6:$CH$57,卡牌消耗!AI988,AE988)*INDEX(卡牌消耗!$B$7:$F$7,AG988)/$Q$4,0),"")</f>
        <v>1</v>
      </c>
    </row>
    <row r="989" spans="27:41" ht="16.5" x14ac:dyDescent="0.2">
      <c r="AA989" s="104">
        <v>985</v>
      </c>
      <c r="AB989" s="14">
        <f t="shared" si="208"/>
        <v>19</v>
      </c>
      <c r="AC989" s="14">
        <f>INDEX(挂机升级突破!$BU$6:$BU$57,卡牌消耗!AI989)</f>
        <v>11</v>
      </c>
      <c r="AD989" s="14">
        <f>INDEX(挂机升级突破!BV$6:BV$57,卡牌消耗!$AI989)</f>
        <v>5</v>
      </c>
      <c r="AE989" s="14">
        <f>INDEX(挂机升级突破!BW$6:BW$57,卡牌消耗!$AI989)</f>
        <v>10</v>
      </c>
      <c r="AF989" s="14" t="str">
        <f t="shared" si="209"/>
        <v>食火蜥</v>
      </c>
      <c r="AG989" s="14">
        <f t="shared" si="210"/>
        <v>2</v>
      </c>
      <c r="AH989" s="14" t="str">
        <f t="shared" si="211"/>
        <v>食火蜥魂火-49</v>
      </c>
      <c r="AI989" s="14">
        <f t="shared" si="212"/>
        <v>49</v>
      </c>
      <c r="AJ989" s="14" t="str">
        <f>INDEX(挂机升级突破!$BX$4:$CH$4,INDEX(挂机升级突破!$BU$6:$BU$57,卡牌消耗!AI989))</f>
        <v>金币</v>
      </c>
      <c r="AK989" s="14">
        <f>ROUND(INDEX(挂机升级突破!$BN$6:$BN$57,卡牌消耗!AI989)*INDEX(卡牌消耗!$B$8:$F$8,AG989)/$Q$4/50,0)*50</f>
        <v>106350</v>
      </c>
      <c r="AL989" s="14" t="str">
        <f>IF(AD989&gt;0,INDEX(挂机升级突破!$BX$4:$CH$4,AD989),"")</f>
        <v>红色基础材料</v>
      </c>
      <c r="AM989" s="14">
        <f>ROUND(INDEX(挂机升级突破!$BX$6:$CH$57,卡牌消耗!AI989,AD989)*INDEX(卡牌消耗!$B$5:$F$5,AG989)/$Q$4/5,0)*5</f>
        <v>55</v>
      </c>
      <c r="AN989" s="14" t="str">
        <f>IF(AE989&gt;0,INDEX(挂机升级突破!$BX$4:$CH$4,AE989),"")</f>
        <v>灵玉</v>
      </c>
      <c r="AO989" s="14">
        <f>IF(AE989&gt;0,ROUND(INDEX(挂机升级突破!$BX$6:$CH$57,卡牌消耗!AI989,AE989)*INDEX(卡牌消耗!$B$7:$F$7,AG989)/$Q$4,0),"")</f>
        <v>1</v>
      </c>
    </row>
    <row r="990" spans="27:41" ht="16.5" x14ac:dyDescent="0.2">
      <c r="AA990" s="104">
        <v>986</v>
      </c>
      <c r="AB990" s="14">
        <f t="shared" si="208"/>
        <v>19</v>
      </c>
      <c r="AC990" s="14">
        <f>INDEX(挂机升级突破!$BU$6:$BU$57,卡牌消耗!AI990)</f>
        <v>11</v>
      </c>
      <c r="AD990" s="14">
        <f>INDEX(挂机升级突破!BV$6:BV$57,卡牌消耗!$AI990)</f>
        <v>5</v>
      </c>
      <c r="AE990" s="14">
        <f>INDEX(挂机升级突破!BW$6:BW$57,卡牌消耗!$AI990)</f>
        <v>10</v>
      </c>
      <c r="AF990" s="14" t="str">
        <f t="shared" si="209"/>
        <v>食火蜥</v>
      </c>
      <c r="AG990" s="14">
        <f t="shared" si="210"/>
        <v>2</v>
      </c>
      <c r="AH990" s="14" t="str">
        <f t="shared" si="211"/>
        <v>食火蜥魂火-50</v>
      </c>
      <c r="AI990" s="14">
        <f t="shared" si="212"/>
        <v>50</v>
      </c>
      <c r="AJ990" s="14" t="str">
        <f>INDEX(挂机升级突破!$BX$4:$CH$4,INDEX(挂机升级突破!$BU$6:$BU$57,卡牌消耗!AI990))</f>
        <v>金币</v>
      </c>
      <c r="AK990" s="14">
        <f>ROUND(INDEX(挂机升级突破!$BN$6:$BN$57,卡牌消耗!AI990)*INDEX(卡牌消耗!$B$8:$F$8,AG990)/$Q$4/50,0)*50</f>
        <v>177300</v>
      </c>
      <c r="AL990" s="14" t="str">
        <f>IF(AD990&gt;0,INDEX(挂机升级突破!$BX$4:$CH$4,AD990),"")</f>
        <v>红色基础材料</v>
      </c>
      <c r="AM990" s="14">
        <f>ROUND(INDEX(挂机升级突破!$BX$6:$CH$57,卡牌消耗!AI990,AD990)*INDEX(卡牌消耗!$B$5:$F$5,AG990)/$Q$4/5,0)*5</f>
        <v>55</v>
      </c>
      <c r="AN990" s="14" t="str">
        <f>IF(AE990&gt;0,INDEX(挂机升级突破!$BX$4:$CH$4,AE990),"")</f>
        <v>灵玉</v>
      </c>
      <c r="AO990" s="14">
        <f>IF(AE990&gt;0,ROUND(INDEX(挂机升级突破!$BX$6:$CH$57,卡牌消耗!AI990,AE990)*INDEX(卡牌消耗!$B$7:$F$7,AG990)/$Q$4,0),"")</f>
        <v>1</v>
      </c>
    </row>
    <row r="991" spans="27:41" ht="16.5" x14ac:dyDescent="0.2">
      <c r="AA991" s="104">
        <v>987</v>
      </c>
      <c r="AB991" s="14">
        <f t="shared" si="208"/>
        <v>19</v>
      </c>
      <c r="AC991" s="14">
        <f>INDEX(挂机升级突破!$BU$6:$BU$57,卡牌消耗!AI991)</f>
        <v>11</v>
      </c>
      <c r="AD991" s="14">
        <f>INDEX(挂机升级突破!BV$6:BV$57,卡牌消耗!$AI991)</f>
        <v>5</v>
      </c>
      <c r="AE991" s="14">
        <f>INDEX(挂机升级突破!BW$6:BW$57,卡牌消耗!$AI991)</f>
        <v>10</v>
      </c>
      <c r="AF991" s="14" t="str">
        <f t="shared" si="209"/>
        <v>食火蜥</v>
      </c>
      <c r="AG991" s="14">
        <f t="shared" si="210"/>
        <v>2</v>
      </c>
      <c r="AH991" s="14" t="str">
        <f t="shared" si="211"/>
        <v>食火蜥魂火-51</v>
      </c>
      <c r="AI991" s="14">
        <f t="shared" si="212"/>
        <v>51</v>
      </c>
      <c r="AJ991" s="14" t="str">
        <f>INDEX(挂机升级突破!$BX$4:$CH$4,INDEX(挂机升级突破!$BU$6:$BU$57,卡牌消耗!AI991))</f>
        <v>金币</v>
      </c>
      <c r="AK991" s="14">
        <f>ROUND(INDEX(挂机升级突破!$BN$6:$BN$57,卡牌消耗!AI991)*INDEX(卡牌消耗!$B$8:$F$8,AG991)/$Q$4/50,0)*50</f>
        <v>195000</v>
      </c>
      <c r="AL991" s="14" t="str">
        <f>IF(AD991&gt;0,INDEX(挂机升级突破!$BX$4:$CH$4,AD991),"")</f>
        <v>红色基础材料</v>
      </c>
      <c r="AM991" s="14">
        <f>ROUND(INDEX(挂机升级突破!$BX$6:$CH$57,卡牌消耗!AI991,AD991)*INDEX(卡牌消耗!$B$5:$F$5,AG991)/$Q$4/5,0)*5</f>
        <v>55</v>
      </c>
      <c r="AN991" s="14" t="str">
        <f>IF(AE991&gt;0,INDEX(挂机升级突破!$BX$4:$CH$4,AE991),"")</f>
        <v>灵玉</v>
      </c>
      <c r="AO991" s="14">
        <f>IF(AE991&gt;0,ROUND(INDEX(挂机升级突破!$BX$6:$CH$57,卡牌消耗!AI991,AE991)*INDEX(卡牌消耗!$B$7:$F$7,AG991)/$Q$4,0),"")</f>
        <v>1</v>
      </c>
    </row>
    <row r="992" spans="27:41" ht="16.5" x14ac:dyDescent="0.2">
      <c r="AA992" s="104">
        <v>988</v>
      </c>
      <c r="AB992" s="14">
        <f t="shared" si="208"/>
        <v>19</v>
      </c>
      <c r="AC992" s="14">
        <f>INDEX(挂机升级突破!$BU$6:$BU$57,卡牌消耗!AI992)</f>
        <v>11</v>
      </c>
      <c r="AD992" s="14">
        <f>INDEX(挂机升级突破!BV$6:BV$57,卡牌消耗!$AI992)</f>
        <v>5</v>
      </c>
      <c r="AE992" s="14">
        <f>INDEX(挂机升级突破!BW$6:BW$57,卡牌消耗!$AI992)</f>
        <v>10</v>
      </c>
      <c r="AF992" s="14" t="str">
        <f t="shared" si="209"/>
        <v>食火蜥</v>
      </c>
      <c r="AG992" s="14">
        <f t="shared" si="210"/>
        <v>2</v>
      </c>
      <c r="AH992" s="14" t="str">
        <f t="shared" si="211"/>
        <v>食火蜥魂火-52</v>
      </c>
      <c r="AI992" s="14">
        <f t="shared" si="212"/>
        <v>52</v>
      </c>
      <c r="AJ992" s="14" t="str">
        <f>INDEX(挂机升级突破!$BX$4:$CH$4,INDEX(挂机升级突破!$BU$6:$BU$57,卡牌消耗!AI992))</f>
        <v>金币</v>
      </c>
      <c r="AK992" s="14">
        <f>ROUND(INDEX(挂机升级突破!$BN$6:$BN$57,卡牌消耗!AI992)*INDEX(卡牌消耗!$B$8:$F$8,AG992)/$Q$4/50,0)*50</f>
        <v>195000</v>
      </c>
      <c r="AL992" s="14" t="str">
        <f>IF(AD992&gt;0,INDEX(挂机升级突破!$BX$4:$CH$4,AD992),"")</f>
        <v>红色基础材料</v>
      </c>
      <c r="AM992" s="14">
        <f>ROUND(INDEX(挂机升级突破!$BX$6:$CH$57,卡牌消耗!AI992,AD992)*INDEX(卡牌消耗!$B$5:$F$5,AG992)/$Q$4/5,0)*5</f>
        <v>55</v>
      </c>
      <c r="AN992" s="14" t="str">
        <f>IF(AE992&gt;0,INDEX(挂机升级突破!$BX$4:$CH$4,AE992),"")</f>
        <v>灵玉</v>
      </c>
      <c r="AO992" s="14">
        <f>IF(AE992&gt;0,ROUND(INDEX(挂机升级突破!$BX$6:$CH$57,卡牌消耗!AI992,AE992)*INDEX(卡牌消耗!$B$7:$F$7,AG992)/$Q$4,0),"")</f>
        <v>1</v>
      </c>
    </row>
    <row r="993" spans="27:41" ht="16.5" x14ac:dyDescent="0.2">
      <c r="AA993" s="104">
        <v>989</v>
      </c>
      <c r="AB993" s="14">
        <f t="shared" si="208"/>
        <v>20</v>
      </c>
      <c r="AC993" s="14">
        <f>INDEX(挂机升级突破!$BU$6:$BU$57,卡牌消耗!AI993)</f>
        <v>11</v>
      </c>
      <c r="AD993" s="14">
        <f>INDEX(挂机升级突破!BV$6:BV$57,卡牌消耗!$AI993)</f>
        <v>1</v>
      </c>
      <c r="AE993" s="14">
        <f>INDEX(挂机升级突破!BW$6:BW$57,卡牌消耗!$AI993)</f>
        <v>0</v>
      </c>
      <c r="AF993" s="14" t="str">
        <f t="shared" si="209"/>
        <v>高顺</v>
      </c>
      <c r="AG993" s="14">
        <f t="shared" si="210"/>
        <v>3</v>
      </c>
      <c r="AH993" s="14" t="str">
        <f t="shared" si="211"/>
        <v>高顺魂火-1</v>
      </c>
      <c r="AI993" s="14">
        <f t="shared" si="212"/>
        <v>1</v>
      </c>
      <c r="AJ993" s="14" t="str">
        <f>INDEX(挂机升级突破!$BX$4:$CH$4,INDEX(挂机升级突破!$BU$6:$BU$57,卡牌消耗!AI993))</f>
        <v>金币</v>
      </c>
      <c r="AK993" s="14">
        <f>ROUND(INDEX(挂机升级突破!$BN$6:$BN$57,卡牌消耗!AI993)*INDEX(卡牌消耗!$B$8:$F$8,AG993)/$Q$4/50,0)*50</f>
        <v>600</v>
      </c>
      <c r="AL993" s="14" t="str">
        <f>IF(AD993&gt;0,INDEX(挂机升级突破!$BX$4:$CH$4,AD993),"")</f>
        <v>绿色基础材料</v>
      </c>
      <c r="AM993" s="14">
        <f>ROUND(INDEX(挂机升级突破!$BX$6:$CH$57,卡牌消耗!AI993,AD993)*INDEX(卡牌消耗!$B$5:$F$5,AG993)/$Q$4/5,0)*5</f>
        <v>835</v>
      </c>
      <c r="AN993" s="14" t="str">
        <f>IF(AE993&gt;0,INDEX(挂机升级突破!$BX$4:$CH$4,AE993),"")</f>
        <v/>
      </c>
      <c r="AO993" s="14" t="str">
        <f>IF(AE993&gt;0,ROUND(INDEX(挂机升级突破!$BX$6:$CH$57,卡牌消耗!AI993,AE993)*INDEX(卡牌消耗!$B$7:$F$7,AG993)/$Q$4,0),"")</f>
        <v/>
      </c>
    </row>
    <row r="994" spans="27:41" ht="16.5" x14ac:dyDescent="0.2">
      <c r="AA994" s="104">
        <v>990</v>
      </c>
      <c r="AB994" s="14">
        <f t="shared" si="208"/>
        <v>20</v>
      </c>
      <c r="AC994" s="14">
        <f>INDEX(挂机升级突破!$BU$6:$BU$57,卡牌消耗!AI994)</f>
        <v>11</v>
      </c>
      <c r="AD994" s="14">
        <f>INDEX(挂机升级突破!BV$6:BV$57,卡牌消耗!$AI994)</f>
        <v>1</v>
      </c>
      <c r="AE994" s="14">
        <f>INDEX(挂机升级突破!BW$6:BW$57,卡牌消耗!$AI994)</f>
        <v>0</v>
      </c>
      <c r="AF994" s="14" t="str">
        <f t="shared" si="209"/>
        <v>高顺</v>
      </c>
      <c r="AG994" s="14">
        <f t="shared" si="210"/>
        <v>3</v>
      </c>
      <c r="AH994" s="14" t="str">
        <f t="shared" si="211"/>
        <v>高顺魂火-2</v>
      </c>
      <c r="AI994" s="14">
        <f t="shared" si="212"/>
        <v>2</v>
      </c>
      <c r="AJ994" s="14" t="str">
        <f>INDEX(挂机升级突破!$BX$4:$CH$4,INDEX(挂机升级突破!$BU$6:$BU$57,卡牌消耗!AI994))</f>
        <v>金币</v>
      </c>
      <c r="AK994" s="14">
        <f>ROUND(INDEX(挂机升级突破!$BN$6:$BN$57,卡牌消耗!AI994)*INDEX(卡牌消耗!$B$8:$F$8,AG994)/$Q$4/50,0)*50</f>
        <v>800</v>
      </c>
      <c r="AL994" s="14" t="str">
        <f>IF(AD994&gt;0,INDEX(挂机升级突破!$BX$4:$CH$4,AD994),"")</f>
        <v>绿色基础材料</v>
      </c>
      <c r="AM994" s="14">
        <f>ROUND(INDEX(挂机升级突破!$BX$6:$CH$57,卡牌消耗!AI994,AD994)*INDEX(卡牌消耗!$B$5:$F$5,AG994)/$Q$4/5,0)*5</f>
        <v>2505</v>
      </c>
      <c r="AN994" s="14" t="str">
        <f>IF(AE994&gt;0,INDEX(挂机升级突破!$BX$4:$CH$4,AE994),"")</f>
        <v/>
      </c>
      <c r="AO994" s="14" t="str">
        <f>IF(AE994&gt;0,ROUND(INDEX(挂机升级突破!$BX$6:$CH$57,卡牌消耗!AI994,AE994)*INDEX(卡牌消耗!$B$7:$F$7,AG994)/$Q$4,0),"")</f>
        <v/>
      </c>
    </row>
    <row r="995" spans="27:41" ht="16.5" x14ac:dyDescent="0.2">
      <c r="AA995" s="104">
        <v>991</v>
      </c>
      <c r="AB995" s="14">
        <f t="shared" si="208"/>
        <v>20</v>
      </c>
      <c r="AC995" s="14">
        <f>INDEX(挂机升级突破!$BU$6:$BU$57,卡牌消耗!AI995)</f>
        <v>11</v>
      </c>
      <c r="AD995" s="14">
        <f>INDEX(挂机升级突破!BV$6:BV$57,卡牌消耗!$AI995)</f>
        <v>1</v>
      </c>
      <c r="AE995" s="14">
        <f>INDEX(挂机升级突破!BW$6:BW$57,卡牌消耗!$AI995)</f>
        <v>0</v>
      </c>
      <c r="AF995" s="14" t="str">
        <f t="shared" si="209"/>
        <v>高顺</v>
      </c>
      <c r="AG995" s="14">
        <f t="shared" si="210"/>
        <v>3</v>
      </c>
      <c r="AH995" s="14" t="str">
        <f t="shared" si="211"/>
        <v>高顺魂火-3</v>
      </c>
      <c r="AI995" s="14">
        <f t="shared" si="212"/>
        <v>3</v>
      </c>
      <c r="AJ995" s="14" t="str">
        <f>INDEX(挂机升级突破!$BX$4:$CH$4,INDEX(挂机升级突破!$BU$6:$BU$57,卡牌消耗!AI995))</f>
        <v>金币</v>
      </c>
      <c r="AK995" s="14">
        <f>ROUND(INDEX(挂机升级突破!$BN$6:$BN$57,卡牌消耗!AI995)*INDEX(卡牌消耗!$B$8:$F$8,AG995)/$Q$4/50,0)*50</f>
        <v>800</v>
      </c>
      <c r="AL995" s="14" t="str">
        <f>IF(AD995&gt;0,INDEX(挂机升级突破!$BX$4:$CH$4,AD995),"")</f>
        <v>绿色基础材料</v>
      </c>
      <c r="AM995" s="14">
        <f>ROUND(INDEX(挂机升级突破!$BX$6:$CH$57,卡牌消耗!AI995,AD995)*INDEX(卡牌消耗!$B$5:$F$5,AG995)/$Q$4/5,0)*5</f>
        <v>3335</v>
      </c>
      <c r="AN995" s="14" t="str">
        <f>IF(AE995&gt;0,INDEX(挂机升级突破!$BX$4:$CH$4,AE995),"")</f>
        <v/>
      </c>
      <c r="AO995" s="14" t="str">
        <f>IF(AE995&gt;0,ROUND(INDEX(挂机升级突破!$BX$6:$CH$57,卡牌消耗!AI995,AE995)*INDEX(卡牌消耗!$B$7:$F$7,AG995)/$Q$4,0),"")</f>
        <v/>
      </c>
    </row>
    <row r="996" spans="27:41" ht="16.5" x14ac:dyDescent="0.2">
      <c r="AA996" s="104">
        <v>992</v>
      </c>
      <c r="AB996" s="14">
        <f t="shared" si="208"/>
        <v>20</v>
      </c>
      <c r="AC996" s="14">
        <f>INDEX(挂机升级突破!$BU$6:$BU$57,卡牌消耗!AI996)</f>
        <v>11</v>
      </c>
      <c r="AD996" s="14">
        <f>INDEX(挂机升级突破!BV$6:BV$57,卡牌消耗!$AI996)</f>
        <v>1</v>
      </c>
      <c r="AE996" s="14">
        <f>INDEX(挂机升级突破!BW$6:BW$57,卡牌消耗!$AI996)</f>
        <v>0</v>
      </c>
      <c r="AF996" s="14" t="str">
        <f t="shared" si="209"/>
        <v>高顺</v>
      </c>
      <c r="AG996" s="14">
        <f t="shared" si="210"/>
        <v>3</v>
      </c>
      <c r="AH996" s="14" t="str">
        <f t="shared" si="211"/>
        <v>高顺魂火-4</v>
      </c>
      <c r="AI996" s="14">
        <f t="shared" si="212"/>
        <v>4</v>
      </c>
      <c r="AJ996" s="14" t="str">
        <f>INDEX(挂机升级突破!$BX$4:$CH$4,INDEX(挂机升级突破!$BU$6:$BU$57,卡牌消耗!AI996))</f>
        <v>金币</v>
      </c>
      <c r="AK996" s="14">
        <f>ROUND(INDEX(挂机升级突破!$BN$6:$BN$57,卡牌消耗!AI996)*INDEX(卡牌消耗!$B$8:$F$8,AG996)/$Q$4/50,0)*50</f>
        <v>800</v>
      </c>
      <c r="AL996" s="14" t="str">
        <f>IF(AD996&gt;0,INDEX(挂机升级突破!$BX$4:$CH$4,AD996),"")</f>
        <v>绿色基础材料</v>
      </c>
      <c r="AM996" s="14">
        <f>ROUND(INDEX(挂机升级突破!$BX$6:$CH$57,卡牌消耗!AI996,AD996)*INDEX(卡牌消耗!$B$5:$F$5,AG996)/$Q$4/5,0)*5</f>
        <v>5005</v>
      </c>
      <c r="AN996" s="14" t="str">
        <f>IF(AE996&gt;0,INDEX(挂机升级突破!$BX$4:$CH$4,AE996),"")</f>
        <v/>
      </c>
      <c r="AO996" s="14" t="str">
        <f>IF(AE996&gt;0,ROUND(INDEX(挂机升级突破!$BX$6:$CH$57,卡牌消耗!AI996,AE996)*INDEX(卡牌消耗!$B$7:$F$7,AG996)/$Q$4,0),"")</f>
        <v/>
      </c>
    </row>
    <row r="997" spans="27:41" ht="16.5" x14ac:dyDescent="0.2">
      <c r="AA997" s="104">
        <v>993</v>
      </c>
      <c r="AB997" s="14">
        <f t="shared" si="208"/>
        <v>20</v>
      </c>
      <c r="AC997" s="14">
        <f>INDEX(挂机升级突破!$BU$6:$BU$57,卡牌消耗!AI997)</f>
        <v>11</v>
      </c>
      <c r="AD997" s="14">
        <f>INDEX(挂机升级突破!BV$6:BV$57,卡牌消耗!$AI997)</f>
        <v>1</v>
      </c>
      <c r="AE997" s="14">
        <f>INDEX(挂机升级突破!BW$6:BW$57,卡牌消耗!$AI997)</f>
        <v>0</v>
      </c>
      <c r="AF997" s="14" t="str">
        <f t="shared" si="209"/>
        <v>高顺</v>
      </c>
      <c r="AG997" s="14">
        <f t="shared" si="210"/>
        <v>3</v>
      </c>
      <c r="AH997" s="14" t="str">
        <f t="shared" si="211"/>
        <v>高顺魂火-5</v>
      </c>
      <c r="AI997" s="14">
        <f t="shared" si="212"/>
        <v>5</v>
      </c>
      <c r="AJ997" s="14" t="str">
        <f>INDEX(挂机升级突破!$BX$4:$CH$4,INDEX(挂机升级突破!$BU$6:$BU$57,卡牌消耗!AI997))</f>
        <v>金币</v>
      </c>
      <c r="AK997" s="14">
        <f>ROUND(INDEX(挂机升级突破!$BN$6:$BN$57,卡牌消耗!AI997)*INDEX(卡牌消耗!$B$8:$F$8,AG997)/$Q$4/50,0)*50</f>
        <v>800</v>
      </c>
      <c r="AL997" s="14" t="str">
        <f>IF(AD997&gt;0,INDEX(挂机升级突破!$BX$4:$CH$4,AD997),"")</f>
        <v>绿色基础材料</v>
      </c>
      <c r="AM997" s="14">
        <f>ROUND(INDEX(挂机升级突破!$BX$6:$CH$57,卡牌消耗!AI997,AD997)*INDEX(卡牌消耗!$B$5:$F$5,AG997)/$Q$4/5,0)*5</f>
        <v>5005</v>
      </c>
      <c r="AN997" s="14" t="str">
        <f>IF(AE997&gt;0,INDEX(挂机升级突破!$BX$4:$CH$4,AE997),"")</f>
        <v/>
      </c>
      <c r="AO997" s="14" t="str">
        <f>IF(AE997&gt;0,ROUND(INDEX(挂机升级突破!$BX$6:$CH$57,卡牌消耗!AI997,AE997)*INDEX(卡牌消耗!$B$7:$F$7,AG997)/$Q$4,0),"")</f>
        <v/>
      </c>
    </row>
    <row r="998" spans="27:41" ht="16.5" x14ac:dyDescent="0.2">
      <c r="AA998" s="104">
        <v>994</v>
      </c>
      <c r="AB998" s="14">
        <f t="shared" si="208"/>
        <v>20</v>
      </c>
      <c r="AC998" s="14">
        <f>INDEX(挂机升级突破!$BU$6:$BU$57,卡牌消耗!AI998)</f>
        <v>11</v>
      </c>
      <c r="AD998" s="14">
        <f>INDEX(挂机升级突破!BV$6:BV$57,卡牌消耗!$AI998)</f>
        <v>2</v>
      </c>
      <c r="AE998" s="14">
        <f>INDEX(挂机升级突破!BW$6:BW$57,卡牌消耗!$AI998)</f>
        <v>0</v>
      </c>
      <c r="AF998" s="14" t="str">
        <f t="shared" si="209"/>
        <v>高顺</v>
      </c>
      <c r="AG998" s="14">
        <f t="shared" si="210"/>
        <v>3</v>
      </c>
      <c r="AH998" s="14" t="str">
        <f t="shared" si="211"/>
        <v>高顺魂火-6</v>
      </c>
      <c r="AI998" s="14">
        <f t="shared" si="212"/>
        <v>6</v>
      </c>
      <c r="AJ998" s="14" t="str">
        <f>INDEX(挂机升级突破!$BX$4:$CH$4,INDEX(挂机升级突破!$BU$6:$BU$57,卡牌消耗!AI998))</f>
        <v>金币</v>
      </c>
      <c r="AK998" s="14">
        <f>ROUND(INDEX(挂机升级突破!$BN$6:$BN$57,卡牌消耗!AI998)*INDEX(卡牌消耗!$B$8:$F$8,AG998)/$Q$4/50,0)*50</f>
        <v>1000</v>
      </c>
      <c r="AL998" s="14" t="str">
        <f>IF(AD998&gt;0,INDEX(挂机升级突破!$BX$4:$CH$4,AD998),"")</f>
        <v>蓝色基础材料</v>
      </c>
      <c r="AM998" s="14">
        <f>ROUND(INDEX(挂机升级突破!$BX$6:$CH$57,卡牌消耗!AI998,AD998)*INDEX(卡牌消耗!$B$5:$F$5,AG998)/$Q$4/5,0)*5</f>
        <v>480</v>
      </c>
      <c r="AN998" s="14" t="str">
        <f>IF(AE998&gt;0,INDEX(挂机升级突破!$BX$4:$CH$4,AE998),"")</f>
        <v/>
      </c>
      <c r="AO998" s="14" t="str">
        <f>IF(AE998&gt;0,ROUND(INDEX(挂机升级突破!$BX$6:$CH$57,卡牌消耗!AI998,AE998)*INDEX(卡牌消耗!$B$7:$F$7,AG998)/$Q$4,0),"")</f>
        <v/>
      </c>
    </row>
    <row r="999" spans="27:41" ht="16.5" x14ac:dyDescent="0.2">
      <c r="AA999" s="104">
        <v>995</v>
      </c>
      <c r="AB999" s="14">
        <f t="shared" si="208"/>
        <v>20</v>
      </c>
      <c r="AC999" s="14">
        <f>INDEX(挂机升级突破!$BU$6:$BU$57,卡牌消耗!AI999)</f>
        <v>11</v>
      </c>
      <c r="AD999" s="14">
        <f>INDEX(挂机升级突破!BV$6:BV$57,卡牌消耗!$AI999)</f>
        <v>2</v>
      </c>
      <c r="AE999" s="14">
        <f>INDEX(挂机升级突破!BW$6:BW$57,卡牌消耗!$AI999)</f>
        <v>0</v>
      </c>
      <c r="AF999" s="14" t="str">
        <f t="shared" si="209"/>
        <v>高顺</v>
      </c>
      <c r="AG999" s="14">
        <f t="shared" si="210"/>
        <v>3</v>
      </c>
      <c r="AH999" s="14" t="str">
        <f t="shared" si="211"/>
        <v>高顺魂火-7</v>
      </c>
      <c r="AI999" s="14">
        <f t="shared" si="212"/>
        <v>7</v>
      </c>
      <c r="AJ999" s="14" t="str">
        <f>INDEX(挂机升级突破!$BX$4:$CH$4,INDEX(挂机升级突破!$BU$6:$BU$57,卡牌消耗!AI999))</f>
        <v>金币</v>
      </c>
      <c r="AK999" s="14">
        <f>ROUND(INDEX(挂机升级突破!$BN$6:$BN$57,卡牌消耗!AI999)*INDEX(卡牌消耗!$B$8:$F$8,AG999)/$Q$4/50,0)*50</f>
        <v>1000</v>
      </c>
      <c r="AL999" s="14" t="str">
        <f>IF(AD999&gt;0,INDEX(挂机升级突破!$BX$4:$CH$4,AD999),"")</f>
        <v>蓝色基础材料</v>
      </c>
      <c r="AM999" s="14">
        <f>ROUND(INDEX(挂机升级突破!$BX$6:$CH$57,卡牌消耗!AI999,AD999)*INDEX(卡牌消耗!$B$5:$F$5,AG999)/$Q$4/5,0)*5</f>
        <v>480</v>
      </c>
      <c r="AN999" s="14" t="str">
        <f>IF(AE999&gt;0,INDEX(挂机升级突破!$BX$4:$CH$4,AE999),"")</f>
        <v/>
      </c>
      <c r="AO999" s="14" t="str">
        <f>IF(AE999&gt;0,ROUND(INDEX(挂机升级突破!$BX$6:$CH$57,卡牌消耗!AI999,AE999)*INDEX(卡牌消耗!$B$7:$F$7,AG999)/$Q$4,0),"")</f>
        <v/>
      </c>
    </row>
    <row r="1000" spans="27:41" ht="16.5" x14ac:dyDescent="0.2">
      <c r="AA1000" s="104">
        <v>996</v>
      </c>
      <c r="AB1000" s="14">
        <f t="shared" si="208"/>
        <v>20</v>
      </c>
      <c r="AC1000" s="14">
        <f>INDEX(挂机升级突破!$BU$6:$BU$57,卡牌消耗!AI1000)</f>
        <v>11</v>
      </c>
      <c r="AD1000" s="14">
        <f>INDEX(挂机升级突破!BV$6:BV$57,卡牌消耗!$AI1000)</f>
        <v>2</v>
      </c>
      <c r="AE1000" s="14">
        <f>INDEX(挂机升级突破!BW$6:BW$57,卡牌消耗!$AI1000)</f>
        <v>0</v>
      </c>
      <c r="AF1000" s="14" t="str">
        <f t="shared" si="209"/>
        <v>高顺</v>
      </c>
      <c r="AG1000" s="14">
        <f t="shared" si="210"/>
        <v>3</v>
      </c>
      <c r="AH1000" s="14" t="str">
        <f t="shared" si="211"/>
        <v>高顺魂火-8</v>
      </c>
      <c r="AI1000" s="14">
        <f t="shared" si="212"/>
        <v>8</v>
      </c>
      <c r="AJ1000" s="14" t="str">
        <f>INDEX(挂机升级突破!$BX$4:$CH$4,INDEX(挂机升级突破!$BU$6:$BU$57,卡牌消耗!AI1000))</f>
        <v>金币</v>
      </c>
      <c r="AK1000" s="14">
        <f>ROUND(INDEX(挂机升级突破!$BN$6:$BN$57,卡牌消耗!AI1000)*INDEX(卡牌消耗!$B$8:$F$8,AG1000)/$Q$4/50,0)*50</f>
        <v>1500</v>
      </c>
      <c r="AL1000" s="14" t="str">
        <f>IF(AD1000&gt;0,INDEX(挂机升级突破!$BX$4:$CH$4,AD1000),"")</f>
        <v>蓝色基础材料</v>
      </c>
      <c r="AM1000" s="14">
        <f>ROUND(INDEX(挂机升级突破!$BX$6:$CH$57,卡牌消耗!AI1000,AD1000)*INDEX(卡牌消耗!$B$5:$F$5,AG1000)/$Q$4/5,0)*5</f>
        <v>960</v>
      </c>
      <c r="AN1000" s="14" t="str">
        <f>IF(AE1000&gt;0,INDEX(挂机升级突破!$BX$4:$CH$4,AE1000),"")</f>
        <v/>
      </c>
      <c r="AO1000" s="14" t="str">
        <f>IF(AE1000&gt;0,ROUND(INDEX(挂机升级突破!$BX$6:$CH$57,卡牌消耗!AI1000,AE1000)*INDEX(卡牌消耗!$B$7:$F$7,AG1000)/$Q$4,0),"")</f>
        <v/>
      </c>
    </row>
    <row r="1001" spans="27:41" ht="16.5" x14ac:dyDescent="0.2">
      <c r="AA1001" s="104">
        <v>997</v>
      </c>
      <c r="AB1001" s="14">
        <f t="shared" si="208"/>
        <v>20</v>
      </c>
      <c r="AC1001" s="14">
        <f>INDEX(挂机升级突破!$BU$6:$BU$57,卡牌消耗!AI1001)</f>
        <v>11</v>
      </c>
      <c r="AD1001" s="14">
        <f>INDEX(挂机升级突破!BV$6:BV$57,卡牌消耗!$AI1001)</f>
        <v>2</v>
      </c>
      <c r="AE1001" s="14">
        <f>INDEX(挂机升级突破!BW$6:BW$57,卡牌消耗!$AI1001)</f>
        <v>0</v>
      </c>
      <c r="AF1001" s="14" t="str">
        <f t="shared" si="209"/>
        <v>高顺</v>
      </c>
      <c r="AG1001" s="14">
        <f t="shared" si="210"/>
        <v>3</v>
      </c>
      <c r="AH1001" s="14" t="str">
        <f t="shared" si="211"/>
        <v>高顺魂火-9</v>
      </c>
      <c r="AI1001" s="14">
        <f t="shared" si="212"/>
        <v>9</v>
      </c>
      <c r="AJ1001" s="14" t="str">
        <f>INDEX(挂机升级突破!$BX$4:$CH$4,INDEX(挂机升级突破!$BU$6:$BU$57,卡牌消耗!AI1001))</f>
        <v>金币</v>
      </c>
      <c r="AK1001" s="14">
        <f>ROUND(INDEX(挂机升级突破!$BN$6:$BN$57,卡牌消耗!AI1001)*INDEX(卡牌消耗!$B$8:$F$8,AG1001)/$Q$4/50,0)*50</f>
        <v>1500</v>
      </c>
      <c r="AL1001" s="14" t="str">
        <f>IF(AD1001&gt;0,INDEX(挂机升级突破!$BX$4:$CH$4,AD1001),"")</f>
        <v>蓝色基础材料</v>
      </c>
      <c r="AM1001" s="14">
        <f>ROUND(INDEX(挂机升级突破!$BX$6:$CH$57,卡牌消耗!AI1001,AD1001)*INDEX(卡牌消耗!$B$5:$F$5,AG1001)/$Q$4/5,0)*5</f>
        <v>960</v>
      </c>
      <c r="AN1001" s="14" t="str">
        <f>IF(AE1001&gt;0,INDEX(挂机升级突破!$BX$4:$CH$4,AE1001),"")</f>
        <v/>
      </c>
      <c r="AO1001" s="14" t="str">
        <f>IF(AE1001&gt;0,ROUND(INDEX(挂机升级突破!$BX$6:$CH$57,卡牌消耗!AI1001,AE1001)*INDEX(卡牌消耗!$B$7:$F$7,AG1001)/$Q$4,0),"")</f>
        <v/>
      </c>
    </row>
    <row r="1002" spans="27:41" ht="16.5" x14ac:dyDescent="0.2">
      <c r="AA1002" s="104">
        <v>998</v>
      </c>
      <c r="AB1002" s="14">
        <f t="shared" si="208"/>
        <v>20</v>
      </c>
      <c r="AC1002" s="14">
        <f>INDEX(挂机升级突破!$BU$6:$BU$57,卡牌消耗!AI1002)</f>
        <v>11</v>
      </c>
      <c r="AD1002" s="14">
        <f>INDEX(挂机升级突破!BV$6:BV$57,卡牌消耗!$AI1002)</f>
        <v>2</v>
      </c>
      <c r="AE1002" s="14">
        <f>INDEX(挂机升级突破!BW$6:BW$57,卡牌消耗!$AI1002)</f>
        <v>0</v>
      </c>
      <c r="AF1002" s="14" t="str">
        <f t="shared" si="209"/>
        <v>高顺</v>
      </c>
      <c r="AG1002" s="14">
        <f t="shared" si="210"/>
        <v>3</v>
      </c>
      <c r="AH1002" s="14" t="str">
        <f t="shared" si="211"/>
        <v>高顺魂火-10</v>
      </c>
      <c r="AI1002" s="14">
        <f t="shared" si="212"/>
        <v>10</v>
      </c>
      <c r="AJ1002" s="14" t="str">
        <f>INDEX(挂机升级突破!$BX$4:$CH$4,INDEX(挂机升级突破!$BU$6:$BU$57,卡牌消耗!AI1002))</f>
        <v>金币</v>
      </c>
      <c r="AK1002" s="14">
        <f>ROUND(INDEX(挂机升级突破!$BN$6:$BN$57,卡牌消耗!AI1002)*INDEX(卡牌消耗!$B$8:$F$8,AG1002)/$Q$4/50,0)*50</f>
        <v>2450</v>
      </c>
      <c r="AL1002" s="14" t="str">
        <f>IF(AD1002&gt;0,INDEX(挂机升级突破!$BX$4:$CH$4,AD1002),"")</f>
        <v>蓝色基础材料</v>
      </c>
      <c r="AM1002" s="14">
        <f>ROUND(INDEX(挂机升级突破!$BX$6:$CH$57,卡牌消耗!AI1002,AD1002)*INDEX(卡牌消耗!$B$5:$F$5,AG1002)/$Q$4/5,0)*5</f>
        <v>1440</v>
      </c>
      <c r="AN1002" s="14" t="str">
        <f>IF(AE1002&gt;0,INDEX(挂机升级突破!$BX$4:$CH$4,AE1002),"")</f>
        <v/>
      </c>
      <c r="AO1002" s="14" t="str">
        <f>IF(AE1002&gt;0,ROUND(INDEX(挂机升级突破!$BX$6:$CH$57,卡牌消耗!AI1002,AE1002)*INDEX(卡牌消耗!$B$7:$F$7,AG1002)/$Q$4,0),"")</f>
        <v/>
      </c>
    </row>
    <row r="1003" spans="27:41" ht="16.5" x14ac:dyDescent="0.2">
      <c r="AA1003" s="104">
        <v>999</v>
      </c>
      <c r="AB1003" s="14">
        <f t="shared" si="208"/>
        <v>20</v>
      </c>
      <c r="AC1003" s="14">
        <f>INDEX(挂机升级突破!$BU$6:$BU$57,卡牌消耗!AI1003)</f>
        <v>11</v>
      </c>
      <c r="AD1003" s="14">
        <f>INDEX(挂机升级突破!BV$6:BV$57,卡牌消耗!$AI1003)</f>
        <v>2</v>
      </c>
      <c r="AE1003" s="14">
        <f>INDEX(挂机升级突破!BW$6:BW$57,卡牌消耗!$AI1003)</f>
        <v>0</v>
      </c>
      <c r="AF1003" s="14" t="str">
        <f t="shared" si="209"/>
        <v>高顺</v>
      </c>
      <c r="AG1003" s="14">
        <f t="shared" si="210"/>
        <v>3</v>
      </c>
      <c r="AH1003" s="14" t="str">
        <f t="shared" si="211"/>
        <v>高顺魂火-11</v>
      </c>
      <c r="AI1003" s="14">
        <f t="shared" si="212"/>
        <v>11</v>
      </c>
      <c r="AJ1003" s="14" t="str">
        <f>INDEX(挂机升级突破!$BX$4:$CH$4,INDEX(挂机升级突破!$BU$6:$BU$57,卡牌消耗!AI1003))</f>
        <v>金币</v>
      </c>
      <c r="AK1003" s="14">
        <f>ROUND(INDEX(挂机升级突破!$BN$6:$BN$57,卡牌消耗!AI1003)*INDEX(卡牌消耗!$B$8:$F$8,AG1003)/$Q$4/50,0)*50</f>
        <v>2450</v>
      </c>
      <c r="AL1003" s="14" t="str">
        <f>IF(AD1003&gt;0,INDEX(挂机升级突破!$BX$4:$CH$4,AD1003),"")</f>
        <v>蓝色基础材料</v>
      </c>
      <c r="AM1003" s="14">
        <f>ROUND(INDEX(挂机升级突破!$BX$6:$CH$57,卡牌消耗!AI1003,AD1003)*INDEX(卡牌消耗!$B$5:$F$5,AG1003)/$Q$4/5,0)*5</f>
        <v>1440</v>
      </c>
      <c r="AN1003" s="14" t="str">
        <f>IF(AE1003&gt;0,INDEX(挂机升级突破!$BX$4:$CH$4,AE1003),"")</f>
        <v/>
      </c>
      <c r="AO1003" s="14" t="str">
        <f>IF(AE1003&gt;0,ROUND(INDEX(挂机升级突破!$BX$6:$CH$57,卡牌消耗!AI1003,AE1003)*INDEX(卡牌消耗!$B$7:$F$7,AG1003)/$Q$4,0),"")</f>
        <v/>
      </c>
    </row>
    <row r="1004" spans="27:41" ht="16.5" x14ac:dyDescent="0.2">
      <c r="AA1004" s="104">
        <v>1000</v>
      </c>
      <c r="AB1004" s="14">
        <f t="shared" si="208"/>
        <v>20</v>
      </c>
      <c r="AC1004" s="14">
        <f>INDEX(挂机升级突破!$BU$6:$BU$57,卡牌消耗!AI1004)</f>
        <v>11</v>
      </c>
      <c r="AD1004" s="14">
        <f>INDEX(挂机升级突破!BV$6:BV$57,卡牌消耗!$AI1004)</f>
        <v>2</v>
      </c>
      <c r="AE1004" s="14">
        <f>INDEX(挂机升级突破!BW$6:BW$57,卡牌消耗!$AI1004)</f>
        <v>0</v>
      </c>
      <c r="AF1004" s="14" t="str">
        <f t="shared" si="209"/>
        <v>高顺</v>
      </c>
      <c r="AG1004" s="14">
        <f t="shared" si="210"/>
        <v>3</v>
      </c>
      <c r="AH1004" s="14" t="str">
        <f t="shared" si="211"/>
        <v>高顺魂火-12</v>
      </c>
      <c r="AI1004" s="14">
        <f t="shared" si="212"/>
        <v>12</v>
      </c>
      <c r="AJ1004" s="14" t="str">
        <f>INDEX(挂机升级突破!$BX$4:$CH$4,INDEX(挂机升级突破!$BU$6:$BU$57,卡牌消耗!AI1004))</f>
        <v>金币</v>
      </c>
      <c r="AK1004" s="14">
        <f>ROUND(INDEX(挂机升级突破!$BN$6:$BN$57,卡牌消耗!AI1004)*INDEX(卡牌消耗!$B$8:$F$8,AG1004)/$Q$4/50,0)*50</f>
        <v>2100</v>
      </c>
      <c r="AL1004" s="14" t="str">
        <f>IF(AD1004&gt;0,INDEX(挂机升级突破!$BX$4:$CH$4,AD1004),"")</f>
        <v>蓝色基础材料</v>
      </c>
      <c r="AM1004" s="14">
        <f>ROUND(INDEX(挂机升级突破!$BX$6:$CH$57,卡牌消耗!AI1004,AD1004)*INDEX(卡牌消耗!$B$5:$F$5,AG1004)/$Q$4/5,0)*5</f>
        <v>1920</v>
      </c>
      <c r="AN1004" s="14" t="str">
        <f>IF(AE1004&gt;0,INDEX(挂机升级突破!$BX$4:$CH$4,AE1004),"")</f>
        <v/>
      </c>
      <c r="AO1004" s="14" t="str">
        <f>IF(AE1004&gt;0,ROUND(INDEX(挂机升级突破!$BX$6:$CH$57,卡牌消耗!AI1004,AE1004)*INDEX(卡牌消耗!$B$7:$F$7,AG1004)/$Q$4,0),"")</f>
        <v/>
      </c>
    </row>
    <row r="1005" spans="27:41" ht="16.5" x14ac:dyDescent="0.2">
      <c r="AA1005" s="104">
        <v>1001</v>
      </c>
      <c r="AB1005" s="14">
        <f t="shared" si="208"/>
        <v>20</v>
      </c>
      <c r="AC1005" s="14">
        <f>INDEX(挂机升级突破!$BU$6:$BU$57,卡牌消耗!AI1005)</f>
        <v>11</v>
      </c>
      <c r="AD1005" s="14">
        <f>INDEX(挂机升级突破!BV$6:BV$57,卡牌消耗!$AI1005)</f>
        <v>2</v>
      </c>
      <c r="AE1005" s="14">
        <f>INDEX(挂机升级突破!BW$6:BW$57,卡牌消耗!$AI1005)</f>
        <v>0</v>
      </c>
      <c r="AF1005" s="14" t="str">
        <f t="shared" si="209"/>
        <v>高顺</v>
      </c>
      <c r="AG1005" s="14">
        <f t="shared" si="210"/>
        <v>3</v>
      </c>
      <c r="AH1005" s="14" t="str">
        <f t="shared" si="211"/>
        <v>高顺魂火-13</v>
      </c>
      <c r="AI1005" s="14">
        <f t="shared" si="212"/>
        <v>13</v>
      </c>
      <c r="AJ1005" s="14" t="str">
        <f>INDEX(挂机升级突破!$BX$4:$CH$4,INDEX(挂机升级突破!$BU$6:$BU$57,卡牌消耗!AI1005))</f>
        <v>金币</v>
      </c>
      <c r="AK1005" s="14">
        <f>ROUND(INDEX(挂机升级突破!$BN$6:$BN$57,卡牌消耗!AI1005)*INDEX(卡牌消耗!$B$8:$F$8,AG1005)/$Q$4/50,0)*50</f>
        <v>2100</v>
      </c>
      <c r="AL1005" s="14" t="str">
        <f>IF(AD1005&gt;0,INDEX(挂机升级突破!$BX$4:$CH$4,AD1005),"")</f>
        <v>蓝色基础材料</v>
      </c>
      <c r="AM1005" s="14">
        <f>ROUND(INDEX(挂机升级突破!$BX$6:$CH$57,卡牌消耗!AI1005,AD1005)*INDEX(卡牌消耗!$B$5:$F$5,AG1005)/$Q$4/5,0)*5</f>
        <v>1920</v>
      </c>
      <c r="AN1005" s="14" t="str">
        <f>IF(AE1005&gt;0,INDEX(挂机升级突破!$BX$4:$CH$4,AE1005),"")</f>
        <v/>
      </c>
      <c r="AO1005" s="14" t="str">
        <f>IF(AE1005&gt;0,ROUND(INDEX(挂机升级突破!$BX$6:$CH$57,卡牌消耗!AI1005,AE1005)*INDEX(卡牌消耗!$B$7:$F$7,AG1005)/$Q$4,0),"")</f>
        <v/>
      </c>
    </row>
    <row r="1006" spans="27:41" ht="16.5" x14ac:dyDescent="0.2">
      <c r="AA1006" s="104">
        <v>1002</v>
      </c>
      <c r="AB1006" s="14">
        <f t="shared" si="208"/>
        <v>20</v>
      </c>
      <c r="AC1006" s="14">
        <f>INDEX(挂机升级突破!$BU$6:$BU$57,卡牌消耗!AI1006)</f>
        <v>11</v>
      </c>
      <c r="AD1006" s="14">
        <f>INDEX(挂机升级突破!BV$6:BV$57,卡牌消耗!$AI1006)</f>
        <v>3</v>
      </c>
      <c r="AE1006" s="14">
        <f>INDEX(挂机升级突破!BW$6:BW$57,卡牌消耗!$AI1006)</f>
        <v>0</v>
      </c>
      <c r="AF1006" s="14" t="str">
        <f t="shared" si="209"/>
        <v>高顺</v>
      </c>
      <c r="AG1006" s="14">
        <f t="shared" si="210"/>
        <v>3</v>
      </c>
      <c r="AH1006" s="14" t="str">
        <f t="shared" si="211"/>
        <v>高顺魂火-14</v>
      </c>
      <c r="AI1006" s="14">
        <f t="shared" si="212"/>
        <v>14</v>
      </c>
      <c r="AJ1006" s="14" t="str">
        <f>INDEX(挂机升级突破!$BX$4:$CH$4,INDEX(挂机升级突破!$BU$6:$BU$57,卡牌消耗!AI1006))</f>
        <v>金币</v>
      </c>
      <c r="AK1006" s="14">
        <f>ROUND(INDEX(挂机升级突破!$BN$6:$BN$57,卡牌消耗!AI1006)*INDEX(卡牌消耗!$B$8:$F$8,AG1006)/$Q$4/50,0)*50</f>
        <v>2350</v>
      </c>
      <c r="AL1006" s="14" t="str">
        <f>IF(AD1006&gt;0,INDEX(挂机升级突破!$BX$4:$CH$4,AD1006),"")</f>
        <v>紫色基础材料</v>
      </c>
      <c r="AM1006" s="14">
        <f>ROUND(INDEX(挂机升级突破!$BX$6:$CH$57,卡牌消耗!AI1006,AD1006)*INDEX(卡牌消耗!$B$5:$F$5,AG1006)/$Q$4/5,0)*5</f>
        <v>170</v>
      </c>
      <c r="AN1006" s="14" t="str">
        <f>IF(AE1006&gt;0,INDEX(挂机升级突破!$BX$4:$CH$4,AE1006),"")</f>
        <v/>
      </c>
      <c r="AO1006" s="14" t="str">
        <f>IF(AE1006&gt;0,ROUND(INDEX(挂机升级突破!$BX$6:$CH$57,卡牌消耗!AI1006,AE1006)*INDEX(卡牌消耗!$B$7:$F$7,AG1006)/$Q$4,0),"")</f>
        <v/>
      </c>
    </row>
    <row r="1007" spans="27:41" ht="16.5" x14ac:dyDescent="0.2">
      <c r="AA1007" s="104">
        <v>1003</v>
      </c>
      <c r="AB1007" s="14">
        <f t="shared" si="208"/>
        <v>20</v>
      </c>
      <c r="AC1007" s="14">
        <f>INDEX(挂机升级突破!$BU$6:$BU$57,卡牌消耗!AI1007)</f>
        <v>11</v>
      </c>
      <c r="AD1007" s="14">
        <f>INDEX(挂机升级突破!BV$6:BV$57,卡牌消耗!$AI1007)</f>
        <v>3</v>
      </c>
      <c r="AE1007" s="14">
        <f>INDEX(挂机升级突破!BW$6:BW$57,卡牌消耗!$AI1007)</f>
        <v>0</v>
      </c>
      <c r="AF1007" s="14" t="str">
        <f t="shared" si="209"/>
        <v>高顺</v>
      </c>
      <c r="AG1007" s="14">
        <f t="shared" si="210"/>
        <v>3</v>
      </c>
      <c r="AH1007" s="14" t="str">
        <f t="shared" si="211"/>
        <v>高顺魂火-15</v>
      </c>
      <c r="AI1007" s="14">
        <f t="shared" si="212"/>
        <v>15</v>
      </c>
      <c r="AJ1007" s="14" t="str">
        <f>INDEX(挂机升级突破!$BX$4:$CH$4,INDEX(挂机升级突破!$BU$6:$BU$57,卡牌消耗!AI1007))</f>
        <v>金币</v>
      </c>
      <c r="AK1007" s="14">
        <f>ROUND(INDEX(挂机升级突破!$BN$6:$BN$57,卡牌消耗!AI1007)*INDEX(卡牌消耗!$B$8:$F$8,AG1007)/$Q$4/50,0)*50</f>
        <v>2550</v>
      </c>
      <c r="AL1007" s="14" t="str">
        <f>IF(AD1007&gt;0,INDEX(挂机升级突破!$BX$4:$CH$4,AD1007),"")</f>
        <v>紫色基础材料</v>
      </c>
      <c r="AM1007" s="14">
        <f>ROUND(INDEX(挂机升级突破!$BX$6:$CH$57,卡牌消耗!AI1007,AD1007)*INDEX(卡牌消耗!$B$5:$F$5,AG1007)/$Q$4/5,0)*5</f>
        <v>170</v>
      </c>
      <c r="AN1007" s="14" t="str">
        <f>IF(AE1007&gt;0,INDEX(挂机升级突破!$BX$4:$CH$4,AE1007),"")</f>
        <v/>
      </c>
      <c r="AO1007" s="14" t="str">
        <f>IF(AE1007&gt;0,ROUND(INDEX(挂机升级突破!$BX$6:$CH$57,卡牌消耗!AI1007,AE1007)*INDEX(卡牌消耗!$B$7:$F$7,AG1007)/$Q$4,0),"")</f>
        <v/>
      </c>
    </row>
    <row r="1008" spans="27:41" ht="16.5" x14ac:dyDescent="0.2">
      <c r="AA1008" s="104">
        <v>1004</v>
      </c>
      <c r="AB1008" s="14">
        <f t="shared" si="208"/>
        <v>20</v>
      </c>
      <c r="AC1008" s="14">
        <f>INDEX(挂机升级突破!$BU$6:$BU$57,卡牌消耗!AI1008)</f>
        <v>11</v>
      </c>
      <c r="AD1008" s="14">
        <f>INDEX(挂机升级突破!BV$6:BV$57,卡牌消耗!$AI1008)</f>
        <v>3</v>
      </c>
      <c r="AE1008" s="14">
        <f>INDEX(挂机升级突破!BW$6:BW$57,卡牌消耗!$AI1008)</f>
        <v>0</v>
      </c>
      <c r="AF1008" s="14" t="str">
        <f t="shared" si="209"/>
        <v>高顺</v>
      </c>
      <c r="AG1008" s="14">
        <f t="shared" si="210"/>
        <v>3</v>
      </c>
      <c r="AH1008" s="14" t="str">
        <f t="shared" si="211"/>
        <v>高顺魂火-16</v>
      </c>
      <c r="AI1008" s="14">
        <f t="shared" si="212"/>
        <v>16</v>
      </c>
      <c r="AJ1008" s="14" t="str">
        <f>INDEX(挂机升级突破!$BX$4:$CH$4,INDEX(挂机升级突破!$BU$6:$BU$57,卡牌消耗!AI1008))</f>
        <v>金币</v>
      </c>
      <c r="AK1008" s="14">
        <f>ROUND(INDEX(挂机升级突破!$BN$6:$BN$57,卡牌消耗!AI1008)*INDEX(卡牌消耗!$B$8:$F$8,AG1008)/$Q$4/50,0)*50</f>
        <v>2550</v>
      </c>
      <c r="AL1008" s="14" t="str">
        <f>IF(AD1008&gt;0,INDEX(挂机升级突破!$BX$4:$CH$4,AD1008),"")</f>
        <v>紫色基础材料</v>
      </c>
      <c r="AM1008" s="14">
        <f>ROUND(INDEX(挂机升级突破!$BX$6:$CH$57,卡牌消耗!AI1008,AD1008)*INDEX(卡牌消耗!$B$5:$F$5,AG1008)/$Q$4/5,0)*5</f>
        <v>170</v>
      </c>
      <c r="AN1008" s="14" t="str">
        <f>IF(AE1008&gt;0,INDEX(挂机升级突破!$BX$4:$CH$4,AE1008),"")</f>
        <v/>
      </c>
      <c r="AO1008" s="14" t="str">
        <f>IF(AE1008&gt;0,ROUND(INDEX(挂机升级突破!$BX$6:$CH$57,卡牌消耗!AI1008,AE1008)*INDEX(卡牌消耗!$B$7:$F$7,AG1008)/$Q$4,0),"")</f>
        <v/>
      </c>
    </row>
    <row r="1009" spans="27:41" ht="16.5" x14ac:dyDescent="0.2">
      <c r="AA1009" s="104">
        <v>1005</v>
      </c>
      <c r="AB1009" s="14">
        <f t="shared" si="208"/>
        <v>20</v>
      </c>
      <c r="AC1009" s="14">
        <f>INDEX(挂机升级突破!$BU$6:$BU$57,卡牌消耗!AI1009)</f>
        <v>11</v>
      </c>
      <c r="AD1009" s="14">
        <f>INDEX(挂机升级突破!BV$6:BV$57,卡牌消耗!$AI1009)</f>
        <v>3</v>
      </c>
      <c r="AE1009" s="14">
        <f>INDEX(挂机升级突破!BW$6:BW$57,卡牌消耗!$AI1009)</f>
        <v>0</v>
      </c>
      <c r="AF1009" s="14" t="str">
        <f t="shared" si="209"/>
        <v>高顺</v>
      </c>
      <c r="AG1009" s="14">
        <f t="shared" si="210"/>
        <v>3</v>
      </c>
      <c r="AH1009" s="14" t="str">
        <f t="shared" si="211"/>
        <v>高顺魂火-17</v>
      </c>
      <c r="AI1009" s="14">
        <f t="shared" si="212"/>
        <v>17</v>
      </c>
      <c r="AJ1009" s="14" t="str">
        <f>INDEX(挂机升级突破!$BX$4:$CH$4,INDEX(挂机升级突破!$BU$6:$BU$57,卡牌消耗!AI1009))</f>
        <v>金币</v>
      </c>
      <c r="AK1009" s="14">
        <f>ROUND(INDEX(挂机升级突破!$BN$6:$BN$57,卡牌消耗!AI1009)*INDEX(卡牌消耗!$B$8:$F$8,AG1009)/$Q$4/50,0)*50</f>
        <v>3200</v>
      </c>
      <c r="AL1009" s="14" t="str">
        <f>IF(AD1009&gt;0,INDEX(挂机升级突破!$BX$4:$CH$4,AD1009),"")</f>
        <v>紫色基础材料</v>
      </c>
      <c r="AM1009" s="14">
        <f>ROUND(INDEX(挂机升级突破!$BX$6:$CH$57,卡牌消耗!AI1009,AD1009)*INDEX(卡牌消耗!$B$5:$F$5,AG1009)/$Q$4/5,0)*5</f>
        <v>335</v>
      </c>
      <c r="AN1009" s="14" t="str">
        <f>IF(AE1009&gt;0,INDEX(挂机升级突破!$BX$4:$CH$4,AE1009),"")</f>
        <v/>
      </c>
      <c r="AO1009" s="14" t="str">
        <f>IF(AE1009&gt;0,ROUND(INDEX(挂机升级突破!$BX$6:$CH$57,卡牌消耗!AI1009,AE1009)*INDEX(卡牌消耗!$B$7:$F$7,AG1009)/$Q$4,0),"")</f>
        <v/>
      </c>
    </row>
    <row r="1010" spans="27:41" ht="16.5" x14ac:dyDescent="0.2">
      <c r="AA1010" s="104">
        <v>1006</v>
      </c>
      <c r="AB1010" s="14">
        <f t="shared" si="208"/>
        <v>20</v>
      </c>
      <c r="AC1010" s="14">
        <f>INDEX(挂机升级突破!$BU$6:$BU$57,卡牌消耗!AI1010)</f>
        <v>11</v>
      </c>
      <c r="AD1010" s="14">
        <f>INDEX(挂机升级突破!BV$6:BV$57,卡牌消耗!$AI1010)</f>
        <v>3</v>
      </c>
      <c r="AE1010" s="14">
        <f>INDEX(挂机升级突破!BW$6:BW$57,卡牌消耗!$AI1010)</f>
        <v>0</v>
      </c>
      <c r="AF1010" s="14" t="str">
        <f t="shared" si="209"/>
        <v>高顺</v>
      </c>
      <c r="AG1010" s="14">
        <f t="shared" si="210"/>
        <v>3</v>
      </c>
      <c r="AH1010" s="14" t="str">
        <f t="shared" si="211"/>
        <v>高顺魂火-18</v>
      </c>
      <c r="AI1010" s="14">
        <f t="shared" si="212"/>
        <v>18</v>
      </c>
      <c r="AJ1010" s="14" t="str">
        <f>INDEX(挂机升级突破!$BX$4:$CH$4,INDEX(挂机升级突破!$BU$6:$BU$57,卡牌消耗!AI1010))</f>
        <v>金币</v>
      </c>
      <c r="AK1010" s="14">
        <f>ROUND(INDEX(挂机升级突破!$BN$6:$BN$57,卡牌消耗!AI1010)*INDEX(卡牌消耗!$B$8:$F$8,AG1010)/$Q$4/50,0)*50</f>
        <v>3200</v>
      </c>
      <c r="AL1010" s="14" t="str">
        <f>IF(AD1010&gt;0,INDEX(挂机升级突破!$BX$4:$CH$4,AD1010),"")</f>
        <v>紫色基础材料</v>
      </c>
      <c r="AM1010" s="14">
        <f>ROUND(INDEX(挂机升级突破!$BX$6:$CH$57,卡牌消耗!AI1010,AD1010)*INDEX(卡牌消耗!$B$5:$F$5,AG1010)/$Q$4/5,0)*5</f>
        <v>335</v>
      </c>
      <c r="AN1010" s="14" t="str">
        <f>IF(AE1010&gt;0,INDEX(挂机升级突破!$BX$4:$CH$4,AE1010),"")</f>
        <v/>
      </c>
      <c r="AO1010" s="14" t="str">
        <f>IF(AE1010&gt;0,ROUND(INDEX(挂机升级突破!$BX$6:$CH$57,卡牌消耗!AI1010,AE1010)*INDEX(卡牌消耗!$B$7:$F$7,AG1010)/$Q$4,0),"")</f>
        <v/>
      </c>
    </row>
    <row r="1011" spans="27:41" ht="16.5" x14ac:dyDescent="0.2">
      <c r="AA1011" s="104">
        <v>1007</v>
      </c>
      <c r="AB1011" s="14">
        <f t="shared" si="208"/>
        <v>20</v>
      </c>
      <c r="AC1011" s="14">
        <f>INDEX(挂机升级突破!$BU$6:$BU$57,卡牌消耗!AI1011)</f>
        <v>11</v>
      </c>
      <c r="AD1011" s="14">
        <f>INDEX(挂机升级突破!BV$6:BV$57,卡牌消耗!$AI1011)</f>
        <v>3</v>
      </c>
      <c r="AE1011" s="14">
        <f>INDEX(挂机升级突破!BW$6:BW$57,卡牌消耗!$AI1011)</f>
        <v>0</v>
      </c>
      <c r="AF1011" s="14" t="str">
        <f t="shared" si="209"/>
        <v>高顺</v>
      </c>
      <c r="AG1011" s="14">
        <f t="shared" si="210"/>
        <v>3</v>
      </c>
      <c r="AH1011" s="14" t="str">
        <f t="shared" si="211"/>
        <v>高顺魂火-19</v>
      </c>
      <c r="AI1011" s="14">
        <f t="shared" si="212"/>
        <v>19</v>
      </c>
      <c r="AJ1011" s="14" t="str">
        <f>INDEX(挂机升级突破!$BX$4:$CH$4,INDEX(挂机升级突破!$BU$6:$BU$57,卡牌消耗!AI1011))</f>
        <v>金币</v>
      </c>
      <c r="AK1011" s="14">
        <f>ROUND(INDEX(挂机升级突破!$BN$6:$BN$57,卡牌消耗!AI1011)*INDEX(卡牌消耗!$B$8:$F$8,AG1011)/$Q$4/50,0)*50</f>
        <v>3200</v>
      </c>
      <c r="AL1011" s="14" t="str">
        <f>IF(AD1011&gt;0,INDEX(挂机升级突破!$BX$4:$CH$4,AD1011),"")</f>
        <v>紫色基础材料</v>
      </c>
      <c r="AM1011" s="14">
        <f>ROUND(INDEX(挂机升级突破!$BX$6:$CH$57,卡牌消耗!AI1011,AD1011)*INDEX(卡牌消耗!$B$5:$F$5,AG1011)/$Q$4/5,0)*5</f>
        <v>335</v>
      </c>
      <c r="AN1011" s="14" t="str">
        <f>IF(AE1011&gt;0,INDEX(挂机升级突破!$BX$4:$CH$4,AE1011),"")</f>
        <v/>
      </c>
      <c r="AO1011" s="14" t="str">
        <f>IF(AE1011&gt;0,ROUND(INDEX(挂机升级突破!$BX$6:$CH$57,卡牌消耗!AI1011,AE1011)*INDEX(卡牌消耗!$B$7:$F$7,AG1011)/$Q$4,0),"")</f>
        <v/>
      </c>
    </row>
    <row r="1012" spans="27:41" ht="16.5" x14ac:dyDescent="0.2">
      <c r="AA1012" s="104">
        <v>1008</v>
      </c>
      <c r="AB1012" s="14">
        <f t="shared" si="208"/>
        <v>20</v>
      </c>
      <c r="AC1012" s="14">
        <f>INDEX(挂机升级突破!$BU$6:$BU$57,卡牌消耗!AI1012)</f>
        <v>11</v>
      </c>
      <c r="AD1012" s="14">
        <f>INDEX(挂机升级突破!BV$6:BV$57,卡牌消耗!$AI1012)</f>
        <v>3</v>
      </c>
      <c r="AE1012" s="14">
        <f>INDEX(挂机升级突破!BW$6:BW$57,卡牌消耗!$AI1012)</f>
        <v>0</v>
      </c>
      <c r="AF1012" s="14" t="str">
        <f t="shared" si="209"/>
        <v>高顺</v>
      </c>
      <c r="AG1012" s="14">
        <f t="shared" si="210"/>
        <v>3</v>
      </c>
      <c r="AH1012" s="14" t="str">
        <f t="shared" si="211"/>
        <v>高顺魂火-20</v>
      </c>
      <c r="AI1012" s="14">
        <f t="shared" si="212"/>
        <v>20</v>
      </c>
      <c r="AJ1012" s="14" t="str">
        <f>INDEX(挂机升级突破!$BX$4:$CH$4,INDEX(挂机升级突破!$BU$6:$BU$57,卡牌消耗!AI1012))</f>
        <v>金币</v>
      </c>
      <c r="AK1012" s="14">
        <f>ROUND(INDEX(挂机升级突破!$BN$6:$BN$57,卡牌消耗!AI1012)*INDEX(卡牌消耗!$B$8:$F$8,AG1012)/$Q$4/50,0)*50</f>
        <v>3900</v>
      </c>
      <c r="AL1012" s="14" t="str">
        <f>IF(AD1012&gt;0,INDEX(挂机升级突破!$BX$4:$CH$4,AD1012),"")</f>
        <v>紫色基础材料</v>
      </c>
      <c r="AM1012" s="14">
        <f>ROUND(INDEX(挂机升级突破!$BX$6:$CH$57,卡牌消耗!AI1012,AD1012)*INDEX(卡牌消耗!$B$5:$F$5,AG1012)/$Q$4/5,0)*5</f>
        <v>505</v>
      </c>
      <c r="AN1012" s="14" t="str">
        <f>IF(AE1012&gt;0,INDEX(挂机升级突破!$BX$4:$CH$4,AE1012),"")</f>
        <v/>
      </c>
      <c r="AO1012" s="14" t="str">
        <f>IF(AE1012&gt;0,ROUND(INDEX(挂机升级突破!$BX$6:$CH$57,卡牌消耗!AI1012,AE1012)*INDEX(卡牌消耗!$B$7:$F$7,AG1012)/$Q$4,0),"")</f>
        <v/>
      </c>
    </row>
    <row r="1013" spans="27:41" ht="16.5" x14ac:dyDescent="0.2">
      <c r="AA1013" s="104">
        <v>1009</v>
      </c>
      <c r="AB1013" s="14">
        <f t="shared" si="208"/>
        <v>20</v>
      </c>
      <c r="AC1013" s="14">
        <f>INDEX(挂机升级突破!$BU$6:$BU$57,卡牌消耗!AI1013)</f>
        <v>11</v>
      </c>
      <c r="AD1013" s="14">
        <f>INDEX(挂机升级突破!BV$6:BV$57,卡牌消耗!$AI1013)</f>
        <v>3</v>
      </c>
      <c r="AE1013" s="14">
        <f>INDEX(挂机升级突破!BW$6:BW$57,卡牌消耗!$AI1013)</f>
        <v>0</v>
      </c>
      <c r="AF1013" s="14" t="str">
        <f t="shared" si="209"/>
        <v>高顺</v>
      </c>
      <c r="AG1013" s="14">
        <f t="shared" si="210"/>
        <v>3</v>
      </c>
      <c r="AH1013" s="14" t="str">
        <f t="shared" si="211"/>
        <v>高顺魂火-21</v>
      </c>
      <c r="AI1013" s="14">
        <f t="shared" si="212"/>
        <v>21</v>
      </c>
      <c r="AJ1013" s="14" t="str">
        <f>INDEX(挂机升级突破!$BX$4:$CH$4,INDEX(挂机升级突破!$BU$6:$BU$57,卡牌消耗!AI1013))</f>
        <v>金币</v>
      </c>
      <c r="AK1013" s="14">
        <f>ROUND(INDEX(挂机升级突破!$BN$6:$BN$57,卡牌消耗!AI1013)*INDEX(卡牌消耗!$B$8:$F$8,AG1013)/$Q$4/50,0)*50</f>
        <v>3900</v>
      </c>
      <c r="AL1013" s="14" t="str">
        <f>IF(AD1013&gt;0,INDEX(挂机升级突破!$BX$4:$CH$4,AD1013),"")</f>
        <v>紫色基础材料</v>
      </c>
      <c r="AM1013" s="14">
        <f>ROUND(INDEX(挂机升级突破!$BX$6:$CH$57,卡牌消耗!AI1013,AD1013)*INDEX(卡牌消耗!$B$5:$F$5,AG1013)/$Q$4/5,0)*5</f>
        <v>505</v>
      </c>
      <c r="AN1013" s="14" t="str">
        <f>IF(AE1013&gt;0,INDEX(挂机升级突破!$BX$4:$CH$4,AE1013),"")</f>
        <v/>
      </c>
      <c r="AO1013" s="14" t="str">
        <f>IF(AE1013&gt;0,ROUND(INDEX(挂机升级突破!$BX$6:$CH$57,卡牌消耗!AI1013,AE1013)*INDEX(卡牌消耗!$B$7:$F$7,AG1013)/$Q$4,0),"")</f>
        <v/>
      </c>
    </row>
    <row r="1014" spans="27:41" ht="16.5" x14ac:dyDescent="0.2">
      <c r="AA1014" s="104">
        <v>1010</v>
      </c>
      <c r="AB1014" s="14">
        <f t="shared" si="208"/>
        <v>20</v>
      </c>
      <c r="AC1014" s="14">
        <f>INDEX(挂机升级突破!$BU$6:$BU$57,卡牌消耗!AI1014)</f>
        <v>11</v>
      </c>
      <c r="AD1014" s="14">
        <f>INDEX(挂机升级突破!BV$6:BV$57,卡牌消耗!$AI1014)</f>
        <v>3</v>
      </c>
      <c r="AE1014" s="14">
        <f>INDEX(挂机升级突破!BW$6:BW$57,卡牌消耗!$AI1014)</f>
        <v>0</v>
      </c>
      <c r="AF1014" s="14" t="str">
        <f t="shared" si="209"/>
        <v>高顺</v>
      </c>
      <c r="AG1014" s="14">
        <f t="shared" si="210"/>
        <v>3</v>
      </c>
      <c r="AH1014" s="14" t="str">
        <f t="shared" si="211"/>
        <v>高顺魂火-22</v>
      </c>
      <c r="AI1014" s="14">
        <f t="shared" si="212"/>
        <v>22</v>
      </c>
      <c r="AJ1014" s="14" t="str">
        <f>INDEX(挂机升级突破!$BX$4:$CH$4,INDEX(挂机升级突破!$BU$6:$BU$57,卡牌消耗!AI1014))</f>
        <v>金币</v>
      </c>
      <c r="AK1014" s="14">
        <f>ROUND(INDEX(挂机升级突破!$BN$6:$BN$57,卡牌消耗!AI1014)*INDEX(卡牌消耗!$B$8:$F$8,AG1014)/$Q$4/50,0)*50</f>
        <v>3900</v>
      </c>
      <c r="AL1014" s="14" t="str">
        <f>IF(AD1014&gt;0,INDEX(挂机升级突破!$BX$4:$CH$4,AD1014),"")</f>
        <v>紫色基础材料</v>
      </c>
      <c r="AM1014" s="14">
        <f>ROUND(INDEX(挂机升级突破!$BX$6:$CH$57,卡牌消耗!AI1014,AD1014)*INDEX(卡牌消耗!$B$5:$F$5,AG1014)/$Q$4/5,0)*5</f>
        <v>505</v>
      </c>
      <c r="AN1014" s="14" t="str">
        <f>IF(AE1014&gt;0,INDEX(挂机升级突破!$BX$4:$CH$4,AE1014),"")</f>
        <v/>
      </c>
      <c r="AO1014" s="14" t="str">
        <f>IF(AE1014&gt;0,ROUND(INDEX(挂机升级突破!$BX$6:$CH$57,卡牌消耗!AI1014,AE1014)*INDEX(卡牌消耗!$B$7:$F$7,AG1014)/$Q$4,0),"")</f>
        <v/>
      </c>
    </row>
    <row r="1015" spans="27:41" ht="16.5" x14ac:dyDescent="0.2">
      <c r="AA1015" s="104">
        <v>1011</v>
      </c>
      <c r="AB1015" s="14">
        <f t="shared" si="208"/>
        <v>20</v>
      </c>
      <c r="AC1015" s="14">
        <f>INDEX(挂机升级突破!$BU$6:$BU$57,卡牌消耗!AI1015)</f>
        <v>11</v>
      </c>
      <c r="AD1015" s="14">
        <f>INDEX(挂机升级突破!BV$6:BV$57,卡牌消耗!$AI1015)</f>
        <v>4</v>
      </c>
      <c r="AE1015" s="14">
        <f>INDEX(挂机升级突破!BW$6:BW$57,卡牌消耗!$AI1015)</f>
        <v>0</v>
      </c>
      <c r="AF1015" s="14" t="str">
        <f t="shared" si="209"/>
        <v>高顺</v>
      </c>
      <c r="AG1015" s="14">
        <f t="shared" si="210"/>
        <v>3</v>
      </c>
      <c r="AH1015" s="14" t="str">
        <f t="shared" si="211"/>
        <v>高顺魂火-23</v>
      </c>
      <c r="AI1015" s="14">
        <f t="shared" si="212"/>
        <v>23</v>
      </c>
      <c r="AJ1015" s="14" t="str">
        <f>INDEX(挂机升级突破!$BX$4:$CH$4,INDEX(挂机升级突破!$BU$6:$BU$57,卡牌消耗!AI1015))</f>
        <v>金币</v>
      </c>
      <c r="AK1015" s="14">
        <f>ROUND(INDEX(挂机升级突破!$BN$6:$BN$57,卡牌消耗!AI1015)*INDEX(卡牌消耗!$B$8:$F$8,AG1015)/$Q$4/50,0)*50</f>
        <v>5350</v>
      </c>
      <c r="AL1015" s="14" t="str">
        <f>IF(AD1015&gt;0,INDEX(挂机升级突破!$BX$4:$CH$4,AD1015),"")</f>
        <v>橙色基础材料</v>
      </c>
      <c r="AM1015" s="14">
        <f>ROUND(INDEX(挂机升级突破!$BX$6:$CH$57,卡牌消耗!AI1015,AD1015)*INDEX(卡牌消耗!$B$5:$F$5,AG1015)/$Q$4/5,0)*5</f>
        <v>70</v>
      </c>
      <c r="AN1015" s="14" t="str">
        <f>IF(AE1015&gt;0,INDEX(挂机升级突破!$BX$4:$CH$4,AE1015),"")</f>
        <v/>
      </c>
      <c r="AO1015" s="14" t="str">
        <f>IF(AE1015&gt;0,ROUND(INDEX(挂机升级突破!$BX$6:$CH$57,卡牌消耗!AI1015,AE1015)*INDEX(卡牌消耗!$B$7:$F$7,AG1015)/$Q$4,0),"")</f>
        <v/>
      </c>
    </row>
    <row r="1016" spans="27:41" ht="16.5" x14ac:dyDescent="0.2">
      <c r="AA1016" s="104">
        <v>1012</v>
      </c>
      <c r="AB1016" s="14">
        <f t="shared" si="208"/>
        <v>20</v>
      </c>
      <c r="AC1016" s="14">
        <f>INDEX(挂机升级突破!$BU$6:$BU$57,卡牌消耗!AI1016)</f>
        <v>11</v>
      </c>
      <c r="AD1016" s="14">
        <f>INDEX(挂机升级突破!BV$6:BV$57,卡牌消耗!$AI1016)</f>
        <v>4</v>
      </c>
      <c r="AE1016" s="14">
        <f>INDEX(挂机升级突破!BW$6:BW$57,卡牌消耗!$AI1016)</f>
        <v>0</v>
      </c>
      <c r="AF1016" s="14" t="str">
        <f t="shared" si="209"/>
        <v>高顺</v>
      </c>
      <c r="AG1016" s="14">
        <f t="shared" si="210"/>
        <v>3</v>
      </c>
      <c r="AH1016" s="14" t="str">
        <f t="shared" si="211"/>
        <v>高顺魂火-24</v>
      </c>
      <c r="AI1016" s="14">
        <f t="shared" si="212"/>
        <v>24</v>
      </c>
      <c r="AJ1016" s="14" t="str">
        <f>INDEX(挂机升级突破!$BX$4:$CH$4,INDEX(挂机升级突破!$BU$6:$BU$57,卡牌消耗!AI1016))</f>
        <v>金币</v>
      </c>
      <c r="AK1016" s="14">
        <f>ROUND(INDEX(挂机升级突破!$BN$6:$BN$57,卡牌消耗!AI1016)*INDEX(卡牌消耗!$B$8:$F$8,AG1016)/$Q$4/50,0)*50</f>
        <v>5350</v>
      </c>
      <c r="AL1016" s="14" t="str">
        <f>IF(AD1016&gt;0,INDEX(挂机升级突破!$BX$4:$CH$4,AD1016),"")</f>
        <v>橙色基础材料</v>
      </c>
      <c r="AM1016" s="14">
        <f>ROUND(INDEX(挂机升级突破!$BX$6:$CH$57,卡牌消耗!AI1016,AD1016)*INDEX(卡牌消耗!$B$5:$F$5,AG1016)/$Q$4/5,0)*5</f>
        <v>70</v>
      </c>
      <c r="AN1016" s="14" t="str">
        <f>IF(AE1016&gt;0,INDEX(挂机升级突破!$BX$4:$CH$4,AE1016),"")</f>
        <v/>
      </c>
      <c r="AO1016" s="14" t="str">
        <f>IF(AE1016&gt;0,ROUND(INDEX(挂机升级突破!$BX$6:$CH$57,卡牌消耗!AI1016,AE1016)*INDEX(卡牌消耗!$B$7:$F$7,AG1016)/$Q$4,0),"")</f>
        <v/>
      </c>
    </row>
    <row r="1017" spans="27:41" ht="16.5" x14ac:dyDescent="0.2">
      <c r="AA1017" s="104">
        <v>1013</v>
      </c>
      <c r="AB1017" s="14">
        <f t="shared" si="208"/>
        <v>20</v>
      </c>
      <c r="AC1017" s="14">
        <f>INDEX(挂机升级突破!$BU$6:$BU$57,卡牌消耗!AI1017)</f>
        <v>11</v>
      </c>
      <c r="AD1017" s="14">
        <f>INDEX(挂机升级突破!BV$6:BV$57,卡牌消耗!$AI1017)</f>
        <v>4</v>
      </c>
      <c r="AE1017" s="14">
        <f>INDEX(挂机升级突破!BW$6:BW$57,卡牌消耗!$AI1017)</f>
        <v>0</v>
      </c>
      <c r="AF1017" s="14" t="str">
        <f t="shared" si="209"/>
        <v>高顺</v>
      </c>
      <c r="AG1017" s="14">
        <f t="shared" si="210"/>
        <v>3</v>
      </c>
      <c r="AH1017" s="14" t="str">
        <f t="shared" si="211"/>
        <v>高顺魂火-25</v>
      </c>
      <c r="AI1017" s="14">
        <f t="shared" si="212"/>
        <v>25</v>
      </c>
      <c r="AJ1017" s="14" t="str">
        <f>INDEX(挂机升级突破!$BX$4:$CH$4,INDEX(挂机升级突破!$BU$6:$BU$57,卡牌消耗!AI1017))</f>
        <v>金币</v>
      </c>
      <c r="AK1017" s="14">
        <f>ROUND(INDEX(挂机升级突破!$BN$6:$BN$57,卡牌消耗!AI1017)*INDEX(卡牌消耗!$B$8:$F$8,AG1017)/$Q$4/50,0)*50</f>
        <v>5850</v>
      </c>
      <c r="AL1017" s="14" t="str">
        <f>IF(AD1017&gt;0,INDEX(挂机升级突破!$BX$4:$CH$4,AD1017),"")</f>
        <v>橙色基础材料</v>
      </c>
      <c r="AM1017" s="14">
        <f>ROUND(INDEX(挂机升级突破!$BX$6:$CH$57,卡牌消耗!AI1017,AD1017)*INDEX(卡牌消耗!$B$5:$F$5,AG1017)/$Q$4/5,0)*5</f>
        <v>70</v>
      </c>
      <c r="AN1017" s="14" t="str">
        <f>IF(AE1017&gt;0,INDEX(挂机升级突破!$BX$4:$CH$4,AE1017),"")</f>
        <v/>
      </c>
      <c r="AO1017" s="14" t="str">
        <f>IF(AE1017&gt;0,ROUND(INDEX(挂机升级突破!$BX$6:$CH$57,卡牌消耗!AI1017,AE1017)*INDEX(卡牌消耗!$B$7:$F$7,AG1017)/$Q$4,0),"")</f>
        <v/>
      </c>
    </row>
    <row r="1018" spans="27:41" ht="16.5" x14ac:dyDescent="0.2">
      <c r="AA1018" s="104">
        <v>1014</v>
      </c>
      <c r="AB1018" s="14">
        <f t="shared" si="208"/>
        <v>20</v>
      </c>
      <c r="AC1018" s="14">
        <f>INDEX(挂机升级突破!$BU$6:$BU$57,卡牌消耗!AI1018)</f>
        <v>11</v>
      </c>
      <c r="AD1018" s="14">
        <f>INDEX(挂机升级突破!BV$6:BV$57,卡牌消耗!$AI1018)</f>
        <v>4</v>
      </c>
      <c r="AE1018" s="14">
        <f>INDEX(挂机升级突破!BW$6:BW$57,卡牌消耗!$AI1018)</f>
        <v>0</v>
      </c>
      <c r="AF1018" s="14" t="str">
        <f t="shared" si="209"/>
        <v>高顺</v>
      </c>
      <c r="AG1018" s="14">
        <f t="shared" si="210"/>
        <v>3</v>
      </c>
      <c r="AH1018" s="14" t="str">
        <f t="shared" si="211"/>
        <v>高顺魂火-26</v>
      </c>
      <c r="AI1018" s="14">
        <f t="shared" si="212"/>
        <v>26</v>
      </c>
      <c r="AJ1018" s="14" t="str">
        <f>INDEX(挂机升级突破!$BX$4:$CH$4,INDEX(挂机升级突破!$BU$6:$BU$57,卡牌消耗!AI1018))</f>
        <v>金币</v>
      </c>
      <c r="AK1018" s="14">
        <f>ROUND(INDEX(挂机升级突破!$BN$6:$BN$57,卡牌消耗!AI1018)*INDEX(卡牌消耗!$B$8:$F$8,AG1018)/$Q$4/50,0)*50</f>
        <v>6850</v>
      </c>
      <c r="AL1018" s="14" t="str">
        <f>IF(AD1018&gt;0,INDEX(挂机升级突破!$BX$4:$CH$4,AD1018),"")</f>
        <v>橙色基础材料</v>
      </c>
      <c r="AM1018" s="14">
        <f>ROUND(INDEX(挂机升级突破!$BX$6:$CH$57,卡牌消耗!AI1018,AD1018)*INDEX(卡牌消耗!$B$5:$F$5,AG1018)/$Q$4/5,0)*5</f>
        <v>85</v>
      </c>
      <c r="AN1018" s="14" t="str">
        <f>IF(AE1018&gt;0,INDEX(挂机升级突破!$BX$4:$CH$4,AE1018),"")</f>
        <v/>
      </c>
      <c r="AO1018" s="14" t="str">
        <f>IF(AE1018&gt;0,ROUND(INDEX(挂机升级突破!$BX$6:$CH$57,卡牌消耗!AI1018,AE1018)*INDEX(卡牌消耗!$B$7:$F$7,AG1018)/$Q$4,0),"")</f>
        <v/>
      </c>
    </row>
    <row r="1019" spans="27:41" ht="16.5" x14ac:dyDescent="0.2">
      <c r="AA1019" s="104">
        <v>1015</v>
      </c>
      <c r="AB1019" s="14">
        <f t="shared" si="208"/>
        <v>20</v>
      </c>
      <c r="AC1019" s="14">
        <f>INDEX(挂机升级突破!$BU$6:$BU$57,卡牌消耗!AI1019)</f>
        <v>11</v>
      </c>
      <c r="AD1019" s="14">
        <f>INDEX(挂机升级突破!BV$6:BV$57,卡牌消耗!$AI1019)</f>
        <v>4</v>
      </c>
      <c r="AE1019" s="14">
        <f>INDEX(挂机升级突破!BW$6:BW$57,卡牌消耗!$AI1019)</f>
        <v>0</v>
      </c>
      <c r="AF1019" s="14" t="str">
        <f t="shared" si="209"/>
        <v>高顺</v>
      </c>
      <c r="AG1019" s="14">
        <f t="shared" si="210"/>
        <v>3</v>
      </c>
      <c r="AH1019" s="14" t="str">
        <f t="shared" si="211"/>
        <v>高顺魂火-27</v>
      </c>
      <c r="AI1019" s="14">
        <f t="shared" si="212"/>
        <v>27</v>
      </c>
      <c r="AJ1019" s="14" t="str">
        <f>INDEX(挂机升级突破!$BX$4:$CH$4,INDEX(挂机升级突破!$BU$6:$BU$57,卡牌消耗!AI1019))</f>
        <v>金币</v>
      </c>
      <c r="AK1019" s="14">
        <f>ROUND(INDEX(挂机升级突破!$BN$6:$BN$57,卡牌消耗!AI1019)*INDEX(卡牌消耗!$B$8:$F$8,AG1019)/$Q$4/50,0)*50</f>
        <v>6850</v>
      </c>
      <c r="AL1019" s="14" t="str">
        <f>IF(AD1019&gt;0,INDEX(挂机升级突破!$BX$4:$CH$4,AD1019),"")</f>
        <v>橙色基础材料</v>
      </c>
      <c r="AM1019" s="14">
        <f>ROUND(INDEX(挂机升级突破!$BX$6:$CH$57,卡牌消耗!AI1019,AD1019)*INDEX(卡牌消耗!$B$5:$F$5,AG1019)/$Q$4/5,0)*5</f>
        <v>85</v>
      </c>
      <c r="AN1019" s="14" t="str">
        <f>IF(AE1019&gt;0,INDEX(挂机升级突破!$BX$4:$CH$4,AE1019),"")</f>
        <v/>
      </c>
      <c r="AO1019" s="14" t="str">
        <f>IF(AE1019&gt;0,ROUND(INDEX(挂机升级突破!$BX$6:$CH$57,卡牌消耗!AI1019,AE1019)*INDEX(卡牌消耗!$B$7:$F$7,AG1019)/$Q$4,0),"")</f>
        <v/>
      </c>
    </row>
    <row r="1020" spans="27:41" ht="16.5" x14ac:dyDescent="0.2">
      <c r="AA1020" s="104">
        <v>1016</v>
      </c>
      <c r="AB1020" s="14">
        <f t="shared" si="208"/>
        <v>20</v>
      </c>
      <c r="AC1020" s="14">
        <f>INDEX(挂机升级突破!$BU$6:$BU$57,卡牌消耗!AI1020)</f>
        <v>11</v>
      </c>
      <c r="AD1020" s="14">
        <f>INDEX(挂机升级突破!BV$6:BV$57,卡牌消耗!$AI1020)</f>
        <v>4</v>
      </c>
      <c r="AE1020" s="14">
        <f>INDEX(挂机升级突破!BW$6:BW$57,卡牌消耗!$AI1020)</f>
        <v>0</v>
      </c>
      <c r="AF1020" s="14" t="str">
        <f t="shared" si="209"/>
        <v>高顺</v>
      </c>
      <c r="AG1020" s="14">
        <f t="shared" si="210"/>
        <v>3</v>
      </c>
      <c r="AH1020" s="14" t="str">
        <f t="shared" si="211"/>
        <v>高顺魂火-28</v>
      </c>
      <c r="AI1020" s="14">
        <f t="shared" si="212"/>
        <v>28</v>
      </c>
      <c r="AJ1020" s="14" t="str">
        <f>INDEX(挂机升级突破!$BX$4:$CH$4,INDEX(挂机升级突破!$BU$6:$BU$57,卡牌消耗!AI1020))</f>
        <v>金币</v>
      </c>
      <c r="AK1020" s="14">
        <f>ROUND(INDEX(挂机升级突破!$BN$6:$BN$57,卡牌消耗!AI1020)*INDEX(卡牌消耗!$B$8:$F$8,AG1020)/$Q$4/50,0)*50</f>
        <v>6850</v>
      </c>
      <c r="AL1020" s="14" t="str">
        <f>IF(AD1020&gt;0,INDEX(挂机升级突破!$BX$4:$CH$4,AD1020),"")</f>
        <v>橙色基础材料</v>
      </c>
      <c r="AM1020" s="14">
        <f>ROUND(INDEX(挂机升级突破!$BX$6:$CH$57,卡牌消耗!AI1020,AD1020)*INDEX(卡牌消耗!$B$5:$F$5,AG1020)/$Q$4/5,0)*5</f>
        <v>85</v>
      </c>
      <c r="AN1020" s="14" t="str">
        <f>IF(AE1020&gt;0,INDEX(挂机升级突破!$BX$4:$CH$4,AE1020),"")</f>
        <v/>
      </c>
      <c r="AO1020" s="14" t="str">
        <f>IF(AE1020&gt;0,ROUND(INDEX(挂机升级突破!$BX$6:$CH$57,卡牌消耗!AI1020,AE1020)*INDEX(卡牌消耗!$B$7:$F$7,AG1020)/$Q$4,0),"")</f>
        <v/>
      </c>
    </row>
    <row r="1021" spans="27:41" ht="16.5" x14ac:dyDescent="0.2">
      <c r="AA1021" s="104">
        <v>1017</v>
      </c>
      <c r="AB1021" s="14">
        <f t="shared" si="208"/>
        <v>20</v>
      </c>
      <c r="AC1021" s="14">
        <f>INDEX(挂机升级突破!$BU$6:$BU$57,卡牌消耗!AI1021)</f>
        <v>11</v>
      </c>
      <c r="AD1021" s="14">
        <f>INDEX(挂机升级突破!BV$6:BV$57,卡牌消耗!$AI1021)</f>
        <v>4</v>
      </c>
      <c r="AE1021" s="14">
        <f>INDEX(挂机升级突破!BW$6:BW$57,卡牌消耗!$AI1021)</f>
        <v>0</v>
      </c>
      <c r="AF1021" s="14" t="str">
        <f t="shared" si="209"/>
        <v>高顺</v>
      </c>
      <c r="AG1021" s="14">
        <f t="shared" si="210"/>
        <v>3</v>
      </c>
      <c r="AH1021" s="14" t="str">
        <f t="shared" si="211"/>
        <v>高顺魂火-29</v>
      </c>
      <c r="AI1021" s="14">
        <f t="shared" si="212"/>
        <v>29</v>
      </c>
      <c r="AJ1021" s="14" t="str">
        <f>INDEX(挂机升级突破!$BX$4:$CH$4,INDEX(挂机升级突破!$BU$6:$BU$57,卡牌消耗!AI1021))</f>
        <v>金币</v>
      </c>
      <c r="AK1021" s="14">
        <f>ROUND(INDEX(挂机升级突破!$BN$6:$BN$57,卡牌消耗!AI1021)*INDEX(卡牌消耗!$B$8:$F$8,AG1021)/$Q$4/50,0)*50</f>
        <v>6900</v>
      </c>
      <c r="AL1021" s="14" t="str">
        <f>IF(AD1021&gt;0,INDEX(挂机升级突破!$BX$4:$CH$4,AD1021),"")</f>
        <v>橙色基础材料</v>
      </c>
      <c r="AM1021" s="14">
        <f>ROUND(INDEX(挂机升级突破!$BX$6:$CH$57,卡牌消耗!AI1021,AD1021)*INDEX(卡牌消耗!$B$5:$F$5,AG1021)/$Q$4/5,0)*5</f>
        <v>100</v>
      </c>
      <c r="AN1021" s="14" t="str">
        <f>IF(AE1021&gt;0,INDEX(挂机升级突破!$BX$4:$CH$4,AE1021),"")</f>
        <v/>
      </c>
      <c r="AO1021" s="14" t="str">
        <f>IF(AE1021&gt;0,ROUND(INDEX(挂机升级突破!$BX$6:$CH$57,卡牌消耗!AI1021,AE1021)*INDEX(卡牌消耗!$B$7:$F$7,AG1021)/$Q$4,0),"")</f>
        <v/>
      </c>
    </row>
    <row r="1022" spans="27:41" ht="16.5" x14ac:dyDescent="0.2">
      <c r="AA1022" s="104">
        <v>1018</v>
      </c>
      <c r="AB1022" s="14">
        <f t="shared" si="208"/>
        <v>20</v>
      </c>
      <c r="AC1022" s="14">
        <f>INDEX(挂机升级突破!$BU$6:$BU$57,卡牌消耗!AI1022)</f>
        <v>11</v>
      </c>
      <c r="AD1022" s="14">
        <f>INDEX(挂机升级突破!BV$6:BV$57,卡牌消耗!$AI1022)</f>
        <v>4</v>
      </c>
      <c r="AE1022" s="14">
        <f>INDEX(挂机升级突破!BW$6:BW$57,卡牌消耗!$AI1022)</f>
        <v>0</v>
      </c>
      <c r="AF1022" s="14" t="str">
        <f t="shared" si="209"/>
        <v>高顺</v>
      </c>
      <c r="AG1022" s="14">
        <f t="shared" si="210"/>
        <v>3</v>
      </c>
      <c r="AH1022" s="14" t="str">
        <f t="shared" si="211"/>
        <v>高顺魂火-30</v>
      </c>
      <c r="AI1022" s="14">
        <f t="shared" si="212"/>
        <v>30</v>
      </c>
      <c r="AJ1022" s="14" t="str">
        <f>INDEX(挂机升级突破!$BX$4:$CH$4,INDEX(挂机升级突破!$BU$6:$BU$57,卡牌消耗!AI1022))</f>
        <v>金币</v>
      </c>
      <c r="AK1022" s="14">
        <f>ROUND(INDEX(挂机升级突破!$BN$6:$BN$57,卡牌消耗!AI1022)*INDEX(卡牌消耗!$B$8:$F$8,AG1022)/$Q$4/50,0)*50</f>
        <v>6900</v>
      </c>
      <c r="AL1022" s="14" t="str">
        <f>IF(AD1022&gt;0,INDEX(挂机升级突破!$BX$4:$CH$4,AD1022),"")</f>
        <v>橙色基础材料</v>
      </c>
      <c r="AM1022" s="14">
        <f>ROUND(INDEX(挂机升级突破!$BX$6:$CH$57,卡牌消耗!AI1022,AD1022)*INDEX(卡牌消耗!$B$5:$F$5,AG1022)/$Q$4/5,0)*5</f>
        <v>100</v>
      </c>
      <c r="AN1022" s="14" t="str">
        <f>IF(AE1022&gt;0,INDEX(挂机升级突破!$BX$4:$CH$4,AE1022),"")</f>
        <v/>
      </c>
      <c r="AO1022" s="14" t="str">
        <f>IF(AE1022&gt;0,ROUND(INDEX(挂机升级突破!$BX$6:$CH$57,卡牌消耗!AI1022,AE1022)*INDEX(卡牌消耗!$B$7:$F$7,AG1022)/$Q$4,0),"")</f>
        <v/>
      </c>
    </row>
    <row r="1023" spans="27:41" ht="16.5" x14ac:dyDescent="0.2">
      <c r="AA1023" s="104">
        <v>1019</v>
      </c>
      <c r="AB1023" s="14">
        <f t="shared" si="208"/>
        <v>20</v>
      </c>
      <c r="AC1023" s="14">
        <f>INDEX(挂机升级突破!$BU$6:$BU$57,卡牌消耗!AI1023)</f>
        <v>11</v>
      </c>
      <c r="AD1023" s="14">
        <f>INDEX(挂机升级突破!BV$6:BV$57,卡牌消耗!$AI1023)</f>
        <v>4</v>
      </c>
      <c r="AE1023" s="14">
        <f>INDEX(挂机升级突破!BW$6:BW$57,卡牌消耗!$AI1023)</f>
        <v>0</v>
      </c>
      <c r="AF1023" s="14" t="str">
        <f t="shared" si="209"/>
        <v>高顺</v>
      </c>
      <c r="AG1023" s="14">
        <f t="shared" si="210"/>
        <v>3</v>
      </c>
      <c r="AH1023" s="14" t="str">
        <f t="shared" si="211"/>
        <v>高顺魂火-31</v>
      </c>
      <c r="AI1023" s="14">
        <f t="shared" si="212"/>
        <v>31</v>
      </c>
      <c r="AJ1023" s="14" t="str">
        <f>INDEX(挂机升级突破!$BX$4:$CH$4,INDEX(挂机升级突破!$BU$6:$BU$57,卡牌消耗!AI1023))</f>
        <v>金币</v>
      </c>
      <c r="AK1023" s="14">
        <f>ROUND(INDEX(挂机升级突破!$BN$6:$BN$57,卡牌消耗!AI1023)*INDEX(卡牌消耗!$B$8:$F$8,AG1023)/$Q$4/50,0)*50</f>
        <v>6900</v>
      </c>
      <c r="AL1023" s="14" t="str">
        <f>IF(AD1023&gt;0,INDEX(挂机升级突破!$BX$4:$CH$4,AD1023),"")</f>
        <v>橙色基础材料</v>
      </c>
      <c r="AM1023" s="14">
        <f>ROUND(INDEX(挂机升级突破!$BX$6:$CH$57,卡牌消耗!AI1023,AD1023)*INDEX(卡牌消耗!$B$5:$F$5,AG1023)/$Q$4/5,0)*5</f>
        <v>100</v>
      </c>
      <c r="AN1023" s="14" t="str">
        <f>IF(AE1023&gt;0,INDEX(挂机升级突破!$BX$4:$CH$4,AE1023),"")</f>
        <v/>
      </c>
      <c r="AO1023" s="14" t="str">
        <f>IF(AE1023&gt;0,ROUND(INDEX(挂机升级突破!$BX$6:$CH$57,卡牌消耗!AI1023,AE1023)*INDEX(卡牌消耗!$B$7:$F$7,AG1023)/$Q$4,0),"")</f>
        <v/>
      </c>
    </row>
    <row r="1024" spans="27:41" ht="16.5" x14ac:dyDescent="0.2">
      <c r="AA1024" s="104">
        <v>1020</v>
      </c>
      <c r="AB1024" s="14">
        <f t="shared" si="208"/>
        <v>20</v>
      </c>
      <c r="AC1024" s="14">
        <f>INDEX(挂机升级突破!$BU$6:$BU$57,卡牌消耗!AI1024)</f>
        <v>11</v>
      </c>
      <c r="AD1024" s="14">
        <f>INDEX(挂机升级突破!BV$6:BV$57,卡牌消耗!$AI1024)</f>
        <v>4</v>
      </c>
      <c r="AE1024" s="14">
        <f>INDEX(挂机升级突破!BW$6:BW$57,卡牌消耗!$AI1024)</f>
        <v>0</v>
      </c>
      <c r="AF1024" s="14" t="str">
        <f t="shared" si="209"/>
        <v>高顺</v>
      </c>
      <c r="AG1024" s="14">
        <f t="shared" si="210"/>
        <v>3</v>
      </c>
      <c r="AH1024" s="14" t="str">
        <f t="shared" si="211"/>
        <v>高顺魂火-32</v>
      </c>
      <c r="AI1024" s="14">
        <f t="shared" si="212"/>
        <v>32</v>
      </c>
      <c r="AJ1024" s="14" t="str">
        <f>INDEX(挂机升级突破!$BX$4:$CH$4,INDEX(挂机升级突破!$BU$6:$BU$57,卡牌消耗!AI1024))</f>
        <v>金币</v>
      </c>
      <c r="AK1024" s="14">
        <f>ROUND(INDEX(挂机升级突破!$BN$6:$BN$57,卡牌消耗!AI1024)*INDEX(卡牌消耗!$B$8:$F$8,AG1024)/$Q$4/50,0)*50</f>
        <v>9500</v>
      </c>
      <c r="AL1024" s="14" t="str">
        <f>IF(AD1024&gt;0,INDEX(挂机升级突破!$BX$4:$CH$4,AD1024),"")</f>
        <v>橙色基础材料</v>
      </c>
      <c r="AM1024" s="14">
        <f>ROUND(INDEX(挂机升级突破!$BX$6:$CH$57,卡牌消耗!AI1024,AD1024)*INDEX(卡牌消耗!$B$5:$F$5,AG1024)/$Q$4/5,0)*5</f>
        <v>100</v>
      </c>
      <c r="AN1024" s="14" t="str">
        <f>IF(AE1024&gt;0,INDEX(挂机升级突破!$BX$4:$CH$4,AE1024),"")</f>
        <v/>
      </c>
      <c r="AO1024" s="14" t="str">
        <f>IF(AE1024&gt;0,ROUND(INDEX(挂机升级突破!$BX$6:$CH$57,卡牌消耗!AI1024,AE1024)*INDEX(卡牌消耗!$B$7:$F$7,AG1024)/$Q$4,0),"")</f>
        <v/>
      </c>
    </row>
    <row r="1025" spans="27:41" ht="16.5" x14ac:dyDescent="0.2">
      <c r="AA1025" s="104">
        <v>1021</v>
      </c>
      <c r="AB1025" s="14">
        <f t="shared" si="208"/>
        <v>20</v>
      </c>
      <c r="AC1025" s="14">
        <f>INDEX(挂机升级突破!$BU$6:$BU$57,卡牌消耗!AI1025)</f>
        <v>11</v>
      </c>
      <c r="AD1025" s="14">
        <f>INDEX(挂机升级突破!BV$6:BV$57,卡牌消耗!$AI1025)</f>
        <v>4</v>
      </c>
      <c r="AE1025" s="14">
        <f>INDEX(挂机升级突破!BW$6:BW$57,卡牌消耗!$AI1025)</f>
        <v>0</v>
      </c>
      <c r="AF1025" s="14" t="str">
        <f t="shared" si="209"/>
        <v>高顺</v>
      </c>
      <c r="AG1025" s="14">
        <f t="shared" si="210"/>
        <v>3</v>
      </c>
      <c r="AH1025" s="14" t="str">
        <f t="shared" si="211"/>
        <v>高顺魂火-33</v>
      </c>
      <c r="AI1025" s="14">
        <f t="shared" si="212"/>
        <v>33</v>
      </c>
      <c r="AJ1025" s="14" t="str">
        <f>INDEX(挂机升级突破!$BX$4:$CH$4,INDEX(挂机升级突破!$BU$6:$BU$57,卡牌消耗!AI1025))</f>
        <v>金币</v>
      </c>
      <c r="AK1025" s="14">
        <f>ROUND(INDEX(挂机升级突破!$BN$6:$BN$57,卡牌消耗!AI1025)*INDEX(卡牌消耗!$B$8:$F$8,AG1025)/$Q$4/50,0)*50</f>
        <v>9500</v>
      </c>
      <c r="AL1025" s="14" t="str">
        <f>IF(AD1025&gt;0,INDEX(挂机升级突破!$BX$4:$CH$4,AD1025),"")</f>
        <v>橙色基础材料</v>
      </c>
      <c r="AM1025" s="14">
        <f>ROUND(INDEX(挂机升级突破!$BX$6:$CH$57,卡牌消耗!AI1025,AD1025)*INDEX(卡牌消耗!$B$5:$F$5,AG1025)/$Q$4/5,0)*5</f>
        <v>100</v>
      </c>
      <c r="AN1025" s="14" t="str">
        <f>IF(AE1025&gt;0,INDEX(挂机升级突破!$BX$4:$CH$4,AE1025),"")</f>
        <v/>
      </c>
      <c r="AO1025" s="14" t="str">
        <f>IF(AE1025&gt;0,ROUND(INDEX(挂机升级突破!$BX$6:$CH$57,卡牌消耗!AI1025,AE1025)*INDEX(卡牌消耗!$B$7:$F$7,AG1025)/$Q$4,0),"")</f>
        <v/>
      </c>
    </row>
    <row r="1026" spans="27:41" ht="16.5" x14ac:dyDescent="0.2">
      <c r="AA1026" s="104">
        <v>1022</v>
      </c>
      <c r="AB1026" s="14">
        <f t="shared" si="208"/>
        <v>20</v>
      </c>
      <c r="AC1026" s="14">
        <f>INDEX(挂机升级突破!$BU$6:$BU$57,卡牌消耗!AI1026)</f>
        <v>11</v>
      </c>
      <c r="AD1026" s="14">
        <f>INDEX(挂机升级突破!BV$6:BV$57,卡牌消耗!$AI1026)</f>
        <v>4</v>
      </c>
      <c r="AE1026" s="14">
        <f>INDEX(挂机升级突破!BW$6:BW$57,卡牌消耗!$AI1026)</f>
        <v>0</v>
      </c>
      <c r="AF1026" s="14" t="str">
        <f t="shared" si="209"/>
        <v>高顺</v>
      </c>
      <c r="AG1026" s="14">
        <f t="shared" si="210"/>
        <v>3</v>
      </c>
      <c r="AH1026" s="14" t="str">
        <f t="shared" si="211"/>
        <v>高顺魂火-34</v>
      </c>
      <c r="AI1026" s="14">
        <f t="shared" si="212"/>
        <v>34</v>
      </c>
      <c r="AJ1026" s="14" t="str">
        <f>INDEX(挂机升级突破!$BX$4:$CH$4,INDEX(挂机升级突破!$BU$6:$BU$57,卡牌消耗!AI1026))</f>
        <v>金币</v>
      </c>
      <c r="AK1026" s="14">
        <f>ROUND(INDEX(挂机升级突破!$BN$6:$BN$57,卡牌消耗!AI1026)*INDEX(卡牌消耗!$B$8:$F$8,AG1026)/$Q$4/50,0)*50</f>
        <v>9500</v>
      </c>
      <c r="AL1026" s="14" t="str">
        <f>IF(AD1026&gt;0,INDEX(挂机升级突破!$BX$4:$CH$4,AD1026),"")</f>
        <v>橙色基础材料</v>
      </c>
      <c r="AM1026" s="14">
        <f>ROUND(INDEX(挂机升级突破!$BX$6:$CH$57,卡牌消耗!AI1026,AD1026)*INDEX(卡牌消耗!$B$5:$F$5,AG1026)/$Q$4/5,0)*5</f>
        <v>110</v>
      </c>
      <c r="AN1026" s="14" t="str">
        <f>IF(AE1026&gt;0,INDEX(挂机升级突破!$BX$4:$CH$4,AE1026),"")</f>
        <v/>
      </c>
      <c r="AO1026" s="14" t="str">
        <f>IF(AE1026&gt;0,ROUND(INDEX(挂机升级突破!$BX$6:$CH$57,卡牌消耗!AI1026,AE1026)*INDEX(卡牌消耗!$B$7:$F$7,AG1026)/$Q$4,0),"")</f>
        <v/>
      </c>
    </row>
    <row r="1027" spans="27:41" ht="16.5" x14ac:dyDescent="0.2">
      <c r="AA1027" s="104">
        <v>1023</v>
      </c>
      <c r="AB1027" s="14">
        <f t="shared" si="208"/>
        <v>20</v>
      </c>
      <c r="AC1027" s="14">
        <f>INDEX(挂机升级突破!$BU$6:$BU$57,卡牌消耗!AI1027)</f>
        <v>11</v>
      </c>
      <c r="AD1027" s="14">
        <f>INDEX(挂机升级突破!BV$6:BV$57,卡牌消耗!$AI1027)</f>
        <v>4</v>
      </c>
      <c r="AE1027" s="14">
        <f>INDEX(挂机升级突破!BW$6:BW$57,卡牌消耗!$AI1027)</f>
        <v>0</v>
      </c>
      <c r="AF1027" s="14" t="str">
        <f t="shared" si="209"/>
        <v>高顺</v>
      </c>
      <c r="AG1027" s="14">
        <f t="shared" si="210"/>
        <v>3</v>
      </c>
      <c r="AH1027" s="14" t="str">
        <f t="shared" si="211"/>
        <v>高顺魂火-35</v>
      </c>
      <c r="AI1027" s="14">
        <f t="shared" si="212"/>
        <v>35</v>
      </c>
      <c r="AJ1027" s="14" t="str">
        <f>INDEX(挂机升级突破!$BX$4:$CH$4,INDEX(挂机升级突破!$BU$6:$BU$57,卡牌消耗!AI1027))</f>
        <v>金币</v>
      </c>
      <c r="AK1027" s="14">
        <f>ROUND(INDEX(挂机升级突破!$BN$6:$BN$57,卡牌消耗!AI1027)*INDEX(卡牌消耗!$B$8:$F$8,AG1027)/$Q$4/50,0)*50</f>
        <v>12100</v>
      </c>
      <c r="AL1027" s="14" t="str">
        <f>IF(AD1027&gt;0,INDEX(挂机升级突破!$BX$4:$CH$4,AD1027),"")</f>
        <v>橙色基础材料</v>
      </c>
      <c r="AM1027" s="14">
        <f>ROUND(INDEX(挂机升级突破!$BX$6:$CH$57,卡牌消耗!AI1027,AD1027)*INDEX(卡牌消耗!$B$5:$F$5,AG1027)/$Q$4/5,0)*5</f>
        <v>110</v>
      </c>
      <c r="AN1027" s="14" t="str">
        <f>IF(AE1027&gt;0,INDEX(挂机升级突破!$BX$4:$CH$4,AE1027),"")</f>
        <v/>
      </c>
      <c r="AO1027" s="14" t="str">
        <f>IF(AE1027&gt;0,ROUND(INDEX(挂机升级突破!$BX$6:$CH$57,卡牌消耗!AI1027,AE1027)*INDEX(卡牌消耗!$B$7:$F$7,AG1027)/$Q$4,0),"")</f>
        <v/>
      </c>
    </row>
    <row r="1028" spans="27:41" ht="16.5" x14ac:dyDescent="0.2">
      <c r="AA1028" s="104">
        <v>1024</v>
      </c>
      <c r="AB1028" s="14">
        <f t="shared" si="208"/>
        <v>20</v>
      </c>
      <c r="AC1028" s="14">
        <f>INDEX(挂机升级突破!$BU$6:$BU$57,卡牌消耗!AI1028)</f>
        <v>11</v>
      </c>
      <c r="AD1028" s="14">
        <f>INDEX(挂机升级突破!BV$6:BV$57,卡牌消耗!$AI1028)</f>
        <v>4</v>
      </c>
      <c r="AE1028" s="14">
        <f>INDEX(挂机升级突破!BW$6:BW$57,卡牌消耗!$AI1028)</f>
        <v>0</v>
      </c>
      <c r="AF1028" s="14" t="str">
        <f t="shared" si="209"/>
        <v>高顺</v>
      </c>
      <c r="AG1028" s="14">
        <f t="shared" si="210"/>
        <v>3</v>
      </c>
      <c r="AH1028" s="14" t="str">
        <f t="shared" si="211"/>
        <v>高顺魂火-36</v>
      </c>
      <c r="AI1028" s="14">
        <f t="shared" si="212"/>
        <v>36</v>
      </c>
      <c r="AJ1028" s="14" t="str">
        <f>INDEX(挂机升级突破!$BX$4:$CH$4,INDEX(挂机升级突破!$BU$6:$BU$57,卡牌消耗!AI1028))</f>
        <v>金币</v>
      </c>
      <c r="AK1028" s="14">
        <f>ROUND(INDEX(挂机升级突破!$BN$6:$BN$57,卡牌消耗!AI1028)*INDEX(卡牌消耗!$B$8:$F$8,AG1028)/$Q$4/50,0)*50</f>
        <v>12100</v>
      </c>
      <c r="AL1028" s="14" t="str">
        <f>IF(AD1028&gt;0,INDEX(挂机升级突破!$BX$4:$CH$4,AD1028),"")</f>
        <v>橙色基础材料</v>
      </c>
      <c r="AM1028" s="14">
        <f>ROUND(INDEX(挂机升级突破!$BX$6:$CH$57,卡牌消耗!AI1028,AD1028)*INDEX(卡牌消耗!$B$5:$F$5,AG1028)/$Q$4/5,0)*5</f>
        <v>110</v>
      </c>
      <c r="AN1028" s="14" t="str">
        <f>IF(AE1028&gt;0,INDEX(挂机升级突破!$BX$4:$CH$4,AE1028),"")</f>
        <v/>
      </c>
      <c r="AO1028" s="14" t="str">
        <f>IF(AE1028&gt;0,ROUND(INDEX(挂机升级突破!$BX$6:$CH$57,卡牌消耗!AI1028,AE1028)*INDEX(卡牌消耗!$B$7:$F$7,AG1028)/$Q$4,0),"")</f>
        <v/>
      </c>
    </row>
    <row r="1029" spans="27:41" ht="16.5" x14ac:dyDescent="0.2">
      <c r="AA1029" s="104">
        <v>1025</v>
      </c>
      <c r="AB1029" s="14">
        <f t="shared" si="208"/>
        <v>20</v>
      </c>
      <c r="AC1029" s="14">
        <f>INDEX(挂机升级突破!$BU$6:$BU$57,卡牌消耗!AI1029)</f>
        <v>11</v>
      </c>
      <c r="AD1029" s="14">
        <f>INDEX(挂机升级突破!BV$6:BV$57,卡牌消耗!$AI1029)</f>
        <v>4</v>
      </c>
      <c r="AE1029" s="14">
        <f>INDEX(挂机升级突破!BW$6:BW$57,卡牌消耗!$AI1029)</f>
        <v>0</v>
      </c>
      <c r="AF1029" s="14" t="str">
        <f t="shared" si="209"/>
        <v>高顺</v>
      </c>
      <c r="AG1029" s="14">
        <f t="shared" si="210"/>
        <v>3</v>
      </c>
      <c r="AH1029" s="14" t="str">
        <f t="shared" si="211"/>
        <v>高顺魂火-37</v>
      </c>
      <c r="AI1029" s="14">
        <f t="shared" si="212"/>
        <v>37</v>
      </c>
      <c r="AJ1029" s="14" t="str">
        <f>INDEX(挂机升级突破!$BX$4:$CH$4,INDEX(挂机升级突破!$BU$6:$BU$57,卡牌消耗!AI1029))</f>
        <v>金币</v>
      </c>
      <c r="AK1029" s="14">
        <f>ROUND(INDEX(挂机升级突破!$BN$6:$BN$57,卡牌消耗!AI1029)*INDEX(卡牌消耗!$B$8:$F$8,AG1029)/$Q$4/50,0)*50</f>
        <v>12950</v>
      </c>
      <c r="AL1029" s="14" t="str">
        <f>IF(AD1029&gt;0,INDEX(挂机升级突破!$BX$4:$CH$4,AD1029),"")</f>
        <v>橙色基础材料</v>
      </c>
      <c r="AM1029" s="14">
        <f>ROUND(INDEX(挂机升级突破!$BX$6:$CH$57,卡牌消耗!AI1029,AD1029)*INDEX(卡牌消耗!$B$5:$F$5,AG1029)/$Q$4/5,0)*5</f>
        <v>110</v>
      </c>
      <c r="AN1029" s="14" t="str">
        <f>IF(AE1029&gt;0,INDEX(挂机升级突破!$BX$4:$CH$4,AE1029),"")</f>
        <v/>
      </c>
      <c r="AO1029" s="14" t="str">
        <f>IF(AE1029&gt;0,ROUND(INDEX(挂机升级突破!$BX$6:$CH$57,卡牌消耗!AI1029,AE1029)*INDEX(卡牌消耗!$B$7:$F$7,AG1029)/$Q$4,0),"")</f>
        <v/>
      </c>
    </row>
    <row r="1030" spans="27:41" ht="16.5" x14ac:dyDescent="0.2">
      <c r="AA1030" s="104">
        <v>1026</v>
      </c>
      <c r="AB1030" s="14">
        <f t="shared" ref="AB1030:AB1093" si="213">INT((AA1030-1)/52)+1</f>
        <v>20</v>
      </c>
      <c r="AC1030" s="14">
        <f>INDEX(挂机升级突破!$BU$6:$BU$57,卡牌消耗!AI1030)</f>
        <v>11</v>
      </c>
      <c r="AD1030" s="14">
        <f>INDEX(挂机升级突破!BV$6:BV$57,卡牌消耗!$AI1030)</f>
        <v>5</v>
      </c>
      <c r="AE1030" s="14">
        <f>INDEX(挂机升级突破!BW$6:BW$57,卡牌消耗!$AI1030)</f>
        <v>0</v>
      </c>
      <c r="AF1030" s="14" t="str">
        <f t="shared" ref="AF1030:AF1093" si="214">INDEX($B$13:$B$40,AB1030)</f>
        <v>高顺</v>
      </c>
      <c r="AG1030" s="14">
        <f t="shared" ref="AG1030:AG1093" si="215">INDEX($C$13:$C$40,AB1030)</f>
        <v>3</v>
      </c>
      <c r="AH1030" s="14" t="str">
        <f t="shared" ref="AH1030:AH1093" si="216">AF1030&amp;"魂火-"&amp;AI1030</f>
        <v>高顺魂火-38</v>
      </c>
      <c r="AI1030" s="14">
        <f t="shared" ref="AI1030:AI1093" si="217">AA1030-(AB1030-1)*52</f>
        <v>38</v>
      </c>
      <c r="AJ1030" s="14" t="str">
        <f>INDEX(挂机升级突破!$BX$4:$CH$4,INDEX(挂机升级突破!$BU$6:$BU$57,卡牌消耗!AI1030))</f>
        <v>金币</v>
      </c>
      <c r="AK1030" s="14">
        <f>ROUND(INDEX(挂机升级突破!$BN$6:$BN$57,卡牌消耗!AI1030)*INDEX(卡牌消耗!$B$8:$F$8,AG1030)/$Q$4/50,0)*50</f>
        <v>16700</v>
      </c>
      <c r="AL1030" s="14" t="str">
        <f>IF(AD1030&gt;0,INDEX(挂机升级突破!$BX$4:$CH$4,AD1030),"")</f>
        <v>红色基础材料</v>
      </c>
      <c r="AM1030" s="14">
        <f>ROUND(INDEX(挂机升级突破!$BX$6:$CH$57,卡牌消耗!AI1030,AD1030)*INDEX(卡牌消耗!$B$5:$F$5,AG1030)/$Q$4/5,0)*5</f>
        <v>45</v>
      </c>
      <c r="AN1030" s="14" t="str">
        <f>IF(AE1030&gt;0,INDEX(挂机升级突破!$BX$4:$CH$4,AE1030),"")</f>
        <v/>
      </c>
      <c r="AO1030" s="14" t="str">
        <f>IF(AE1030&gt;0,ROUND(INDEX(挂机升级突破!$BX$6:$CH$57,卡牌消耗!AI1030,AE1030)*INDEX(卡牌消耗!$B$7:$F$7,AG1030)/$Q$4,0),"")</f>
        <v/>
      </c>
    </row>
    <row r="1031" spans="27:41" ht="16.5" x14ac:dyDescent="0.2">
      <c r="AA1031" s="104">
        <v>1027</v>
      </c>
      <c r="AB1031" s="14">
        <f t="shared" si="213"/>
        <v>20</v>
      </c>
      <c r="AC1031" s="14">
        <f>INDEX(挂机升级突破!$BU$6:$BU$57,卡牌消耗!AI1031)</f>
        <v>11</v>
      </c>
      <c r="AD1031" s="14">
        <f>INDEX(挂机升级突破!BV$6:BV$57,卡牌消耗!$AI1031)</f>
        <v>5</v>
      </c>
      <c r="AE1031" s="14">
        <f>INDEX(挂机升级突破!BW$6:BW$57,卡牌消耗!$AI1031)</f>
        <v>0</v>
      </c>
      <c r="AF1031" s="14" t="str">
        <f t="shared" si="214"/>
        <v>高顺</v>
      </c>
      <c r="AG1031" s="14">
        <f t="shared" si="215"/>
        <v>3</v>
      </c>
      <c r="AH1031" s="14" t="str">
        <f t="shared" si="216"/>
        <v>高顺魂火-39</v>
      </c>
      <c r="AI1031" s="14">
        <f t="shared" si="217"/>
        <v>39</v>
      </c>
      <c r="AJ1031" s="14" t="str">
        <f>INDEX(挂机升级突破!$BX$4:$CH$4,INDEX(挂机升级突破!$BU$6:$BU$57,卡牌消耗!AI1031))</f>
        <v>金币</v>
      </c>
      <c r="AK1031" s="14">
        <f>ROUND(INDEX(挂机升级突破!$BN$6:$BN$57,卡牌消耗!AI1031)*INDEX(卡牌消耗!$B$8:$F$8,AG1031)/$Q$4/50,0)*50</f>
        <v>16700</v>
      </c>
      <c r="AL1031" s="14" t="str">
        <f>IF(AD1031&gt;0,INDEX(挂机升级突破!$BX$4:$CH$4,AD1031),"")</f>
        <v>红色基础材料</v>
      </c>
      <c r="AM1031" s="14">
        <f>ROUND(INDEX(挂机升级突破!$BX$6:$CH$57,卡牌消耗!AI1031,AD1031)*INDEX(卡牌消耗!$B$5:$F$5,AG1031)/$Q$4/5,0)*5</f>
        <v>45</v>
      </c>
      <c r="AN1031" s="14" t="str">
        <f>IF(AE1031&gt;0,INDEX(挂机升级突破!$BX$4:$CH$4,AE1031),"")</f>
        <v/>
      </c>
      <c r="AO1031" s="14" t="str">
        <f>IF(AE1031&gt;0,ROUND(INDEX(挂机升级突破!$BX$6:$CH$57,卡牌消耗!AI1031,AE1031)*INDEX(卡牌消耗!$B$7:$F$7,AG1031)/$Q$4,0),"")</f>
        <v/>
      </c>
    </row>
    <row r="1032" spans="27:41" ht="16.5" x14ac:dyDescent="0.2">
      <c r="AA1032" s="104">
        <v>1028</v>
      </c>
      <c r="AB1032" s="14">
        <f t="shared" si="213"/>
        <v>20</v>
      </c>
      <c r="AC1032" s="14">
        <f>INDEX(挂机升级突破!$BU$6:$BU$57,卡牌消耗!AI1032)</f>
        <v>11</v>
      </c>
      <c r="AD1032" s="14">
        <f>INDEX(挂机升级突破!BV$6:BV$57,卡牌消耗!$AI1032)</f>
        <v>5</v>
      </c>
      <c r="AE1032" s="14">
        <f>INDEX(挂机升级突破!BW$6:BW$57,卡牌消耗!$AI1032)</f>
        <v>0</v>
      </c>
      <c r="AF1032" s="14" t="str">
        <f t="shared" si="214"/>
        <v>高顺</v>
      </c>
      <c r="AG1032" s="14">
        <f t="shared" si="215"/>
        <v>3</v>
      </c>
      <c r="AH1032" s="14" t="str">
        <f t="shared" si="216"/>
        <v>高顺魂火-40</v>
      </c>
      <c r="AI1032" s="14">
        <f t="shared" si="217"/>
        <v>40</v>
      </c>
      <c r="AJ1032" s="14" t="str">
        <f>INDEX(挂机升级突破!$BX$4:$CH$4,INDEX(挂机升级突破!$BU$6:$BU$57,卡牌消耗!AI1032))</f>
        <v>金币</v>
      </c>
      <c r="AK1032" s="14">
        <f>ROUND(INDEX(挂机升级突破!$BN$6:$BN$57,卡牌消耗!AI1032)*INDEX(卡牌消耗!$B$8:$F$8,AG1032)/$Q$4/50,0)*50</f>
        <v>16700</v>
      </c>
      <c r="AL1032" s="14" t="str">
        <f>IF(AD1032&gt;0,INDEX(挂机升级突破!$BX$4:$CH$4,AD1032),"")</f>
        <v>红色基础材料</v>
      </c>
      <c r="AM1032" s="14">
        <f>ROUND(INDEX(挂机升级突破!$BX$6:$CH$57,卡牌消耗!AI1032,AD1032)*INDEX(卡牌消耗!$B$5:$F$5,AG1032)/$Q$4/5,0)*5</f>
        <v>45</v>
      </c>
      <c r="AN1032" s="14" t="str">
        <f>IF(AE1032&gt;0,INDEX(挂机升级突破!$BX$4:$CH$4,AE1032),"")</f>
        <v/>
      </c>
      <c r="AO1032" s="14" t="str">
        <f>IF(AE1032&gt;0,ROUND(INDEX(挂机升级突破!$BX$6:$CH$57,卡牌消耗!AI1032,AE1032)*INDEX(卡牌消耗!$B$7:$F$7,AG1032)/$Q$4,0),"")</f>
        <v/>
      </c>
    </row>
    <row r="1033" spans="27:41" ht="16.5" x14ac:dyDescent="0.2">
      <c r="AA1033" s="104">
        <v>1029</v>
      </c>
      <c r="AB1033" s="14">
        <f t="shared" si="213"/>
        <v>20</v>
      </c>
      <c r="AC1033" s="14">
        <f>INDEX(挂机升级突破!$BU$6:$BU$57,卡牌消耗!AI1033)</f>
        <v>11</v>
      </c>
      <c r="AD1033" s="14">
        <f>INDEX(挂机升级突破!BV$6:BV$57,卡牌消耗!$AI1033)</f>
        <v>5</v>
      </c>
      <c r="AE1033" s="14">
        <f>INDEX(挂机升级突破!BW$6:BW$57,卡牌消耗!$AI1033)</f>
        <v>10</v>
      </c>
      <c r="AF1033" s="14" t="str">
        <f t="shared" si="214"/>
        <v>高顺</v>
      </c>
      <c r="AG1033" s="14">
        <f t="shared" si="215"/>
        <v>3</v>
      </c>
      <c r="AH1033" s="14" t="str">
        <f t="shared" si="216"/>
        <v>高顺魂火-41</v>
      </c>
      <c r="AI1033" s="14">
        <f t="shared" si="217"/>
        <v>41</v>
      </c>
      <c r="AJ1033" s="14" t="str">
        <f>INDEX(挂机升级突破!$BX$4:$CH$4,INDEX(挂机升级突破!$BU$6:$BU$57,卡牌消耗!AI1033))</f>
        <v>金币</v>
      </c>
      <c r="AK1033" s="14">
        <f>ROUND(INDEX(挂机升级突破!$BN$6:$BN$57,卡牌消耗!AI1033)*INDEX(卡牌消耗!$B$8:$F$8,AG1033)/$Q$4/50,0)*50</f>
        <v>23000</v>
      </c>
      <c r="AL1033" s="14" t="str">
        <f>IF(AD1033&gt;0,INDEX(挂机升级突破!$BX$4:$CH$4,AD1033),"")</f>
        <v>红色基础材料</v>
      </c>
      <c r="AM1033" s="14">
        <f>ROUND(INDEX(挂机升级突破!$BX$6:$CH$57,卡牌消耗!AI1033,AD1033)*INDEX(卡牌消耗!$B$5:$F$5,AG1033)/$Q$4/5,0)*5</f>
        <v>55</v>
      </c>
      <c r="AN1033" s="14" t="str">
        <f>IF(AE1033&gt;0,INDEX(挂机升级突破!$BX$4:$CH$4,AE1033),"")</f>
        <v>灵玉</v>
      </c>
      <c r="AO1033" s="14">
        <f>IF(AE1033&gt;0,ROUND(INDEX(挂机升级突破!$BX$6:$CH$57,卡牌消耗!AI1033,AE1033)*INDEX(卡牌消耗!$B$7:$F$7,AG1033)/$Q$4,0),"")</f>
        <v>1</v>
      </c>
    </row>
    <row r="1034" spans="27:41" ht="16.5" x14ac:dyDescent="0.2">
      <c r="AA1034" s="104">
        <v>1030</v>
      </c>
      <c r="AB1034" s="14">
        <f t="shared" si="213"/>
        <v>20</v>
      </c>
      <c r="AC1034" s="14">
        <f>INDEX(挂机升级突破!$BU$6:$BU$57,卡牌消耗!AI1034)</f>
        <v>11</v>
      </c>
      <c r="AD1034" s="14">
        <f>INDEX(挂机升级突破!BV$6:BV$57,卡牌消耗!$AI1034)</f>
        <v>5</v>
      </c>
      <c r="AE1034" s="14">
        <f>INDEX(挂机升级突破!BW$6:BW$57,卡牌消耗!$AI1034)</f>
        <v>10</v>
      </c>
      <c r="AF1034" s="14" t="str">
        <f t="shared" si="214"/>
        <v>高顺</v>
      </c>
      <c r="AG1034" s="14">
        <f t="shared" si="215"/>
        <v>3</v>
      </c>
      <c r="AH1034" s="14" t="str">
        <f t="shared" si="216"/>
        <v>高顺魂火-42</v>
      </c>
      <c r="AI1034" s="14">
        <f t="shared" si="217"/>
        <v>42</v>
      </c>
      <c r="AJ1034" s="14" t="str">
        <f>INDEX(挂机升级突破!$BX$4:$CH$4,INDEX(挂机升级突破!$BU$6:$BU$57,卡牌消耗!AI1034))</f>
        <v>金币</v>
      </c>
      <c r="AK1034" s="14">
        <f>ROUND(INDEX(挂机升级突破!$BN$6:$BN$57,卡牌消耗!AI1034)*INDEX(卡牌消耗!$B$8:$F$8,AG1034)/$Q$4/50,0)*50</f>
        <v>23000</v>
      </c>
      <c r="AL1034" s="14" t="str">
        <f>IF(AD1034&gt;0,INDEX(挂机升级突破!$BX$4:$CH$4,AD1034),"")</f>
        <v>红色基础材料</v>
      </c>
      <c r="AM1034" s="14">
        <f>ROUND(INDEX(挂机升级突破!$BX$6:$CH$57,卡牌消耗!AI1034,AD1034)*INDEX(卡牌消耗!$B$5:$F$5,AG1034)/$Q$4/5,0)*5</f>
        <v>55</v>
      </c>
      <c r="AN1034" s="14" t="str">
        <f>IF(AE1034&gt;0,INDEX(挂机升级突破!$BX$4:$CH$4,AE1034),"")</f>
        <v>灵玉</v>
      </c>
      <c r="AO1034" s="14">
        <f>IF(AE1034&gt;0,ROUND(INDEX(挂机升级突破!$BX$6:$CH$57,卡牌消耗!AI1034,AE1034)*INDEX(卡牌消耗!$B$7:$F$7,AG1034)/$Q$4,0),"")</f>
        <v>1</v>
      </c>
    </row>
    <row r="1035" spans="27:41" ht="16.5" x14ac:dyDescent="0.2">
      <c r="AA1035" s="104">
        <v>1031</v>
      </c>
      <c r="AB1035" s="14">
        <f t="shared" si="213"/>
        <v>20</v>
      </c>
      <c r="AC1035" s="14">
        <f>INDEX(挂机升级突破!$BU$6:$BU$57,卡牌消耗!AI1035)</f>
        <v>11</v>
      </c>
      <c r="AD1035" s="14">
        <f>INDEX(挂机升级突破!BV$6:BV$57,卡牌消耗!$AI1035)</f>
        <v>5</v>
      </c>
      <c r="AE1035" s="14">
        <f>INDEX(挂机升级突破!BW$6:BW$57,卡牌消耗!$AI1035)</f>
        <v>10</v>
      </c>
      <c r="AF1035" s="14" t="str">
        <f t="shared" si="214"/>
        <v>高顺</v>
      </c>
      <c r="AG1035" s="14">
        <f t="shared" si="215"/>
        <v>3</v>
      </c>
      <c r="AH1035" s="14" t="str">
        <f t="shared" si="216"/>
        <v>高顺魂火-43</v>
      </c>
      <c r="AI1035" s="14">
        <f t="shared" si="217"/>
        <v>43</v>
      </c>
      <c r="AJ1035" s="14" t="str">
        <f>INDEX(挂机升级突破!$BX$4:$CH$4,INDEX(挂机升级突破!$BU$6:$BU$57,卡牌消耗!AI1035))</f>
        <v>金币</v>
      </c>
      <c r="AK1035" s="14">
        <f>ROUND(INDEX(挂机升级突破!$BN$6:$BN$57,卡牌消耗!AI1035)*INDEX(卡牌消耗!$B$8:$F$8,AG1035)/$Q$4/50,0)*50</f>
        <v>23000</v>
      </c>
      <c r="AL1035" s="14" t="str">
        <f>IF(AD1035&gt;0,INDEX(挂机升级突破!$BX$4:$CH$4,AD1035),"")</f>
        <v>红色基础材料</v>
      </c>
      <c r="AM1035" s="14">
        <f>ROUND(INDEX(挂机升级突破!$BX$6:$CH$57,卡牌消耗!AI1035,AD1035)*INDEX(卡牌消耗!$B$5:$F$5,AG1035)/$Q$4/5,0)*5</f>
        <v>55</v>
      </c>
      <c r="AN1035" s="14" t="str">
        <f>IF(AE1035&gt;0,INDEX(挂机升级突破!$BX$4:$CH$4,AE1035),"")</f>
        <v>灵玉</v>
      </c>
      <c r="AO1035" s="14">
        <f>IF(AE1035&gt;0,ROUND(INDEX(挂机升级突破!$BX$6:$CH$57,卡牌消耗!AI1035,AE1035)*INDEX(卡牌消耗!$B$7:$F$7,AG1035)/$Q$4,0),"")</f>
        <v>1</v>
      </c>
    </row>
    <row r="1036" spans="27:41" ht="16.5" x14ac:dyDescent="0.2">
      <c r="AA1036" s="104">
        <v>1032</v>
      </c>
      <c r="AB1036" s="14">
        <f t="shared" si="213"/>
        <v>20</v>
      </c>
      <c r="AC1036" s="14">
        <f>INDEX(挂机升级突破!$BU$6:$BU$57,卡牌消耗!AI1036)</f>
        <v>11</v>
      </c>
      <c r="AD1036" s="14">
        <f>INDEX(挂机升级突破!BV$6:BV$57,卡牌消耗!$AI1036)</f>
        <v>5</v>
      </c>
      <c r="AE1036" s="14">
        <f>INDEX(挂机升级突破!BW$6:BW$57,卡牌消耗!$AI1036)</f>
        <v>10</v>
      </c>
      <c r="AF1036" s="14" t="str">
        <f t="shared" si="214"/>
        <v>高顺</v>
      </c>
      <c r="AG1036" s="14">
        <f t="shared" si="215"/>
        <v>3</v>
      </c>
      <c r="AH1036" s="14" t="str">
        <f t="shared" si="216"/>
        <v>高顺魂火-44</v>
      </c>
      <c r="AI1036" s="14">
        <f t="shared" si="217"/>
        <v>44</v>
      </c>
      <c r="AJ1036" s="14" t="str">
        <f>INDEX(挂机升级突破!$BX$4:$CH$4,INDEX(挂机升级突破!$BU$6:$BU$57,卡牌消耗!AI1036))</f>
        <v>金币</v>
      </c>
      <c r="AK1036" s="14">
        <f>ROUND(INDEX(挂机升级突破!$BN$6:$BN$57,卡牌消耗!AI1036)*INDEX(卡牌消耗!$B$8:$F$8,AG1036)/$Q$4/50,0)*50</f>
        <v>29250</v>
      </c>
      <c r="AL1036" s="14" t="str">
        <f>IF(AD1036&gt;0,INDEX(挂机升级突破!$BX$4:$CH$4,AD1036),"")</f>
        <v>红色基础材料</v>
      </c>
      <c r="AM1036" s="14">
        <f>ROUND(INDEX(挂机升级突破!$BX$6:$CH$57,卡牌消耗!AI1036,AD1036)*INDEX(卡牌消耗!$B$5:$F$5,AG1036)/$Q$4/5,0)*5</f>
        <v>65</v>
      </c>
      <c r="AN1036" s="14" t="str">
        <f>IF(AE1036&gt;0,INDEX(挂机升级突破!$BX$4:$CH$4,AE1036),"")</f>
        <v>灵玉</v>
      </c>
      <c r="AO1036" s="14">
        <f>IF(AE1036&gt;0,ROUND(INDEX(挂机升级突破!$BX$6:$CH$57,卡牌消耗!AI1036,AE1036)*INDEX(卡牌消耗!$B$7:$F$7,AG1036)/$Q$4,0),"")</f>
        <v>1</v>
      </c>
    </row>
    <row r="1037" spans="27:41" ht="16.5" x14ac:dyDescent="0.2">
      <c r="AA1037" s="104">
        <v>1033</v>
      </c>
      <c r="AB1037" s="14">
        <f t="shared" si="213"/>
        <v>20</v>
      </c>
      <c r="AC1037" s="14">
        <f>INDEX(挂机升级突破!$BU$6:$BU$57,卡牌消耗!AI1037)</f>
        <v>11</v>
      </c>
      <c r="AD1037" s="14">
        <f>INDEX(挂机升级突破!BV$6:BV$57,卡牌消耗!$AI1037)</f>
        <v>5</v>
      </c>
      <c r="AE1037" s="14">
        <f>INDEX(挂机升级突破!BW$6:BW$57,卡牌消耗!$AI1037)</f>
        <v>10</v>
      </c>
      <c r="AF1037" s="14" t="str">
        <f t="shared" si="214"/>
        <v>高顺</v>
      </c>
      <c r="AG1037" s="14">
        <f t="shared" si="215"/>
        <v>3</v>
      </c>
      <c r="AH1037" s="14" t="str">
        <f t="shared" si="216"/>
        <v>高顺魂火-45</v>
      </c>
      <c r="AI1037" s="14">
        <f t="shared" si="217"/>
        <v>45</v>
      </c>
      <c r="AJ1037" s="14" t="str">
        <f>INDEX(挂机升级突破!$BX$4:$CH$4,INDEX(挂机升级突破!$BU$6:$BU$57,卡牌消耗!AI1037))</f>
        <v>金币</v>
      </c>
      <c r="AK1037" s="14">
        <f>ROUND(INDEX(挂机升级突破!$BN$6:$BN$57,卡牌消耗!AI1037)*INDEX(卡牌消耗!$B$8:$F$8,AG1037)/$Q$4/50,0)*50</f>
        <v>29250</v>
      </c>
      <c r="AL1037" s="14" t="str">
        <f>IF(AD1037&gt;0,INDEX(挂机升级突破!$BX$4:$CH$4,AD1037),"")</f>
        <v>红色基础材料</v>
      </c>
      <c r="AM1037" s="14">
        <f>ROUND(INDEX(挂机升级突破!$BX$6:$CH$57,卡牌消耗!AI1037,AD1037)*INDEX(卡牌消耗!$B$5:$F$5,AG1037)/$Q$4/5,0)*5</f>
        <v>65</v>
      </c>
      <c r="AN1037" s="14" t="str">
        <f>IF(AE1037&gt;0,INDEX(挂机升级突破!$BX$4:$CH$4,AE1037),"")</f>
        <v>灵玉</v>
      </c>
      <c r="AO1037" s="14">
        <f>IF(AE1037&gt;0,ROUND(INDEX(挂机升级突破!$BX$6:$CH$57,卡牌消耗!AI1037,AE1037)*INDEX(卡牌消耗!$B$7:$F$7,AG1037)/$Q$4,0),"")</f>
        <v>1</v>
      </c>
    </row>
    <row r="1038" spans="27:41" ht="16.5" x14ac:dyDescent="0.2">
      <c r="AA1038" s="104">
        <v>1034</v>
      </c>
      <c r="AB1038" s="14">
        <f t="shared" si="213"/>
        <v>20</v>
      </c>
      <c r="AC1038" s="14">
        <f>INDEX(挂机升级突破!$BU$6:$BU$57,卡牌消耗!AI1038)</f>
        <v>11</v>
      </c>
      <c r="AD1038" s="14">
        <f>INDEX(挂机升级突破!BV$6:BV$57,卡牌消耗!$AI1038)</f>
        <v>5</v>
      </c>
      <c r="AE1038" s="14">
        <f>INDEX(挂机升级突破!BW$6:BW$57,卡牌消耗!$AI1038)</f>
        <v>10</v>
      </c>
      <c r="AF1038" s="14" t="str">
        <f t="shared" si="214"/>
        <v>高顺</v>
      </c>
      <c r="AG1038" s="14">
        <f t="shared" si="215"/>
        <v>3</v>
      </c>
      <c r="AH1038" s="14" t="str">
        <f t="shared" si="216"/>
        <v>高顺魂火-46</v>
      </c>
      <c r="AI1038" s="14">
        <f t="shared" si="217"/>
        <v>46</v>
      </c>
      <c r="AJ1038" s="14" t="str">
        <f>INDEX(挂机升级突破!$BX$4:$CH$4,INDEX(挂机升级突破!$BU$6:$BU$57,卡牌消耗!AI1038))</f>
        <v>金币</v>
      </c>
      <c r="AK1038" s="14">
        <f>ROUND(INDEX(挂机升级突破!$BN$6:$BN$57,卡牌消耗!AI1038)*INDEX(卡牌消耗!$B$8:$F$8,AG1038)/$Q$4/50,0)*50</f>
        <v>31350</v>
      </c>
      <c r="AL1038" s="14" t="str">
        <f>IF(AD1038&gt;0,INDEX(挂机升级突破!$BX$4:$CH$4,AD1038),"")</f>
        <v>红色基础材料</v>
      </c>
      <c r="AM1038" s="14">
        <f>ROUND(INDEX(挂机升级突破!$BX$6:$CH$57,卡牌消耗!AI1038,AD1038)*INDEX(卡牌消耗!$B$5:$F$5,AG1038)/$Q$4/5,0)*5</f>
        <v>65</v>
      </c>
      <c r="AN1038" s="14" t="str">
        <f>IF(AE1038&gt;0,INDEX(挂机升级突破!$BX$4:$CH$4,AE1038),"")</f>
        <v>灵玉</v>
      </c>
      <c r="AO1038" s="14">
        <f>IF(AE1038&gt;0,ROUND(INDEX(挂机升级突破!$BX$6:$CH$57,卡牌消耗!AI1038,AE1038)*INDEX(卡牌消耗!$B$7:$F$7,AG1038)/$Q$4,0),"")</f>
        <v>1</v>
      </c>
    </row>
    <row r="1039" spans="27:41" ht="16.5" x14ac:dyDescent="0.2">
      <c r="AA1039" s="104">
        <v>1035</v>
      </c>
      <c r="AB1039" s="14">
        <f t="shared" si="213"/>
        <v>20</v>
      </c>
      <c r="AC1039" s="14">
        <f>INDEX(挂机升级突破!$BU$6:$BU$57,卡牌消耗!AI1039)</f>
        <v>11</v>
      </c>
      <c r="AD1039" s="14">
        <f>INDEX(挂机升级突破!BV$6:BV$57,卡牌消耗!$AI1039)</f>
        <v>5</v>
      </c>
      <c r="AE1039" s="14">
        <f>INDEX(挂机升级突破!BW$6:BW$57,卡牌消耗!$AI1039)</f>
        <v>10</v>
      </c>
      <c r="AF1039" s="14" t="str">
        <f t="shared" si="214"/>
        <v>高顺</v>
      </c>
      <c r="AG1039" s="14">
        <f t="shared" si="215"/>
        <v>3</v>
      </c>
      <c r="AH1039" s="14" t="str">
        <f t="shared" si="216"/>
        <v>高顺魂火-47</v>
      </c>
      <c r="AI1039" s="14">
        <f t="shared" si="217"/>
        <v>47</v>
      </c>
      <c r="AJ1039" s="14" t="str">
        <f>INDEX(挂机升级突破!$BX$4:$CH$4,INDEX(挂机升级突破!$BU$6:$BU$57,卡牌消耗!AI1039))</f>
        <v>金币</v>
      </c>
      <c r="AK1039" s="14">
        <f>ROUND(INDEX(挂机升级突破!$BN$6:$BN$57,卡牌消耗!AI1039)*INDEX(卡牌消耗!$B$8:$F$8,AG1039)/$Q$4/50,0)*50</f>
        <v>151950</v>
      </c>
      <c r="AL1039" s="14" t="str">
        <f>IF(AD1039&gt;0,INDEX(挂机升级突破!$BX$4:$CH$4,AD1039),"")</f>
        <v>红色基础材料</v>
      </c>
      <c r="AM1039" s="14">
        <f>ROUND(INDEX(挂机升级突破!$BX$6:$CH$57,卡牌消耗!AI1039,AD1039)*INDEX(卡牌消耗!$B$5:$F$5,AG1039)/$Q$4/5,0)*5</f>
        <v>65</v>
      </c>
      <c r="AN1039" s="14" t="str">
        <f>IF(AE1039&gt;0,INDEX(挂机升级突破!$BX$4:$CH$4,AE1039),"")</f>
        <v>灵玉</v>
      </c>
      <c r="AO1039" s="14">
        <f>IF(AE1039&gt;0,ROUND(INDEX(挂机升级突破!$BX$6:$CH$57,卡牌消耗!AI1039,AE1039)*INDEX(卡牌消耗!$B$7:$F$7,AG1039)/$Q$4,0),"")</f>
        <v>1</v>
      </c>
    </row>
    <row r="1040" spans="27:41" ht="16.5" x14ac:dyDescent="0.2">
      <c r="AA1040" s="104">
        <v>1036</v>
      </c>
      <c r="AB1040" s="14">
        <f t="shared" si="213"/>
        <v>20</v>
      </c>
      <c r="AC1040" s="14">
        <f>INDEX(挂机升级突破!$BU$6:$BU$57,卡牌消耗!AI1040)</f>
        <v>11</v>
      </c>
      <c r="AD1040" s="14">
        <f>INDEX(挂机升级突破!BV$6:BV$57,卡牌消耗!$AI1040)</f>
        <v>5</v>
      </c>
      <c r="AE1040" s="14">
        <f>INDEX(挂机升级突破!BW$6:BW$57,卡牌消耗!$AI1040)</f>
        <v>10</v>
      </c>
      <c r="AF1040" s="14" t="str">
        <f t="shared" si="214"/>
        <v>高顺</v>
      </c>
      <c r="AG1040" s="14">
        <f t="shared" si="215"/>
        <v>3</v>
      </c>
      <c r="AH1040" s="14" t="str">
        <f t="shared" si="216"/>
        <v>高顺魂火-48</v>
      </c>
      <c r="AI1040" s="14">
        <f t="shared" si="217"/>
        <v>48</v>
      </c>
      <c r="AJ1040" s="14" t="str">
        <f>INDEX(挂机升级突破!$BX$4:$CH$4,INDEX(挂机升级突破!$BU$6:$BU$57,卡牌消耗!AI1040))</f>
        <v>金币</v>
      </c>
      <c r="AK1040" s="14">
        <f>ROUND(INDEX(挂机升级突破!$BN$6:$BN$57,卡牌消耗!AI1040)*INDEX(卡牌消耗!$B$8:$F$8,AG1040)/$Q$4/50,0)*50</f>
        <v>151950</v>
      </c>
      <c r="AL1040" s="14" t="str">
        <f>IF(AD1040&gt;0,INDEX(挂机升级突破!$BX$4:$CH$4,AD1040),"")</f>
        <v>红色基础材料</v>
      </c>
      <c r="AM1040" s="14">
        <f>ROUND(INDEX(挂机升级突破!$BX$6:$CH$57,卡牌消耗!AI1040,AD1040)*INDEX(卡牌消耗!$B$5:$F$5,AG1040)/$Q$4/5,0)*5</f>
        <v>65</v>
      </c>
      <c r="AN1040" s="14" t="str">
        <f>IF(AE1040&gt;0,INDEX(挂机升级突破!$BX$4:$CH$4,AE1040),"")</f>
        <v>灵玉</v>
      </c>
      <c r="AO1040" s="14">
        <f>IF(AE1040&gt;0,ROUND(INDEX(挂机升级突破!$BX$6:$CH$57,卡牌消耗!AI1040,AE1040)*INDEX(卡牌消耗!$B$7:$F$7,AG1040)/$Q$4,0),"")</f>
        <v>1</v>
      </c>
    </row>
    <row r="1041" spans="27:41" ht="16.5" x14ac:dyDescent="0.2">
      <c r="AA1041" s="104">
        <v>1037</v>
      </c>
      <c r="AB1041" s="14">
        <f t="shared" si="213"/>
        <v>20</v>
      </c>
      <c r="AC1041" s="14">
        <f>INDEX(挂机升级突破!$BU$6:$BU$57,卡牌消耗!AI1041)</f>
        <v>11</v>
      </c>
      <c r="AD1041" s="14">
        <f>INDEX(挂机升级突破!BV$6:BV$57,卡牌消耗!$AI1041)</f>
        <v>5</v>
      </c>
      <c r="AE1041" s="14">
        <f>INDEX(挂机升级突破!BW$6:BW$57,卡牌消耗!$AI1041)</f>
        <v>10</v>
      </c>
      <c r="AF1041" s="14" t="str">
        <f t="shared" si="214"/>
        <v>高顺</v>
      </c>
      <c r="AG1041" s="14">
        <f t="shared" si="215"/>
        <v>3</v>
      </c>
      <c r="AH1041" s="14" t="str">
        <f t="shared" si="216"/>
        <v>高顺魂火-49</v>
      </c>
      <c r="AI1041" s="14">
        <f t="shared" si="217"/>
        <v>49</v>
      </c>
      <c r="AJ1041" s="14" t="str">
        <f>INDEX(挂机升级突破!$BX$4:$CH$4,INDEX(挂机升级突破!$BU$6:$BU$57,卡牌消耗!AI1041))</f>
        <v>金币</v>
      </c>
      <c r="AK1041" s="14">
        <f>ROUND(INDEX(挂机升级突破!$BN$6:$BN$57,卡牌消耗!AI1041)*INDEX(卡牌消耗!$B$8:$F$8,AG1041)/$Q$4/50,0)*50</f>
        <v>151950</v>
      </c>
      <c r="AL1041" s="14" t="str">
        <f>IF(AD1041&gt;0,INDEX(挂机升级突破!$BX$4:$CH$4,AD1041),"")</f>
        <v>红色基础材料</v>
      </c>
      <c r="AM1041" s="14">
        <f>ROUND(INDEX(挂机升级突破!$BX$6:$CH$57,卡牌消耗!AI1041,AD1041)*INDEX(卡牌消耗!$B$5:$F$5,AG1041)/$Q$4/5,0)*5</f>
        <v>70</v>
      </c>
      <c r="AN1041" s="14" t="str">
        <f>IF(AE1041&gt;0,INDEX(挂机升级突破!$BX$4:$CH$4,AE1041),"")</f>
        <v>灵玉</v>
      </c>
      <c r="AO1041" s="14">
        <f>IF(AE1041&gt;0,ROUND(INDEX(挂机升级突破!$BX$6:$CH$57,卡牌消耗!AI1041,AE1041)*INDEX(卡牌消耗!$B$7:$F$7,AG1041)/$Q$4,0),"")</f>
        <v>1</v>
      </c>
    </row>
    <row r="1042" spans="27:41" ht="16.5" x14ac:dyDescent="0.2">
      <c r="AA1042" s="104">
        <v>1038</v>
      </c>
      <c r="AB1042" s="14">
        <f t="shared" si="213"/>
        <v>20</v>
      </c>
      <c r="AC1042" s="14">
        <f>INDEX(挂机升级突破!$BU$6:$BU$57,卡牌消耗!AI1042)</f>
        <v>11</v>
      </c>
      <c r="AD1042" s="14">
        <f>INDEX(挂机升级突破!BV$6:BV$57,卡牌消耗!$AI1042)</f>
        <v>5</v>
      </c>
      <c r="AE1042" s="14">
        <f>INDEX(挂机升级突破!BW$6:BW$57,卡牌消耗!$AI1042)</f>
        <v>10</v>
      </c>
      <c r="AF1042" s="14" t="str">
        <f t="shared" si="214"/>
        <v>高顺</v>
      </c>
      <c r="AG1042" s="14">
        <f t="shared" si="215"/>
        <v>3</v>
      </c>
      <c r="AH1042" s="14" t="str">
        <f t="shared" si="216"/>
        <v>高顺魂火-50</v>
      </c>
      <c r="AI1042" s="14">
        <f t="shared" si="217"/>
        <v>50</v>
      </c>
      <c r="AJ1042" s="14" t="str">
        <f>INDEX(挂机升级突破!$BX$4:$CH$4,INDEX(挂机升级突破!$BU$6:$BU$57,卡牌消耗!AI1042))</f>
        <v>金币</v>
      </c>
      <c r="AK1042" s="14">
        <f>ROUND(INDEX(挂机升级突破!$BN$6:$BN$57,卡牌消耗!AI1042)*INDEX(卡牌消耗!$B$8:$F$8,AG1042)/$Q$4/50,0)*50</f>
        <v>253250</v>
      </c>
      <c r="AL1042" s="14" t="str">
        <f>IF(AD1042&gt;0,INDEX(挂机升级突破!$BX$4:$CH$4,AD1042),"")</f>
        <v>红色基础材料</v>
      </c>
      <c r="AM1042" s="14">
        <f>ROUND(INDEX(挂机升级突破!$BX$6:$CH$57,卡牌消耗!AI1042,AD1042)*INDEX(卡牌消耗!$B$5:$F$5,AG1042)/$Q$4/5,0)*5</f>
        <v>70</v>
      </c>
      <c r="AN1042" s="14" t="str">
        <f>IF(AE1042&gt;0,INDEX(挂机升级突破!$BX$4:$CH$4,AE1042),"")</f>
        <v>灵玉</v>
      </c>
      <c r="AO1042" s="14">
        <f>IF(AE1042&gt;0,ROUND(INDEX(挂机升级突破!$BX$6:$CH$57,卡牌消耗!AI1042,AE1042)*INDEX(卡牌消耗!$B$7:$F$7,AG1042)/$Q$4,0),"")</f>
        <v>1</v>
      </c>
    </row>
    <row r="1043" spans="27:41" ht="16.5" x14ac:dyDescent="0.2">
      <c r="AA1043" s="104">
        <v>1039</v>
      </c>
      <c r="AB1043" s="14">
        <f t="shared" si="213"/>
        <v>20</v>
      </c>
      <c r="AC1043" s="14">
        <f>INDEX(挂机升级突破!$BU$6:$BU$57,卡牌消耗!AI1043)</f>
        <v>11</v>
      </c>
      <c r="AD1043" s="14">
        <f>INDEX(挂机升级突破!BV$6:BV$57,卡牌消耗!$AI1043)</f>
        <v>5</v>
      </c>
      <c r="AE1043" s="14">
        <f>INDEX(挂机升级突破!BW$6:BW$57,卡牌消耗!$AI1043)</f>
        <v>10</v>
      </c>
      <c r="AF1043" s="14" t="str">
        <f t="shared" si="214"/>
        <v>高顺</v>
      </c>
      <c r="AG1043" s="14">
        <f t="shared" si="215"/>
        <v>3</v>
      </c>
      <c r="AH1043" s="14" t="str">
        <f t="shared" si="216"/>
        <v>高顺魂火-51</v>
      </c>
      <c r="AI1043" s="14">
        <f t="shared" si="217"/>
        <v>51</v>
      </c>
      <c r="AJ1043" s="14" t="str">
        <f>INDEX(挂机升级突破!$BX$4:$CH$4,INDEX(挂机升级突破!$BU$6:$BU$57,卡牌消耗!AI1043))</f>
        <v>金币</v>
      </c>
      <c r="AK1043" s="14">
        <f>ROUND(INDEX(挂机升级突破!$BN$6:$BN$57,卡牌消耗!AI1043)*INDEX(卡牌消耗!$B$8:$F$8,AG1043)/$Q$4/50,0)*50</f>
        <v>278600</v>
      </c>
      <c r="AL1043" s="14" t="str">
        <f>IF(AD1043&gt;0,INDEX(挂机升级突破!$BX$4:$CH$4,AD1043),"")</f>
        <v>红色基础材料</v>
      </c>
      <c r="AM1043" s="14">
        <f>ROUND(INDEX(挂机升级突破!$BX$6:$CH$57,卡牌消耗!AI1043,AD1043)*INDEX(卡牌消耗!$B$5:$F$5,AG1043)/$Q$4/5,0)*5</f>
        <v>70</v>
      </c>
      <c r="AN1043" s="14" t="str">
        <f>IF(AE1043&gt;0,INDEX(挂机升级突破!$BX$4:$CH$4,AE1043),"")</f>
        <v>灵玉</v>
      </c>
      <c r="AO1043" s="14">
        <f>IF(AE1043&gt;0,ROUND(INDEX(挂机升级突破!$BX$6:$CH$57,卡牌消耗!AI1043,AE1043)*INDEX(卡牌消耗!$B$7:$F$7,AG1043)/$Q$4,0),"")</f>
        <v>1</v>
      </c>
    </row>
    <row r="1044" spans="27:41" ht="16.5" x14ac:dyDescent="0.2">
      <c r="AA1044" s="104">
        <v>1040</v>
      </c>
      <c r="AB1044" s="14">
        <f t="shared" si="213"/>
        <v>20</v>
      </c>
      <c r="AC1044" s="14">
        <f>INDEX(挂机升级突破!$BU$6:$BU$57,卡牌消耗!AI1044)</f>
        <v>11</v>
      </c>
      <c r="AD1044" s="14">
        <f>INDEX(挂机升级突破!BV$6:BV$57,卡牌消耗!$AI1044)</f>
        <v>5</v>
      </c>
      <c r="AE1044" s="14">
        <f>INDEX(挂机升级突破!BW$6:BW$57,卡牌消耗!$AI1044)</f>
        <v>10</v>
      </c>
      <c r="AF1044" s="14" t="str">
        <f t="shared" si="214"/>
        <v>高顺</v>
      </c>
      <c r="AG1044" s="14">
        <f t="shared" si="215"/>
        <v>3</v>
      </c>
      <c r="AH1044" s="14" t="str">
        <f t="shared" si="216"/>
        <v>高顺魂火-52</v>
      </c>
      <c r="AI1044" s="14">
        <f t="shared" si="217"/>
        <v>52</v>
      </c>
      <c r="AJ1044" s="14" t="str">
        <f>INDEX(挂机升级突破!$BX$4:$CH$4,INDEX(挂机升级突破!$BU$6:$BU$57,卡牌消耗!AI1044))</f>
        <v>金币</v>
      </c>
      <c r="AK1044" s="14">
        <f>ROUND(INDEX(挂机升级突破!$BN$6:$BN$57,卡牌消耗!AI1044)*INDEX(卡牌消耗!$B$8:$F$8,AG1044)/$Q$4/50,0)*50</f>
        <v>278600</v>
      </c>
      <c r="AL1044" s="14" t="str">
        <f>IF(AD1044&gt;0,INDEX(挂机升级突破!$BX$4:$CH$4,AD1044),"")</f>
        <v>红色基础材料</v>
      </c>
      <c r="AM1044" s="14">
        <f>ROUND(INDEX(挂机升级突破!$BX$6:$CH$57,卡牌消耗!AI1044,AD1044)*INDEX(卡牌消耗!$B$5:$F$5,AG1044)/$Q$4/5,0)*5</f>
        <v>70</v>
      </c>
      <c r="AN1044" s="14" t="str">
        <f>IF(AE1044&gt;0,INDEX(挂机升级突破!$BX$4:$CH$4,AE1044),"")</f>
        <v>灵玉</v>
      </c>
      <c r="AO1044" s="14">
        <f>IF(AE1044&gt;0,ROUND(INDEX(挂机升级突破!$BX$6:$CH$57,卡牌消耗!AI1044,AE1044)*INDEX(卡牌消耗!$B$7:$F$7,AG1044)/$Q$4,0),"")</f>
        <v>1</v>
      </c>
    </row>
    <row r="1045" spans="27:41" ht="16.5" x14ac:dyDescent="0.2">
      <c r="AA1045" s="104">
        <v>1041</v>
      </c>
      <c r="AB1045" s="14">
        <f t="shared" si="213"/>
        <v>21</v>
      </c>
      <c r="AC1045" s="14">
        <f>INDEX(挂机升级突破!$BU$6:$BU$57,卡牌消耗!AI1045)</f>
        <v>11</v>
      </c>
      <c r="AD1045" s="14">
        <f>INDEX(挂机升级突破!BV$6:BV$57,卡牌消耗!$AI1045)</f>
        <v>1</v>
      </c>
      <c r="AE1045" s="14">
        <f>INDEX(挂机升级突破!BW$6:BW$57,卡牌消耗!$AI1045)</f>
        <v>0</v>
      </c>
      <c r="AF1045" s="14" t="str">
        <f t="shared" si="214"/>
        <v>烈风螳螂</v>
      </c>
      <c r="AG1045" s="14">
        <f t="shared" si="215"/>
        <v>3</v>
      </c>
      <c r="AH1045" s="14" t="str">
        <f t="shared" si="216"/>
        <v>烈风螳螂魂火-1</v>
      </c>
      <c r="AI1045" s="14">
        <f t="shared" si="217"/>
        <v>1</v>
      </c>
      <c r="AJ1045" s="14" t="str">
        <f>INDEX(挂机升级突破!$BX$4:$CH$4,INDEX(挂机升级突破!$BU$6:$BU$57,卡牌消耗!AI1045))</f>
        <v>金币</v>
      </c>
      <c r="AK1045" s="14">
        <f>ROUND(INDEX(挂机升级突破!$BN$6:$BN$57,卡牌消耗!AI1045)*INDEX(卡牌消耗!$B$8:$F$8,AG1045)/$Q$4/50,0)*50</f>
        <v>600</v>
      </c>
      <c r="AL1045" s="14" t="str">
        <f>IF(AD1045&gt;0,INDEX(挂机升级突破!$BX$4:$CH$4,AD1045),"")</f>
        <v>绿色基础材料</v>
      </c>
      <c r="AM1045" s="14">
        <f>ROUND(INDEX(挂机升级突破!$BX$6:$CH$57,卡牌消耗!AI1045,AD1045)*INDEX(卡牌消耗!$B$5:$F$5,AG1045)/$Q$4/5,0)*5</f>
        <v>835</v>
      </c>
      <c r="AN1045" s="14" t="str">
        <f>IF(AE1045&gt;0,INDEX(挂机升级突破!$BX$4:$CH$4,AE1045),"")</f>
        <v/>
      </c>
      <c r="AO1045" s="14" t="str">
        <f>IF(AE1045&gt;0,ROUND(INDEX(挂机升级突破!$BX$6:$CH$57,卡牌消耗!AI1045,AE1045)*INDEX(卡牌消耗!$B$7:$F$7,AG1045)/$Q$4,0),"")</f>
        <v/>
      </c>
    </row>
    <row r="1046" spans="27:41" ht="16.5" x14ac:dyDescent="0.2">
      <c r="AA1046" s="104">
        <v>1042</v>
      </c>
      <c r="AB1046" s="14">
        <f t="shared" si="213"/>
        <v>21</v>
      </c>
      <c r="AC1046" s="14">
        <f>INDEX(挂机升级突破!$BU$6:$BU$57,卡牌消耗!AI1046)</f>
        <v>11</v>
      </c>
      <c r="AD1046" s="14">
        <f>INDEX(挂机升级突破!BV$6:BV$57,卡牌消耗!$AI1046)</f>
        <v>1</v>
      </c>
      <c r="AE1046" s="14">
        <f>INDEX(挂机升级突破!BW$6:BW$57,卡牌消耗!$AI1046)</f>
        <v>0</v>
      </c>
      <c r="AF1046" s="14" t="str">
        <f t="shared" si="214"/>
        <v>烈风螳螂</v>
      </c>
      <c r="AG1046" s="14">
        <f t="shared" si="215"/>
        <v>3</v>
      </c>
      <c r="AH1046" s="14" t="str">
        <f t="shared" si="216"/>
        <v>烈风螳螂魂火-2</v>
      </c>
      <c r="AI1046" s="14">
        <f t="shared" si="217"/>
        <v>2</v>
      </c>
      <c r="AJ1046" s="14" t="str">
        <f>INDEX(挂机升级突破!$BX$4:$CH$4,INDEX(挂机升级突破!$BU$6:$BU$57,卡牌消耗!AI1046))</f>
        <v>金币</v>
      </c>
      <c r="AK1046" s="14">
        <f>ROUND(INDEX(挂机升级突破!$BN$6:$BN$57,卡牌消耗!AI1046)*INDEX(卡牌消耗!$B$8:$F$8,AG1046)/$Q$4/50,0)*50</f>
        <v>800</v>
      </c>
      <c r="AL1046" s="14" t="str">
        <f>IF(AD1046&gt;0,INDEX(挂机升级突破!$BX$4:$CH$4,AD1046),"")</f>
        <v>绿色基础材料</v>
      </c>
      <c r="AM1046" s="14">
        <f>ROUND(INDEX(挂机升级突破!$BX$6:$CH$57,卡牌消耗!AI1046,AD1046)*INDEX(卡牌消耗!$B$5:$F$5,AG1046)/$Q$4/5,0)*5</f>
        <v>2505</v>
      </c>
      <c r="AN1046" s="14" t="str">
        <f>IF(AE1046&gt;0,INDEX(挂机升级突破!$BX$4:$CH$4,AE1046),"")</f>
        <v/>
      </c>
      <c r="AO1046" s="14" t="str">
        <f>IF(AE1046&gt;0,ROUND(INDEX(挂机升级突破!$BX$6:$CH$57,卡牌消耗!AI1046,AE1046)*INDEX(卡牌消耗!$B$7:$F$7,AG1046)/$Q$4,0),"")</f>
        <v/>
      </c>
    </row>
    <row r="1047" spans="27:41" ht="16.5" x14ac:dyDescent="0.2">
      <c r="AA1047" s="104">
        <v>1043</v>
      </c>
      <c r="AB1047" s="14">
        <f t="shared" si="213"/>
        <v>21</v>
      </c>
      <c r="AC1047" s="14">
        <f>INDEX(挂机升级突破!$BU$6:$BU$57,卡牌消耗!AI1047)</f>
        <v>11</v>
      </c>
      <c r="AD1047" s="14">
        <f>INDEX(挂机升级突破!BV$6:BV$57,卡牌消耗!$AI1047)</f>
        <v>1</v>
      </c>
      <c r="AE1047" s="14">
        <f>INDEX(挂机升级突破!BW$6:BW$57,卡牌消耗!$AI1047)</f>
        <v>0</v>
      </c>
      <c r="AF1047" s="14" t="str">
        <f t="shared" si="214"/>
        <v>烈风螳螂</v>
      </c>
      <c r="AG1047" s="14">
        <f t="shared" si="215"/>
        <v>3</v>
      </c>
      <c r="AH1047" s="14" t="str">
        <f t="shared" si="216"/>
        <v>烈风螳螂魂火-3</v>
      </c>
      <c r="AI1047" s="14">
        <f t="shared" si="217"/>
        <v>3</v>
      </c>
      <c r="AJ1047" s="14" t="str">
        <f>INDEX(挂机升级突破!$BX$4:$CH$4,INDEX(挂机升级突破!$BU$6:$BU$57,卡牌消耗!AI1047))</f>
        <v>金币</v>
      </c>
      <c r="AK1047" s="14">
        <f>ROUND(INDEX(挂机升级突破!$BN$6:$BN$57,卡牌消耗!AI1047)*INDEX(卡牌消耗!$B$8:$F$8,AG1047)/$Q$4/50,0)*50</f>
        <v>800</v>
      </c>
      <c r="AL1047" s="14" t="str">
        <f>IF(AD1047&gt;0,INDEX(挂机升级突破!$BX$4:$CH$4,AD1047),"")</f>
        <v>绿色基础材料</v>
      </c>
      <c r="AM1047" s="14">
        <f>ROUND(INDEX(挂机升级突破!$BX$6:$CH$57,卡牌消耗!AI1047,AD1047)*INDEX(卡牌消耗!$B$5:$F$5,AG1047)/$Q$4/5,0)*5</f>
        <v>3335</v>
      </c>
      <c r="AN1047" s="14" t="str">
        <f>IF(AE1047&gt;0,INDEX(挂机升级突破!$BX$4:$CH$4,AE1047),"")</f>
        <v/>
      </c>
      <c r="AO1047" s="14" t="str">
        <f>IF(AE1047&gt;0,ROUND(INDEX(挂机升级突破!$BX$6:$CH$57,卡牌消耗!AI1047,AE1047)*INDEX(卡牌消耗!$B$7:$F$7,AG1047)/$Q$4,0),"")</f>
        <v/>
      </c>
    </row>
    <row r="1048" spans="27:41" ht="16.5" x14ac:dyDescent="0.2">
      <c r="AA1048" s="104">
        <v>1044</v>
      </c>
      <c r="AB1048" s="14">
        <f t="shared" si="213"/>
        <v>21</v>
      </c>
      <c r="AC1048" s="14">
        <f>INDEX(挂机升级突破!$BU$6:$BU$57,卡牌消耗!AI1048)</f>
        <v>11</v>
      </c>
      <c r="AD1048" s="14">
        <f>INDEX(挂机升级突破!BV$6:BV$57,卡牌消耗!$AI1048)</f>
        <v>1</v>
      </c>
      <c r="AE1048" s="14">
        <f>INDEX(挂机升级突破!BW$6:BW$57,卡牌消耗!$AI1048)</f>
        <v>0</v>
      </c>
      <c r="AF1048" s="14" t="str">
        <f t="shared" si="214"/>
        <v>烈风螳螂</v>
      </c>
      <c r="AG1048" s="14">
        <f t="shared" si="215"/>
        <v>3</v>
      </c>
      <c r="AH1048" s="14" t="str">
        <f t="shared" si="216"/>
        <v>烈风螳螂魂火-4</v>
      </c>
      <c r="AI1048" s="14">
        <f t="shared" si="217"/>
        <v>4</v>
      </c>
      <c r="AJ1048" s="14" t="str">
        <f>INDEX(挂机升级突破!$BX$4:$CH$4,INDEX(挂机升级突破!$BU$6:$BU$57,卡牌消耗!AI1048))</f>
        <v>金币</v>
      </c>
      <c r="AK1048" s="14">
        <f>ROUND(INDEX(挂机升级突破!$BN$6:$BN$57,卡牌消耗!AI1048)*INDEX(卡牌消耗!$B$8:$F$8,AG1048)/$Q$4/50,0)*50</f>
        <v>800</v>
      </c>
      <c r="AL1048" s="14" t="str">
        <f>IF(AD1048&gt;0,INDEX(挂机升级突破!$BX$4:$CH$4,AD1048),"")</f>
        <v>绿色基础材料</v>
      </c>
      <c r="AM1048" s="14">
        <f>ROUND(INDEX(挂机升级突破!$BX$6:$CH$57,卡牌消耗!AI1048,AD1048)*INDEX(卡牌消耗!$B$5:$F$5,AG1048)/$Q$4/5,0)*5</f>
        <v>5005</v>
      </c>
      <c r="AN1048" s="14" t="str">
        <f>IF(AE1048&gt;0,INDEX(挂机升级突破!$BX$4:$CH$4,AE1048),"")</f>
        <v/>
      </c>
      <c r="AO1048" s="14" t="str">
        <f>IF(AE1048&gt;0,ROUND(INDEX(挂机升级突破!$BX$6:$CH$57,卡牌消耗!AI1048,AE1048)*INDEX(卡牌消耗!$B$7:$F$7,AG1048)/$Q$4,0),"")</f>
        <v/>
      </c>
    </row>
    <row r="1049" spans="27:41" ht="16.5" x14ac:dyDescent="0.2">
      <c r="AA1049" s="104">
        <v>1045</v>
      </c>
      <c r="AB1049" s="14">
        <f t="shared" si="213"/>
        <v>21</v>
      </c>
      <c r="AC1049" s="14">
        <f>INDEX(挂机升级突破!$BU$6:$BU$57,卡牌消耗!AI1049)</f>
        <v>11</v>
      </c>
      <c r="AD1049" s="14">
        <f>INDEX(挂机升级突破!BV$6:BV$57,卡牌消耗!$AI1049)</f>
        <v>1</v>
      </c>
      <c r="AE1049" s="14">
        <f>INDEX(挂机升级突破!BW$6:BW$57,卡牌消耗!$AI1049)</f>
        <v>0</v>
      </c>
      <c r="AF1049" s="14" t="str">
        <f t="shared" si="214"/>
        <v>烈风螳螂</v>
      </c>
      <c r="AG1049" s="14">
        <f t="shared" si="215"/>
        <v>3</v>
      </c>
      <c r="AH1049" s="14" t="str">
        <f t="shared" si="216"/>
        <v>烈风螳螂魂火-5</v>
      </c>
      <c r="AI1049" s="14">
        <f t="shared" si="217"/>
        <v>5</v>
      </c>
      <c r="AJ1049" s="14" t="str">
        <f>INDEX(挂机升级突破!$BX$4:$CH$4,INDEX(挂机升级突破!$BU$6:$BU$57,卡牌消耗!AI1049))</f>
        <v>金币</v>
      </c>
      <c r="AK1049" s="14">
        <f>ROUND(INDEX(挂机升级突破!$BN$6:$BN$57,卡牌消耗!AI1049)*INDEX(卡牌消耗!$B$8:$F$8,AG1049)/$Q$4/50,0)*50</f>
        <v>800</v>
      </c>
      <c r="AL1049" s="14" t="str">
        <f>IF(AD1049&gt;0,INDEX(挂机升级突破!$BX$4:$CH$4,AD1049),"")</f>
        <v>绿色基础材料</v>
      </c>
      <c r="AM1049" s="14">
        <f>ROUND(INDEX(挂机升级突破!$BX$6:$CH$57,卡牌消耗!AI1049,AD1049)*INDEX(卡牌消耗!$B$5:$F$5,AG1049)/$Q$4/5,0)*5</f>
        <v>5005</v>
      </c>
      <c r="AN1049" s="14" t="str">
        <f>IF(AE1049&gt;0,INDEX(挂机升级突破!$BX$4:$CH$4,AE1049),"")</f>
        <v/>
      </c>
      <c r="AO1049" s="14" t="str">
        <f>IF(AE1049&gt;0,ROUND(INDEX(挂机升级突破!$BX$6:$CH$57,卡牌消耗!AI1049,AE1049)*INDEX(卡牌消耗!$B$7:$F$7,AG1049)/$Q$4,0),"")</f>
        <v/>
      </c>
    </row>
    <row r="1050" spans="27:41" ht="16.5" x14ac:dyDescent="0.2">
      <c r="AA1050" s="104">
        <v>1046</v>
      </c>
      <c r="AB1050" s="14">
        <f t="shared" si="213"/>
        <v>21</v>
      </c>
      <c r="AC1050" s="14">
        <f>INDEX(挂机升级突破!$BU$6:$BU$57,卡牌消耗!AI1050)</f>
        <v>11</v>
      </c>
      <c r="AD1050" s="14">
        <f>INDEX(挂机升级突破!BV$6:BV$57,卡牌消耗!$AI1050)</f>
        <v>2</v>
      </c>
      <c r="AE1050" s="14">
        <f>INDEX(挂机升级突破!BW$6:BW$57,卡牌消耗!$AI1050)</f>
        <v>0</v>
      </c>
      <c r="AF1050" s="14" t="str">
        <f t="shared" si="214"/>
        <v>烈风螳螂</v>
      </c>
      <c r="AG1050" s="14">
        <f t="shared" si="215"/>
        <v>3</v>
      </c>
      <c r="AH1050" s="14" t="str">
        <f t="shared" si="216"/>
        <v>烈风螳螂魂火-6</v>
      </c>
      <c r="AI1050" s="14">
        <f t="shared" si="217"/>
        <v>6</v>
      </c>
      <c r="AJ1050" s="14" t="str">
        <f>INDEX(挂机升级突破!$BX$4:$CH$4,INDEX(挂机升级突破!$BU$6:$BU$57,卡牌消耗!AI1050))</f>
        <v>金币</v>
      </c>
      <c r="AK1050" s="14">
        <f>ROUND(INDEX(挂机升级突破!$BN$6:$BN$57,卡牌消耗!AI1050)*INDEX(卡牌消耗!$B$8:$F$8,AG1050)/$Q$4/50,0)*50</f>
        <v>1000</v>
      </c>
      <c r="AL1050" s="14" t="str">
        <f>IF(AD1050&gt;0,INDEX(挂机升级突破!$BX$4:$CH$4,AD1050),"")</f>
        <v>蓝色基础材料</v>
      </c>
      <c r="AM1050" s="14">
        <f>ROUND(INDEX(挂机升级突破!$BX$6:$CH$57,卡牌消耗!AI1050,AD1050)*INDEX(卡牌消耗!$B$5:$F$5,AG1050)/$Q$4/5,0)*5</f>
        <v>480</v>
      </c>
      <c r="AN1050" s="14" t="str">
        <f>IF(AE1050&gt;0,INDEX(挂机升级突破!$BX$4:$CH$4,AE1050),"")</f>
        <v/>
      </c>
      <c r="AO1050" s="14" t="str">
        <f>IF(AE1050&gt;0,ROUND(INDEX(挂机升级突破!$BX$6:$CH$57,卡牌消耗!AI1050,AE1050)*INDEX(卡牌消耗!$B$7:$F$7,AG1050)/$Q$4,0),"")</f>
        <v/>
      </c>
    </row>
    <row r="1051" spans="27:41" ht="16.5" x14ac:dyDescent="0.2">
      <c r="AA1051" s="104">
        <v>1047</v>
      </c>
      <c r="AB1051" s="14">
        <f t="shared" si="213"/>
        <v>21</v>
      </c>
      <c r="AC1051" s="14">
        <f>INDEX(挂机升级突破!$BU$6:$BU$57,卡牌消耗!AI1051)</f>
        <v>11</v>
      </c>
      <c r="AD1051" s="14">
        <f>INDEX(挂机升级突破!BV$6:BV$57,卡牌消耗!$AI1051)</f>
        <v>2</v>
      </c>
      <c r="AE1051" s="14">
        <f>INDEX(挂机升级突破!BW$6:BW$57,卡牌消耗!$AI1051)</f>
        <v>0</v>
      </c>
      <c r="AF1051" s="14" t="str">
        <f t="shared" si="214"/>
        <v>烈风螳螂</v>
      </c>
      <c r="AG1051" s="14">
        <f t="shared" si="215"/>
        <v>3</v>
      </c>
      <c r="AH1051" s="14" t="str">
        <f t="shared" si="216"/>
        <v>烈风螳螂魂火-7</v>
      </c>
      <c r="AI1051" s="14">
        <f t="shared" si="217"/>
        <v>7</v>
      </c>
      <c r="AJ1051" s="14" t="str">
        <f>INDEX(挂机升级突破!$BX$4:$CH$4,INDEX(挂机升级突破!$BU$6:$BU$57,卡牌消耗!AI1051))</f>
        <v>金币</v>
      </c>
      <c r="AK1051" s="14">
        <f>ROUND(INDEX(挂机升级突破!$BN$6:$BN$57,卡牌消耗!AI1051)*INDEX(卡牌消耗!$B$8:$F$8,AG1051)/$Q$4/50,0)*50</f>
        <v>1000</v>
      </c>
      <c r="AL1051" s="14" t="str">
        <f>IF(AD1051&gt;0,INDEX(挂机升级突破!$BX$4:$CH$4,AD1051),"")</f>
        <v>蓝色基础材料</v>
      </c>
      <c r="AM1051" s="14">
        <f>ROUND(INDEX(挂机升级突破!$BX$6:$CH$57,卡牌消耗!AI1051,AD1051)*INDEX(卡牌消耗!$B$5:$F$5,AG1051)/$Q$4/5,0)*5</f>
        <v>480</v>
      </c>
      <c r="AN1051" s="14" t="str">
        <f>IF(AE1051&gt;0,INDEX(挂机升级突破!$BX$4:$CH$4,AE1051),"")</f>
        <v/>
      </c>
      <c r="AO1051" s="14" t="str">
        <f>IF(AE1051&gt;0,ROUND(INDEX(挂机升级突破!$BX$6:$CH$57,卡牌消耗!AI1051,AE1051)*INDEX(卡牌消耗!$B$7:$F$7,AG1051)/$Q$4,0),"")</f>
        <v/>
      </c>
    </row>
    <row r="1052" spans="27:41" ht="16.5" x14ac:dyDescent="0.2">
      <c r="AA1052" s="104">
        <v>1048</v>
      </c>
      <c r="AB1052" s="14">
        <f t="shared" si="213"/>
        <v>21</v>
      </c>
      <c r="AC1052" s="14">
        <f>INDEX(挂机升级突破!$BU$6:$BU$57,卡牌消耗!AI1052)</f>
        <v>11</v>
      </c>
      <c r="AD1052" s="14">
        <f>INDEX(挂机升级突破!BV$6:BV$57,卡牌消耗!$AI1052)</f>
        <v>2</v>
      </c>
      <c r="AE1052" s="14">
        <f>INDEX(挂机升级突破!BW$6:BW$57,卡牌消耗!$AI1052)</f>
        <v>0</v>
      </c>
      <c r="AF1052" s="14" t="str">
        <f t="shared" si="214"/>
        <v>烈风螳螂</v>
      </c>
      <c r="AG1052" s="14">
        <f t="shared" si="215"/>
        <v>3</v>
      </c>
      <c r="AH1052" s="14" t="str">
        <f t="shared" si="216"/>
        <v>烈风螳螂魂火-8</v>
      </c>
      <c r="AI1052" s="14">
        <f t="shared" si="217"/>
        <v>8</v>
      </c>
      <c r="AJ1052" s="14" t="str">
        <f>INDEX(挂机升级突破!$BX$4:$CH$4,INDEX(挂机升级突破!$BU$6:$BU$57,卡牌消耗!AI1052))</f>
        <v>金币</v>
      </c>
      <c r="AK1052" s="14">
        <f>ROUND(INDEX(挂机升级突破!$BN$6:$BN$57,卡牌消耗!AI1052)*INDEX(卡牌消耗!$B$8:$F$8,AG1052)/$Q$4/50,0)*50</f>
        <v>1500</v>
      </c>
      <c r="AL1052" s="14" t="str">
        <f>IF(AD1052&gt;0,INDEX(挂机升级突破!$BX$4:$CH$4,AD1052),"")</f>
        <v>蓝色基础材料</v>
      </c>
      <c r="AM1052" s="14">
        <f>ROUND(INDEX(挂机升级突破!$BX$6:$CH$57,卡牌消耗!AI1052,AD1052)*INDEX(卡牌消耗!$B$5:$F$5,AG1052)/$Q$4/5,0)*5</f>
        <v>960</v>
      </c>
      <c r="AN1052" s="14" t="str">
        <f>IF(AE1052&gt;0,INDEX(挂机升级突破!$BX$4:$CH$4,AE1052),"")</f>
        <v/>
      </c>
      <c r="AO1052" s="14" t="str">
        <f>IF(AE1052&gt;0,ROUND(INDEX(挂机升级突破!$BX$6:$CH$57,卡牌消耗!AI1052,AE1052)*INDEX(卡牌消耗!$B$7:$F$7,AG1052)/$Q$4,0),"")</f>
        <v/>
      </c>
    </row>
    <row r="1053" spans="27:41" ht="16.5" x14ac:dyDescent="0.2">
      <c r="AA1053" s="104">
        <v>1049</v>
      </c>
      <c r="AB1053" s="14">
        <f t="shared" si="213"/>
        <v>21</v>
      </c>
      <c r="AC1053" s="14">
        <f>INDEX(挂机升级突破!$BU$6:$BU$57,卡牌消耗!AI1053)</f>
        <v>11</v>
      </c>
      <c r="AD1053" s="14">
        <f>INDEX(挂机升级突破!BV$6:BV$57,卡牌消耗!$AI1053)</f>
        <v>2</v>
      </c>
      <c r="AE1053" s="14">
        <f>INDEX(挂机升级突破!BW$6:BW$57,卡牌消耗!$AI1053)</f>
        <v>0</v>
      </c>
      <c r="AF1053" s="14" t="str">
        <f t="shared" si="214"/>
        <v>烈风螳螂</v>
      </c>
      <c r="AG1053" s="14">
        <f t="shared" si="215"/>
        <v>3</v>
      </c>
      <c r="AH1053" s="14" t="str">
        <f t="shared" si="216"/>
        <v>烈风螳螂魂火-9</v>
      </c>
      <c r="AI1053" s="14">
        <f t="shared" si="217"/>
        <v>9</v>
      </c>
      <c r="AJ1053" s="14" t="str">
        <f>INDEX(挂机升级突破!$BX$4:$CH$4,INDEX(挂机升级突破!$BU$6:$BU$57,卡牌消耗!AI1053))</f>
        <v>金币</v>
      </c>
      <c r="AK1053" s="14">
        <f>ROUND(INDEX(挂机升级突破!$BN$6:$BN$57,卡牌消耗!AI1053)*INDEX(卡牌消耗!$B$8:$F$8,AG1053)/$Q$4/50,0)*50</f>
        <v>1500</v>
      </c>
      <c r="AL1053" s="14" t="str">
        <f>IF(AD1053&gt;0,INDEX(挂机升级突破!$BX$4:$CH$4,AD1053),"")</f>
        <v>蓝色基础材料</v>
      </c>
      <c r="AM1053" s="14">
        <f>ROUND(INDEX(挂机升级突破!$BX$6:$CH$57,卡牌消耗!AI1053,AD1053)*INDEX(卡牌消耗!$B$5:$F$5,AG1053)/$Q$4/5,0)*5</f>
        <v>960</v>
      </c>
      <c r="AN1053" s="14" t="str">
        <f>IF(AE1053&gt;0,INDEX(挂机升级突破!$BX$4:$CH$4,AE1053),"")</f>
        <v/>
      </c>
      <c r="AO1053" s="14" t="str">
        <f>IF(AE1053&gt;0,ROUND(INDEX(挂机升级突破!$BX$6:$CH$57,卡牌消耗!AI1053,AE1053)*INDEX(卡牌消耗!$B$7:$F$7,AG1053)/$Q$4,0),"")</f>
        <v/>
      </c>
    </row>
    <row r="1054" spans="27:41" ht="16.5" x14ac:dyDescent="0.2">
      <c r="AA1054" s="104">
        <v>1050</v>
      </c>
      <c r="AB1054" s="14">
        <f t="shared" si="213"/>
        <v>21</v>
      </c>
      <c r="AC1054" s="14">
        <f>INDEX(挂机升级突破!$BU$6:$BU$57,卡牌消耗!AI1054)</f>
        <v>11</v>
      </c>
      <c r="AD1054" s="14">
        <f>INDEX(挂机升级突破!BV$6:BV$57,卡牌消耗!$AI1054)</f>
        <v>2</v>
      </c>
      <c r="AE1054" s="14">
        <f>INDEX(挂机升级突破!BW$6:BW$57,卡牌消耗!$AI1054)</f>
        <v>0</v>
      </c>
      <c r="AF1054" s="14" t="str">
        <f t="shared" si="214"/>
        <v>烈风螳螂</v>
      </c>
      <c r="AG1054" s="14">
        <f t="shared" si="215"/>
        <v>3</v>
      </c>
      <c r="AH1054" s="14" t="str">
        <f t="shared" si="216"/>
        <v>烈风螳螂魂火-10</v>
      </c>
      <c r="AI1054" s="14">
        <f t="shared" si="217"/>
        <v>10</v>
      </c>
      <c r="AJ1054" s="14" t="str">
        <f>INDEX(挂机升级突破!$BX$4:$CH$4,INDEX(挂机升级突破!$BU$6:$BU$57,卡牌消耗!AI1054))</f>
        <v>金币</v>
      </c>
      <c r="AK1054" s="14">
        <f>ROUND(INDEX(挂机升级突破!$BN$6:$BN$57,卡牌消耗!AI1054)*INDEX(卡牌消耗!$B$8:$F$8,AG1054)/$Q$4/50,0)*50</f>
        <v>2450</v>
      </c>
      <c r="AL1054" s="14" t="str">
        <f>IF(AD1054&gt;0,INDEX(挂机升级突破!$BX$4:$CH$4,AD1054),"")</f>
        <v>蓝色基础材料</v>
      </c>
      <c r="AM1054" s="14">
        <f>ROUND(INDEX(挂机升级突破!$BX$6:$CH$57,卡牌消耗!AI1054,AD1054)*INDEX(卡牌消耗!$B$5:$F$5,AG1054)/$Q$4/5,0)*5</f>
        <v>1440</v>
      </c>
      <c r="AN1054" s="14" t="str">
        <f>IF(AE1054&gt;0,INDEX(挂机升级突破!$BX$4:$CH$4,AE1054),"")</f>
        <v/>
      </c>
      <c r="AO1054" s="14" t="str">
        <f>IF(AE1054&gt;0,ROUND(INDEX(挂机升级突破!$BX$6:$CH$57,卡牌消耗!AI1054,AE1054)*INDEX(卡牌消耗!$B$7:$F$7,AG1054)/$Q$4,0),"")</f>
        <v/>
      </c>
    </row>
    <row r="1055" spans="27:41" ht="16.5" x14ac:dyDescent="0.2">
      <c r="AA1055" s="104">
        <v>1051</v>
      </c>
      <c r="AB1055" s="14">
        <f t="shared" si="213"/>
        <v>21</v>
      </c>
      <c r="AC1055" s="14">
        <f>INDEX(挂机升级突破!$BU$6:$BU$57,卡牌消耗!AI1055)</f>
        <v>11</v>
      </c>
      <c r="AD1055" s="14">
        <f>INDEX(挂机升级突破!BV$6:BV$57,卡牌消耗!$AI1055)</f>
        <v>2</v>
      </c>
      <c r="AE1055" s="14">
        <f>INDEX(挂机升级突破!BW$6:BW$57,卡牌消耗!$AI1055)</f>
        <v>0</v>
      </c>
      <c r="AF1055" s="14" t="str">
        <f t="shared" si="214"/>
        <v>烈风螳螂</v>
      </c>
      <c r="AG1055" s="14">
        <f t="shared" si="215"/>
        <v>3</v>
      </c>
      <c r="AH1055" s="14" t="str">
        <f t="shared" si="216"/>
        <v>烈风螳螂魂火-11</v>
      </c>
      <c r="AI1055" s="14">
        <f t="shared" si="217"/>
        <v>11</v>
      </c>
      <c r="AJ1055" s="14" t="str">
        <f>INDEX(挂机升级突破!$BX$4:$CH$4,INDEX(挂机升级突破!$BU$6:$BU$57,卡牌消耗!AI1055))</f>
        <v>金币</v>
      </c>
      <c r="AK1055" s="14">
        <f>ROUND(INDEX(挂机升级突破!$BN$6:$BN$57,卡牌消耗!AI1055)*INDEX(卡牌消耗!$B$8:$F$8,AG1055)/$Q$4/50,0)*50</f>
        <v>2450</v>
      </c>
      <c r="AL1055" s="14" t="str">
        <f>IF(AD1055&gt;0,INDEX(挂机升级突破!$BX$4:$CH$4,AD1055),"")</f>
        <v>蓝色基础材料</v>
      </c>
      <c r="AM1055" s="14">
        <f>ROUND(INDEX(挂机升级突破!$BX$6:$CH$57,卡牌消耗!AI1055,AD1055)*INDEX(卡牌消耗!$B$5:$F$5,AG1055)/$Q$4/5,0)*5</f>
        <v>1440</v>
      </c>
      <c r="AN1055" s="14" t="str">
        <f>IF(AE1055&gt;0,INDEX(挂机升级突破!$BX$4:$CH$4,AE1055),"")</f>
        <v/>
      </c>
      <c r="AO1055" s="14" t="str">
        <f>IF(AE1055&gt;0,ROUND(INDEX(挂机升级突破!$BX$6:$CH$57,卡牌消耗!AI1055,AE1055)*INDEX(卡牌消耗!$B$7:$F$7,AG1055)/$Q$4,0),"")</f>
        <v/>
      </c>
    </row>
    <row r="1056" spans="27:41" ht="16.5" x14ac:dyDescent="0.2">
      <c r="AA1056" s="104">
        <v>1052</v>
      </c>
      <c r="AB1056" s="14">
        <f t="shared" si="213"/>
        <v>21</v>
      </c>
      <c r="AC1056" s="14">
        <f>INDEX(挂机升级突破!$BU$6:$BU$57,卡牌消耗!AI1056)</f>
        <v>11</v>
      </c>
      <c r="AD1056" s="14">
        <f>INDEX(挂机升级突破!BV$6:BV$57,卡牌消耗!$AI1056)</f>
        <v>2</v>
      </c>
      <c r="AE1056" s="14">
        <f>INDEX(挂机升级突破!BW$6:BW$57,卡牌消耗!$AI1056)</f>
        <v>0</v>
      </c>
      <c r="AF1056" s="14" t="str">
        <f t="shared" si="214"/>
        <v>烈风螳螂</v>
      </c>
      <c r="AG1056" s="14">
        <f t="shared" si="215"/>
        <v>3</v>
      </c>
      <c r="AH1056" s="14" t="str">
        <f t="shared" si="216"/>
        <v>烈风螳螂魂火-12</v>
      </c>
      <c r="AI1056" s="14">
        <f t="shared" si="217"/>
        <v>12</v>
      </c>
      <c r="AJ1056" s="14" t="str">
        <f>INDEX(挂机升级突破!$BX$4:$CH$4,INDEX(挂机升级突破!$BU$6:$BU$57,卡牌消耗!AI1056))</f>
        <v>金币</v>
      </c>
      <c r="AK1056" s="14">
        <f>ROUND(INDEX(挂机升级突破!$BN$6:$BN$57,卡牌消耗!AI1056)*INDEX(卡牌消耗!$B$8:$F$8,AG1056)/$Q$4/50,0)*50</f>
        <v>2100</v>
      </c>
      <c r="AL1056" s="14" t="str">
        <f>IF(AD1056&gt;0,INDEX(挂机升级突破!$BX$4:$CH$4,AD1056),"")</f>
        <v>蓝色基础材料</v>
      </c>
      <c r="AM1056" s="14">
        <f>ROUND(INDEX(挂机升级突破!$BX$6:$CH$57,卡牌消耗!AI1056,AD1056)*INDEX(卡牌消耗!$B$5:$F$5,AG1056)/$Q$4/5,0)*5</f>
        <v>1920</v>
      </c>
      <c r="AN1056" s="14" t="str">
        <f>IF(AE1056&gt;0,INDEX(挂机升级突破!$BX$4:$CH$4,AE1056),"")</f>
        <v/>
      </c>
      <c r="AO1056" s="14" t="str">
        <f>IF(AE1056&gt;0,ROUND(INDEX(挂机升级突破!$BX$6:$CH$57,卡牌消耗!AI1056,AE1056)*INDEX(卡牌消耗!$B$7:$F$7,AG1056)/$Q$4,0),"")</f>
        <v/>
      </c>
    </row>
    <row r="1057" spans="27:41" ht="16.5" x14ac:dyDescent="0.2">
      <c r="AA1057" s="104">
        <v>1053</v>
      </c>
      <c r="AB1057" s="14">
        <f t="shared" si="213"/>
        <v>21</v>
      </c>
      <c r="AC1057" s="14">
        <f>INDEX(挂机升级突破!$BU$6:$BU$57,卡牌消耗!AI1057)</f>
        <v>11</v>
      </c>
      <c r="AD1057" s="14">
        <f>INDEX(挂机升级突破!BV$6:BV$57,卡牌消耗!$AI1057)</f>
        <v>2</v>
      </c>
      <c r="AE1057" s="14">
        <f>INDEX(挂机升级突破!BW$6:BW$57,卡牌消耗!$AI1057)</f>
        <v>0</v>
      </c>
      <c r="AF1057" s="14" t="str">
        <f t="shared" si="214"/>
        <v>烈风螳螂</v>
      </c>
      <c r="AG1057" s="14">
        <f t="shared" si="215"/>
        <v>3</v>
      </c>
      <c r="AH1057" s="14" t="str">
        <f t="shared" si="216"/>
        <v>烈风螳螂魂火-13</v>
      </c>
      <c r="AI1057" s="14">
        <f t="shared" si="217"/>
        <v>13</v>
      </c>
      <c r="AJ1057" s="14" t="str">
        <f>INDEX(挂机升级突破!$BX$4:$CH$4,INDEX(挂机升级突破!$BU$6:$BU$57,卡牌消耗!AI1057))</f>
        <v>金币</v>
      </c>
      <c r="AK1057" s="14">
        <f>ROUND(INDEX(挂机升级突破!$BN$6:$BN$57,卡牌消耗!AI1057)*INDEX(卡牌消耗!$B$8:$F$8,AG1057)/$Q$4/50,0)*50</f>
        <v>2100</v>
      </c>
      <c r="AL1057" s="14" t="str">
        <f>IF(AD1057&gt;0,INDEX(挂机升级突破!$BX$4:$CH$4,AD1057),"")</f>
        <v>蓝色基础材料</v>
      </c>
      <c r="AM1057" s="14">
        <f>ROUND(INDEX(挂机升级突破!$BX$6:$CH$57,卡牌消耗!AI1057,AD1057)*INDEX(卡牌消耗!$B$5:$F$5,AG1057)/$Q$4/5,0)*5</f>
        <v>1920</v>
      </c>
      <c r="AN1057" s="14" t="str">
        <f>IF(AE1057&gt;0,INDEX(挂机升级突破!$BX$4:$CH$4,AE1057),"")</f>
        <v/>
      </c>
      <c r="AO1057" s="14" t="str">
        <f>IF(AE1057&gt;0,ROUND(INDEX(挂机升级突破!$BX$6:$CH$57,卡牌消耗!AI1057,AE1057)*INDEX(卡牌消耗!$B$7:$F$7,AG1057)/$Q$4,0),"")</f>
        <v/>
      </c>
    </row>
    <row r="1058" spans="27:41" ht="16.5" x14ac:dyDescent="0.2">
      <c r="AA1058" s="104">
        <v>1054</v>
      </c>
      <c r="AB1058" s="14">
        <f t="shared" si="213"/>
        <v>21</v>
      </c>
      <c r="AC1058" s="14">
        <f>INDEX(挂机升级突破!$BU$6:$BU$57,卡牌消耗!AI1058)</f>
        <v>11</v>
      </c>
      <c r="AD1058" s="14">
        <f>INDEX(挂机升级突破!BV$6:BV$57,卡牌消耗!$AI1058)</f>
        <v>3</v>
      </c>
      <c r="AE1058" s="14">
        <f>INDEX(挂机升级突破!BW$6:BW$57,卡牌消耗!$AI1058)</f>
        <v>0</v>
      </c>
      <c r="AF1058" s="14" t="str">
        <f t="shared" si="214"/>
        <v>烈风螳螂</v>
      </c>
      <c r="AG1058" s="14">
        <f t="shared" si="215"/>
        <v>3</v>
      </c>
      <c r="AH1058" s="14" t="str">
        <f t="shared" si="216"/>
        <v>烈风螳螂魂火-14</v>
      </c>
      <c r="AI1058" s="14">
        <f t="shared" si="217"/>
        <v>14</v>
      </c>
      <c r="AJ1058" s="14" t="str">
        <f>INDEX(挂机升级突破!$BX$4:$CH$4,INDEX(挂机升级突破!$BU$6:$BU$57,卡牌消耗!AI1058))</f>
        <v>金币</v>
      </c>
      <c r="AK1058" s="14">
        <f>ROUND(INDEX(挂机升级突破!$BN$6:$BN$57,卡牌消耗!AI1058)*INDEX(卡牌消耗!$B$8:$F$8,AG1058)/$Q$4/50,0)*50</f>
        <v>2350</v>
      </c>
      <c r="AL1058" s="14" t="str">
        <f>IF(AD1058&gt;0,INDEX(挂机升级突破!$BX$4:$CH$4,AD1058),"")</f>
        <v>紫色基础材料</v>
      </c>
      <c r="AM1058" s="14">
        <f>ROUND(INDEX(挂机升级突破!$BX$6:$CH$57,卡牌消耗!AI1058,AD1058)*INDEX(卡牌消耗!$B$5:$F$5,AG1058)/$Q$4/5,0)*5</f>
        <v>170</v>
      </c>
      <c r="AN1058" s="14" t="str">
        <f>IF(AE1058&gt;0,INDEX(挂机升级突破!$BX$4:$CH$4,AE1058),"")</f>
        <v/>
      </c>
      <c r="AO1058" s="14" t="str">
        <f>IF(AE1058&gt;0,ROUND(INDEX(挂机升级突破!$BX$6:$CH$57,卡牌消耗!AI1058,AE1058)*INDEX(卡牌消耗!$B$7:$F$7,AG1058)/$Q$4,0),"")</f>
        <v/>
      </c>
    </row>
    <row r="1059" spans="27:41" ht="16.5" x14ac:dyDescent="0.2">
      <c r="AA1059" s="104">
        <v>1055</v>
      </c>
      <c r="AB1059" s="14">
        <f t="shared" si="213"/>
        <v>21</v>
      </c>
      <c r="AC1059" s="14">
        <f>INDEX(挂机升级突破!$BU$6:$BU$57,卡牌消耗!AI1059)</f>
        <v>11</v>
      </c>
      <c r="AD1059" s="14">
        <f>INDEX(挂机升级突破!BV$6:BV$57,卡牌消耗!$AI1059)</f>
        <v>3</v>
      </c>
      <c r="AE1059" s="14">
        <f>INDEX(挂机升级突破!BW$6:BW$57,卡牌消耗!$AI1059)</f>
        <v>0</v>
      </c>
      <c r="AF1059" s="14" t="str">
        <f t="shared" si="214"/>
        <v>烈风螳螂</v>
      </c>
      <c r="AG1059" s="14">
        <f t="shared" si="215"/>
        <v>3</v>
      </c>
      <c r="AH1059" s="14" t="str">
        <f t="shared" si="216"/>
        <v>烈风螳螂魂火-15</v>
      </c>
      <c r="AI1059" s="14">
        <f t="shared" si="217"/>
        <v>15</v>
      </c>
      <c r="AJ1059" s="14" t="str">
        <f>INDEX(挂机升级突破!$BX$4:$CH$4,INDEX(挂机升级突破!$BU$6:$BU$57,卡牌消耗!AI1059))</f>
        <v>金币</v>
      </c>
      <c r="AK1059" s="14">
        <f>ROUND(INDEX(挂机升级突破!$BN$6:$BN$57,卡牌消耗!AI1059)*INDEX(卡牌消耗!$B$8:$F$8,AG1059)/$Q$4/50,0)*50</f>
        <v>2550</v>
      </c>
      <c r="AL1059" s="14" t="str">
        <f>IF(AD1059&gt;0,INDEX(挂机升级突破!$BX$4:$CH$4,AD1059),"")</f>
        <v>紫色基础材料</v>
      </c>
      <c r="AM1059" s="14">
        <f>ROUND(INDEX(挂机升级突破!$BX$6:$CH$57,卡牌消耗!AI1059,AD1059)*INDEX(卡牌消耗!$B$5:$F$5,AG1059)/$Q$4/5,0)*5</f>
        <v>170</v>
      </c>
      <c r="AN1059" s="14" t="str">
        <f>IF(AE1059&gt;0,INDEX(挂机升级突破!$BX$4:$CH$4,AE1059),"")</f>
        <v/>
      </c>
      <c r="AO1059" s="14" t="str">
        <f>IF(AE1059&gt;0,ROUND(INDEX(挂机升级突破!$BX$6:$CH$57,卡牌消耗!AI1059,AE1059)*INDEX(卡牌消耗!$B$7:$F$7,AG1059)/$Q$4,0),"")</f>
        <v/>
      </c>
    </row>
    <row r="1060" spans="27:41" ht="16.5" x14ac:dyDescent="0.2">
      <c r="AA1060" s="104">
        <v>1056</v>
      </c>
      <c r="AB1060" s="14">
        <f t="shared" si="213"/>
        <v>21</v>
      </c>
      <c r="AC1060" s="14">
        <f>INDEX(挂机升级突破!$BU$6:$BU$57,卡牌消耗!AI1060)</f>
        <v>11</v>
      </c>
      <c r="AD1060" s="14">
        <f>INDEX(挂机升级突破!BV$6:BV$57,卡牌消耗!$AI1060)</f>
        <v>3</v>
      </c>
      <c r="AE1060" s="14">
        <f>INDEX(挂机升级突破!BW$6:BW$57,卡牌消耗!$AI1060)</f>
        <v>0</v>
      </c>
      <c r="AF1060" s="14" t="str">
        <f t="shared" si="214"/>
        <v>烈风螳螂</v>
      </c>
      <c r="AG1060" s="14">
        <f t="shared" si="215"/>
        <v>3</v>
      </c>
      <c r="AH1060" s="14" t="str">
        <f t="shared" si="216"/>
        <v>烈风螳螂魂火-16</v>
      </c>
      <c r="AI1060" s="14">
        <f t="shared" si="217"/>
        <v>16</v>
      </c>
      <c r="AJ1060" s="14" t="str">
        <f>INDEX(挂机升级突破!$BX$4:$CH$4,INDEX(挂机升级突破!$BU$6:$BU$57,卡牌消耗!AI1060))</f>
        <v>金币</v>
      </c>
      <c r="AK1060" s="14">
        <f>ROUND(INDEX(挂机升级突破!$BN$6:$BN$57,卡牌消耗!AI1060)*INDEX(卡牌消耗!$B$8:$F$8,AG1060)/$Q$4/50,0)*50</f>
        <v>2550</v>
      </c>
      <c r="AL1060" s="14" t="str">
        <f>IF(AD1060&gt;0,INDEX(挂机升级突破!$BX$4:$CH$4,AD1060),"")</f>
        <v>紫色基础材料</v>
      </c>
      <c r="AM1060" s="14">
        <f>ROUND(INDEX(挂机升级突破!$BX$6:$CH$57,卡牌消耗!AI1060,AD1060)*INDEX(卡牌消耗!$B$5:$F$5,AG1060)/$Q$4/5,0)*5</f>
        <v>170</v>
      </c>
      <c r="AN1060" s="14" t="str">
        <f>IF(AE1060&gt;0,INDEX(挂机升级突破!$BX$4:$CH$4,AE1060),"")</f>
        <v/>
      </c>
      <c r="AO1060" s="14" t="str">
        <f>IF(AE1060&gt;0,ROUND(INDEX(挂机升级突破!$BX$6:$CH$57,卡牌消耗!AI1060,AE1060)*INDEX(卡牌消耗!$B$7:$F$7,AG1060)/$Q$4,0),"")</f>
        <v/>
      </c>
    </row>
    <row r="1061" spans="27:41" ht="16.5" x14ac:dyDescent="0.2">
      <c r="AA1061" s="104">
        <v>1057</v>
      </c>
      <c r="AB1061" s="14">
        <f t="shared" si="213"/>
        <v>21</v>
      </c>
      <c r="AC1061" s="14">
        <f>INDEX(挂机升级突破!$BU$6:$BU$57,卡牌消耗!AI1061)</f>
        <v>11</v>
      </c>
      <c r="AD1061" s="14">
        <f>INDEX(挂机升级突破!BV$6:BV$57,卡牌消耗!$AI1061)</f>
        <v>3</v>
      </c>
      <c r="AE1061" s="14">
        <f>INDEX(挂机升级突破!BW$6:BW$57,卡牌消耗!$AI1061)</f>
        <v>0</v>
      </c>
      <c r="AF1061" s="14" t="str">
        <f t="shared" si="214"/>
        <v>烈风螳螂</v>
      </c>
      <c r="AG1061" s="14">
        <f t="shared" si="215"/>
        <v>3</v>
      </c>
      <c r="AH1061" s="14" t="str">
        <f t="shared" si="216"/>
        <v>烈风螳螂魂火-17</v>
      </c>
      <c r="AI1061" s="14">
        <f t="shared" si="217"/>
        <v>17</v>
      </c>
      <c r="AJ1061" s="14" t="str">
        <f>INDEX(挂机升级突破!$BX$4:$CH$4,INDEX(挂机升级突破!$BU$6:$BU$57,卡牌消耗!AI1061))</f>
        <v>金币</v>
      </c>
      <c r="AK1061" s="14">
        <f>ROUND(INDEX(挂机升级突破!$BN$6:$BN$57,卡牌消耗!AI1061)*INDEX(卡牌消耗!$B$8:$F$8,AG1061)/$Q$4/50,0)*50</f>
        <v>3200</v>
      </c>
      <c r="AL1061" s="14" t="str">
        <f>IF(AD1061&gt;0,INDEX(挂机升级突破!$BX$4:$CH$4,AD1061),"")</f>
        <v>紫色基础材料</v>
      </c>
      <c r="AM1061" s="14">
        <f>ROUND(INDEX(挂机升级突破!$BX$6:$CH$57,卡牌消耗!AI1061,AD1061)*INDEX(卡牌消耗!$B$5:$F$5,AG1061)/$Q$4/5,0)*5</f>
        <v>335</v>
      </c>
      <c r="AN1061" s="14" t="str">
        <f>IF(AE1061&gt;0,INDEX(挂机升级突破!$BX$4:$CH$4,AE1061),"")</f>
        <v/>
      </c>
      <c r="AO1061" s="14" t="str">
        <f>IF(AE1061&gt;0,ROUND(INDEX(挂机升级突破!$BX$6:$CH$57,卡牌消耗!AI1061,AE1061)*INDEX(卡牌消耗!$B$7:$F$7,AG1061)/$Q$4,0),"")</f>
        <v/>
      </c>
    </row>
    <row r="1062" spans="27:41" ht="16.5" x14ac:dyDescent="0.2">
      <c r="AA1062" s="104">
        <v>1058</v>
      </c>
      <c r="AB1062" s="14">
        <f t="shared" si="213"/>
        <v>21</v>
      </c>
      <c r="AC1062" s="14">
        <f>INDEX(挂机升级突破!$BU$6:$BU$57,卡牌消耗!AI1062)</f>
        <v>11</v>
      </c>
      <c r="AD1062" s="14">
        <f>INDEX(挂机升级突破!BV$6:BV$57,卡牌消耗!$AI1062)</f>
        <v>3</v>
      </c>
      <c r="AE1062" s="14">
        <f>INDEX(挂机升级突破!BW$6:BW$57,卡牌消耗!$AI1062)</f>
        <v>0</v>
      </c>
      <c r="AF1062" s="14" t="str">
        <f t="shared" si="214"/>
        <v>烈风螳螂</v>
      </c>
      <c r="AG1062" s="14">
        <f t="shared" si="215"/>
        <v>3</v>
      </c>
      <c r="AH1062" s="14" t="str">
        <f t="shared" si="216"/>
        <v>烈风螳螂魂火-18</v>
      </c>
      <c r="AI1062" s="14">
        <f t="shared" si="217"/>
        <v>18</v>
      </c>
      <c r="AJ1062" s="14" t="str">
        <f>INDEX(挂机升级突破!$BX$4:$CH$4,INDEX(挂机升级突破!$BU$6:$BU$57,卡牌消耗!AI1062))</f>
        <v>金币</v>
      </c>
      <c r="AK1062" s="14">
        <f>ROUND(INDEX(挂机升级突破!$BN$6:$BN$57,卡牌消耗!AI1062)*INDEX(卡牌消耗!$B$8:$F$8,AG1062)/$Q$4/50,0)*50</f>
        <v>3200</v>
      </c>
      <c r="AL1062" s="14" t="str">
        <f>IF(AD1062&gt;0,INDEX(挂机升级突破!$BX$4:$CH$4,AD1062),"")</f>
        <v>紫色基础材料</v>
      </c>
      <c r="AM1062" s="14">
        <f>ROUND(INDEX(挂机升级突破!$BX$6:$CH$57,卡牌消耗!AI1062,AD1062)*INDEX(卡牌消耗!$B$5:$F$5,AG1062)/$Q$4/5,0)*5</f>
        <v>335</v>
      </c>
      <c r="AN1062" s="14" t="str">
        <f>IF(AE1062&gt;0,INDEX(挂机升级突破!$BX$4:$CH$4,AE1062),"")</f>
        <v/>
      </c>
      <c r="AO1062" s="14" t="str">
        <f>IF(AE1062&gt;0,ROUND(INDEX(挂机升级突破!$BX$6:$CH$57,卡牌消耗!AI1062,AE1062)*INDEX(卡牌消耗!$B$7:$F$7,AG1062)/$Q$4,0),"")</f>
        <v/>
      </c>
    </row>
    <row r="1063" spans="27:41" ht="16.5" x14ac:dyDescent="0.2">
      <c r="AA1063" s="104">
        <v>1059</v>
      </c>
      <c r="AB1063" s="14">
        <f t="shared" si="213"/>
        <v>21</v>
      </c>
      <c r="AC1063" s="14">
        <f>INDEX(挂机升级突破!$BU$6:$BU$57,卡牌消耗!AI1063)</f>
        <v>11</v>
      </c>
      <c r="AD1063" s="14">
        <f>INDEX(挂机升级突破!BV$6:BV$57,卡牌消耗!$AI1063)</f>
        <v>3</v>
      </c>
      <c r="AE1063" s="14">
        <f>INDEX(挂机升级突破!BW$6:BW$57,卡牌消耗!$AI1063)</f>
        <v>0</v>
      </c>
      <c r="AF1063" s="14" t="str">
        <f t="shared" si="214"/>
        <v>烈风螳螂</v>
      </c>
      <c r="AG1063" s="14">
        <f t="shared" si="215"/>
        <v>3</v>
      </c>
      <c r="AH1063" s="14" t="str">
        <f t="shared" si="216"/>
        <v>烈风螳螂魂火-19</v>
      </c>
      <c r="AI1063" s="14">
        <f t="shared" si="217"/>
        <v>19</v>
      </c>
      <c r="AJ1063" s="14" t="str">
        <f>INDEX(挂机升级突破!$BX$4:$CH$4,INDEX(挂机升级突破!$BU$6:$BU$57,卡牌消耗!AI1063))</f>
        <v>金币</v>
      </c>
      <c r="AK1063" s="14">
        <f>ROUND(INDEX(挂机升级突破!$BN$6:$BN$57,卡牌消耗!AI1063)*INDEX(卡牌消耗!$B$8:$F$8,AG1063)/$Q$4/50,0)*50</f>
        <v>3200</v>
      </c>
      <c r="AL1063" s="14" t="str">
        <f>IF(AD1063&gt;0,INDEX(挂机升级突破!$BX$4:$CH$4,AD1063),"")</f>
        <v>紫色基础材料</v>
      </c>
      <c r="AM1063" s="14">
        <f>ROUND(INDEX(挂机升级突破!$BX$6:$CH$57,卡牌消耗!AI1063,AD1063)*INDEX(卡牌消耗!$B$5:$F$5,AG1063)/$Q$4/5,0)*5</f>
        <v>335</v>
      </c>
      <c r="AN1063" s="14" t="str">
        <f>IF(AE1063&gt;0,INDEX(挂机升级突破!$BX$4:$CH$4,AE1063),"")</f>
        <v/>
      </c>
      <c r="AO1063" s="14" t="str">
        <f>IF(AE1063&gt;0,ROUND(INDEX(挂机升级突破!$BX$6:$CH$57,卡牌消耗!AI1063,AE1063)*INDEX(卡牌消耗!$B$7:$F$7,AG1063)/$Q$4,0),"")</f>
        <v/>
      </c>
    </row>
    <row r="1064" spans="27:41" ht="16.5" x14ac:dyDescent="0.2">
      <c r="AA1064" s="104">
        <v>1060</v>
      </c>
      <c r="AB1064" s="14">
        <f t="shared" si="213"/>
        <v>21</v>
      </c>
      <c r="AC1064" s="14">
        <f>INDEX(挂机升级突破!$BU$6:$BU$57,卡牌消耗!AI1064)</f>
        <v>11</v>
      </c>
      <c r="AD1064" s="14">
        <f>INDEX(挂机升级突破!BV$6:BV$57,卡牌消耗!$AI1064)</f>
        <v>3</v>
      </c>
      <c r="AE1064" s="14">
        <f>INDEX(挂机升级突破!BW$6:BW$57,卡牌消耗!$AI1064)</f>
        <v>0</v>
      </c>
      <c r="AF1064" s="14" t="str">
        <f t="shared" si="214"/>
        <v>烈风螳螂</v>
      </c>
      <c r="AG1064" s="14">
        <f t="shared" si="215"/>
        <v>3</v>
      </c>
      <c r="AH1064" s="14" t="str">
        <f t="shared" si="216"/>
        <v>烈风螳螂魂火-20</v>
      </c>
      <c r="AI1064" s="14">
        <f t="shared" si="217"/>
        <v>20</v>
      </c>
      <c r="AJ1064" s="14" t="str">
        <f>INDEX(挂机升级突破!$BX$4:$CH$4,INDEX(挂机升级突破!$BU$6:$BU$57,卡牌消耗!AI1064))</f>
        <v>金币</v>
      </c>
      <c r="AK1064" s="14">
        <f>ROUND(INDEX(挂机升级突破!$BN$6:$BN$57,卡牌消耗!AI1064)*INDEX(卡牌消耗!$B$8:$F$8,AG1064)/$Q$4/50,0)*50</f>
        <v>3900</v>
      </c>
      <c r="AL1064" s="14" t="str">
        <f>IF(AD1064&gt;0,INDEX(挂机升级突破!$BX$4:$CH$4,AD1064),"")</f>
        <v>紫色基础材料</v>
      </c>
      <c r="AM1064" s="14">
        <f>ROUND(INDEX(挂机升级突破!$BX$6:$CH$57,卡牌消耗!AI1064,AD1064)*INDEX(卡牌消耗!$B$5:$F$5,AG1064)/$Q$4/5,0)*5</f>
        <v>505</v>
      </c>
      <c r="AN1064" s="14" t="str">
        <f>IF(AE1064&gt;0,INDEX(挂机升级突破!$BX$4:$CH$4,AE1064),"")</f>
        <v/>
      </c>
      <c r="AO1064" s="14" t="str">
        <f>IF(AE1064&gt;0,ROUND(INDEX(挂机升级突破!$BX$6:$CH$57,卡牌消耗!AI1064,AE1064)*INDEX(卡牌消耗!$B$7:$F$7,AG1064)/$Q$4,0),"")</f>
        <v/>
      </c>
    </row>
    <row r="1065" spans="27:41" ht="16.5" x14ac:dyDescent="0.2">
      <c r="AA1065" s="104">
        <v>1061</v>
      </c>
      <c r="AB1065" s="14">
        <f t="shared" si="213"/>
        <v>21</v>
      </c>
      <c r="AC1065" s="14">
        <f>INDEX(挂机升级突破!$BU$6:$BU$57,卡牌消耗!AI1065)</f>
        <v>11</v>
      </c>
      <c r="AD1065" s="14">
        <f>INDEX(挂机升级突破!BV$6:BV$57,卡牌消耗!$AI1065)</f>
        <v>3</v>
      </c>
      <c r="AE1065" s="14">
        <f>INDEX(挂机升级突破!BW$6:BW$57,卡牌消耗!$AI1065)</f>
        <v>0</v>
      </c>
      <c r="AF1065" s="14" t="str">
        <f t="shared" si="214"/>
        <v>烈风螳螂</v>
      </c>
      <c r="AG1065" s="14">
        <f t="shared" si="215"/>
        <v>3</v>
      </c>
      <c r="AH1065" s="14" t="str">
        <f t="shared" si="216"/>
        <v>烈风螳螂魂火-21</v>
      </c>
      <c r="AI1065" s="14">
        <f t="shared" si="217"/>
        <v>21</v>
      </c>
      <c r="AJ1065" s="14" t="str">
        <f>INDEX(挂机升级突破!$BX$4:$CH$4,INDEX(挂机升级突破!$BU$6:$BU$57,卡牌消耗!AI1065))</f>
        <v>金币</v>
      </c>
      <c r="AK1065" s="14">
        <f>ROUND(INDEX(挂机升级突破!$BN$6:$BN$57,卡牌消耗!AI1065)*INDEX(卡牌消耗!$B$8:$F$8,AG1065)/$Q$4/50,0)*50</f>
        <v>3900</v>
      </c>
      <c r="AL1065" s="14" t="str">
        <f>IF(AD1065&gt;0,INDEX(挂机升级突破!$BX$4:$CH$4,AD1065),"")</f>
        <v>紫色基础材料</v>
      </c>
      <c r="AM1065" s="14">
        <f>ROUND(INDEX(挂机升级突破!$BX$6:$CH$57,卡牌消耗!AI1065,AD1065)*INDEX(卡牌消耗!$B$5:$F$5,AG1065)/$Q$4/5,0)*5</f>
        <v>505</v>
      </c>
      <c r="AN1065" s="14" t="str">
        <f>IF(AE1065&gt;0,INDEX(挂机升级突破!$BX$4:$CH$4,AE1065),"")</f>
        <v/>
      </c>
      <c r="AO1065" s="14" t="str">
        <f>IF(AE1065&gt;0,ROUND(INDEX(挂机升级突破!$BX$6:$CH$57,卡牌消耗!AI1065,AE1065)*INDEX(卡牌消耗!$B$7:$F$7,AG1065)/$Q$4,0),"")</f>
        <v/>
      </c>
    </row>
    <row r="1066" spans="27:41" ht="16.5" x14ac:dyDescent="0.2">
      <c r="AA1066" s="104">
        <v>1062</v>
      </c>
      <c r="AB1066" s="14">
        <f t="shared" si="213"/>
        <v>21</v>
      </c>
      <c r="AC1066" s="14">
        <f>INDEX(挂机升级突破!$BU$6:$BU$57,卡牌消耗!AI1066)</f>
        <v>11</v>
      </c>
      <c r="AD1066" s="14">
        <f>INDEX(挂机升级突破!BV$6:BV$57,卡牌消耗!$AI1066)</f>
        <v>3</v>
      </c>
      <c r="AE1066" s="14">
        <f>INDEX(挂机升级突破!BW$6:BW$57,卡牌消耗!$AI1066)</f>
        <v>0</v>
      </c>
      <c r="AF1066" s="14" t="str">
        <f t="shared" si="214"/>
        <v>烈风螳螂</v>
      </c>
      <c r="AG1066" s="14">
        <f t="shared" si="215"/>
        <v>3</v>
      </c>
      <c r="AH1066" s="14" t="str">
        <f t="shared" si="216"/>
        <v>烈风螳螂魂火-22</v>
      </c>
      <c r="AI1066" s="14">
        <f t="shared" si="217"/>
        <v>22</v>
      </c>
      <c r="AJ1066" s="14" t="str">
        <f>INDEX(挂机升级突破!$BX$4:$CH$4,INDEX(挂机升级突破!$BU$6:$BU$57,卡牌消耗!AI1066))</f>
        <v>金币</v>
      </c>
      <c r="AK1066" s="14">
        <f>ROUND(INDEX(挂机升级突破!$BN$6:$BN$57,卡牌消耗!AI1066)*INDEX(卡牌消耗!$B$8:$F$8,AG1066)/$Q$4/50,0)*50</f>
        <v>3900</v>
      </c>
      <c r="AL1066" s="14" t="str">
        <f>IF(AD1066&gt;0,INDEX(挂机升级突破!$BX$4:$CH$4,AD1066),"")</f>
        <v>紫色基础材料</v>
      </c>
      <c r="AM1066" s="14">
        <f>ROUND(INDEX(挂机升级突破!$BX$6:$CH$57,卡牌消耗!AI1066,AD1066)*INDEX(卡牌消耗!$B$5:$F$5,AG1066)/$Q$4/5,0)*5</f>
        <v>505</v>
      </c>
      <c r="AN1066" s="14" t="str">
        <f>IF(AE1066&gt;0,INDEX(挂机升级突破!$BX$4:$CH$4,AE1066),"")</f>
        <v/>
      </c>
      <c r="AO1066" s="14" t="str">
        <f>IF(AE1066&gt;0,ROUND(INDEX(挂机升级突破!$BX$6:$CH$57,卡牌消耗!AI1066,AE1066)*INDEX(卡牌消耗!$B$7:$F$7,AG1066)/$Q$4,0),"")</f>
        <v/>
      </c>
    </row>
    <row r="1067" spans="27:41" ht="16.5" x14ac:dyDescent="0.2">
      <c r="AA1067" s="104">
        <v>1063</v>
      </c>
      <c r="AB1067" s="14">
        <f t="shared" si="213"/>
        <v>21</v>
      </c>
      <c r="AC1067" s="14">
        <f>INDEX(挂机升级突破!$BU$6:$BU$57,卡牌消耗!AI1067)</f>
        <v>11</v>
      </c>
      <c r="AD1067" s="14">
        <f>INDEX(挂机升级突破!BV$6:BV$57,卡牌消耗!$AI1067)</f>
        <v>4</v>
      </c>
      <c r="AE1067" s="14">
        <f>INDEX(挂机升级突破!BW$6:BW$57,卡牌消耗!$AI1067)</f>
        <v>0</v>
      </c>
      <c r="AF1067" s="14" t="str">
        <f t="shared" si="214"/>
        <v>烈风螳螂</v>
      </c>
      <c r="AG1067" s="14">
        <f t="shared" si="215"/>
        <v>3</v>
      </c>
      <c r="AH1067" s="14" t="str">
        <f t="shared" si="216"/>
        <v>烈风螳螂魂火-23</v>
      </c>
      <c r="AI1067" s="14">
        <f t="shared" si="217"/>
        <v>23</v>
      </c>
      <c r="AJ1067" s="14" t="str">
        <f>INDEX(挂机升级突破!$BX$4:$CH$4,INDEX(挂机升级突破!$BU$6:$BU$57,卡牌消耗!AI1067))</f>
        <v>金币</v>
      </c>
      <c r="AK1067" s="14">
        <f>ROUND(INDEX(挂机升级突破!$BN$6:$BN$57,卡牌消耗!AI1067)*INDEX(卡牌消耗!$B$8:$F$8,AG1067)/$Q$4/50,0)*50</f>
        <v>5350</v>
      </c>
      <c r="AL1067" s="14" t="str">
        <f>IF(AD1067&gt;0,INDEX(挂机升级突破!$BX$4:$CH$4,AD1067),"")</f>
        <v>橙色基础材料</v>
      </c>
      <c r="AM1067" s="14">
        <f>ROUND(INDEX(挂机升级突破!$BX$6:$CH$57,卡牌消耗!AI1067,AD1067)*INDEX(卡牌消耗!$B$5:$F$5,AG1067)/$Q$4/5,0)*5</f>
        <v>70</v>
      </c>
      <c r="AN1067" s="14" t="str">
        <f>IF(AE1067&gt;0,INDEX(挂机升级突破!$BX$4:$CH$4,AE1067),"")</f>
        <v/>
      </c>
      <c r="AO1067" s="14" t="str">
        <f>IF(AE1067&gt;0,ROUND(INDEX(挂机升级突破!$BX$6:$CH$57,卡牌消耗!AI1067,AE1067)*INDEX(卡牌消耗!$B$7:$F$7,AG1067)/$Q$4,0),"")</f>
        <v/>
      </c>
    </row>
    <row r="1068" spans="27:41" ht="16.5" x14ac:dyDescent="0.2">
      <c r="AA1068" s="104">
        <v>1064</v>
      </c>
      <c r="AB1068" s="14">
        <f t="shared" si="213"/>
        <v>21</v>
      </c>
      <c r="AC1068" s="14">
        <f>INDEX(挂机升级突破!$BU$6:$BU$57,卡牌消耗!AI1068)</f>
        <v>11</v>
      </c>
      <c r="AD1068" s="14">
        <f>INDEX(挂机升级突破!BV$6:BV$57,卡牌消耗!$AI1068)</f>
        <v>4</v>
      </c>
      <c r="AE1068" s="14">
        <f>INDEX(挂机升级突破!BW$6:BW$57,卡牌消耗!$AI1068)</f>
        <v>0</v>
      </c>
      <c r="AF1068" s="14" t="str">
        <f t="shared" si="214"/>
        <v>烈风螳螂</v>
      </c>
      <c r="AG1068" s="14">
        <f t="shared" si="215"/>
        <v>3</v>
      </c>
      <c r="AH1068" s="14" t="str">
        <f t="shared" si="216"/>
        <v>烈风螳螂魂火-24</v>
      </c>
      <c r="AI1068" s="14">
        <f t="shared" si="217"/>
        <v>24</v>
      </c>
      <c r="AJ1068" s="14" t="str">
        <f>INDEX(挂机升级突破!$BX$4:$CH$4,INDEX(挂机升级突破!$BU$6:$BU$57,卡牌消耗!AI1068))</f>
        <v>金币</v>
      </c>
      <c r="AK1068" s="14">
        <f>ROUND(INDEX(挂机升级突破!$BN$6:$BN$57,卡牌消耗!AI1068)*INDEX(卡牌消耗!$B$8:$F$8,AG1068)/$Q$4/50,0)*50</f>
        <v>5350</v>
      </c>
      <c r="AL1068" s="14" t="str">
        <f>IF(AD1068&gt;0,INDEX(挂机升级突破!$BX$4:$CH$4,AD1068),"")</f>
        <v>橙色基础材料</v>
      </c>
      <c r="AM1068" s="14">
        <f>ROUND(INDEX(挂机升级突破!$BX$6:$CH$57,卡牌消耗!AI1068,AD1068)*INDEX(卡牌消耗!$B$5:$F$5,AG1068)/$Q$4/5,0)*5</f>
        <v>70</v>
      </c>
      <c r="AN1068" s="14" t="str">
        <f>IF(AE1068&gt;0,INDEX(挂机升级突破!$BX$4:$CH$4,AE1068),"")</f>
        <v/>
      </c>
      <c r="AO1068" s="14" t="str">
        <f>IF(AE1068&gt;0,ROUND(INDEX(挂机升级突破!$BX$6:$CH$57,卡牌消耗!AI1068,AE1068)*INDEX(卡牌消耗!$B$7:$F$7,AG1068)/$Q$4,0),"")</f>
        <v/>
      </c>
    </row>
    <row r="1069" spans="27:41" ht="16.5" x14ac:dyDescent="0.2">
      <c r="AA1069" s="104">
        <v>1065</v>
      </c>
      <c r="AB1069" s="14">
        <f t="shared" si="213"/>
        <v>21</v>
      </c>
      <c r="AC1069" s="14">
        <f>INDEX(挂机升级突破!$BU$6:$BU$57,卡牌消耗!AI1069)</f>
        <v>11</v>
      </c>
      <c r="AD1069" s="14">
        <f>INDEX(挂机升级突破!BV$6:BV$57,卡牌消耗!$AI1069)</f>
        <v>4</v>
      </c>
      <c r="AE1069" s="14">
        <f>INDEX(挂机升级突破!BW$6:BW$57,卡牌消耗!$AI1069)</f>
        <v>0</v>
      </c>
      <c r="AF1069" s="14" t="str">
        <f t="shared" si="214"/>
        <v>烈风螳螂</v>
      </c>
      <c r="AG1069" s="14">
        <f t="shared" si="215"/>
        <v>3</v>
      </c>
      <c r="AH1069" s="14" t="str">
        <f t="shared" si="216"/>
        <v>烈风螳螂魂火-25</v>
      </c>
      <c r="AI1069" s="14">
        <f t="shared" si="217"/>
        <v>25</v>
      </c>
      <c r="AJ1069" s="14" t="str">
        <f>INDEX(挂机升级突破!$BX$4:$CH$4,INDEX(挂机升级突破!$BU$6:$BU$57,卡牌消耗!AI1069))</f>
        <v>金币</v>
      </c>
      <c r="AK1069" s="14">
        <f>ROUND(INDEX(挂机升级突破!$BN$6:$BN$57,卡牌消耗!AI1069)*INDEX(卡牌消耗!$B$8:$F$8,AG1069)/$Q$4/50,0)*50</f>
        <v>5850</v>
      </c>
      <c r="AL1069" s="14" t="str">
        <f>IF(AD1069&gt;0,INDEX(挂机升级突破!$BX$4:$CH$4,AD1069),"")</f>
        <v>橙色基础材料</v>
      </c>
      <c r="AM1069" s="14">
        <f>ROUND(INDEX(挂机升级突破!$BX$6:$CH$57,卡牌消耗!AI1069,AD1069)*INDEX(卡牌消耗!$B$5:$F$5,AG1069)/$Q$4/5,0)*5</f>
        <v>70</v>
      </c>
      <c r="AN1069" s="14" t="str">
        <f>IF(AE1069&gt;0,INDEX(挂机升级突破!$BX$4:$CH$4,AE1069),"")</f>
        <v/>
      </c>
      <c r="AO1069" s="14" t="str">
        <f>IF(AE1069&gt;0,ROUND(INDEX(挂机升级突破!$BX$6:$CH$57,卡牌消耗!AI1069,AE1069)*INDEX(卡牌消耗!$B$7:$F$7,AG1069)/$Q$4,0),"")</f>
        <v/>
      </c>
    </row>
    <row r="1070" spans="27:41" ht="16.5" x14ac:dyDescent="0.2">
      <c r="AA1070" s="104">
        <v>1066</v>
      </c>
      <c r="AB1070" s="14">
        <f t="shared" si="213"/>
        <v>21</v>
      </c>
      <c r="AC1070" s="14">
        <f>INDEX(挂机升级突破!$BU$6:$BU$57,卡牌消耗!AI1070)</f>
        <v>11</v>
      </c>
      <c r="AD1070" s="14">
        <f>INDEX(挂机升级突破!BV$6:BV$57,卡牌消耗!$AI1070)</f>
        <v>4</v>
      </c>
      <c r="AE1070" s="14">
        <f>INDEX(挂机升级突破!BW$6:BW$57,卡牌消耗!$AI1070)</f>
        <v>0</v>
      </c>
      <c r="AF1070" s="14" t="str">
        <f t="shared" si="214"/>
        <v>烈风螳螂</v>
      </c>
      <c r="AG1070" s="14">
        <f t="shared" si="215"/>
        <v>3</v>
      </c>
      <c r="AH1070" s="14" t="str">
        <f t="shared" si="216"/>
        <v>烈风螳螂魂火-26</v>
      </c>
      <c r="AI1070" s="14">
        <f t="shared" si="217"/>
        <v>26</v>
      </c>
      <c r="AJ1070" s="14" t="str">
        <f>INDEX(挂机升级突破!$BX$4:$CH$4,INDEX(挂机升级突破!$BU$6:$BU$57,卡牌消耗!AI1070))</f>
        <v>金币</v>
      </c>
      <c r="AK1070" s="14">
        <f>ROUND(INDEX(挂机升级突破!$BN$6:$BN$57,卡牌消耗!AI1070)*INDEX(卡牌消耗!$B$8:$F$8,AG1070)/$Q$4/50,0)*50</f>
        <v>6850</v>
      </c>
      <c r="AL1070" s="14" t="str">
        <f>IF(AD1070&gt;0,INDEX(挂机升级突破!$BX$4:$CH$4,AD1070),"")</f>
        <v>橙色基础材料</v>
      </c>
      <c r="AM1070" s="14">
        <f>ROUND(INDEX(挂机升级突破!$BX$6:$CH$57,卡牌消耗!AI1070,AD1070)*INDEX(卡牌消耗!$B$5:$F$5,AG1070)/$Q$4/5,0)*5</f>
        <v>85</v>
      </c>
      <c r="AN1070" s="14" t="str">
        <f>IF(AE1070&gt;0,INDEX(挂机升级突破!$BX$4:$CH$4,AE1070),"")</f>
        <v/>
      </c>
      <c r="AO1070" s="14" t="str">
        <f>IF(AE1070&gt;0,ROUND(INDEX(挂机升级突破!$BX$6:$CH$57,卡牌消耗!AI1070,AE1070)*INDEX(卡牌消耗!$B$7:$F$7,AG1070)/$Q$4,0),"")</f>
        <v/>
      </c>
    </row>
    <row r="1071" spans="27:41" ht="16.5" x14ac:dyDescent="0.2">
      <c r="AA1071" s="104">
        <v>1067</v>
      </c>
      <c r="AB1071" s="14">
        <f t="shared" si="213"/>
        <v>21</v>
      </c>
      <c r="AC1071" s="14">
        <f>INDEX(挂机升级突破!$BU$6:$BU$57,卡牌消耗!AI1071)</f>
        <v>11</v>
      </c>
      <c r="AD1071" s="14">
        <f>INDEX(挂机升级突破!BV$6:BV$57,卡牌消耗!$AI1071)</f>
        <v>4</v>
      </c>
      <c r="AE1071" s="14">
        <f>INDEX(挂机升级突破!BW$6:BW$57,卡牌消耗!$AI1071)</f>
        <v>0</v>
      </c>
      <c r="AF1071" s="14" t="str">
        <f t="shared" si="214"/>
        <v>烈风螳螂</v>
      </c>
      <c r="AG1071" s="14">
        <f t="shared" si="215"/>
        <v>3</v>
      </c>
      <c r="AH1071" s="14" t="str">
        <f t="shared" si="216"/>
        <v>烈风螳螂魂火-27</v>
      </c>
      <c r="AI1071" s="14">
        <f t="shared" si="217"/>
        <v>27</v>
      </c>
      <c r="AJ1071" s="14" t="str">
        <f>INDEX(挂机升级突破!$BX$4:$CH$4,INDEX(挂机升级突破!$BU$6:$BU$57,卡牌消耗!AI1071))</f>
        <v>金币</v>
      </c>
      <c r="AK1071" s="14">
        <f>ROUND(INDEX(挂机升级突破!$BN$6:$BN$57,卡牌消耗!AI1071)*INDEX(卡牌消耗!$B$8:$F$8,AG1071)/$Q$4/50,0)*50</f>
        <v>6850</v>
      </c>
      <c r="AL1071" s="14" t="str">
        <f>IF(AD1071&gt;0,INDEX(挂机升级突破!$BX$4:$CH$4,AD1071),"")</f>
        <v>橙色基础材料</v>
      </c>
      <c r="AM1071" s="14">
        <f>ROUND(INDEX(挂机升级突破!$BX$6:$CH$57,卡牌消耗!AI1071,AD1071)*INDEX(卡牌消耗!$B$5:$F$5,AG1071)/$Q$4/5,0)*5</f>
        <v>85</v>
      </c>
      <c r="AN1071" s="14" t="str">
        <f>IF(AE1071&gt;0,INDEX(挂机升级突破!$BX$4:$CH$4,AE1071),"")</f>
        <v/>
      </c>
      <c r="AO1071" s="14" t="str">
        <f>IF(AE1071&gt;0,ROUND(INDEX(挂机升级突破!$BX$6:$CH$57,卡牌消耗!AI1071,AE1071)*INDEX(卡牌消耗!$B$7:$F$7,AG1071)/$Q$4,0),"")</f>
        <v/>
      </c>
    </row>
    <row r="1072" spans="27:41" ht="16.5" x14ac:dyDescent="0.2">
      <c r="AA1072" s="104">
        <v>1068</v>
      </c>
      <c r="AB1072" s="14">
        <f t="shared" si="213"/>
        <v>21</v>
      </c>
      <c r="AC1072" s="14">
        <f>INDEX(挂机升级突破!$BU$6:$BU$57,卡牌消耗!AI1072)</f>
        <v>11</v>
      </c>
      <c r="AD1072" s="14">
        <f>INDEX(挂机升级突破!BV$6:BV$57,卡牌消耗!$AI1072)</f>
        <v>4</v>
      </c>
      <c r="AE1072" s="14">
        <f>INDEX(挂机升级突破!BW$6:BW$57,卡牌消耗!$AI1072)</f>
        <v>0</v>
      </c>
      <c r="AF1072" s="14" t="str">
        <f t="shared" si="214"/>
        <v>烈风螳螂</v>
      </c>
      <c r="AG1072" s="14">
        <f t="shared" si="215"/>
        <v>3</v>
      </c>
      <c r="AH1072" s="14" t="str">
        <f t="shared" si="216"/>
        <v>烈风螳螂魂火-28</v>
      </c>
      <c r="AI1072" s="14">
        <f t="shared" si="217"/>
        <v>28</v>
      </c>
      <c r="AJ1072" s="14" t="str">
        <f>INDEX(挂机升级突破!$BX$4:$CH$4,INDEX(挂机升级突破!$BU$6:$BU$57,卡牌消耗!AI1072))</f>
        <v>金币</v>
      </c>
      <c r="AK1072" s="14">
        <f>ROUND(INDEX(挂机升级突破!$BN$6:$BN$57,卡牌消耗!AI1072)*INDEX(卡牌消耗!$B$8:$F$8,AG1072)/$Q$4/50,0)*50</f>
        <v>6850</v>
      </c>
      <c r="AL1072" s="14" t="str">
        <f>IF(AD1072&gt;0,INDEX(挂机升级突破!$BX$4:$CH$4,AD1072),"")</f>
        <v>橙色基础材料</v>
      </c>
      <c r="AM1072" s="14">
        <f>ROUND(INDEX(挂机升级突破!$BX$6:$CH$57,卡牌消耗!AI1072,AD1072)*INDEX(卡牌消耗!$B$5:$F$5,AG1072)/$Q$4/5,0)*5</f>
        <v>85</v>
      </c>
      <c r="AN1072" s="14" t="str">
        <f>IF(AE1072&gt;0,INDEX(挂机升级突破!$BX$4:$CH$4,AE1072),"")</f>
        <v/>
      </c>
      <c r="AO1072" s="14" t="str">
        <f>IF(AE1072&gt;0,ROUND(INDEX(挂机升级突破!$BX$6:$CH$57,卡牌消耗!AI1072,AE1072)*INDEX(卡牌消耗!$B$7:$F$7,AG1072)/$Q$4,0),"")</f>
        <v/>
      </c>
    </row>
    <row r="1073" spans="27:41" ht="16.5" x14ac:dyDescent="0.2">
      <c r="AA1073" s="104">
        <v>1069</v>
      </c>
      <c r="AB1073" s="14">
        <f t="shared" si="213"/>
        <v>21</v>
      </c>
      <c r="AC1073" s="14">
        <f>INDEX(挂机升级突破!$BU$6:$BU$57,卡牌消耗!AI1073)</f>
        <v>11</v>
      </c>
      <c r="AD1073" s="14">
        <f>INDEX(挂机升级突破!BV$6:BV$57,卡牌消耗!$AI1073)</f>
        <v>4</v>
      </c>
      <c r="AE1073" s="14">
        <f>INDEX(挂机升级突破!BW$6:BW$57,卡牌消耗!$AI1073)</f>
        <v>0</v>
      </c>
      <c r="AF1073" s="14" t="str">
        <f t="shared" si="214"/>
        <v>烈风螳螂</v>
      </c>
      <c r="AG1073" s="14">
        <f t="shared" si="215"/>
        <v>3</v>
      </c>
      <c r="AH1073" s="14" t="str">
        <f t="shared" si="216"/>
        <v>烈风螳螂魂火-29</v>
      </c>
      <c r="AI1073" s="14">
        <f t="shared" si="217"/>
        <v>29</v>
      </c>
      <c r="AJ1073" s="14" t="str">
        <f>INDEX(挂机升级突破!$BX$4:$CH$4,INDEX(挂机升级突破!$BU$6:$BU$57,卡牌消耗!AI1073))</f>
        <v>金币</v>
      </c>
      <c r="AK1073" s="14">
        <f>ROUND(INDEX(挂机升级突破!$BN$6:$BN$57,卡牌消耗!AI1073)*INDEX(卡牌消耗!$B$8:$F$8,AG1073)/$Q$4/50,0)*50</f>
        <v>6900</v>
      </c>
      <c r="AL1073" s="14" t="str">
        <f>IF(AD1073&gt;0,INDEX(挂机升级突破!$BX$4:$CH$4,AD1073),"")</f>
        <v>橙色基础材料</v>
      </c>
      <c r="AM1073" s="14">
        <f>ROUND(INDEX(挂机升级突破!$BX$6:$CH$57,卡牌消耗!AI1073,AD1073)*INDEX(卡牌消耗!$B$5:$F$5,AG1073)/$Q$4/5,0)*5</f>
        <v>100</v>
      </c>
      <c r="AN1073" s="14" t="str">
        <f>IF(AE1073&gt;0,INDEX(挂机升级突破!$BX$4:$CH$4,AE1073),"")</f>
        <v/>
      </c>
      <c r="AO1073" s="14" t="str">
        <f>IF(AE1073&gt;0,ROUND(INDEX(挂机升级突破!$BX$6:$CH$57,卡牌消耗!AI1073,AE1073)*INDEX(卡牌消耗!$B$7:$F$7,AG1073)/$Q$4,0),"")</f>
        <v/>
      </c>
    </row>
    <row r="1074" spans="27:41" ht="16.5" x14ac:dyDescent="0.2">
      <c r="AA1074" s="104">
        <v>1070</v>
      </c>
      <c r="AB1074" s="14">
        <f t="shared" si="213"/>
        <v>21</v>
      </c>
      <c r="AC1074" s="14">
        <f>INDEX(挂机升级突破!$BU$6:$BU$57,卡牌消耗!AI1074)</f>
        <v>11</v>
      </c>
      <c r="AD1074" s="14">
        <f>INDEX(挂机升级突破!BV$6:BV$57,卡牌消耗!$AI1074)</f>
        <v>4</v>
      </c>
      <c r="AE1074" s="14">
        <f>INDEX(挂机升级突破!BW$6:BW$57,卡牌消耗!$AI1074)</f>
        <v>0</v>
      </c>
      <c r="AF1074" s="14" t="str">
        <f t="shared" si="214"/>
        <v>烈风螳螂</v>
      </c>
      <c r="AG1074" s="14">
        <f t="shared" si="215"/>
        <v>3</v>
      </c>
      <c r="AH1074" s="14" t="str">
        <f t="shared" si="216"/>
        <v>烈风螳螂魂火-30</v>
      </c>
      <c r="AI1074" s="14">
        <f t="shared" si="217"/>
        <v>30</v>
      </c>
      <c r="AJ1074" s="14" t="str">
        <f>INDEX(挂机升级突破!$BX$4:$CH$4,INDEX(挂机升级突破!$BU$6:$BU$57,卡牌消耗!AI1074))</f>
        <v>金币</v>
      </c>
      <c r="AK1074" s="14">
        <f>ROUND(INDEX(挂机升级突破!$BN$6:$BN$57,卡牌消耗!AI1074)*INDEX(卡牌消耗!$B$8:$F$8,AG1074)/$Q$4/50,0)*50</f>
        <v>6900</v>
      </c>
      <c r="AL1074" s="14" t="str">
        <f>IF(AD1074&gt;0,INDEX(挂机升级突破!$BX$4:$CH$4,AD1074),"")</f>
        <v>橙色基础材料</v>
      </c>
      <c r="AM1074" s="14">
        <f>ROUND(INDEX(挂机升级突破!$BX$6:$CH$57,卡牌消耗!AI1074,AD1074)*INDEX(卡牌消耗!$B$5:$F$5,AG1074)/$Q$4/5,0)*5</f>
        <v>100</v>
      </c>
      <c r="AN1074" s="14" t="str">
        <f>IF(AE1074&gt;0,INDEX(挂机升级突破!$BX$4:$CH$4,AE1074),"")</f>
        <v/>
      </c>
      <c r="AO1074" s="14" t="str">
        <f>IF(AE1074&gt;0,ROUND(INDEX(挂机升级突破!$BX$6:$CH$57,卡牌消耗!AI1074,AE1074)*INDEX(卡牌消耗!$B$7:$F$7,AG1074)/$Q$4,0),"")</f>
        <v/>
      </c>
    </row>
    <row r="1075" spans="27:41" ht="16.5" x14ac:dyDescent="0.2">
      <c r="AA1075" s="104">
        <v>1071</v>
      </c>
      <c r="AB1075" s="14">
        <f t="shared" si="213"/>
        <v>21</v>
      </c>
      <c r="AC1075" s="14">
        <f>INDEX(挂机升级突破!$BU$6:$BU$57,卡牌消耗!AI1075)</f>
        <v>11</v>
      </c>
      <c r="AD1075" s="14">
        <f>INDEX(挂机升级突破!BV$6:BV$57,卡牌消耗!$AI1075)</f>
        <v>4</v>
      </c>
      <c r="AE1075" s="14">
        <f>INDEX(挂机升级突破!BW$6:BW$57,卡牌消耗!$AI1075)</f>
        <v>0</v>
      </c>
      <c r="AF1075" s="14" t="str">
        <f t="shared" si="214"/>
        <v>烈风螳螂</v>
      </c>
      <c r="AG1075" s="14">
        <f t="shared" si="215"/>
        <v>3</v>
      </c>
      <c r="AH1075" s="14" t="str">
        <f t="shared" si="216"/>
        <v>烈风螳螂魂火-31</v>
      </c>
      <c r="AI1075" s="14">
        <f t="shared" si="217"/>
        <v>31</v>
      </c>
      <c r="AJ1075" s="14" t="str">
        <f>INDEX(挂机升级突破!$BX$4:$CH$4,INDEX(挂机升级突破!$BU$6:$BU$57,卡牌消耗!AI1075))</f>
        <v>金币</v>
      </c>
      <c r="AK1075" s="14">
        <f>ROUND(INDEX(挂机升级突破!$BN$6:$BN$57,卡牌消耗!AI1075)*INDEX(卡牌消耗!$B$8:$F$8,AG1075)/$Q$4/50,0)*50</f>
        <v>6900</v>
      </c>
      <c r="AL1075" s="14" t="str">
        <f>IF(AD1075&gt;0,INDEX(挂机升级突破!$BX$4:$CH$4,AD1075),"")</f>
        <v>橙色基础材料</v>
      </c>
      <c r="AM1075" s="14">
        <f>ROUND(INDEX(挂机升级突破!$BX$6:$CH$57,卡牌消耗!AI1075,AD1075)*INDEX(卡牌消耗!$B$5:$F$5,AG1075)/$Q$4/5,0)*5</f>
        <v>100</v>
      </c>
      <c r="AN1075" s="14" t="str">
        <f>IF(AE1075&gt;0,INDEX(挂机升级突破!$BX$4:$CH$4,AE1075),"")</f>
        <v/>
      </c>
      <c r="AO1075" s="14" t="str">
        <f>IF(AE1075&gt;0,ROUND(INDEX(挂机升级突破!$BX$6:$CH$57,卡牌消耗!AI1075,AE1075)*INDEX(卡牌消耗!$B$7:$F$7,AG1075)/$Q$4,0),"")</f>
        <v/>
      </c>
    </row>
    <row r="1076" spans="27:41" ht="16.5" x14ac:dyDescent="0.2">
      <c r="AA1076" s="104">
        <v>1072</v>
      </c>
      <c r="AB1076" s="14">
        <f t="shared" si="213"/>
        <v>21</v>
      </c>
      <c r="AC1076" s="14">
        <f>INDEX(挂机升级突破!$BU$6:$BU$57,卡牌消耗!AI1076)</f>
        <v>11</v>
      </c>
      <c r="AD1076" s="14">
        <f>INDEX(挂机升级突破!BV$6:BV$57,卡牌消耗!$AI1076)</f>
        <v>4</v>
      </c>
      <c r="AE1076" s="14">
        <f>INDEX(挂机升级突破!BW$6:BW$57,卡牌消耗!$AI1076)</f>
        <v>0</v>
      </c>
      <c r="AF1076" s="14" t="str">
        <f t="shared" si="214"/>
        <v>烈风螳螂</v>
      </c>
      <c r="AG1076" s="14">
        <f t="shared" si="215"/>
        <v>3</v>
      </c>
      <c r="AH1076" s="14" t="str">
        <f t="shared" si="216"/>
        <v>烈风螳螂魂火-32</v>
      </c>
      <c r="AI1076" s="14">
        <f t="shared" si="217"/>
        <v>32</v>
      </c>
      <c r="AJ1076" s="14" t="str">
        <f>INDEX(挂机升级突破!$BX$4:$CH$4,INDEX(挂机升级突破!$BU$6:$BU$57,卡牌消耗!AI1076))</f>
        <v>金币</v>
      </c>
      <c r="AK1076" s="14">
        <f>ROUND(INDEX(挂机升级突破!$BN$6:$BN$57,卡牌消耗!AI1076)*INDEX(卡牌消耗!$B$8:$F$8,AG1076)/$Q$4/50,0)*50</f>
        <v>9500</v>
      </c>
      <c r="AL1076" s="14" t="str">
        <f>IF(AD1076&gt;0,INDEX(挂机升级突破!$BX$4:$CH$4,AD1076),"")</f>
        <v>橙色基础材料</v>
      </c>
      <c r="AM1076" s="14">
        <f>ROUND(INDEX(挂机升级突破!$BX$6:$CH$57,卡牌消耗!AI1076,AD1076)*INDEX(卡牌消耗!$B$5:$F$5,AG1076)/$Q$4/5,0)*5</f>
        <v>100</v>
      </c>
      <c r="AN1076" s="14" t="str">
        <f>IF(AE1076&gt;0,INDEX(挂机升级突破!$BX$4:$CH$4,AE1076),"")</f>
        <v/>
      </c>
      <c r="AO1076" s="14" t="str">
        <f>IF(AE1076&gt;0,ROUND(INDEX(挂机升级突破!$BX$6:$CH$57,卡牌消耗!AI1076,AE1076)*INDEX(卡牌消耗!$B$7:$F$7,AG1076)/$Q$4,0),"")</f>
        <v/>
      </c>
    </row>
    <row r="1077" spans="27:41" ht="16.5" x14ac:dyDescent="0.2">
      <c r="AA1077" s="104">
        <v>1073</v>
      </c>
      <c r="AB1077" s="14">
        <f t="shared" si="213"/>
        <v>21</v>
      </c>
      <c r="AC1077" s="14">
        <f>INDEX(挂机升级突破!$BU$6:$BU$57,卡牌消耗!AI1077)</f>
        <v>11</v>
      </c>
      <c r="AD1077" s="14">
        <f>INDEX(挂机升级突破!BV$6:BV$57,卡牌消耗!$AI1077)</f>
        <v>4</v>
      </c>
      <c r="AE1077" s="14">
        <f>INDEX(挂机升级突破!BW$6:BW$57,卡牌消耗!$AI1077)</f>
        <v>0</v>
      </c>
      <c r="AF1077" s="14" t="str">
        <f t="shared" si="214"/>
        <v>烈风螳螂</v>
      </c>
      <c r="AG1077" s="14">
        <f t="shared" si="215"/>
        <v>3</v>
      </c>
      <c r="AH1077" s="14" t="str">
        <f t="shared" si="216"/>
        <v>烈风螳螂魂火-33</v>
      </c>
      <c r="AI1077" s="14">
        <f t="shared" si="217"/>
        <v>33</v>
      </c>
      <c r="AJ1077" s="14" t="str">
        <f>INDEX(挂机升级突破!$BX$4:$CH$4,INDEX(挂机升级突破!$BU$6:$BU$57,卡牌消耗!AI1077))</f>
        <v>金币</v>
      </c>
      <c r="AK1077" s="14">
        <f>ROUND(INDEX(挂机升级突破!$BN$6:$BN$57,卡牌消耗!AI1077)*INDEX(卡牌消耗!$B$8:$F$8,AG1077)/$Q$4/50,0)*50</f>
        <v>9500</v>
      </c>
      <c r="AL1077" s="14" t="str">
        <f>IF(AD1077&gt;0,INDEX(挂机升级突破!$BX$4:$CH$4,AD1077),"")</f>
        <v>橙色基础材料</v>
      </c>
      <c r="AM1077" s="14">
        <f>ROUND(INDEX(挂机升级突破!$BX$6:$CH$57,卡牌消耗!AI1077,AD1077)*INDEX(卡牌消耗!$B$5:$F$5,AG1077)/$Q$4/5,0)*5</f>
        <v>100</v>
      </c>
      <c r="AN1077" s="14" t="str">
        <f>IF(AE1077&gt;0,INDEX(挂机升级突破!$BX$4:$CH$4,AE1077),"")</f>
        <v/>
      </c>
      <c r="AO1077" s="14" t="str">
        <f>IF(AE1077&gt;0,ROUND(INDEX(挂机升级突破!$BX$6:$CH$57,卡牌消耗!AI1077,AE1077)*INDEX(卡牌消耗!$B$7:$F$7,AG1077)/$Q$4,0),"")</f>
        <v/>
      </c>
    </row>
    <row r="1078" spans="27:41" ht="16.5" x14ac:dyDescent="0.2">
      <c r="AA1078" s="104">
        <v>1074</v>
      </c>
      <c r="AB1078" s="14">
        <f t="shared" si="213"/>
        <v>21</v>
      </c>
      <c r="AC1078" s="14">
        <f>INDEX(挂机升级突破!$BU$6:$BU$57,卡牌消耗!AI1078)</f>
        <v>11</v>
      </c>
      <c r="AD1078" s="14">
        <f>INDEX(挂机升级突破!BV$6:BV$57,卡牌消耗!$AI1078)</f>
        <v>4</v>
      </c>
      <c r="AE1078" s="14">
        <f>INDEX(挂机升级突破!BW$6:BW$57,卡牌消耗!$AI1078)</f>
        <v>0</v>
      </c>
      <c r="AF1078" s="14" t="str">
        <f t="shared" si="214"/>
        <v>烈风螳螂</v>
      </c>
      <c r="AG1078" s="14">
        <f t="shared" si="215"/>
        <v>3</v>
      </c>
      <c r="AH1078" s="14" t="str">
        <f t="shared" si="216"/>
        <v>烈风螳螂魂火-34</v>
      </c>
      <c r="AI1078" s="14">
        <f t="shared" si="217"/>
        <v>34</v>
      </c>
      <c r="AJ1078" s="14" t="str">
        <f>INDEX(挂机升级突破!$BX$4:$CH$4,INDEX(挂机升级突破!$BU$6:$BU$57,卡牌消耗!AI1078))</f>
        <v>金币</v>
      </c>
      <c r="AK1078" s="14">
        <f>ROUND(INDEX(挂机升级突破!$BN$6:$BN$57,卡牌消耗!AI1078)*INDEX(卡牌消耗!$B$8:$F$8,AG1078)/$Q$4/50,0)*50</f>
        <v>9500</v>
      </c>
      <c r="AL1078" s="14" t="str">
        <f>IF(AD1078&gt;0,INDEX(挂机升级突破!$BX$4:$CH$4,AD1078),"")</f>
        <v>橙色基础材料</v>
      </c>
      <c r="AM1078" s="14">
        <f>ROUND(INDEX(挂机升级突破!$BX$6:$CH$57,卡牌消耗!AI1078,AD1078)*INDEX(卡牌消耗!$B$5:$F$5,AG1078)/$Q$4/5,0)*5</f>
        <v>110</v>
      </c>
      <c r="AN1078" s="14" t="str">
        <f>IF(AE1078&gt;0,INDEX(挂机升级突破!$BX$4:$CH$4,AE1078),"")</f>
        <v/>
      </c>
      <c r="AO1078" s="14" t="str">
        <f>IF(AE1078&gt;0,ROUND(INDEX(挂机升级突破!$BX$6:$CH$57,卡牌消耗!AI1078,AE1078)*INDEX(卡牌消耗!$B$7:$F$7,AG1078)/$Q$4,0),"")</f>
        <v/>
      </c>
    </row>
    <row r="1079" spans="27:41" ht="16.5" x14ac:dyDescent="0.2">
      <c r="AA1079" s="104">
        <v>1075</v>
      </c>
      <c r="AB1079" s="14">
        <f t="shared" si="213"/>
        <v>21</v>
      </c>
      <c r="AC1079" s="14">
        <f>INDEX(挂机升级突破!$BU$6:$BU$57,卡牌消耗!AI1079)</f>
        <v>11</v>
      </c>
      <c r="AD1079" s="14">
        <f>INDEX(挂机升级突破!BV$6:BV$57,卡牌消耗!$AI1079)</f>
        <v>4</v>
      </c>
      <c r="AE1079" s="14">
        <f>INDEX(挂机升级突破!BW$6:BW$57,卡牌消耗!$AI1079)</f>
        <v>0</v>
      </c>
      <c r="AF1079" s="14" t="str">
        <f t="shared" si="214"/>
        <v>烈风螳螂</v>
      </c>
      <c r="AG1079" s="14">
        <f t="shared" si="215"/>
        <v>3</v>
      </c>
      <c r="AH1079" s="14" t="str">
        <f t="shared" si="216"/>
        <v>烈风螳螂魂火-35</v>
      </c>
      <c r="AI1079" s="14">
        <f t="shared" si="217"/>
        <v>35</v>
      </c>
      <c r="AJ1079" s="14" t="str">
        <f>INDEX(挂机升级突破!$BX$4:$CH$4,INDEX(挂机升级突破!$BU$6:$BU$57,卡牌消耗!AI1079))</f>
        <v>金币</v>
      </c>
      <c r="AK1079" s="14">
        <f>ROUND(INDEX(挂机升级突破!$BN$6:$BN$57,卡牌消耗!AI1079)*INDEX(卡牌消耗!$B$8:$F$8,AG1079)/$Q$4/50,0)*50</f>
        <v>12100</v>
      </c>
      <c r="AL1079" s="14" t="str">
        <f>IF(AD1079&gt;0,INDEX(挂机升级突破!$BX$4:$CH$4,AD1079),"")</f>
        <v>橙色基础材料</v>
      </c>
      <c r="AM1079" s="14">
        <f>ROUND(INDEX(挂机升级突破!$BX$6:$CH$57,卡牌消耗!AI1079,AD1079)*INDEX(卡牌消耗!$B$5:$F$5,AG1079)/$Q$4/5,0)*5</f>
        <v>110</v>
      </c>
      <c r="AN1079" s="14" t="str">
        <f>IF(AE1079&gt;0,INDEX(挂机升级突破!$BX$4:$CH$4,AE1079),"")</f>
        <v/>
      </c>
      <c r="AO1079" s="14" t="str">
        <f>IF(AE1079&gt;0,ROUND(INDEX(挂机升级突破!$BX$6:$CH$57,卡牌消耗!AI1079,AE1079)*INDEX(卡牌消耗!$B$7:$F$7,AG1079)/$Q$4,0),"")</f>
        <v/>
      </c>
    </row>
    <row r="1080" spans="27:41" ht="16.5" x14ac:dyDescent="0.2">
      <c r="AA1080" s="104">
        <v>1076</v>
      </c>
      <c r="AB1080" s="14">
        <f t="shared" si="213"/>
        <v>21</v>
      </c>
      <c r="AC1080" s="14">
        <f>INDEX(挂机升级突破!$BU$6:$BU$57,卡牌消耗!AI1080)</f>
        <v>11</v>
      </c>
      <c r="AD1080" s="14">
        <f>INDEX(挂机升级突破!BV$6:BV$57,卡牌消耗!$AI1080)</f>
        <v>4</v>
      </c>
      <c r="AE1080" s="14">
        <f>INDEX(挂机升级突破!BW$6:BW$57,卡牌消耗!$AI1080)</f>
        <v>0</v>
      </c>
      <c r="AF1080" s="14" t="str">
        <f t="shared" si="214"/>
        <v>烈风螳螂</v>
      </c>
      <c r="AG1080" s="14">
        <f t="shared" si="215"/>
        <v>3</v>
      </c>
      <c r="AH1080" s="14" t="str">
        <f t="shared" si="216"/>
        <v>烈风螳螂魂火-36</v>
      </c>
      <c r="AI1080" s="14">
        <f t="shared" si="217"/>
        <v>36</v>
      </c>
      <c r="AJ1080" s="14" t="str">
        <f>INDEX(挂机升级突破!$BX$4:$CH$4,INDEX(挂机升级突破!$BU$6:$BU$57,卡牌消耗!AI1080))</f>
        <v>金币</v>
      </c>
      <c r="AK1080" s="14">
        <f>ROUND(INDEX(挂机升级突破!$BN$6:$BN$57,卡牌消耗!AI1080)*INDEX(卡牌消耗!$B$8:$F$8,AG1080)/$Q$4/50,0)*50</f>
        <v>12100</v>
      </c>
      <c r="AL1080" s="14" t="str">
        <f>IF(AD1080&gt;0,INDEX(挂机升级突破!$BX$4:$CH$4,AD1080),"")</f>
        <v>橙色基础材料</v>
      </c>
      <c r="AM1080" s="14">
        <f>ROUND(INDEX(挂机升级突破!$BX$6:$CH$57,卡牌消耗!AI1080,AD1080)*INDEX(卡牌消耗!$B$5:$F$5,AG1080)/$Q$4/5,0)*5</f>
        <v>110</v>
      </c>
      <c r="AN1080" s="14" t="str">
        <f>IF(AE1080&gt;0,INDEX(挂机升级突破!$BX$4:$CH$4,AE1080),"")</f>
        <v/>
      </c>
      <c r="AO1080" s="14" t="str">
        <f>IF(AE1080&gt;0,ROUND(INDEX(挂机升级突破!$BX$6:$CH$57,卡牌消耗!AI1080,AE1080)*INDEX(卡牌消耗!$B$7:$F$7,AG1080)/$Q$4,0),"")</f>
        <v/>
      </c>
    </row>
    <row r="1081" spans="27:41" ht="16.5" x14ac:dyDescent="0.2">
      <c r="AA1081" s="104">
        <v>1077</v>
      </c>
      <c r="AB1081" s="14">
        <f t="shared" si="213"/>
        <v>21</v>
      </c>
      <c r="AC1081" s="14">
        <f>INDEX(挂机升级突破!$BU$6:$BU$57,卡牌消耗!AI1081)</f>
        <v>11</v>
      </c>
      <c r="AD1081" s="14">
        <f>INDEX(挂机升级突破!BV$6:BV$57,卡牌消耗!$AI1081)</f>
        <v>4</v>
      </c>
      <c r="AE1081" s="14">
        <f>INDEX(挂机升级突破!BW$6:BW$57,卡牌消耗!$AI1081)</f>
        <v>0</v>
      </c>
      <c r="AF1081" s="14" t="str">
        <f t="shared" si="214"/>
        <v>烈风螳螂</v>
      </c>
      <c r="AG1081" s="14">
        <f t="shared" si="215"/>
        <v>3</v>
      </c>
      <c r="AH1081" s="14" t="str">
        <f t="shared" si="216"/>
        <v>烈风螳螂魂火-37</v>
      </c>
      <c r="AI1081" s="14">
        <f t="shared" si="217"/>
        <v>37</v>
      </c>
      <c r="AJ1081" s="14" t="str">
        <f>INDEX(挂机升级突破!$BX$4:$CH$4,INDEX(挂机升级突破!$BU$6:$BU$57,卡牌消耗!AI1081))</f>
        <v>金币</v>
      </c>
      <c r="AK1081" s="14">
        <f>ROUND(INDEX(挂机升级突破!$BN$6:$BN$57,卡牌消耗!AI1081)*INDEX(卡牌消耗!$B$8:$F$8,AG1081)/$Q$4/50,0)*50</f>
        <v>12950</v>
      </c>
      <c r="AL1081" s="14" t="str">
        <f>IF(AD1081&gt;0,INDEX(挂机升级突破!$BX$4:$CH$4,AD1081),"")</f>
        <v>橙色基础材料</v>
      </c>
      <c r="AM1081" s="14">
        <f>ROUND(INDEX(挂机升级突破!$BX$6:$CH$57,卡牌消耗!AI1081,AD1081)*INDEX(卡牌消耗!$B$5:$F$5,AG1081)/$Q$4/5,0)*5</f>
        <v>110</v>
      </c>
      <c r="AN1081" s="14" t="str">
        <f>IF(AE1081&gt;0,INDEX(挂机升级突破!$BX$4:$CH$4,AE1081),"")</f>
        <v/>
      </c>
      <c r="AO1081" s="14" t="str">
        <f>IF(AE1081&gt;0,ROUND(INDEX(挂机升级突破!$BX$6:$CH$57,卡牌消耗!AI1081,AE1081)*INDEX(卡牌消耗!$B$7:$F$7,AG1081)/$Q$4,0),"")</f>
        <v/>
      </c>
    </row>
    <row r="1082" spans="27:41" ht="16.5" x14ac:dyDescent="0.2">
      <c r="AA1082" s="104">
        <v>1078</v>
      </c>
      <c r="AB1082" s="14">
        <f t="shared" si="213"/>
        <v>21</v>
      </c>
      <c r="AC1082" s="14">
        <f>INDEX(挂机升级突破!$BU$6:$BU$57,卡牌消耗!AI1082)</f>
        <v>11</v>
      </c>
      <c r="AD1082" s="14">
        <f>INDEX(挂机升级突破!BV$6:BV$57,卡牌消耗!$AI1082)</f>
        <v>5</v>
      </c>
      <c r="AE1082" s="14">
        <f>INDEX(挂机升级突破!BW$6:BW$57,卡牌消耗!$AI1082)</f>
        <v>0</v>
      </c>
      <c r="AF1082" s="14" t="str">
        <f t="shared" si="214"/>
        <v>烈风螳螂</v>
      </c>
      <c r="AG1082" s="14">
        <f t="shared" si="215"/>
        <v>3</v>
      </c>
      <c r="AH1082" s="14" t="str">
        <f t="shared" si="216"/>
        <v>烈风螳螂魂火-38</v>
      </c>
      <c r="AI1082" s="14">
        <f t="shared" si="217"/>
        <v>38</v>
      </c>
      <c r="AJ1082" s="14" t="str">
        <f>INDEX(挂机升级突破!$BX$4:$CH$4,INDEX(挂机升级突破!$BU$6:$BU$57,卡牌消耗!AI1082))</f>
        <v>金币</v>
      </c>
      <c r="AK1082" s="14">
        <f>ROUND(INDEX(挂机升级突破!$BN$6:$BN$57,卡牌消耗!AI1082)*INDEX(卡牌消耗!$B$8:$F$8,AG1082)/$Q$4/50,0)*50</f>
        <v>16700</v>
      </c>
      <c r="AL1082" s="14" t="str">
        <f>IF(AD1082&gt;0,INDEX(挂机升级突破!$BX$4:$CH$4,AD1082),"")</f>
        <v>红色基础材料</v>
      </c>
      <c r="AM1082" s="14">
        <f>ROUND(INDEX(挂机升级突破!$BX$6:$CH$57,卡牌消耗!AI1082,AD1082)*INDEX(卡牌消耗!$B$5:$F$5,AG1082)/$Q$4/5,0)*5</f>
        <v>45</v>
      </c>
      <c r="AN1082" s="14" t="str">
        <f>IF(AE1082&gt;0,INDEX(挂机升级突破!$BX$4:$CH$4,AE1082),"")</f>
        <v/>
      </c>
      <c r="AO1082" s="14" t="str">
        <f>IF(AE1082&gt;0,ROUND(INDEX(挂机升级突破!$BX$6:$CH$57,卡牌消耗!AI1082,AE1082)*INDEX(卡牌消耗!$B$7:$F$7,AG1082)/$Q$4,0),"")</f>
        <v/>
      </c>
    </row>
    <row r="1083" spans="27:41" ht="16.5" x14ac:dyDescent="0.2">
      <c r="AA1083" s="104">
        <v>1079</v>
      </c>
      <c r="AB1083" s="14">
        <f t="shared" si="213"/>
        <v>21</v>
      </c>
      <c r="AC1083" s="14">
        <f>INDEX(挂机升级突破!$BU$6:$BU$57,卡牌消耗!AI1083)</f>
        <v>11</v>
      </c>
      <c r="AD1083" s="14">
        <f>INDEX(挂机升级突破!BV$6:BV$57,卡牌消耗!$AI1083)</f>
        <v>5</v>
      </c>
      <c r="AE1083" s="14">
        <f>INDEX(挂机升级突破!BW$6:BW$57,卡牌消耗!$AI1083)</f>
        <v>0</v>
      </c>
      <c r="AF1083" s="14" t="str">
        <f t="shared" si="214"/>
        <v>烈风螳螂</v>
      </c>
      <c r="AG1083" s="14">
        <f t="shared" si="215"/>
        <v>3</v>
      </c>
      <c r="AH1083" s="14" t="str">
        <f t="shared" si="216"/>
        <v>烈风螳螂魂火-39</v>
      </c>
      <c r="AI1083" s="14">
        <f t="shared" si="217"/>
        <v>39</v>
      </c>
      <c r="AJ1083" s="14" t="str">
        <f>INDEX(挂机升级突破!$BX$4:$CH$4,INDEX(挂机升级突破!$BU$6:$BU$57,卡牌消耗!AI1083))</f>
        <v>金币</v>
      </c>
      <c r="AK1083" s="14">
        <f>ROUND(INDEX(挂机升级突破!$BN$6:$BN$57,卡牌消耗!AI1083)*INDEX(卡牌消耗!$B$8:$F$8,AG1083)/$Q$4/50,0)*50</f>
        <v>16700</v>
      </c>
      <c r="AL1083" s="14" t="str">
        <f>IF(AD1083&gt;0,INDEX(挂机升级突破!$BX$4:$CH$4,AD1083),"")</f>
        <v>红色基础材料</v>
      </c>
      <c r="AM1083" s="14">
        <f>ROUND(INDEX(挂机升级突破!$BX$6:$CH$57,卡牌消耗!AI1083,AD1083)*INDEX(卡牌消耗!$B$5:$F$5,AG1083)/$Q$4/5,0)*5</f>
        <v>45</v>
      </c>
      <c r="AN1083" s="14" t="str">
        <f>IF(AE1083&gt;0,INDEX(挂机升级突破!$BX$4:$CH$4,AE1083),"")</f>
        <v/>
      </c>
      <c r="AO1083" s="14" t="str">
        <f>IF(AE1083&gt;0,ROUND(INDEX(挂机升级突破!$BX$6:$CH$57,卡牌消耗!AI1083,AE1083)*INDEX(卡牌消耗!$B$7:$F$7,AG1083)/$Q$4,0),"")</f>
        <v/>
      </c>
    </row>
    <row r="1084" spans="27:41" ht="16.5" x14ac:dyDescent="0.2">
      <c r="AA1084" s="104">
        <v>1080</v>
      </c>
      <c r="AB1084" s="14">
        <f t="shared" si="213"/>
        <v>21</v>
      </c>
      <c r="AC1084" s="14">
        <f>INDEX(挂机升级突破!$BU$6:$BU$57,卡牌消耗!AI1084)</f>
        <v>11</v>
      </c>
      <c r="AD1084" s="14">
        <f>INDEX(挂机升级突破!BV$6:BV$57,卡牌消耗!$AI1084)</f>
        <v>5</v>
      </c>
      <c r="AE1084" s="14">
        <f>INDEX(挂机升级突破!BW$6:BW$57,卡牌消耗!$AI1084)</f>
        <v>0</v>
      </c>
      <c r="AF1084" s="14" t="str">
        <f t="shared" si="214"/>
        <v>烈风螳螂</v>
      </c>
      <c r="AG1084" s="14">
        <f t="shared" si="215"/>
        <v>3</v>
      </c>
      <c r="AH1084" s="14" t="str">
        <f t="shared" si="216"/>
        <v>烈风螳螂魂火-40</v>
      </c>
      <c r="AI1084" s="14">
        <f t="shared" si="217"/>
        <v>40</v>
      </c>
      <c r="AJ1084" s="14" t="str">
        <f>INDEX(挂机升级突破!$BX$4:$CH$4,INDEX(挂机升级突破!$BU$6:$BU$57,卡牌消耗!AI1084))</f>
        <v>金币</v>
      </c>
      <c r="AK1084" s="14">
        <f>ROUND(INDEX(挂机升级突破!$BN$6:$BN$57,卡牌消耗!AI1084)*INDEX(卡牌消耗!$B$8:$F$8,AG1084)/$Q$4/50,0)*50</f>
        <v>16700</v>
      </c>
      <c r="AL1084" s="14" t="str">
        <f>IF(AD1084&gt;0,INDEX(挂机升级突破!$BX$4:$CH$4,AD1084),"")</f>
        <v>红色基础材料</v>
      </c>
      <c r="AM1084" s="14">
        <f>ROUND(INDEX(挂机升级突破!$BX$6:$CH$57,卡牌消耗!AI1084,AD1084)*INDEX(卡牌消耗!$B$5:$F$5,AG1084)/$Q$4/5,0)*5</f>
        <v>45</v>
      </c>
      <c r="AN1084" s="14" t="str">
        <f>IF(AE1084&gt;0,INDEX(挂机升级突破!$BX$4:$CH$4,AE1084),"")</f>
        <v/>
      </c>
      <c r="AO1084" s="14" t="str">
        <f>IF(AE1084&gt;0,ROUND(INDEX(挂机升级突破!$BX$6:$CH$57,卡牌消耗!AI1084,AE1084)*INDEX(卡牌消耗!$B$7:$F$7,AG1084)/$Q$4,0),"")</f>
        <v/>
      </c>
    </row>
    <row r="1085" spans="27:41" ht="16.5" x14ac:dyDescent="0.2">
      <c r="AA1085" s="104">
        <v>1081</v>
      </c>
      <c r="AB1085" s="14">
        <f t="shared" si="213"/>
        <v>21</v>
      </c>
      <c r="AC1085" s="14">
        <f>INDEX(挂机升级突破!$BU$6:$BU$57,卡牌消耗!AI1085)</f>
        <v>11</v>
      </c>
      <c r="AD1085" s="14">
        <f>INDEX(挂机升级突破!BV$6:BV$57,卡牌消耗!$AI1085)</f>
        <v>5</v>
      </c>
      <c r="AE1085" s="14">
        <f>INDEX(挂机升级突破!BW$6:BW$57,卡牌消耗!$AI1085)</f>
        <v>10</v>
      </c>
      <c r="AF1085" s="14" t="str">
        <f t="shared" si="214"/>
        <v>烈风螳螂</v>
      </c>
      <c r="AG1085" s="14">
        <f t="shared" si="215"/>
        <v>3</v>
      </c>
      <c r="AH1085" s="14" t="str">
        <f t="shared" si="216"/>
        <v>烈风螳螂魂火-41</v>
      </c>
      <c r="AI1085" s="14">
        <f t="shared" si="217"/>
        <v>41</v>
      </c>
      <c r="AJ1085" s="14" t="str">
        <f>INDEX(挂机升级突破!$BX$4:$CH$4,INDEX(挂机升级突破!$BU$6:$BU$57,卡牌消耗!AI1085))</f>
        <v>金币</v>
      </c>
      <c r="AK1085" s="14">
        <f>ROUND(INDEX(挂机升级突破!$BN$6:$BN$57,卡牌消耗!AI1085)*INDEX(卡牌消耗!$B$8:$F$8,AG1085)/$Q$4/50,0)*50</f>
        <v>23000</v>
      </c>
      <c r="AL1085" s="14" t="str">
        <f>IF(AD1085&gt;0,INDEX(挂机升级突破!$BX$4:$CH$4,AD1085),"")</f>
        <v>红色基础材料</v>
      </c>
      <c r="AM1085" s="14">
        <f>ROUND(INDEX(挂机升级突破!$BX$6:$CH$57,卡牌消耗!AI1085,AD1085)*INDEX(卡牌消耗!$B$5:$F$5,AG1085)/$Q$4/5,0)*5</f>
        <v>55</v>
      </c>
      <c r="AN1085" s="14" t="str">
        <f>IF(AE1085&gt;0,INDEX(挂机升级突破!$BX$4:$CH$4,AE1085),"")</f>
        <v>灵玉</v>
      </c>
      <c r="AO1085" s="14">
        <f>IF(AE1085&gt;0,ROUND(INDEX(挂机升级突破!$BX$6:$CH$57,卡牌消耗!AI1085,AE1085)*INDEX(卡牌消耗!$B$7:$F$7,AG1085)/$Q$4,0),"")</f>
        <v>1</v>
      </c>
    </row>
    <row r="1086" spans="27:41" ht="16.5" x14ac:dyDescent="0.2">
      <c r="AA1086" s="104">
        <v>1082</v>
      </c>
      <c r="AB1086" s="14">
        <f t="shared" si="213"/>
        <v>21</v>
      </c>
      <c r="AC1086" s="14">
        <f>INDEX(挂机升级突破!$BU$6:$BU$57,卡牌消耗!AI1086)</f>
        <v>11</v>
      </c>
      <c r="AD1086" s="14">
        <f>INDEX(挂机升级突破!BV$6:BV$57,卡牌消耗!$AI1086)</f>
        <v>5</v>
      </c>
      <c r="AE1086" s="14">
        <f>INDEX(挂机升级突破!BW$6:BW$57,卡牌消耗!$AI1086)</f>
        <v>10</v>
      </c>
      <c r="AF1086" s="14" t="str">
        <f t="shared" si="214"/>
        <v>烈风螳螂</v>
      </c>
      <c r="AG1086" s="14">
        <f t="shared" si="215"/>
        <v>3</v>
      </c>
      <c r="AH1086" s="14" t="str">
        <f t="shared" si="216"/>
        <v>烈风螳螂魂火-42</v>
      </c>
      <c r="AI1086" s="14">
        <f t="shared" si="217"/>
        <v>42</v>
      </c>
      <c r="AJ1086" s="14" t="str">
        <f>INDEX(挂机升级突破!$BX$4:$CH$4,INDEX(挂机升级突破!$BU$6:$BU$57,卡牌消耗!AI1086))</f>
        <v>金币</v>
      </c>
      <c r="AK1086" s="14">
        <f>ROUND(INDEX(挂机升级突破!$BN$6:$BN$57,卡牌消耗!AI1086)*INDEX(卡牌消耗!$B$8:$F$8,AG1086)/$Q$4/50,0)*50</f>
        <v>23000</v>
      </c>
      <c r="AL1086" s="14" t="str">
        <f>IF(AD1086&gt;0,INDEX(挂机升级突破!$BX$4:$CH$4,AD1086),"")</f>
        <v>红色基础材料</v>
      </c>
      <c r="AM1086" s="14">
        <f>ROUND(INDEX(挂机升级突破!$BX$6:$CH$57,卡牌消耗!AI1086,AD1086)*INDEX(卡牌消耗!$B$5:$F$5,AG1086)/$Q$4/5,0)*5</f>
        <v>55</v>
      </c>
      <c r="AN1086" s="14" t="str">
        <f>IF(AE1086&gt;0,INDEX(挂机升级突破!$BX$4:$CH$4,AE1086),"")</f>
        <v>灵玉</v>
      </c>
      <c r="AO1086" s="14">
        <f>IF(AE1086&gt;0,ROUND(INDEX(挂机升级突破!$BX$6:$CH$57,卡牌消耗!AI1086,AE1086)*INDEX(卡牌消耗!$B$7:$F$7,AG1086)/$Q$4,0),"")</f>
        <v>1</v>
      </c>
    </row>
    <row r="1087" spans="27:41" ht="16.5" x14ac:dyDescent="0.2">
      <c r="AA1087" s="104">
        <v>1083</v>
      </c>
      <c r="AB1087" s="14">
        <f t="shared" si="213"/>
        <v>21</v>
      </c>
      <c r="AC1087" s="14">
        <f>INDEX(挂机升级突破!$BU$6:$BU$57,卡牌消耗!AI1087)</f>
        <v>11</v>
      </c>
      <c r="AD1087" s="14">
        <f>INDEX(挂机升级突破!BV$6:BV$57,卡牌消耗!$AI1087)</f>
        <v>5</v>
      </c>
      <c r="AE1087" s="14">
        <f>INDEX(挂机升级突破!BW$6:BW$57,卡牌消耗!$AI1087)</f>
        <v>10</v>
      </c>
      <c r="AF1087" s="14" t="str">
        <f t="shared" si="214"/>
        <v>烈风螳螂</v>
      </c>
      <c r="AG1087" s="14">
        <f t="shared" si="215"/>
        <v>3</v>
      </c>
      <c r="AH1087" s="14" t="str">
        <f t="shared" si="216"/>
        <v>烈风螳螂魂火-43</v>
      </c>
      <c r="AI1087" s="14">
        <f t="shared" si="217"/>
        <v>43</v>
      </c>
      <c r="AJ1087" s="14" t="str">
        <f>INDEX(挂机升级突破!$BX$4:$CH$4,INDEX(挂机升级突破!$BU$6:$BU$57,卡牌消耗!AI1087))</f>
        <v>金币</v>
      </c>
      <c r="AK1087" s="14">
        <f>ROUND(INDEX(挂机升级突破!$BN$6:$BN$57,卡牌消耗!AI1087)*INDEX(卡牌消耗!$B$8:$F$8,AG1087)/$Q$4/50,0)*50</f>
        <v>23000</v>
      </c>
      <c r="AL1087" s="14" t="str">
        <f>IF(AD1087&gt;0,INDEX(挂机升级突破!$BX$4:$CH$4,AD1087),"")</f>
        <v>红色基础材料</v>
      </c>
      <c r="AM1087" s="14">
        <f>ROUND(INDEX(挂机升级突破!$BX$6:$CH$57,卡牌消耗!AI1087,AD1087)*INDEX(卡牌消耗!$B$5:$F$5,AG1087)/$Q$4/5,0)*5</f>
        <v>55</v>
      </c>
      <c r="AN1087" s="14" t="str">
        <f>IF(AE1087&gt;0,INDEX(挂机升级突破!$BX$4:$CH$4,AE1087),"")</f>
        <v>灵玉</v>
      </c>
      <c r="AO1087" s="14">
        <f>IF(AE1087&gt;0,ROUND(INDEX(挂机升级突破!$BX$6:$CH$57,卡牌消耗!AI1087,AE1087)*INDEX(卡牌消耗!$B$7:$F$7,AG1087)/$Q$4,0),"")</f>
        <v>1</v>
      </c>
    </row>
    <row r="1088" spans="27:41" ht="16.5" x14ac:dyDescent="0.2">
      <c r="AA1088" s="104">
        <v>1084</v>
      </c>
      <c r="AB1088" s="14">
        <f t="shared" si="213"/>
        <v>21</v>
      </c>
      <c r="AC1088" s="14">
        <f>INDEX(挂机升级突破!$BU$6:$BU$57,卡牌消耗!AI1088)</f>
        <v>11</v>
      </c>
      <c r="AD1088" s="14">
        <f>INDEX(挂机升级突破!BV$6:BV$57,卡牌消耗!$AI1088)</f>
        <v>5</v>
      </c>
      <c r="AE1088" s="14">
        <f>INDEX(挂机升级突破!BW$6:BW$57,卡牌消耗!$AI1088)</f>
        <v>10</v>
      </c>
      <c r="AF1088" s="14" t="str">
        <f t="shared" si="214"/>
        <v>烈风螳螂</v>
      </c>
      <c r="AG1088" s="14">
        <f t="shared" si="215"/>
        <v>3</v>
      </c>
      <c r="AH1088" s="14" t="str">
        <f t="shared" si="216"/>
        <v>烈风螳螂魂火-44</v>
      </c>
      <c r="AI1088" s="14">
        <f t="shared" si="217"/>
        <v>44</v>
      </c>
      <c r="AJ1088" s="14" t="str">
        <f>INDEX(挂机升级突破!$BX$4:$CH$4,INDEX(挂机升级突破!$BU$6:$BU$57,卡牌消耗!AI1088))</f>
        <v>金币</v>
      </c>
      <c r="AK1088" s="14">
        <f>ROUND(INDEX(挂机升级突破!$BN$6:$BN$57,卡牌消耗!AI1088)*INDEX(卡牌消耗!$B$8:$F$8,AG1088)/$Q$4/50,0)*50</f>
        <v>29250</v>
      </c>
      <c r="AL1088" s="14" t="str">
        <f>IF(AD1088&gt;0,INDEX(挂机升级突破!$BX$4:$CH$4,AD1088),"")</f>
        <v>红色基础材料</v>
      </c>
      <c r="AM1088" s="14">
        <f>ROUND(INDEX(挂机升级突破!$BX$6:$CH$57,卡牌消耗!AI1088,AD1088)*INDEX(卡牌消耗!$B$5:$F$5,AG1088)/$Q$4/5,0)*5</f>
        <v>65</v>
      </c>
      <c r="AN1088" s="14" t="str">
        <f>IF(AE1088&gt;0,INDEX(挂机升级突破!$BX$4:$CH$4,AE1088),"")</f>
        <v>灵玉</v>
      </c>
      <c r="AO1088" s="14">
        <f>IF(AE1088&gt;0,ROUND(INDEX(挂机升级突破!$BX$6:$CH$57,卡牌消耗!AI1088,AE1088)*INDEX(卡牌消耗!$B$7:$F$7,AG1088)/$Q$4,0),"")</f>
        <v>1</v>
      </c>
    </row>
    <row r="1089" spans="27:41" ht="16.5" x14ac:dyDescent="0.2">
      <c r="AA1089" s="104">
        <v>1085</v>
      </c>
      <c r="AB1089" s="14">
        <f t="shared" si="213"/>
        <v>21</v>
      </c>
      <c r="AC1089" s="14">
        <f>INDEX(挂机升级突破!$BU$6:$BU$57,卡牌消耗!AI1089)</f>
        <v>11</v>
      </c>
      <c r="AD1089" s="14">
        <f>INDEX(挂机升级突破!BV$6:BV$57,卡牌消耗!$AI1089)</f>
        <v>5</v>
      </c>
      <c r="AE1089" s="14">
        <f>INDEX(挂机升级突破!BW$6:BW$57,卡牌消耗!$AI1089)</f>
        <v>10</v>
      </c>
      <c r="AF1089" s="14" t="str">
        <f t="shared" si="214"/>
        <v>烈风螳螂</v>
      </c>
      <c r="AG1089" s="14">
        <f t="shared" si="215"/>
        <v>3</v>
      </c>
      <c r="AH1089" s="14" t="str">
        <f t="shared" si="216"/>
        <v>烈风螳螂魂火-45</v>
      </c>
      <c r="AI1089" s="14">
        <f t="shared" si="217"/>
        <v>45</v>
      </c>
      <c r="AJ1089" s="14" t="str">
        <f>INDEX(挂机升级突破!$BX$4:$CH$4,INDEX(挂机升级突破!$BU$6:$BU$57,卡牌消耗!AI1089))</f>
        <v>金币</v>
      </c>
      <c r="AK1089" s="14">
        <f>ROUND(INDEX(挂机升级突破!$BN$6:$BN$57,卡牌消耗!AI1089)*INDEX(卡牌消耗!$B$8:$F$8,AG1089)/$Q$4/50,0)*50</f>
        <v>29250</v>
      </c>
      <c r="AL1089" s="14" t="str">
        <f>IF(AD1089&gt;0,INDEX(挂机升级突破!$BX$4:$CH$4,AD1089),"")</f>
        <v>红色基础材料</v>
      </c>
      <c r="AM1089" s="14">
        <f>ROUND(INDEX(挂机升级突破!$BX$6:$CH$57,卡牌消耗!AI1089,AD1089)*INDEX(卡牌消耗!$B$5:$F$5,AG1089)/$Q$4/5,0)*5</f>
        <v>65</v>
      </c>
      <c r="AN1089" s="14" t="str">
        <f>IF(AE1089&gt;0,INDEX(挂机升级突破!$BX$4:$CH$4,AE1089),"")</f>
        <v>灵玉</v>
      </c>
      <c r="AO1089" s="14">
        <f>IF(AE1089&gt;0,ROUND(INDEX(挂机升级突破!$BX$6:$CH$57,卡牌消耗!AI1089,AE1089)*INDEX(卡牌消耗!$B$7:$F$7,AG1089)/$Q$4,0),"")</f>
        <v>1</v>
      </c>
    </row>
    <row r="1090" spans="27:41" ht="16.5" x14ac:dyDescent="0.2">
      <c r="AA1090" s="104">
        <v>1086</v>
      </c>
      <c r="AB1090" s="14">
        <f t="shared" si="213"/>
        <v>21</v>
      </c>
      <c r="AC1090" s="14">
        <f>INDEX(挂机升级突破!$BU$6:$BU$57,卡牌消耗!AI1090)</f>
        <v>11</v>
      </c>
      <c r="AD1090" s="14">
        <f>INDEX(挂机升级突破!BV$6:BV$57,卡牌消耗!$AI1090)</f>
        <v>5</v>
      </c>
      <c r="AE1090" s="14">
        <f>INDEX(挂机升级突破!BW$6:BW$57,卡牌消耗!$AI1090)</f>
        <v>10</v>
      </c>
      <c r="AF1090" s="14" t="str">
        <f t="shared" si="214"/>
        <v>烈风螳螂</v>
      </c>
      <c r="AG1090" s="14">
        <f t="shared" si="215"/>
        <v>3</v>
      </c>
      <c r="AH1090" s="14" t="str">
        <f t="shared" si="216"/>
        <v>烈风螳螂魂火-46</v>
      </c>
      <c r="AI1090" s="14">
        <f t="shared" si="217"/>
        <v>46</v>
      </c>
      <c r="AJ1090" s="14" t="str">
        <f>INDEX(挂机升级突破!$BX$4:$CH$4,INDEX(挂机升级突破!$BU$6:$BU$57,卡牌消耗!AI1090))</f>
        <v>金币</v>
      </c>
      <c r="AK1090" s="14">
        <f>ROUND(INDEX(挂机升级突破!$BN$6:$BN$57,卡牌消耗!AI1090)*INDEX(卡牌消耗!$B$8:$F$8,AG1090)/$Q$4/50,0)*50</f>
        <v>31350</v>
      </c>
      <c r="AL1090" s="14" t="str">
        <f>IF(AD1090&gt;0,INDEX(挂机升级突破!$BX$4:$CH$4,AD1090),"")</f>
        <v>红色基础材料</v>
      </c>
      <c r="AM1090" s="14">
        <f>ROUND(INDEX(挂机升级突破!$BX$6:$CH$57,卡牌消耗!AI1090,AD1090)*INDEX(卡牌消耗!$B$5:$F$5,AG1090)/$Q$4/5,0)*5</f>
        <v>65</v>
      </c>
      <c r="AN1090" s="14" t="str">
        <f>IF(AE1090&gt;0,INDEX(挂机升级突破!$BX$4:$CH$4,AE1090),"")</f>
        <v>灵玉</v>
      </c>
      <c r="AO1090" s="14">
        <f>IF(AE1090&gt;0,ROUND(INDEX(挂机升级突破!$BX$6:$CH$57,卡牌消耗!AI1090,AE1090)*INDEX(卡牌消耗!$B$7:$F$7,AG1090)/$Q$4,0),"")</f>
        <v>1</v>
      </c>
    </row>
    <row r="1091" spans="27:41" ht="16.5" x14ac:dyDescent="0.2">
      <c r="AA1091" s="104">
        <v>1087</v>
      </c>
      <c r="AB1091" s="14">
        <f t="shared" si="213"/>
        <v>21</v>
      </c>
      <c r="AC1091" s="14">
        <f>INDEX(挂机升级突破!$BU$6:$BU$57,卡牌消耗!AI1091)</f>
        <v>11</v>
      </c>
      <c r="AD1091" s="14">
        <f>INDEX(挂机升级突破!BV$6:BV$57,卡牌消耗!$AI1091)</f>
        <v>5</v>
      </c>
      <c r="AE1091" s="14">
        <f>INDEX(挂机升级突破!BW$6:BW$57,卡牌消耗!$AI1091)</f>
        <v>10</v>
      </c>
      <c r="AF1091" s="14" t="str">
        <f t="shared" si="214"/>
        <v>烈风螳螂</v>
      </c>
      <c r="AG1091" s="14">
        <f t="shared" si="215"/>
        <v>3</v>
      </c>
      <c r="AH1091" s="14" t="str">
        <f t="shared" si="216"/>
        <v>烈风螳螂魂火-47</v>
      </c>
      <c r="AI1091" s="14">
        <f t="shared" si="217"/>
        <v>47</v>
      </c>
      <c r="AJ1091" s="14" t="str">
        <f>INDEX(挂机升级突破!$BX$4:$CH$4,INDEX(挂机升级突破!$BU$6:$BU$57,卡牌消耗!AI1091))</f>
        <v>金币</v>
      </c>
      <c r="AK1091" s="14">
        <f>ROUND(INDEX(挂机升级突破!$BN$6:$BN$57,卡牌消耗!AI1091)*INDEX(卡牌消耗!$B$8:$F$8,AG1091)/$Q$4/50,0)*50</f>
        <v>151950</v>
      </c>
      <c r="AL1091" s="14" t="str">
        <f>IF(AD1091&gt;0,INDEX(挂机升级突破!$BX$4:$CH$4,AD1091),"")</f>
        <v>红色基础材料</v>
      </c>
      <c r="AM1091" s="14">
        <f>ROUND(INDEX(挂机升级突破!$BX$6:$CH$57,卡牌消耗!AI1091,AD1091)*INDEX(卡牌消耗!$B$5:$F$5,AG1091)/$Q$4/5,0)*5</f>
        <v>65</v>
      </c>
      <c r="AN1091" s="14" t="str">
        <f>IF(AE1091&gt;0,INDEX(挂机升级突破!$BX$4:$CH$4,AE1091),"")</f>
        <v>灵玉</v>
      </c>
      <c r="AO1091" s="14">
        <f>IF(AE1091&gt;0,ROUND(INDEX(挂机升级突破!$BX$6:$CH$57,卡牌消耗!AI1091,AE1091)*INDEX(卡牌消耗!$B$7:$F$7,AG1091)/$Q$4,0),"")</f>
        <v>1</v>
      </c>
    </row>
    <row r="1092" spans="27:41" ht="16.5" x14ac:dyDescent="0.2">
      <c r="AA1092" s="104">
        <v>1088</v>
      </c>
      <c r="AB1092" s="14">
        <f t="shared" si="213"/>
        <v>21</v>
      </c>
      <c r="AC1092" s="14">
        <f>INDEX(挂机升级突破!$BU$6:$BU$57,卡牌消耗!AI1092)</f>
        <v>11</v>
      </c>
      <c r="AD1092" s="14">
        <f>INDEX(挂机升级突破!BV$6:BV$57,卡牌消耗!$AI1092)</f>
        <v>5</v>
      </c>
      <c r="AE1092" s="14">
        <f>INDEX(挂机升级突破!BW$6:BW$57,卡牌消耗!$AI1092)</f>
        <v>10</v>
      </c>
      <c r="AF1092" s="14" t="str">
        <f t="shared" si="214"/>
        <v>烈风螳螂</v>
      </c>
      <c r="AG1092" s="14">
        <f t="shared" si="215"/>
        <v>3</v>
      </c>
      <c r="AH1092" s="14" t="str">
        <f t="shared" si="216"/>
        <v>烈风螳螂魂火-48</v>
      </c>
      <c r="AI1092" s="14">
        <f t="shared" si="217"/>
        <v>48</v>
      </c>
      <c r="AJ1092" s="14" t="str">
        <f>INDEX(挂机升级突破!$BX$4:$CH$4,INDEX(挂机升级突破!$BU$6:$BU$57,卡牌消耗!AI1092))</f>
        <v>金币</v>
      </c>
      <c r="AK1092" s="14">
        <f>ROUND(INDEX(挂机升级突破!$BN$6:$BN$57,卡牌消耗!AI1092)*INDEX(卡牌消耗!$B$8:$F$8,AG1092)/$Q$4/50,0)*50</f>
        <v>151950</v>
      </c>
      <c r="AL1092" s="14" t="str">
        <f>IF(AD1092&gt;0,INDEX(挂机升级突破!$BX$4:$CH$4,AD1092),"")</f>
        <v>红色基础材料</v>
      </c>
      <c r="AM1092" s="14">
        <f>ROUND(INDEX(挂机升级突破!$BX$6:$CH$57,卡牌消耗!AI1092,AD1092)*INDEX(卡牌消耗!$B$5:$F$5,AG1092)/$Q$4/5,0)*5</f>
        <v>65</v>
      </c>
      <c r="AN1092" s="14" t="str">
        <f>IF(AE1092&gt;0,INDEX(挂机升级突破!$BX$4:$CH$4,AE1092),"")</f>
        <v>灵玉</v>
      </c>
      <c r="AO1092" s="14">
        <f>IF(AE1092&gt;0,ROUND(INDEX(挂机升级突破!$BX$6:$CH$57,卡牌消耗!AI1092,AE1092)*INDEX(卡牌消耗!$B$7:$F$7,AG1092)/$Q$4,0),"")</f>
        <v>1</v>
      </c>
    </row>
    <row r="1093" spans="27:41" ht="16.5" x14ac:dyDescent="0.2">
      <c r="AA1093" s="104">
        <v>1089</v>
      </c>
      <c r="AB1093" s="14">
        <f t="shared" si="213"/>
        <v>21</v>
      </c>
      <c r="AC1093" s="14">
        <f>INDEX(挂机升级突破!$BU$6:$BU$57,卡牌消耗!AI1093)</f>
        <v>11</v>
      </c>
      <c r="AD1093" s="14">
        <f>INDEX(挂机升级突破!BV$6:BV$57,卡牌消耗!$AI1093)</f>
        <v>5</v>
      </c>
      <c r="AE1093" s="14">
        <f>INDEX(挂机升级突破!BW$6:BW$57,卡牌消耗!$AI1093)</f>
        <v>10</v>
      </c>
      <c r="AF1093" s="14" t="str">
        <f t="shared" si="214"/>
        <v>烈风螳螂</v>
      </c>
      <c r="AG1093" s="14">
        <f t="shared" si="215"/>
        <v>3</v>
      </c>
      <c r="AH1093" s="14" t="str">
        <f t="shared" si="216"/>
        <v>烈风螳螂魂火-49</v>
      </c>
      <c r="AI1093" s="14">
        <f t="shared" si="217"/>
        <v>49</v>
      </c>
      <c r="AJ1093" s="14" t="str">
        <f>INDEX(挂机升级突破!$BX$4:$CH$4,INDEX(挂机升级突破!$BU$6:$BU$57,卡牌消耗!AI1093))</f>
        <v>金币</v>
      </c>
      <c r="AK1093" s="14">
        <f>ROUND(INDEX(挂机升级突破!$BN$6:$BN$57,卡牌消耗!AI1093)*INDEX(卡牌消耗!$B$8:$F$8,AG1093)/$Q$4/50,0)*50</f>
        <v>151950</v>
      </c>
      <c r="AL1093" s="14" t="str">
        <f>IF(AD1093&gt;0,INDEX(挂机升级突破!$BX$4:$CH$4,AD1093),"")</f>
        <v>红色基础材料</v>
      </c>
      <c r="AM1093" s="14">
        <f>ROUND(INDEX(挂机升级突破!$BX$6:$CH$57,卡牌消耗!AI1093,AD1093)*INDEX(卡牌消耗!$B$5:$F$5,AG1093)/$Q$4/5,0)*5</f>
        <v>70</v>
      </c>
      <c r="AN1093" s="14" t="str">
        <f>IF(AE1093&gt;0,INDEX(挂机升级突破!$BX$4:$CH$4,AE1093),"")</f>
        <v>灵玉</v>
      </c>
      <c r="AO1093" s="14">
        <f>IF(AE1093&gt;0,ROUND(INDEX(挂机升级突破!$BX$6:$CH$57,卡牌消耗!AI1093,AE1093)*INDEX(卡牌消耗!$B$7:$F$7,AG1093)/$Q$4,0),"")</f>
        <v>1</v>
      </c>
    </row>
    <row r="1094" spans="27:41" ht="16.5" x14ac:dyDescent="0.2">
      <c r="AA1094" s="104">
        <v>1090</v>
      </c>
      <c r="AB1094" s="14">
        <f t="shared" ref="AB1094:AB1157" si="218">INT((AA1094-1)/52)+1</f>
        <v>21</v>
      </c>
      <c r="AC1094" s="14">
        <f>INDEX(挂机升级突破!$BU$6:$BU$57,卡牌消耗!AI1094)</f>
        <v>11</v>
      </c>
      <c r="AD1094" s="14">
        <f>INDEX(挂机升级突破!BV$6:BV$57,卡牌消耗!$AI1094)</f>
        <v>5</v>
      </c>
      <c r="AE1094" s="14">
        <f>INDEX(挂机升级突破!BW$6:BW$57,卡牌消耗!$AI1094)</f>
        <v>10</v>
      </c>
      <c r="AF1094" s="14" t="str">
        <f t="shared" ref="AF1094:AF1157" si="219">INDEX($B$13:$B$40,AB1094)</f>
        <v>烈风螳螂</v>
      </c>
      <c r="AG1094" s="14">
        <f t="shared" ref="AG1094:AG1157" si="220">INDEX($C$13:$C$40,AB1094)</f>
        <v>3</v>
      </c>
      <c r="AH1094" s="14" t="str">
        <f t="shared" ref="AH1094:AH1157" si="221">AF1094&amp;"魂火-"&amp;AI1094</f>
        <v>烈风螳螂魂火-50</v>
      </c>
      <c r="AI1094" s="14">
        <f t="shared" ref="AI1094:AI1157" si="222">AA1094-(AB1094-1)*52</f>
        <v>50</v>
      </c>
      <c r="AJ1094" s="14" t="str">
        <f>INDEX(挂机升级突破!$BX$4:$CH$4,INDEX(挂机升级突破!$BU$6:$BU$57,卡牌消耗!AI1094))</f>
        <v>金币</v>
      </c>
      <c r="AK1094" s="14">
        <f>ROUND(INDEX(挂机升级突破!$BN$6:$BN$57,卡牌消耗!AI1094)*INDEX(卡牌消耗!$B$8:$F$8,AG1094)/$Q$4/50,0)*50</f>
        <v>253250</v>
      </c>
      <c r="AL1094" s="14" t="str">
        <f>IF(AD1094&gt;0,INDEX(挂机升级突破!$BX$4:$CH$4,AD1094),"")</f>
        <v>红色基础材料</v>
      </c>
      <c r="AM1094" s="14">
        <f>ROUND(INDEX(挂机升级突破!$BX$6:$CH$57,卡牌消耗!AI1094,AD1094)*INDEX(卡牌消耗!$B$5:$F$5,AG1094)/$Q$4/5,0)*5</f>
        <v>70</v>
      </c>
      <c r="AN1094" s="14" t="str">
        <f>IF(AE1094&gt;0,INDEX(挂机升级突破!$BX$4:$CH$4,AE1094),"")</f>
        <v>灵玉</v>
      </c>
      <c r="AO1094" s="14">
        <f>IF(AE1094&gt;0,ROUND(INDEX(挂机升级突破!$BX$6:$CH$57,卡牌消耗!AI1094,AE1094)*INDEX(卡牌消耗!$B$7:$F$7,AG1094)/$Q$4,0),"")</f>
        <v>1</v>
      </c>
    </row>
    <row r="1095" spans="27:41" ht="16.5" x14ac:dyDescent="0.2">
      <c r="AA1095" s="104">
        <v>1091</v>
      </c>
      <c r="AB1095" s="14">
        <f t="shared" si="218"/>
        <v>21</v>
      </c>
      <c r="AC1095" s="14">
        <f>INDEX(挂机升级突破!$BU$6:$BU$57,卡牌消耗!AI1095)</f>
        <v>11</v>
      </c>
      <c r="AD1095" s="14">
        <f>INDEX(挂机升级突破!BV$6:BV$57,卡牌消耗!$AI1095)</f>
        <v>5</v>
      </c>
      <c r="AE1095" s="14">
        <f>INDEX(挂机升级突破!BW$6:BW$57,卡牌消耗!$AI1095)</f>
        <v>10</v>
      </c>
      <c r="AF1095" s="14" t="str">
        <f t="shared" si="219"/>
        <v>烈风螳螂</v>
      </c>
      <c r="AG1095" s="14">
        <f t="shared" si="220"/>
        <v>3</v>
      </c>
      <c r="AH1095" s="14" t="str">
        <f t="shared" si="221"/>
        <v>烈风螳螂魂火-51</v>
      </c>
      <c r="AI1095" s="14">
        <f t="shared" si="222"/>
        <v>51</v>
      </c>
      <c r="AJ1095" s="14" t="str">
        <f>INDEX(挂机升级突破!$BX$4:$CH$4,INDEX(挂机升级突破!$BU$6:$BU$57,卡牌消耗!AI1095))</f>
        <v>金币</v>
      </c>
      <c r="AK1095" s="14">
        <f>ROUND(INDEX(挂机升级突破!$BN$6:$BN$57,卡牌消耗!AI1095)*INDEX(卡牌消耗!$B$8:$F$8,AG1095)/$Q$4/50,0)*50</f>
        <v>278600</v>
      </c>
      <c r="AL1095" s="14" t="str">
        <f>IF(AD1095&gt;0,INDEX(挂机升级突破!$BX$4:$CH$4,AD1095),"")</f>
        <v>红色基础材料</v>
      </c>
      <c r="AM1095" s="14">
        <f>ROUND(INDEX(挂机升级突破!$BX$6:$CH$57,卡牌消耗!AI1095,AD1095)*INDEX(卡牌消耗!$B$5:$F$5,AG1095)/$Q$4/5,0)*5</f>
        <v>70</v>
      </c>
      <c r="AN1095" s="14" t="str">
        <f>IF(AE1095&gt;0,INDEX(挂机升级突破!$BX$4:$CH$4,AE1095),"")</f>
        <v>灵玉</v>
      </c>
      <c r="AO1095" s="14">
        <f>IF(AE1095&gt;0,ROUND(INDEX(挂机升级突破!$BX$6:$CH$57,卡牌消耗!AI1095,AE1095)*INDEX(卡牌消耗!$B$7:$F$7,AG1095)/$Q$4,0),"")</f>
        <v>1</v>
      </c>
    </row>
    <row r="1096" spans="27:41" ht="16.5" x14ac:dyDescent="0.2">
      <c r="AA1096" s="104">
        <v>1092</v>
      </c>
      <c r="AB1096" s="14">
        <f t="shared" si="218"/>
        <v>21</v>
      </c>
      <c r="AC1096" s="14">
        <f>INDEX(挂机升级突破!$BU$6:$BU$57,卡牌消耗!AI1096)</f>
        <v>11</v>
      </c>
      <c r="AD1096" s="14">
        <f>INDEX(挂机升级突破!BV$6:BV$57,卡牌消耗!$AI1096)</f>
        <v>5</v>
      </c>
      <c r="AE1096" s="14">
        <f>INDEX(挂机升级突破!BW$6:BW$57,卡牌消耗!$AI1096)</f>
        <v>10</v>
      </c>
      <c r="AF1096" s="14" t="str">
        <f t="shared" si="219"/>
        <v>烈风螳螂</v>
      </c>
      <c r="AG1096" s="14">
        <f t="shared" si="220"/>
        <v>3</v>
      </c>
      <c r="AH1096" s="14" t="str">
        <f t="shared" si="221"/>
        <v>烈风螳螂魂火-52</v>
      </c>
      <c r="AI1096" s="14">
        <f t="shared" si="222"/>
        <v>52</v>
      </c>
      <c r="AJ1096" s="14" t="str">
        <f>INDEX(挂机升级突破!$BX$4:$CH$4,INDEX(挂机升级突破!$BU$6:$BU$57,卡牌消耗!AI1096))</f>
        <v>金币</v>
      </c>
      <c r="AK1096" s="14">
        <f>ROUND(INDEX(挂机升级突破!$BN$6:$BN$57,卡牌消耗!AI1096)*INDEX(卡牌消耗!$B$8:$F$8,AG1096)/$Q$4/50,0)*50</f>
        <v>278600</v>
      </c>
      <c r="AL1096" s="14" t="str">
        <f>IF(AD1096&gt;0,INDEX(挂机升级突破!$BX$4:$CH$4,AD1096),"")</f>
        <v>红色基础材料</v>
      </c>
      <c r="AM1096" s="14">
        <f>ROUND(INDEX(挂机升级突破!$BX$6:$CH$57,卡牌消耗!AI1096,AD1096)*INDEX(卡牌消耗!$B$5:$F$5,AG1096)/$Q$4/5,0)*5</f>
        <v>70</v>
      </c>
      <c r="AN1096" s="14" t="str">
        <f>IF(AE1096&gt;0,INDEX(挂机升级突破!$BX$4:$CH$4,AE1096),"")</f>
        <v>灵玉</v>
      </c>
      <c r="AO1096" s="14">
        <f>IF(AE1096&gt;0,ROUND(INDEX(挂机升级突破!$BX$6:$CH$57,卡牌消耗!AI1096,AE1096)*INDEX(卡牌消耗!$B$7:$F$7,AG1096)/$Q$4,0),"")</f>
        <v>1</v>
      </c>
    </row>
    <row r="1097" spans="27:41" ht="16.5" x14ac:dyDescent="0.2">
      <c r="AA1097" s="104">
        <v>1093</v>
      </c>
      <c r="AB1097" s="14">
        <f t="shared" si="218"/>
        <v>22</v>
      </c>
      <c r="AC1097" s="14">
        <f>INDEX(挂机升级突破!$BU$6:$BU$57,卡牌消耗!AI1097)</f>
        <v>11</v>
      </c>
      <c r="AD1097" s="14">
        <f>INDEX(挂机升级突破!BV$6:BV$57,卡牌消耗!$AI1097)</f>
        <v>1</v>
      </c>
      <c r="AE1097" s="14">
        <f>INDEX(挂机升级突破!BW$6:BW$57,卡牌消耗!$AI1097)</f>
        <v>0</v>
      </c>
      <c r="AF1097" s="14" t="str">
        <f t="shared" si="219"/>
        <v>柠檬精</v>
      </c>
      <c r="AG1097" s="14">
        <f t="shared" si="220"/>
        <v>2</v>
      </c>
      <c r="AH1097" s="14" t="str">
        <f t="shared" si="221"/>
        <v>柠檬精魂火-1</v>
      </c>
      <c r="AI1097" s="14">
        <f t="shared" si="222"/>
        <v>1</v>
      </c>
      <c r="AJ1097" s="14" t="str">
        <f>INDEX(挂机升级突破!$BX$4:$CH$4,INDEX(挂机升级突破!$BU$6:$BU$57,卡牌消耗!AI1097))</f>
        <v>金币</v>
      </c>
      <c r="AK1097" s="14">
        <f>ROUND(INDEX(挂机升级突破!$BN$6:$BN$57,卡牌消耗!AI1097)*INDEX(卡牌消耗!$B$8:$F$8,AG1097)/$Q$4/50,0)*50</f>
        <v>400</v>
      </c>
      <c r="AL1097" s="14" t="str">
        <f>IF(AD1097&gt;0,INDEX(挂机升级突破!$BX$4:$CH$4,AD1097),"")</f>
        <v>绿色基础材料</v>
      </c>
      <c r="AM1097" s="14">
        <f>ROUND(INDEX(挂机升级突破!$BX$6:$CH$57,卡牌消耗!AI1097,AD1097)*INDEX(卡牌消耗!$B$5:$F$5,AG1097)/$Q$4/5,0)*5</f>
        <v>665</v>
      </c>
      <c r="AN1097" s="14" t="str">
        <f>IF(AE1097&gt;0,INDEX(挂机升级突破!$BX$4:$CH$4,AE1097),"")</f>
        <v/>
      </c>
      <c r="AO1097" s="14" t="str">
        <f>IF(AE1097&gt;0,ROUND(INDEX(挂机升级突破!$BX$6:$CH$57,卡牌消耗!AI1097,AE1097)*INDEX(卡牌消耗!$B$7:$F$7,AG1097)/$Q$4,0),"")</f>
        <v/>
      </c>
    </row>
    <row r="1098" spans="27:41" ht="16.5" x14ac:dyDescent="0.2">
      <c r="AA1098" s="104">
        <v>1094</v>
      </c>
      <c r="AB1098" s="14">
        <f t="shared" si="218"/>
        <v>22</v>
      </c>
      <c r="AC1098" s="14">
        <f>INDEX(挂机升级突破!$BU$6:$BU$57,卡牌消耗!AI1098)</f>
        <v>11</v>
      </c>
      <c r="AD1098" s="14">
        <f>INDEX(挂机升级突破!BV$6:BV$57,卡牌消耗!$AI1098)</f>
        <v>1</v>
      </c>
      <c r="AE1098" s="14">
        <f>INDEX(挂机升级突破!BW$6:BW$57,卡牌消耗!$AI1098)</f>
        <v>0</v>
      </c>
      <c r="AF1098" s="14" t="str">
        <f t="shared" si="219"/>
        <v>柠檬精</v>
      </c>
      <c r="AG1098" s="14">
        <f t="shared" si="220"/>
        <v>2</v>
      </c>
      <c r="AH1098" s="14" t="str">
        <f t="shared" si="221"/>
        <v>柠檬精魂火-2</v>
      </c>
      <c r="AI1098" s="14">
        <f t="shared" si="222"/>
        <v>2</v>
      </c>
      <c r="AJ1098" s="14" t="str">
        <f>INDEX(挂机升级突破!$BX$4:$CH$4,INDEX(挂机升级突破!$BU$6:$BU$57,卡牌消耗!AI1098))</f>
        <v>金币</v>
      </c>
      <c r="AK1098" s="14">
        <f>ROUND(INDEX(挂机升级突破!$BN$6:$BN$57,卡牌消耗!AI1098)*INDEX(卡牌消耗!$B$8:$F$8,AG1098)/$Q$4/50,0)*50</f>
        <v>550</v>
      </c>
      <c r="AL1098" s="14" t="str">
        <f>IF(AD1098&gt;0,INDEX(挂机升级突破!$BX$4:$CH$4,AD1098),"")</f>
        <v>绿色基础材料</v>
      </c>
      <c r="AM1098" s="14">
        <f>ROUND(INDEX(挂机升级突破!$BX$6:$CH$57,卡牌消耗!AI1098,AD1098)*INDEX(卡牌消耗!$B$5:$F$5,AG1098)/$Q$4/5,0)*5</f>
        <v>2000</v>
      </c>
      <c r="AN1098" s="14" t="str">
        <f>IF(AE1098&gt;0,INDEX(挂机升级突破!$BX$4:$CH$4,AE1098),"")</f>
        <v/>
      </c>
      <c r="AO1098" s="14" t="str">
        <f>IF(AE1098&gt;0,ROUND(INDEX(挂机升级突破!$BX$6:$CH$57,卡牌消耗!AI1098,AE1098)*INDEX(卡牌消耗!$B$7:$F$7,AG1098)/$Q$4,0),"")</f>
        <v/>
      </c>
    </row>
    <row r="1099" spans="27:41" ht="16.5" x14ac:dyDescent="0.2">
      <c r="AA1099" s="104">
        <v>1095</v>
      </c>
      <c r="AB1099" s="14">
        <f t="shared" si="218"/>
        <v>22</v>
      </c>
      <c r="AC1099" s="14">
        <f>INDEX(挂机升级突破!$BU$6:$BU$57,卡牌消耗!AI1099)</f>
        <v>11</v>
      </c>
      <c r="AD1099" s="14">
        <f>INDEX(挂机升级突破!BV$6:BV$57,卡牌消耗!$AI1099)</f>
        <v>1</v>
      </c>
      <c r="AE1099" s="14">
        <f>INDEX(挂机升级突破!BW$6:BW$57,卡牌消耗!$AI1099)</f>
        <v>0</v>
      </c>
      <c r="AF1099" s="14" t="str">
        <f t="shared" si="219"/>
        <v>柠檬精</v>
      </c>
      <c r="AG1099" s="14">
        <f t="shared" si="220"/>
        <v>2</v>
      </c>
      <c r="AH1099" s="14" t="str">
        <f t="shared" si="221"/>
        <v>柠檬精魂火-3</v>
      </c>
      <c r="AI1099" s="14">
        <f t="shared" si="222"/>
        <v>3</v>
      </c>
      <c r="AJ1099" s="14" t="str">
        <f>INDEX(挂机升级突破!$BX$4:$CH$4,INDEX(挂机升级突破!$BU$6:$BU$57,卡牌消耗!AI1099))</f>
        <v>金币</v>
      </c>
      <c r="AK1099" s="14">
        <f>ROUND(INDEX(挂机升级突破!$BN$6:$BN$57,卡牌消耗!AI1099)*INDEX(卡牌消耗!$B$8:$F$8,AG1099)/$Q$4/50,0)*50</f>
        <v>550</v>
      </c>
      <c r="AL1099" s="14" t="str">
        <f>IF(AD1099&gt;0,INDEX(挂机升级突破!$BX$4:$CH$4,AD1099),"")</f>
        <v>绿色基础材料</v>
      </c>
      <c r="AM1099" s="14">
        <f>ROUND(INDEX(挂机升级突破!$BX$6:$CH$57,卡牌消耗!AI1099,AD1099)*INDEX(卡牌消耗!$B$5:$F$5,AG1099)/$Q$4/5,0)*5</f>
        <v>2670</v>
      </c>
      <c r="AN1099" s="14" t="str">
        <f>IF(AE1099&gt;0,INDEX(挂机升级突破!$BX$4:$CH$4,AE1099),"")</f>
        <v/>
      </c>
      <c r="AO1099" s="14" t="str">
        <f>IF(AE1099&gt;0,ROUND(INDEX(挂机升级突破!$BX$6:$CH$57,卡牌消耗!AI1099,AE1099)*INDEX(卡牌消耗!$B$7:$F$7,AG1099)/$Q$4,0),"")</f>
        <v/>
      </c>
    </row>
    <row r="1100" spans="27:41" ht="16.5" x14ac:dyDescent="0.2">
      <c r="AA1100" s="104">
        <v>1096</v>
      </c>
      <c r="AB1100" s="14">
        <f t="shared" si="218"/>
        <v>22</v>
      </c>
      <c r="AC1100" s="14">
        <f>INDEX(挂机升级突破!$BU$6:$BU$57,卡牌消耗!AI1100)</f>
        <v>11</v>
      </c>
      <c r="AD1100" s="14">
        <f>INDEX(挂机升级突破!BV$6:BV$57,卡牌消耗!$AI1100)</f>
        <v>1</v>
      </c>
      <c r="AE1100" s="14">
        <f>INDEX(挂机升级突破!BW$6:BW$57,卡牌消耗!$AI1100)</f>
        <v>0</v>
      </c>
      <c r="AF1100" s="14" t="str">
        <f t="shared" si="219"/>
        <v>柠檬精</v>
      </c>
      <c r="AG1100" s="14">
        <f t="shared" si="220"/>
        <v>2</v>
      </c>
      <c r="AH1100" s="14" t="str">
        <f t="shared" si="221"/>
        <v>柠檬精魂火-4</v>
      </c>
      <c r="AI1100" s="14">
        <f t="shared" si="222"/>
        <v>4</v>
      </c>
      <c r="AJ1100" s="14" t="str">
        <f>INDEX(挂机升级突破!$BX$4:$CH$4,INDEX(挂机升级突破!$BU$6:$BU$57,卡牌消耗!AI1100))</f>
        <v>金币</v>
      </c>
      <c r="AK1100" s="14">
        <f>ROUND(INDEX(挂机升级突破!$BN$6:$BN$57,卡牌消耗!AI1100)*INDEX(卡牌消耗!$B$8:$F$8,AG1100)/$Q$4/50,0)*50</f>
        <v>550</v>
      </c>
      <c r="AL1100" s="14" t="str">
        <f>IF(AD1100&gt;0,INDEX(挂机升级突破!$BX$4:$CH$4,AD1100),"")</f>
        <v>绿色基础材料</v>
      </c>
      <c r="AM1100" s="14">
        <f>ROUND(INDEX(挂机升级突破!$BX$6:$CH$57,卡牌消耗!AI1100,AD1100)*INDEX(卡牌消耗!$B$5:$F$5,AG1100)/$Q$4/5,0)*5</f>
        <v>4005</v>
      </c>
      <c r="AN1100" s="14" t="str">
        <f>IF(AE1100&gt;0,INDEX(挂机升级突破!$BX$4:$CH$4,AE1100),"")</f>
        <v/>
      </c>
      <c r="AO1100" s="14" t="str">
        <f>IF(AE1100&gt;0,ROUND(INDEX(挂机升级突破!$BX$6:$CH$57,卡牌消耗!AI1100,AE1100)*INDEX(卡牌消耗!$B$7:$F$7,AG1100)/$Q$4,0),"")</f>
        <v/>
      </c>
    </row>
    <row r="1101" spans="27:41" ht="16.5" x14ac:dyDescent="0.2">
      <c r="AA1101" s="104">
        <v>1097</v>
      </c>
      <c r="AB1101" s="14">
        <f t="shared" si="218"/>
        <v>22</v>
      </c>
      <c r="AC1101" s="14">
        <f>INDEX(挂机升级突破!$BU$6:$BU$57,卡牌消耗!AI1101)</f>
        <v>11</v>
      </c>
      <c r="AD1101" s="14">
        <f>INDEX(挂机升级突破!BV$6:BV$57,卡牌消耗!$AI1101)</f>
        <v>1</v>
      </c>
      <c r="AE1101" s="14">
        <f>INDEX(挂机升级突破!BW$6:BW$57,卡牌消耗!$AI1101)</f>
        <v>0</v>
      </c>
      <c r="AF1101" s="14" t="str">
        <f t="shared" si="219"/>
        <v>柠檬精</v>
      </c>
      <c r="AG1101" s="14">
        <f t="shared" si="220"/>
        <v>2</v>
      </c>
      <c r="AH1101" s="14" t="str">
        <f t="shared" si="221"/>
        <v>柠檬精魂火-5</v>
      </c>
      <c r="AI1101" s="14">
        <f t="shared" si="222"/>
        <v>5</v>
      </c>
      <c r="AJ1101" s="14" t="str">
        <f>INDEX(挂机升级突破!$BX$4:$CH$4,INDEX(挂机升级突破!$BU$6:$BU$57,卡牌消耗!AI1101))</f>
        <v>金币</v>
      </c>
      <c r="AK1101" s="14">
        <f>ROUND(INDEX(挂机升级突破!$BN$6:$BN$57,卡牌消耗!AI1101)*INDEX(卡牌消耗!$B$8:$F$8,AG1101)/$Q$4/50,0)*50</f>
        <v>550</v>
      </c>
      <c r="AL1101" s="14" t="str">
        <f>IF(AD1101&gt;0,INDEX(挂机升级突破!$BX$4:$CH$4,AD1101),"")</f>
        <v>绿色基础材料</v>
      </c>
      <c r="AM1101" s="14">
        <f>ROUND(INDEX(挂机升级突破!$BX$6:$CH$57,卡牌消耗!AI1101,AD1101)*INDEX(卡牌消耗!$B$5:$F$5,AG1101)/$Q$4/5,0)*5</f>
        <v>4005</v>
      </c>
      <c r="AN1101" s="14" t="str">
        <f>IF(AE1101&gt;0,INDEX(挂机升级突破!$BX$4:$CH$4,AE1101),"")</f>
        <v/>
      </c>
      <c r="AO1101" s="14" t="str">
        <f>IF(AE1101&gt;0,ROUND(INDEX(挂机升级突破!$BX$6:$CH$57,卡牌消耗!AI1101,AE1101)*INDEX(卡牌消耗!$B$7:$F$7,AG1101)/$Q$4,0),"")</f>
        <v/>
      </c>
    </row>
    <row r="1102" spans="27:41" ht="16.5" x14ac:dyDescent="0.2">
      <c r="AA1102" s="104">
        <v>1098</v>
      </c>
      <c r="AB1102" s="14">
        <f t="shared" si="218"/>
        <v>22</v>
      </c>
      <c r="AC1102" s="14">
        <f>INDEX(挂机升级突破!$BU$6:$BU$57,卡牌消耗!AI1102)</f>
        <v>11</v>
      </c>
      <c r="AD1102" s="14">
        <f>INDEX(挂机升级突破!BV$6:BV$57,卡牌消耗!$AI1102)</f>
        <v>2</v>
      </c>
      <c r="AE1102" s="14">
        <f>INDEX(挂机升级突破!BW$6:BW$57,卡牌消耗!$AI1102)</f>
        <v>0</v>
      </c>
      <c r="AF1102" s="14" t="str">
        <f t="shared" si="219"/>
        <v>柠檬精</v>
      </c>
      <c r="AG1102" s="14">
        <f t="shared" si="220"/>
        <v>2</v>
      </c>
      <c r="AH1102" s="14" t="str">
        <f t="shared" si="221"/>
        <v>柠檬精魂火-6</v>
      </c>
      <c r="AI1102" s="14">
        <f t="shared" si="222"/>
        <v>6</v>
      </c>
      <c r="AJ1102" s="14" t="str">
        <f>INDEX(挂机升级突破!$BX$4:$CH$4,INDEX(挂机升级突破!$BU$6:$BU$57,卡牌消耗!AI1102))</f>
        <v>金币</v>
      </c>
      <c r="AK1102" s="14">
        <f>ROUND(INDEX(挂机升级突破!$BN$6:$BN$57,卡牌消耗!AI1102)*INDEX(卡牌消耗!$B$8:$F$8,AG1102)/$Q$4/50,0)*50</f>
        <v>700</v>
      </c>
      <c r="AL1102" s="14" t="str">
        <f>IF(AD1102&gt;0,INDEX(挂机升级突破!$BX$4:$CH$4,AD1102),"")</f>
        <v>蓝色基础材料</v>
      </c>
      <c r="AM1102" s="14">
        <f>ROUND(INDEX(挂机升级突破!$BX$6:$CH$57,卡牌消耗!AI1102,AD1102)*INDEX(卡牌消耗!$B$5:$F$5,AG1102)/$Q$4/5,0)*5</f>
        <v>385</v>
      </c>
      <c r="AN1102" s="14" t="str">
        <f>IF(AE1102&gt;0,INDEX(挂机升级突破!$BX$4:$CH$4,AE1102),"")</f>
        <v/>
      </c>
      <c r="AO1102" s="14" t="str">
        <f>IF(AE1102&gt;0,ROUND(INDEX(挂机升级突破!$BX$6:$CH$57,卡牌消耗!AI1102,AE1102)*INDEX(卡牌消耗!$B$7:$F$7,AG1102)/$Q$4,0),"")</f>
        <v/>
      </c>
    </row>
    <row r="1103" spans="27:41" ht="16.5" x14ac:dyDescent="0.2">
      <c r="AA1103" s="104">
        <v>1099</v>
      </c>
      <c r="AB1103" s="14">
        <f t="shared" si="218"/>
        <v>22</v>
      </c>
      <c r="AC1103" s="14">
        <f>INDEX(挂机升级突破!$BU$6:$BU$57,卡牌消耗!AI1103)</f>
        <v>11</v>
      </c>
      <c r="AD1103" s="14">
        <f>INDEX(挂机升级突破!BV$6:BV$57,卡牌消耗!$AI1103)</f>
        <v>2</v>
      </c>
      <c r="AE1103" s="14">
        <f>INDEX(挂机升级突破!BW$6:BW$57,卡牌消耗!$AI1103)</f>
        <v>0</v>
      </c>
      <c r="AF1103" s="14" t="str">
        <f t="shared" si="219"/>
        <v>柠檬精</v>
      </c>
      <c r="AG1103" s="14">
        <f t="shared" si="220"/>
        <v>2</v>
      </c>
      <c r="AH1103" s="14" t="str">
        <f t="shared" si="221"/>
        <v>柠檬精魂火-7</v>
      </c>
      <c r="AI1103" s="14">
        <f t="shared" si="222"/>
        <v>7</v>
      </c>
      <c r="AJ1103" s="14" t="str">
        <f>INDEX(挂机升级突破!$BX$4:$CH$4,INDEX(挂机升级突破!$BU$6:$BU$57,卡牌消耗!AI1103))</f>
        <v>金币</v>
      </c>
      <c r="AK1103" s="14">
        <f>ROUND(INDEX(挂机升级突破!$BN$6:$BN$57,卡牌消耗!AI1103)*INDEX(卡牌消耗!$B$8:$F$8,AG1103)/$Q$4/50,0)*50</f>
        <v>700</v>
      </c>
      <c r="AL1103" s="14" t="str">
        <f>IF(AD1103&gt;0,INDEX(挂机升级突破!$BX$4:$CH$4,AD1103),"")</f>
        <v>蓝色基础材料</v>
      </c>
      <c r="AM1103" s="14">
        <f>ROUND(INDEX(挂机升级突破!$BX$6:$CH$57,卡牌消耗!AI1103,AD1103)*INDEX(卡牌消耗!$B$5:$F$5,AG1103)/$Q$4/5,0)*5</f>
        <v>385</v>
      </c>
      <c r="AN1103" s="14" t="str">
        <f>IF(AE1103&gt;0,INDEX(挂机升级突破!$BX$4:$CH$4,AE1103),"")</f>
        <v/>
      </c>
      <c r="AO1103" s="14" t="str">
        <f>IF(AE1103&gt;0,ROUND(INDEX(挂机升级突破!$BX$6:$CH$57,卡牌消耗!AI1103,AE1103)*INDEX(卡牌消耗!$B$7:$F$7,AG1103)/$Q$4,0),"")</f>
        <v/>
      </c>
    </row>
    <row r="1104" spans="27:41" ht="16.5" x14ac:dyDescent="0.2">
      <c r="AA1104" s="104">
        <v>1100</v>
      </c>
      <c r="AB1104" s="14">
        <f t="shared" si="218"/>
        <v>22</v>
      </c>
      <c r="AC1104" s="14">
        <f>INDEX(挂机升级突破!$BU$6:$BU$57,卡牌消耗!AI1104)</f>
        <v>11</v>
      </c>
      <c r="AD1104" s="14">
        <f>INDEX(挂机升级突破!BV$6:BV$57,卡牌消耗!$AI1104)</f>
        <v>2</v>
      </c>
      <c r="AE1104" s="14">
        <f>INDEX(挂机升级突破!BW$6:BW$57,卡牌消耗!$AI1104)</f>
        <v>0</v>
      </c>
      <c r="AF1104" s="14" t="str">
        <f t="shared" si="219"/>
        <v>柠檬精</v>
      </c>
      <c r="AG1104" s="14">
        <f t="shared" si="220"/>
        <v>2</v>
      </c>
      <c r="AH1104" s="14" t="str">
        <f t="shared" si="221"/>
        <v>柠檬精魂火-8</v>
      </c>
      <c r="AI1104" s="14">
        <f t="shared" si="222"/>
        <v>8</v>
      </c>
      <c r="AJ1104" s="14" t="str">
        <f>INDEX(挂机升级突破!$BX$4:$CH$4,INDEX(挂机升级突破!$BU$6:$BU$57,卡牌消耗!AI1104))</f>
        <v>金币</v>
      </c>
      <c r="AK1104" s="14">
        <f>ROUND(INDEX(挂机升级突破!$BN$6:$BN$57,卡牌消耗!AI1104)*INDEX(卡牌消耗!$B$8:$F$8,AG1104)/$Q$4/50,0)*50</f>
        <v>1050</v>
      </c>
      <c r="AL1104" s="14" t="str">
        <f>IF(AD1104&gt;0,INDEX(挂机升级突破!$BX$4:$CH$4,AD1104),"")</f>
        <v>蓝色基础材料</v>
      </c>
      <c r="AM1104" s="14">
        <f>ROUND(INDEX(挂机升级突破!$BX$6:$CH$57,卡牌消耗!AI1104,AD1104)*INDEX(卡牌消耗!$B$5:$F$5,AG1104)/$Q$4/5,0)*5</f>
        <v>770</v>
      </c>
      <c r="AN1104" s="14" t="str">
        <f>IF(AE1104&gt;0,INDEX(挂机升级突破!$BX$4:$CH$4,AE1104),"")</f>
        <v/>
      </c>
      <c r="AO1104" s="14" t="str">
        <f>IF(AE1104&gt;0,ROUND(INDEX(挂机升级突破!$BX$6:$CH$57,卡牌消耗!AI1104,AE1104)*INDEX(卡牌消耗!$B$7:$F$7,AG1104)/$Q$4,0),"")</f>
        <v/>
      </c>
    </row>
    <row r="1105" spans="27:41" ht="16.5" x14ac:dyDescent="0.2">
      <c r="AA1105" s="104">
        <v>1101</v>
      </c>
      <c r="AB1105" s="14">
        <f t="shared" si="218"/>
        <v>22</v>
      </c>
      <c r="AC1105" s="14">
        <f>INDEX(挂机升级突破!$BU$6:$BU$57,卡牌消耗!AI1105)</f>
        <v>11</v>
      </c>
      <c r="AD1105" s="14">
        <f>INDEX(挂机升级突破!BV$6:BV$57,卡牌消耗!$AI1105)</f>
        <v>2</v>
      </c>
      <c r="AE1105" s="14">
        <f>INDEX(挂机升级突破!BW$6:BW$57,卡牌消耗!$AI1105)</f>
        <v>0</v>
      </c>
      <c r="AF1105" s="14" t="str">
        <f t="shared" si="219"/>
        <v>柠檬精</v>
      </c>
      <c r="AG1105" s="14">
        <f t="shared" si="220"/>
        <v>2</v>
      </c>
      <c r="AH1105" s="14" t="str">
        <f t="shared" si="221"/>
        <v>柠檬精魂火-9</v>
      </c>
      <c r="AI1105" s="14">
        <f t="shared" si="222"/>
        <v>9</v>
      </c>
      <c r="AJ1105" s="14" t="str">
        <f>INDEX(挂机升级突破!$BX$4:$CH$4,INDEX(挂机升级突破!$BU$6:$BU$57,卡牌消耗!AI1105))</f>
        <v>金币</v>
      </c>
      <c r="AK1105" s="14">
        <f>ROUND(INDEX(挂机升级突破!$BN$6:$BN$57,卡牌消耗!AI1105)*INDEX(卡牌消耗!$B$8:$F$8,AG1105)/$Q$4/50,0)*50</f>
        <v>1050</v>
      </c>
      <c r="AL1105" s="14" t="str">
        <f>IF(AD1105&gt;0,INDEX(挂机升级突破!$BX$4:$CH$4,AD1105),"")</f>
        <v>蓝色基础材料</v>
      </c>
      <c r="AM1105" s="14">
        <f>ROUND(INDEX(挂机升级突破!$BX$6:$CH$57,卡牌消耗!AI1105,AD1105)*INDEX(卡牌消耗!$B$5:$F$5,AG1105)/$Q$4/5,0)*5</f>
        <v>770</v>
      </c>
      <c r="AN1105" s="14" t="str">
        <f>IF(AE1105&gt;0,INDEX(挂机升级突破!$BX$4:$CH$4,AE1105),"")</f>
        <v/>
      </c>
      <c r="AO1105" s="14" t="str">
        <f>IF(AE1105&gt;0,ROUND(INDEX(挂机升级突破!$BX$6:$CH$57,卡牌消耗!AI1105,AE1105)*INDEX(卡牌消耗!$B$7:$F$7,AG1105)/$Q$4,0),"")</f>
        <v/>
      </c>
    </row>
    <row r="1106" spans="27:41" ht="16.5" x14ac:dyDescent="0.2">
      <c r="AA1106" s="104">
        <v>1102</v>
      </c>
      <c r="AB1106" s="14">
        <f t="shared" si="218"/>
        <v>22</v>
      </c>
      <c r="AC1106" s="14">
        <f>INDEX(挂机升级突破!$BU$6:$BU$57,卡牌消耗!AI1106)</f>
        <v>11</v>
      </c>
      <c r="AD1106" s="14">
        <f>INDEX(挂机升级突破!BV$6:BV$57,卡牌消耗!$AI1106)</f>
        <v>2</v>
      </c>
      <c r="AE1106" s="14">
        <f>INDEX(挂机升级突破!BW$6:BW$57,卡牌消耗!$AI1106)</f>
        <v>0</v>
      </c>
      <c r="AF1106" s="14" t="str">
        <f t="shared" si="219"/>
        <v>柠檬精</v>
      </c>
      <c r="AG1106" s="14">
        <f t="shared" si="220"/>
        <v>2</v>
      </c>
      <c r="AH1106" s="14" t="str">
        <f t="shared" si="221"/>
        <v>柠檬精魂火-10</v>
      </c>
      <c r="AI1106" s="14">
        <f t="shared" si="222"/>
        <v>10</v>
      </c>
      <c r="AJ1106" s="14" t="str">
        <f>INDEX(挂机升级突破!$BX$4:$CH$4,INDEX(挂机升级突破!$BU$6:$BU$57,卡牌消耗!AI1106))</f>
        <v>金币</v>
      </c>
      <c r="AK1106" s="14">
        <f>ROUND(INDEX(挂机升级突破!$BN$6:$BN$57,卡牌消耗!AI1106)*INDEX(卡牌消耗!$B$8:$F$8,AG1106)/$Q$4/50,0)*50</f>
        <v>1750</v>
      </c>
      <c r="AL1106" s="14" t="str">
        <f>IF(AD1106&gt;0,INDEX(挂机升级突破!$BX$4:$CH$4,AD1106),"")</f>
        <v>蓝色基础材料</v>
      </c>
      <c r="AM1106" s="14">
        <f>ROUND(INDEX(挂机升级突破!$BX$6:$CH$57,卡牌消耗!AI1106,AD1106)*INDEX(卡牌消耗!$B$5:$F$5,AG1106)/$Q$4/5,0)*5</f>
        <v>1155</v>
      </c>
      <c r="AN1106" s="14" t="str">
        <f>IF(AE1106&gt;0,INDEX(挂机升级突破!$BX$4:$CH$4,AE1106),"")</f>
        <v/>
      </c>
      <c r="AO1106" s="14" t="str">
        <f>IF(AE1106&gt;0,ROUND(INDEX(挂机升级突破!$BX$6:$CH$57,卡牌消耗!AI1106,AE1106)*INDEX(卡牌消耗!$B$7:$F$7,AG1106)/$Q$4,0),"")</f>
        <v/>
      </c>
    </row>
    <row r="1107" spans="27:41" ht="16.5" x14ac:dyDescent="0.2">
      <c r="AA1107" s="104">
        <v>1103</v>
      </c>
      <c r="AB1107" s="14">
        <f t="shared" si="218"/>
        <v>22</v>
      </c>
      <c r="AC1107" s="14">
        <f>INDEX(挂机升级突破!$BU$6:$BU$57,卡牌消耗!AI1107)</f>
        <v>11</v>
      </c>
      <c r="AD1107" s="14">
        <f>INDEX(挂机升级突破!BV$6:BV$57,卡牌消耗!$AI1107)</f>
        <v>2</v>
      </c>
      <c r="AE1107" s="14">
        <f>INDEX(挂机升级突破!BW$6:BW$57,卡牌消耗!$AI1107)</f>
        <v>0</v>
      </c>
      <c r="AF1107" s="14" t="str">
        <f t="shared" si="219"/>
        <v>柠檬精</v>
      </c>
      <c r="AG1107" s="14">
        <f t="shared" si="220"/>
        <v>2</v>
      </c>
      <c r="AH1107" s="14" t="str">
        <f t="shared" si="221"/>
        <v>柠檬精魂火-11</v>
      </c>
      <c r="AI1107" s="14">
        <f t="shared" si="222"/>
        <v>11</v>
      </c>
      <c r="AJ1107" s="14" t="str">
        <f>INDEX(挂机升级突破!$BX$4:$CH$4,INDEX(挂机升级突破!$BU$6:$BU$57,卡牌消耗!AI1107))</f>
        <v>金币</v>
      </c>
      <c r="AK1107" s="14">
        <f>ROUND(INDEX(挂机升级突破!$BN$6:$BN$57,卡牌消耗!AI1107)*INDEX(卡牌消耗!$B$8:$F$8,AG1107)/$Q$4/50,0)*50</f>
        <v>1750</v>
      </c>
      <c r="AL1107" s="14" t="str">
        <f>IF(AD1107&gt;0,INDEX(挂机升级突破!$BX$4:$CH$4,AD1107),"")</f>
        <v>蓝色基础材料</v>
      </c>
      <c r="AM1107" s="14">
        <f>ROUND(INDEX(挂机升级突破!$BX$6:$CH$57,卡牌消耗!AI1107,AD1107)*INDEX(卡牌消耗!$B$5:$F$5,AG1107)/$Q$4/5,0)*5</f>
        <v>1155</v>
      </c>
      <c r="AN1107" s="14" t="str">
        <f>IF(AE1107&gt;0,INDEX(挂机升级突破!$BX$4:$CH$4,AE1107),"")</f>
        <v/>
      </c>
      <c r="AO1107" s="14" t="str">
        <f>IF(AE1107&gt;0,ROUND(INDEX(挂机升级突破!$BX$6:$CH$57,卡牌消耗!AI1107,AE1107)*INDEX(卡牌消耗!$B$7:$F$7,AG1107)/$Q$4,0),"")</f>
        <v/>
      </c>
    </row>
    <row r="1108" spans="27:41" ht="16.5" x14ac:dyDescent="0.2">
      <c r="AA1108" s="104">
        <v>1104</v>
      </c>
      <c r="AB1108" s="14">
        <f t="shared" si="218"/>
        <v>22</v>
      </c>
      <c r="AC1108" s="14">
        <f>INDEX(挂机升级突破!$BU$6:$BU$57,卡牌消耗!AI1108)</f>
        <v>11</v>
      </c>
      <c r="AD1108" s="14">
        <f>INDEX(挂机升级突破!BV$6:BV$57,卡牌消耗!$AI1108)</f>
        <v>2</v>
      </c>
      <c r="AE1108" s="14">
        <f>INDEX(挂机升级突破!BW$6:BW$57,卡牌消耗!$AI1108)</f>
        <v>0</v>
      </c>
      <c r="AF1108" s="14" t="str">
        <f t="shared" si="219"/>
        <v>柠檬精</v>
      </c>
      <c r="AG1108" s="14">
        <f t="shared" si="220"/>
        <v>2</v>
      </c>
      <c r="AH1108" s="14" t="str">
        <f t="shared" si="221"/>
        <v>柠檬精魂火-12</v>
      </c>
      <c r="AI1108" s="14">
        <f t="shared" si="222"/>
        <v>12</v>
      </c>
      <c r="AJ1108" s="14" t="str">
        <f>INDEX(挂机升级突破!$BX$4:$CH$4,INDEX(挂机升级突破!$BU$6:$BU$57,卡牌消耗!AI1108))</f>
        <v>金币</v>
      </c>
      <c r="AK1108" s="14">
        <f>ROUND(INDEX(挂机升级突破!$BN$6:$BN$57,卡牌消耗!AI1108)*INDEX(卡牌消耗!$B$8:$F$8,AG1108)/$Q$4/50,0)*50</f>
        <v>1500</v>
      </c>
      <c r="AL1108" s="14" t="str">
        <f>IF(AD1108&gt;0,INDEX(挂机升级突破!$BX$4:$CH$4,AD1108),"")</f>
        <v>蓝色基础材料</v>
      </c>
      <c r="AM1108" s="14">
        <f>ROUND(INDEX(挂机升级突破!$BX$6:$CH$57,卡牌消耗!AI1108,AD1108)*INDEX(卡牌消耗!$B$5:$F$5,AG1108)/$Q$4/5,0)*5</f>
        <v>1535</v>
      </c>
      <c r="AN1108" s="14" t="str">
        <f>IF(AE1108&gt;0,INDEX(挂机升级突破!$BX$4:$CH$4,AE1108),"")</f>
        <v/>
      </c>
      <c r="AO1108" s="14" t="str">
        <f>IF(AE1108&gt;0,ROUND(INDEX(挂机升级突破!$BX$6:$CH$57,卡牌消耗!AI1108,AE1108)*INDEX(卡牌消耗!$B$7:$F$7,AG1108)/$Q$4,0),"")</f>
        <v/>
      </c>
    </row>
    <row r="1109" spans="27:41" ht="16.5" x14ac:dyDescent="0.2">
      <c r="AA1109" s="104">
        <v>1105</v>
      </c>
      <c r="AB1109" s="14">
        <f t="shared" si="218"/>
        <v>22</v>
      </c>
      <c r="AC1109" s="14">
        <f>INDEX(挂机升级突破!$BU$6:$BU$57,卡牌消耗!AI1109)</f>
        <v>11</v>
      </c>
      <c r="AD1109" s="14">
        <f>INDEX(挂机升级突破!BV$6:BV$57,卡牌消耗!$AI1109)</f>
        <v>2</v>
      </c>
      <c r="AE1109" s="14">
        <f>INDEX(挂机升级突破!BW$6:BW$57,卡牌消耗!$AI1109)</f>
        <v>0</v>
      </c>
      <c r="AF1109" s="14" t="str">
        <f t="shared" si="219"/>
        <v>柠檬精</v>
      </c>
      <c r="AG1109" s="14">
        <f t="shared" si="220"/>
        <v>2</v>
      </c>
      <c r="AH1109" s="14" t="str">
        <f t="shared" si="221"/>
        <v>柠檬精魂火-13</v>
      </c>
      <c r="AI1109" s="14">
        <f t="shared" si="222"/>
        <v>13</v>
      </c>
      <c r="AJ1109" s="14" t="str">
        <f>INDEX(挂机升级突破!$BX$4:$CH$4,INDEX(挂机升级突破!$BU$6:$BU$57,卡牌消耗!AI1109))</f>
        <v>金币</v>
      </c>
      <c r="AK1109" s="14">
        <f>ROUND(INDEX(挂机升级突破!$BN$6:$BN$57,卡牌消耗!AI1109)*INDEX(卡牌消耗!$B$8:$F$8,AG1109)/$Q$4/50,0)*50</f>
        <v>1500</v>
      </c>
      <c r="AL1109" s="14" t="str">
        <f>IF(AD1109&gt;0,INDEX(挂机升级突破!$BX$4:$CH$4,AD1109),"")</f>
        <v>蓝色基础材料</v>
      </c>
      <c r="AM1109" s="14">
        <f>ROUND(INDEX(挂机升级突破!$BX$6:$CH$57,卡牌消耗!AI1109,AD1109)*INDEX(卡牌消耗!$B$5:$F$5,AG1109)/$Q$4/5,0)*5</f>
        <v>1535</v>
      </c>
      <c r="AN1109" s="14" t="str">
        <f>IF(AE1109&gt;0,INDEX(挂机升级突破!$BX$4:$CH$4,AE1109),"")</f>
        <v/>
      </c>
      <c r="AO1109" s="14" t="str">
        <f>IF(AE1109&gt;0,ROUND(INDEX(挂机升级突破!$BX$6:$CH$57,卡牌消耗!AI1109,AE1109)*INDEX(卡牌消耗!$B$7:$F$7,AG1109)/$Q$4,0),"")</f>
        <v/>
      </c>
    </row>
    <row r="1110" spans="27:41" ht="16.5" x14ac:dyDescent="0.2">
      <c r="AA1110" s="104">
        <v>1106</v>
      </c>
      <c r="AB1110" s="14">
        <f t="shared" si="218"/>
        <v>22</v>
      </c>
      <c r="AC1110" s="14">
        <f>INDEX(挂机升级突破!$BU$6:$BU$57,卡牌消耗!AI1110)</f>
        <v>11</v>
      </c>
      <c r="AD1110" s="14">
        <f>INDEX(挂机升级突破!BV$6:BV$57,卡牌消耗!$AI1110)</f>
        <v>3</v>
      </c>
      <c r="AE1110" s="14">
        <f>INDEX(挂机升级突破!BW$6:BW$57,卡牌消耗!$AI1110)</f>
        <v>0</v>
      </c>
      <c r="AF1110" s="14" t="str">
        <f t="shared" si="219"/>
        <v>柠檬精</v>
      </c>
      <c r="AG1110" s="14">
        <f t="shared" si="220"/>
        <v>2</v>
      </c>
      <c r="AH1110" s="14" t="str">
        <f t="shared" si="221"/>
        <v>柠檬精魂火-14</v>
      </c>
      <c r="AI1110" s="14">
        <f t="shared" si="222"/>
        <v>14</v>
      </c>
      <c r="AJ1110" s="14" t="str">
        <f>INDEX(挂机升级突破!$BX$4:$CH$4,INDEX(挂机升级突破!$BU$6:$BU$57,卡牌消耗!AI1110))</f>
        <v>金币</v>
      </c>
      <c r="AK1110" s="14">
        <f>ROUND(INDEX(挂机升级突破!$BN$6:$BN$57,卡牌消耗!AI1110)*INDEX(卡牌消耗!$B$8:$F$8,AG1110)/$Q$4/50,0)*50</f>
        <v>1650</v>
      </c>
      <c r="AL1110" s="14" t="str">
        <f>IF(AD1110&gt;0,INDEX(挂机升级突破!$BX$4:$CH$4,AD1110),"")</f>
        <v>紫色基础材料</v>
      </c>
      <c r="AM1110" s="14">
        <f>ROUND(INDEX(挂机升级突破!$BX$6:$CH$57,卡牌消耗!AI1110,AD1110)*INDEX(卡牌消耗!$B$5:$F$5,AG1110)/$Q$4/5,0)*5</f>
        <v>135</v>
      </c>
      <c r="AN1110" s="14" t="str">
        <f>IF(AE1110&gt;0,INDEX(挂机升级突破!$BX$4:$CH$4,AE1110),"")</f>
        <v/>
      </c>
      <c r="AO1110" s="14" t="str">
        <f>IF(AE1110&gt;0,ROUND(INDEX(挂机升级突破!$BX$6:$CH$57,卡牌消耗!AI1110,AE1110)*INDEX(卡牌消耗!$B$7:$F$7,AG1110)/$Q$4,0),"")</f>
        <v/>
      </c>
    </row>
    <row r="1111" spans="27:41" ht="16.5" x14ac:dyDescent="0.2">
      <c r="AA1111" s="104">
        <v>1107</v>
      </c>
      <c r="AB1111" s="14">
        <f t="shared" si="218"/>
        <v>22</v>
      </c>
      <c r="AC1111" s="14">
        <f>INDEX(挂机升级突破!$BU$6:$BU$57,卡牌消耗!AI1111)</f>
        <v>11</v>
      </c>
      <c r="AD1111" s="14">
        <f>INDEX(挂机升级突破!BV$6:BV$57,卡牌消耗!$AI1111)</f>
        <v>3</v>
      </c>
      <c r="AE1111" s="14">
        <f>INDEX(挂机升级突破!BW$6:BW$57,卡牌消耗!$AI1111)</f>
        <v>0</v>
      </c>
      <c r="AF1111" s="14" t="str">
        <f t="shared" si="219"/>
        <v>柠檬精</v>
      </c>
      <c r="AG1111" s="14">
        <f t="shared" si="220"/>
        <v>2</v>
      </c>
      <c r="AH1111" s="14" t="str">
        <f t="shared" si="221"/>
        <v>柠檬精魂火-15</v>
      </c>
      <c r="AI1111" s="14">
        <f t="shared" si="222"/>
        <v>15</v>
      </c>
      <c r="AJ1111" s="14" t="str">
        <f>INDEX(挂机升级突破!$BX$4:$CH$4,INDEX(挂机升级突破!$BU$6:$BU$57,卡牌消耗!AI1111))</f>
        <v>金币</v>
      </c>
      <c r="AK1111" s="14">
        <f>ROUND(INDEX(挂机升级突破!$BN$6:$BN$57,卡牌消耗!AI1111)*INDEX(卡牌消耗!$B$8:$F$8,AG1111)/$Q$4/50,0)*50</f>
        <v>1800</v>
      </c>
      <c r="AL1111" s="14" t="str">
        <f>IF(AD1111&gt;0,INDEX(挂机升级突破!$BX$4:$CH$4,AD1111),"")</f>
        <v>紫色基础材料</v>
      </c>
      <c r="AM1111" s="14">
        <f>ROUND(INDEX(挂机升级突破!$BX$6:$CH$57,卡牌消耗!AI1111,AD1111)*INDEX(卡牌消耗!$B$5:$F$5,AG1111)/$Q$4/5,0)*5</f>
        <v>135</v>
      </c>
      <c r="AN1111" s="14" t="str">
        <f>IF(AE1111&gt;0,INDEX(挂机升级突破!$BX$4:$CH$4,AE1111),"")</f>
        <v/>
      </c>
      <c r="AO1111" s="14" t="str">
        <f>IF(AE1111&gt;0,ROUND(INDEX(挂机升级突破!$BX$6:$CH$57,卡牌消耗!AI1111,AE1111)*INDEX(卡牌消耗!$B$7:$F$7,AG1111)/$Q$4,0),"")</f>
        <v/>
      </c>
    </row>
    <row r="1112" spans="27:41" ht="16.5" x14ac:dyDescent="0.2">
      <c r="AA1112" s="104">
        <v>1108</v>
      </c>
      <c r="AB1112" s="14">
        <f t="shared" si="218"/>
        <v>22</v>
      </c>
      <c r="AC1112" s="14">
        <f>INDEX(挂机升级突破!$BU$6:$BU$57,卡牌消耗!AI1112)</f>
        <v>11</v>
      </c>
      <c r="AD1112" s="14">
        <f>INDEX(挂机升级突破!BV$6:BV$57,卡牌消耗!$AI1112)</f>
        <v>3</v>
      </c>
      <c r="AE1112" s="14">
        <f>INDEX(挂机升级突破!BW$6:BW$57,卡牌消耗!$AI1112)</f>
        <v>0</v>
      </c>
      <c r="AF1112" s="14" t="str">
        <f t="shared" si="219"/>
        <v>柠檬精</v>
      </c>
      <c r="AG1112" s="14">
        <f t="shared" si="220"/>
        <v>2</v>
      </c>
      <c r="AH1112" s="14" t="str">
        <f t="shared" si="221"/>
        <v>柠檬精魂火-16</v>
      </c>
      <c r="AI1112" s="14">
        <f t="shared" si="222"/>
        <v>16</v>
      </c>
      <c r="AJ1112" s="14" t="str">
        <f>INDEX(挂机升级突破!$BX$4:$CH$4,INDEX(挂机升级突破!$BU$6:$BU$57,卡牌消耗!AI1112))</f>
        <v>金币</v>
      </c>
      <c r="AK1112" s="14">
        <f>ROUND(INDEX(挂机升级突破!$BN$6:$BN$57,卡牌消耗!AI1112)*INDEX(卡牌消耗!$B$8:$F$8,AG1112)/$Q$4/50,0)*50</f>
        <v>1800</v>
      </c>
      <c r="AL1112" s="14" t="str">
        <f>IF(AD1112&gt;0,INDEX(挂机升级突破!$BX$4:$CH$4,AD1112),"")</f>
        <v>紫色基础材料</v>
      </c>
      <c r="AM1112" s="14">
        <f>ROUND(INDEX(挂机升级突破!$BX$6:$CH$57,卡牌消耗!AI1112,AD1112)*INDEX(卡牌消耗!$B$5:$F$5,AG1112)/$Q$4/5,0)*5</f>
        <v>135</v>
      </c>
      <c r="AN1112" s="14" t="str">
        <f>IF(AE1112&gt;0,INDEX(挂机升级突破!$BX$4:$CH$4,AE1112),"")</f>
        <v/>
      </c>
      <c r="AO1112" s="14" t="str">
        <f>IF(AE1112&gt;0,ROUND(INDEX(挂机升级突破!$BX$6:$CH$57,卡牌消耗!AI1112,AE1112)*INDEX(卡牌消耗!$B$7:$F$7,AG1112)/$Q$4,0),"")</f>
        <v/>
      </c>
    </row>
    <row r="1113" spans="27:41" ht="16.5" x14ac:dyDescent="0.2">
      <c r="AA1113" s="104">
        <v>1109</v>
      </c>
      <c r="AB1113" s="14">
        <f t="shared" si="218"/>
        <v>22</v>
      </c>
      <c r="AC1113" s="14">
        <f>INDEX(挂机升级突破!$BU$6:$BU$57,卡牌消耗!AI1113)</f>
        <v>11</v>
      </c>
      <c r="AD1113" s="14">
        <f>INDEX(挂机升级突破!BV$6:BV$57,卡牌消耗!$AI1113)</f>
        <v>3</v>
      </c>
      <c r="AE1113" s="14">
        <f>INDEX(挂机升级突破!BW$6:BW$57,卡牌消耗!$AI1113)</f>
        <v>0</v>
      </c>
      <c r="AF1113" s="14" t="str">
        <f t="shared" si="219"/>
        <v>柠檬精</v>
      </c>
      <c r="AG1113" s="14">
        <f t="shared" si="220"/>
        <v>2</v>
      </c>
      <c r="AH1113" s="14" t="str">
        <f t="shared" si="221"/>
        <v>柠檬精魂火-17</v>
      </c>
      <c r="AI1113" s="14">
        <f t="shared" si="222"/>
        <v>17</v>
      </c>
      <c r="AJ1113" s="14" t="str">
        <f>INDEX(挂机升级突破!$BX$4:$CH$4,INDEX(挂机升级突破!$BU$6:$BU$57,卡牌消耗!AI1113))</f>
        <v>金币</v>
      </c>
      <c r="AK1113" s="14">
        <f>ROUND(INDEX(挂机升级突破!$BN$6:$BN$57,卡牌消耗!AI1113)*INDEX(卡牌消耗!$B$8:$F$8,AG1113)/$Q$4/50,0)*50</f>
        <v>2250</v>
      </c>
      <c r="AL1113" s="14" t="str">
        <f>IF(AD1113&gt;0,INDEX(挂机升级突破!$BX$4:$CH$4,AD1113),"")</f>
        <v>紫色基础材料</v>
      </c>
      <c r="AM1113" s="14">
        <f>ROUND(INDEX(挂机升级突破!$BX$6:$CH$57,卡牌消耗!AI1113,AD1113)*INDEX(卡牌消耗!$B$5:$F$5,AG1113)/$Q$4/5,0)*5</f>
        <v>270</v>
      </c>
      <c r="AN1113" s="14" t="str">
        <f>IF(AE1113&gt;0,INDEX(挂机升级突破!$BX$4:$CH$4,AE1113),"")</f>
        <v/>
      </c>
      <c r="AO1113" s="14" t="str">
        <f>IF(AE1113&gt;0,ROUND(INDEX(挂机升级突破!$BX$6:$CH$57,卡牌消耗!AI1113,AE1113)*INDEX(卡牌消耗!$B$7:$F$7,AG1113)/$Q$4,0),"")</f>
        <v/>
      </c>
    </row>
    <row r="1114" spans="27:41" ht="16.5" x14ac:dyDescent="0.2">
      <c r="AA1114" s="104">
        <v>1110</v>
      </c>
      <c r="AB1114" s="14">
        <f t="shared" si="218"/>
        <v>22</v>
      </c>
      <c r="AC1114" s="14">
        <f>INDEX(挂机升级突破!$BU$6:$BU$57,卡牌消耗!AI1114)</f>
        <v>11</v>
      </c>
      <c r="AD1114" s="14">
        <f>INDEX(挂机升级突破!BV$6:BV$57,卡牌消耗!$AI1114)</f>
        <v>3</v>
      </c>
      <c r="AE1114" s="14">
        <f>INDEX(挂机升级突破!BW$6:BW$57,卡牌消耗!$AI1114)</f>
        <v>0</v>
      </c>
      <c r="AF1114" s="14" t="str">
        <f t="shared" si="219"/>
        <v>柠檬精</v>
      </c>
      <c r="AG1114" s="14">
        <f t="shared" si="220"/>
        <v>2</v>
      </c>
      <c r="AH1114" s="14" t="str">
        <f t="shared" si="221"/>
        <v>柠檬精魂火-18</v>
      </c>
      <c r="AI1114" s="14">
        <f t="shared" si="222"/>
        <v>18</v>
      </c>
      <c r="AJ1114" s="14" t="str">
        <f>INDEX(挂机升级突破!$BX$4:$CH$4,INDEX(挂机升级突破!$BU$6:$BU$57,卡牌消耗!AI1114))</f>
        <v>金币</v>
      </c>
      <c r="AK1114" s="14">
        <f>ROUND(INDEX(挂机升级突破!$BN$6:$BN$57,卡牌消耗!AI1114)*INDEX(卡牌消耗!$B$8:$F$8,AG1114)/$Q$4/50,0)*50</f>
        <v>2250</v>
      </c>
      <c r="AL1114" s="14" t="str">
        <f>IF(AD1114&gt;0,INDEX(挂机升级突破!$BX$4:$CH$4,AD1114),"")</f>
        <v>紫色基础材料</v>
      </c>
      <c r="AM1114" s="14">
        <f>ROUND(INDEX(挂机升级突破!$BX$6:$CH$57,卡牌消耗!AI1114,AD1114)*INDEX(卡牌消耗!$B$5:$F$5,AG1114)/$Q$4/5,0)*5</f>
        <v>270</v>
      </c>
      <c r="AN1114" s="14" t="str">
        <f>IF(AE1114&gt;0,INDEX(挂机升级突破!$BX$4:$CH$4,AE1114),"")</f>
        <v/>
      </c>
      <c r="AO1114" s="14" t="str">
        <f>IF(AE1114&gt;0,ROUND(INDEX(挂机升级突破!$BX$6:$CH$57,卡牌消耗!AI1114,AE1114)*INDEX(卡牌消耗!$B$7:$F$7,AG1114)/$Q$4,0),"")</f>
        <v/>
      </c>
    </row>
    <row r="1115" spans="27:41" ht="16.5" x14ac:dyDescent="0.2">
      <c r="AA1115" s="104">
        <v>1111</v>
      </c>
      <c r="AB1115" s="14">
        <f t="shared" si="218"/>
        <v>22</v>
      </c>
      <c r="AC1115" s="14">
        <f>INDEX(挂机升级突破!$BU$6:$BU$57,卡牌消耗!AI1115)</f>
        <v>11</v>
      </c>
      <c r="AD1115" s="14">
        <f>INDEX(挂机升级突破!BV$6:BV$57,卡牌消耗!$AI1115)</f>
        <v>3</v>
      </c>
      <c r="AE1115" s="14">
        <f>INDEX(挂机升级突破!BW$6:BW$57,卡牌消耗!$AI1115)</f>
        <v>0</v>
      </c>
      <c r="AF1115" s="14" t="str">
        <f t="shared" si="219"/>
        <v>柠檬精</v>
      </c>
      <c r="AG1115" s="14">
        <f t="shared" si="220"/>
        <v>2</v>
      </c>
      <c r="AH1115" s="14" t="str">
        <f t="shared" si="221"/>
        <v>柠檬精魂火-19</v>
      </c>
      <c r="AI1115" s="14">
        <f t="shared" si="222"/>
        <v>19</v>
      </c>
      <c r="AJ1115" s="14" t="str">
        <f>INDEX(挂机升级突破!$BX$4:$CH$4,INDEX(挂机升级突破!$BU$6:$BU$57,卡牌消耗!AI1115))</f>
        <v>金币</v>
      </c>
      <c r="AK1115" s="14">
        <f>ROUND(INDEX(挂机升级突破!$BN$6:$BN$57,卡牌消耗!AI1115)*INDEX(卡牌消耗!$B$8:$F$8,AG1115)/$Q$4/50,0)*50</f>
        <v>2250</v>
      </c>
      <c r="AL1115" s="14" t="str">
        <f>IF(AD1115&gt;0,INDEX(挂机升级突破!$BX$4:$CH$4,AD1115),"")</f>
        <v>紫色基础材料</v>
      </c>
      <c r="AM1115" s="14">
        <f>ROUND(INDEX(挂机升级突破!$BX$6:$CH$57,卡牌消耗!AI1115,AD1115)*INDEX(卡牌消耗!$B$5:$F$5,AG1115)/$Q$4/5,0)*5</f>
        <v>270</v>
      </c>
      <c r="AN1115" s="14" t="str">
        <f>IF(AE1115&gt;0,INDEX(挂机升级突破!$BX$4:$CH$4,AE1115),"")</f>
        <v/>
      </c>
      <c r="AO1115" s="14" t="str">
        <f>IF(AE1115&gt;0,ROUND(INDEX(挂机升级突破!$BX$6:$CH$57,卡牌消耗!AI1115,AE1115)*INDEX(卡牌消耗!$B$7:$F$7,AG1115)/$Q$4,0),"")</f>
        <v/>
      </c>
    </row>
    <row r="1116" spans="27:41" ht="16.5" x14ac:dyDescent="0.2">
      <c r="AA1116" s="104">
        <v>1112</v>
      </c>
      <c r="AB1116" s="14">
        <f t="shared" si="218"/>
        <v>22</v>
      </c>
      <c r="AC1116" s="14">
        <f>INDEX(挂机升级突破!$BU$6:$BU$57,卡牌消耗!AI1116)</f>
        <v>11</v>
      </c>
      <c r="AD1116" s="14">
        <f>INDEX(挂机升级突破!BV$6:BV$57,卡牌消耗!$AI1116)</f>
        <v>3</v>
      </c>
      <c r="AE1116" s="14">
        <f>INDEX(挂机升级突破!BW$6:BW$57,卡牌消耗!$AI1116)</f>
        <v>0</v>
      </c>
      <c r="AF1116" s="14" t="str">
        <f t="shared" si="219"/>
        <v>柠檬精</v>
      </c>
      <c r="AG1116" s="14">
        <f t="shared" si="220"/>
        <v>2</v>
      </c>
      <c r="AH1116" s="14" t="str">
        <f t="shared" si="221"/>
        <v>柠檬精魂火-20</v>
      </c>
      <c r="AI1116" s="14">
        <f t="shared" si="222"/>
        <v>20</v>
      </c>
      <c r="AJ1116" s="14" t="str">
        <f>INDEX(挂机升级突破!$BX$4:$CH$4,INDEX(挂机升级突破!$BU$6:$BU$57,卡牌消耗!AI1116))</f>
        <v>金币</v>
      </c>
      <c r="AK1116" s="14">
        <f>ROUND(INDEX(挂机升级突破!$BN$6:$BN$57,卡牌消耗!AI1116)*INDEX(卡牌消耗!$B$8:$F$8,AG1116)/$Q$4/50,0)*50</f>
        <v>2750</v>
      </c>
      <c r="AL1116" s="14" t="str">
        <f>IF(AD1116&gt;0,INDEX(挂机升级突破!$BX$4:$CH$4,AD1116),"")</f>
        <v>紫色基础材料</v>
      </c>
      <c r="AM1116" s="14">
        <f>ROUND(INDEX(挂机升级突破!$BX$6:$CH$57,卡牌消耗!AI1116,AD1116)*INDEX(卡牌消耗!$B$5:$F$5,AG1116)/$Q$4/5,0)*5</f>
        <v>405</v>
      </c>
      <c r="AN1116" s="14" t="str">
        <f>IF(AE1116&gt;0,INDEX(挂机升级突破!$BX$4:$CH$4,AE1116),"")</f>
        <v/>
      </c>
      <c r="AO1116" s="14" t="str">
        <f>IF(AE1116&gt;0,ROUND(INDEX(挂机升级突破!$BX$6:$CH$57,卡牌消耗!AI1116,AE1116)*INDEX(卡牌消耗!$B$7:$F$7,AG1116)/$Q$4,0),"")</f>
        <v/>
      </c>
    </row>
    <row r="1117" spans="27:41" ht="16.5" x14ac:dyDescent="0.2">
      <c r="AA1117" s="104">
        <v>1113</v>
      </c>
      <c r="AB1117" s="14">
        <f t="shared" si="218"/>
        <v>22</v>
      </c>
      <c r="AC1117" s="14">
        <f>INDEX(挂机升级突破!$BU$6:$BU$57,卡牌消耗!AI1117)</f>
        <v>11</v>
      </c>
      <c r="AD1117" s="14">
        <f>INDEX(挂机升级突破!BV$6:BV$57,卡牌消耗!$AI1117)</f>
        <v>3</v>
      </c>
      <c r="AE1117" s="14">
        <f>INDEX(挂机升级突破!BW$6:BW$57,卡牌消耗!$AI1117)</f>
        <v>0</v>
      </c>
      <c r="AF1117" s="14" t="str">
        <f t="shared" si="219"/>
        <v>柠檬精</v>
      </c>
      <c r="AG1117" s="14">
        <f t="shared" si="220"/>
        <v>2</v>
      </c>
      <c r="AH1117" s="14" t="str">
        <f t="shared" si="221"/>
        <v>柠檬精魂火-21</v>
      </c>
      <c r="AI1117" s="14">
        <f t="shared" si="222"/>
        <v>21</v>
      </c>
      <c r="AJ1117" s="14" t="str">
        <f>INDEX(挂机升级突破!$BX$4:$CH$4,INDEX(挂机升级突破!$BU$6:$BU$57,卡牌消耗!AI1117))</f>
        <v>金币</v>
      </c>
      <c r="AK1117" s="14">
        <f>ROUND(INDEX(挂机升级突破!$BN$6:$BN$57,卡牌消耗!AI1117)*INDEX(卡牌消耗!$B$8:$F$8,AG1117)/$Q$4/50,0)*50</f>
        <v>2750</v>
      </c>
      <c r="AL1117" s="14" t="str">
        <f>IF(AD1117&gt;0,INDEX(挂机升级突破!$BX$4:$CH$4,AD1117),"")</f>
        <v>紫色基础材料</v>
      </c>
      <c r="AM1117" s="14">
        <f>ROUND(INDEX(挂机升级突破!$BX$6:$CH$57,卡牌消耗!AI1117,AD1117)*INDEX(卡牌消耗!$B$5:$F$5,AG1117)/$Q$4/5,0)*5</f>
        <v>405</v>
      </c>
      <c r="AN1117" s="14" t="str">
        <f>IF(AE1117&gt;0,INDEX(挂机升级突破!$BX$4:$CH$4,AE1117),"")</f>
        <v/>
      </c>
      <c r="AO1117" s="14" t="str">
        <f>IF(AE1117&gt;0,ROUND(INDEX(挂机升级突破!$BX$6:$CH$57,卡牌消耗!AI1117,AE1117)*INDEX(卡牌消耗!$B$7:$F$7,AG1117)/$Q$4,0),"")</f>
        <v/>
      </c>
    </row>
    <row r="1118" spans="27:41" ht="16.5" x14ac:dyDescent="0.2">
      <c r="AA1118" s="104">
        <v>1114</v>
      </c>
      <c r="AB1118" s="14">
        <f t="shared" si="218"/>
        <v>22</v>
      </c>
      <c r="AC1118" s="14">
        <f>INDEX(挂机升级突破!$BU$6:$BU$57,卡牌消耗!AI1118)</f>
        <v>11</v>
      </c>
      <c r="AD1118" s="14">
        <f>INDEX(挂机升级突破!BV$6:BV$57,卡牌消耗!$AI1118)</f>
        <v>3</v>
      </c>
      <c r="AE1118" s="14">
        <f>INDEX(挂机升级突破!BW$6:BW$57,卡牌消耗!$AI1118)</f>
        <v>0</v>
      </c>
      <c r="AF1118" s="14" t="str">
        <f t="shared" si="219"/>
        <v>柠檬精</v>
      </c>
      <c r="AG1118" s="14">
        <f t="shared" si="220"/>
        <v>2</v>
      </c>
      <c r="AH1118" s="14" t="str">
        <f t="shared" si="221"/>
        <v>柠檬精魂火-22</v>
      </c>
      <c r="AI1118" s="14">
        <f t="shared" si="222"/>
        <v>22</v>
      </c>
      <c r="AJ1118" s="14" t="str">
        <f>INDEX(挂机升级突破!$BX$4:$CH$4,INDEX(挂机升级突破!$BU$6:$BU$57,卡牌消耗!AI1118))</f>
        <v>金币</v>
      </c>
      <c r="AK1118" s="14">
        <f>ROUND(INDEX(挂机升级突破!$BN$6:$BN$57,卡牌消耗!AI1118)*INDEX(卡牌消耗!$B$8:$F$8,AG1118)/$Q$4/50,0)*50</f>
        <v>2750</v>
      </c>
      <c r="AL1118" s="14" t="str">
        <f>IF(AD1118&gt;0,INDEX(挂机升级突破!$BX$4:$CH$4,AD1118),"")</f>
        <v>紫色基础材料</v>
      </c>
      <c r="AM1118" s="14">
        <f>ROUND(INDEX(挂机升级突破!$BX$6:$CH$57,卡牌消耗!AI1118,AD1118)*INDEX(卡牌消耗!$B$5:$F$5,AG1118)/$Q$4/5,0)*5</f>
        <v>405</v>
      </c>
      <c r="AN1118" s="14" t="str">
        <f>IF(AE1118&gt;0,INDEX(挂机升级突破!$BX$4:$CH$4,AE1118),"")</f>
        <v/>
      </c>
      <c r="AO1118" s="14" t="str">
        <f>IF(AE1118&gt;0,ROUND(INDEX(挂机升级突破!$BX$6:$CH$57,卡牌消耗!AI1118,AE1118)*INDEX(卡牌消耗!$B$7:$F$7,AG1118)/$Q$4,0),"")</f>
        <v/>
      </c>
    </row>
    <row r="1119" spans="27:41" ht="16.5" x14ac:dyDescent="0.2">
      <c r="AA1119" s="104">
        <v>1115</v>
      </c>
      <c r="AB1119" s="14">
        <f t="shared" si="218"/>
        <v>22</v>
      </c>
      <c r="AC1119" s="14">
        <f>INDEX(挂机升级突破!$BU$6:$BU$57,卡牌消耗!AI1119)</f>
        <v>11</v>
      </c>
      <c r="AD1119" s="14">
        <f>INDEX(挂机升级突破!BV$6:BV$57,卡牌消耗!$AI1119)</f>
        <v>4</v>
      </c>
      <c r="AE1119" s="14">
        <f>INDEX(挂机升级突破!BW$6:BW$57,卡牌消耗!$AI1119)</f>
        <v>0</v>
      </c>
      <c r="AF1119" s="14" t="str">
        <f t="shared" si="219"/>
        <v>柠檬精</v>
      </c>
      <c r="AG1119" s="14">
        <f t="shared" si="220"/>
        <v>2</v>
      </c>
      <c r="AH1119" s="14" t="str">
        <f t="shared" si="221"/>
        <v>柠檬精魂火-23</v>
      </c>
      <c r="AI1119" s="14">
        <f t="shared" si="222"/>
        <v>23</v>
      </c>
      <c r="AJ1119" s="14" t="str">
        <f>INDEX(挂机升级突破!$BX$4:$CH$4,INDEX(挂机升级突破!$BU$6:$BU$57,卡牌消耗!AI1119))</f>
        <v>金币</v>
      </c>
      <c r="AK1119" s="14">
        <f>ROUND(INDEX(挂机升级突破!$BN$6:$BN$57,卡牌消耗!AI1119)*INDEX(卡牌消耗!$B$8:$F$8,AG1119)/$Q$4/50,0)*50</f>
        <v>3750</v>
      </c>
      <c r="AL1119" s="14" t="str">
        <f>IF(AD1119&gt;0,INDEX(挂机升级突破!$BX$4:$CH$4,AD1119),"")</f>
        <v>橙色基础材料</v>
      </c>
      <c r="AM1119" s="14">
        <f>ROUND(INDEX(挂机升级突破!$BX$6:$CH$57,卡牌消耗!AI1119,AD1119)*INDEX(卡牌消耗!$B$5:$F$5,AG1119)/$Q$4/5,0)*5</f>
        <v>55</v>
      </c>
      <c r="AN1119" s="14" t="str">
        <f>IF(AE1119&gt;0,INDEX(挂机升级突破!$BX$4:$CH$4,AE1119),"")</f>
        <v/>
      </c>
      <c r="AO1119" s="14" t="str">
        <f>IF(AE1119&gt;0,ROUND(INDEX(挂机升级突破!$BX$6:$CH$57,卡牌消耗!AI1119,AE1119)*INDEX(卡牌消耗!$B$7:$F$7,AG1119)/$Q$4,0),"")</f>
        <v/>
      </c>
    </row>
    <row r="1120" spans="27:41" ht="16.5" x14ac:dyDescent="0.2">
      <c r="AA1120" s="104">
        <v>1116</v>
      </c>
      <c r="AB1120" s="14">
        <f t="shared" si="218"/>
        <v>22</v>
      </c>
      <c r="AC1120" s="14">
        <f>INDEX(挂机升级突破!$BU$6:$BU$57,卡牌消耗!AI1120)</f>
        <v>11</v>
      </c>
      <c r="AD1120" s="14">
        <f>INDEX(挂机升级突破!BV$6:BV$57,卡牌消耗!$AI1120)</f>
        <v>4</v>
      </c>
      <c r="AE1120" s="14">
        <f>INDEX(挂机升级突破!BW$6:BW$57,卡牌消耗!$AI1120)</f>
        <v>0</v>
      </c>
      <c r="AF1120" s="14" t="str">
        <f t="shared" si="219"/>
        <v>柠檬精</v>
      </c>
      <c r="AG1120" s="14">
        <f t="shared" si="220"/>
        <v>2</v>
      </c>
      <c r="AH1120" s="14" t="str">
        <f t="shared" si="221"/>
        <v>柠檬精魂火-24</v>
      </c>
      <c r="AI1120" s="14">
        <f t="shared" si="222"/>
        <v>24</v>
      </c>
      <c r="AJ1120" s="14" t="str">
        <f>INDEX(挂机升级突破!$BX$4:$CH$4,INDEX(挂机升级突破!$BU$6:$BU$57,卡牌消耗!AI1120))</f>
        <v>金币</v>
      </c>
      <c r="AK1120" s="14">
        <f>ROUND(INDEX(挂机升级突破!$BN$6:$BN$57,卡牌消耗!AI1120)*INDEX(卡牌消耗!$B$8:$F$8,AG1120)/$Q$4/50,0)*50</f>
        <v>3750</v>
      </c>
      <c r="AL1120" s="14" t="str">
        <f>IF(AD1120&gt;0,INDEX(挂机升级突破!$BX$4:$CH$4,AD1120),"")</f>
        <v>橙色基础材料</v>
      </c>
      <c r="AM1120" s="14">
        <f>ROUND(INDEX(挂机升级突破!$BX$6:$CH$57,卡牌消耗!AI1120,AD1120)*INDEX(卡牌消耗!$B$5:$F$5,AG1120)/$Q$4/5,0)*5</f>
        <v>55</v>
      </c>
      <c r="AN1120" s="14" t="str">
        <f>IF(AE1120&gt;0,INDEX(挂机升级突破!$BX$4:$CH$4,AE1120),"")</f>
        <v/>
      </c>
      <c r="AO1120" s="14" t="str">
        <f>IF(AE1120&gt;0,ROUND(INDEX(挂机升级突破!$BX$6:$CH$57,卡牌消耗!AI1120,AE1120)*INDEX(卡牌消耗!$B$7:$F$7,AG1120)/$Q$4,0),"")</f>
        <v/>
      </c>
    </row>
    <row r="1121" spans="27:41" ht="16.5" x14ac:dyDescent="0.2">
      <c r="AA1121" s="104">
        <v>1117</v>
      </c>
      <c r="AB1121" s="14">
        <f t="shared" si="218"/>
        <v>22</v>
      </c>
      <c r="AC1121" s="14">
        <f>INDEX(挂机升级突破!$BU$6:$BU$57,卡牌消耗!AI1121)</f>
        <v>11</v>
      </c>
      <c r="AD1121" s="14">
        <f>INDEX(挂机升级突破!BV$6:BV$57,卡牌消耗!$AI1121)</f>
        <v>4</v>
      </c>
      <c r="AE1121" s="14">
        <f>INDEX(挂机升级突破!BW$6:BW$57,卡牌消耗!$AI1121)</f>
        <v>0</v>
      </c>
      <c r="AF1121" s="14" t="str">
        <f t="shared" si="219"/>
        <v>柠檬精</v>
      </c>
      <c r="AG1121" s="14">
        <f t="shared" si="220"/>
        <v>2</v>
      </c>
      <c r="AH1121" s="14" t="str">
        <f t="shared" si="221"/>
        <v>柠檬精魂火-25</v>
      </c>
      <c r="AI1121" s="14">
        <f t="shared" si="222"/>
        <v>25</v>
      </c>
      <c r="AJ1121" s="14" t="str">
        <f>INDEX(挂机升级突破!$BX$4:$CH$4,INDEX(挂机升级突破!$BU$6:$BU$57,卡牌消耗!AI1121))</f>
        <v>金币</v>
      </c>
      <c r="AK1121" s="14">
        <f>ROUND(INDEX(挂机升级突破!$BN$6:$BN$57,卡牌消耗!AI1121)*INDEX(卡牌消耗!$B$8:$F$8,AG1121)/$Q$4/50,0)*50</f>
        <v>4100</v>
      </c>
      <c r="AL1121" s="14" t="str">
        <f>IF(AD1121&gt;0,INDEX(挂机升级突破!$BX$4:$CH$4,AD1121),"")</f>
        <v>橙色基础材料</v>
      </c>
      <c r="AM1121" s="14">
        <f>ROUND(INDEX(挂机升级突破!$BX$6:$CH$57,卡牌消耗!AI1121,AD1121)*INDEX(卡牌消耗!$B$5:$F$5,AG1121)/$Q$4/5,0)*5</f>
        <v>55</v>
      </c>
      <c r="AN1121" s="14" t="str">
        <f>IF(AE1121&gt;0,INDEX(挂机升级突破!$BX$4:$CH$4,AE1121),"")</f>
        <v/>
      </c>
      <c r="AO1121" s="14" t="str">
        <f>IF(AE1121&gt;0,ROUND(INDEX(挂机升级突破!$BX$6:$CH$57,卡牌消耗!AI1121,AE1121)*INDEX(卡牌消耗!$B$7:$F$7,AG1121)/$Q$4,0),"")</f>
        <v/>
      </c>
    </row>
    <row r="1122" spans="27:41" ht="16.5" x14ac:dyDescent="0.2">
      <c r="AA1122" s="104">
        <v>1118</v>
      </c>
      <c r="AB1122" s="14">
        <f t="shared" si="218"/>
        <v>22</v>
      </c>
      <c r="AC1122" s="14">
        <f>INDEX(挂机升级突破!$BU$6:$BU$57,卡牌消耗!AI1122)</f>
        <v>11</v>
      </c>
      <c r="AD1122" s="14">
        <f>INDEX(挂机升级突破!BV$6:BV$57,卡牌消耗!$AI1122)</f>
        <v>4</v>
      </c>
      <c r="AE1122" s="14">
        <f>INDEX(挂机升级突破!BW$6:BW$57,卡牌消耗!$AI1122)</f>
        <v>0</v>
      </c>
      <c r="AF1122" s="14" t="str">
        <f t="shared" si="219"/>
        <v>柠檬精</v>
      </c>
      <c r="AG1122" s="14">
        <f t="shared" si="220"/>
        <v>2</v>
      </c>
      <c r="AH1122" s="14" t="str">
        <f t="shared" si="221"/>
        <v>柠檬精魂火-26</v>
      </c>
      <c r="AI1122" s="14">
        <f t="shared" si="222"/>
        <v>26</v>
      </c>
      <c r="AJ1122" s="14" t="str">
        <f>INDEX(挂机升级突破!$BX$4:$CH$4,INDEX(挂机升级突破!$BU$6:$BU$57,卡牌消耗!AI1122))</f>
        <v>金币</v>
      </c>
      <c r="AK1122" s="14">
        <f>ROUND(INDEX(挂机升级突破!$BN$6:$BN$57,卡牌消耗!AI1122)*INDEX(卡牌消耗!$B$8:$F$8,AG1122)/$Q$4/50,0)*50</f>
        <v>4800</v>
      </c>
      <c r="AL1122" s="14" t="str">
        <f>IF(AD1122&gt;0,INDEX(挂机升级突破!$BX$4:$CH$4,AD1122),"")</f>
        <v>橙色基础材料</v>
      </c>
      <c r="AM1122" s="14">
        <f>ROUND(INDEX(挂机升级突破!$BX$6:$CH$57,卡牌消耗!AI1122,AD1122)*INDEX(卡牌消耗!$B$5:$F$5,AG1122)/$Q$4/5,0)*5</f>
        <v>65</v>
      </c>
      <c r="AN1122" s="14" t="str">
        <f>IF(AE1122&gt;0,INDEX(挂机升级突破!$BX$4:$CH$4,AE1122),"")</f>
        <v/>
      </c>
      <c r="AO1122" s="14" t="str">
        <f>IF(AE1122&gt;0,ROUND(INDEX(挂机升级突破!$BX$6:$CH$57,卡牌消耗!AI1122,AE1122)*INDEX(卡牌消耗!$B$7:$F$7,AG1122)/$Q$4,0),"")</f>
        <v/>
      </c>
    </row>
    <row r="1123" spans="27:41" ht="16.5" x14ac:dyDescent="0.2">
      <c r="AA1123" s="104">
        <v>1119</v>
      </c>
      <c r="AB1123" s="14">
        <f t="shared" si="218"/>
        <v>22</v>
      </c>
      <c r="AC1123" s="14">
        <f>INDEX(挂机升级突破!$BU$6:$BU$57,卡牌消耗!AI1123)</f>
        <v>11</v>
      </c>
      <c r="AD1123" s="14">
        <f>INDEX(挂机升级突破!BV$6:BV$57,卡牌消耗!$AI1123)</f>
        <v>4</v>
      </c>
      <c r="AE1123" s="14">
        <f>INDEX(挂机升级突破!BW$6:BW$57,卡牌消耗!$AI1123)</f>
        <v>0</v>
      </c>
      <c r="AF1123" s="14" t="str">
        <f t="shared" si="219"/>
        <v>柠檬精</v>
      </c>
      <c r="AG1123" s="14">
        <f t="shared" si="220"/>
        <v>2</v>
      </c>
      <c r="AH1123" s="14" t="str">
        <f t="shared" si="221"/>
        <v>柠檬精魂火-27</v>
      </c>
      <c r="AI1123" s="14">
        <f t="shared" si="222"/>
        <v>27</v>
      </c>
      <c r="AJ1123" s="14" t="str">
        <f>INDEX(挂机升级突破!$BX$4:$CH$4,INDEX(挂机升级突破!$BU$6:$BU$57,卡牌消耗!AI1123))</f>
        <v>金币</v>
      </c>
      <c r="AK1123" s="14">
        <f>ROUND(INDEX(挂机升级突破!$BN$6:$BN$57,卡牌消耗!AI1123)*INDEX(卡牌消耗!$B$8:$F$8,AG1123)/$Q$4/50,0)*50</f>
        <v>4800</v>
      </c>
      <c r="AL1123" s="14" t="str">
        <f>IF(AD1123&gt;0,INDEX(挂机升级突破!$BX$4:$CH$4,AD1123),"")</f>
        <v>橙色基础材料</v>
      </c>
      <c r="AM1123" s="14">
        <f>ROUND(INDEX(挂机升级突破!$BX$6:$CH$57,卡牌消耗!AI1123,AD1123)*INDEX(卡牌消耗!$B$5:$F$5,AG1123)/$Q$4/5,0)*5</f>
        <v>65</v>
      </c>
      <c r="AN1123" s="14" t="str">
        <f>IF(AE1123&gt;0,INDEX(挂机升级突破!$BX$4:$CH$4,AE1123),"")</f>
        <v/>
      </c>
      <c r="AO1123" s="14" t="str">
        <f>IF(AE1123&gt;0,ROUND(INDEX(挂机升级突破!$BX$6:$CH$57,卡牌消耗!AI1123,AE1123)*INDEX(卡牌消耗!$B$7:$F$7,AG1123)/$Q$4,0),"")</f>
        <v/>
      </c>
    </row>
    <row r="1124" spans="27:41" ht="16.5" x14ac:dyDescent="0.2">
      <c r="AA1124" s="104">
        <v>1120</v>
      </c>
      <c r="AB1124" s="14">
        <f t="shared" si="218"/>
        <v>22</v>
      </c>
      <c r="AC1124" s="14">
        <f>INDEX(挂机升级突破!$BU$6:$BU$57,卡牌消耗!AI1124)</f>
        <v>11</v>
      </c>
      <c r="AD1124" s="14">
        <f>INDEX(挂机升级突破!BV$6:BV$57,卡牌消耗!$AI1124)</f>
        <v>4</v>
      </c>
      <c r="AE1124" s="14">
        <f>INDEX(挂机升级突破!BW$6:BW$57,卡牌消耗!$AI1124)</f>
        <v>0</v>
      </c>
      <c r="AF1124" s="14" t="str">
        <f t="shared" si="219"/>
        <v>柠檬精</v>
      </c>
      <c r="AG1124" s="14">
        <f t="shared" si="220"/>
        <v>2</v>
      </c>
      <c r="AH1124" s="14" t="str">
        <f t="shared" si="221"/>
        <v>柠檬精魂火-28</v>
      </c>
      <c r="AI1124" s="14">
        <f t="shared" si="222"/>
        <v>28</v>
      </c>
      <c r="AJ1124" s="14" t="str">
        <f>INDEX(挂机升级突破!$BX$4:$CH$4,INDEX(挂机升级突破!$BU$6:$BU$57,卡牌消耗!AI1124))</f>
        <v>金币</v>
      </c>
      <c r="AK1124" s="14">
        <f>ROUND(INDEX(挂机升级突破!$BN$6:$BN$57,卡牌消耗!AI1124)*INDEX(卡牌消耗!$B$8:$F$8,AG1124)/$Q$4/50,0)*50</f>
        <v>4800</v>
      </c>
      <c r="AL1124" s="14" t="str">
        <f>IF(AD1124&gt;0,INDEX(挂机升级突破!$BX$4:$CH$4,AD1124),"")</f>
        <v>橙色基础材料</v>
      </c>
      <c r="AM1124" s="14">
        <f>ROUND(INDEX(挂机升级突破!$BX$6:$CH$57,卡牌消耗!AI1124,AD1124)*INDEX(卡牌消耗!$B$5:$F$5,AG1124)/$Q$4/5,0)*5</f>
        <v>65</v>
      </c>
      <c r="AN1124" s="14" t="str">
        <f>IF(AE1124&gt;0,INDEX(挂机升级突破!$BX$4:$CH$4,AE1124),"")</f>
        <v/>
      </c>
      <c r="AO1124" s="14" t="str">
        <f>IF(AE1124&gt;0,ROUND(INDEX(挂机升级突破!$BX$6:$CH$57,卡牌消耗!AI1124,AE1124)*INDEX(卡牌消耗!$B$7:$F$7,AG1124)/$Q$4,0),"")</f>
        <v/>
      </c>
    </row>
    <row r="1125" spans="27:41" ht="16.5" x14ac:dyDescent="0.2">
      <c r="AA1125" s="104">
        <v>1121</v>
      </c>
      <c r="AB1125" s="14">
        <f t="shared" si="218"/>
        <v>22</v>
      </c>
      <c r="AC1125" s="14">
        <f>INDEX(挂机升级突破!$BU$6:$BU$57,卡牌消耗!AI1125)</f>
        <v>11</v>
      </c>
      <c r="AD1125" s="14">
        <f>INDEX(挂机升级突破!BV$6:BV$57,卡牌消耗!$AI1125)</f>
        <v>4</v>
      </c>
      <c r="AE1125" s="14">
        <f>INDEX(挂机升级突破!BW$6:BW$57,卡牌消耗!$AI1125)</f>
        <v>0</v>
      </c>
      <c r="AF1125" s="14" t="str">
        <f t="shared" si="219"/>
        <v>柠檬精</v>
      </c>
      <c r="AG1125" s="14">
        <f t="shared" si="220"/>
        <v>2</v>
      </c>
      <c r="AH1125" s="14" t="str">
        <f t="shared" si="221"/>
        <v>柠檬精魂火-29</v>
      </c>
      <c r="AI1125" s="14">
        <f t="shared" si="222"/>
        <v>29</v>
      </c>
      <c r="AJ1125" s="14" t="str">
        <f>INDEX(挂机升级突破!$BX$4:$CH$4,INDEX(挂机升级突破!$BU$6:$BU$57,卡牌消耗!AI1125))</f>
        <v>金币</v>
      </c>
      <c r="AK1125" s="14">
        <f>ROUND(INDEX(挂机升级突破!$BN$6:$BN$57,卡牌消耗!AI1125)*INDEX(卡牌消耗!$B$8:$F$8,AG1125)/$Q$4/50,0)*50</f>
        <v>4850</v>
      </c>
      <c r="AL1125" s="14" t="str">
        <f>IF(AD1125&gt;0,INDEX(挂机升级突破!$BX$4:$CH$4,AD1125),"")</f>
        <v>橙色基础材料</v>
      </c>
      <c r="AM1125" s="14">
        <f>ROUND(INDEX(挂机升级突破!$BX$6:$CH$57,卡牌消耗!AI1125,AD1125)*INDEX(卡牌消耗!$B$5:$F$5,AG1125)/$Q$4/5,0)*5</f>
        <v>80</v>
      </c>
      <c r="AN1125" s="14" t="str">
        <f>IF(AE1125&gt;0,INDEX(挂机升级突破!$BX$4:$CH$4,AE1125),"")</f>
        <v/>
      </c>
      <c r="AO1125" s="14" t="str">
        <f>IF(AE1125&gt;0,ROUND(INDEX(挂机升级突破!$BX$6:$CH$57,卡牌消耗!AI1125,AE1125)*INDEX(卡牌消耗!$B$7:$F$7,AG1125)/$Q$4,0),"")</f>
        <v/>
      </c>
    </row>
    <row r="1126" spans="27:41" ht="16.5" x14ac:dyDescent="0.2">
      <c r="AA1126" s="104">
        <v>1122</v>
      </c>
      <c r="AB1126" s="14">
        <f t="shared" si="218"/>
        <v>22</v>
      </c>
      <c r="AC1126" s="14">
        <f>INDEX(挂机升级突破!$BU$6:$BU$57,卡牌消耗!AI1126)</f>
        <v>11</v>
      </c>
      <c r="AD1126" s="14">
        <f>INDEX(挂机升级突破!BV$6:BV$57,卡牌消耗!$AI1126)</f>
        <v>4</v>
      </c>
      <c r="AE1126" s="14">
        <f>INDEX(挂机升级突破!BW$6:BW$57,卡牌消耗!$AI1126)</f>
        <v>0</v>
      </c>
      <c r="AF1126" s="14" t="str">
        <f t="shared" si="219"/>
        <v>柠檬精</v>
      </c>
      <c r="AG1126" s="14">
        <f t="shared" si="220"/>
        <v>2</v>
      </c>
      <c r="AH1126" s="14" t="str">
        <f t="shared" si="221"/>
        <v>柠檬精魂火-30</v>
      </c>
      <c r="AI1126" s="14">
        <f t="shared" si="222"/>
        <v>30</v>
      </c>
      <c r="AJ1126" s="14" t="str">
        <f>INDEX(挂机升级突破!$BX$4:$CH$4,INDEX(挂机升级突破!$BU$6:$BU$57,卡牌消耗!AI1126))</f>
        <v>金币</v>
      </c>
      <c r="AK1126" s="14">
        <f>ROUND(INDEX(挂机升级突破!$BN$6:$BN$57,卡牌消耗!AI1126)*INDEX(卡牌消耗!$B$8:$F$8,AG1126)/$Q$4/50,0)*50</f>
        <v>4850</v>
      </c>
      <c r="AL1126" s="14" t="str">
        <f>IF(AD1126&gt;0,INDEX(挂机升级突破!$BX$4:$CH$4,AD1126),"")</f>
        <v>橙色基础材料</v>
      </c>
      <c r="AM1126" s="14">
        <f>ROUND(INDEX(挂机升级突破!$BX$6:$CH$57,卡牌消耗!AI1126,AD1126)*INDEX(卡牌消耗!$B$5:$F$5,AG1126)/$Q$4/5,0)*5</f>
        <v>80</v>
      </c>
      <c r="AN1126" s="14" t="str">
        <f>IF(AE1126&gt;0,INDEX(挂机升级突破!$BX$4:$CH$4,AE1126),"")</f>
        <v/>
      </c>
      <c r="AO1126" s="14" t="str">
        <f>IF(AE1126&gt;0,ROUND(INDEX(挂机升级突破!$BX$6:$CH$57,卡牌消耗!AI1126,AE1126)*INDEX(卡牌消耗!$B$7:$F$7,AG1126)/$Q$4,0),"")</f>
        <v/>
      </c>
    </row>
    <row r="1127" spans="27:41" ht="16.5" x14ac:dyDescent="0.2">
      <c r="AA1127" s="104">
        <v>1123</v>
      </c>
      <c r="AB1127" s="14">
        <f t="shared" si="218"/>
        <v>22</v>
      </c>
      <c r="AC1127" s="14">
        <f>INDEX(挂机升级突破!$BU$6:$BU$57,卡牌消耗!AI1127)</f>
        <v>11</v>
      </c>
      <c r="AD1127" s="14">
        <f>INDEX(挂机升级突破!BV$6:BV$57,卡牌消耗!$AI1127)</f>
        <v>4</v>
      </c>
      <c r="AE1127" s="14">
        <f>INDEX(挂机升级突破!BW$6:BW$57,卡牌消耗!$AI1127)</f>
        <v>0</v>
      </c>
      <c r="AF1127" s="14" t="str">
        <f t="shared" si="219"/>
        <v>柠檬精</v>
      </c>
      <c r="AG1127" s="14">
        <f t="shared" si="220"/>
        <v>2</v>
      </c>
      <c r="AH1127" s="14" t="str">
        <f t="shared" si="221"/>
        <v>柠檬精魂火-31</v>
      </c>
      <c r="AI1127" s="14">
        <f t="shared" si="222"/>
        <v>31</v>
      </c>
      <c r="AJ1127" s="14" t="str">
        <f>INDEX(挂机升级突破!$BX$4:$CH$4,INDEX(挂机升级突破!$BU$6:$BU$57,卡牌消耗!AI1127))</f>
        <v>金币</v>
      </c>
      <c r="AK1127" s="14">
        <f>ROUND(INDEX(挂机升级突破!$BN$6:$BN$57,卡牌消耗!AI1127)*INDEX(卡牌消耗!$B$8:$F$8,AG1127)/$Q$4/50,0)*50</f>
        <v>4850</v>
      </c>
      <c r="AL1127" s="14" t="str">
        <f>IF(AD1127&gt;0,INDEX(挂机升级突破!$BX$4:$CH$4,AD1127),"")</f>
        <v>橙色基础材料</v>
      </c>
      <c r="AM1127" s="14">
        <f>ROUND(INDEX(挂机升级突破!$BX$6:$CH$57,卡牌消耗!AI1127,AD1127)*INDEX(卡牌消耗!$B$5:$F$5,AG1127)/$Q$4/5,0)*5</f>
        <v>80</v>
      </c>
      <c r="AN1127" s="14" t="str">
        <f>IF(AE1127&gt;0,INDEX(挂机升级突破!$BX$4:$CH$4,AE1127),"")</f>
        <v/>
      </c>
      <c r="AO1127" s="14" t="str">
        <f>IF(AE1127&gt;0,ROUND(INDEX(挂机升级突破!$BX$6:$CH$57,卡牌消耗!AI1127,AE1127)*INDEX(卡牌消耗!$B$7:$F$7,AG1127)/$Q$4,0),"")</f>
        <v/>
      </c>
    </row>
    <row r="1128" spans="27:41" ht="16.5" x14ac:dyDescent="0.2">
      <c r="AA1128" s="104">
        <v>1124</v>
      </c>
      <c r="AB1128" s="14">
        <f t="shared" si="218"/>
        <v>22</v>
      </c>
      <c r="AC1128" s="14">
        <f>INDEX(挂机升级突破!$BU$6:$BU$57,卡牌消耗!AI1128)</f>
        <v>11</v>
      </c>
      <c r="AD1128" s="14">
        <f>INDEX(挂机升级突破!BV$6:BV$57,卡牌消耗!$AI1128)</f>
        <v>4</v>
      </c>
      <c r="AE1128" s="14">
        <f>INDEX(挂机升级突破!BW$6:BW$57,卡牌消耗!$AI1128)</f>
        <v>0</v>
      </c>
      <c r="AF1128" s="14" t="str">
        <f t="shared" si="219"/>
        <v>柠檬精</v>
      </c>
      <c r="AG1128" s="14">
        <f t="shared" si="220"/>
        <v>2</v>
      </c>
      <c r="AH1128" s="14" t="str">
        <f t="shared" si="221"/>
        <v>柠檬精魂火-32</v>
      </c>
      <c r="AI1128" s="14">
        <f t="shared" si="222"/>
        <v>32</v>
      </c>
      <c r="AJ1128" s="14" t="str">
        <f>INDEX(挂机升级突破!$BX$4:$CH$4,INDEX(挂机升级突破!$BU$6:$BU$57,卡牌消耗!AI1128))</f>
        <v>金币</v>
      </c>
      <c r="AK1128" s="14">
        <f>ROUND(INDEX(挂机升级突破!$BN$6:$BN$57,卡牌消耗!AI1128)*INDEX(卡牌消耗!$B$8:$F$8,AG1128)/$Q$4/50,0)*50</f>
        <v>6650</v>
      </c>
      <c r="AL1128" s="14" t="str">
        <f>IF(AD1128&gt;0,INDEX(挂机升级突破!$BX$4:$CH$4,AD1128),"")</f>
        <v>橙色基础材料</v>
      </c>
      <c r="AM1128" s="14">
        <f>ROUND(INDEX(挂机升级突破!$BX$6:$CH$57,卡牌消耗!AI1128,AD1128)*INDEX(卡牌消耗!$B$5:$F$5,AG1128)/$Q$4/5,0)*5</f>
        <v>80</v>
      </c>
      <c r="AN1128" s="14" t="str">
        <f>IF(AE1128&gt;0,INDEX(挂机升级突破!$BX$4:$CH$4,AE1128),"")</f>
        <v/>
      </c>
      <c r="AO1128" s="14" t="str">
        <f>IF(AE1128&gt;0,ROUND(INDEX(挂机升级突破!$BX$6:$CH$57,卡牌消耗!AI1128,AE1128)*INDEX(卡牌消耗!$B$7:$F$7,AG1128)/$Q$4,0),"")</f>
        <v/>
      </c>
    </row>
    <row r="1129" spans="27:41" ht="16.5" x14ac:dyDescent="0.2">
      <c r="AA1129" s="104">
        <v>1125</v>
      </c>
      <c r="AB1129" s="14">
        <f t="shared" si="218"/>
        <v>22</v>
      </c>
      <c r="AC1129" s="14">
        <f>INDEX(挂机升级突破!$BU$6:$BU$57,卡牌消耗!AI1129)</f>
        <v>11</v>
      </c>
      <c r="AD1129" s="14">
        <f>INDEX(挂机升级突破!BV$6:BV$57,卡牌消耗!$AI1129)</f>
        <v>4</v>
      </c>
      <c r="AE1129" s="14">
        <f>INDEX(挂机升级突破!BW$6:BW$57,卡牌消耗!$AI1129)</f>
        <v>0</v>
      </c>
      <c r="AF1129" s="14" t="str">
        <f t="shared" si="219"/>
        <v>柠檬精</v>
      </c>
      <c r="AG1129" s="14">
        <f t="shared" si="220"/>
        <v>2</v>
      </c>
      <c r="AH1129" s="14" t="str">
        <f t="shared" si="221"/>
        <v>柠檬精魂火-33</v>
      </c>
      <c r="AI1129" s="14">
        <f t="shared" si="222"/>
        <v>33</v>
      </c>
      <c r="AJ1129" s="14" t="str">
        <f>INDEX(挂机升级突破!$BX$4:$CH$4,INDEX(挂机升级突破!$BU$6:$BU$57,卡牌消耗!AI1129))</f>
        <v>金币</v>
      </c>
      <c r="AK1129" s="14">
        <f>ROUND(INDEX(挂机升级突破!$BN$6:$BN$57,卡牌消耗!AI1129)*INDEX(卡牌消耗!$B$8:$F$8,AG1129)/$Q$4/50,0)*50</f>
        <v>6650</v>
      </c>
      <c r="AL1129" s="14" t="str">
        <f>IF(AD1129&gt;0,INDEX(挂机升级突破!$BX$4:$CH$4,AD1129),"")</f>
        <v>橙色基础材料</v>
      </c>
      <c r="AM1129" s="14">
        <f>ROUND(INDEX(挂机升级突破!$BX$6:$CH$57,卡牌消耗!AI1129,AD1129)*INDEX(卡牌消耗!$B$5:$F$5,AG1129)/$Q$4/5,0)*5</f>
        <v>80</v>
      </c>
      <c r="AN1129" s="14" t="str">
        <f>IF(AE1129&gt;0,INDEX(挂机升级突破!$BX$4:$CH$4,AE1129),"")</f>
        <v/>
      </c>
      <c r="AO1129" s="14" t="str">
        <f>IF(AE1129&gt;0,ROUND(INDEX(挂机升级突破!$BX$6:$CH$57,卡牌消耗!AI1129,AE1129)*INDEX(卡牌消耗!$B$7:$F$7,AG1129)/$Q$4,0),"")</f>
        <v/>
      </c>
    </row>
    <row r="1130" spans="27:41" ht="16.5" x14ac:dyDescent="0.2">
      <c r="AA1130" s="104">
        <v>1126</v>
      </c>
      <c r="AB1130" s="14">
        <f t="shared" si="218"/>
        <v>22</v>
      </c>
      <c r="AC1130" s="14">
        <f>INDEX(挂机升级突破!$BU$6:$BU$57,卡牌消耗!AI1130)</f>
        <v>11</v>
      </c>
      <c r="AD1130" s="14">
        <f>INDEX(挂机升级突破!BV$6:BV$57,卡牌消耗!$AI1130)</f>
        <v>4</v>
      </c>
      <c r="AE1130" s="14">
        <f>INDEX(挂机升级突破!BW$6:BW$57,卡牌消耗!$AI1130)</f>
        <v>0</v>
      </c>
      <c r="AF1130" s="14" t="str">
        <f t="shared" si="219"/>
        <v>柠檬精</v>
      </c>
      <c r="AG1130" s="14">
        <f t="shared" si="220"/>
        <v>2</v>
      </c>
      <c r="AH1130" s="14" t="str">
        <f t="shared" si="221"/>
        <v>柠檬精魂火-34</v>
      </c>
      <c r="AI1130" s="14">
        <f t="shared" si="222"/>
        <v>34</v>
      </c>
      <c r="AJ1130" s="14" t="str">
        <f>INDEX(挂机升级突破!$BX$4:$CH$4,INDEX(挂机升级突破!$BU$6:$BU$57,卡牌消耗!AI1130))</f>
        <v>金币</v>
      </c>
      <c r="AK1130" s="14">
        <f>ROUND(INDEX(挂机升级突破!$BN$6:$BN$57,卡牌消耗!AI1130)*INDEX(卡牌消耗!$B$8:$F$8,AG1130)/$Q$4/50,0)*50</f>
        <v>6650</v>
      </c>
      <c r="AL1130" s="14" t="str">
        <f>IF(AD1130&gt;0,INDEX(挂机升级突破!$BX$4:$CH$4,AD1130),"")</f>
        <v>橙色基础材料</v>
      </c>
      <c r="AM1130" s="14">
        <f>ROUND(INDEX(挂机升级突破!$BX$6:$CH$57,卡牌消耗!AI1130,AD1130)*INDEX(卡牌消耗!$B$5:$F$5,AG1130)/$Q$4/5,0)*5</f>
        <v>90</v>
      </c>
      <c r="AN1130" s="14" t="str">
        <f>IF(AE1130&gt;0,INDEX(挂机升级突破!$BX$4:$CH$4,AE1130),"")</f>
        <v/>
      </c>
      <c r="AO1130" s="14" t="str">
        <f>IF(AE1130&gt;0,ROUND(INDEX(挂机升级突破!$BX$6:$CH$57,卡牌消耗!AI1130,AE1130)*INDEX(卡牌消耗!$B$7:$F$7,AG1130)/$Q$4,0),"")</f>
        <v/>
      </c>
    </row>
    <row r="1131" spans="27:41" ht="16.5" x14ac:dyDescent="0.2">
      <c r="AA1131" s="104">
        <v>1127</v>
      </c>
      <c r="AB1131" s="14">
        <f t="shared" si="218"/>
        <v>22</v>
      </c>
      <c r="AC1131" s="14">
        <f>INDEX(挂机升级突破!$BU$6:$BU$57,卡牌消耗!AI1131)</f>
        <v>11</v>
      </c>
      <c r="AD1131" s="14">
        <f>INDEX(挂机升级突破!BV$6:BV$57,卡牌消耗!$AI1131)</f>
        <v>4</v>
      </c>
      <c r="AE1131" s="14">
        <f>INDEX(挂机升级突破!BW$6:BW$57,卡牌消耗!$AI1131)</f>
        <v>0</v>
      </c>
      <c r="AF1131" s="14" t="str">
        <f t="shared" si="219"/>
        <v>柠檬精</v>
      </c>
      <c r="AG1131" s="14">
        <f t="shared" si="220"/>
        <v>2</v>
      </c>
      <c r="AH1131" s="14" t="str">
        <f t="shared" si="221"/>
        <v>柠檬精魂火-35</v>
      </c>
      <c r="AI1131" s="14">
        <f t="shared" si="222"/>
        <v>35</v>
      </c>
      <c r="AJ1131" s="14" t="str">
        <f>INDEX(挂机升级突破!$BX$4:$CH$4,INDEX(挂机升级突破!$BU$6:$BU$57,卡牌消耗!AI1131))</f>
        <v>金币</v>
      </c>
      <c r="AK1131" s="14">
        <f>ROUND(INDEX(挂机升级突破!$BN$6:$BN$57,卡牌消耗!AI1131)*INDEX(卡牌消耗!$B$8:$F$8,AG1131)/$Q$4/50,0)*50</f>
        <v>8450</v>
      </c>
      <c r="AL1131" s="14" t="str">
        <f>IF(AD1131&gt;0,INDEX(挂机升级突破!$BX$4:$CH$4,AD1131),"")</f>
        <v>橙色基础材料</v>
      </c>
      <c r="AM1131" s="14">
        <f>ROUND(INDEX(挂机升级突破!$BX$6:$CH$57,卡牌消耗!AI1131,AD1131)*INDEX(卡牌消耗!$B$5:$F$5,AG1131)/$Q$4/5,0)*5</f>
        <v>90</v>
      </c>
      <c r="AN1131" s="14" t="str">
        <f>IF(AE1131&gt;0,INDEX(挂机升级突破!$BX$4:$CH$4,AE1131),"")</f>
        <v/>
      </c>
      <c r="AO1131" s="14" t="str">
        <f>IF(AE1131&gt;0,ROUND(INDEX(挂机升级突破!$BX$6:$CH$57,卡牌消耗!AI1131,AE1131)*INDEX(卡牌消耗!$B$7:$F$7,AG1131)/$Q$4,0),"")</f>
        <v/>
      </c>
    </row>
    <row r="1132" spans="27:41" ht="16.5" x14ac:dyDescent="0.2">
      <c r="AA1132" s="104">
        <v>1128</v>
      </c>
      <c r="AB1132" s="14">
        <f t="shared" si="218"/>
        <v>22</v>
      </c>
      <c r="AC1132" s="14">
        <f>INDEX(挂机升级突破!$BU$6:$BU$57,卡牌消耗!AI1132)</f>
        <v>11</v>
      </c>
      <c r="AD1132" s="14">
        <f>INDEX(挂机升级突破!BV$6:BV$57,卡牌消耗!$AI1132)</f>
        <v>4</v>
      </c>
      <c r="AE1132" s="14">
        <f>INDEX(挂机升级突破!BW$6:BW$57,卡牌消耗!$AI1132)</f>
        <v>0</v>
      </c>
      <c r="AF1132" s="14" t="str">
        <f t="shared" si="219"/>
        <v>柠檬精</v>
      </c>
      <c r="AG1132" s="14">
        <f t="shared" si="220"/>
        <v>2</v>
      </c>
      <c r="AH1132" s="14" t="str">
        <f t="shared" si="221"/>
        <v>柠檬精魂火-36</v>
      </c>
      <c r="AI1132" s="14">
        <f t="shared" si="222"/>
        <v>36</v>
      </c>
      <c r="AJ1132" s="14" t="str">
        <f>INDEX(挂机升级突破!$BX$4:$CH$4,INDEX(挂机升级突破!$BU$6:$BU$57,卡牌消耗!AI1132))</f>
        <v>金币</v>
      </c>
      <c r="AK1132" s="14">
        <f>ROUND(INDEX(挂机升级突破!$BN$6:$BN$57,卡牌消耗!AI1132)*INDEX(卡牌消耗!$B$8:$F$8,AG1132)/$Q$4/50,0)*50</f>
        <v>8450</v>
      </c>
      <c r="AL1132" s="14" t="str">
        <f>IF(AD1132&gt;0,INDEX(挂机升级突破!$BX$4:$CH$4,AD1132),"")</f>
        <v>橙色基础材料</v>
      </c>
      <c r="AM1132" s="14">
        <f>ROUND(INDEX(挂机升级突破!$BX$6:$CH$57,卡牌消耗!AI1132,AD1132)*INDEX(卡牌消耗!$B$5:$F$5,AG1132)/$Q$4/5,0)*5</f>
        <v>90</v>
      </c>
      <c r="AN1132" s="14" t="str">
        <f>IF(AE1132&gt;0,INDEX(挂机升级突破!$BX$4:$CH$4,AE1132),"")</f>
        <v/>
      </c>
      <c r="AO1132" s="14" t="str">
        <f>IF(AE1132&gt;0,ROUND(INDEX(挂机升级突破!$BX$6:$CH$57,卡牌消耗!AI1132,AE1132)*INDEX(卡牌消耗!$B$7:$F$7,AG1132)/$Q$4,0),"")</f>
        <v/>
      </c>
    </row>
    <row r="1133" spans="27:41" ht="16.5" x14ac:dyDescent="0.2">
      <c r="AA1133" s="104">
        <v>1129</v>
      </c>
      <c r="AB1133" s="14">
        <f t="shared" si="218"/>
        <v>22</v>
      </c>
      <c r="AC1133" s="14">
        <f>INDEX(挂机升级突破!$BU$6:$BU$57,卡牌消耗!AI1133)</f>
        <v>11</v>
      </c>
      <c r="AD1133" s="14">
        <f>INDEX(挂机升级突破!BV$6:BV$57,卡牌消耗!$AI1133)</f>
        <v>4</v>
      </c>
      <c r="AE1133" s="14">
        <f>INDEX(挂机升级突破!BW$6:BW$57,卡牌消耗!$AI1133)</f>
        <v>0</v>
      </c>
      <c r="AF1133" s="14" t="str">
        <f t="shared" si="219"/>
        <v>柠檬精</v>
      </c>
      <c r="AG1133" s="14">
        <f t="shared" si="220"/>
        <v>2</v>
      </c>
      <c r="AH1133" s="14" t="str">
        <f t="shared" si="221"/>
        <v>柠檬精魂火-37</v>
      </c>
      <c r="AI1133" s="14">
        <f t="shared" si="222"/>
        <v>37</v>
      </c>
      <c r="AJ1133" s="14" t="str">
        <f>INDEX(挂机升级突破!$BX$4:$CH$4,INDEX(挂机升级突破!$BU$6:$BU$57,卡牌消耗!AI1133))</f>
        <v>金币</v>
      </c>
      <c r="AK1133" s="14">
        <f>ROUND(INDEX(挂机升级突破!$BN$6:$BN$57,卡牌消耗!AI1133)*INDEX(卡牌消耗!$B$8:$F$8,AG1133)/$Q$4/50,0)*50</f>
        <v>9050</v>
      </c>
      <c r="AL1133" s="14" t="str">
        <f>IF(AD1133&gt;0,INDEX(挂机升级突破!$BX$4:$CH$4,AD1133),"")</f>
        <v>橙色基础材料</v>
      </c>
      <c r="AM1133" s="14">
        <f>ROUND(INDEX(挂机升级突破!$BX$6:$CH$57,卡牌消耗!AI1133,AD1133)*INDEX(卡牌消耗!$B$5:$F$5,AG1133)/$Q$4/5,0)*5</f>
        <v>90</v>
      </c>
      <c r="AN1133" s="14" t="str">
        <f>IF(AE1133&gt;0,INDEX(挂机升级突破!$BX$4:$CH$4,AE1133),"")</f>
        <v/>
      </c>
      <c r="AO1133" s="14" t="str">
        <f>IF(AE1133&gt;0,ROUND(INDEX(挂机升级突破!$BX$6:$CH$57,卡牌消耗!AI1133,AE1133)*INDEX(卡牌消耗!$B$7:$F$7,AG1133)/$Q$4,0),"")</f>
        <v/>
      </c>
    </row>
    <row r="1134" spans="27:41" ht="16.5" x14ac:dyDescent="0.2">
      <c r="AA1134" s="104">
        <v>1130</v>
      </c>
      <c r="AB1134" s="14">
        <f t="shared" si="218"/>
        <v>22</v>
      </c>
      <c r="AC1134" s="14">
        <f>INDEX(挂机升级突破!$BU$6:$BU$57,卡牌消耗!AI1134)</f>
        <v>11</v>
      </c>
      <c r="AD1134" s="14">
        <f>INDEX(挂机升级突破!BV$6:BV$57,卡牌消耗!$AI1134)</f>
        <v>5</v>
      </c>
      <c r="AE1134" s="14">
        <f>INDEX(挂机升级突破!BW$6:BW$57,卡牌消耗!$AI1134)</f>
        <v>0</v>
      </c>
      <c r="AF1134" s="14" t="str">
        <f t="shared" si="219"/>
        <v>柠檬精</v>
      </c>
      <c r="AG1134" s="14">
        <f t="shared" si="220"/>
        <v>2</v>
      </c>
      <c r="AH1134" s="14" t="str">
        <f t="shared" si="221"/>
        <v>柠檬精魂火-38</v>
      </c>
      <c r="AI1134" s="14">
        <f t="shared" si="222"/>
        <v>38</v>
      </c>
      <c r="AJ1134" s="14" t="str">
        <f>INDEX(挂机升级突破!$BX$4:$CH$4,INDEX(挂机升级突破!$BU$6:$BU$57,卡牌消耗!AI1134))</f>
        <v>金币</v>
      </c>
      <c r="AK1134" s="14">
        <f>ROUND(INDEX(挂机升级突破!$BN$6:$BN$57,卡牌消耗!AI1134)*INDEX(卡牌消耗!$B$8:$F$8,AG1134)/$Q$4/50,0)*50</f>
        <v>11700</v>
      </c>
      <c r="AL1134" s="14" t="str">
        <f>IF(AD1134&gt;0,INDEX(挂机升级突破!$BX$4:$CH$4,AD1134),"")</f>
        <v>红色基础材料</v>
      </c>
      <c r="AM1134" s="14">
        <f>ROUND(INDEX(挂机升级突破!$BX$6:$CH$57,卡牌消耗!AI1134,AD1134)*INDEX(卡牌消耗!$B$5:$F$5,AG1134)/$Q$4/5,0)*5</f>
        <v>35</v>
      </c>
      <c r="AN1134" s="14" t="str">
        <f>IF(AE1134&gt;0,INDEX(挂机升级突破!$BX$4:$CH$4,AE1134),"")</f>
        <v/>
      </c>
      <c r="AO1134" s="14" t="str">
        <f>IF(AE1134&gt;0,ROUND(INDEX(挂机升级突破!$BX$6:$CH$57,卡牌消耗!AI1134,AE1134)*INDEX(卡牌消耗!$B$7:$F$7,AG1134)/$Q$4,0),"")</f>
        <v/>
      </c>
    </row>
    <row r="1135" spans="27:41" ht="16.5" x14ac:dyDescent="0.2">
      <c r="AA1135" s="104">
        <v>1131</v>
      </c>
      <c r="AB1135" s="14">
        <f t="shared" si="218"/>
        <v>22</v>
      </c>
      <c r="AC1135" s="14">
        <f>INDEX(挂机升级突破!$BU$6:$BU$57,卡牌消耗!AI1135)</f>
        <v>11</v>
      </c>
      <c r="AD1135" s="14">
        <f>INDEX(挂机升级突破!BV$6:BV$57,卡牌消耗!$AI1135)</f>
        <v>5</v>
      </c>
      <c r="AE1135" s="14">
        <f>INDEX(挂机升级突破!BW$6:BW$57,卡牌消耗!$AI1135)</f>
        <v>0</v>
      </c>
      <c r="AF1135" s="14" t="str">
        <f t="shared" si="219"/>
        <v>柠檬精</v>
      </c>
      <c r="AG1135" s="14">
        <f t="shared" si="220"/>
        <v>2</v>
      </c>
      <c r="AH1135" s="14" t="str">
        <f t="shared" si="221"/>
        <v>柠檬精魂火-39</v>
      </c>
      <c r="AI1135" s="14">
        <f t="shared" si="222"/>
        <v>39</v>
      </c>
      <c r="AJ1135" s="14" t="str">
        <f>INDEX(挂机升级突破!$BX$4:$CH$4,INDEX(挂机升级突破!$BU$6:$BU$57,卡牌消耗!AI1135))</f>
        <v>金币</v>
      </c>
      <c r="AK1135" s="14">
        <f>ROUND(INDEX(挂机升级突破!$BN$6:$BN$57,卡牌消耗!AI1135)*INDEX(卡牌消耗!$B$8:$F$8,AG1135)/$Q$4/50,0)*50</f>
        <v>11700</v>
      </c>
      <c r="AL1135" s="14" t="str">
        <f>IF(AD1135&gt;0,INDEX(挂机升级突破!$BX$4:$CH$4,AD1135),"")</f>
        <v>红色基础材料</v>
      </c>
      <c r="AM1135" s="14">
        <f>ROUND(INDEX(挂机升级突破!$BX$6:$CH$57,卡牌消耗!AI1135,AD1135)*INDEX(卡牌消耗!$B$5:$F$5,AG1135)/$Q$4/5,0)*5</f>
        <v>35</v>
      </c>
      <c r="AN1135" s="14" t="str">
        <f>IF(AE1135&gt;0,INDEX(挂机升级突破!$BX$4:$CH$4,AE1135),"")</f>
        <v/>
      </c>
      <c r="AO1135" s="14" t="str">
        <f>IF(AE1135&gt;0,ROUND(INDEX(挂机升级突破!$BX$6:$CH$57,卡牌消耗!AI1135,AE1135)*INDEX(卡牌消耗!$B$7:$F$7,AG1135)/$Q$4,0),"")</f>
        <v/>
      </c>
    </row>
    <row r="1136" spans="27:41" ht="16.5" x14ac:dyDescent="0.2">
      <c r="AA1136" s="104">
        <v>1132</v>
      </c>
      <c r="AB1136" s="14">
        <f t="shared" si="218"/>
        <v>22</v>
      </c>
      <c r="AC1136" s="14">
        <f>INDEX(挂机升级突破!$BU$6:$BU$57,卡牌消耗!AI1136)</f>
        <v>11</v>
      </c>
      <c r="AD1136" s="14">
        <f>INDEX(挂机升级突破!BV$6:BV$57,卡牌消耗!$AI1136)</f>
        <v>5</v>
      </c>
      <c r="AE1136" s="14">
        <f>INDEX(挂机升级突破!BW$6:BW$57,卡牌消耗!$AI1136)</f>
        <v>0</v>
      </c>
      <c r="AF1136" s="14" t="str">
        <f t="shared" si="219"/>
        <v>柠檬精</v>
      </c>
      <c r="AG1136" s="14">
        <f t="shared" si="220"/>
        <v>2</v>
      </c>
      <c r="AH1136" s="14" t="str">
        <f t="shared" si="221"/>
        <v>柠檬精魂火-40</v>
      </c>
      <c r="AI1136" s="14">
        <f t="shared" si="222"/>
        <v>40</v>
      </c>
      <c r="AJ1136" s="14" t="str">
        <f>INDEX(挂机升级突破!$BX$4:$CH$4,INDEX(挂机升级突破!$BU$6:$BU$57,卡牌消耗!AI1136))</f>
        <v>金币</v>
      </c>
      <c r="AK1136" s="14">
        <f>ROUND(INDEX(挂机升级突破!$BN$6:$BN$57,卡牌消耗!AI1136)*INDEX(卡牌消耗!$B$8:$F$8,AG1136)/$Q$4/50,0)*50</f>
        <v>11700</v>
      </c>
      <c r="AL1136" s="14" t="str">
        <f>IF(AD1136&gt;0,INDEX(挂机升级突破!$BX$4:$CH$4,AD1136),"")</f>
        <v>红色基础材料</v>
      </c>
      <c r="AM1136" s="14">
        <f>ROUND(INDEX(挂机升级突破!$BX$6:$CH$57,卡牌消耗!AI1136,AD1136)*INDEX(卡牌消耗!$B$5:$F$5,AG1136)/$Q$4/5,0)*5</f>
        <v>35</v>
      </c>
      <c r="AN1136" s="14" t="str">
        <f>IF(AE1136&gt;0,INDEX(挂机升级突破!$BX$4:$CH$4,AE1136),"")</f>
        <v/>
      </c>
      <c r="AO1136" s="14" t="str">
        <f>IF(AE1136&gt;0,ROUND(INDEX(挂机升级突破!$BX$6:$CH$57,卡牌消耗!AI1136,AE1136)*INDEX(卡牌消耗!$B$7:$F$7,AG1136)/$Q$4,0),"")</f>
        <v/>
      </c>
    </row>
    <row r="1137" spans="27:41" ht="16.5" x14ac:dyDescent="0.2">
      <c r="AA1137" s="104">
        <v>1133</v>
      </c>
      <c r="AB1137" s="14">
        <f t="shared" si="218"/>
        <v>22</v>
      </c>
      <c r="AC1137" s="14">
        <f>INDEX(挂机升级突破!$BU$6:$BU$57,卡牌消耗!AI1137)</f>
        <v>11</v>
      </c>
      <c r="AD1137" s="14">
        <f>INDEX(挂机升级突破!BV$6:BV$57,卡牌消耗!$AI1137)</f>
        <v>5</v>
      </c>
      <c r="AE1137" s="14">
        <f>INDEX(挂机升级突破!BW$6:BW$57,卡牌消耗!$AI1137)</f>
        <v>10</v>
      </c>
      <c r="AF1137" s="14" t="str">
        <f t="shared" si="219"/>
        <v>柠檬精</v>
      </c>
      <c r="AG1137" s="14">
        <f t="shared" si="220"/>
        <v>2</v>
      </c>
      <c r="AH1137" s="14" t="str">
        <f t="shared" si="221"/>
        <v>柠檬精魂火-41</v>
      </c>
      <c r="AI1137" s="14">
        <f t="shared" si="222"/>
        <v>41</v>
      </c>
      <c r="AJ1137" s="14" t="str">
        <f>INDEX(挂机升级突破!$BX$4:$CH$4,INDEX(挂机升级突破!$BU$6:$BU$57,卡牌消耗!AI1137))</f>
        <v>金币</v>
      </c>
      <c r="AK1137" s="14">
        <f>ROUND(INDEX(挂机升级突破!$BN$6:$BN$57,卡牌消耗!AI1137)*INDEX(卡牌消耗!$B$8:$F$8,AG1137)/$Q$4/50,0)*50</f>
        <v>16100</v>
      </c>
      <c r="AL1137" s="14" t="str">
        <f>IF(AD1137&gt;0,INDEX(挂机升级突破!$BX$4:$CH$4,AD1137),"")</f>
        <v>红色基础材料</v>
      </c>
      <c r="AM1137" s="14">
        <f>ROUND(INDEX(挂机升级突破!$BX$6:$CH$57,卡牌消耗!AI1137,AD1137)*INDEX(卡牌消耗!$B$5:$F$5,AG1137)/$Q$4/5,0)*5</f>
        <v>45</v>
      </c>
      <c r="AN1137" s="14" t="str">
        <f>IF(AE1137&gt;0,INDEX(挂机升级突破!$BX$4:$CH$4,AE1137),"")</f>
        <v>灵玉</v>
      </c>
      <c r="AO1137" s="14">
        <f>IF(AE1137&gt;0,ROUND(INDEX(挂机升级突破!$BX$6:$CH$57,卡牌消耗!AI1137,AE1137)*INDEX(卡牌消耗!$B$7:$F$7,AG1137)/$Q$4,0),"")</f>
        <v>1</v>
      </c>
    </row>
    <row r="1138" spans="27:41" ht="16.5" x14ac:dyDescent="0.2">
      <c r="AA1138" s="104">
        <v>1134</v>
      </c>
      <c r="AB1138" s="14">
        <f t="shared" si="218"/>
        <v>22</v>
      </c>
      <c r="AC1138" s="14">
        <f>INDEX(挂机升级突破!$BU$6:$BU$57,卡牌消耗!AI1138)</f>
        <v>11</v>
      </c>
      <c r="AD1138" s="14">
        <f>INDEX(挂机升级突破!BV$6:BV$57,卡牌消耗!$AI1138)</f>
        <v>5</v>
      </c>
      <c r="AE1138" s="14">
        <f>INDEX(挂机升级突破!BW$6:BW$57,卡牌消耗!$AI1138)</f>
        <v>10</v>
      </c>
      <c r="AF1138" s="14" t="str">
        <f t="shared" si="219"/>
        <v>柠檬精</v>
      </c>
      <c r="AG1138" s="14">
        <f t="shared" si="220"/>
        <v>2</v>
      </c>
      <c r="AH1138" s="14" t="str">
        <f t="shared" si="221"/>
        <v>柠檬精魂火-42</v>
      </c>
      <c r="AI1138" s="14">
        <f t="shared" si="222"/>
        <v>42</v>
      </c>
      <c r="AJ1138" s="14" t="str">
        <f>INDEX(挂机升级突破!$BX$4:$CH$4,INDEX(挂机升级突破!$BU$6:$BU$57,卡牌消耗!AI1138))</f>
        <v>金币</v>
      </c>
      <c r="AK1138" s="14">
        <f>ROUND(INDEX(挂机升级突破!$BN$6:$BN$57,卡牌消耗!AI1138)*INDEX(卡牌消耗!$B$8:$F$8,AG1138)/$Q$4/50,0)*50</f>
        <v>16100</v>
      </c>
      <c r="AL1138" s="14" t="str">
        <f>IF(AD1138&gt;0,INDEX(挂机升级突破!$BX$4:$CH$4,AD1138),"")</f>
        <v>红色基础材料</v>
      </c>
      <c r="AM1138" s="14">
        <f>ROUND(INDEX(挂机升级突破!$BX$6:$CH$57,卡牌消耗!AI1138,AD1138)*INDEX(卡牌消耗!$B$5:$F$5,AG1138)/$Q$4/5,0)*5</f>
        <v>45</v>
      </c>
      <c r="AN1138" s="14" t="str">
        <f>IF(AE1138&gt;0,INDEX(挂机升级突破!$BX$4:$CH$4,AE1138),"")</f>
        <v>灵玉</v>
      </c>
      <c r="AO1138" s="14">
        <f>IF(AE1138&gt;0,ROUND(INDEX(挂机升级突破!$BX$6:$CH$57,卡牌消耗!AI1138,AE1138)*INDEX(卡牌消耗!$B$7:$F$7,AG1138)/$Q$4,0),"")</f>
        <v>1</v>
      </c>
    </row>
    <row r="1139" spans="27:41" ht="16.5" x14ac:dyDescent="0.2">
      <c r="AA1139" s="104">
        <v>1135</v>
      </c>
      <c r="AB1139" s="14">
        <f t="shared" si="218"/>
        <v>22</v>
      </c>
      <c r="AC1139" s="14">
        <f>INDEX(挂机升级突破!$BU$6:$BU$57,卡牌消耗!AI1139)</f>
        <v>11</v>
      </c>
      <c r="AD1139" s="14">
        <f>INDEX(挂机升级突破!BV$6:BV$57,卡牌消耗!$AI1139)</f>
        <v>5</v>
      </c>
      <c r="AE1139" s="14">
        <f>INDEX(挂机升级突破!BW$6:BW$57,卡牌消耗!$AI1139)</f>
        <v>10</v>
      </c>
      <c r="AF1139" s="14" t="str">
        <f t="shared" si="219"/>
        <v>柠檬精</v>
      </c>
      <c r="AG1139" s="14">
        <f t="shared" si="220"/>
        <v>2</v>
      </c>
      <c r="AH1139" s="14" t="str">
        <f t="shared" si="221"/>
        <v>柠檬精魂火-43</v>
      </c>
      <c r="AI1139" s="14">
        <f t="shared" si="222"/>
        <v>43</v>
      </c>
      <c r="AJ1139" s="14" t="str">
        <f>INDEX(挂机升级突破!$BX$4:$CH$4,INDEX(挂机升级突破!$BU$6:$BU$57,卡牌消耗!AI1139))</f>
        <v>金币</v>
      </c>
      <c r="AK1139" s="14">
        <f>ROUND(INDEX(挂机升级突破!$BN$6:$BN$57,卡牌消耗!AI1139)*INDEX(卡牌消耗!$B$8:$F$8,AG1139)/$Q$4/50,0)*50</f>
        <v>16100</v>
      </c>
      <c r="AL1139" s="14" t="str">
        <f>IF(AD1139&gt;0,INDEX(挂机升级突破!$BX$4:$CH$4,AD1139),"")</f>
        <v>红色基础材料</v>
      </c>
      <c r="AM1139" s="14">
        <f>ROUND(INDEX(挂机升级突破!$BX$6:$CH$57,卡牌消耗!AI1139,AD1139)*INDEX(卡牌消耗!$B$5:$F$5,AG1139)/$Q$4/5,0)*5</f>
        <v>45</v>
      </c>
      <c r="AN1139" s="14" t="str">
        <f>IF(AE1139&gt;0,INDEX(挂机升级突破!$BX$4:$CH$4,AE1139),"")</f>
        <v>灵玉</v>
      </c>
      <c r="AO1139" s="14">
        <f>IF(AE1139&gt;0,ROUND(INDEX(挂机升级突破!$BX$6:$CH$57,卡牌消耗!AI1139,AE1139)*INDEX(卡牌消耗!$B$7:$F$7,AG1139)/$Q$4,0),"")</f>
        <v>1</v>
      </c>
    </row>
    <row r="1140" spans="27:41" ht="16.5" x14ac:dyDescent="0.2">
      <c r="AA1140" s="104">
        <v>1136</v>
      </c>
      <c r="AB1140" s="14">
        <f t="shared" si="218"/>
        <v>22</v>
      </c>
      <c r="AC1140" s="14">
        <f>INDEX(挂机升级突破!$BU$6:$BU$57,卡牌消耗!AI1140)</f>
        <v>11</v>
      </c>
      <c r="AD1140" s="14">
        <f>INDEX(挂机升级突破!BV$6:BV$57,卡牌消耗!$AI1140)</f>
        <v>5</v>
      </c>
      <c r="AE1140" s="14">
        <f>INDEX(挂机升级突破!BW$6:BW$57,卡牌消耗!$AI1140)</f>
        <v>10</v>
      </c>
      <c r="AF1140" s="14" t="str">
        <f t="shared" si="219"/>
        <v>柠檬精</v>
      </c>
      <c r="AG1140" s="14">
        <f t="shared" si="220"/>
        <v>2</v>
      </c>
      <c r="AH1140" s="14" t="str">
        <f t="shared" si="221"/>
        <v>柠檬精魂火-44</v>
      </c>
      <c r="AI1140" s="14">
        <f t="shared" si="222"/>
        <v>44</v>
      </c>
      <c r="AJ1140" s="14" t="str">
        <f>INDEX(挂机升级突破!$BX$4:$CH$4,INDEX(挂机升级突破!$BU$6:$BU$57,卡牌消耗!AI1140))</f>
        <v>金币</v>
      </c>
      <c r="AK1140" s="14">
        <f>ROUND(INDEX(挂机升级突破!$BN$6:$BN$57,卡牌消耗!AI1140)*INDEX(卡牌消耗!$B$8:$F$8,AG1140)/$Q$4/50,0)*50</f>
        <v>20450</v>
      </c>
      <c r="AL1140" s="14" t="str">
        <f>IF(AD1140&gt;0,INDEX(挂机升级突破!$BX$4:$CH$4,AD1140),"")</f>
        <v>红色基础材料</v>
      </c>
      <c r="AM1140" s="14">
        <f>ROUND(INDEX(挂机升级突破!$BX$6:$CH$57,卡牌消耗!AI1140,AD1140)*INDEX(卡牌消耗!$B$5:$F$5,AG1140)/$Q$4/5,0)*5</f>
        <v>50</v>
      </c>
      <c r="AN1140" s="14" t="str">
        <f>IF(AE1140&gt;0,INDEX(挂机升级突破!$BX$4:$CH$4,AE1140),"")</f>
        <v>灵玉</v>
      </c>
      <c r="AO1140" s="14">
        <f>IF(AE1140&gt;0,ROUND(INDEX(挂机升级突破!$BX$6:$CH$57,卡牌消耗!AI1140,AE1140)*INDEX(卡牌消耗!$B$7:$F$7,AG1140)/$Q$4,0),"")</f>
        <v>1</v>
      </c>
    </row>
    <row r="1141" spans="27:41" ht="16.5" x14ac:dyDescent="0.2">
      <c r="AA1141" s="104">
        <v>1137</v>
      </c>
      <c r="AB1141" s="14">
        <f t="shared" si="218"/>
        <v>22</v>
      </c>
      <c r="AC1141" s="14">
        <f>INDEX(挂机升级突破!$BU$6:$BU$57,卡牌消耗!AI1141)</f>
        <v>11</v>
      </c>
      <c r="AD1141" s="14">
        <f>INDEX(挂机升级突破!BV$6:BV$57,卡牌消耗!$AI1141)</f>
        <v>5</v>
      </c>
      <c r="AE1141" s="14">
        <f>INDEX(挂机升级突破!BW$6:BW$57,卡牌消耗!$AI1141)</f>
        <v>10</v>
      </c>
      <c r="AF1141" s="14" t="str">
        <f t="shared" si="219"/>
        <v>柠檬精</v>
      </c>
      <c r="AG1141" s="14">
        <f t="shared" si="220"/>
        <v>2</v>
      </c>
      <c r="AH1141" s="14" t="str">
        <f t="shared" si="221"/>
        <v>柠檬精魂火-45</v>
      </c>
      <c r="AI1141" s="14">
        <f t="shared" si="222"/>
        <v>45</v>
      </c>
      <c r="AJ1141" s="14" t="str">
        <f>INDEX(挂机升级突破!$BX$4:$CH$4,INDEX(挂机升级突破!$BU$6:$BU$57,卡牌消耗!AI1141))</f>
        <v>金币</v>
      </c>
      <c r="AK1141" s="14">
        <f>ROUND(INDEX(挂机升级突破!$BN$6:$BN$57,卡牌消耗!AI1141)*INDEX(卡牌消耗!$B$8:$F$8,AG1141)/$Q$4/50,0)*50</f>
        <v>20450</v>
      </c>
      <c r="AL1141" s="14" t="str">
        <f>IF(AD1141&gt;0,INDEX(挂机升级突破!$BX$4:$CH$4,AD1141),"")</f>
        <v>红色基础材料</v>
      </c>
      <c r="AM1141" s="14">
        <f>ROUND(INDEX(挂机升级突破!$BX$6:$CH$57,卡牌消耗!AI1141,AD1141)*INDEX(卡牌消耗!$B$5:$F$5,AG1141)/$Q$4/5,0)*5</f>
        <v>50</v>
      </c>
      <c r="AN1141" s="14" t="str">
        <f>IF(AE1141&gt;0,INDEX(挂机升级突破!$BX$4:$CH$4,AE1141),"")</f>
        <v>灵玉</v>
      </c>
      <c r="AO1141" s="14">
        <f>IF(AE1141&gt;0,ROUND(INDEX(挂机升级突破!$BX$6:$CH$57,卡牌消耗!AI1141,AE1141)*INDEX(卡牌消耗!$B$7:$F$7,AG1141)/$Q$4,0),"")</f>
        <v>1</v>
      </c>
    </row>
    <row r="1142" spans="27:41" ht="16.5" x14ac:dyDescent="0.2">
      <c r="AA1142" s="104">
        <v>1138</v>
      </c>
      <c r="AB1142" s="14">
        <f t="shared" si="218"/>
        <v>22</v>
      </c>
      <c r="AC1142" s="14">
        <f>INDEX(挂机升级突破!$BU$6:$BU$57,卡牌消耗!AI1142)</f>
        <v>11</v>
      </c>
      <c r="AD1142" s="14">
        <f>INDEX(挂机升级突破!BV$6:BV$57,卡牌消耗!$AI1142)</f>
        <v>5</v>
      </c>
      <c r="AE1142" s="14">
        <f>INDEX(挂机升级突破!BW$6:BW$57,卡牌消耗!$AI1142)</f>
        <v>10</v>
      </c>
      <c r="AF1142" s="14" t="str">
        <f t="shared" si="219"/>
        <v>柠檬精</v>
      </c>
      <c r="AG1142" s="14">
        <f t="shared" si="220"/>
        <v>2</v>
      </c>
      <c r="AH1142" s="14" t="str">
        <f t="shared" si="221"/>
        <v>柠檬精魂火-46</v>
      </c>
      <c r="AI1142" s="14">
        <f t="shared" si="222"/>
        <v>46</v>
      </c>
      <c r="AJ1142" s="14" t="str">
        <f>INDEX(挂机升级突破!$BX$4:$CH$4,INDEX(挂机升级突破!$BU$6:$BU$57,卡牌消耗!AI1142))</f>
        <v>金币</v>
      </c>
      <c r="AK1142" s="14">
        <f>ROUND(INDEX(挂机升级突破!$BN$6:$BN$57,卡牌消耗!AI1142)*INDEX(卡牌消耗!$B$8:$F$8,AG1142)/$Q$4/50,0)*50</f>
        <v>21950</v>
      </c>
      <c r="AL1142" s="14" t="str">
        <f>IF(AD1142&gt;0,INDEX(挂机升级突破!$BX$4:$CH$4,AD1142),"")</f>
        <v>红色基础材料</v>
      </c>
      <c r="AM1142" s="14">
        <f>ROUND(INDEX(挂机升级突破!$BX$6:$CH$57,卡牌消耗!AI1142,AD1142)*INDEX(卡牌消耗!$B$5:$F$5,AG1142)/$Q$4/5,0)*5</f>
        <v>50</v>
      </c>
      <c r="AN1142" s="14" t="str">
        <f>IF(AE1142&gt;0,INDEX(挂机升级突破!$BX$4:$CH$4,AE1142),"")</f>
        <v>灵玉</v>
      </c>
      <c r="AO1142" s="14">
        <f>IF(AE1142&gt;0,ROUND(INDEX(挂机升级突破!$BX$6:$CH$57,卡牌消耗!AI1142,AE1142)*INDEX(卡牌消耗!$B$7:$F$7,AG1142)/$Q$4,0),"")</f>
        <v>1</v>
      </c>
    </row>
    <row r="1143" spans="27:41" ht="16.5" x14ac:dyDescent="0.2">
      <c r="AA1143" s="104">
        <v>1139</v>
      </c>
      <c r="AB1143" s="14">
        <f t="shared" si="218"/>
        <v>22</v>
      </c>
      <c r="AC1143" s="14">
        <f>INDEX(挂机升级突破!$BU$6:$BU$57,卡牌消耗!AI1143)</f>
        <v>11</v>
      </c>
      <c r="AD1143" s="14">
        <f>INDEX(挂机升级突破!BV$6:BV$57,卡牌消耗!$AI1143)</f>
        <v>5</v>
      </c>
      <c r="AE1143" s="14">
        <f>INDEX(挂机升级突破!BW$6:BW$57,卡牌消耗!$AI1143)</f>
        <v>10</v>
      </c>
      <c r="AF1143" s="14" t="str">
        <f t="shared" si="219"/>
        <v>柠檬精</v>
      </c>
      <c r="AG1143" s="14">
        <f t="shared" si="220"/>
        <v>2</v>
      </c>
      <c r="AH1143" s="14" t="str">
        <f t="shared" si="221"/>
        <v>柠檬精魂火-47</v>
      </c>
      <c r="AI1143" s="14">
        <f t="shared" si="222"/>
        <v>47</v>
      </c>
      <c r="AJ1143" s="14" t="str">
        <f>INDEX(挂机升级突破!$BX$4:$CH$4,INDEX(挂机升级突破!$BU$6:$BU$57,卡牌消耗!AI1143))</f>
        <v>金币</v>
      </c>
      <c r="AK1143" s="14">
        <f>ROUND(INDEX(挂机升级突破!$BN$6:$BN$57,卡牌消耗!AI1143)*INDEX(卡牌消耗!$B$8:$F$8,AG1143)/$Q$4/50,0)*50</f>
        <v>106350</v>
      </c>
      <c r="AL1143" s="14" t="str">
        <f>IF(AD1143&gt;0,INDEX(挂机升级突破!$BX$4:$CH$4,AD1143),"")</f>
        <v>红色基础材料</v>
      </c>
      <c r="AM1143" s="14">
        <f>ROUND(INDEX(挂机升级突破!$BX$6:$CH$57,卡牌消耗!AI1143,AD1143)*INDEX(卡牌消耗!$B$5:$F$5,AG1143)/$Q$4/5,0)*5</f>
        <v>50</v>
      </c>
      <c r="AN1143" s="14" t="str">
        <f>IF(AE1143&gt;0,INDEX(挂机升级突破!$BX$4:$CH$4,AE1143),"")</f>
        <v>灵玉</v>
      </c>
      <c r="AO1143" s="14">
        <f>IF(AE1143&gt;0,ROUND(INDEX(挂机升级突破!$BX$6:$CH$57,卡牌消耗!AI1143,AE1143)*INDEX(卡牌消耗!$B$7:$F$7,AG1143)/$Q$4,0),"")</f>
        <v>1</v>
      </c>
    </row>
    <row r="1144" spans="27:41" ht="16.5" x14ac:dyDescent="0.2">
      <c r="AA1144" s="104">
        <v>1140</v>
      </c>
      <c r="AB1144" s="14">
        <f t="shared" si="218"/>
        <v>22</v>
      </c>
      <c r="AC1144" s="14">
        <f>INDEX(挂机升级突破!$BU$6:$BU$57,卡牌消耗!AI1144)</f>
        <v>11</v>
      </c>
      <c r="AD1144" s="14">
        <f>INDEX(挂机升级突破!BV$6:BV$57,卡牌消耗!$AI1144)</f>
        <v>5</v>
      </c>
      <c r="AE1144" s="14">
        <f>INDEX(挂机升级突破!BW$6:BW$57,卡牌消耗!$AI1144)</f>
        <v>10</v>
      </c>
      <c r="AF1144" s="14" t="str">
        <f t="shared" si="219"/>
        <v>柠檬精</v>
      </c>
      <c r="AG1144" s="14">
        <f t="shared" si="220"/>
        <v>2</v>
      </c>
      <c r="AH1144" s="14" t="str">
        <f t="shared" si="221"/>
        <v>柠檬精魂火-48</v>
      </c>
      <c r="AI1144" s="14">
        <f t="shared" si="222"/>
        <v>48</v>
      </c>
      <c r="AJ1144" s="14" t="str">
        <f>INDEX(挂机升级突破!$BX$4:$CH$4,INDEX(挂机升级突破!$BU$6:$BU$57,卡牌消耗!AI1144))</f>
        <v>金币</v>
      </c>
      <c r="AK1144" s="14">
        <f>ROUND(INDEX(挂机升级突破!$BN$6:$BN$57,卡牌消耗!AI1144)*INDEX(卡牌消耗!$B$8:$F$8,AG1144)/$Q$4/50,0)*50</f>
        <v>106350</v>
      </c>
      <c r="AL1144" s="14" t="str">
        <f>IF(AD1144&gt;0,INDEX(挂机升级突破!$BX$4:$CH$4,AD1144),"")</f>
        <v>红色基础材料</v>
      </c>
      <c r="AM1144" s="14">
        <f>ROUND(INDEX(挂机升级突破!$BX$6:$CH$57,卡牌消耗!AI1144,AD1144)*INDEX(卡牌消耗!$B$5:$F$5,AG1144)/$Q$4/5,0)*5</f>
        <v>50</v>
      </c>
      <c r="AN1144" s="14" t="str">
        <f>IF(AE1144&gt;0,INDEX(挂机升级突破!$BX$4:$CH$4,AE1144),"")</f>
        <v>灵玉</v>
      </c>
      <c r="AO1144" s="14">
        <f>IF(AE1144&gt;0,ROUND(INDEX(挂机升级突破!$BX$6:$CH$57,卡牌消耗!AI1144,AE1144)*INDEX(卡牌消耗!$B$7:$F$7,AG1144)/$Q$4,0),"")</f>
        <v>1</v>
      </c>
    </row>
    <row r="1145" spans="27:41" ht="16.5" x14ac:dyDescent="0.2">
      <c r="AA1145" s="104">
        <v>1141</v>
      </c>
      <c r="AB1145" s="14">
        <f t="shared" si="218"/>
        <v>22</v>
      </c>
      <c r="AC1145" s="14">
        <f>INDEX(挂机升级突破!$BU$6:$BU$57,卡牌消耗!AI1145)</f>
        <v>11</v>
      </c>
      <c r="AD1145" s="14">
        <f>INDEX(挂机升级突破!BV$6:BV$57,卡牌消耗!$AI1145)</f>
        <v>5</v>
      </c>
      <c r="AE1145" s="14">
        <f>INDEX(挂机升级突破!BW$6:BW$57,卡牌消耗!$AI1145)</f>
        <v>10</v>
      </c>
      <c r="AF1145" s="14" t="str">
        <f t="shared" si="219"/>
        <v>柠檬精</v>
      </c>
      <c r="AG1145" s="14">
        <f t="shared" si="220"/>
        <v>2</v>
      </c>
      <c r="AH1145" s="14" t="str">
        <f t="shared" si="221"/>
        <v>柠檬精魂火-49</v>
      </c>
      <c r="AI1145" s="14">
        <f t="shared" si="222"/>
        <v>49</v>
      </c>
      <c r="AJ1145" s="14" t="str">
        <f>INDEX(挂机升级突破!$BX$4:$CH$4,INDEX(挂机升级突破!$BU$6:$BU$57,卡牌消耗!AI1145))</f>
        <v>金币</v>
      </c>
      <c r="AK1145" s="14">
        <f>ROUND(INDEX(挂机升级突破!$BN$6:$BN$57,卡牌消耗!AI1145)*INDEX(卡牌消耗!$B$8:$F$8,AG1145)/$Q$4/50,0)*50</f>
        <v>106350</v>
      </c>
      <c r="AL1145" s="14" t="str">
        <f>IF(AD1145&gt;0,INDEX(挂机升级突破!$BX$4:$CH$4,AD1145),"")</f>
        <v>红色基础材料</v>
      </c>
      <c r="AM1145" s="14">
        <f>ROUND(INDEX(挂机升级突破!$BX$6:$CH$57,卡牌消耗!AI1145,AD1145)*INDEX(卡牌消耗!$B$5:$F$5,AG1145)/$Q$4/5,0)*5</f>
        <v>55</v>
      </c>
      <c r="AN1145" s="14" t="str">
        <f>IF(AE1145&gt;0,INDEX(挂机升级突破!$BX$4:$CH$4,AE1145),"")</f>
        <v>灵玉</v>
      </c>
      <c r="AO1145" s="14">
        <f>IF(AE1145&gt;0,ROUND(INDEX(挂机升级突破!$BX$6:$CH$57,卡牌消耗!AI1145,AE1145)*INDEX(卡牌消耗!$B$7:$F$7,AG1145)/$Q$4,0),"")</f>
        <v>1</v>
      </c>
    </row>
    <row r="1146" spans="27:41" ht="16.5" x14ac:dyDescent="0.2">
      <c r="AA1146" s="104">
        <v>1142</v>
      </c>
      <c r="AB1146" s="14">
        <f t="shared" si="218"/>
        <v>22</v>
      </c>
      <c r="AC1146" s="14">
        <f>INDEX(挂机升级突破!$BU$6:$BU$57,卡牌消耗!AI1146)</f>
        <v>11</v>
      </c>
      <c r="AD1146" s="14">
        <f>INDEX(挂机升级突破!BV$6:BV$57,卡牌消耗!$AI1146)</f>
        <v>5</v>
      </c>
      <c r="AE1146" s="14">
        <f>INDEX(挂机升级突破!BW$6:BW$57,卡牌消耗!$AI1146)</f>
        <v>10</v>
      </c>
      <c r="AF1146" s="14" t="str">
        <f t="shared" si="219"/>
        <v>柠檬精</v>
      </c>
      <c r="AG1146" s="14">
        <f t="shared" si="220"/>
        <v>2</v>
      </c>
      <c r="AH1146" s="14" t="str">
        <f t="shared" si="221"/>
        <v>柠檬精魂火-50</v>
      </c>
      <c r="AI1146" s="14">
        <f t="shared" si="222"/>
        <v>50</v>
      </c>
      <c r="AJ1146" s="14" t="str">
        <f>INDEX(挂机升级突破!$BX$4:$CH$4,INDEX(挂机升级突破!$BU$6:$BU$57,卡牌消耗!AI1146))</f>
        <v>金币</v>
      </c>
      <c r="AK1146" s="14">
        <f>ROUND(INDEX(挂机升级突破!$BN$6:$BN$57,卡牌消耗!AI1146)*INDEX(卡牌消耗!$B$8:$F$8,AG1146)/$Q$4/50,0)*50</f>
        <v>177300</v>
      </c>
      <c r="AL1146" s="14" t="str">
        <f>IF(AD1146&gt;0,INDEX(挂机升级突破!$BX$4:$CH$4,AD1146),"")</f>
        <v>红色基础材料</v>
      </c>
      <c r="AM1146" s="14">
        <f>ROUND(INDEX(挂机升级突破!$BX$6:$CH$57,卡牌消耗!AI1146,AD1146)*INDEX(卡牌消耗!$B$5:$F$5,AG1146)/$Q$4/5,0)*5</f>
        <v>55</v>
      </c>
      <c r="AN1146" s="14" t="str">
        <f>IF(AE1146&gt;0,INDEX(挂机升级突破!$BX$4:$CH$4,AE1146),"")</f>
        <v>灵玉</v>
      </c>
      <c r="AO1146" s="14">
        <f>IF(AE1146&gt;0,ROUND(INDEX(挂机升级突破!$BX$6:$CH$57,卡牌消耗!AI1146,AE1146)*INDEX(卡牌消耗!$B$7:$F$7,AG1146)/$Q$4,0),"")</f>
        <v>1</v>
      </c>
    </row>
    <row r="1147" spans="27:41" ht="16.5" x14ac:dyDescent="0.2">
      <c r="AA1147" s="104">
        <v>1143</v>
      </c>
      <c r="AB1147" s="14">
        <f t="shared" si="218"/>
        <v>22</v>
      </c>
      <c r="AC1147" s="14">
        <f>INDEX(挂机升级突破!$BU$6:$BU$57,卡牌消耗!AI1147)</f>
        <v>11</v>
      </c>
      <c r="AD1147" s="14">
        <f>INDEX(挂机升级突破!BV$6:BV$57,卡牌消耗!$AI1147)</f>
        <v>5</v>
      </c>
      <c r="AE1147" s="14">
        <f>INDEX(挂机升级突破!BW$6:BW$57,卡牌消耗!$AI1147)</f>
        <v>10</v>
      </c>
      <c r="AF1147" s="14" t="str">
        <f t="shared" si="219"/>
        <v>柠檬精</v>
      </c>
      <c r="AG1147" s="14">
        <f t="shared" si="220"/>
        <v>2</v>
      </c>
      <c r="AH1147" s="14" t="str">
        <f t="shared" si="221"/>
        <v>柠檬精魂火-51</v>
      </c>
      <c r="AI1147" s="14">
        <f t="shared" si="222"/>
        <v>51</v>
      </c>
      <c r="AJ1147" s="14" t="str">
        <f>INDEX(挂机升级突破!$BX$4:$CH$4,INDEX(挂机升级突破!$BU$6:$BU$57,卡牌消耗!AI1147))</f>
        <v>金币</v>
      </c>
      <c r="AK1147" s="14">
        <f>ROUND(INDEX(挂机升级突破!$BN$6:$BN$57,卡牌消耗!AI1147)*INDEX(卡牌消耗!$B$8:$F$8,AG1147)/$Q$4/50,0)*50</f>
        <v>195000</v>
      </c>
      <c r="AL1147" s="14" t="str">
        <f>IF(AD1147&gt;0,INDEX(挂机升级突破!$BX$4:$CH$4,AD1147),"")</f>
        <v>红色基础材料</v>
      </c>
      <c r="AM1147" s="14">
        <f>ROUND(INDEX(挂机升级突破!$BX$6:$CH$57,卡牌消耗!AI1147,AD1147)*INDEX(卡牌消耗!$B$5:$F$5,AG1147)/$Q$4/5,0)*5</f>
        <v>55</v>
      </c>
      <c r="AN1147" s="14" t="str">
        <f>IF(AE1147&gt;0,INDEX(挂机升级突破!$BX$4:$CH$4,AE1147),"")</f>
        <v>灵玉</v>
      </c>
      <c r="AO1147" s="14">
        <f>IF(AE1147&gt;0,ROUND(INDEX(挂机升级突破!$BX$6:$CH$57,卡牌消耗!AI1147,AE1147)*INDEX(卡牌消耗!$B$7:$F$7,AG1147)/$Q$4,0),"")</f>
        <v>1</v>
      </c>
    </row>
    <row r="1148" spans="27:41" ht="16.5" x14ac:dyDescent="0.2">
      <c r="AA1148" s="104">
        <v>1144</v>
      </c>
      <c r="AB1148" s="14">
        <f t="shared" si="218"/>
        <v>22</v>
      </c>
      <c r="AC1148" s="14">
        <f>INDEX(挂机升级突破!$BU$6:$BU$57,卡牌消耗!AI1148)</f>
        <v>11</v>
      </c>
      <c r="AD1148" s="14">
        <f>INDEX(挂机升级突破!BV$6:BV$57,卡牌消耗!$AI1148)</f>
        <v>5</v>
      </c>
      <c r="AE1148" s="14">
        <f>INDEX(挂机升级突破!BW$6:BW$57,卡牌消耗!$AI1148)</f>
        <v>10</v>
      </c>
      <c r="AF1148" s="14" t="str">
        <f t="shared" si="219"/>
        <v>柠檬精</v>
      </c>
      <c r="AG1148" s="14">
        <f t="shared" si="220"/>
        <v>2</v>
      </c>
      <c r="AH1148" s="14" t="str">
        <f t="shared" si="221"/>
        <v>柠檬精魂火-52</v>
      </c>
      <c r="AI1148" s="14">
        <f t="shared" si="222"/>
        <v>52</v>
      </c>
      <c r="AJ1148" s="14" t="str">
        <f>INDEX(挂机升级突破!$BX$4:$CH$4,INDEX(挂机升级突破!$BU$6:$BU$57,卡牌消耗!AI1148))</f>
        <v>金币</v>
      </c>
      <c r="AK1148" s="14">
        <f>ROUND(INDEX(挂机升级突破!$BN$6:$BN$57,卡牌消耗!AI1148)*INDEX(卡牌消耗!$B$8:$F$8,AG1148)/$Q$4/50,0)*50</f>
        <v>195000</v>
      </c>
      <c r="AL1148" s="14" t="str">
        <f>IF(AD1148&gt;0,INDEX(挂机升级突破!$BX$4:$CH$4,AD1148),"")</f>
        <v>红色基础材料</v>
      </c>
      <c r="AM1148" s="14">
        <f>ROUND(INDEX(挂机升级突破!$BX$6:$CH$57,卡牌消耗!AI1148,AD1148)*INDEX(卡牌消耗!$B$5:$F$5,AG1148)/$Q$4/5,0)*5</f>
        <v>55</v>
      </c>
      <c r="AN1148" s="14" t="str">
        <f>IF(AE1148&gt;0,INDEX(挂机升级突破!$BX$4:$CH$4,AE1148),"")</f>
        <v>灵玉</v>
      </c>
      <c r="AO1148" s="14">
        <f>IF(AE1148&gt;0,ROUND(INDEX(挂机升级突破!$BX$6:$CH$57,卡牌消耗!AI1148,AE1148)*INDEX(卡牌消耗!$B$7:$F$7,AG1148)/$Q$4,0),"")</f>
        <v>1</v>
      </c>
    </row>
    <row r="1149" spans="27:41" ht="16.5" x14ac:dyDescent="0.2">
      <c r="AA1149" s="104">
        <v>1145</v>
      </c>
      <c r="AB1149" s="14">
        <f t="shared" si="218"/>
        <v>23</v>
      </c>
      <c r="AC1149" s="14">
        <f>INDEX(挂机升级突破!$BU$6:$BU$57,卡牌消耗!AI1149)</f>
        <v>11</v>
      </c>
      <c r="AD1149" s="14">
        <f>INDEX(挂机升级突破!BV$6:BV$57,卡牌消耗!$AI1149)</f>
        <v>1</v>
      </c>
      <c r="AE1149" s="14">
        <f>INDEX(挂机升级突破!BW$6:BW$57,卡牌消耗!$AI1149)</f>
        <v>0</v>
      </c>
      <c r="AF1149" s="14" t="str">
        <f t="shared" si="219"/>
        <v>异邦刀客</v>
      </c>
      <c r="AG1149" s="14">
        <f t="shared" si="220"/>
        <v>2</v>
      </c>
      <c r="AH1149" s="14" t="str">
        <f t="shared" si="221"/>
        <v>异邦刀客魂火-1</v>
      </c>
      <c r="AI1149" s="14">
        <f t="shared" si="222"/>
        <v>1</v>
      </c>
      <c r="AJ1149" s="14" t="str">
        <f>INDEX(挂机升级突破!$BX$4:$CH$4,INDEX(挂机升级突破!$BU$6:$BU$57,卡牌消耗!AI1149))</f>
        <v>金币</v>
      </c>
      <c r="AK1149" s="14">
        <f>ROUND(INDEX(挂机升级突破!$BN$6:$BN$57,卡牌消耗!AI1149)*INDEX(卡牌消耗!$B$8:$F$8,AG1149)/$Q$4/50,0)*50</f>
        <v>400</v>
      </c>
      <c r="AL1149" s="14" t="str">
        <f>IF(AD1149&gt;0,INDEX(挂机升级突破!$BX$4:$CH$4,AD1149),"")</f>
        <v>绿色基础材料</v>
      </c>
      <c r="AM1149" s="14">
        <f>ROUND(INDEX(挂机升级突破!$BX$6:$CH$57,卡牌消耗!AI1149,AD1149)*INDEX(卡牌消耗!$B$5:$F$5,AG1149)/$Q$4/5,0)*5</f>
        <v>665</v>
      </c>
      <c r="AN1149" s="14" t="str">
        <f>IF(AE1149&gt;0,INDEX(挂机升级突破!$BX$4:$CH$4,AE1149),"")</f>
        <v/>
      </c>
      <c r="AO1149" s="14" t="str">
        <f>IF(AE1149&gt;0,ROUND(INDEX(挂机升级突破!$BX$6:$CH$57,卡牌消耗!AI1149,AE1149)*INDEX(卡牌消耗!$B$7:$F$7,AG1149)/$Q$4,0),"")</f>
        <v/>
      </c>
    </row>
    <row r="1150" spans="27:41" ht="16.5" x14ac:dyDescent="0.2">
      <c r="AA1150" s="104">
        <v>1146</v>
      </c>
      <c r="AB1150" s="14">
        <f t="shared" si="218"/>
        <v>23</v>
      </c>
      <c r="AC1150" s="14">
        <f>INDEX(挂机升级突破!$BU$6:$BU$57,卡牌消耗!AI1150)</f>
        <v>11</v>
      </c>
      <c r="AD1150" s="14">
        <f>INDEX(挂机升级突破!BV$6:BV$57,卡牌消耗!$AI1150)</f>
        <v>1</v>
      </c>
      <c r="AE1150" s="14">
        <f>INDEX(挂机升级突破!BW$6:BW$57,卡牌消耗!$AI1150)</f>
        <v>0</v>
      </c>
      <c r="AF1150" s="14" t="str">
        <f t="shared" si="219"/>
        <v>异邦刀客</v>
      </c>
      <c r="AG1150" s="14">
        <f t="shared" si="220"/>
        <v>2</v>
      </c>
      <c r="AH1150" s="14" t="str">
        <f t="shared" si="221"/>
        <v>异邦刀客魂火-2</v>
      </c>
      <c r="AI1150" s="14">
        <f t="shared" si="222"/>
        <v>2</v>
      </c>
      <c r="AJ1150" s="14" t="str">
        <f>INDEX(挂机升级突破!$BX$4:$CH$4,INDEX(挂机升级突破!$BU$6:$BU$57,卡牌消耗!AI1150))</f>
        <v>金币</v>
      </c>
      <c r="AK1150" s="14">
        <f>ROUND(INDEX(挂机升级突破!$BN$6:$BN$57,卡牌消耗!AI1150)*INDEX(卡牌消耗!$B$8:$F$8,AG1150)/$Q$4/50,0)*50</f>
        <v>550</v>
      </c>
      <c r="AL1150" s="14" t="str">
        <f>IF(AD1150&gt;0,INDEX(挂机升级突破!$BX$4:$CH$4,AD1150),"")</f>
        <v>绿色基础材料</v>
      </c>
      <c r="AM1150" s="14">
        <f>ROUND(INDEX(挂机升级突破!$BX$6:$CH$57,卡牌消耗!AI1150,AD1150)*INDEX(卡牌消耗!$B$5:$F$5,AG1150)/$Q$4/5,0)*5</f>
        <v>2000</v>
      </c>
      <c r="AN1150" s="14" t="str">
        <f>IF(AE1150&gt;0,INDEX(挂机升级突破!$BX$4:$CH$4,AE1150),"")</f>
        <v/>
      </c>
      <c r="AO1150" s="14" t="str">
        <f>IF(AE1150&gt;0,ROUND(INDEX(挂机升级突破!$BX$6:$CH$57,卡牌消耗!AI1150,AE1150)*INDEX(卡牌消耗!$B$7:$F$7,AG1150)/$Q$4,0),"")</f>
        <v/>
      </c>
    </row>
    <row r="1151" spans="27:41" ht="16.5" x14ac:dyDescent="0.2">
      <c r="AA1151" s="104">
        <v>1147</v>
      </c>
      <c r="AB1151" s="14">
        <f t="shared" si="218"/>
        <v>23</v>
      </c>
      <c r="AC1151" s="14">
        <f>INDEX(挂机升级突破!$BU$6:$BU$57,卡牌消耗!AI1151)</f>
        <v>11</v>
      </c>
      <c r="AD1151" s="14">
        <f>INDEX(挂机升级突破!BV$6:BV$57,卡牌消耗!$AI1151)</f>
        <v>1</v>
      </c>
      <c r="AE1151" s="14">
        <f>INDEX(挂机升级突破!BW$6:BW$57,卡牌消耗!$AI1151)</f>
        <v>0</v>
      </c>
      <c r="AF1151" s="14" t="str">
        <f t="shared" si="219"/>
        <v>异邦刀客</v>
      </c>
      <c r="AG1151" s="14">
        <f t="shared" si="220"/>
        <v>2</v>
      </c>
      <c r="AH1151" s="14" t="str">
        <f t="shared" si="221"/>
        <v>异邦刀客魂火-3</v>
      </c>
      <c r="AI1151" s="14">
        <f t="shared" si="222"/>
        <v>3</v>
      </c>
      <c r="AJ1151" s="14" t="str">
        <f>INDEX(挂机升级突破!$BX$4:$CH$4,INDEX(挂机升级突破!$BU$6:$BU$57,卡牌消耗!AI1151))</f>
        <v>金币</v>
      </c>
      <c r="AK1151" s="14">
        <f>ROUND(INDEX(挂机升级突破!$BN$6:$BN$57,卡牌消耗!AI1151)*INDEX(卡牌消耗!$B$8:$F$8,AG1151)/$Q$4/50,0)*50</f>
        <v>550</v>
      </c>
      <c r="AL1151" s="14" t="str">
        <f>IF(AD1151&gt;0,INDEX(挂机升级突破!$BX$4:$CH$4,AD1151),"")</f>
        <v>绿色基础材料</v>
      </c>
      <c r="AM1151" s="14">
        <f>ROUND(INDEX(挂机升级突破!$BX$6:$CH$57,卡牌消耗!AI1151,AD1151)*INDEX(卡牌消耗!$B$5:$F$5,AG1151)/$Q$4/5,0)*5</f>
        <v>2670</v>
      </c>
      <c r="AN1151" s="14" t="str">
        <f>IF(AE1151&gt;0,INDEX(挂机升级突破!$BX$4:$CH$4,AE1151),"")</f>
        <v/>
      </c>
      <c r="AO1151" s="14" t="str">
        <f>IF(AE1151&gt;0,ROUND(INDEX(挂机升级突破!$BX$6:$CH$57,卡牌消耗!AI1151,AE1151)*INDEX(卡牌消耗!$B$7:$F$7,AG1151)/$Q$4,0),"")</f>
        <v/>
      </c>
    </row>
    <row r="1152" spans="27:41" ht="16.5" x14ac:dyDescent="0.2">
      <c r="AA1152" s="104">
        <v>1148</v>
      </c>
      <c r="AB1152" s="14">
        <f t="shared" si="218"/>
        <v>23</v>
      </c>
      <c r="AC1152" s="14">
        <f>INDEX(挂机升级突破!$BU$6:$BU$57,卡牌消耗!AI1152)</f>
        <v>11</v>
      </c>
      <c r="AD1152" s="14">
        <f>INDEX(挂机升级突破!BV$6:BV$57,卡牌消耗!$AI1152)</f>
        <v>1</v>
      </c>
      <c r="AE1152" s="14">
        <f>INDEX(挂机升级突破!BW$6:BW$57,卡牌消耗!$AI1152)</f>
        <v>0</v>
      </c>
      <c r="AF1152" s="14" t="str">
        <f t="shared" si="219"/>
        <v>异邦刀客</v>
      </c>
      <c r="AG1152" s="14">
        <f t="shared" si="220"/>
        <v>2</v>
      </c>
      <c r="AH1152" s="14" t="str">
        <f t="shared" si="221"/>
        <v>异邦刀客魂火-4</v>
      </c>
      <c r="AI1152" s="14">
        <f t="shared" si="222"/>
        <v>4</v>
      </c>
      <c r="AJ1152" s="14" t="str">
        <f>INDEX(挂机升级突破!$BX$4:$CH$4,INDEX(挂机升级突破!$BU$6:$BU$57,卡牌消耗!AI1152))</f>
        <v>金币</v>
      </c>
      <c r="AK1152" s="14">
        <f>ROUND(INDEX(挂机升级突破!$BN$6:$BN$57,卡牌消耗!AI1152)*INDEX(卡牌消耗!$B$8:$F$8,AG1152)/$Q$4/50,0)*50</f>
        <v>550</v>
      </c>
      <c r="AL1152" s="14" t="str">
        <f>IF(AD1152&gt;0,INDEX(挂机升级突破!$BX$4:$CH$4,AD1152),"")</f>
        <v>绿色基础材料</v>
      </c>
      <c r="AM1152" s="14">
        <f>ROUND(INDEX(挂机升级突破!$BX$6:$CH$57,卡牌消耗!AI1152,AD1152)*INDEX(卡牌消耗!$B$5:$F$5,AG1152)/$Q$4/5,0)*5</f>
        <v>4005</v>
      </c>
      <c r="AN1152" s="14" t="str">
        <f>IF(AE1152&gt;0,INDEX(挂机升级突破!$BX$4:$CH$4,AE1152),"")</f>
        <v/>
      </c>
      <c r="AO1152" s="14" t="str">
        <f>IF(AE1152&gt;0,ROUND(INDEX(挂机升级突破!$BX$6:$CH$57,卡牌消耗!AI1152,AE1152)*INDEX(卡牌消耗!$B$7:$F$7,AG1152)/$Q$4,0),"")</f>
        <v/>
      </c>
    </row>
    <row r="1153" spans="27:41" ht="16.5" x14ac:dyDescent="0.2">
      <c r="AA1153" s="104">
        <v>1149</v>
      </c>
      <c r="AB1153" s="14">
        <f t="shared" si="218"/>
        <v>23</v>
      </c>
      <c r="AC1153" s="14">
        <f>INDEX(挂机升级突破!$BU$6:$BU$57,卡牌消耗!AI1153)</f>
        <v>11</v>
      </c>
      <c r="AD1153" s="14">
        <f>INDEX(挂机升级突破!BV$6:BV$57,卡牌消耗!$AI1153)</f>
        <v>1</v>
      </c>
      <c r="AE1153" s="14">
        <f>INDEX(挂机升级突破!BW$6:BW$57,卡牌消耗!$AI1153)</f>
        <v>0</v>
      </c>
      <c r="AF1153" s="14" t="str">
        <f t="shared" si="219"/>
        <v>异邦刀客</v>
      </c>
      <c r="AG1153" s="14">
        <f t="shared" si="220"/>
        <v>2</v>
      </c>
      <c r="AH1153" s="14" t="str">
        <f t="shared" si="221"/>
        <v>异邦刀客魂火-5</v>
      </c>
      <c r="AI1153" s="14">
        <f t="shared" si="222"/>
        <v>5</v>
      </c>
      <c r="AJ1153" s="14" t="str">
        <f>INDEX(挂机升级突破!$BX$4:$CH$4,INDEX(挂机升级突破!$BU$6:$BU$57,卡牌消耗!AI1153))</f>
        <v>金币</v>
      </c>
      <c r="AK1153" s="14">
        <f>ROUND(INDEX(挂机升级突破!$BN$6:$BN$57,卡牌消耗!AI1153)*INDEX(卡牌消耗!$B$8:$F$8,AG1153)/$Q$4/50,0)*50</f>
        <v>550</v>
      </c>
      <c r="AL1153" s="14" t="str">
        <f>IF(AD1153&gt;0,INDEX(挂机升级突破!$BX$4:$CH$4,AD1153),"")</f>
        <v>绿色基础材料</v>
      </c>
      <c r="AM1153" s="14">
        <f>ROUND(INDEX(挂机升级突破!$BX$6:$CH$57,卡牌消耗!AI1153,AD1153)*INDEX(卡牌消耗!$B$5:$F$5,AG1153)/$Q$4/5,0)*5</f>
        <v>4005</v>
      </c>
      <c r="AN1153" s="14" t="str">
        <f>IF(AE1153&gt;0,INDEX(挂机升级突破!$BX$4:$CH$4,AE1153),"")</f>
        <v/>
      </c>
      <c r="AO1153" s="14" t="str">
        <f>IF(AE1153&gt;0,ROUND(INDEX(挂机升级突破!$BX$6:$CH$57,卡牌消耗!AI1153,AE1153)*INDEX(卡牌消耗!$B$7:$F$7,AG1153)/$Q$4,0),"")</f>
        <v/>
      </c>
    </row>
    <row r="1154" spans="27:41" ht="16.5" x14ac:dyDescent="0.2">
      <c r="AA1154" s="104">
        <v>1150</v>
      </c>
      <c r="AB1154" s="14">
        <f t="shared" si="218"/>
        <v>23</v>
      </c>
      <c r="AC1154" s="14">
        <f>INDEX(挂机升级突破!$BU$6:$BU$57,卡牌消耗!AI1154)</f>
        <v>11</v>
      </c>
      <c r="AD1154" s="14">
        <f>INDEX(挂机升级突破!BV$6:BV$57,卡牌消耗!$AI1154)</f>
        <v>2</v>
      </c>
      <c r="AE1154" s="14">
        <f>INDEX(挂机升级突破!BW$6:BW$57,卡牌消耗!$AI1154)</f>
        <v>0</v>
      </c>
      <c r="AF1154" s="14" t="str">
        <f t="shared" si="219"/>
        <v>异邦刀客</v>
      </c>
      <c r="AG1154" s="14">
        <f t="shared" si="220"/>
        <v>2</v>
      </c>
      <c r="AH1154" s="14" t="str">
        <f t="shared" si="221"/>
        <v>异邦刀客魂火-6</v>
      </c>
      <c r="AI1154" s="14">
        <f t="shared" si="222"/>
        <v>6</v>
      </c>
      <c r="AJ1154" s="14" t="str">
        <f>INDEX(挂机升级突破!$BX$4:$CH$4,INDEX(挂机升级突破!$BU$6:$BU$57,卡牌消耗!AI1154))</f>
        <v>金币</v>
      </c>
      <c r="AK1154" s="14">
        <f>ROUND(INDEX(挂机升级突破!$BN$6:$BN$57,卡牌消耗!AI1154)*INDEX(卡牌消耗!$B$8:$F$8,AG1154)/$Q$4/50,0)*50</f>
        <v>700</v>
      </c>
      <c r="AL1154" s="14" t="str">
        <f>IF(AD1154&gt;0,INDEX(挂机升级突破!$BX$4:$CH$4,AD1154),"")</f>
        <v>蓝色基础材料</v>
      </c>
      <c r="AM1154" s="14">
        <f>ROUND(INDEX(挂机升级突破!$BX$6:$CH$57,卡牌消耗!AI1154,AD1154)*INDEX(卡牌消耗!$B$5:$F$5,AG1154)/$Q$4/5,0)*5</f>
        <v>385</v>
      </c>
      <c r="AN1154" s="14" t="str">
        <f>IF(AE1154&gt;0,INDEX(挂机升级突破!$BX$4:$CH$4,AE1154),"")</f>
        <v/>
      </c>
      <c r="AO1154" s="14" t="str">
        <f>IF(AE1154&gt;0,ROUND(INDEX(挂机升级突破!$BX$6:$CH$57,卡牌消耗!AI1154,AE1154)*INDEX(卡牌消耗!$B$7:$F$7,AG1154)/$Q$4,0),"")</f>
        <v/>
      </c>
    </row>
    <row r="1155" spans="27:41" ht="16.5" x14ac:dyDescent="0.2">
      <c r="AA1155" s="104">
        <v>1151</v>
      </c>
      <c r="AB1155" s="14">
        <f t="shared" si="218"/>
        <v>23</v>
      </c>
      <c r="AC1155" s="14">
        <f>INDEX(挂机升级突破!$BU$6:$BU$57,卡牌消耗!AI1155)</f>
        <v>11</v>
      </c>
      <c r="AD1155" s="14">
        <f>INDEX(挂机升级突破!BV$6:BV$57,卡牌消耗!$AI1155)</f>
        <v>2</v>
      </c>
      <c r="AE1155" s="14">
        <f>INDEX(挂机升级突破!BW$6:BW$57,卡牌消耗!$AI1155)</f>
        <v>0</v>
      </c>
      <c r="AF1155" s="14" t="str">
        <f t="shared" si="219"/>
        <v>异邦刀客</v>
      </c>
      <c r="AG1155" s="14">
        <f t="shared" si="220"/>
        <v>2</v>
      </c>
      <c r="AH1155" s="14" t="str">
        <f t="shared" si="221"/>
        <v>异邦刀客魂火-7</v>
      </c>
      <c r="AI1155" s="14">
        <f t="shared" si="222"/>
        <v>7</v>
      </c>
      <c r="AJ1155" s="14" t="str">
        <f>INDEX(挂机升级突破!$BX$4:$CH$4,INDEX(挂机升级突破!$BU$6:$BU$57,卡牌消耗!AI1155))</f>
        <v>金币</v>
      </c>
      <c r="AK1155" s="14">
        <f>ROUND(INDEX(挂机升级突破!$BN$6:$BN$57,卡牌消耗!AI1155)*INDEX(卡牌消耗!$B$8:$F$8,AG1155)/$Q$4/50,0)*50</f>
        <v>700</v>
      </c>
      <c r="AL1155" s="14" t="str">
        <f>IF(AD1155&gt;0,INDEX(挂机升级突破!$BX$4:$CH$4,AD1155),"")</f>
        <v>蓝色基础材料</v>
      </c>
      <c r="AM1155" s="14">
        <f>ROUND(INDEX(挂机升级突破!$BX$6:$CH$57,卡牌消耗!AI1155,AD1155)*INDEX(卡牌消耗!$B$5:$F$5,AG1155)/$Q$4/5,0)*5</f>
        <v>385</v>
      </c>
      <c r="AN1155" s="14" t="str">
        <f>IF(AE1155&gt;0,INDEX(挂机升级突破!$BX$4:$CH$4,AE1155),"")</f>
        <v/>
      </c>
      <c r="AO1155" s="14" t="str">
        <f>IF(AE1155&gt;0,ROUND(INDEX(挂机升级突破!$BX$6:$CH$57,卡牌消耗!AI1155,AE1155)*INDEX(卡牌消耗!$B$7:$F$7,AG1155)/$Q$4,0),"")</f>
        <v/>
      </c>
    </row>
    <row r="1156" spans="27:41" ht="16.5" x14ac:dyDescent="0.2">
      <c r="AA1156" s="104">
        <v>1152</v>
      </c>
      <c r="AB1156" s="14">
        <f t="shared" si="218"/>
        <v>23</v>
      </c>
      <c r="AC1156" s="14">
        <f>INDEX(挂机升级突破!$BU$6:$BU$57,卡牌消耗!AI1156)</f>
        <v>11</v>
      </c>
      <c r="AD1156" s="14">
        <f>INDEX(挂机升级突破!BV$6:BV$57,卡牌消耗!$AI1156)</f>
        <v>2</v>
      </c>
      <c r="AE1156" s="14">
        <f>INDEX(挂机升级突破!BW$6:BW$57,卡牌消耗!$AI1156)</f>
        <v>0</v>
      </c>
      <c r="AF1156" s="14" t="str">
        <f t="shared" si="219"/>
        <v>异邦刀客</v>
      </c>
      <c r="AG1156" s="14">
        <f t="shared" si="220"/>
        <v>2</v>
      </c>
      <c r="AH1156" s="14" t="str">
        <f t="shared" si="221"/>
        <v>异邦刀客魂火-8</v>
      </c>
      <c r="AI1156" s="14">
        <f t="shared" si="222"/>
        <v>8</v>
      </c>
      <c r="AJ1156" s="14" t="str">
        <f>INDEX(挂机升级突破!$BX$4:$CH$4,INDEX(挂机升级突破!$BU$6:$BU$57,卡牌消耗!AI1156))</f>
        <v>金币</v>
      </c>
      <c r="AK1156" s="14">
        <f>ROUND(INDEX(挂机升级突破!$BN$6:$BN$57,卡牌消耗!AI1156)*INDEX(卡牌消耗!$B$8:$F$8,AG1156)/$Q$4/50,0)*50</f>
        <v>1050</v>
      </c>
      <c r="AL1156" s="14" t="str">
        <f>IF(AD1156&gt;0,INDEX(挂机升级突破!$BX$4:$CH$4,AD1156),"")</f>
        <v>蓝色基础材料</v>
      </c>
      <c r="AM1156" s="14">
        <f>ROUND(INDEX(挂机升级突破!$BX$6:$CH$57,卡牌消耗!AI1156,AD1156)*INDEX(卡牌消耗!$B$5:$F$5,AG1156)/$Q$4/5,0)*5</f>
        <v>770</v>
      </c>
      <c r="AN1156" s="14" t="str">
        <f>IF(AE1156&gt;0,INDEX(挂机升级突破!$BX$4:$CH$4,AE1156),"")</f>
        <v/>
      </c>
      <c r="AO1156" s="14" t="str">
        <f>IF(AE1156&gt;0,ROUND(INDEX(挂机升级突破!$BX$6:$CH$57,卡牌消耗!AI1156,AE1156)*INDEX(卡牌消耗!$B$7:$F$7,AG1156)/$Q$4,0),"")</f>
        <v/>
      </c>
    </row>
    <row r="1157" spans="27:41" ht="16.5" x14ac:dyDescent="0.2">
      <c r="AA1157" s="104">
        <v>1153</v>
      </c>
      <c r="AB1157" s="14">
        <f t="shared" si="218"/>
        <v>23</v>
      </c>
      <c r="AC1157" s="14">
        <f>INDEX(挂机升级突破!$BU$6:$BU$57,卡牌消耗!AI1157)</f>
        <v>11</v>
      </c>
      <c r="AD1157" s="14">
        <f>INDEX(挂机升级突破!BV$6:BV$57,卡牌消耗!$AI1157)</f>
        <v>2</v>
      </c>
      <c r="AE1157" s="14">
        <f>INDEX(挂机升级突破!BW$6:BW$57,卡牌消耗!$AI1157)</f>
        <v>0</v>
      </c>
      <c r="AF1157" s="14" t="str">
        <f t="shared" si="219"/>
        <v>异邦刀客</v>
      </c>
      <c r="AG1157" s="14">
        <f t="shared" si="220"/>
        <v>2</v>
      </c>
      <c r="AH1157" s="14" t="str">
        <f t="shared" si="221"/>
        <v>异邦刀客魂火-9</v>
      </c>
      <c r="AI1157" s="14">
        <f t="shared" si="222"/>
        <v>9</v>
      </c>
      <c r="AJ1157" s="14" t="str">
        <f>INDEX(挂机升级突破!$BX$4:$CH$4,INDEX(挂机升级突破!$BU$6:$BU$57,卡牌消耗!AI1157))</f>
        <v>金币</v>
      </c>
      <c r="AK1157" s="14">
        <f>ROUND(INDEX(挂机升级突破!$BN$6:$BN$57,卡牌消耗!AI1157)*INDEX(卡牌消耗!$B$8:$F$8,AG1157)/$Q$4/50,0)*50</f>
        <v>1050</v>
      </c>
      <c r="AL1157" s="14" t="str">
        <f>IF(AD1157&gt;0,INDEX(挂机升级突破!$BX$4:$CH$4,AD1157),"")</f>
        <v>蓝色基础材料</v>
      </c>
      <c r="AM1157" s="14">
        <f>ROUND(INDEX(挂机升级突破!$BX$6:$CH$57,卡牌消耗!AI1157,AD1157)*INDEX(卡牌消耗!$B$5:$F$5,AG1157)/$Q$4/5,0)*5</f>
        <v>770</v>
      </c>
      <c r="AN1157" s="14" t="str">
        <f>IF(AE1157&gt;0,INDEX(挂机升级突破!$BX$4:$CH$4,AE1157),"")</f>
        <v/>
      </c>
      <c r="AO1157" s="14" t="str">
        <f>IF(AE1157&gt;0,ROUND(INDEX(挂机升级突破!$BX$6:$CH$57,卡牌消耗!AI1157,AE1157)*INDEX(卡牌消耗!$B$7:$F$7,AG1157)/$Q$4,0),"")</f>
        <v/>
      </c>
    </row>
    <row r="1158" spans="27:41" ht="16.5" x14ac:dyDescent="0.2">
      <c r="AA1158" s="104">
        <v>1154</v>
      </c>
      <c r="AB1158" s="14">
        <f t="shared" ref="AB1158:AB1221" si="223">INT((AA1158-1)/52)+1</f>
        <v>23</v>
      </c>
      <c r="AC1158" s="14">
        <f>INDEX(挂机升级突破!$BU$6:$BU$57,卡牌消耗!AI1158)</f>
        <v>11</v>
      </c>
      <c r="AD1158" s="14">
        <f>INDEX(挂机升级突破!BV$6:BV$57,卡牌消耗!$AI1158)</f>
        <v>2</v>
      </c>
      <c r="AE1158" s="14">
        <f>INDEX(挂机升级突破!BW$6:BW$57,卡牌消耗!$AI1158)</f>
        <v>0</v>
      </c>
      <c r="AF1158" s="14" t="str">
        <f t="shared" ref="AF1158:AF1221" si="224">INDEX($B$13:$B$40,AB1158)</f>
        <v>异邦刀客</v>
      </c>
      <c r="AG1158" s="14">
        <f t="shared" ref="AG1158:AG1221" si="225">INDEX($C$13:$C$40,AB1158)</f>
        <v>2</v>
      </c>
      <c r="AH1158" s="14" t="str">
        <f t="shared" ref="AH1158:AH1221" si="226">AF1158&amp;"魂火-"&amp;AI1158</f>
        <v>异邦刀客魂火-10</v>
      </c>
      <c r="AI1158" s="14">
        <f t="shared" ref="AI1158:AI1221" si="227">AA1158-(AB1158-1)*52</f>
        <v>10</v>
      </c>
      <c r="AJ1158" s="14" t="str">
        <f>INDEX(挂机升级突破!$BX$4:$CH$4,INDEX(挂机升级突破!$BU$6:$BU$57,卡牌消耗!AI1158))</f>
        <v>金币</v>
      </c>
      <c r="AK1158" s="14">
        <f>ROUND(INDEX(挂机升级突破!$BN$6:$BN$57,卡牌消耗!AI1158)*INDEX(卡牌消耗!$B$8:$F$8,AG1158)/$Q$4/50,0)*50</f>
        <v>1750</v>
      </c>
      <c r="AL1158" s="14" t="str">
        <f>IF(AD1158&gt;0,INDEX(挂机升级突破!$BX$4:$CH$4,AD1158),"")</f>
        <v>蓝色基础材料</v>
      </c>
      <c r="AM1158" s="14">
        <f>ROUND(INDEX(挂机升级突破!$BX$6:$CH$57,卡牌消耗!AI1158,AD1158)*INDEX(卡牌消耗!$B$5:$F$5,AG1158)/$Q$4/5,0)*5</f>
        <v>1155</v>
      </c>
      <c r="AN1158" s="14" t="str">
        <f>IF(AE1158&gt;0,INDEX(挂机升级突破!$BX$4:$CH$4,AE1158),"")</f>
        <v/>
      </c>
      <c r="AO1158" s="14" t="str">
        <f>IF(AE1158&gt;0,ROUND(INDEX(挂机升级突破!$BX$6:$CH$57,卡牌消耗!AI1158,AE1158)*INDEX(卡牌消耗!$B$7:$F$7,AG1158)/$Q$4,0),"")</f>
        <v/>
      </c>
    </row>
    <row r="1159" spans="27:41" ht="16.5" x14ac:dyDescent="0.2">
      <c r="AA1159" s="104">
        <v>1155</v>
      </c>
      <c r="AB1159" s="14">
        <f t="shared" si="223"/>
        <v>23</v>
      </c>
      <c r="AC1159" s="14">
        <f>INDEX(挂机升级突破!$BU$6:$BU$57,卡牌消耗!AI1159)</f>
        <v>11</v>
      </c>
      <c r="AD1159" s="14">
        <f>INDEX(挂机升级突破!BV$6:BV$57,卡牌消耗!$AI1159)</f>
        <v>2</v>
      </c>
      <c r="AE1159" s="14">
        <f>INDEX(挂机升级突破!BW$6:BW$57,卡牌消耗!$AI1159)</f>
        <v>0</v>
      </c>
      <c r="AF1159" s="14" t="str">
        <f t="shared" si="224"/>
        <v>异邦刀客</v>
      </c>
      <c r="AG1159" s="14">
        <f t="shared" si="225"/>
        <v>2</v>
      </c>
      <c r="AH1159" s="14" t="str">
        <f t="shared" si="226"/>
        <v>异邦刀客魂火-11</v>
      </c>
      <c r="AI1159" s="14">
        <f t="shared" si="227"/>
        <v>11</v>
      </c>
      <c r="AJ1159" s="14" t="str">
        <f>INDEX(挂机升级突破!$BX$4:$CH$4,INDEX(挂机升级突破!$BU$6:$BU$57,卡牌消耗!AI1159))</f>
        <v>金币</v>
      </c>
      <c r="AK1159" s="14">
        <f>ROUND(INDEX(挂机升级突破!$BN$6:$BN$57,卡牌消耗!AI1159)*INDEX(卡牌消耗!$B$8:$F$8,AG1159)/$Q$4/50,0)*50</f>
        <v>1750</v>
      </c>
      <c r="AL1159" s="14" t="str">
        <f>IF(AD1159&gt;0,INDEX(挂机升级突破!$BX$4:$CH$4,AD1159),"")</f>
        <v>蓝色基础材料</v>
      </c>
      <c r="AM1159" s="14">
        <f>ROUND(INDEX(挂机升级突破!$BX$6:$CH$57,卡牌消耗!AI1159,AD1159)*INDEX(卡牌消耗!$B$5:$F$5,AG1159)/$Q$4/5,0)*5</f>
        <v>1155</v>
      </c>
      <c r="AN1159" s="14" t="str">
        <f>IF(AE1159&gt;0,INDEX(挂机升级突破!$BX$4:$CH$4,AE1159),"")</f>
        <v/>
      </c>
      <c r="AO1159" s="14" t="str">
        <f>IF(AE1159&gt;0,ROUND(INDEX(挂机升级突破!$BX$6:$CH$57,卡牌消耗!AI1159,AE1159)*INDEX(卡牌消耗!$B$7:$F$7,AG1159)/$Q$4,0),"")</f>
        <v/>
      </c>
    </row>
    <row r="1160" spans="27:41" ht="16.5" x14ac:dyDescent="0.2">
      <c r="AA1160" s="104">
        <v>1156</v>
      </c>
      <c r="AB1160" s="14">
        <f t="shared" si="223"/>
        <v>23</v>
      </c>
      <c r="AC1160" s="14">
        <f>INDEX(挂机升级突破!$BU$6:$BU$57,卡牌消耗!AI1160)</f>
        <v>11</v>
      </c>
      <c r="AD1160" s="14">
        <f>INDEX(挂机升级突破!BV$6:BV$57,卡牌消耗!$AI1160)</f>
        <v>2</v>
      </c>
      <c r="AE1160" s="14">
        <f>INDEX(挂机升级突破!BW$6:BW$57,卡牌消耗!$AI1160)</f>
        <v>0</v>
      </c>
      <c r="AF1160" s="14" t="str">
        <f t="shared" si="224"/>
        <v>异邦刀客</v>
      </c>
      <c r="AG1160" s="14">
        <f t="shared" si="225"/>
        <v>2</v>
      </c>
      <c r="AH1160" s="14" t="str">
        <f t="shared" si="226"/>
        <v>异邦刀客魂火-12</v>
      </c>
      <c r="AI1160" s="14">
        <f t="shared" si="227"/>
        <v>12</v>
      </c>
      <c r="AJ1160" s="14" t="str">
        <f>INDEX(挂机升级突破!$BX$4:$CH$4,INDEX(挂机升级突破!$BU$6:$BU$57,卡牌消耗!AI1160))</f>
        <v>金币</v>
      </c>
      <c r="AK1160" s="14">
        <f>ROUND(INDEX(挂机升级突破!$BN$6:$BN$57,卡牌消耗!AI1160)*INDEX(卡牌消耗!$B$8:$F$8,AG1160)/$Q$4/50,0)*50</f>
        <v>1500</v>
      </c>
      <c r="AL1160" s="14" t="str">
        <f>IF(AD1160&gt;0,INDEX(挂机升级突破!$BX$4:$CH$4,AD1160),"")</f>
        <v>蓝色基础材料</v>
      </c>
      <c r="AM1160" s="14">
        <f>ROUND(INDEX(挂机升级突破!$BX$6:$CH$57,卡牌消耗!AI1160,AD1160)*INDEX(卡牌消耗!$B$5:$F$5,AG1160)/$Q$4/5,0)*5</f>
        <v>1535</v>
      </c>
      <c r="AN1160" s="14" t="str">
        <f>IF(AE1160&gt;0,INDEX(挂机升级突破!$BX$4:$CH$4,AE1160),"")</f>
        <v/>
      </c>
      <c r="AO1160" s="14" t="str">
        <f>IF(AE1160&gt;0,ROUND(INDEX(挂机升级突破!$BX$6:$CH$57,卡牌消耗!AI1160,AE1160)*INDEX(卡牌消耗!$B$7:$F$7,AG1160)/$Q$4,0),"")</f>
        <v/>
      </c>
    </row>
    <row r="1161" spans="27:41" ht="16.5" x14ac:dyDescent="0.2">
      <c r="AA1161" s="104">
        <v>1157</v>
      </c>
      <c r="AB1161" s="14">
        <f t="shared" si="223"/>
        <v>23</v>
      </c>
      <c r="AC1161" s="14">
        <f>INDEX(挂机升级突破!$BU$6:$BU$57,卡牌消耗!AI1161)</f>
        <v>11</v>
      </c>
      <c r="AD1161" s="14">
        <f>INDEX(挂机升级突破!BV$6:BV$57,卡牌消耗!$AI1161)</f>
        <v>2</v>
      </c>
      <c r="AE1161" s="14">
        <f>INDEX(挂机升级突破!BW$6:BW$57,卡牌消耗!$AI1161)</f>
        <v>0</v>
      </c>
      <c r="AF1161" s="14" t="str">
        <f t="shared" si="224"/>
        <v>异邦刀客</v>
      </c>
      <c r="AG1161" s="14">
        <f t="shared" si="225"/>
        <v>2</v>
      </c>
      <c r="AH1161" s="14" t="str">
        <f t="shared" si="226"/>
        <v>异邦刀客魂火-13</v>
      </c>
      <c r="AI1161" s="14">
        <f t="shared" si="227"/>
        <v>13</v>
      </c>
      <c r="AJ1161" s="14" t="str">
        <f>INDEX(挂机升级突破!$BX$4:$CH$4,INDEX(挂机升级突破!$BU$6:$BU$57,卡牌消耗!AI1161))</f>
        <v>金币</v>
      </c>
      <c r="AK1161" s="14">
        <f>ROUND(INDEX(挂机升级突破!$BN$6:$BN$57,卡牌消耗!AI1161)*INDEX(卡牌消耗!$B$8:$F$8,AG1161)/$Q$4/50,0)*50</f>
        <v>1500</v>
      </c>
      <c r="AL1161" s="14" t="str">
        <f>IF(AD1161&gt;0,INDEX(挂机升级突破!$BX$4:$CH$4,AD1161),"")</f>
        <v>蓝色基础材料</v>
      </c>
      <c r="AM1161" s="14">
        <f>ROUND(INDEX(挂机升级突破!$BX$6:$CH$57,卡牌消耗!AI1161,AD1161)*INDEX(卡牌消耗!$B$5:$F$5,AG1161)/$Q$4/5,0)*5</f>
        <v>1535</v>
      </c>
      <c r="AN1161" s="14" t="str">
        <f>IF(AE1161&gt;0,INDEX(挂机升级突破!$BX$4:$CH$4,AE1161),"")</f>
        <v/>
      </c>
      <c r="AO1161" s="14" t="str">
        <f>IF(AE1161&gt;0,ROUND(INDEX(挂机升级突破!$BX$6:$CH$57,卡牌消耗!AI1161,AE1161)*INDEX(卡牌消耗!$B$7:$F$7,AG1161)/$Q$4,0),"")</f>
        <v/>
      </c>
    </row>
    <row r="1162" spans="27:41" ht="16.5" x14ac:dyDescent="0.2">
      <c r="AA1162" s="104">
        <v>1158</v>
      </c>
      <c r="AB1162" s="14">
        <f t="shared" si="223"/>
        <v>23</v>
      </c>
      <c r="AC1162" s="14">
        <f>INDEX(挂机升级突破!$BU$6:$BU$57,卡牌消耗!AI1162)</f>
        <v>11</v>
      </c>
      <c r="AD1162" s="14">
        <f>INDEX(挂机升级突破!BV$6:BV$57,卡牌消耗!$AI1162)</f>
        <v>3</v>
      </c>
      <c r="AE1162" s="14">
        <f>INDEX(挂机升级突破!BW$6:BW$57,卡牌消耗!$AI1162)</f>
        <v>0</v>
      </c>
      <c r="AF1162" s="14" t="str">
        <f t="shared" si="224"/>
        <v>异邦刀客</v>
      </c>
      <c r="AG1162" s="14">
        <f t="shared" si="225"/>
        <v>2</v>
      </c>
      <c r="AH1162" s="14" t="str">
        <f t="shared" si="226"/>
        <v>异邦刀客魂火-14</v>
      </c>
      <c r="AI1162" s="14">
        <f t="shared" si="227"/>
        <v>14</v>
      </c>
      <c r="AJ1162" s="14" t="str">
        <f>INDEX(挂机升级突破!$BX$4:$CH$4,INDEX(挂机升级突破!$BU$6:$BU$57,卡牌消耗!AI1162))</f>
        <v>金币</v>
      </c>
      <c r="AK1162" s="14">
        <f>ROUND(INDEX(挂机升级突破!$BN$6:$BN$57,卡牌消耗!AI1162)*INDEX(卡牌消耗!$B$8:$F$8,AG1162)/$Q$4/50,0)*50</f>
        <v>1650</v>
      </c>
      <c r="AL1162" s="14" t="str">
        <f>IF(AD1162&gt;0,INDEX(挂机升级突破!$BX$4:$CH$4,AD1162),"")</f>
        <v>紫色基础材料</v>
      </c>
      <c r="AM1162" s="14">
        <f>ROUND(INDEX(挂机升级突破!$BX$6:$CH$57,卡牌消耗!AI1162,AD1162)*INDEX(卡牌消耗!$B$5:$F$5,AG1162)/$Q$4/5,0)*5</f>
        <v>135</v>
      </c>
      <c r="AN1162" s="14" t="str">
        <f>IF(AE1162&gt;0,INDEX(挂机升级突破!$BX$4:$CH$4,AE1162),"")</f>
        <v/>
      </c>
      <c r="AO1162" s="14" t="str">
        <f>IF(AE1162&gt;0,ROUND(INDEX(挂机升级突破!$BX$6:$CH$57,卡牌消耗!AI1162,AE1162)*INDEX(卡牌消耗!$B$7:$F$7,AG1162)/$Q$4,0),"")</f>
        <v/>
      </c>
    </row>
    <row r="1163" spans="27:41" ht="16.5" x14ac:dyDescent="0.2">
      <c r="AA1163" s="104">
        <v>1159</v>
      </c>
      <c r="AB1163" s="14">
        <f t="shared" si="223"/>
        <v>23</v>
      </c>
      <c r="AC1163" s="14">
        <f>INDEX(挂机升级突破!$BU$6:$BU$57,卡牌消耗!AI1163)</f>
        <v>11</v>
      </c>
      <c r="AD1163" s="14">
        <f>INDEX(挂机升级突破!BV$6:BV$57,卡牌消耗!$AI1163)</f>
        <v>3</v>
      </c>
      <c r="AE1163" s="14">
        <f>INDEX(挂机升级突破!BW$6:BW$57,卡牌消耗!$AI1163)</f>
        <v>0</v>
      </c>
      <c r="AF1163" s="14" t="str">
        <f t="shared" si="224"/>
        <v>异邦刀客</v>
      </c>
      <c r="AG1163" s="14">
        <f t="shared" si="225"/>
        <v>2</v>
      </c>
      <c r="AH1163" s="14" t="str">
        <f t="shared" si="226"/>
        <v>异邦刀客魂火-15</v>
      </c>
      <c r="AI1163" s="14">
        <f t="shared" si="227"/>
        <v>15</v>
      </c>
      <c r="AJ1163" s="14" t="str">
        <f>INDEX(挂机升级突破!$BX$4:$CH$4,INDEX(挂机升级突破!$BU$6:$BU$57,卡牌消耗!AI1163))</f>
        <v>金币</v>
      </c>
      <c r="AK1163" s="14">
        <f>ROUND(INDEX(挂机升级突破!$BN$6:$BN$57,卡牌消耗!AI1163)*INDEX(卡牌消耗!$B$8:$F$8,AG1163)/$Q$4/50,0)*50</f>
        <v>1800</v>
      </c>
      <c r="AL1163" s="14" t="str">
        <f>IF(AD1163&gt;0,INDEX(挂机升级突破!$BX$4:$CH$4,AD1163),"")</f>
        <v>紫色基础材料</v>
      </c>
      <c r="AM1163" s="14">
        <f>ROUND(INDEX(挂机升级突破!$BX$6:$CH$57,卡牌消耗!AI1163,AD1163)*INDEX(卡牌消耗!$B$5:$F$5,AG1163)/$Q$4/5,0)*5</f>
        <v>135</v>
      </c>
      <c r="AN1163" s="14" t="str">
        <f>IF(AE1163&gt;0,INDEX(挂机升级突破!$BX$4:$CH$4,AE1163),"")</f>
        <v/>
      </c>
      <c r="AO1163" s="14" t="str">
        <f>IF(AE1163&gt;0,ROUND(INDEX(挂机升级突破!$BX$6:$CH$57,卡牌消耗!AI1163,AE1163)*INDEX(卡牌消耗!$B$7:$F$7,AG1163)/$Q$4,0),"")</f>
        <v/>
      </c>
    </row>
    <row r="1164" spans="27:41" ht="16.5" x14ac:dyDescent="0.2">
      <c r="AA1164" s="104">
        <v>1160</v>
      </c>
      <c r="AB1164" s="14">
        <f t="shared" si="223"/>
        <v>23</v>
      </c>
      <c r="AC1164" s="14">
        <f>INDEX(挂机升级突破!$BU$6:$BU$57,卡牌消耗!AI1164)</f>
        <v>11</v>
      </c>
      <c r="AD1164" s="14">
        <f>INDEX(挂机升级突破!BV$6:BV$57,卡牌消耗!$AI1164)</f>
        <v>3</v>
      </c>
      <c r="AE1164" s="14">
        <f>INDEX(挂机升级突破!BW$6:BW$57,卡牌消耗!$AI1164)</f>
        <v>0</v>
      </c>
      <c r="AF1164" s="14" t="str">
        <f t="shared" si="224"/>
        <v>异邦刀客</v>
      </c>
      <c r="AG1164" s="14">
        <f t="shared" si="225"/>
        <v>2</v>
      </c>
      <c r="AH1164" s="14" t="str">
        <f t="shared" si="226"/>
        <v>异邦刀客魂火-16</v>
      </c>
      <c r="AI1164" s="14">
        <f t="shared" si="227"/>
        <v>16</v>
      </c>
      <c r="AJ1164" s="14" t="str">
        <f>INDEX(挂机升级突破!$BX$4:$CH$4,INDEX(挂机升级突破!$BU$6:$BU$57,卡牌消耗!AI1164))</f>
        <v>金币</v>
      </c>
      <c r="AK1164" s="14">
        <f>ROUND(INDEX(挂机升级突破!$BN$6:$BN$57,卡牌消耗!AI1164)*INDEX(卡牌消耗!$B$8:$F$8,AG1164)/$Q$4/50,0)*50</f>
        <v>1800</v>
      </c>
      <c r="AL1164" s="14" t="str">
        <f>IF(AD1164&gt;0,INDEX(挂机升级突破!$BX$4:$CH$4,AD1164),"")</f>
        <v>紫色基础材料</v>
      </c>
      <c r="AM1164" s="14">
        <f>ROUND(INDEX(挂机升级突破!$BX$6:$CH$57,卡牌消耗!AI1164,AD1164)*INDEX(卡牌消耗!$B$5:$F$5,AG1164)/$Q$4/5,0)*5</f>
        <v>135</v>
      </c>
      <c r="AN1164" s="14" t="str">
        <f>IF(AE1164&gt;0,INDEX(挂机升级突破!$BX$4:$CH$4,AE1164),"")</f>
        <v/>
      </c>
      <c r="AO1164" s="14" t="str">
        <f>IF(AE1164&gt;0,ROUND(INDEX(挂机升级突破!$BX$6:$CH$57,卡牌消耗!AI1164,AE1164)*INDEX(卡牌消耗!$B$7:$F$7,AG1164)/$Q$4,0),"")</f>
        <v/>
      </c>
    </row>
    <row r="1165" spans="27:41" ht="16.5" x14ac:dyDescent="0.2">
      <c r="AA1165" s="104">
        <v>1161</v>
      </c>
      <c r="AB1165" s="14">
        <f t="shared" si="223"/>
        <v>23</v>
      </c>
      <c r="AC1165" s="14">
        <f>INDEX(挂机升级突破!$BU$6:$BU$57,卡牌消耗!AI1165)</f>
        <v>11</v>
      </c>
      <c r="AD1165" s="14">
        <f>INDEX(挂机升级突破!BV$6:BV$57,卡牌消耗!$AI1165)</f>
        <v>3</v>
      </c>
      <c r="AE1165" s="14">
        <f>INDEX(挂机升级突破!BW$6:BW$57,卡牌消耗!$AI1165)</f>
        <v>0</v>
      </c>
      <c r="AF1165" s="14" t="str">
        <f t="shared" si="224"/>
        <v>异邦刀客</v>
      </c>
      <c r="AG1165" s="14">
        <f t="shared" si="225"/>
        <v>2</v>
      </c>
      <c r="AH1165" s="14" t="str">
        <f t="shared" si="226"/>
        <v>异邦刀客魂火-17</v>
      </c>
      <c r="AI1165" s="14">
        <f t="shared" si="227"/>
        <v>17</v>
      </c>
      <c r="AJ1165" s="14" t="str">
        <f>INDEX(挂机升级突破!$BX$4:$CH$4,INDEX(挂机升级突破!$BU$6:$BU$57,卡牌消耗!AI1165))</f>
        <v>金币</v>
      </c>
      <c r="AK1165" s="14">
        <f>ROUND(INDEX(挂机升级突破!$BN$6:$BN$57,卡牌消耗!AI1165)*INDEX(卡牌消耗!$B$8:$F$8,AG1165)/$Q$4/50,0)*50</f>
        <v>2250</v>
      </c>
      <c r="AL1165" s="14" t="str">
        <f>IF(AD1165&gt;0,INDEX(挂机升级突破!$BX$4:$CH$4,AD1165),"")</f>
        <v>紫色基础材料</v>
      </c>
      <c r="AM1165" s="14">
        <f>ROUND(INDEX(挂机升级突破!$BX$6:$CH$57,卡牌消耗!AI1165,AD1165)*INDEX(卡牌消耗!$B$5:$F$5,AG1165)/$Q$4/5,0)*5</f>
        <v>270</v>
      </c>
      <c r="AN1165" s="14" t="str">
        <f>IF(AE1165&gt;0,INDEX(挂机升级突破!$BX$4:$CH$4,AE1165),"")</f>
        <v/>
      </c>
      <c r="AO1165" s="14" t="str">
        <f>IF(AE1165&gt;0,ROUND(INDEX(挂机升级突破!$BX$6:$CH$57,卡牌消耗!AI1165,AE1165)*INDEX(卡牌消耗!$B$7:$F$7,AG1165)/$Q$4,0),"")</f>
        <v/>
      </c>
    </row>
    <row r="1166" spans="27:41" ht="16.5" x14ac:dyDescent="0.2">
      <c r="AA1166" s="104">
        <v>1162</v>
      </c>
      <c r="AB1166" s="14">
        <f t="shared" si="223"/>
        <v>23</v>
      </c>
      <c r="AC1166" s="14">
        <f>INDEX(挂机升级突破!$BU$6:$BU$57,卡牌消耗!AI1166)</f>
        <v>11</v>
      </c>
      <c r="AD1166" s="14">
        <f>INDEX(挂机升级突破!BV$6:BV$57,卡牌消耗!$AI1166)</f>
        <v>3</v>
      </c>
      <c r="AE1166" s="14">
        <f>INDEX(挂机升级突破!BW$6:BW$57,卡牌消耗!$AI1166)</f>
        <v>0</v>
      </c>
      <c r="AF1166" s="14" t="str">
        <f t="shared" si="224"/>
        <v>异邦刀客</v>
      </c>
      <c r="AG1166" s="14">
        <f t="shared" si="225"/>
        <v>2</v>
      </c>
      <c r="AH1166" s="14" t="str">
        <f t="shared" si="226"/>
        <v>异邦刀客魂火-18</v>
      </c>
      <c r="AI1166" s="14">
        <f t="shared" si="227"/>
        <v>18</v>
      </c>
      <c r="AJ1166" s="14" t="str">
        <f>INDEX(挂机升级突破!$BX$4:$CH$4,INDEX(挂机升级突破!$BU$6:$BU$57,卡牌消耗!AI1166))</f>
        <v>金币</v>
      </c>
      <c r="AK1166" s="14">
        <f>ROUND(INDEX(挂机升级突破!$BN$6:$BN$57,卡牌消耗!AI1166)*INDEX(卡牌消耗!$B$8:$F$8,AG1166)/$Q$4/50,0)*50</f>
        <v>2250</v>
      </c>
      <c r="AL1166" s="14" t="str">
        <f>IF(AD1166&gt;0,INDEX(挂机升级突破!$BX$4:$CH$4,AD1166),"")</f>
        <v>紫色基础材料</v>
      </c>
      <c r="AM1166" s="14">
        <f>ROUND(INDEX(挂机升级突破!$BX$6:$CH$57,卡牌消耗!AI1166,AD1166)*INDEX(卡牌消耗!$B$5:$F$5,AG1166)/$Q$4/5,0)*5</f>
        <v>270</v>
      </c>
      <c r="AN1166" s="14" t="str">
        <f>IF(AE1166&gt;0,INDEX(挂机升级突破!$BX$4:$CH$4,AE1166),"")</f>
        <v/>
      </c>
      <c r="AO1166" s="14" t="str">
        <f>IF(AE1166&gt;0,ROUND(INDEX(挂机升级突破!$BX$6:$CH$57,卡牌消耗!AI1166,AE1166)*INDEX(卡牌消耗!$B$7:$F$7,AG1166)/$Q$4,0),"")</f>
        <v/>
      </c>
    </row>
    <row r="1167" spans="27:41" ht="16.5" x14ac:dyDescent="0.2">
      <c r="AA1167" s="104">
        <v>1163</v>
      </c>
      <c r="AB1167" s="14">
        <f t="shared" si="223"/>
        <v>23</v>
      </c>
      <c r="AC1167" s="14">
        <f>INDEX(挂机升级突破!$BU$6:$BU$57,卡牌消耗!AI1167)</f>
        <v>11</v>
      </c>
      <c r="AD1167" s="14">
        <f>INDEX(挂机升级突破!BV$6:BV$57,卡牌消耗!$AI1167)</f>
        <v>3</v>
      </c>
      <c r="AE1167" s="14">
        <f>INDEX(挂机升级突破!BW$6:BW$57,卡牌消耗!$AI1167)</f>
        <v>0</v>
      </c>
      <c r="AF1167" s="14" t="str">
        <f t="shared" si="224"/>
        <v>异邦刀客</v>
      </c>
      <c r="AG1167" s="14">
        <f t="shared" si="225"/>
        <v>2</v>
      </c>
      <c r="AH1167" s="14" t="str">
        <f t="shared" si="226"/>
        <v>异邦刀客魂火-19</v>
      </c>
      <c r="AI1167" s="14">
        <f t="shared" si="227"/>
        <v>19</v>
      </c>
      <c r="AJ1167" s="14" t="str">
        <f>INDEX(挂机升级突破!$BX$4:$CH$4,INDEX(挂机升级突破!$BU$6:$BU$57,卡牌消耗!AI1167))</f>
        <v>金币</v>
      </c>
      <c r="AK1167" s="14">
        <f>ROUND(INDEX(挂机升级突破!$BN$6:$BN$57,卡牌消耗!AI1167)*INDEX(卡牌消耗!$B$8:$F$8,AG1167)/$Q$4/50,0)*50</f>
        <v>2250</v>
      </c>
      <c r="AL1167" s="14" t="str">
        <f>IF(AD1167&gt;0,INDEX(挂机升级突破!$BX$4:$CH$4,AD1167),"")</f>
        <v>紫色基础材料</v>
      </c>
      <c r="AM1167" s="14">
        <f>ROUND(INDEX(挂机升级突破!$BX$6:$CH$57,卡牌消耗!AI1167,AD1167)*INDEX(卡牌消耗!$B$5:$F$5,AG1167)/$Q$4/5,0)*5</f>
        <v>270</v>
      </c>
      <c r="AN1167" s="14" t="str">
        <f>IF(AE1167&gt;0,INDEX(挂机升级突破!$BX$4:$CH$4,AE1167),"")</f>
        <v/>
      </c>
      <c r="AO1167" s="14" t="str">
        <f>IF(AE1167&gt;0,ROUND(INDEX(挂机升级突破!$BX$6:$CH$57,卡牌消耗!AI1167,AE1167)*INDEX(卡牌消耗!$B$7:$F$7,AG1167)/$Q$4,0),"")</f>
        <v/>
      </c>
    </row>
    <row r="1168" spans="27:41" ht="16.5" x14ac:dyDescent="0.2">
      <c r="AA1168" s="104">
        <v>1164</v>
      </c>
      <c r="AB1168" s="14">
        <f t="shared" si="223"/>
        <v>23</v>
      </c>
      <c r="AC1168" s="14">
        <f>INDEX(挂机升级突破!$BU$6:$BU$57,卡牌消耗!AI1168)</f>
        <v>11</v>
      </c>
      <c r="AD1168" s="14">
        <f>INDEX(挂机升级突破!BV$6:BV$57,卡牌消耗!$AI1168)</f>
        <v>3</v>
      </c>
      <c r="AE1168" s="14">
        <f>INDEX(挂机升级突破!BW$6:BW$57,卡牌消耗!$AI1168)</f>
        <v>0</v>
      </c>
      <c r="AF1168" s="14" t="str">
        <f t="shared" si="224"/>
        <v>异邦刀客</v>
      </c>
      <c r="AG1168" s="14">
        <f t="shared" si="225"/>
        <v>2</v>
      </c>
      <c r="AH1168" s="14" t="str">
        <f t="shared" si="226"/>
        <v>异邦刀客魂火-20</v>
      </c>
      <c r="AI1168" s="14">
        <f t="shared" si="227"/>
        <v>20</v>
      </c>
      <c r="AJ1168" s="14" t="str">
        <f>INDEX(挂机升级突破!$BX$4:$CH$4,INDEX(挂机升级突破!$BU$6:$BU$57,卡牌消耗!AI1168))</f>
        <v>金币</v>
      </c>
      <c r="AK1168" s="14">
        <f>ROUND(INDEX(挂机升级突破!$BN$6:$BN$57,卡牌消耗!AI1168)*INDEX(卡牌消耗!$B$8:$F$8,AG1168)/$Q$4/50,0)*50</f>
        <v>2750</v>
      </c>
      <c r="AL1168" s="14" t="str">
        <f>IF(AD1168&gt;0,INDEX(挂机升级突破!$BX$4:$CH$4,AD1168),"")</f>
        <v>紫色基础材料</v>
      </c>
      <c r="AM1168" s="14">
        <f>ROUND(INDEX(挂机升级突破!$BX$6:$CH$57,卡牌消耗!AI1168,AD1168)*INDEX(卡牌消耗!$B$5:$F$5,AG1168)/$Q$4/5,0)*5</f>
        <v>405</v>
      </c>
      <c r="AN1168" s="14" t="str">
        <f>IF(AE1168&gt;0,INDEX(挂机升级突破!$BX$4:$CH$4,AE1168),"")</f>
        <v/>
      </c>
      <c r="AO1168" s="14" t="str">
        <f>IF(AE1168&gt;0,ROUND(INDEX(挂机升级突破!$BX$6:$CH$57,卡牌消耗!AI1168,AE1168)*INDEX(卡牌消耗!$B$7:$F$7,AG1168)/$Q$4,0),"")</f>
        <v/>
      </c>
    </row>
    <row r="1169" spans="27:41" ht="16.5" x14ac:dyDescent="0.2">
      <c r="AA1169" s="104">
        <v>1165</v>
      </c>
      <c r="AB1169" s="14">
        <f t="shared" si="223"/>
        <v>23</v>
      </c>
      <c r="AC1169" s="14">
        <f>INDEX(挂机升级突破!$BU$6:$BU$57,卡牌消耗!AI1169)</f>
        <v>11</v>
      </c>
      <c r="AD1169" s="14">
        <f>INDEX(挂机升级突破!BV$6:BV$57,卡牌消耗!$AI1169)</f>
        <v>3</v>
      </c>
      <c r="AE1169" s="14">
        <f>INDEX(挂机升级突破!BW$6:BW$57,卡牌消耗!$AI1169)</f>
        <v>0</v>
      </c>
      <c r="AF1169" s="14" t="str">
        <f t="shared" si="224"/>
        <v>异邦刀客</v>
      </c>
      <c r="AG1169" s="14">
        <f t="shared" si="225"/>
        <v>2</v>
      </c>
      <c r="AH1169" s="14" t="str">
        <f t="shared" si="226"/>
        <v>异邦刀客魂火-21</v>
      </c>
      <c r="AI1169" s="14">
        <f t="shared" si="227"/>
        <v>21</v>
      </c>
      <c r="AJ1169" s="14" t="str">
        <f>INDEX(挂机升级突破!$BX$4:$CH$4,INDEX(挂机升级突破!$BU$6:$BU$57,卡牌消耗!AI1169))</f>
        <v>金币</v>
      </c>
      <c r="AK1169" s="14">
        <f>ROUND(INDEX(挂机升级突破!$BN$6:$BN$57,卡牌消耗!AI1169)*INDEX(卡牌消耗!$B$8:$F$8,AG1169)/$Q$4/50,0)*50</f>
        <v>2750</v>
      </c>
      <c r="AL1169" s="14" t="str">
        <f>IF(AD1169&gt;0,INDEX(挂机升级突破!$BX$4:$CH$4,AD1169),"")</f>
        <v>紫色基础材料</v>
      </c>
      <c r="AM1169" s="14">
        <f>ROUND(INDEX(挂机升级突破!$BX$6:$CH$57,卡牌消耗!AI1169,AD1169)*INDEX(卡牌消耗!$B$5:$F$5,AG1169)/$Q$4/5,0)*5</f>
        <v>405</v>
      </c>
      <c r="AN1169" s="14" t="str">
        <f>IF(AE1169&gt;0,INDEX(挂机升级突破!$BX$4:$CH$4,AE1169),"")</f>
        <v/>
      </c>
      <c r="AO1169" s="14" t="str">
        <f>IF(AE1169&gt;0,ROUND(INDEX(挂机升级突破!$BX$6:$CH$57,卡牌消耗!AI1169,AE1169)*INDEX(卡牌消耗!$B$7:$F$7,AG1169)/$Q$4,0),"")</f>
        <v/>
      </c>
    </row>
    <row r="1170" spans="27:41" ht="16.5" x14ac:dyDescent="0.2">
      <c r="AA1170" s="104">
        <v>1166</v>
      </c>
      <c r="AB1170" s="14">
        <f t="shared" si="223"/>
        <v>23</v>
      </c>
      <c r="AC1170" s="14">
        <f>INDEX(挂机升级突破!$BU$6:$BU$57,卡牌消耗!AI1170)</f>
        <v>11</v>
      </c>
      <c r="AD1170" s="14">
        <f>INDEX(挂机升级突破!BV$6:BV$57,卡牌消耗!$AI1170)</f>
        <v>3</v>
      </c>
      <c r="AE1170" s="14">
        <f>INDEX(挂机升级突破!BW$6:BW$57,卡牌消耗!$AI1170)</f>
        <v>0</v>
      </c>
      <c r="AF1170" s="14" t="str">
        <f t="shared" si="224"/>
        <v>异邦刀客</v>
      </c>
      <c r="AG1170" s="14">
        <f t="shared" si="225"/>
        <v>2</v>
      </c>
      <c r="AH1170" s="14" t="str">
        <f t="shared" si="226"/>
        <v>异邦刀客魂火-22</v>
      </c>
      <c r="AI1170" s="14">
        <f t="shared" si="227"/>
        <v>22</v>
      </c>
      <c r="AJ1170" s="14" t="str">
        <f>INDEX(挂机升级突破!$BX$4:$CH$4,INDEX(挂机升级突破!$BU$6:$BU$57,卡牌消耗!AI1170))</f>
        <v>金币</v>
      </c>
      <c r="AK1170" s="14">
        <f>ROUND(INDEX(挂机升级突破!$BN$6:$BN$57,卡牌消耗!AI1170)*INDEX(卡牌消耗!$B$8:$F$8,AG1170)/$Q$4/50,0)*50</f>
        <v>2750</v>
      </c>
      <c r="AL1170" s="14" t="str">
        <f>IF(AD1170&gt;0,INDEX(挂机升级突破!$BX$4:$CH$4,AD1170),"")</f>
        <v>紫色基础材料</v>
      </c>
      <c r="AM1170" s="14">
        <f>ROUND(INDEX(挂机升级突破!$BX$6:$CH$57,卡牌消耗!AI1170,AD1170)*INDEX(卡牌消耗!$B$5:$F$5,AG1170)/$Q$4/5,0)*5</f>
        <v>405</v>
      </c>
      <c r="AN1170" s="14" t="str">
        <f>IF(AE1170&gt;0,INDEX(挂机升级突破!$BX$4:$CH$4,AE1170),"")</f>
        <v/>
      </c>
      <c r="AO1170" s="14" t="str">
        <f>IF(AE1170&gt;0,ROUND(INDEX(挂机升级突破!$BX$6:$CH$57,卡牌消耗!AI1170,AE1170)*INDEX(卡牌消耗!$B$7:$F$7,AG1170)/$Q$4,0),"")</f>
        <v/>
      </c>
    </row>
    <row r="1171" spans="27:41" ht="16.5" x14ac:dyDescent="0.2">
      <c r="AA1171" s="104">
        <v>1167</v>
      </c>
      <c r="AB1171" s="14">
        <f t="shared" si="223"/>
        <v>23</v>
      </c>
      <c r="AC1171" s="14">
        <f>INDEX(挂机升级突破!$BU$6:$BU$57,卡牌消耗!AI1171)</f>
        <v>11</v>
      </c>
      <c r="AD1171" s="14">
        <f>INDEX(挂机升级突破!BV$6:BV$57,卡牌消耗!$AI1171)</f>
        <v>4</v>
      </c>
      <c r="AE1171" s="14">
        <f>INDEX(挂机升级突破!BW$6:BW$57,卡牌消耗!$AI1171)</f>
        <v>0</v>
      </c>
      <c r="AF1171" s="14" t="str">
        <f t="shared" si="224"/>
        <v>异邦刀客</v>
      </c>
      <c r="AG1171" s="14">
        <f t="shared" si="225"/>
        <v>2</v>
      </c>
      <c r="AH1171" s="14" t="str">
        <f t="shared" si="226"/>
        <v>异邦刀客魂火-23</v>
      </c>
      <c r="AI1171" s="14">
        <f t="shared" si="227"/>
        <v>23</v>
      </c>
      <c r="AJ1171" s="14" t="str">
        <f>INDEX(挂机升级突破!$BX$4:$CH$4,INDEX(挂机升级突破!$BU$6:$BU$57,卡牌消耗!AI1171))</f>
        <v>金币</v>
      </c>
      <c r="AK1171" s="14">
        <f>ROUND(INDEX(挂机升级突破!$BN$6:$BN$57,卡牌消耗!AI1171)*INDEX(卡牌消耗!$B$8:$F$8,AG1171)/$Q$4/50,0)*50</f>
        <v>3750</v>
      </c>
      <c r="AL1171" s="14" t="str">
        <f>IF(AD1171&gt;0,INDEX(挂机升级突破!$BX$4:$CH$4,AD1171),"")</f>
        <v>橙色基础材料</v>
      </c>
      <c r="AM1171" s="14">
        <f>ROUND(INDEX(挂机升级突破!$BX$6:$CH$57,卡牌消耗!AI1171,AD1171)*INDEX(卡牌消耗!$B$5:$F$5,AG1171)/$Q$4/5,0)*5</f>
        <v>55</v>
      </c>
      <c r="AN1171" s="14" t="str">
        <f>IF(AE1171&gt;0,INDEX(挂机升级突破!$BX$4:$CH$4,AE1171),"")</f>
        <v/>
      </c>
      <c r="AO1171" s="14" t="str">
        <f>IF(AE1171&gt;0,ROUND(INDEX(挂机升级突破!$BX$6:$CH$57,卡牌消耗!AI1171,AE1171)*INDEX(卡牌消耗!$B$7:$F$7,AG1171)/$Q$4,0),"")</f>
        <v/>
      </c>
    </row>
    <row r="1172" spans="27:41" ht="16.5" x14ac:dyDescent="0.2">
      <c r="AA1172" s="104">
        <v>1168</v>
      </c>
      <c r="AB1172" s="14">
        <f t="shared" si="223"/>
        <v>23</v>
      </c>
      <c r="AC1172" s="14">
        <f>INDEX(挂机升级突破!$BU$6:$BU$57,卡牌消耗!AI1172)</f>
        <v>11</v>
      </c>
      <c r="AD1172" s="14">
        <f>INDEX(挂机升级突破!BV$6:BV$57,卡牌消耗!$AI1172)</f>
        <v>4</v>
      </c>
      <c r="AE1172" s="14">
        <f>INDEX(挂机升级突破!BW$6:BW$57,卡牌消耗!$AI1172)</f>
        <v>0</v>
      </c>
      <c r="AF1172" s="14" t="str">
        <f t="shared" si="224"/>
        <v>异邦刀客</v>
      </c>
      <c r="AG1172" s="14">
        <f t="shared" si="225"/>
        <v>2</v>
      </c>
      <c r="AH1172" s="14" t="str">
        <f t="shared" si="226"/>
        <v>异邦刀客魂火-24</v>
      </c>
      <c r="AI1172" s="14">
        <f t="shared" si="227"/>
        <v>24</v>
      </c>
      <c r="AJ1172" s="14" t="str">
        <f>INDEX(挂机升级突破!$BX$4:$CH$4,INDEX(挂机升级突破!$BU$6:$BU$57,卡牌消耗!AI1172))</f>
        <v>金币</v>
      </c>
      <c r="AK1172" s="14">
        <f>ROUND(INDEX(挂机升级突破!$BN$6:$BN$57,卡牌消耗!AI1172)*INDEX(卡牌消耗!$B$8:$F$8,AG1172)/$Q$4/50,0)*50</f>
        <v>3750</v>
      </c>
      <c r="AL1172" s="14" t="str">
        <f>IF(AD1172&gt;0,INDEX(挂机升级突破!$BX$4:$CH$4,AD1172),"")</f>
        <v>橙色基础材料</v>
      </c>
      <c r="AM1172" s="14">
        <f>ROUND(INDEX(挂机升级突破!$BX$6:$CH$57,卡牌消耗!AI1172,AD1172)*INDEX(卡牌消耗!$B$5:$F$5,AG1172)/$Q$4/5,0)*5</f>
        <v>55</v>
      </c>
      <c r="AN1172" s="14" t="str">
        <f>IF(AE1172&gt;0,INDEX(挂机升级突破!$BX$4:$CH$4,AE1172),"")</f>
        <v/>
      </c>
      <c r="AO1172" s="14" t="str">
        <f>IF(AE1172&gt;0,ROUND(INDEX(挂机升级突破!$BX$6:$CH$57,卡牌消耗!AI1172,AE1172)*INDEX(卡牌消耗!$B$7:$F$7,AG1172)/$Q$4,0),"")</f>
        <v/>
      </c>
    </row>
    <row r="1173" spans="27:41" ht="16.5" x14ac:dyDescent="0.2">
      <c r="AA1173" s="104">
        <v>1169</v>
      </c>
      <c r="AB1173" s="14">
        <f t="shared" si="223"/>
        <v>23</v>
      </c>
      <c r="AC1173" s="14">
        <f>INDEX(挂机升级突破!$BU$6:$BU$57,卡牌消耗!AI1173)</f>
        <v>11</v>
      </c>
      <c r="AD1173" s="14">
        <f>INDEX(挂机升级突破!BV$6:BV$57,卡牌消耗!$AI1173)</f>
        <v>4</v>
      </c>
      <c r="AE1173" s="14">
        <f>INDEX(挂机升级突破!BW$6:BW$57,卡牌消耗!$AI1173)</f>
        <v>0</v>
      </c>
      <c r="AF1173" s="14" t="str">
        <f t="shared" si="224"/>
        <v>异邦刀客</v>
      </c>
      <c r="AG1173" s="14">
        <f t="shared" si="225"/>
        <v>2</v>
      </c>
      <c r="AH1173" s="14" t="str">
        <f t="shared" si="226"/>
        <v>异邦刀客魂火-25</v>
      </c>
      <c r="AI1173" s="14">
        <f t="shared" si="227"/>
        <v>25</v>
      </c>
      <c r="AJ1173" s="14" t="str">
        <f>INDEX(挂机升级突破!$BX$4:$CH$4,INDEX(挂机升级突破!$BU$6:$BU$57,卡牌消耗!AI1173))</f>
        <v>金币</v>
      </c>
      <c r="AK1173" s="14">
        <f>ROUND(INDEX(挂机升级突破!$BN$6:$BN$57,卡牌消耗!AI1173)*INDEX(卡牌消耗!$B$8:$F$8,AG1173)/$Q$4/50,0)*50</f>
        <v>4100</v>
      </c>
      <c r="AL1173" s="14" t="str">
        <f>IF(AD1173&gt;0,INDEX(挂机升级突破!$BX$4:$CH$4,AD1173),"")</f>
        <v>橙色基础材料</v>
      </c>
      <c r="AM1173" s="14">
        <f>ROUND(INDEX(挂机升级突破!$BX$6:$CH$57,卡牌消耗!AI1173,AD1173)*INDEX(卡牌消耗!$B$5:$F$5,AG1173)/$Q$4/5,0)*5</f>
        <v>55</v>
      </c>
      <c r="AN1173" s="14" t="str">
        <f>IF(AE1173&gt;0,INDEX(挂机升级突破!$BX$4:$CH$4,AE1173),"")</f>
        <v/>
      </c>
      <c r="AO1173" s="14" t="str">
        <f>IF(AE1173&gt;0,ROUND(INDEX(挂机升级突破!$BX$6:$CH$57,卡牌消耗!AI1173,AE1173)*INDEX(卡牌消耗!$B$7:$F$7,AG1173)/$Q$4,0),"")</f>
        <v/>
      </c>
    </row>
    <row r="1174" spans="27:41" ht="16.5" x14ac:dyDescent="0.2">
      <c r="AA1174" s="104">
        <v>1170</v>
      </c>
      <c r="AB1174" s="14">
        <f t="shared" si="223"/>
        <v>23</v>
      </c>
      <c r="AC1174" s="14">
        <f>INDEX(挂机升级突破!$BU$6:$BU$57,卡牌消耗!AI1174)</f>
        <v>11</v>
      </c>
      <c r="AD1174" s="14">
        <f>INDEX(挂机升级突破!BV$6:BV$57,卡牌消耗!$AI1174)</f>
        <v>4</v>
      </c>
      <c r="AE1174" s="14">
        <f>INDEX(挂机升级突破!BW$6:BW$57,卡牌消耗!$AI1174)</f>
        <v>0</v>
      </c>
      <c r="AF1174" s="14" t="str">
        <f t="shared" si="224"/>
        <v>异邦刀客</v>
      </c>
      <c r="AG1174" s="14">
        <f t="shared" si="225"/>
        <v>2</v>
      </c>
      <c r="AH1174" s="14" t="str">
        <f t="shared" si="226"/>
        <v>异邦刀客魂火-26</v>
      </c>
      <c r="AI1174" s="14">
        <f t="shared" si="227"/>
        <v>26</v>
      </c>
      <c r="AJ1174" s="14" t="str">
        <f>INDEX(挂机升级突破!$BX$4:$CH$4,INDEX(挂机升级突破!$BU$6:$BU$57,卡牌消耗!AI1174))</f>
        <v>金币</v>
      </c>
      <c r="AK1174" s="14">
        <f>ROUND(INDEX(挂机升级突破!$BN$6:$BN$57,卡牌消耗!AI1174)*INDEX(卡牌消耗!$B$8:$F$8,AG1174)/$Q$4/50,0)*50</f>
        <v>4800</v>
      </c>
      <c r="AL1174" s="14" t="str">
        <f>IF(AD1174&gt;0,INDEX(挂机升级突破!$BX$4:$CH$4,AD1174),"")</f>
        <v>橙色基础材料</v>
      </c>
      <c r="AM1174" s="14">
        <f>ROUND(INDEX(挂机升级突破!$BX$6:$CH$57,卡牌消耗!AI1174,AD1174)*INDEX(卡牌消耗!$B$5:$F$5,AG1174)/$Q$4/5,0)*5</f>
        <v>65</v>
      </c>
      <c r="AN1174" s="14" t="str">
        <f>IF(AE1174&gt;0,INDEX(挂机升级突破!$BX$4:$CH$4,AE1174),"")</f>
        <v/>
      </c>
      <c r="AO1174" s="14" t="str">
        <f>IF(AE1174&gt;0,ROUND(INDEX(挂机升级突破!$BX$6:$CH$57,卡牌消耗!AI1174,AE1174)*INDEX(卡牌消耗!$B$7:$F$7,AG1174)/$Q$4,0),"")</f>
        <v/>
      </c>
    </row>
    <row r="1175" spans="27:41" ht="16.5" x14ac:dyDescent="0.2">
      <c r="AA1175" s="104">
        <v>1171</v>
      </c>
      <c r="AB1175" s="14">
        <f t="shared" si="223"/>
        <v>23</v>
      </c>
      <c r="AC1175" s="14">
        <f>INDEX(挂机升级突破!$BU$6:$BU$57,卡牌消耗!AI1175)</f>
        <v>11</v>
      </c>
      <c r="AD1175" s="14">
        <f>INDEX(挂机升级突破!BV$6:BV$57,卡牌消耗!$AI1175)</f>
        <v>4</v>
      </c>
      <c r="AE1175" s="14">
        <f>INDEX(挂机升级突破!BW$6:BW$57,卡牌消耗!$AI1175)</f>
        <v>0</v>
      </c>
      <c r="AF1175" s="14" t="str">
        <f t="shared" si="224"/>
        <v>异邦刀客</v>
      </c>
      <c r="AG1175" s="14">
        <f t="shared" si="225"/>
        <v>2</v>
      </c>
      <c r="AH1175" s="14" t="str">
        <f t="shared" si="226"/>
        <v>异邦刀客魂火-27</v>
      </c>
      <c r="AI1175" s="14">
        <f t="shared" si="227"/>
        <v>27</v>
      </c>
      <c r="AJ1175" s="14" t="str">
        <f>INDEX(挂机升级突破!$BX$4:$CH$4,INDEX(挂机升级突破!$BU$6:$BU$57,卡牌消耗!AI1175))</f>
        <v>金币</v>
      </c>
      <c r="AK1175" s="14">
        <f>ROUND(INDEX(挂机升级突破!$BN$6:$BN$57,卡牌消耗!AI1175)*INDEX(卡牌消耗!$B$8:$F$8,AG1175)/$Q$4/50,0)*50</f>
        <v>4800</v>
      </c>
      <c r="AL1175" s="14" t="str">
        <f>IF(AD1175&gt;0,INDEX(挂机升级突破!$BX$4:$CH$4,AD1175),"")</f>
        <v>橙色基础材料</v>
      </c>
      <c r="AM1175" s="14">
        <f>ROUND(INDEX(挂机升级突破!$BX$6:$CH$57,卡牌消耗!AI1175,AD1175)*INDEX(卡牌消耗!$B$5:$F$5,AG1175)/$Q$4/5,0)*5</f>
        <v>65</v>
      </c>
      <c r="AN1175" s="14" t="str">
        <f>IF(AE1175&gt;0,INDEX(挂机升级突破!$BX$4:$CH$4,AE1175),"")</f>
        <v/>
      </c>
      <c r="AO1175" s="14" t="str">
        <f>IF(AE1175&gt;0,ROUND(INDEX(挂机升级突破!$BX$6:$CH$57,卡牌消耗!AI1175,AE1175)*INDEX(卡牌消耗!$B$7:$F$7,AG1175)/$Q$4,0),"")</f>
        <v/>
      </c>
    </row>
    <row r="1176" spans="27:41" ht="16.5" x14ac:dyDescent="0.2">
      <c r="AA1176" s="104">
        <v>1172</v>
      </c>
      <c r="AB1176" s="14">
        <f t="shared" si="223"/>
        <v>23</v>
      </c>
      <c r="AC1176" s="14">
        <f>INDEX(挂机升级突破!$BU$6:$BU$57,卡牌消耗!AI1176)</f>
        <v>11</v>
      </c>
      <c r="AD1176" s="14">
        <f>INDEX(挂机升级突破!BV$6:BV$57,卡牌消耗!$AI1176)</f>
        <v>4</v>
      </c>
      <c r="AE1176" s="14">
        <f>INDEX(挂机升级突破!BW$6:BW$57,卡牌消耗!$AI1176)</f>
        <v>0</v>
      </c>
      <c r="AF1176" s="14" t="str">
        <f t="shared" si="224"/>
        <v>异邦刀客</v>
      </c>
      <c r="AG1176" s="14">
        <f t="shared" si="225"/>
        <v>2</v>
      </c>
      <c r="AH1176" s="14" t="str">
        <f t="shared" si="226"/>
        <v>异邦刀客魂火-28</v>
      </c>
      <c r="AI1176" s="14">
        <f t="shared" si="227"/>
        <v>28</v>
      </c>
      <c r="AJ1176" s="14" t="str">
        <f>INDEX(挂机升级突破!$BX$4:$CH$4,INDEX(挂机升级突破!$BU$6:$BU$57,卡牌消耗!AI1176))</f>
        <v>金币</v>
      </c>
      <c r="AK1176" s="14">
        <f>ROUND(INDEX(挂机升级突破!$BN$6:$BN$57,卡牌消耗!AI1176)*INDEX(卡牌消耗!$B$8:$F$8,AG1176)/$Q$4/50,0)*50</f>
        <v>4800</v>
      </c>
      <c r="AL1176" s="14" t="str">
        <f>IF(AD1176&gt;0,INDEX(挂机升级突破!$BX$4:$CH$4,AD1176),"")</f>
        <v>橙色基础材料</v>
      </c>
      <c r="AM1176" s="14">
        <f>ROUND(INDEX(挂机升级突破!$BX$6:$CH$57,卡牌消耗!AI1176,AD1176)*INDEX(卡牌消耗!$B$5:$F$5,AG1176)/$Q$4/5,0)*5</f>
        <v>65</v>
      </c>
      <c r="AN1176" s="14" t="str">
        <f>IF(AE1176&gt;0,INDEX(挂机升级突破!$BX$4:$CH$4,AE1176),"")</f>
        <v/>
      </c>
      <c r="AO1176" s="14" t="str">
        <f>IF(AE1176&gt;0,ROUND(INDEX(挂机升级突破!$BX$6:$CH$57,卡牌消耗!AI1176,AE1176)*INDEX(卡牌消耗!$B$7:$F$7,AG1176)/$Q$4,0),"")</f>
        <v/>
      </c>
    </row>
    <row r="1177" spans="27:41" ht="16.5" x14ac:dyDescent="0.2">
      <c r="AA1177" s="104">
        <v>1173</v>
      </c>
      <c r="AB1177" s="14">
        <f t="shared" si="223"/>
        <v>23</v>
      </c>
      <c r="AC1177" s="14">
        <f>INDEX(挂机升级突破!$BU$6:$BU$57,卡牌消耗!AI1177)</f>
        <v>11</v>
      </c>
      <c r="AD1177" s="14">
        <f>INDEX(挂机升级突破!BV$6:BV$57,卡牌消耗!$AI1177)</f>
        <v>4</v>
      </c>
      <c r="AE1177" s="14">
        <f>INDEX(挂机升级突破!BW$6:BW$57,卡牌消耗!$AI1177)</f>
        <v>0</v>
      </c>
      <c r="AF1177" s="14" t="str">
        <f t="shared" si="224"/>
        <v>异邦刀客</v>
      </c>
      <c r="AG1177" s="14">
        <f t="shared" si="225"/>
        <v>2</v>
      </c>
      <c r="AH1177" s="14" t="str">
        <f t="shared" si="226"/>
        <v>异邦刀客魂火-29</v>
      </c>
      <c r="AI1177" s="14">
        <f t="shared" si="227"/>
        <v>29</v>
      </c>
      <c r="AJ1177" s="14" t="str">
        <f>INDEX(挂机升级突破!$BX$4:$CH$4,INDEX(挂机升级突破!$BU$6:$BU$57,卡牌消耗!AI1177))</f>
        <v>金币</v>
      </c>
      <c r="AK1177" s="14">
        <f>ROUND(INDEX(挂机升级突破!$BN$6:$BN$57,卡牌消耗!AI1177)*INDEX(卡牌消耗!$B$8:$F$8,AG1177)/$Q$4/50,0)*50</f>
        <v>4850</v>
      </c>
      <c r="AL1177" s="14" t="str">
        <f>IF(AD1177&gt;0,INDEX(挂机升级突破!$BX$4:$CH$4,AD1177),"")</f>
        <v>橙色基础材料</v>
      </c>
      <c r="AM1177" s="14">
        <f>ROUND(INDEX(挂机升级突破!$BX$6:$CH$57,卡牌消耗!AI1177,AD1177)*INDEX(卡牌消耗!$B$5:$F$5,AG1177)/$Q$4/5,0)*5</f>
        <v>80</v>
      </c>
      <c r="AN1177" s="14" t="str">
        <f>IF(AE1177&gt;0,INDEX(挂机升级突破!$BX$4:$CH$4,AE1177),"")</f>
        <v/>
      </c>
      <c r="AO1177" s="14" t="str">
        <f>IF(AE1177&gt;0,ROUND(INDEX(挂机升级突破!$BX$6:$CH$57,卡牌消耗!AI1177,AE1177)*INDEX(卡牌消耗!$B$7:$F$7,AG1177)/$Q$4,0),"")</f>
        <v/>
      </c>
    </row>
    <row r="1178" spans="27:41" ht="16.5" x14ac:dyDescent="0.2">
      <c r="AA1178" s="104">
        <v>1174</v>
      </c>
      <c r="AB1178" s="14">
        <f t="shared" si="223"/>
        <v>23</v>
      </c>
      <c r="AC1178" s="14">
        <f>INDEX(挂机升级突破!$BU$6:$BU$57,卡牌消耗!AI1178)</f>
        <v>11</v>
      </c>
      <c r="AD1178" s="14">
        <f>INDEX(挂机升级突破!BV$6:BV$57,卡牌消耗!$AI1178)</f>
        <v>4</v>
      </c>
      <c r="AE1178" s="14">
        <f>INDEX(挂机升级突破!BW$6:BW$57,卡牌消耗!$AI1178)</f>
        <v>0</v>
      </c>
      <c r="AF1178" s="14" t="str">
        <f t="shared" si="224"/>
        <v>异邦刀客</v>
      </c>
      <c r="AG1178" s="14">
        <f t="shared" si="225"/>
        <v>2</v>
      </c>
      <c r="AH1178" s="14" t="str">
        <f t="shared" si="226"/>
        <v>异邦刀客魂火-30</v>
      </c>
      <c r="AI1178" s="14">
        <f t="shared" si="227"/>
        <v>30</v>
      </c>
      <c r="AJ1178" s="14" t="str">
        <f>INDEX(挂机升级突破!$BX$4:$CH$4,INDEX(挂机升级突破!$BU$6:$BU$57,卡牌消耗!AI1178))</f>
        <v>金币</v>
      </c>
      <c r="AK1178" s="14">
        <f>ROUND(INDEX(挂机升级突破!$BN$6:$BN$57,卡牌消耗!AI1178)*INDEX(卡牌消耗!$B$8:$F$8,AG1178)/$Q$4/50,0)*50</f>
        <v>4850</v>
      </c>
      <c r="AL1178" s="14" t="str">
        <f>IF(AD1178&gt;0,INDEX(挂机升级突破!$BX$4:$CH$4,AD1178),"")</f>
        <v>橙色基础材料</v>
      </c>
      <c r="AM1178" s="14">
        <f>ROUND(INDEX(挂机升级突破!$BX$6:$CH$57,卡牌消耗!AI1178,AD1178)*INDEX(卡牌消耗!$B$5:$F$5,AG1178)/$Q$4/5,0)*5</f>
        <v>80</v>
      </c>
      <c r="AN1178" s="14" t="str">
        <f>IF(AE1178&gt;0,INDEX(挂机升级突破!$BX$4:$CH$4,AE1178),"")</f>
        <v/>
      </c>
      <c r="AO1178" s="14" t="str">
        <f>IF(AE1178&gt;0,ROUND(INDEX(挂机升级突破!$BX$6:$CH$57,卡牌消耗!AI1178,AE1178)*INDEX(卡牌消耗!$B$7:$F$7,AG1178)/$Q$4,0),"")</f>
        <v/>
      </c>
    </row>
    <row r="1179" spans="27:41" ht="16.5" x14ac:dyDescent="0.2">
      <c r="AA1179" s="104">
        <v>1175</v>
      </c>
      <c r="AB1179" s="14">
        <f t="shared" si="223"/>
        <v>23</v>
      </c>
      <c r="AC1179" s="14">
        <f>INDEX(挂机升级突破!$BU$6:$BU$57,卡牌消耗!AI1179)</f>
        <v>11</v>
      </c>
      <c r="AD1179" s="14">
        <f>INDEX(挂机升级突破!BV$6:BV$57,卡牌消耗!$AI1179)</f>
        <v>4</v>
      </c>
      <c r="AE1179" s="14">
        <f>INDEX(挂机升级突破!BW$6:BW$57,卡牌消耗!$AI1179)</f>
        <v>0</v>
      </c>
      <c r="AF1179" s="14" t="str">
        <f t="shared" si="224"/>
        <v>异邦刀客</v>
      </c>
      <c r="AG1179" s="14">
        <f t="shared" si="225"/>
        <v>2</v>
      </c>
      <c r="AH1179" s="14" t="str">
        <f t="shared" si="226"/>
        <v>异邦刀客魂火-31</v>
      </c>
      <c r="AI1179" s="14">
        <f t="shared" si="227"/>
        <v>31</v>
      </c>
      <c r="AJ1179" s="14" t="str">
        <f>INDEX(挂机升级突破!$BX$4:$CH$4,INDEX(挂机升级突破!$BU$6:$BU$57,卡牌消耗!AI1179))</f>
        <v>金币</v>
      </c>
      <c r="AK1179" s="14">
        <f>ROUND(INDEX(挂机升级突破!$BN$6:$BN$57,卡牌消耗!AI1179)*INDEX(卡牌消耗!$B$8:$F$8,AG1179)/$Q$4/50,0)*50</f>
        <v>4850</v>
      </c>
      <c r="AL1179" s="14" t="str">
        <f>IF(AD1179&gt;0,INDEX(挂机升级突破!$BX$4:$CH$4,AD1179),"")</f>
        <v>橙色基础材料</v>
      </c>
      <c r="AM1179" s="14">
        <f>ROUND(INDEX(挂机升级突破!$BX$6:$CH$57,卡牌消耗!AI1179,AD1179)*INDEX(卡牌消耗!$B$5:$F$5,AG1179)/$Q$4/5,0)*5</f>
        <v>80</v>
      </c>
      <c r="AN1179" s="14" t="str">
        <f>IF(AE1179&gt;0,INDEX(挂机升级突破!$BX$4:$CH$4,AE1179),"")</f>
        <v/>
      </c>
      <c r="AO1179" s="14" t="str">
        <f>IF(AE1179&gt;0,ROUND(INDEX(挂机升级突破!$BX$6:$CH$57,卡牌消耗!AI1179,AE1179)*INDEX(卡牌消耗!$B$7:$F$7,AG1179)/$Q$4,0),"")</f>
        <v/>
      </c>
    </row>
    <row r="1180" spans="27:41" ht="16.5" x14ac:dyDescent="0.2">
      <c r="AA1180" s="104">
        <v>1176</v>
      </c>
      <c r="AB1180" s="14">
        <f t="shared" si="223"/>
        <v>23</v>
      </c>
      <c r="AC1180" s="14">
        <f>INDEX(挂机升级突破!$BU$6:$BU$57,卡牌消耗!AI1180)</f>
        <v>11</v>
      </c>
      <c r="AD1180" s="14">
        <f>INDEX(挂机升级突破!BV$6:BV$57,卡牌消耗!$AI1180)</f>
        <v>4</v>
      </c>
      <c r="AE1180" s="14">
        <f>INDEX(挂机升级突破!BW$6:BW$57,卡牌消耗!$AI1180)</f>
        <v>0</v>
      </c>
      <c r="AF1180" s="14" t="str">
        <f t="shared" si="224"/>
        <v>异邦刀客</v>
      </c>
      <c r="AG1180" s="14">
        <f t="shared" si="225"/>
        <v>2</v>
      </c>
      <c r="AH1180" s="14" t="str">
        <f t="shared" si="226"/>
        <v>异邦刀客魂火-32</v>
      </c>
      <c r="AI1180" s="14">
        <f t="shared" si="227"/>
        <v>32</v>
      </c>
      <c r="AJ1180" s="14" t="str">
        <f>INDEX(挂机升级突破!$BX$4:$CH$4,INDEX(挂机升级突破!$BU$6:$BU$57,卡牌消耗!AI1180))</f>
        <v>金币</v>
      </c>
      <c r="AK1180" s="14">
        <f>ROUND(INDEX(挂机升级突破!$BN$6:$BN$57,卡牌消耗!AI1180)*INDEX(卡牌消耗!$B$8:$F$8,AG1180)/$Q$4/50,0)*50</f>
        <v>6650</v>
      </c>
      <c r="AL1180" s="14" t="str">
        <f>IF(AD1180&gt;0,INDEX(挂机升级突破!$BX$4:$CH$4,AD1180),"")</f>
        <v>橙色基础材料</v>
      </c>
      <c r="AM1180" s="14">
        <f>ROUND(INDEX(挂机升级突破!$BX$6:$CH$57,卡牌消耗!AI1180,AD1180)*INDEX(卡牌消耗!$B$5:$F$5,AG1180)/$Q$4/5,0)*5</f>
        <v>80</v>
      </c>
      <c r="AN1180" s="14" t="str">
        <f>IF(AE1180&gt;0,INDEX(挂机升级突破!$BX$4:$CH$4,AE1180),"")</f>
        <v/>
      </c>
      <c r="AO1180" s="14" t="str">
        <f>IF(AE1180&gt;0,ROUND(INDEX(挂机升级突破!$BX$6:$CH$57,卡牌消耗!AI1180,AE1180)*INDEX(卡牌消耗!$B$7:$F$7,AG1180)/$Q$4,0),"")</f>
        <v/>
      </c>
    </row>
    <row r="1181" spans="27:41" ht="16.5" x14ac:dyDescent="0.2">
      <c r="AA1181" s="104">
        <v>1177</v>
      </c>
      <c r="AB1181" s="14">
        <f t="shared" si="223"/>
        <v>23</v>
      </c>
      <c r="AC1181" s="14">
        <f>INDEX(挂机升级突破!$BU$6:$BU$57,卡牌消耗!AI1181)</f>
        <v>11</v>
      </c>
      <c r="AD1181" s="14">
        <f>INDEX(挂机升级突破!BV$6:BV$57,卡牌消耗!$AI1181)</f>
        <v>4</v>
      </c>
      <c r="AE1181" s="14">
        <f>INDEX(挂机升级突破!BW$6:BW$57,卡牌消耗!$AI1181)</f>
        <v>0</v>
      </c>
      <c r="AF1181" s="14" t="str">
        <f t="shared" si="224"/>
        <v>异邦刀客</v>
      </c>
      <c r="AG1181" s="14">
        <f t="shared" si="225"/>
        <v>2</v>
      </c>
      <c r="AH1181" s="14" t="str">
        <f t="shared" si="226"/>
        <v>异邦刀客魂火-33</v>
      </c>
      <c r="AI1181" s="14">
        <f t="shared" si="227"/>
        <v>33</v>
      </c>
      <c r="AJ1181" s="14" t="str">
        <f>INDEX(挂机升级突破!$BX$4:$CH$4,INDEX(挂机升级突破!$BU$6:$BU$57,卡牌消耗!AI1181))</f>
        <v>金币</v>
      </c>
      <c r="AK1181" s="14">
        <f>ROUND(INDEX(挂机升级突破!$BN$6:$BN$57,卡牌消耗!AI1181)*INDEX(卡牌消耗!$B$8:$F$8,AG1181)/$Q$4/50,0)*50</f>
        <v>6650</v>
      </c>
      <c r="AL1181" s="14" t="str">
        <f>IF(AD1181&gt;0,INDEX(挂机升级突破!$BX$4:$CH$4,AD1181),"")</f>
        <v>橙色基础材料</v>
      </c>
      <c r="AM1181" s="14">
        <f>ROUND(INDEX(挂机升级突破!$BX$6:$CH$57,卡牌消耗!AI1181,AD1181)*INDEX(卡牌消耗!$B$5:$F$5,AG1181)/$Q$4/5,0)*5</f>
        <v>80</v>
      </c>
      <c r="AN1181" s="14" t="str">
        <f>IF(AE1181&gt;0,INDEX(挂机升级突破!$BX$4:$CH$4,AE1181),"")</f>
        <v/>
      </c>
      <c r="AO1181" s="14" t="str">
        <f>IF(AE1181&gt;0,ROUND(INDEX(挂机升级突破!$BX$6:$CH$57,卡牌消耗!AI1181,AE1181)*INDEX(卡牌消耗!$B$7:$F$7,AG1181)/$Q$4,0),"")</f>
        <v/>
      </c>
    </row>
    <row r="1182" spans="27:41" ht="16.5" x14ac:dyDescent="0.2">
      <c r="AA1182" s="104">
        <v>1178</v>
      </c>
      <c r="AB1182" s="14">
        <f t="shared" si="223"/>
        <v>23</v>
      </c>
      <c r="AC1182" s="14">
        <f>INDEX(挂机升级突破!$BU$6:$BU$57,卡牌消耗!AI1182)</f>
        <v>11</v>
      </c>
      <c r="AD1182" s="14">
        <f>INDEX(挂机升级突破!BV$6:BV$57,卡牌消耗!$AI1182)</f>
        <v>4</v>
      </c>
      <c r="AE1182" s="14">
        <f>INDEX(挂机升级突破!BW$6:BW$57,卡牌消耗!$AI1182)</f>
        <v>0</v>
      </c>
      <c r="AF1182" s="14" t="str">
        <f t="shared" si="224"/>
        <v>异邦刀客</v>
      </c>
      <c r="AG1182" s="14">
        <f t="shared" si="225"/>
        <v>2</v>
      </c>
      <c r="AH1182" s="14" t="str">
        <f t="shared" si="226"/>
        <v>异邦刀客魂火-34</v>
      </c>
      <c r="AI1182" s="14">
        <f t="shared" si="227"/>
        <v>34</v>
      </c>
      <c r="AJ1182" s="14" t="str">
        <f>INDEX(挂机升级突破!$BX$4:$CH$4,INDEX(挂机升级突破!$BU$6:$BU$57,卡牌消耗!AI1182))</f>
        <v>金币</v>
      </c>
      <c r="AK1182" s="14">
        <f>ROUND(INDEX(挂机升级突破!$BN$6:$BN$57,卡牌消耗!AI1182)*INDEX(卡牌消耗!$B$8:$F$8,AG1182)/$Q$4/50,0)*50</f>
        <v>6650</v>
      </c>
      <c r="AL1182" s="14" t="str">
        <f>IF(AD1182&gt;0,INDEX(挂机升级突破!$BX$4:$CH$4,AD1182),"")</f>
        <v>橙色基础材料</v>
      </c>
      <c r="AM1182" s="14">
        <f>ROUND(INDEX(挂机升级突破!$BX$6:$CH$57,卡牌消耗!AI1182,AD1182)*INDEX(卡牌消耗!$B$5:$F$5,AG1182)/$Q$4/5,0)*5</f>
        <v>90</v>
      </c>
      <c r="AN1182" s="14" t="str">
        <f>IF(AE1182&gt;0,INDEX(挂机升级突破!$BX$4:$CH$4,AE1182),"")</f>
        <v/>
      </c>
      <c r="AO1182" s="14" t="str">
        <f>IF(AE1182&gt;0,ROUND(INDEX(挂机升级突破!$BX$6:$CH$57,卡牌消耗!AI1182,AE1182)*INDEX(卡牌消耗!$B$7:$F$7,AG1182)/$Q$4,0),"")</f>
        <v/>
      </c>
    </row>
    <row r="1183" spans="27:41" ht="16.5" x14ac:dyDescent="0.2">
      <c r="AA1183" s="104">
        <v>1179</v>
      </c>
      <c r="AB1183" s="14">
        <f t="shared" si="223"/>
        <v>23</v>
      </c>
      <c r="AC1183" s="14">
        <f>INDEX(挂机升级突破!$BU$6:$BU$57,卡牌消耗!AI1183)</f>
        <v>11</v>
      </c>
      <c r="AD1183" s="14">
        <f>INDEX(挂机升级突破!BV$6:BV$57,卡牌消耗!$AI1183)</f>
        <v>4</v>
      </c>
      <c r="AE1183" s="14">
        <f>INDEX(挂机升级突破!BW$6:BW$57,卡牌消耗!$AI1183)</f>
        <v>0</v>
      </c>
      <c r="AF1183" s="14" t="str">
        <f t="shared" si="224"/>
        <v>异邦刀客</v>
      </c>
      <c r="AG1183" s="14">
        <f t="shared" si="225"/>
        <v>2</v>
      </c>
      <c r="AH1183" s="14" t="str">
        <f t="shared" si="226"/>
        <v>异邦刀客魂火-35</v>
      </c>
      <c r="AI1183" s="14">
        <f t="shared" si="227"/>
        <v>35</v>
      </c>
      <c r="AJ1183" s="14" t="str">
        <f>INDEX(挂机升级突破!$BX$4:$CH$4,INDEX(挂机升级突破!$BU$6:$BU$57,卡牌消耗!AI1183))</f>
        <v>金币</v>
      </c>
      <c r="AK1183" s="14">
        <f>ROUND(INDEX(挂机升级突破!$BN$6:$BN$57,卡牌消耗!AI1183)*INDEX(卡牌消耗!$B$8:$F$8,AG1183)/$Q$4/50,0)*50</f>
        <v>8450</v>
      </c>
      <c r="AL1183" s="14" t="str">
        <f>IF(AD1183&gt;0,INDEX(挂机升级突破!$BX$4:$CH$4,AD1183),"")</f>
        <v>橙色基础材料</v>
      </c>
      <c r="AM1183" s="14">
        <f>ROUND(INDEX(挂机升级突破!$BX$6:$CH$57,卡牌消耗!AI1183,AD1183)*INDEX(卡牌消耗!$B$5:$F$5,AG1183)/$Q$4/5,0)*5</f>
        <v>90</v>
      </c>
      <c r="AN1183" s="14" t="str">
        <f>IF(AE1183&gt;0,INDEX(挂机升级突破!$BX$4:$CH$4,AE1183),"")</f>
        <v/>
      </c>
      <c r="AO1183" s="14" t="str">
        <f>IF(AE1183&gt;0,ROUND(INDEX(挂机升级突破!$BX$6:$CH$57,卡牌消耗!AI1183,AE1183)*INDEX(卡牌消耗!$B$7:$F$7,AG1183)/$Q$4,0),"")</f>
        <v/>
      </c>
    </row>
    <row r="1184" spans="27:41" ht="16.5" x14ac:dyDescent="0.2">
      <c r="AA1184" s="104">
        <v>1180</v>
      </c>
      <c r="AB1184" s="14">
        <f t="shared" si="223"/>
        <v>23</v>
      </c>
      <c r="AC1184" s="14">
        <f>INDEX(挂机升级突破!$BU$6:$BU$57,卡牌消耗!AI1184)</f>
        <v>11</v>
      </c>
      <c r="AD1184" s="14">
        <f>INDEX(挂机升级突破!BV$6:BV$57,卡牌消耗!$AI1184)</f>
        <v>4</v>
      </c>
      <c r="AE1184" s="14">
        <f>INDEX(挂机升级突破!BW$6:BW$57,卡牌消耗!$AI1184)</f>
        <v>0</v>
      </c>
      <c r="AF1184" s="14" t="str">
        <f t="shared" si="224"/>
        <v>异邦刀客</v>
      </c>
      <c r="AG1184" s="14">
        <f t="shared" si="225"/>
        <v>2</v>
      </c>
      <c r="AH1184" s="14" t="str">
        <f t="shared" si="226"/>
        <v>异邦刀客魂火-36</v>
      </c>
      <c r="AI1184" s="14">
        <f t="shared" si="227"/>
        <v>36</v>
      </c>
      <c r="AJ1184" s="14" t="str">
        <f>INDEX(挂机升级突破!$BX$4:$CH$4,INDEX(挂机升级突破!$BU$6:$BU$57,卡牌消耗!AI1184))</f>
        <v>金币</v>
      </c>
      <c r="AK1184" s="14">
        <f>ROUND(INDEX(挂机升级突破!$BN$6:$BN$57,卡牌消耗!AI1184)*INDEX(卡牌消耗!$B$8:$F$8,AG1184)/$Q$4/50,0)*50</f>
        <v>8450</v>
      </c>
      <c r="AL1184" s="14" t="str">
        <f>IF(AD1184&gt;0,INDEX(挂机升级突破!$BX$4:$CH$4,AD1184),"")</f>
        <v>橙色基础材料</v>
      </c>
      <c r="AM1184" s="14">
        <f>ROUND(INDEX(挂机升级突破!$BX$6:$CH$57,卡牌消耗!AI1184,AD1184)*INDEX(卡牌消耗!$B$5:$F$5,AG1184)/$Q$4/5,0)*5</f>
        <v>90</v>
      </c>
      <c r="AN1184" s="14" t="str">
        <f>IF(AE1184&gt;0,INDEX(挂机升级突破!$BX$4:$CH$4,AE1184),"")</f>
        <v/>
      </c>
      <c r="AO1184" s="14" t="str">
        <f>IF(AE1184&gt;0,ROUND(INDEX(挂机升级突破!$BX$6:$CH$57,卡牌消耗!AI1184,AE1184)*INDEX(卡牌消耗!$B$7:$F$7,AG1184)/$Q$4,0),"")</f>
        <v/>
      </c>
    </row>
    <row r="1185" spans="27:41" ht="16.5" x14ac:dyDescent="0.2">
      <c r="AA1185" s="104">
        <v>1181</v>
      </c>
      <c r="AB1185" s="14">
        <f t="shared" si="223"/>
        <v>23</v>
      </c>
      <c r="AC1185" s="14">
        <f>INDEX(挂机升级突破!$BU$6:$BU$57,卡牌消耗!AI1185)</f>
        <v>11</v>
      </c>
      <c r="AD1185" s="14">
        <f>INDEX(挂机升级突破!BV$6:BV$57,卡牌消耗!$AI1185)</f>
        <v>4</v>
      </c>
      <c r="AE1185" s="14">
        <f>INDEX(挂机升级突破!BW$6:BW$57,卡牌消耗!$AI1185)</f>
        <v>0</v>
      </c>
      <c r="AF1185" s="14" t="str">
        <f t="shared" si="224"/>
        <v>异邦刀客</v>
      </c>
      <c r="AG1185" s="14">
        <f t="shared" si="225"/>
        <v>2</v>
      </c>
      <c r="AH1185" s="14" t="str">
        <f t="shared" si="226"/>
        <v>异邦刀客魂火-37</v>
      </c>
      <c r="AI1185" s="14">
        <f t="shared" si="227"/>
        <v>37</v>
      </c>
      <c r="AJ1185" s="14" t="str">
        <f>INDEX(挂机升级突破!$BX$4:$CH$4,INDEX(挂机升级突破!$BU$6:$BU$57,卡牌消耗!AI1185))</f>
        <v>金币</v>
      </c>
      <c r="AK1185" s="14">
        <f>ROUND(INDEX(挂机升级突破!$BN$6:$BN$57,卡牌消耗!AI1185)*INDEX(卡牌消耗!$B$8:$F$8,AG1185)/$Q$4/50,0)*50</f>
        <v>9050</v>
      </c>
      <c r="AL1185" s="14" t="str">
        <f>IF(AD1185&gt;0,INDEX(挂机升级突破!$BX$4:$CH$4,AD1185),"")</f>
        <v>橙色基础材料</v>
      </c>
      <c r="AM1185" s="14">
        <f>ROUND(INDEX(挂机升级突破!$BX$6:$CH$57,卡牌消耗!AI1185,AD1185)*INDEX(卡牌消耗!$B$5:$F$5,AG1185)/$Q$4/5,0)*5</f>
        <v>90</v>
      </c>
      <c r="AN1185" s="14" t="str">
        <f>IF(AE1185&gt;0,INDEX(挂机升级突破!$BX$4:$CH$4,AE1185),"")</f>
        <v/>
      </c>
      <c r="AO1185" s="14" t="str">
        <f>IF(AE1185&gt;0,ROUND(INDEX(挂机升级突破!$BX$6:$CH$57,卡牌消耗!AI1185,AE1185)*INDEX(卡牌消耗!$B$7:$F$7,AG1185)/$Q$4,0),"")</f>
        <v/>
      </c>
    </row>
    <row r="1186" spans="27:41" ht="16.5" x14ac:dyDescent="0.2">
      <c r="AA1186" s="104">
        <v>1182</v>
      </c>
      <c r="AB1186" s="14">
        <f t="shared" si="223"/>
        <v>23</v>
      </c>
      <c r="AC1186" s="14">
        <f>INDEX(挂机升级突破!$BU$6:$BU$57,卡牌消耗!AI1186)</f>
        <v>11</v>
      </c>
      <c r="AD1186" s="14">
        <f>INDEX(挂机升级突破!BV$6:BV$57,卡牌消耗!$AI1186)</f>
        <v>5</v>
      </c>
      <c r="AE1186" s="14">
        <f>INDEX(挂机升级突破!BW$6:BW$57,卡牌消耗!$AI1186)</f>
        <v>0</v>
      </c>
      <c r="AF1186" s="14" t="str">
        <f t="shared" si="224"/>
        <v>异邦刀客</v>
      </c>
      <c r="AG1186" s="14">
        <f t="shared" si="225"/>
        <v>2</v>
      </c>
      <c r="AH1186" s="14" t="str">
        <f t="shared" si="226"/>
        <v>异邦刀客魂火-38</v>
      </c>
      <c r="AI1186" s="14">
        <f t="shared" si="227"/>
        <v>38</v>
      </c>
      <c r="AJ1186" s="14" t="str">
        <f>INDEX(挂机升级突破!$BX$4:$CH$4,INDEX(挂机升级突破!$BU$6:$BU$57,卡牌消耗!AI1186))</f>
        <v>金币</v>
      </c>
      <c r="AK1186" s="14">
        <f>ROUND(INDEX(挂机升级突破!$BN$6:$BN$57,卡牌消耗!AI1186)*INDEX(卡牌消耗!$B$8:$F$8,AG1186)/$Q$4/50,0)*50</f>
        <v>11700</v>
      </c>
      <c r="AL1186" s="14" t="str">
        <f>IF(AD1186&gt;0,INDEX(挂机升级突破!$BX$4:$CH$4,AD1186),"")</f>
        <v>红色基础材料</v>
      </c>
      <c r="AM1186" s="14">
        <f>ROUND(INDEX(挂机升级突破!$BX$6:$CH$57,卡牌消耗!AI1186,AD1186)*INDEX(卡牌消耗!$B$5:$F$5,AG1186)/$Q$4/5,0)*5</f>
        <v>35</v>
      </c>
      <c r="AN1186" s="14" t="str">
        <f>IF(AE1186&gt;0,INDEX(挂机升级突破!$BX$4:$CH$4,AE1186),"")</f>
        <v/>
      </c>
      <c r="AO1186" s="14" t="str">
        <f>IF(AE1186&gt;0,ROUND(INDEX(挂机升级突破!$BX$6:$CH$57,卡牌消耗!AI1186,AE1186)*INDEX(卡牌消耗!$B$7:$F$7,AG1186)/$Q$4,0),"")</f>
        <v/>
      </c>
    </row>
    <row r="1187" spans="27:41" ht="16.5" x14ac:dyDescent="0.2">
      <c r="AA1187" s="104">
        <v>1183</v>
      </c>
      <c r="AB1187" s="14">
        <f t="shared" si="223"/>
        <v>23</v>
      </c>
      <c r="AC1187" s="14">
        <f>INDEX(挂机升级突破!$BU$6:$BU$57,卡牌消耗!AI1187)</f>
        <v>11</v>
      </c>
      <c r="AD1187" s="14">
        <f>INDEX(挂机升级突破!BV$6:BV$57,卡牌消耗!$AI1187)</f>
        <v>5</v>
      </c>
      <c r="AE1187" s="14">
        <f>INDEX(挂机升级突破!BW$6:BW$57,卡牌消耗!$AI1187)</f>
        <v>0</v>
      </c>
      <c r="AF1187" s="14" t="str">
        <f t="shared" si="224"/>
        <v>异邦刀客</v>
      </c>
      <c r="AG1187" s="14">
        <f t="shared" si="225"/>
        <v>2</v>
      </c>
      <c r="AH1187" s="14" t="str">
        <f t="shared" si="226"/>
        <v>异邦刀客魂火-39</v>
      </c>
      <c r="AI1187" s="14">
        <f t="shared" si="227"/>
        <v>39</v>
      </c>
      <c r="AJ1187" s="14" t="str">
        <f>INDEX(挂机升级突破!$BX$4:$CH$4,INDEX(挂机升级突破!$BU$6:$BU$57,卡牌消耗!AI1187))</f>
        <v>金币</v>
      </c>
      <c r="AK1187" s="14">
        <f>ROUND(INDEX(挂机升级突破!$BN$6:$BN$57,卡牌消耗!AI1187)*INDEX(卡牌消耗!$B$8:$F$8,AG1187)/$Q$4/50,0)*50</f>
        <v>11700</v>
      </c>
      <c r="AL1187" s="14" t="str">
        <f>IF(AD1187&gt;0,INDEX(挂机升级突破!$BX$4:$CH$4,AD1187),"")</f>
        <v>红色基础材料</v>
      </c>
      <c r="AM1187" s="14">
        <f>ROUND(INDEX(挂机升级突破!$BX$6:$CH$57,卡牌消耗!AI1187,AD1187)*INDEX(卡牌消耗!$B$5:$F$5,AG1187)/$Q$4/5,0)*5</f>
        <v>35</v>
      </c>
      <c r="AN1187" s="14" t="str">
        <f>IF(AE1187&gt;0,INDEX(挂机升级突破!$BX$4:$CH$4,AE1187),"")</f>
        <v/>
      </c>
      <c r="AO1187" s="14" t="str">
        <f>IF(AE1187&gt;0,ROUND(INDEX(挂机升级突破!$BX$6:$CH$57,卡牌消耗!AI1187,AE1187)*INDEX(卡牌消耗!$B$7:$F$7,AG1187)/$Q$4,0),"")</f>
        <v/>
      </c>
    </row>
    <row r="1188" spans="27:41" ht="16.5" x14ac:dyDescent="0.2">
      <c r="AA1188" s="104">
        <v>1184</v>
      </c>
      <c r="AB1188" s="14">
        <f t="shared" si="223"/>
        <v>23</v>
      </c>
      <c r="AC1188" s="14">
        <f>INDEX(挂机升级突破!$BU$6:$BU$57,卡牌消耗!AI1188)</f>
        <v>11</v>
      </c>
      <c r="AD1188" s="14">
        <f>INDEX(挂机升级突破!BV$6:BV$57,卡牌消耗!$AI1188)</f>
        <v>5</v>
      </c>
      <c r="AE1188" s="14">
        <f>INDEX(挂机升级突破!BW$6:BW$57,卡牌消耗!$AI1188)</f>
        <v>0</v>
      </c>
      <c r="AF1188" s="14" t="str">
        <f t="shared" si="224"/>
        <v>异邦刀客</v>
      </c>
      <c r="AG1188" s="14">
        <f t="shared" si="225"/>
        <v>2</v>
      </c>
      <c r="AH1188" s="14" t="str">
        <f t="shared" si="226"/>
        <v>异邦刀客魂火-40</v>
      </c>
      <c r="AI1188" s="14">
        <f t="shared" si="227"/>
        <v>40</v>
      </c>
      <c r="AJ1188" s="14" t="str">
        <f>INDEX(挂机升级突破!$BX$4:$CH$4,INDEX(挂机升级突破!$BU$6:$BU$57,卡牌消耗!AI1188))</f>
        <v>金币</v>
      </c>
      <c r="AK1188" s="14">
        <f>ROUND(INDEX(挂机升级突破!$BN$6:$BN$57,卡牌消耗!AI1188)*INDEX(卡牌消耗!$B$8:$F$8,AG1188)/$Q$4/50,0)*50</f>
        <v>11700</v>
      </c>
      <c r="AL1188" s="14" t="str">
        <f>IF(AD1188&gt;0,INDEX(挂机升级突破!$BX$4:$CH$4,AD1188),"")</f>
        <v>红色基础材料</v>
      </c>
      <c r="AM1188" s="14">
        <f>ROUND(INDEX(挂机升级突破!$BX$6:$CH$57,卡牌消耗!AI1188,AD1188)*INDEX(卡牌消耗!$B$5:$F$5,AG1188)/$Q$4/5,0)*5</f>
        <v>35</v>
      </c>
      <c r="AN1188" s="14" t="str">
        <f>IF(AE1188&gt;0,INDEX(挂机升级突破!$BX$4:$CH$4,AE1188),"")</f>
        <v/>
      </c>
      <c r="AO1188" s="14" t="str">
        <f>IF(AE1188&gt;0,ROUND(INDEX(挂机升级突破!$BX$6:$CH$57,卡牌消耗!AI1188,AE1188)*INDEX(卡牌消耗!$B$7:$F$7,AG1188)/$Q$4,0),"")</f>
        <v/>
      </c>
    </row>
    <row r="1189" spans="27:41" ht="16.5" x14ac:dyDescent="0.2">
      <c r="AA1189" s="104">
        <v>1185</v>
      </c>
      <c r="AB1189" s="14">
        <f t="shared" si="223"/>
        <v>23</v>
      </c>
      <c r="AC1189" s="14">
        <f>INDEX(挂机升级突破!$BU$6:$BU$57,卡牌消耗!AI1189)</f>
        <v>11</v>
      </c>
      <c r="AD1189" s="14">
        <f>INDEX(挂机升级突破!BV$6:BV$57,卡牌消耗!$AI1189)</f>
        <v>5</v>
      </c>
      <c r="AE1189" s="14">
        <f>INDEX(挂机升级突破!BW$6:BW$57,卡牌消耗!$AI1189)</f>
        <v>10</v>
      </c>
      <c r="AF1189" s="14" t="str">
        <f t="shared" si="224"/>
        <v>异邦刀客</v>
      </c>
      <c r="AG1189" s="14">
        <f t="shared" si="225"/>
        <v>2</v>
      </c>
      <c r="AH1189" s="14" t="str">
        <f t="shared" si="226"/>
        <v>异邦刀客魂火-41</v>
      </c>
      <c r="AI1189" s="14">
        <f t="shared" si="227"/>
        <v>41</v>
      </c>
      <c r="AJ1189" s="14" t="str">
        <f>INDEX(挂机升级突破!$BX$4:$CH$4,INDEX(挂机升级突破!$BU$6:$BU$57,卡牌消耗!AI1189))</f>
        <v>金币</v>
      </c>
      <c r="AK1189" s="14">
        <f>ROUND(INDEX(挂机升级突破!$BN$6:$BN$57,卡牌消耗!AI1189)*INDEX(卡牌消耗!$B$8:$F$8,AG1189)/$Q$4/50,0)*50</f>
        <v>16100</v>
      </c>
      <c r="AL1189" s="14" t="str">
        <f>IF(AD1189&gt;0,INDEX(挂机升级突破!$BX$4:$CH$4,AD1189),"")</f>
        <v>红色基础材料</v>
      </c>
      <c r="AM1189" s="14">
        <f>ROUND(INDEX(挂机升级突破!$BX$6:$CH$57,卡牌消耗!AI1189,AD1189)*INDEX(卡牌消耗!$B$5:$F$5,AG1189)/$Q$4/5,0)*5</f>
        <v>45</v>
      </c>
      <c r="AN1189" s="14" t="str">
        <f>IF(AE1189&gt;0,INDEX(挂机升级突破!$BX$4:$CH$4,AE1189),"")</f>
        <v>灵玉</v>
      </c>
      <c r="AO1189" s="14">
        <f>IF(AE1189&gt;0,ROUND(INDEX(挂机升级突破!$BX$6:$CH$57,卡牌消耗!AI1189,AE1189)*INDEX(卡牌消耗!$B$7:$F$7,AG1189)/$Q$4,0),"")</f>
        <v>1</v>
      </c>
    </row>
    <row r="1190" spans="27:41" ht="16.5" x14ac:dyDescent="0.2">
      <c r="AA1190" s="104">
        <v>1186</v>
      </c>
      <c r="AB1190" s="14">
        <f t="shared" si="223"/>
        <v>23</v>
      </c>
      <c r="AC1190" s="14">
        <f>INDEX(挂机升级突破!$BU$6:$BU$57,卡牌消耗!AI1190)</f>
        <v>11</v>
      </c>
      <c r="AD1190" s="14">
        <f>INDEX(挂机升级突破!BV$6:BV$57,卡牌消耗!$AI1190)</f>
        <v>5</v>
      </c>
      <c r="AE1190" s="14">
        <f>INDEX(挂机升级突破!BW$6:BW$57,卡牌消耗!$AI1190)</f>
        <v>10</v>
      </c>
      <c r="AF1190" s="14" t="str">
        <f t="shared" si="224"/>
        <v>异邦刀客</v>
      </c>
      <c r="AG1190" s="14">
        <f t="shared" si="225"/>
        <v>2</v>
      </c>
      <c r="AH1190" s="14" t="str">
        <f t="shared" si="226"/>
        <v>异邦刀客魂火-42</v>
      </c>
      <c r="AI1190" s="14">
        <f t="shared" si="227"/>
        <v>42</v>
      </c>
      <c r="AJ1190" s="14" t="str">
        <f>INDEX(挂机升级突破!$BX$4:$CH$4,INDEX(挂机升级突破!$BU$6:$BU$57,卡牌消耗!AI1190))</f>
        <v>金币</v>
      </c>
      <c r="AK1190" s="14">
        <f>ROUND(INDEX(挂机升级突破!$BN$6:$BN$57,卡牌消耗!AI1190)*INDEX(卡牌消耗!$B$8:$F$8,AG1190)/$Q$4/50,0)*50</f>
        <v>16100</v>
      </c>
      <c r="AL1190" s="14" t="str">
        <f>IF(AD1190&gt;0,INDEX(挂机升级突破!$BX$4:$CH$4,AD1190),"")</f>
        <v>红色基础材料</v>
      </c>
      <c r="AM1190" s="14">
        <f>ROUND(INDEX(挂机升级突破!$BX$6:$CH$57,卡牌消耗!AI1190,AD1190)*INDEX(卡牌消耗!$B$5:$F$5,AG1190)/$Q$4/5,0)*5</f>
        <v>45</v>
      </c>
      <c r="AN1190" s="14" t="str">
        <f>IF(AE1190&gt;0,INDEX(挂机升级突破!$BX$4:$CH$4,AE1190),"")</f>
        <v>灵玉</v>
      </c>
      <c r="AO1190" s="14">
        <f>IF(AE1190&gt;0,ROUND(INDEX(挂机升级突破!$BX$6:$CH$57,卡牌消耗!AI1190,AE1190)*INDEX(卡牌消耗!$B$7:$F$7,AG1190)/$Q$4,0),"")</f>
        <v>1</v>
      </c>
    </row>
    <row r="1191" spans="27:41" ht="16.5" x14ac:dyDescent="0.2">
      <c r="AA1191" s="104">
        <v>1187</v>
      </c>
      <c r="AB1191" s="14">
        <f t="shared" si="223"/>
        <v>23</v>
      </c>
      <c r="AC1191" s="14">
        <f>INDEX(挂机升级突破!$BU$6:$BU$57,卡牌消耗!AI1191)</f>
        <v>11</v>
      </c>
      <c r="AD1191" s="14">
        <f>INDEX(挂机升级突破!BV$6:BV$57,卡牌消耗!$AI1191)</f>
        <v>5</v>
      </c>
      <c r="AE1191" s="14">
        <f>INDEX(挂机升级突破!BW$6:BW$57,卡牌消耗!$AI1191)</f>
        <v>10</v>
      </c>
      <c r="AF1191" s="14" t="str">
        <f t="shared" si="224"/>
        <v>异邦刀客</v>
      </c>
      <c r="AG1191" s="14">
        <f t="shared" si="225"/>
        <v>2</v>
      </c>
      <c r="AH1191" s="14" t="str">
        <f t="shared" si="226"/>
        <v>异邦刀客魂火-43</v>
      </c>
      <c r="AI1191" s="14">
        <f t="shared" si="227"/>
        <v>43</v>
      </c>
      <c r="AJ1191" s="14" t="str">
        <f>INDEX(挂机升级突破!$BX$4:$CH$4,INDEX(挂机升级突破!$BU$6:$BU$57,卡牌消耗!AI1191))</f>
        <v>金币</v>
      </c>
      <c r="AK1191" s="14">
        <f>ROUND(INDEX(挂机升级突破!$BN$6:$BN$57,卡牌消耗!AI1191)*INDEX(卡牌消耗!$B$8:$F$8,AG1191)/$Q$4/50,0)*50</f>
        <v>16100</v>
      </c>
      <c r="AL1191" s="14" t="str">
        <f>IF(AD1191&gt;0,INDEX(挂机升级突破!$BX$4:$CH$4,AD1191),"")</f>
        <v>红色基础材料</v>
      </c>
      <c r="AM1191" s="14">
        <f>ROUND(INDEX(挂机升级突破!$BX$6:$CH$57,卡牌消耗!AI1191,AD1191)*INDEX(卡牌消耗!$B$5:$F$5,AG1191)/$Q$4/5,0)*5</f>
        <v>45</v>
      </c>
      <c r="AN1191" s="14" t="str">
        <f>IF(AE1191&gt;0,INDEX(挂机升级突破!$BX$4:$CH$4,AE1191),"")</f>
        <v>灵玉</v>
      </c>
      <c r="AO1191" s="14">
        <f>IF(AE1191&gt;0,ROUND(INDEX(挂机升级突破!$BX$6:$CH$57,卡牌消耗!AI1191,AE1191)*INDEX(卡牌消耗!$B$7:$F$7,AG1191)/$Q$4,0),"")</f>
        <v>1</v>
      </c>
    </row>
    <row r="1192" spans="27:41" ht="16.5" x14ac:dyDescent="0.2">
      <c r="AA1192" s="104">
        <v>1188</v>
      </c>
      <c r="AB1192" s="14">
        <f t="shared" si="223"/>
        <v>23</v>
      </c>
      <c r="AC1192" s="14">
        <f>INDEX(挂机升级突破!$BU$6:$BU$57,卡牌消耗!AI1192)</f>
        <v>11</v>
      </c>
      <c r="AD1192" s="14">
        <f>INDEX(挂机升级突破!BV$6:BV$57,卡牌消耗!$AI1192)</f>
        <v>5</v>
      </c>
      <c r="AE1192" s="14">
        <f>INDEX(挂机升级突破!BW$6:BW$57,卡牌消耗!$AI1192)</f>
        <v>10</v>
      </c>
      <c r="AF1192" s="14" t="str">
        <f t="shared" si="224"/>
        <v>异邦刀客</v>
      </c>
      <c r="AG1192" s="14">
        <f t="shared" si="225"/>
        <v>2</v>
      </c>
      <c r="AH1192" s="14" t="str">
        <f t="shared" si="226"/>
        <v>异邦刀客魂火-44</v>
      </c>
      <c r="AI1192" s="14">
        <f t="shared" si="227"/>
        <v>44</v>
      </c>
      <c r="AJ1192" s="14" t="str">
        <f>INDEX(挂机升级突破!$BX$4:$CH$4,INDEX(挂机升级突破!$BU$6:$BU$57,卡牌消耗!AI1192))</f>
        <v>金币</v>
      </c>
      <c r="AK1192" s="14">
        <f>ROUND(INDEX(挂机升级突破!$BN$6:$BN$57,卡牌消耗!AI1192)*INDEX(卡牌消耗!$B$8:$F$8,AG1192)/$Q$4/50,0)*50</f>
        <v>20450</v>
      </c>
      <c r="AL1192" s="14" t="str">
        <f>IF(AD1192&gt;0,INDEX(挂机升级突破!$BX$4:$CH$4,AD1192),"")</f>
        <v>红色基础材料</v>
      </c>
      <c r="AM1192" s="14">
        <f>ROUND(INDEX(挂机升级突破!$BX$6:$CH$57,卡牌消耗!AI1192,AD1192)*INDEX(卡牌消耗!$B$5:$F$5,AG1192)/$Q$4/5,0)*5</f>
        <v>50</v>
      </c>
      <c r="AN1192" s="14" t="str">
        <f>IF(AE1192&gt;0,INDEX(挂机升级突破!$BX$4:$CH$4,AE1192),"")</f>
        <v>灵玉</v>
      </c>
      <c r="AO1192" s="14">
        <f>IF(AE1192&gt;0,ROUND(INDEX(挂机升级突破!$BX$6:$CH$57,卡牌消耗!AI1192,AE1192)*INDEX(卡牌消耗!$B$7:$F$7,AG1192)/$Q$4,0),"")</f>
        <v>1</v>
      </c>
    </row>
    <row r="1193" spans="27:41" ht="16.5" x14ac:dyDescent="0.2">
      <c r="AA1193" s="104">
        <v>1189</v>
      </c>
      <c r="AB1193" s="14">
        <f t="shared" si="223"/>
        <v>23</v>
      </c>
      <c r="AC1193" s="14">
        <f>INDEX(挂机升级突破!$BU$6:$BU$57,卡牌消耗!AI1193)</f>
        <v>11</v>
      </c>
      <c r="AD1193" s="14">
        <f>INDEX(挂机升级突破!BV$6:BV$57,卡牌消耗!$AI1193)</f>
        <v>5</v>
      </c>
      <c r="AE1193" s="14">
        <f>INDEX(挂机升级突破!BW$6:BW$57,卡牌消耗!$AI1193)</f>
        <v>10</v>
      </c>
      <c r="AF1193" s="14" t="str">
        <f t="shared" si="224"/>
        <v>异邦刀客</v>
      </c>
      <c r="AG1193" s="14">
        <f t="shared" si="225"/>
        <v>2</v>
      </c>
      <c r="AH1193" s="14" t="str">
        <f t="shared" si="226"/>
        <v>异邦刀客魂火-45</v>
      </c>
      <c r="AI1193" s="14">
        <f t="shared" si="227"/>
        <v>45</v>
      </c>
      <c r="AJ1193" s="14" t="str">
        <f>INDEX(挂机升级突破!$BX$4:$CH$4,INDEX(挂机升级突破!$BU$6:$BU$57,卡牌消耗!AI1193))</f>
        <v>金币</v>
      </c>
      <c r="AK1193" s="14">
        <f>ROUND(INDEX(挂机升级突破!$BN$6:$BN$57,卡牌消耗!AI1193)*INDEX(卡牌消耗!$B$8:$F$8,AG1193)/$Q$4/50,0)*50</f>
        <v>20450</v>
      </c>
      <c r="AL1193" s="14" t="str">
        <f>IF(AD1193&gt;0,INDEX(挂机升级突破!$BX$4:$CH$4,AD1193),"")</f>
        <v>红色基础材料</v>
      </c>
      <c r="AM1193" s="14">
        <f>ROUND(INDEX(挂机升级突破!$BX$6:$CH$57,卡牌消耗!AI1193,AD1193)*INDEX(卡牌消耗!$B$5:$F$5,AG1193)/$Q$4/5,0)*5</f>
        <v>50</v>
      </c>
      <c r="AN1193" s="14" t="str">
        <f>IF(AE1193&gt;0,INDEX(挂机升级突破!$BX$4:$CH$4,AE1193),"")</f>
        <v>灵玉</v>
      </c>
      <c r="AO1193" s="14">
        <f>IF(AE1193&gt;0,ROUND(INDEX(挂机升级突破!$BX$6:$CH$57,卡牌消耗!AI1193,AE1193)*INDEX(卡牌消耗!$B$7:$F$7,AG1193)/$Q$4,0),"")</f>
        <v>1</v>
      </c>
    </row>
    <row r="1194" spans="27:41" ht="16.5" x14ac:dyDescent="0.2">
      <c r="AA1194" s="104">
        <v>1190</v>
      </c>
      <c r="AB1194" s="14">
        <f t="shared" si="223"/>
        <v>23</v>
      </c>
      <c r="AC1194" s="14">
        <f>INDEX(挂机升级突破!$BU$6:$BU$57,卡牌消耗!AI1194)</f>
        <v>11</v>
      </c>
      <c r="AD1194" s="14">
        <f>INDEX(挂机升级突破!BV$6:BV$57,卡牌消耗!$AI1194)</f>
        <v>5</v>
      </c>
      <c r="AE1194" s="14">
        <f>INDEX(挂机升级突破!BW$6:BW$57,卡牌消耗!$AI1194)</f>
        <v>10</v>
      </c>
      <c r="AF1194" s="14" t="str">
        <f t="shared" si="224"/>
        <v>异邦刀客</v>
      </c>
      <c r="AG1194" s="14">
        <f t="shared" si="225"/>
        <v>2</v>
      </c>
      <c r="AH1194" s="14" t="str">
        <f t="shared" si="226"/>
        <v>异邦刀客魂火-46</v>
      </c>
      <c r="AI1194" s="14">
        <f t="shared" si="227"/>
        <v>46</v>
      </c>
      <c r="AJ1194" s="14" t="str">
        <f>INDEX(挂机升级突破!$BX$4:$CH$4,INDEX(挂机升级突破!$BU$6:$BU$57,卡牌消耗!AI1194))</f>
        <v>金币</v>
      </c>
      <c r="AK1194" s="14">
        <f>ROUND(INDEX(挂机升级突破!$BN$6:$BN$57,卡牌消耗!AI1194)*INDEX(卡牌消耗!$B$8:$F$8,AG1194)/$Q$4/50,0)*50</f>
        <v>21950</v>
      </c>
      <c r="AL1194" s="14" t="str">
        <f>IF(AD1194&gt;0,INDEX(挂机升级突破!$BX$4:$CH$4,AD1194),"")</f>
        <v>红色基础材料</v>
      </c>
      <c r="AM1194" s="14">
        <f>ROUND(INDEX(挂机升级突破!$BX$6:$CH$57,卡牌消耗!AI1194,AD1194)*INDEX(卡牌消耗!$B$5:$F$5,AG1194)/$Q$4/5,0)*5</f>
        <v>50</v>
      </c>
      <c r="AN1194" s="14" t="str">
        <f>IF(AE1194&gt;0,INDEX(挂机升级突破!$BX$4:$CH$4,AE1194),"")</f>
        <v>灵玉</v>
      </c>
      <c r="AO1194" s="14">
        <f>IF(AE1194&gt;0,ROUND(INDEX(挂机升级突破!$BX$6:$CH$57,卡牌消耗!AI1194,AE1194)*INDEX(卡牌消耗!$B$7:$F$7,AG1194)/$Q$4,0),"")</f>
        <v>1</v>
      </c>
    </row>
    <row r="1195" spans="27:41" ht="16.5" x14ac:dyDescent="0.2">
      <c r="AA1195" s="104">
        <v>1191</v>
      </c>
      <c r="AB1195" s="14">
        <f t="shared" si="223"/>
        <v>23</v>
      </c>
      <c r="AC1195" s="14">
        <f>INDEX(挂机升级突破!$BU$6:$BU$57,卡牌消耗!AI1195)</f>
        <v>11</v>
      </c>
      <c r="AD1195" s="14">
        <f>INDEX(挂机升级突破!BV$6:BV$57,卡牌消耗!$AI1195)</f>
        <v>5</v>
      </c>
      <c r="AE1195" s="14">
        <f>INDEX(挂机升级突破!BW$6:BW$57,卡牌消耗!$AI1195)</f>
        <v>10</v>
      </c>
      <c r="AF1195" s="14" t="str">
        <f t="shared" si="224"/>
        <v>异邦刀客</v>
      </c>
      <c r="AG1195" s="14">
        <f t="shared" si="225"/>
        <v>2</v>
      </c>
      <c r="AH1195" s="14" t="str">
        <f t="shared" si="226"/>
        <v>异邦刀客魂火-47</v>
      </c>
      <c r="AI1195" s="14">
        <f t="shared" si="227"/>
        <v>47</v>
      </c>
      <c r="AJ1195" s="14" t="str">
        <f>INDEX(挂机升级突破!$BX$4:$CH$4,INDEX(挂机升级突破!$BU$6:$BU$57,卡牌消耗!AI1195))</f>
        <v>金币</v>
      </c>
      <c r="AK1195" s="14">
        <f>ROUND(INDEX(挂机升级突破!$BN$6:$BN$57,卡牌消耗!AI1195)*INDEX(卡牌消耗!$B$8:$F$8,AG1195)/$Q$4/50,0)*50</f>
        <v>106350</v>
      </c>
      <c r="AL1195" s="14" t="str">
        <f>IF(AD1195&gt;0,INDEX(挂机升级突破!$BX$4:$CH$4,AD1195),"")</f>
        <v>红色基础材料</v>
      </c>
      <c r="AM1195" s="14">
        <f>ROUND(INDEX(挂机升级突破!$BX$6:$CH$57,卡牌消耗!AI1195,AD1195)*INDEX(卡牌消耗!$B$5:$F$5,AG1195)/$Q$4/5,0)*5</f>
        <v>50</v>
      </c>
      <c r="AN1195" s="14" t="str">
        <f>IF(AE1195&gt;0,INDEX(挂机升级突破!$BX$4:$CH$4,AE1195),"")</f>
        <v>灵玉</v>
      </c>
      <c r="AO1195" s="14">
        <f>IF(AE1195&gt;0,ROUND(INDEX(挂机升级突破!$BX$6:$CH$57,卡牌消耗!AI1195,AE1195)*INDEX(卡牌消耗!$B$7:$F$7,AG1195)/$Q$4,0),"")</f>
        <v>1</v>
      </c>
    </row>
    <row r="1196" spans="27:41" ht="16.5" x14ac:dyDescent="0.2">
      <c r="AA1196" s="104">
        <v>1192</v>
      </c>
      <c r="AB1196" s="14">
        <f t="shared" si="223"/>
        <v>23</v>
      </c>
      <c r="AC1196" s="14">
        <f>INDEX(挂机升级突破!$BU$6:$BU$57,卡牌消耗!AI1196)</f>
        <v>11</v>
      </c>
      <c r="AD1196" s="14">
        <f>INDEX(挂机升级突破!BV$6:BV$57,卡牌消耗!$AI1196)</f>
        <v>5</v>
      </c>
      <c r="AE1196" s="14">
        <f>INDEX(挂机升级突破!BW$6:BW$57,卡牌消耗!$AI1196)</f>
        <v>10</v>
      </c>
      <c r="AF1196" s="14" t="str">
        <f t="shared" si="224"/>
        <v>异邦刀客</v>
      </c>
      <c r="AG1196" s="14">
        <f t="shared" si="225"/>
        <v>2</v>
      </c>
      <c r="AH1196" s="14" t="str">
        <f t="shared" si="226"/>
        <v>异邦刀客魂火-48</v>
      </c>
      <c r="AI1196" s="14">
        <f t="shared" si="227"/>
        <v>48</v>
      </c>
      <c r="AJ1196" s="14" t="str">
        <f>INDEX(挂机升级突破!$BX$4:$CH$4,INDEX(挂机升级突破!$BU$6:$BU$57,卡牌消耗!AI1196))</f>
        <v>金币</v>
      </c>
      <c r="AK1196" s="14">
        <f>ROUND(INDEX(挂机升级突破!$BN$6:$BN$57,卡牌消耗!AI1196)*INDEX(卡牌消耗!$B$8:$F$8,AG1196)/$Q$4/50,0)*50</f>
        <v>106350</v>
      </c>
      <c r="AL1196" s="14" t="str">
        <f>IF(AD1196&gt;0,INDEX(挂机升级突破!$BX$4:$CH$4,AD1196),"")</f>
        <v>红色基础材料</v>
      </c>
      <c r="AM1196" s="14">
        <f>ROUND(INDEX(挂机升级突破!$BX$6:$CH$57,卡牌消耗!AI1196,AD1196)*INDEX(卡牌消耗!$B$5:$F$5,AG1196)/$Q$4/5,0)*5</f>
        <v>50</v>
      </c>
      <c r="AN1196" s="14" t="str">
        <f>IF(AE1196&gt;0,INDEX(挂机升级突破!$BX$4:$CH$4,AE1196),"")</f>
        <v>灵玉</v>
      </c>
      <c r="AO1196" s="14">
        <f>IF(AE1196&gt;0,ROUND(INDEX(挂机升级突破!$BX$6:$CH$57,卡牌消耗!AI1196,AE1196)*INDEX(卡牌消耗!$B$7:$F$7,AG1196)/$Q$4,0),"")</f>
        <v>1</v>
      </c>
    </row>
    <row r="1197" spans="27:41" ht="16.5" x14ac:dyDescent="0.2">
      <c r="AA1197" s="104">
        <v>1193</v>
      </c>
      <c r="AB1197" s="14">
        <f t="shared" si="223"/>
        <v>23</v>
      </c>
      <c r="AC1197" s="14">
        <f>INDEX(挂机升级突破!$BU$6:$BU$57,卡牌消耗!AI1197)</f>
        <v>11</v>
      </c>
      <c r="AD1197" s="14">
        <f>INDEX(挂机升级突破!BV$6:BV$57,卡牌消耗!$AI1197)</f>
        <v>5</v>
      </c>
      <c r="AE1197" s="14">
        <f>INDEX(挂机升级突破!BW$6:BW$57,卡牌消耗!$AI1197)</f>
        <v>10</v>
      </c>
      <c r="AF1197" s="14" t="str">
        <f t="shared" si="224"/>
        <v>异邦刀客</v>
      </c>
      <c r="AG1197" s="14">
        <f t="shared" si="225"/>
        <v>2</v>
      </c>
      <c r="AH1197" s="14" t="str">
        <f t="shared" si="226"/>
        <v>异邦刀客魂火-49</v>
      </c>
      <c r="AI1197" s="14">
        <f t="shared" si="227"/>
        <v>49</v>
      </c>
      <c r="AJ1197" s="14" t="str">
        <f>INDEX(挂机升级突破!$BX$4:$CH$4,INDEX(挂机升级突破!$BU$6:$BU$57,卡牌消耗!AI1197))</f>
        <v>金币</v>
      </c>
      <c r="AK1197" s="14">
        <f>ROUND(INDEX(挂机升级突破!$BN$6:$BN$57,卡牌消耗!AI1197)*INDEX(卡牌消耗!$B$8:$F$8,AG1197)/$Q$4/50,0)*50</f>
        <v>106350</v>
      </c>
      <c r="AL1197" s="14" t="str">
        <f>IF(AD1197&gt;0,INDEX(挂机升级突破!$BX$4:$CH$4,AD1197),"")</f>
        <v>红色基础材料</v>
      </c>
      <c r="AM1197" s="14">
        <f>ROUND(INDEX(挂机升级突破!$BX$6:$CH$57,卡牌消耗!AI1197,AD1197)*INDEX(卡牌消耗!$B$5:$F$5,AG1197)/$Q$4/5,0)*5</f>
        <v>55</v>
      </c>
      <c r="AN1197" s="14" t="str">
        <f>IF(AE1197&gt;0,INDEX(挂机升级突破!$BX$4:$CH$4,AE1197),"")</f>
        <v>灵玉</v>
      </c>
      <c r="AO1197" s="14">
        <f>IF(AE1197&gt;0,ROUND(INDEX(挂机升级突破!$BX$6:$CH$57,卡牌消耗!AI1197,AE1197)*INDEX(卡牌消耗!$B$7:$F$7,AG1197)/$Q$4,0),"")</f>
        <v>1</v>
      </c>
    </row>
    <row r="1198" spans="27:41" ht="16.5" x14ac:dyDescent="0.2">
      <c r="AA1198" s="104">
        <v>1194</v>
      </c>
      <c r="AB1198" s="14">
        <f t="shared" si="223"/>
        <v>23</v>
      </c>
      <c r="AC1198" s="14">
        <f>INDEX(挂机升级突破!$BU$6:$BU$57,卡牌消耗!AI1198)</f>
        <v>11</v>
      </c>
      <c r="AD1198" s="14">
        <f>INDEX(挂机升级突破!BV$6:BV$57,卡牌消耗!$AI1198)</f>
        <v>5</v>
      </c>
      <c r="AE1198" s="14">
        <f>INDEX(挂机升级突破!BW$6:BW$57,卡牌消耗!$AI1198)</f>
        <v>10</v>
      </c>
      <c r="AF1198" s="14" t="str">
        <f t="shared" si="224"/>
        <v>异邦刀客</v>
      </c>
      <c r="AG1198" s="14">
        <f t="shared" si="225"/>
        <v>2</v>
      </c>
      <c r="AH1198" s="14" t="str">
        <f t="shared" si="226"/>
        <v>异邦刀客魂火-50</v>
      </c>
      <c r="AI1198" s="14">
        <f t="shared" si="227"/>
        <v>50</v>
      </c>
      <c r="AJ1198" s="14" t="str">
        <f>INDEX(挂机升级突破!$BX$4:$CH$4,INDEX(挂机升级突破!$BU$6:$BU$57,卡牌消耗!AI1198))</f>
        <v>金币</v>
      </c>
      <c r="AK1198" s="14">
        <f>ROUND(INDEX(挂机升级突破!$BN$6:$BN$57,卡牌消耗!AI1198)*INDEX(卡牌消耗!$B$8:$F$8,AG1198)/$Q$4/50,0)*50</f>
        <v>177300</v>
      </c>
      <c r="AL1198" s="14" t="str">
        <f>IF(AD1198&gt;0,INDEX(挂机升级突破!$BX$4:$CH$4,AD1198),"")</f>
        <v>红色基础材料</v>
      </c>
      <c r="AM1198" s="14">
        <f>ROUND(INDEX(挂机升级突破!$BX$6:$CH$57,卡牌消耗!AI1198,AD1198)*INDEX(卡牌消耗!$B$5:$F$5,AG1198)/$Q$4/5,0)*5</f>
        <v>55</v>
      </c>
      <c r="AN1198" s="14" t="str">
        <f>IF(AE1198&gt;0,INDEX(挂机升级突破!$BX$4:$CH$4,AE1198),"")</f>
        <v>灵玉</v>
      </c>
      <c r="AO1198" s="14">
        <f>IF(AE1198&gt;0,ROUND(INDEX(挂机升级突破!$BX$6:$CH$57,卡牌消耗!AI1198,AE1198)*INDEX(卡牌消耗!$B$7:$F$7,AG1198)/$Q$4,0),"")</f>
        <v>1</v>
      </c>
    </row>
    <row r="1199" spans="27:41" ht="16.5" x14ac:dyDescent="0.2">
      <c r="AA1199" s="104">
        <v>1195</v>
      </c>
      <c r="AB1199" s="14">
        <f t="shared" si="223"/>
        <v>23</v>
      </c>
      <c r="AC1199" s="14">
        <f>INDEX(挂机升级突破!$BU$6:$BU$57,卡牌消耗!AI1199)</f>
        <v>11</v>
      </c>
      <c r="AD1199" s="14">
        <f>INDEX(挂机升级突破!BV$6:BV$57,卡牌消耗!$AI1199)</f>
        <v>5</v>
      </c>
      <c r="AE1199" s="14">
        <f>INDEX(挂机升级突破!BW$6:BW$57,卡牌消耗!$AI1199)</f>
        <v>10</v>
      </c>
      <c r="AF1199" s="14" t="str">
        <f t="shared" si="224"/>
        <v>异邦刀客</v>
      </c>
      <c r="AG1199" s="14">
        <f t="shared" si="225"/>
        <v>2</v>
      </c>
      <c r="AH1199" s="14" t="str">
        <f t="shared" si="226"/>
        <v>异邦刀客魂火-51</v>
      </c>
      <c r="AI1199" s="14">
        <f t="shared" si="227"/>
        <v>51</v>
      </c>
      <c r="AJ1199" s="14" t="str">
        <f>INDEX(挂机升级突破!$BX$4:$CH$4,INDEX(挂机升级突破!$BU$6:$BU$57,卡牌消耗!AI1199))</f>
        <v>金币</v>
      </c>
      <c r="AK1199" s="14">
        <f>ROUND(INDEX(挂机升级突破!$BN$6:$BN$57,卡牌消耗!AI1199)*INDEX(卡牌消耗!$B$8:$F$8,AG1199)/$Q$4/50,0)*50</f>
        <v>195000</v>
      </c>
      <c r="AL1199" s="14" t="str">
        <f>IF(AD1199&gt;0,INDEX(挂机升级突破!$BX$4:$CH$4,AD1199),"")</f>
        <v>红色基础材料</v>
      </c>
      <c r="AM1199" s="14">
        <f>ROUND(INDEX(挂机升级突破!$BX$6:$CH$57,卡牌消耗!AI1199,AD1199)*INDEX(卡牌消耗!$B$5:$F$5,AG1199)/$Q$4/5,0)*5</f>
        <v>55</v>
      </c>
      <c r="AN1199" s="14" t="str">
        <f>IF(AE1199&gt;0,INDEX(挂机升级突破!$BX$4:$CH$4,AE1199),"")</f>
        <v>灵玉</v>
      </c>
      <c r="AO1199" s="14">
        <f>IF(AE1199&gt;0,ROUND(INDEX(挂机升级突破!$BX$6:$CH$57,卡牌消耗!AI1199,AE1199)*INDEX(卡牌消耗!$B$7:$F$7,AG1199)/$Q$4,0),"")</f>
        <v>1</v>
      </c>
    </row>
    <row r="1200" spans="27:41" ht="16.5" x14ac:dyDescent="0.2">
      <c r="AA1200" s="104">
        <v>1196</v>
      </c>
      <c r="AB1200" s="14">
        <f t="shared" si="223"/>
        <v>23</v>
      </c>
      <c r="AC1200" s="14">
        <f>INDEX(挂机升级突破!$BU$6:$BU$57,卡牌消耗!AI1200)</f>
        <v>11</v>
      </c>
      <c r="AD1200" s="14">
        <f>INDEX(挂机升级突破!BV$6:BV$57,卡牌消耗!$AI1200)</f>
        <v>5</v>
      </c>
      <c r="AE1200" s="14">
        <f>INDEX(挂机升级突破!BW$6:BW$57,卡牌消耗!$AI1200)</f>
        <v>10</v>
      </c>
      <c r="AF1200" s="14" t="str">
        <f t="shared" si="224"/>
        <v>异邦刀客</v>
      </c>
      <c r="AG1200" s="14">
        <f t="shared" si="225"/>
        <v>2</v>
      </c>
      <c r="AH1200" s="14" t="str">
        <f t="shared" si="226"/>
        <v>异邦刀客魂火-52</v>
      </c>
      <c r="AI1200" s="14">
        <f t="shared" si="227"/>
        <v>52</v>
      </c>
      <c r="AJ1200" s="14" t="str">
        <f>INDEX(挂机升级突破!$BX$4:$CH$4,INDEX(挂机升级突破!$BU$6:$BU$57,卡牌消耗!AI1200))</f>
        <v>金币</v>
      </c>
      <c r="AK1200" s="14">
        <f>ROUND(INDEX(挂机升级突破!$BN$6:$BN$57,卡牌消耗!AI1200)*INDEX(卡牌消耗!$B$8:$F$8,AG1200)/$Q$4/50,0)*50</f>
        <v>195000</v>
      </c>
      <c r="AL1200" s="14" t="str">
        <f>IF(AD1200&gt;0,INDEX(挂机升级突破!$BX$4:$CH$4,AD1200),"")</f>
        <v>红色基础材料</v>
      </c>
      <c r="AM1200" s="14">
        <f>ROUND(INDEX(挂机升级突破!$BX$6:$CH$57,卡牌消耗!AI1200,AD1200)*INDEX(卡牌消耗!$B$5:$F$5,AG1200)/$Q$4/5,0)*5</f>
        <v>55</v>
      </c>
      <c r="AN1200" s="14" t="str">
        <f>IF(AE1200&gt;0,INDEX(挂机升级突破!$BX$4:$CH$4,AE1200),"")</f>
        <v>灵玉</v>
      </c>
      <c r="AO1200" s="14">
        <f>IF(AE1200&gt;0,ROUND(INDEX(挂机升级突破!$BX$6:$CH$57,卡牌消耗!AI1200,AE1200)*INDEX(卡牌消耗!$B$7:$F$7,AG1200)/$Q$4,0),"")</f>
        <v>1</v>
      </c>
    </row>
    <row r="1201" spans="27:41" ht="16.5" x14ac:dyDescent="0.2">
      <c r="AA1201" s="104">
        <v>1197</v>
      </c>
      <c r="AB1201" s="14">
        <f t="shared" si="223"/>
        <v>24</v>
      </c>
      <c r="AC1201" s="14">
        <f>INDEX(挂机升级突破!$BU$6:$BU$57,卡牌消耗!AI1201)</f>
        <v>11</v>
      </c>
      <c r="AD1201" s="14">
        <f>INDEX(挂机升级突破!BV$6:BV$57,卡牌消耗!$AI1201)</f>
        <v>1</v>
      </c>
      <c r="AE1201" s="14">
        <f>INDEX(挂机升级突破!BW$6:BW$57,卡牌消耗!$AI1201)</f>
        <v>0</v>
      </c>
      <c r="AF1201" s="14" t="str">
        <f t="shared" si="224"/>
        <v>朱仙</v>
      </c>
      <c r="AG1201" s="14">
        <f t="shared" si="225"/>
        <v>3</v>
      </c>
      <c r="AH1201" s="14" t="str">
        <f t="shared" si="226"/>
        <v>朱仙魂火-1</v>
      </c>
      <c r="AI1201" s="14">
        <f t="shared" si="227"/>
        <v>1</v>
      </c>
      <c r="AJ1201" s="14" t="str">
        <f>INDEX(挂机升级突破!$BX$4:$CH$4,INDEX(挂机升级突破!$BU$6:$BU$57,卡牌消耗!AI1201))</f>
        <v>金币</v>
      </c>
      <c r="AK1201" s="14">
        <f>ROUND(INDEX(挂机升级突破!$BN$6:$BN$57,卡牌消耗!AI1201)*INDEX(卡牌消耗!$B$8:$F$8,AG1201)/$Q$4/50,0)*50</f>
        <v>600</v>
      </c>
      <c r="AL1201" s="14" t="str">
        <f>IF(AD1201&gt;0,INDEX(挂机升级突破!$BX$4:$CH$4,AD1201),"")</f>
        <v>绿色基础材料</v>
      </c>
      <c r="AM1201" s="14">
        <f>ROUND(INDEX(挂机升级突破!$BX$6:$CH$57,卡牌消耗!AI1201,AD1201)*INDEX(卡牌消耗!$B$5:$F$5,AG1201)/$Q$4/5,0)*5</f>
        <v>835</v>
      </c>
      <c r="AN1201" s="14" t="str">
        <f>IF(AE1201&gt;0,INDEX(挂机升级突破!$BX$4:$CH$4,AE1201),"")</f>
        <v/>
      </c>
      <c r="AO1201" s="14" t="str">
        <f>IF(AE1201&gt;0,ROUND(INDEX(挂机升级突破!$BX$6:$CH$57,卡牌消耗!AI1201,AE1201)*INDEX(卡牌消耗!$B$7:$F$7,AG1201)/$Q$4,0),"")</f>
        <v/>
      </c>
    </row>
    <row r="1202" spans="27:41" ht="16.5" x14ac:dyDescent="0.2">
      <c r="AA1202" s="104">
        <v>1198</v>
      </c>
      <c r="AB1202" s="14">
        <f t="shared" si="223"/>
        <v>24</v>
      </c>
      <c r="AC1202" s="14">
        <f>INDEX(挂机升级突破!$BU$6:$BU$57,卡牌消耗!AI1202)</f>
        <v>11</v>
      </c>
      <c r="AD1202" s="14">
        <f>INDEX(挂机升级突破!BV$6:BV$57,卡牌消耗!$AI1202)</f>
        <v>1</v>
      </c>
      <c r="AE1202" s="14">
        <f>INDEX(挂机升级突破!BW$6:BW$57,卡牌消耗!$AI1202)</f>
        <v>0</v>
      </c>
      <c r="AF1202" s="14" t="str">
        <f t="shared" si="224"/>
        <v>朱仙</v>
      </c>
      <c r="AG1202" s="14">
        <f t="shared" si="225"/>
        <v>3</v>
      </c>
      <c r="AH1202" s="14" t="str">
        <f t="shared" si="226"/>
        <v>朱仙魂火-2</v>
      </c>
      <c r="AI1202" s="14">
        <f t="shared" si="227"/>
        <v>2</v>
      </c>
      <c r="AJ1202" s="14" t="str">
        <f>INDEX(挂机升级突破!$BX$4:$CH$4,INDEX(挂机升级突破!$BU$6:$BU$57,卡牌消耗!AI1202))</f>
        <v>金币</v>
      </c>
      <c r="AK1202" s="14">
        <f>ROUND(INDEX(挂机升级突破!$BN$6:$BN$57,卡牌消耗!AI1202)*INDEX(卡牌消耗!$B$8:$F$8,AG1202)/$Q$4/50,0)*50</f>
        <v>800</v>
      </c>
      <c r="AL1202" s="14" t="str">
        <f>IF(AD1202&gt;0,INDEX(挂机升级突破!$BX$4:$CH$4,AD1202),"")</f>
        <v>绿色基础材料</v>
      </c>
      <c r="AM1202" s="14">
        <f>ROUND(INDEX(挂机升级突破!$BX$6:$CH$57,卡牌消耗!AI1202,AD1202)*INDEX(卡牌消耗!$B$5:$F$5,AG1202)/$Q$4/5,0)*5</f>
        <v>2505</v>
      </c>
      <c r="AN1202" s="14" t="str">
        <f>IF(AE1202&gt;0,INDEX(挂机升级突破!$BX$4:$CH$4,AE1202),"")</f>
        <v/>
      </c>
      <c r="AO1202" s="14" t="str">
        <f>IF(AE1202&gt;0,ROUND(INDEX(挂机升级突破!$BX$6:$CH$57,卡牌消耗!AI1202,AE1202)*INDEX(卡牌消耗!$B$7:$F$7,AG1202)/$Q$4,0),"")</f>
        <v/>
      </c>
    </row>
    <row r="1203" spans="27:41" ht="16.5" x14ac:dyDescent="0.2">
      <c r="AA1203" s="104">
        <v>1199</v>
      </c>
      <c r="AB1203" s="14">
        <f t="shared" si="223"/>
        <v>24</v>
      </c>
      <c r="AC1203" s="14">
        <f>INDEX(挂机升级突破!$BU$6:$BU$57,卡牌消耗!AI1203)</f>
        <v>11</v>
      </c>
      <c r="AD1203" s="14">
        <f>INDEX(挂机升级突破!BV$6:BV$57,卡牌消耗!$AI1203)</f>
        <v>1</v>
      </c>
      <c r="AE1203" s="14">
        <f>INDEX(挂机升级突破!BW$6:BW$57,卡牌消耗!$AI1203)</f>
        <v>0</v>
      </c>
      <c r="AF1203" s="14" t="str">
        <f t="shared" si="224"/>
        <v>朱仙</v>
      </c>
      <c r="AG1203" s="14">
        <f t="shared" si="225"/>
        <v>3</v>
      </c>
      <c r="AH1203" s="14" t="str">
        <f t="shared" si="226"/>
        <v>朱仙魂火-3</v>
      </c>
      <c r="AI1203" s="14">
        <f t="shared" si="227"/>
        <v>3</v>
      </c>
      <c r="AJ1203" s="14" t="str">
        <f>INDEX(挂机升级突破!$BX$4:$CH$4,INDEX(挂机升级突破!$BU$6:$BU$57,卡牌消耗!AI1203))</f>
        <v>金币</v>
      </c>
      <c r="AK1203" s="14">
        <f>ROUND(INDEX(挂机升级突破!$BN$6:$BN$57,卡牌消耗!AI1203)*INDEX(卡牌消耗!$B$8:$F$8,AG1203)/$Q$4/50,0)*50</f>
        <v>800</v>
      </c>
      <c r="AL1203" s="14" t="str">
        <f>IF(AD1203&gt;0,INDEX(挂机升级突破!$BX$4:$CH$4,AD1203),"")</f>
        <v>绿色基础材料</v>
      </c>
      <c r="AM1203" s="14">
        <f>ROUND(INDEX(挂机升级突破!$BX$6:$CH$57,卡牌消耗!AI1203,AD1203)*INDEX(卡牌消耗!$B$5:$F$5,AG1203)/$Q$4/5,0)*5</f>
        <v>3335</v>
      </c>
      <c r="AN1203" s="14" t="str">
        <f>IF(AE1203&gt;0,INDEX(挂机升级突破!$BX$4:$CH$4,AE1203),"")</f>
        <v/>
      </c>
      <c r="AO1203" s="14" t="str">
        <f>IF(AE1203&gt;0,ROUND(INDEX(挂机升级突破!$BX$6:$CH$57,卡牌消耗!AI1203,AE1203)*INDEX(卡牌消耗!$B$7:$F$7,AG1203)/$Q$4,0),"")</f>
        <v/>
      </c>
    </row>
    <row r="1204" spans="27:41" ht="16.5" x14ac:dyDescent="0.2">
      <c r="AA1204" s="104">
        <v>1200</v>
      </c>
      <c r="AB1204" s="14">
        <f t="shared" si="223"/>
        <v>24</v>
      </c>
      <c r="AC1204" s="14">
        <f>INDEX(挂机升级突破!$BU$6:$BU$57,卡牌消耗!AI1204)</f>
        <v>11</v>
      </c>
      <c r="AD1204" s="14">
        <f>INDEX(挂机升级突破!BV$6:BV$57,卡牌消耗!$AI1204)</f>
        <v>1</v>
      </c>
      <c r="AE1204" s="14">
        <f>INDEX(挂机升级突破!BW$6:BW$57,卡牌消耗!$AI1204)</f>
        <v>0</v>
      </c>
      <c r="AF1204" s="14" t="str">
        <f t="shared" si="224"/>
        <v>朱仙</v>
      </c>
      <c r="AG1204" s="14">
        <f t="shared" si="225"/>
        <v>3</v>
      </c>
      <c r="AH1204" s="14" t="str">
        <f t="shared" si="226"/>
        <v>朱仙魂火-4</v>
      </c>
      <c r="AI1204" s="14">
        <f t="shared" si="227"/>
        <v>4</v>
      </c>
      <c r="AJ1204" s="14" t="str">
        <f>INDEX(挂机升级突破!$BX$4:$CH$4,INDEX(挂机升级突破!$BU$6:$BU$57,卡牌消耗!AI1204))</f>
        <v>金币</v>
      </c>
      <c r="AK1204" s="14">
        <f>ROUND(INDEX(挂机升级突破!$BN$6:$BN$57,卡牌消耗!AI1204)*INDEX(卡牌消耗!$B$8:$F$8,AG1204)/$Q$4/50,0)*50</f>
        <v>800</v>
      </c>
      <c r="AL1204" s="14" t="str">
        <f>IF(AD1204&gt;0,INDEX(挂机升级突破!$BX$4:$CH$4,AD1204),"")</f>
        <v>绿色基础材料</v>
      </c>
      <c r="AM1204" s="14">
        <f>ROUND(INDEX(挂机升级突破!$BX$6:$CH$57,卡牌消耗!AI1204,AD1204)*INDEX(卡牌消耗!$B$5:$F$5,AG1204)/$Q$4/5,0)*5</f>
        <v>5005</v>
      </c>
      <c r="AN1204" s="14" t="str">
        <f>IF(AE1204&gt;0,INDEX(挂机升级突破!$BX$4:$CH$4,AE1204),"")</f>
        <v/>
      </c>
      <c r="AO1204" s="14" t="str">
        <f>IF(AE1204&gt;0,ROUND(INDEX(挂机升级突破!$BX$6:$CH$57,卡牌消耗!AI1204,AE1204)*INDEX(卡牌消耗!$B$7:$F$7,AG1204)/$Q$4,0),"")</f>
        <v/>
      </c>
    </row>
    <row r="1205" spans="27:41" ht="16.5" x14ac:dyDescent="0.2">
      <c r="AA1205" s="104">
        <v>1201</v>
      </c>
      <c r="AB1205" s="14">
        <f t="shared" si="223"/>
        <v>24</v>
      </c>
      <c r="AC1205" s="14">
        <f>INDEX(挂机升级突破!$BU$6:$BU$57,卡牌消耗!AI1205)</f>
        <v>11</v>
      </c>
      <c r="AD1205" s="14">
        <f>INDEX(挂机升级突破!BV$6:BV$57,卡牌消耗!$AI1205)</f>
        <v>1</v>
      </c>
      <c r="AE1205" s="14">
        <f>INDEX(挂机升级突破!BW$6:BW$57,卡牌消耗!$AI1205)</f>
        <v>0</v>
      </c>
      <c r="AF1205" s="14" t="str">
        <f t="shared" si="224"/>
        <v>朱仙</v>
      </c>
      <c r="AG1205" s="14">
        <f t="shared" si="225"/>
        <v>3</v>
      </c>
      <c r="AH1205" s="14" t="str">
        <f t="shared" si="226"/>
        <v>朱仙魂火-5</v>
      </c>
      <c r="AI1205" s="14">
        <f t="shared" si="227"/>
        <v>5</v>
      </c>
      <c r="AJ1205" s="14" t="str">
        <f>INDEX(挂机升级突破!$BX$4:$CH$4,INDEX(挂机升级突破!$BU$6:$BU$57,卡牌消耗!AI1205))</f>
        <v>金币</v>
      </c>
      <c r="AK1205" s="14">
        <f>ROUND(INDEX(挂机升级突破!$BN$6:$BN$57,卡牌消耗!AI1205)*INDEX(卡牌消耗!$B$8:$F$8,AG1205)/$Q$4/50,0)*50</f>
        <v>800</v>
      </c>
      <c r="AL1205" s="14" t="str">
        <f>IF(AD1205&gt;0,INDEX(挂机升级突破!$BX$4:$CH$4,AD1205),"")</f>
        <v>绿色基础材料</v>
      </c>
      <c r="AM1205" s="14">
        <f>ROUND(INDEX(挂机升级突破!$BX$6:$CH$57,卡牌消耗!AI1205,AD1205)*INDEX(卡牌消耗!$B$5:$F$5,AG1205)/$Q$4/5,0)*5</f>
        <v>5005</v>
      </c>
      <c r="AN1205" s="14" t="str">
        <f>IF(AE1205&gt;0,INDEX(挂机升级突破!$BX$4:$CH$4,AE1205),"")</f>
        <v/>
      </c>
      <c r="AO1205" s="14" t="str">
        <f>IF(AE1205&gt;0,ROUND(INDEX(挂机升级突破!$BX$6:$CH$57,卡牌消耗!AI1205,AE1205)*INDEX(卡牌消耗!$B$7:$F$7,AG1205)/$Q$4,0),"")</f>
        <v/>
      </c>
    </row>
    <row r="1206" spans="27:41" ht="16.5" x14ac:dyDescent="0.2">
      <c r="AA1206" s="104">
        <v>1202</v>
      </c>
      <c r="AB1206" s="14">
        <f t="shared" si="223"/>
        <v>24</v>
      </c>
      <c r="AC1206" s="14">
        <f>INDEX(挂机升级突破!$BU$6:$BU$57,卡牌消耗!AI1206)</f>
        <v>11</v>
      </c>
      <c r="AD1206" s="14">
        <f>INDEX(挂机升级突破!BV$6:BV$57,卡牌消耗!$AI1206)</f>
        <v>2</v>
      </c>
      <c r="AE1206" s="14">
        <f>INDEX(挂机升级突破!BW$6:BW$57,卡牌消耗!$AI1206)</f>
        <v>0</v>
      </c>
      <c r="AF1206" s="14" t="str">
        <f t="shared" si="224"/>
        <v>朱仙</v>
      </c>
      <c r="AG1206" s="14">
        <f t="shared" si="225"/>
        <v>3</v>
      </c>
      <c r="AH1206" s="14" t="str">
        <f t="shared" si="226"/>
        <v>朱仙魂火-6</v>
      </c>
      <c r="AI1206" s="14">
        <f t="shared" si="227"/>
        <v>6</v>
      </c>
      <c r="AJ1206" s="14" t="str">
        <f>INDEX(挂机升级突破!$BX$4:$CH$4,INDEX(挂机升级突破!$BU$6:$BU$57,卡牌消耗!AI1206))</f>
        <v>金币</v>
      </c>
      <c r="AK1206" s="14">
        <f>ROUND(INDEX(挂机升级突破!$BN$6:$BN$57,卡牌消耗!AI1206)*INDEX(卡牌消耗!$B$8:$F$8,AG1206)/$Q$4/50,0)*50</f>
        <v>1000</v>
      </c>
      <c r="AL1206" s="14" t="str">
        <f>IF(AD1206&gt;0,INDEX(挂机升级突破!$BX$4:$CH$4,AD1206),"")</f>
        <v>蓝色基础材料</v>
      </c>
      <c r="AM1206" s="14">
        <f>ROUND(INDEX(挂机升级突破!$BX$6:$CH$57,卡牌消耗!AI1206,AD1206)*INDEX(卡牌消耗!$B$5:$F$5,AG1206)/$Q$4/5,0)*5</f>
        <v>480</v>
      </c>
      <c r="AN1206" s="14" t="str">
        <f>IF(AE1206&gt;0,INDEX(挂机升级突破!$BX$4:$CH$4,AE1206),"")</f>
        <v/>
      </c>
      <c r="AO1206" s="14" t="str">
        <f>IF(AE1206&gt;0,ROUND(INDEX(挂机升级突破!$BX$6:$CH$57,卡牌消耗!AI1206,AE1206)*INDEX(卡牌消耗!$B$7:$F$7,AG1206)/$Q$4,0),"")</f>
        <v/>
      </c>
    </row>
    <row r="1207" spans="27:41" ht="16.5" x14ac:dyDescent="0.2">
      <c r="AA1207" s="104">
        <v>1203</v>
      </c>
      <c r="AB1207" s="14">
        <f t="shared" si="223"/>
        <v>24</v>
      </c>
      <c r="AC1207" s="14">
        <f>INDEX(挂机升级突破!$BU$6:$BU$57,卡牌消耗!AI1207)</f>
        <v>11</v>
      </c>
      <c r="AD1207" s="14">
        <f>INDEX(挂机升级突破!BV$6:BV$57,卡牌消耗!$AI1207)</f>
        <v>2</v>
      </c>
      <c r="AE1207" s="14">
        <f>INDEX(挂机升级突破!BW$6:BW$57,卡牌消耗!$AI1207)</f>
        <v>0</v>
      </c>
      <c r="AF1207" s="14" t="str">
        <f t="shared" si="224"/>
        <v>朱仙</v>
      </c>
      <c r="AG1207" s="14">
        <f t="shared" si="225"/>
        <v>3</v>
      </c>
      <c r="AH1207" s="14" t="str">
        <f t="shared" si="226"/>
        <v>朱仙魂火-7</v>
      </c>
      <c r="AI1207" s="14">
        <f t="shared" si="227"/>
        <v>7</v>
      </c>
      <c r="AJ1207" s="14" t="str">
        <f>INDEX(挂机升级突破!$BX$4:$CH$4,INDEX(挂机升级突破!$BU$6:$BU$57,卡牌消耗!AI1207))</f>
        <v>金币</v>
      </c>
      <c r="AK1207" s="14">
        <f>ROUND(INDEX(挂机升级突破!$BN$6:$BN$57,卡牌消耗!AI1207)*INDEX(卡牌消耗!$B$8:$F$8,AG1207)/$Q$4/50,0)*50</f>
        <v>1000</v>
      </c>
      <c r="AL1207" s="14" t="str">
        <f>IF(AD1207&gt;0,INDEX(挂机升级突破!$BX$4:$CH$4,AD1207),"")</f>
        <v>蓝色基础材料</v>
      </c>
      <c r="AM1207" s="14">
        <f>ROUND(INDEX(挂机升级突破!$BX$6:$CH$57,卡牌消耗!AI1207,AD1207)*INDEX(卡牌消耗!$B$5:$F$5,AG1207)/$Q$4/5,0)*5</f>
        <v>480</v>
      </c>
      <c r="AN1207" s="14" t="str">
        <f>IF(AE1207&gt;0,INDEX(挂机升级突破!$BX$4:$CH$4,AE1207),"")</f>
        <v/>
      </c>
      <c r="AO1207" s="14" t="str">
        <f>IF(AE1207&gt;0,ROUND(INDEX(挂机升级突破!$BX$6:$CH$57,卡牌消耗!AI1207,AE1207)*INDEX(卡牌消耗!$B$7:$F$7,AG1207)/$Q$4,0),"")</f>
        <v/>
      </c>
    </row>
    <row r="1208" spans="27:41" ht="16.5" x14ac:dyDescent="0.2">
      <c r="AA1208" s="104">
        <v>1204</v>
      </c>
      <c r="AB1208" s="14">
        <f t="shared" si="223"/>
        <v>24</v>
      </c>
      <c r="AC1208" s="14">
        <f>INDEX(挂机升级突破!$BU$6:$BU$57,卡牌消耗!AI1208)</f>
        <v>11</v>
      </c>
      <c r="AD1208" s="14">
        <f>INDEX(挂机升级突破!BV$6:BV$57,卡牌消耗!$AI1208)</f>
        <v>2</v>
      </c>
      <c r="AE1208" s="14">
        <f>INDEX(挂机升级突破!BW$6:BW$57,卡牌消耗!$AI1208)</f>
        <v>0</v>
      </c>
      <c r="AF1208" s="14" t="str">
        <f t="shared" si="224"/>
        <v>朱仙</v>
      </c>
      <c r="AG1208" s="14">
        <f t="shared" si="225"/>
        <v>3</v>
      </c>
      <c r="AH1208" s="14" t="str">
        <f t="shared" si="226"/>
        <v>朱仙魂火-8</v>
      </c>
      <c r="AI1208" s="14">
        <f t="shared" si="227"/>
        <v>8</v>
      </c>
      <c r="AJ1208" s="14" t="str">
        <f>INDEX(挂机升级突破!$BX$4:$CH$4,INDEX(挂机升级突破!$BU$6:$BU$57,卡牌消耗!AI1208))</f>
        <v>金币</v>
      </c>
      <c r="AK1208" s="14">
        <f>ROUND(INDEX(挂机升级突破!$BN$6:$BN$57,卡牌消耗!AI1208)*INDEX(卡牌消耗!$B$8:$F$8,AG1208)/$Q$4/50,0)*50</f>
        <v>1500</v>
      </c>
      <c r="AL1208" s="14" t="str">
        <f>IF(AD1208&gt;0,INDEX(挂机升级突破!$BX$4:$CH$4,AD1208),"")</f>
        <v>蓝色基础材料</v>
      </c>
      <c r="AM1208" s="14">
        <f>ROUND(INDEX(挂机升级突破!$BX$6:$CH$57,卡牌消耗!AI1208,AD1208)*INDEX(卡牌消耗!$B$5:$F$5,AG1208)/$Q$4/5,0)*5</f>
        <v>960</v>
      </c>
      <c r="AN1208" s="14" t="str">
        <f>IF(AE1208&gt;0,INDEX(挂机升级突破!$BX$4:$CH$4,AE1208),"")</f>
        <v/>
      </c>
      <c r="AO1208" s="14" t="str">
        <f>IF(AE1208&gt;0,ROUND(INDEX(挂机升级突破!$BX$6:$CH$57,卡牌消耗!AI1208,AE1208)*INDEX(卡牌消耗!$B$7:$F$7,AG1208)/$Q$4,0),"")</f>
        <v/>
      </c>
    </row>
    <row r="1209" spans="27:41" ht="16.5" x14ac:dyDescent="0.2">
      <c r="AA1209" s="104">
        <v>1205</v>
      </c>
      <c r="AB1209" s="14">
        <f t="shared" si="223"/>
        <v>24</v>
      </c>
      <c r="AC1209" s="14">
        <f>INDEX(挂机升级突破!$BU$6:$BU$57,卡牌消耗!AI1209)</f>
        <v>11</v>
      </c>
      <c r="AD1209" s="14">
        <f>INDEX(挂机升级突破!BV$6:BV$57,卡牌消耗!$AI1209)</f>
        <v>2</v>
      </c>
      <c r="AE1209" s="14">
        <f>INDEX(挂机升级突破!BW$6:BW$57,卡牌消耗!$AI1209)</f>
        <v>0</v>
      </c>
      <c r="AF1209" s="14" t="str">
        <f t="shared" si="224"/>
        <v>朱仙</v>
      </c>
      <c r="AG1209" s="14">
        <f t="shared" si="225"/>
        <v>3</v>
      </c>
      <c r="AH1209" s="14" t="str">
        <f t="shared" si="226"/>
        <v>朱仙魂火-9</v>
      </c>
      <c r="AI1209" s="14">
        <f t="shared" si="227"/>
        <v>9</v>
      </c>
      <c r="AJ1209" s="14" t="str">
        <f>INDEX(挂机升级突破!$BX$4:$CH$4,INDEX(挂机升级突破!$BU$6:$BU$57,卡牌消耗!AI1209))</f>
        <v>金币</v>
      </c>
      <c r="AK1209" s="14">
        <f>ROUND(INDEX(挂机升级突破!$BN$6:$BN$57,卡牌消耗!AI1209)*INDEX(卡牌消耗!$B$8:$F$8,AG1209)/$Q$4/50,0)*50</f>
        <v>1500</v>
      </c>
      <c r="AL1209" s="14" t="str">
        <f>IF(AD1209&gt;0,INDEX(挂机升级突破!$BX$4:$CH$4,AD1209),"")</f>
        <v>蓝色基础材料</v>
      </c>
      <c r="AM1209" s="14">
        <f>ROUND(INDEX(挂机升级突破!$BX$6:$CH$57,卡牌消耗!AI1209,AD1209)*INDEX(卡牌消耗!$B$5:$F$5,AG1209)/$Q$4/5,0)*5</f>
        <v>960</v>
      </c>
      <c r="AN1209" s="14" t="str">
        <f>IF(AE1209&gt;0,INDEX(挂机升级突破!$BX$4:$CH$4,AE1209),"")</f>
        <v/>
      </c>
      <c r="AO1209" s="14" t="str">
        <f>IF(AE1209&gt;0,ROUND(INDEX(挂机升级突破!$BX$6:$CH$57,卡牌消耗!AI1209,AE1209)*INDEX(卡牌消耗!$B$7:$F$7,AG1209)/$Q$4,0),"")</f>
        <v/>
      </c>
    </row>
    <row r="1210" spans="27:41" ht="16.5" x14ac:dyDescent="0.2">
      <c r="AA1210" s="104">
        <v>1206</v>
      </c>
      <c r="AB1210" s="14">
        <f t="shared" si="223"/>
        <v>24</v>
      </c>
      <c r="AC1210" s="14">
        <f>INDEX(挂机升级突破!$BU$6:$BU$57,卡牌消耗!AI1210)</f>
        <v>11</v>
      </c>
      <c r="AD1210" s="14">
        <f>INDEX(挂机升级突破!BV$6:BV$57,卡牌消耗!$AI1210)</f>
        <v>2</v>
      </c>
      <c r="AE1210" s="14">
        <f>INDEX(挂机升级突破!BW$6:BW$57,卡牌消耗!$AI1210)</f>
        <v>0</v>
      </c>
      <c r="AF1210" s="14" t="str">
        <f t="shared" si="224"/>
        <v>朱仙</v>
      </c>
      <c r="AG1210" s="14">
        <f t="shared" si="225"/>
        <v>3</v>
      </c>
      <c r="AH1210" s="14" t="str">
        <f t="shared" si="226"/>
        <v>朱仙魂火-10</v>
      </c>
      <c r="AI1210" s="14">
        <f t="shared" si="227"/>
        <v>10</v>
      </c>
      <c r="AJ1210" s="14" t="str">
        <f>INDEX(挂机升级突破!$BX$4:$CH$4,INDEX(挂机升级突破!$BU$6:$BU$57,卡牌消耗!AI1210))</f>
        <v>金币</v>
      </c>
      <c r="AK1210" s="14">
        <f>ROUND(INDEX(挂机升级突破!$BN$6:$BN$57,卡牌消耗!AI1210)*INDEX(卡牌消耗!$B$8:$F$8,AG1210)/$Q$4/50,0)*50</f>
        <v>2450</v>
      </c>
      <c r="AL1210" s="14" t="str">
        <f>IF(AD1210&gt;0,INDEX(挂机升级突破!$BX$4:$CH$4,AD1210),"")</f>
        <v>蓝色基础材料</v>
      </c>
      <c r="AM1210" s="14">
        <f>ROUND(INDEX(挂机升级突破!$BX$6:$CH$57,卡牌消耗!AI1210,AD1210)*INDEX(卡牌消耗!$B$5:$F$5,AG1210)/$Q$4/5,0)*5</f>
        <v>1440</v>
      </c>
      <c r="AN1210" s="14" t="str">
        <f>IF(AE1210&gt;0,INDEX(挂机升级突破!$BX$4:$CH$4,AE1210),"")</f>
        <v/>
      </c>
      <c r="AO1210" s="14" t="str">
        <f>IF(AE1210&gt;0,ROUND(INDEX(挂机升级突破!$BX$6:$CH$57,卡牌消耗!AI1210,AE1210)*INDEX(卡牌消耗!$B$7:$F$7,AG1210)/$Q$4,0),"")</f>
        <v/>
      </c>
    </row>
    <row r="1211" spans="27:41" ht="16.5" x14ac:dyDescent="0.2">
      <c r="AA1211" s="104">
        <v>1207</v>
      </c>
      <c r="AB1211" s="14">
        <f t="shared" si="223"/>
        <v>24</v>
      </c>
      <c r="AC1211" s="14">
        <f>INDEX(挂机升级突破!$BU$6:$BU$57,卡牌消耗!AI1211)</f>
        <v>11</v>
      </c>
      <c r="AD1211" s="14">
        <f>INDEX(挂机升级突破!BV$6:BV$57,卡牌消耗!$AI1211)</f>
        <v>2</v>
      </c>
      <c r="AE1211" s="14">
        <f>INDEX(挂机升级突破!BW$6:BW$57,卡牌消耗!$AI1211)</f>
        <v>0</v>
      </c>
      <c r="AF1211" s="14" t="str">
        <f t="shared" si="224"/>
        <v>朱仙</v>
      </c>
      <c r="AG1211" s="14">
        <f t="shared" si="225"/>
        <v>3</v>
      </c>
      <c r="AH1211" s="14" t="str">
        <f t="shared" si="226"/>
        <v>朱仙魂火-11</v>
      </c>
      <c r="AI1211" s="14">
        <f t="shared" si="227"/>
        <v>11</v>
      </c>
      <c r="AJ1211" s="14" t="str">
        <f>INDEX(挂机升级突破!$BX$4:$CH$4,INDEX(挂机升级突破!$BU$6:$BU$57,卡牌消耗!AI1211))</f>
        <v>金币</v>
      </c>
      <c r="AK1211" s="14">
        <f>ROUND(INDEX(挂机升级突破!$BN$6:$BN$57,卡牌消耗!AI1211)*INDEX(卡牌消耗!$B$8:$F$8,AG1211)/$Q$4/50,0)*50</f>
        <v>2450</v>
      </c>
      <c r="AL1211" s="14" t="str">
        <f>IF(AD1211&gt;0,INDEX(挂机升级突破!$BX$4:$CH$4,AD1211),"")</f>
        <v>蓝色基础材料</v>
      </c>
      <c r="AM1211" s="14">
        <f>ROUND(INDEX(挂机升级突破!$BX$6:$CH$57,卡牌消耗!AI1211,AD1211)*INDEX(卡牌消耗!$B$5:$F$5,AG1211)/$Q$4/5,0)*5</f>
        <v>1440</v>
      </c>
      <c r="AN1211" s="14" t="str">
        <f>IF(AE1211&gt;0,INDEX(挂机升级突破!$BX$4:$CH$4,AE1211),"")</f>
        <v/>
      </c>
      <c r="AO1211" s="14" t="str">
        <f>IF(AE1211&gt;0,ROUND(INDEX(挂机升级突破!$BX$6:$CH$57,卡牌消耗!AI1211,AE1211)*INDEX(卡牌消耗!$B$7:$F$7,AG1211)/$Q$4,0),"")</f>
        <v/>
      </c>
    </row>
    <row r="1212" spans="27:41" ht="16.5" x14ac:dyDescent="0.2">
      <c r="AA1212" s="104">
        <v>1208</v>
      </c>
      <c r="AB1212" s="14">
        <f t="shared" si="223"/>
        <v>24</v>
      </c>
      <c r="AC1212" s="14">
        <f>INDEX(挂机升级突破!$BU$6:$BU$57,卡牌消耗!AI1212)</f>
        <v>11</v>
      </c>
      <c r="AD1212" s="14">
        <f>INDEX(挂机升级突破!BV$6:BV$57,卡牌消耗!$AI1212)</f>
        <v>2</v>
      </c>
      <c r="AE1212" s="14">
        <f>INDEX(挂机升级突破!BW$6:BW$57,卡牌消耗!$AI1212)</f>
        <v>0</v>
      </c>
      <c r="AF1212" s="14" t="str">
        <f t="shared" si="224"/>
        <v>朱仙</v>
      </c>
      <c r="AG1212" s="14">
        <f t="shared" si="225"/>
        <v>3</v>
      </c>
      <c r="AH1212" s="14" t="str">
        <f t="shared" si="226"/>
        <v>朱仙魂火-12</v>
      </c>
      <c r="AI1212" s="14">
        <f t="shared" si="227"/>
        <v>12</v>
      </c>
      <c r="AJ1212" s="14" t="str">
        <f>INDEX(挂机升级突破!$BX$4:$CH$4,INDEX(挂机升级突破!$BU$6:$BU$57,卡牌消耗!AI1212))</f>
        <v>金币</v>
      </c>
      <c r="AK1212" s="14">
        <f>ROUND(INDEX(挂机升级突破!$BN$6:$BN$57,卡牌消耗!AI1212)*INDEX(卡牌消耗!$B$8:$F$8,AG1212)/$Q$4/50,0)*50</f>
        <v>2100</v>
      </c>
      <c r="AL1212" s="14" t="str">
        <f>IF(AD1212&gt;0,INDEX(挂机升级突破!$BX$4:$CH$4,AD1212),"")</f>
        <v>蓝色基础材料</v>
      </c>
      <c r="AM1212" s="14">
        <f>ROUND(INDEX(挂机升级突破!$BX$6:$CH$57,卡牌消耗!AI1212,AD1212)*INDEX(卡牌消耗!$B$5:$F$5,AG1212)/$Q$4/5,0)*5</f>
        <v>1920</v>
      </c>
      <c r="AN1212" s="14" t="str">
        <f>IF(AE1212&gt;0,INDEX(挂机升级突破!$BX$4:$CH$4,AE1212),"")</f>
        <v/>
      </c>
      <c r="AO1212" s="14" t="str">
        <f>IF(AE1212&gt;0,ROUND(INDEX(挂机升级突破!$BX$6:$CH$57,卡牌消耗!AI1212,AE1212)*INDEX(卡牌消耗!$B$7:$F$7,AG1212)/$Q$4,0),"")</f>
        <v/>
      </c>
    </row>
    <row r="1213" spans="27:41" ht="16.5" x14ac:dyDescent="0.2">
      <c r="AA1213" s="104">
        <v>1209</v>
      </c>
      <c r="AB1213" s="14">
        <f t="shared" si="223"/>
        <v>24</v>
      </c>
      <c r="AC1213" s="14">
        <f>INDEX(挂机升级突破!$BU$6:$BU$57,卡牌消耗!AI1213)</f>
        <v>11</v>
      </c>
      <c r="AD1213" s="14">
        <f>INDEX(挂机升级突破!BV$6:BV$57,卡牌消耗!$AI1213)</f>
        <v>2</v>
      </c>
      <c r="AE1213" s="14">
        <f>INDEX(挂机升级突破!BW$6:BW$57,卡牌消耗!$AI1213)</f>
        <v>0</v>
      </c>
      <c r="AF1213" s="14" t="str">
        <f t="shared" si="224"/>
        <v>朱仙</v>
      </c>
      <c r="AG1213" s="14">
        <f t="shared" si="225"/>
        <v>3</v>
      </c>
      <c r="AH1213" s="14" t="str">
        <f t="shared" si="226"/>
        <v>朱仙魂火-13</v>
      </c>
      <c r="AI1213" s="14">
        <f t="shared" si="227"/>
        <v>13</v>
      </c>
      <c r="AJ1213" s="14" t="str">
        <f>INDEX(挂机升级突破!$BX$4:$CH$4,INDEX(挂机升级突破!$BU$6:$BU$57,卡牌消耗!AI1213))</f>
        <v>金币</v>
      </c>
      <c r="AK1213" s="14">
        <f>ROUND(INDEX(挂机升级突破!$BN$6:$BN$57,卡牌消耗!AI1213)*INDEX(卡牌消耗!$B$8:$F$8,AG1213)/$Q$4/50,0)*50</f>
        <v>2100</v>
      </c>
      <c r="AL1213" s="14" t="str">
        <f>IF(AD1213&gt;0,INDEX(挂机升级突破!$BX$4:$CH$4,AD1213),"")</f>
        <v>蓝色基础材料</v>
      </c>
      <c r="AM1213" s="14">
        <f>ROUND(INDEX(挂机升级突破!$BX$6:$CH$57,卡牌消耗!AI1213,AD1213)*INDEX(卡牌消耗!$B$5:$F$5,AG1213)/$Q$4/5,0)*5</f>
        <v>1920</v>
      </c>
      <c r="AN1213" s="14" t="str">
        <f>IF(AE1213&gt;0,INDEX(挂机升级突破!$BX$4:$CH$4,AE1213),"")</f>
        <v/>
      </c>
      <c r="AO1213" s="14" t="str">
        <f>IF(AE1213&gt;0,ROUND(INDEX(挂机升级突破!$BX$6:$CH$57,卡牌消耗!AI1213,AE1213)*INDEX(卡牌消耗!$B$7:$F$7,AG1213)/$Q$4,0),"")</f>
        <v/>
      </c>
    </row>
    <row r="1214" spans="27:41" ht="16.5" x14ac:dyDescent="0.2">
      <c r="AA1214" s="104">
        <v>1210</v>
      </c>
      <c r="AB1214" s="14">
        <f t="shared" si="223"/>
        <v>24</v>
      </c>
      <c r="AC1214" s="14">
        <f>INDEX(挂机升级突破!$BU$6:$BU$57,卡牌消耗!AI1214)</f>
        <v>11</v>
      </c>
      <c r="AD1214" s="14">
        <f>INDEX(挂机升级突破!BV$6:BV$57,卡牌消耗!$AI1214)</f>
        <v>3</v>
      </c>
      <c r="AE1214" s="14">
        <f>INDEX(挂机升级突破!BW$6:BW$57,卡牌消耗!$AI1214)</f>
        <v>0</v>
      </c>
      <c r="AF1214" s="14" t="str">
        <f t="shared" si="224"/>
        <v>朱仙</v>
      </c>
      <c r="AG1214" s="14">
        <f t="shared" si="225"/>
        <v>3</v>
      </c>
      <c r="AH1214" s="14" t="str">
        <f t="shared" si="226"/>
        <v>朱仙魂火-14</v>
      </c>
      <c r="AI1214" s="14">
        <f t="shared" si="227"/>
        <v>14</v>
      </c>
      <c r="AJ1214" s="14" t="str">
        <f>INDEX(挂机升级突破!$BX$4:$CH$4,INDEX(挂机升级突破!$BU$6:$BU$57,卡牌消耗!AI1214))</f>
        <v>金币</v>
      </c>
      <c r="AK1214" s="14">
        <f>ROUND(INDEX(挂机升级突破!$BN$6:$BN$57,卡牌消耗!AI1214)*INDEX(卡牌消耗!$B$8:$F$8,AG1214)/$Q$4/50,0)*50</f>
        <v>2350</v>
      </c>
      <c r="AL1214" s="14" t="str">
        <f>IF(AD1214&gt;0,INDEX(挂机升级突破!$BX$4:$CH$4,AD1214),"")</f>
        <v>紫色基础材料</v>
      </c>
      <c r="AM1214" s="14">
        <f>ROUND(INDEX(挂机升级突破!$BX$6:$CH$57,卡牌消耗!AI1214,AD1214)*INDEX(卡牌消耗!$B$5:$F$5,AG1214)/$Q$4/5,0)*5</f>
        <v>170</v>
      </c>
      <c r="AN1214" s="14" t="str">
        <f>IF(AE1214&gt;0,INDEX(挂机升级突破!$BX$4:$CH$4,AE1214),"")</f>
        <v/>
      </c>
      <c r="AO1214" s="14" t="str">
        <f>IF(AE1214&gt;0,ROUND(INDEX(挂机升级突破!$BX$6:$CH$57,卡牌消耗!AI1214,AE1214)*INDEX(卡牌消耗!$B$7:$F$7,AG1214)/$Q$4,0),"")</f>
        <v/>
      </c>
    </row>
    <row r="1215" spans="27:41" ht="16.5" x14ac:dyDescent="0.2">
      <c r="AA1215" s="104">
        <v>1211</v>
      </c>
      <c r="AB1215" s="14">
        <f t="shared" si="223"/>
        <v>24</v>
      </c>
      <c r="AC1215" s="14">
        <f>INDEX(挂机升级突破!$BU$6:$BU$57,卡牌消耗!AI1215)</f>
        <v>11</v>
      </c>
      <c r="AD1215" s="14">
        <f>INDEX(挂机升级突破!BV$6:BV$57,卡牌消耗!$AI1215)</f>
        <v>3</v>
      </c>
      <c r="AE1215" s="14">
        <f>INDEX(挂机升级突破!BW$6:BW$57,卡牌消耗!$AI1215)</f>
        <v>0</v>
      </c>
      <c r="AF1215" s="14" t="str">
        <f t="shared" si="224"/>
        <v>朱仙</v>
      </c>
      <c r="AG1215" s="14">
        <f t="shared" si="225"/>
        <v>3</v>
      </c>
      <c r="AH1215" s="14" t="str">
        <f t="shared" si="226"/>
        <v>朱仙魂火-15</v>
      </c>
      <c r="AI1215" s="14">
        <f t="shared" si="227"/>
        <v>15</v>
      </c>
      <c r="AJ1215" s="14" t="str">
        <f>INDEX(挂机升级突破!$BX$4:$CH$4,INDEX(挂机升级突破!$BU$6:$BU$57,卡牌消耗!AI1215))</f>
        <v>金币</v>
      </c>
      <c r="AK1215" s="14">
        <f>ROUND(INDEX(挂机升级突破!$BN$6:$BN$57,卡牌消耗!AI1215)*INDEX(卡牌消耗!$B$8:$F$8,AG1215)/$Q$4/50,0)*50</f>
        <v>2550</v>
      </c>
      <c r="AL1215" s="14" t="str">
        <f>IF(AD1215&gt;0,INDEX(挂机升级突破!$BX$4:$CH$4,AD1215),"")</f>
        <v>紫色基础材料</v>
      </c>
      <c r="AM1215" s="14">
        <f>ROUND(INDEX(挂机升级突破!$BX$6:$CH$57,卡牌消耗!AI1215,AD1215)*INDEX(卡牌消耗!$B$5:$F$5,AG1215)/$Q$4/5,0)*5</f>
        <v>170</v>
      </c>
      <c r="AN1215" s="14" t="str">
        <f>IF(AE1215&gt;0,INDEX(挂机升级突破!$BX$4:$CH$4,AE1215),"")</f>
        <v/>
      </c>
      <c r="AO1215" s="14" t="str">
        <f>IF(AE1215&gt;0,ROUND(INDEX(挂机升级突破!$BX$6:$CH$57,卡牌消耗!AI1215,AE1215)*INDEX(卡牌消耗!$B$7:$F$7,AG1215)/$Q$4,0),"")</f>
        <v/>
      </c>
    </row>
    <row r="1216" spans="27:41" ht="16.5" x14ac:dyDescent="0.2">
      <c r="AA1216" s="104">
        <v>1212</v>
      </c>
      <c r="AB1216" s="14">
        <f t="shared" si="223"/>
        <v>24</v>
      </c>
      <c r="AC1216" s="14">
        <f>INDEX(挂机升级突破!$BU$6:$BU$57,卡牌消耗!AI1216)</f>
        <v>11</v>
      </c>
      <c r="AD1216" s="14">
        <f>INDEX(挂机升级突破!BV$6:BV$57,卡牌消耗!$AI1216)</f>
        <v>3</v>
      </c>
      <c r="AE1216" s="14">
        <f>INDEX(挂机升级突破!BW$6:BW$57,卡牌消耗!$AI1216)</f>
        <v>0</v>
      </c>
      <c r="AF1216" s="14" t="str">
        <f t="shared" si="224"/>
        <v>朱仙</v>
      </c>
      <c r="AG1216" s="14">
        <f t="shared" si="225"/>
        <v>3</v>
      </c>
      <c r="AH1216" s="14" t="str">
        <f t="shared" si="226"/>
        <v>朱仙魂火-16</v>
      </c>
      <c r="AI1216" s="14">
        <f t="shared" si="227"/>
        <v>16</v>
      </c>
      <c r="AJ1216" s="14" t="str">
        <f>INDEX(挂机升级突破!$BX$4:$CH$4,INDEX(挂机升级突破!$BU$6:$BU$57,卡牌消耗!AI1216))</f>
        <v>金币</v>
      </c>
      <c r="AK1216" s="14">
        <f>ROUND(INDEX(挂机升级突破!$BN$6:$BN$57,卡牌消耗!AI1216)*INDEX(卡牌消耗!$B$8:$F$8,AG1216)/$Q$4/50,0)*50</f>
        <v>2550</v>
      </c>
      <c r="AL1216" s="14" t="str">
        <f>IF(AD1216&gt;0,INDEX(挂机升级突破!$BX$4:$CH$4,AD1216),"")</f>
        <v>紫色基础材料</v>
      </c>
      <c r="AM1216" s="14">
        <f>ROUND(INDEX(挂机升级突破!$BX$6:$CH$57,卡牌消耗!AI1216,AD1216)*INDEX(卡牌消耗!$B$5:$F$5,AG1216)/$Q$4/5,0)*5</f>
        <v>170</v>
      </c>
      <c r="AN1216" s="14" t="str">
        <f>IF(AE1216&gt;0,INDEX(挂机升级突破!$BX$4:$CH$4,AE1216),"")</f>
        <v/>
      </c>
      <c r="AO1216" s="14" t="str">
        <f>IF(AE1216&gt;0,ROUND(INDEX(挂机升级突破!$BX$6:$CH$57,卡牌消耗!AI1216,AE1216)*INDEX(卡牌消耗!$B$7:$F$7,AG1216)/$Q$4,0),"")</f>
        <v/>
      </c>
    </row>
    <row r="1217" spans="27:41" ht="16.5" x14ac:dyDescent="0.2">
      <c r="AA1217" s="104">
        <v>1213</v>
      </c>
      <c r="AB1217" s="14">
        <f t="shared" si="223"/>
        <v>24</v>
      </c>
      <c r="AC1217" s="14">
        <f>INDEX(挂机升级突破!$BU$6:$BU$57,卡牌消耗!AI1217)</f>
        <v>11</v>
      </c>
      <c r="AD1217" s="14">
        <f>INDEX(挂机升级突破!BV$6:BV$57,卡牌消耗!$AI1217)</f>
        <v>3</v>
      </c>
      <c r="AE1217" s="14">
        <f>INDEX(挂机升级突破!BW$6:BW$57,卡牌消耗!$AI1217)</f>
        <v>0</v>
      </c>
      <c r="AF1217" s="14" t="str">
        <f t="shared" si="224"/>
        <v>朱仙</v>
      </c>
      <c r="AG1217" s="14">
        <f t="shared" si="225"/>
        <v>3</v>
      </c>
      <c r="AH1217" s="14" t="str">
        <f t="shared" si="226"/>
        <v>朱仙魂火-17</v>
      </c>
      <c r="AI1217" s="14">
        <f t="shared" si="227"/>
        <v>17</v>
      </c>
      <c r="AJ1217" s="14" t="str">
        <f>INDEX(挂机升级突破!$BX$4:$CH$4,INDEX(挂机升级突破!$BU$6:$BU$57,卡牌消耗!AI1217))</f>
        <v>金币</v>
      </c>
      <c r="AK1217" s="14">
        <f>ROUND(INDEX(挂机升级突破!$BN$6:$BN$57,卡牌消耗!AI1217)*INDEX(卡牌消耗!$B$8:$F$8,AG1217)/$Q$4/50,0)*50</f>
        <v>3200</v>
      </c>
      <c r="AL1217" s="14" t="str">
        <f>IF(AD1217&gt;0,INDEX(挂机升级突破!$BX$4:$CH$4,AD1217),"")</f>
        <v>紫色基础材料</v>
      </c>
      <c r="AM1217" s="14">
        <f>ROUND(INDEX(挂机升级突破!$BX$6:$CH$57,卡牌消耗!AI1217,AD1217)*INDEX(卡牌消耗!$B$5:$F$5,AG1217)/$Q$4/5,0)*5</f>
        <v>335</v>
      </c>
      <c r="AN1217" s="14" t="str">
        <f>IF(AE1217&gt;0,INDEX(挂机升级突破!$BX$4:$CH$4,AE1217),"")</f>
        <v/>
      </c>
      <c r="AO1217" s="14" t="str">
        <f>IF(AE1217&gt;0,ROUND(INDEX(挂机升级突破!$BX$6:$CH$57,卡牌消耗!AI1217,AE1217)*INDEX(卡牌消耗!$B$7:$F$7,AG1217)/$Q$4,0),"")</f>
        <v/>
      </c>
    </row>
    <row r="1218" spans="27:41" ht="16.5" x14ac:dyDescent="0.2">
      <c r="AA1218" s="104">
        <v>1214</v>
      </c>
      <c r="AB1218" s="14">
        <f t="shared" si="223"/>
        <v>24</v>
      </c>
      <c r="AC1218" s="14">
        <f>INDEX(挂机升级突破!$BU$6:$BU$57,卡牌消耗!AI1218)</f>
        <v>11</v>
      </c>
      <c r="AD1218" s="14">
        <f>INDEX(挂机升级突破!BV$6:BV$57,卡牌消耗!$AI1218)</f>
        <v>3</v>
      </c>
      <c r="AE1218" s="14">
        <f>INDEX(挂机升级突破!BW$6:BW$57,卡牌消耗!$AI1218)</f>
        <v>0</v>
      </c>
      <c r="AF1218" s="14" t="str">
        <f t="shared" si="224"/>
        <v>朱仙</v>
      </c>
      <c r="AG1218" s="14">
        <f t="shared" si="225"/>
        <v>3</v>
      </c>
      <c r="AH1218" s="14" t="str">
        <f t="shared" si="226"/>
        <v>朱仙魂火-18</v>
      </c>
      <c r="AI1218" s="14">
        <f t="shared" si="227"/>
        <v>18</v>
      </c>
      <c r="AJ1218" s="14" t="str">
        <f>INDEX(挂机升级突破!$BX$4:$CH$4,INDEX(挂机升级突破!$BU$6:$BU$57,卡牌消耗!AI1218))</f>
        <v>金币</v>
      </c>
      <c r="AK1218" s="14">
        <f>ROUND(INDEX(挂机升级突破!$BN$6:$BN$57,卡牌消耗!AI1218)*INDEX(卡牌消耗!$B$8:$F$8,AG1218)/$Q$4/50,0)*50</f>
        <v>3200</v>
      </c>
      <c r="AL1218" s="14" t="str">
        <f>IF(AD1218&gt;0,INDEX(挂机升级突破!$BX$4:$CH$4,AD1218),"")</f>
        <v>紫色基础材料</v>
      </c>
      <c r="AM1218" s="14">
        <f>ROUND(INDEX(挂机升级突破!$BX$6:$CH$57,卡牌消耗!AI1218,AD1218)*INDEX(卡牌消耗!$B$5:$F$5,AG1218)/$Q$4/5,0)*5</f>
        <v>335</v>
      </c>
      <c r="AN1218" s="14" t="str">
        <f>IF(AE1218&gt;0,INDEX(挂机升级突破!$BX$4:$CH$4,AE1218),"")</f>
        <v/>
      </c>
      <c r="AO1218" s="14" t="str">
        <f>IF(AE1218&gt;0,ROUND(INDEX(挂机升级突破!$BX$6:$CH$57,卡牌消耗!AI1218,AE1218)*INDEX(卡牌消耗!$B$7:$F$7,AG1218)/$Q$4,0),"")</f>
        <v/>
      </c>
    </row>
    <row r="1219" spans="27:41" ht="16.5" x14ac:dyDescent="0.2">
      <c r="AA1219" s="104">
        <v>1215</v>
      </c>
      <c r="AB1219" s="14">
        <f t="shared" si="223"/>
        <v>24</v>
      </c>
      <c r="AC1219" s="14">
        <f>INDEX(挂机升级突破!$BU$6:$BU$57,卡牌消耗!AI1219)</f>
        <v>11</v>
      </c>
      <c r="AD1219" s="14">
        <f>INDEX(挂机升级突破!BV$6:BV$57,卡牌消耗!$AI1219)</f>
        <v>3</v>
      </c>
      <c r="AE1219" s="14">
        <f>INDEX(挂机升级突破!BW$6:BW$57,卡牌消耗!$AI1219)</f>
        <v>0</v>
      </c>
      <c r="AF1219" s="14" t="str">
        <f t="shared" si="224"/>
        <v>朱仙</v>
      </c>
      <c r="AG1219" s="14">
        <f t="shared" si="225"/>
        <v>3</v>
      </c>
      <c r="AH1219" s="14" t="str">
        <f t="shared" si="226"/>
        <v>朱仙魂火-19</v>
      </c>
      <c r="AI1219" s="14">
        <f t="shared" si="227"/>
        <v>19</v>
      </c>
      <c r="AJ1219" s="14" t="str">
        <f>INDEX(挂机升级突破!$BX$4:$CH$4,INDEX(挂机升级突破!$BU$6:$BU$57,卡牌消耗!AI1219))</f>
        <v>金币</v>
      </c>
      <c r="AK1219" s="14">
        <f>ROUND(INDEX(挂机升级突破!$BN$6:$BN$57,卡牌消耗!AI1219)*INDEX(卡牌消耗!$B$8:$F$8,AG1219)/$Q$4/50,0)*50</f>
        <v>3200</v>
      </c>
      <c r="AL1219" s="14" t="str">
        <f>IF(AD1219&gt;0,INDEX(挂机升级突破!$BX$4:$CH$4,AD1219),"")</f>
        <v>紫色基础材料</v>
      </c>
      <c r="AM1219" s="14">
        <f>ROUND(INDEX(挂机升级突破!$BX$6:$CH$57,卡牌消耗!AI1219,AD1219)*INDEX(卡牌消耗!$B$5:$F$5,AG1219)/$Q$4/5,0)*5</f>
        <v>335</v>
      </c>
      <c r="AN1219" s="14" t="str">
        <f>IF(AE1219&gt;0,INDEX(挂机升级突破!$BX$4:$CH$4,AE1219),"")</f>
        <v/>
      </c>
      <c r="AO1219" s="14" t="str">
        <f>IF(AE1219&gt;0,ROUND(INDEX(挂机升级突破!$BX$6:$CH$57,卡牌消耗!AI1219,AE1219)*INDEX(卡牌消耗!$B$7:$F$7,AG1219)/$Q$4,0),"")</f>
        <v/>
      </c>
    </row>
    <row r="1220" spans="27:41" ht="16.5" x14ac:dyDescent="0.2">
      <c r="AA1220" s="104">
        <v>1216</v>
      </c>
      <c r="AB1220" s="14">
        <f t="shared" si="223"/>
        <v>24</v>
      </c>
      <c r="AC1220" s="14">
        <f>INDEX(挂机升级突破!$BU$6:$BU$57,卡牌消耗!AI1220)</f>
        <v>11</v>
      </c>
      <c r="AD1220" s="14">
        <f>INDEX(挂机升级突破!BV$6:BV$57,卡牌消耗!$AI1220)</f>
        <v>3</v>
      </c>
      <c r="AE1220" s="14">
        <f>INDEX(挂机升级突破!BW$6:BW$57,卡牌消耗!$AI1220)</f>
        <v>0</v>
      </c>
      <c r="AF1220" s="14" t="str">
        <f t="shared" si="224"/>
        <v>朱仙</v>
      </c>
      <c r="AG1220" s="14">
        <f t="shared" si="225"/>
        <v>3</v>
      </c>
      <c r="AH1220" s="14" t="str">
        <f t="shared" si="226"/>
        <v>朱仙魂火-20</v>
      </c>
      <c r="AI1220" s="14">
        <f t="shared" si="227"/>
        <v>20</v>
      </c>
      <c r="AJ1220" s="14" t="str">
        <f>INDEX(挂机升级突破!$BX$4:$CH$4,INDEX(挂机升级突破!$BU$6:$BU$57,卡牌消耗!AI1220))</f>
        <v>金币</v>
      </c>
      <c r="AK1220" s="14">
        <f>ROUND(INDEX(挂机升级突破!$BN$6:$BN$57,卡牌消耗!AI1220)*INDEX(卡牌消耗!$B$8:$F$8,AG1220)/$Q$4/50,0)*50</f>
        <v>3900</v>
      </c>
      <c r="AL1220" s="14" t="str">
        <f>IF(AD1220&gt;0,INDEX(挂机升级突破!$BX$4:$CH$4,AD1220),"")</f>
        <v>紫色基础材料</v>
      </c>
      <c r="AM1220" s="14">
        <f>ROUND(INDEX(挂机升级突破!$BX$6:$CH$57,卡牌消耗!AI1220,AD1220)*INDEX(卡牌消耗!$B$5:$F$5,AG1220)/$Q$4/5,0)*5</f>
        <v>505</v>
      </c>
      <c r="AN1220" s="14" t="str">
        <f>IF(AE1220&gt;0,INDEX(挂机升级突破!$BX$4:$CH$4,AE1220),"")</f>
        <v/>
      </c>
      <c r="AO1220" s="14" t="str">
        <f>IF(AE1220&gt;0,ROUND(INDEX(挂机升级突破!$BX$6:$CH$57,卡牌消耗!AI1220,AE1220)*INDEX(卡牌消耗!$B$7:$F$7,AG1220)/$Q$4,0),"")</f>
        <v/>
      </c>
    </row>
    <row r="1221" spans="27:41" ht="16.5" x14ac:dyDescent="0.2">
      <c r="AA1221" s="104">
        <v>1217</v>
      </c>
      <c r="AB1221" s="14">
        <f t="shared" si="223"/>
        <v>24</v>
      </c>
      <c r="AC1221" s="14">
        <f>INDEX(挂机升级突破!$BU$6:$BU$57,卡牌消耗!AI1221)</f>
        <v>11</v>
      </c>
      <c r="AD1221" s="14">
        <f>INDEX(挂机升级突破!BV$6:BV$57,卡牌消耗!$AI1221)</f>
        <v>3</v>
      </c>
      <c r="AE1221" s="14">
        <f>INDEX(挂机升级突破!BW$6:BW$57,卡牌消耗!$AI1221)</f>
        <v>0</v>
      </c>
      <c r="AF1221" s="14" t="str">
        <f t="shared" si="224"/>
        <v>朱仙</v>
      </c>
      <c r="AG1221" s="14">
        <f t="shared" si="225"/>
        <v>3</v>
      </c>
      <c r="AH1221" s="14" t="str">
        <f t="shared" si="226"/>
        <v>朱仙魂火-21</v>
      </c>
      <c r="AI1221" s="14">
        <f t="shared" si="227"/>
        <v>21</v>
      </c>
      <c r="AJ1221" s="14" t="str">
        <f>INDEX(挂机升级突破!$BX$4:$CH$4,INDEX(挂机升级突破!$BU$6:$BU$57,卡牌消耗!AI1221))</f>
        <v>金币</v>
      </c>
      <c r="AK1221" s="14">
        <f>ROUND(INDEX(挂机升级突破!$BN$6:$BN$57,卡牌消耗!AI1221)*INDEX(卡牌消耗!$B$8:$F$8,AG1221)/$Q$4/50,0)*50</f>
        <v>3900</v>
      </c>
      <c r="AL1221" s="14" t="str">
        <f>IF(AD1221&gt;0,INDEX(挂机升级突破!$BX$4:$CH$4,AD1221),"")</f>
        <v>紫色基础材料</v>
      </c>
      <c r="AM1221" s="14">
        <f>ROUND(INDEX(挂机升级突破!$BX$6:$CH$57,卡牌消耗!AI1221,AD1221)*INDEX(卡牌消耗!$B$5:$F$5,AG1221)/$Q$4/5,0)*5</f>
        <v>505</v>
      </c>
      <c r="AN1221" s="14" t="str">
        <f>IF(AE1221&gt;0,INDEX(挂机升级突破!$BX$4:$CH$4,AE1221),"")</f>
        <v/>
      </c>
      <c r="AO1221" s="14" t="str">
        <f>IF(AE1221&gt;0,ROUND(INDEX(挂机升级突破!$BX$6:$CH$57,卡牌消耗!AI1221,AE1221)*INDEX(卡牌消耗!$B$7:$F$7,AG1221)/$Q$4,0),"")</f>
        <v/>
      </c>
    </row>
    <row r="1222" spans="27:41" ht="16.5" x14ac:dyDescent="0.2">
      <c r="AA1222" s="104">
        <v>1218</v>
      </c>
      <c r="AB1222" s="14">
        <f t="shared" ref="AB1222:AB1285" si="228">INT((AA1222-1)/52)+1</f>
        <v>24</v>
      </c>
      <c r="AC1222" s="14">
        <f>INDEX(挂机升级突破!$BU$6:$BU$57,卡牌消耗!AI1222)</f>
        <v>11</v>
      </c>
      <c r="AD1222" s="14">
        <f>INDEX(挂机升级突破!BV$6:BV$57,卡牌消耗!$AI1222)</f>
        <v>3</v>
      </c>
      <c r="AE1222" s="14">
        <f>INDEX(挂机升级突破!BW$6:BW$57,卡牌消耗!$AI1222)</f>
        <v>0</v>
      </c>
      <c r="AF1222" s="14" t="str">
        <f t="shared" ref="AF1222:AF1285" si="229">INDEX($B$13:$B$40,AB1222)</f>
        <v>朱仙</v>
      </c>
      <c r="AG1222" s="14">
        <f t="shared" ref="AG1222:AG1285" si="230">INDEX($C$13:$C$40,AB1222)</f>
        <v>3</v>
      </c>
      <c r="AH1222" s="14" t="str">
        <f t="shared" ref="AH1222:AH1285" si="231">AF1222&amp;"魂火-"&amp;AI1222</f>
        <v>朱仙魂火-22</v>
      </c>
      <c r="AI1222" s="14">
        <f t="shared" ref="AI1222:AI1285" si="232">AA1222-(AB1222-1)*52</f>
        <v>22</v>
      </c>
      <c r="AJ1222" s="14" t="str">
        <f>INDEX(挂机升级突破!$BX$4:$CH$4,INDEX(挂机升级突破!$BU$6:$BU$57,卡牌消耗!AI1222))</f>
        <v>金币</v>
      </c>
      <c r="AK1222" s="14">
        <f>ROUND(INDEX(挂机升级突破!$BN$6:$BN$57,卡牌消耗!AI1222)*INDEX(卡牌消耗!$B$8:$F$8,AG1222)/$Q$4/50,0)*50</f>
        <v>3900</v>
      </c>
      <c r="AL1222" s="14" t="str">
        <f>IF(AD1222&gt;0,INDEX(挂机升级突破!$BX$4:$CH$4,AD1222),"")</f>
        <v>紫色基础材料</v>
      </c>
      <c r="AM1222" s="14">
        <f>ROUND(INDEX(挂机升级突破!$BX$6:$CH$57,卡牌消耗!AI1222,AD1222)*INDEX(卡牌消耗!$B$5:$F$5,AG1222)/$Q$4/5,0)*5</f>
        <v>505</v>
      </c>
      <c r="AN1222" s="14" t="str">
        <f>IF(AE1222&gt;0,INDEX(挂机升级突破!$BX$4:$CH$4,AE1222),"")</f>
        <v/>
      </c>
      <c r="AO1222" s="14" t="str">
        <f>IF(AE1222&gt;0,ROUND(INDEX(挂机升级突破!$BX$6:$CH$57,卡牌消耗!AI1222,AE1222)*INDEX(卡牌消耗!$B$7:$F$7,AG1222)/$Q$4,0),"")</f>
        <v/>
      </c>
    </row>
    <row r="1223" spans="27:41" ht="16.5" x14ac:dyDescent="0.2">
      <c r="AA1223" s="104">
        <v>1219</v>
      </c>
      <c r="AB1223" s="14">
        <f t="shared" si="228"/>
        <v>24</v>
      </c>
      <c r="AC1223" s="14">
        <f>INDEX(挂机升级突破!$BU$6:$BU$57,卡牌消耗!AI1223)</f>
        <v>11</v>
      </c>
      <c r="AD1223" s="14">
        <f>INDEX(挂机升级突破!BV$6:BV$57,卡牌消耗!$AI1223)</f>
        <v>4</v>
      </c>
      <c r="AE1223" s="14">
        <f>INDEX(挂机升级突破!BW$6:BW$57,卡牌消耗!$AI1223)</f>
        <v>0</v>
      </c>
      <c r="AF1223" s="14" t="str">
        <f t="shared" si="229"/>
        <v>朱仙</v>
      </c>
      <c r="AG1223" s="14">
        <f t="shared" si="230"/>
        <v>3</v>
      </c>
      <c r="AH1223" s="14" t="str">
        <f t="shared" si="231"/>
        <v>朱仙魂火-23</v>
      </c>
      <c r="AI1223" s="14">
        <f t="shared" si="232"/>
        <v>23</v>
      </c>
      <c r="AJ1223" s="14" t="str">
        <f>INDEX(挂机升级突破!$BX$4:$CH$4,INDEX(挂机升级突破!$BU$6:$BU$57,卡牌消耗!AI1223))</f>
        <v>金币</v>
      </c>
      <c r="AK1223" s="14">
        <f>ROUND(INDEX(挂机升级突破!$BN$6:$BN$57,卡牌消耗!AI1223)*INDEX(卡牌消耗!$B$8:$F$8,AG1223)/$Q$4/50,0)*50</f>
        <v>5350</v>
      </c>
      <c r="AL1223" s="14" t="str">
        <f>IF(AD1223&gt;0,INDEX(挂机升级突破!$BX$4:$CH$4,AD1223),"")</f>
        <v>橙色基础材料</v>
      </c>
      <c r="AM1223" s="14">
        <f>ROUND(INDEX(挂机升级突破!$BX$6:$CH$57,卡牌消耗!AI1223,AD1223)*INDEX(卡牌消耗!$B$5:$F$5,AG1223)/$Q$4/5,0)*5</f>
        <v>70</v>
      </c>
      <c r="AN1223" s="14" t="str">
        <f>IF(AE1223&gt;0,INDEX(挂机升级突破!$BX$4:$CH$4,AE1223),"")</f>
        <v/>
      </c>
      <c r="AO1223" s="14" t="str">
        <f>IF(AE1223&gt;0,ROUND(INDEX(挂机升级突破!$BX$6:$CH$57,卡牌消耗!AI1223,AE1223)*INDEX(卡牌消耗!$B$7:$F$7,AG1223)/$Q$4,0),"")</f>
        <v/>
      </c>
    </row>
    <row r="1224" spans="27:41" ht="16.5" x14ac:dyDescent="0.2">
      <c r="AA1224" s="104">
        <v>1220</v>
      </c>
      <c r="AB1224" s="14">
        <f t="shared" si="228"/>
        <v>24</v>
      </c>
      <c r="AC1224" s="14">
        <f>INDEX(挂机升级突破!$BU$6:$BU$57,卡牌消耗!AI1224)</f>
        <v>11</v>
      </c>
      <c r="AD1224" s="14">
        <f>INDEX(挂机升级突破!BV$6:BV$57,卡牌消耗!$AI1224)</f>
        <v>4</v>
      </c>
      <c r="AE1224" s="14">
        <f>INDEX(挂机升级突破!BW$6:BW$57,卡牌消耗!$AI1224)</f>
        <v>0</v>
      </c>
      <c r="AF1224" s="14" t="str">
        <f t="shared" si="229"/>
        <v>朱仙</v>
      </c>
      <c r="AG1224" s="14">
        <f t="shared" si="230"/>
        <v>3</v>
      </c>
      <c r="AH1224" s="14" t="str">
        <f t="shared" si="231"/>
        <v>朱仙魂火-24</v>
      </c>
      <c r="AI1224" s="14">
        <f t="shared" si="232"/>
        <v>24</v>
      </c>
      <c r="AJ1224" s="14" t="str">
        <f>INDEX(挂机升级突破!$BX$4:$CH$4,INDEX(挂机升级突破!$BU$6:$BU$57,卡牌消耗!AI1224))</f>
        <v>金币</v>
      </c>
      <c r="AK1224" s="14">
        <f>ROUND(INDEX(挂机升级突破!$BN$6:$BN$57,卡牌消耗!AI1224)*INDEX(卡牌消耗!$B$8:$F$8,AG1224)/$Q$4/50,0)*50</f>
        <v>5350</v>
      </c>
      <c r="AL1224" s="14" t="str">
        <f>IF(AD1224&gt;0,INDEX(挂机升级突破!$BX$4:$CH$4,AD1224),"")</f>
        <v>橙色基础材料</v>
      </c>
      <c r="AM1224" s="14">
        <f>ROUND(INDEX(挂机升级突破!$BX$6:$CH$57,卡牌消耗!AI1224,AD1224)*INDEX(卡牌消耗!$B$5:$F$5,AG1224)/$Q$4/5,0)*5</f>
        <v>70</v>
      </c>
      <c r="AN1224" s="14" t="str">
        <f>IF(AE1224&gt;0,INDEX(挂机升级突破!$BX$4:$CH$4,AE1224),"")</f>
        <v/>
      </c>
      <c r="AO1224" s="14" t="str">
        <f>IF(AE1224&gt;0,ROUND(INDEX(挂机升级突破!$BX$6:$CH$57,卡牌消耗!AI1224,AE1224)*INDEX(卡牌消耗!$B$7:$F$7,AG1224)/$Q$4,0),"")</f>
        <v/>
      </c>
    </row>
    <row r="1225" spans="27:41" ht="16.5" x14ac:dyDescent="0.2">
      <c r="AA1225" s="104">
        <v>1221</v>
      </c>
      <c r="AB1225" s="14">
        <f t="shared" si="228"/>
        <v>24</v>
      </c>
      <c r="AC1225" s="14">
        <f>INDEX(挂机升级突破!$BU$6:$BU$57,卡牌消耗!AI1225)</f>
        <v>11</v>
      </c>
      <c r="AD1225" s="14">
        <f>INDEX(挂机升级突破!BV$6:BV$57,卡牌消耗!$AI1225)</f>
        <v>4</v>
      </c>
      <c r="AE1225" s="14">
        <f>INDEX(挂机升级突破!BW$6:BW$57,卡牌消耗!$AI1225)</f>
        <v>0</v>
      </c>
      <c r="AF1225" s="14" t="str">
        <f t="shared" si="229"/>
        <v>朱仙</v>
      </c>
      <c r="AG1225" s="14">
        <f t="shared" si="230"/>
        <v>3</v>
      </c>
      <c r="AH1225" s="14" t="str">
        <f t="shared" si="231"/>
        <v>朱仙魂火-25</v>
      </c>
      <c r="AI1225" s="14">
        <f t="shared" si="232"/>
        <v>25</v>
      </c>
      <c r="AJ1225" s="14" t="str">
        <f>INDEX(挂机升级突破!$BX$4:$CH$4,INDEX(挂机升级突破!$BU$6:$BU$57,卡牌消耗!AI1225))</f>
        <v>金币</v>
      </c>
      <c r="AK1225" s="14">
        <f>ROUND(INDEX(挂机升级突破!$BN$6:$BN$57,卡牌消耗!AI1225)*INDEX(卡牌消耗!$B$8:$F$8,AG1225)/$Q$4/50,0)*50</f>
        <v>5850</v>
      </c>
      <c r="AL1225" s="14" t="str">
        <f>IF(AD1225&gt;0,INDEX(挂机升级突破!$BX$4:$CH$4,AD1225),"")</f>
        <v>橙色基础材料</v>
      </c>
      <c r="AM1225" s="14">
        <f>ROUND(INDEX(挂机升级突破!$BX$6:$CH$57,卡牌消耗!AI1225,AD1225)*INDEX(卡牌消耗!$B$5:$F$5,AG1225)/$Q$4/5,0)*5</f>
        <v>70</v>
      </c>
      <c r="AN1225" s="14" t="str">
        <f>IF(AE1225&gt;0,INDEX(挂机升级突破!$BX$4:$CH$4,AE1225),"")</f>
        <v/>
      </c>
      <c r="AO1225" s="14" t="str">
        <f>IF(AE1225&gt;0,ROUND(INDEX(挂机升级突破!$BX$6:$CH$57,卡牌消耗!AI1225,AE1225)*INDEX(卡牌消耗!$B$7:$F$7,AG1225)/$Q$4,0),"")</f>
        <v/>
      </c>
    </row>
    <row r="1226" spans="27:41" ht="16.5" x14ac:dyDescent="0.2">
      <c r="AA1226" s="104">
        <v>1222</v>
      </c>
      <c r="AB1226" s="14">
        <f t="shared" si="228"/>
        <v>24</v>
      </c>
      <c r="AC1226" s="14">
        <f>INDEX(挂机升级突破!$BU$6:$BU$57,卡牌消耗!AI1226)</f>
        <v>11</v>
      </c>
      <c r="AD1226" s="14">
        <f>INDEX(挂机升级突破!BV$6:BV$57,卡牌消耗!$AI1226)</f>
        <v>4</v>
      </c>
      <c r="AE1226" s="14">
        <f>INDEX(挂机升级突破!BW$6:BW$57,卡牌消耗!$AI1226)</f>
        <v>0</v>
      </c>
      <c r="AF1226" s="14" t="str">
        <f t="shared" si="229"/>
        <v>朱仙</v>
      </c>
      <c r="AG1226" s="14">
        <f t="shared" si="230"/>
        <v>3</v>
      </c>
      <c r="AH1226" s="14" t="str">
        <f t="shared" si="231"/>
        <v>朱仙魂火-26</v>
      </c>
      <c r="AI1226" s="14">
        <f t="shared" si="232"/>
        <v>26</v>
      </c>
      <c r="AJ1226" s="14" t="str">
        <f>INDEX(挂机升级突破!$BX$4:$CH$4,INDEX(挂机升级突破!$BU$6:$BU$57,卡牌消耗!AI1226))</f>
        <v>金币</v>
      </c>
      <c r="AK1226" s="14">
        <f>ROUND(INDEX(挂机升级突破!$BN$6:$BN$57,卡牌消耗!AI1226)*INDEX(卡牌消耗!$B$8:$F$8,AG1226)/$Q$4/50,0)*50</f>
        <v>6850</v>
      </c>
      <c r="AL1226" s="14" t="str">
        <f>IF(AD1226&gt;0,INDEX(挂机升级突破!$BX$4:$CH$4,AD1226),"")</f>
        <v>橙色基础材料</v>
      </c>
      <c r="AM1226" s="14">
        <f>ROUND(INDEX(挂机升级突破!$BX$6:$CH$57,卡牌消耗!AI1226,AD1226)*INDEX(卡牌消耗!$B$5:$F$5,AG1226)/$Q$4/5,0)*5</f>
        <v>85</v>
      </c>
      <c r="AN1226" s="14" t="str">
        <f>IF(AE1226&gt;0,INDEX(挂机升级突破!$BX$4:$CH$4,AE1226),"")</f>
        <v/>
      </c>
      <c r="AO1226" s="14" t="str">
        <f>IF(AE1226&gt;0,ROUND(INDEX(挂机升级突破!$BX$6:$CH$57,卡牌消耗!AI1226,AE1226)*INDEX(卡牌消耗!$B$7:$F$7,AG1226)/$Q$4,0),"")</f>
        <v/>
      </c>
    </row>
    <row r="1227" spans="27:41" ht="16.5" x14ac:dyDescent="0.2">
      <c r="AA1227" s="104">
        <v>1223</v>
      </c>
      <c r="AB1227" s="14">
        <f t="shared" si="228"/>
        <v>24</v>
      </c>
      <c r="AC1227" s="14">
        <f>INDEX(挂机升级突破!$BU$6:$BU$57,卡牌消耗!AI1227)</f>
        <v>11</v>
      </c>
      <c r="AD1227" s="14">
        <f>INDEX(挂机升级突破!BV$6:BV$57,卡牌消耗!$AI1227)</f>
        <v>4</v>
      </c>
      <c r="AE1227" s="14">
        <f>INDEX(挂机升级突破!BW$6:BW$57,卡牌消耗!$AI1227)</f>
        <v>0</v>
      </c>
      <c r="AF1227" s="14" t="str">
        <f t="shared" si="229"/>
        <v>朱仙</v>
      </c>
      <c r="AG1227" s="14">
        <f t="shared" si="230"/>
        <v>3</v>
      </c>
      <c r="AH1227" s="14" t="str">
        <f t="shared" si="231"/>
        <v>朱仙魂火-27</v>
      </c>
      <c r="AI1227" s="14">
        <f t="shared" si="232"/>
        <v>27</v>
      </c>
      <c r="AJ1227" s="14" t="str">
        <f>INDEX(挂机升级突破!$BX$4:$CH$4,INDEX(挂机升级突破!$BU$6:$BU$57,卡牌消耗!AI1227))</f>
        <v>金币</v>
      </c>
      <c r="AK1227" s="14">
        <f>ROUND(INDEX(挂机升级突破!$BN$6:$BN$57,卡牌消耗!AI1227)*INDEX(卡牌消耗!$B$8:$F$8,AG1227)/$Q$4/50,0)*50</f>
        <v>6850</v>
      </c>
      <c r="AL1227" s="14" t="str">
        <f>IF(AD1227&gt;0,INDEX(挂机升级突破!$BX$4:$CH$4,AD1227),"")</f>
        <v>橙色基础材料</v>
      </c>
      <c r="AM1227" s="14">
        <f>ROUND(INDEX(挂机升级突破!$BX$6:$CH$57,卡牌消耗!AI1227,AD1227)*INDEX(卡牌消耗!$B$5:$F$5,AG1227)/$Q$4/5,0)*5</f>
        <v>85</v>
      </c>
      <c r="AN1227" s="14" t="str">
        <f>IF(AE1227&gt;0,INDEX(挂机升级突破!$BX$4:$CH$4,AE1227),"")</f>
        <v/>
      </c>
      <c r="AO1227" s="14" t="str">
        <f>IF(AE1227&gt;0,ROUND(INDEX(挂机升级突破!$BX$6:$CH$57,卡牌消耗!AI1227,AE1227)*INDEX(卡牌消耗!$B$7:$F$7,AG1227)/$Q$4,0),"")</f>
        <v/>
      </c>
    </row>
    <row r="1228" spans="27:41" ht="16.5" x14ac:dyDescent="0.2">
      <c r="AA1228" s="104">
        <v>1224</v>
      </c>
      <c r="AB1228" s="14">
        <f t="shared" si="228"/>
        <v>24</v>
      </c>
      <c r="AC1228" s="14">
        <f>INDEX(挂机升级突破!$BU$6:$BU$57,卡牌消耗!AI1228)</f>
        <v>11</v>
      </c>
      <c r="AD1228" s="14">
        <f>INDEX(挂机升级突破!BV$6:BV$57,卡牌消耗!$AI1228)</f>
        <v>4</v>
      </c>
      <c r="AE1228" s="14">
        <f>INDEX(挂机升级突破!BW$6:BW$57,卡牌消耗!$AI1228)</f>
        <v>0</v>
      </c>
      <c r="AF1228" s="14" t="str">
        <f t="shared" si="229"/>
        <v>朱仙</v>
      </c>
      <c r="AG1228" s="14">
        <f t="shared" si="230"/>
        <v>3</v>
      </c>
      <c r="AH1228" s="14" t="str">
        <f t="shared" si="231"/>
        <v>朱仙魂火-28</v>
      </c>
      <c r="AI1228" s="14">
        <f t="shared" si="232"/>
        <v>28</v>
      </c>
      <c r="AJ1228" s="14" t="str">
        <f>INDEX(挂机升级突破!$BX$4:$CH$4,INDEX(挂机升级突破!$BU$6:$BU$57,卡牌消耗!AI1228))</f>
        <v>金币</v>
      </c>
      <c r="AK1228" s="14">
        <f>ROUND(INDEX(挂机升级突破!$BN$6:$BN$57,卡牌消耗!AI1228)*INDEX(卡牌消耗!$B$8:$F$8,AG1228)/$Q$4/50,0)*50</f>
        <v>6850</v>
      </c>
      <c r="AL1228" s="14" t="str">
        <f>IF(AD1228&gt;0,INDEX(挂机升级突破!$BX$4:$CH$4,AD1228),"")</f>
        <v>橙色基础材料</v>
      </c>
      <c r="AM1228" s="14">
        <f>ROUND(INDEX(挂机升级突破!$BX$6:$CH$57,卡牌消耗!AI1228,AD1228)*INDEX(卡牌消耗!$B$5:$F$5,AG1228)/$Q$4/5,0)*5</f>
        <v>85</v>
      </c>
      <c r="AN1228" s="14" t="str">
        <f>IF(AE1228&gt;0,INDEX(挂机升级突破!$BX$4:$CH$4,AE1228),"")</f>
        <v/>
      </c>
      <c r="AO1228" s="14" t="str">
        <f>IF(AE1228&gt;0,ROUND(INDEX(挂机升级突破!$BX$6:$CH$57,卡牌消耗!AI1228,AE1228)*INDEX(卡牌消耗!$B$7:$F$7,AG1228)/$Q$4,0),"")</f>
        <v/>
      </c>
    </row>
    <row r="1229" spans="27:41" ht="16.5" x14ac:dyDescent="0.2">
      <c r="AA1229" s="104">
        <v>1225</v>
      </c>
      <c r="AB1229" s="14">
        <f t="shared" si="228"/>
        <v>24</v>
      </c>
      <c r="AC1229" s="14">
        <f>INDEX(挂机升级突破!$BU$6:$BU$57,卡牌消耗!AI1229)</f>
        <v>11</v>
      </c>
      <c r="AD1229" s="14">
        <f>INDEX(挂机升级突破!BV$6:BV$57,卡牌消耗!$AI1229)</f>
        <v>4</v>
      </c>
      <c r="AE1229" s="14">
        <f>INDEX(挂机升级突破!BW$6:BW$57,卡牌消耗!$AI1229)</f>
        <v>0</v>
      </c>
      <c r="AF1229" s="14" t="str">
        <f t="shared" si="229"/>
        <v>朱仙</v>
      </c>
      <c r="AG1229" s="14">
        <f t="shared" si="230"/>
        <v>3</v>
      </c>
      <c r="AH1229" s="14" t="str">
        <f t="shared" si="231"/>
        <v>朱仙魂火-29</v>
      </c>
      <c r="AI1229" s="14">
        <f t="shared" si="232"/>
        <v>29</v>
      </c>
      <c r="AJ1229" s="14" t="str">
        <f>INDEX(挂机升级突破!$BX$4:$CH$4,INDEX(挂机升级突破!$BU$6:$BU$57,卡牌消耗!AI1229))</f>
        <v>金币</v>
      </c>
      <c r="AK1229" s="14">
        <f>ROUND(INDEX(挂机升级突破!$BN$6:$BN$57,卡牌消耗!AI1229)*INDEX(卡牌消耗!$B$8:$F$8,AG1229)/$Q$4/50,0)*50</f>
        <v>6900</v>
      </c>
      <c r="AL1229" s="14" t="str">
        <f>IF(AD1229&gt;0,INDEX(挂机升级突破!$BX$4:$CH$4,AD1229),"")</f>
        <v>橙色基础材料</v>
      </c>
      <c r="AM1229" s="14">
        <f>ROUND(INDEX(挂机升级突破!$BX$6:$CH$57,卡牌消耗!AI1229,AD1229)*INDEX(卡牌消耗!$B$5:$F$5,AG1229)/$Q$4/5,0)*5</f>
        <v>100</v>
      </c>
      <c r="AN1229" s="14" t="str">
        <f>IF(AE1229&gt;0,INDEX(挂机升级突破!$BX$4:$CH$4,AE1229),"")</f>
        <v/>
      </c>
      <c r="AO1229" s="14" t="str">
        <f>IF(AE1229&gt;0,ROUND(INDEX(挂机升级突破!$BX$6:$CH$57,卡牌消耗!AI1229,AE1229)*INDEX(卡牌消耗!$B$7:$F$7,AG1229)/$Q$4,0),"")</f>
        <v/>
      </c>
    </row>
    <row r="1230" spans="27:41" ht="16.5" x14ac:dyDescent="0.2">
      <c r="AA1230" s="104">
        <v>1226</v>
      </c>
      <c r="AB1230" s="14">
        <f t="shared" si="228"/>
        <v>24</v>
      </c>
      <c r="AC1230" s="14">
        <f>INDEX(挂机升级突破!$BU$6:$BU$57,卡牌消耗!AI1230)</f>
        <v>11</v>
      </c>
      <c r="AD1230" s="14">
        <f>INDEX(挂机升级突破!BV$6:BV$57,卡牌消耗!$AI1230)</f>
        <v>4</v>
      </c>
      <c r="AE1230" s="14">
        <f>INDEX(挂机升级突破!BW$6:BW$57,卡牌消耗!$AI1230)</f>
        <v>0</v>
      </c>
      <c r="AF1230" s="14" t="str">
        <f t="shared" si="229"/>
        <v>朱仙</v>
      </c>
      <c r="AG1230" s="14">
        <f t="shared" si="230"/>
        <v>3</v>
      </c>
      <c r="AH1230" s="14" t="str">
        <f t="shared" si="231"/>
        <v>朱仙魂火-30</v>
      </c>
      <c r="AI1230" s="14">
        <f t="shared" si="232"/>
        <v>30</v>
      </c>
      <c r="AJ1230" s="14" t="str">
        <f>INDEX(挂机升级突破!$BX$4:$CH$4,INDEX(挂机升级突破!$BU$6:$BU$57,卡牌消耗!AI1230))</f>
        <v>金币</v>
      </c>
      <c r="AK1230" s="14">
        <f>ROUND(INDEX(挂机升级突破!$BN$6:$BN$57,卡牌消耗!AI1230)*INDEX(卡牌消耗!$B$8:$F$8,AG1230)/$Q$4/50,0)*50</f>
        <v>6900</v>
      </c>
      <c r="AL1230" s="14" t="str">
        <f>IF(AD1230&gt;0,INDEX(挂机升级突破!$BX$4:$CH$4,AD1230),"")</f>
        <v>橙色基础材料</v>
      </c>
      <c r="AM1230" s="14">
        <f>ROUND(INDEX(挂机升级突破!$BX$6:$CH$57,卡牌消耗!AI1230,AD1230)*INDEX(卡牌消耗!$B$5:$F$5,AG1230)/$Q$4/5,0)*5</f>
        <v>100</v>
      </c>
      <c r="AN1230" s="14" t="str">
        <f>IF(AE1230&gt;0,INDEX(挂机升级突破!$BX$4:$CH$4,AE1230),"")</f>
        <v/>
      </c>
      <c r="AO1230" s="14" t="str">
        <f>IF(AE1230&gt;0,ROUND(INDEX(挂机升级突破!$BX$6:$CH$57,卡牌消耗!AI1230,AE1230)*INDEX(卡牌消耗!$B$7:$F$7,AG1230)/$Q$4,0),"")</f>
        <v/>
      </c>
    </row>
    <row r="1231" spans="27:41" ht="16.5" x14ac:dyDescent="0.2">
      <c r="AA1231" s="104">
        <v>1227</v>
      </c>
      <c r="AB1231" s="14">
        <f t="shared" si="228"/>
        <v>24</v>
      </c>
      <c r="AC1231" s="14">
        <f>INDEX(挂机升级突破!$BU$6:$BU$57,卡牌消耗!AI1231)</f>
        <v>11</v>
      </c>
      <c r="AD1231" s="14">
        <f>INDEX(挂机升级突破!BV$6:BV$57,卡牌消耗!$AI1231)</f>
        <v>4</v>
      </c>
      <c r="AE1231" s="14">
        <f>INDEX(挂机升级突破!BW$6:BW$57,卡牌消耗!$AI1231)</f>
        <v>0</v>
      </c>
      <c r="AF1231" s="14" t="str">
        <f t="shared" si="229"/>
        <v>朱仙</v>
      </c>
      <c r="AG1231" s="14">
        <f t="shared" si="230"/>
        <v>3</v>
      </c>
      <c r="AH1231" s="14" t="str">
        <f t="shared" si="231"/>
        <v>朱仙魂火-31</v>
      </c>
      <c r="AI1231" s="14">
        <f t="shared" si="232"/>
        <v>31</v>
      </c>
      <c r="AJ1231" s="14" t="str">
        <f>INDEX(挂机升级突破!$BX$4:$CH$4,INDEX(挂机升级突破!$BU$6:$BU$57,卡牌消耗!AI1231))</f>
        <v>金币</v>
      </c>
      <c r="AK1231" s="14">
        <f>ROUND(INDEX(挂机升级突破!$BN$6:$BN$57,卡牌消耗!AI1231)*INDEX(卡牌消耗!$B$8:$F$8,AG1231)/$Q$4/50,0)*50</f>
        <v>6900</v>
      </c>
      <c r="AL1231" s="14" t="str">
        <f>IF(AD1231&gt;0,INDEX(挂机升级突破!$BX$4:$CH$4,AD1231),"")</f>
        <v>橙色基础材料</v>
      </c>
      <c r="AM1231" s="14">
        <f>ROUND(INDEX(挂机升级突破!$BX$6:$CH$57,卡牌消耗!AI1231,AD1231)*INDEX(卡牌消耗!$B$5:$F$5,AG1231)/$Q$4/5,0)*5</f>
        <v>100</v>
      </c>
      <c r="AN1231" s="14" t="str">
        <f>IF(AE1231&gt;0,INDEX(挂机升级突破!$BX$4:$CH$4,AE1231),"")</f>
        <v/>
      </c>
      <c r="AO1231" s="14" t="str">
        <f>IF(AE1231&gt;0,ROUND(INDEX(挂机升级突破!$BX$6:$CH$57,卡牌消耗!AI1231,AE1231)*INDEX(卡牌消耗!$B$7:$F$7,AG1231)/$Q$4,0),"")</f>
        <v/>
      </c>
    </row>
    <row r="1232" spans="27:41" ht="16.5" x14ac:dyDescent="0.2">
      <c r="AA1232" s="104">
        <v>1228</v>
      </c>
      <c r="AB1232" s="14">
        <f t="shared" si="228"/>
        <v>24</v>
      </c>
      <c r="AC1232" s="14">
        <f>INDEX(挂机升级突破!$BU$6:$BU$57,卡牌消耗!AI1232)</f>
        <v>11</v>
      </c>
      <c r="AD1232" s="14">
        <f>INDEX(挂机升级突破!BV$6:BV$57,卡牌消耗!$AI1232)</f>
        <v>4</v>
      </c>
      <c r="AE1232" s="14">
        <f>INDEX(挂机升级突破!BW$6:BW$57,卡牌消耗!$AI1232)</f>
        <v>0</v>
      </c>
      <c r="AF1232" s="14" t="str">
        <f t="shared" si="229"/>
        <v>朱仙</v>
      </c>
      <c r="AG1232" s="14">
        <f t="shared" si="230"/>
        <v>3</v>
      </c>
      <c r="AH1232" s="14" t="str">
        <f t="shared" si="231"/>
        <v>朱仙魂火-32</v>
      </c>
      <c r="AI1232" s="14">
        <f t="shared" si="232"/>
        <v>32</v>
      </c>
      <c r="AJ1232" s="14" t="str">
        <f>INDEX(挂机升级突破!$BX$4:$CH$4,INDEX(挂机升级突破!$BU$6:$BU$57,卡牌消耗!AI1232))</f>
        <v>金币</v>
      </c>
      <c r="AK1232" s="14">
        <f>ROUND(INDEX(挂机升级突破!$BN$6:$BN$57,卡牌消耗!AI1232)*INDEX(卡牌消耗!$B$8:$F$8,AG1232)/$Q$4/50,0)*50</f>
        <v>9500</v>
      </c>
      <c r="AL1232" s="14" t="str">
        <f>IF(AD1232&gt;0,INDEX(挂机升级突破!$BX$4:$CH$4,AD1232),"")</f>
        <v>橙色基础材料</v>
      </c>
      <c r="AM1232" s="14">
        <f>ROUND(INDEX(挂机升级突破!$BX$6:$CH$57,卡牌消耗!AI1232,AD1232)*INDEX(卡牌消耗!$B$5:$F$5,AG1232)/$Q$4/5,0)*5</f>
        <v>100</v>
      </c>
      <c r="AN1232" s="14" t="str">
        <f>IF(AE1232&gt;0,INDEX(挂机升级突破!$BX$4:$CH$4,AE1232),"")</f>
        <v/>
      </c>
      <c r="AO1232" s="14" t="str">
        <f>IF(AE1232&gt;0,ROUND(INDEX(挂机升级突破!$BX$6:$CH$57,卡牌消耗!AI1232,AE1232)*INDEX(卡牌消耗!$B$7:$F$7,AG1232)/$Q$4,0),"")</f>
        <v/>
      </c>
    </row>
    <row r="1233" spans="27:41" ht="16.5" x14ac:dyDescent="0.2">
      <c r="AA1233" s="104">
        <v>1229</v>
      </c>
      <c r="AB1233" s="14">
        <f t="shared" si="228"/>
        <v>24</v>
      </c>
      <c r="AC1233" s="14">
        <f>INDEX(挂机升级突破!$BU$6:$BU$57,卡牌消耗!AI1233)</f>
        <v>11</v>
      </c>
      <c r="AD1233" s="14">
        <f>INDEX(挂机升级突破!BV$6:BV$57,卡牌消耗!$AI1233)</f>
        <v>4</v>
      </c>
      <c r="AE1233" s="14">
        <f>INDEX(挂机升级突破!BW$6:BW$57,卡牌消耗!$AI1233)</f>
        <v>0</v>
      </c>
      <c r="AF1233" s="14" t="str">
        <f t="shared" si="229"/>
        <v>朱仙</v>
      </c>
      <c r="AG1233" s="14">
        <f t="shared" si="230"/>
        <v>3</v>
      </c>
      <c r="AH1233" s="14" t="str">
        <f t="shared" si="231"/>
        <v>朱仙魂火-33</v>
      </c>
      <c r="AI1233" s="14">
        <f t="shared" si="232"/>
        <v>33</v>
      </c>
      <c r="AJ1233" s="14" t="str">
        <f>INDEX(挂机升级突破!$BX$4:$CH$4,INDEX(挂机升级突破!$BU$6:$BU$57,卡牌消耗!AI1233))</f>
        <v>金币</v>
      </c>
      <c r="AK1233" s="14">
        <f>ROUND(INDEX(挂机升级突破!$BN$6:$BN$57,卡牌消耗!AI1233)*INDEX(卡牌消耗!$B$8:$F$8,AG1233)/$Q$4/50,0)*50</f>
        <v>9500</v>
      </c>
      <c r="AL1233" s="14" t="str">
        <f>IF(AD1233&gt;0,INDEX(挂机升级突破!$BX$4:$CH$4,AD1233),"")</f>
        <v>橙色基础材料</v>
      </c>
      <c r="AM1233" s="14">
        <f>ROUND(INDEX(挂机升级突破!$BX$6:$CH$57,卡牌消耗!AI1233,AD1233)*INDEX(卡牌消耗!$B$5:$F$5,AG1233)/$Q$4/5,0)*5</f>
        <v>100</v>
      </c>
      <c r="AN1233" s="14" t="str">
        <f>IF(AE1233&gt;0,INDEX(挂机升级突破!$BX$4:$CH$4,AE1233),"")</f>
        <v/>
      </c>
      <c r="AO1233" s="14" t="str">
        <f>IF(AE1233&gt;0,ROUND(INDEX(挂机升级突破!$BX$6:$CH$57,卡牌消耗!AI1233,AE1233)*INDEX(卡牌消耗!$B$7:$F$7,AG1233)/$Q$4,0),"")</f>
        <v/>
      </c>
    </row>
    <row r="1234" spans="27:41" ht="16.5" x14ac:dyDescent="0.2">
      <c r="AA1234" s="104">
        <v>1230</v>
      </c>
      <c r="AB1234" s="14">
        <f t="shared" si="228"/>
        <v>24</v>
      </c>
      <c r="AC1234" s="14">
        <f>INDEX(挂机升级突破!$BU$6:$BU$57,卡牌消耗!AI1234)</f>
        <v>11</v>
      </c>
      <c r="AD1234" s="14">
        <f>INDEX(挂机升级突破!BV$6:BV$57,卡牌消耗!$AI1234)</f>
        <v>4</v>
      </c>
      <c r="AE1234" s="14">
        <f>INDEX(挂机升级突破!BW$6:BW$57,卡牌消耗!$AI1234)</f>
        <v>0</v>
      </c>
      <c r="AF1234" s="14" t="str">
        <f t="shared" si="229"/>
        <v>朱仙</v>
      </c>
      <c r="AG1234" s="14">
        <f t="shared" si="230"/>
        <v>3</v>
      </c>
      <c r="AH1234" s="14" t="str">
        <f t="shared" si="231"/>
        <v>朱仙魂火-34</v>
      </c>
      <c r="AI1234" s="14">
        <f t="shared" si="232"/>
        <v>34</v>
      </c>
      <c r="AJ1234" s="14" t="str">
        <f>INDEX(挂机升级突破!$BX$4:$CH$4,INDEX(挂机升级突破!$BU$6:$BU$57,卡牌消耗!AI1234))</f>
        <v>金币</v>
      </c>
      <c r="AK1234" s="14">
        <f>ROUND(INDEX(挂机升级突破!$BN$6:$BN$57,卡牌消耗!AI1234)*INDEX(卡牌消耗!$B$8:$F$8,AG1234)/$Q$4/50,0)*50</f>
        <v>9500</v>
      </c>
      <c r="AL1234" s="14" t="str">
        <f>IF(AD1234&gt;0,INDEX(挂机升级突破!$BX$4:$CH$4,AD1234),"")</f>
        <v>橙色基础材料</v>
      </c>
      <c r="AM1234" s="14">
        <f>ROUND(INDEX(挂机升级突破!$BX$6:$CH$57,卡牌消耗!AI1234,AD1234)*INDEX(卡牌消耗!$B$5:$F$5,AG1234)/$Q$4/5,0)*5</f>
        <v>110</v>
      </c>
      <c r="AN1234" s="14" t="str">
        <f>IF(AE1234&gt;0,INDEX(挂机升级突破!$BX$4:$CH$4,AE1234),"")</f>
        <v/>
      </c>
      <c r="AO1234" s="14" t="str">
        <f>IF(AE1234&gt;0,ROUND(INDEX(挂机升级突破!$BX$6:$CH$57,卡牌消耗!AI1234,AE1234)*INDEX(卡牌消耗!$B$7:$F$7,AG1234)/$Q$4,0),"")</f>
        <v/>
      </c>
    </row>
    <row r="1235" spans="27:41" ht="16.5" x14ac:dyDescent="0.2">
      <c r="AA1235" s="104">
        <v>1231</v>
      </c>
      <c r="AB1235" s="14">
        <f t="shared" si="228"/>
        <v>24</v>
      </c>
      <c r="AC1235" s="14">
        <f>INDEX(挂机升级突破!$BU$6:$BU$57,卡牌消耗!AI1235)</f>
        <v>11</v>
      </c>
      <c r="AD1235" s="14">
        <f>INDEX(挂机升级突破!BV$6:BV$57,卡牌消耗!$AI1235)</f>
        <v>4</v>
      </c>
      <c r="AE1235" s="14">
        <f>INDEX(挂机升级突破!BW$6:BW$57,卡牌消耗!$AI1235)</f>
        <v>0</v>
      </c>
      <c r="AF1235" s="14" t="str">
        <f t="shared" si="229"/>
        <v>朱仙</v>
      </c>
      <c r="AG1235" s="14">
        <f t="shared" si="230"/>
        <v>3</v>
      </c>
      <c r="AH1235" s="14" t="str">
        <f t="shared" si="231"/>
        <v>朱仙魂火-35</v>
      </c>
      <c r="AI1235" s="14">
        <f t="shared" si="232"/>
        <v>35</v>
      </c>
      <c r="AJ1235" s="14" t="str">
        <f>INDEX(挂机升级突破!$BX$4:$CH$4,INDEX(挂机升级突破!$BU$6:$BU$57,卡牌消耗!AI1235))</f>
        <v>金币</v>
      </c>
      <c r="AK1235" s="14">
        <f>ROUND(INDEX(挂机升级突破!$BN$6:$BN$57,卡牌消耗!AI1235)*INDEX(卡牌消耗!$B$8:$F$8,AG1235)/$Q$4/50,0)*50</f>
        <v>12100</v>
      </c>
      <c r="AL1235" s="14" t="str">
        <f>IF(AD1235&gt;0,INDEX(挂机升级突破!$BX$4:$CH$4,AD1235),"")</f>
        <v>橙色基础材料</v>
      </c>
      <c r="AM1235" s="14">
        <f>ROUND(INDEX(挂机升级突破!$BX$6:$CH$57,卡牌消耗!AI1235,AD1235)*INDEX(卡牌消耗!$B$5:$F$5,AG1235)/$Q$4/5,0)*5</f>
        <v>110</v>
      </c>
      <c r="AN1235" s="14" t="str">
        <f>IF(AE1235&gt;0,INDEX(挂机升级突破!$BX$4:$CH$4,AE1235),"")</f>
        <v/>
      </c>
      <c r="AO1235" s="14" t="str">
        <f>IF(AE1235&gt;0,ROUND(INDEX(挂机升级突破!$BX$6:$CH$57,卡牌消耗!AI1235,AE1235)*INDEX(卡牌消耗!$B$7:$F$7,AG1235)/$Q$4,0),"")</f>
        <v/>
      </c>
    </row>
    <row r="1236" spans="27:41" ht="16.5" x14ac:dyDescent="0.2">
      <c r="AA1236" s="104">
        <v>1232</v>
      </c>
      <c r="AB1236" s="14">
        <f t="shared" si="228"/>
        <v>24</v>
      </c>
      <c r="AC1236" s="14">
        <f>INDEX(挂机升级突破!$BU$6:$BU$57,卡牌消耗!AI1236)</f>
        <v>11</v>
      </c>
      <c r="AD1236" s="14">
        <f>INDEX(挂机升级突破!BV$6:BV$57,卡牌消耗!$AI1236)</f>
        <v>4</v>
      </c>
      <c r="AE1236" s="14">
        <f>INDEX(挂机升级突破!BW$6:BW$57,卡牌消耗!$AI1236)</f>
        <v>0</v>
      </c>
      <c r="AF1236" s="14" t="str">
        <f t="shared" si="229"/>
        <v>朱仙</v>
      </c>
      <c r="AG1236" s="14">
        <f t="shared" si="230"/>
        <v>3</v>
      </c>
      <c r="AH1236" s="14" t="str">
        <f t="shared" si="231"/>
        <v>朱仙魂火-36</v>
      </c>
      <c r="AI1236" s="14">
        <f t="shared" si="232"/>
        <v>36</v>
      </c>
      <c r="AJ1236" s="14" t="str">
        <f>INDEX(挂机升级突破!$BX$4:$CH$4,INDEX(挂机升级突破!$BU$6:$BU$57,卡牌消耗!AI1236))</f>
        <v>金币</v>
      </c>
      <c r="AK1236" s="14">
        <f>ROUND(INDEX(挂机升级突破!$BN$6:$BN$57,卡牌消耗!AI1236)*INDEX(卡牌消耗!$B$8:$F$8,AG1236)/$Q$4/50,0)*50</f>
        <v>12100</v>
      </c>
      <c r="AL1236" s="14" t="str">
        <f>IF(AD1236&gt;0,INDEX(挂机升级突破!$BX$4:$CH$4,AD1236),"")</f>
        <v>橙色基础材料</v>
      </c>
      <c r="AM1236" s="14">
        <f>ROUND(INDEX(挂机升级突破!$BX$6:$CH$57,卡牌消耗!AI1236,AD1236)*INDEX(卡牌消耗!$B$5:$F$5,AG1236)/$Q$4/5,0)*5</f>
        <v>110</v>
      </c>
      <c r="AN1236" s="14" t="str">
        <f>IF(AE1236&gt;0,INDEX(挂机升级突破!$BX$4:$CH$4,AE1236),"")</f>
        <v/>
      </c>
      <c r="AO1236" s="14" t="str">
        <f>IF(AE1236&gt;0,ROUND(INDEX(挂机升级突破!$BX$6:$CH$57,卡牌消耗!AI1236,AE1236)*INDEX(卡牌消耗!$B$7:$F$7,AG1236)/$Q$4,0),"")</f>
        <v/>
      </c>
    </row>
    <row r="1237" spans="27:41" ht="16.5" x14ac:dyDescent="0.2">
      <c r="AA1237" s="104">
        <v>1233</v>
      </c>
      <c r="AB1237" s="14">
        <f t="shared" si="228"/>
        <v>24</v>
      </c>
      <c r="AC1237" s="14">
        <f>INDEX(挂机升级突破!$BU$6:$BU$57,卡牌消耗!AI1237)</f>
        <v>11</v>
      </c>
      <c r="AD1237" s="14">
        <f>INDEX(挂机升级突破!BV$6:BV$57,卡牌消耗!$AI1237)</f>
        <v>4</v>
      </c>
      <c r="AE1237" s="14">
        <f>INDEX(挂机升级突破!BW$6:BW$57,卡牌消耗!$AI1237)</f>
        <v>0</v>
      </c>
      <c r="AF1237" s="14" t="str">
        <f t="shared" si="229"/>
        <v>朱仙</v>
      </c>
      <c r="AG1237" s="14">
        <f t="shared" si="230"/>
        <v>3</v>
      </c>
      <c r="AH1237" s="14" t="str">
        <f t="shared" si="231"/>
        <v>朱仙魂火-37</v>
      </c>
      <c r="AI1237" s="14">
        <f t="shared" si="232"/>
        <v>37</v>
      </c>
      <c r="AJ1237" s="14" t="str">
        <f>INDEX(挂机升级突破!$BX$4:$CH$4,INDEX(挂机升级突破!$BU$6:$BU$57,卡牌消耗!AI1237))</f>
        <v>金币</v>
      </c>
      <c r="AK1237" s="14">
        <f>ROUND(INDEX(挂机升级突破!$BN$6:$BN$57,卡牌消耗!AI1237)*INDEX(卡牌消耗!$B$8:$F$8,AG1237)/$Q$4/50,0)*50</f>
        <v>12950</v>
      </c>
      <c r="AL1237" s="14" t="str">
        <f>IF(AD1237&gt;0,INDEX(挂机升级突破!$BX$4:$CH$4,AD1237),"")</f>
        <v>橙色基础材料</v>
      </c>
      <c r="AM1237" s="14">
        <f>ROUND(INDEX(挂机升级突破!$BX$6:$CH$57,卡牌消耗!AI1237,AD1237)*INDEX(卡牌消耗!$B$5:$F$5,AG1237)/$Q$4/5,0)*5</f>
        <v>110</v>
      </c>
      <c r="AN1237" s="14" t="str">
        <f>IF(AE1237&gt;0,INDEX(挂机升级突破!$BX$4:$CH$4,AE1237),"")</f>
        <v/>
      </c>
      <c r="AO1237" s="14" t="str">
        <f>IF(AE1237&gt;0,ROUND(INDEX(挂机升级突破!$BX$6:$CH$57,卡牌消耗!AI1237,AE1237)*INDEX(卡牌消耗!$B$7:$F$7,AG1237)/$Q$4,0),"")</f>
        <v/>
      </c>
    </row>
    <row r="1238" spans="27:41" ht="16.5" x14ac:dyDescent="0.2">
      <c r="AA1238" s="104">
        <v>1234</v>
      </c>
      <c r="AB1238" s="14">
        <f t="shared" si="228"/>
        <v>24</v>
      </c>
      <c r="AC1238" s="14">
        <f>INDEX(挂机升级突破!$BU$6:$BU$57,卡牌消耗!AI1238)</f>
        <v>11</v>
      </c>
      <c r="AD1238" s="14">
        <f>INDEX(挂机升级突破!BV$6:BV$57,卡牌消耗!$AI1238)</f>
        <v>5</v>
      </c>
      <c r="AE1238" s="14">
        <f>INDEX(挂机升级突破!BW$6:BW$57,卡牌消耗!$AI1238)</f>
        <v>0</v>
      </c>
      <c r="AF1238" s="14" t="str">
        <f t="shared" si="229"/>
        <v>朱仙</v>
      </c>
      <c r="AG1238" s="14">
        <f t="shared" si="230"/>
        <v>3</v>
      </c>
      <c r="AH1238" s="14" t="str">
        <f t="shared" si="231"/>
        <v>朱仙魂火-38</v>
      </c>
      <c r="AI1238" s="14">
        <f t="shared" si="232"/>
        <v>38</v>
      </c>
      <c r="AJ1238" s="14" t="str">
        <f>INDEX(挂机升级突破!$BX$4:$CH$4,INDEX(挂机升级突破!$BU$6:$BU$57,卡牌消耗!AI1238))</f>
        <v>金币</v>
      </c>
      <c r="AK1238" s="14">
        <f>ROUND(INDEX(挂机升级突破!$BN$6:$BN$57,卡牌消耗!AI1238)*INDEX(卡牌消耗!$B$8:$F$8,AG1238)/$Q$4/50,0)*50</f>
        <v>16700</v>
      </c>
      <c r="AL1238" s="14" t="str">
        <f>IF(AD1238&gt;0,INDEX(挂机升级突破!$BX$4:$CH$4,AD1238),"")</f>
        <v>红色基础材料</v>
      </c>
      <c r="AM1238" s="14">
        <f>ROUND(INDEX(挂机升级突破!$BX$6:$CH$57,卡牌消耗!AI1238,AD1238)*INDEX(卡牌消耗!$B$5:$F$5,AG1238)/$Q$4/5,0)*5</f>
        <v>45</v>
      </c>
      <c r="AN1238" s="14" t="str">
        <f>IF(AE1238&gt;0,INDEX(挂机升级突破!$BX$4:$CH$4,AE1238),"")</f>
        <v/>
      </c>
      <c r="AO1238" s="14" t="str">
        <f>IF(AE1238&gt;0,ROUND(INDEX(挂机升级突破!$BX$6:$CH$57,卡牌消耗!AI1238,AE1238)*INDEX(卡牌消耗!$B$7:$F$7,AG1238)/$Q$4,0),"")</f>
        <v/>
      </c>
    </row>
    <row r="1239" spans="27:41" ht="16.5" x14ac:dyDescent="0.2">
      <c r="AA1239" s="104">
        <v>1235</v>
      </c>
      <c r="AB1239" s="14">
        <f t="shared" si="228"/>
        <v>24</v>
      </c>
      <c r="AC1239" s="14">
        <f>INDEX(挂机升级突破!$BU$6:$BU$57,卡牌消耗!AI1239)</f>
        <v>11</v>
      </c>
      <c r="AD1239" s="14">
        <f>INDEX(挂机升级突破!BV$6:BV$57,卡牌消耗!$AI1239)</f>
        <v>5</v>
      </c>
      <c r="AE1239" s="14">
        <f>INDEX(挂机升级突破!BW$6:BW$57,卡牌消耗!$AI1239)</f>
        <v>0</v>
      </c>
      <c r="AF1239" s="14" t="str">
        <f t="shared" si="229"/>
        <v>朱仙</v>
      </c>
      <c r="AG1239" s="14">
        <f t="shared" si="230"/>
        <v>3</v>
      </c>
      <c r="AH1239" s="14" t="str">
        <f t="shared" si="231"/>
        <v>朱仙魂火-39</v>
      </c>
      <c r="AI1239" s="14">
        <f t="shared" si="232"/>
        <v>39</v>
      </c>
      <c r="AJ1239" s="14" t="str">
        <f>INDEX(挂机升级突破!$BX$4:$CH$4,INDEX(挂机升级突破!$BU$6:$BU$57,卡牌消耗!AI1239))</f>
        <v>金币</v>
      </c>
      <c r="AK1239" s="14">
        <f>ROUND(INDEX(挂机升级突破!$BN$6:$BN$57,卡牌消耗!AI1239)*INDEX(卡牌消耗!$B$8:$F$8,AG1239)/$Q$4/50,0)*50</f>
        <v>16700</v>
      </c>
      <c r="AL1239" s="14" t="str">
        <f>IF(AD1239&gt;0,INDEX(挂机升级突破!$BX$4:$CH$4,AD1239),"")</f>
        <v>红色基础材料</v>
      </c>
      <c r="AM1239" s="14">
        <f>ROUND(INDEX(挂机升级突破!$BX$6:$CH$57,卡牌消耗!AI1239,AD1239)*INDEX(卡牌消耗!$B$5:$F$5,AG1239)/$Q$4/5,0)*5</f>
        <v>45</v>
      </c>
      <c r="AN1239" s="14" t="str">
        <f>IF(AE1239&gt;0,INDEX(挂机升级突破!$BX$4:$CH$4,AE1239),"")</f>
        <v/>
      </c>
      <c r="AO1239" s="14" t="str">
        <f>IF(AE1239&gt;0,ROUND(INDEX(挂机升级突破!$BX$6:$CH$57,卡牌消耗!AI1239,AE1239)*INDEX(卡牌消耗!$B$7:$F$7,AG1239)/$Q$4,0),"")</f>
        <v/>
      </c>
    </row>
    <row r="1240" spans="27:41" ht="16.5" x14ac:dyDescent="0.2">
      <c r="AA1240" s="104">
        <v>1236</v>
      </c>
      <c r="AB1240" s="14">
        <f t="shared" si="228"/>
        <v>24</v>
      </c>
      <c r="AC1240" s="14">
        <f>INDEX(挂机升级突破!$BU$6:$BU$57,卡牌消耗!AI1240)</f>
        <v>11</v>
      </c>
      <c r="AD1240" s="14">
        <f>INDEX(挂机升级突破!BV$6:BV$57,卡牌消耗!$AI1240)</f>
        <v>5</v>
      </c>
      <c r="AE1240" s="14">
        <f>INDEX(挂机升级突破!BW$6:BW$57,卡牌消耗!$AI1240)</f>
        <v>0</v>
      </c>
      <c r="AF1240" s="14" t="str">
        <f t="shared" si="229"/>
        <v>朱仙</v>
      </c>
      <c r="AG1240" s="14">
        <f t="shared" si="230"/>
        <v>3</v>
      </c>
      <c r="AH1240" s="14" t="str">
        <f t="shared" si="231"/>
        <v>朱仙魂火-40</v>
      </c>
      <c r="AI1240" s="14">
        <f t="shared" si="232"/>
        <v>40</v>
      </c>
      <c r="AJ1240" s="14" t="str">
        <f>INDEX(挂机升级突破!$BX$4:$CH$4,INDEX(挂机升级突破!$BU$6:$BU$57,卡牌消耗!AI1240))</f>
        <v>金币</v>
      </c>
      <c r="AK1240" s="14">
        <f>ROUND(INDEX(挂机升级突破!$BN$6:$BN$57,卡牌消耗!AI1240)*INDEX(卡牌消耗!$B$8:$F$8,AG1240)/$Q$4/50,0)*50</f>
        <v>16700</v>
      </c>
      <c r="AL1240" s="14" t="str">
        <f>IF(AD1240&gt;0,INDEX(挂机升级突破!$BX$4:$CH$4,AD1240),"")</f>
        <v>红色基础材料</v>
      </c>
      <c r="AM1240" s="14">
        <f>ROUND(INDEX(挂机升级突破!$BX$6:$CH$57,卡牌消耗!AI1240,AD1240)*INDEX(卡牌消耗!$B$5:$F$5,AG1240)/$Q$4/5,0)*5</f>
        <v>45</v>
      </c>
      <c r="AN1240" s="14" t="str">
        <f>IF(AE1240&gt;0,INDEX(挂机升级突破!$BX$4:$CH$4,AE1240),"")</f>
        <v/>
      </c>
      <c r="AO1240" s="14" t="str">
        <f>IF(AE1240&gt;0,ROUND(INDEX(挂机升级突破!$BX$6:$CH$57,卡牌消耗!AI1240,AE1240)*INDEX(卡牌消耗!$B$7:$F$7,AG1240)/$Q$4,0),"")</f>
        <v/>
      </c>
    </row>
    <row r="1241" spans="27:41" ht="16.5" x14ac:dyDescent="0.2">
      <c r="AA1241" s="104">
        <v>1237</v>
      </c>
      <c r="AB1241" s="14">
        <f t="shared" si="228"/>
        <v>24</v>
      </c>
      <c r="AC1241" s="14">
        <f>INDEX(挂机升级突破!$BU$6:$BU$57,卡牌消耗!AI1241)</f>
        <v>11</v>
      </c>
      <c r="AD1241" s="14">
        <f>INDEX(挂机升级突破!BV$6:BV$57,卡牌消耗!$AI1241)</f>
        <v>5</v>
      </c>
      <c r="AE1241" s="14">
        <f>INDEX(挂机升级突破!BW$6:BW$57,卡牌消耗!$AI1241)</f>
        <v>10</v>
      </c>
      <c r="AF1241" s="14" t="str">
        <f t="shared" si="229"/>
        <v>朱仙</v>
      </c>
      <c r="AG1241" s="14">
        <f t="shared" si="230"/>
        <v>3</v>
      </c>
      <c r="AH1241" s="14" t="str">
        <f t="shared" si="231"/>
        <v>朱仙魂火-41</v>
      </c>
      <c r="AI1241" s="14">
        <f t="shared" si="232"/>
        <v>41</v>
      </c>
      <c r="AJ1241" s="14" t="str">
        <f>INDEX(挂机升级突破!$BX$4:$CH$4,INDEX(挂机升级突破!$BU$6:$BU$57,卡牌消耗!AI1241))</f>
        <v>金币</v>
      </c>
      <c r="AK1241" s="14">
        <f>ROUND(INDEX(挂机升级突破!$BN$6:$BN$57,卡牌消耗!AI1241)*INDEX(卡牌消耗!$B$8:$F$8,AG1241)/$Q$4/50,0)*50</f>
        <v>23000</v>
      </c>
      <c r="AL1241" s="14" t="str">
        <f>IF(AD1241&gt;0,INDEX(挂机升级突破!$BX$4:$CH$4,AD1241),"")</f>
        <v>红色基础材料</v>
      </c>
      <c r="AM1241" s="14">
        <f>ROUND(INDEX(挂机升级突破!$BX$6:$CH$57,卡牌消耗!AI1241,AD1241)*INDEX(卡牌消耗!$B$5:$F$5,AG1241)/$Q$4/5,0)*5</f>
        <v>55</v>
      </c>
      <c r="AN1241" s="14" t="str">
        <f>IF(AE1241&gt;0,INDEX(挂机升级突破!$BX$4:$CH$4,AE1241),"")</f>
        <v>灵玉</v>
      </c>
      <c r="AO1241" s="14">
        <f>IF(AE1241&gt;0,ROUND(INDEX(挂机升级突破!$BX$6:$CH$57,卡牌消耗!AI1241,AE1241)*INDEX(卡牌消耗!$B$7:$F$7,AG1241)/$Q$4,0),"")</f>
        <v>1</v>
      </c>
    </row>
    <row r="1242" spans="27:41" ht="16.5" x14ac:dyDescent="0.2">
      <c r="AA1242" s="104">
        <v>1238</v>
      </c>
      <c r="AB1242" s="14">
        <f t="shared" si="228"/>
        <v>24</v>
      </c>
      <c r="AC1242" s="14">
        <f>INDEX(挂机升级突破!$BU$6:$BU$57,卡牌消耗!AI1242)</f>
        <v>11</v>
      </c>
      <c r="AD1242" s="14">
        <f>INDEX(挂机升级突破!BV$6:BV$57,卡牌消耗!$AI1242)</f>
        <v>5</v>
      </c>
      <c r="AE1242" s="14">
        <f>INDEX(挂机升级突破!BW$6:BW$57,卡牌消耗!$AI1242)</f>
        <v>10</v>
      </c>
      <c r="AF1242" s="14" t="str">
        <f t="shared" si="229"/>
        <v>朱仙</v>
      </c>
      <c r="AG1242" s="14">
        <f t="shared" si="230"/>
        <v>3</v>
      </c>
      <c r="AH1242" s="14" t="str">
        <f t="shared" si="231"/>
        <v>朱仙魂火-42</v>
      </c>
      <c r="AI1242" s="14">
        <f t="shared" si="232"/>
        <v>42</v>
      </c>
      <c r="AJ1242" s="14" t="str">
        <f>INDEX(挂机升级突破!$BX$4:$CH$4,INDEX(挂机升级突破!$BU$6:$BU$57,卡牌消耗!AI1242))</f>
        <v>金币</v>
      </c>
      <c r="AK1242" s="14">
        <f>ROUND(INDEX(挂机升级突破!$BN$6:$BN$57,卡牌消耗!AI1242)*INDEX(卡牌消耗!$B$8:$F$8,AG1242)/$Q$4/50,0)*50</f>
        <v>23000</v>
      </c>
      <c r="AL1242" s="14" t="str">
        <f>IF(AD1242&gt;0,INDEX(挂机升级突破!$BX$4:$CH$4,AD1242),"")</f>
        <v>红色基础材料</v>
      </c>
      <c r="AM1242" s="14">
        <f>ROUND(INDEX(挂机升级突破!$BX$6:$CH$57,卡牌消耗!AI1242,AD1242)*INDEX(卡牌消耗!$B$5:$F$5,AG1242)/$Q$4/5,0)*5</f>
        <v>55</v>
      </c>
      <c r="AN1242" s="14" t="str">
        <f>IF(AE1242&gt;0,INDEX(挂机升级突破!$BX$4:$CH$4,AE1242),"")</f>
        <v>灵玉</v>
      </c>
      <c r="AO1242" s="14">
        <f>IF(AE1242&gt;0,ROUND(INDEX(挂机升级突破!$BX$6:$CH$57,卡牌消耗!AI1242,AE1242)*INDEX(卡牌消耗!$B$7:$F$7,AG1242)/$Q$4,0),"")</f>
        <v>1</v>
      </c>
    </row>
    <row r="1243" spans="27:41" ht="16.5" x14ac:dyDescent="0.2">
      <c r="AA1243" s="104">
        <v>1239</v>
      </c>
      <c r="AB1243" s="14">
        <f t="shared" si="228"/>
        <v>24</v>
      </c>
      <c r="AC1243" s="14">
        <f>INDEX(挂机升级突破!$BU$6:$BU$57,卡牌消耗!AI1243)</f>
        <v>11</v>
      </c>
      <c r="AD1243" s="14">
        <f>INDEX(挂机升级突破!BV$6:BV$57,卡牌消耗!$AI1243)</f>
        <v>5</v>
      </c>
      <c r="AE1243" s="14">
        <f>INDEX(挂机升级突破!BW$6:BW$57,卡牌消耗!$AI1243)</f>
        <v>10</v>
      </c>
      <c r="AF1243" s="14" t="str">
        <f t="shared" si="229"/>
        <v>朱仙</v>
      </c>
      <c r="AG1243" s="14">
        <f t="shared" si="230"/>
        <v>3</v>
      </c>
      <c r="AH1243" s="14" t="str">
        <f t="shared" si="231"/>
        <v>朱仙魂火-43</v>
      </c>
      <c r="AI1243" s="14">
        <f t="shared" si="232"/>
        <v>43</v>
      </c>
      <c r="AJ1243" s="14" t="str">
        <f>INDEX(挂机升级突破!$BX$4:$CH$4,INDEX(挂机升级突破!$BU$6:$BU$57,卡牌消耗!AI1243))</f>
        <v>金币</v>
      </c>
      <c r="AK1243" s="14">
        <f>ROUND(INDEX(挂机升级突破!$BN$6:$BN$57,卡牌消耗!AI1243)*INDEX(卡牌消耗!$B$8:$F$8,AG1243)/$Q$4/50,0)*50</f>
        <v>23000</v>
      </c>
      <c r="AL1243" s="14" t="str">
        <f>IF(AD1243&gt;0,INDEX(挂机升级突破!$BX$4:$CH$4,AD1243),"")</f>
        <v>红色基础材料</v>
      </c>
      <c r="AM1243" s="14">
        <f>ROUND(INDEX(挂机升级突破!$BX$6:$CH$57,卡牌消耗!AI1243,AD1243)*INDEX(卡牌消耗!$B$5:$F$5,AG1243)/$Q$4/5,0)*5</f>
        <v>55</v>
      </c>
      <c r="AN1243" s="14" t="str">
        <f>IF(AE1243&gt;0,INDEX(挂机升级突破!$BX$4:$CH$4,AE1243),"")</f>
        <v>灵玉</v>
      </c>
      <c r="AO1243" s="14">
        <f>IF(AE1243&gt;0,ROUND(INDEX(挂机升级突破!$BX$6:$CH$57,卡牌消耗!AI1243,AE1243)*INDEX(卡牌消耗!$B$7:$F$7,AG1243)/$Q$4,0),"")</f>
        <v>1</v>
      </c>
    </row>
    <row r="1244" spans="27:41" ht="16.5" x14ac:dyDescent="0.2">
      <c r="AA1244" s="104">
        <v>1240</v>
      </c>
      <c r="AB1244" s="14">
        <f t="shared" si="228"/>
        <v>24</v>
      </c>
      <c r="AC1244" s="14">
        <f>INDEX(挂机升级突破!$BU$6:$BU$57,卡牌消耗!AI1244)</f>
        <v>11</v>
      </c>
      <c r="AD1244" s="14">
        <f>INDEX(挂机升级突破!BV$6:BV$57,卡牌消耗!$AI1244)</f>
        <v>5</v>
      </c>
      <c r="AE1244" s="14">
        <f>INDEX(挂机升级突破!BW$6:BW$57,卡牌消耗!$AI1244)</f>
        <v>10</v>
      </c>
      <c r="AF1244" s="14" t="str">
        <f t="shared" si="229"/>
        <v>朱仙</v>
      </c>
      <c r="AG1244" s="14">
        <f t="shared" si="230"/>
        <v>3</v>
      </c>
      <c r="AH1244" s="14" t="str">
        <f t="shared" si="231"/>
        <v>朱仙魂火-44</v>
      </c>
      <c r="AI1244" s="14">
        <f t="shared" si="232"/>
        <v>44</v>
      </c>
      <c r="AJ1244" s="14" t="str">
        <f>INDEX(挂机升级突破!$BX$4:$CH$4,INDEX(挂机升级突破!$BU$6:$BU$57,卡牌消耗!AI1244))</f>
        <v>金币</v>
      </c>
      <c r="AK1244" s="14">
        <f>ROUND(INDEX(挂机升级突破!$BN$6:$BN$57,卡牌消耗!AI1244)*INDEX(卡牌消耗!$B$8:$F$8,AG1244)/$Q$4/50,0)*50</f>
        <v>29250</v>
      </c>
      <c r="AL1244" s="14" t="str">
        <f>IF(AD1244&gt;0,INDEX(挂机升级突破!$BX$4:$CH$4,AD1244),"")</f>
        <v>红色基础材料</v>
      </c>
      <c r="AM1244" s="14">
        <f>ROUND(INDEX(挂机升级突破!$BX$6:$CH$57,卡牌消耗!AI1244,AD1244)*INDEX(卡牌消耗!$B$5:$F$5,AG1244)/$Q$4/5,0)*5</f>
        <v>65</v>
      </c>
      <c r="AN1244" s="14" t="str">
        <f>IF(AE1244&gt;0,INDEX(挂机升级突破!$BX$4:$CH$4,AE1244),"")</f>
        <v>灵玉</v>
      </c>
      <c r="AO1244" s="14">
        <f>IF(AE1244&gt;0,ROUND(INDEX(挂机升级突破!$BX$6:$CH$57,卡牌消耗!AI1244,AE1244)*INDEX(卡牌消耗!$B$7:$F$7,AG1244)/$Q$4,0),"")</f>
        <v>1</v>
      </c>
    </row>
    <row r="1245" spans="27:41" ht="16.5" x14ac:dyDescent="0.2">
      <c r="AA1245" s="104">
        <v>1241</v>
      </c>
      <c r="AB1245" s="14">
        <f t="shared" si="228"/>
        <v>24</v>
      </c>
      <c r="AC1245" s="14">
        <f>INDEX(挂机升级突破!$BU$6:$BU$57,卡牌消耗!AI1245)</f>
        <v>11</v>
      </c>
      <c r="AD1245" s="14">
        <f>INDEX(挂机升级突破!BV$6:BV$57,卡牌消耗!$AI1245)</f>
        <v>5</v>
      </c>
      <c r="AE1245" s="14">
        <f>INDEX(挂机升级突破!BW$6:BW$57,卡牌消耗!$AI1245)</f>
        <v>10</v>
      </c>
      <c r="AF1245" s="14" t="str">
        <f t="shared" si="229"/>
        <v>朱仙</v>
      </c>
      <c r="AG1245" s="14">
        <f t="shared" si="230"/>
        <v>3</v>
      </c>
      <c r="AH1245" s="14" t="str">
        <f t="shared" si="231"/>
        <v>朱仙魂火-45</v>
      </c>
      <c r="AI1245" s="14">
        <f t="shared" si="232"/>
        <v>45</v>
      </c>
      <c r="AJ1245" s="14" t="str">
        <f>INDEX(挂机升级突破!$BX$4:$CH$4,INDEX(挂机升级突破!$BU$6:$BU$57,卡牌消耗!AI1245))</f>
        <v>金币</v>
      </c>
      <c r="AK1245" s="14">
        <f>ROUND(INDEX(挂机升级突破!$BN$6:$BN$57,卡牌消耗!AI1245)*INDEX(卡牌消耗!$B$8:$F$8,AG1245)/$Q$4/50,0)*50</f>
        <v>29250</v>
      </c>
      <c r="AL1245" s="14" t="str">
        <f>IF(AD1245&gt;0,INDEX(挂机升级突破!$BX$4:$CH$4,AD1245),"")</f>
        <v>红色基础材料</v>
      </c>
      <c r="AM1245" s="14">
        <f>ROUND(INDEX(挂机升级突破!$BX$6:$CH$57,卡牌消耗!AI1245,AD1245)*INDEX(卡牌消耗!$B$5:$F$5,AG1245)/$Q$4/5,0)*5</f>
        <v>65</v>
      </c>
      <c r="AN1245" s="14" t="str">
        <f>IF(AE1245&gt;0,INDEX(挂机升级突破!$BX$4:$CH$4,AE1245),"")</f>
        <v>灵玉</v>
      </c>
      <c r="AO1245" s="14">
        <f>IF(AE1245&gt;0,ROUND(INDEX(挂机升级突破!$BX$6:$CH$57,卡牌消耗!AI1245,AE1245)*INDEX(卡牌消耗!$B$7:$F$7,AG1245)/$Q$4,0),"")</f>
        <v>1</v>
      </c>
    </row>
    <row r="1246" spans="27:41" ht="16.5" x14ac:dyDescent="0.2">
      <c r="AA1246" s="104">
        <v>1242</v>
      </c>
      <c r="AB1246" s="14">
        <f t="shared" si="228"/>
        <v>24</v>
      </c>
      <c r="AC1246" s="14">
        <f>INDEX(挂机升级突破!$BU$6:$BU$57,卡牌消耗!AI1246)</f>
        <v>11</v>
      </c>
      <c r="AD1246" s="14">
        <f>INDEX(挂机升级突破!BV$6:BV$57,卡牌消耗!$AI1246)</f>
        <v>5</v>
      </c>
      <c r="AE1246" s="14">
        <f>INDEX(挂机升级突破!BW$6:BW$57,卡牌消耗!$AI1246)</f>
        <v>10</v>
      </c>
      <c r="AF1246" s="14" t="str">
        <f t="shared" si="229"/>
        <v>朱仙</v>
      </c>
      <c r="AG1246" s="14">
        <f t="shared" si="230"/>
        <v>3</v>
      </c>
      <c r="AH1246" s="14" t="str">
        <f t="shared" si="231"/>
        <v>朱仙魂火-46</v>
      </c>
      <c r="AI1246" s="14">
        <f t="shared" si="232"/>
        <v>46</v>
      </c>
      <c r="AJ1246" s="14" t="str">
        <f>INDEX(挂机升级突破!$BX$4:$CH$4,INDEX(挂机升级突破!$BU$6:$BU$57,卡牌消耗!AI1246))</f>
        <v>金币</v>
      </c>
      <c r="AK1246" s="14">
        <f>ROUND(INDEX(挂机升级突破!$BN$6:$BN$57,卡牌消耗!AI1246)*INDEX(卡牌消耗!$B$8:$F$8,AG1246)/$Q$4/50,0)*50</f>
        <v>31350</v>
      </c>
      <c r="AL1246" s="14" t="str">
        <f>IF(AD1246&gt;0,INDEX(挂机升级突破!$BX$4:$CH$4,AD1246),"")</f>
        <v>红色基础材料</v>
      </c>
      <c r="AM1246" s="14">
        <f>ROUND(INDEX(挂机升级突破!$BX$6:$CH$57,卡牌消耗!AI1246,AD1246)*INDEX(卡牌消耗!$B$5:$F$5,AG1246)/$Q$4/5,0)*5</f>
        <v>65</v>
      </c>
      <c r="AN1246" s="14" t="str">
        <f>IF(AE1246&gt;0,INDEX(挂机升级突破!$BX$4:$CH$4,AE1246),"")</f>
        <v>灵玉</v>
      </c>
      <c r="AO1246" s="14">
        <f>IF(AE1246&gt;0,ROUND(INDEX(挂机升级突破!$BX$6:$CH$57,卡牌消耗!AI1246,AE1246)*INDEX(卡牌消耗!$B$7:$F$7,AG1246)/$Q$4,0),"")</f>
        <v>1</v>
      </c>
    </row>
    <row r="1247" spans="27:41" ht="16.5" x14ac:dyDescent="0.2">
      <c r="AA1247" s="104">
        <v>1243</v>
      </c>
      <c r="AB1247" s="14">
        <f t="shared" si="228"/>
        <v>24</v>
      </c>
      <c r="AC1247" s="14">
        <f>INDEX(挂机升级突破!$BU$6:$BU$57,卡牌消耗!AI1247)</f>
        <v>11</v>
      </c>
      <c r="AD1247" s="14">
        <f>INDEX(挂机升级突破!BV$6:BV$57,卡牌消耗!$AI1247)</f>
        <v>5</v>
      </c>
      <c r="AE1247" s="14">
        <f>INDEX(挂机升级突破!BW$6:BW$57,卡牌消耗!$AI1247)</f>
        <v>10</v>
      </c>
      <c r="AF1247" s="14" t="str">
        <f t="shared" si="229"/>
        <v>朱仙</v>
      </c>
      <c r="AG1247" s="14">
        <f t="shared" si="230"/>
        <v>3</v>
      </c>
      <c r="AH1247" s="14" t="str">
        <f t="shared" si="231"/>
        <v>朱仙魂火-47</v>
      </c>
      <c r="AI1247" s="14">
        <f t="shared" si="232"/>
        <v>47</v>
      </c>
      <c r="AJ1247" s="14" t="str">
        <f>INDEX(挂机升级突破!$BX$4:$CH$4,INDEX(挂机升级突破!$BU$6:$BU$57,卡牌消耗!AI1247))</f>
        <v>金币</v>
      </c>
      <c r="AK1247" s="14">
        <f>ROUND(INDEX(挂机升级突破!$BN$6:$BN$57,卡牌消耗!AI1247)*INDEX(卡牌消耗!$B$8:$F$8,AG1247)/$Q$4/50,0)*50</f>
        <v>151950</v>
      </c>
      <c r="AL1247" s="14" t="str">
        <f>IF(AD1247&gt;0,INDEX(挂机升级突破!$BX$4:$CH$4,AD1247),"")</f>
        <v>红色基础材料</v>
      </c>
      <c r="AM1247" s="14">
        <f>ROUND(INDEX(挂机升级突破!$BX$6:$CH$57,卡牌消耗!AI1247,AD1247)*INDEX(卡牌消耗!$B$5:$F$5,AG1247)/$Q$4/5,0)*5</f>
        <v>65</v>
      </c>
      <c r="AN1247" s="14" t="str">
        <f>IF(AE1247&gt;0,INDEX(挂机升级突破!$BX$4:$CH$4,AE1247),"")</f>
        <v>灵玉</v>
      </c>
      <c r="AO1247" s="14">
        <f>IF(AE1247&gt;0,ROUND(INDEX(挂机升级突破!$BX$6:$CH$57,卡牌消耗!AI1247,AE1247)*INDEX(卡牌消耗!$B$7:$F$7,AG1247)/$Q$4,0),"")</f>
        <v>1</v>
      </c>
    </row>
    <row r="1248" spans="27:41" ht="16.5" x14ac:dyDescent="0.2">
      <c r="AA1248" s="104">
        <v>1244</v>
      </c>
      <c r="AB1248" s="14">
        <f t="shared" si="228"/>
        <v>24</v>
      </c>
      <c r="AC1248" s="14">
        <f>INDEX(挂机升级突破!$BU$6:$BU$57,卡牌消耗!AI1248)</f>
        <v>11</v>
      </c>
      <c r="AD1248" s="14">
        <f>INDEX(挂机升级突破!BV$6:BV$57,卡牌消耗!$AI1248)</f>
        <v>5</v>
      </c>
      <c r="AE1248" s="14">
        <f>INDEX(挂机升级突破!BW$6:BW$57,卡牌消耗!$AI1248)</f>
        <v>10</v>
      </c>
      <c r="AF1248" s="14" t="str">
        <f t="shared" si="229"/>
        <v>朱仙</v>
      </c>
      <c r="AG1248" s="14">
        <f t="shared" si="230"/>
        <v>3</v>
      </c>
      <c r="AH1248" s="14" t="str">
        <f t="shared" si="231"/>
        <v>朱仙魂火-48</v>
      </c>
      <c r="AI1248" s="14">
        <f t="shared" si="232"/>
        <v>48</v>
      </c>
      <c r="AJ1248" s="14" t="str">
        <f>INDEX(挂机升级突破!$BX$4:$CH$4,INDEX(挂机升级突破!$BU$6:$BU$57,卡牌消耗!AI1248))</f>
        <v>金币</v>
      </c>
      <c r="AK1248" s="14">
        <f>ROUND(INDEX(挂机升级突破!$BN$6:$BN$57,卡牌消耗!AI1248)*INDEX(卡牌消耗!$B$8:$F$8,AG1248)/$Q$4/50,0)*50</f>
        <v>151950</v>
      </c>
      <c r="AL1248" s="14" t="str">
        <f>IF(AD1248&gt;0,INDEX(挂机升级突破!$BX$4:$CH$4,AD1248),"")</f>
        <v>红色基础材料</v>
      </c>
      <c r="AM1248" s="14">
        <f>ROUND(INDEX(挂机升级突破!$BX$6:$CH$57,卡牌消耗!AI1248,AD1248)*INDEX(卡牌消耗!$B$5:$F$5,AG1248)/$Q$4/5,0)*5</f>
        <v>65</v>
      </c>
      <c r="AN1248" s="14" t="str">
        <f>IF(AE1248&gt;0,INDEX(挂机升级突破!$BX$4:$CH$4,AE1248),"")</f>
        <v>灵玉</v>
      </c>
      <c r="AO1248" s="14">
        <f>IF(AE1248&gt;0,ROUND(INDEX(挂机升级突破!$BX$6:$CH$57,卡牌消耗!AI1248,AE1248)*INDEX(卡牌消耗!$B$7:$F$7,AG1248)/$Q$4,0),"")</f>
        <v>1</v>
      </c>
    </row>
    <row r="1249" spans="27:41" ht="16.5" x14ac:dyDescent="0.2">
      <c r="AA1249" s="104">
        <v>1245</v>
      </c>
      <c r="AB1249" s="14">
        <f t="shared" si="228"/>
        <v>24</v>
      </c>
      <c r="AC1249" s="14">
        <f>INDEX(挂机升级突破!$BU$6:$BU$57,卡牌消耗!AI1249)</f>
        <v>11</v>
      </c>
      <c r="AD1249" s="14">
        <f>INDEX(挂机升级突破!BV$6:BV$57,卡牌消耗!$AI1249)</f>
        <v>5</v>
      </c>
      <c r="AE1249" s="14">
        <f>INDEX(挂机升级突破!BW$6:BW$57,卡牌消耗!$AI1249)</f>
        <v>10</v>
      </c>
      <c r="AF1249" s="14" t="str">
        <f t="shared" si="229"/>
        <v>朱仙</v>
      </c>
      <c r="AG1249" s="14">
        <f t="shared" si="230"/>
        <v>3</v>
      </c>
      <c r="AH1249" s="14" t="str">
        <f t="shared" si="231"/>
        <v>朱仙魂火-49</v>
      </c>
      <c r="AI1249" s="14">
        <f t="shared" si="232"/>
        <v>49</v>
      </c>
      <c r="AJ1249" s="14" t="str">
        <f>INDEX(挂机升级突破!$BX$4:$CH$4,INDEX(挂机升级突破!$BU$6:$BU$57,卡牌消耗!AI1249))</f>
        <v>金币</v>
      </c>
      <c r="AK1249" s="14">
        <f>ROUND(INDEX(挂机升级突破!$BN$6:$BN$57,卡牌消耗!AI1249)*INDEX(卡牌消耗!$B$8:$F$8,AG1249)/$Q$4/50,0)*50</f>
        <v>151950</v>
      </c>
      <c r="AL1249" s="14" t="str">
        <f>IF(AD1249&gt;0,INDEX(挂机升级突破!$BX$4:$CH$4,AD1249),"")</f>
        <v>红色基础材料</v>
      </c>
      <c r="AM1249" s="14">
        <f>ROUND(INDEX(挂机升级突破!$BX$6:$CH$57,卡牌消耗!AI1249,AD1249)*INDEX(卡牌消耗!$B$5:$F$5,AG1249)/$Q$4/5,0)*5</f>
        <v>70</v>
      </c>
      <c r="AN1249" s="14" t="str">
        <f>IF(AE1249&gt;0,INDEX(挂机升级突破!$BX$4:$CH$4,AE1249),"")</f>
        <v>灵玉</v>
      </c>
      <c r="AO1249" s="14">
        <f>IF(AE1249&gt;0,ROUND(INDEX(挂机升级突破!$BX$6:$CH$57,卡牌消耗!AI1249,AE1249)*INDEX(卡牌消耗!$B$7:$F$7,AG1249)/$Q$4,0),"")</f>
        <v>1</v>
      </c>
    </row>
    <row r="1250" spans="27:41" ht="16.5" x14ac:dyDescent="0.2">
      <c r="AA1250" s="104">
        <v>1246</v>
      </c>
      <c r="AB1250" s="14">
        <f t="shared" si="228"/>
        <v>24</v>
      </c>
      <c r="AC1250" s="14">
        <f>INDEX(挂机升级突破!$BU$6:$BU$57,卡牌消耗!AI1250)</f>
        <v>11</v>
      </c>
      <c r="AD1250" s="14">
        <f>INDEX(挂机升级突破!BV$6:BV$57,卡牌消耗!$AI1250)</f>
        <v>5</v>
      </c>
      <c r="AE1250" s="14">
        <f>INDEX(挂机升级突破!BW$6:BW$57,卡牌消耗!$AI1250)</f>
        <v>10</v>
      </c>
      <c r="AF1250" s="14" t="str">
        <f t="shared" si="229"/>
        <v>朱仙</v>
      </c>
      <c r="AG1250" s="14">
        <f t="shared" si="230"/>
        <v>3</v>
      </c>
      <c r="AH1250" s="14" t="str">
        <f t="shared" si="231"/>
        <v>朱仙魂火-50</v>
      </c>
      <c r="AI1250" s="14">
        <f t="shared" si="232"/>
        <v>50</v>
      </c>
      <c r="AJ1250" s="14" t="str">
        <f>INDEX(挂机升级突破!$BX$4:$CH$4,INDEX(挂机升级突破!$BU$6:$BU$57,卡牌消耗!AI1250))</f>
        <v>金币</v>
      </c>
      <c r="AK1250" s="14">
        <f>ROUND(INDEX(挂机升级突破!$BN$6:$BN$57,卡牌消耗!AI1250)*INDEX(卡牌消耗!$B$8:$F$8,AG1250)/$Q$4/50,0)*50</f>
        <v>253250</v>
      </c>
      <c r="AL1250" s="14" t="str">
        <f>IF(AD1250&gt;0,INDEX(挂机升级突破!$BX$4:$CH$4,AD1250),"")</f>
        <v>红色基础材料</v>
      </c>
      <c r="AM1250" s="14">
        <f>ROUND(INDEX(挂机升级突破!$BX$6:$CH$57,卡牌消耗!AI1250,AD1250)*INDEX(卡牌消耗!$B$5:$F$5,AG1250)/$Q$4/5,0)*5</f>
        <v>70</v>
      </c>
      <c r="AN1250" s="14" t="str">
        <f>IF(AE1250&gt;0,INDEX(挂机升级突破!$BX$4:$CH$4,AE1250),"")</f>
        <v>灵玉</v>
      </c>
      <c r="AO1250" s="14">
        <f>IF(AE1250&gt;0,ROUND(INDEX(挂机升级突破!$BX$6:$CH$57,卡牌消耗!AI1250,AE1250)*INDEX(卡牌消耗!$B$7:$F$7,AG1250)/$Q$4,0),"")</f>
        <v>1</v>
      </c>
    </row>
    <row r="1251" spans="27:41" ht="16.5" x14ac:dyDescent="0.2">
      <c r="AA1251" s="104">
        <v>1247</v>
      </c>
      <c r="AB1251" s="14">
        <f t="shared" si="228"/>
        <v>24</v>
      </c>
      <c r="AC1251" s="14">
        <f>INDEX(挂机升级突破!$BU$6:$BU$57,卡牌消耗!AI1251)</f>
        <v>11</v>
      </c>
      <c r="AD1251" s="14">
        <f>INDEX(挂机升级突破!BV$6:BV$57,卡牌消耗!$AI1251)</f>
        <v>5</v>
      </c>
      <c r="AE1251" s="14">
        <f>INDEX(挂机升级突破!BW$6:BW$57,卡牌消耗!$AI1251)</f>
        <v>10</v>
      </c>
      <c r="AF1251" s="14" t="str">
        <f t="shared" si="229"/>
        <v>朱仙</v>
      </c>
      <c r="AG1251" s="14">
        <f t="shared" si="230"/>
        <v>3</v>
      </c>
      <c r="AH1251" s="14" t="str">
        <f t="shared" si="231"/>
        <v>朱仙魂火-51</v>
      </c>
      <c r="AI1251" s="14">
        <f t="shared" si="232"/>
        <v>51</v>
      </c>
      <c r="AJ1251" s="14" t="str">
        <f>INDEX(挂机升级突破!$BX$4:$CH$4,INDEX(挂机升级突破!$BU$6:$BU$57,卡牌消耗!AI1251))</f>
        <v>金币</v>
      </c>
      <c r="AK1251" s="14">
        <f>ROUND(INDEX(挂机升级突破!$BN$6:$BN$57,卡牌消耗!AI1251)*INDEX(卡牌消耗!$B$8:$F$8,AG1251)/$Q$4/50,0)*50</f>
        <v>278600</v>
      </c>
      <c r="AL1251" s="14" t="str">
        <f>IF(AD1251&gt;0,INDEX(挂机升级突破!$BX$4:$CH$4,AD1251),"")</f>
        <v>红色基础材料</v>
      </c>
      <c r="AM1251" s="14">
        <f>ROUND(INDEX(挂机升级突破!$BX$6:$CH$57,卡牌消耗!AI1251,AD1251)*INDEX(卡牌消耗!$B$5:$F$5,AG1251)/$Q$4/5,0)*5</f>
        <v>70</v>
      </c>
      <c r="AN1251" s="14" t="str">
        <f>IF(AE1251&gt;0,INDEX(挂机升级突破!$BX$4:$CH$4,AE1251),"")</f>
        <v>灵玉</v>
      </c>
      <c r="AO1251" s="14">
        <f>IF(AE1251&gt;0,ROUND(INDEX(挂机升级突破!$BX$6:$CH$57,卡牌消耗!AI1251,AE1251)*INDEX(卡牌消耗!$B$7:$F$7,AG1251)/$Q$4,0),"")</f>
        <v>1</v>
      </c>
    </row>
    <row r="1252" spans="27:41" ht="16.5" x14ac:dyDescent="0.2">
      <c r="AA1252" s="104">
        <v>1248</v>
      </c>
      <c r="AB1252" s="14">
        <f t="shared" si="228"/>
        <v>24</v>
      </c>
      <c r="AC1252" s="14">
        <f>INDEX(挂机升级突破!$BU$6:$BU$57,卡牌消耗!AI1252)</f>
        <v>11</v>
      </c>
      <c r="AD1252" s="14">
        <f>INDEX(挂机升级突破!BV$6:BV$57,卡牌消耗!$AI1252)</f>
        <v>5</v>
      </c>
      <c r="AE1252" s="14">
        <f>INDEX(挂机升级突破!BW$6:BW$57,卡牌消耗!$AI1252)</f>
        <v>10</v>
      </c>
      <c r="AF1252" s="14" t="str">
        <f t="shared" si="229"/>
        <v>朱仙</v>
      </c>
      <c r="AG1252" s="14">
        <f t="shared" si="230"/>
        <v>3</v>
      </c>
      <c r="AH1252" s="14" t="str">
        <f t="shared" si="231"/>
        <v>朱仙魂火-52</v>
      </c>
      <c r="AI1252" s="14">
        <f t="shared" si="232"/>
        <v>52</v>
      </c>
      <c r="AJ1252" s="14" t="str">
        <f>INDEX(挂机升级突破!$BX$4:$CH$4,INDEX(挂机升级突破!$BU$6:$BU$57,卡牌消耗!AI1252))</f>
        <v>金币</v>
      </c>
      <c r="AK1252" s="14">
        <f>ROUND(INDEX(挂机升级突破!$BN$6:$BN$57,卡牌消耗!AI1252)*INDEX(卡牌消耗!$B$8:$F$8,AG1252)/$Q$4/50,0)*50</f>
        <v>278600</v>
      </c>
      <c r="AL1252" s="14" t="str">
        <f>IF(AD1252&gt;0,INDEX(挂机升级突破!$BX$4:$CH$4,AD1252),"")</f>
        <v>红色基础材料</v>
      </c>
      <c r="AM1252" s="14">
        <f>ROUND(INDEX(挂机升级突破!$BX$6:$CH$57,卡牌消耗!AI1252,AD1252)*INDEX(卡牌消耗!$B$5:$F$5,AG1252)/$Q$4/5,0)*5</f>
        <v>70</v>
      </c>
      <c r="AN1252" s="14" t="str">
        <f>IF(AE1252&gt;0,INDEX(挂机升级突破!$BX$4:$CH$4,AE1252),"")</f>
        <v>灵玉</v>
      </c>
      <c r="AO1252" s="14">
        <f>IF(AE1252&gt;0,ROUND(INDEX(挂机升级突破!$BX$6:$CH$57,卡牌消耗!AI1252,AE1252)*INDEX(卡牌消耗!$B$7:$F$7,AG1252)/$Q$4,0),"")</f>
        <v>1</v>
      </c>
    </row>
    <row r="1253" spans="27:41" ht="16.5" x14ac:dyDescent="0.2">
      <c r="AA1253" s="104">
        <v>1249</v>
      </c>
      <c r="AB1253" s="14">
        <f t="shared" si="228"/>
        <v>25</v>
      </c>
      <c r="AC1253" s="14">
        <f>INDEX(挂机升级突破!$BU$6:$BU$57,卡牌消耗!AI1253)</f>
        <v>11</v>
      </c>
      <c r="AD1253" s="14">
        <f>INDEX(挂机升级突破!BV$6:BV$57,卡牌消耗!$AI1253)</f>
        <v>1</v>
      </c>
      <c r="AE1253" s="14">
        <f>INDEX(挂机升级突破!BW$6:BW$57,卡牌消耗!$AI1253)</f>
        <v>0</v>
      </c>
      <c r="AF1253" s="14" t="str">
        <f t="shared" si="229"/>
        <v>雷震子</v>
      </c>
      <c r="AG1253" s="14">
        <f t="shared" si="230"/>
        <v>3</v>
      </c>
      <c r="AH1253" s="14" t="str">
        <f t="shared" si="231"/>
        <v>雷震子魂火-1</v>
      </c>
      <c r="AI1253" s="14">
        <f t="shared" si="232"/>
        <v>1</v>
      </c>
      <c r="AJ1253" s="14" t="str">
        <f>INDEX(挂机升级突破!$BX$4:$CH$4,INDEX(挂机升级突破!$BU$6:$BU$57,卡牌消耗!AI1253))</f>
        <v>金币</v>
      </c>
      <c r="AK1253" s="14">
        <f>ROUND(INDEX(挂机升级突破!$BN$6:$BN$57,卡牌消耗!AI1253)*INDEX(卡牌消耗!$B$8:$F$8,AG1253)/$Q$4/50,0)*50</f>
        <v>600</v>
      </c>
      <c r="AL1253" s="14" t="str">
        <f>IF(AD1253&gt;0,INDEX(挂机升级突破!$BX$4:$CH$4,AD1253),"")</f>
        <v>绿色基础材料</v>
      </c>
      <c r="AM1253" s="14">
        <f>ROUND(INDEX(挂机升级突破!$BX$6:$CH$57,卡牌消耗!AI1253,AD1253)*INDEX(卡牌消耗!$B$5:$F$5,AG1253)/$Q$4/5,0)*5</f>
        <v>835</v>
      </c>
      <c r="AN1253" s="14" t="str">
        <f>IF(AE1253&gt;0,INDEX(挂机升级突破!$BX$4:$CH$4,AE1253),"")</f>
        <v/>
      </c>
      <c r="AO1253" s="14" t="str">
        <f>IF(AE1253&gt;0,ROUND(INDEX(挂机升级突破!$BX$6:$CH$57,卡牌消耗!AI1253,AE1253)*INDEX(卡牌消耗!$B$7:$F$7,AG1253)/$Q$4,0),"")</f>
        <v/>
      </c>
    </row>
    <row r="1254" spans="27:41" ht="16.5" x14ac:dyDescent="0.2">
      <c r="AA1254" s="104">
        <v>1250</v>
      </c>
      <c r="AB1254" s="14">
        <f t="shared" si="228"/>
        <v>25</v>
      </c>
      <c r="AC1254" s="14">
        <f>INDEX(挂机升级突破!$BU$6:$BU$57,卡牌消耗!AI1254)</f>
        <v>11</v>
      </c>
      <c r="AD1254" s="14">
        <f>INDEX(挂机升级突破!BV$6:BV$57,卡牌消耗!$AI1254)</f>
        <v>1</v>
      </c>
      <c r="AE1254" s="14">
        <f>INDEX(挂机升级突破!BW$6:BW$57,卡牌消耗!$AI1254)</f>
        <v>0</v>
      </c>
      <c r="AF1254" s="14" t="str">
        <f t="shared" si="229"/>
        <v>雷震子</v>
      </c>
      <c r="AG1254" s="14">
        <f t="shared" si="230"/>
        <v>3</v>
      </c>
      <c r="AH1254" s="14" t="str">
        <f t="shared" si="231"/>
        <v>雷震子魂火-2</v>
      </c>
      <c r="AI1254" s="14">
        <f t="shared" si="232"/>
        <v>2</v>
      </c>
      <c r="AJ1254" s="14" t="str">
        <f>INDEX(挂机升级突破!$BX$4:$CH$4,INDEX(挂机升级突破!$BU$6:$BU$57,卡牌消耗!AI1254))</f>
        <v>金币</v>
      </c>
      <c r="AK1254" s="14">
        <f>ROUND(INDEX(挂机升级突破!$BN$6:$BN$57,卡牌消耗!AI1254)*INDEX(卡牌消耗!$B$8:$F$8,AG1254)/$Q$4/50,0)*50</f>
        <v>800</v>
      </c>
      <c r="AL1254" s="14" t="str">
        <f>IF(AD1254&gt;0,INDEX(挂机升级突破!$BX$4:$CH$4,AD1254),"")</f>
        <v>绿色基础材料</v>
      </c>
      <c r="AM1254" s="14">
        <f>ROUND(INDEX(挂机升级突破!$BX$6:$CH$57,卡牌消耗!AI1254,AD1254)*INDEX(卡牌消耗!$B$5:$F$5,AG1254)/$Q$4/5,0)*5</f>
        <v>2505</v>
      </c>
      <c r="AN1254" s="14" t="str">
        <f>IF(AE1254&gt;0,INDEX(挂机升级突破!$BX$4:$CH$4,AE1254),"")</f>
        <v/>
      </c>
      <c r="AO1254" s="14" t="str">
        <f>IF(AE1254&gt;0,ROUND(INDEX(挂机升级突破!$BX$6:$CH$57,卡牌消耗!AI1254,AE1254)*INDEX(卡牌消耗!$B$7:$F$7,AG1254)/$Q$4,0),"")</f>
        <v/>
      </c>
    </row>
    <row r="1255" spans="27:41" ht="16.5" x14ac:dyDescent="0.2">
      <c r="AA1255" s="104">
        <v>1251</v>
      </c>
      <c r="AB1255" s="14">
        <f t="shared" si="228"/>
        <v>25</v>
      </c>
      <c r="AC1255" s="14">
        <f>INDEX(挂机升级突破!$BU$6:$BU$57,卡牌消耗!AI1255)</f>
        <v>11</v>
      </c>
      <c r="AD1255" s="14">
        <f>INDEX(挂机升级突破!BV$6:BV$57,卡牌消耗!$AI1255)</f>
        <v>1</v>
      </c>
      <c r="AE1255" s="14">
        <f>INDEX(挂机升级突破!BW$6:BW$57,卡牌消耗!$AI1255)</f>
        <v>0</v>
      </c>
      <c r="AF1255" s="14" t="str">
        <f t="shared" si="229"/>
        <v>雷震子</v>
      </c>
      <c r="AG1255" s="14">
        <f t="shared" si="230"/>
        <v>3</v>
      </c>
      <c r="AH1255" s="14" t="str">
        <f t="shared" si="231"/>
        <v>雷震子魂火-3</v>
      </c>
      <c r="AI1255" s="14">
        <f t="shared" si="232"/>
        <v>3</v>
      </c>
      <c r="AJ1255" s="14" t="str">
        <f>INDEX(挂机升级突破!$BX$4:$CH$4,INDEX(挂机升级突破!$BU$6:$BU$57,卡牌消耗!AI1255))</f>
        <v>金币</v>
      </c>
      <c r="AK1255" s="14">
        <f>ROUND(INDEX(挂机升级突破!$BN$6:$BN$57,卡牌消耗!AI1255)*INDEX(卡牌消耗!$B$8:$F$8,AG1255)/$Q$4/50,0)*50</f>
        <v>800</v>
      </c>
      <c r="AL1255" s="14" t="str">
        <f>IF(AD1255&gt;0,INDEX(挂机升级突破!$BX$4:$CH$4,AD1255),"")</f>
        <v>绿色基础材料</v>
      </c>
      <c r="AM1255" s="14">
        <f>ROUND(INDEX(挂机升级突破!$BX$6:$CH$57,卡牌消耗!AI1255,AD1255)*INDEX(卡牌消耗!$B$5:$F$5,AG1255)/$Q$4/5,0)*5</f>
        <v>3335</v>
      </c>
      <c r="AN1255" s="14" t="str">
        <f>IF(AE1255&gt;0,INDEX(挂机升级突破!$BX$4:$CH$4,AE1255),"")</f>
        <v/>
      </c>
      <c r="AO1255" s="14" t="str">
        <f>IF(AE1255&gt;0,ROUND(INDEX(挂机升级突破!$BX$6:$CH$57,卡牌消耗!AI1255,AE1255)*INDEX(卡牌消耗!$B$7:$F$7,AG1255)/$Q$4,0),"")</f>
        <v/>
      </c>
    </row>
    <row r="1256" spans="27:41" ht="16.5" x14ac:dyDescent="0.2">
      <c r="AA1256" s="104">
        <v>1252</v>
      </c>
      <c r="AB1256" s="14">
        <f t="shared" si="228"/>
        <v>25</v>
      </c>
      <c r="AC1256" s="14">
        <f>INDEX(挂机升级突破!$BU$6:$BU$57,卡牌消耗!AI1256)</f>
        <v>11</v>
      </c>
      <c r="AD1256" s="14">
        <f>INDEX(挂机升级突破!BV$6:BV$57,卡牌消耗!$AI1256)</f>
        <v>1</v>
      </c>
      <c r="AE1256" s="14">
        <f>INDEX(挂机升级突破!BW$6:BW$57,卡牌消耗!$AI1256)</f>
        <v>0</v>
      </c>
      <c r="AF1256" s="14" t="str">
        <f t="shared" si="229"/>
        <v>雷震子</v>
      </c>
      <c r="AG1256" s="14">
        <f t="shared" si="230"/>
        <v>3</v>
      </c>
      <c r="AH1256" s="14" t="str">
        <f t="shared" si="231"/>
        <v>雷震子魂火-4</v>
      </c>
      <c r="AI1256" s="14">
        <f t="shared" si="232"/>
        <v>4</v>
      </c>
      <c r="AJ1256" s="14" t="str">
        <f>INDEX(挂机升级突破!$BX$4:$CH$4,INDEX(挂机升级突破!$BU$6:$BU$57,卡牌消耗!AI1256))</f>
        <v>金币</v>
      </c>
      <c r="AK1256" s="14">
        <f>ROUND(INDEX(挂机升级突破!$BN$6:$BN$57,卡牌消耗!AI1256)*INDEX(卡牌消耗!$B$8:$F$8,AG1256)/$Q$4/50,0)*50</f>
        <v>800</v>
      </c>
      <c r="AL1256" s="14" t="str">
        <f>IF(AD1256&gt;0,INDEX(挂机升级突破!$BX$4:$CH$4,AD1256),"")</f>
        <v>绿色基础材料</v>
      </c>
      <c r="AM1256" s="14">
        <f>ROUND(INDEX(挂机升级突破!$BX$6:$CH$57,卡牌消耗!AI1256,AD1256)*INDEX(卡牌消耗!$B$5:$F$5,AG1256)/$Q$4/5,0)*5</f>
        <v>5005</v>
      </c>
      <c r="AN1256" s="14" t="str">
        <f>IF(AE1256&gt;0,INDEX(挂机升级突破!$BX$4:$CH$4,AE1256),"")</f>
        <v/>
      </c>
      <c r="AO1256" s="14" t="str">
        <f>IF(AE1256&gt;0,ROUND(INDEX(挂机升级突破!$BX$6:$CH$57,卡牌消耗!AI1256,AE1256)*INDEX(卡牌消耗!$B$7:$F$7,AG1256)/$Q$4,0),"")</f>
        <v/>
      </c>
    </row>
    <row r="1257" spans="27:41" ht="16.5" x14ac:dyDescent="0.2">
      <c r="AA1257" s="104">
        <v>1253</v>
      </c>
      <c r="AB1257" s="14">
        <f t="shared" si="228"/>
        <v>25</v>
      </c>
      <c r="AC1257" s="14">
        <f>INDEX(挂机升级突破!$BU$6:$BU$57,卡牌消耗!AI1257)</f>
        <v>11</v>
      </c>
      <c r="AD1257" s="14">
        <f>INDEX(挂机升级突破!BV$6:BV$57,卡牌消耗!$AI1257)</f>
        <v>1</v>
      </c>
      <c r="AE1257" s="14">
        <f>INDEX(挂机升级突破!BW$6:BW$57,卡牌消耗!$AI1257)</f>
        <v>0</v>
      </c>
      <c r="AF1257" s="14" t="str">
        <f t="shared" si="229"/>
        <v>雷震子</v>
      </c>
      <c r="AG1257" s="14">
        <f t="shared" si="230"/>
        <v>3</v>
      </c>
      <c r="AH1257" s="14" t="str">
        <f t="shared" si="231"/>
        <v>雷震子魂火-5</v>
      </c>
      <c r="AI1257" s="14">
        <f t="shared" si="232"/>
        <v>5</v>
      </c>
      <c r="AJ1257" s="14" t="str">
        <f>INDEX(挂机升级突破!$BX$4:$CH$4,INDEX(挂机升级突破!$BU$6:$BU$57,卡牌消耗!AI1257))</f>
        <v>金币</v>
      </c>
      <c r="AK1257" s="14">
        <f>ROUND(INDEX(挂机升级突破!$BN$6:$BN$57,卡牌消耗!AI1257)*INDEX(卡牌消耗!$B$8:$F$8,AG1257)/$Q$4/50,0)*50</f>
        <v>800</v>
      </c>
      <c r="AL1257" s="14" t="str">
        <f>IF(AD1257&gt;0,INDEX(挂机升级突破!$BX$4:$CH$4,AD1257),"")</f>
        <v>绿色基础材料</v>
      </c>
      <c r="AM1257" s="14">
        <f>ROUND(INDEX(挂机升级突破!$BX$6:$CH$57,卡牌消耗!AI1257,AD1257)*INDEX(卡牌消耗!$B$5:$F$5,AG1257)/$Q$4/5,0)*5</f>
        <v>5005</v>
      </c>
      <c r="AN1257" s="14" t="str">
        <f>IF(AE1257&gt;0,INDEX(挂机升级突破!$BX$4:$CH$4,AE1257),"")</f>
        <v/>
      </c>
      <c r="AO1257" s="14" t="str">
        <f>IF(AE1257&gt;0,ROUND(INDEX(挂机升级突破!$BX$6:$CH$57,卡牌消耗!AI1257,AE1257)*INDEX(卡牌消耗!$B$7:$F$7,AG1257)/$Q$4,0),"")</f>
        <v/>
      </c>
    </row>
    <row r="1258" spans="27:41" ht="16.5" x14ac:dyDescent="0.2">
      <c r="AA1258" s="104">
        <v>1254</v>
      </c>
      <c r="AB1258" s="14">
        <f t="shared" si="228"/>
        <v>25</v>
      </c>
      <c r="AC1258" s="14">
        <f>INDEX(挂机升级突破!$BU$6:$BU$57,卡牌消耗!AI1258)</f>
        <v>11</v>
      </c>
      <c r="AD1258" s="14">
        <f>INDEX(挂机升级突破!BV$6:BV$57,卡牌消耗!$AI1258)</f>
        <v>2</v>
      </c>
      <c r="AE1258" s="14">
        <f>INDEX(挂机升级突破!BW$6:BW$57,卡牌消耗!$AI1258)</f>
        <v>0</v>
      </c>
      <c r="AF1258" s="14" t="str">
        <f t="shared" si="229"/>
        <v>雷震子</v>
      </c>
      <c r="AG1258" s="14">
        <f t="shared" si="230"/>
        <v>3</v>
      </c>
      <c r="AH1258" s="14" t="str">
        <f t="shared" si="231"/>
        <v>雷震子魂火-6</v>
      </c>
      <c r="AI1258" s="14">
        <f t="shared" si="232"/>
        <v>6</v>
      </c>
      <c r="AJ1258" s="14" t="str">
        <f>INDEX(挂机升级突破!$BX$4:$CH$4,INDEX(挂机升级突破!$BU$6:$BU$57,卡牌消耗!AI1258))</f>
        <v>金币</v>
      </c>
      <c r="AK1258" s="14">
        <f>ROUND(INDEX(挂机升级突破!$BN$6:$BN$57,卡牌消耗!AI1258)*INDEX(卡牌消耗!$B$8:$F$8,AG1258)/$Q$4/50,0)*50</f>
        <v>1000</v>
      </c>
      <c r="AL1258" s="14" t="str">
        <f>IF(AD1258&gt;0,INDEX(挂机升级突破!$BX$4:$CH$4,AD1258),"")</f>
        <v>蓝色基础材料</v>
      </c>
      <c r="AM1258" s="14">
        <f>ROUND(INDEX(挂机升级突破!$BX$6:$CH$57,卡牌消耗!AI1258,AD1258)*INDEX(卡牌消耗!$B$5:$F$5,AG1258)/$Q$4/5,0)*5</f>
        <v>480</v>
      </c>
      <c r="AN1258" s="14" t="str">
        <f>IF(AE1258&gt;0,INDEX(挂机升级突破!$BX$4:$CH$4,AE1258),"")</f>
        <v/>
      </c>
      <c r="AO1258" s="14" t="str">
        <f>IF(AE1258&gt;0,ROUND(INDEX(挂机升级突破!$BX$6:$CH$57,卡牌消耗!AI1258,AE1258)*INDEX(卡牌消耗!$B$7:$F$7,AG1258)/$Q$4,0),"")</f>
        <v/>
      </c>
    </row>
    <row r="1259" spans="27:41" ht="16.5" x14ac:dyDescent="0.2">
      <c r="AA1259" s="104">
        <v>1255</v>
      </c>
      <c r="AB1259" s="14">
        <f t="shared" si="228"/>
        <v>25</v>
      </c>
      <c r="AC1259" s="14">
        <f>INDEX(挂机升级突破!$BU$6:$BU$57,卡牌消耗!AI1259)</f>
        <v>11</v>
      </c>
      <c r="AD1259" s="14">
        <f>INDEX(挂机升级突破!BV$6:BV$57,卡牌消耗!$AI1259)</f>
        <v>2</v>
      </c>
      <c r="AE1259" s="14">
        <f>INDEX(挂机升级突破!BW$6:BW$57,卡牌消耗!$AI1259)</f>
        <v>0</v>
      </c>
      <c r="AF1259" s="14" t="str">
        <f t="shared" si="229"/>
        <v>雷震子</v>
      </c>
      <c r="AG1259" s="14">
        <f t="shared" si="230"/>
        <v>3</v>
      </c>
      <c r="AH1259" s="14" t="str">
        <f t="shared" si="231"/>
        <v>雷震子魂火-7</v>
      </c>
      <c r="AI1259" s="14">
        <f t="shared" si="232"/>
        <v>7</v>
      </c>
      <c r="AJ1259" s="14" t="str">
        <f>INDEX(挂机升级突破!$BX$4:$CH$4,INDEX(挂机升级突破!$BU$6:$BU$57,卡牌消耗!AI1259))</f>
        <v>金币</v>
      </c>
      <c r="AK1259" s="14">
        <f>ROUND(INDEX(挂机升级突破!$BN$6:$BN$57,卡牌消耗!AI1259)*INDEX(卡牌消耗!$B$8:$F$8,AG1259)/$Q$4/50,0)*50</f>
        <v>1000</v>
      </c>
      <c r="AL1259" s="14" t="str">
        <f>IF(AD1259&gt;0,INDEX(挂机升级突破!$BX$4:$CH$4,AD1259),"")</f>
        <v>蓝色基础材料</v>
      </c>
      <c r="AM1259" s="14">
        <f>ROUND(INDEX(挂机升级突破!$BX$6:$CH$57,卡牌消耗!AI1259,AD1259)*INDEX(卡牌消耗!$B$5:$F$5,AG1259)/$Q$4/5,0)*5</f>
        <v>480</v>
      </c>
      <c r="AN1259" s="14" t="str">
        <f>IF(AE1259&gt;0,INDEX(挂机升级突破!$BX$4:$CH$4,AE1259),"")</f>
        <v/>
      </c>
      <c r="AO1259" s="14" t="str">
        <f>IF(AE1259&gt;0,ROUND(INDEX(挂机升级突破!$BX$6:$CH$57,卡牌消耗!AI1259,AE1259)*INDEX(卡牌消耗!$B$7:$F$7,AG1259)/$Q$4,0),"")</f>
        <v/>
      </c>
    </row>
    <row r="1260" spans="27:41" ht="16.5" x14ac:dyDescent="0.2">
      <c r="AA1260" s="104">
        <v>1256</v>
      </c>
      <c r="AB1260" s="14">
        <f t="shared" si="228"/>
        <v>25</v>
      </c>
      <c r="AC1260" s="14">
        <f>INDEX(挂机升级突破!$BU$6:$BU$57,卡牌消耗!AI1260)</f>
        <v>11</v>
      </c>
      <c r="AD1260" s="14">
        <f>INDEX(挂机升级突破!BV$6:BV$57,卡牌消耗!$AI1260)</f>
        <v>2</v>
      </c>
      <c r="AE1260" s="14">
        <f>INDEX(挂机升级突破!BW$6:BW$57,卡牌消耗!$AI1260)</f>
        <v>0</v>
      </c>
      <c r="AF1260" s="14" t="str">
        <f t="shared" si="229"/>
        <v>雷震子</v>
      </c>
      <c r="AG1260" s="14">
        <f t="shared" si="230"/>
        <v>3</v>
      </c>
      <c r="AH1260" s="14" t="str">
        <f t="shared" si="231"/>
        <v>雷震子魂火-8</v>
      </c>
      <c r="AI1260" s="14">
        <f t="shared" si="232"/>
        <v>8</v>
      </c>
      <c r="AJ1260" s="14" t="str">
        <f>INDEX(挂机升级突破!$BX$4:$CH$4,INDEX(挂机升级突破!$BU$6:$BU$57,卡牌消耗!AI1260))</f>
        <v>金币</v>
      </c>
      <c r="AK1260" s="14">
        <f>ROUND(INDEX(挂机升级突破!$BN$6:$BN$57,卡牌消耗!AI1260)*INDEX(卡牌消耗!$B$8:$F$8,AG1260)/$Q$4/50,0)*50</f>
        <v>1500</v>
      </c>
      <c r="AL1260" s="14" t="str">
        <f>IF(AD1260&gt;0,INDEX(挂机升级突破!$BX$4:$CH$4,AD1260),"")</f>
        <v>蓝色基础材料</v>
      </c>
      <c r="AM1260" s="14">
        <f>ROUND(INDEX(挂机升级突破!$BX$6:$CH$57,卡牌消耗!AI1260,AD1260)*INDEX(卡牌消耗!$B$5:$F$5,AG1260)/$Q$4/5,0)*5</f>
        <v>960</v>
      </c>
      <c r="AN1260" s="14" t="str">
        <f>IF(AE1260&gt;0,INDEX(挂机升级突破!$BX$4:$CH$4,AE1260),"")</f>
        <v/>
      </c>
      <c r="AO1260" s="14" t="str">
        <f>IF(AE1260&gt;0,ROUND(INDEX(挂机升级突破!$BX$6:$CH$57,卡牌消耗!AI1260,AE1260)*INDEX(卡牌消耗!$B$7:$F$7,AG1260)/$Q$4,0),"")</f>
        <v/>
      </c>
    </row>
    <row r="1261" spans="27:41" ht="16.5" x14ac:dyDescent="0.2">
      <c r="AA1261" s="104">
        <v>1257</v>
      </c>
      <c r="AB1261" s="14">
        <f t="shared" si="228"/>
        <v>25</v>
      </c>
      <c r="AC1261" s="14">
        <f>INDEX(挂机升级突破!$BU$6:$BU$57,卡牌消耗!AI1261)</f>
        <v>11</v>
      </c>
      <c r="AD1261" s="14">
        <f>INDEX(挂机升级突破!BV$6:BV$57,卡牌消耗!$AI1261)</f>
        <v>2</v>
      </c>
      <c r="AE1261" s="14">
        <f>INDEX(挂机升级突破!BW$6:BW$57,卡牌消耗!$AI1261)</f>
        <v>0</v>
      </c>
      <c r="AF1261" s="14" t="str">
        <f t="shared" si="229"/>
        <v>雷震子</v>
      </c>
      <c r="AG1261" s="14">
        <f t="shared" si="230"/>
        <v>3</v>
      </c>
      <c r="AH1261" s="14" t="str">
        <f t="shared" si="231"/>
        <v>雷震子魂火-9</v>
      </c>
      <c r="AI1261" s="14">
        <f t="shared" si="232"/>
        <v>9</v>
      </c>
      <c r="AJ1261" s="14" t="str">
        <f>INDEX(挂机升级突破!$BX$4:$CH$4,INDEX(挂机升级突破!$BU$6:$BU$57,卡牌消耗!AI1261))</f>
        <v>金币</v>
      </c>
      <c r="AK1261" s="14">
        <f>ROUND(INDEX(挂机升级突破!$BN$6:$BN$57,卡牌消耗!AI1261)*INDEX(卡牌消耗!$B$8:$F$8,AG1261)/$Q$4/50,0)*50</f>
        <v>1500</v>
      </c>
      <c r="AL1261" s="14" t="str">
        <f>IF(AD1261&gt;0,INDEX(挂机升级突破!$BX$4:$CH$4,AD1261),"")</f>
        <v>蓝色基础材料</v>
      </c>
      <c r="AM1261" s="14">
        <f>ROUND(INDEX(挂机升级突破!$BX$6:$CH$57,卡牌消耗!AI1261,AD1261)*INDEX(卡牌消耗!$B$5:$F$5,AG1261)/$Q$4/5,0)*5</f>
        <v>960</v>
      </c>
      <c r="AN1261" s="14" t="str">
        <f>IF(AE1261&gt;0,INDEX(挂机升级突破!$BX$4:$CH$4,AE1261),"")</f>
        <v/>
      </c>
      <c r="AO1261" s="14" t="str">
        <f>IF(AE1261&gt;0,ROUND(INDEX(挂机升级突破!$BX$6:$CH$57,卡牌消耗!AI1261,AE1261)*INDEX(卡牌消耗!$B$7:$F$7,AG1261)/$Q$4,0),"")</f>
        <v/>
      </c>
    </row>
    <row r="1262" spans="27:41" ht="16.5" x14ac:dyDescent="0.2">
      <c r="AA1262" s="104">
        <v>1258</v>
      </c>
      <c r="AB1262" s="14">
        <f t="shared" si="228"/>
        <v>25</v>
      </c>
      <c r="AC1262" s="14">
        <f>INDEX(挂机升级突破!$BU$6:$BU$57,卡牌消耗!AI1262)</f>
        <v>11</v>
      </c>
      <c r="AD1262" s="14">
        <f>INDEX(挂机升级突破!BV$6:BV$57,卡牌消耗!$AI1262)</f>
        <v>2</v>
      </c>
      <c r="AE1262" s="14">
        <f>INDEX(挂机升级突破!BW$6:BW$57,卡牌消耗!$AI1262)</f>
        <v>0</v>
      </c>
      <c r="AF1262" s="14" t="str">
        <f t="shared" si="229"/>
        <v>雷震子</v>
      </c>
      <c r="AG1262" s="14">
        <f t="shared" si="230"/>
        <v>3</v>
      </c>
      <c r="AH1262" s="14" t="str">
        <f t="shared" si="231"/>
        <v>雷震子魂火-10</v>
      </c>
      <c r="AI1262" s="14">
        <f t="shared" si="232"/>
        <v>10</v>
      </c>
      <c r="AJ1262" s="14" t="str">
        <f>INDEX(挂机升级突破!$BX$4:$CH$4,INDEX(挂机升级突破!$BU$6:$BU$57,卡牌消耗!AI1262))</f>
        <v>金币</v>
      </c>
      <c r="AK1262" s="14">
        <f>ROUND(INDEX(挂机升级突破!$BN$6:$BN$57,卡牌消耗!AI1262)*INDEX(卡牌消耗!$B$8:$F$8,AG1262)/$Q$4/50,0)*50</f>
        <v>2450</v>
      </c>
      <c r="AL1262" s="14" t="str">
        <f>IF(AD1262&gt;0,INDEX(挂机升级突破!$BX$4:$CH$4,AD1262),"")</f>
        <v>蓝色基础材料</v>
      </c>
      <c r="AM1262" s="14">
        <f>ROUND(INDEX(挂机升级突破!$BX$6:$CH$57,卡牌消耗!AI1262,AD1262)*INDEX(卡牌消耗!$B$5:$F$5,AG1262)/$Q$4/5,0)*5</f>
        <v>1440</v>
      </c>
      <c r="AN1262" s="14" t="str">
        <f>IF(AE1262&gt;0,INDEX(挂机升级突破!$BX$4:$CH$4,AE1262),"")</f>
        <v/>
      </c>
      <c r="AO1262" s="14" t="str">
        <f>IF(AE1262&gt;0,ROUND(INDEX(挂机升级突破!$BX$6:$CH$57,卡牌消耗!AI1262,AE1262)*INDEX(卡牌消耗!$B$7:$F$7,AG1262)/$Q$4,0),"")</f>
        <v/>
      </c>
    </row>
    <row r="1263" spans="27:41" ht="16.5" x14ac:dyDescent="0.2">
      <c r="AA1263" s="104">
        <v>1259</v>
      </c>
      <c r="AB1263" s="14">
        <f t="shared" si="228"/>
        <v>25</v>
      </c>
      <c r="AC1263" s="14">
        <f>INDEX(挂机升级突破!$BU$6:$BU$57,卡牌消耗!AI1263)</f>
        <v>11</v>
      </c>
      <c r="AD1263" s="14">
        <f>INDEX(挂机升级突破!BV$6:BV$57,卡牌消耗!$AI1263)</f>
        <v>2</v>
      </c>
      <c r="AE1263" s="14">
        <f>INDEX(挂机升级突破!BW$6:BW$57,卡牌消耗!$AI1263)</f>
        <v>0</v>
      </c>
      <c r="AF1263" s="14" t="str">
        <f t="shared" si="229"/>
        <v>雷震子</v>
      </c>
      <c r="AG1263" s="14">
        <f t="shared" si="230"/>
        <v>3</v>
      </c>
      <c r="AH1263" s="14" t="str">
        <f t="shared" si="231"/>
        <v>雷震子魂火-11</v>
      </c>
      <c r="AI1263" s="14">
        <f t="shared" si="232"/>
        <v>11</v>
      </c>
      <c r="AJ1263" s="14" t="str">
        <f>INDEX(挂机升级突破!$BX$4:$CH$4,INDEX(挂机升级突破!$BU$6:$BU$57,卡牌消耗!AI1263))</f>
        <v>金币</v>
      </c>
      <c r="AK1263" s="14">
        <f>ROUND(INDEX(挂机升级突破!$BN$6:$BN$57,卡牌消耗!AI1263)*INDEX(卡牌消耗!$B$8:$F$8,AG1263)/$Q$4/50,0)*50</f>
        <v>2450</v>
      </c>
      <c r="AL1263" s="14" t="str">
        <f>IF(AD1263&gt;0,INDEX(挂机升级突破!$BX$4:$CH$4,AD1263),"")</f>
        <v>蓝色基础材料</v>
      </c>
      <c r="AM1263" s="14">
        <f>ROUND(INDEX(挂机升级突破!$BX$6:$CH$57,卡牌消耗!AI1263,AD1263)*INDEX(卡牌消耗!$B$5:$F$5,AG1263)/$Q$4/5,0)*5</f>
        <v>1440</v>
      </c>
      <c r="AN1263" s="14" t="str">
        <f>IF(AE1263&gt;0,INDEX(挂机升级突破!$BX$4:$CH$4,AE1263),"")</f>
        <v/>
      </c>
      <c r="AO1263" s="14" t="str">
        <f>IF(AE1263&gt;0,ROUND(INDEX(挂机升级突破!$BX$6:$CH$57,卡牌消耗!AI1263,AE1263)*INDEX(卡牌消耗!$B$7:$F$7,AG1263)/$Q$4,0),"")</f>
        <v/>
      </c>
    </row>
    <row r="1264" spans="27:41" ht="16.5" x14ac:dyDescent="0.2">
      <c r="AA1264" s="104">
        <v>1260</v>
      </c>
      <c r="AB1264" s="14">
        <f t="shared" si="228"/>
        <v>25</v>
      </c>
      <c r="AC1264" s="14">
        <f>INDEX(挂机升级突破!$BU$6:$BU$57,卡牌消耗!AI1264)</f>
        <v>11</v>
      </c>
      <c r="AD1264" s="14">
        <f>INDEX(挂机升级突破!BV$6:BV$57,卡牌消耗!$AI1264)</f>
        <v>2</v>
      </c>
      <c r="AE1264" s="14">
        <f>INDEX(挂机升级突破!BW$6:BW$57,卡牌消耗!$AI1264)</f>
        <v>0</v>
      </c>
      <c r="AF1264" s="14" t="str">
        <f t="shared" si="229"/>
        <v>雷震子</v>
      </c>
      <c r="AG1264" s="14">
        <f t="shared" si="230"/>
        <v>3</v>
      </c>
      <c r="AH1264" s="14" t="str">
        <f t="shared" si="231"/>
        <v>雷震子魂火-12</v>
      </c>
      <c r="AI1264" s="14">
        <f t="shared" si="232"/>
        <v>12</v>
      </c>
      <c r="AJ1264" s="14" t="str">
        <f>INDEX(挂机升级突破!$BX$4:$CH$4,INDEX(挂机升级突破!$BU$6:$BU$57,卡牌消耗!AI1264))</f>
        <v>金币</v>
      </c>
      <c r="AK1264" s="14">
        <f>ROUND(INDEX(挂机升级突破!$BN$6:$BN$57,卡牌消耗!AI1264)*INDEX(卡牌消耗!$B$8:$F$8,AG1264)/$Q$4/50,0)*50</f>
        <v>2100</v>
      </c>
      <c r="AL1264" s="14" t="str">
        <f>IF(AD1264&gt;0,INDEX(挂机升级突破!$BX$4:$CH$4,AD1264),"")</f>
        <v>蓝色基础材料</v>
      </c>
      <c r="AM1264" s="14">
        <f>ROUND(INDEX(挂机升级突破!$BX$6:$CH$57,卡牌消耗!AI1264,AD1264)*INDEX(卡牌消耗!$B$5:$F$5,AG1264)/$Q$4/5,0)*5</f>
        <v>1920</v>
      </c>
      <c r="AN1264" s="14" t="str">
        <f>IF(AE1264&gt;0,INDEX(挂机升级突破!$BX$4:$CH$4,AE1264),"")</f>
        <v/>
      </c>
      <c r="AO1264" s="14" t="str">
        <f>IF(AE1264&gt;0,ROUND(INDEX(挂机升级突破!$BX$6:$CH$57,卡牌消耗!AI1264,AE1264)*INDEX(卡牌消耗!$B$7:$F$7,AG1264)/$Q$4,0),"")</f>
        <v/>
      </c>
    </row>
    <row r="1265" spans="27:41" ht="16.5" x14ac:dyDescent="0.2">
      <c r="AA1265" s="104">
        <v>1261</v>
      </c>
      <c r="AB1265" s="14">
        <f t="shared" si="228"/>
        <v>25</v>
      </c>
      <c r="AC1265" s="14">
        <f>INDEX(挂机升级突破!$BU$6:$BU$57,卡牌消耗!AI1265)</f>
        <v>11</v>
      </c>
      <c r="AD1265" s="14">
        <f>INDEX(挂机升级突破!BV$6:BV$57,卡牌消耗!$AI1265)</f>
        <v>2</v>
      </c>
      <c r="AE1265" s="14">
        <f>INDEX(挂机升级突破!BW$6:BW$57,卡牌消耗!$AI1265)</f>
        <v>0</v>
      </c>
      <c r="AF1265" s="14" t="str">
        <f t="shared" si="229"/>
        <v>雷震子</v>
      </c>
      <c r="AG1265" s="14">
        <f t="shared" si="230"/>
        <v>3</v>
      </c>
      <c r="AH1265" s="14" t="str">
        <f t="shared" si="231"/>
        <v>雷震子魂火-13</v>
      </c>
      <c r="AI1265" s="14">
        <f t="shared" si="232"/>
        <v>13</v>
      </c>
      <c r="AJ1265" s="14" t="str">
        <f>INDEX(挂机升级突破!$BX$4:$CH$4,INDEX(挂机升级突破!$BU$6:$BU$57,卡牌消耗!AI1265))</f>
        <v>金币</v>
      </c>
      <c r="AK1265" s="14">
        <f>ROUND(INDEX(挂机升级突破!$BN$6:$BN$57,卡牌消耗!AI1265)*INDEX(卡牌消耗!$B$8:$F$8,AG1265)/$Q$4/50,0)*50</f>
        <v>2100</v>
      </c>
      <c r="AL1265" s="14" t="str">
        <f>IF(AD1265&gt;0,INDEX(挂机升级突破!$BX$4:$CH$4,AD1265),"")</f>
        <v>蓝色基础材料</v>
      </c>
      <c r="AM1265" s="14">
        <f>ROUND(INDEX(挂机升级突破!$BX$6:$CH$57,卡牌消耗!AI1265,AD1265)*INDEX(卡牌消耗!$B$5:$F$5,AG1265)/$Q$4/5,0)*5</f>
        <v>1920</v>
      </c>
      <c r="AN1265" s="14" t="str">
        <f>IF(AE1265&gt;0,INDEX(挂机升级突破!$BX$4:$CH$4,AE1265),"")</f>
        <v/>
      </c>
      <c r="AO1265" s="14" t="str">
        <f>IF(AE1265&gt;0,ROUND(INDEX(挂机升级突破!$BX$6:$CH$57,卡牌消耗!AI1265,AE1265)*INDEX(卡牌消耗!$B$7:$F$7,AG1265)/$Q$4,0),"")</f>
        <v/>
      </c>
    </row>
    <row r="1266" spans="27:41" ht="16.5" x14ac:dyDescent="0.2">
      <c r="AA1266" s="104">
        <v>1262</v>
      </c>
      <c r="AB1266" s="14">
        <f t="shared" si="228"/>
        <v>25</v>
      </c>
      <c r="AC1266" s="14">
        <f>INDEX(挂机升级突破!$BU$6:$BU$57,卡牌消耗!AI1266)</f>
        <v>11</v>
      </c>
      <c r="AD1266" s="14">
        <f>INDEX(挂机升级突破!BV$6:BV$57,卡牌消耗!$AI1266)</f>
        <v>3</v>
      </c>
      <c r="AE1266" s="14">
        <f>INDEX(挂机升级突破!BW$6:BW$57,卡牌消耗!$AI1266)</f>
        <v>0</v>
      </c>
      <c r="AF1266" s="14" t="str">
        <f t="shared" si="229"/>
        <v>雷震子</v>
      </c>
      <c r="AG1266" s="14">
        <f t="shared" si="230"/>
        <v>3</v>
      </c>
      <c r="AH1266" s="14" t="str">
        <f t="shared" si="231"/>
        <v>雷震子魂火-14</v>
      </c>
      <c r="AI1266" s="14">
        <f t="shared" si="232"/>
        <v>14</v>
      </c>
      <c r="AJ1266" s="14" t="str">
        <f>INDEX(挂机升级突破!$BX$4:$CH$4,INDEX(挂机升级突破!$BU$6:$BU$57,卡牌消耗!AI1266))</f>
        <v>金币</v>
      </c>
      <c r="AK1266" s="14">
        <f>ROUND(INDEX(挂机升级突破!$BN$6:$BN$57,卡牌消耗!AI1266)*INDEX(卡牌消耗!$B$8:$F$8,AG1266)/$Q$4/50,0)*50</f>
        <v>2350</v>
      </c>
      <c r="AL1266" s="14" t="str">
        <f>IF(AD1266&gt;0,INDEX(挂机升级突破!$BX$4:$CH$4,AD1266),"")</f>
        <v>紫色基础材料</v>
      </c>
      <c r="AM1266" s="14">
        <f>ROUND(INDEX(挂机升级突破!$BX$6:$CH$57,卡牌消耗!AI1266,AD1266)*INDEX(卡牌消耗!$B$5:$F$5,AG1266)/$Q$4/5,0)*5</f>
        <v>170</v>
      </c>
      <c r="AN1266" s="14" t="str">
        <f>IF(AE1266&gt;0,INDEX(挂机升级突破!$BX$4:$CH$4,AE1266),"")</f>
        <v/>
      </c>
      <c r="AO1266" s="14" t="str">
        <f>IF(AE1266&gt;0,ROUND(INDEX(挂机升级突破!$BX$6:$CH$57,卡牌消耗!AI1266,AE1266)*INDEX(卡牌消耗!$B$7:$F$7,AG1266)/$Q$4,0),"")</f>
        <v/>
      </c>
    </row>
    <row r="1267" spans="27:41" ht="16.5" x14ac:dyDescent="0.2">
      <c r="AA1267" s="104">
        <v>1263</v>
      </c>
      <c r="AB1267" s="14">
        <f t="shared" si="228"/>
        <v>25</v>
      </c>
      <c r="AC1267" s="14">
        <f>INDEX(挂机升级突破!$BU$6:$BU$57,卡牌消耗!AI1267)</f>
        <v>11</v>
      </c>
      <c r="AD1267" s="14">
        <f>INDEX(挂机升级突破!BV$6:BV$57,卡牌消耗!$AI1267)</f>
        <v>3</v>
      </c>
      <c r="AE1267" s="14">
        <f>INDEX(挂机升级突破!BW$6:BW$57,卡牌消耗!$AI1267)</f>
        <v>0</v>
      </c>
      <c r="AF1267" s="14" t="str">
        <f t="shared" si="229"/>
        <v>雷震子</v>
      </c>
      <c r="AG1267" s="14">
        <f t="shared" si="230"/>
        <v>3</v>
      </c>
      <c r="AH1267" s="14" t="str">
        <f t="shared" si="231"/>
        <v>雷震子魂火-15</v>
      </c>
      <c r="AI1267" s="14">
        <f t="shared" si="232"/>
        <v>15</v>
      </c>
      <c r="AJ1267" s="14" t="str">
        <f>INDEX(挂机升级突破!$BX$4:$CH$4,INDEX(挂机升级突破!$BU$6:$BU$57,卡牌消耗!AI1267))</f>
        <v>金币</v>
      </c>
      <c r="AK1267" s="14">
        <f>ROUND(INDEX(挂机升级突破!$BN$6:$BN$57,卡牌消耗!AI1267)*INDEX(卡牌消耗!$B$8:$F$8,AG1267)/$Q$4/50,0)*50</f>
        <v>2550</v>
      </c>
      <c r="AL1267" s="14" t="str">
        <f>IF(AD1267&gt;0,INDEX(挂机升级突破!$BX$4:$CH$4,AD1267),"")</f>
        <v>紫色基础材料</v>
      </c>
      <c r="AM1267" s="14">
        <f>ROUND(INDEX(挂机升级突破!$BX$6:$CH$57,卡牌消耗!AI1267,AD1267)*INDEX(卡牌消耗!$B$5:$F$5,AG1267)/$Q$4/5,0)*5</f>
        <v>170</v>
      </c>
      <c r="AN1267" s="14" t="str">
        <f>IF(AE1267&gt;0,INDEX(挂机升级突破!$BX$4:$CH$4,AE1267),"")</f>
        <v/>
      </c>
      <c r="AO1267" s="14" t="str">
        <f>IF(AE1267&gt;0,ROUND(INDEX(挂机升级突破!$BX$6:$CH$57,卡牌消耗!AI1267,AE1267)*INDEX(卡牌消耗!$B$7:$F$7,AG1267)/$Q$4,0),"")</f>
        <v/>
      </c>
    </row>
    <row r="1268" spans="27:41" ht="16.5" x14ac:dyDescent="0.2">
      <c r="AA1268" s="104">
        <v>1264</v>
      </c>
      <c r="AB1268" s="14">
        <f t="shared" si="228"/>
        <v>25</v>
      </c>
      <c r="AC1268" s="14">
        <f>INDEX(挂机升级突破!$BU$6:$BU$57,卡牌消耗!AI1268)</f>
        <v>11</v>
      </c>
      <c r="AD1268" s="14">
        <f>INDEX(挂机升级突破!BV$6:BV$57,卡牌消耗!$AI1268)</f>
        <v>3</v>
      </c>
      <c r="AE1268" s="14">
        <f>INDEX(挂机升级突破!BW$6:BW$57,卡牌消耗!$AI1268)</f>
        <v>0</v>
      </c>
      <c r="AF1268" s="14" t="str">
        <f t="shared" si="229"/>
        <v>雷震子</v>
      </c>
      <c r="AG1268" s="14">
        <f t="shared" si="230"/>
        <v>3</v>
      </c>
      <c r="AH1268" s="14" t="str">
        <f t="shared" si="231"/>
        <v>雷震子魂火-16</v>
      </c>
      <c r="AI1268" s="14">
        <f t="shared" si="232"/>
        <v>16</v>
      </c>
      <c r="AJ1268" s="14" t="str">
        <f>INDEX(挂机升级突破!$BX$4:$CH$4,INDEX(挂机升级突破!$BU$6:$BU$57,卡牌消耗!AI1268))</f>
        <v>金币</v>
      </c>
      <c r="AK1268" s="14">
        <f>ROUND(INDEX(挂机升级突破!$BN$6:$BN$57,卡牌消耗!AI1268)*INDEX(卡牌消耗!$B$8:$F$8,AG1268)/$Q$4/50,0)*50</f>
        <v>2550</v>
      </c>
      <c r="AL1268" s="14" t="str">
        <f>IF(AD1268&gt;0,INDEX(挂机升级突破!$BX$4:$CH$4,AD1268),"")</f>
        <v>紫色基础材料</v>
      </c>
      <c r="AM1268" s="14">
        <f>ROUND(INDEX(挂机升级突破!$BX$6:$CH$57,卡牌消耗!AI1268,AD1268)*INDEX(卡牌消耗!$B$5:$F$5,AG1268)/$Q$4/5,0)*5</f>
        <v>170</v>
      </c>
      <c r="AN1268" s="14" t="str">
        <f>IF(AE1268&gt;0,INDEX(挂机升级突破!$BX$4:$CH$4,AE1268),"")</f>
        <v/>
      </c>
      <c r="AO1268" s="14" t="str">
        <f>IF(AE1268&gt;0,ROUND(INDEX(挂机升级突破!$BX$6:$CH$57,卡牌消耗!AI1268,AE1268)*INDEX(卡牌消耗!$B$7:$F$7,AG1268)/$Q$4,0),"")</f>
        <v/>
      </c>
    </row>
    <row r="1269" spans="27:41" ht="16.5" x14ac:dyDescent="0.2">
      <c r="AA1269" s="104">
        <v>1265</v>
      </c>
      <c r="AB1269" s="14">
        <f t="shared" si="228"/>
        <v>25</v>
      </c>
      <c r="AC1269" s="14">
        <f>INDEX(挂机升级突破!$BU$6:$BU$57,卡牌消耗!AI1269)</f>
        <v>11</v>
      </c>
      <c r="AD1269" s="14">
        <f>INDEX(挂机升级突破!BV$6:BV$57,卡牌消耗!$AI1269)</f>
        <v>3</v>
      </c>
      <c r="AE1269" s="14">
        <f>INDEX(挂机升级突破!BW$6:BW$57,卡牌消耗!$AI1269)</f>
        <v>0</v>
      </c>
      <c r="AF1269" s="14" t="str">
        <f t="shared" si="229"/>
        <v>雷震子</v>
      </c>
      <c r="AG1269" s="14">
        <f t="shared" si="230"/>
        <v>3</v>
      </c>
      <c r="AH1269" s="14" t="str">
        <f t="shared" si="231"/>
        <v>雷震子魂火-17</v>
      </c>
      <c r="AI1269" s="14">
        <f t="shared" si="232"/>
        <v>17</v>
      </c>
      <c r="AJ1269" s="14" t="str">
        <f>INDEX(挂机升级突破!$BX$4:$CH$4,INDEX(挂机升级突破!$BU$6:$BU$57,卡牌消耗!AI1269))</f>
        <v>金币</v>
      </c>
      <c r="AK1269" s="14">
        <f>ROUND(INDEX(挂机升级突破!$BN$6:$BN$57,卡牌消耗!AI1269)*INDEX(卡牌消耗!$B$8:$F$8,AG1269)/$Q$4/50,0)*50</f>
        <v>3200</v>
      </c>
      <c r="AL1269" s="14" t="str">
        <f>IF(AD1269&gt;0,INDEX(挂机升级突破!$BX$4:$CH$4,AD1269),"")</f>
        <v>紫色基础材料</v>
      </c>
      <c r="AM1269" s="14">
        <f>ROUND(INDEX(挂机升级突破!$BX$6:$CH$57,卡牌消耗!AI1269,AD1269)*INDEX(卡牌消耗!$B$5:$F$5,AG1269)/$Q$4/5,0)*5</f>
        <v>335</v>
      </c>
      <c r="AN1269" s="14" t="str">
        <f>IF(AE1269&gt;0,INDEX(挂机升级突破!$BX$4:$CH$4,AE1269),"")</f>
        <v/>
      </c>
      <c r="AO1269" s="14" t="str">
        <f>IF(AE1269&gt;0,ROUND(INDEX(挂机升级突破!$BX$6:$CH$57,卡牌消耗!AI1269,AE1269)*INDEX(卡牌消耗!$B$7:$F$7,AG1269)/$Q$4,0),"")</f>
        <v/>
      </c>
    </row>
    <row r="1270" spans="27:41" ht="16.5" x14ac:dyDescent="0.2">
      <c r="AA1270" s="104">
        <v>1266</v>
      </c>
      <c r="AB1270" s="14">
        <f t="shared" si="228"/>
        <v>25</v>
      </c>
      <c r="AC1270" s="14">
        <f>INDEX(挂机升级突破!$BU$6:$BU$57,卡牌消耗!AI1270)</f>
        <v>11</v>
      </c>
      <c r="AD1270" s="14">
        <f>INDEX(挂机升级突破!BV$6:BV$57,卡牌消耗!$AI1270)</f>
        <v>3</v>
      </c>
      <c r="AE1270" s="14">
        <f>INDEX(挂机升级突破!BW$6:BW$57,卡牌消耗!$AI1270)</f>
        <v>0</v>
      </c>
      <c r="AF1270" s="14" t="str">
        <f t="shared" si="229"/>
        <v>雷震子</v>
      </c>
      <c r="AG1270" s="14">
        <f t="shared" si="230"/>
        <v>3</v>
      </c>
      <c r="AH1270" s="14" t="str">
        <f t="shared" si="231"/>
        <v>雷震子魂火-18</v>
      </c>
      <c r="AI1270" s="14">
        <f t="shared" si="232"/>
        <v>18</v>
      </c>
      <c r="AJ1270" s="14" t="str">
        <f>INDEX(挂机升级突破!$BX$4:$CH$4,INDEX(挂机升级突破!$BU$6:$BU$57,卡牌消耗!AI1270))</f>
        <v>金币</v>
      </c>
      <c r="AK1270" s="14">
        <f>ROUND(INDEX(挂机升级突破!$BN$6:$BN$57,卡牌消耗!AI1270)*INDEX(卡牌消耗!$B$8:$F$8,AG1270)/$Q$4/50,0)*50</f>
        <v>3200</v>
      </c>
      <c r="AL1270" s="14" t="str">
        <f>IF(AD1270&gt;0,INDEX(挂机升级突破!$BX$4:$CH$4,AD1270),"")</f>
        <v>紫色基础材料</v>
      </c>
      <c r="AM1270" s="14">
        <f>ROUND(INDEX(挂机升级突破!$BX$6:$CH$57,卡牌消耗!AI1270,AD1270)*INDEX(卡牌消耗!$B$5:$F$5,AG1270)/$Q$4/5,0)*5</f>
        <v>335</v>
      </c>
      <c r="AN1270" s="14" t="str">
        <f>IF(AE1270&gt;0,INDEX(挂机升级突破!$BX$4:$CH$4,AE1270),"")</f>
        <v/>
      </c>
      <c r="AO1270" s="14" t="str">
        <f>IF(AE1270&gt;0,ROUND(INDEX(挂机升级突破!$BX$6:$CH$57,卡牌消耗!AI1270,AE1270)*INDEX(卡牌消耗!$B$7:$F$7,AG1270)/$Q$4,0),"")</f>
        <v/>
      </c>
    </row>
    <row r="1271" spans="27:41" ht="16.5" x14ac:dyDescent="0.2">
      <c r="AA1271" s="104">
        <v>1267</v>
      </c>
      <c r="AB1271" s="14">
        <f t="shared" si="228"/>
        <v>25</v>
      </c>
      <c r="AC1271" s="14">
        <f>INDEX(挂机升级突破!$BU$6:$BU$57,卡牌消耗!AI1271)</f>
        <v>11</v>
      </c>
      <c r="AD1271" s="14">
        <f>INDEX(挂机升级突破!BV$6:BV$57,卡牌消耗!$AI1271)</f>
        <v>3</v>
      </c>
      <c r="AE1271" s="14">
        <f>INDEX(挂机升级突破!BW$6:BW$57,卡牌消耗!$AI1271)</f>
        <v>0</v>
      </c>
      <c r="AF1271" s="14" t="str">
        <f t="shared" si="229"/>
        <v>雷震子</v>
      </c>
      <c r="AG1271" s="14">
        <f t="shared" si="230"/>
        <v>3</v>
      </c>
      <c r="AH1271" s="14" t="str">
        <f t="shared" si="231"/>
        <v>雷震子魂火-19</v>
      </c>
      <c r="AI1271" s="14">
        <f t="shared" si="232"/>
        <v>19</v>
      </c>
      <c r="AJ1271" s="14" t="str">
        <f>INDEX(挂机升级突破!$BX$4:$CH$4,INDEX(挂机升级突破!$BU$6:$BU$57,卡牌消耗!AI1271))</f>
        <v>金币</v>
      </c>
      <c r="AK1271" s="14">
        <f>ROUND(INDEX(挂机升级突破!$BN$6:$BN$57,卡牌消耗!AI1271)*INDEX(卡牌消耗!$B$8:$F$8,AG1271)/$Q$4/50,0)*50</f>
        <v>3200</v>
      </c>
      <c r="AL1271" s="14" t="str">
        <f>IF(AD1271&gt;0,INDEX(挂机升级突破!$BX$4:$CH$4,AD1271),"")</f>
        <v>紫色基础材料</v>
      </c>
      <c r="AM1271" s="14">
        <f>ROUND(INDEX(挂机升级突破!$BX$6:$CH$57,卡牌消耗!AI1271,AD1271)*INDEX(卡牌消耗!$B$5:$F$5,AG1271)/$Q$4/5,0)*5</f>
        <v>335</v>
      </c>
      <c r="AN1271" s="14" t="str">
        <f>IF(AE1271&gt;0,INDEX(挂机升级突破!$BX$4:$CH$4,AE1271),"")</f>
        <v/>
      </c>
      <c r="AO1271" s="14" t="str">
        <f>IF(AE1271&gt;0,ROUND(INDEX(挂机升级突破!$BX$6:$CH$57,卡牌消耗!AI1271,AE1271)*INDEX(卡牌消耗!$B$7:$F$7,AG1271)/$Q$4,0),"")</f>
        <v/>
      </c>
    </row>
    <row r="1272" spans="27:41" ht="16.5" x14ac:dyDescent="0.2">
      <c r="AA1272" s="104">
        <v>1268</v>
      </c>
      <c r="AB1272" s="14">
        <f t="shared" si="228"/>
        <v>25</v>
      </c>
      <c r="AC1272" s="14">
        <f>INDEX(挂机升级突破!$BU$6:$BU$57,卡牌消耗!AI1272)</f>
        <v>11</v>
      </c>
      <c r="AD1272" s="14">
        <f>INDEX(挂机升级突破!BV$6:BV$57,卡牌消耗!$AI1272)</f>
        <v>3</v>
      </c>
      <c r="AE1272" s="14">
        <f>INDEX(挂机升级突破!BW$6:BW$57,卡牌消耗!$AI1272)</f>
        <v>0</v>
      </c>
      <c r="AF1272" s="14" t="str">
        <f t="shared" si="229"/>
        <v>雷震子</v>
      </c>
      <c r="AG1272" s="14">
        <f t="shared" si="230"/>
        <v>3</v>
      </c>
      <c r="AH1272" s="14" t="str">
        <f t="shared" si="231"/>
        <v>雷震子魂火-20</v>
      </c>
      <c r="AI1272" s="14">
        <f t="shared" si="232"/>
        <v>20</v>
      </c>
      <c r="AJ1272" s="14" t="str">
        <f>INDEX(挂机升级突破!$BX$4:$CH$4,INDEX(挂机升级突破!$BU$6:$BU$57,卡牌消耗!AI1272))</f>
        <v>金币</v>
      </c>
      <c r="AK1272" s="14">
        <f>ROUND(INDEX(挂机升级突破!$BN$6:$BN$57,卡牌消耗!AI1272)*INDEX(卡牌消耗!$B$8:$F$8,AG1272)/$Q$4/50,0)*50</f>
        <v>3900</v>
      </c>
      <c r="AL1272" s="14" t="str">
        <f>IF(AD1272&gt;0,INDEX(挂机升级突破!$BX$4:$CH$4,AD1272),"")</f>
        <v>紫色基础材料</v>
      </c>
      <c r="AM1272" s="14">
        <f>ROUND(INDEX(挂机升级突破!$BX$6:$CH$57,卡牌消耗!AI1272,AD1272)*INDEX(卡牌消耗!$B$5:$F$5,AG1272)/$Q$4/5,0)*5</f>
        <v>505</v>
      </c>
      <c r="AN1272" s="14" t="str">
        <f>IF(AE1272&gt;0,INDEX(挂机升级突破!$BX$4:$CH$4,AE1272),"")</f>
        <v/>
      </c>
      <c r="AO1272" s="14" t="str">
        <f>IF(AE1272&gt;0,ROUND(INDEX(挂机升级突破!$BX$6:$CH$57,卡牌消耗!AI1272,AE1272)*INDEX(卡牌消耗!$B$7:$F$7,AG1272)/$Q$4,0),"")</f>
        <v/>
      </c>
    </row>
    <row r="1273" spans="27:41" ht="16.5" x14ac:dyDescent="0.2">
      <c r="AA1273" s="104">
        <v>1269</v>
      </c>
      <c r="AB1273" s="14">
        <f t="shared" si="228"/>
        <v>25</v>
      </c>
      <c r="AC1273" s="14">
        <f>INDEX(挂机升级突破!$BU$6:$BU$57,卡牌消耗!AI1273)</f>
        <v>11</v>
      </c>
      <c r="AD1273" s="14">
        <f>INDEX(挂机升级突破!BV$6:BV$57,卡牌消耗!$AI1273)</f>
        <v>3</v>
      </c>
      <c r="AE1273" s="14">
        <f>INDEX(挂机升级突破!BW$6:BW$57,卡牌消耗!$AI1273)</f>
        <v>0</v>
      </c>
      <c r="AF1273" s="14" t="str">
        <f t="shared" si="229"/>
        <v>雷震子</v>
      </c>
      <c r="AG1273" s="14">
        <f t="shared" si="230"/>
        <v>3</v>
      </c>
      <c r="AH1273" s="14" t="str">
        <f t="shared" si="231"/>
        <v>雷震子魂火-21</v>
      </c>
      <c r="AI1273" s="14">
        <f t="shared" si="232"/>
        <v>21</v>
      </c>
      <c r="AJ1273" s="14" t="str">
        <f>INDEX(挂机升级突破!$BX$4:$CH$4,INDEX(挂机升级突破!$BU$6:$BU$57,卡牌消耗!AI1273))</f>
        <v>金币</v>
      </c>
      <c r="AK1273" s="14">
        <f>ROUND(INDEX(挂机升级突破!$BN$6:$BN$57,卡牌消耗!AI1273)*INDEX(卡牌消耗!$B$8:$F$8,AG1273)/$Q$4/50,0)*50</f>
        <v>3900</v>
      </c>
      <c r="AL1273" s="14" t="str">
        <f>IF(AD1273&gt;0,INDEX(挂机升级突破!$BX$4:$CH$4,AD1273),"")</f>
        <v>紫色基础材料</v>
      </c>
      <c r="AM1273" s="14">
        <f>ROUND(INDEX(挂机升级突破!$BX$6:$CH$57,卡牌消耗!AI1273,AD1273)*INDEX(卡牌消耗!$B$5:$F$5,AG1273)/$Q$4/5,0)*5</f>
        <v>505</v>
      </c>
      <c r="AN1273" s="14" t="str">
        <f>IF(AE1273&gt;0,INDEX(挂机升级突破!$BX$4:$CH$4,AE1273),"")</f>
        <v/>
      </c>
      <c r="AO1273" s="14" t="str">
        <f>IF(AE1273&gt;0,ROUND(INDEX(挂机升级突破!$BX$6:$CH$57,卡牌消耗!AI1273,AE1273)*INDEX(卡牌消耗!$B$7:$F$7,AG1273)/$Q$4,0),"")</f>
        <v/>
      </c>
    </row>
    <row r="1274" spans="27:41" ht="16.5" x14ac:dyDescent="0.2">
      <c r="AA1274" s="104">
        <v>1270</v>
      </c>
      <c r="AB1274" s="14">
        <f t="shared" si="228"/>
        <v>25</v>
      </c>
      <c r="AC1274" s="14">
        <f>INDEX(挂机升级突破!$BU$6:$BU$57,卡牌消耗!AI1274)</f>
        <v>11</v>
      </c>
      <c r="AD1274" s="14">
        <f>INDEX(挂机升级突破!BV$6:BV$57,卡牌消耗!$AI1274)</f>
        <v>3</v>
      </c>
      <c r="AE1274" s="14">
        <f>INDEX(挂机升级突破!BW$6:BW$57,卡牌消耗!$AI1274)</f>
        <v>0</v>
      </c>
      <c r="AF1274" s="14" t="str">
        <f t="shared" si="229"/>
        <v>雷震子</v>
      </c>
      <c r="AG1274" s="14">
        <f t="shared" si="230"/>
        <v>3</v>
      </c>
      <c r="AH1274" s="14" t="str">
        <f t="shared" si="231"/>
        <v>雷震子魂火-22</v>
      </c>
      <c r="AI1274" s="14">
        <f t="shared" si="232"/>
        <v>22</v>
      </c>
      <c r="AJ1274" s="14" t="str">
        <f>INDEX(挂机升级突破!$BX$4:$CH$4,INDEX(挂机升级突破!$BU$6:$BU$57,卡牌消耗!AI1274))</f>
        <v>金币</v>
      </c>
      <c r="AK1274" s="14">
        <f>ROUND(INDEX(挂机升级突破!$BN$6:$BN$57,卡牌消耗!AI1274)*INDEX(卡牌消耗!$B$8:$F$8,AG1274)/$Q$4/50,0)*50</f>
        <v>3900</v>
      </c>
      <c r="AL1274" s="14" t="str">
        <f>IF(AD1274&gt;0,INDEX(挂机升级突破!$BX$4:$CH$4,AD1274),"")</f>
        <v>紫色基础材料</v>
      </c>
      <c r="AM1274" s="14">
        <f>ROUND(INDEX(挂机升级突破!$BX$6:$CH$57,卡牌消耗!AI1274,AD1274)*INDEX(卡牌消耗!$B$5:$F$5,AG1274)/$Q$4/5,0)*5</f>
        <v>505</v>
      </c>
      <c r="AN1274" s="14" t="str">
        <f>IF(AE1274&gt;0,INDEX(挂机升级突破!$BX$4:$CH$4,AE1274),"")</f>
        <v/>
      </c>
      <c r="AO1274" s="14" t="str">
        <f>IF(AE1274&gt;0,ROUND(INDEX(挂机升级突破!$BX$6:$CH$57,卡牌消耗!AI1274,AE1274)*INDEX(卡牌消耗!$B$7:$F$7,AG1274)/$Q$4,0),"")</f>
        <v/>
      </c>
    </row>
    <row r="1275" spans="27:41" ht="16.5" x14ac:dyDescent="0.2">
      <c r="AA1275" s="104">
        <v>1271</v>
      </c>
      <c r="AB1275" s="14">
        <f t="shared" si="228"/>
        <v>25</v>
      </c>
      <c r="AC1275" s="14">
        <f>INDEX(挂机升级突破!$BU$6:$BU$57,卡牌消耗!AI1275)</f>
        <v>11</v>
      </c>
      <c r="AD1275" s="14">
        <f>INDEX(挂机升级突破!BV$6:BV$57,卡牌消耗!$AI1275)</f>
        <v>4</v>
      </c>
      <c r="AE1275" s="14">
        <f>INDEX(挂机升级突破!BW$6:BW$57,卡牌消耗!$AI1275)</f>
        <v>0</v>
      </c>
      <c r="AF1275" s="14" t="str">
        <f t="shared" si="229"/>
        <v>雷震子</v>
      </c>
      <c r="AG1275" s="14">
        <f t="shared" si="230"/>
        <v>3</v>
      </c>
      <c r="AH1275" s="14" t="str">
        <f t="shared" si="231"/>
        <v>雷震子魂火-23</v>
      </c>
      <c r="AI1275" s="14">
        <f t="shared" si="232"/>
        <v>23</v>
      </c>
      <c r="AJ1275" s="14" t="str">
        <f>INDEX(挂机升级突破!$BX$4:$CH$4,INDEX(挂机升级突破!$BU$6:$BU$57,卡牌消耗!AI1275))</f>
        <v>金币</v>
      </c>
      <c r="AK1275" s="14">
        <f>ROUND(INDEX(挂机升级突破!$BN$6:$BN$57,卡牌消耗!AI1275)*INDEX(卡牌消耗!$B$8:$F$8,AG1275)/$Q$4/50,0)*50</f>
        <v>5350</v>
      </c>
      <c r="AL1275" s="14" t="str">
        <f>IF(AD1275&gt;0,INDEX(挂机升级突破!$BX$4:$CH$4,AD1275),"")</f>
        <v>橙色基础材料</v>
      </c>
      <c r="AM1275" s="14">
        <f>ROUND(INDEX(挂机升级突破!$BX$6:$CH$57,卡牌消耗!AI1275,AD1275)*INDEX(卡牌消耗!$B$5:$F$5,AG1275)/$Q$4/5,0)*5</f>
        <v>70</v>
      </c>
      <c r="AN1275" s="14" t="str">
        <f>IF(AE1275&gt;0,INDEX(挂机升级突破!$BX$4:$CH$4,AE1275),"")</f>
        <v/>
      </c>
      <c r="AO1275" s="14" t="str">
        <f>IF(AE1275&gt;0,ROUND(INDEX(挂机升级突破!$BX$6:$CH$57,卡牌消耗!AI1275,AE1275)*INDEX(卡牌消耗!$B$7:$F$7,AG1275)/$Q$4,0),"")</f>
        <v/>
      </c>
    </row>
    <row r="1276" spans="27:41" ht="16.5" x14ac:dyDescent="0.2">
      <c r="AA1276" s="104">
        <v>1272</v>
      </c>
      <c r="AB1276" s="14">
        <f t="shared" si="228"/>
        <v>25</v>
      </c>
      <c r="AC1276" s="14">
        <f>INDEX(挂机升级突破!$BU$6:$BU$57,卡牌消耗!AI1276)</f>
        <v>11</v>
      </c>
      <c r="AD1276" s="14">
        <f>INDEX(挂机升级突破!BV$6:BV$57,卡牌消耗!$AI1276)</f>
        <v>4</v>
      </c>
      <c r="AE1276" s="14">
        <f>INDEX(挂机升级突破!BW$6:BW$57,卡牌消耗!$AI1276)</f>
        <v>0</v>
      </c>
      <c r="AF1276" s="14" t="str">
        <f t="shared" si="229"/>
        <v>雷震子</v>
      </c>
      <c r="AG1276" s="14">
        <f t="shared" si="230"/>
        <v>3</v>
      </c>
      <c r="AH1276" s="14" t="str">
        <f t="shared" si="231"/>
        <v>雷震子魂火-24</v>
      </c>
      <c r="AI1276" s="14">
        <f t="shared" si="232"/>
        <v>24</v>
      </c>
      <c r="AJ1276" s="14" t="str">
        <f>INDEX(挂机升级突破!$BX$4:$CH$4,INDEX(挂机升级突破!$BU$6:$BU$57,卡牌消耗!AI1276))</f>
        <v>金币</v>
      </c>
      <c r="AK1276" s="14">
        <f>ROUND(INDEX(挂机升级突破!$BN$6:$BN$57,卡牌消耗!AI1276)*INDEX(卡牌消耗!$B$8:$F$8,AG1276)/$Q$4/50,0)*50</f>
        <v>5350</v>
      </c>
      <c r="AL1276" s="14" t="str">
        <f>IF(AD1276&gt;0,INDEX(挂机升级突破!$BX$4:$CH$4,AD1276),"")</f>
        <v>橙色基础材料</v>
      </c>
      <c r="AM1276" s="14">
        <f>ROUND(INDEX(挂机升级突破!$BX$6:$CH$57,卡牌消耗!AI1276,AD1276)*INDEX(卡牌消耗!$B$5:$F$5,AG1276)/$Q$4/5,0)*5</f>
        <v>70</v>
      </c>
      <c r="AN1276" s="14" t="str">
        <f>IF(AE1276&gt;0,INDEX(挂机升级突破!$BX$4:$CH$4,AE1276),"")</f>
        <v/>
      </c>
      <c r="AO1276" s="14" t="str">
        <f>IF(AE1276&gt;0,ROUND(INDEX(挂机升级突破!$BX$6:$CH$57,卡牌消耗!AI1276,AE1276)*INDEX(卡牌消耗!$B$7:$F$7,AG1276)/$Q$4,0),"")</f>
        <v/>
      </c>
    </row>
    <row r="1277" spans="27:41" ht="16.5" x14ac:dyDescent="0.2">
      <c r="AA1277" s="104">
        <v>1273</v>
      </c>
      <c r="AB1277" s="14">
        <f t="shared" si="228"/>
        <v>25</v>
      </c>
      <c r="AC1277" s="14">
        <f>INDEX(挂机升级突破!$BU$6:$BU$57,卡牌消耗!AI1277)</f>
        <v>11</v>
      </c>
      <c r="AD1277" s="14">
        <f>INDEX(挂机升级突破!BV$6:BV$57,卡牌消耗!$AI1277)</f>
        <v>4</v>
      </c>
      <c r="AE1277" s="14">
        <f>INDEX(挂机升级突破!BW$6:BW$57,卡牌消耗!$AI1277)</f>
        <v>0</v>
      </c>
      <c r="AF1277" s="14" t="str">
        <f t="shared" si="229"/>
        <v>雷震子</v>
      </c>
      <c r="AG1277" s="14">
        <f t="shared" si="230"/>
        <v>3</v>
      </c>
      <c r="AH1277" s="14" t="str">
        <f t="shared" si="231"/>
        <v>雷震子魂火-25</v>
      </c>
      <c r="AI1277" s="14">
        <f t="shared" si="232"/>
        <v>25</v>
      </c>
      <c r="AJ1277" s="14" t="str">
        <f>INDEX(挂机升级突破!$BX$4:$CH$4,INDEX(挂机升级突破!$BU$6:$BU$57,卡牌消耗!AI1277))</f>
        <v>金币</v>
      </c>
      <c r="AK1277" s="14">
        <f>ROUND(INDEX(挂机升级突破!$BN$6:$BN$57,卡牌消耗!AI1277)*INDEX(卡牌消耗!$B$8:$F$8,AG1277)/$Q$4/50,0)*50</f>
        <v>5850</v>
      </c>
      <c r="AL1277" s="14" t="str">
        <f>IF(AD1277&gt;0,INDEX(挂机升级突破!$BX$4:$CH$4,AD1277),"")</f>
        <v>橙色基础材料</v>
      </c>
      <c r="AM1277" s="14">
        <f>ROUND(INDEX(挂机升级突破!$BX$6:$CH$57,卡牌消耗!AI1277,AD1277)*INDEX(卡牌消耗!$B$5:$F$5,AG1277)/$Q$4/5,0)*5</f>
        <v>70</v>
      </c>
      <c r="AN1277" s="14" t="str">
        <f>IF(AE1277&gt;0,INDEX(挂机升级突破!$BX$4:$CH$4,AE1277),"")</f>
        <v/>
      </c>
      <c r="AO1277" s="14" t="str">
        <f>IF(AE1277&gt;0,ROUND(INDEX(挂机升级突破!$BX$6:$CH$57,卡牌消耗!AI1277,AE1277)*INDEX(卡牌消耗!$B$7:$F$7,AG1277)/$Q$4,0),"")</f>
        <v/>
      </c>
    </row>
    <row r="1278" spans="27:41" ht="16.5" x14ac:dyDescent="0.2">
      <c r="AA1278" s="104">
        <v>1274</v>
      </c>
      <c r="AB1278" s="14">
        <f t="shared" si="228"/>
        <v>25</v>
      </c>
      <c r="AC1278" s="14">
        <f>INDEX(挂机升级突破!$BU$6:$BU$57,卡牌消耗!AI1278)</f>
        <v>11</v>
      </c>
      <c r="AD1278" s="14">
        <f>INDEX(挂机升级突破!BV$6:BV$57,卡牌消耗!$AI1278)</f>
        <v>4</v>
      </c>
      <c r="AE1278" s="14">
        <f>INDEX(挂机升级突破!BW$6:BW$57,卡牌消耗!$AI1278)</f>
        <v>0</v>
      </c>
      <c r="AF1278" s="14" t="str">
        <f t="shared" si="229"/>
        <v>雷震子</v>
      </c>
      <c r="AG1278" s="14">
        <f t="shared" si="230"/>
        <v>3</v>
      </c>
      <c r="AH1278" s="14" t="str">
        <f t="shared" si="231"/>
        <v>雷震子魂火-26</v>
      </c>
      <c r="AI1278" s="14">
        <f t="shared" si="232"/>
        <v>26</v>
      </c>
      <c r="AJ1278" s="14" t="str">
        <f>INDEX(挂机升级突破!$BX$4:$CH$4,INDEX(挂机升级突破!$BU$6:$BU$57,卡牌消耗!AI1278))</f>
        <v>金币</v>
      </c>
      <c r="AK1278" s="14">
        <f>ROUND(INDEX(挂机升级突破!$BN$6:$BN$57,卡牌消耗!AI1278)*INDEX(卡牌消耗!$B$8:$F$8,AG1278)/$Q$4/50,0)*50</f>
        <v>6850</v>
      </c>
      <c r="AL1278" s="14" t="str">
        <f>IF(AD1278&gt;0,INDEX(挂机升级突破!$BX$4:$CH$4,AD1278),"")</f>
        <v>橙色基础材料</v>
      </c>
      <c r="AM1278" s="14">
        <f>ROUND(INDEX(挂机升级突破!$BX$6:$CH$57,卡牌消耗!AI1278,AD1278)*INDEX(卡牌消耗!$B$5:$F$5,AG1278)/$Q$4/5,0)*5</f>
        <v>85</v>
      </c>
      <c r="AN1278" s="14" t="str">
        <f>IF(AE1278&gt;0,INDEX(挂机升级突破!$BX$4:$CH$4,AE1278),"")</f>
        <v/>
      </c>
      <c r="AO1278" s="14" t="str">
        <f>IF(AE1278&gt;0,ROUND(INDEX(挂机升级突破!$BX$6:$CH$57,卡牌消耗!AI1278,AE1278)*INDEX(卡牌消耗!$B$7:$F$7,AG1278)/$Q$4,0),"")</f>
        <v/>
      </c>
    </row>
    <row r="1279" spans="27:41" ht="16.5" x14ac:dyDescent="0.2">
      <c r="AA1279" s="104">
        <v>1275</v>
      </c>
      <c r="AB1279" s="14">
        <f t="shared" si="228"/>
        <v>25</v>
      </c>
      <c r="AC1279" s="14">
        <f>INDEX(挂机升级突破!$BU$6:$BU$57,卡牌消耗!AI1279)</f>
        <v>11</v>
      </c>
      <c r="AD1279" s="14">
        <f>INDEX(挂机升级突破!BV$6:BV$57,卡牌消耗!$AI1279)</f>
        <v>4</v>
      </c>
      <c r="AE1279" s="14">
        <f>INDEX(挂机升级突破!BW$6:BW$57,卡牌消耗!$AI1279)</f>
        <v>0</v>
      </c>
      <c r="AF1279" s="14" t="str">
        <f t="shared" si="229"/>
        <v>雷震子</v>
      </c>
      <c r="AG1279" s="14">
        <f t="shared" si="230"/>
        <v>3</v>
      </c>
      <c r="AH1279" s="14" t="str">
        <f t="shared" si="231"/>
        <v>雷震子魂火-27</v>
      </c>
      <c r="AI1279" s="14">
        <f t="shared" si="232"/>
        <v>27</v>
      </c>
      <c r="AJ1279" s="14" t="str">
        <f>INDEX(挂机升级突破!$BX$4:$CH$4,INDEX(挂机升级突破!$BU$6:$BU$57,卡牌消耗!AI1279))</f>
        <v>金币</v>
      </c>
      <c r="AK1279" s="14">
        <f>ROUND(INDEX(挂机升级突破!$BN$6:$BN$57,卡牌消耗!AI1279)*INDEX(卡牌消耗!$B$8:$F$8,AG1279)/$Q$4/50,0)*50</f>
        <v>6850</v>
      </c>
      <c r="AL1279" s="14" t="str">
        <f>IF(AD1279&gt;0,INDEX(挂机升级突破!$BX$4:$CH$4,AD1279),"")</f>
        <v>橙色基础材料</v>
      </c>
      <c r="AM1279" s="14">
        <f>ROUND(INDEX(挂机升级突破!$BX$6:$CH$57,卡牌消耗!AI1279,AD1279)*INDEX(卡牌消耗!$B$5:$F$5,AG1279)/$Q$4/5,0)*5</f>
        <v>85</v>
      </c>
      <c r="AN1279" s="14" t="str">
        <f>IF(AE1279&gt;0,INDEX(挂机升级突破!$BX$4:$CH$4,AE1279),"")</f>
        <v/>
      </c>
      <c r="AO1279" s="14" t="str">
        <f>IF(AE1279&gt;0,ROUND(INDEX(挂机升级突破!$BX$6:$CH$57,卡牌消耗!AI1279,AE1279)*INDEX(卡牌消耗!$B$7:$F$7,AG1279)/$Q$4,0),"")</f>
        <v/>
      </c>
    </row>
    <row r="1280" spans="27:41" ht="16.5" x14ac:dyDescent="0.2">
      <c r="AA1280" s="104">
        <v>1276</v>
      </c>
      <c r="AB1280" s="14">
        <f t="shared" si="228"/>
        <v>25</v>
      </c>
      <c r="AC1280" s="14">
        <f>INDEX(挂机升级突破!$BU$6:$BU$57,卡牌消耗!AI1280)</f>
        <v>11</v>
      </c>
      <c r="AD1280" s="14">
        <f>INDEX(挂机升级突破!BV$6:BV$57,卡牌消耗!$AI1280)</f>
        <v>4</v>
      </c>
      <c r="AE1280" s="14">
        <f>INDEX(挂机升级突破!BW$6:BW$57,卡牌消耗!$AI1280)</f>
        <v>0</v>
      </c>
      <c r="AF1280" s="14" t="str">
        <f t="shared" si="229"/>
        <v>雷震子</v>
      </c>
      <c r="AG1280" s="14">
        <f t="shared" si="230"/>
        <v>3</v>
      </c>
      <c r="AH1280" s="14" t="str">
        <f t="shared" si="231"/>
        <v>雷震子魂火-28</v>
      </c>
      <c r="AI1280" s="14">
        <f t="shared" si="232"/>
        <v>28</v>
      </c>
      <c r="AJ1280" s="14" t="str">
        <f>INDEX(挂机升级突破!$BX$4:$CH$4,INDEX(挂机升级突破!$BU$6:$BU$57,卡牌消耗!AI1280))</f>
        <v>金币</v>
      </c>
      <c r="AK1280" s="14">
        <f>ROUND(INDEX(挂机升级突破!$BN$6:$BN$57,卡牌消耗!AI1280)*INDEX(卡牌消耗!$B$8:$F$8,AG1280)/$Q$4/50,0)*50</f>
        <v>6850</v>
      </c>
      <c r="AL1280" s="14" t="str">
        <f>IF(AD1280&gt;0,INDEX(挂机升级突破!$BX$4:$CH$4,AD1280),"")</f>
        <v>橙色基础材料</v>
      </c>
      <c r="AM1280" s="14">
        <f>ROUND(INDEX(挂机升级突破!$BX$6:$CH$57,卡牌消耗!AI1280,AD1280)*INDEX(卡牌消耗!$B$5:$F$5,AG1280)/$Q$4/5,0)*5</f>
        <v>85</v>
      </c>
      <c r="AN1280" s="14" t="str">
        <f>IF(AE1280&gt;0,INDEX(挂机升级突破!$BX$4:$CH$4,AE1280),"")</f>
        <v/>
      </c>
      <c r="AO1280" s="14" t="str">
        <f>IF(AE1280&gt;0,ROUND(INDEX(挂机升级突破!$BX$6:$CH$57,卡牌消耗!AI1280,AE1280)*INDEX(卡牌消耗!$B$7:$F$7,AG1280)/$Q$4,0),"")</f>
        <v/>
      </c>
    </row>
    <row r="1281" spans="27:41" ht="16.5" x14ac:dyDescent="0.2">
      <c r="AA1281" s="104">
        <v>1277</v>
      </c>
      <c r="AB1281" s="14">
        <f t="shared" si="228"/>
        <v>25</v>
      </c>
      <c r="AC1281" s="14">
        <f>INDEX(挂机升级突破!$BU$6:$BU$57,卡牌消耗!AI1281)</f>
        <v>11</v>
      </c>
      <c r="AD1281" s="14">
        <f>INDEX(挂机升级突破!BV$6:BV$57,卡牌消耗!$AI1281)</f>
        <v>4</v>
      </c>
      <c r="AE1281" s="14">
        <f>INDEX(挂机升级突破!BW$6:BW$57,卡牌消耗!$AI1281)</f>
        <v>0</v>
      </c>
      <c r="AF1281" s="14" t="str">
        <f t="shared" si="229"/>
        <v>雷震子</v>
      </c>
      <c r="AG1281" s="14">
        <f t="shared" si="230"/>
        <v>3</v>
      </c>
      <c r="AH1281" s="14" t="str">
        <f t="shared" si="231"/>
        <v>雷震子魂火-29</v>
      </c>
      <c r="AI1281" s="14">
        <f t="shared" si="232"/>
        <v>29</v>
      </c>
      <c r="AJ1281" s="14" t="str">
        <f>INDEX(挂机升级突破!$BX$4:$CH$4,INDEX(挂机升级突破!$BU$6:$BU$57,卡牌消耗!AI1281))</f>
        <v>金币</v>
      </c>
      <c r="AK1281" s="14">
        <f>ROUND(INDEX(挂机升级突破!$BN$6:$BN$57,卡牌消耗!AI1281)*INDEX(卡牌消耗!$B$8:$F$8,AG1281)/$Q$4/50,0)*50</f>
        <v>6900</v>
      </c>
      <c r="AL1281" s="14" t="str">
        <f>IF(AD1281&gt;0,INDEX(挂机升级突破!$BX$4:$CH$4,AD1281),"")</f>
        <v>橙色基础材料</v>
      </c>
      <c r="AM1281" s="14">
        <f>ROUND(INDEX(挂机升级突破!$BX$6:$CH$57,卡牌消耗!AI1281,AD1281)*INDEX(卡牌消耗!$B$5:$F$5,AG1281)/$Q$4/5,0)*5</f>
        <v>100</v>
      </c>
      <c r="AN1281" s="14" t="str">
        <f>IF(AE1281&gt;0,INDEX(挂机升级突破!$BX$4:$CH$4,AE1281),"")</f>
        <v/>
      </c>
      <c r="AO1281" s="14" t="str">
        <f>IF(AE1281&gt;0,ROUND(INDEX(挂机升级突破!$BX$6:$CH$57,卡牌消耗!AI1281,AE1281)*INDEX(卡牌消耗!$B$7:$F$7,AG1281)/$Q$4,0),"")</f>
        <v/>
      </c>
    </row>
    <row r="1282" spans="27:41" ht="16.5" x14ac:dyDescent="0.2">
      <c r="AA1282" s="104">
        <v>1278</v>
      </c>
      <c r="AB1282" s="14">
        <f t="shared" si="228"/>
        <v>25</v>
      </c>
      <c r="AC1282" s="14">
        <f>INDEX(挂机升级突破!$BU$6:$BU$57,卡牌消耗!AI1282)</f>
        <v>11</v>
      </c>
      <c r="AD1282" s="14">
        <f>INDEX(挂机升级突破!BV$6:BV$57,卡牌消耗!$AI1282)</f>
        <v>4</v>
      </c>
      <c r="AE1282" s="14">
        <f>INDEX(挂机升级突破!BW$6:BW$57,卡牌消耗!$AI1282)</f>
        <v>0</v>
      </c>
      <c r="AF1282" s="14" t="str">
        <f t="shared" si="229"/>
        <v>雷震子</v>
      </c>
      <c r="AG1282" s="14">
        <f t="shared" si="230"/>
        <v>3</v>
      </c>
      <c r="AH1282" s="14" t="str">
        <f t="shared" si="231"/>
        <v>雷震子魂火-30</v>
      </c>
      <c r="AI1282" s="14">
        <f t="shared" si="232"/>
        <v>30</v>
      </c>
      <c r="AJ1282" s="14" t="str">
        <f>INDEX(挂机升级突破!$BX$4:$CH$4,INDEX(挂机升级突破!$BU$6:$BU$57,卡牌消耗!AI1282))</f>
        <v>金币</v>
      </c>
      <c r="AK1282" s="14">
        <f>ROUND(INDEX(挂机升级突破!$BN$6:$BN$57,卡牌消耗!AI1282)*INDEX(卡牌消耗!$B$8:$F$8,AG1282)/$Q$4/50,0)*50</f>
        <v>6900</v>
      </c>
      <c r="AL1282" s="14" t="str">
        <f>IF(AD1282&gt;0,INDEX(挂机升级突破!$BX$4:$CH$4,AD1282),"")</f>
        <v>橙色基础材料</v>
      </c>
      <c r="AM1282" s="14">
        <f>ROUND(INDEX(挂机升级突破!$BX$6:$CH$57,卡牌消耗!AI1282,AD1282)*INDEX(卡牌消耗!$B$5:$F$5,AG1282)/$Q$4/5,0)*5</f>
        <v>100</v>
      </c>
      <c r="AN1282" s="14" t="str">
        <f>IF(AE1282&gt;0,INDEX(挂机升级突破!$BX$4:$CH$4,AE1282),"")</f>
        <v/>
      </c>
      <c r="AO1282" s="14" t="str">
        <f>IF(AE1282&gt;0,ROUND(INDEX(挂机升级突破!$BX$6:$CH$57,卡牌消耗!AI1282,AE1282)*INDEX(卡牌消耗!$B$7:$F$7,AG1282)/$Q$4,0),"")</f>
        <v/>
      </c>
    </row>
    <row r="1283" spans="27:41" ht="16.5" x14ac:dyDescent="0.2">
      <c r="AA1283" s="104">
        <v>1279</v>
      </c>
      <c r="AB1283" s="14">
        <f t="shared" si="228"/>
        <v>25</v>
      </c>
      <c r="AC1283" s="14">
        <f>INDEX(挂机升级突破!$BU$6:$BU$57,卡牌消耗!AI1283)</f>
        <v>11</v>
      </c>
      <c r="AD1283" s="14">
        <f>INDEX(挂机升级突破!BV$6:BV$57,卡牌消耗!$AI1283)</f>
        <v>4</v>
      </c>
      <c r="AE1283" s="14">
        <f>INDEX(挂机升级突破!BW$6:BW$57,卡牌消耗!$AI1283)</f>
        <v>0</v>
      </c>
      <c r="AF1283" s="14" t="str">
        <f t="shared" si="229"/>
        <v>雷震子</v>
      </c>
      <c r="AG1283" s="14">
        <f t="shared" si="230"/>
        <v>3</v>
      </c>
      <c r="AH1283" s="14" t="str">
        <f t="shared" si="231"/>
        <v>雷震子魂火-31</v>
      </c>
      <c r="AI1283" s="14">
        <f t="shared" si="232"/>
        <v>31</v>
      </c>
      <c r="AJ1283" s="14" t="str">
        <f>INDEX(挂机升级突破!$BX$4:$CH$4,INDEX(挂机升级突破!$BU$6:$BU$57,卡牌消耗!AI1283))</f>
        <v>金币</v>
      </c>
      <c r="AK1283" s="14">
        <f>ROUND(INDEX(挂机升级突破!$BN$6:$BN$57,卡牌消耗!AI1283)*INDEX(卡牌消耗!$B$8:$F$8,AG1283)/$Q$4/50,0)*50</f>
        <v>6900</v>
      </c>
      <c r="AL1283" s="14" t="str">
        <f>IF(AD1283&gt;0,INDEX(挂机升级突破!$BX$4:$CH$4,AD1283),"")</f>
        <v>橙色基础材料</v>
      </c>
      <c r="AM1283" s="14">
        <f>ROUND(INDEX(挂机升级突破!$BX$6:$CH$57,卡牌消耗!AI1283,AD1283)*INDEX(卡牌消耗!$B$5:$F$5,AG1283)/$Q$4/5,0)*5</f>
        <v>100</v>
      </c>
      <c r="AN1283" s="14" t="str">
        <f>IF(AE1283&gt;0,INDEX(挂机升级突破!$BX$4:$CH$4,AE1283),"")</f>
        <v/>
      </c>
      <c r="AO1283" s="14" t="str">
        <f>IF(AE1283&gt;0,ROUND(INDEX(挂机升级突破!$BX$6:$CH$57,卡牌消耗!AI1283,AE1283)*INDEX(卡牌消耗!$B$7:$F$7,AG1283)/$Q$4,0),"")</f>
        <v/>
      </c>
    </row>
    <row r="1284" spans="27:41" ht="16.5" x14ac:dyDescent="0.2">
      <c r="AA1284" s="104">
        <v>1280</v>
      </c>
      <c r="AB1284" s="14">
        <f t="shared" si="228"/>
        <v>25</v>
      </c>
      <c r="AC1284" s="14">
        <f>INDEX(挂机升级突破!$BU$6:$BU$57,卡牌消耗!AI1284)</f>
        <v>11</v>
      </c>
      <c r="AD1284" s="14">
        <f>INDEX(挂机升级突破!BV$6:BV$57,卡牌消耗!$AI1284)</f>
        <v>4</v>
      </c>
      <c r="AE1284" s="14">
        <f>INDEX(挂机升级突破!BW$6:BW$57,卡牌消耗!$AI1284)</f>
        <v>0</v>
      </c>
      <c r="AF1284" s="14" t="str">
        <f t="shared" si="229"/>
        <v>雷震子</v>
      </c>
      <c r="AG1284" s="14">
        <f t="shared" si="230"/>
        <v>3</v>
      </c>
      <c r="AH1284" s="14" t="str">
        <f t="shared" si="231"/>
        <v>雷震子魂火-32</v>
      </c>
      <c r="AI1284" s="14">
        <f t="shared" si="232"/>
        <v>32</v>
      </c>
      <c r="AJ1284" s="14" t="str">
        <f>INDEX(挂机升级突破!$BX$4:$CH$4,INDEX(挂机升级突破!$BU$6:$BU$57,卡牌消耗!AI1284))</f>
        <v>金币</v>
      </c>
      <c r="AK1284" s="14">
        <f>ROUND(INDEX(挂机升级突破!$BN$6:$BN$57,卡牌消耗!AI1284)*INDEX(卡牌消耗!$B$8:$F$8,AG1284)/$Q$4/50,0)*50</f>
        <v>9500</v>
      </c>
      <c r="AL1284" s="14" t="str">
        <f>IF(AD1284&gt;0,INDEX(挂机升级突破!$BX$4:$CH$4,AD1284),"")</f>
        <v>橙色基础材料</v>
      </c>
      <c r="AM1284" s="14">
        <f>ROUND(INDEX(挂机升级突破!$BX$6:$CH$57,卡牌消耗!AI1284,AD1284)*INDEX(卡牌消耗!$B$5:$F$5,AG1284)/$Q$4/5,0)*5</f>
        <v>100</v>
      </c>
      <c r="AN1284" s="14" t="str">
        <f>IF(AE1284&gt;0,INDEX(挂机升级突破!$BX$4:$CH$4,AE1284),"")</f>
        <v/>
      </c>
      <c r="AO1284" s="14" t="str">
        <f>IF(AE1284&gt;0,ROUND(INDEX(挂机升级突破!$BX$6:$CH$57,卡牌消耗!AI1284,AE1284)*INDEX(卡牌消耗!$B$7:$F$7,AG1284)/$Q$4,0),"")</f>
        <v/>
      </c>
    </row>
    <row r="1285" spans="27:41" ht="16.5" x14ac:dyDescent="0.2">
      <c r="AA1285" s="104">
        <v>1281</v>
      </c>
      <c r="AB1285" s="14">
        <f t="shared" si="228"/>
        <v>25</v>
      </c>
      <c r="AC1285" s="14">
        <f>INDEX(挂机升级突破!$BU$6:$BU$57,卡牌消耗!AI1285)</f>
        <v>11</v>
      </c>
      <c r="AD1285" s="14">
        <f>INDEX(挂机升级突破!BV$6:BV$57,卡牌消耗!$AI1285)</f>
        <v>4</v>
      </c>
      <c r="AE1285" s="14">
        <f>INDEX(挂机升级突破!BW$6:BW$57,卡牌消耗!$AI1285)</f>
        <v>0</v>
      </c>
      <c r="AF1285" s="14" t="str">
        <f t="shared" si="229"/>
        <v>雷震子</v>
      </c>
      <c r="AG1285" s="14">
        <f t="shared" si="230"/>
        <v>3</v>
      </c>
      <c r="AH1285" s="14" t="str">
        <f t="shared" si="231"/>
        <v>雷震子魂火-33</v>
      </c>
      <c r="AI1285" s="14">
        <f t="shared" si="232"/>
        <v>33</v>
      </c>
      <c r="AJ1285" s="14" t="str">
        <f>INDEX(挂机升级突破!$BX$4:$CH$4,INDEX(挂机升级突破!$BU$6:$BU$57,卡牌消耗!AI1285))</f>
        <v>金币</v>
      </c>
      <c r="AK1285" s="14">
        <f>ROUND(INDEX(挂机升级突破!$BN$6:$BN$57,卡牌消耗!AI1285)*INDEX(卡牌消耗!$B$8:$F$8,AG1285)/$Q$4/50,0)*50</f>
        <v>9500</v>
      </c>
      <c r="AL1285" s="14" t="str">
        <f>IF(AD1285&gt;0,INDEX(挂机升级突破!$BX$4:$CH$4,AD1285),"")</f>
        <v>橙色基础材料</v>
      </c>
      <c r="AM1285" s="14">
        <f>ROUND(INDEX(挂机升级突破!$BX$6:$CH$57,卡牌消耗!AI1285,AD1285)*INDEX(卡牌消耗!$B$5:$F$5,AG1285)/$Q$4/5,0)*5</f>
        <v>100</v>
      </c>
      <c r="AN1285" s="14" t="str">
        <f>IF(AE1285&gt;0,INDEX(挂机升级突破!$BX$4:$CH$4,AE1285),"")</f>
        <v/>
      </c>
      <c r="AO1285" s="14" t="str">
        <f>IF(AE1285&gt;0,ROUND(INDEX(挂机升级突破!$BX$6:$CH$57,卡牌消耗!AI1285,AE1285)*INDEX(卡牌消耗!$B$7:$F$7,AG1285)/$Q$4,0),"")</f>
        <v/>
      </c>
    </row>
    <row r="1286" spans="27:41" ht="16.5" x14ac:dyDescent="0.2">
      <c r="AA1286" s="104">
        <v>1282</v>
      </c>
      <c r="AB1286" s="14">
        <f t="shared" ref="AB1286:AB1349" si="233">INT((AA1286-1)/52)+1</f>
        <v>25</v>
      </c>
      <c r="AC1286" s="14">
        <f>INDEX(挂机升级突破!$BU$6:$BU$57,卡牌消耗!AI1286)</f>
        <v>11</v>
      </c>
      <c r="AD1286" s="14">
        <f>INDEX(挂机升级突破!BV$6:BV$57,卡牌消耗!$AI1286)</f>
        <v>4</v>
      </c>
      <c r="AE1286" s="14">
        <f>INDEX(挂机升级突破!BW$6:BW$57,卡牌消耗!$AI1286)</f>
        <v>0</v>
      </c>
      <c r="AF1286" s="14" t="str">
        <f t="shared" ref="AF1286:AF1349" si="234">INDEX($B$13:$B$40,AB1286)</f>
        <v>雷震子</v>
      </c>
      <c r="AG1286" s="14">
        <f t="shared" ref="AG1286:AG1349" si="235">INDEX($C$13:$C$40,AB1286)</f>
        <v>3</v>
      </c>
      <c r="AH1286" s="14" t="str">
        <f t="shared" ref="AH1286:AH1349" si="236">AF1286&amp;"魂火-"&amp;AI1286</f>
        <v>雷震子魂火-34</v>
      </c>
      <c r="AI1286" s="14">
        <f t="shared" ref="AI1286:AI1349" si="237">AA1286-(AB1286-1)*52</f>
        <v>34</v>
      </c>
      <c r="AJ1286" s="14" t="str">
        <f>INDEX(挂机升级突破!$BX$4:$CH$4,INDEX(挂机升级突破!$BU$6:$BU$57,卡牌消耗!AI1286))</f>
        <v>金币</v>
      </c>
      <c r="AK1286" s="14">
        <f>ROUND(INDEX(挂机升级突破!$BN$6:$BN$57,卡牌消耗!AI1286)*INDEX(卡牌消耗!$B$8:$F$8,AG1286)/$Q$4/50,0)*50</f>
        <v>9500</v>
      </c>
      <c r="AL1286" s="14" t="str">
        <f>IF(AD1286&gt;0,INDEX(挂机升级突破!$BX$4:$CH$4,AD1286),"")</f>
        <v>橙色基础材料</v>
      </c>
      <c r="AM1286" s="14">
        <f>ROUND(INDEX(挂机升级突破!$BX$6:$CH$57,卡牌消耗!AI1286,AD1286)*INDEX(卡牌消耗!$B$5:$F$5,AG1286)/$Q$4/5,0)*5</f>
        <v>110</v>
      </c>
      <c r="AN1286" s="14" t="str">
        <f>IF(AE1286&gt;0,INDEX(挂机升级突破!$BX$4:$CH$4,AE1286),"")</f>
        <v/>
      </c>
      <c r="AO1286" s="14" t="str">
        <f>IF(AE1286&gt;0,ROUND(INDEX(挂机升级突破!$BX$6:$CH$57,卡牌消耗!AI1286,AE1286)*INDEX(卡牌消耗!$B$7:$F$7,AG1286)/$Q$4,0),"")</f>
        <v/>
      </c>
    </row>
    <row r="1287" spans="27:41" ht="16.5" x14ac:dyDescent="0.2">
      <c r="AA1287" s="104">
        <v>1283</v>
      </c>
      <c r="AB1287" s="14">
        <f t="shared" si="233"/>
        <v>25</v>
      </c>
      <c r="AC1287" s="14">
        <f>INDEX(挂机升级突破!$BU$6:$BU$57,卡牌消耗!AI1287)</f>
        <v>11</v>
      </c>
      <c r="AD1287" s="14">
        <f>INDEX(挂机升级突破!BV$6:BV$57,卡牌消耗!$AI1287)</f>
        <v>4</v>
      </c>
      <c r="AE1287" s="14">
        <f>INDEX(挂机升级突破!BW$6:BW$57,卡牌消耗!$AI1287)</f>
        <v>0</v>
      </c>
      <c r="AF1287" s="14" t="str">
        <f t="shared" si="234"/>
        <v>雷震子</v>
      </c>
      <c r="AG1287" s="14">
        <f t="shared" si="235"/>
        <v>3</v>
      </c>
      <c r="AH1287" s="14" t="str">
        <f t="shared" si="236"/>
        <v>雷震子魂火-35</v>
      </c>
      <c r="AI1287" s="14">
        <f t="shared" si="237"/>
        <v>35</v>
      </c>
      <c r="AJ1287" s="14" t="str">
        <f>INDEX(挂机升级突破!$BX$4:$CH$4,INDEX(挂机升级突破!$BU$6:$BU$57,卡牌消耗!AI1287))</f>
        <v>金币</v>
      </c>
      <c r="AK1287" s="14">
        <f>ROUND(INDEX(挂机升级突破!$BN$6:$BN$57,卡牌消耗!AI1287)*INDEX(卡牌消耗!$B$8:$F$8,AG1287)/$Q$4/50,0)*50</f>
        <v>12100</v>
      </c>
      <c r="AL1287" s="14" t="str">
        <f>IF(AD1287&gt;0,INDEX(挂机升级突破!$BX$4:$CH$4,AD1287),"")</f>
        <v>橙色基础材料</v>
      </c>
      <c r="AM1287" s="14">
        <f>ROUND(INDEX(挂机升级突破!$BX$6:$CH$57,卡牌消耗!AI1287,AD1287)*INDEX(卡牌消耗!$B$5:$F$5,AG1287)/$Q$4/5,0)*5</f>
        <v>110</v>
      </c>
      <c r="AN1287" s="14" t="str">
        <f>IF(AE1287&gt;0,INDEX(挂机升级突破!$BX$4:$CH$4,AE1287),"")</f>
        <v/>
      </c>
      <c r="AO1287" s="14" t="str">
        <f>IF(AE1287&gt;0,ROUND(INDEX(挂机升级突破!$BX$6:$CH$57,卡牌消耗!AI1287,AE1287)*INDEX(卡牌消耗!$B$7:$F$7,AG1287)/$Q$4,0),"")</f>
        <v/>
      </c>
    </row>
    <row r="1288" spans="27:41" ht="16.5" x14ac:dyDescent="0.2">
      <c r="AA1288" s="104">
        <v>1284</v>
      </c>
      <c r="AB1288" s="14">
        <f t="shared" si="233"/>
        <v>25</v>
      </c>
      <c r="AC1288" s="14">
        <f>INDEX(挂机升级突破!$BU$6:$BU$57,卡牌消耗!AI1288)</f>
        <v>11</v>
      </c>
      <c r="AD1288" s="14">
        <f>INDEX(挂机升级突破!BV$6:BV$57,卡牌消耗!$AI1288)</f>
        <v>4</v>
      </c>
      <c r="AE1288" s="14">
        <f>INDEX(挂机升级突破!BW$6:BW$57,卡牌消耗!$AI1288)</f>
        <v>0</v>
      </c>
      <c r="AF1288" s="14" t="str">
        <f t="shared" si="234"/>
        <v>雷震子</v>
      </c>
      <c r="AG1288" s="14">
        <f t="shared" si="235"/>
        <v>3</v>
      </c>
      <c r="AH1288" s="14" t="str">
        <f t="shared" si="236"/>
        <v>雷震子魂火-36</v>
      </c>
      <c r="AI1288" s="14">
        <f t="shared" si="237"/>
        <v>36</v>
      </c>
      <c r="AJ1288" s="14" t="str">
        <f>INDEX(挂机升级突破!$BX$4:$CH$4,INDEX(挂机升级突破!$BU$6:$BU$57,卡牌消耗!AI1288))</f>
        <v>金币</v>
      </c>
      <c r="AK1288" s="14">
        <f>ROUND(INDEX(挂机升级突破!$BN$6:$BN$57,卡牌消耗!AI1288)*INDEX(卡牌消耗!$B$8:$F$8,AG1288)/$Q$4/50,0)*50</f>
        <v>12100</v>
      </c>
      <c r="AL1288" s="14" t="str">
        <f>IF(AD1288&gt;0,INDEX(挂机升级突破!$BX$4:$CH$4,AD1288),"")</f>
        <v>橙色基础材料</v>
      </c>
      <c r="AM1288" s="14">
        <f>ROUND(INDEX(挂机升级突破!$BX$6:$CH$57,卡牌消耗!AI1288,AD1288)*INDEX(卡牌消耗!$B$5:$F$5,AG1288)/$Q$4/5,0)*5</f>
        <v>110</v>
      </c>
      <c r="AN1288" s="14" t="str">
        <f>IF(AE1288&gt;0,INDEX(挂机升级突破!$BX$4:$CH$4,AE1288),"")</f>
        <v/>
      </c>
      <c r="AO1288" s="14" t="str">
        <f>IF(AE1288&gt;0,ROUND(INDEX(挂机升级突破!$BX$6:$CH$57,卡牌消耗!AI1288,AE1288)*INDEX(卡牌消耗!$B$7:$F$7,AG1288)/$Q$4,0),"")</f>
        <v/>
      </c>
    </row>
    <row r="1289" spans="27:41" ht="16.5" x14ac:dyDescent="0.2">
      <c r="AA1289" s="104">
        <v>1285</v>
      </c>
      <c r="AB1289" s="14">
        <f t="shared" si="233"/>
        <v>25</v>
      </c>
      <c r="AC1289" s="14">
        <f>INDEX(挂机升级突破!$BU$6:$BU$57,卡牌消耗!AI1289)</f>
        <v>11</v>
      </c>
      <c r="AD1289" s="14">
        <f>INDEX(挂机升级突破!BV$6:BV$57,卡牌消耗!$AI1289)</f>
        <v>4</v>
      </c>
      <c r="AE1289" s="14">
        <f>INDEX(挂机升级突破!BW$6:BW$57,卡牌消耗!$AI1289)</f>
        <v>0</v>
      </c>
      <c r="AF1289" s="14" t="str">
        <f t="shared" si="234"/>
        <v>雷震子</v>
      </c>
      <c r="AG1289" s="14">
        <f t="shared" si="235"/>
        <v>3</v>
      </c>
      <c r="AH1289" s="14" t="str">
        <f t="shared" si="236"/>
        <v>雷震子魂火-37</v>
      </c>
      <c r="AI1289" s="14">
        <f t="shared" si="237"/>
        <v>37</v>
      </c>
      <c r="AJ1289" s="14" t="str">
        <f>INDEX(挂机升级突破!$BX$4:$CH$4,INDEX(挂机升级突破!$BU$6:$BU$57,卡牌消耗!AI1289))</f>
        <v>金币</v>
      </c>
      <c r="AK1289" s="14">
        <f>ROUND(INDEX(挂机升级突破!$BN$6:$BN$57,卡牌消耗!AI1289)*INDEX(卡牌消耗!$B$8:$F$8,AG1289)/$Q$4/50,0)*50</f>
        <v>12950</v>
      </c>
      <c r="AL1289" s="14" t="str">
        <f>IF(AD1289&gt;0,INDEX(挂机升级突破!$BX$4:$CH$4,AD1289),"")</f>
        <v>橙色基础材料</v>
      </c>
      <c r="AM1289" s="14">
        <f>ROUND(INDEX(挂机升级突破!$BX$6:$CH$57,卡牌消耗!AI1289,AD1289)*INDEX(卡牌消耗!$B$5:$F$5,AG1289)/$Q$4/5,0)*5</f>
        <v>110</v>
      </c>
      <c r="AN1289" s="14" t="str">
        <f>IF(AE1289&gt;0,INDEX(挂机升级突破!$BX$4:$CH$4,AE1289),"")</f>
        <v/>
      </c>
      <c r="AO1289" s="14" t="str">
        <f>IF(AE1289&gt;0,ROUND(INDEX(挂机升级突破!$BX$6:$CH$57,卡牌消耗!AI1289,AE1289)*INDEX(卡牌消耗!$B$7:$F$7,AG1289)/$Q$4,0),"")</f>
        <v/>
      </c>
    </row>
    <row r="1290" spans="27:41" ht="16.5" x14ac:dyDescent="0.2">
      <c r="AA1290" s="104">
        <v>1286</v>
      </c>
      <c r="AB1290" s="14">
        <f t="shared" si="233"/>
        <v>25</v>
      </c>
      <c r="AC1290" s="14">
        <f>INDEX(挂机升级突破!$BU$6:$BU$57,卡牌消耗!AI1290)</f>
        <v>11</v>
      </c>
      <c r="AD1290" s="14">
        <f>INDEX(挂机升级突破!BV$6:BV$57,卡牌消耗!$AI1290)</f>
        <v>5</v>
      </c>
      <c r="AE1290" s="14">
        <f>INDEX(挂机升级突破!BW$6:BW$57,卡牌消耗!$AI1290)</f>
        <v>0</v>
      </c>
      <c r="AF1290" s="14" t="str">
        <f t="shared" si="234"/>
        <v>雷震子</v>
      </c>
      <c r="AG1290" s="14">
        <f t="shared" si="235"/>
        <v>3</v>
      </c>
      <c r="AH1290" s="14" t="str">
        <f t="shared" si="236"/>
        <v>雷震子魂火-38</v>
      </c>
      <c r="AI1290" s="14">
        <f t="shared" si="237"/>
        <v>38</v>
      </c>
      <c r="AJ1290" s="14" t="str">
        <f>INDEX(挂机升级突破!$BX$4:$CH$4,INDEX(挂机升级突破!$BU$6:$BU$57,卡牌消耗!AI1290))</f>
        <v>金币</v>
      </c>
      <c r="AK1290" s="14">
        <f>ROUND(INDEX(挂机升级突破!$BN$6:$BN$57,卡牌消耗!AI1290)*INDEX(卡牌消耗!$B$8:$F$8,AG1290)/$Q$4/50,0)*50</f>
        <v>16700</v>
      </c>
      <c r="AL1290" s="14" t="str">
        <f>IF(AD1290&gt;0,INDEX(挂机升级突破!$BX$4:$CH$4,AD1290),"")</f>
        <v>红色基础材料</v>
      </c>
      <c r="AM1290" s="14">
        <f>ROUND(INDEX(挂机升级突破!$BX$6:$CH$57,卡牌消耗!AI1290,AD1290)*INDEX(卡牌消耗!$B$5:$F$5,AG1290)/$Q$4/5,0)*5</f>
        <v>45</v>
      </c>
      <c r="AN1290" s="14" t="str">
        <f>IF(AE1290&gt;0,INDEX(挂机升级突破!$BX$4:$CH$4,AE1290),"")</f>
        <v/>
      </c>
      <c r="AO1290" s="14" t="str">
        <f>IF(AE1290&gt;0,ROUND(INDEX(挂机升级突破!$BX$6:$CH$57,卡牌消耗!AI1290,AE1290)*INDEX(卡牌消耗!$B$7:$F$7,AG1290)/$Q$4,0),"")</f>
        <v/>
      </c>
    </row>
    <row r="1291" spans="27:41" ht="16.5" x14ac:dyDescent="0.2">
      <c r="AA1291" s="104">
        <v>1287</v>
      </c>
      <c r="AB1291" s="14">
        <f t="shared" si="233"/>
        <v>25</v>
      </c>
      <c r="AC1291" s="14">
        <f>INDEX(挂机升级突破!$BU$6:$BU$57,卡牌消耗!AI1291)</f>
        <v>11</v>
      </c>
      <c r="AD1291" s="14">
        <f>INDEX(挂机升级突破!BV$6:BV$57,卡牌消耗!$AI1291)</f>
        <v>5</v>
      </c>
      <c r="AE1291" s="14">
        <f>INDEX(挂机升级突破!BW$6:BW$57,卡牌消耗!$AI1291)</f>
        <v>0</v>
      </c>
      <c r="AF1291" s="14" t="str">
        <f t="shared" si="234"/>
        <v>雷震子</v>
      </c>
      <c r="AG1291" s="14">
        <f t="shared" si="235"/>
        <v>3</v>
      </c>
      <c r="AH1291" s="14" t="str">
        <f t="shared" si="236"/>
        <v>雷震子魂火-39</v>
      </c>
      <c r="AI1291" s="14">
        <f t="shared" si="237"/>
        <v>39</v>
      </c>
      <c r="AJ1291" s="14" t="str">
        <f>INDEX(挂机升级突破!$BX$4:$CH$4,INDEX(挂机升级突破!$BU$6:$BU$57,卡牌消耗!AI1291))</f>
        <v>金币</v>
      </c>
      <c r="AK1291" s="14">
        <f>ROUND(INDEX(挂机升级突破!$BN$6:$BN$57,卡牌消耗!AI1291)*INDEX(卡牌消耗!$B$8:$F$8,AG1291)/$Q$4/50,0)*50</f>
        <v>16700</v>
      </c>
      <c r="AL1291" s="14" t="str">
        <f>IF(AD1291&gt;0,INDEX(挂机升级突破!$BX$4:$CH$4,AD1291),"")</f>
        <v>红色基础材料</v>
      </c>
      <c r="AM1291" s="14">
        <f>ROUND(INDEX(挂机升级突破!$BX$6:$CH$57,卡牌消耗!AI1291,AD1291)*INDEX(卡牌消耗!$B$5:$F$5,AG1291)/$Q$4/5,0)*5</f>
        <v>45</v>
      </c>
      <c r="AN1291" s="14" t="str">
        <f>IF(AE1291&gt;0,INDEX(挂机升级突破!$BX$4:$CH$4,AE1291),"")</f>
        <v/>
      </c>
      <c r="AO1291" s="14" t="str">
        <f>IF(AE1291&gt;0,ROUND(INDEX(挂机升级突破!$BX$6:$CH$57,卡牌消耗!AI1291,AE1291)*INDEX(卡牌消耗!$B$7:$F$7,AG1291)/$Q$4,0),"")</f>
        <v/>
      </c>
    </row>
    <row r="1292" spans="27:41" ht="16.5" x14ac:dyDescent="0.2">
      <c r="AA1292" s="104">
        <v>1288</v>
      </c>
      <c r="AB1292" s="14">
        <f t="shared" si="233"/>
        <v>25</v>
      </c>
      <c r="AC1292" s="14">
        <f>INDEX(挂机升级突破!$BU$6:$BU$57,卡牌消耗!AI1292)</f>
        <v>11</v>
      </c>
      <c r="AD1292" s="14">
        <f>INDEX(挂机升级突破!BV$6:BV$57,卡牌消耗!$AI1292)</f>
        <v>5</v>
      </c>
      <c r="AE1292" s="14">
        <f>INDEX(挂机升级突破!BW$6:BW$57,卡牌消耗!$AI1292)</f>
        <v>0</v>
      </c>
      <c r="AF1292" s="14" t="str">
        <f t="shared" si="234"/>
        <v>雷震子</v>
      </c>
      <c r="AG1292" s="14">
        <f t="shared" si="235"/>
        <v>3</v>
      </c>
      <c r="AH1292" s="14" t="str">
        <f t="shared" si="236"/>
        <v>雷震子魂火-40</v>
      </c>
      <c r="AI1292" s="14">
        <f t="shared" si="237"/>
        <v>40</v>
      </c>
      <c r="AJ1292" s="14" t="str">
        <f>INDEX(挂机升级突破!$BX$4:$CH$4,INDEX(挂机升级突破!$BU$6:$BU$57,卡牌消耗!AI1292))</f>
        <v>金币</v>
      </c>
      <c r="AK1292" s="14">
        <f>ROUND(INDEX(挂机升级突破!$BN$6:$BN$57,卡牌消耗!AI1292)*INDEX(卡牌消耗!$B$8:$F$8,AG1292)/$Q$4/50,0)*50</f>
        <v>16700</v>
      </c>
      <c r="AL1292" s="14" t="str">
        <f>IF(AD1292&gt;0,INDEX(挂机升级突破!$BX$4:$CH$4,AD1292),"")</f>
        <v>红色基础材料</v>
      </c>
      <c r="AM1292" s="14">
        <f>ROUND(INDEX(挂机升级突破!$BX$6:$CH$57,卡牌消耗!AI1292,AD1292)*INDEX(卡牌消耗!$B$5:$F$5,AG1292)/$Q$4/5,0)*5</f>
        <v>45</v>
      </c>
      <c r="AN1292" s="14" t="str">
        <f>IF(AE1292&gt;0,INDEX(挂机升级突破!$BX$4:$CH$4,AE1292),"")</f>
        <v/>
      </c>
      <c r="AO1292" s="14" t="str">
        <f>IF(AE1292&gt;0,ROUND(INDEX(挂机升级突破!$BX$6:$CH$57,卡牌消耗!AI1292,AE1292)*INDEX(卡牌消耗!$B$7:$F$7,AG1292)/$Q$4,0),"")</f>
        <v/>
      </c>
    </row>
    <row r="1293" spans="27:41" ht="16.5" x14ac:dyDescent="0.2">
      <c r="AA1293" s="104">
        <v>1289</v>
      </c>
      <c r="AB1293" s="14">
        <f t="shared" si="233"/>
        <v>25</v>
      </c>
      <c r="AC1293" s="14">
        <f>INDEX(挂机升级突破!$BU$6:$BU$57,卡牌消耗!AI1293)</f>
        <v>11</v>
      </c>
      <c r="AD1293" s="14">
        <f>INDEX(挂机升级突破!BV$6:BV$57,卡牌消耗!$AI1293)</f>
        <v>5</v>
      </c>
      <c r="AE1293" s="14">
        <f>INDEX(挂机升级突破!BW$6:BW$57,卡牌消耗!$AI1293)</f>
        <v>10</v>
      </c>
      <c r="AF1293" s="14" t="str">
        <f t="shared" si="234"/>
        <v>雷震子</v>
      </c>
      <c r="AG1293" s="14">
        <f t="shared" si="235"/>
        <v>3</v>
      </c>
      <c r="AH1293" s="14" t="str">
        <f t="shared" si="236"/>
        <v>雷震子魂火-41</v>
      </c>
      <c r="AI1293" s="14">
        <f t="shared" si="237"/>
        <v>41</v>
      </c>
      <c r="AJ1293" s="14" t="str">
        <f>INDEX(挂机升级突破!$BX$4:$CH$4,INDEX(挂机升级突破!$BU$6:$BU$57,卡牌消耗!AI1293))</f>
        <v>金币</v>
      </c>
      <c r="AK1293" s="14">
        <f>ROUND(INDEX(挂机升级突破!$BN$6:$BN$57,卡牌消耗!AI1293)*INDEX(卡牌消耗!$B$8:$F$8,AG1293)/$Q$4/50,0)*50</f>
        <v>23000</v>
      </c>
      <c r="AL1293" s="14" t="str">
        <f>IF(AD1293&gt;0,INDEX(挂机升级突破!$BX$4:$CH$4,AD1293),"")</f>
        <v>红色基础材料</v>
      </c>
      <c r="AM1293" s="14">
        <f>ROUND(INDEX(挂机升级突破!$BX$6:$CH$57,卡牌消耗!AI1293,AD1293)*INDEX(卡牌消耗!$B$5:$F$5,AG1293)/$Q$4/5,0)*5</f>
        <v>55</v>
      </c>
      <c r="AN1293" s="14" t="str">
        <f>IF(AE1293&gt;0,INDEX(挂机升级突破!$BX$4:$CH$4,AE1293),"")</f>
        <v>灵玉</v>
      </c>
      <c r="AO1293" s="14">
        <f>IF(AE1293&gt;0,ROUND(INDEX(挂机升级突破!$BX$6:$CH$57,卡牌消耗!AI1293,AE1293)*INDEX(卡牌消耗!$B$7:$F$7,AG1293)/$Q$4,0),"")</f>
        <v>1</v>
      </c>
    </row>
    <row r="1294" spans="27:41" ht="16.5" x14ac:dyDescent="0.2">
      <c r="AA1294" s="104">
        <v>1290</v>
      </c>
      <c r="AB1294" s="14">
        <f t="shared" si="233"/>
        <v>25</v>
      </c>
      <c r="AC1294" s="14">
        <f>INDEX(挂机升级突破!$BU$6:$BU$57,卡牌消耗!AI1294)</f>
        <v>11</v>
      </c>
      <c r="AD1294" s="14">
        <f>INDEX(挂机升级突破!BV$6:BV$57,卡牌消耗!$AI1294)</f>
        <v>5</v>
      </c>
      <c r="AE1294" s="14">
        <f>INDEX(挂机升级突破!BW$6:BW$57,卡牌消耗!$AI1294)</f>
        <v>10</v>
      </c>
      <c r="AF1294" s="14" t="str">
        <f t="shared" si="234"/>
        <v>雷震子</v>
      </c>
      <c r="AG1294" s="14">
        <f t="shared" si="235"/>
        <v>3</v>
      </c>
      <c r="AH1294" s="14" t="str">
        <f t="shared" si="236"/>
        <v>雷震子魂火-42</v>
      </c>
      <c r="AI1294" s="14">
        <f t="shared" si="237"/>
        <v>42</v>
      </c>
      <c r="AJ1294" s="14" t="str">
        <f>INDEX(挂机升级突破!$BX$4:$CH$4,INDEX(挂机升级突破!$BU$6:$BU$57,卡牌消耗!AI1294))</f>
        <v>金币</v>
      </c>
      <c r="AK1294" s="14">
        <f>ROUND(INDEX(挂机升级突破!$BN$6:$BN$57,卡牌消耗!AI1294)*INDEX(卡牌消耗!$B$8:$F$8,AG1294)/$Q$4/50,0)*50</f>
        <v>23000</v>
      </c>
      <c r="AL1294" s="14" t="str">
        <f>IF(AD1294&gt;0,INDEX(挂机升级突破!$BX$4:$CH$4,AD1294),"")</f>
        <v>红色基础材料</v>
      </c>
      <c r="AM1294" s="14">
        <f>ROUND(INDEX(挂机升级突破!$BX$6:$CH$57,卡牌消耗!AI1294,AD1294)*INDEX(卡牌消耗!$B$5:$F$5,AG1294)/$Q$4/5,0)*5</f>
        <v>55</v>
      </c>
      <c r="AN1294" s="14" t="str">
        <f>IF(AE1294&gt;0,INDEX(挂机升级突破!$BX$4:$CH$4,AE1294),"")</f>
        <v>灵玉</v>
      </c>
      <c r="AO1294" s="14">
        <f>IF(AE1294&gt;0,ROUND(INDEX(挂机升级突破!$BX$6:$CH$57,卡牌消耗!AI1294,AE1294)*INDEX(卡牌消耗!$B$7:$F$7,AG1294)/$Q$4,0),"")</f>
        <v>1</v>
      </c>
    </row>
    <row r="1295" spans="27:41" ht="16.5" x14ac:dyDescent="0.2">
      <c r="AA1295" s="104">
        <v>1291</v>
      </c>
      <c r="AB1295" s="14">
        <f t="shared" si="233"/>
        <v>25</v>
      </c>
      <c r="AC1295" s="14">
        <f>INDEX(挂机升级突破!$BU$6:$BU$57,卡牌消耗!AI1295)</f>
        <v>11</v>
      </c>
      <c r="AD1295" s="14">
        <f>INDEX(挂机升级突破!BV$6:BV$57,卡牌消耗!$AI1295)</f>
        <v>5</v>
      </c>
      <c r="AE1295" s="14">
        <f>INDEX(挂机升级突破!BW$6:BW$57,卡牌消耗!$AI1295)</f>
        <v>10</v>
      </c>
      <c r="AF1295" s="14" t="str">
        <f t="shared" si="234"/>
        <v>雷震子</v>
      </c>
      <c r="AG1295" s="14">
        <f t="shared" si="235"/>
        <v>3</v>
      </c>
      <c r="AH1295" s="14" t="str">
        <f t="shared" si="236"/>
        <v>雷震子魂火-43</v>
      </c>
      <c r="AI1295" s="14">
        <f t="shared" si="237"/>
        <v>43</v>
      </c>
      <c r="AJ1295" s="14" t="str">
        <f>INDEX(挂机升级突破!$BX$4:$CH$4,INDEX(挂机升级突破!$BU$6:$BU$57,卡牌消耗!AI1295))</f>
        <v>金币</v>
      </c>
      <c r="AK1295" s="14">
        <f>ROUND(INDEX(挂机升级突破!$BN$6:$BN$57,卡牌消耗!AI1295)*INDEX(卡牌消耗!$B$8:$F$8,AG1295)/$Q$4/50,0)*50</f>
        <v>23000</v>
      </c>
      <c r="AL1295" s="14" t="str">
        <f>IF(AD1295&gt;0,INDEX(挂机升级突破!$BX$4:$CH$4,AD1295),"")</f>
        <v>红色基础材料</v>
      </c>
      <c r="AM1295" s="14">
        <f>ROUND(INDEX(挂机升级突破!$BX$6:$CH$57,卡牌消耗!AI1295,AD1295)*INDEX(卡牌消耗!$B$5:$F$5,AG1295)/$Q$4/5,0)*5</f>
        <v>55</v>
      </c>
      <c r="AN1295" s="14" t="str">
        <f>IF(AE1295&gt;0,INDEX(挂机升级突破!$BX$4:$CH$4,AE1295),"")</f>
        <v>灵玉</v>
      </c>
      <c r="AO1295" s="14">
        <f>IF(AE1295&gt;0,ROUND(INDEX(挂机升级突破!$BX$6:$CH$57,卡牌消耗!AI1295,AE1295)*INDEX(卡牌消耗!$B$7:$F$7,AG1295)/$Q$4,0),"")</f>
        <v>1</v>
      </c>
    </row>
    <row r="1296" spans="27:41" ht="16.5" x14ac:dyDescent="0.2">
      <c r="AA1296" s="104">
        <v>1292</v>
      </c>
      <c r="AB1296" s="14">
        <f t="shared" si="233"/>
        <v>25</v>
      </c>
      <c r="AC1296" s="14">
        <f>INDEX(挂机升级突破!$BU$6:$BU$57,卡牌消耗!AI1296)</f>
        <v>11</v>
      </c>
      <c r="AD1296" s="14">
        <f>INDEX(挂机升级突破!BV$6:BV$57,卡牌消耗!$AI1296)</f>
        <v>5</v>
      </c>
      <c r="AE1296" s="14">
        <f>INDEX(挂机升级突破!BW$6:BW$57,卡牌消耗!$AI1296)</f>
        <v>10</v>
      </c>
      <c r="AF1296" s="14" t="str">
        <f t="shared" si="234"/>
        <v>雷震子</v>
      </c>
      <c r="AG1296" s="14">
        <f t="shared" si="235"/>
        <v>3</v>
      </c>
      <c r="AH1296" s="14" t="str">
        <f t="shared" si="236"/>
        <v>雷震子魂火-44</v>
      </c>
      <c r="AI1296" s="14">
        <f t="shared" si="237"/>
        <v>44</v>
      </c>
      <c r="AJ1296" s="14" t="str">
        <f>INDEX(挂机升级突破!$BX$4:$CH$4,INDEX(挂机升级突破!$BU$6:$BU$57,卡牌消耗!AI1296))</f>
        <v>金币</v>
      </c>
      <c r="AK1296" s="14">
        <f>ROUND(INDEX(挂机升级突破!$BN$6:$BN$57,卡牌消耗!AI1296)*INDEX(卡牌消耗!$B$8:$F$8,AG1296)/$Q$4/50,0)*50</f>
        <v>29250</v>
      </c>
      <c r="AL1296" s="14" t="str">
        <f>IF(AD1296&gt;0,INDEX(挂机升级突破!$BX$4:$CH$4,AD1296),"")</f>
        <v>红色基础材料</v>
      </c>
      <c r="AM1296" s="14">
        <f>ROUND(INDEX(挂机升级突破!$BX$6:$CH$57,卡牌消耗!AI1296,AD1296)*INDEX(卡牌消耗!$B$5:$F$5,AG1296)/$Q$4/5,0)*5</f>
        <v>65</v>
      </c>
      <c r="AN1296" s="14" t="str">
        <f>IF(AE1296&gt;0,INDEX(挂机升级突破!$BX$4:$CH$4,AE1296),"")</f>
        <v>灵玉</v>
      </c>
      <c r="AO1296" s="14">
        <f>IF(AE1296&gt;0,ROUND(INDEX(挂机升级突破!$BX$6:$CH$57,卡牌消耗!AI1296,AE1296)*INDEX(卡牌消耗!$B$7:$F$7,AG1296)/$Q$4,0),"")</f>
        <v>1</v>
      </c>
    </row>
    <row r="1297" spans="27:41" ht="16.5" x14ac:dyDescent="0.2">
      <c r="AA1297" s="104">
        <v>1293</v>
      </c>
      <c r="AB1297" s="14">
        <f t="shared" si="233"/>
        <v>25</v>
      </c>
      <c r="AC1297" s="14">
        <f>INDEX(挂机升级突破!$BU$6:$BU$57,卡牌消耗!AI1297)</f>
        <v>11</v>
      </c>
      <c r="AD1297" s="14">
        <f>INDEX(挂机升级突破!BV$6:BV$57,卡牌消耗!$AI1297)</f>
        <v>5</v>
      </c>
      <c r="AE1297" s="14">
        <f>INDEX(挂机升级突破!BW$6:BW$57,卡牌消耗!$AI1297)</f>
        <v>10</v>
      </c>
      <c r="AF1297" s="14" t="str">
        <f t="shared" si="234"/>
        <v>雷震子</v>
      </c>
      <c r="AG1297" s="14">
        <f t="shared" si="235"/>
        <v>3</v>
      </c>
      <c r="AH1297" s="14" t="str">
        <f t="shared" si="236"/>
        <v>雷震子魂火-45</v>
      </c>
      <c r="AI1297" s="14">
        <f t="shared" si="237"/>
        <v>45</v>
      </c>
      <c r="AJ1297" s="14" t="str">
        <f>INDEX(挂机升级突破!$BX$4:$CH$4,INDEX(挂机升级突破!$BU$6:$BU$57,卡牌消耗!AI1297))</f>
        <v>金币</v>
      </c>
      <c r="AK1297" s="14">
        <f>ROUND(INDEX(挂机升级突破!$BN$6:$BN$57,卡牌消耗!AI1297)*INDEX(卡牌消耗!$B$8:$F$8,AG1297)/$Q$4/50,0)*50</f>
        <v>29250</v>
      </c>
      <c r="AL1297" s="14" t="str">
        <f>IF(AD1297&gt;0,INDEX(挂机升级突破!$BX$4:$CH$4,AD1297),"")</f>
        <v>红色基础材料</v>
      </c>
      <c r="AM1297" s="14">
        <f>ROUND(INDEX(挂机升级突破!$BX$6:$CH$57,卡牌消耗!AI1297,AD1297)*INDEX(卡牌消耗!$B$5:$F$5,AG1297)/$Q$4/5,0)*5</f>
        <v>65</v>
      </c>
      <c r="AN1297" s="14" t="str">
        <f>IF(AE1297&gt;0,INDEX(挂机升级突破!$BX$4:$CH$4,AE1297),"")</f>
        <v>灵玉</v>
      </c>
      <c r="AO1297" s="14">
        <f>IF(AE1297&gt;0,ROUND(INDEX(挂机升级突破!$BX$6:$CH$57,卡牌消耗!AI1297,AE1297)*INDEX(卡牌消耗!$B$7:$F$7,AG1297)/$Q$4,0),"")</f>
        <v>1</v>
      </c>
    </row>
    <row r="1298" spans="27:41" ht="16.5" x14ac:dyDescent="0.2">
      <c r="AA1298" s="104">
        <v>1294</v>
      </c>
      <c r="AB1298" s="14">
        <f t="shared" si="233"/>
        <v>25</v>
      </c>
      <c r="AC1298" s="14">
        <f>INDEX(挂机升级突破!$BU$6:$BU$57,卡牌消耗!AI1298)</f>
        <v>11</v>
      </c>
      <c r="AD1298" s="14">
        <f>INDEX(挂机升级突破!BV$6:BV$57,卡牌消耗!$AI1298)</f>
        <v>5</v>
      </c>
      <c r="AE1298" s="14">
        <f>INDEX(挂机升级突破!BW$6:BW$57,卡牌消耗!$AI1298)</f>
        <v>10</v>
      </c>
      <c r="AF1298" s="14" t="str">
        <f t="shared" si="234"/>
        <v>雷震子</v>
      </c>
      <c r="AG1298" s="14">
        <f t="shared" si="235"/>
        <v>3</v>
      </c>
      <c r="AH1298" s="14" t="str">
        <f t="shared" si="236"/>
        <v>雷震子魂火-46</v>
      </c>
      <c r="AI1298" s="14">
        <f t="shared" si="237"/>
        <v>46</v>
      </c>
      <c r="AJ1298" s="14" t="str">
        <f>INDEX(挂机升级突破!$BX$4:$CH$4,INDEX(挂机升级突破!$BU$6:$BU$57,卡牌消耗!AI1298))</f>
        <v>金币</v>
      </c>
      <c r="AK1298" s="14">
        <f>ROUND(INDEX(挂机升级突破!$BN$6:$BN$57,卡牌消耗!AI1298)*INDEX(卡牌消耗!$B$8:$F$8,AG1298)/$Q$4/50,0)*50</f>
        <v>31350</v>
      </c>
      <c r="AL1298" s="14" t="str">
        <f>IF(AD1298&gt;0,INDEX(挂机升级突破!$BX$4:$CH$4,AD1298),"")</f>
        <v>红色基础材料</v>
      </c>
      <c r="AM1298" s="14">
        <f>ROUND(INDEX(挂机升级突破!$BX$6:$CH$57,卡牌消耗!AI1298,AD1298)*INDEX(卡牌消耗!$B$5:$F$5,AG1298)/$Q$4/5,0)*5</f>
        <v>65</v>
      </c>
      <c r="AN1298" s="14" t="str">
        <f>IF(AE1298&gt;0,INDEX(挂机升级突破!$BX$4:$CH$4,AE1298),"")</f>
        <v>灵玉</v>
      </c>
      <c r="AO1298" s="14">
        <f>IF(AE1298&gt;0,ROUND(INDEX(挂机升级突破!$BX$6:$CH$57,卡牌消耗!AI1298,AE1298)*INDEX(卡牌消耗!$B$7:$F$7,AG1298)/$Q$4,0),"")</f>
        <v>1</v>
      </c>
    </row>
    <row r="1299" spans="27:41" ht="16.5" x14ac:dyDescent="0.2">
      <c r="AA1299" s="104">
        <v>1295</v>
      </c>
      <c r="AB1299" s="14">
        <f t="shared" si="233"/>
        <v>25</v>
      </c>
      <c r="AC1299" s="14">
        <f>INDEX(挂机升级突破!$BU$6:$BU$57,卡牌消耗!AI1299)</f>
        <v>11</v>
      </c>
      <c r="AD1299" s="14">
        <f>INDEX(挂机升级突破!BV$6:BV$57,卡牌消耗!$AI1299)</f>
        <v>5</v>
      </c>
      <c r="AE1299" s="14">
        <f>INDEX(挂机升级突破!BW$6:BW$57,卡牌消耗!$AI1299)</f>
        <v>10</v>
      </c>
      <c r="AF1299" s="14" t="str">
        <f t="shared" si="234"/>
        <v>雷震子</v>
      </c>
      <c r="AG1299" s="14">
        <f t="shared" si="235"/>
        <v>3</v>
      </c>
      <c r="AH1299" s="14" t="str">
        <f t="shared" si="236"/>
        <v>雷震子魂火-47</v>
      </c>
      <c r="AI1299" s="14">
        <f t="shared" si="237"/>
        <v>47</v>
      </c>
      <c r="AJ1299" s="14" t="str">
        <f>INDEX(挂机升级突破!$BX$4:$CH$4,INDEX(挂机升级突破!$BU$6:$BU$57,卡牌消耗!AI1299))</f>
        <v>金币</v>
      </c>
      <c r="AK1299" s="14">
        <f>ROUND(INDEX(挂机升级突破!$BN$6:$BN$57,卡牌消耗!AI1299)*INDEX(卡牌消耗!$B$8:$F$8,AG1299)/$Q$4/50,0)*50</f>
        <v>151950</v>
      </c>
      <c r="AL1299" s="14" t="str">
        <f>IF(AD1299&gt;0,INDEX(挂机升级突破!$BX$4:$CH$4,AD1299),"")</f>
        <v>红色基础材料</v>
      </c>
      <c r="AM1299" s="14">
        <f>ROUND(INDEX(挂机升级突破!$BX$6:$CH$57,卡牌消耗!AI1299,AD1299)*INDEX(卡牌消耗!$B$5:$F$5,AG1299)/$Q$4/5,0)*5</f>
        <v>65</v>
      </c>
      <c r="AN1299" s="14" t="str">
        <f>IF(AE1299&gt;0,INDEX(挂机升级突破!$BX$4:$CH$4,AE1299),"")</f>
        <v>灵玉</v>
      </c>
      <c r="AO1299" s="14">
        <f>IF(AE1299&gt;0,ROUND(INDEX(挂机升级突破!$BX$6:$CH$57,卡牌消耗!AI1299,AE1299)*INDEX(卡牌消耗!$B$7:$F$7,AG1299)/$Q$4,0),"")</f>
        <v>1</v>
      </c>
    </row>
    <row r="1300" spans="27:41" ht="16.5" x14ac:dyDescent="0.2">
      <c r="AA1300" s="104">
        <v>1296</v>
      </c>
      <c r="AB1300" s="14">
        <f t="shared" si="233"/>
        <v>25</v>
      </c>
      <c r="AC1300" s="14">
        <f>INDEX(挂机升级突破!$BU$6:$BU$57,卡牌消耗!AI1300)</f>
        <v>11</v>
      </c>
      <c r="AD1300" s="14">
        <f>INDEX(挂机升级突破!BV$6:BV$57,卡牌消耗!$AI1300)</f>
        <v>5</v>
      </c>
      <c r="AE1300" s="14">
        <f>INDEX(挂机升级突破!BW$6:BW$57,卡牌消耗!$AI1300)</f>
        <v>10</v>
      </c>
      <c r="AF1300" s="14" t="str">
        <f t="shared" si="234"/>
        <v>雷震子</v>
      </c>
      <c r="AG1300" s="14">
        <f t="shared" si="235"/>
        <v>3</v>
      </c>
      <c r="AH1300" s="14" t="str">
        <f t="shared" si="236"/>
        <v>雷震子魂火-48</v>
      </c>
      <c r="AI1300" s="14">
        <f t="shared" si="237"/>
        <v>48</v>
      </c>
      <c r="AJ1300" s="14" t="str">
        <f>INDEX(挂机升级突破!$BX$4:$CH$4,INDEX(挂机升级突破!$BU$6:$BU$57,卡牌消耗!AI1300))</f>
        <v>金币</v>
      </c>
      <c r="AK1300" s="14">
        <f>ROUND(INDEX(挂机升级突破!$BN$6:$BN$57,卡牌消耗!AI1300)*INDEX(卡牌消耗!$B$8:$F$8,AG1300)/$Q$4/50,0)*50</f>
        <v>151950</v>
      </c>
      <c r="AL1300" s="14" t="str">
        <f>IF(AD1300&gt;0,INDEX(挂机升级突破!$BX$4:$CH$4,AD1300),"")</f>
        <v>红色基础材料</v>
      </c>
      <c r="AM1300" s="14">
        <f>ROUND(INDEX(挂机升级突破!$BX$6:$CH$57,卡牌消耗!AI1300,AD1300)*INDEX(卡牌消耗!$B$5:$F$5,AG1300)/$Q$4/5,0)*5</f>
        <v>65</v>
      </c>
      <c r="AN1300" s="14" t="str">
        <f>IF(AE1300&gt;0,INDEX(挂机升级突破!$BX$4:$CH$4,AE1300),"")</f>
        <v>灵玉</v>
      </c>
      <c r="AO1300" s="14">
        <f>IF(AE1300&gt;0,ROUND(INDEX(挂机升级突破!$BX$6:$CH$57,卡牌消耗!AI1300,AE1300)*INDEX(卡牌消耗!$B$7:$F$7,AG1300)/$Q$4,0),"")</f>
        <v>1</v>
      </c>
    </row>
    <row r="1301" spans="27:41" ht="16.5" x14ac:dyDescent="0.2">
      <c r="AA1301" s="104">
        <v>1297</v>
      </c>
      <c r="AB1301" s="14">
        <f t="shared" si="233"/>
        <v>25</v>
      </c>
      <c r="AC1301" s="14">
        <f>INDEX(挂机升级突破!$BU$6:$BU$57,卡牌消耗!AI1301)</f>
        <v>11</v>
      </c>
      <c r="AD1301" s="14">
        <f>INDEX(挂机升级突破!BV$6:BV$57,卡牌消耗!$AI1301)</f>
        <v>5</v>
      </c>
      <c r="AE1301" s="14">
        <f>INDEX(挂机升级突破!BW$6:BW$57,卡牌消耗!$AI1301)</f>
        <v>10</v>
      </c>
      <c r="AF1301" s="14" t="str">
        <f t="shared" si="234"/>
        <v>雷震子</v>
      </c>
      <c r="AG1301" s="14">
        <f t="shared" si="235"/>
        <v>3</v>
      </c>
      <c r="AH1301" s="14" t="str">
        <f t="shared" si="236"/>
        <v>雷震子魂火-49</v>
      </c>
      <c r="AI1301" s="14">
        <f t="shared" si="237"/>
        <v>49</v>
      </c>
      <c r="AJ1301" s="14" t="str">
        <f>INDEX(挂机升级突破!$BX$4:$CH$4,INDEX(挂机升级突破!$BU$6:$BU$57,卡牌消耗!AI1301))</f>
        <v>金币</v>
      </c>
      <c r="AK1301" s="14">
        <f>ROUND(INDEX(挂机升级突破!$BN$6:$BN$57,卡牌消耗!AI1301)*INDEX(卡牌消耗!$B$8:$F$8,AG1301)/$Q$4/50,0)*50</f>
        <v>151950</v>
      </c>
      <c r="AL1301" s="14" t="str">
        <f>IF(AD1301&gt;0,INDEX(挂机升级突破!$BX$4:$CH$4,AD1301),"")</f>
        <v>红色基础材料</v>
      </c>
      <c r="AM1301" s="14">
        <f>ROUND(INDEX(挂机升级突破!$BX$6:$CH$57,卡牌消耗!AI1301,AD1301)*INDEX(卡牌消耗!$B$5:$F$5,AG1301)/$Q$4/5,0)*5</f>
        <v>70</v>
      </c>
      <c r="AN1301" s="14" t="str">
        <f>IF(AE1301&gt;0,INDEX(挂机升级突破!$BX$4:$CH$4,AE1301),"")</f>
        <v>灵玉</v>
      </c>
      <c r="AO1301" s="14">
        <f>IF(AE1301&gt;0,ROUND(INDEX(挂机升级突破!$BX$6:$CH$57,卡牌消耗!AI1301,AE1301)*INDEX(卡牌消耗!$B$7:$F$7,AG1301)/$Q$4,0),"")</f>
        <v>1</v>
      </c>
    </row>
    <row r="1302" spans="27:41" ht="16.5" x14ac:dyDescent="0.2">
      <c r="AA1302" s="104">
        <v>1298</v>
      </c>
      <c r="AB1302" s="14">
        <f t="shared" si="233"/>
        <v>25</v>
      </c>
      <c r="AC1302" s="14">
        <f>INDEX(挂机升级突破!$BU$6:$BU$57,卡牌消耗!AI1302)</f>
        <v>11</v>
      </c>
      <c r="AD1302" s="14">
        <f>INDEX(挂机升级突破!BV$6:BV$57,卡牌消耗!$AI1302)</f>
        <v>5</v>
      </c>
      <c r="AE1302" s="14">
        <f>INDEX(挂机升级突破!BW$6:BW$57,卡牌消耗!$AI1302)</f>
        <v>10</v>
      </c>
      <c r="AF1302" s="14" t="str">
        <f t="shared" si="234"/>
        <v>雷震子</v>
      </c>
      <c r="AG1302" s="14">
        <f t="shared" si="235"/>
        <v>3</v>
      </c>
      <c r="AH1302" s="14" t="str">
        <f t="shared" si="236"/>
        <v>雷震子魂火-50</v>
      </c>
      <c r="AI1302" s="14">
        <f t="shared" si="237"/>
        <v>50</v>
      </c>
      <c r="AJ1302" s="14" t="str">
        <f>INDEX(挂机升级突破!$BX$4:$CH$4,INDEX(挂机升级突破!$BU$6:$BU$57,卡牌消耗!AI1302))</f>
        <v>金币</v>
      </c>
      <c r="AK1302" s="14">
        <f>ROUND(INDEX(挂机升级突破!$BN$6:$BN$57,卡牌消耗!AI1302)*INDEX(卡牌消耗!$B$8:$F$8,AG1302)/$Q$4/50,0)*50</f>
        <v>253250</v>
      </c>
      <c r="AL1302" s="14" t="str">
        <f>IF(AD1302&gt;0,INDEX(挂机升级突破!$BX$4:$CH$4,AD1302),"")</f>
        <v>红色基础材料</v>
      </c>
      <c r="AM1302" s="14">
        <f>ROUND(INDEX(挂机升级突破!$BX$6:$CH$57,卡牌消耗!AI1302,AD1302)*INDEX(卡牌消耗!$B$5:$F$5,AG1302)/$Q$4/5,0)*5</f>
        <v>70</v>
      </c>
      <c r="AN1302" s="14" t="str">
        <f>IF(AE1302&gt;0,INDEX(挂机升级突破!$BX$4:$CH$4,AE1302),"")</f>
        <v>灵玉</v>
      </c>
      <c r="AO1302" s="14">
        <f>IF(AE1302&gt;0,ROUND(INDEX(挂机升级突破!$BX$6:$CH$57,卡牌消耗!AI1302,AE1302)*INDEX(卡牌消耗!$B$7:$F$7,AG1302)/$Q$4,0),"")</f>
        <v>1</v>
      </c>
    </row>
    <row r="1303" spans="27:41" ht="16.5" x14ac:dyDescent="0.2">
      <c r="AA1303" s="104">
        <v>1299</v>
      </c>
      <c r="AB1303" s="14">
        <f t="shared" si="233"/>
        <v>25</v>
      </c>
      <c r="AC1303" s="14">
        <f>INDEX(挂机升级突破!$BU$6:$BU$57,卡牌消耗!AI1303)</f>
        <v>11</v>
      </c>
      <c r="AD1303" s="14">
        <f>INDEX(挂机升级突破!BV$6:BV$57,卡牌消耗!$AI1303)</f>
        <v>5</v>
      </c>
      <c r="AE1303" s="14">
        <f>INDEX(挂机升级突破!BW$6:BW$57,卡牌消耗!$AI1303)</f>
        <v>10</v>
      </c>
      <c r="AF1303" s="14" t="str">
        <f t="shared" si="234"/>
        <v>雷震子</v>
      </c>
      <c r="AG1303" s="14">
        <f t="shared" si="235"/>
        <v>3</v>
      </c>
      <c r="AH1303" s="14" t="str">
        <f t="shared" si="236"/>
        <v>雷震子魂火-51</v>
      </c>
      <c r="AI1303" s="14">
        <f t="shared" si="237"/>
        <v>51</v>
      </c>
      <c r="AJ1303" s="14" t="str">
        <f>INDEX(挂机升级突破!$BX$4:$CH$4,INDEX(挂机升级突破!$BU$6:$BU$57,卡牌消耗!AI1303))</f>
        <v>金币</v>
      </c>
      <c r="AK1303" s="14">
        <f>ROUND(INDEX(挂机升级突破!$BN$6:$BN$57,卡牌消耗!AI1303)*INDEX(卡牌消耗!$B$8:$F$8,AG1303)/$Q$4/50,0)*50</f>
        <v>278600</v>
      </c>
      <c r="AL1303" s="14" t="str">
        <f>IF(AD1303&gt;0,INDEX(挂机升级突破!$BX$4:$CH$4,AD1303),"")</f>
        <v>红色基础材料</v>
      </c>
      <c r="AM1303" s="14">
        <f>ROUND(INDEX(挂机升级突破!$BX$6:$CH$57,卡牌消耗!AI1303,AD1303)*INDEX(卡牌消耗!$B$5:$F$5,AG1303)/$Q$4/5,0)*5</f>
        <v>70</v>
      </c>
      <c r="AN1303" s="14" t="str">
        <f>IF(AE1303&gt;0,INDEX(挂机升级突破!$BX$4:$CH$4,AE1303),"")</f>
        <v>灵玉</v>
      </c>
      <c r="AO1303" s="14">
        <f>IF(AE1303&gt;0,ROUND(INDEX(挂机升级突破!$BX$6:$CH$57,卡牌消耗!AI1303,AE1303)*INDEX(卡牌消耗!$B$7:$F$7,AG1303)/$Q$4,0),"")</f>
        <v>1</v>
      </c>
    </row>
    <row r="1304" spans="27:41" ht="16.5" x14ac:dyDescent="0.2">
      <c r="AA1304" s="104">
        <v>1300</v>
      </c>
      <c r="AB1304" s="14">
        <f t="shared" si="233"/>
        <v>25</v>
      </c>
      <c r="AC1304" s="14">
        <f>INDEX(挂机升级突破!$BU$6:$BU$57,卡牌消耗!AI1304)</f>
        <v>11</v>
      </c>
      <c r="AD1304" s="14">
        <f>INDEX(挂机升级突破!BV$6:BV$57,卡牌消耗!$AI1304)</f>
        <v>5</v>
      </c>
      <c r="AE1304" s="14">
        <f>INDEX(挂机升级突破!BW$6:BW$57,卡牌消耗!$AI1304)</f>
        <v>10</v>
      </c>
      <c r="AF1304" s="14" t="str">
        <f t="shared" si="234"/>
        <v>雷震子</v>
      </c>
      <c r="AG1304" s="14">
        <f t="shared" si="235"/>
        <v>3</v>
      </c>
      <c r="AH1304" s="14" t="str">
        <f t="shared" si="236"/>
        <v>雷震子魂火-52</v>
      </c>
      <c r="AI1304" s="14">
        <f t="shared" si="237"/>
        <v>52</v>
      </c>
      <c r="AJ1304" s="14" t="str">
        <f>INDEX(挂机升级突破!$BX$4:$CH$4,INDEX(挂机升级突破!$BU$6:$BU$57,卡牌消耗!AI1304))</f>
        <v>金币</v>
      </c>
      <c r="AK1304" s="14">
        <f>ROUND(INDEX(挂机升级突破!$BN$6:$BN$57,卡牌消耗!AI1304)*INDEX(卡牌消耗!$B$8:$F$8,AG1304)/$Q$4/50,0)*50</f>
        <v>278600</v>
      </c>
      <c r="AL1304" s="14" t="str">
        <f>IF(AD1304&gt;0,INDEX(挂机升级突破!$BX$4:$CH$4,AD1304),"")</f>
        <v>红色基础材料</v>
      </c>
      <c r="AM1304" s="14">
        <f>ROUND(INDEX(挂机升级突破!$BX$6:$CH$57,卡牌消耗!AI1304,AD1304)*INDEX(卡牌消耗!$B$5:$F$5,AG1304)/$Q$4/5,0)*5</f>
        <v>70</v>
      </c>
      <c r="AN1304" s="14" t="str">
        <f>IF(AE1304&gt;0,INDEX(挂机升级突破!$BX$4:$CH$4,AE1304),"")</f>
        <v>灵玉</v>
      </c>
      <c r="AO1304" s="14">
        <f>IF(AE1304&gt;0,ROUND(INDEX(挂机升级突破!$BX$6:$CH$57,卡牌消耗!AI1304,AE1304)*INDEX(卡牌消耗!$B$7:$F$7,AG1304)/$Q$4,0),"")</f>
        <v>1</v>
      </c>
    </row>
    <row r="1305" spans="27:41" ht="16.5" x14ac:dyDescent="0.2">
      <c r="AA1305" s="104">
        <v>1301</v>
      </c>
      <c r="AB1305" s="14">
        <f t="shared" si="233"/>
        <v>26</v>
      </c>
      <c r="AC1305" s="14">
        <f>INDEX(挂机升级突破!$BU$6:$BU$57,卡牌消耗!AI1305)</f>
        <v>11</v>
      </c>
      <c r="AD1305" s="14">
        <f>INDEX(挂机升级突破!BV$6:BV$57,卡牌消耗!$AI1305)</f>
        <v>1</v>
      </c>
      <c r="AE1305" s="14">
        <f>INDEX(挂机升级突破!BW$6:BW$57,卡牌消耗!$AI1305)</f>
        <v>0</v>
      </c>
      <c r="AF1305" s="14" t="str">
        <f t="shared" si="234"/>
        <v>吕布</v>
      </c>
      <c r="AG1305" s="14">
        <f t="shared" si="235"/>
        <v>5</v>
      </c>
      <c r="AH1305" s="14" t="str">
        <f t="shared" si="236"/>
        <v>吕布魂火-1</v>
      </c>
      <c r="AI1305" s="14">
        <f t="shared" si="237"/>
        <v>1</v>
      </c>
      <c r="AJ1305" s="14" t="str">
        <f>INDEX(挂机升级突破!$BX$4:$CH$4,INDEX(挂机升级突破!$BU$6:$BU$57,卡牌消耗!AI1305))</f>
        <v>金币</v>
      </c>
      <c r="AK1305" s="14">
        <f>ROUND(INDEX(挂机升级突破!$BN$6:$BN$57,卡牌消耗!AI1305)*INDEX(卡牌消耗!$B$8:$F$8,AG1305)/$Q$4/50,0)*50</f>
        <v>1200</v>
      </c>
      <c r="AL1305" s="14" t="str">
        <f>IF(AD1305&gt;0,INDEX(挂机升级突破!$BX$4:$CH$4,AD1305),"")</f>
        <v>绿色基础材料</v>
      </c>
      <c r="AM1305" s="14">
        <f>ROUND(INDEX(挂机升级突破!$BX$6:$CH$57,卡牌消耗!AI1305,AD1305)*INDEX(卡牌消耗!$B$5:$F$5,AG1305)/$Q$4/5,0)*5</f>
        <v>1250</v>
      </c>
      <c r="AN1305" s="14" t="str">
        <f>IF(AE1305&gt;0,INDEX(挂机升级突破!$BX$4:$CH$4,AE1305),"")</f>
        <v/>
      </c>
      <c r="AO1305" s="14" t="str">
        <f>IF(AE1305&gt;0,ROUND(INDEX(挂机升级突破!$BX$6:$CH$57,卡牌消耗!AI1305,AE1305)*INDEX(卡牌消耗!$B$7:$F$7,AG1305)/$Q$4,0),"")</f>
        <v/>
      </c>
    </row>
    <row r="1306" spans="27:41" ht="16.5" x14ac:dyDescent="0.2">
      <c r="AA1306" s="104">
        <v>1302</v>
      </c>
      <c r="AB1306" s="14">
        <f t="shared" si="233"/>
        <v>26</v>
      </c>
      <c r="AC1306" s="14">
        <f>INDEX(挂机升级突破!$BU$6:$BU$57,卡牌消耗!AI1306)</f>
        <v>11</v>
      </c>
      <c r="AD1306" s="14">
        <f>INDEX(挂机升级突破!BV$6:BV$57,卡牌消耗!$AI1306)</f>
        <v>1</v>
      </c>
      <c r="AE1306" s="14">
        <f>INDEX(挂机升级突破!BW$6:BW$57,卡牌消耗!$AI1306)</f>
        <v>0</v>
      </c>
      <c r="AF1306" s="14" t="str">
        <f t="shared" si="234"/>
        <v>吕布</v>
      </c>
      <c r="AG1306" s="14">
        <f t="shared" si="235"/>
        <v>5</v>
      </c>
      <c r="AH1306" s="14" t="str">
        <f t="shared" si="236"/>
        <v>吕布魂火-2</v>
      </c>
      <c r="AI1306" s="14">
        <f t="shared" si="237"/>
        <v>2</v>
      </c>
      <c r="AJ1306" s="14" t="str">
        <f>INDEX(挂机升级突破!$BX$4:$CH$4,INDEX(挂机升级突破!$BU$6:$BU$57,卡牌消耗!AI1306))</f>
        <v>金币</v>
      </c>
      <c r="AK1306" s="14">
        <f>ROUND(INDEX(挂机升级突破!$BN$6:$BN$57,卡牌消耗!AI1306)*INDEX(卡牌消耗!$B$8:$F$8,AG1306)/$Q$4/50,0)*50</f>
        <v>1650</v>
      </c>
      <c r="AL1306" s="14" t="str">
        <f>IF(AD1306&gt;0,INDEX(挂机升级突破!$BX$4:$CH$4,AD1306),"")</f>
        <v>绿色基础材料</v>
      </c>
      <c r="AM1306" s="14">
        <f>ROUND(INDEX(挂机升级突破!$BX$6:$CH$57,卡牌消耗!AI1306,AD1306)*INDEX(卡牌消耗!$B$5:$F$5,AG1306)/$Q$4/5,0)*5</f>
        <v>3755</v>
      </c>
      <c r="AN1306" s="14" t="str">
        <f>IF(AE1306&gt;0,INDEX(挂机升级突破!$BX$4:$CH$4,AE1306),"")</f>
        <v/>
      </c>
      <c r="AO1306" s="14" t="str">
        <f>IF(AE1306&gt;0,ROUND(INDEX(挂机升级突破!$BX$6:$CH$57,卡牌消耗!AI1306,AE1306)*INDEX(卡牌消耗!$B$7:$F$7,AG1306)/$Q$4,0),"")</f>
        <v/>
      </c>
    </row>
    <row r="1307" spans="27:41" ht="16.5" x14ac:dyDescent="0.2">
      <c r="AA1307" s="104">
        <v>1303</v>
      </c>
      <c r="AB1307" s="14">
        <f t="shared" si="233"/>
        <v>26</v>
      </c>
      <c r="AC1307" s="14">
        <f>INDEX(挂机升级突破!$BU$6:$BU$57,卡牌消耗!AI1307)</f>
        <v>11</v>
      </c>
      <c r="AD1307" s="14">
        <f>INDEX(挂机升级突破!BV$6:BV$57,卡牌消耗!$AI1307)</f>
        <v>1</v>
      </c>
      <c r="AE1307" s="14">
        <f>INDEX(挂机升级突破!BW$6:BW$57,卡牌消耗!$AI1307)</f>
        <v>0</v>
      </c>
      <c r="AF1307" s="14" t="str">
        <f t="shared" si="234"/>
        <v>吕布</v>
      </c>
      <c r="AG1307" s="14">
        <f t="shared" si="235"/>
        <v>5</v>
      </c>
      <c r="AH1307" s="14" t="str">
        <f t="shared" si="236"/>
        <v>吕布魂火-3</v>
      </c>
      <c r="AI1307" s="14">
        <f t="shared" si="237"/>
        <v>3</v>
      </c>
      <c r="AJ1307" s="14" t="str">
        <f>INDEX(挂机升级突破!$BX$4:$CH$4,INDEX(挂机升级突破!$BU$6:$BU$57,卡牌消耗!AI1307))</f>
        <v>金币</v>
      </c>
      <c r="AK1307" s="14">
        <f>ROUND(INDEX(挂机升级突破!$BN$6:$BN$57,卡牌消耗!AI1307)*INDEX(卡牌消耗!$B$8:$F$8,AG1307)/$Q$4/50,0)*50</f>
        <v>1650</v>
      </c>
      <c r="AL1307" s="14" t="str">
        <f>IF(AD1307&gt;0,INDEX(挂机升级突破!$BX$4:$CH$4,AD1307),"")</f>
        <v>绿色基础材料</v>
      </c>
      <c r="AM1307" s="14">
        <f>ROUND(INDEX(挂机升级突破!$BX$6:$CH$57,卡牌消耗!AI1307,AD1307)*INDEX(卡牌消耗!$B$5:$F$5,AG1307)/$Q$4/5,0)*5</f>
        <v>5005</v>
      </c>
      <c r="AN1307" s="14" t="str">
        <f>IF(AE1307&gt;0,INDEX(挂机升级突破!$BX$4:$CH$4,AE1307),"")</f>
        <v/>
      </c>
      <c r="AO1307" s="14" t="str">
        <f>IF(AE1307&gt;0,ROUND(INDEX(挂机升级突破!$BX$6:$CH$57,卡牌消耗!AI1307,AE1307)*INDEX(卡牌消耗!$B$7:$F$7,AG1307)/$Q$4,0),"")</f>
        <v/>
      </c>
    </row>
    <row r="1308" spans="27:41" ht="16.5" x14ac:dyDescent="0.2">
      <c r="AA1308" s="104">
        <v>1304</v>
      </c>
      <c r="AB1308" s="14">
        <f t="shared" si="233"/>
        <v>26</v>
      </c>
      <c r="AC1308" s="14">
        <f>INDEX(挂机升级突破!$BU$6:$BU$57,卡牌消耗!AI1308)</f>
        <v>11</v>
      </c>
      <c r="AD1308" s="14">
        <f>INDEX(挂机升级突破!BV$6:BV$57,卡牌消耗!$AI1308)</f>
        <v>1</v>
      </c>
      <c r="AE1308" s="14">
        <f>INDEX(挂机升级突破!BW$6:BW$57,卡牌消耗!$AI1308)</f>
        <v>0</v>
      </c>
      <c r="AF1308" s="14" t="str">
        <f t="shared" si="234"/>
        <v>吕布</v>
      </c>
      <c r="AG1308" s="14">
        <f t="shared" si="235"/>
        <v>5</v>
      </c>
      <c r="AH1308" s="14" t="str">
        <f t="shared" si="236"/>
        <v>吕布魂火-4</v>
      </c>
      <c r="AI1308" s="14">
        <f t="shared" si="237"/>
        <v>4</v>
      </c>
      <c r="AJ1308" s="14" t="str">
        <f>INDEX(挂机升级突破!$BX$4:$CH$4,INDEX(挂机升级突破!$BU$6:$BU$57,卡牌消耗!AI1308))</f>
        <v>金币</v>
      </c>
      <c r="AK1308" s="14">
        <f>ROUND(INDEX(挂机升级突破!$BN$6:$BN$57,卡牌消耗!AI1308)*INDEX(卡牌消耗!$B$8:$F$8,AG1308)/$Q$4/50,0)*50</f>
        <v>1650</v>
      </c>
      <c r="AL1308" s="14" t="str">
        <f>IF(AD1308&gt;0,INDEX(挂机升级突破!$BX$4:$CH$4,AD1308),"")</f>
        <v>绿色基础材料</v>
      </c>
      <c r="AM1308" s="14">
        <f>ROUND(INDEX(挂机升级突破!$BX$6:$CH$57,卡牌消耗!AI1308,AD1308)*INDEX(卡牌消耗!$B$5:$F$5,AG1308)/$Q$4/5,0)*5</f>
        <v>7510</v>
      </c>
      <c r="AN1308" s="14" t="str">
        <f>IF(AE1308&gt;0,INDEX(挂机升级突破!$BX$4:$CH$4,AE1308),"")</f>
        <v/>
      </c>
      <c r="AO1308" s="14" t="str">
        <f>IF(AE1308&gt;0,ROUND(INDEX(挂机升级突破!$BX$6:$CH$57,卡牌消耗!AI1308,AE1308)*INDEX(卡牌消耗!$B$7:$F$7,AG1308)/$Q$4,0),"")</f>
        <v/>
      </c>
    </row>
    <row r="1309" spans="27:41" ht="16.5" x14ac:dyDescent="0.2">
      <c r="AA1309" s="104">
        <v>1305</v>
      </c>
      <c r="AB1309" s="14">
        <f t="shared" si="233"/>
        <v>26</v>
      </c>
      <c r="AC1309" s="14">
        <f>INDEX(挂机升级突破!$BU$6:$BU$57,卡牌消耗!AI1309)</f>
        <v>11</v>
      </c>
      <c r="AD1309" s="14">
        <f>INDEX(挂机升级突破!BV$6:BV$57,卡牌消耗!$AI1309)</f>
        <v>1</v>
      </c>
      <c r="AE1309" s="14">
        <f>INDEX(挂机升级突破!BW$6:BW$57,卡牌消耗!$AI1309)</f>
        <v>0</v>
      </c>
      <c r="AF1309" s="14" t="str">
        <f t="shared" si="234"/>
        <v>吕布</v>
      </c>
      <c r="AG1309" s="14">
        <f t="shared" si="235"/>
        <v>5</v>
      </c>
      <c r="AH1309" s="14" t="str">
        <f t="shared" si="236"/>
        <v>吕布魂火-5</v>
      </c>
      <c r="AI1309" s="14">
        <f t="shared" si="237"/>
        <v>5</v>
      </c>
      <c r="AJ1309" s="14" t="str">
        <f>INDEX(挂机升级突破!$BX$4:$CH$4,INDEX(挂机升级突破!$BU$6:$BU$57,卡牌消耗!AI1309))</f>
        <v>金币</v>
      </c>
      <c r="AK1309" s="14">
        <f>ROUND(INDEX(挂机升级突破!$BN$6:$BN$57,卡牌消耗!AI1309)*INDEX(卡牌消耗!$B$8:$F$8,AG1309)/$Q$4/50,0)*50</f>
        <v>1650</v>
      </c>
      <c r="AL1309" s="14" t="str">
        <f>IF(AD1309&gt;0,INDEX(挂机升级突破!$BX$4:$CH$4,AD1309),"")</f>
        <v>绿色基础材料</v>
      </c>
      <c r="AM1309" s="14">
        <f>ROUND(INDEX(挂机升级突破!$BX$6:$CH$57,卡牌消耗!AI1309,AD1309)*INDEX(卡牌消耗!$B$5:$F$5,AG1309)/$Q$4/5,0)*5</f>
        <v>7510</v>
      </c>
      <c r="AN1309" s="14" t="str">
        <f>IF(AE1309&gt;0,INDEX(挂机升级突破!$BX$4:$CH$4,AE1309),"")</f>
        <v/>
      </c>
      <c r="AO1309" s="14" t="str">
        <f>IF(AE1309&gt;0,ROUND(INDEX(挂机升级突破!$BX$6:$CH$57,卡牌消耗!AI1309,AE1309)*INDEX(卡牌消耗!$B$7:$F$7,AG1309)/$Q$4,0),"")</f>
        <v/>
      </c>
    </row>
    <row r="1310" spans="27:41" ht="16.5" x14ac:dyDescent="0.2">
      <c r="AA1310" s="104">
        <v>1306</v>
      </c>
      <c r="AB1310" s="14">
        <f t="shared" si="233"/>
        <v>26</v>
      </c>
      <c r="AC1310" s="14">
        <f>INDEX(挂机升级突破!$BU$6:$BU$57,卡牌消耗!AI1310)</f>
        <v>11</v>
      </c>
      <c r="AD1310" s="14">
        <f>INDEX(挂机升级突破!BV$6:BV$57,卡牌消耗!$AI1310)</f>
        <v>2</v>
      </c>
      <c r="AE1310" s="14">
        <f>INDEX(挂机升级突破!BW$6:BW$57,卡牌消耗!$AI1310)</f>
        <v>0</v>
      </c>
      <c r="AF1310" s="14" t="str">
        <f t="shared" si="234"/>
        <v>吕布</v>
      </c>
      <c r="AG1310" s="14">
        <f t="shared" si="235"/>
        <v>5</v>
      </c>
      <c r="AH1310" s="14" t="str">
        <f t="shared" si="236"/>
        <v>吕布魂火-6</v>
      </c>
      <c r="AI1310" s="14">
        <f t="shared" si="237"/>
        <v>6</v>
      </c>
      <c r="AJ1310" s="14" t="str">
        <f>INDEX(挂机升级突破!$BX$4:$CH$4,INDEX(挂机升级突破!$BU$6:$BU$57,卡牌消耗!AI1310))</f>
        <v>金币</v>
      </c>
      <c r="AK1310" s="14">
        <f>ROUND(INDEX(挂机升级突破!$BN$6:$BN$57,卡牌消耗!AI1310)*INDEX(卡牌消耗!$B$8:$F$8,AG1310)/$Q$4/50,0)*50</f>
        <v>2000</v>
      </c>
      <c r="AL1310" s="14" t="str">
        <f>IF(AD1310&gt;0,INDEX(挂机升级突破!$BX$4:$CH$4,AD1310),"")</f>
        <v>蓝色基础材料</v>
      </c>
      <c r="AM1310" s="14">
        <f>ROUND(INDEX(挂机升级突破!$BX$6:$CH$57,卡牌消耗!AI1310,AD1310)*INDEX(卡牌消耗!$B$5:$F$5,AG1310)/$Q$4/5,0)*5</f>
        <v>720</v>
      </c>
      <c r="AN1310" s="14" t="str">
        <f>IF(AE1310&gt;0,INDEX(挂机升级突破!$BX$4:$CH$4,AE1310),"")</f>
        <v/>
      </c>
      <c r="AO1310" s="14" t="str">
        <f>IF(AE1310&gt;0,ROUND(INDEX(挂机升级突破!$BX$6:$CH$57,卡牌消耗!AI1310,AE1310)*INDEX(卡牌消耗!$B$7:$F$7,AG1310)/$Q$4,0),"")</f>
        <v/>
      </c>
    </row>
    <row r="1311" spans="27:41" ht="16.5" x14ac:dyDescent="0.2">
      <c r="AA1311" s="104">
        <v>1307</v>
      </c>
      <c r="AB1311" s="14">
        <f t="shared" si="233"/>
        <v>26</v>
      </c>
      <c r="AC1311" s="14">
        <f>INDEX(挂机升级突破!$BU$6:$BU$57,卡牌消耗!AI1311)</f>
        <v>11</v>
      </c>
      <c r="AD1311" s="14">
        <f>INDEX(挂机升级突破!BV$6:BV$57,卡牌消耗!$AI1311)</f>
        <v>2</v>
      </c>
      <c r="AE1311" s="14">
        <f>INDEX(挂机升级突破!BW$6:BW$57,卡牌消耗!$AI1311)</f>
        <v>0</v>
      </c>
      <c r="AF1311" s="14" t="str">
        <f t="shared" si="234"/>
        <v>吕布</v>
      </c>
      <c r="AG1311" s="14">
        <f t="shared" si="235"/>
        <v>5</v>
      </c>
      <c r="AH1311" s="14" t="str">
        <f t="shared" si="236"/>
        <v>吕布魂火-7</v>
      </c>
      <c r="AI1311" s="14">
        <f t="shared" si="237"/>
        <v>7</v>
      </c>
      <c r="AJ1311" s="14" t="str">
        <f>INDEX(挂机升级突破!$BX$4:$CH$4,INDEX(挂机升级突破!$BU$6:$BU$57,卡牌消耗!AI1311))</f>
        <v>金币</v>
      </c>
      <c r="AK1311" s="14">
        <f>ROUND(INDEX(挂机升级突破!$BN$6:$BN$57,卡牌消耗!AI1311)*INDEX(卡牌消耗!$B$8:$F$8,AG1311)/$Q$4/50,0)*50</f>
        <v>2000</v>
      </c>
      <c r="AL1311" s="14" t="str">
        <f>IF(AD1311&gt;0,INDEX(挂机升级突破!$BX$4:$CH$4,AD1311),"")</f>
        <v>蓝色基础材料</v>
      </c>
      <c r="AM1311" s="14">
        <f>ROUND(INDEX(挂机升级突破!$BX$6:$CH$57,卡牌消耗!AI1311,AD1311)*INDEX(卡牌消耗!$B$5:$F$5,AG1311)/$Q$4/5,0)*5</f>
        <v>720</v>
      </c>
      <c r="AN1311" s="14" t="str">
        <f>IF(AE1311&gt;0,INDEX(挂机升级突破!$BX$4:$CH$4,AE1311),"")</f>
        <v/>
      </c>
      <c r="AO1311" s="14" t="str">
        <f>IF(AE1311&gt;0,ROUND(INDEX(挂机升级突破!$BX$6:$CH$57,卡牌消耗!AI1311,AE1311)*INDEX(卡牌消耗!$B$7:$F$7,AG1311)/$Q$4,0),"")</f>
        <v/>
      </c>
    </row>
    <row r="1312" spans="27:41" ht="16.5" x14ac:dyDescent="0.2">
      <c r="AA1312" s="104">
        <v>1308</v>
      </c>
      <c r="AB1312" s="14">
        <f t="shared" si="233"/>
        <v>26</v>
      </c>
      <c r="AC1312" s="14">
        <f>INDEX(挂机升级突破!$BU$6:$BU$57,卡牌消耗!AI1312)</f>
        <v>11</v>
      </c>
      <c r="AD1312" s="14">
        <f>INDEX(挂机升级突破!BV$6:BV$57,卡牌消耗!$AI1312)</f>
        <v>2</v>
      </c>
      <c r="AE1312" s="14">
        <f>INDEX(挂机升级突破!BW$6:BW$57,卡牌消耗!$AI1312)</f>
        <v>0</v>
      </c>
      <c r="AF1312" s="14" t="str">
        <f t="shared" si="234"/>
        <v>吕布</v>
      </c>
      <c r="AG1312" s="14">
        <f t="shared" si="235"/>
        <v>5</v>
      </c>
      <c r="AH1312" s="14" t="str">
        <f t="shared" si="236"/>
        <v>吕布魂火-8</v>
      </c>
      <c r="AI1312" s="14">
        <f t="shared" si="237"/>
        <v>8</v>
      </c>
      <c r="AJ1312" s="14" t="str">
        <f>INDEX(挂机升级突破!$BX$4:$CH$4,INDEX(挂机升级突破!$BU$6:$BU$57,卡牌消耗!AI1312))</f>
        <v>金币</v>
      </c>
      <c r="AK1312" s="14">
        <f>ROUND(INDEX(挂机升级突破!$BN$6:$BN$57,卡牌消耗!AI1312)*INDEX(卡牌消耗!$B$8:$F$8,AG1312)/$Q$4/50,0)*50</f>
        <v>2950</v>
      </c>
      <c r="AL1312" s="14" t="str">
        <f>IF(AD1312&gt;0,INDEX(挂机升级突破!$BX$4:$CH$4,AD1312),"")</f>
        <v>蓝色基础材料</v>
      </c>
      <c r="AM1312" s="14">
        <f>ROUND(INDEX(挂机升级突破!$BX$6:$CH$57,卡牌消耗!AI1312,AD1312)*INDEX(卡牌消耗!$B$5:$F$5,AG1312)/$Q$4/5,0)*5</f>
        <v>1440</v>
      </c>
      <c r="AN1312" s="14" t="str">
        <f>IF(AE1312&gt;0,INDEX(挂机升级突破!$BX$4:$CH$4,AE1312),"")</f>
        <v/>
      </c>
      <c r="AO1312" s="14" t="str">
        <f>IF(AE1312&gt;0,ROUND(INDEX(挂机升级突破!$BX$6:$CH$57,卡牌消耗!AI1312,AE1312)*INDEX(卡牌消耗!$B$7:$F$7,AG1312)/$Q$4,0),"")</f>
        <v/>
      </c>
    </row>
    <row r="1313" spans="27:41" ht="16.5" x14ac:dyDescent="0.2">
      <c r="AA1313" s="104">
        <v>1309</v>
      </c>
      <c r="AB1313" s="14">
        <f t="shared" si="233"/>
        <v>26</v>
      </c>
      <c r="AC1313" s="14">
        <f>INDEX(挂机升级突破!$BU$6:$BU$57,卡牌消耗!AI1313)</f>
        <v>11</v>
      </c>
      <c r="AD1313" s="14">
        <f>INDEX(挂机升级突破!BV$6:BV$57,卡牌消耗!$AI1313)</f>
        <v>2</v>
      </c>
      <c r="AE1313" s="14">
        <f>INDEX(挂机升级突破!BW$6:BW$57,卡牌消耗!$AI1313)</f>
        <v>0</v>
      </c>
      <c r="AF1313" s="14" t="str">
        <f t="shared" si="234"/>
        <v>吕布</v>
      </c>
      <c r="AG1313" s="14">
        <f t="shared" si="235"/>
        <v>5</v>
      </c>
      <c r="AH1313" s="14" t="str">
        <f t="shared" si="236"/>
        <v>吕布魂火-9</v>
      </c>
      <c r="AI1313" s="14">
        <f t="shared" si="237"/>
        <v>9</v>
      </c>
      <c r="AJ1313" s="14" t="str">
        <f>INDEX(挂机升级突破!$BX$4:$CH$4,INDEX(挂机升级突破!$BU$6:$BU$57,卡牌消耗!AI1313))</f>
        <v>金币</v>
      </c>
      <c r="AK1313" s="14">
        <f>ROUND(INDEX(挂机升级突破!$BN$6:$BN$57,卡牌消耗!AI1313)*INDEX(卡牌消耗!$B$8:$F$8,AG1313)/$Q$4/50,0)*50</f>
        <v>2950</v>
      </c>
      <c r="AL1313" s="14" t="str">
        <f>IF(AD1313&gt;0,INDEX(挂机升级突破!$BX$4:$CH$4,AD1313),"")</f>
        <v>蓝色基础材料</v>
      </c>
      <c r="AM1313" s="14">
        <f>ROUND(INDEX(挂机升级突破!$BX$6:$CH$57,卡牌消耗!AI1313,AD1313)*INDEX(卡牌消耗!$B$5:$F$5,AG1313)/$Q$4/5,0)*5</f>
        <v>1440</v>
      </c>
      <c r="AN1313" s="14" t="str">
        <f>IF(AE1313&gt;0,INDEX(挂机升级突破!$BX$4:$CH$4,AE1313),"")</f>
        <v/>
      </c>
      <c r="AO1313" s="14" t="str">
        <f>IF(AE1313&gt;0,ROUND(INDEX(挂机升级突破!$BX$6:$CH$57,卡牌消耗!AI1313,AE1313)*INDEX(卡牌消耗!$B$7:$F$7,AG1313)/$Q$4,0),"")</f>
        <v/>
      </c>
    </row>
    <row r="1314" spans="27:41" ht="16.5" x14ac:dyDescent="0.2">
      <c r="AA1314" s="104">
        <v>1310</v>
      </c>
      <c r="AB1314" s="14">
        <f t="shared" si="233"/>
        <v>26</v>
      </c>
      <c r="AC1314" s="14">
        <f>INDEX(挂机升级突破!$BU$6:$BU$57,卡牌消耗!AI1314)</f>
        <v>11</v>
      </c>
      <c r="AD1314" s="14">
        <f>INDEX(挂机升级突破!BV$6:BV$57,卡牌消耗!$AI1314)</f>
        <v>2</v>
      </c>
      <c r="AE1314" s="14">
        <f>INDEX(挂机升级突破!BW$6:BW$57,卡牌消耗!$AI1314)</f>
        <v>0</v>
      </c>
      <c r="AF1314" s="14" t="str">
        <f t="shared" si="234"/>
        <v>吕布</v>
      </c>
      <c r="AG1314" s="14">
        <f t="shared" si="235"/>
        <v>5</v>
      </c>
      <c r="AH1314" s="14" t="str">
        <f t="shared" si="236"/>
        <v>吕布魂火-10</v>
      </c>
      <c r="AI1314" s="14">
        <f t="shared" si="237"/>
        <v>10</v>
      </c>
      <c r="AJ1314" s="14" t="str">
        <f>INDEX(挂机升级突破!$BX$4:$CH$4,INDEX(挂机升级突破!$BU$6:$BU$57,卡牌消耗!AI1314))</f>
        <v>金币</v>
      </c>
      <c r="AK1314" s="14">
        <f>ROUND(INDEX(挂机升级突破!$BN$6:$BN$57,卡牌消耗!AI1314)*INDEX(卡牌消耗!$B$8:$F$8,AG1314)/$Q$4/50,0)*50</f>
        <v>4950</v>
      </c>
      <c r="AL1314" s="14" t="str">
        <f>IF(AD1314&gt;0,INDEX(挂机升级突破!$BX$4:$CH$4,AD1314),"")</f>
        <v>蓝色基础材料</v>
      </c>
      <c r="AM1314" s="14">
        <f>ROUND(INDEX(挂机升级突破!$BX$6:$CH$57,卡牌消耗!AI1314,AD1314)*INDEX(卡牌消耗!$B$5:$F$5,AG1314)/$Q$4/5,0)*5</f>
        <v>2160</v>
      </c>
      <c r="AN1314" s="14" t="str">
        <f>IF(AE1314&gt;0,INDEX(挂机升级突破!$BX$4:$CH$4,AE1314),"")</f>
        <v/>
      </c>
      <c r="AO1314" s="14" t="str">
        <f>IF(AE1314&gt;0,ROUND(INDEX(挂机升级突破!$BX$6:$CH$57,卡牌消耗!AI1314,AE1314)*INDEX(卡牌消耗!$B$7:$F$7,AG1314)/$Q$4,0),"")</f>
        <v/>
      </c>
    </row>
    <row r="1315" spans="27:41" ht="16.5" x14ac:dyDescent="0.2">
      <c r="AA1315" s="104">
        <v>1311</v>
      </c>
      <c r="AB1315" s="14">
        <f t="shared" si="233"/>
        <v>26</v>
      </c>
      <c r="AC1315" s="14">
        <f>INDEX(挂机升级突破!$BU$6:$BU$57,卡牌消耗!AI1315)</f>
        <v>11</v>
      </c>
      <c r="AD1315" s="14">
        <f>INDEX(挂机升级突破!BV$6:BV$57,卡牌消耗!$AI1315)</f>
        <v>2</v>
      </c>
      <c r="AE1315" s="14">
        <f>INDEX(挂机升级突破!BW$6:BW$57,卡牌消耗!$AI1315)</f>
        <v>0</v>
      </c>
      <c r="AF1315" s="14" t="str">
        <f t="shared" si="234"/>
        <v>吕布</v>
      </c>
      <c r="AG1315" s="14">
        <f t="shared" si="235"/>
        <v>5</v>
      </c>
      <c r="AH1315" s="14" t="str">
        <f t="shared" si="236"/>
        <v>吕布魂火-11</v>
      </c>
      <c r="AI1315" s="14">
        <f t="shared" si="237"/>
        <v>11</v>
      </c>
      <c r="AJ1315" s="14" t="str">
        <f>INDEX(挂机升级突破!$BX$4:$CH$4,INDEX(挂机升级突破!$BU$6:$BU$57,卡牌消耗!AI1315))</f>
        <v>金币</v>
      </c>
      <c r="AK1315" s="14">
        <f>ROUND(INDEX(挂机升级突破!$BN$6:$BN$57,卡牌消耗!AI1315)*INDEX(卡牌消耗!$B$8:$F$8,AG1315)/$Q$4/50,0)*50</f>
        <v>4950</v>
      </c>
      <c r="AL1315" s="14" t="str">
        <f>IF(AD1315&gt;0,INDEX(挂机升级突破!$BX$4:$CH$4,AD1315),"")</f>
        <v>蓝色基础材料</v>
      </c>
      <c r="AM1315" s="14">
        <f>ROUND(INDEX(挂机升级突破!$BX$6:$CH$57,卡牌消耗!AI1315,AD1315)*INDEX(卡牌消耗!$B$5:$F$5,AG1315)/$Q$4/5,0)*5</f>
        <v>2160</v>
      </c>
      <c r="AN1315" s="14" t="str">
        <f>IF(AE1315&gt;0,INDEX(挂机升级突破!$BX$4:$CH$4,AE1315),"")</f>
        <v/>
      </c>
      <c r="AO1315" s="14" t="str">
        <f>IF(AE1315&gt;0,ROUND(INDEX(挂机升级突破!$BX$6:$CH$57,卡牌消耗!AI1315,AE1315)*INDEX(卡牌消耗!$B$7:$F$7,AG1315)/$Q$4,0),"")</f>
        <v/>
      </c>
    </row>
    <row r="1316" spans="27:41" ht="16.5" x14ac:dyDescent="0.2">
      <c r="AA1316" s="104">
        <v>1312</v>
      </c>
      <c r="AB1316" s="14">
        <f t="shared" si="233"/>
        <v>26</v>
      </c>
      <c r="AC1316" s="14">
        <f>INDEX(挂机升级突破!$BU$6:$BU$57,卡牌消耗!AI1316)</f>
        <v>11</v>
      </c>
      <c r="AD1316" s="14">
        <f>INDEX(挂机升级突破!BV$6:BV$57,卡牌消耗!$AI1316)</f>
        <v>2</v>
      </c>
      <c r="AE1316" s="14">
        <f>INDEX(挂机升级突破!BW$6:BW$57,卡牌消耗!$AI1316)</f>
        <v>0</v>
      </c>
      <c r="AF1316" s="14" t="str">
        <f t="shared" si="234"/>
        <v>吕布</v>
      </c>
      <c r="AG1316" s="14">
        <f t="shared" si="235"/>
        <v>5</v>
      </c>
      <c r="AH1316" s="14" t="str">
        <f t="shared" si="236"/>
        <v>吕布魂火-12</v>
      </c>
      <c r="AI1316" s="14">
        <f t="shared" si="237"/>
        <v>12</v>
      </c>
      <c r="AJ1316" s="14" t="str">
        <f>INDEX(挂机升级突破!$BX$4:$CH$4,INDEX(挂机升级突破!$BU$6:$BU$57,卡牌消耗!AI1316))</f>
        <v>金币</v>
      </c>
      <c r="AK1316" s="14">
        <f>ROUND(INDEX(挂机升级突破!$BN$6:$BN$57,卡牌消耗!AI1316)*INDEX(卡牌消耗!$B$8:$F$8,AG1316)/$Q$4/50,0)*50</f>
        <v>4250</v>
      </c>
      <c r="AL1316" s="14" t="str">
        <f>IF(AD1316&gt;0,INDEX(挂机升级突破!$BX$4:$CH$4,AD1316),"")</f>
        <v>蓝色基础材料</v>
      </c>
      <c r="AM1316" s="14">
        <f>ROUND(INDEX(挂机升级突破!$BX$6:$CH$57,卡牌消耗!AI1316,AD1316)*INDEX(卡牌消耗!$B$5:$F$5,AG1316)/$Q$4/5,0)*5</f>
        <v>2880</v>
      </c>
      <c r="AN1316" s="14" t="str">
        <f>IF(AE1316&gt;0,INDEX(挂机升级突破!$BX$4:$CH$4,AE1316),"")</f>
        <v/>
      </c>
      <c r="AO1316" s="14" t="str">
        <f>IF(AE1316&gt;0,ROUND(INDEX(挂机升级突破!$BX$6:$CH$57,卡牌消耗!AI1316,AE1316)*INDEX(卡牌消耗!$B$7:$F$7,AG1316)/$Q$4,0),"")</f>
        <v/>
      </c>
    </row>
    <row r="1317" spans="27:41" ht="16.5" x14ac:dyDescent="0.2">
      <c r="AA1317" s="104">
        <v>1313</v>
      </c>
      <c r="AB1317" s="14">
        <f t="shared" si="233"/>
        <v>26</v>
      </c>
      <c r="AC1317" s="14">
        <f>INDEX(挂机升级突破!$BU$6:$BU$57,卡牌消耗!AI1317)</f>
        <v>11</v>
      </c>
      <c r="AD1317" s="14">
        <f>INDEX(挂机升级突破!BV$6:BV$57,卡牌消耗!$AI1317)</f>
        <v>2</v>
      </c>
      <c r="AE1317" s="14">
        <f>INDEX(挂机升级突破!BW$6:BW$57,卡牌消耗!$AI1317)</f>
        <v>0</v>
      </c>
      <c r="AF1317" s="14" t="str">
        <f t="shared" si="234"/>
        <v>吕布</v>
      </c>
      <c r="AG1317" s="14">
        <f t="shared" si="235"/>
        <v>5</v>
      </c>
      <c r="AH1317" s="14" t="str">
        <f t="shared" si="236"/>
        <v>吕布魂火-13</v>
      </c>
      <c r="AI1317" s="14">
        <f t="shared" si="237"/>
        <v>13</v>
      </c>
      <c r="AJ1317" s="14" t="str">
        <f>INDEX(挂机升级突破!$BX$4:$CH$4,INDEX(挂机升级突破!$BU$6:$BU$57,卡牌消耗!AI1317))</f>
        <v>金币</v>
      </c>
      <c r="AK1317" s="14">
        <f>ROUND(INDEX(挂机升级突破!$BN$6:$BN$57,卡牌消耗!AI1317)*INDEX(卡牌消耗!$B$8:$F$8,AG1317)/$Q$4/50,0)*50</f>
        <v>4250</v>
      </c>
      <c r="AL1317" s="14" t="str">
        <f>IF(AD1317&gt;0,INDEX(挂机升级突破!$BX$4:$CH$4,AD1317),"")</f>
        <v>蓝色基础材料</v>
      </c>
      <c r="AM1317" s="14">
        <f>ROUND(INDEX(挂机升级突破!$BX$6:$CH$57,卡牌消耗!AI1317,AD1317)*INDEX(卡牌消耗!$B$5:$F$5,AG1317)/$Q$4/5,0)*5</f>
        <v>2880</v>
      </c>
      <c r="AN1317" s="14" t="str">
        <f>IF(AE1317&gt;0,INDEX(挂机升级突破!$BX$4:$CH$4,AE1317),"")</f>
        <v/>
      </c>
      <c r="AO1317" s="14" t="str">
        <f>IF(AE1317&gt;0,ROUND(INDEX(挂机升级突破!$BX$6:$CH$57,卡牌消耗!AI1317,AE1317)*INDEX(卡牌消耗!$B$7:$F$7,AG1317)/$Q$4,0),"")</f>
        <v/>
      </c>
    </row>
    <row r="1318" spans="27:41" ht="16.5" x14ac:dyDescent="0.2">
      <c r="AA1318" s="104">
        <v>1314</v>
      </c>
      <c r="AB1318" s="14">
        <f t="shared" si="233"/>
        <v>26</v>
      </c>
      <c r="AC1318" s="14">
        <f>INDEX(挂机升级突破!$BU$6:$BU$57,卡牌消耗!AI1318)</f>
        <v>11</v>
      </c>
      <c r="AD1318" s="14">
        <f>INDEX(挂机升级突破!BV$6:BV$57,卡牌消耗!$AI1318)</f>
        <v>3</v>
      </c>
      <c r="AE1318" s="14">
        <f>INDEX(挂机升级突破!BW$6:BW$57,卡牌消耗!$AI1318)</f>
        <v>0</v>
      </c>
      <c r="AF1318" s="14" t="str">
        <f t="shared" si="234"/>
        <v>吕布</v>
      </c>
      <c r="AG1318" s="14">
        <f t="shared" si="235"/>
        <v>5</v>
      </c>
      <c r="AH1318" s="14" t="str">
        <f t="shared" si="236"/>
        <v>吕布魂火-14</v>
      </c>
      <c r="AI1318" s="14">
        <f t="shared" si="237"/>
        <v>14</v>
      </c>
      <c r="AJ1318" s="14" t="str">
        <f>INDEX(挂机升级突破!$BX$4:$CH$4,INDEX(挂机升级突破!$BU$6:$BU$57,卡牌消耗!AI1318))</f>
        <v>金币</v>
      </c>
      <c r="AK1318" s="14">
        <f>ROUND(INDEX(挂机升级突破!$BN$6:$BN$57,卡牌消耗!AI1318)*INDEX(卡牌消耗!$B$8:$F$8,AG1318)/$Q$4/50,0)*50</f>
        <v>4650</v>
      </c>
      <c r="AL1318" s="14" t="str">
        <f>IF(AD1318&gt;0,INDEX(挂机升级突破!$BX$4:$CH$4,AD1318),"")</f>
        <v>紫色基础材料</v>
      </c>
      <c r="AM1318" s="14">
        <f>ROUND(INDEX(挂机升级突破!$BX$6:$CH$57,卡牌消耗!AI1318,AD1318)*INDEX(卡牌消耗!$B$5:$F$5,AG1318)/$Q$4/5,0)*5</f>
        <v>250</v>
      </c>
      <c r="AN1318" s="14" t="str">
        <f>IF(AE1318&gt;0,INDEX(挂机升级突破!$BX$4:$CH$4,AE1318),"")</f>
        <v/>
      </c>
      <c r="AO1318" s="14" t="str">
        <f>IF(AE1318&gt;0,ROUND(INDEX(挂机升级突破!$BX$6:$CH$57,卡牌消耗!AI1318,AE1318)*INDEX(卡牌消耗!$B$7:$F$7,AG1318)/$Q$4,0),"")</f>
        <v/>
      </c>
    </row>
    <row r="1319" spans="27:41" ht="16.5" x14ac:dyDescent="0.2">
      <c r="AA1319" s="104">
        <v>1315</v>
      </c>
      <c r="AB1319" s="14">
        <f t="shared" si="233"/>
        <v>26</v>
      </c>
      <c r="AC1319" s="14">
        <f>INDEX(挂机升级突破!$BU$6:$BU$57,卡牌消耗!AI1319)</f>
        <v>11</v>
      </c>
      <c r="AD1319" s="14">
        <f>INDEX(挂机升级突破!BV$6:BV$57,卡牌消耗!$AI1319)</f>
        <v>3</v>
      </c>
      <c r="AE1319" s="14">
        <f>INDEX(挂机升级突破!BW$6:BW$57,卡牌消耗!$AI1319)</f>
        <v>0</v>
      </c>
      <c r="AF1319" s="14" t="str">
        <f t="shared" si="234"/>
        <v>吕布</v>
      </c>
      <c r="AG1319" s="14">
        <f t="shared" si="235"/>
        <v>5</v>
      </c>
      <c r="AH1319" s="14" t="str">
        <f t="shared" si="236"/>
        <v>吕布魂火-15</v>
      </c>
      <c r="AI1319" s="14">
        <f t="shared" si="237"/>
        <v>15</v>
      </c>
      <c r="AJ1319" s="14" t="str">
        <f>INDEX(挂机升级突破!$BX$4:$CH$4,INDEX(挂机升级突破!$BU$6:$BU$57,卡牌消耗!AI1319))</f>
        <v>金币</v>
      </c>
      <c r="AK1319" s="14">
        <f>ROUND(INDEX(挂机升级突破!$BN$6:$BN$57,卡牌消耗!AI1319)*INDEX(卡牌消耗!$B$8:$F$8,AG1319)/$Q$4/50,0)*50</f>
        <v>5100</v>
      </c>
      <c r="AL1319" s="14" t="str">
        <f>IF(AD1319&gt;0,INDEX(挂机升级突破!$BX$4:$CH$4,AD1319),"")</f>
        <v>紫色基础材料</v>
      </c>
      <c r="AM1319" s="14">
        <f>ROUND(INDEX(挂机升级突破!$BX$6:$CH$57,卡牌消耗!AI1319,AD1319)*INDEX(卡牌消耗!$B$5:$F$5,AG1319)/$Q$4/5,0)*5</f>
        <v>250</v>
      </c>
      <c r="AN1319" s="14" t="str">
        <f>IF(AE1319&gt;0,INDEX(挂机升级突破!$BX$4:$CH$4,AE1319),"")</f>
        <v/>
      </c>
      <c r="AO1319" s="14" t="str">
        <f>IF(AE1319&gt;0,ROUND(INDEX(挂机升级突破!$BX$6:$CH$57,卡牌消耗!AI1319,AE1319)*INDEX(卡牌消耗!$B$7:$F$7,AG1319)/$Q$4,0),"")</f>
        <v/>
      </c>
    </row>
    <row r="1320" spans="27:41" ht="16.5" x14ac:dyDescent="0.2">
      <c r="AA1320" s="104">
        <v>1316</v>
      </c>
      <c r="AB1320" s="14">
        <f t="shared" si="233"/>
        <v>26</v>
      </c>
      <c r="AC1320" s="14">
        <f>INDEX(挂机升级突破!$BU$6:$BU$57,卡牌消耗!AI1320)</f>
        <v>11</v>
      </c>
      <c r="AD1320" s="14">
        <f>INDEX(挂机升级突破!BV$6:BV$57,卡牌消耗!$AI1320)</f>
        <v>3</v>
      </c>
      <c r="AE1320" s="14">
        <f>INDEX(挂机升级突破!BW$6:BW$57,卡牌消耗!$AI1320)</f>
        <v>0</v>
      </c>
      <c r="AF1320" s="14" t="str">
        <f t="shared" si="234"/>
        <v>吕布</v>
      </c>
      <c r="AG1320" s="14">
        <f t="shared" si="235"/>
        <v>5</v>
      </c>
      <c r="AH1320" s="14" t="str">
        <f t="shared" si="236"/>
        <v>吕布魂火-16</v>
      </c>
      <c r="AI1320" s="14">
        <f t="shared" si="237"/>
        <v>16</v>
      </c>
      <c r="AJ1320" s="14" t="str">
        <f>INDEX(挂机升级突破!$BX$4:$CH$4,INDEX(挂机升级突破!$BU$6:$BU$57,卡牌消耗!AI1320))</f>
        <v>金币</v>
      </c>
      <c r="AK1320" s="14">
        <f>ROUND(INDEX(挂机升级突破!$BN$6:$BN$57,卡牌消耗!AI1320)*INDEX(卡牌消耗!$B$8:$F$8,AG1320)/$Q$4/50,0)*50</f>
        <v>5100</v>
      </c>
      <c r="AL1320" s="14" t="str">
        <f>IF(AD1320&gt;0,INDEX(挂机升级突破!$BX$4:$CH$4,AD1320),"")</f>
        <v>紫色基础材料</v>
      </c>
      <c r="AM1320" s="14">
        <f>ROUND(INDEX(挂机升级突破!$BX$6:$CH$57,卡牌消耗!AI1320,AD1320)*INDEX(卡牌消耗!$B$5:$F$5,AG1320)/$Q$4/5,0)*5</f>
        <v>250</v>
      </c>
      <c r="AN1320" s="14" t="str">
        <f>IF(AE1320&gt;0,INDEX(挂机升级突破!$BX$4:$CH$4,AE1320),"")</f>
        <v/>
      </c>
      <c r="AO1320" s="14" t="str">
        <f>IF(AE1320&gt;0,ROUND(INDEX(挂机升级突破!$BX$6:$CH$57,卡牌消耗!AI1320,AE1320)*INDEX(卡牌消耗!$B$7:$F$7,AG1320)/$Q$4,0),"")</f>
        <v/>
      </c>
    </row>
    <row r="1321" spans="27:41" ht="16.5" x14ac:dyDescent="0.2">
      <c r="AA1321" s="104">
        <v>1317</v>
      </c>
      <c r="AB1321" s="14">
        <f t="shared" si="233"/>
        <v>26</v>
      </c>
      <c r="AC1321" s="14">
        <f>INDEX(挂机升级突破!$BU$6:$BU$57,卡牌消耗!AI1321)</f>
        <v>11</v>
      </c>
      <c r="AD1321" s="14">
        <f>INDEX(挂机升级突破!BV$6:BV$57,卡牌消耗!$AI1321)</f>
        <v>3</v>
      </c>
      <c r="AE1321" s="14">
        <f>INDEX(挂机升级突破!BW$6:BW$57,卡牌消耗!$AI1321)</f>
        <v>0</v>
      </c>
      <c r="AF1321" s="14" t="str">
        <f t="shared" si="234"/>
        <v>吕布</v>
      </c>
      <c r="AG1321" s="14">
        <f t="shared" si="235"/>
        <v>5</v>
      </c>
      <c r="AH1321" s="14" t="str">
        <f t="shared" si="236"/>
        <v>吕布魂火-17</v>
      </c>
      <c r="AI1321" s="14">
        <f t="shared" si="237"/>
        <v>17</v>
      </c>
      <c r="AJ1321" s="14" t="str">
        <f>INDEX(挂机升级突破!$BX$4:$CH$4,INDEX(挂机升级突破!$BU$6:$BU$57,卡牌消耗!AI1321))</f>
        <v>金币</v>
      </c>
      <c r="AK1321" s="14">
        <f>ROUND(INDEX(挂机升级突破!$BN$6:$BN$57,卡牌消耗!AI1321)*INDEX(卡牌消耗!$B$8:$F$8,AG1321)/$Q$4/50,0)*50</f>
        <v>6350</v>
      </c>
      <c r="AL1321" s="14" t="str">
        <f>IF(AD1321&gt;0,INDEX(挂机升级突破!$BX$4:$CH$4,AD1321),"")</f>
        <v>紫色基础材料</v>
      </c>
      <c r="AM1321" s="14">
        <f>ROUND(INDEX(挂机升级突破!$BX$6:$CH$57,卡牌消耗!AI1321,AD1321)*INDEX(卡牌消耗!$B$5:$F$5,AG1321)/$Q$4/5,0)*5</f>
        <v>505</v>
      </c>
      <c r="AN1321" s="14" t="str">
        <f>IF(AE1321&gt;0,INDEX(挂机升级突破!$BX$4:$CH$4,AE1321),"")</f>
        <v/>
      </c>
      <c r="AO1321" s="14" t="str">
        <f>IF(AE1321&gt;0,ROUND(INDEX(挂机升级突破!$BX$6:$CH$57,卡牌消耗!AI1321,AE1321)*INDEX(卡牌消耗!$B$7:$F$7,AG1321)/$Q$4,0),"")</f>
        <v/>
      </c>
    </row>
    <row r="1322" spans="27:41" ht="16.5" x14ac:dyDescent="0.2">
      <c r="AA1322" s="104">
        <v>1318</v>
      </c>
      <c r="AB1322" s="14">
        <f t="shared" si="233"/>
        <v>26</v>
      </c>
      <c r="AC1322" s="14">
        <f>INDEX(挂机升级突破!$BU$6:$BU$57,卡牌消耗!AI1322)</f>
        <v>11</v>
      </c>
      <c r="AD1322" s="14">
        <f>INDEX(挂机升级突破!BV$6:BV$57,卡牌消耗!$AI1322)</f>
        <v>3</v>
      </c>
      <c r="AE1322" s="14">
        <f>INDEX(挂机升级突破!BW$6:BW$57,卡牌消耗!$AI1322)</f>
        <v>0</v>
      </c>
      <c r="AF1322" s="14" t="str">
        <f t="shared" si="234"/>
        <v>吕布</v>
      </c>
      <c r="AG1322" s="14">
        <f t="shared" si="235"/>
        <v>5</v>
      </c>
      <c r="AH1322" s="14" t="str">
        <f t="shared" si="236"/>
        <v>吕布魂火-18</v>
      </c>
      <c r="AI1322" s="14">
        <f t="shared" si="237"/>
        <v>18</v>
      </c>
      <c r="AJ1322" s="14" t="str">
        <f>INDEX(挂机升级突破!$BX$4:$CH$4,INDEX(挂机升级突破!$BU$6:$BU$57,卡牌消耗!AI1322))</f>
        <v>金币</v>
      </c>
      <c r="AK1322" s="14">
        <f>ROUND(INDEX(挂机升级突破!$BN$6:$BN$57,卡牌消耗!AI1322)*INDEX(卡牌消耗!$B$8:$F$8,AG1322)/$Q$4/50,0)*50</f>
        <v>6350</v>
      </c>
      <c r="AL1322" s="14" t="str">
        <f>IF(AD1322&gt;0,INDEX(挂机升级突破!$BX$4:$CH$4,AD1322),"")</f>
        <v>紫色基础材料</v>
      </c>
      <c r="AM1322" s="14">
        <f>ROUND(INDEX(挂机升级突破!$BX$6:$CH$57,卡牌消耗!AI1322,AD1322)*INDEX(卡牌消耗!$B$5:$F$5,AG1322)/$Q$4/5,0)*5</f>
        <v>505</v>
      </c>
      <c r="AN1322" s="14" t="str">
        <f>IF(AE1322&gt;0,INDEX(挂机升级突破!$BX$4:$CH$4,AE1322),"")</f>
        <v/>
      </c>
      <c r="AO1322" s="14" t="str">
        <f>IF(AE1322&gt;0,ROUND(INDEX(挂机升级突破!$BX$6:$CH$57,卡牌消耗!AI1322,AE1322)*INDEX(卡牌消耗!$B$7:$F$7,AG1322)/$Q$4,0),"")</f>
        <v/>
      </c>
    </row>
    <row r="1323" spans="27:41" ht="16.5" x14ac:dyDescent="0.2">
      <c r="AA1323" s="104">
        <v>1319</v>
      </c>
      <c r="AB1323" s="14">
        <f t="shared" si="233"/>
        <v>26</v>
      </c>
      <c r="AC1323" s="14">
        <f>INDEX(挂机升级突破!$BU$6:$BU$57,卡牌消耗!AI1323)</f>
        <v>11</v>
      </c>
      <c r="AD1323" s="14">
        <f>INDEX(挂机升级突破!BV$6:BV$57,卡牌消耗!$AI1323)</f>
        <v>3</v>
      </c>
      <c r="AE1323" s="14">
        <f>INDEX(挂机升级突破!BW$6:BW$57,卡牌消耗!$AI1323)</f>
        <v>0</v>
      </c>
      <c r="AF1323" s="14" t="str">
        <f t="shared" si="234"/>
        <v>吕布</v>
      </c>
      <c r="AG1323" s="14">
        <f t="shared" si="235"/>
        <v>5</v>
      </c>
      <c r="AH1323" s="14" t="str">
        <f t="shared" si="236"/>
        <v>吕布魂火-19</v>
      </c>
      <c r="AI1323" s="14">
        <f t="shared" si="237"/>
        <v>19</v>
      </c>
      <c r="AJ1323" s="14" t="str">
        <f>INDEX(挂机升级突破!$BX$4:$CH$4,INDEX(挂机升级突破!$BU$6:$BU$57,卡牌消耗!AI1323))</f>
        <v>金币</v>
      </c>
      <c r="AK1323" s="14">
        <f>ROUND(INDEX(挂机升级突破!$BN$6:$BN$57,卡牌消耗!AI1323)*INDEX(卡牌消耗!$B$8:$F$8,AG1323)/$Q$4/50,0)*50</f>
        <v>6350</v>
      </c>
      <c r="AL1323" s="14" t="str">
        <f>IF(AD1323&gt;0,INDEX(挂机升级突破!$BX$4:$CH$4,AD1323),"")</f>
        <v>紫色基础材料</v>
      </c>
      <c r="AM1323" s="14">
        <f>ROUND(INDEX(挂机升级突破!$BX$6:$CH$57,卡牌消耗!AI1323,AD1323)*INDEX(卡牌消耗!$B$5:$F$5,AG1323)/$Q$4/5,0)*5</f>
        <v>505</v>
      </c>
      <c r="AN1323" s="14" t="str">
        <f>IF(AE1323&gt;0,INDEX(挂机升级突破!$BX$4:$CH$4,AE1323),"")</f>
        <v/>
      </c>
      <c r="AO1323" s="14" t="str">
        <f>IF(AE1323&gt;0,ROUND(INDEX(挂机升级突破!$BX$6:$CH$57,卡牌消耗!AI1323,AE1323)*INDEX(卡牌消耗!$B$7:$F$7,AG1323)/$Q$4,0),"")</f>
        <v/>
      </c>
    </row>
    <row r="1324" spans="27:41" ht="16.5" x14ac:dyDescent="0.2">
      <c r="AA1324" s="104">
        <v>1320</v>
      </c>
      <c r="AB1324" s="14">
        <f t="shared" si="233"/>
        <v>26</v>
      </c>
      <c r="AC1324" s="14">
        <f>INDEX(挂机升级突破!$BU$6:$BU$57,卡牌消耗!AI1324)</f>
        <v>11</v>
      </c>
      <c r="AD1324" s="14">
        <f>INDEX(挂机升级突破!BV$6:BV$57,卡牌消耗!$AI1324)</f>
        <v>3</v>
      </c>
      <c r="AE1324" s="14">
        <f>INDEX(挂机升级突破!BW$6:BW$57,卡牌消耗!$AI1324)</f>
        <v>0</v>
      </c>
      <c r="AF1324" s="14" t="str">
        <f t="shared" si="234"/>
        <v>吕布</v>
      </c>
      <c r="AG1324" s="14">
        <f t="shared" si="235"/>
        <v>5</v>
      </c>
      <c r="AH1324" s="14" t="str">
        <f t="shared" si="236"/>
        <v>吕布魂火-20</v>
      </c>
      <c r="AI1324" s="14">
        <f t="shared" si="237"/>
        <v>20</v>
      </c>
      <c r="AJ1324" s="14" t="str">
        <f>INDEX(挂机升级突破!$BX$4:$CH$4,INDEX(挂机升级突破!$BU$6:$BU$57,卡牌消耗!AI1324))</f>
        <v>金币</v>
      </c>
      <c r="AK1324" s="14">
        <f>ROUND(INDEX(挂机升级突破!$BN$6:$BN$57,卡牌消耗!AI1324)*INDEX(卡牌消耗!$B$8:$F$8,AG1324)/$Q$4/50,0)*50</f>
        <v>7800</v>
      </c>
      <c r="AL1324" s="14" t="str">
        <f>IF(AD1324&gt;0,INDEX(挂机升级突破!$BX$4:$CH$4,AD1324),"")</f>
        <v>紫色基础材料</v>
      </c>
      <c r="AM1324" s="14">
        <f>ROUND(INDEX(挂机升级突破!$BX$6:$CH$57,卡牌消耗!AI1324,AD1324)*INDEX(卡牌消耗!$B$5:$F$5,AG1324)/$Q$4/5,0)*5</f>
        <v>755</v>
      </c>
      <c r="AN1324" s="14" t="str">
        <f>IF(AE1324&gt;0,INDEX(挂机升级突破!$BX$4:$CH$4,AE1324),"")</f>
        <v/>
      </c>
      <c r="AO1324" s="14" t="str">
        <f>IF(AE1324&gt;0,ROUND(INDEX(挂机升级突破!$BX$6:$CH$57,卡牌消耗!AI1324,AE1324)*INDEX(卡牌消耗!$B$7:$F$7,AG1324)/$Q$4,0),"")</f>
        <v/>
      </c>
    </row>
    <row r="1325" spans="27:41" ht="16.5" x14ac:dyDescent="0.2">
      <c r="AA1325" s="104">
        <v>1321</v>
      </c>
      <c r="AB1325" s="14">
        <f t="shared" si="233"/>
        <v>26</v>
      </c>
      <c r="AC1325" s="14">
        <f>INDEX(挂机升级突破!$BU$6:$BU$57,卡牌消耗!AI1325)</f>
        <v>11</v>
      </c>
      <c r="AD1325" s="14">
        <f>INDEX(挂机升级突破!BV$6:BV$57,卡牌消耗!$AI1325)</f>
        <v>3</v>
      </c>
      <c r="AE1325" s="14">
        <f>INDEX(挂机升级突破!BW$6:BW$57,卡牌消耗!$AI1325)</f>
        <v>0</v>
      </c>
      <c r="AF1325" s="14" t="str">
        <f t="shared" si="234"/>
        <v>吕布</v>
      </c>
      <c r="AG1325" s="14">
        <f t="shared" si="235"/>
        <v>5</v>
      </c>
      <c r="AH1325" s="14" t="str">
        <f t="shared" si="236"/>
        <v>吕布魂火-21</v>
      </c>
      <c r="AI1325" s="14">
        <f t="shared" si="237"/>
        <v>21</v>
      </c>
      <c r="AJ1325" s="14" t="str">
        <f>INDEX(挂机升级突破!$BX$4:$CH$4,INDEX(挂机升级突破!$BU$6:$BU$57,卡牌消耗!AI1325))</f>
        <v>金币</v>
      </c>
      <c r="AK1325" s="14">
        <f>ROUND(INDEX(挂机升级突破!$BN$6:$BN$57,卡牌消耗!AI1325)*INDEX(卡牌消耗!$B$8:$F$8,AG1325)/$Q$4/50,0)*50</f>
        <v>7800</v>
      </c>
      <c r="AL1325" s="14" t="str">
        <f>IF(AD1325&gt;0,INDEX(挂机升级突破!$BX$4:$CH$4,AD1325),"")</f>
        <v>紫色基础材料</v>
      </c>
      <c r="AM1325" s="14">
        <f>ROUND(INDEX(挂机升级突破!$BX$6:$CH$57,卡牌消耗!AI1325,AD1325)*INDEX(卡牌消耗!$B$5:$F$5,AG1325)/$Q$4/5,0)*5</f>
        <v>755</v>
      </c>
      <c r="AN1325" s="14" t="str">
        <f>IF(AE1325&gt;0,INDEX(挂机升级突破!$BX$4:$CH$4,AE1325),"")</f>
        <v/>
      </c>
      <c r="AO1325" s="14" t="str">
        <f>IF(AE1325&gt;0,ROUND(INDEX(挂机升级突破!$BX$6:$CH$57,卡牌消耗!AI1325,AE1325)*INDEX(卡牌消耗!$B$7:$F$7,AG1325)/$Q$4,0),"")</f>
        <v/>
      </c>
    </row>
    <row r="1326" spans="27:41" ht="16.5" x14ac:dyDescent="0.2">
      <c r="AA1326" s="104">
        <v>1322</v>
      </c>
      <c r="AB1326" s="14">
        <f t="shared" si="233"/>
        <v>26</v>
      </c>
      <c r="AC1326" s="14">
        <f>INDEX(挂机升级突破!$BU$6:$BU$57,卡牌消耗!AI1326)</f>
        <v>11</v>
      </c>
      <c r="AD1326" s="14">
        <f>INDEX(挂机升级突破!BV$6:BV$57,卡牌消耗!$AI1326)</f>
        <v>3</v>
      </c>
      <c r="AE1326" s="14">
        <f>INDEX(挂机升级突破!BW$6:BW$57,卡牌消耗!$AI1326)</f>
        <v>0</v>
      </c>
      <c r="AF1326" s="14" t="str">
        <f t="shared" si="234"/>
        <v>吕布</v>
      </c>
      <c r="AG1326" s="14">
        <f t="shared" si="235"/>
        <v>5</v>
      </c>
      <c r="AH1326" s="14" t="str">
        <f t="shared" si="236"/>
        <v>吕布魂火-22</v>
      </c>
      <c r="AI1326" s="14">
        <f t="shared" si="237"/>
        <v>22</v>
      </c>
      <c r="AJ1326" s="14" t="str">
        <f>INDEX(挂机升级突破!$BX$4:$CH$4,INDEX(挂机升级突破!$BU$6:$BU$57,卡牌消耗!AI1326))</f>
        <v>金币</v>
      </c>
      <c r="AK1326" s="14">
        <f>ROUND(INDEX(挂机升级突破!$BN$6:$BN$57,卡牌消耗!AI1326)*INDEX(卡牌消耗!$B$8:$F$8,AG1326)/$Q$4/50,0)*50</f>
        <v>7800</v>
      </c>
      <c r="AL1326" s="14" t="str">
        <f>IF(AD1326&gt;0,INDEX(挂机升级突破!$BX$4:$CH$4,AD1326),"")</f>
        <v>紫色基础材料</v>
      </c>
      <c r="AM1326" s="14">
        <f>ROUND(INDEX(挂机升级突破!$BX$6:$CH$57,卡牌消耗!AI1326,AD1326)*INDEX(卡牌消耗!$B$5:$F$5,AG1326)/$Q$4/5,0)*5</f>
        <v>755</v>
      </c>
      <c r="AN1326" s="14" t="str">
        <f>IF(AE1326&gt;0,INDEX(挂机升级突破!$BX$4:$CH$4,AE1326),"")</f>
        <v/>
      </c>
      <c r="AO1326" s="14" t="str">
        <f>IF(AE1326&gt;0,ROUND(INDEX(挂机升级突破!$BX$6:$CH$57,卡牌消耗!AI1326,AE1326)*INDEX(卡牌消耗!$B$7:$F$7,AG1326)/$Q$4,0),"")</f>
        <v/>
      </c>
    </row>
    <row r="1327" spans="27:41" ht="16.5" x14ac:dyDescent="0.2">
      <c r="AA1327" s="104">
        <v>1323</v>
      </c>
      <c r="AB1327" s="14">
        <f t="shared" si="233"/>
        <v>26</v>
      </c>
      <c r="AC1327" s="14">
        <f>INDEX(挂机升级突破!$BU$6:$BU$57,卡牌消耗!AI1327)</f>
        <v>11</v>
      </c>
      <c r="AD1327" s="14">
        <f>INDEX(挂机升级突破!BV$6:BV$57,卡牌消耗!$AI1327)</f>
        <v>4</v>
      </c>
      <c r="AE1327" s="14">
        <f>INDEX(挂机升级突破!BW$6:BW$57,卡牌消耗!$AI1327)</f>
        <v>0</v>
      </c>
      <c r="AF1327" s="14" t="str">
        <f t="shared" si="234"/>
        <v>吕布</v>
      </c>
      <c r="AG1327" s="14">
        <f t="shared" si="235"/>
        <v>5</v>
      </c>
      <c r="AH1327" s="14" t="str">
        <f t="shared" si="236"/>
        <v>吕布魂火-23</v>
      </c>
      <c r="AI1327" s="14">
        <f t="shared" si="237"/>
        <v>23</v>
      </c>
      <c r="AJ1327" s="14" t="str">
        <f>INDEX(挂机升级突破!$BX$4:$CH$4,INDEX(挂机升级突破!$BU$6:$BU$57,卡牌消耗!AI1327))</f>
        <v>金币</v>
      </c>
      <c r="AK1327" s="14">
        <f>ROUND(INDEX(挂机升级突破!$BN$6:$BN$57,卡牌消耗!AI1327)*INDEX(卡牌消耗!$B$8:$F$8,AG1327)/$Q$4/50,0)*50</f>
        <v>10750</v>
      </c>
      <c r="AL1327" s="14" t="str">
        <f>IF(AD1327&gt;0,INDEX(挂机升级突破!$BX$4:$CH$4,AD1327),"")</f>
        <v>橙色基础材料</v>
      </c>
      <c r="AM1327" s="14">
        <f>ROUND(INDEX(挂机升级突破!$BX$6:$CH$57,卡牌消耗!AI1327,AD1327)*INDEX(卡牌消耗!$B$5:$F$5,AG1327)/$Q$4/5,0)*5</f>
        <v>105</v>
      </c>
      <c r="AN1327" s="14" t="str">
        <f>IF(AE1327&gt;0,INDEX(挂机升级突破!$BX$4:$CH$4,AE1327),"")</f>
        <v/>
      </c>
      <c r="AO1327" s="14" t="str">
        <f>IF(AE1327&gt;0,ROUND(INDEX(挂机升级突破!$BX$6:$CH$57,卡牌消耗!AI1327,AE1327)*INDEX(卡牌消耗!$B$7:$F$7,AG1327)/$Q$4,0),"")</f>
        <v/>
      </c>
    </row>
    <row r="1328" spans="27:41" ht="16.5" x14ac:dyDescent="0.2">
      <c r="AA1328" s="104">
        <v>1324</v>
      </c>
      <c r="AB1328" s="14">
        <f t="shared" si="233"/>
        <v>26</v>
      </c>
      <c r="AC1328" s="14">
        <f>INDEX(挂机升级突破!$BU$6:$BU$57,卡牌消耗!AI1328)</f>
        <v>11</v>
      </c>
      <c r="AD1328" s="14">
        <f>INDEX(挂机升级突破!BV$6:BV$57,卡牌消耗!$AI1328)</f>
        <v>4</v>
      </c>
      <c r="AE1328" s="14">
        <f>INDEX(挂机升级突破!BW$6:BW$57,卡牌消耗!$AI1328)</f>
        <v>0</v>
      </c>
      <c r="AF1328" s="14" t="str">
        <f t="shared" si="234"/>
        <v>吕布</v>
      </c>
      <c r="AG1328" s="14">
        <f t="shared" si="235"/>
        <v>5</v>
      </c>
      <c r="AH1328" s="14" t="str">
        <f t="shared" si="236"/>
        <v>吕布魂火-24</v>
      </c>
      <c r="AI1328" s="14">
        <f t="shared" si="237"/>
        <v>24</v>
      </c>
      <c r="AJ1328" s="14" t="str">
        <f>INDEX(挂机升级突破!$BX$4:$CH$4,INDEX(挂机升级突破!$BU$6:$BU$57,卡牌消耗!AI1328))</f>
        <v>金币</v>
      </c>
      <c r="AK1328" s="14">
        <f>ROUND(INDEX(挂机升级突破!$BN$6:$BN$57,卡牌消耗!AI1328)*INDEX(卡牌消耗!$B$8:$F$8,AG1328)/$Q$4/50,0)*50</f>
        <v>10750</v>
      </c>
      <c r="AL1328" s="14" t="str">
        <f>IF(AD1328&gt;0,INDEX(挂机升级突破!$BX$4:$CH$4,AD1328),"")</f>
        <v>橙色基础材料</v>
      </c>
      <c r="AM1328" s="14">
        <f>ROUND(INDEX(挂机升级突破!$BX$6:$CH$57,卡牌消耗!AI1328,AD1328)*INDEX(卡牌消耗!$B$5:$F$5,AG1328)/$Q$4/5,0)*5</f>
        <v>105</v>
      </c>
      <c r="AN1328" s="14" t="str">
        <f>IF(AE1328&gt;0,INDEX(挂机升级突破!$BX$4:$CH$4,AE1328),"")</f>
        <v/>
      </c>
      <c r="AO1328" s="14" t="str">
        <f>IF(AE1328&gt;0,ROUND(INDEX(挂机升级突破!$BX$6:$CH$57,卡牌消耗!AI1328,AE1328)*INDEX(卡牌消耗!$B$7:$F$7,AG1328)/$Q$4,0),"")</f>
        <v/>
      </c>
    </row>
    <row r="1329" spans="27:41" ht="16.5" x14ac:dyDescent="0.2">
      <c r="AA1329" s="104">
        <v>1325</v>
      </c>
      <c r="AB1329" s="14">
        <f t="shared" si="233"/>
        <v>26</v>
      </c>
      <c r="AC1329" s="14">
        <f>INDEX(挂机升级突破!$BU$6:$BU$57,卡牌消耗!AI1329)</f>
        <v>11</v>
      </c>
      <c r="AD1329" s="14">
        <f>INDEX(挂机升级突破!BV$6:BV$57,卡牌消耗!$AI1329)</f>
        <v>4</v>
      </c>
      <c r="AE1329" s="14">
        <f>INDEX(挂机升级突破!BW$6:BW$57,卡牌消耗!$AI1329)</f>
        <v>0</v>
      </c>
      <c r="AF1329" s="14" t="str">
        <f t="shared" si="234"/>
        <v>吕布</v>
      </c>
      <c r="AG1329" s="14">
        <f t="shared" si="235"/>
        <v>5</v>
      </c>
      <c r="AH1329" s="14" t="str">
        <f t="shared" si="236"/>
        <v>吕布魂火-25</v>
      </c>
      <c r="AI1329" s="14">
        <f t="shared" si="237"/>
        <v>25</v>
      </c>
      <c r="AJ1329" s="14" t="str">
        <f>INDEX(挂机升级突破!$BX$4:$CH$4,INDEX(挂机升级突破!$BU$6:$BU$57,卡牌消耗!AI1329))</f>
        <v>金币</v>
      </c>
      <c r="AK1329" s="14">
        <f>ROUND(INDEX(挂机升级突破!$BN$6:$BN$57,卡牌消耗!AI1329)*INDEX(卡牌消耗!$B$8:$F$8,AG1329)/$Q$4/50,0)*50</f>
        <v>11700</v>
      </c>
      <c r="AL1329" s="14" t="str">
        <f>IF(AD1329&gt;0,INDEX(挂机升级突破!$BX$4:$CH$4,AD1329),"")</f>
        <v>橙色基础材料</v>
      </c>
      <c r="AM1329" s="14">
        <f>ROUND(INDEX(挂机升级突破!$BX$6:$CH$57,卡牌消耗!AI1329,AD1329)*INDEX(卡牌消耗!$B$5:$F$5,AG1329)/$Q$4/5,0)*5</f>
        <v>105</v>
      </c>
      <c r="AN1329" s="14" t="str">
        <f>IF(AE1329&gt;0,INDEX(挂机升级突破!$BX$4:$CH$4,AE1329),"")</f>
        <v/>
      </c>
      <c r="AO1329" s="14" t="str">
        <f>IF(AE1329&gt;0,ROUND(INDEX(挂机升级突破!$BX$6:$CH$57,卡牌消耗!AI1329,AE1329)*INDEX(卡牌消耗!$B$7:$F$7,AG1329)/$Q$4,0),"")</f>
        <v/>
      </c>
    </row>
    <row r="1330" spans="27:41" ht="16.5" x14ac:dyDescent="0.2">
      <c r="AA1330" s="104">
        <v>1326</v>
      </c>
      <c r="AB1330" s="14">
        <f t="shared" si="233"/>
        <v>26</v>
      </c>
      <c r="AC1330" s="14">
        <f>INDEX(挂机升级突破!$BU$6:$BU$57,卡牌消耗!AI1330)</f>
        <v>11</v>
      </c>
      <c r="AD1330" s="14">
        <f>INDEX(挂机升级突破!BV$6:BV$57,卡牌消耗!$AI1330)</f>
        <v>4</v>
      </c>
      <c r="AE1330" s="14">
        <f>INDEX(挂机升级突破!BW$6:BW$57,卡牌消耗!$AI1330)</f>
        <v>0</v>
      </c>
      <c r="AF1330" s="14" t="str">
        <f t="shared" si="234"/>
        <v>吕布</v>
      </c>
      <c r="AG1330" s="14">
        <f t="shared" si="235"/>
        <v>5</v>
      </c>
      <c r="AH1330" s="14" t="str">
        <f t="shared" si="236"/>
        <v>吕布魂火-26</v>
      </c>
      <c r="AI1330" s="14">
        <f t="shared" si="237"/>
        <v>26</v>
      </c>
      <c r="AJ1330" s="14" t="str">
        <f>INDEX(挂机升级突破!$BX$4:$CH$4,INDEX(挂机升级突破!$BU$6:$BU$57,卡牌消耗!AI1330))</f>
        <v>金币</v>
      </c>
      <c r="AK1330" s="14">
        <f>ROUND(INDEX(挂机升级突破!$BN$6:$BN$57,卡牌消耗!AI1330)*INDEX(卡牌消耗!$B$8:$F$8,AG1330)/$Q$4/50,0)*50</f>
        <v>13650</v>
      </c>
      <c r="AL1330" s="14" t="str">
        <f>IF(AD1330&gt;0,INDEX(挂机升级突破!$BX$4:$CH$4,AD1330),"")</f>
        <v>橙色基础材料</v>
      </c>
      <c r="AM1330" s="14">
        <f>ROUND(INDEX(挂机升级突破!$BX$6:$CH$57,卡牌消耗!AI1330,AD1330)*INDEX(卡牌消耗!$B$5:$F$5,AG1330)/$Q$4/5,0)*5</f>
        <v>125</v>
      </c>
      <c r="AN1330" s="14" t="str">
        <f>IF(AE1330&gt;0,INDEX(挂机升级突破!$BX$4:$CH$4,AE1330),"")</f>
        <v/>
      </c>
      <c r="AO1330" s="14" t="str">
        <f>IF(AE1330&gt;0,ROUND(INDEX(挂机升级突破!$BX$6:$CH$57,卡牌消耗!AI1330,AE1330)*INDEX(卡牌消耗!$B$7:$F$7,AG1330)/$Q$4,0),"")</f>
        <v/>
      </c>
    </row>
    <row r="1331" spans="27:41" ht="16.5" x14ac:dyDescent="0.2">
      <c r="AA1331" s="104">
        <v>1327</v>
      </c>
      <c r="AB1331" s="14">
        <f t="shared" si="233"/>
        <v>26</v>
      </c>
      <c r="AC1331" s="14">
        <f>INDEX(挂机升级突破!$BU$6:$BU$57,卡牌消耗!AI1331)</f>
        <v>11</v>
      </c>
      <c r="AD1331" s="14">
        <f>INDEX(挂机升级突破!BV$6:BV$57,卡牌消耗!$AI1331)</f>
        <v>4</v>
      </c>
      <c r="AE1331" s="14">
        <f>INDEX(挂机升级突破!BW$6:BW$57,卡牌消耗!$AI1331)</f>
        <v>0</v>
      </c>
      <c r="AF1331" s="14" t="str">
        <f t="shared" si="234"/>
        <v>吕布</v>
      </c>
      <c r="AG1331" s="14">
        <f t="shared" si="235"/>
        <v>5</v>
      </c>
      <c r="AH1331" s="14" t="str">
        <f t="shared" si="236"/>
        <v>吕布魂火-27</v>
      </c>
      <c r="AI1331" s="14">
        <f t="shared" si="237"/>
        <v>27</v>
      </c>
      <c r="AJ1331" s="14" t="str">
        <f>INDEX(挂机升级突破!$BX$4:$CH$4,INDEX(挂机升级突破!$BU$6:$BU$57,卡牌消耗!AI1331))</f>
        <v>金币</v>
      </c>
      <c r="AK1331" s="14">
        <f>ROUND(INDEX(挂机升级突破!$BN$6:$BN$57,卡牌消耗!AI1331)*INDEX(卡牌消耗!$B$8:$F$8,AG1331)/$Q$4/50,0)*50</f>
        <v>13650</v>
      </c>
      <c r="AL1331" s="14" t="str">
        <f>IF(AD1331&gt;0,INDEX(挂机升级突破!$BX$4:$CH$4,AD1331),"")</f>
        <v>橙色基础材料</v>
      </c>
      <c r="AM1331" s="14">
        <f>ROUND(INDEX(挂机升级突破!$BX$6:$CH$57,卡牌消耗!AI1331,AD1331)*INDEX(卡牌消耗!$B$5:$F$5,AG1331)/$Q$4/5,0)*5</f>
        <v>125</v>
      </c>
      <c r="AN1331" s="14" t="str">
        <f>IF(AE1331&gt;0,INDEX(挂机升级突破!$BX$4:$CH$4,AE1331),"")</f>
        <v/>
      </c>
      <c r="AO1331" s="14" t="str">
        <f>IF(AE1331&gt;0,ROUND(INDEX(挂机升级突破!$BX$6:$CH$57,卡牌消耗!AI1331,AE1331)*INDEX(卡牌消耗!$B$7:$F$7,AG1331)/$Q$4,0),"")</f>
        <v/>
      </c>
    </row>
    <row r="1332" spans="27:41" ht="16.5" x14ac:dyDescent="0.2">
      <c r="AA1332" s="104">
        <v>1328</v>
      </c>
      <c r="AB1332" s="14">
        <f t="shared" si="233"/>
        <v>26</v>
      </c>
      <c r="AC1332" s="14">
        <f>INDEX(挂机升级突破!$BU$6:$BU$57,卡牌消耗!AI1332)</f>
        <v>11</v>
      </c>
      <c r="AD1332" s="14">
        <f>INDEX(挂机升级突破!BV$6:BV$57,卡牌消耗!$AI1332)</f>
        <v>4</v>
      </c>
      <c r="AE1332" s="14">
        <f>INDEX(挂机升级突破!BW$6:BW$57,卡牌消耗!$AI1332)</f>
        <v>0</v>
      </c>
      <c r="AF1332" s="14" t="str">
        <f t="shared" si="234"/>
        <v>吕布</v>
      </c>
      <c r="AG1332" s="14">
        <f t="shared" si="235"/>
        <v>5</v>
      </c>
      <c r="AH1332" s="14" t="str">
        <f t="shared" si="236"/>
        <v>吕布魂火-28</v>
      </c>
      <c r="AI1332" s="14">
        <f t="shared" si="237"/>
        <v>28</v>
      </c>
      <c r="AJ1332" s="14" t="str">
        <f>INDEX(挂机升级突破!$BX$4:$CH$4,INDEX(挂机升级突破!$BU$6:$BU$57,卡牌消耗!AI1332))</f>
        <v>金币</v>
      </c>
      <c r="AK1332" s="14">
        <f>ROUND(INDEX(挂机升级突破!$BN$6:$BN$57,卡牌消耗!AI1332)*INDEX(卡牌消耗!$B$8:$F$8,AG1332)/$Q$4/50,0)*50</f>
        <v>13650</v>
      </c>
      <c r="AL1332" s="14" t="str">
        <f>IF(AD1332&gt;0,INDEX(挂机升级突破!$BX$4:$CH$4,AD1332),"")</f>
        <v>橙色基础材料</v>
      </c>
      <c r="AM1332" s="14">
        <f>ROUND(INDEX(挂机升级突破!$BX$6:$CH$57,卡牌消耗!AI1332,AD1332)*INDEX(卡牌消耗!$B$5:$F$5,AG1332)/$Q$4/5,0)*5</f>
        <v>125</v>
      </c>
      <c r="AN1332" s="14" t="str">
        <f>IF(AE1332&gt;0,INDEX(挂机升级突破!$BX$4:$CH$4,AE1332),"")</f>
        <v/>
      </c>
      <c r="AO1332" s="14" t="str">
        <f>IF(AE1332&gt;0,ROUND(INDEX(挂机升级突破!$BX$6:$CH$57,卡牌消耗!AI1332,AE1332)*INDEX(卡牌消耗!$B$7:$F$7,AG1332)/$Q$4,0),"")</f>
        <v/>
      </c>
    </row>
    <row r="1333" spans="27:41" ht="16.5" x14ac:dyDescent="0.2">
      <c r="AA1333" s="104">
        <v>1329</v>
      </c>
      <c r="AB1333" s="14">
        <f t="shared" si="233"/>
        <v>26</v>
      </c>
      <c r="AC1333" s="14">
        <f>INDEX(挂机升级突破!$BU$6:$BU$57,卡牌消耗!AI1333)</f>
        <v>11</v>
      </c>
      <c r="AD1333" s="14">
        <f>INDEX(挂机升级突破!BV$6:BV$57,卡牌消耗!$AI1333)</f>
        <v>4</v>
      </c>
      <c r="AE1333" s="14">
        <f>INDEX(挂机升级突破!BW$6:BW$57,卡牌消耗!$AI1333)</f>
        <v>0</v>
      </c>
      <c r="AF1333" s="14" t="str">
        <f t="shared" si="234"/>
        <v>吕布</v>
      </c>
      <c r="AG1333" s="14">
        <f t="shared" si="235"/>
        <v>5</v>
      </c>
      <c r="AH1333" s="14" t="str">
        <f t="shared" si="236"/>
        <v>吕布魂火-29</v>
      </c>
      <c r="AI1333" s="14">
        <f t="shared" si="237"/>
        <v>29</v>
      </c>
      <c r="AJ1333" s="14" t="str">
        <f>INDEX(挂机升级突破!$BX$4:$CH$4,INDEX(挂机升级突破!$BU$6:$BU$57,卡牌消耗!AI1333))</f>
        <v>金币</v>
      </c>
      <c r="AK1333" s="14">
        <f>ROUND(INDEX(挂机升级突破!$BN$6:$BN$57,卡牌消耗!AI1333)*INDEX(卡牌消耗!$B$8:$F$8,AG1333)/$Q$4/50,0)*50</f>
        <v>13850</v>
      </c>
      <c r="AL1333" s="14" t="str">
        <f>IF(AD1333&gt;0,INDEX(挂机升级突破!$BX$4:$CH$4,AD1333),"")</f>
        <v>橙色基础材料</v>
      </c>
      <c r="AM1333" s="14">
        <f>ROUND(INDEX(挂机升级突破!$BX$6:$CH$57,卡牌消耗!AI1333,AD1333)*INDEX(卡牌消耗!$B$5:$F$5,AG1333)/$Q$4/5,0)*5</f>
        <v>145</v>
      </c>
      <c r="AN1333" s="14" t="str">
        <f>IF(AE1333&gt;0,INDEX(挂机升级突破!$BX$4:$CH$4,AE1333),"")</f>
        <v/>
      </c>
      <c r="AO1333" s="14" t="str">
        <f>IF(AE1333&gt;0,ROUND(INDEX(挂机升级突破!$BX$6:$CH$57,卡牌消耗!AI1333,AE1333)*INDEX(卡牌消耗!$B$7:$F$7,AG1333)/$Q$4,0),"")</f>
        <v/>
      </c>
    </row>
    <row r="1334" spans="27:41" ht="16.5" x14ac:dyDescent="0.2">
      <c r="AA1334" s="104">
        <v>1330</v>
      </c>
      <c r="AB1334" s="14">
        <f t="shared" si="233"/>
        <v>26</v>
      </c>
      <c r="AC1334" s="14">
        <f>INDEX(挂机升级突破!$BU$6:$BU$57,卡牌消耗!AI1334)</f>
        <v>11</v>
      </c>
      <c r="AD1334" s="14">
        <f>INDEX(挂机升级突破!BV$6:BV$57,卡牌消耗!$AI1334)</f>
        <v>4</v>
      </c>
      <c r="AE1334" s="14">
        <f>INDEX(挂机升级突破!BW$6:BW$57,卡牌消耗!$AI1334)</f>
        <v>0</v>
      </c>
      <c r="AF1334" s="14" t="str">
        <f t="shared" si="234"/>
        <v>吕布</v>
      </c>
      <c r="AG1334" s="14">
        <f t="shared" si="235"/>
        <v>5</v>
      </c>
      <c r="AH1334" s="14" t="str">
        <f t="shared" si="236"/>
        <v>吕布魂火-30</v>
      </c>
      <c r="AI1334" s="14">
        <f t="shared" si="237"/>
        <v>30</v>
      </c>
      <c r="AJ1334" s="14" t="str">
        <f>INDEX(挂机升级突破!$BX$4:$CH$4,INDEX(挂机升级突破!$BU$6:$BU$57,卡牌消耗!AI1334))</f>
        <v>金币</v>
      </c>
      <c r="AK1334" s="14">
        <f>ROUND(INDEX(挂机升级突破!$BN$6:$BN$57,卡牌消耗!AI1334)*INDEX(卡牌消耗!$B$8:$F$8,AG1334)/$Q$4/50,0)*50</f>
        <v>13850</v>
      </c>
      <c r="AL1334" s="14" t="str">
        <f>IF(AD1334&gt;0,INDEX(挂机升级突破!$BX$4:$CH$4,AD1334),"")</f>
        <v>橙色基础材料</v>
      </c>
      <c r="AM1334" s="14">
        <f>ROUND(INDEX(挂机升级突破!$BX$6:$CH$57,卡牌消耗!AI1334,AD1334)*INDEX(卡牌消耗!$B$5:$F$5,AG1334)/$Q$4/5,0)*5</f>
        <v>145</v>
      </c>
      <c r="AN1334" s="14" t="str">
        <f>IF(AE1334&gt;0,INDEX(挂机升级突破!$BX$4:$CH$4,AE1334),"")</f>
        <v/>
      </c>
      <c r="AO1334" s="14" t="str">
        <f>IF(AE1334&gt;0,ROUND(INDEX(挂机升级突破!$BX$6:$CH$57,卡牌消耗!AI1334,AE1334)*INDEX(卡牌消耗!$B$7:$F$7,AG1334)/$Q$4,0),"")</f>
        <v/>
      </c>
    </row>
    <row r="1335" spans="27:41" ht="16.5" x14ac:dyDescent="0.2">
      <c r="AA1335" s="104">
        <v>1331</v>
      </c>
      <c r="AB1335" s="14">
        <f t="shared" si="233"/>
        <v>26</v>
      </c>
      <c r="AC1335" s="14">
        <f>INDEX(挂机升级突破!$BU$6:$BU$57,卡牌消耗!AI1335)</f>
        <v>11</v>
      </c>
      <c r="AD1335" s="14">
        <f>INDEX(挂机升级突破!BV$6:BV$57,卡牌消耗!$AI1335)</f>
        <v>4</v>
      </c>
      <c r="AE1335" s="14">
        <f>INDEX(挂机升级突破!BW$6:BW$57,卡牌消耗!$AI1335)</f>
        <v>0</v>
      </c>
      <c r="AF1335" s="14" t="str">
        <f t="shared" si="234"/>
        <v>吕布</v>
      </c>
      <c r="AG1335" s="14">
        <f t="shared" si="235"/>
        <v>5</v>
      </c>
      <c r="AH1335" s="14" t="str">
        <f t="shared" si="236"/>
        <v>吕布魂火-31</v>
      </c>
      <c r="AI1335" s="14">
        <f t="shared" si="237"/>
        <v>31</v>
      </c>
      <c r="AJ1335" s="14" t="str">
        <f>INDEX(挂机升级突破!$BX$4:$CH$4,INDEX(挂机升级突破!$BU$6:$BU$57,卡牌消耗!AI1335))</f>
        <v>金币</v>
      </c>
      <c r="AK1335" s="14">
        <f>ROUND(INDEX(挂机升级突破!$BN$6:$BN$57,卡牌消耗!AI1335)*INDEX(卡牌消耗!$B$8:$F$8,AG1335)/$Q$4/50,0)*50</f>
        <v>13850</v>
      </c>
      <c r="AL1335" s="14" t="str">
        <f>IF(AD1335&gt;0,INDEX(挂机升级突破!$BX$4:$CH$4,AD1335),"")</f>
        <v>橙色基础材料</v>
      </c>
      <c r="AM1335" s="14">
        <f>ROUND(INDEX(挂机升级突破!$BX$6:$CH$57,卡牌消耗!AI1335,AD1335)*INDEX(卡牌消耗!$B$5:$F$5,AG1335)/$Q$4/5,0)*5</f>
        <v>145</v>
      </c>
      <c r="AN1335" s="14" t="str">
        <f>IF(AE1335&gt;0,INDEX(挂机升级突破!$BX$4:$CH$4,AE1335),"")</f>
        <v/>
      </c>
      <c r="AO1335" s="14" t="str">
        <f>IF(AE1335&gt;0,ROUND(INDEX(挂机升级突破!$BX$6:$CH$57,卡牌消耗!AI1335,AE1335)*INDEX(卡牌消耗!$B$7:$F$7,AG1335)/$Q$4,0),"")</f>
        <v/>
      </c>
    </row>
    <row r="1336" spans="27:41" ht="16.5" x14ac:dyDescent="0.2">
      <c r="AA1336" s="104">
        <v>1332</v>
      </c>
      <c r="AB1336" s="14">
        <f t="shared" si="233"/>
        <v>26</v>
      </c>
      <c r="AC1336" s="14">
        <f>INDEX(挂机升级突破!$BU$6:$BU$57,卡牌消耗!AI1336)</f>
        <v>11</v>
      </c>
      <c r="AD1336" s="14">
        <f>INDEX(挂机升级突破!BV$6:BV$57,卡牌消耗!$AI1336)</f>
        <v>4</v>
      </c>
      <c r="AE1336" s="14">
        <f>INDEX(挂机升级突破!BW$6:BW$57,卡牌消耗!$AI1336)</f>
        <v>0</v>
      </c>
      <c r="AF1336" s="14" t="str">
        <f t="shared" si="234"/>
        <v>吕布</v>
      </c>
      <c r="AG1336" s="14">
        <f t="shared" si="235"/>
        <v>5</v>
      </c>
      <c r="AH1336" s="14" t="str">
        <f t="shared" si="236"/>
        <v>吕布魂火-32</v>
      </c>
      <c r="AI1336" s="14">
        <f t="shared" si="237"/>
        <v>32</v>
      </c>
      <c r="AJ1336" s="14" t="str">
        <f>INDEX(挂机升级突破!$BX$4:$CH$4,INDEX(挂机升级突破!$BU$6:$BU$57,卡牌消耗!AI1336))</f>
        <v>金币</v>
      </c>
      <c r="AK1336" s="14">
        <f>ROUND(INDEX(挂机升级突破!$BN$6:$BN$57,卡牌消耗!AI1336)*INDEX(卡牌消耗!$B$8:$F$8,AG1336)/$Q$4/50,0)*50</f>
        <v>19000</v>
      </c>
      <c r="AL1336" s="14" t="str">
        <f>IF(AD1336&gt;0,INDEX(挂机升级突破!$BX$4:$CH$4,AD1336),"")</f>
        <v>橙色基础材料</v>
      </c>
      <c r="AM1336" s="14">
        <f>ROUND(INDEX(挂机升级突破!$BX$6:$CH$57,卡牌消耗!AI1336,AD1336)*INDEX(卡牌消耗!$B$5:$F$5,AG1336)/$Q$4/5,0)*5</f>
        <v>145</v>
      </c>
      <c r="AN1336" s="14" t="str">
        <f>IF(AE1336&gt;0,INDEX(挂机升级突破!$BX$4:$CH$4,AE1336),"")</f>
        <v/>
      </c>
      <c r="AO1336" s="14" t="str">
        <f>IF(AE1336&gt;0,ROUND(INDEX(挂机升级突破!$BX$6:$CH$57,卡牌消耗!AI1336,AE1336)*INDEX(卡牌消耗!$B$7:$F$7,AG1336)/$Q$4,0),"")</f>
        <v/>
      </c>
    </row>
    <row r="1337" spans="27:41" ht="16.5" x14ac:dyDescent="0.2">
      <c r="AA1337" s="104">
        <v>1333</v>
      </c>
      <c r="AB1337" s="14">
        <f t="shared" si="233"/>
        <v>26</v>
      </c>
      <c r="AC1337" s="14">
        <f>INDEX(挂机升级突破!$BU$6:$BU$57,卡牌消耗!AI1337)</f>
        <v>11</v>
      </c>
      <c r="AD1337" s="14">
        <f>INDEX(挂机升级突破!BV$6:BV$57,卡牌消耗!$AI1337)</f>
        <v>4</v>
      </c>
      <c r="AE1337" s="14">
        <f>INDEX(挂机升级突破!BW$6:BW$57,卡牌消耗!$AI1337)</f>
        <v>0</v>
      </c>
      <c r="AF1337" s="14" t="str">
        <f t="shared" si="234"/>
        <v>吕布</v>
      </c>
      <c r="AG1337" s="14">
        <f t="shared" si="235"/>
        <v>5</v>
      </c>
      <c r="AH1337" s="14" t="str">
        <f t="shared" si="236"/>
        <v>吕布魂火-33</v>
      </c>
      <c r="AI1337" s="14">
        <f t="shared" si="237"/>
        <v>33</v>
      </c>
      <c r="AJ1337" s="14" t="str">
        <f>INDEX(挂机升级突破!$BX$4:$CH$4,INDEX(挂机升级突破!$BU$6:$BU$57,卡牌消耗!AI1337))</f>
        <v>金币</v>
      </c>
      <c r="AK1337" s="14">
        <f>ROUND(INDEX(挂机升级突破!$BN$6:$BN$57,卡牌消耗!AI1337)*INDEX(卡牌消耗!$B$8:$F$8,AG1337)/$Q$4/50,0)*50</f>
        <v>19000</v>
      </c>
      <c r="AL1337" s="14" t="str">
        <f>IF(AD1337&gt;0,INDEX(挂机升级突破!$BX$4:$CH$4,AD1337),"")</f>
        <v>橙色基础材料</v>
      </c>
      <c r="AM1337" s="14">
        <f>ROUND(INDEX(挂机升级突破!$BX$6:$CH$57,卡牌消耗!AI1337,AD1337)*INDEX(卡牌消耗!$B$5:$F$5,AG1337)/$Q$4/5,0)*5</f>
        <v>145</v>
      </c>
      <c r="AN1337" s="14" t="str">
        <f>IF(AE1337&gt;0,INDEX(挂机升级突破!$BX$4:$CH$4,AE1337),"")</f>
        <v/>
      </c>
      <c r="AO1337" s="14" t="str">
        <f>IF(AE1337&gt;0,ROUND(INDEX(挂机升级突破!$BX$6:$CH$57,卡牌消耗!AI1337,AE1337)*INDEX(卡牌消耗!$B$7:$F$7,AG1337)/$Q$4,0),"")</f>
        <v/>
      </c>
    </row>
    <row r="1338" spans="27:41" ht="16.5" x14ac:dyDescent="0.2">
      <c r="AA1338" s="104">
        <v>1334</v>
      </c>
      <c r="AB1338" s="14">
        <f t="shared" si="233"/>
        <v>26</v>
      </c>
      <c r="AC1338" s="14">
        <f>INDEX(挂机升级突破!$BU$6:$BU$57,卡牌消耗!AI1338)</f>
        <v>11</v>
      </c>
      <c r="AD1338" s="14">
        <f>INDEX(挂机升级突破!BV$6:BV$57,卡牌消耗!$AI1338)</f>
        <v>4</v>
      </c>
      <c r="AE1338" s="14">
        <f>INDEX(挂机升级突破!BW$6:BW$57,卡牌消耗!$AI1338)</f>
        <v>0</v>
      </c>
      <c r="AF1338" s="14" t="str">
        <f t="shared" si="234"/>
        <v>吕布</v>
      </c>
      <c r="AG1338" s="14">
        <f t="shared" si="235"/>
        <v>5</v>
      </c>
      <c r="AH1338" s="14" t="str">
        <f t="shared" si="236"/>
        <v>吕布魂火-34</v>
      </c>
      <c r="AI1338" s="14">
        <f t="shared" si="237"/>
        <v>34</v>
      </c>
      <c r="AJ1338" s="14" t="str">
        <f>INDEX(挂机升级突破!$BX$4:$CH$4,INDEX(挂机升级突破!$BU$6:$BU$57,卡牌消耗!AI1338))</f>
        <v>金币</v>
      </c>
      <c r="AK1338" s="14">
        <f>ROUND(INDEX(挂机升级突破!$BN$6:$BN$57,卡牌消耗!AI1338)*INDEX(卡牌消耗!$B$8:$F$8,AG1338)/$Q$4/50,0)*50</f>
        <v>19000</v>
      </c>
      <c r="AL1338" s="14" t="str">
        <f>IF(AD1338&gt;0,INDEX(挂机升级突破!$BX$4:$CH$4,AD1338),"")</f>
        <v>橙色基础材料</v>
      </c>
      <c r="AM1338" s="14">
        <f>ROUND(INDEX(挂机升级突破!$BX$6:$CH$57,卡牌消耗!AI1338,AD1338)*INDEX(卡牌消耗!$B$5:$F$5,AG1338)/$Q$4/5,0)*5</f>
        <v>165</v>
      </c>
      <c r="AN1338" s="14" t="str">
        <f>IF(AE1338&gt;0,INDEX(挂机升级突破!$BX$4:$CH$4,AE1338),"")</f>
        <v/>
      </c>
      <c r="AO1338" s="14" t="str">
        <f>IF(AE1338&gt;0,ROUND(INDEX(挂机升级突破!$BX$6:$CH$57,卡牌消耗!AI1338,AE1338)*INDEX(卡牌消耗!$B$7:$F$7,AG1338)/$Q$4,0),"")</f>
        <v/>
      </c>
    </row>
    <row r="1339" spans="27:41" ht="16.5" x14ac:dyDescent="0.2">
      <c r="AA1339" s="104">
        <v>1335</v>
      </c>
      <c r="AB1339" s="14">
        <f t="shared" si="233"/>
        <v>26</v>
      </c>
      <c r="AC1339" s="14">
        <f>INDEX(挂机升级突破!$BU$6:$BU$57,卡牌消耗!AI1339)</f>
        <v>11</v>
      </c>
      <c r="AD1339" s="14">
        <f>INDEX(挂机升级突破!BV$6:BV$57,卡牌消耗!$AI1339)</f>
        <v>4</v>
      </c>
      <c r="AE1339" s="14">
        <f>INDEX(挂机升级突破!BW$6:BW$57,卡牌消耗!$AI1339)</f>
        <v>0</v>
      </c>
      <c r="AF1339" s="14" t="str">
        <f t="shared" si="234"/>
        <v>吕布</v>
      </c>
      <c r="AG1339" s="14">
        <f t="shared" si="235"/>
        <v>5</v>
      </c>
      <c r="AH1339" s="14" t="str">
        <f t="shared" si="236"/>
        <v>吕布魂火-35</v>
      </c>
      <c r="AI1339" s="14">
        <f t="shared" si="237"/>
        <v>35</v>
      </c>
      <c r="AJ1339" s="14" t="str">
        <f>INDEX(挂机升级突破!$BX$4:$CH$4,INDEX(挂机升级突破!$BU$6:$BU$57,卡牌消耗!AI1339))</f>
        <v>金币</v>
      </c>
      <c r="AK1339" s="14">
        <f>ROUND(INDEX(挂机升级突破!$BN$6:$BN$57,卡牌消耗!AI1339)*INDEX(卡牌消耗!$B$8:$F$8,AG1339)/$Q$4/50,0)*50</f>
        <v>24200</v>
      </c>
      <c r="AL1339" s="14" t="str">
        <f>IF(AD1339&gt;0,INDEX(挂机升级突破!$BX$4:$CH$4,AD1339),"")</f>
        <v>橙色基础材料</v>
      </c>
      <c r="AM1339" s="14">
        <f>ROUND(INDEX(挂机升级突破!$BX$6:$CH$57,卡牌消耗!AI1339,AD1339)*INDEX(卡牌消耗!$B$5:$F$5,AG1339)/$Q$4/5,0)*5</f>
        <v>165</v>
      </c>
      <c r="AN1339" s="14" t="str">
        <f>IF(AE1339&gt;0,INDEX(挂机升级突破!$BX$4:$CH$4,AE1339),"")</f>
        <v/>
      </c>
      <c r="AO1339" s="14" t="str">
        <f>IF(AE1339&gt;0,ROUND(INDEX(挂机升级突破!$BX$6:$CH$57,卡牌消耗!AI1339,AE1339)*INDEX(卡牌消耗!$B$7:$F$7,AG1339)/$Q$4,0),"")</f>
        <v/>
      </c>
    </row>
    <row r="1340" spans="27:41" ht="16.5" x14ac:dyDescent="0.2">
      <c r="AA1340" s="104">
        <v>1336</v>
      </c>
      <c r="AB1340" s="14">
        <f t="shared" si="233"/>
        <v>26</v>
      </c>
      <c r="AC1340" s="14">
        <f>INDEX(挂机升级突破!$BU$6:$BU$57,卡牌消耗!AI1340)</f>
        <v>11</v>
      </c>
      <c r="AD1340" s="14">
        <f>INDEX(挂机升级突破!BV$6:BV$57,卡牌消耗!$AI1340)</f>
        <v>4</v>
      </c>
      <c r="AE1340" s="14">
        <f>INDEX(挂机升级突破!BW$6:BW$57,卡牌消耗!$AI1340)</f>
        <v>0</v>
      </c>
      <c r="AF1340" s="14" t="str">
        <f t="shared" si="234"/>
        <v>吕布</v>
      </c>
      <c r="AG1340" s="14">
        <f t="shared" si="235"/>
        <v>5</v>
      </c>
      <c r="AH1340" s="14" t="str">
        <f t="shared" si="236"/>
        <v>吕布魂火-36</v>
      </c>
      <c r="AI1340" s="14">
        <f t="shared" si="237"/>
        <v>36</v>
      </c>
      <c r="AJ1340" s="14" t="str">
        <f>INDEX(挂机升级突破!$BX$4:$CH$4,INDEX(挂机升级突破!$BU$6:$BU$57,卡牌消耗!AI1340))</f>
        <v>金币</v>
      </c>
      <c r="AK1340" s="14">
        <f>ROUND(INDEX(挂机升级突破!$BN$6:$BN$57,卡牌消耗!AI1340)*INDEX(卡牌消耗!$B$8:$F$8,AG1340)/$Q$4/50,0)*50</f>
        <v>24200</v>
      </c>
      <c r="AL1340" s="14" t="str">
        <f>IF(AD1340&gt;0,INDEX(挂机升级突破!$BX$4:$CH$4,AD1340),"")</f>
        <v>橙色基础材料</v>
      </c>
      <c r="AM1340" s="14">
        <f>ROUND(INDEX(挂机升级突破!$BX$6:$CH$57,卡牌消耗!AI1340,AD1340)*INDEX(卡牌消耗!$B$5:$F$5,AG1340)/$Q$4/5,0)*5</f>
        <v>165</v>
      </c>
      <c r="AN1340" s="14" t="str">
        <f>IF(AE1340&gt;0,INDEX(挂机升级突破!$BX$4:$CH$4,AE1340),"")</f>
        <v/>
      </c>
      <c r="AO1340" s="14" t="str">
        <f>IF(AE1340&gt;0,ROUND(INDEX(挂机升级突破!$BX$6:$CH$57,卡牌消耗!AI1340,AE1340)*INDEX(卡牌消耗!$B$7:$F$7,AG1340)/$Q$4,0),"")</f>
        <v/>
      </c>
    </row>
    <row r="1341" spans="27:41" ht="16.5" x14ac:dyDescent="0.2">
      <c r="AA1341" s="104">
        <v>1337</v>
      </c>
      <c r="AB1341" s="14">
        <f t="shared" si="233"/>
        <v>26</v>
      </c>
      <c r="AC1341" s="14">
        <f>INDEX(挂机升级突破!$BU$6:$BU$57,卡牌消耗!AI1341)</f>
        <v>11</v>
      </c>
      <c r="AD1341" s="14">
        <f>INDEX(挂机升级突破!BV$6:BV$57,卡牌消耗!$AI1341)</f>
        <v>4</v>
      </c>
      <c r="AE1341" s="14">
        <f>INDEX(挂机升级突破!BW$6:BW$57,卡牌消耗!$AI1341)</f>
        <v>0</v>
      </c>
      <c r="AF1341" s="14" t="str">
        <f t="shared" si="234"/>
        <v>吕布</v>
      </c>
      <c r="AG1341" s="14">
        <f t="shared" si="235"/>
        <v>5</v>
      </c>
      <c r="AH1341" s="14" t="str">
        <f t="shared" si="236"/>
        <v>吕布魂火-37</v>
      </c>
      <c r="AI1341" s="14">
        <f t="shared" si="237"/>
        <v>37</v>
      </c>
      <c r="AJ1341" s="14" t="str">
        <f>INDEX(挂机升级突破!$BX$4:$CH$4,INDEX(挂机升级突破!$BU$6:$BU$57,卡牌消耗!AI1341))</f>
        <v>金币</v>
      </c>
      <c r="AK1341" s="14">
        <f>ROUND(INDEX(挂机升级突破!$BN$6:$BN$57,卡牌消耗!AI1341)*INDEX(卡牌消耗!$B$8:$F$8,AG1341)/$Q$4/50,0)*50</f>
        <v>25900</v>
      </c>
      <c r="AL1341" s="14" t="str">
        <f>IF(AD1341&gt;0,INDEX(挂机升级突破!$BX$4:$CH$4,AD1341),"")</f>
        <v>橙色基础材料</v>
      </c>
      <c r="AM1341" s="14">
        <f>ROUND(INDEX(挂机升级突破!$BX$6:$CH$57,卡牌消耗!AI1341,AD1341)*INDEX(卡牌消耗!$B$5:$F$5,AG1341)/$Q$4/5,0)*5</f>
        <v>165</v>
      </c>
      <c r="AN1341" s="14" t="str">
        <f>IF(AE1341&gt;0,INDEX(挂机升级突破!$BX$4:$CH$4,AE1341),"")</f>
        <v/>
      </c>
      <c r="AO1341" s="14" t="str">
        <f>IF(AE1341&gt;0,ROUND(INDEX(挂机升级突破!$BX$6:$CH$57,卡牌消耗!AI1341,AE1341)*INDEX(卡牌消耗!$B$7:$F$7,AG1341)/$Q$4,0),"")</f>
        <v/>
      </c>
    </row>
    <row r="1342" spans="27:41" ht="16.5" x14ac:dyDescent="0.2">
      <c r="AA1342" s="104">
        <v>1338</v>
      </c>
      <c r="AB1342" s="14">
        <f t="shared" si="233"/>
        <v>26</v>
      </c>
      <c r="AC1342" s="14">
        <f>INDEX(挂机升级突破!$BU$6:$BU$57,卡牌消耗!AI1342)</f>
        <v>11</v>
      </c>
      <c r="AD1342" s="14">
        <f>INDEX(挂机升级突破!BV$6:BV$57,卡牌消耗!$AI1342)</f>
        <v>5</v>
      </c>
      <c r="AE1342" s="14">
        <f>INDEX(挂机升级突破!BW$6:BW$57,卡牌消耗!$AI1342)</f>
        <v>0</v>
      </c>
      <c r="AF1342" s="14" t="str">
        <f t="shared" si="234"/>
        <v>吕布</v>
      </c>
      <c r="AG1342" s="14">
        <f t="shared" si="235"/>
        <v>5</v>
      </c>
      <c r="AH1342" s="14" t="str">
        <f t="shared" si="236"/>
        <v>吕布魂火-38</v>
      </c>
      <c r="AI1342" s="14">
        <f t="shared" si="237"/>
        <v>38</v>
      </c>
      <c r="AJ1342" s="14" t="str">
        <f>INDEX(挂机升级突破!$BX$4:$CH$4,INDEX(挂机升级突破!$BU$6:$BU$57,卡牌消耗!AI1342))</f>
        <v>金币</v>
      </c>
      <c r="AK1342" s="14">
        <f>ROUND(INDEX(挂机升级突破!$BN$6:$BN$57,卡牌消耗!AI1342)*INDEX(卡牌消耗!$B$8:$F$8,AG1342)/$Q$4/50,0)*50</f>
        <v>33450</v>
      </c>
      <c r="AL1342" s="14" t="str">
        <f>IF(AD1342&gt;0,INDEX(挂机升级突破!$BX$4:$CH$4,AD1342),"")</f>
        <v>红色基础材料</v>
      </c>
      <c r="AM1342" s="14">
        <f>ROUND(INDEX(挂机升级突破!$BX$6:$CH$57,卡牌消耗!AI1342,AD1342)*INDEX(卡牌消耗!$B$5:$F$5,AG1342)/$Q$4/5,0)*5</f>
        <v>65</v>
      </c>
      <c r="AN1342" s="14" t="str">
        <f>IF(AE1342&gt;0,INDEX(挂机升级突破!$BX$4:$CH$4,AE1342),"")</f>
        <v/>
      </c>
      <c r="AO1342" s="14" t="str">
        <f>IF(AE1342&gt;0,ROUND(INDEX(挂机升级突破!$BX$6:$CH$57,卡牌消耗!AI1342,AE1342)*INDEX(卡牌消耗!$B$7:$F$7,AG1342)/$Q$4,0),"")</f>
        <v/>
      </c>
    </row>
    <row r="1343" spans="27:41" ht="16.5" x14ac:dyDescent="0.2">
      <c r="AA1343" s="104">
        <v>1339</v>
      </c>
      <c r="AB1343" s="14">
        <f t="shared" si="233"/>
        <v>26</v>
      </c>
      <c r="AC1343" s="14">
        <f>INDEX(挂机升级突破!$BU$6:$BU$57,卡牌消耗!AI1343)</f>
        <v>11</v>
      </c>
      <c r="AD1343" s="14">
        <f>INDEX(挂机升级突破!BV$6:BV$57,卡牌消耗!$AI1343)</f>
        <v>5</v>
      </c>
      <c r="AE1343" s="14">
        <f>INDEX(挂机升级突破!BW$6:BW$57,卡牌消耗!$AI1343)</f>
        <v>0</v>
      </c>
      <c r="AF1343" s="14" t="str">
        <f t="shared" si="234"/>
        <v>吕布</v>
      </c>
      <c r="AG1343" s="14">
        <f t="shared" si="235"/>
        <v>5</v>
      </c>
      <c r="AH1343" s="14" t="str">
        <f t="shared" si="236"/>
        <v>吕布魂火-39</v>
      </c>
      <c r="AI1343" s="14">
        <f t="shared" si="237"/>
        <v>39</v>
      </c>
      <c r="AJ1343" s="14" t="str">
        <f>INDEX(挂机升级突破!$BX$4:$CH$4,INDEX(挂机升级突破!$BU$6:$BU$57,卡牌消耗!AI1343))</f>
        <v>金币</v>
      </c>
      <c r="AK1343" s="14">
        <f>ROUND(INDEX(挂机升级突破!$BN$6:$BN$57,卡牌消耗!AI1343)*INDEX(卡牌消耗!$B$8:$F$8,AG1343)/$Q$4/50,0)*50</f>
        <v>33450</v>
      </c>
      <c r="AL1343" s="14" t="str">
        <f>IF(AD1343&gt;0,INDEX(挂机升级突破!$BX$4:$CH$4,AD1343),"")</f>
        <v>红色基础材料</v>
      </c>
      <c r="AM1343" s="14">
        <f>ROUND(INDEX(挂机升级突破!$BX$6:$CH$57,卡牌消耗!AI1343,AD1343)*INDEX(卡牌消耗!$B$5:$F$5,AG1343)/$Q$4/5,0)*5</f>
        <v>65</v>
      </c>
      <c r="AN1343" s="14" t="str">
        <f>IF(AE1343&gt;0,INDEX(挂机升级突破!$BX$4:$CH$4,AE1343),"")</f>
        <v/>
      </c>
      <c r="AO1343" s="14" t="str">
        <f>IF(AE1343&gt;0,ROUND(INDEX(挂机升级突破!$BX$6:$CH$57,卡牌消耗!AI1343,AE1343)*INDEX(卡牌消耗!$B$7:$F$7,AG1343)/$Q$4,0),"")</f>
        <v/>
      </c>
    </row>
    <row r="1344" spans="27:41" ht="16.5" x14ac:dyDescent="0.2">
      <c r="AA1344" s="104">
        <v>1340</v>
      </c>
      <c r="AB1344" s="14">
        <f t="shared" si="233"/>
        <v>26</v>
      </c>
      <c r="AC1344" s="14">
        <f>INDEX(挂机升级突破!$BU$6:$BU$57,卡牌消耗!AI1344)</f>
        <v>11</v>
      </c>
      <c r="AD1344" s="14">
        <f>INDEX(挂机升级突破!BV$6:BV$57,卡牌消耗!$AI1344)</f>
        <v>5</v>
      </c>
      <c r="AE1344" s="14">
        <f>INDEX(挂机升级突破!BW$6:BW$57,卡牌消耗!$AI1344)</f>
        <v>0</v>
      </c>
      <c r="AF1344" s="14" t="str">
        <f t="shared" si="234"/>
        <v>吕布</v>
      </c>
      <c r="AG1344" s="14">
        <f t="shared" si="235"/>
        <v>5</v>
      </c>
      <c r="AH1344" s="14" t="str">
        <f t="shared" si="236"/>
        <v>吕布魂火-40</v>
      </c>
      <c r="AI1344" s="14">
        <f t="shared" si="237"/>
        <v>40</v>
      </c>
      <c r="AJ1344" s="14" t="str">
        <f>INDEX(挂机升级突破!$BX$4:$CH$4,INDEX(挂机升级突破!$BU$6:$BU$57,卡牌消耗!AI1344))</f>
        <v>金币</v>
      </c>
      <c r="AK1344" s="14">
        <f>ROUND(INDEX(挂机升级突破!$BN$6:$BN$57,卡牌消耗!AI1344)*INDEX(卡牌消耗!$B$8:$F$8,AG1344)/$Q$4/50,0)*50</f>
        <v>33450</v>
      </c>
      <c r="AL1344" s="14" t="str">
        <f>IF(AD1344&gt;0,INDEX(挂机升级突破!$BX$4:$CH$4,AD1344),"")</f>
        <v>红色基础材料</v>
      </c>
      <c r="AM1344" s="14">
        <f>ROUND(INDEX(挂机升级突破!$BX$6:$CH$57,卡牌消耗!AI1344,AD1344)*INDEX(卡牌消耗!$B$5:$F$5,AG1344)/$Q$4/5,0)*5</f>
        <v>65</v>
      </c>
      <c r="AN1344" s="14" t="str">
        <f>IF(AE1344&gt;0,INDEX(挂机升级突破!$BX$4:$CH$4,AE1344),"")</f>
        <v/>
      </c>
      <c r="AO1344" s="14" t="str">
        <f>IF(AE1344&gt;0,ROUND(INDEX(挂机升级突破!$BX$6:$CH$57,卡牌消耗!AI1344,AE1344)*INDEX(卡牌消耗!$B$7:$F$7,AG1344)/$Q$4,0),"")</f>
        <v/>
      </c>
    </row>
    <row r="1345" spans="27:41" ht="16.5" x14ac:dyDescent="0.2">
      <c r="AA1345" s="104">
        <v>1341</v>
      </c>
      <c r="AB1345" s="14">
        <f t="shared" si="233"/>
        <v>26</v>
      </c>
      <c r="AC1345" s="14">
        <f>INDEX(挂机升级突破!$BU$6:$BU$57,卡牌消耗!AI1345)</f>
        <v>11</v>
      </c>
      <c r="AD1345" s="14">
        <f>INDEX(挂机升级突破!BV$6:BV$57,卡牌消耗!$AI1345)</f>
        <v>5</v>
      </c>
      <c r="AE1345" s="14">
        <f>INDEX(挂机升级突破!BW$6:BW$57,卡牌消耗!$AI1345)</f>
        <v>10</v>
      </c>
      <c r="AF1345" s="14" t="str">
        <f t="shared" si="234"/>
        <v>吕布</v>
      </c>
      <c r="AG1345" s="14">
        <f t="shared" si="235"/>
        <v>5</v>
      </c>
      <c r="AH1345" s="14" t="str">
        <f t="shared" si="236"/>
        <v>吕布魂火-41</v>
      </c>
      <c r="AI1345" s="14">
        <f t="shared" si="237"/>
        <v>41</v>
      </c>
      <c r="AJ1345" s="14" t="str">
        <f>INDEX(挂机升级突破!$BX$4:$CH$4,INDEX(挂机升级突破!$BU$6:$BU$57,卡牌消耗!AI1345))</f>
        <v>金币</v>
      </c>
      <c r="AK1345" s="14">
        <f>ROUND(INDEX(挂机升级突破!$BN$6:$BN$57,卡牌消耗!AI1345)*INDEX(卡牌消耗!$B$8:$F$8,AG1345)/$Q$4/50,0)*50</f>
        <v>45950</v>
      </c>
      <c r="AL1345" s="14" t="str">
        <f>IF(AD1345&gt;0,INDEX(挂机升级突破!$BX$4:$CH$4,AD1345),"")</f>
        <v>红色基础材料</v>
      </c>
      <c r="AM1345" s="14">
        <f>ROUND(INDEX(挂机升级突破!$BX$6:$CH$57,卡牌消耗!AI1345,AD1345)*INDEX(卡牌消耗!$B$5:$F$5,AG1345)/$Q$4/5,0)*5</f>
        <v>80</v>
      </c>
      <c r="AN1345" s="14" t="str">
        <f>IF(AE1345&gt;0,INDEX(挂机升级突破!$BX$4:$CH$4,AE1345),"")</f>
        <v>灵玉</v>
      </c>
      <c r="AO1345" s="14">
        <f>IF(AE1345&gt;0,ROUND(INDEX(挂机升级突破!$BX$6:$CH$57,卡牌消耗!AI1345,AE1345)*INDEX(卡牌消耗!$B$7:$F$7,AG1345)/$Q$4,0),"")</f>
        <v>2</v>
      </c>
    </row>
    <row r="1346" spans="27:41" ht="16.5" x14ac:dyDescent="0.2">
      <c r="AA1346" s="104">
        <v>1342</v>
      </c>
      <c r="AB1346" s="14">
        <f t="shared" si="233"/>
        <v>26</v>
      </c>
      <c r="AC1346" s="14">
        <f>INDEX(挂机升级突破!$BU$6:$BU$57,卡牌消耗!AI1346)</f>
        <v>11</v>
      </c>
      <c r="AD1346" s="14">
        <f>INDEX(挂机升级突破!BV$6:BV$57,卡牌消耗!$AI1346)</f>
        <v>5</v>
      </c>
      <c r="AE1346" s="14">
        <f>INDEX(挂机升级突破!BW$6:BW$57,卡牌消耗!$AI1346)</f>
        <v>10</v>
      </c>
      <c r="AF1346" s="14" t="str">
        <f t="shared" si="234"/>
        <v>吕布</v>
      </c>
      <c r="AG1346" s="14">
        <f t="shared" si="235"/>
        <v>5</v>
      </c>
      <c r="AH1346" s="14" t="str">
        <f t="shared" si="236"/>
        <v>吕布魂火-42</v>
      </c>
      <c r="AI1346" s="14">
        <f t="shared" si="237"/>
        <v>42</v>
      </c>
      <c r="AJ1346" s="14" t="str">
        <f>INDEX(挂机升级突破!$BX$4:$CH$4,INDEX(挂机升级突破!$BU$6:$BU$57,卡牌消耗!AI1346))</f>
        <v>金币</v>
      </c>
      <c r="AK1346" s="14">
        <f>ROUND(INDEX(挂机升级突破!$BN$6:$BN$57,卡牌消耗!AI1346)*INDEX(卡牌消耗!$B$8:$F$8,AG1346)/$Q$4/50,0)*50</f>
        <v>45950</v>
      </c>
      <c r="AL1346" s="14" t="str">
        <f>IF(AD1346&gt;0,INDEX(挂机升级突破!$BX$4:$CH$4,AD1346),"")</f>
        <v>红色基础材料</v>
      </c>
      <c r="AM1346" s="14">
        <f>ROUND(INDEX(挂机升级突破!$BX$6:$CH$57,卡牌消耗!AI1346,AD1346)*INDEX(卡牌消耗!$B$5:$F$5,AG1346)/$Q$4/5,0)*5</f>
        <v>80</v>
      </c>
      <c r="AN1346" s="14" t="str">
        <f>IF(AE1346&gt;0,INDEX(挂机升级突破!$BX$4:$CH$4,AE1346),"")</f>
        <v>灵玉</v>
      </c>
      <c r="AO1346" s="14">
        <f>IF(AE1346&gt;0,ROUND(INDEX(挂机升级突破!$BX$6:$CH$57,卡牌消耗!AI1346,AE1346)*INDEX(卡牌消耗!$B$7:$F$7,AG1346)/$Q$4,0),"")</f>
        <v>2</v>
      </c>
    </row>
    <row r="1347" spans="27:41" ht="16.5" x14ac:dyDescent="0.2">
      <c r="AA1347" s="104">
        <v>1343</v>
      </c>
      <c r="AB1347" s="14">
        <f t="shared" si="233"/>
        <v>26</v>
      </c>
      <c r="AC1347" s="14">
        <f>INDEX(挂机升级突破!$BU$6:$BU$57,卡牌消耗!AI1347)</f>
        <v>11</v>
      </c>
      <c r="AD1347" s="14">
        <f>INDEX(挂机升级突破!BV$6:BV$57,卡牌消耗!$AI1347)</f>
        <v>5</v>
      </c>
      <c r="AE1347" s="14">
        <f>INDEX(挂机升级突破!BW$6:BW$57,卡牌消耗!$AI1347)</f>
        <v>10</v>
      </c>
      <c r="AF1347" s="14" t="str">
        <f t="shared" si="234"/>
        <v>吕布</v>
      </c>
      <c r="AG1347" s="14">
        <f t="shared" si="235"/>
        <v>5</v>
      </c>
      <c r="AH1347" s="14" t="str">
        <f t="shared" si="236"/>
        <v>吕布魂火-43</v>
      </c>
      <c r="AI1347" s="14">
        <f t="shared" si="237"/>
        <v>43</v>
      </c>
      <c r="AJ1347" s="14" t="str">
        <f>INDEX(挂机升级突破!$BX$4:$CH$4,INDEX(挂机升级突破!$BU$6:$BU$57,卡牌消耗!AI1347))</f>
        <v>金币</v>
      </c>
      <c r="AK1347" s="14">
        <f>ROUND(INDEX(挂机升级突破!$BN$6:$BN$57,卡牌消耗!AI1347)*INDEX(卡牌消耗!$B$8:$F$8,AG1347)/$Q$4/50,0)*50</f>
        <v>45950</v>
      </c>
      <c r="AL1347" s="14" t="str">
        <f>IF(AD1347&gt;0,INDEX(挂机升级突破!$BX$4:$CH$4,AD1347),"")</f>
        <v>红色基础材料</v>
      </c>
      <c r="AM1347" s="14">
        <f>ROUND(INDEX(挂机升级突破!$BX$6:$CH$57,卡牌消耗!AI1347,AD1347)*INDEX(卡牌消耗!$B$5:$F$5,AG1347)/$Q$4/5,0)*5</f>
        <v>80</v>
      </c>
      <c r="AN1347" s="14" t="str">
        <f>IF(AE1347&gt;0,INDEX(挂机升级突破!$BX$4:$CH$4,AE1347),"")</f>
        <v>灵玉</v>
      </c>
      <c r="AO1347" s="14">
        <f>IF(AE1347&gt;0,ROUND(INDEX(挂机升级突破!$BX$6:$CH$57,卡牌消耗!AI1347,AE1347)*INDEX(卡牌消耗!$B$7:$F$7,AG1347)/$Q$4,0),"")</f>
        <v>2</v>
      </c>
    </row>
    <row r="1348" spans="27:41" ht="16.5" x14ac:dyDescent="0.2">
      <c r="AA1348" s="104">
        <v>1344</v>
      </c>
      <c r="AB1348" s="14">
        <f t="shared" si="233"/>
        <v>26</v>
      </c>
      <c r="AC1348" s="14">
        <f>INDEX(挂机升级突破!$BU$6:$BU$57,卡牌消耗!AI1348)</f>
        <v>11</v>
      </c>
      <c r="AD1348" s="14">
        <f>INDEX(挂机升级突破!BV$6:BV$57,卡牌消耗!$AI1348)</f>
        <v>5</v>
      </c>
      <c r="AE1348" s="14">
        <f>INDEX(挂机升级突破!BW$6:BW$57,卡牌消耗!$AI1348)</f>
        <v>10</v>
      </c>
      <c r="AF1348" s="14" t="str">
        <f t="shared" si="234"/>
        <v>吕布</v>
      </c>
      <c r="AG1348" s="14">
        <f t="shared" si="235"/>
        <v>5</v>
      </c>
      <c r="AH1348" s="14" t="str">
        <f t="shared" si="236"/>
        <v>吕布魂火-44</v>
      </c>
      <c r="AI1348" s="14">
        <f t="shared" si="237"/>
        <v>44</v>
      </c>
      <c r="AJ1348" s="14" t="str">
        <f>INDEX(挂机升级突破!$BX$4:$CH$4,INDEX(挂机升级突破!$BU$6:$BU$57,卡牌消耗!AI1348))</f>
        <v>金币</v>
      </c>
      <c r="AK1348" s="14">
        <f>ROUND(INDEX(挂机升级突破!$BN$6:$BN$57,卡牌消耗!AI1348)*INDEX(卡牌消耗!$B$8:$F$8,AG1348)/$Q$4/50,0)*50</f>
        <v>58500</v>
      </c>
      <c r="AL1348" s="14" t="str">
        <f>IF(AD1348&gt;0,INDEX(挂机升级突破!$BX$4:$CH$4,AD1348),"")</f>
        <v>红色基础材料</v>
      </c>
      <c r="AM1348" s="14">
        <f>ROUND(INDEX(挂机升级突破!$BX$6:$CH$57,卡牌消耗!AI1348,AD1348)*INDEX(卡牌消耗!$B$5:$F$5,AG1348)/$Q$4/5,0)*5</f>
        <v>95</v>
      </c>
      <c r="AN1348" s="14" t="str">
        <f>IF(AE1348&gt;0,INDEX(挂机升级突破!$BX$4:$CH$4,AE1348),"")</f>
        <v>灵玉</v>
      </c>
      <c r="AO1348" s="14">
        <f>IF(AE1348&gt;0,ROUND(INDEX(挂机升级突破!$BX$6:$CH$57,卡牌消耗!AI1348,AE1348)*INDEX(卡牌消耗!$B$7:$F$7,AG1348)/$Q$4,0),"")</f>
        <v>2</v>
      </c>
    </row>
    <row r="1349" spans="27:41" ht="16.5" x14ac:dyDescent="0.2">
      <c r="AA1349" s="104">
        <v>1345</v>
      </c>
      <c r="AB1349" s="14">
        <f t="shared" si="233"/>
        <v>26</v>
      </c>
      <c r="AC1349" s="14">
        <f>INDEX(挂机升级突破!$BU$6:$BU$57,卡牌消耗!AI1349)</f>
        <v>11</v>
      </c>
      <c r="AD1349" s="14">
        <f>INDEX(挂机升级突破!BV$6:BV$57,卡牌消耗!$AI1349)</f>
        <v>5</v>
      </c>
      <c r="AE1349" s="14">
        <f>INDEX(挂机升级突破!BW$6:BW$57,卡牌消耗!$AI1349)</f>
        <v>10</v>
      </c>
      <c r="AF1349" s="14" t="str">
        <f t="shared" si="234"/>
        <v>吕布</v>
      </c>
      <c r="AG1349" s="14">
        <f t="shared" si="235"/>
        <v>5</v>
      </c>
      <c r="AH1349" s="14" t="str">
        <f t="shared" si="236"/>
        <v>吕布魂火-45</v>
      </c>
      <c r="AI1349" s="14">
        <f t="shared" si="237"/>
        <v>45</v>
      </c>
      <c r="AJ1349" s="14" t="str">
        <f>INDEX(挂机升级突破!$BX$4:$CH$4,INDEX(挂机升级突破!$BU$6:$BU$57,卡牌消耗!AI1349))</f>
        <v>金币</v>
      </c>
      <c r="AK1349" s="14">
        <f>ROUND(INDEX(挂机升级突破!$BN$6:$BN$57,卡牌消耗!AI1349)*INDEX(卡牌消耗!$B$8:$F$8,AG1349)/$Q$4/50,0)*50</f>
        <v>58500</v>
      </c>
      <c r="AL1349" s="14" t="str">
        <f>IF(AD1349&gt;0,INDEX(挂机升级突破!$BX$4:$CH$4,AD1349),"")</f>
        <v>红色基础材料</v>
      </c>
      <c r="AM1349" s="14">
        <f>ROUND(INDEX(挂机升级突破!$BX$6:$CH$57,卡牌消耗!AI1349,AD1349)*INDEX(卡牌消耗!$B$5:$F$5,AG1349)/$Q$4/5,0)*5</f>
        <v>95</v>
      </c>
      <c r="AN1349" s="14" t="str">
        <f>IF(AE1349&gt;0,INDEX(挂机升级突破!$BX$4:$CH$4,AE1349),"")</f>
        <v>灵玉</v>
      </c>
      <c r="AO1349" s="14">
        <f>IF(AE1349&gt;0,ROUND(INDEX(挂机升级突破!$BX$6:$CH$57,卡牌消耗!AI1349,AE1349)*INDEX(卡牌消耗!$B$7:$F$7,AG1349)/$Q$4,0),"")</f>
        <v>2</v>
      </c>
    </row>
    <row r="1350" spans="27:41" ht="16.5" x14ac:dyDescent="0.2">
      <c r="AA1350" s="104">
        <v>1346</v>
      </c>
      <c r="AB1350" s="14">
        <f t="shared" ref="AB1350:AB1413" si="238">INT((AA1350-1)/52)+1</f>
        <v>26</v>
      </c>
      <c r="AC1350" s="14">
        <f>INDEX(挂机升级突破!$BU$6:$BU$57,卡牌消耗!AI1350)</f>
        <v>11</v>
      </c>
      <c r="AD1350" s="14">
        <f>INDEX(挂机升级突破!BV$6:BV$57,卡牌消耗!$AI1350)</f>
        <v>5</v>
      </c>
      <c r="AE1350" s="14">
        <f>INDEX(挂机升级突破!BW$6:BW$57,卡牌消耗!$AI1350)</f>
        <v>10</v>
      </c>
      <c r="AF1350" s="14" t="str">
        <f t="shared" ref="AF1350:AF1413" si="239">INDEX($B$13:$B$40,AB1350)</f>
        <v>吕布</v>
      </c>
      <c r="AG1350" s="14">
        <f t="shared" ref="AG1350:AG1413" si="240">INDEX($C$13:$C$40,AB1350)</f>
        <v>5</v>
      </c>
      <c r="AH1350" s="14" t="str">
        <f t="shared" ref="AH1350:AH1413" si="241">AF1350&amp;"魂火-"&amp;AI1350</f>
        <v>吕布魂火-46</v>
      </c>
      <c r="AI1350" s="14">
        <f t="shared" ref="AI1350:AI1413" si="242">AA1350-(AB1350-1)*52</f>
        <v>46</v>
      </c>
      <c r="AJ1350" s="14" t="str">
        <f>INDEX(挂机升级突破!$BX$4:$CH$4,INDEX(挂机升级突破!$BU$6:$BU$57,卡牌消耗!AI1350))</f>
        <v>金币</v>
      </c>
      <c r="AK1350" s="14">
        <f>ROUND(INDEX(挂机升级突破!$BN$6:$BN$57,卡牌消耗!AI1350)*INDEX(卡牌消耗!$B$8:$F$8,AG1350)/$Q$4/50,0)*50</f>
        <v>62650</v>
      </c>
      <c r="AL1350" s="14" t="str">
        <f>IF(AD1350&gt;0,INDEX(挂机升级突破!$BX$4:$CH$4,AD1350),"")</f>
        <v>红色基础材料</v>
      </c>
      <c r="AM1350" s="14">
        <f>ROUND(INDEX(挂机升级突破!$BX$6:$CH$57,卡牌消耗!AI1350,AD1350)*INDEX(卡牌消耗!$B$5:$F$5,AG1350)/$Q$4/5,0)*5</f>
        <v>95</v>
      </c>
      <c r="AN1350" s="14" t="str">
        <f>IF(AE1350&gt;0,INDEX(挂机升级突破!$BX$4:$CH$4,AE1350),"")</f>
        <v>灵玉</v>
      </c>
      <c r="AO1350" s="14">
        <f>IF(AE1350&gt;0,ROUND(INDEX(挂机升级突破!$BX$6:$CH$57,卡牌消耗!AI1350,AE1350)*INDEX(卡牌消耗!$B$7:$F$7,AG1350)/$Q$4,0),"")</f>
        <v>2</v>
      </c>
    </row>
    <row r="1351" spans="27:41" ht="16.5" x14ac:dyDescent="0.2">
      <c r="AA1351" s="104">
        <v>1347</v>
      </c>
      <c r="AB1351" s="14">
        <f t="shared" si="238"/>
        <v>26</v>
      </c>
      <c r="AC1351" s="14">
        <f>INDEX(挂机升级突破!$BU$6:$BU$57,卡牌消耗!AI1351)</f>
        <v>11</v>
      </c>
      <c r="AD1351" s="14">
        <f>INDEX(挂机升级突破!BV$6:BV$57,卡牌消耗!$AI1351)</f>
        <v>5</v>
      </c>
      <c r="AE1351" s="14">
        <f>INDEX(挂机升级突破!BW$6:BW$57,卡牌消耗!$AI1351)</f>
        <v>10</v>
      </c>
      <c r="AF1351" s="14" t="str">
        <f t="shared" si="239"/>
        <v>吕布</v>
      </c>
      <c r="AG1351" s="14">
        <f t="shared" si="240"/>
        <v>5</v>
      </c>
      <c r="AH1351" s="14" t="str">
        <f t="shared" si="241"/>
        <v>吕布魂火-47</v>
      </c>
      <c r="AI1351" s="14">
        <f t="shared" si="242"/>
        <v>47</v>
      </c>
      <c r="AJ1351" s="14" t="str">
        <f>INDEX(挂机升级突破!$BX$4:$CH$4,INDEX(挂机升级突破!$BU$6:$BU$57,卡牌消耗!AI1351))</f>
        <v>金币</v>
      </c>
      <c r="AK1351" s="14">
        <f>ROUND(INDEX(挂机升级突破!$BN$6:$BN$57,卡牌消耗!AI1351)*INDEX(卡牌消耗!$B$8:$F$8,AG1351)/$Q$4/50,0)*50</f>
        <v>303900</v>
      </c>
      <c r="AL1351" s="14" t="str">
        <f>IF(AD1351&gt;0,INDEX(挂机升级突破!$BX$4:$CH$4,AD1351),"")</f>
        <v>红色基础材料</v>
      </c>
      <c r="AM1351" s="14">
        <f>ROUND(INDEX(挂机升级突破!$BX$6:$CH$57,卡牌消耗!AI1351,AD1351)*INDEX(卡牌消耗!$B$5:$F$5,AG1351)/$Q$4/5,0)*5</f>
        <v>95</v>
      </c>
      <c r="AN1351" s="14" t="str">
        <f>IF(AE1351&gt;0,INDEX(挂机升级突破!$BX$4:$CH$4,AE1351),"")</f>
        <v>灵玉</v>
      </c>
      <c r="AO1351" s="14">
        <f>IF(AE1351&gt;0,ROUND(INDEX(挂机升级突破!$BX$6:$CH$57,卡牌消耗!AI1351,AE1351)*INDEX(卡牌消耗!$B$7:$F$7,AG1351)/$Q$4,0),"")</f>
        <v>2</v>
      </c>
    </row>
    <row r="1352" spans="27:41" ht="16.5" x14ac:dyDescent="0.2">
      <c r="AA1352" s="104">
        <v>1348</v>
      </c>
      <c r="AB1352" s="14">
        <f t="shared" si="238"/>
        <v>26</v>
      </c>
      <c r="AC1352" s="14">
        <f>INDEX(挂机升级突破!$BU$6:$BU$57,卡牌消耗!AI1352)</f>
        <v>11</v>
      </c>
      <c r="AD1352" s="14">
        <f>INDEX(挂机升级突破!BV$6:BV$57,卡牌消耗!$AI1352)</f>
        <v>5</v>
      </c>
      <c r="AE1352" s="14">
        <f>INDEX(挂机升级突破!BW$6:BW$57,卡牌消耗!$AI1352)</f>
        <v>10</v>
      </c>
      <c r="AF1352" s="14" t="str">
        <f t="shared" si="239"/>
        <v>吕布</v>
      </c>
      <c r="AG1352" s="14">
        <f t="shared" si="240"/>
        <v>5</v>
      </c>
      <c r="AH1352" s="14" t="str">
        <f t="shared" si="241"/>
        <v>吕布魂火-48</v>
      </c>
      <c r="AI1352" s="14">
        <f t="shared" si="242"/>
        <v>48</v>
      </c>
      <c r="AJ1352" s="14" t="str">
        <f>INDEX(挂机升级突破!$BX$4:$CH$4,INDEX(挂机升级突破!$BU$6:$BU$57,卡牌消耗!AI1352))</f>
        <v>金币</v>
      </c>
      <c r="AK1352" s="14">
        <f>ROUND(INDEX(挂机升级突破!$BN$6:$BN$57,卡牌消耗!AI1352)*INDEX(卡牌消耗!$B$8:$F$8,AG1352)/$Q$4/50,0)*50</f>
        <v>303900</v>
      </c>
      <c r="AL1352" s="14" t="str">
        <f>IF(AD1352&gt;0,INDEX(挂机升级突破!$BX$4:$CH$4,AD1352),"")</f>
        <v>红色基础材料</v>
      </c>
      <c r="AM1352" s="14">
        <f>ROUND(INDEX(挂机升级突破!$BX$6:$CH$57,卡牌消耗!AI1352,AD1352)*INDEX(卡牌消耗!$B$5:$F$5,AG1352)/$Q$4/5,0)*5</f>
        <v>95</v>
      </c>
      <c r="AN1352" s="14" t="str">
        <f>IF(AE1352&gt;0,INDEX(挂机升级突破!$BX$4:$CH$4,AE1352),"")</f>
        <v>灵玉</v>
      </c>
      <c r="AO1352" s="14">
        <f>IF(AE1352&gt;0,ROUND(INDEX(挂机升级突破!$BX$6:$CH$57,卡牌消耗!AI1352,AE1352)*INDEX(卡牌消耗!$B$7:$F$7,AG1352)/$Q$4,0),"")</f>
        <v>2</v>
      </c>
    </row>
    <row r="1353" spans="27:41" ht="16.5" x14ac:dyDescent="0.2">
      <c r="AA1353" s="104">
        <v>1349</v>
      </c>
      <c r="AB1353" s="14">
        <f t="shared" si="238"/>
        <v>26</v>
      </c>
      <c r="AC1353" s="14">
        <f>INDEX(挂机升级突破!$BU$6:$BU$57,卡牌消耗!AI1353)</f>
        <v>11</v>
      </c>
      <c r="AD1353" s="14">
        <f>INDEX(挂机升级突破!BV$6:BV$57,卡牌消耗!$AI1353)</f>
        <v>5</v>
      </c>
      <c r="AE1353" s="14">
        <f>INDEX(挂机升级突破!BW$6:BW$57,卡牌消耗!$AI1353)</f>
        <v>10</v>
      </c>
      <c r="AF1353" s="14" t="str">
        <f t="shared" si="239"/>
        <v>吕布</v>
      </c>
      <c r="AG1353" s="14">
        <f t="shared" si="240"/>
        <v>5</v>
      </c>
      <c r="AH1353" s="14" t="str">
        <f t="shared" si="241"/>
        <v>吕布魂火-49</v>
      </c>
      <c r="AI1353" s="14">
        <f t="shared" si="242"/>
        <v>49</v>
      </c>
      <c r="AJ1353" s="14" t="str">
        <f>INDEX(挂机升级突破!$BX$4:$CH$4,INDEX(挂机升级突破!$BU$6:$BU$57,卡牌消耗!AI1353))</f>
        <v>金币</v>
      </c>
      <c r="AK1353" s="14">
        <f>ROUND(INDEX(挂机升级突破!$BN$6:$BN$57,卡牌消耗!AI1353)*INDEX(卡牌消耗!$B$8:$F$8,AG1353)/$Q$4/50,0)*50</f>
        <v>303900</v>
      </c>
      <c r="AL1353" s="14" t="str">
        <f>IF(AD1353&gt;0,INDEX(挂机升级突破!$BX$4:$CH$4,AD1353),"")</f>
        <v>红色基础材料</v>
      </c>
      <c r="AM1353" s="14">
        <f>ROUND(INDEX(挂机升级突破!$BX$6:$CH$57,卡牌消耗!AI1353,AD1353)*INDEX(卡牌消耗!$B$5:$F$5,AG1353)/$Q$4/5,0)*5</f>
        <v>110</v>
      </c>
      <c r="AN1353" s="14" t="str">
        <f>IF(AE1353&gt;0,INDEX(挂机升级突破!$BX$4:$CH$4,AE1353),"")</f>
        <v>灵玉</v>
      </c>
      <c r="AO1353" s="14">
        <f>IF(AE1353&gt;0,ROUND(INDEX(挂机升级突破!$BX$6:$CH$57,卡牌消耗!AI1353,AE1353)*INDEX(卡牌消耗!$B$7:$F$7,AG1353)/$Q$4,0),"")</f>
        <v>2</v>
      </c>
    </row>
    <row r="1354" spans="27:41" ht="16.5" x14ac:dyDescent="0.2">
      <c r="AA1354" s="104">
        <v>1350</v>
      </c>
      <c r="AB1354" s="14">
        <f t="shared" si="238"/>
        <v>26</v>
      </c>
      <c r="AC1354" s="14">
        <f>INDEX(挂机升级突破!$BU$6:$BU$57,卡牌消耗!AI1354)</f>
        <v>11</v>
      </c>
      <c r="AD1354" s="14">
        <f>INDEX(挂机升级突破!BV$6:BV$57,卡牌消耗!$AI1354)</f>
        <v>5</v>
      </c>
      <c r="AE1354" s="14">
        <f>INDEX(挂机升级突破!BW$6:BW$57,卡牌消耗!$AI1354)</f>
        <v>10</v>
      </c>
      <c r="AF1354" s="14" t="str">
        <f t="shared" si="239"/>
        <v>吕布</v>
      </c>
      <c r="AG1354" s="14">
        <f t="shared" si="240"/>
        <v>5</v>
      </c>
      <c r="AH1354" s="14" t="str">
        <f t="shared" si="241"/>
        <v>吕布魂火-50</v>
      </c>
      <c r="AI1354" s="14">
        <f t="shared" si="242"/>
        <v>50</v>
      </c>
      <c r="AJ1354" s="14" t="str">
        <f>INDEX(挂机升级突破!$BX$4:$CH$4,INDEX(挂机升级突破!$BU$6:$BU$57,卡牌消耗!AI1354))</f>
        <v>金币</v>
      </c>
      <c r="AK1354" s="14">
        <f>ROUND(INDEX(挂机升级突破!$BN$6:$BN$57,卡牌消耗!AI1354)*INDEX(卡牌消耗!$B$8:$F$8,AG1354)/$Q$4/50,0)*50</f>
        <v>506550</v>
      </c>
      <c r="AL1354" s="14" t="str">
        <f>IF(AD1354&gt;0,INDEX(挂机升级突破!$BX$4:$CH$4,AD1354),"")</f>
        <v>红色基础材料</v>
      </c>
      <c r="AM1354" s="14">
        <f>ROUND(INDEX(挂机升级突破!$BX$6:$CH$57,卡牌消耗!AI1354,AD1354)*INDEX(卡牌消耗!$B$5:$F$5,AG1354)/$Q$4/5,0)*5</f>
        <v>110</v>
      </c>
      <c r="AN1354" s="14" t="str">
        <f>IF(AE1354&gt;0,INDEX(挂机升级突破!$BX$4:$CH$4,AE1354),"")</f>
        <v>灵玉</v>
      </c>
      <c r="AO1354" s="14">
        <f>IF(AE1354&gt;0,ROUND(INDEX(挂机升级突破!$BX$6:$CH$57,卡牌消耗!AI1354,AE1354)*INDEX(卡牌消耗!$B$7:$F$7,AG1354)/$Q$4,0),"")</f>
        <v>2</v>
      </c>
    </row>
    <row r="1355" spans="27:41" ht="16.5" x14ac:dyDescent="0.2">
      <c r="AA1355" s="104">
        <v>1351</v>
      </c>
      <c r="AB1355" s="14">
        <f t="shared" si="238"/>
        <v>26</v>
      </c>
      <c r="AC1355" s="14">
        <f>INDEX(挂机升级突破!$BU$6:$BU$57,卡牌消耗!AI1355)</f>
        <v>11</v>
      </c>
      <c r="AD1355" s="14">
        <f>INDEX(挂机升级突破!BV$6:BV$57,卡牌消耗!$AI1355)</f>
        <v>5</v>
      </c>
      <c r="AE1355" s="14">
        <f>INDEX(挂机升级突破!BW$6:BW$57,卡牌消耗!$AI1355)</f>
        <v>10</v>
      </c>
      <c r="AF1355" s="14" t="str">
        <f t="shared" si="239"/>
        <v>吕布</v>
      </c>
      <c r="AG1355" s="14">
        <f t="shared" si="240"/>
        <v>5</v>
      </c>
      <c r="AH1355" s="14" t="str">
        <f t="shared" si="241"/>
        <v>吕布魂火-51</v>
      </c>
      <c r="AI1355" s="14">
        <f t="shared" si="242"/>
        <v>51</v>
      </c>
      <c r="AJ1355" s="14" t="str">
        <f>INDEX(挂机升级突破!$BX$4:$CH$4,INDEX(挂机升级突破!$BU$6:$BU$57,卡牌消耗!AI1355))</f>
        <v>金币</v>
      </c>
      <c r="AK1355" s="14">
        <f>ROUND(INDEX(挂机升级突破!$BN$6:$BN$57,卡牌消耗!AI1355)*INDEX(卡牌消耗!$B$8:$F$8,AG1355)/$Q$4/50,0)*50</f>
        <v>557200</v>
      </c>
      <c r="AL1355" s="14" t="str">
        <f>IF(AD1355&gt;0,INDEX(挂机升级突破!$BX$4:$CH$4,AD1355),"")</f>
        <v>红色基础材料</v>
      </c>
      <c r="AM1355" s="14">
        <f>ROUND(INDEX(挂机升级突破!$BX$6:$CH$57,卡牌消耗!AI1355,AD1355)*INDEX(卡牌消耗!$B$5:$F$5,AG1355)/$Q$4/5,0)*5</f>
        <v>110</v>
      </c>
      <c r="AN1355" s="14" t="str">
        <f>IF(AE1355&gt;0,INDEX(挂机升级突破!$BX$4:$CH$4,AE1355),"")</f>
        <v>灵玉</v>
      </c>
      <c r="AO1355" s="14">
        <f>IF(AE1355&gt;0,ROUND(INDEX(挂机升级突破!$BX$6:$CH$57,卡牌消耗!AI1355,AE1355)*INDEX(卡牌消耗!$B$7:$F$7,AG1355)/$Q$4,0),"")</f>
        <v>2</v>
      </c>
    </row>
    <row r="1356" spans="27:41" ht="16.5" x14ac:dyDescent="0.2">
      <c r="AA1356" s="104">
        <v>1352</v>
      </c>
      <c r="AB1356" s="14">
        <f t="shared" si="238"/>
        <v>26</v>
      </c>
      <c r="AC1356" s="14">
        <f>INDEX(挂机升级突破!$BU$6:$BU$57,卡牌消耗!AI1356)</f>
        <v>11</v>
      </c>
      <c r="AD1356" s="14">
        <f>INDEX(挂机升级突破!BV$6:BV$57,卡牌消耗!$AI1356)</f>
        <v>5</v>
      </c>
      <c r="AE1356" s="14">
        <f>INDEX(挂机升级突破!BW$6:BW$57,卡牌消耗!$AI1356)</f>
        <v>10</v>
      </c>
      <c r="AF1356" s="14" t="str">
        <f t="shared" si="239"/>
        <v>吕布</v>
      </c>
      <c r="AG1356" s="14">
        <f t="shared" si="240"/>
        <v>5</v>
      </c>
      <c r="AH1356" s="14" t="str">
        <f t="shared" si="241"/>
        <v>吕布魂火-52</v>
      </c>
      <c r="AI1356" s="14">
        <f t="shared" si="242"/>
        <v>52</v>
      </c>
      <c r="AJ1356" s="14" t="str">
        <f>INDEX(挂机升级突破!$BX$4:$CH$4,INDEX(挂机升级突破!$BU$6:$BU$57,卡牌消耗!AI1356))</f>
        <v>金币</v>
      </c>
      <c r="AK1356" s="14">
        <f>ROUND(INDEX(挂机升级突破!$BN$6:$BN$57,卡牌消耗!AI1356)*INDEX(卡牌消耗!$B$8:$F$8,AG1356)/$Q$4/50,0)*50</f>
        <v>557200</v>
      </c>
      <c r="AL1356" s="14" t="str">
        <f>IF(AD1356&gt;0,INDEX(挂机升级突破!$BX$4:$CH$4,AD1356),"")</f>
        <v>红色基础材料</v>
      </c>
      <c r="AM1356" s="14">
        <f>ROUND(INDEX(挂机升级突破!$BX$6:$CH$57,卡牌消耗!AI1356,AD1356)*INDEX(卡牌消耗!$B$5:$F$5,AG1356)/$Q$4/5,0)*5</f>
        <v>110</v>
      </c>
      <c r="AN1356" s="14" t="str">
        <f>IF(AE1356&gt;0,INDEX(挂机升级突破!$BX$4:$CH$4,AE1356),"")</f>
        <v>灵玉</v>
      </c>
      <c r="AO1356" s="14">
        <f>IF(AE1356&gt;0,ROUND(INDEX(挂机升级突破!$BX$6:$CH$57,卡牌消耗!AI1356,AE1356)*INDEX(卡牌消耗!$B$7:$F$7,AG1356)/$Q$4,0),"")</f>
        <v>2</v>
      </c>
    </row>
    <row r="1357" spans="27:41" ht="16.5" x14ac:dyDescent="0.2">
      <c r="AA1357" s="104">
        <v>1353</v>
      </c>
      <c r="AB1357" s="14">
        <f t="shared" si="238"/>
        <v>27</v>
      </c>
      <c r="AC1357" s="14">
        <f>INDEX(挂机升级突破!$BU$6:$BU$57,卡牌消耗!AI1357)</f>
        <v>11</v>
      </c>
      <c r="AD1357" s="14">
        <f>INDEX(挂机升级突破!BV$6:BV$57,卡牌消耗!$AI1357)</f>
        <v>1</v>
      </c>
      <c r="AE1357" s="14">
        <f>INDEX(挂机升级突破!BW$6:BW$57,卡牌消耗!$AI1357)</f>
        <v>0</v>
      </c>
      <c r="AF1357" s="14" t="str">
        <f t="shared" si="239"/>
        <v>燕青</v>
      </c>
      <c r="AG1357" s="14">
        <f t="shared" si="240"/>
        <v>3</v>
      </c>
      <c r="AH1357" s="14" t="str">
        <f t="shared" si="241"/>
        <v>燕青魂火-1</v>
      </c>
      <c r="AI1357" s="14">
        <f t="shared" si="242"/>
        <v>1</v>
      </c>
      <c r="AJ1357" s="14" t="str">
        <f>INDEX(挂机升级突破!$BX$4:$CH$4,INDEX(挂机升级突破!$BU$6:$BU$57,卡牌消耗!AI1357))</f>
        <v>金币</v>
      </c>
      <c r="AK1357" s="14">
        <f>ROUND(INDEX(挂机升级突破!$BN$6:$BN$57,卡牌消耗!AI1357)*INDEX(卡牌消耗!$B$8:$F$8,AG1357)/$Q$4/50,0)*50</f>
        <v>600</v>
      </c>
      <c r="AL1357" s="14" t="str">
        <f>IF(AD1357&gt;0,INDEX(挂机升级突破!$BX$4:$CH$4,AD1357),"")</f>
        <v>绿色基础材料</v>
      </c>
      <c r="AM1357" s="14">
        <f>ROUND(INDEX(挂机升级突破!$BX$6:$CH$57,卡牌消耗!AI1357,AD1357)*INDEX(卡牌消耗!$B$5:$F$5,AG1357)/$Q$4/5,0)*5</f>
        <v>835</v>
      </c>
      <c r="AN1357" s="14" t="str">
        <f>IF(AE1357&gt;0,INDEX(挂机升级突破!$BX$4:$CH$4,AE1357),"")</f>
        <v/>
      </c>
      <c r="AO1357" s="14" t="str">
        <f>IF(AE1357&gt;0,ROUND(INDEX(挂机升级突破!$BX$6:$CH$57,卡牌消耗!AI1357,AE1357)*INDEX(卡牌消耗!$B$7:$F$7,AG1357)/$Q$4,0),"")</f>
        <v/>
      </c>
    </row>
    <row r="1358" spans="27:41" ht="16.5" x14ac:dyDescent="0.2">
      <c r="AA1358" s="104">
        <v>1354</v>
      </c>
      <c r="AB1358" s="14">
        <f t="shared" si="238"/>
        <v>27</v>
      </c>
      <c r="AC1358" s="14">
        <f>INDEX(挂机升级突破!$BU$6:$BU$57,卡牌消耗!AI1358)</f>
        <v>11</v>
      </c>
      <c r="AD1358" s="14">
        <f>INDEX(挂机升级突破!BV$6:BV$57,卡牌消耗!$AI1358)</f>
        <v>1</v>
      </c>
      <c r="AE1358" s="14">
        <f>INDEX(挂机升级突破!BW$6:BW$57,卡牌消耗!$AI1358)</f>
        <v>0</v>
      </c>
      <c r="AF1358" s="14" t="str">
        <f t="shared" si="239"/>
        <v>燕青</v>
      </c>
      <c r="AG1358" s="14">
        <f t="shared" si="240"/>
        <v>3</v>
      </c>
      <c r="AH1358" s="14" t="str">
        <f t="shared" si="241"/>
        <v>燕青魂火-2</v>
      </c>
      <c r="AI1358" s="14">
        <f t="shared" si="242"/>
        <v>2</v>
      </c>
      <c r="AJ1358" s="14" t="str">
        <f>INDEX(挂机升级突破!$BX$4:$CH$4,INDEX(挂机升级突破!$BU$6:$BU$57,卡牌消耗!AI1358))</f>
        <v>金币</v>
      </c>
      <c r="AK1358" s="14">
        <f>ROUND(INDEX(挂机升级突破!$BN$6:$BN$57,卡牌消耗!AI1358)*INDEX(卡牌消耗!$B$8:$F$8,AG1358)/$Q$4/50,0)*50</f>
        <v>800</v>
      </c>
      <c r="AL1358" s="14" t="str">
        <f>IF(AD1358&gt;0,INDEX(挂机升级突破!$BX$4:$CH$4,AD1358),"")</f>
        <v>绿色基础材料</v>
      </c>
      <c r="AM1358" s="14">
        <f>ROUND(INDEX(挂机升级突破!$BX$6:$CH$57,卡牌消耗!AI1358,AD1358)*INDEX(卡牌消耗!$B$5:$F$5,AG1358)/$Q$4/5,0)*5</f>
        <v>2505</v>
      </c>
      <c r="AN1358" s="14" t="str">
        <f>IF(AE1358&gt;0,INDEX(挂机升级突破!$BX$4:$CH$4,AE1358),"")</f>
        <v/>
      </c>
      <c r="AO1358" s="14" t="str">
        <f>IF(AE1358&gt;0,ROUND(INDEX(挂机升级突破!$BX$6:$CH$57,卡牌消耗!AI1358,AE1358)*INDEX(卡牌消耗!$B$7:$F$7,AG1358)/$Q$4,0),"")</f>
        <v/>
      </c>
    </row>
    <row r="1359" spans="27:41" ht="16.5" x14ac:dyDescent="0.2">
      <c r="AA1359" s="104">
        <v>1355</v>
      </c>
      <c r="AB1359" s="14">
        <f t="shared" si="238"/>
        <v>27</v>
      </c>
      <c r="AC1359" s="14">
        <f>INDEX(挂机升级突破!$BU$6:$BU$57,卡牌消耗!AI1359)</f>
        <v>11</v>
      </c>
      <c r="AD1359" s="14">
        <f>INDEX(挂机升级突破!BV$6:BV$57,卡牌消耗!$AI1359)</f>
        <v>1</v>
      </c>
      <c r="AE1359" s="14">
        <f>INDEX(挂机升级突破!BW$6:BW$57,卡牌消耗!$AI1359)</f>
        <v>0</v>
      </c>
      <c r="AF1359" s="14" t="str">
        <f t="shared" si="239"/>
        <v>燕青</v>
      </c>
      <c r="AG1359" s="14">
        <f t="shared" si="240"/>
        <v>3</v>
      </c>
      <c r="AH1359" s="14" t="str">
        <f t="shared" si="241"/>
        <v>燕青魂火-3</v>
      </c>
      <c r="AI1359" s="14">
        <f t="shared" si="242"/>
        <v>3</v>
      </c>
      <c r="AJ1359" s="14" t="str">
        <f>INDEX(挂机升级突破!$BX$4:$CH$4,INDEX(挂机升级突破!$BU$6:$BU$57,卡牌消耗!AI1359))</f>
        <v>金币</v>
      </c>
      <c r="AK1359" s="14">
        <f>ROUND(INDEX(挂机升级突破!$BN$6:$BN$57,卡牌消耗!AI1359)*INDEX(卡牌消耗!$B$8:$F$8,AG1359)/$Q$4/50,0)*50</f>
        <v>800</v>
      </c>
      <c r="AL1359" s="14" t="str">
        <f>IF(AD1359&gt;0,INDEX(挂机升级突破!$BX$4:$CH$4,AD1359),"")</f>
        <v>绿色基础材料</v>
      </c>
      <c r="AM1359" s="14">
        <f>ROUND(INDEX(挂机升级突破!$BX$6:$CH$57,卡牌消耗!AI1359,AD1359)*INDEX(卡牌消耗!$B$5:$F$5,AG1359)/$Q$4/5,0)*5</f>
        <v>3335</v>
      </c>
      <c r="AN1359" s="14" t="str">
        <f>IF(AE1359&gt;0,INDEX(挂机升级突破!$BX$4:$CH$4,AE1359),"")</f>
        <v/>
      </c>
      <c r="AO1359" s="14" t="str">
        <f>IF(AE1359&gt;0,ROUND(INDEX(挂机升级突破!$BX$6:$CH$57,卡牌消耗!AI1359,AE1359)*INDEX(卡牌消耗!$B$7:$F$7,AG1359)/$Q$4,0),"")</f>
        <v/>
      </c>
    </row>
    <row r="1360" spans="27:41" ht="16.5" x14ac:dyDescent="0.2">
      <c r="AA1360" s="104">
        <v>1356</v>
      </c>
      <c r="AB1360" s="14">
        <f t="shared" si="238"/>
        <v>27</v>
      </c>
      <c r="AC1360" s="14">
        <f>INDEX(挂机升级突破!$BU$6:$BU$57,卡牌消耗!AI1360)</f>
        <v>11</v>
      </c>
      <c r="AD1360" s="14">
        <f>INDEX(挂机升级突破!BV$6:BV$57,卡牌消耗!$AI1360)</f>
        <v>1</v>
      </c>
      <c r="AE1360" s="14">
        <f>INDEX(挂机升级突破!BW$6:BW$57,卡牌消耗!$AI1360)</f>
        <v>0</v>
      </c>
      <c r="AF1360" s="14" t="str">
        <f t="shared" si="239"/>
        <v>燕青</v>
      </c>
      <c r="AG1360" s="14">
        <f t="shared" si="240"/>
        <v>3</v>
      </c>
      <c r="AH1360" s="14" t="str">
        <f t="shared" si="241"/>
        <v>燕青魂火-4</v>
      </c>
      <c r="AI1360" s="14">
        <f t="shared" si="242"/>
        <v>4</v>
      </c>
      <c r="AJ1360" s="14" t="str">
        <f>INDEX(挂机升级突破!$BX$4:$CH$4,INDEX(挂机升级突破!$BU$6:$BU$57,卡牌消耗!AI1360))</f>
        <v>金币</v>
      </c>
      <c r="AK1360" s="14">
        <f>ROUND(INDEX(挂机升级突破!$BN$6:$BN$57,卡牌消耗!AI1360)*INDEX(卡牌消耗!$B$8:$F$8,AG1360)/$Q$4/50,0)*50</f>
        <v>800</v>
      </c>
      <c r="AL1360" s="14" t="str">
        <f>IF(AD1360&gt;0,INDEX(挂机升级突破!$BX$4:$CH$4,AD1360),"")</f>
        <v>绿色基础材料</v>
      </c>
      <c r="AM1360" s="14">
        <f>ROUND(INDEX(挂机升级突破!$BX$6:$CH$57,卡牌消耗!AI1360,AD1360)*INDEX(卡牌消耗!$B$5:$F$5,AG1360)/$Q$4/5,0)*5</f>
        <v>5005</v>
      </c>
      <c r="AN1360" s="14" t="str">
        <f>IF(AE1360&gt;0,INDEX(挂机升级突破!$BX$4:$CH$4,AE1360),"")</f>
        <v/>
      </c>
      <c r="AO1360" s="14" t="str">
        <f>IF(AE1360&gt;0,ROUND(INDEX(挂机升级突破!$BX$6:$CH$57,卡牌消耗!AI1360,AE1360)*INDEX(卡牌消耗!$B$7:$F$7,AG1360)/$Q$4,0),"")</f>
        <v/>
      </c>
    </row>
    <row r="1361" spans="27:41" ht="16.5" x14ac:dyDescent="0.2">
      <c r="AA1361" s="104">
        <v>1357</v>
      </c>
      <c r="AB1361" s="14">
        <f t="shared" si="238"/>
        <v>27</v>
      </c>
      <c r="AC1361" s="14">
        <f>INDEX(挂机升级突破!$BU$6:$BU$57,卡牌消耗!AI1361)</f>
        <v>11</v>
      </c>
      <c r="AD1361" s="14">
        <f>INDEX(挂机升级突破!BV$6:BV$57,卡牌消耗!$AI1361)</f>
        <v>1</v>
      </c>
      <c r="AE1361" s="14">
        <f>INDEX(挂机升级突破!BW$6:BW$57,卡牌消耗!$AI1361)</f>
        <v>0</v>
      </c>
      <c r="AF1361" s="14" t="str">
        <f t="shared" si="239"/>
        <v>燕青</v>
      </c>
      <c r="AG1361" s="14">
        <f t="shared" si="240"/>
        <v>3</v>
      </c>
      <c r="AH1361" s="14" t="str">
        <f t="shared" si="241"/>
        <v>燕青魂火-5</v>
      </c>
      <c r="AI1361" s="14">
        <f t="shared" si="242"/>
        <v>5</v>
      </c>
      <c r="AJ1361" s="14" t="str">
        <f>INDEX(挂机升级突破!$BX$4:$CH$4,INDEX(挂机升级突破!$BU$6:$BU$57,卡牌消耗!AI1361))</f>
        <v>金币</v>
      </c>
      <c r="AK1361" s="14">
        <f>ROUND(INDEX(挂机升级突破!$BN$6:$BN$57,卡牌消耗!AI1361)*INDEX(卡牌消耗!$B$8:$F$8,AG1361)/$Q$4/50,0)*50</f>
        <v>800</v>
      </c>
      <c r="AL1361" s="14" t="str">
        <f>IF(AD1361&gt;0,INDEX(挂机升级突破!$BX$4:$CH$4,AD1361),"")</f>
        <v>绿色基础材料</v>
      </c>
      <c r="AM1361" s="14">
        <f>ROUND(INDEX(挂机升级突破!$BX$6:$CH$57,卡牌消耗!AI1361,AD1361)*INDEX(卡牌消耗!$B$5:$F$5,AG1361)/$Q$4/5,0)*5</f>
        <v>5005</v>
      </c>
      <c r="AN1361" s="14" t="str">
        <f>IF(AE1361&gt;0,INDEX(挂机升级突破!$BX$4:$CH$4,AE1361),"")</f>
        <v/>
      </c>
      <c r="AO1361" s="14" t="str">
        <f>IF(AE1361&gt;0,ROUND(INDEX(挂机升级突破!$BX$6:$CH$57,卡牌消耗!AI1361,AE1361)*INDEX(卡牌消耗!$B$7:$F$7,AG1361)/$Q$4,0),"")</f>
        <v/>
      </c>
    </row>
    <row r="1362" spans="27:41" ht="16.5" x14ac:dyDescent="0.2">
      <c r="AA1362" s="104">
        <v>1358</v>
      </c>
      <c r="AB1362" s="14">
        <f t="shared" si="238"/>
        <v>27</v>
      </c>
      <c r="AC1362" s="14">
        <f>INDEX(挂机升级突破!$BU$6:$BU$57,卡牌消耗!AI1362)</f>
        <v>11</v>
      </c>
      <c r="AD1362" s="14">
        <f>INDEX(挂机升级突破!BV$6:BV$57,卡牌消耗!$AI1362)</f>
        <v>2</v>
      </c>
      <c r="AE1362" s="14">
        <f>INDEX(挂机升级突破!BW$6:BW$57,卡牌消耗!$AI1362)</f>
        <v>0</v>
      </c>
      <c r="AF1362" s="14" t="str">
        <f t="shared" si="239"/>
        <v>燕青</v>
      </c>
      <c r="AG1362" s="14">
        <f t="shared" si="240"/>
        <v>3</v>
      </c>
      <c r="AH1362" s="14" t="str">
        <f t="shared" si="241"/>
        <v>燕青魂火-6</v>
      </c>
      <c r="AI1362" s="14">
        <f t="shared" si="242"/>
        <v>6</v>
      </c>
      <c r="AJ1362" s="14" t="str">
        <f>INDEX(挂机升级突破!$BX$4:$CH$4,INDEX(挂机升级突破!$BU$6:$BU$57,卡牌消耗!AI1362))</f>
        <v>金币</v>
      </c>
      <c r="AK1362" s="14">
        <f>ROUND(INDEX(挂机升级突破!$BN$6:$BN$57,卡牌消耗!AI1362)*INDEX(卡牌消耗!$B$8:$F$8,AG1362)/$Q$4/50,0)*50</f>
        <v>1000</v>
      </c>
      <c r="AL1362" s="14" t="str">
        <f>IF(AD1362&gt;0,INDEX(挂机升级突破!$BX$4:$CH$4,AD1362),"")</f>
        <v>蓝色基础材料</v>
      </c>
      <c r="AM1362" s="14">
        <f>ROUND(INDEX(挂机升级突破!$BX$6:$CH$57,卡牌消耗!AI1362,AD1362)*INDEX(卡牌消耗!$B$5:$F$5,AG1362)/$Q$4/5,0)*5</f>
        <v>480</v>
      </c>
      <c r="AN1362" s="14" t="str">
        <f>IF(AE1362&gt;0,INDEX(挂机升级突破!$BX$4:$CH$4,AE1362),"")</f>
        <v/>
      </c>
      <c r="AO1362" s="14" t="str">
        <f>IF(AE1362&gt;0,ROUND(INDEX(挂机升级突破!$BX$6:$CH$57,卡牌消耗!AI1362,AE1362)*INDEX(卡牌消耗!$B$7:$F$7,AG1362)/$Q$4,0),"")</f>
        <v/>
      </c>
    </row>
    <row r="1363" spans="27:41" ht="16.5" x14ac:dyDescent="0.2">
      <c r="AA1363" s="104">
        <v>1359</v>
      </c>
      <c r="AB1363" s="14">
        <f t="shared" si="238"/>
        <v>27</v>
      </c>
      <c r="AC1363" s="14">
        <f>INDEX(挂机升级突破!$BU$6:$BU$57,卡牌消耗!AI1363)</f>
        <v>11</v>
      </c>
      <c r="AD1363" s="14">
        <f>INDEX(挂机升级突破!BV$6:BV$57,卡牌消耗!$AI1363)</f>
        <v>2</v>
      </c>
      <c r="AE1363" s="14">
        <f>INDEX(挂机升级突破!BW$6:BW$57,卡牌消耗!$AI1363)</f>
        <v>0</v>
      </c>
      <c r="AF1363" s="14" t="str">
        <f t="shared" si="239"/>
        <v>燕青</v>
      </c>
      <c r="AG1363" s="14">
        <f t="shared" si="240"/>
        <v>3</v>
      </c>
      <c r="AH1363" s="14" t="str">
        <f t="shared" si="241"/>
        <v>燕青魂火-7</v>
      </c>
      <c r="AI1363" s="14">
        <f t="shared" si="242"/>
        <v>7</v>
      </c>
      <c r="AJ1363" s="14" t="str">
        <f>INDEX(挂机升级突破!$BX$4:$CH$4,INDEX(挂机升级突破!$BU$6:$BU$57,卡牌消耗!AI1363))</f>
        <v>金币</v>
      </c>
      <c r="AK1363" s="14">
        <f>ROUND(INDEX(挂机升级突破!$BN$6:$BN$57,卡牌消耗!AI1363)*INDEX(卡牌消耗!$B$8:$F$8,AG1363)/$Q$4/50,0)*50</f>
        <v>1000</v>
      </c>
      <c r="AL1363" s="14" t="str">
        <f>IF(AD1363&gt;0,INDEX(挂机升级突破!$BX$4:$CH$4,AD1363),"")</f>
        <v>蓝色基础材料</v>
      </c>
      <c r="AM1363" s="14">
        <f>ROUND(INDEX(挂机升级突破!$BX$6:$CH$57,卡牌消耗!AI1363,AD1363)*INDEX(卡牌消耗!$B$5:$F$5,AG1363)/$Q$4/5,0)*5</f>
        <v>480</v>
      </c>
      <c r="AN1363" s="14" t="str">
        <f>IF(AE1363&gt;0,INDEX(挂机升级突破!$BX$4:$CH$4,AE1363),"")</f>
        <v/>
      </c>
      <c r="AO1363" s="14" t="str">
        <f>IF(AE1363&gt;0,ROUND(INDEX(挂机升级突破!$BX$6:$CH$57,卡牌消耗!AI1363,AE1363)*INDEX(卡牌消耗!$B$7:$F$7,AG1363)/$Q$4,0),"")</f>
        <v/>
      </c>
    </row>
    <row r="1364" spans="27:41" ht="16.5" x14ac:dyDescent="0.2">
      <c r="AA1364" s="104">
        <v>1360</v>
      </c>
      <c r="AB1364" s="14">
        <f t="shared" si="238"/>
        <v>27</v>
      </c>
      <c r="AC1364" s="14">
        <f>INDEX(挂机升级突破!$BU$6:$BU$57,卡牌消耗!AI1364)</f>
        <v>11</v>
      </c>
      <c r="AD1364" s="14">
        <f>INDEX(挂机升级突破!BV$6:BV$57,卡牌消耗!$AI1364)</f>
        <v>2</v>
      </c>
      <c r="AE1364" s="14">
        <f>INDEX(挂机升级突破!BW$6:BW$57,卡牌消耗!$AI1364)</f>
        <v>0</v>
      </c>
      <c r="AF1364" s="14" t="str">
        <f t="shared" si="239"/>
        <v>燕青</v>
      </c>
      <c r="AG1364" s="14">
        <f t="shared" si="240"/>
        <v>3</v>
      </c>
      <c r="AH1364" s="14" t="str">
        <f t="shared" si="241"/>
        <v>燕青魂火-8</v>
      </c>
      <c r="AI1364" s="14">
        <f t="shared" si="242"/>
        <v>8</v>
      </c>
      <c r="AJ1364" s="14" t="str">
        <f>INDEX(挂机升级突破!$BX$4:$CH$4,INDEX(挂机升级突破!$BU$6:$BU$57,卡牌消耗!AI1364))</f>
        <v>金币</v>
      </c>
      <c r="AK1364" s="14">
        <f>ROUND(INDEX(挂机升级突破!$BN$6:$BN$57,卡牌消耗!AI1364)*INDEX(卡牌消耗!$B$8:$F$8,AG1364)/$Q$4/50,0)*50</f>
        <v>1500</v>
      </c>
      <c r="AL1364" s="14" t="str">
        <f>IF(AD1364&gt;0,INDEX(挂机升级突破!$BX$4:$CH$4,AD1364),"")</f>
        <v>蓝色基础材料</v>
      </c>
      <c r="AM1364" s="14">
        <f>ROUND(INDEX(挂机升级突破!$BX$6:$CH$57,卡牌消耗!AI1364,AD1364)*INDEX(卡牌消耗!$B$5:$F$5,AG1364)/$Q$4/5,0)*5</f>
        <v>960</v>
      </c>
      <c r="AN1364" s="14" t="str">
        <f>IF(AE1364&gt;0,INDEX(挂机升级突破!$BX$4:$CH$4,AE1364),"")</f>
        <v/>
      </c>
      <c r="AO1364" s="14" t="str">
        <f>IF(AE1364&gt;0,ROUND(INDEX(挂机升级突破!$BX$6:$CH$57,卡牌消耗!AI1364,AE1364)*INDEX(卡牌消耗!$B$7:$F$7,AG1364)/$Q$4,0),"")</f>
        <v/>
      </c>
    </row>
    <row r="1365" spans="27:41" ht="16.5" x14ac:dyDescent="0.2">
      <c r="AA1365" s="104">
        <v>1361</v>
      </c>
      <c r="AB1365" s="14">
        <f t="shared" si="238"/>
        <v>27</v>
      </c>
      <c r="AC1365" s="14">
        <f>INDEX(挂机升级突破!$BU$6:$BU$57,卡牌消耗!AI1365)</f>
        <v>11</v>
      </c>
      <c r="AD1365" s="14">
        <f>INDEX(挂机升级突破!BV$6:BV$57,卡牌消耗!$AI1365)</f>
        <v>2</v>
      </c>
      <c r="AE1365" s="14">
        <f>INDEX(挂机升级突破!BW$6:BW$57,卡牌消耗!$AI1365)</f>
        <v>0</v>
      </c>
      <c r="AF1365" s="14" t="str">
        <f t="shared" si="239"/>
        <v>燕青</v>
      </c>
      <c r="AG1365" s="14">
        <f t="shared" si="240"/>
        <v>3</v>
      </c>
      <c r="AH1365" s="14" t="str">
        <f t="shared" si="241"/>
        <v>燕青魂火-9</v>
      </c>
      <c r="AI1365" s="14">
        <f t="shared" si="242"/>
        <v>9</v>
      </c>
      <c r="AJ1365" s="14" t="str">
        <f>INDEX(挂机升级突破!$BX$4:$CH$4,INDEX(挂机升级突破!$BU$6:$BU$57,卡牌消耗!AI1365))</f>
        <v>金币</v>
      </c>
      <c r="AK1365" s="14">
        <f>ROUND(INDEX(挂机升级突破!$BN$6:$BN$57,卡牌消耗!AI1365)*INDEX(卡牌消耗!$B$8:$F$8,AG1365)/$Q$4/50,0)*50</f>
        <v>1500</v>
      </c>
      <c r="AL1365" s="14" t="str">
        <f>IF(AD1365&gt;0,INDEX(挂机升级突破!$BX$4:$CH$4,AD1365),"")</f>
        <v>蓝色基础材料</v>
      </c>
      <c r="AM1365" s="14">
        <f>ROUND(INDEX(挂机升级突破!$BX$6:$CH$57,卡牌消耗!AI1365,AD1365)*INDEX(卡牌消耗!$B$5:$F$5,AG1365)/$Q$4/5,0)*5</f>
        <v>960</v>
      </c>
      <c r="AN1365" s="14" t="str">
        <f>IF(AE1365&gt;0,INDEX(挂机升级突破!$BX$4:$CH$4,AE1365),"")</f>
        <v/>
      </c>
      <c r="AO1365" s="14" t="str">
        <f>IF(AE1365&gt;0,ROUND(INDEX(挂机升级突破!$BX$6:$CH$57,卡牌消耗!AI1365,AE1365)*INDEX(卡牌消耗!$B$7:$F$7,AG1365)/$Q$4,0),"")</f>
        <v/>
      </c>
    </row>
    <row r="1366" spans="27:41" ht="16.5" x14ac:dyDescent="0.2">
      <c r="AA1366" s="104">
        <v>1362</v>
      </c>
      <c r="AB1366" s="14">
        <f t="shared" si="238"/>
        <v>27</v>
      </c>
      <c r="AC1366" s="14">
        <f>INDEX(挂机升级突破!$BU$6:$BU$57,卡牌消耗!AI1366)</f>
        <v>11</v>
      </c>
      <c r="AD1366" s="14">
        <f>INDEX(挂机升级突破!BV$6:BV$57,卡牌消耗!$AI1366)</f>
        <v>2</v>
      </c>
      <c r="AE1366" s="14">
        <f>INDEX(挂机升级突破!BW$6:BW$57,卡牌消耗!$AI1366)</f>
        <v>0</v>
      </c>
      <c r="AF1366" s="14" t="str">
        <f t="shared" si="239"/>
        <v>燕青</v>
      </c>
      <c r="AG1366" s="14">
        <f t="shared" si="240"/>
        <v>3</v>
      </c>
      <c r="AH1366" s="14" t="str">
        <f t="shared" si="241"/>
        <v>燕青魂火-10</v>
      </c>
      <c r="AI1366" s="14">
        <f t="shared" si="242"/>
        <v>10</v>
      </c>
      <c r="AJ1366" s="14" t="str">
        <f>INDEX(挂机升级突破!$BX$4:$CH$4,INDEX(挂机升级突破!$BU$6:$BU$57,卡牌消耗!AI1366))</f>
        <v>金币</v>
      </c>
      <c r="AK1366" s="14">
        <f>ROUND(INDEX(挂机升级突破!$BN$6:$BN$57,卡牌消耗!AI1366)*INDEX(卡牌消耗!$B$8:$F$8,AG1366)/$Q$4/50,0)*50</f>
        <v>2450</v>
      </c>
      <c r="AL1366" s="14" t="str">
        <f>IF(AD1366&gt;0,INDEX(挂机升级突破!$BX$4:$CH$4,AD1366),"")</f>
        <v>蓝色基础材料</v>
      </c>
      <c r="AM1366" s="14">
        <f>ROUND(INDEX(挂机升级突破!$BX$6:$CH$57,卡牌消耗!AI1366,AD1366)*INDEX(卡牌消耗!$B$5:$F$5,AG1366)/$Q$4/5,0)*5</f>
        <v>1440</v>
      </c>
      <c r="AN1366" s="14" t="str">
        <f>IF(AE1366&gt;0,INDEX(挂机升级突破!$BX$4:$CH$4,AE1366),"")</f>
        <v/>
      </c>
      <c r="AO1366" s="14" t="str">
        <f>IF(AE1366&gt;0,ROUND(INDEX(挂机升级突破!$BX$6:$CH$57,卡牌消耗!AI1366,AE1366)*INDEX(卡牌消耗!$B$7:$F$7,AG1366)/$Q$4,0),"")</f>
        <v/>
      </c>
    </row>
    <row r="1367" spans="27:41" ht="16.5" x14ac:dyDescent="0.2">
      <c r="AA1367" s="104">
        <v>1363</v>
      </c>
      <c r="AB1367" s="14">
        <f t="shared" si="238"/>
        <v>27</v>
      </c>
      <c r="AC1367" s="14">
        <f>INDEX(挂机升级突破!$BU$6:$BU$57,卡牌消耗!AI1367)</f>
        <v>11</v>
      </c>
      <c r="AD1367" s="14">
        <f>INDEX(挂机升级突破!BV$6:BV$57,卡牌消耗!$AI1367)</f>
        <v>2</v>
      </c>
      <c r="AE1367" s="14">
        <f>INDEX(挂机升级突破!BW$6:BW$57,卡牌消耗!$AI1367)</f>
        <v>0</v>
      </c>
      <c r="AF1367" s="14" t="str">
        <f t="shared" si="239"/>
        <v>燕青</v>
      </c>
      <c r="AG1367" s="14">
        <f t="shared" si="240"/>
        <v>3</v>
      </c>
      <c r="AH1367" s="14" t="str">
        <f t="shared" si="241"/>
        <v>燕青魂火-11</v>
      </c>
      <c r="AI1367" s="14">
        <f t="shared" si="242"/>
        <v>11</v>
      </c>
      <c r="AJ1367" s="14" t="str">
        <f>INDEX(挂机升级突破!$BX$4:$CH$4,INDEX(挂机升级突破!$BU$6:$BU$57,卡牌消耗!AI1367))</f>
        <v>金币</v>
      </c>
      <c r="AK1367" s="14">
        <f>ROUND(INDEX(挂机升级突破!$BN$6:$BN$57,卡牌消耗!AI1367)*INDEX(卡牌消耗!$B$8:$F$8,AG1367)/$Q$4/50,0)*50</f>
        <v>2450</v>
      </c>
      <c r="AL1367" s="14" t="str">
        <f>IF(AD1367&gt;0,INDEX(挂机升级突破!$BX$4:$CH$4,AD1367),"")</f>
        <v>蓝色基础材料</v>
      </c>
      <c r="AM1367" s="14">
        <f>ROUND(INDEX(挂机升级突破!$BX$6:$CH$57,卡牌消耗!AI1367,AD1367)*INDEX(卡牌消耗!$B$5:$F$5,AG1367)/$Q$4/5,0)*5</f>
        <v>1440</v>
      </c>
      <c r="AN1367" s="14" t="str">
        <f>IF(AE1367&gt;0,INDEX(挂机升级突破!$BX$4:$CH$4,AE1367),"")</f>
        <v/>
      </c>
      <c r="AO1367" s="14" t="str">
        <f>IF(AE1367&gt;0,ROUND(INDEX(挂机升级突破!$BX$6:$CH$57,卡牌消耗!AI1367,AE1367)*INDEX(卡牌消耗!$B$7:$F$7,AG1367)/$Q$4,0),"")</f>
        <v/>
      </c>
    </row>
    <row r="1368" spans="27:41" ht="16.5" x14ac:dyDescent="0.2">
      <c r="AA1368" s="104">
        <v>1364</v>
      </c>
      <c r="AB1368" s="14">
        <f t="shared" si="238"/>
        <v>27</v>
      </c>
      <c r="AC1368" s="14">
        <f>INDEX(挂机升级突破!$BU$6:$BU$57,卡牌消耗!AI1368)</f>
        <v>11</v>
      </c>
      <c r="AD1368" s="14">
        <f>INDEX(挂机升级突破!BV$6:BV$57,卡牌消耗!$AI1368)</f>
        <v>2</v>
      </c>
      <c r="AE1368" s="14">
        <f>INDEX(挂机升级突破!BW$6:BW$57,卡牌消耗!$AI1368)</f>
        <v>0</v>
      </c>
      <c r="AF1368" s="14" t="str">
        <f t="shared" si="239"/>
        <v>燕青</v>
      </c>
      <c r="AG1368" s="14">
        <f t="shared" si="240"/>
        <v>3</v>
      </c>
      <c r="AH1368" s="14" t="str">
        <f t="shared" si="241"/>
        <v>燕青魂火-12</v>
      </c>
      <c r="AI1368" s="14">
        <f t="shared" si="242"/>
        <v>12</v>
      </c>
      <c r="AJ1368" s="14" t="str">
        <f>INDEX(挂机升级突破!$BX$4:$CH$4,INDEX(挂机升级突破!$BU$6:$BU$57,卡牌消耗!AI1368))</f>
        <v>金币</v>
      </c>
      <c r="AK1368" s="14">
        <f>ROUND(INDEX(挂机升级突破!$BN$6:$BN$57,卡牌消耗!AI1368)*INDEX(卡牌消耗!$B$8:$F$8,AG1368)/$Q$4/50,0)*50</f>
        <v>2100</v>
      </c>
      <c r="AL1368" s="14" t="str">
        <f>IF(AD1368&gt;0,INDEX(挂机升级突破!$BX$4:$CH$4,AD1368),"")</f>
        <v>蓝色基础材料</v>
      </c>
      <c r="AM1368" s="14">
        <f>ROUND(INDEX(挂机升级突破!$BX$6:$CH$57,卡牌消耗!AI1368,AD1368)*INDEX(卡牌消耗!$B$5:$F$5,AG1368)/$Q$4/5,0)*5</f>
        <v>1920</v>
      </c>
      <c r="AN1368" s="14" t="str">
        <f>IF(AE1368&gt;0,INDEX(挂机升级突破!$BX$4:$CH$4,AE1368),"")</f>
        <v/>
      </c>
      <c r="AO1368" s="14" t="str">
        <f>IF(AE1368&gt;0,ROUND(INDEX(挂机升级突破!$BX$6:$CH$57,卡牌消耗!AI1368,AE1368)*INDEX(卡牌消耗!$B$7:$F$7,AG1368)/$Q$4,0),"")</f>
        <v/>
      </c>
    </row>
    <row r="1369" spans="27:41" ht="16.5" x14ac:dyDescent="0.2">
      <c r="AA1369" s="104">
        <v>1365</v>
      </c>
      <c r="AB1369" s="14">
        <f t="shared" si="238"/>
        <v>27</v>
      </c>
      <c r="AC1369" s="14">
        <f>INDEX(挂机升级突破!$BU$6:$BU$57,卡牌消耗!AI1369)</f>
        <v>11</v>
      </c>
      <c r="AD1369" s="14">
        <f>INDEX(挂机升级突破!BV$6:BV$57,卡牌消耗!$AI1369)</f>
        <v>2</v>
      </c>
      <c r="AE1369" s="14">
        <f>INDEX(挂机升级突破!BW$6:BW$57,卡牌消耗!$AI1369)</f>
        <v>0</v>
      </c>
      <c r="AF1369" s="14" t="str">
        <f t="shared" si="239"/>
        <v>燕青</v>
      </c>
      <c r="AG1369" s="14">
        <f t="shared" si="240"/>
        <v>3</v>
      </c>
      <c r="AH1369" s="14" t="str">
        <f t="shared" si="241"/>
        <v>燕青魂火-13</v>
      </c>
      <c r="AI1369" s="14">
        <f t="shared" si="242"/>
        <v>13</v>
      </c>
      <c r="AJ1369" s="14" t="str">
        <f>INDEX(挂机升级突破!$BX$4:$CH$4,INDEX(挂机升级突破!$BU$6:$BU$57,卡牌消耗!AI1369))</f>
        <v>金币</v>
      </c>
      <c r="AK1369" s="14">
        <f>ROUND(INDEX(挂机升级突破!$BN$6:$BN$57,卡牌消耗!AI1369)*INDEX(卡牌消耗!$B$8:$F$8,AG1369)/$Q$4/50,0)*50</f>
        <v>2100</v>
      </c>
      <c r="AL1369" s="14" t="str">
        <f>IF(AD1369&gt;0,INDEX(挂机升级突破!$BX$4:$CH$4,AD1369),"")</f>
        <v>蓝色基础材料</v>
      </c>
      <c r="AM1369" s="14">
        <f>ROUND(INDEX(挂机升级突破!$BX$6:$CH$57,卡牌消耗!AI1369,AD1369)*INDEX(卡牌消耗!$B$5:$F$5,AG1369)/$Q$4/5,0)*5</f>
        <v>1920</v>
      </c>
      <c r="AN1369" s="14" t="str">
        <f>IF(AE1369&gt;0,INDEX(挂机升级突破!$BX$4:$CH$4,AE1369),"")</f>
        <v/>
      </c>
      <c r="AO1369" s="14" t="str">
        <f>IF(AE1369&gt;0,ROUND(INDEX(挂机升级突破!$BX$6:$CH$57,卡牌消耗!AI1369,AE1369)*INDEX(卡牌消耗!$B$7:$F$7,AG1369)/$Q$4,0),"")</f>
        <v/>
      </c>
    </row>
    <row r="1370" spans="27:41" ht="16.5" x14ac:dyDescent="0.2">
      <c r="AA1370" s="104">
        <v>1366</v>
      </c>
      <c r="AB1370" s="14">
        <f t="shared" si="238"/>
        <v>27</v>
      </c>
      <c r="AC1370" s="14">
        <f>INDEX(挂机升级突破!$BU$6:$BU$57,卡牌消耗!AI1370)</f>
        <v>11</v>
      </c>
      <c r="AD1370" s="14">
        <f>INDEX(挂机升级突破!BV$6:BV$57,卡牌消耗!$AI1370)</f>
        <v>3</v>
      </c>
      <c r="AE1370" s="14">
        <f>INDEX(挂机升级突破!BW$6:BW$57,卡牌消耗!$AI1370)</f>
        <v>0</v>
      </c>
      <c r="AF1370" s="14" t="str">
        <f t="shared" si="239"/>
        <v>燕青</v>
      </c>
      <c r="AG1370" s="14">
        <f t="shared" si="240"/>
        <v>3</v>
      </c>
      <c r="AH1370" s="14" t="str">
        <f t="shared" si="241"/>
        <v>燕青魂火-14</v>
      </c>
      <c r="AI1370" s="14">
        <f t="shared" si="242"/>
        <v>14</v>
      </c>
      <c r="AJ1370" s="14" t="str">
        <f>INDEX(挂机升级突破!$BX$4:$CH$4,INDEX(挂机升级突破!$BU$6:$BU$57,卡牌消耗!AI1370))</f>
        <v>金币</v>
      </c>
      <c r="AK1370" s="14">
        <f>ROUND(INDEX(挂机升级突破!$BN$6:$BN$57,卡牌消耗!AI1370)*INDEX(卡牌消耗!$B$8:$F$8,AG1370)/$Q$4/50,0)*50</f>
        <v>2350</v>
      </c>
      <c r="AL1370" s="14" t="str">
        <f>IF(AD1370&gt;0,INDEX(挂机升级突破!$BX$4:$CH$4,AD1370),"")</f>
        <v>紫色基础材料</v>
      </c>
      <c r="AM1370" s="14">
        <f>ROUND(INDEX(挂机升级突破!$BX$6:$CH$57,卡牌消耗!AI1370,AD1370)*INDEX(卡牌消耗!$B$5:$F$5,AG1370)/$Q$4/5,0)*5</f>
        <v>170</v>
      </c>
      <c r="AN1370" s="14" t="str">
        <f>IF(AE1370&gt;0,INDEX(挂机升级突破!$BX$4:$CH$4,AE1370),"")</f>
        <v/>
      </c>
      <c r="AO1370" s="14" t="str">
        <f>IF(AE1370&gt;0,ROUND(INDEX(挂机升级突破!$BX$6:$CH$57,卡牌消耗!AI1370,AE1370)*INDEX(卡牌消耗!$B$7:$F$7,AG1370)/$Q$4,0),"")</f>
        <v/>
      </c>
    </row>
    <row r="1371" spans="27:41" ht="16.5" x14ac:dyDescent="0.2">
      <c r="AA1371" s="104">
        <v>1367</v>
      </c>
      <c r="AB1371" s="14">
        <f t="shared" si="238"/>
        <v>27</v>
      </c>
      <c r="AC1371" s="14">
        <f>INDEX(挂机升级突破!$BU$6:$BU$57,卡牌消耗!AI1371)</f>
        <v>11</v>
      </c>
      <c r="AD1371" s="14">
        <f>INDEX(挂机升级突破!BV$6:BV$57,卡牌消耗!$AI1371)</f>
        <v>3</v>
      </c>
      <c r="AE1371" s="14">
        <f>INDEX(挂机升级突破!BW$6:BW$57,卡牌消耗!$AI1371)</f>
        <v>0</v>
      </c>
      <c r="AF1371" s="14" t="str">
        <f t="shared" si="239"/>
        <v>燕青</v>
      </c>
      <c r="AG1371" s="14">
        <f t="shared" si="240"/>
        <v>3</v>
      </c>
      <c r="AH1371" s="14" t="str">
        <f t="shared" si="241"/>
        <v>燕青魂火-15</v>
      </c>
      <c r="AI1371" s="14">
        <f t="shared" si="242"/>
        <v>15</v>
      </c>
      <c r="AJ1371" s="14" t="str">
        <f>INDEX(挂机升级突破!$BX$4:$CH$4,INDEX(挂机升级突破!$BU$6:$BU$57,卡牌消耗!AI1371))</f>
        <v>金币</v>
      </c>
      <c r="AK1371" s="14">
        <f>ROUND(INDEX(挂机升级突破!$BN$6:$BN$57,卡牌消耗!AI1371)*INDEX(卡牌消耗!$B$8:$F$8,AG1371)/$Q$4/50,0)*50</f>
        <v>2550</v>
      </c>
      <c r="AL1371" s="14" t="str">
        <f>IF(AD1371&gt;0,INDEX(挂机升级突破!$BX$4:$CH$4,AD1371),"")</f>
        <v>紫色基础材料</v>
      </c>
      <c r="AM1371" s="14">
        <f>ROUND(INDEX(挂机升级突破!$BX$6:$CH$57,卡牌消耗!AI1371,AD1371)*INDEX(卡牌消耗!$B$5:$F$5,AG1371)/$Q$4/5,0)*5</f>
        <v>170</v>
      </c>
      <c r="AN1371" s="14" t="str">
        <f>IF(AE1371&gt;0,INDEX(挂机升级突破!$BX$4:$CH$4,AE1371),"")</f>
        <v/>
      </c>
      <c r="AO1371" s="14" t="str">
        <f>IF(AE1371&gt;0,ROUND(INDEX(挂机升级突破!$BX$6:$CH$57,卡牌消耗!AI1371,AE1371)*INDEX(卡牌消耗!$B$7:$F$7,AG1371)/$Q$4,0),"")</f>
        <v/>
      </c>
    </row>
    <row r="1372" spans="27:41" ht="16.5" x14ac:dyDescent="0.2">
      <c r="AA1372" s="104">
        <v>1368</v>
      </c>
      <c r="AB1372" s="14">
        <f t="shared" si="238"/>
        <v>27</v>
      </c>
      <c r="AC1372" s="14">
        <f>INDEX(挂机升级突破!$BU$6:$BU$57,卡牌消耗!AI1372)</f>
        <v>11</v>
      </c>
      <c r="AD1372" s="14">
        <f>INDEX(挂机升级突破!BV$6:BV$57,卡牌消耗!$AI1372)</f>
        <v>3</v>
      </c>
      <c r="AE1372" s="14">
        <f>INDEX(挂机升级突破!BW$6:BW$57,卡牌消耗!$AI1372)</f>
        <v>0</v>
      </c>
      <c r="AF1372" s="14" t="str">
        <f t="shared" si="239"/>
        <v>燕青</v>
      </c>
      <c r="AG1372" s="14">
        <f t="shared" si="240"/>
        <v>3</v>
      </c>
      <c r="AH1372" s="14" t="str">
        <f t="shared" si="241"/>
        <v>燕青魂火-16</v>
      </c>
      <c r="AI1372" s="14">
        <f t="shared" si="242"/>
        <v>16</v>
      </c>
      <c r="AJ1372" s="14" t="str">
        <f>INDEX(挂机升级突破!$BX$4:$CH$4,INDEX(挂机升级突破!$BU$6:$BU$57,卡牌消耗!AI1372))</f>
        <v>金币</v>
      </c>
      <c r="AK1372" s="14">
        <f>ROUND(INDEX(挂机升级突破!$BN$6:$BN$57,卡牌消耗!AI1372)*INDEX(卡牌消耗!$B$8:$F$8,AG1372)/$Q$4/50,0)*50</f>
        <v>2550</v>
      </c>
      <c r="AL1372" s="14" t="str">
        <f>IF(AD1372&gt;0,INDEX(挂机升级突破!$BX$4:$CH$4,AD1372),"")</f>
        <v>紫色基础材料</v>
      </c>
      <c r="AM1372" s="14">
        <f>ROUND(INDEX(挂机升级突破!$BX$6:$CH$57,卡牌消耗!AI1372,AD1372)*INDEX(卡牌消耗!$B$5:$F$5,AG1372)/$Q$4/5,0)*5</f>
        <v>170</v>
      </c>
      <c r="AN1372" s="14" t="str">
        <f>IF(AE1372&gt;0,INDEX(挂机升级突破!$BX$4:$CH$4,AE1372),"")</f>
        <v/>
      </c>
      <c r="AO1372" s="14" t="str">
        <f>IF(AE1372&gt;0,ROUND(INDEX(挂机升级突破!$BX$6:$CH$57,卡牌消耗!AI1372,AE1372)*INDEX(卡牌消耗!$B$7:$F$7,AG1372)/$Q$4,0),"")</f>
        <v/>
      </c>
    </row>
    <row r="1373" spans="27:41" ht="16.5" x14ac:dyDescent="0.2">
      <c r="AA1373" s="104">
        <v>1369</v>
      </c>
      <c r="AB1373" s="14">
        <f t="shared" si="238"/>
        <v>27</v>
      </c>
      <c r="AC1373" s="14">
        <f>INDEX(挂机升级突破!$BU$6:$BU$57,卡牌消耗!AI1373)</f>
        <v>11</v>
      </c>
      <c r="AD1373" s="14">
        <f>INDEX(挂机升级突破!BV$6:BV$57,卡牌消耗!$AI1373)</f>
        <v>3</v>
      </c>
      <c r="AE1373" s="14">
        <f>INDEX(挂机升级突破!BW$6:BW$57,卡牌消耗!$AI1373)</f>
        <v>0</v>
      </c>
      <c r="AF1373" s="14" t="str">
        <f t="shared" si="239"/>
        <v>燕青</v>
      </c>
      <c r="AG1373" s="14">
        <f t="shared" si="240"/>
        <v>3</v>
      </c>
      <c r="AH1373" s="14" t="str">
        <f t="shared" si="241"/>
        <v>燕青魂火-17</v>
      </c>
      <c r="AI1373" s="14">
        <f t="shared" si="242"/>
        <v>17</v>
      </c>
      <c r="AJ1373" s="14" t="str">
        <f>INDEX(挂机升级突破!$BX$4:$CH$4,INDEX(挂机升级突破!$BU$6:$BU$57,卡牌消耗!AI1373))</f>
        <v>金币</v>
      </c>
      <c r="AK1373" s="14">
        <f>ROUND(INDEX(挂机升级突破!$BN$6:$BN$57,卡牌消耗!AI1373)*INDEX(卡牌消耗!$B$8:$F$8,AG1373)/$Q$4/50,0)*50</f>
        <v>3200</v>
      </c>
      <c r="AL1373" s="14" t="str">
        <f>IF(AD1373&gt;0,INDEX(挂机升级突破!$BX$4:$CH$4,AD1373),"")</f>
        <v>紫色基础材料</v>
      </c>
      <c r="AM1373" s="14">
        <f>ROUND(INDEX(挂机升级突破!$BX$6:$CH$57,卡牌消耗!AI1373,AD1373)*INDEX(卡牌消耗!$B$5:$F$5,AG1373)/$Q$4/5,0)*5</f>
        <v>335</v>
      </c>
      <c r="AN1373" s="14" t="str">
        <f>IF(AE1373&gt;0,INDEX(挂机升级突破!$BX$4:$CH$4,AE1373),"")</f>
        <v/>
      </c>
      <c r="AO1373" s="14" t="str">
        <f>IF(AE1373&gt;0,ROUND(INDEX(挂机升级突破!$BX$6:$CH$57,卡牌消耗!AI1373,AE1373)*INDEX(卡牌消耗!$B$7:$F$7,AG1373)/$Q$4,0),"")</f>
        <v/>
      </c>
    </row>
    <row r="1374" spans="27:41" ht="16.5" x14ac:dyDescent="0.2">
      <c r="AA1374" s="104">
        <v>1370</v>
      </c>
      <c r="AB1374" s="14">
        <f t="shared" si="238"/>
        <v>27</v>
      </c>
      <c r="AC1374" s="14">
        <f>INDEX(挂机升级突破!$BU$6:$BU$57,卡牌消耗!AI1374)</f>
        <v>11</v>
      </c>
      <c r="AD1374" s="14">
        <f>INDEX(挂机升级突破!BV$6:BV$57,卡牌消耗!$AI1374)</f>
        <v>3</v>
      </c>
      <c r="AE1374" s="14">
        <f>INDEX(挂机升级突破!BW$6:BW$57,卡牌消耗!$AI1374)</f>
        <v>0</v>
      </c>
      <c r="AF1374" s="14" t="str">
        <f t="shared" si="239"/>
        <v>燕青</v>
      </c>
      <c r="AG1374" s="14">
        <f t="shared" si="240"/>
        <v>3</v>
      </c>
      <c r="AH1374" s="14" t="str">
        <f t="shared" si="241"/>
        <v>燕青魂火-18</v>
      </c>
      <c r="AI1374" s="14">
        <f t="shared" si="242"/>
        <v>18</v>
      </c>
      <c r="AJ1374" s="14" t="str">
        <f>INDEX(挂机升级突破!$BX$4:$CH$4,INDEX(挂机升级突破!$BU$6:$BU$57,卡牌消耗!AI1374))</f>
        <v>金币</v>
      </c>
      <c r="AK1374" s="14">
        <f>ROUND(INDEX(挂机升级突破!$BN$6:$BN$57,卡牌消耗!AI1374)*INDEX(卡牌消耗!$B$8:$F$8,AG1374)/$Q$4/50,0)*50</f>
        <v>3200</v>
      </c>
      <c r="AL1374" s="14" t="str">
        <f>IF(AD1374&gt;0,INDEX(挂机升级突破!$BX$4:$CH$4,AD1374),"")</f>
        <v>紫色基础材料</v>
      </c>
      <c r="AM1374" s="14">
        <f>ROUND(INDEX(挂机升级突破!$BX$6:$CH$57,卡牌消耗!AI1374,AD1374)*INDEX(卡牌消耗!$B$5:$F$5,AG1374)/$Q$4/5,0)*5</f>
        <v>335</v>
      </c>
      <c r="AN1374" s="14" t="str">
        <f>IF(AE1374&gt;0,INDEX(挂机升级突破!$BX$4:$CH$4,AE1374),"")</f>
        <v/>
      </c>
      <c r="AO1374" s="14" t="str">
        <f>IF(AE1374&gt;0,ROUND(INDEX(挂机升级突破!$BX$6:$CH$57,卡牌消耗!AI1374,AE1374)*INDEX(卡牌消耗!$B$7:$F$7,AG1374)/$Q$4,0),"")</f>
        <v/>
      </c>
    </row>
    <row r="1375" spans="27:41" ht="16.5" x14ac:dyDescent="0.2">
      <c r="AA1375" s="104">
        <v>1371</v>
      </c>
      <c r="AB1375" s="14">
        <f t="shared" si="238"/>
        <v>27</v>
      </c>
      <c r="AC1375" s="14">
        <f>INDEX(挂机升级突破!$BU$6:$BU$57,卡牌消耗!AI1375)</f>
        <v>11</v>
      </c>
      <c r="AD1375" s="14">
        <f>INDEX(挂机升级突破!BV$6:BV$57,卡牌消耗!$AI1375)</f>
        <v>3</v>
      </c>
      <c r="AE1375" s="14">
        <f>INDEX(挂机升级突破!BW$6:BW$57,卡牌消耗!$AI1375)</f>
        <v>0</v>
      </c>
      <c r="AF1375" s="14" t="str">
        <f t="shared" si="239"/>
        <v>燕青</v>
      </c>
      <c r="AG1375" s="14">
        <f t="shared" si="240"/>
        <v>3</v>
      </c>
      <c r="AH1375" s="14" t="str">
        <f t="shared" si="241"/>
        <v>燕青魂火-19</v>
      </c>
      <c r="AI1375" s="14">
        <f t="shared" si="242"/>
        <v>19</v>
      </c>
      <c r="AJ1375" s="14" t="str">
        <f>INDEX(挂机升级突破!$BX$4:$CH$4,INDEX(挂机升级突破!$BU$6:$BU$57,卡牌消耗!AI1375))</f>
        <v>金币</v>
      </c>
      <c r="AK1375" s="14">
        <f>ROUND(INDEX(挂机升级突破!$BN$6:$BN$57,卡牌消耗!AI1375)*INDEX(卡牌消耗!$B$8:$F$8,AG1375)/$Q$4/50,0)*50</f>
        <v>3200</v>
      </c>
      <c r="AL1375" s="14" t="str">
        <f>IF(AD1375&gt;0,INDEX(挂机升级突破!$BX$4:$CH$4,AD1375),"")</f>
        <v>紫色基础材料</v>
      </c>
      <c r="AM1375" s="14">
        <f>ROUND(INDEX(挂机升级突破!$BX$6:$CH$57,卡牌消耗!AI1375,AD1375)*INDEX(卡牌消耗!$B$5:$F$5,AG1375)/$Q$4/5,0)*5</f>
        <v>335</v>
      </c>
      <c r="AN1375" s="14" t="str">
        <f>IF(AE1375&gt;0,INDEX(挂机升级突破!$BX$4:$CH$4,AE1375),"")</f>
        <v/>
      </c>
      <c r="AO1375" s="14" t="str">
        <f>IF(AE1375&gt;0,ROUND(INDEX(挂机升级突破!$BX$6:$CH$57,卡牌消耗!AI1375,AE1375)*INDEX(卡牌消耗!$B$7:$F$7,AG1375)/$Q$4,0),"")</f>
        <v/>
      </c>
    </row>
    <row r="1376" spans="27:41" ht="16.5" x14ac:dyDescent="0.2">
      <c r="AA1376" s="104">
        <v>1372</v>
      </c>
      <c r="AB1376" s="14">
        <f t="shared" si="238"/>
        <v>27</v>
      </c>
      <c r="AC1376" s="14">
        <f>INDEX(挂机升级突破!$BU$6:$BU$57,卡牌消耗!AI1376)</f>
        <v>11</v>
      </c>
      <c r="AD1376" s="14">
        <f>INDEX(挂机升级突破!BV$6:BV$57,卡牌消耗!$AI1376)</f>
        <v>3</v>
      </c>
      <c r="AE1376" s="14">
        <f>INDEX(挂机升级突破!BW$6:BW$57,卡牌消耗!$AI1376)</f>
        <v>0</v>
      </c>
      <c r="AF1376" s="14" t="str">
        <f t="shared" si="239"/>
        <v>燕青</v>
      </c>
      <c r="AG1376" s="14">
        <f t="shared" si="240"/>
        <v>3</v>
      </c>
      <c r="AH1376" s="14" t="str">
        <f t="shared" si="241"/>
        <v>燕青魂火-20</v>
      </c>
      <c r="AI1376" s="14">
        <f t="shared" si="242"/>
        <v>20</v>
      </c>
      <c r="AJ1376" s="14" t="str">
        <f>INDEX(挂机升级突破!$BX$4:$CH$4,INDEX(挂机升级突破!$BU$6:$BU$57,卡牌消耗!AI1376))</f>
        <v>金币</v>
      </c>
      <c r="AK1376" s="14">
        <f>ROUND(INDEX(挂机升级突破!$BN$6:$BN$57,卡牌消耗!AI1376)*INDEX(卡牌消耗!$B$8:$F$8,AG1376)/$Q$4/50,0)*50</f>
        <v>3900</v>
      </c>
      <c r="AL1376" s="14" t="str">
        <f>IF(AD1376&gt;0,INDEX(挂机升级突破!$BX$4:$CH$4,AD1376),"")</f>
        <v>紫色基础材料</v>
      </c>
      <c r="AM1376" s="14">
        <f>ROUND(INDEX(挂机升级突破!$BX$6:$CH$57,卡牌消耗!AI1376,AD1376)*INDEX(卡牌消耗!$B$5:$F$5,AG1376)/$Q$4/5,0)*5</f>
        <v>505</v>
      </c>
      <c r="AN1376" s="14" t="str">
        <f>IF(AE1376&gt;0,INDEX(挂机升级突破!$BX$4:$CH$4,AE1376),"")</f>
        <v/>
      </c>
      <c r="AO1376" s="14" t="str">
        <f>IF(AE1376&gt;0,ROUND(INDEX(挂机升级突破!$BX$6:$CH$57,卡牌消耗!AI1376,AE1376)*INDEX(卡牌消耗!$B$7:$F$7,AG1376)/$Q$4,0),"")</f>
        <v/>
      </c>
    </row>
    <row r="1377" spans="27:41" ht="16.5" x14ac:dyDescent="0.2">
      <c r="AA1377" s="104">
        <v>1373</v>
      </c>
      <c r="AB1377" s="14">
        <f t="shared" si="238"/>
        <v>27</v>
      </c>
      <c r="AC1377" s="14">
        <f>INDEX(挂机升级突破!$BU$6:$BU$57,卡牌消耗!AI1377)</f>
        <v>11</v>
      </c>
      <c r="AD1377" s="14">
        <f>INDEX(挂机升级突破!BV$6:BV$57,卡牌消耗!$AI1377)</f>
        <v>3</v>
      </c>
      <c r="AE1377" s="14">
        <f>INDEX(挂机升级突破!BW$6:BW$57,卡牌消耗!$AI1377)</f>
        <v>0</v>
      </c>
      <c r="AF1377" s="14" t="str">
        <f t="shared" si="239"/>
        <v>燕青</v>
      </c>
      <c r="AG1377" s="14">
        <f t="shared" si="240"/>
        <v>3</v>
      </c>
      <c r="AH1377" s="14" t="str">
        <f t="shared" si="241"/>
        <v>燕青魂火-21</v>
      </c>
      <c r="AI1377" s="14">
        <f t="shared" si="242"/>
        <v>21</v>
      </c>
      <c r="AJ1377" s="14" t="str">
        <f>INDEX(挂机升级突破!$BX$4:$CH$4,INDEX(挂机升级突破!$BU$6:$BU$57,卡牌消耗!AI1377))</f>
        <v>金币</v>
      </c>
      <c r="AK1377" s="14">
        <f>ROUND(INDEX(挂机升级突破!$BN$6:$BN$57,卡牌消耗!AI1377)*INDEX(卡牌消耗!$B$8:$F$8,AG1377)/$Q$4/50,0)*50</f>
        <v>3900</v>
      </c>
      <c r="AL1377" s="14" t="str">
        <f>IF(AD1377&gt;0,INDEX(挂机升级突破!$BX$4:$CH$4,AD1377),"")</f>
        <v>紫色基础材料</v>
      </c>
      <c r="AM1377" s="14">
        <f>ROUND(INDEX(挂机升级突破!$BX$6:$CH$57,卡牌消耗!AI1377,AD1377)*INDEX(卡牌消耗!$B$5:$F$5,AG1377)/$Q$4/5,0)*5</f>
        <v>505</v>
      </c>
      <c r="AN1377" s="14" t="str">
        <f>IF(AE1377&gt;0,INDEX(挂机升级突破!$BX$4:$CH$4,AE1377),"")</f>
        <v/>
      </c>
      <c r="AO1377" s="14" t="str">
        <f>IF(AE1377&gt;0,ROUND(INDEX(挂机升级突破!$BX$6:$CH$57,卡牌消耗!AI1377,AE1377)*INDEX(卡牌消耗!$B$7:$F$7,AG1377)/$Q$4,0),"")</f>
        <v/>
      </c>
    </row>
    <row r="1378" spans="27:41" ht="16.5" x14ac:dyDescent="0.2">
      <c r="AA1378" s="104">
        <v>1374</v>
      </c>
      <c r="AB1378" s="14">
        <f t="shared" si="238"/>
        <v>27</v>
      </c>
      <c r="AC1378" s="14">
        <f>INDEX(挂机升级突破!$BU$6:$BU$57,卡牌消耗!AI1378)</f>
        <v>11</v>
      </c>
      <c r="AD1378" s="14">
        <f>INDEX(挂机升级突破!BV$6:BV$57,卡牌消耗!$AI1378)</f>
        <v>3</v>
      </c>
      <c r="AE1378" s="14">
        <f>INDEX(挂机升级突破!BW$6:BW$57,卡牌消耗!$AI1378)</f>
        <v>0</v>
      </c>
      <c r="AF1378" s="14" t="str">
        <f t="shared" si="239"/>
        <v>燕青</v>
      </c>
      <c r="AG1378" s="14">
        <f t="shared" si="240"/>
        <v>3</v>
      </c>
      <c r="AH1378" s="14" t="str">
        <f t="shared" si="241"/>
        <v>燕青魂火-22</v>
      </c>
      <c r="AI1378" s="14">
        <f t="shared" si="242"/>
        <v>22</v>
      </c>
      <c r="AJ1378" s="14" t="str">
        <f>INDEX(挂机升级突破!$BX$4:$CH$4,INDEX(挂机升级突破!$BU$6:$BU$57,卡牌消耗!AI1378))</f>
        <v>金币</v>
      </c>
      <c r="AK1378" s="14">
        <f>ROUND(INDEX(挂机升级突破!$BN$6:$BN$57,卡牌消耗!AI1378)*INDEX(卡牌消耗!$B$8:$F$8,AG1378)/$Q$4/50,0)*50</f>
        <v>3900</v>
      </c>
      <c r="AL1378" s="14" t="str">
        <f>IF(AD1378&gt;0,INDEX(挂机升级突破!$BX$4:$CH$4,AD1378),"")</f>
        <v>紫色基础材料</v>
      </c>
      <c r="AM1378" s="14">
        <f>ROUND(INDEX(挂机升级突破!$BX$6:$CH$57,卡牌消耗!AI1378,AD1378)*INDEX(卡牌消耗!$B$5:$F$5,AG1378)/$Q$4/5,0)*5</f>
        <v>505</v>
      </c>
      <c r="AN1378" s="14" t="str">
        <f>IF(AE1378&gt;0,INDEX(挂机升级突破!$BX$4:$CH$4,AE1378),"")</f>
        <v/>
      </c>
      <c r="AO1378" s="14" t="str">
        <f>IF(AE1378&gt;0,ROUND(INDEX(挂机升级突破!$BX$6:$CH$57,卡牌消耗!AI1378,AE1378)*INDEX(卡牌消耗!$B$7:$F$7,AG1378)/$Q$4,0),"")</f>
        <v/>
      </c>
    </row>
    <row r="1379" spans="27:41" ht="16.5" x14ac:dyDescent="0.2">
      <c r="AA1379" s="104">
        <v>1375</v>
      </c>
      <c r="AB1379" s="14">
        <f t="shared" si="238"/>
        <v>27</v>
      </c>
      <c r="AC1379" s="14">
        <f>INDEX(挂机升级突破!$BU$6:$BU$57,卡牌消耗!AI1379)</f>
        <v>11</v>
      </c>
      <c r="AD1379" s="14">
        <f>INDEX(挂机升级突破!BV$6:BV$57,卡牌消耗!$AI1379)</f>
        <v>4</v>
      </c>
      <c r="AE1379" s="14">
        <f>INDEX(挂机升级突破!BW$6:BW$57,卡牌消耗!$AI1379)</f>
        <v>0</v>
      </c>
      <c r="AF1379" s="14" t="str">
        <f t="shared" si="239"/>
        <v>燕青</v>
      </c>
      <c r="AG1379" s="14">
        <f t="shared" si="240"/>
        <v>3</v>
      </c>
      <c r="AH1379" s="14" t="str">
        <f t="shared" si="241"/>
        <v>燕青魂火-23</v>
      </c>
      <c r="AI1379" s="14">
        <f t="shared" si="242"/>
        <v>23</v>
      </c>
      <c r="AJ1379" s="14" t="str">
        <f>INDEX(挂机升级突破!$BX$4:$CH$4,INDEX(挂机升级突破!$BU$6:$BU$57,卡牌消耗!AI1379))</f>
        <v>金币</v>
      </c>
      <c r="AK1379" s="14">
        <f>ROUND(INDEX(挂机升级突破!$BN$6:$BN$57,卡牌消耗!AI1379)*INDEX(卡牌消耗!$B$8:$F$8,AG1379)/$Q$4/50,0)*50</f>
        <v>5350</v>
      </c>
      <c r="AL1379" s="14" t="str">
        <f>IF(AD1379&gt;0,INDEX(挂机升级突破!$BX$4:$CH$4,AD1379),"")</f>
        <v>橙色基础材料</v>
      </c>
      <c r="AM1379" s="14">
        <f>ROUND(INDEX(挂机升级突破!$BX$6:$CH$57,卡牌消耗!AI1379,AD1379)*INDEX(卡牌消耗!$B$5:$F$5,AG1379)/$Q$4/5,0)*5</f>
        <v>70</v>
      </c>
      <c r="AN1379" s="14" t="str">
        <f>IF(AE1379&gt;0,INDEX(挂机升级突破!$BX$4:$CH$4,AE1379),"")</f>
        <v/>
      </c>
      <c r="AO1379" s="14" t="str">
        <f>IF(AE1379&gt;0,ROUND(INDEX(挂机升级突破!$BX$6:$CH$57,卡牌消耗!AI1379,AE1379)*INDEX(卡牌消耗!$B$7:$F$7,AG1379)/$Q$4,0),"")</f>
        <v/>
      </c>
    </row>
    <row r="1380" spans="27:41" ht="16.5" x14ac:dyDescent="0.2">
      <c r="AA1380" s="104">
        <v>1376</v>
      </c>
      <c r="AB1380" s="14">
        <f t="shared" si="238"/>
        <v>27</v>
      </c>
      <c r="AC1380" s="14">
        <f>INDEX(挂机升级突破!$BU$6:$BU$57,卡牌消耗!AI1380)</f>
        <v>11</v>
      </c>
      <c r="AD1380" s="14">
        <f>INDEX(挂机升级突破!BV$6:BV$57,卡牌消耗!$AI1380)</f>
        <v>4</v>
      </c>
      <c r="AE1380" s="14">
        <f>INDEX(挂机升级突破!BW$6:BW$57,卡牌消耗!$AI1380)</f>
        <v>0</v>
      </c>
      <c r="AF1380" s="14" t="str">
        <f t="shared" si="239"/>
        <v>燕青</v>
      </c>
      <c r="AG1380" s="14">
        <f t="shared" si="240"/>
        <v>3</v>
      </c>
      <c r="AH1380" s="14" t="str">
        <f t="shared" si="241"/>
        <v>燕青魂火-24</v>
      </c>
      <c r="AI1380" s="14">
        <f t="shared" si="242"/>
        <v>24</v>
      </c>
      <c r="AJ1380" s="14" t="str">
        <f>INDEX(挂机升级突破!$BX$4:$CH$4,INDEX(挂机升级突破!$BU$6:$BU$57,卡牌消耗!AI1380))</f>
        <v>金币</v>
      </c>
      <c r="AK1380" s="14">
        <f>ROUND(INDEX(挂机升级突破!$BN$6:$BN$57,卡牌消耗!AI1380)*INDEX(卡牌消耗!$B$8:$F$8,AG1380)/$Q$4/50,0)*50</f>
        <v>5350</v>
      </c>
      <c r="AL1380" s="14" t="str">
        <f>IF(AD1380&gt;0,INDEX(挂机升级突破!$BX$4:$CH$4,AD1380),"")</f>
        <v>橙色基础材料</v>
      </c>
      <c r="AM1380" s="14">
        <f>ROUND(INDEX(挂机升级突破!$BX$6:$CH$57,卡牌消耗!AI1380,AD1380)*INDEX(卡牌消耗!$B$5:$F$5,AG1380)/$Q$4/5,0)*5</f>
        <v>70</v>
      </c>
      <c r="AN1380" s="14" t="str">
        <f>IF(AE1380&gt;0,INDEX(挂机升级突破!$BX$4:$CH$4,AE1380),"")</f>
        <v/>
      </c>
      <c r="AO1380" s="14" t="str">
        <f>IF(AE1380&gt;0,ROUND(INDEX(挂机升级突破!$BX$6:$CH$57,卡牌消耗!AI1380,AE1380)*INDEX(卡牌消耗!$B$7:$F$7,AG1380)/$Q$4,0),"")</f>
        <v/>
      </c>
    </row>
    <row r="1381" spans="27:41" ht="16.5" x14ac:dyDescent="0.2">
      <c r="AA1381" s="104">
        <v>1377</v>
      </c>
      <c r="AB1381" s="14">
        <f t="shared" si="238"/>
        <v>27</v>
      </c>
      <c r="AC1381" s="14">
        <f>INDEX(挂机升级突破!$BU$6:$BU$57,卡牌消耗!AI1381)</f>
        <v>11</v>
      </c>
      <c r="AD1381" s="14">
        <f>INDEX(挂机升级突破!BV$6:BV$57,卡牌消耗!$AI1381)</f>
        <v>4</v>
      </c>
      <c r="AE1381" s="14">
        <f>INDEX(挂机升级突破!BW$6:BW$57,卡牌消耗!$AI1381)</f>
        <v>0</v>
      </c>
      <c r="AF1381" s="14" t="str">
        <f t="shared" si="239"/>
        <v>燕青</v>
      </c>
      <c r="AG1381" s="14">
        <f t="shared" si="240"/>
        <v>3</v>
      </c>
      <c r="AH1381" s="14" t="str">
        <f t="shared" si="241"/>
        <v>燕青魂火-25</v>
      </c>
      <c r="AI1381" s="14">
        <f t="shared" si="242"/>
        <v>25</v>
      </c>
      <c r="AJ1381" s="14" t="str">
        <f>INDEX(挂机升级突破!$BX$4:$CH$4,INDEX(挂机升级突破!$BU$6:$BU$57,卡牌消耗!AI1381))</f>
        <v>金币</v>
      </c>
      <c r="AK1381" s="14">
        <f>ROUND(INDEX(挂机升级突破!$BN$6:$BN$57,卡牌消耗!AI1381)*INDEX(卡牌消耗!$B$8:$F$8,AG1381)/$Q$4/50,0)*50</f>
        <v>5850</v>
      </c>
      <c r="AL1381" s="14" t="str">
        <f>IF(AD1381&gt;0,INDEX(挂机升级突破!$BX$4:$CH$4,AD1381),"")</f>
        <v>橙色基础材料</v>
      </c>
      <c r="AM1381" s="14">
        <f>ROUND(INDEX(挂机升级突破!$BX$6:$CH$57,卡牌消耗!AI1381,AD1381)*INDEX(卡牌消耗!$B$5:$F$5,AG1381)/$Q$4/5,0)*5</f>
        <v>70</v>
      </c>
      <c r="AN1381" s="14" t="str">
        <f>IF(AE1381&gt;0,INDEX(挂机升级突破!$BX$4:$CH$4,AE1381),"")</f>
        <v/>
      </c>
      <c r="AO1381" s="14" t="str">
        <f>IF(AE1381&gt;0,ROUND(INDEX(挂机升级突破!$BX$6:$CH$57,卡牌消耗!AI1381,AE1381)*INDEX(卡牌消耗!$B$7:$F$7,AG1381)/$Q$4,0),"")</f>
        <v/>
      </c>
    </row>
    <row r="1382" spans="27:41" ht="16.5" x14ac:dyDescent="0.2">
      <c r="AA1382" s="104">
        <v>1378</v>
      </c>
      <c r="AB1382" s="14">
        <f t="shared" si="238"/>
        <v>27</v>
      </c>
      <c r="AC1382" s="14">
        <f>INDEX(挂机升级突破!$BU$6:$BU$57,卡牌消耗!AI1382)</f>
        <v>11</v>
      </c>
      <c r="AD1382" s="14">
        <f>INDEX(挂机升级突破!BV$6:BV$57,卡牌消耗!$AI1382)</f>
        <v>4</v>
      </c>
      <c r="AE1382" s="14">
        <f>INDEX(挂机升级突破!BW$6:BW$57,卡牌消耗!$AI1382)</f>
        <v>0</v>
      </c>
      <c r="AF1382" s="14" t="str">
        <f t="shared" si="239"/>
        <v>燕青</v>
      </c>
      <c r="AG1382" s="14">
        <f t="shared" si="240"/>
        <v>3</v>
      </c>
      <c r="AH1382" s="14" t="str">
        <f t="shared" si="241"/>
        <v>燕青魂火-26</v>
      </c>
      <c r="AI1382" s="14">
        <f t="shared" si="242"/>
        <v>26</v>
      </c>
      <c r="AJ1382" s="14" t="str">
        <f>INDEX(挂机升级突破!$BX$4:$CH$4,INDEX(挂机升级突破!$BU$6:$BU$57,卡牌消耗!AI1382))</f>
        <v>金币</v>
      </c>
      <c r="AK1382" s="14">
        <f>ROUND(INDEX(挂机升级突破!$BN$6:$BN$57,卡牌消耗!AI1382)*INDEX(卡牌消耗!$B$8:$F$8,AG1382)/$Q$4/50,0)*50</f>
        <v>6850</v>
      </c>
      <c r="AL1382" s="14" t="str">
        <f>IF(AD1382&gt;0,INDEX(挂机升级突破!$BX$4:$CH$4,AD1382),"")</f>
        <v>橙色基础材料</v>
      </c>
      <c r="AM1382" s="14">
        <f>ROUND(INDEX(挂机升级突破!$BX$6:$CH$57,卡牌消耗!AI1382,AD1382)*INDEX(卡牌消耗!$B$5:$F$5,AG1382)/$Q$4/5,0)*5</f>
        <v>85</v>
      </c>
      <c r="AN1382" s="14" t="str">
        <f>IF(AE1382&gt;0,INDEX(挂机升级突破!$BX$4:$CH$4,AE1382),"")</f>
        <v/>
      </c>
      <c r="AO1382" s="14" t="str">
        <f>IF(AE1382&gt;0,ROUND(INDEX(挂机升级突破!$BX$6:$CH$57,卡牌消耗!AI1382,AE1382)*INDEX(卡牌消耗!$B$7:$F$7,AG1382)/$Q$4,0),"")</f>
        <v/>
      </c>
    </row>
    <row r="1383" spans="27:41" ht="16.5" x14ac:dyDescent="0.2">
      <c r="AA1383" s="104">
        <v>1379</v>
      </c>
      <c r="AB1383" s="14">
        <f t="shared" si="238"/>
        <v>27</v>
      </c>
      <c r="AC1383" s="14">
        <f>INDEX(挂机升级突破!$BU$6:$BU$57,卡牌消耗!AI1383)</f>
        <v>11</v>
      </c>
      <c r="AD1383" s="14">
        <f>INDEX(挂机升级突破!BV$6:BV$57,卡牌消耗!$AI1383)</f>
        <v>4</v>
      </c>
      <c r="AE1383" s="14">
        <f>INDEX(挂机升级突破!BW$6:BW$57,卡牌消耗!$AI1383)</f>
        <v>0</v>
      </c>
      <c r="AF1383" s="14" t="str">
        <f t="shared" si="239"/>
        <v>燕青</v>
      </c>
      <c r="AG1383" s="14">
        <f t="shared" si="240"/>
        <v>3</v>
      </c>
      <c r="AH1383" s="14" t="str">
        <f t="shared" si="241"/>
        <v>燕青魂火-27</v>
      </c>
      <c r="AI1383" s="14">
        <f t="shared" si="242"/>
        <v>27</v>
      </c>
      <c r="AJ1383" s="14" t="str">
        <f>INDEX(挂机升级突破!$BX$4:$CH$4,INDEX(挂机升级突破!$BU$6:$BU$57,卡牌消耗!AI1383))</f>
        <v>金币</v>
      </c>
      <c r="AK1383" s="14">
        <f>ROUND(INDEX(挂机升级突破!$BN$6:$BN$57,卡牌消耗!AI1383)*INDEX(卡牌消耗!$B$8:$F$8,AG1383)/$Q$4/50,0)*50</f>
        <v>6850</v>
      </c>
      <c r="AL1383" s="14" t="str">
        <f>IF(AD1383&gt;0,INDEX(挂机升级突破!$BX$4:$CH$4,AD1383),"")</f>
        <v>橙色基础材料</v>
      </c>
      <c r="AM1383" s="14">
        <f>ROUND(INDEX(挂机升级突破!$BX$6:$CH$57,卡牌消耗!AI1383,AD1383)*INDEX(卡牌消耗!$B$5:$F$5,AG1383)/$Q$4/5,0)*5</f>
        <v>85</v>
      </c>
      <c r="AN1383" s="14" t="str">
        <f>IF(AE1383&gt;0,INDEX(挂机升级突破!$BX$4:$CH$4,AE1383),"")</f>
        <v/>
      </c>
      <c r="AO1383" s="14" t="str">
        <f>IF(AE1383&gt;0,ROUND(INDEX(挂机升级突破!$BX$6:$CH$57,卡牌消耗!AI1383,AE1383)*INDEX(卡牌消耗!$B$7:$F$7,AG1383)/$Q$4,0),"")</f>
        <v/>
      </c>
    </row>
    <row r="1384" spans="27:41" ht="16.5" x14ac:dyDescent="0.2">
      <c r="AA1384" s="104">
        <v>1380</v>
      </c>
      <c r="AB1384" s="14">
        <f t="shared" si="238"/>
        <v>27</v>
      </c>
      <c r="AC1384" s="14">
        <f>INDEX(挂机升级突破!$BU$6:$BU$57,卡牌消耗!AI1384)</f>
        <v>11</v>
      </c>
      <c r="AD1384" s="14">
        <f>INDEX(挂机升级突破!BV$6:BV$57,卡牌消耗!$AI1384)</f>
        <v>4</v>
      </c>
      <c r="AE1384" s="14">
        <f>INDEX(挂机升级突破!BW$6:BW$57,卡牌消耗!$AI1384)</f>
        <v>0</v>
      </c>
      <c r="AF1384" s="14" t="str">
        <f t="shared" si="239"/>
        <v>燕青</v>
      </c>
      <c r="AG1384" s="14">
        <f t="shared" si="240"/>
        <v>3</v>
      </c>
      <c r="AH1384" s="14" t="str">
        <f t="shared" si="241"/>
        <v>燕青魂火-28</v>
      </c>
      <c r="AI1384" s="14">
        <f t="shared" si="242"/>
        <v>28</v>
      </c>
      <c r="AJ1384" s="14" t="str">
        <f>INDEX(挂机升级突破!$BX$4:$CH$4,INDEX(挂机升级突破!$BU$6:$BU$57,卡牌消耗!AI1384))</f>
        <v>金币</v>
      </c>
      <c r="AK1384" s="14">
        <f>ROUND(INDEX(挂机升级突破!$BN$6:$BN$57,卡牌消耗!AI1384)*INDEX(卡牌消耗!$B$8:$F$8,AG1384)/$Q$4/50,0)*50</f>
        <v>6850</v>
      </c>
      <c r="AL1384" s="14" t="str">
        <f>IF(AD1384&gt;0,INDEX(挂机升级突破!$BX$4:$CH$4,AD1384),"")</f>
        <v>橙色基础材料</v>
      </c>
      <c r="AM1384" s="14">
        <f>ROUND(INDEX(挂机升级突破!$BX$6:$CH$57,卡牌消耗!AI1384,AD1384)*INDEX(卡牌消耗!$B$5:$F$5,AG1384)/$Q$4/5,0)*5</f>
        <v>85</v>
      </c>
      <c r="AN1384" s="14" t="str">
        <f>IF(AE1384&gt;0,INDEX(挂机升级突破!$BX$4:$CH$4,AE1384),"")</f>
        <v/>
      </c>
      <c r="AO1384" s="14" t="str">
        <f>IF(AE1384&gt;0,ROUND(INDEX(挂机升级突破!$BX$6:$CH$57,卡牌消耗!AI1384,AE1384)*INDEX(卡牌消耗!$B$7:$F$7,AG1384)/$Q$4,0),"")</f>
        <v/>
      </c>
    </row>
    <row r="1385" spans="27:41" ht="16.5" x14ac:dyDescent="0.2">
      <c r="AA1385" s="104">
        <v>1381</v>
      </c>
      <c r="AB1385" s="14">
        <f t="shared" si="238"/>
        <v>27</v>
      </c>
      <c r="AC1385" s="14">
        <f>INDEX(挂机升级突破!$BU$6:$BU$57,卡牌消耗!AI1385)</f>
        <v>11</v>
      </c>
      <c r="AD1385" s="14">
        <f>INDEX(挂机升级突破!BV$6:BV$57,卡牌消耗!$AI1385)</f>
        <v>4</v>
      </c>
      <c r="AE1385" s="14">
        <f>INDEX(挂机升级突破!BW$6:BW$57,卡牌消耗!$AI1385)</f>
        <v>0</v>
      </c>
      <c r="AF1385" s="14" t="str">
        <f t="shared" si="239"/>
        <v>燕青</v>
      </c>
      <c r="AG1385" s="14">
        <f t="shared" si="240"/>
        <v>3</v>
      </c>
      <c r="AH1385" s="14" t="str">
        <f t="shared" si="241"/>
        <v>燕青魂火-29</v>
      </c>
      <c r="AI1385" s="14">
        <f t="shared" si="242"/>
        <v>29</v>
      </c>
      <c r="AJ1385" s="14" t="str">
        <f>INDEX(挂机升级突破!$BX$4:$CH$4,INDEX(挂机升级突破!$BU$6:$BU$57,卡牌消耗!AI1385))</f>
        <v>金币</v>
      </c>
      <c r="AK1385" s="14">
        <f>ROUND(INDEX(挂机升级突破!$BN$6:$BN$57,卡牌消耗!AI1385)*INDEX(卡牌消耗!$B$8:$F$8,AG1385)/$Q$4/50,0)*50</f>
        <v>6900</v>
      </c>
      <c r="AL1385" s="14" t="str">
        <f>IF(AD1385&gt;0,INDEX(挂机升级突破!$BX$4:$CH$4,AD1385),"")</f>
        <v>橙色基础材料</v>
      </c>
      <c r="AM1385" s="14">
        <f>ROUND(INDEX(挂机升级突破!$BX$6:$CH$57,卡牌消耗!AI1385,AD1385)*INDEX(卡牌消耗!$B$5:$F$5,AG1385)/$Q$4/5,0)*5</f>
        <v>100</v>
      </c>
      <c r="AN1385" s="14" t="str">
        <f>IF(AE1385&gt;0,INDEX(挂机升级突破!$BX$4:$CH$4,AE1385),"")</f>
        <v/>
      </c>
      <c r="AO1385" s="14" t="str">
        <f>IF(AE1385&gt;0,ROUND(INDEX(挂机升级突破!$BX$6:$CH$57,卡牌消耗!AI1385,AE1385)*INDEX(卡牌消耗!$B$7:$F$7,AG1385)/$Q$4,0),"")</f>
        <v/>
      </c>
    </row>
    <row r="1386" spans="27:41" ht="16.5" x14ac:dyDescent="0.2">
      <c r="AA1386" s="104">
        <v>1382</v>
      </c>
      <c r="AB1386" s="14">
        <f t="shared" si="238"/>
        <v>27</v>
      </c>
      <c r="AC1386" s="14">
        <f>INDEX(挂机升级突破!$BU$6:$BU$57,卡牌消耗!AI1386)</f>
        <v>11</v>
      </c>
      <c r="AD1386" s="14">
        <f>INDEX(挂机升级突破!BV$6:BV$57,卡牌消耗!$AI1386)</f>
        <v>4</v>
      </c>
      <c r="AE1386" s="14">
        <f>INDEX(挂机升级突破!BW$6:BW$57,卡牌消耗!$AI1386)</f>
        <v>0</v>
      </c>
      <c r="AF1386" s="14" t="str">
        <f t="shared" si="239"/>
        <v>燕青</v>
      </c>
      <c r="AG1386" s="14">
        <f t="shared" si="240"/>
        <v>3</v>
      </c>
      <c r="AH1386" s="14" t="str">
        <f t="shared" si="241"/>
        <v>燕青魂火-30</v>
      </c>
      <c r="AI1386" s="14">
        <f t="shared" si="242"/>
        <v>30</v>
      </c>
      <c r="AJ1386" s="14" t="str">
        <f>INDEX(挂机升级突破!$BX$4:$CH$4,INDEX(挂机升级突破!$BU$6:$BU$57,卡牌消耗!AI1386))</f>
        <v>金币</v>
      </c>
      <c r="AK1386" s="14">
        <f>ROUND(INDEX(挂机升级突破!$BN$6:$BN$57,卡牌消耗!AI1386)*INDEX(卡牌消耗!$B$8:$F$8,AG1386)/$Q$4/50,0)*50</f>
        <v>6900</v>
      </c>
      <c r="AL1386" s="14" t="str">
        <f>IF(AD1386&gt;0,INDEX(挂机升级突破!$BX$4:$CH$4,AD1386),"")</f>
        <v>橙色基础材料</v>
      </c>
      <c r="AM1386" s="14">
        <f>ROUND(INDEX(挂机升级突破!$BX$6:$CH$57,卡牌消耗!AI1386,AD1386)*INDEX(卡牌消耗!$B$5:$F$5,AG1386)/$Q$4/5,0)*5</f>
        <v>100</v>
      </c>
      <c r="AN1386" s="14" t="str">
        <f>IF(AE1386&gt;0,INDEX(挂机升级突破!$BX$4:$CH$4,AE1386),"")</f>
        <v/>
      </c>
      <c r="AO1386" s="14" t="str">
        <f>IF(AE1386&gt;0,ROUND(INDEX(挂机升级突破!$BX$6:$CH$57,卡牌消耗!AI1386,AE1386)*INDEX(卡牌消耗!$B$7:$F$7,AG1386)/$Q$4,0),"")</f>
        <v/>
      </c>
    </row>
    <row r="1387" spans="27:41" ht="16.5" x14ac:dyDescent="0.2">
      <c r="AA1387" s="104">
        <v>1383</v>
      </c>
      <c r="AB1387" s="14">
        <f t="shared" si="238"/>
        <v>27</v>
      </c>
      <c r="AC1387" s="14">
        <f>INDEX(挂机升级突破!$BU$6:$BU$57,卡牌消耗!AI1387)</f>
        <v>11</v>
      </c>
      <c r="AD1387" s="14">
        <f>INDEX(挂机升级突破!BV$6:BV$57,卡牌消耗!$AI1387)</f>
        <v>4</v>
      </c>
      <c r="AE1387" s="14">
        <f>INDEX(挂机升级突破!BW$6:BW$57,卡牌消耗!$AI1387)</f>
        <v>0</v>
      </c>
      <c r="AF1387" s="14" t="str">
        <f t="shared" si="239"/>
        <v>燕青</v>
      </c>
      <c r="AG1387" s="14">
        <f t="shared" si="240"/>
        <v>3</v>
      </c>
      <c r="AH1387" s="14" t="str">
        <f t="shared" si="241"/>
        <v>燕青魂火-31</v>
      </c>
      <c r="AI1387" s="14">
        <f t="shared" si="242"/>
        <v>31</v>
      </c>
      <c r="AJ1387" s="14" t="str">
        <f>INDEX(挂机升级突破!$BX$4:$CH$4,INDEX(挂机升级突破!$BU$6:$BU$57,卡牌消耗!AI1387))</f>
        <v>金币</v>
      </c>
      <c r="AK1387" s="14">
        <f>ROUND(INDEX(挂机升级突破!$BN$6:$BN$57,卡牌消耗!AI1387)*INDEX(卡牌消耗!$B$8:$F$8,AG1387)/$Q$4/50,0)*50</f>
        <v>6900</v>
      </c>
      <c r="AL1387" s="14" t="str">
        <f>IF(AD1387&gt;0,INDEX(挂机升级突破!$BX$4:$CH$4,AD1387),"")</f>
        <v>橙色基础材料</v>
      </c>
      <c r="AM1387" s="14">
        <f>ROUND(INDEX(挂机升级突破!$BX$6:$CH$57,卡牌消耗!AI1387,AD1387)*INDEX(卡牌消耗!$B$5:$F$5,AG1387)/$Q$4/5,0)*5</f>
        <v>100</v>
      </c>
      <c r="AN1387" s="14" t="str">
        <f>IF(AE1387&gt;0,INDEX(挂机升级突破!$BX$4:$CH$4,AE1387),"")</f>
        <v/>
      </c>
      <c r="AO1387" s="14" t="str">
        <f>IF(AE1387&gt;0,ROUND(INDEX(挂机升级突破!$BX$6:$CH$57,卡牌消耗!AI1387,AE1387)*INDEX(卡牌消耗!$B$7:$F$7,AG1387)/$Q$4,0),"")</f>
        <v/>
      </c>
    </row>
    <row r="1388" spans="27:41" ht="16.5" x14ac:dyDescent="0.2">
      <c r="AA1388" s="104">
        <v>1384</v>
      </c>
      <c r="AB1388" s="14">
        <f t="shared" si="238"/>
        <v>27</v>
      </c>
      <c r="AC1388" s="14">
        <f>INDEX(挂机升级突破!$BU$6:$BU$57,卡牌消耗!AI1388)</f>
        <v>11</v>
      </c>
      <c r="AD1388" s="14">
        <f>INDEX(挂机升级突破!BV$6:BV$57,卡牌消耗!$AI1388)</f>
        <v>4</v>
      </c>
      <c r="AE1388" s="14">
        <f>INDEX(挂机升级突破!BW$6:BW$57,卡牌消耗!$AI1388)</f>
        <v>0</v>
      </c>
      <c r="AF1388" s="14" t="str">
        <f t="shared" si="239"/>
        <v>燕青</v>
      </c>
      <c r="AG1388" s="14">
        <f t="shared" si="240"/>
        <v>3</v>
      </c>
      <c r="AH1388" s="14" t="str">
        <f t="shared" si="241"/>
        <v>燕青魂火-32</v>
      </c>
      <c r="AI1388" s="14">
        <f t="shared" si="242"/>
        <v>32</v>
      </c>
      <c r="AJ1388" s="14" t="str">
        <f>INDEX(挂机升级突破!$BX$4:$CH$4,INDEX(挂机升级突破!$BU$6:$BU$57,卡牌消耗!AI1388))</f>
        <v>金币</v>
      </c>
      <c r="AK1388" s="14">
        <f>ROUND(INDEX(挂机升级突破!$BN$6:$BN$57,卡牌消耗!AI1388)*INDEX(卡牌消耗!$B$8:$F$8,AG1388)/$Q$4/50,0)*50</f>
        <v>9500</v>
      </c>
      <c r="AL1388" s="14" t="str">
        <f>IF(AD1388&gt;0,INDEX(挂机升级突破!$BX$4:$CH$4,AD1388),"")</f>
        <v>橙色基础材料</v>
      </c>
      <c r="AM1388" s="14">
        <f>ROUND(INDEX(挂机升级突破!$BX$6:$CH$57,卡牌消耗!AI1388,AD1388)*INDEX(卡牌消耗!$B$5:$F$5,AG1388)/$Q$4/5,0)*5</f>
        <v>100</v>
      </c>
      <c r="AN1388" s="14" t="str">
        <f>IF(AE1388&gt;0,INDEX(挂机升级突破!$BX$4:$CH$4,AE1388),"")</f>
        <v/>
      </c>
      <c r="AO1388" s="14" t="str">
        <f>IF(AE1388&gt;0,ROUND(INDEX(挂机升级突破!$BX$6:$CH$57,卡牌消耗!AI1388,AE1388)*INDEX(卡牌消耗!$B$7:$F$7,AG1388)/$Q$4,0),"")</f>
        <v/>
      </c>
    </row>
    <row r="1389" spans="27:41" ht="16.5" x14ac:dyDescent="0.2">
      <c r="AA1389" s="104">
        <v>1385</v>
      </c>
      <c r="AB1389" s="14">
        <f t="shared" si="238"/>
        <v>27</v>
      </c>
      <c r="AC1389" s="14">
        <f>INDEX(挂机升级突破!$BU$6:$BU$57,卡牌消耗!AI1389)</f>
        <v>11</v>
      </c>
      <c r="AD1389" s="14">
        <f>INDEX(挂机升级突破!BV$6:BV$57,卡牌消耗!$AI1389)</f>
        <v>4</v>
      </c>
      <c r="AE1389" s="14">
        <f>INDEX(挂机升级突破!BW$6:BW$57,卡牌消耗!$AI1389)</f>
        <v>0</v>
      </c>
      <c r="AF1389" s="14" t="str">
        <f t="shared" si="239"/>
        <v>燕青</v>
      </c>
      <c r="AG1389" s="14">
        <f t="shared" si="240"/>
        <v>3</v>
      </c>
      <c r="AH1389" s="14" t="str">
        <f t="shared" si="241"/>
        <v>燕青魂火-33</v>
      </c>
      <c r="AI1389" s="14">
        <f t="shared" si="242"/>
        <v>33</v>
      </c>
      <c r="AJ1389" s="14" t="str">
        <f>INDEX(挂机升级突破!$BX$4:$CH$4,INDEX(挂机升级突破!$BU$6:$BU$57,卡牌消耗!AI1389))</f>
        <v>金币</v>
      </c>
      <c r="AK1389" s="14">
        <f>ROUND(INDEX(挂机升级突破!$BN$6:$BN$57,卡牌消耗!AI1389)*INDEX(卡牌消耗!$B$8:$F$8,AG1389)/$Q$4/50,0)*50</f>
        <v>9500</v>
      </c>
      <c r="AL1389" s="14" t="str">
        <f>IF(AD1389&gt;0,INDEX(挂机升级突破!$BX$4:$CH$4,AD1389),"")</f>
        <v>橙色基础材料</v>
      </c>
      <c r="AM1389" s="14">
        <f>ROUND(INDEX(挂机升级突破!$BX$6:$CH$57,卡牌消耗!AI1389,AD1389)*INDEX(卡牌消耗!$B$5:$F$5,AG1389)/$Q$4/5,0)*5</f>
        <v>100</v>
      </c>
      <c r="AN1389" s="14" t="str">
        <f>IF(AE1389&gt;0,INDEX(挂机升级突破!$BX$4:$CH$4,AE1389),"")</f>
        <v/>
      </c>
      <c r="AO1389" s="14" t="str">
        <f>IF(AE1389&gt;0,ROUND(INDEX(挂机升级突破!$BX$6:$CH$57,卡牌消耗!AI1389,AE1389)*INDEX(卡牌消耗!$B$7:$F$7,AG1389)/$Q$4,0),"")</f>
        <v/>
      </c>
    </row>
    <row r="1390" spans="27:41" ht="16.5" x14ac:dyDescent="0.2">
      <c r="AA1390" s="104">
        <v>1386</v>
      </c>
      <c r="AB1390" s="14">
        <f t="shared" si="238"/>
        <v>27</v>
      </c>
      <c r="AC1390" s="14">
        <f>INDEX(挂机升级突破!$BU$6:$BU$57,卡牌消耗!AI1390)</f>
        <v>11</v>
      </c>
      <c r="AD1390" s="14">
        <f>INDEX(挂机升级突破!BV$6:BV$57,卡牌消耗!$AI1390)</f>
        <v>4</v>
      </c>
      <c r="AE1390" s="14">
        <f>INDEX(挂机升级突破!BW$6:BW$57,卡牌消耗!$AI1390)</f>
        <v>0</v>
      </c>
      <c r="AF1390" s="14" t="str">
        <f t="shared" si="239"/>
        <v>燕青</v>
      </c>
      <c r="AG1390" s="14">
        <f t="shared" si="240"/>
        <v>3</v>
      </c>
      <c r="AH1390" s="14" t="str">
        <f t="shared" si="241"/>
        <v>燕青魂火-34</v>
      </c>
      <c r="AI1390" s="14">
        <f t="shared" si="242"/>
        <v>34</v>
      </c>
      <c r="AJ1390" s="14" t="str">
        <f>INDEX(挂机升级突破!$BX$4:$CH$4,INDEX(挂机升级突破!$BU$6:$BU$57,卡牌消耗!AI1390))</f>
        <v>金币</v>
      </c>
      <c r="AK1390" s="14">
        <f>ROUND(INDEX(挂机升级突破!$BN$6:$BN$57,卡牌消耗!AI1390)*INDEX(卡牌消耗!$B$8:$F$8,AG1390)/$Q$4/50,0)*50</f>
        <v>9500</v>
      </c>
      <c r="AL1390" s="14" t="str">
        <f>IF(AD1390&gt;0,INDEX(挂机升级突破!$BX$4:$CH$4,AD1390),"")</f>
        <v>橙色基础材料</v>
      </c>
      <c r="AM1390" s="14">
        <f>ROUND(INDEX(挂机升级突破!$BX$6:$CH$57,卡牌消耗!AI1390,AD1390)*INDEX(卡牌消耗!$B$5:$F$5,AG1390)/$Q$4/5,0)*5</f>
        <v>110</v>
      </c>
      <c r="AN1390" s="14" t="str">
        <f>IF(AE1390&gt;0,INDEX(挂机升级突破!$BX$4:$CH$4,AE1390),"")</f>
        <v/>
      </c>
      <c r="AO1390" s="14" t="str">
        <f>IF(AE1390&gt;0,ROUND(INDEX(挂机升级突破!$BX$6:$CH$57,卡牌消耗!AI1390,AE1390)*INDEX(卡牌消耗!$B$7:$F$7,AG1390)/$Q$4,0),"")</f>
        <v/>
      </c>
    </row>
    <row r="1391" spans="27:41" ht="16.5" x14ac:dyDescent="0.2">
      <c r="AA1391" s="104">
        <v>1387</v>
      </c>
      <c r="AB1391" s="14">
        <f t="shared" si="238"/>
        <v>27</v>
      </c>
      <c r="AC1391" s="14">
        <f>INDEX(挂机升级突破!$BU$6:$BU$57,卡牌消耗!AI1391)</f>
        <v>11</v>
      </c>
      <c r="AD1391" s="14">
        <f>INDEX(挂机升级突破!BV$6:BV$57,卡牌消耗!$AI1391)</f>
        <v>4</v>
      </c>
      <c r="AE1391" s="14">
        <f>INDEX(挂机升级突破!BW$6:BW$57,卡牌消耗!$AI1391)</f>
        <v>0</v>
      </c>
      <c r="AF1391" s="14" t="str">
        <f t="shared" si="239"/>
        <v>燕青</v>
      </c>
      <c r="AG1391" s="14">
        <f t="shared" si="240"/>
        <v>3</v>
      </c>
      <c r="AH1391" s="14" t="str">
        <f t="shared" si="241"/>
        <v>燕青魂火-35</v>
      </c>
      <c r="AI1391" s="14">
        <f t="shared" si="242"/>
        <v>35</v>
      </c>
      <c r="AJ1391" s="14" t="str">
        <f>INDEX(挂机升级突破!$BX$4:$CH$4,INDEX(挂机升级突破!$BU$6:$BU$57,卡牌消耗!AI1391))</f>
        <v>金币</v>
      </c>
      <c r="AK1391" s="14">
        <f>ROUND(INDEX(挂机升级突破!$BN$6:$BN$57,卡牌消耗!AI1391)*INDEX(卡牌消耗!$B$8:$F$8,AG1391)/$Q$4/50,0)*50</f>
        <v>12100</v>
      </c>
      <c r="AL1391" s="14" t="str">
        <f>IF(AD1391&gt;0,INDEX(挂机升级突破!$BX$4:$CH$4,AD1391),"")</f>
        <v>橙色基础材料</v>
      </c>
      <c r="AM1391" s="14">
        <f>ROUND(INDEX(挂机升级突破!$BX$6:$CH$57,卡牌消耗!AI1391,AD1391)*INDEX(卡牌消耗!$B$5:$F$5,AG1391)/$Q$4/5,0)*5</f>
        <v>110</v>
      </c>
      <c r="AN1391" s="14" t="str">
        <f>IF(AE1391&gt;0,INDEX(挂机升级突破!$BX$4:$CH$4,AE1391),"")</f>
        <v/>
      </c>
      <c r="AO1391" s="14" t="str">
        <f>IF(AE1391&gt;0,ROUND(INDEX(挂机升级突破!$BX$6:$CH$57,卡牌消耗!AI1391,AE1391)*INDEX(卡牌消耗!$B$7:$F$7,AG1391)/$Q$4,0),"")</f>
        <v/>
      </c>
    </row>
    <row r="1392" spans="27:41" ht="16.5" x14ac:dyDescent="0.2">
      <c r="AA1392" s="104">
        <v>1388</v>
      </c>
      <c r="AB1392" s="14">
        <f t="shared" si="238"/>
        <v>27</v>
      </c>
      <c r="AC1392" s="14">
        <f>INDEX(挂机升级突破!$BU$6:$BU$57,卡牌消耗!AI1392)</f>
        <v>11</v>
      </c>
      <c r="AD1392" s="14">
        <f>INDEX(挂机升级突破!BV$6:BV$57,卡牌消耗!$AI1392)</f>
        <v>4</v>
      </c>
      <c r="AE1392" s="14">
        <f>INDEX(挂机升级突破!BW$6:BW$57,卡牌消耗!$AI1392)</f>
        <v>0</v>
      </c>
      <c r="AF1392" s="14" t="str">
        <f t="shared" si="239"/>
        <v>燕青</v>
      </c>
      <c r="AG1392" s="14">
        <f t="shared" si="240"/>
        <v>3</v>
      </c>
      <c r="AH1392" s="14" t="str">
        <f t="shared" si="241"/>
        <v>燕青魂火-36</v>
      </c>
      <c r="AI1392" s="14">
        <f t="shared" si="242"/>
        <v>36</v>
      </c>
      <c r="AJ1392" s="14" t="str">
        <f>INDEX(挂机升级突破!$BX$4:$CH$4,INDEX(挂机升级突破!$BU$6:$BU$57,卡牌消耗!AI1392))</f>
        <v>金币</v>
      </c>
      <c r="AK1392" s="14">
        <f>ROUND(INDEX(挂机升级突破!$BN$6:$BN$57,卡牌消耗!AI1392)*INDEX(卡牌消耗!$B$8:$F$8,AG1392)/$Q$4/50,0)*50</f>
        <v>12100</v>
      </c>
      <c r="AL1392" s="14" t="str">
        <f>IF(AD1392&gt;0,INDEX(挂机升级突破!$BX$4:$CH$4,AD1392),"")</f>
        <v>橙色基础材料</v>
      </c>
      <c r="AM1392" s="14">
        <f>ROUND(INDEX(挂机升级突破!$BX$6:$CH$57,卡牌消耗!AI1392,AD1392)*INDEX(卡牌消耗!$B$5:$F$5,AG1392)/$Q$4/5,0)*5</f>
        <v>110</v>
      </c>
      <c r="AN1392" s="14" t="str">
        <f>IF(AE1392&gt;0,INDEX(挂机升级突破!$BX$4:$CH$4,AE1392),"")</f>
        <v/>
      </c>
      <c r="AO1392" s="14" t="str">
        <f>IF(AE1392&gt;0,ROUND(INDEX(挂机升级突破!$BX$6:$CH$57,卡牌消耗!AI1392,AE1392)*INDEX(卡牌消耗!$B$7:$F$7,AG1392)/$Q$4,0),"")</f>
        <v/>
      </c>
    </row>
    <row r="1393" spans="27:41" ht="16.5" x14ac:dyDescent="0.2">
      <c r="AA1393" s="104">
        <v>1389</v>
      </c>
      <c r="AB1393" s="14">
        <f t="shared" si="238"/>
        <v>27</v>
      </c>
      <c r="AC1393" s="14">
        <f>INDEX(挂机升级突破!$BU$6:$BU$57,卡牌消耗!AI1393)</f>
        <v>11</v>
      </c>
      <c r="AD1393" s="14">
        <f>INDEX(挂机升级突破!BV$6:BV$57,卡牌消耗!$AI1393)</f>
        <v>4</v>
      </c>
      <c r="AE1393" s="14">
        <f>INDEX(挂机升级突破!BW$6:BW$57,卡牌消耗!$AI1393)</f>
        <v>0</v>
      </c>
      <c r="AF1393" s="14" t="str">
        <f t="shared" si="239"/>
        <v>燕青</v>
      </c>
      <c r="AG1393" s="14">
        <f t="shared" si="240"/>
        <v>3</v>
      </c>
      <c r="AH1393" s="14" t="str">
        <f t="shared" si="241"/>
        <v>燕青魂火-37</v>
      </c>
      <c r="AI1393" s="14">
        <f t="shared" si="242"/>
        <v>37</v>
      </c>
      <c r="AJ1393" s="14" t="str">
        <f>INDEX(挂机升级突破!$BX$4:$CH$4,INDEX(挂机升级突破!$BU$6:$BU$57,卡牌消耗!AI1393))</f>
        <v>金币</v>
      </c>
      <c r="AK1393" s="14">
        <f>ROUND(INDEX(挂机升级突破!$BN$6:$BN$57,卡牌消耗!AI1393)*INDEX(卡牌消耗!$B$8:$F$8,AG1393)/$Q$4/50,0)*50</f>
        <v>12950</v>
      </c>
      <c r="AL1393" s="14" t="str">
        <f>IF(AD1393&gt;0,INDEX(挂机升级突破!$BX$4:$CH$4,AD1393),"")</f>
        <v>橙色基础材料</v>
      </c>
      <c r="AM1393" s="14">
        <f>ROUND(INDEX(挂机升级突破!$BX$6:$CH$57,卡牌消耗!AI1393,AD1393)*INDEX(卡牌消耗!$B$5:$F$5,AG1393)/$Q$4/5,0)*5</f>
        <v>110</v>
      </c>
      <c r="AN1393" s="14" t="str">
        <f>IF(AE1393&gt;0,INDEX(挂机升级突破!$BX$4:$CH$4,AE1393),"")</f>
        <v/>
      </c>
      <c r="AO1393" s="14" t="str">
        <f>IF(AE1393&gt;0,ROUND(INDEX(挂机升级突破!$BX$6:$CH$57,卡牌消耗!AI1393,AE1393)*INDEX(卡牌消耗!$B$7:$F$7,AG1393)/$Q$4,0),"")</f>
        <v/>
      </c>
    </row>
    <row r="1394" spans="27:41" ht="16.5" x14ac:dyDescent="0.2">
      <c r="AA1394" s="104">
        <v>1390</v>
      </c>
      <c r="AB1394" s="14">
        <f t="shared" si="238"/>
        <v>27</v>
      </c>
      <c r="AC1394" s="14">
        <f>INDEX(挂机升级突破!$BU$6:$BU$57,卡牌消耗!AI1394)</f>
        <v>11</v>
      </c>
      <c r="AD1394" s="14">
        <f>INDEX(挂机升级突破!BV$6:BV$57,卡牌消耗!$AI1394)</f>
        <v>5</v>
      </c>
      <c r="AE1394" s="14">
        <f>INDEX(挂机升级突破!BW$6:BW$57,卡牌消耗!$AI1394)</f>
        <v>0</v>
      </c>
      <c r="AF1394" s="14" t="str">
        <f t="shared" si="239"/>
        <v>燕青</v>
      </c>
      <c r="AG1394" s="14">
        <f t="shared" si="240"/>
        <v>3</v>
      </c>
      <c r="AH1394" s="14" t="str">
        <f t="shared" si="241"/>
        <v>燕青魂火-38</v>
      </c>
      <c r="AI1394" s="14">
        <f t="shared" si="242"/>
        <v>38</v>
      </c>
      <c r="AJ1394" s="14" t="str">
        <f>INDEX(挂机升级突破!$BX$4:$CH$4,INDEX(挂机升级突破!$BU$6:$BU$57,卡牌消耗!AI1394))</f>
        <v>金币</v>
      </c>
      <c r="AK1394" s="14">
        <f>ROUND(INDEX(挂机升级突破!$BN$6:$BN$57,卡牌消耗!AI1394)*INDEX(卡牌消耗!$B$8:$F$8,AG1394)/$Q$4/50,0)*50</f>
        <v>16700</v>
      </c>
      <c r="AL1394" s="14" t="str">
        <f>IF(AD1394&gt;0,INDEX(挂机升级突破!$BX$4:$CH$4,AD1394),"")</f>
        <v>红色基础材料</v>
      </c>
      <c r="AM1394" s="14">
        <f>ROUND(INDEX(挂机升级突破!$BX$6:$CH$57,卡牌消耗!AI1394,AD1394)*INDEX(卡牌消耗!$B$5:$F$5,AG1394)/$Q$4/5,0)*5</f>
        <v>45</v>
      </c>
      <c r="AN1394" s="14" t="str">
        <f>IF(AE1394&gt;0,INDEX(挂机升级突破!$BX$4:$CH$4,AE1394),"")</f>
        <v/>
      </c>
      <c r="AO1394" s="14" t="str">
        <f>IF(AE1394&gt;0,ROUND(INDEX(挂机升级突破!$BX$6:$CH$57,卡牌消耗!AI1394,AE1394)*INDEX(卡牌消耗!$B$7:$F$7,AG1394)/$Q$4,0),"")</f>
        <v/>
      </c>
    </row>
    <row r="1395" spans="27:41" ht="16.5" x14ac:dyDescent="0.2">
      <c r="AA1395" s="104">
        <v>1391</v>
      </c>
      <c r="AB1395" s="14">
        <f t="shared" si="238"/>
        <v>27</v>
      </c>
      <c r="AC1395" s="14">
        <f>INDEX(挂机升级突破!$BU$6:$BU$57,卡牌消耗!AI1395)</f>
        <v>11</v>
      </c>
      <c r="AD1395" s="14">
        <f>INDEX(挂机升级突破!BV$6:BV$57,卡牌消耗!$AI1395)</f>
        <v>5</v>
      </c>
      <c r="AE1395" s="14">
        <f>INDEX(挂机升级突破!BW$6:BW$57,卡牌消耗!$AI1395)</f>
        <v>0</v>
      </c>
      <c r="AF1395" s="14" t="str">
        <f t="shared" si="239"/>
        <v>燕青</v>
      </c>
      <c r="AG1395" s="14">
        <f t="shared" si="240"/>
        <v>3</v>
      </c>
      <c r="AH1395" s="14" t="str">
        <f t="shared" si="241"/>
        <v>燕青魂火-39</v>
      </c>
      <c r="AI1395" s="14">
        <f t="shared" si="242"/>
        <v>39</v>
      </c>
      <c r="AJ1395" s="14" t="str">
        <f>INDEX(挂机升级突破!$BX$4:$CH$4,INDEX(挂机升级突破!$BU$6:$BU$57,卡牌消耗!AI1395))</f>
        <v>金币</v>
      </c>
      <c r="AK1395" s="14">
        <f>ROUND(INDEX(挂机升级突破!$BN$6:$BN$57,卡牌消耗!AI1395)*INDEX(卡牌消耗!$B$8:$F$8,AG1395)/$Q$4/50,0)*50</f>
        <v>16700</v>
      </c>
      <c r="AL1395" s="14" t="str">
        <f>IF(AD1395&gt;0,INDEX(挂机升级突破!$BX$4:$CH$4,AD1395),"")</f>
        <v>红色基础材料</v>
      </c>
      <c r="AM1395" s="14">
        <f>ROUND(INDEX(挂机升级突破!$BX$6:$CH$57,卡牌消耗!AI1395,AD1395)*INDEX(卡牌消耗!$B$5:$F$5,AG1395)/$Q$4/5,0)*5</f>
        <v>45</v>
      </c>
      <c r="AN1395" s="14" t="str">
        <f>IF(AE1395&gt;0,INDEX(挂机升级突破!$BX$4:$CH$4,AE1395),"")</f>
        <v/>
      </c>
      <c r="AO1395" s="14" t="str">
        <f>IF(AE1395&gt;0,ROUND(INDEX(挂机升级突破!$BX$6:$CH$57,卡牌消耗!AI1395,AE1395)*INDEX(卡牌消耗!$B$7:$F$7,AG1395)/$Q$4,0),"")</f>
        <v/>
      </c>
    </row>
    <row r="1396" spans="27:41" ht="16.5" x14ac:dyDescent="0.2">
      <c r="AA1396" s="104">
        <v>1392</v>
      </c>
      <c r="AB1396" s="14">
        <f t="shared" si="238"/>
        <v>27</v>
      </c>
      <c r="AC1396" s="14">
        <f>INDEX(挂机升级突破!$BU$6:$BU$57,卡牌消耗!AI1396)</f>
        <v>11</v>
      </c>
      <c r="AD1396" s="14">
        <f>INDEX(挂机升级突破!BV$6:BV$57,卡牌消耗!$AI1396)</f>
        <v>5</v>
      </c>
      <c r="AE1396" s="14">
        <f>INDEX(挂机升级突破!BW$6:BW$57,卡牌消耗!$AI1396)</f>
        <v>0</v>
      </c>
      <c r="AF1396" s="14" t="str">
        <f t="shared" si="239"/>
        <v>燕青</v>
      </c>
      <c r="AG1396" s="14">
        <f t="shared" si="240"/>
        <v>3</v>
      </c>
      <c r="AH1396" s="14" t="str">
        <f t="shared" si="241"/>
        <v>燕青魂火-40</v>
      </c>
      <c r="AI1396" s="14">
        <f t="shared" si="242"/>
        <v>40</v>
      </c>
      <c r="AJ1396" s="14" t="str">
        <f>INDEX(挂机升级突破!$BX$4:$CH$4,INDEX(挂机升级突破!$BU$6:$BU$57,卡牌消耗!AI1396))</f>
        <v>金币</v>
      </c>
      <c r="AK1396" s="14">
        <f>ROUND(INDEX(挂机升级突破!$BN$6:$BN$57,卡牌消耗!AI1396)*INDEX(卡牌消耗!$B$8:$F$8,AG1396)/$Q$4/50,0)*50</f>
        <v>16700</v>
      </c>
      <c r="AL1396" s="14" t="str">
        <f>IF(AD1396&gt;0,INDEX(挂机升级突破!$BX$4:$CH$4,AD1396),"")</f>
        <v>红色基础材料</v>
      </c>
      <c r="AM1396" s="14">
        <f>ROUND(INDEX(挂机升级突破!$BX$6:$CH$57,卡牌消耗!AI1396,AD1396)*INDEX(卡牌消耗!$B$5:$F$5,AG1396)/$Q$4/5,0)*5</f>
        <v>45</v>
      </c>
      <c r="AN1396" s="14" t="str">
        <f>IF(AE1396&gt;0,INDEX(挂机升级突破!$BX$4:$CH$4,AE1396),"")</f>
        <v/>
      </c>
      <c r="AO1396" s="14" t="str">
        <f>IF(AE1396&gt;0,ROUND(INDEX(挂机升级突破!$BX$6:$CH$57,卡牌消耗!AI1396,AE1396)*INDEX(卡牌消耗!$B$7:$F$7,AG1396)/$Q$4,0),"")</f>
        <v/>
      </c>
    </row>
    <row r="1397" spans="27:41" ht="16.5" x14ac:dyDescent="0.2">
      <c r="AA1397" s="104">
        <v>1393</v>
      </c>
      <c r="AB1397" s="14">
        <f t="shared" si="238"/>
        <v>27</v>
      </c>
      <c r="AC1397" s="14">
        <f>INDEX(挂机升级突破!$BU$6:$BU$57,卡牌消耗!AI1397)</f>
        <v>11</v>
      </c>
      <c r="AD1397" s="14">
        <f>INDEX(挂机升级突破!BV$6:BV$57,卡牌消耗!$AI1397)</f>
        <v>5</v>
      </c>
      <c r="AE1397" s="14">
        <f>INDEX(挂机升级突破!BW$6:BW$57,卡牌消耗!$AI1397)</f>
        <v>10</v>
      </c>
      <c r="AF1397" s="14" t="str">
        <f t="shared" si="239"/>
        <v>燕青</v>
      </c>
      <c r="AG1397" s="14">
        <f t="shared" si="240"/>
        <v>3</v>
      </c>
      <c r="AH1397" s="14" t="str">
        <f t="shared" si="241"/>
        <v>燕青魂火-41</v>
      </c>
      <c r="AI1397" s="14">
        <f t="shared" si="242"/>
        <v>41</v>
      </c>
      <c r="AJ1397" s="14" t="str">
        <f>INDEX(挂机升级突破!$BX$4:$CH$4,INDEX(挂机升级突破!$BU$6:$BU$57,卡牌消耗!AI1397))</f>
        <v>金币</v>
      </c>
      <c r="AK1397" s="14">
        <f>ROUND(INDEX(挂机升级突破!$BN$6:$BN$57,卡牌消耗!AI1397)*INDEX(卡牌消耗!$B$8:$F$8,AG1397)/$Q$4/50,0)*50</f>
        <v>23000</v>
      </c>
      <c r="AL1397" s="14" t="str">
        <f>IF(AD1397&gt;0,INDEX(挂机升级突破!$BX$4:$CH$4,AD1397),"")</f>
        <v>红色基础材料</v>
      </c>
      <c r="AM1397" s="14">
        <f>ROUND(INDEX(挂机升级突破!$BX$6:$CH$57,卡牌消耗!AI1397,AD1397)*INDEX(卡牌消耗!$B$5:$F$5,AG1397)/$Q$4/5,0)*5</f>
        <v>55</v>
      </c>
      <c r="AN1397" s="14" t="str">
        <f>IF(AE1397&gt;0,INDEX(挂机升级突破!$BX$4:$CH$4,AE1397),"")</f>
        <v>灵玉</v>
      </c>
      <c r="AO1397" s="14">
        <f>IF(AE1397&gt;0,ROUND(INDEX(挂机升级突破!$BX$6:$CH$57,卡牌消耗!AI1397,AE1397)*INDEX(卡牌消耗!$B$7:$F$7,AG1397)/$Q$4,0),"")</f>
        <v>1</v>
      </c>
    </row>
    <row r="1398" spans="27:41" ht="16.5" x14ac:dyDescent="0.2">
      <c r="AA1398" s="104">
        <v>1394</v>
      </c>
      <c r="AB1398" s="14">
        <f t="shared" si="238"/>
        <v>27</v>
      </c>
      <c r="AC1398" s="14">
        <f>INDEX(挂机升级突破!$BU$6:$BU$57,卡牌消耗!AI1398)</f>
        <v>11</v>
      </c>
      <c r="AD1398" s="14">
        <f>INDEX(挂机升级突破!BV$6:BV$57,卡牌消耗!$AI1398)</f>
        <v>5</v>
      </c>
      <c r="AE1398" s="14">
        <f>INDEX(挂机升级突破!BW$6:BW$57,卡牌消耗!$AI1398)</f>
        <v>10</v>
      </c>
      <c r="AF1398" s="14" t="str">
        <f t="shared" si="239"/>
        <v>燕青</v>
      </c>
      <c r="AG1398" s="14">
        <f t="shared" si="240"/>
        <v>3</v>
      </c>
      <c r="AH1398" s="14" t="str">
        <f t="shared" si="241"/>
        <v>燕青魂火-42</v>
      </c>
      <c r="AI1398" s="14">
        <f t="shared" si="242"/>
        <v>42</v>
      </c>
      <c r="AJ1398" s="14" t="str">
        <f>INDEX(挂机升级突破!$BX$4:$CH$4,INDEX(挂机升级突破!$BU$6:$BU$57,卡牌消耗!AI1398))</f>
        <v>金币</v>
      </c>
      <c r="AK1398" s="14">
        <f>ROUND(INDEX(挂机升级突破!$BN$6:$BN$57,卡牌消耗!AI1398)*INDEX(卡牌消耗!$B$8:$F$8,AG1398)/$Q$4/50,0)*50</f>
        <v>23000</v>
      </c>
      <c r="AL1398" s="14" t="str">
        <f>IF(AD1398&gt;0,INDEX(挂机升级突破!$BX$4:$CH$4,AD1398),"")</f>
        <v>红色基础材料</v>
      </c>
      <c r="AM1398" s="14">
        <f>ROUND(INDEX(挂机升级突破!$BX$6:$CH$57,卡牌消耗!AI1398,AD1398)*INDEX(卡牌消耗!$B$5:$F$5,AG1398)/$Q$4/5,0)*5</f>
        <v>55</v>
      </c>
      <c r="AN1398" s="14" t="str">
        <f>IF(AE1398&gt;0,INDEX(挂机升级突破!$BX$4:$CH$4,AE1398),"")</f>
        <v>灵玉</v>
      </c>
      <c r="AO1398" s="14">
        <f>IF(AE1398&gt;0,ROUND(INDEX(挂机升级突破!$BX$6:$CH$57,卡牌消耗!AI1398,AE1398)*INDEX(卡牌消耗!$B$7:$F$7,AG1398)/$Q$4,0),"")</f>
        <v>1</v>
      </c>
    </row>
    <row r="1399" spans="27:41" ht="16.5" x14ac:dyDescent="0.2">
      <c r="AA1399" s="104">
        <v>1395</v>
      </c>
      <c r="AB1399" s="14">
        <f t="shared" si="238"/>
        <v>27</v>
      </c>
      <c r="AC1399" s="14">
        <f>INDEX(挂机升级突破!$BU$6:$BU$57,卡牌消耗!AI1399)</f>
        <v>11</v>
      </c>
      <c r="AD1399" s="14">
        <f>INDEX(挂机升级突破!BV$6:BV$57,卡牌消耗!$AI1399)</f>
        <v>5</v>
      </c>
      <c r="AE1399" s="14">
        <f>INDEX(挂机升级突破!BW$6:BW$57,卡牌消耗!$AI1399)</f>
        <v>10</v>
      </c>
      <c r="AF1399" s="14" t="str">
        <f t="shared" si="239"/>
        <v>燕青</v>
      </c>
      <c r="AG1399" s="14">
        <f t="shared" si="240"/>
        <v>3</v>
      </c>
      <c r="AH1399" s="14" t="str">
        <f t="shared" si="241"/>
        <v>燕青魂火-43</v>
      </c>
      <c r="AI1399" s="14">
        <f t="shared" si="242"/>
        <v>43</v>
      </c>
      <c r="AJ1399" s="14" t="str">
        <f>INDEX(挂机升级突破!$BX$4:$CH$4,INDEX(挂机升级突破!$BU$6:$BU$57,卡牌消耗!AI1399))</f>
        <v>金币</v>
      </c>
      <c r="AK1399" s="14">
        <f>ROUND(INDEX(挂机升级突破!$BN$6:$BN$57,卡牌消耗!AI1399)*INDEX(卡牌消耗!$B$8:$F$8,AG1399)/$Q$4/50,0)*50</f>
        <v>23000</v>
      </c>
      <c r="AL1399" s="14" t="str">
        <f>IF(AD1399&gt;0,INDEX(挂机升级突破!$BX$4:$CH$4,AD1399),"")</f>
        <v>红色基础材料</v>
      </c>
      <c r="AM1399" s="14">
        <f>ROUND(INDEX(挂机升级突破!$BX$6:$CH$57,卡牌消耗!AI1399,AD1399)*INDEX(卡牌消耗!$B$5:$F$5,AG1399)/$Q$4/5,0)*5</f>
        <v>55</v>
      </c>
      <c r="AN1399" s="14" t="str">
        <f>IF(AE1399&gt;0,INDEX(挂机升级突破!$BX$4:$CH$4,AE1399),"")</f>
        <v>灵玉</v>
      </c>
      <c r="AO1399" s="14">
        <f>IF(AE1399&gt;0,ROUND(INDEX(挂机升级突破!$BX$6:$CH$57,卡牌消耗!AI1399,AE1399)*INDEX(卡牌消耗!$B$7:$F$7,AG1399)/$Q$4,0),"")</f>
        <v>1</v>
      </c>
    </row>
    <row r="1400" spans="27:41" ht="16.5" x14ac:dyDescent="0.2">
      <c r="AA1400" s="104">
        <v>1396</v>
      </c>
      <c r="AB1400" s="14">
        <f t="shared" si="238"/>
        <v>27</v>
      </c>
      <c r="AC1400" s="14">
        <f>INDEX(挂机升级突破!$BU$6:$BU$57,卡牌消耗!AI1400)</f>
        <v>11</v>
      </c>
      <c r="AD1400" s="14">
        <f>INDEX(挂机升级突破!BV$6:BV$57,卡牌消耗!$AI1400)</f>
        <v>5</v>
      </c>
      <c r="AE1400" s="14">
        <f>INDEX(挂机升级突破!BW$6:BW$57,卡牌消耗!$AI1400)</f>
        <v>10</v>
      </c>
      <c r="AF1400" s="14" t="str">
        <f t="shared" si="239"/>
        <v>燕青</v>
      </c>
      <c r="AG1400" s="14">
        <f t="shared" si="240"/>
        <v>3</v>
      </c>
      <c r="AH1400" s="14" t="str">
        <f t="shared" si="241"/>
        <v>燕青魂火-44</v>
      </c>
      <c r="AI1400" s="14">
        <f t="shared" si="242"/>
        <v>44</v>
      </c>
      <c r="AJ1400" s="14" t="str">
        <f>INDEX(挂机升级突破!$BX$4:$CH$4,INDEX(挂机升级突破!$BU$6:$BU$57,卡牌消耗!AI1400))</f>
        <v>金币</v>
      </c>
      <c r="AK1400" s="14">
        <f>ROUND(INDEX(挂机升级突破!$BN$6:$BN$57,卡牌消耗!AI1400)*INDEX(卡牌消耗!$B$8:$F$8,AG1400)/$Q$4/50,0)*50</f>
        <v>29250</v>
      </c>
      <c r="AL1400" s="14" t="str">
        <f>IF(AD1400&gt;0,INDEX(挂机升级突破!$BX$4:$CH$4,AD1400),"")</f>
        <v>红色基础材料</v>
      </c>
      <c r="AM1400" s="14">
        <f>ROUND(INDEX(挂机升级突破!$BX$6:$CH$57,卡牌消耗!AI1400,AD1400)*INDEX(卡牌消耗!$B$5:$F$5,AG1400)/$Q$4/5,0)*5</f>
        <v>65</v>
      </c>
      <c r="AN1400" s="14" t="str">
        <f>IF(AE1400&gt;0,INDEX(挂机升级突破!$BX$4:$CH$4,AE1400),"")</f>
        <v>灵玉</v>
      </c>
      <c r="AO1400" s="14">
        <f>IF(AE1400&gt;0,ROUND(INDEX(挂机升级突破!$BX$6:$CH$57,卡牌消耗!AI1400,AE1400)*INDEX(卡牌消耗!$B$7:$F$7,AG1400)/$Q$4,0),"")</f>
        <v>1</v>
      </c>
    </row>
    <row r="1401" spans="27:41" ht="16.5" x14ac:dyDescent="0.2">
      <c r="AA1401" s="104">
        <v>1397</v>
      </c>
      <c r="AB1401" s="14">
        <f t="shared" si="238"/>
        <v>27</v>
      </c>
      <c r="AC1401" s="14">
        <f>INDEX(挂机升级突破!$BU$6:$BU$57,卡牌消耗!AI1401)</f>
        <v>11</v>
      </c>
      <c r="AD1401" s="14">
        <f>INDEX(挂机升级突破!BV$6:BV$57,卡牌消耗!$AI1401)</f>
        <v>5</v>
      </c>
      <c r="AE1401" s="14">
        <f>INDEX(挂机升级突破!BW$6:BW$57,卡牌消耗!$AI1401)</f>
        <v>10</v>
      </c>
      <c r="AF1401" s="14" t="str">
        <f t="shared" si="239"/>
        <v>燕青</v>
      </c>
      <c r="AG1401" s="14">
        <f t="shared" si="240"/>
        <v>3</v>
      </c>
      <c r="AH1401" s="14" t="str">
        <f t="shared" si="241"/>
        <v>燕青魂火-45</v>
      </c>
      <c r="AI1401" s="14">
        <f t="shared" si="242"/>
        <v>45</v>
      </c>
      <c r="AJ1401" s="14" t="str">
        <f>INDEX(挂机升级突破!$BX$4:$CH$4,INDEX(挂机升级突破!$BU$6:$BU$57,卡牌消耗!AI1401))</f>
        <v>金币</v>
      </c>
      <c r="AK1401" s="14">
        <f>ROUND(INDEX(挂机升级突破!$BN$6:$BN$57,卡牌消耗!AI1401)*INDEX(卡牌消耗!$B$8:$F$8,AG1401)/$Q$4/50,0)*50</f>
        <v>29250</v>
      </c>
      <c r="AL1401" s="14" t="str">
        <f>IF(AD1401&gt;0,INDEX(挂机升级突破!$BX$4:$CH$4,AD1401),"")</f>
        <v>红色基础材料</v>
      </c>
      <c r="AM1401" s="14">
        <f>ROUND(INDEX(挂机升级突破!$BX$6:$CH$57,卡牌消耗!AI1401,AD1401)*INDEX(卡牌消耗!$B$5:$F$5,AG1401)/$Q$4/5,0)*5</f>
        <v>65</v>
      </c>
      <c r="AN1401" s="14" t="str">
        <f>IF(AE1401&gt;0,INDEX(挂机升级突破!$BX$4:$CH$4,AE1401),"")</f>
        <v>灵玉</v>
      </c>
      <c r="AO1401" s="14">
        <f>IF(AE1401&gt;0,ROUND(INDEX(挂机升级突破!$BX$6:$CH$57,卡牌消耗!AI1401,AE1401)*INDEX(卡牌消耗!$B$7:$F$7,AG1401)/$Q$4,0),"")</f>
        <v>1</v>
      </c>
    </row>
    <row r="1402" spans="27:41" ht="16.5" x14ac:dyDescent="0.2">
      <c r="AA1402" s="104">
        <v>1398</v>
      </c>
      <c r="AB1402" s="14">
        <f t="shared" si="238"/>
        <v>27</v>
      </c>
      <c r="AC1402" s="14">
        <f>INDEX(挂机升级突破!$BU$6:$BU$57,卡牌消耗!AI1402)</f>
        <v>11</v>
      </c>
      <c r="AD1402" s="14">
        <f>INDEX(挂机升级突破!BV$6:BV$57,卡牌消耗!$AI1402)</f>
        <v>5</v>
      </c>
      <c r="AE1402" s="14">
        <f>INDEX(挂机升级突破!BW$6:BW$57,卡牌消耗!$AI1402)</f>
        <v>10</v>
      </c>
      <c r="AF1402" s="14" t="str">
        <f t="shared" si="239"/>
        <v>燕青</v>
      </c>
      <c r="AG1402" s="14">
        <f t="shared" si="240"/>
        <v>3</v>
      </c>
      <c r="AH1402" s="14" t="str">
        <f t="shared" si="241"/>
        <v>燕青魂火-46</v>
      </c>
      <c r="AI1402" s="14">
        <f t="shared" si="242"/>
        <v>46</v>
      </c>
      <c r="AJ1402" s="14" t="str">
        <f>INDEX(挂机升级突破!$BX$4:$CH$4,INDEX(挂机升级突破!$BU$6:$BU$57,卡牌消耗!AI1402))</f>
        <v>金币</v>
      </c>
      <c r="AK1402" s="14">
        <f>ROUND(INDEX(挂机升级突破!$BN$6:$BN$57,卡牌消耗!AI1402)*INDEX(卡牌消耗!$B$8:$F$8,AG1402)/$Q$4/50,0)*50</f>
        <v>31350</v>
      </c>
      <c r="AL1402" s="14" t="str">
        <f>IF(AD1402&gt;0,INDEX(挂机升级突破!$BX$4:$CH$4,AD1402),"")</f>
        <v>红色基础材料</v>
      </c>
      <c r="AM1402" s="14">
        <f>ROUND(INDEX(挂机升级突破!$BX$6:$CH$57,卡牌消耗!AI1402,AD1402)*INDEX(卡牌消耗!$B$5:$F$5,AG1402)/$Q$4/5,0)*5</f>
        <v>65</v>
      </c>
      <c r="AN1402" s="14" t="str">
        <f>IF(AE1402&gt;0,INDEX(挂机升级突破!$BX$4:$CH$4,AE1402),"")</f>
        <v>灵玉</v>
      </c>
      <c r="AO1402" s="14">
        <f>IF(AE1402&gt;0,ROUND(INDEX(挂机升级突破!$BX$6:$CH$57,卡牌消耗!AI1402,AE1402)*INDEX(卡牌消耗!$B$7:$F$7,AG1402)/$Q$4,0),"")</f>
        <v>1</v>
      </c>
    </row>
    <row r="1403" spans="27:41" ht="16.5" x14ac:dyDescent="0.2">
      <c r="AA1403" s="104">
        <v>1399</v>
      </c>
      <c r="AB1403" s="14">
        <f t="shared" si="238"/>
        <v>27</v>
      </c>
      <c r="AC1403" s="14">
        <f>INDEX(挂机升级突破!$BU$6:$BU$57,卡牌消耗!AI1403)</f>
        <v>11</v>
      </c>
      <c r="AD1403" s="14">
        <f>INDEX(挂机升级突破!BV$6:BV$57,卡牌消耗!$AI1403)</f>
        <v>5</v>
      </c>
      <c r="AE1403" s="14">
        <f>INDEX(挂机升级突破!BW$6:BW$57,卡牌消耗!$AI1403)</f>
        <v>10</v>
      </c>
      <c r="AF1403" s="14" t="str">
        <f t="shared" si="239"/>
        <v>燕青</v>
      </c>
      <c r="AG1403" s="14">
        <f t="shared" si="240"/>
        <v>3</v>
      </c>
      <c r="AH1403" s="14" t="str">
        <f t="shared" si="241"/>
        <v>燕青魂火-47</v>
      </c>
      <c r="AI1403" s="14">
        <f t="shared" si="242"/>
        <v>47</v>
      </c>
      <c r="AJ1403" s="14" t="str">
        <f>INDEX(挂机升级突破!$BX$4:$CH$4,INDEX(挂机升级突破!$BU$6:$BU$57,卡牌消耗!AI1403))</f>
        <v>金币</v>
      </c>
      <c r="AK1403" s="14">
        <f>ROUND(INDEX(挂机升级突破!$BN$6:$BN$57,卡牌消耗!AI1403)*INDEX(卡牌消耗!$B$8:$F$8,AG1403)/$Q$4/50,0)*50</f>
        <v>151950</v>
      </c>
      <c r="AL1403" s="14" t="str">
        <f>IF(AD1403&gt;0,INDEX(挂机升级突破!$BX$4:$CH$4,AD1403),"")</f>
        <v>红色基础材料</v>
      </c>
      <c r="AM1403" s="14">
        <f>ROUND(INDEX(挂机升级突破!$BX$6:$CH$57,卡牌消耗!AI1403,AD1403)*INDEX(卡牌消耗!$B$5:$F$5,AG1403)/$Q$4/5,0)*5</f>
        <v>65</v>
      </c>
      <c r="AN1403" s="14" t="str">
        <f>IF(AE1403&gt;0,INDEX(挂机升级突破!$BX$4:$CH$4,AE1403),"")</f>
        <v>灵玉</v>
      </c>
      <c r="AO1403" s="14">
        <f>IF(AE1403&gt;0,ROUND(INDEX(挂机升级突破!$BX$6:$CH$57,卡牌消耗!AI1403,AE1403)*INDEX(卡牌消耗!$B$7:$F$7,AG1403)/$Q$4,0),"")</f>
        <v>1</v>
      </c>
    </row>
    <row r="1404" spans="27:41" ht="16.5" x14ac:dyDescent="0.2">
      <c r="AA1404" s="104">
        <v>1400</v>
      </c>
      <c r="AB1404" s="14">
        <f t="shared" si="238"/>
        <v>27</v>
      </c>
      <c r="AC1404" s="14">
        <f>INDEX(挂机升级突破!$BU$6:$BU$57,卡牌消耗!AI1404)</f>
        <v>11</v>
      </c>
      <c r="AD1404" s="14">
        <f>INDEX(挂机升级突破!BV$6:BV$57,卡牌消耗!$AI1404)</f>
        <v>5</v>
      </c>
      <c r="AE1404" s="14">
        <f>INDEX(挂机升级突破!BW$6:BW$57,卡牌消耗!$AI1404)</f>
        <v>10</v>
      </c>
      <c r="AF1404" s="14" t="str">
        <f t="shared" si="239"/>
        <v>燕青</v>
      </c>
      <c r="AG1404" s="14">
        <f t="shared" si="240"/>
        <v>3</v>
      </c>
      <c r="AH1404" s="14" t="str">
        <f t="shared" si="241"/>
        <v>燕青魂火-48</v>
      </c>
      <c r="AI1404" s="14">
        <f t="shared" si="242"/>
        <v>48</v>
      </c>
      <c r="AJ1404" s="14" t="str">
        <f>INDEX(挂机升级突破!$BX$4:$CH$4,INDEX(挂机升级突破!$BU$6:$BU$57,卡牌消耗!AI1404))</f>
        <v>金币</v>
      </c>
      <c r="AK1404" s="14">
        <f>ROUND(INDEX(挂机升级突破!$BN$6:$BN$57,卡牌消耗!AI1404)*INDEX(卡牌消耗!$B$8:$F$8,AG1404)/$Q$4/50,0)*50</f>
        <v>151950</v>
      </c>
      <c r="AL1404" s="14" t="str">
        <f>IF(AD1404&gt;0,INDEX(挂机升级突破!$BX$4:$CH$4,AD1404),"")</f>
        <v>红色基础材料</v>
      </c>
      <c r="AM1404" s="14">
        <f>ROUND(INDEX(挂机升级突破!$BX$6:$CH$57,卡牌消耗!AI1404,AD1404)*INDEX(卡牌消耗!$B$5:$F$5,AG1404)/$Q$4/5,0)*5</f>
        <v>65</v>
      </c>
      <c r="AN1404" s="14" t="str">
        <f>IF(AE1404&gt;0,INDEX(挂机升级突破!$BX$4:$CH$4,AE1404),"")</f>
        <v>灵玉</v>
      </c>
      <c r="AO1404" s="14">
        <f>IF(AE1404&gt;0,ROUND(INDEX(挂机升级突破!$BX$6:$CH$57,卡牌消耗!AI1404,AE1404)*INDEX(卡牌消耗!$B$7:$F$7,AG1404)/$Q$4,0),"")</f>
        <v>1</v>
      </c>
    </row>
    <row r="1405" spans="27:41" ht="16.5" x14ac:dyDescent="0.2">
      <c r="AA1405" s="104">
        <v>1401</v>
      </c>
      <c r="AB1405" s="14">
        <f t="shared" si="238"/>
        <v>27</v>
      </c>
      <c r="AC1405" s="14">
        <f>INDEX(挂机升级突破!$BU$6:$BU$57,卡牌消耗!AI1405)</f>
        <v>11</v>
      </c>
      <c r="AD1405" s="14">
        <f>INDEX(挂机升级突破!BV$6:BV$57,卡牌消耗!$AI1405)</f>
        <v>5</v>
      </c>
      <c r="AE1405" s="14">
        <f>INDEX(挂机升级突破!BW$6:BW$57,卡牌消耗!$AI1405)</f>
        <v>10</v>
      </c>
      <c r="AF1405" s="14" t="str">
        <f t="shared" si="239"/>
        <v>燕青</v>
      </c>
      <c r="AG1405" s="14">
        <f t="shared" si="240"/>
        <v>3</v>
      </c>
      <c r="AH1405" s="14" t="str">
        <f t="shared" si="241"/>
        <v>燕青魂火-49</v>
      </c>
      <c r="AI1405" s="14">
        <f t="shared" si="242"/>
        <v>49</v>
      </c>
      <c r="AJ1405" s="14" t="str">
        <f>INDEX(挂机升级突破!$BX$4:$CH$4,INDEX(挂机升级突破!$BU$6:$BU$57,卡牌消耗!AI1405))</f>
        <v>金币</v>
      </c>
      <c r="AK1405" s="14">
        <f>ROUND(INDEX(挂机升级突破!$BN$6:$BN$57,卡牌消耗!AI1405)*INDEX(卡牌消耗!$B$8:$F$8,AG1405)/$Q$4/50,0)*50</f>
        <v>151950</v>
      </c>
      <c r="AL1405" s="14" t="str">
        <f>IF(AD1405&gt;0,INDEX(挂机升级突破!$BX$4:$CH$4,AD1405),"")</f>
        <v>红色基础材料</v>
      </c>
      <c r="AM1405" s="14">
        <f>ROUND(INDEX(挂机升级突破!$BX$6:$CH$57,卡牌消耗!AI1405,AD1405)*INDEX(卡牌消耗!$B$5:$F$5,AG1405)/$Q$4/5,0)*5</f>
        <v>70</v>
      </c>
      <c r="AN1405" s="14" t="str">
        <f>IF(AE1405&gt;0,INDEX(挂机升级突破!$BX$4:$CH$4,AE1405),"")</f>
        <v>灵玉</v>
      </c>
      <c r="AO1405" s="14">
        <f>IF(AE1405&gt;0,ROUND(INDEX(挂机升级突破!$BX$6:$CH$57,卡牌消耗!AI1405,AE1405)*INDEX(卡牌消耗!$B$7:$F$7,AG1405)/$Q$4,0),"")</f>
        <v>1</v>
      </c>
    </row>
    <row r="1406" spans="27:41" ht="16.5" x14ac:dyDescent="0.2">
      <c r="AA1406" s="104">
        <v>1402</v>
      </c>
      <c r="AB1406" s="14">
        <f t="shared" si="238"/>
        <v>27</v>
      </c>
      <c r="AC1406" s="14">
        <f>INDEX(挂机升级突破!$BU$6:$BU$57,卡牌消耗!AI1406)</f>
        <v>11</v>
      </c>
      <c r="AD1406" s="14">
        <f>INDEX(挂机升级突破!BV$6:BV$57,卡牌消耗!$AI1406)</f>
        <v>5</v>
      </c>
      <c r="AE1406" s="14">
        <f>INDEX(挂机升级突破!BW$6:BW$57,卡牌消耗!$AI1406)</f>
        <v>10</v>
      </c>
      <c r="AF1406" s="14" t="str">
        <f t="shared" si="239"/>
        <v>燕青</v>
      </c>
      <c r="AG1406" s="14">
        <f t="shared" si="240"/>
        <v>3</v>
      </c>
      <c r="AH1406" s="14" t="str">
        <f t="shared" si="241"/>
        <v>燕青魂火-50</v>
      </c>
      <c r="AI1406" s="14">
        <f t="shared" si="242"/>
        <v>50</v>
      </c>
      <c r="AJ1406" s="14" t="str">
        <f>INDEX(挂机升级突破!$BX$4:$CH$4,INDEX(挂机升级突破!$BU$6:$BU$57,卡牌消耗!AI1406))</f>
        <v>金币</v>
      </c>
      <c r="AK1406" s="14">
        <f>ROUND(INDEX(挂机升级突破!$BN$6:$BN$57,卡牌消耗!AI1406)*INDEX(卡牌消耗!$B$8:$F$8,AG1406)/$Q$4/50,0)*50</f>
        <v>253250</v>
      </c>
      <c r="AL1406" s="14" t="str">
        <f>IF(AD1406&gt;0,INDEX(挂机升级突破!$BX$4:$CH$4,AD1406),"")</f>
        <v>红色基础材料</v>
      </c>
      <c r="AM1406" s="14">
        <f>ROUND(INDEX(挂机升级突破!$BX$6:$CH$57,卡牌消耗!AI1406,AD1406)*INDEX(卡牌消耗!$B$5:$F$5,AG1406)/$Q$4/5,0)*5</f>
        <v>70</v>
      </c>
      <c r="AN1406" s="14" t="str">
        <f>IF(AE1406&gt;0,INDEX(挂机升级突破!$BX$4:$CH$4,AE1406),"")</f>
        <v>灵玉</v>
      </c>
      <c r="AO1406" s="14">
        <f>IF(AE1406&gt;0,ROUND(INDEX(挂机升级突破!$BX$6:$CH$57,卡牌消耗!AI1406,AE1406)*INDEX(卡牌消耗!$B$7:$F$7,AG1406)/$Q$4,0),"")</f>
        <v>1</v>
      </c>
    </row>
    <row r="1407" spans="27:41" ht="16.5" x14ac:dyDescent="0.2">
      <c r="AA1407" s="104">
        <v>1403</v>
      </c>
      <c r="AB1407" s="14">
        <f t="shared" si="238"/>
        <v>27</v>
      </c>
      <c r="AC1407" s="14">
        <f>INDEX(挂机升级突破!$BU$6:$BU$57,卡牌消耗!AI1407)</f>
        <v>11</v>
      </c>
      <c r="AD1407" s="14">
        <f>INDEX(挂机升级突破!BV$6:BV$57,卡牌消耗!$AI1407)</f>
        <v>5</v>
      </c>
      <c r="AE1407" s="14">
        <f>INDEX(挂机升级突破!BW$6:BW$57,卡牌消耗!$AI1407)</f>
        <v>10</v>
      </c>
      <c r="AF1407" s="14" t="str">
        <f t="shared" si="239"/>
        <v>燕青</v>
      </c>
      <c r="AG1407" s="14">
        <f t="shared" si="240"/>
        <v>3</v>
      </c>
      <c r="AH1407" s="14" t="str">
        <f t="shared" si="241"/>
        <v>燕青魂火-51</v>
      </c>
      <c r="AI1407" s="14">
        <f t="shared" si="242"/>
        <v>51</v>
      </c>
      <c r="AJ1407" s="14" t="str">
        <f>INDEX(挂机升级突破!$BX$4:$CH$4,INDEX(挂机升级突破!$BU$6:$BU$57,卡牌消耗!AI1407))</f>
        <v>金币</v>
      </c>
      <c r="AK1407" s="14">
        <f>ROUND(INDEX(挂机升级突破!$BN$6:$BN$57,卡牌消耗!AI1407)*INDEX(卡牌消耗!$B$8:$F$8,AG1407)/$Q$4/50,0)*50</f>
        <v>278600</v>
      </c>
      <c r="AL1407" s="14" t="str">
        <f>IF(AD1407&gt;0,INDEX(挂机升级突破!$BX$4:$CH$4,AD1407),"")</f>
        <v>红色基础材料</v>
      </c>
      <c r="AM1407" s="14">
        <f>ROUND(INDEX(挂机升级突破!$BX$6:$CH$57,卡牌消耗!AI1407,AD1407)*INDEX(卡牌消耗!$B$5:$F$5,AG1407)/$Q$4/5,0)*5</f>
        <v>70</v>
      </c>
      <c r="AN1407" s="14" t="str">
        <f>IF(AE1407&gt;0,INDEX(挂机升级突破!$BX$4:$CH$4,AE1407),"")</f>
        <v>灵玉</v>
      </c>
      <c r="AO1407" s="14">
        <f>IF(AE1407&gt;0,ROUND(INDEX(挂机升级突破!$BX$6:$CH$57,卡牌消耗!AI1407,AE1407)*INDEX(卡牌消耗!$B$7:$F$7,AG1407)/$Q$4,0),"")</f>
        <v>1</v>
      </c>
    </row>
    <row r="1408" spans="27:41" ht="16.5" x14ac:dyDescent="0.2">
      <c r="AA1408" s="104">
        <v>1404</v>
      </c>
      <c r="AB1408" s="14">
        <f t="shared" si="238"/>
        <v>27</v>
      </c>
      <c r="AC1408" s="14">
        <f>INDEX(挂机升级突破!$BU$6:$BU$57,卡牌消耗!AI1408)</f>
        <v>11</v>
      </c>
      <c r="AD1408" s="14">
        <f>INDEX(挂机升级突破!BV$6:BV$57,卡牌消耗!$AI1408)</f>
        <v>5</v>
      </c>
      <c r="AE1408" s="14">
        <f>INDEX(挂机升级突破!BW$6:BW$57,卡牌消耗!$AI1408)</f>
        <v>10</v>
      </c>
      <c r="AF1408" s="14" t="str">
        <f t="shared" si="239"/>
        <v>燕青</v>
      </c>
      <c r="AG1408" s="14">
        <f t="shared" si="240"/>
        <v>3</v>
      </c>
      <c r="AH1408" s="14" t="str">
        <f t="shared" si="241"/>
        <v>燕青魂火-52</v>
      </c>
      <c r="AI1408" s="14">
        <f t="shared" si="242"/>
        <v>52</v>
      </c>
      <c r="AJ1408" s="14" t="str">
        <f>INDEX(挂机升级突破!$BX$4:$CH$4,INDEX(挂机升级突破!$BU$6:$BU$57,卡牌消耗!AI1408))</f>
        <v>金币</v>
      </c>
      <c r="AK1408" s="14">
        <f>ROUND(INDEX(挂机升级突破!$BN$6:$BN$57,卡牌消耗!AI1408)*INDEX(卡牌消耗!$B$8:$F$8,AG1408)/$Q$4/50,0)*50</f>
        <v>278600</v>
      </c>
      <c r="AL1408" s="14" t="str">
        <f>IF(AD1408&gt;0,INDEX(挂机升级突破!$BX$4:$CH$4,AD1408),"")</f>
        <v>红色基础材料</v>
      </c>
      <c r="AM1408" s="14">
        <f>ROUND(INDEX(挂机升级突破!$BX$6:$CH$57,卡牌消耗!AI1408,AD1408)*INDEX(卡牌消耗!$B$5:$F$5,AG1408)/$Q$4/5,0)*5</f>
        <v>70</v>
      </c>
      <c r="AN1408" s="14" t="str">
        <f>IF(AE1408&gt;0,INDEX(挂机升级突破!$BX$4:$CH$4,AE1408),"")</f>
        <v>灵玉</v>
      </c>
      <c r="AO1408" s="14">
        <f>IF(AE1408&gt;0,ROUND(INDEX(挂机升级突破!$BX$6:$CH$57,卡牌消耗!AI1408,AE1408)*INDEX(卡牌消耗!$B$7:$F$7,AG1408)/$Q$4,0),"")</f>
        <v>1</v>
      </c>
    </row>
    <row r="1409" spans="27:41" ht="16.5" x14ac:dyDescent="0.2">
      <c r="AA1409" s="104">
        <v>1405</v>
      </c>
      <c r="AB1409" s="14">
        <f t="shared" si="238"/>
        <v>28</v>
      </c>
      <c r="AC1409" s="14">
        <f>INDEX(挂机升级突破!$BU$6:$BU$57,卡牌消耗!AI1409)</f>
        <v>11</v>
      </c>
      <c r="AD1409" s="14">
        <f>INDEX(挂机升级突破!BV$6:BV$57,卡牌消耗!$AI1409)</f>
        <v>1</v>
      </c>
      <c r="AE1409" s="14">
        <f>INDEX(挂机升级突破!BW$6:BW$57,卡牌消耗!$AI1409)</f>
        <v>0</v>
      </c>
      <c r="AF1409" s="14" t="str">
        <f t="shared" si="239"/>
        <v>秦琼</v>
      </c>
      <c r="AG1409" s="14">
        <f t="shared" si="240"/>
        <v>4</v>
      </c>
      <c r="AH1409" s="14" t="str">
        <f t="shared" si="241"/>
        <v>秦琼魂火-1</v>
      </c>
      <c r="AI1409" s="14">
        <f t="shared" si="242"/>
        <v>1</v>
      </c>
      <c r="AJ1409" s="14" t="str">
        <f>INDEX(挂机升级突破!$BX$4:$CH$4,INDEX(挂机升级突破!$BU$6:$BU$57,卡牌消耗!AI1409))</f>
        <v>金币</v>
      </c>
      <c r="AK1409" s="14">
        <f>ROUND(INDEX(挂机升级突破!$BN$6:$BN$57,卡牌消耗!AI1409)*INDEX(卡牌消耗!$B$8:$F$8,AG1409)/$Q$4/50,0)*50</f>
        <v>900</v>
      </c>
      <c r="AL1409" s="14" t="str">
        <f>IF(AD1409&gt;0,INDEX(挂机升级突破!$BX$4:$CH$4,AD1409),"")</f>
        <v>绿色基础材料</v>
      </c>
      <c r="AM1409" s="14">
        <f>ROUND(INDEX(挂机升级突破!$BX$6:$CH$57,卡牌消耗!AI1409,AD1409)*INDEX(卡牌消耗!$B$5:$F$5,AG1409)/$Q$4/5,0)*5</f>
        <v>1000</v>
      </c>
      <c r="AN1409" s="14" t="str">
        <f>IF(AE1409&gt;0,INDEX(挂机升级突破!$BX$4:$CH$4,AE1409),"")</f>
        <v/>
      </c>
      <c r="AO1409" s="14" t="str">
        <f>IF(AE1409&gt;0,ROUND(INDEX(挂机升级突破!$BX$6:$CH$57,卡牌消耗!AI1409,AE1409)*INDEX(卡牌消耗!$B$7:$F$7,AG1409)/$Q$4,0),"")</f>
        <v/>
      </c>
    </row>
    <row r="1410" spans="27:41" ht="16.5" x14ac:dyDescent="0.2">
      <c r="AA1410" s="104">
        <v>1406</v>
      </c>
      <c r="AB1410" s="14">
        <f t="shared" si="238"/>
        <v>28</v>
      </c>
      <c r="AC1410" s="14">
        <f>INDEX(挂机升级突破!$BU$6:$BU$57,卡牌消耗!AI1410)</f>
        <v>11</v>
      </c>
      <c r="AD1410" s="14">
        <f>INDEX(挂机升级突破!BV$6:BV$57,卡牌消耗!$AI1410)</f>
        <v>1</v>
      </c>
      <c r="AE1410" s="14">
        <f>INDEX(挂机升级突破!BW$6:BW$57,卡牌消耗!$AI1410)</f>
        <v>0</v>
      </c>
      <c r="AF1410" s="14" t="str">
        <f t="shared" si="239"/>
        <v>秦琼</v>
      </c>
      <c r="AG1410" s="14">
        <f t="shared" si="240"/>
        <v>4</v>
      </c>
      <c r="AH1410" s="14" t="str">
        <f t="shared" si="241"/>
        <v>秦琼魂火-2</v>
      </c>
      <c r="AI1410" s="14">
        <f t="shared" si="242"/>
        <v>2</v>
      </c>
      <c r="AJ1410" s="14" t="str">
        <f>INDEX(挂机升级突破!$BX$4:$CH$4,INDEX(挂机升级突破!$BU$6:$BU$57,卡牌消耗!AI1410))</f>
        <v>金币</v>
      </c>
      <c r="AK1410" s="14">
        <f>ROUND(INDEX(挂机升级突破!$BN$6:$BN$57,卡牌消耗!AI1410)*INDEX(卡牌消耗!$B$8:$F$8,AG1410)/$Q$4/50,0)*50</f>
        <v>1200</v>
      </c>
      <c r="AL1410" s="14" t="str">
        <f>IF(AD1410&gt;0,INDEX(挂机升级突破!$BX$4:$CH$4,AD1410),"")</f>
        <v>绿色基础材料</v>
      </c>
      <c r="AM1410" s="14">
        <f>ROUND(INDEX(挂机升级突破!$BX$6:$CH$57,卡牌消耗!AI1410,AD1410)*INDEX(卡牌消耗!$B$5:$F$5,AG1410)/$Q$4/5,0)*5</f>
        <v>3005</v>
      </c>
      <c r="AN1410" s="14" t="str">
        <f>IF(AE1410&gt;0,INDEX(挂机升级突破!$BX$4:$CH$4,AE1410),"")</f>
        <v/>
      </c>
      <c r="AO1410" s="14" t="str">
        <f>IF(AE1410&gt;0,ROUND(INDEX(挂机升级突破!$BX$6:$CH$57,卡牌消耗!AI1410,AE1410)*INDEX(卡牌消耗!$B$7:$F$7,AG1410)/$Q$4,0),"")</f>
        <v/>
      </c>
    </row>
    <row r="1411" spans="27:41" ht="16.5" x14ac:dyDescent="0.2">
      <c r="AA1411" s="104">
        <v>1407</v>
      </c>
      <c r="AB1411" s="14">
        <f t="shared" si="238"/>
        <v>28</v>
      </c>
      <c r="AC1411" s="14">
        <f>INDEX(挂机升级突破!$BU$6:$BU$57,卡牌消耗!AI1411)</f>
        <v>11</v>
      </c>
      <c r="AD1411" s="14">
        <f>INDEX(挂机升级突破!BV$6:BV$57,卡牌消耗!$AI1411)</f>
        <v>1</v>
      </c>
      <c r="AE1411" s="14">
        <f>INDEX(挂机升级突破!BW$6:BW$57,卡牌消耗!$AI1411)</f>
        <v>0</v>
      </c>
      <c r="AF1411" s="14" t="str">
        <f t="shared" si="239"/>
        <v>秦琼</v>
      </c>
      <c r="AG1411" s="14">
        <f t="shared" si="240"/>
        <v>4</v>
      </c>
      <c r="AH1411" s="14" t="str">
        <f t="shared" si="241"/>
        <v>秦琼魂火-3</v>
      </c>
      <c r="AI1411" s="14">
        <f t="shared" si="242"/>
        <v>3</v>
      </c>
      <c r="AJ1411" s="14" t="str">
        <f>INDEX(挂机升级突破!$BX$4:$CH$4,INDEX(挂机升级突破!$BU$6:$BU$57,卡牌消耗!AI1411))</f>
        <v>金币</v>
      </c>
      <c r="AK1411" s="14">
        <f>ROUND(INDEX(挂机升级突破!$BN$6:$BN$57,卡牌消耗!AI1411)*INDEX(卡牌消耗!$B$8:$F$8,AG1411)/$Q$4/50,0)*50</f>
        <v>1200</v>
      </c>
      <c r="AL1411" s="14" t="str">
        <f>IF(AD1411&gt;0,INDEX(挂机升级突破!$BX$4:$CH$4,AD1411),"")</f>
        <v>绿色基础材料</v>
      </c>
      <c r="AM1411" s="14">
        <f>ROUND(INDEX(挂机升级突破!$BX$6:$CH$57,卡牌消耗!AI1411,AD1411)*INDEX(卡牌消耗!$B$5:$F$5,AG1411)/$Q$4/5,0)*5</f>
        <v>4005</v>
      </c>
      <c r="AN1411" s="14" t="str">
        <f>IF(AE1411&gt;0,INDEX(挂机升级突破!$BX$4:$CH$4,AE1411),"")</f>
        <v/>
      </c>
      <c r="AO1411" s="14" t="str">
        <f>IF(AE1411&gt;0,ROUND(INDEX(挂机升级突破!$BX$6:$CH$57,卡牌消耗!AI1411,AE1411)*INDEX(卡牌消耗!$B$7:$F$7,AG1411)/$Q$4,0),"")</f>
        <v/>
      </c>
    </row>
    <row r="1412" spans="27:41" ht="16.5" x14ac:dyDescent="0.2">
      <c r="AA1412" s="104">
        <v>1408</v>
      </c>
      <c r="AB1412" s="14">
        <f t="shared" si="238"/>
        <v>28</v>
      </c>
      <c r="AC1412" s="14">
        <f>INDEX(挂机升级突破!$BU$6:$BU$57,卡牌消耗!AI1412)</f>
        <v>11</v>
      </c>
      <c r="AD1412" s="14">
        <f>INDEX(挂机升级突破!BV$6:BV$57,卡牌消耗!$AI1412)</f>
        <v>1</v>
      </c>
      <c r="AE1412" s="14">
        <f>INDEX(挂机升级突破!BW$6:BW$57,卡牌消耗!$AI1412)</f>
        <v>0</v>
      </c>
      <c r="AF1412" s="14" t="str">
        <f t="shared" si="239"/>
        <v>秦琼</v>
      </c>
      <c r="AG1412" s="14">
        <f t="shared" si="240"/>
        <v>4</v>
      </c>
      <c r="AH1412" s="14" t="str">
        <f t="shared" si="241"/>
        <v>秦琼魂火-4</v>
      </c>
      <c r="AI1412" s="14">
        <f t="shared" si="242"/>
        <v>4</v>
      </c>
      <c r="AJ1412" s="14" t="str">
        <f>INDEX(挂机升级突破!$BX$4:$CH$4,INDEX(挂机升级突破!$BU$6:$BU$57,卡牌消耗!AI1412))</f>
        <v>金币</v>
      </c>
      <c r="AK1412" s="14">
        <f>ROUND(INDEX(挂机升级突破!$BN$6:$BN$57,卡牌消耗!AI1412)*INDEX(卡牌消耗!$B$8:$F$8,AG1412)/$Q$4/50,0)*50</f>
        <v>1200</v>
      </c>
      <c r="AL1412" s="14" t="str">
        <f>IF(AD1412&gt;0,INDEX(挂机升级突破!$BX$4:$CH$4,AD1412),"")</f>
        <v>绿色基础材料</v>
      </c>
      <c r="AM1412" s="14">
        <f>ROUND(INDEX(挂机升级突破!$BX$6:$CH$57,卡牌消耗!AI1412,AD1412)*INDEX(卡牌消耗!$B$5:$F$5,AG1412)/$Q$4/5,0)*5</f>
        <v>6005</v>
      </c>
      <c r="AN1412" s="14" t="str">
        <f>IF(AE1412&gt;0,INDEX(挂机升级突破!$BX$4:$CH$4,AE1412),"")</f>
        <v/>
      </c>
      <c r="AO1412" s="14" t="str">
        <f>IF(AE1412&gt;0,ROUND(INDEX(挂机升级突破!$BX$6:$CH$57,卡牌消耗!AI1412,AE1412)*INDEX(卡牌消耗!$B$7:$F$7,AG1412)/$Q$4,0),"")</f>
        <v/>
      </c>
    </row>
    <row r="1413" spans="27:41" ht="16.5" x14ac:dyDescent="0.2">
      <c r="AA1413" s="104">
        <v>1409</v>
      </c>
      <c r="AB1413" s="14">
        <f t="shared" si="238"/>
        <v>28</v>
      </c>
      <c r="AC1413" s="14">
        <f>INDEX(挂机升级突破!$BU$6:$BU$57,卡牌消耗!AI1413)</f>
        <v>11</v>
      </c>
      <c r="AD1413" s="14">
        <f>INDEX(挂机升级突破!BV$6:BV$57,卡牌消耗!$AI1413)</f>
        <v>1</v>
      </c>
      <c r="AE1413" s="14">
        <f>INDEX(挂机升级突破!BW$6:BW$57,卡牌消耗!$AI1413)</f>
        <v>0</v>
      </c>
      <c r="AF1413" s="14" t="str">
        <f t="shared" si="239"/>
        <v>秦琼</v>
      </c>
      <c r="AG1413" s="14">
        <f t="shared" si="240"/>
        <v>4</v>
      </c>
      <c r="AH1413" s="14" t="str">
        <f t="shared" si="241"/>
        <v>秦琼魂火-5</v>
      </c>
      <c r="AI1413" s="14">
        <f t="shared" si="242"/>
        <v>5</v>
      </c>
      <c r="AJ1413" s="14" t="str">
        <f>INDEX(挂机升级突破!$BX$4:$CH$4,INDEX(挂机升级突破!$BU$6:$BU$57,卡牌消耗!AI1413))</f>
        <v>金币</v>
      </c>
      <c r="AK1413" s="14">
        <f>ROUND(INDEX(挂机升级突破!$BN$6:$BN$57,卡牌消耗!AI1413)*INDEX(卡牌消耗!$B$8:$F$8,AG1413)/$Q$4/50,0)*50</f>
        <v>1200</v>
      </c>
      <c r="AL1413" s="14" t="str">
        <f>IF(AD1413&gt;0,INDEX(挂机升级突破!$BX$4:$CH$4,AD1413),"")</f>
        <v>绿色基础材料</v>
      </c>
      <c r="AM1413" s="14">
        <f>ROUND(INDEX(挂机升级突破!$BX$6:$CH$57,卡牌消耗!AI1413,AD1413)*INDEX(卡牌消耗!$B$5:$F$5,AG1413)/$Q$4/5,0)*5</f>
        <v>6005</v>
      </c>
      <c r="AN1413" s="14" t="str">
        <f>IF(AE1413&gt;0,INDEX(挂机升级突破!$BX$4:$CH$4,AE1413),"")</f>
        <v/>
      </c>
      <c r="AO1413" s="14" t="str">
        <f>IF(AE1413&gt;0,ROUND(INDEX(挂机升级突破!$BX$6:$CH$57,卡牌消耗!AI1413,AE1413)*INDEX(卡牌消耗!$B$7:$F$7,AG1413)/$Q$4,0),"")</f>
        <v/>
      </c>
    </row>
    <row r="1414" spans="27:41" ht="16.5" x14ac:dyDescent="0.2">
      <c r="AA1414" s="104">
        <v>1410</v>
      </c>
      <c r="AB1414" s="14">
        <f t="shared" ref="AB1414:AB1460" si="243">INT((AA1414-1)/52)+1</f>
        <v>28</v>
      </c>
      <c r="AC1414" s="14">
        <f>INDEX(挂机升级突破!$BU$6:$BU$57,卡牌消耗!AI1414)</f>
        <v>11</v>
      </c>
      <c r="AD1414" s="14">
        <f>INDEX(挂机升级突破!BV$6:BV$57,卡牌消耗!$AI1414)</f>
        <v>2</v>
      </c>
      <c r="AE1414" s="14">
        <f>INDEX(挂机升级突破!BW$6:BW$57,卡牌消耗!$AI1414)</f>
        <v>0</v>
      </c>
      <c r="AF1414" s="14" t="str">
        <f t="shared" ref="AF1414:AF1460" si="244">INDEX($B$13:$B$40,AB1414)</f>
        <v>秦琼</v>
      </c>
      <c r="AG1414" s="14">
        <f t="shared" ref="AG1414:AG1460" si="245">INDEX($C$13:$C$40,AB1414)</f>
        <v>4</v>
      </c>
      <c r="AH1414" s="14" t="str">
        <f t="shared" ref="AH1414:AH1460" si="246">AF1414&amp;"魂火-"&amp;AI1414</f>
        <v>秦琼魂火-6</v>
      </c>
      <c r="AI1414" s="14">
        <f t="shared" ref="AI1414:AI1460" si="247">AA1414-(AB1414-1)*52</f>
        <v>6</v>
      </c>
      <c r="AJ1414" s="14" t="str">
        <f>INDEX(挂机升级突破!$BX$4:$CH$4,INDEX(挂机升级突破!$BU$6:$BU$57,卡牌消耗!AI1414))</f>
        <v>金币</v>
      </c>
      <c r="AK1414" s="14">
        <f>ROUND(INDEX(挂机升级突破!$BN$6:$BN$57,卡牌消耗!AI1414)*INDEX(卡牌消耗!$B$8:$F$8,AG1414)/$Q$4/50,0)*50</f>
        <v>1500</v>
      </c>
      <c r="AL1414" s="14" t="str">
        <f>IF(AD1414&gt;0,INDEX(挂机升级突破!$BX$4:$CH$4,AD1414),"")</f>
        <v>蓝色基础材料</v>
      </c>
      <c r="AM1414" s="14">
        <f>ROUND(INDEX(挂机升级突破!$BX$6:$CH$57,卡牌消耗!AI1414,AD1414)*INDEX(卡牌消耗!$B$5:$F$5,AG1414)/$Q$4/5,0)*5</f>
        <v>575</v>
      </c>
      <c r="AN1414" s="14" t="str">
        <f>IF(AE1414&gt;0,INDEX(挂机升级突破!$BX$4:$CH$4,AE1414),"")</f>
        <v/>
      </c>
      <c r="AO1414" s="14" t="str">
        <f>IF(AE1414&gt;0,ROUND(INDEX(挂机升级突破!$BX$6:$CH$57,卡牌消耗!AI1414,AE1414)*INDEX(卡牌消耗!$B$7:$F$7,AG1414)/$Q$4,0),"")</f>
        <v/>
      </c>
    </row>
    <row r="1415" spans="27:41" ht="16.5" x14ac:dyDescent="0.2">
      <c r="AA1415" s="104">
        <v>1411</v>
      </c>
      <c r="AB1415" s="14">
        <f t="shared" si="243"/>
        <v>28</v>
      </c>
      <c r="AC1415" s="14">
        <f>INDEX(挂机升级突破!$BU$6:$BU$57,卡牌消耗!AI1415)</f>
        <v>11</v>
      </c>
      <c r="AD1415" s="14">
        <f>INDEX(挂机升级突破!BV$6:BV$57,卡牌消耗!$AI1415)</f>
        <v>2</v>
      </c>
      <c r="AE1415" s="14">
        <f>INDEX(挂机升级突破!BW$6:BW$57,卡牌消耗!$AI1415)</f>
        <v>0</v>
      </c>
      <c r="AF1415" s="14" t="str">
        <f t="shared" si="244"/>
        <v>秦琼</v>
      </c>
      <c r="AG1415" s="14">
        <f t="shared" si="245"/>
        <v>4</v>
      </c>
      <c r="AH1415" s="14" t="str">
        <f t="shared" si="246"/>
        <v>秦琼魂火-7</v>
      </c>
      <c r="AI1415" s="14">
        <f t="shared" si="247"/>
        <v>7</v>
      </c>
      <c r="AJ1415" s="14" t="str">
        <f>INDEX(挂机升级突破!$BX$4:$CH$4,INDEX(挂机升级突破!$BU$6:$BU$57,卡牌消耗!AI1415))</f>
        <v>金币</v>
      </c>
      <c r="AK1415" s="14">
        <f>ROUND(INDEX(挂机升级突破!$BN$6:$BN$57,卡牌消耗!AI1415)*INDEX(卡牌消耗!$B$8:$F$8,AG1415)/$Q$4/50,0)*50</f>
        <v>1500</v>
      </c>
      <c r="AL1415" s="14" t="str">
        <f>IF(AD1415&gt;0,INDEX(挂机升级突破!$BX$4:$CH$4,AD1415),"")</f>
        <v>蓝色基础材料</v>
      </c>
      <c r="AM1415" s="14">
        <f>ROUND(INDEX(挂机升级突破!$BX$6:$CH$57,卡牌消耗!AI1415,AD1415)*INDEX(卡牌消耗!$B$5:$F$5,AG1415)/$Q$4/5,0)*5</f>
        <v>575</v>
      </c>
      <c r="AN1415" s="14" t="str">
        <f>IF(AE1415&gt;0,INDEX(挂机升级突破!$BX$4:$CH$4,AE1415),"")</f>
        <v/>
      </c>
      <c r="AO1415" s="14" t="str">
        <f>IF(AE1415&gt;0,ROUND(INDEX(挂机升级突破!$BX$6:$CH$57,卡牌消耗!AI1415,AE1415)*INDEX(卡牌消耗!$B$7:$F$7,AG1415)/$Q$4,0),"")</f>
        <v/>
      </c>
    </row>
    <row r="1416" spans="27:41" ht="16.5" x14ac:dyDescent="0.2">
      <c r="AA1416" s="104">
        <v>1412</v>
      </c>
      <c r="AB1416" s="14">
        <f t="shared" si="243"/>
        <v>28</v>
      </c>
      <c r="AC1416" s="14">
        <f>INDEX(挂机升级突破!$BU$6:$BU$57,卡牌消耗!AI1416)</f>
        <v>11</v>
      </c>
      <c r="AD1416" s="14">
        <f>INDEX(挂机升级突破!BV$6:BV$57,卡牌消耗!$AI1416)</f>
        <v>2</v>
      </c>
      <c r="AE1416" s="14">
        <f>INDEX(挂机升级突破!BW$6:BW$57,卡牌消耗!$AI1416)</f>
        <v>0</v>
      </c>
      <c r="AF1416" s="14" t="str">
        <f t="shared" si="244"/>
        <v>秦琼</v>
      </c>
      <c r="AG1416" s="14">
        <f t="shared" si="245"/>
        <v>4</v>
      </c>
      <c r="AH1416" s="14" t="str">
        <f t="shared" si="246"/>
        <v>秦琼魂火-8</v>
      </c>
      <c r="AI1416" s="14">
        <f t="shared" si="247"/>
        <v>8</v>
      </c>
      <c r="AJ1416" s="14" t="str">
        <f>INDEX(挂机升级突破!$BX$4:$CH$4,INDEX(挂机升级突破!$BU$6:$BU$57,卡牌消耗!AI1416))</f>
        <v>金币</v>
      </c>
      <c r="AK1416" s="14">
        <f>ROUND(INDEX(挂机升级突破!$BN$6:$BN$57,卡牌消耗!AI1416)*INDEX(卡牌消耗!$B$8:$F$8,AG1416)/$Q$4/50,0)*50</f>
        <v>2250</v>
      </c>
      <c r="AL1416" s="14" t="str">
        <f>IF(AD1416&gt;0,INDEX(挂机升级突破!$BX$4:$CH$4,AD1416),"")</f>
        <v>蓝色基础材料</v>
      </c>
      <c r="AM1416" s="14">
        <f>ROUND(INDEX(挂机升级突破!$BX$6:$CH$57,卡牌消耗!AI1416,AD1416)*INDEX(卡牌消耗!$B$5:$F$5,AG1416)/$Q$4/5,0)*5</f>
        <v>1155</v>
      </c>
      <c r="AN1416" s="14" t="str">
        <f>IF(AE1416&gt;0,INDEX(挂机升级突破!$BX$4:$CH$4,AE1416),"")</f>
        <v/>
      </c>
      <c r="AO1416" s="14" t="str">
        <f>IF(AE1416&gt;0,ROUND(INDEX(挂机升级突破!$BX$6:$CH$57,卡牌消耗!AI1416,AE1416)*INDEX(卡牌消耗!$B$7:$F$7,AG1416)/$Q$4,0),"")</f>
        <v/>
      </c>
    </row>
    <row r="1417" spans="27:41" ht="16.5" x14ac:dyDescent="0.2">
      <c r="AA1417" s="104">
        <v>1413</v>
      </c>
      <c r="AB1417" s="14">
        <f t="shared" si="243"/>
        <v>28</v>
      </c>
      <c r="AC1417" s="14">
        <f>INDEX(挂机升级突破!$BU$6:$BU$57,卡牌消耗!AI1417)</f>
        <v>11</v>
      </c>
      <c r="AD1417" s="14">
        <f>INDEX(挂机升级突破!BV$6:BV$57,卡牌消耗!$AI1417)</f>
        <v>2</v>
      </c>
      <c r="AE1417" s="14">
        <f>INDEX(挂机升级突破!BW$6:BW$57,卡牌消耗!$AI1417)</f>
        <v>0</v>
      </c>
      <c r="AF1417" s="14" t="str">
        <f t="shared" si="244"/>
        <v>秦琼</v>
      </c>
      <c r="AG1417" s="14">
        <f t="shared" si="245"/>
        <v>4</v>
      </c>
      <c r="AH1417" s="14" t="str">
        <f t="shared" si="246"/>
        <v>秦琼魂火-9</v>
      </c>
      <c r="AI1417" s="14">
        <f t="shared" si="247"/>
        <v>9</v>
      </c>
      <c r="AJ1417" s="14" t="str">
        <f>INDEX(挂机升级突破!$BX$4:$CH$4,INDEX(挂机升级突破!$BU$6:$BU$57,卡牌消耗!AI1417))</f>
        <v>金币</v>
      </c>
      <c r="AK1417" s="14">
        <f>ROUND(INDEX(挂机升级突破!$BN$6:$BN$57,卡牌消耗!AI1417)*INDEX(卡牌消耗!$B$8:$F$8,AG1417)/$Q$4/50,0)*50</f>
        <v>2250</v>
      </c>
      <c r="AL1417" s="14" t="str">
        <f>IF(AD1417&gt;0,INDEX(挂机升级突破!$BX$4:$CH$4,AD1417),"")</f>
        <v>蓝色基础材料</v>
      </c>
      <c r="AM1417" s="14">
        <f>ROUND(INDEX(挂机升级突破!$BX$6:$CH$57,卡牌消耗!AI1417,AD1417)*INDEX(卡牌消耗!$B$5:$F$5,AG1417)/$Q$4/5,0)*5</f>
        <v>1155</v>
      </c>
      <c r="AN1417" s="14" t="str">
        <f>IF(AE1417&gt;0,INDEX(挂机升级突破!$BX$4:$CH$4,AE1417),"")</f>
        <v/>
      </c>
      <c r="AO1417" s="14" t="str">
        <f>IF(AE1417&gt;0,ROUND(INDEX(挂机升级突破!$BX$6:$CH$57,卡牌消耗!AI1417,AE1417)*INDEX(卡牌消耗!$B$7:$F$7,AG1417)/$Q$4,0),"")</f>
        <v/>
      </c>
    </row>
    <row r="1418" spans="27:41" ht="16.5" x14ac:dyDescent="0.2">
      <c r="AA1418" s="104">
        <v>1414</v>
      </c>
      <c r="AB1418" s="14">
        <f t="shared" si="243"/>
        <v>28</v>
      </c>
      <c r="AC1418" s="14">
        <f>INDEX(挂机升级突破!$BU$6:$BU$57,卡牌消耗!AI1418)</f>
        <v>11</v>
      </c>
      <c r="AD1418" s="14">
        <f>INDEX(挂机升级突破!BV$6:BV$57,卡牌消耗!$AI1418)</f>
        <v>2</v>
      </c>
      <c r="AE1418" s="14">
        <f>INDEX(挂机升级突破!BW$6:BW$57,卡牌消耗!$AI1418)</f>
        <v>0</v>
      </c>
      <c r="AF1418" s="14" t="str">
        <f t="shared" si="244"/>
        <v>秦琼</v>
      </c>
      <c r="AG1418" s="14">
        <f t="shared" si="245"/>
        <v>4</v>
      </c>
      <c r="AH1418" s="14" t="str">
        <f t="shared" si="246"/>
        <v>秦琼魂火-10</v>
      </c>
      <c r="AI1418" s="14">
        <f t="shared" si="247"/>
        <v>10</v>
      </c>
      <c r="AJ1418" s="14" t="str">
        <f>INDEX(挂机升级突破!$BX$4:$CH$4,INDEX(挂机升级突破!$BU$6:$BU$57,卡牌消耗!AI1418))</f>
        <v>金币</v>
      </c>
      <c r="AK1418" s="14">
        <f>ROUND(INDEX(挂机升级突破!$BN$6:$BN$57,卡牌消耗!AI1418)*INDEX(卡牌消耗!$B$8:$F$8,AG1418)/$Q$4/50,0)*50</f>
        <v>3700</v>
      </c>
      <c r="AL1418" s="14" t="str">
        <f>IF(AD1418&gt;0,INDEX(挂机升级突破!$BX$4:$CH$4,AD1418),"")</f>
        <v>蓝色基础材料</v>
      </c>
      <c r="AM1418" s="14">
        <f>ROUND(INDEX(挂机升级突破!$BX$6:$CH$57,卡牌消耗!AI1418,AD1418)*INDEX(卡牌消耗!$B$5:$F$5,AG1418)/$Q$4/5,0)*5</f>
        <v>1730</v>
      </c>
      <c r="AN1418" s="14" t="str">
        <f>IF(AE1418&gt;0,INDEX(挂机升级突破!$BX$4:$CH$4,AE1418),"")</f>
        <v/>
      </c>
      <c r="AO1418" s="14" t="str">
        <f>IF(AE1418&gt;0,ROUND(INDEX(挂机升级突破!$BX$6:$CH$57,卡牌消耗!AI1418,AE1418)*INDEX(卡牌消耗!$B$7:$F$7,AG1418)/$Q$4,0),"")</f>
        <v/>
      </c>
    </row>
    <row r="1419" spans="27:41" ht="16.5" x14ac:dyDescent="0.2">
      <c r="AA1419" s="104">
        <v>1415</v>
      </c>
      <c r="AB1419" s="14">
        <f t="shared" si="243"/>
        <v>28</v>
      </c>
      <c r="AC1419" s="14">
        <f>INDEX(挂机升级突破!$BU$6:$BU$57,卡牌消耗!AI1419)</f>
        <v>11</v>
      </c>
      <c r="AD1419" s="14">
        <f>INDEX(挂机升级突破!BV$6:BV$57,卡牌消耗!$AI1419)</f>
        <v>2</v>
      </c>
      <c r="AE1419" s="14">
        <f>INDEX(挂机升级突破!BW$6:BW$57,卡牌消耗!$AI1419)</f>
        <v>0</v>
      </c>
      <c r="AF1419" s="14" t="str">
        <f t="shared" si="244"/>
        <v>秦琼</v>
      </c>
      <c r="AG1419" s="14">
        <f t="shared" si="245"/>
        <v>4</v>
      </c>
      <c r="AH1419" s="14" t="str">
        <f t="shared" si="246"/>
        <v>秦琼魂火-11</v>
      </c>
      <c r="AI1419" s="14">
        <f t="shared" si="247"/>
        <v>11</v>
      </c>
      <c r="AJ1419" s="14" t="str">
        <f>INDEX(挂机升级突破!$BX$4:$CH$4,INDEX(挂机升级突破!$BU$6:$BU$57,卡牌消耗!AI1419))</f>
        <v>金币</v>
      </c>
      <c r="AK1419" s="14">
        <f>ROUND(INDEX(挂机升级突破!$BN$6:$BN$57,卡牌消耗!AI1419)*INDEX(卡牌消耗!$B$8:$F$8,AG1419)/$Q$4/50,0)*50</f>
        <v>3700</v>
      </c>
      <c r="AL1419" s="14" t="str">
        <f>IF(AD1419&gt;0,INDEX(挂机升级突破!$BX$4:$CH$4,AD1419),"")</f>
        <v>蓝色基础材料</v>
      </c>
      <c r="AM1419" s="14">
        <f>ROUND(INDEX(挂机升级突破!$BX$6:$CH$57,卡牌消耗!AI1419,AD1419)*INDEX(卡牌消耗!$B$5:$F$5,AG1419)/$Q$4/5,0)*5</f>
        <v>1730</v>
      </c>
      <c r="AN1419" s="14" t="str">
        <f>IF(AE1419&gt;0,INDEX(挂机升级突破!$BX$4:$CH$4,AE1419),"")</f>
        <v/>
      </c>
      <c r="AO1419" s="14" t="str">
        <f>IF(AE1419&gt;0,ROUND(INDEX(挂机升级突破!$BX$6:$CH$57,卡牌消耗!AI1419,AE1419)*INDEX(卡牌消耗!$B$7:$F$7,AG1419)/$Q$4,0),"")</f>
        <v/>
      </c>
    </row>
    <row r="1420" spans="27:41" ht="16.5" x14ac:dyDescent="0.2">
      <c r="AA1420" s="104">
        <v>1416</v>
      </c>
      <c r="AB1420" s="14">
        <f t="shared" si="243"/>
        <v>28</v>
      </c>
      <c r="AC1420" s="14">
        <f>INDEX(挂机升级突破!$BU$6:$BU$57,卡牌消耗!AI1420)</f>
        <v>11</v>
      </c>
      <c r="AD1420" s="14">
        <f>INDEX(挂机升级突破!BV$6:BV$57,卡牌消耗!$AI1420)</f>
        <v>2</v>
      </c>
      <c r="AE1420" s="14">
        <f>INDEX(挂机升级突破!BW$6:BW$57,卡牌消耗!$AI1420)</f>
        <v>0</v>
      </c>
      <c r="AF1420" s="14" t="str">
        <f t="shared" si="244"/>
        <v>秦琼</v>
      </c>
      <c r="AG1420" s="14">
        <f t="shared" si="245"/>
        <v>4</v>
      </c>
      <c r="AH1420" s="14" t="str">
        <f t="shared" si="246"/>
        <v>秦琼魂火-12</v>
      </c>
      <c r="AI1420" s="14">
        <f t="shared" si="247"/>
        <v>12</v>
      </c>
      <c r="AJ1420" s="14" t="str">
        <f>INDEX(挂机升级突破!$BX$4:$CH$4,INDEX(挂机升级突破!$BU$6:$BU$57,卡牌消耗!AI1420))</f>
        <v>金币</v>
      </c>
      <c r="AK1420" s="14">
        <f>ROUND(INDEX(挂机升级突破!$BN$6:$BN$57,卡牌消耗!AI1420)*INDEX(卡牌消耗!$B$8:$F$8,AG1420)/$Q$4/50,0)*50</f>
        <v>3200</v>
      </c>
      <c r="AL1420" s="14" t="str">
        <f>IF(AD1420&gt;0,INDEX(挂机升级突破!$BX$4:$CH$4,AD1420),"")</f>
        <v>蓝色基础材料</v>
      </c>
      <c r="AM1420" s="14">
        <f>ROUND(INDEX(挂机升级突破!$BX$6:$CH$57,卡牌消耗!AI1420,AD1420)*INDEX(卡牌消耗!$B$5:$F$5,AG1420)/$Q$4/5,0)*5</f>
        <v>2305</v>
      </c>
      <c r="AN1420" s="14" t="str">
        <f>IF(AE1420&gt;0,INDEX(挂机升级突破!$BX$4:$CH$4,AE1420),"")</f>
        <v/>
      </c>
      <c r="AO1420" s="14" t="str">
        <f>IF(AE1420&gt;0,ROUND(INDEX(挂机升级突破!$BX$6:$CH$57,卡牌消耗!AI1420,AE1420)*INDEX(卡牌消耗!$B$7:$F$7,AG1420)/$Q$4,0),"")</f>
        <v/>
      </c>
    </row>
    <row r="1421" spans="27:41" ht="16.5" x14ac:dyDescent="0.2">
      <c r="AA1421" s="104">
        <v>1417</v>
      </c>
      <c r="AB1421" s="14">
        <f t="shared" si="243"/>
        <v>28</v>
      </c>
      <c r="AC1421" s="14">
        <f>INDEX(挂机升级突破!$BU$6:$BU$57,卡牌消耗!AI1421)</f>
        <v>11</v>
      </c>
      <c r="AD1421" s="14">
        <f>INDEX(挂机升级突破!BV$6:BV$57,卡牌消耗!$AI1421)</f>
        <v>2</v>
      </c>
      <c r="AE1421" s="14">
        <f>INDEX(挂机升级突破!BW$6:BW$57,卡牌消耗!$AI1421)</f>
        <v>0</v>
      </c>
      <c r="AF1421" s="14" t="str">
        <f t="shared" si="244"/>
        <v>秦琼</v>
      </c>
      <c r="AG1421" s="14">
        <f t="shared" si="245"/>
        <v>4</v>
      </c>
      <c r="AH1421" s="14" t="str">
        <f t="shared" si="246"/>
        <v>秦琼魂火-13</v>
      </c>
      <c r="AI1421" s="14">
        <f t="shared" si="247"/>
        <v>13</v>
      </c>
      <c r="AJ1421" s="14" t="str">
        <f>INDEX(挂机升级突破!$BX$4:$CH$4,INDEX(挂机升级突破!$BU$6:$BU$57,卡牌消耗!AI1421))</f>
        <v>金币</v>
      </c>
      <c r="AK1421" s="14">
        <f>ROUND(INDEX(挂机升级突破!$BN$6:$BN$57,卡牌消耗!AI1421)*INDEX(卡牌消耗!$B$8:$F$8,AG1421)/$Q$4/50,0)*50</f>
        <v>3200</v>
      </c>
      <c r="AL1421" s="14" t="str">
        <f>IF(AD1421&gt;0,INDEX(挂机升级突破!$BX$4:$CH$4,AD1421),"")</f>
        <v>蓝色基础材料</v>
      </c>
      <c r="AM1421" s="14">
        <f>ROUND(INDEX(挂机升级突破!$BX$6:$CH$57,卡牌消耗!AI1421,AD1421)*INDEX(卡牌消耗!$B$5:$F$5,AG1421)/$Q$4/5,0)*5</f>
        <v>2305</v>
      </c>
      <c r="AN1421" s="14" t="str">
        <f>IF(AE1421&gt;0,INDEX(挂机升级突破!$BX$4:$CH$4,AE1421),"")</f>
        <v/>
      </c>
      <c r="AO1421" s="14" t="str">
        <f>IF(AE1421&gt;0,ROUND(INDEX(挂机升级突破!$BX$6:$CH$57,卡牌消耗!AI1421,AE1421)*INDEX(卡牌消耗!$B$7:$F$7,AG1421)/$Q$4,0),"")</f>
        <v/>
      </c>
    </row>
    <row r="1422" spans="27:41" ht="16.5" x14ac:dyDescent="0.2">
      <c r="AA1422" s="104">
        <v>1418</v>
      </c>
      <c r="AB1422" s="14">
        <f t="shared" si="243"/>
        <v>28</v>
      </c>
      <c r="AC1422" s="14">
        <f>INDEX(挂机升级突破!$BU$6:$BU$57,卡牌消耗!AI1422)</f>
        <v>11</v>
      </c>
      <c r="AD1422" s="14">
        <f>INDEX(挂机升级突破!BV$6:BV$57,卡牌消耗!$AI1422)</f>
        <v>3</v>
      </c>
      <c r="AE1422" s="14">
        <f>INDEX(挂机升级突破!BW$6:BW$57,卡牌消耗!$AI1422)</f>
        <v>0</v>
      </c>
      <c r="AF1422" s="14" t="str">
        <f t="shared" si="244"/>
        <v>秦琼</v>
      </c>
      <c r="AG1422" s="14">
        <f t="shared" si="245"/>
        <v>4</v>
      </c>
      <c r="AH1422" s="14" t="str">
        <f t="shared" si="246"/>
        <v>秦琼魂火-14</v>
      </c>
      <c r="AI1422" s="14">
        <f t="shared" si="247"/>
        <v>14</v>
      </c>
      <c r="AJ1422" s="14" t="str">
        <f>INDEX(挂机升级突破!$BX$4:$CH$4,INDEX(挂机升级突破!$BU$6:$BU$57,卡牌消耗!AI1422))</f>
        <v>金币</v>
      </c>
      <c r="AK1422" s="14">
        <f>ROUND(INDEX(挂机升级突破!$BN$6:$BN$57,卡牌消耗!AI1422)*INDEX(卡牌消耗!$B$8:$F$8,AG1422)/$Q$4/50,0)*50</f>
        <v>3500</v>
      </c>
      <c r="AL1422" s="14" t="str">
        <f>IF(AD1422&gt;0,INDEX(挂机升级突破!$BX$4:$CH$4,AD1422),"")</f>
        <v>紫色基础材料</v>
      </c>
      <c r="AM1422" s="14">
        <f>ROUND(INDEX(挂机升级突破!$BX$6:$CH$57,卡牌消耗!AI1422,AD1422)*INDEX(卡牌消耗!$B$5:$F$5,AG1422)/$Q$4/5,0)*5</f>
        <v>200</v>
      </c>
      <c r="AN1422" s="14" t="str">
        <f>IF(AE1422&gt;0,INDEX(挂机升级突破!$BX$4:$CH$4,AE1422),"")</f>
        <v/>
      </c>
      <c r="AO1422" s="14" t="str">
        <f>IF(AE1422&gt;0,ROUND(INDEX(挂机升级突破!$BX$6:$CH$57,卡牌消耗!AI1422,AE1422)*INDEX(卡牌消耗!$B$7:$F$7,AG1422)/$Q$4,0),"")</f>
        <v/>
      </c>
    </row>
    <row r="1423" spans="27:41" ht="16.5" x14ac:dyDescent="0.2">
      <c r="AA1423" s="104">
        <v>1419</v>
      </c>
      <c r="AB1423" s="14">
        <f t="shared" si="243"/>
        <v>28</v>
      </c>
      <c r="AC1423" s="14">
        <f>INDEX(挂机升级突破!$BU$6:$BU$57,卡牌消耗!AI1423)</f>
        <v>11</v>
      </c>
      <c r="AD1423" s="14">
        <f>INDEX(挂机升级突破!BV$6:BV$57,卡牌消耗!$AI1423)</f>
        <v>3</v>
      </c>
      <c r="AE1423" s="14">
        <f>INDEX(挂机升级突破!BW$6:BW$57,卡牌消耗!$AI1423)</f>
        <v>0</v>
      </c>
      <c r="AF1423" s="14" t="str">
        <f t="shared" si="244"/>
        <v>秦琼</v>
      </c>
      <c r="AG1423" s="14">
        <f t="shared" si="245"/>
        <v>4</v>
      </c>
      <c r="AH1423" s="14" t="str">
        <f t="shared" si="246"/>
        <v>秦琼魂火-15</v>
      </c>
      <c r="AI1423" s="14">
        <f t="shared" si="247"/>
        <v>15</v>
      </c>
      <c r="AJ1423" s="14" t="str">
        <f>INDEX(挂机升级突破!$BX$4:$CH$4,INDEX(挂机升级突破!$BU$6:$BU$57,卡牌消耗!AI1423))</f>
        <v>金币</v>
      </c>
      <c r="AK1423" s="14">
        <f>ROUND(INDEX(挂机升级突破!$BN$6:$BN$57,卡牌消耗!AI1423)*INDEX(卡牌消耗!$B$8:$F$8,AG1423)/$Q$4/50,0)*50</f>
        <v>3800</v>
      </c>
      <c r="AL1423" s="14" t="str">
        <f>IF(AD1423&gt;0,INDEX(挂机升级突破!$BX$4:$CH$4,AD1423),"")</f>
        <v>紫色基础材料</v>
      </c>
      <c r="AM1423" s="14">
        <f>ROUND(INDEX(挂机升级突破!$BX$6:$CH$57,卡牌消耗!AI1423,AD1423)*INDEX(卡牌消耗!$B$5:$F$5,AG1423)/$Q$4/5,0)*5</f>
        <v>200</v>
      </c>
      <c r="AN1423" s="14" t="str">
        <f>IF(AE1423&gt;0,INDEX(挂机升级突破!$BX$4:$CH$4,AE1423),"")</f>
        <v/>
      </c>
      <c r="AO1423" s="14" t="str">
        <f>IF(AE1423&gt;0,ROUND(INDEX(挂机升级突破!$BX$6:$CH$57,卡牌消耗!AI1423,AE1423)*INDEX(卡牌消耗!$B$7:$F$7,AG1423)/$Q$4,0),"")</f>
        <v/>
      </c>
    </row>
    <row r="1424" spans="27:41" ht="16.5" x14ac:dyDescent="0.2">
      <c r="AA1424" s="104">
        <v>1420</v>
      </c>
      <c r="AB1424" s="14">
        <f t="shared" si="243"/>
        <v>28</v>
      </c>
      <c r="AC1424" s="14">
        <f>INDEX(挂机升级突破!$BU$6:$BU$57,卡牌消耗!AI1424)</f>
        <v>11</v>
      </c>
      <c r="AD1424" s="14">
        <f>INDEX(挂机升级突破!BV$6:BV$57,卡牌消耗!$AI1424)</f>
        <v>3</v>
      </c>
      <c r="AE1424" s="14">
        <f>INDEX(挂机升级突破!BW$6:BW$57,卡牌消耗!$AI1424)</f>
        <v>0</v>
      </c>
      <c r="AF1424" s="14" t="str">
        <f t="shared" si="244"/>
        <v>秦琼</v>
      </c>
      <c r="AG1424" s="14">
        <f t="shared" si="245"/>
        <v>4</v>
      </c>
      <c r="AH1424" s="14" t="str">
        <f t="shared" si="246"/>
        <v>秦琼魂火-16</v>
      </c>
      <c r="AI1424" s="14">
        <f t="shared" si="247"/>
        <v>16</v>
      </c>
      <c r="AJ1424" s="14" t="str">
        <f>INDEX(挂机升级突破!$BX$4:$CH$4,INDEX(挂机升级突破!$BU$6:$BU$57,卡牌消耗!AI1424))</f>
        <v>金币</v>
      </c>
      <c r="AK1424" s="14">
        <f>ROUND(INDEX(挂机升级突破!$BN$6:$BN$57,卡牌消耗!AI1424)*INDEX(卡牌消耗!$B$8:$F$8,AG1424)/$Q$4/50,0)*50</f>
        <v>3800</v>
      </c>
      <c r="AL1424" s="14" t="str">
        <f>IF(AD1424&gt;0,INDEX(挂机升级突破!$BX$4:$CH$4,AD1424),"")</f>
        <v>紫色基础材料</v>
      </c>
      <c r="AM1424" s="14">
        <f>ROUND(INDEX(挂机升级突破!$BX$6:$CH$57,卡牌消耗!AI1424,AD1424)*INDEX(卡牌消耗!$B$5:$F$5,AG1424)/$Q$4/5,0)*5</f>
        <v>200</v>
      </c>
      <c r="AN1424" s="14" t="str">
        <f>IF(AE1424&gt;0,INDEX(挂机升级突破!$BX$4:$CH$4,AE1424),"")</f>
        <v/>
      </c>
      <c r="AO1424" s="14" t="str">
        <f>IF(AE1424&gt;0,ROUND(INDEX(挂机升级突破!$BX$6:$CH$57,卡牌消耗!AI1424,AE1424)*INDEX(卡牌消耗!$B$7:$F$7,AG1424)/$Q$4,0),"")</f>
        <v/>
      </c>
    </row>
    <row r="1425" spans="27:41" ht="16.5" x14ac:dyDescent="0.2">
      <c r="AA1425" s="104">
        <v>1421</v>
      </c>
      <c r="AB1425" s="14">
        <f t="shared" si="243"/>
        <v>28</v>
      </c>
      <c r="AC1425" s="14">
        <f>INDEX(挂机升级突破!$BU$6:$BU$57,卡牌消耗!AI1425)</f>
        <v>11</v>
      </c>
      <c r="AD1425" s="14">
        <f>INDEX(挂机升级突破!BV$6:BV$57,卡牌消耗!$AI1425)</f>
        <v>3</v>
      </c>
      <c r="AE1425" s="14">
        <f>INDEX(挂机升级突破!BW$6:BW$57,卡牌消耗!$AI1425)</f>
        <v>0</v>
      </c>
      <c r="AF1425" s="14" t="str">
        <f t="shared" si="244"/>
        <v>秦琼</v>
      </c>
      <c r="AG1425" s="14">
        <f t="shared" si="245"/>
        <v>4</v>
      </c>
      <c r="AH1425" s="14" t="str">
        <f t="shared" si="246"/>
        <v>秦琼魂火-17</v>
      </c>
      <c r="AI1425" s="14">
        <f t="shared" si="247"/>
        <v>17</v>
      </c>
      <c r="AJ1425" s="14" t="str">
        <f>INDEX(挂机升级突破!$BX$4:$CH$4,INDEX(挂机升级突破!$BU$6:$BU$57,卡牌消耗!AI1425))</f>
        <v>金币</v>
      </c>
      <c r="AK1425" s="14">
        <f>ROUND(INDEX(挂机升级突破!$BN$6:$BN$57,卡牌消耗!AI1425)*INDEX(卡牌消耗!$B$8:$F$8,AG1425)/$Q$4/50,0)*50</f>
        <v>4750</v>
      </c>
      <c r="AL1425" s="14" t="str">
        <f>IF(AD1425&gt;0,INDEX(挂机升级突破!$BX$4:$CH$4,AD1425),"")</f>
        <v>紫色基础材料</v>
      </c>
      <c r="AM1425" s="14">
        <f>ROUND(INDEX(挂机升级突破!$BX$6:$CH$57,卡牌消耗!AI1425,AD1425)*INDEX(卡牌消耗!$B$5:$F$5,AG1425)/$Q$4/5,0)*5</f>
        <v>405</v>
      </c>
      <c r="AN1425" s="14" t="str">
        <f>IF(AE1425&gt;0,INDEX(挂机升级突破!$BX$4:$CH$4,AE1425),"")</f>
        <v/>
      </c>
      <c r="AO1425" s="14" t="str">
        <f>IF(AE1425&gt;0,ROUND(INDEX(挂机升级突破!$BX$6:$CH$57,卡牌消耗!AI1425,AE1425)*INDEX(卡牌消耗!$B$7:$F$7,AG1425)/$Q$4,0),"")</f>
        <v/>
      </c>
    </row>
    <row r="1426" spans="27:41" ht="16.5" x14ac:dyDescent="0.2">
      <c r="AA1426" s="104">
        <v>1422</v>
      </c>
      <c r="AB1426" s="14">
        <f t="shared" si="243"/>
        <v>28</v>
      </c>
      <c r="AC1426" s="14">
        <f>INDEX(挂机升级突破!$BU$6:$BU$57,卡牌消耗!AI1426)</f>
        <v>11</v>
      </c>
      <c r="AD1426" s="14">
        <f>INDEX(挂机升级突破!BV$6:BV$57,卡牌消耗!$AI1426)</f>
        <v>3</v>
      </c>
      <c r="AE1426" s="14">
        <f>INDEX(挂机升级突破!BW$6:BW$57,卡牌消耗!$AI1426)</f>
        <v>0</v>
      </c>
      <c r="AF1426" s="14" t="str">
        <f t="shared" si="244"/>
        <v>秦琼</v>
      </c>
      <c r="AG1426" s="14">
        <f t="shared" si="245"/>
        <v>4</v>
      </c>
      <c r="AH1426" s="14" t="str">
        <f t="shared" si="246"/>
        <v>秦琼魂火-18</v>
      </c>
      <c r="AI1426" s="14">
        <f t="shared" si="247"/>
        <v>18</v>
      </c>
      <c r="AJ1426" s="14" t="str">
        <f>INDEX(挂机升级突破!$BX$4:$CH$4,INDEX(挂机升级突破!$BU$6:$BU$57,卡牌消耗!AI1426))</f>
        <v>金币</v>
      </c>
      <c r="AK1426" s="14">
        <f>ROUND(INDEX(挂机升级突破!$BN$6:$BN$57,卡牌消耗!AI1426)*INDEX(卡牌消耗!$B$8:$F$8,AG1426)/$Q$4/50,0)*50</f>
        <v>4750</v>
      </c>
      <c r="AL1426" s="14" t="str">
        <f>IF(AD1426&gt;0,INDEX(挂机升级突破!$BX$4:$CH$4,AD1426),"")</f>
        <v>紫色基础材料</v>
      </c>
      <c r="AM1426" s="14">
        <f>ROUND(INDEX(挂机升级突破!$BX$6:$CH$57,卡牌消耗!AI1426,AD1426)*INDEX(卡牌消耗!$B$5:$F$5,AG1426)/$Q$4/5,0)*5</f>
        <v>405</v>
      </c>
      <c r="AN1426" s="14" t="str">
        <f>IF(AE1426&gt;0,INDEX(挂机升级突破!$BX$4:$CH$4,AE1426),"")</f>
        <v/>
      </c>
      <c r="AO1426" s="14" t="str">
        <f>IF(AE1426&gt;0,ROUND(INDEX(挂机升级突破!$BX$6:$CH$57,卡牌消耗!AI1426,AE1426)*INDEX(卡牌消耗!$B$7:$F$7,AG1426)/$Q$4,0),"")</f>
        <v/>
      </c>
    </row>
    <row r="1427" spans="27:41" ht="16.5" x14ac:dyDescent="0.2">
      <c r="AA1427" s="104">
        <v>1423</v>
      </c>
      <c r="AB1427" s="14">
        <f t="shared" si="243"/>
        <v>28</v>
      </c>
      <c r="AC1427" s="14">
        <f>INDEX(挂机升级突破!$BU$6:$BU$57,卡牌消耗!AI1427)</f>
        <v>11</v>
      </c>
      <c r="AD1427" s="14">
        <f>INDEX(挂机升级突破!BV$6:BV$57,卡牌消耗!$AI1427)</f>
        <v>3</v>
      </c>
      <c r="AE1427" s="14">
        <f>INDEX(挂机升级突破!BW$6:BW$57,卡牌消耗!$AI1427)</f>
        <v>0</v>
      </c>
      <c r="AF1427" s="14" t="str">
        <f t="shared" si="244"/>
        <v>秦琼</v>
      </c>
      <c r="AG1427" s="14">
        <f t="shared" si="245"/>
        <v>4</v>
      </c>
      <c r="AH1427" s="14" t="str">
        <f t="shared" si="246"/>
        <v>秦琼魂火-19</v>
      </c>
      <c r="AI1427" s="14">
        <f t="shared" si="247"/>
        <v>19</v>
      </c>
      <c r="AJ1427" s="14" t="str">
        <f>INDEX(挂机升级突破!$BX$4:$CH$4,INDEX(挂机升级突破!$BU$6:$BU$57,卡牌消耗!AI1427))</f>
        <v>金币</v>
      </c>
      <c r="AK1427" s="14">
        <f>ROUND(INDEX(挂机升级突破!$BN$6:$BN$57,卡牌消耗!AI1427)*INDEX(卡牌消耗!$B$8:$F$8,AG1427)/$Q$4/50,0)*50</f>
        <v>4750</v>
      </c>
      <c r="AL1427" s="14" t="str">
        <f>IF(AD1427&gt;0,INDEX(挂机升级突破!$BX$4:$CH$4,AD1427),"")</f>
        <v>紫色基础材料</v>
      </c>
      <c r="AM1427" s="14">
        <f>ROUND(INDEX(挂机升级突破!$BX$6:$CH$57,卡牌消耗!AI1427,AD1427)*INDEX(卡牌消耗!$B$5:$F$5,AG1427)/$Q$4/5,0)*5</f>
        <v>405</v>
      </c>
      <c r="AN1427" s="14" t="str">
        <f>IF(AE1427&gt;0,INDEX(挂机升级突破!$BX$4:$CH$4,AE1427),"")</f>
        <v/>
      </c>
      <c r="AO1427" s="14" t="str">
        <f>IF(AE1427&gt;0,ROUND(INDEX(挂机升级突破!$BX$6:$CH$57,卡牌消耗!AI1427,AE1427)*INDEX(卡牌消耗!$B$7:$F$7,AG1427)/$Q$4,0),"")</f>
        <v/>
      </c>
    </row>
    <row r="1428" spans="27:41" ht="16.5" x14ac:dyDescent="0.2">
      <c r="AA1428" s="104">
        <v>1424</v>
      </c>
      <c r="AB1428" s="14">
        <f t="shared" si="243"/>
        <v>28</v>
      </c>
      <c r="AC1428" s="14">
        <f>INDEX(挂机升级突破!$BU$6:$BU$57,卡牌消耗!AI1428)</f>
        <v>11</v>
      </c>
      <c r="AD1428" s="14">
        <f>INDEX(挂机升级突破!BV$6:BV$57,卡牌消耗!$AI1428)</f>
        <v>3</v>
      </c>
      <c r="AE1428" s="14">
        <f>INDEX(挂机升级突破!BW$6:BW$57,卡牌消耗!$AI1428)</f>
        <v>0</v>
      </c>
      <c r="AF1428" s="14" t="str">
        <f t="shared" si="244"/>
        <v>秦琼</v>
      </c>
      <c r="AG1428" s="14">
        <f t="shared" si="245"/>
        <v>4</v>
      </c>
      <c r="AH1428" s="14" t="str">
        <f t="shared" si="246"/>
        <v>秦琼魂火-20</v>
      </c>
      <c r="AI1428" s="14">
        <f t="shared" si="247"/>
        <v>20</v>
      </c>
      <c r="AJ1428" s="14" t="str">
        <f>INDEX(挂机升级突破!$BX$4:$CH$4,INDEX(挂机升级突破!$BU$6:$BU$57,卡牌消耗!AI1428))</f>
        <v>金币</v>
      </c>
      <c r="AK1428" s="14">
        <f>ROUND(INDEX(挂机升级突破!$BN$6:$BN$57,卡牌消耗!AI1428)*INDEX(卡牌消耗!$B$8:$F$8,AG1428)/$Q$4/50,0)*50</f>
        <v>5850</v>
      </c>
      <c r="AL1428" s="14" t="str">
        <f>IF(AD1428&gt;0,INDEX(挂机升级突破!$BX$4:$CH$4,AD1428),"")</f>
        <v>紫色基础材料</v>
      </c>
      <c r="AM1428" s="14">
        <f>ROUND(INDEX(挂机升级突破!$BX$6:$CH$57,卡牌消耗!AI1428,AD1428)*INDEX(卡牌消耗!$B$5:$F$5,AG1428)/$Q$4/5,0)*5</f>
        <v>605</v>
      </c>
      <c r="AN1428" s="14" t="str">
        <f>IF(AE1428&gt;0,INDEX(挂机升级突破!$BX$4:$CH$4,AE1428),"")</f>
        <v/>
      </c>
      <c r="AO1428" s="14" t="str">
        <f>IF(AE1428&gt;0,ROUND(INDEX(挂机升级突破!$BX$6:$CH$57,卡牌消耗!AI1428,AE1428)*INDEX(卡牌消耗!$B$7:$F$7,AG1428)/$Q$4,0),"")</f>
        <v/>
      </c>
    </row>
    <row r="1429" spans="27:41" ht="16.5" x14ac:dyDescent="0.2">
      <c r="AA1429" s="104">
        <v>1425</v>
      </c>
      <c r="AB1429" s="14">
        <f t="shared" si="243"/>
        <v>28</v>
      </c>
      <c r="AC1429" s="14">
        <f>INDEX(挂机升级突破!$BU$6:$BU$57,卡牌消耗!AI1429)</f>
        <v>11</v>
      </c>
      <c r="AD1429" s="14">
        <f>INDEX(挂机升级突破!BV$6:BV$57,卡牌消耗!$AI1429)</f>
        <v>3</v>
      </c>
      <c r="AE1429" s="14">
        <f>INDEX(挂机升级突破!BW$6:BW$57,卡牌消耗!$AI1429)</f>
        <v>0</v>
      </c>
      <c r="AF1429" s="14" t="str">
        <f t="shared" si="244"/>
        <v>秦琼</v>
      </c>
      <c r="AG1429" s="14">
        <f t="shared" si="245"/>
        <v>4</v>
      </c>
      <c r="AH1429" s="14" t="str">
        <f t="shared" si="246"/>
        <v>秦琼魂火-21</v>
      </c>
      <c r="AI1429" s="14">
        <f t="shared" si="247"/>
        <v>21</v>
      </c>
      <c r="AJ1429" s="14" t="str">
        <f>INDEX(挂机升级突破!$BX$4:$CH$4,INDEX(挂机升级突破!$BU$6:$BU$57,卡牌消耗!AI1429))</f>
        <v>金币</v>
      </c>
      <c r="AK1429" s="14">
        <f>ROUND(INDEX(挂机升级突破!$BN$6:$BN$57,卡牌消耗!AI1429)*INDEX(卡牌消耗!$B$8:$F$8,AG1429)/$Q$4/50,0)*50</f>
        <v>5850</v>
      </c>
      <c r="AL1429" s="14" t="str">
        <f>IF(AD1429&gt;0,INDEX(挂机升级突破!$BX$4:$CH$4,AD1429),"")</f>
        <v>紫色基础材料</v>
      </c>
      <c r="AM1429" s="14">
        <f>ROUND(INDEX(挂机升级突破!$BX$6:$CH$57,卡牌消耗!AI1429,AD1429)*INDEX(卡牌消耗!$B$5:$F$5,AG1429)/$Q$4/5,0)*5</f>
        <v>605</v>
      </c>
      <c r="AN1429" s="14" t="str">
        <f>IF(AE1429&gt;0,INDEX(挂机升级突破!$BX$4:$CH$4,AE1429),"")</f>
        <v/>
      </c>
      <c r="AO1429" s="14" t="str">
        <f>IF(AE1429&gt;0,ROUND(INDEX(挂机升级突破!$BX$6:$CH$57,卡牌消耗!AI1429,AE1429)*INDEX(卡牌消耗!$B$7:$F$7,AG1429)/$Q$4,0),"")</f>
        <v/>
      </c>
    </row>
    <row r="1430" spans="27:41" ht="16.5" x14ac:dyDescent="0.2">
      <c r="AA1430" s="104">
        <v>1426</v>
      </c>
      <c r="AB1430" s="14">
        <f t="shared" si="243"/>
        <v>28</v>
      </c>
      <c r="AC1430" s="14">
        <f>INDEX(挂机升级突破!$BU$6:$BU$57,卡牌消耗!AI1430)</f>
        <v>11</v>
      </c>
      <c r="AD1430" s="14">
        <f>INDEX(挂机升级突破!BV$6:BV$57,卡牌消耗!$AI1430)</f>
        <v>3</v>
      </c>
      <c r="AE1430" s="14">
        <f>INDEX(挂机升级突破!BW$6:BW$57,卡牌消耗!$AI1430)</f>
        <v>0</v>
      </c>
      <c r="AF1430" s="14" t="str">
        <f t="shared" si="244"/>
        <v>秦琼</v>
      </c>
      <c r="AG1430" s="14">
        <f t="shared" si="245"/>
        <v>4</v>
      </c>
      <c r="AH1430" s="14" t="str">
        <f t="shared" si="246"/>
        <v>秦琼魂火-22</v>
      </c>
      <c r="AI1430" s="14">
        <f t="shared" si="247"/>
        <v>22</v>
      </c>
      <c r="AJ1430" s="14" t="str">
        <f>INDEX(挂机升级突破!$BX$4:$CH$4,INDEX(挂机升级突破!$BU$6:$BU$57,卡牌消耗!AI1430))</f>
        <v>金币</v>
      </c>
      <c r="AK1430" s="14">
        <f>ROUND(INDEX(挂机升级突破!$BN$6:$BN$57,卡牌消耗!AI1430)*INDEX(卡牌消耗!$B$8:$F$8,AG1430)/$Q$4/50,0)*50</f>
        <v>5850</v>
      </c>
      <c r="AL1430" s="14" t="str">
        <f>IF(AD1430&gt;0,INDEX(挂机升级突破!$BX$4:$CH$4,AD1430),"")</f>
        <v>紫色基础材料</v>
      </c>
      <c r="AM1430" s="14">
        <f>ROUND(INDEX(挂机升级突破!$BX$6:$CH$57,卡牌消耗!AI1430,AD1430)*INDEX(卡牌消耗!$B$5:$F$5,AG1430)/$Q$4/5,0)*5</f>
        <v>605</v>
      </c>
      <c r="AN1430" s="14" t="str">
        <f>IF(AE1430&gt;0,INDEX(挂机升级突破!$BX$4:$CH$4,AE1430),"")</f>
        <v/>
      </c>
      <c r="AO1430" s="14" t="str">
        <f>IF(AE1430&gt;0,ROUND(INDEX(挂机升级突破!$BX$6:$CH$57,卡牌消耗!AI1430,AE1430)*INDEX(卡牌消耗!$B$7:$F$7,AG1430)/$Q$4,0),"")</f>
        <v/>
      </c>
    </row>
    <row r="1431" spans="27:41" ht="16.5" x14ac:dyDescent="0.2">
      <c r="AA1431" s="104">
        <v>1427</v>
      </c>
      <c r="AB1431" s="14">
        <f t="shared" si="243"/>
        <v>28</v>
      </c>
      <c r="AC1431" s="14">
        <f>INDEX(挂机升级突破!$BU$6:$BU$57,卡牌消耗!AI1431)</f>
        <v>11</v>
      </c>
      <c r="AD1431" s="14">
        <f>INDEX(挂机升级突破!BV$6:BV$57,卡牌消耗!$AI1431)</f>
        <v>4</v>
      </c>
      <c r="AE1431" s="14">
        <f>INDEX(挂机升级突破!BW$6:BW$57,卡牌消耗!$AI1431)</f>
        <v>0</v>
      </c>
      <c r="AF1431" s="14" t="str">
        <f t="shared" si="244"/>
        <v>秦琼</v>
      </c>
      <c r="AG1431" s="14">
        <f t="shared" si="245"/>
        <v>4</v>
      </c>
      <c r="AH1431" s="14" t="str">
        <f t="shared" si="246"/>
        <v>秦琼魂火-23</v>
      </c>
      <c r="AI1431" s="14">
        <f t="shared" si="247"/>
        <v>23</v>
      </c>
      <c r="AJ1431" s="14" t="str">
        <f>INDEX(挂机升级突破!$BX$4:$CH$4,INDEX(挂机升级突破!$BU$6:$BU$57,卡牌消耗!AI1431))</f>
        <v>金币</v>
      </c>
      <c r="AK1431" s="14">
        <f>ROUND(INDEX(挂机升级突破!$BN$6:$BN$57,卡牌消耗!AI1431)*INDEX(卡牌消耗!$B$8:$F$8,AG1431)/$Q$4/50,0)*50</f>
        <v>8050</v>
      </c>
      <c r="AL1431" s="14" t="str">
        <f>IF(AD1431&gt;0,INDEX(挂机升级突破!$BX$4:$CH$4,AD1431),"")</f>
        <v>橙色基础材料</v>
      </c>
      <c r="AM1431" s="14">
        <f>ROUND(INDEX(挂机升级突破!$BX$6:$CH$57,卡牌消耗!AI1431,AD1431)*INDEX(卡牌消耗!$B$5:$F$5,AG1431)/$Q$4/5,0)*5</f>
        <v>85</v>
      </c>
      <c r="AN1431" s="14" t="str">
        <f>IF(AE1431&gt;0,INDEX(挂机升级突破!$BX$4:$CH$4,AE1431),"")</f>
        <v/>
      </c>
      <c r="AO1431" s="14" t="str">
        <f>IF(AE1431&gt;0,ROUND(INDEX(挂机升级突破!$BX$6:$CH$57,卡牌消耗!AI1431,AE1431)*INDEX(卡牌消耗!$B$7:$F$7,AG1431)/$Q$4,0),"")</f>
        <v/>
      </c>
    </row>
    <row r="1432" spans="27:41" ht="16.5" x14ac:dyDescent="0.2">
      <c r="AA1432" s="104">
        <v>1428</v>
      </c>
      <c r="AB1432" s="14">
        <f t="shared" si="243"/>
        <v>28</v>
      </c>
      <c r="AC1432" s="14">
        <f>INDEX(挂机升级突破!$BU$6:$BU$57,卡牌消耗!AI1432)</f>
        <v>11</v>
      </c>
      <c r="AD1432" s="14">
        <f>INDEX(挂机升级突破!BV$6:BV$57,卡牌消耗!$AI1432)</f>
        <v>4</v>
      </c>
      <c r="AE1432" s="14">
        <f>INDEX(挂机升级突破!BW$6:BW$57,卡牌消耗!$AI1432)</f>
        <v>0</v>
      </c>
      <c r="AF1432" s="14" t="str">
        <f t="shared" si="244"/>
        <v>秦琼</v>
      </c>
      <c r="AG1432" s="14">
        <f t="shared" si="245"/>
        <v>4</v>
      </c>
      <c r="AH1432" s="14" t="str">
        <f t="shared" si="246"/>
        <v>秦琼魂火-24</v>
      </c>
      <c r="AI1432" s="14">
        <f t="shared" si="247"/>
        <v>24</v>
      </c>
      <c r="AJ1432" s="14" t="str">
        <f>INDEX(挂机升级突破!$BX$4:$CH$4,INDEX(挂机升级突破!$BU$6:$BU$57,卡牌消耗!AI1432))</f>
        <v>金币</v>
      </c>
      <c r="AK1432" s="14">
        <f>ROUND(INDEX(挂机升级突破!$BN$6:$BN$57,卡牌消耗!AI1432)*INDEX(卡牌消耗!$B$8:$F$8,AG1432)/$Q$4/50,0)*50</f>
        <v>8050</v>
      </c>
      <c r="AL1432" s="14" t="str">
        <f>IF(AD1432&gt;0,INDEX(挂机升级突破!$BX$4:$CH$4,AD1432),"")</f>
        <v>橙色基础材料</v>
      </c>
      <c r="AM1432" s="14">
        <f>ROUND(INDEX(挂机升级突破!$BX$6:$CH$57,卡牌消耗!AI1432,AD1432)*INDEX(卡牌消耗!$B$5:$F$5,AG1432)/$Q$4/5,0)*5</f>
        <v>85</v>
      </c>
      <c r="AN1432" s="14" t="str">
        <f>IF(AE1432&gt;0,INDEX(挂机升级突破!$BX$4:$CH$4,AE1432),"")</f>
        <v/>
      </c>
      <c r="AO1432" s="14" t="str">
        <f>IF(AE1432&gt;0,ROUND(INDEX(挂机升级突破!$BX$6:$CH$57,卡牌消耗!AI1432,AE1432)*INDEX(卡牌消耗!$B$7:$F$7,AG1432)/$Q$4,0),"")</f>
        <v/>
      </c>
    </row>
    <row r="1433" spans="27:41" ht="16.5" x14ac:dyDescent="0.2">
      <c r="AA1433" s="104">
        <v>1429</v>
      </c>
      <c r="AB1433" s="14">
        <f t="shared" si="243"/>
        <v>28</v>
      </c>
      <c r="AC1433" s="14">
        <f>INDEX(挂机升级突破!$BU$6:$BU$57,卡牌消耗!AI1433)</f>
        <v>11</v>
      </c>
      <c r="AD1433" s="14">
        <f>INDEX(挂机升级突破!BV$6:BV$57,卡牌消耗!$AI1433)</f>
        <v>4</v>
      </c>
      <c r="AE1433" s="14">
        <f>INDEX(挂机升级突破!BW$6:BW$57,卡牌消耗!$AI1433)</f>
        <v>0</v>
      </c>
      <c r="AF1433" s="14" t="str">
        <f t="shared" si="244"/>
        <v>秦琼</v>
      </c>
      <c r="AG1433" s="14">
        <f t="shared" si="245"/>
        <v>4</v>
      </c>
      <c r="AH1433" s="14" t="str">
        <f t="shared" si="246"/>
        <v>秦琼魂火-25</v>
      </c>
      <c r="AI1433" s="14">
        <f t="shared" si="247"/>
        <v>25</v>
      </c>
      <c r="AJ1433" s="14" t="str">
        <f>INDEX(挂机升级突破!$BX$4:$CH$4,INDEX(挂机升级突破!$BU$6:$BU$57,卡牌消耗!AI1433))</f>
        <v>金币</v>
      </c>
      <c r="AK1433" s="14">
        <f>ROUND(INDEX(挂机升级突破!$BN$6:$BN$57,卡牌消耗!AI1433)*INDEX(卡牌消耗!$B$8:$F$8,AG1433)/$Q$4/50,0)*50</f>
        <v>8800</v>
      </c>
      <c r="AL1433" s="14" t="str">
        <f>IF(AD1433&gt;0,INDEX(挂机升级突破!$BX$4:$CH$4,AD1433),"")</f>
        <v>橙色基础材料</v>
      </c>
      <c r="AM1433" s="14">
        <f>ROUND(INDEX(挂机升级突破!$BX$6:$CH$57,卡牌消耗!AI1433,AD1433)*INDEX(卡牌消耗!$B$5:$F$5,AG1433)/$Q$4/5,0)*5</f>
        <v>85</v>
      </c>
      <c r="AN1433" s="14" t="str">
        <f>IF(AE1433&gt;0,INDEX(挂机升级突破!$BX$4:$CH$4,AE1433),"")</f>
        <v/>
      </c>
      <c r="AO1433" s="14" t="str">
        <f>IF(AE1433&gt;0,ROUND(INDEX(挂机升级突破!$BX$6:$CH$57,卡牌消耗!AI1433,AE1433)*INDEX(卡牌消耗!$B$7:$F$7,AG1433)/$Q$4,0),"")</f>
        <v/>
      </c>
    </row>
    <row r="1434" spans="27:41" ht="16.5" x14ac:dyDescent="0.2">
      <c r="AA1434" s="104">
        <v>1430</v>
      </c>
      <c r="AB1434" s="14">
        <f t="shared" si="243"/>
        <v>28</v>
      </c>
      <c r="AC1434" s="14">
        <f>INDEX(挂机升级突破!$BU$6:$BU$57,卡牌消耗!AI1434)</f>
        <v>11</v>
      </c>
      <c r="AD1434" s="14">
        <f>INDEX(挂机升级突破!BV$6:BV$57,卡牌消耗!$AI1434)</f>
        <v>4</v>
      </c>
      <c r="AE1434" s="14">
        <f>INDEX(挂机升级突破!BW$6:BW$57,卡牌消耗!$AI1434)</f>
        <v>0</v>
      </c>
      <c r="AF1434" s="14" t="str">
        <f t="shared" si="244"/>
        <v>秦琼</v>
      </c>
      <c r="AG1434" s="14">
        <f t="shared" si="245"/>
        <v>4</v>
      </c>
      <c r="AH1434" s="14" t="str">
        <f t="shared" si="246"/>
        <v>秦琼魂火-26</v>
      </c>
      <c r="AI1434" s="14">
        <f t="shared" si="247"/>
        <v>26</v>
      </c>
      <c r="AJ1434" s="14" t="str">
        <f>INDEX(挂机升级突破!$BX$4:$CH$4,INDEX(挂机升级突破!$BU$6:$BU$57,卡牌消耗!AI1434))</f>
        <v>金币</v>
      </c>
      <c r="AK1434" s="14">
        <f>ROUND(INDEX(挂机升级突破!$BN$6:$BN$57,卡牌消耗!AI1434)*INDEX(卡牌消耗!$B$8:$F$8,AG1434)/$Q$4/50,0)*50</f>
        <v>10250</v>
      </c>
      <c r="AL1434" s="14" t="str">
        <f>IF(AD1434&gt;0,INDEX(挂机升级突破!$BX$4:$CH$4,AD1434),"")</f>
        <v>橙色基础材料</v>
      </c>
      <c r="AM1434" s="14">
        <f>ROUND(INDEX(挂机升级突破!$BX$6:$CH$57,卡牌消耗!AI1434,AD1434)*INDEX(卡牌消耗!$B$5:$F$5,AG1434)/$Q$4/5,0)*5</f>
        <v>100</v>
      </c>
      <c r="AN1434" s="14" t="str">
        <f>IF(AE1434&gt;0,INDEX(挂机升级突破!$BX$4:$CH$4,AE1434),"")</f>
        <v/>
      </c>
      <c r="AO1434" s="14" t="str">
        <f>IF(AE1434&gt;0,ROUND(INDEX(挂机升级突破!$BX$6:$CH$57,卡牌消耗!AI1434,AE1434)*INDEX(卡牌消耗!$B$7:$F$7,AG1434)/$Q$4,0),"")</f>
        <v/>
      </c>
    </row>
    <row r="1435" spans="27:41" ht="16.5" x14ac:dyDescent="0.2">
      <c r="AA1435" s="104">
        <v>1431</v>
      </c>
      <c r="AB1435" s="14">
        <f t="shared" si="243"/>
        <v>28</v>
      </c>
      <c r="AC1435" s="14">
        <f>INDEX(挂机升级突破!$BU$6:$BU$57,卡牌消耗!AI1435)</f>
        <v>11</v>
      </c>
      <c r="AD1435" s="14">
        <f>INDEX(挂机升级突破!BV$6:BV$57,卡牌消耗!$AI1435)</f>
        <v>4</v>
      </c>
      <c r="AE1435" s="14">
        <f>INDEX(挂机升级突破!BW$6:BW$57,卡牌消耗!$AI1435)</f>
        <v>0</v>
      </c>
      <c r="AF1435" s="14" t="str">
        <f t="shared" si="244"/>
        <v>秦琼</v>
      </c>
      <c r="AG1435" s="14">
        <f t="shared" si="245"/>
        <v>4</v>
      </c>
      <c r="AH1435" s="14" t="str">
        <f t="shared" si="246"/>
        <v>秦琼魂火-27</v>
      </c>
      <c r="AI1435" s="14">
        <f t="shared" si="247"/>
        <v>27</v>
      </c>
      <c r="AJ1435" s="14" t="str">
        <f>INDEX(挂机升级突破!$BX$4:$CH$4,INDEX(挂机升级突破!$BU$6:$BU$57,卡牌消耗!AI1435))</f>
        <v>金币</v>
      </c>
      <c r="AK1435" s="14">
        <f>ROUND(INDEX(挂机升级突破!$BN$6:$BN$57,卡牌消耗!AI1435)*INDEX(卡牌消耗!$B$8:$F$8,AG1435)/$Q$4/50,0)*50</f>
        <v>10250</v>
      </c>
      <c r="AL1435" s="14" t="str">
        <f>IF(AD1435&gt;0,INDEX(挂机升级突破!$BX$4:$CH$4,AD1435),"")</f>
        <v>橙色基础材料</v>
      </c>
      <c r="AM1435" s="14">
        <f>ROUND(INDEX(挂机升级突破!$BX$6:$CH$57,卡牌消耗!AI1435,AD1435)*INDEX(卡牌消耗!$B$5:$F$5,AG1435)/$Q$4/5,0)*5</f>
        <v>100</v>
      </c>
      <c r="AN1435" s="14" t="str">
        <f>IF(AE1435&gt;0,INDEX(挂机升级突破!$BX$4:$CH$4,AE1435),"")</f>
        <v/>
      </c>
      <c r="AO1435" s="14" t="str">
        <f>IF(AE1435&gt;0,ROUND(INDEX(挂机升级突破!$BX$6:$CH$57,卡牌消耗!AI1435,AE1435)*INDEX(卡牌消耗!$B$7:$F$7,AG1435)/$Q$4,0),"")</f>
        <v/>
      </c>
    </row>
    <row r="1436" spans="27:41" ht="16.5" x14ac:dyDescent="0.2">
      <c r="AA1436" s="104">
        <v>1432</v>
      </c>
      <c r="AB1436" s="14">
        <f t="shared" si="243"/>
        <v>28</v>
      </c>
      <c r="AC1436" s="14">
        <f>INDEX(挂机升级突破!$BU$6:$BU$57,卡牌消耗!AI1436)</f>
        <v>11</v>
      </c>
      <c r="AD1436" s="14">
        <f>INDEX(挂机升级突破!BV$6:BV$57,卡牌消耗!$AI1436)</f>
        <v>4</v>
      </c>
      <c r="AE1436" s="14">
        <f>INDEX(挂机升级突破!BW$6:BW$57,卡牌消耗!$AI1436)</f>
        <v>0</v>
      </c>
      <c r="AF1436" s="14" t="str">
        <f t="shared" si="244"/>
        <v>秦琼</v>
      </c>
      <c r="AG1436" s="14">
        <f t="shared" si="245"/>
        <v>4</v>
      </c>
      <c r="AH1436" s="14" t="str">
        <f t="shared" si="246"/>
        <v>秦琼魂火-28</v>
      </c>
      <c r="AI1436" s="14">
        <f t="shared" si="247"/>
        <v>28</v>
      </c>
      <c r="AJ1436" s="14" t="str">
        <f>INDEX(挂机升级突破!$BX$4:$CH$4,INDEX(挂机升级突破!$BU$6:$BU$57,卡牌消耗!AI1436))</f>
        <v>金币</v>
      </c>
      <c r="AK1436" s="14">
        <f>ROUND(INDEX(挂机升级突破!$BN$6:$BN$57,卡牌消耗!AI1436)*INDEX(卡牌消耗!$B$8:$F$8,AG1436)/$Q$4/50,0)*50</f>
        <v>10250</v>
      </c>
      <c r="AL1436" s="14" t="str">
        <f>IF(AD1436&gt;0,INDEX(挂机升级突破!$BX$4:$CH$4,AD1436),"")</f>
        <v>橙色基础材料</v>
      </c>
      <c r="AM1436" s="14">
        <f>ROUND(INDEX(挂机升级突破!$BX$6:$CH$57,卡牌消耗!AI1436,AD1436)*INDEX(卡牌消耗!$B$5:$F$5,AG1436)/$Q$4/5,0)*5</f>
        <v>100</v>
      </c>
      <c r="AN1436" s="14" t="str">
        <f>IF(AE1436&gt;0,INDEX(挂机升级突破!$BX$4:$CH$4,AE1436),"")</f>
        <v/>
      </c>
      <c r="AO1436" s="14" t="str">
        <f>IF(AE1436&gt;0,ROUND(INDEX(挂机升级突破!$BX$6:$CH$57,卡牌消耗!AI1436,AE1436)*INDEX(卡牌消耗!$B$7:$F$7,AG1436)/$Q$4,0),"")</f>
        <v/>
      </c>
    </row>
    <row r="1437" spans="27:41" ht="16.5" x14ac:dyDescent="0.2">
      <c r="AA1437" s="104">
        <v>1433</v>
      </c>
      <c r="AB1437" s="14">
        <f t="shared" si="243"/>
        <v>28</v>
      </c>
      <c r="AC1437" s="14">
        <f>INDEX(挂机升级突破!$BU$6:$BU$57,卡牌消耗!AI1437)</f>
        <v>11</v>
      </c>
      <c r="AD1437" s="14">
        <f>INDEX(挂机升级突破!BV$6:BV$57,卡牌消耗!$AI1437)</f>
        <v>4</v>
      </c>
      <c r="AE1437" s="14">
        <f>INDEX(挂机升级突破!BW$6:BW$57,卡牌消耗!$AI1437)</f>
        <v>0</v>
      </c>
      <c r="AF1437" s="14" t="str">
        <f t="shared" si="244"/>
        <v>秦琼</v>
      </c>
      <c r="AG1437" s="14">
        <f t="shared" si="245"/>
        <v>4</v>
      </c>
      <c r="AH1437" s="14" t="str">
        <f t="shared" si="246"/>
        <v>秦琼魂火-29</v>
      </c>
      <c r="AI1437" s="14">
        <f t="shared" si="247"/>
        <v>29</v>
      </c>
      <c r="AJ1437" s="14" t="str">
        <f>INDEX(挂机升级突破!$BX$4:$CH$4,INDEX(挂机升级突破!$BU$6:$BU$57,卡牌消耗!AI1437))</f>
        <v>金币</v>
      </c>
      <c r="AK1437" s="14">
        <f>ROUND(INDEX(挂机升级突破!$BN$6:$BN$57,卡牌消耗!AI1437)*INDEX(卡牌消耗!$B$8:$F$8,AG1437)/$Q$4/50,0)*50</f>
        <v>10350</v>
      </c>
      <c r="AL1437" s="14" t="str">
        <f>IF(AD1437&gt;0,INDEX(挂机升级突破!$BX$4:$CH$4,AD1437),"")</f>
        <v>橙色基础材料</v>
      </c>
      <c r="AM1437" s="14">
        <f>ROUND(INDEX(挂机升级突破!$BX$6:$CH$57,卡牌消耗!AI1437,AD1437)*INDEX(卡牌消耗!$B$5:$F$5,AG1437)/$Q$4/5,0)*5</f>
        <v>115</v>
      </c>
      <c r="AN1437" s="14" t="str">
        <f>IF(AE1437&gt;0,INDEX(挂机升级突破!$BX$4:$CH$4,AE1437),"")</f>
        <v/>
      </c>
      <c r="AO1437" s="14" t="str">
        <f>IF(AE1437&gt;0,ROUND(INDEX(挂机升级突破!$BX$6:$CH$57,卡牌消耗!AI1437,AE1437)*INDEX(卡牌消耗!$B$7:$F$7,AG1437)/$Q$4,0),"")</f>
        <v/>
      </c>
    </row>
    <row r="1438" spans="27:41" ht="16.5" x14ac:dyDescent="0.2">
      <c r="AA1438" s="104">
        <v>1434</v>
      </c>
      <c r="AB1438" s="14">
        <f t="shared" si="243"/>
        <v>28</v>
      </c>
      <c r="AC1438" s="14">
        <f>INDEX(挂机升级突破!$BU$6:$BU$57,卡牌消耗!AI1438)</f>
        <v>11</v>
      </c>
      <c r="AD1438" s="14">
        <f>INDEX(挂机升级突破!BV$6:BV$57,卡牌消耗!$AI1438)</f>
        <v>4</v>
      </c>
      <c r="AE1438" s="14">
        <f>INDEX(挂机升级突破!BW$6:BW$57,卡牌消耗!$AI1438)</f>
        <v>0</v>
      </c>
      <c r="AF1438" s="14" t="str">
        <f t="shared" si="244"/>
        <v>秦琼</v>
      </c>
      <c r="AG1438" s="14">
        <f t="shared" si="245"/>
        <v>4</v>
      </c>
      <c r="AH1438" s="14" t="str">
        <f t="shared" si="246"/>
        <v>秦琼魂火-30</v>
      </c>
      <c r="AI1438" s="14">
        <f t="shared" si="247"/>
        <v>30</v>
      </c>
      <c r="AJ1438" s="14" t="str">
        <f>INDEX(挂机升级突破!$BX$4:$CH$4,INDEX(挂机升级突破!$BU$6:$BU$57,卡牌消耗!AI1438))</f>
        <v>金币</v>
      </c>
      <c r="AK1438" s="14">
        <f>ROUND(INDEX(挂机升级突破!$BN$6:$BN$57,卡牌消耗!AI1438)*INDEX(卡牌消耗!$B$8:$F$8,AG1438)/$Q$4/50,0)*50</f>
        <v>10350</v>
      </c>
      <c r="AL1438" s="14" t="str">
        <f>IF(AD1438&gt;0,INDEX(挂机升级突破!$BX$4:$CH$4,AD1438),"")</f>
        <v>橙色基础材料</v>
      </c>
      <c r="AM1438" s="14">
        <f>ROUND(INDEX(挂机升级突破!$BX$6:$CH$57,卡牌消耗!AI1438,AD1438)*INDEX(卡牌消耗!$B$5:$F$5,AG1438)/$Q$4/5,0)*5</f>
        <v>115</v>
      </c>
      <c r="AN1438" s="14" t="str">
        <f>IF(AE1438&gt;0,INDEX(挂机升级突破!$BX$4:$CH$4,AE1438),"")</f>
        <v/>
      </c>
      <c r="AO1438" s="14" t="str">
        <f>IF(AE1438&gt;0,ROUND(INDEX(挂机升级突破!$BX$6:$CH$57,卡牌消耗!AI1438,AE1438)*INDEX(卡牌消耗!$B$7:$F$7,AG1438)/$Q$4,0),"")</f>
        <v/>
      </c>
    </row>
    <row r="1439" spans="27:41" ht="16.5" x14ac:dyDescent="0.2">
      <c r="AA1439" s="104">
        <v>1435</v>
      </c>
      <c r="AB1439" s="14">
        <f t="shared" si="243"/>
        <v>28</v>
      </c>
      <c r="AC1439" s="14">
        <f>INDEX(挂机升级突破!$BU$6:$BU$57,卡牌消耗!AI1439)</f>
        <v>11</v>
      </c>
      <c r="AD1439" s="14">
        <f>INDEX(挂机升级突破!BV$6:BV$57,卡牌消耗!$AI1439)</f>
        <v>4</v>
      </c>
      <c r="AE1439" s="14">
        <f>INDEX(挂机升级突破!BW$6:BW$57,卡牌消耗!$AI1439)</f>
        <v>0</v>
      </c>
      <c r="AF1439" s="14" t="str">
        <f t="shared" si="244"/>
        <v>秦琼</v>
      </c>
      <c r="AG1439" s="14">
        <f t="shared" si="245"/>
        <v>4</v>
      </c>
      <c r="AH1439" s="14" t="str">
        <f t="shared" si="246"/>
        <v>秦琼魂火-31</v>
      </c>
      <c r="AI1439" s="14">
        <f t="shared" si="247"/>
        <v>31</v>
      </c>
      <c r="AJ1439" s="14" t="str">
        <f>INDEX(挂机升级突破!$BX$4:$CH$4,INDEX(挂机升级突破!$BU$6:$BU$57,卡牌消耗!AI1439))</f>
        <v>金币</v>
      </c>
      <c r="AK1439" s="14">
        <f>ROUND(INDEX(挂机升级突破!$BN$6:$BN$57,卡牌消耗!AI1439)*INDEX(卡牌消耗!$B$8:$F$8,AG1439)/$Q$4/50,0)*50</f>
        <v>10350</v>
      </c>
      <c r="AL1439" s="14" t="str">
        <f>IF(AD1439&gt;0,INDEX(挂机升级突破!$BX$4:$CH$4,AD1439),"")</f>
        <v>橙色基础材料</v>
      </c>
      <c r="AM1439" s="14">
        <f>ROUND(INDEX(挂机升级突破!$BX$6:$CH$57,卡牌消耗!AI1439,AD1439)*INDEX(卡牌消耗!$B$5:$F$5,AG1439)/$Q$4/5,0)*5</f>
        <v>115</v>
      </c>
      <c r="AN1439" s="14" t="str">
        <f>IF(AE1439&gt;0,INDEX(挂机升级突破!$BX$4:$CH$4,AE1439),"")</f>
        <v/>
      </c>
      <c r="AO1439" s="14" t="str">
        <f>IF(AE1439&gt;0,ROUND(INDEX(挂机升级突破!$BX$6:$CH$57,卡牌消耗!AI1439,AE1439)*INDEX(卡牌消耗!$B$7:$F$7,AG1439)/$Q$4,0),"")</f>
        <v/>
      </c>
    </row>
    <row r="1440" spans="27:41" ht="16.5" x14ac:dyDescent="0.2">
      <c r="AA1440" s="104">
        <v>1436</v>
      </c>
      <c r="AB1440" s="14">
        <f t="shared" si="243"/>
        <v>28</v>
      </c>
      <c r="AC1440" s="14">
        <f>INDEX(挂机升级突破!$BU$6:$BU$57,卡牌消耗!AI1440)</f>
        <v>11</v>
      </c>
      <c r="AD1440" s="14">
        <f>INDEX(挂机升级突破!BV$6:BV$57,卡牌消耗!$AI1440)</f>
        <v>4</v>
      </c>
      <c r="AE1440" s="14">
        <f>INDEX(挂机升级突破!BW$6:BW$57,卡牌消耗!$AI1440)</f>
        <v>0</v>
      </c>
      <c r="AF1440" s="14" t="str">
        <f t="shared" si="244"/>
        <v>秦琼</v>
      </c>
      <c r="AG1440" s="14">
        <f t="shared" si="245"/>
        <v>4</v>
      </c>
      <c r="AH1440" s="14" t="str">
        <f t="shared" si="246"/>
        <v>秦琼魂火-32</v>
      </c>
      <c r="AI1440" s="14">
        <f t="shared" si="247"/>
        <v>32</v>
      </c>
      <c r="AJ1440" s="14" t="str">
        <f>INDEX(挂机升级突破!$BX$4:$CH$4,INDEX(挂机升级突破!$BU$6:$BU$57,卡牌消耗!AI1440))</f>
        <v>金币</v>
      </c>
      <c r="AK1440" s="14">
        <f>ROUND(INDEX(挂机升级突破!$BN$6:$BN$57,卡牌消耗!AI1440)*INDEX(卡牌消耗!$B$8:$F$8,AG1440)/$Q$4/50,0)*50</f>
        <v>14250</v>
      </c>
      <c r="AL1440" s="14" t="str">
        <f>IF(AD1440&gt;0,INDEX(挂机升级突破!$BX$4:$CH$4,AD1440),"")</f>
        <v>橙色基础材料</v>
      </c>
      <c r="AM1440" s="14">
        <f>ROUND(INDEX(挂机升级突破!$BX$6:$CH$57,卡牌消耗!AI1440,AD1440)*INDEX(卡牌消耗!$B$5:$F$5,AG1440)/$Q$4/5,0)*5</f>
        <v>115</v>
      </c>
      <c r="AN1440" s="14" t="str">
        <f>IF(AE1440&gt;0,INDEX(挂机升级突破!$BX$4:$CH$4,AE1440),"")</f>
        <v/>
      </c>
      <c r="AO1440" s="14" t="str">
        <f>IF(AE1440&gt;0,ROUND(INDEX(挂机升级突破!$BX$6:$CH$57,卡牌消耗!AI1440,AE1440)*INDEX(卡牌消耗!$B$7:$F$7,AG1440)/$Q$4,0),"")</f>
        <v/>
      </c>
    </row>
    <row r="1441" spans="27:41" ht="16.5" x14ac:dyDescent="0.2">
      <c r="AA1441" s="104">
        <v>1437</v>
      </c>
      <c r="AB1441" s="14">
        <f t="shared" si="243"/>
        <v>28</v>
      </c>
      <c r="AC1441" s="14">
        <f>INDEX(挂机升级突破!$BU$6:$BU$57,卡牌消耗!AI1441)</f>
        <v>11</v>
      </c>
      <c r="AD1441" s="14">
        <f>INDEX(挂机升级突破!BV$6:BV$57,卡牌消耗!$AI1441)</f>
        <v>4</v>
      </c>
      <c r="AE1441" s="14">
        <f>INDEX(挂机升级突破!BW$6:BW$57,卡牌消耗!$AI1441)</f>
        <v>0</v>
      </c>
      <c r="AF1441" s="14" t="str">
        <f t="shared" si="244"/>
        <v>秦琼</v>
      </c>
      <c r="AG1441" s="14">
        <f t="shared" si="245"/>
        <v>4</v>
      </c>
      <c r="AH1441" s="14" t="str">
        <f t="shared" si="246"/>
        <v>秦琼魂火-33</v>
      </c>
      <c r="AI1441" s="14">
        <f t="shared" si="247"/>
        <v>33</v>
      </c>
      <c r="AJ1441" s="14" t="str">
        <f>INDEX(挂机升级突破!$BX$4:$CH$4,INDEX(挂机升级突破!$BU$6:$BU$57,卡牌消耗!AI1441))</f>
        <v>金币</v>
      </c>
      <c r="AK1441" s="14">
        <f>ROUND(INDEX(挂机升级突破!$BN$6:$BN$57,卡牌消耗!AI1441)*INDEX(卡牌消耗!$B$8:$F$8,AG1441)/$Q$4/50,0)*50</f>
        <v>14250</v>
      </c>
      <c r="AL1441" s="14" t="str">
        <f>IF(AD1441&gt;0,INDEX(挂机升级突破!$BX$4:$CH$4,AD1441),"")</f>
        <v>橙色基础材料</v>
      </c>
      <c r="AM1441" s="14">
        <f>ROUND(INDEX(挂机升级突破!$BX$6:$CH$57,卡牌消耗!AI1441,AD1441)*INDEX(卡牌消耗!$B$5:$F$5,AG1441)/$Q$4/5,0)*5</f>
        <v>115</v>
      </c>
      <c r="AN1441" s="14" t="str">
        <f>IF(AE1441&gt;0,INDEX(挂机升级突破!$BX$4:$CH$4,AE1441),"")</f>
        <v/>
      </c>
      <c r="AO1441" s="14" t="str">
        <f>IF(AE1441&gt;0,ROUND(INDEX(挂机升级突破!$BX$6:$CH$57,卡牌消耗!AI1441,AE1441)*INDEX(卡牌消耗!$B$7:$F$7,AG1441)/$Q$4,0),"")</f>
        <v/>
      </c>
    </row>
    <row r="1442" spans="27:41" ht="16.5" x14ac:dyDescent="0.2">
      <c r="AA1442" s="104">
        <v>1438</v>
      </c>
      <c r="AB1442" s="14">
        <f t="shared" si="243"/>
        <v>28</v>
      </c>
      <c r="AC1442" s="14">
        <f>INDEX(挂机升级突破!$BU$6:$BU$57,卡牌消耗!AI1442)</f>
        <v>11</v>
      </c>
      <c r="AD1442" s="14">
        <f>INDEX(挂机升级突破!BV$6:BV$57,卡牌消耗!$AI1442)</f>
        <v>4</v>
      </c>
      <c r="AE1442" s="14">
        <f>INDEX(挂机升级突破!BW$6:BW$57,卡牌消耗!$AI1442)</f>
        <v>0</v>
      </c>
      <c r="AF1442" s="14" t="str">
        <f t="shared" si="244"/>
        <v>秦琼</v>
      </c>
      <c r="AG1442" s="14">
        <f t="shared" si="245"/>
        <v>4</v>
      </c>
      <c r="AH1442" s="14" t="str">
        <f t="shared" si="246"/>
        <v>秦琼魂火-34</v>
      </c>
      <c r="AI1442" s="14">
        <f t="shared" si="247"/>
        <v>34</v>
      </c>
      <c r="AJ1442" s="14" t="str">
        <f>INDEX(挂机升级突破!$BX$4:$CH$4,INDEX(挂机升级突破!$BU$6:$BU$57,卡牌消耗!AI1442))</f>
        <v>金币</v>
      </c>
      <c r="AK1442" s="14">
        <f>ROUND(INDEX(挂机升级突破!$BN$6:$BN$57,卡牌消耗!AI1442)*INDEX(卡牌消耗!$B$8:$F$8,AG1442)/$Q$4/50,0)*50</f>
        <v>14250</v>
      </c>
      <c r="AL1442" s="14" t="str">
        <f>IF(AD1442&gt;0,INDEX(挂机升级突破!$BX$4:$CH$4,AD1442),"")</f>
        <v>橙色基础材料</v>
      </c>
      <c r="AM1442" s="14">
        <f>ROUND(INDEX(挂机升级突破!$BX$6:$CH$57,卡牌消耗!AI1442,AD1442)*INDEX(卡牌消耗!$B$5:$F$5,AG1442)/$Q$4/5,0)*5</f>
        <v>135</v>
      </c>
      <c r="AN1442" s="14" t="str">
        <f>IF(AE1442&gt;0,INDEX(挂机升级突破!$BX$4:$CH$4,AE1442),"")</f>
        <v/>
      </c>
      <c r="AO1442" s="14" t="str">
        <f>IF(AE1442&gt;0,ROUND(INDEX(挂机升级突破!$BX$6:$CH$57,卡牌消耗!AI1442,AE1442)*INDEX(卡牌消耗!$B$7:$F$7,AG1442)/$Q$4,0),"")</f>
        <v/>
      </c>
    </row>
    <row r="1443" spans="27:41" ht="16.5" x14ac:dyDescent="0.2">
      <c r="AA1443" s="104">
        <v>1439</v>
      </c>
      <c r="AB1443" s="14">
        <f t="shared" si="243"/>
        <v>28</v>
      </c>
      <c r="AC1443" s="14">
        <f>INDEX(挂机升级突破!$BU$6:$BU$57,卡牌消耗!AI1443)</f>
        <v>11</v>
      </c>
      <c r="AD1443" s="14">
        <f>INDEX(挂机升级突破!BV$6:BV$57,卡牌消耗!$AI1443)</f>
        <v>4</v>
      </c>
      <c r="AE1443" s="14">
        <f>INDEX(挂机升级突破!BW$6:BW$57,卡牌消耗!$AI1443)</f>
        <v>0</v>
      </c>
      <c r="AF1443" s="14" t="str">
        <f t="shared" si="244"/>
        <v>秦琼</v>
      </c>
      <c r="AG1443" s="14">
        <f t="shared" si="245"/>
        <v>4</v>
      </c>
      <c r="AH1443" s="14" t="str">
        <f t="shared" si="246"/>
        <v>秦琼魂火-35</v>
      </c>
      <c r="AI1443" s="14">
        <f t="shared" si="247"/>
        <v>35</v>
      </c>
      <c r="AJ1443" s="14" t="str">
        <f>INDEX(挂机升级突破!$BX$4:$CH$4,INDEX(挂机升级突破!$BU$6:$BU$57,卡牌消耗!AI1443))</f>
        <v>金币</v>
      </c>
      <c r="AK1443" s="14">
        <f>ROUND(INDEX(挂机升级突破!$BN$6:$BN$57,卡牌消耗!AI1443)*INDEX(卡牌消耗!$B$8:$F$8,AG1443)/$Q$4/50,0)*50</f>
        <v>18150</v>
      </c>
      <c r="AL1443" s="14" t="str">
        <f>IF(AD1443&gt;0,INDEX(挂机升级突破!$BX$4:$CH$4,AD1443),"")</f>
        <v>橙色基础材料</v>
      </c>
      <c r="AM1443" s="14">
        <f>ROUND(INDEX(挂机升级突破!$BX$6:$CH$57,卡牌消耗!AI1443,AD1443)*INDEX(卡牌消耗!$B$5:$F$5,AG1443)/$Q$4/5,0)*5</f>
        <v>135</v>
      </c>
      <c r="AN1443" s="14" t="str">
        <f>IF(AE1443&gt;0,INDEX(挂机升级突破!$BX$4:$CH$4,AE1443),"")</f>
        <v/>
      </c>
      <c r="AO1443" s="14" t="str">
        <f>IF(AE1443&gt;0,ROUND(INDEX(挂机升级突破!$BX$6:$CH$57,卡牌消耗!AI1443,AE1443)*INDEX(卡牌消耗!$B$7:$F$7,AG1443)/$Q$4,0),"")</f>
        <v/>
      </c>
    </row>
    <row r="1444" spans="27:41" ht="16.5" x14ac:dyDescent="0.2">
      <c r="AA1444" s="104">
        <v>1440</v>
      </c>
      <c r="AB1444" s="14">
        <f t="shared" si="243"/>
        <v>28</v>
      </c>
      <c r="AC1444" s="14">
        <f>INDEX(挂机升级突破!$BU$6:$BU$57,卡牌消耗!AI1444)</f>
        <v>11</v>
      </c>
      <c r="AD1444" s="14">
        <f>INDEX(挂机升级突破!BV$6:BV$57,卡牌消耗!$AI1444)</f>
        <v>4</v>
      </c>
      <c r="AE1444" s="14">
        <f>INDEX(挂机升级突破!BW$6:BW$57,卡牌消耗!$AI1444)</f>
        <v>0</v>
      </c>
      <c r="AF1444" s="14" t="str">
        <f t="shared" si="244"/>
        <v>秦琼</v>
      </c>
      <c r="AG1444" s="14">
        <f t="shared" si="245"/>
        <v>4</v>
      </c>
      <c r="AH1444" s="14" t="str">
        <f t="shared" si="246"/>
        <v>秦琼魂火-36</v>
      </c>
      <c r="AI1444" s="14">
        <f t="shared" si="247"/>
        <v>36</v>
      </c>
      <c r="AJ1444" s="14" t="str">
        <f>INDEX(挂机升级突破!$BX$4:$CH$4,INDEX(挂机升级突破!$BU$6:$BU$57,卡牌消耗!AI1444))</f>
        <v>金币</v>
      </c>
      <c r="AK1444" s="14">
        <f>ROUND(INDEX(挂机升级突破!$BN$6:$BN$57,卡牌消耗!AI1444)*INDEX(卡牌消耗!$B$8:$F$8,AG1444)/$Q$4/50,0)*50</f>
        <v>18150</v>
      </c>
      <c r="AL1444" s="14" t="str">
        <f>IF(AD1444&gt;0,INDEX(挂机升级突破!$BX$4:$CH$4,AD1444),"")</f>
        <v>橙色基础材料</v>
      </c>
      <c r="AM1444" s="14">
        <f>ROUND(INDEX(挂机升级突破!$BX$6:$CH$57,卡牌消耗!AI1444,AD1444)*INDEX(卡牌消耗!$B$5:$F$5,AG1444)/$Q$4/5,0)*5</f>
        <v>135</v>
      </c>
      <c r="AN1444" s="14" t="str">
        <f>IF(AE1444&gt;0,INDEX(挂机升级突破!$BX$4:$CH$4,AE1444),"")</f>
        <v/>
      </c>
      <c r="AO1444" s="14" t="str">
        <f>IF(AE1444&gt;0,ROUND(INDEX(挂机升级突破!$BX$6:$CH$57,卡牌消耗!AI1444,AE1444)*INDEX(卡牌消耗!$B$7:$F$7,AG1444)/$Q$4,0),"")</f>
        <v/>
      </c>
    </row>
    <row r="1445" spans="27:41" ht="16.5" x14ac:dyDescent="0.2">
      <c r="AA1445" s="104">
        <v>1441</v>
      </c>
      <c r="AB1445" s="14">
        <f t="shared" si="243"/>
        <v>28</v>
      </c>
      <c r="AC1445" s="14">
        <f>INDEX(挂机升级突破!$BU$6:$BU$57,卡牌消耗!AI1445)</f>
        <v>11</v>
      </c>
      <c r="AD1445" s="14">
        <f>INDEX(挂机升级突破!BV$6:BV$57,卡牌消耗!$AI1445)</f>
        <v>4</v>
      </c>
      <c r="AE1445" s="14">
        <f>INDEX(挂机升级突破!BW$6:BW$57,卡牌消耗!$AI1445)</f>
        <v>0</v>
      </c>
      <c r="AF1445" s="14" t="str">
        <f t="shared" si="244"/>
        <v>秦琼</v>
      </c>
      <c r="AG1445" s="14">
        <f t="shared" si="245"/>
        <v>4</v>
      </c>
      <c r="AH1445" s="14" t="str">
        <f t="shared" si="246"/>
        <v>秦琼魂火-37</v>
      </c>
      <c r="AI1445" s="14">
        <f t="shared" si="247"/>
        <v>37</v>
      </c>
      <c r="AJ1445" s="14" t="str">
        <f>INDEX(挂机升级突破!$BX$4:$CH$4,INDEX(挂机升级突破!$BU$6:$BU$57,卡牌消耗!AI1445))</f>
        <v>金币</v>
      </c>
      <c r="AK1445" s="14">
        <f>ROUND(INDEX(挂机升级突破!$BN$6:$BN$57,卡牌消耗!AI1445)*INDEX(卡牌消耗!$B$8:$F$8,AG1445)/$Q$4/50,0)*50</f>
        <v>19450</v>
      </c>
      <c r="AL1445" s="14" t="str">
        <f>IF(AD1445&gt;0,INDEX(挂机升级突破!$BX$4:$CH$4,AD1445),"")</f>
        <v>橙色基础材料</v>
      </c>
      <c r="AM1445" s="14">
        <f>ROUND(INDEX(挂机升级突破!$BX$6:$CH$57,卡牌消耗!AI1445,AD1445)*INDEX(卡牌消耗!$B$5:$F$5,AG1445)/$Q$4/5,0)*5</f>
        <v>135</v>
      </c>
      <c r="AN1445" s="14" t="str">
        <f>IF(AE1445&gt;0,INDEX(挂机升级突破!$BX$4:$CH$4,AE1445),"")</f>
        <v/>
      </c>
      <c r="AO1445" s="14" t="str">
        <f>IF(AE1445&gt;0,ROUND(INDEX(挂机升级突破!$BX$6:$CH$57,卡牌消耗!AI1445,AE1445)*INDEX(卡牌消耗!$B$7:$F$7,AG1445)/$Q$4,0),"")</f>
        <v/>
      </c>
    </row>
    <row r="1446" spans="27:41" ht="16.5" x14ac:dyDescent="0.2">
      <c r="AA1446" s="104">
        <v>1442</v>
      </c>
      <c r="AB1446" s="14">
        <f t="shared" si="243"/>
        <v>28</v>
      </c>
      <c r="AC1446" s="14">
        <f>INDEX(挂机升级突破!$BU$6:$BU$57,卡牌消耗!AI1446)</f>
        <v>11</v>
      </c>
      <c r="AD1446" s="14">
        <f>INDEX(挂机升级突破!BV$6:BV$57,卡牌消耗!$AI1446)</f>
        <v>5</v>
      </c>
      <c r="AE1446" s="14">
        <f>INDEX(挂机升级突破!BW$6:BW$57,卡牌消耗!$AI1446)</f>
        <v>0</v>
      </c>
      <c r="AF1446" s="14" t="str">
        <f t="shared" si="244"/>
        <v>秦琼</v>
      </c>
      <c r="AG1446" s="14">
        <f t="shared" si="245"/>
        <v>4</v>
      </c>
      <c r="AH1446" s="14" t="str">
        <f t="shared" si="246"/>
        <v>秦琼魂火-38</v>
      </c>
      <c r="AI1446" s="14">
        <f t="shared" si="247"/>
        <v>38</v>
      </c>
      <c r="AJ1446" s="14" t="str">
        <f>INDEX(挂机升级突破!$BX$4:$CH$4,INDEX(挂机升级突破!$BU$6:$BU$57,卡牌消耗!AI1446))</f>
        <v>金币</v>
      </c>
      <c r="AK1446" s="14">
        <f>ROUND(INDEX(挂机升级突破!$BN$6:$BN$57,卡牌消耗!AI1446)*INDEX(卡牌消耗!$B$8:$F$8,AG1446)/$Q$4/50,0)*50</f>
        <v>25050</v>
      </c>
      <c r="AL1446" s="14" t="str">
        <f>IF(AD1446&gt;0,INDEX(挂机升级突破!$BX$4:$CH$4,AD1446),"")</f>
        <v>红色基础材料</v>
      </c>
      <c r="AM1446" s="14">
        <f>ROUND(INDEX(挂机升级突破!$BX$6:$CH$57,卡牌消耗!AI1446,AD1446)*INDEX(卡牌消耗!$B$5:$F$5,AG1446)/$Q$4/5,0)*5</f>
        <v>55</v>
      </c>
      <c r="AN1446" s="14" t="str">
        <f>IF(AE1446&gt;0,INDEX(挂机升级突破!$BX$4:$CH$4,AE1446),"")</f>
        <v/>
      </c>
      <c r="AO1446" s="14" t="str">
        <f>IF(AE1446&gt;0,ROUND(INDEX(挂机升级突破!$BX$6:$CH$57,卡牌消耗!AI1446,AE1446)*INDEX(卡牌消耗!$B$7:$F$7,AG1446)/$Q$4,0),"")</f>
        <v/>
      </c>
    </row>
    <row r="1447" spans="27:41" ht="16.5" x14ac:dyDescent="0.2">
      <c r="AA1447" s="104">
        <v>1443</v>
      </c>
      <c r="AB1447" s="14">
        <f t="shared" si="243"/>
        <v>28</v>
      </c>
      <c r="AC1447" s="14">
        <f>INDEX(挂机升级突破!$BU$6:$BU$57,卡牌消耗!AI1447)</f>
        <v>11</v>
      </c>
      <c r="AD1447" s="14">
        <f>INDEX(挂机升级突破!BV$6:BV$57,卡牌消耗!$AI1447)</f>
        <v>5</v>
      </c>
      <c r="AE1447" s="14">
        <f>INDEX(挂机升级突破!BW$6:BW$57,卡牌消耗!$AI1447)</f>
        <v>0</v>
      </c>
      <c r="AF1447" s="14" t="str">
        <f t="shared" si="244"/>
        <v>秦琼</v>
      </c>
      <c r="AG1447" s="14">
        <f t="shared" si="245"/>
        <v>4</v>
      </c>
      <c r="AH1447" s="14" t="str">
        <f t="shared" si="246"/>
        <v>秦琼魂火-39</v>
      </c>
      <c r="AI1447" s="14">
        <f t="shared" si="247"/>
        <v>39</v>
      </c>
      <c r="AJ1447" s="14" t="str">
        <f>INDEX(挂机升级突破!$BX$4:$CH$4,INDEX(挂机升级突破!$BU$6:$BU$57,卡牌消耗!AI1447))</f>
        <v>金币</v>
      </c>
      <c r="AK1447" s="14">
        <f>ROUND(INDEX(挂机升级突破!$BN$6:$BN$57,卡牌消耗!AI1447)*INDEX(卡牌消耗!$B$8:$F$8,AG1447)/$Q$4/50,0)*50</f>
        <v>25050</v>
      </c>
      <c r="AL1447" s="14" t="str">
        <f>IF(AD1447&gt;0,INDEX(挂机升级突破!$BX$4:$CH$4,AD1447),"")</f>
        <v>红色基础材料</v>
      </c>
      <c r="AM1447" s="14">
        <f>ROUND(INDEX(挂机升级突破!$BX$6:$CH$57,卡牌消耗!AI1447,AD1447)*INDEX(卡牌消耗!$B$5:$F$5,AG1447)/$Q$4/5,0)*5</f>
        <v>55</v>
      </c>
      <c r="AN1447" s="14" t="str">
        <f>IF(AE1447&gt;0,INDEX(挂机升级突破!$BX$4:$CH$4,AE1447),"")</f>
        <v/>
      </c>
      <c r="AO1447" s="14" t="str">
        <f>IF(AE1447&gt;0,ROUND(INDEX(挂机升级突破!$BX$6:$CH$57,卡牌消耗!AI1447,AE1447)*INDEX(卡牌消耗!$B$7:$F$7,AG1447)/$Q$4,0),"")</f>
        <v/>
      </c>
    </row>
    <row r="1448" spans="27:41" ht="16.5" x14ac:dyDescent="0.2">
      <c r="AA1448" s="104">
        <v>1444</v>
      </c>
      <c r="AB1448" s="14">
        <f t="shared" si="243"/>
        <v>28</v>
      </c>
      <c r="AC1448" s="14">
        <f>INDEX(挂机升级突破!$BU$6:$BU$57,卡牌消耗!AI1448)</f>
        <v>11</v>
      </c>
      <c r="AD1448" s="14">
        <f>INDEX(挂机升级突破!BV$6:BV$57,卡牌消耗!$AI1448)</f>
        <v>5</v>
      </c>
      <c r="AE1448" s="14">
        <f>INDEX(挂机升级突破!BW$6:BW$57,卡牌消耗!$AI1448)</f>
        <v>0</v>
      </c>
      <c r="AF1448" s="14" t="str">
        <f t="shared" si="244"/>
        <v>秦琼</v>
      </c>
      <c r="AG1448" s="14">
        <f t="shared" si="245"/>
        <v>4</v>
      </c>
      <c r="AH1448" s="14" t="str">
        <f t="shared" si="246"/>
        <v>秦琼魂火-40</v>
      </c>
      <c r="AI1448" s="14">
        <f t="shared" si="247"/>
        <v>40</v>
      </c>
      <c r="AJ1448" s="14" t="str">
        <f>INDEX(挂机升级突破!$BX$4:$CH$4,INDEX(挂机升级突破!$BU$6:$BU$57,卡牌消耗!AI1448))</f>
        <v>金币</v>
      </c>
      <c r="AK1448" s="14">
        <f>ROUND(INDEX(挂机升级突破!$BN$6:$BN$57,卡牌消耗!AI1448)*INDEX(卡牌消耗!$B$8:$F$8,AG1448)/$Q$4/50,0)*50</f>
        <v>25050</v>
      </c>
      <c r="AL1448" s="14" t="str">
        <f>IF(AD1448&gt;0,INDEX(挂机升级突破!$BX$4:$CH$4,AD1448),"")</f>
        <v>红色基础材料</v>
      </c>
      <c r="AM1448" s="14">
        <f>ROUND(INDEX(挂机升级突破!$BX$6:$CH$57,卡牌消耗!AI1448,AD1448)*INDEX(卡牌消耗!$B$5:$F$5,AG1448)/$Q$4/5,0)*5</f>
        <v>55</v>
      </c>
      <c r="AN1448" s="14" t="str">
        <f>IF(AE1448&gt;0,INDEX(挂机升级突破!$BX$4:$CH$4,AE1448),"")</f>
        <v/>
      </c>
      <c r="AO1448" s="14" t="str">
        <f>IF(AE1448&gt;0,ROUND(INDEX(挂机升级突破!$BX$6:$CH$57,卡牌消耗!AI1448,AE1448)*INDEX(卡牌消耗!$B$7:$F$7,AG1448)/$Q$4,0),"")</f>
        <v/>
      </c>
    </row>
    <row r="1449" spans="27:41" ht="16.5" x14ac:dyDescent="0.2">
      <c r="AA1449" s="104">
        <v>1445</v>
      </c>
      <c r="AB1449" s="14">
        <f t="shared" si="243"/>
        <v>28</v>
      </c>
      <c r="AC1449" s="14">
        <f>INDEX(挂机升级突破!$BU$6:$BU$57,卡牌消耗!AI1449)</f>
        <v>11</v>
      </c>
      <c r="AD1449" s="14">
        <f>INDEX(挂机升级突破!BV$6:BV$57,卡牌消耗!$AI1449)</f>
        <v>5</v>
      </c>
      <c r="AE1449" s="14">
        <f>INDEX(挂机升级突破!BW$6:BW$57,卡牌消耗!$AI1449)</f>
        <v>10</v>
      </c>
      <c r="AF1449" s="14" t="str">
        <f t="shared" si="244"/>
        <v>秦琼</v>
      </c>
      <c r="AG1449" s="14">
        <f t="shared" si="245"/>
        <v>4</v>
      </c>
      <c r="AH1449" s="14" t="str">
        <f t="shared" si="246"/>
        <v>秦琼魂火-41</v>
      </c>
      <c r="AI1449" s="14">
        <f t="shared" si="247"/>
        <v>41</v>
      </c>
      <c r="AJ1449" s="14" t="str">
        <f>INDEX(挂机升级突破!$BX$4:$CH$4,INDEX(挂机升级突破!$BU$6:$BU$57,卡牌消耗!AI1449))</f>
        <v>金币</v>
      </c>
      <c r="AK1449" s="14">
        <f>ROUND(INDEX(挂机升级突破!$BN$6:$BN$57,卡牌消耗!AI1449)*INDEX(卡牌消耗!$B$8:$F$8,AG1449)/$Q$4/50,0)*50</f>
        <v>34450</v>
      </c>
      <c r="AL1449" s="14" t="str">
        <f>IF(AD1449&gt;0,INDEX(挂机升级突破!$BX$4:$CH$4,AD1449),"")</f>
        <v>红色基础材料</v>
      </c>
      <c r="AM1449" s="14">
        <f>ROUND(INDEX(挂机升级突破!$BX$6:$CH$57,卡牌消耗!AI1449,AD1449)*INDEX(卡牌消耗!$B$5:$F$5,AG1449)/$Q$4/5,0)*5</f>
        <v>65</v>
      </c>
      <c r="AN1449" s="14" t="str">
        <f>IF(AE1449&gt;0,INDEX(挂机升级突破!$BX$4:$CH$4,AE1449),"")</f>
        <v>灵玉</v>
      </c>
      <c r="AO1449" s="14">
        <f>IF(AE1449&gt;0,ROUND(INDEX(挂机升级突破!$BX$6:$CH$57,卡牌消耗!AI1449,AE1449)*INDEX(卡牌消耗!$B$7:$F$7,AG1449)/$Q$4,0),"")</f>
        <v>2</v>
      </c>
    </row>
    <row r="1450" spans="27:41" ht="16.5" x14ac:dyDescent="0.2">
      <c r="AA1450" s="104">
        <v>1446</v>
      </c>
      <c r="AB1450" s="14">
        <f t="shared" si="243"/>
        <v>28</v>
      </c>
      <c r="AC1450" s="14">
        <f>INDEX(挂机升级突破!$BU$6:$BU$57,卡牌消耗!AI1450)</f>
        <v>11</v>
      </c>
      <c r="AD1450" s="14">
        <f>INDEX(挂机升级突破!BV$6:BV$57,卡牌消耗!$AI1450)</f>
        <v>5</v>
      </c>
      <c r="AE1450" s="14">
        <f>INDEX(挂机升级突破!BW$6:BW$57,卡牌消耗!$AI1450)</f>
        <v>10</v>
      </c>
      <c r="AF1450" s="14" t="str">
        <f t="shared" si="244"/>
        <v>秦琼</v>
      </c>
      <c r="AG1450" s="14">
        <f t="shared" si="245"/>
        <v>4</v>
      </c>
      <c r="AH1450" s="14" t="str">
        <f t="shared" si="246"/>
        <v>秦琼魂火-42</v>
      </c>
      <c r="AI1450" s="14">
        <f t="shared" si="247"/>
        <v>42</v>
      </c>
      <c r="AJ1450" s="14" t="str">
        <f>INDEX(挂机升级突破!$BX$4:$CH$4,INDEX(挂机升级突破!$BU$6:$BU$57,卡牌消耗!AI1450))</f>
        <v>金币</v>
      </c>
      <c r="AK1450" s="14">
        <f>ROUND(INDEX(挂机升级突破!$BN$6:$BN$57,卡牌消耗!AI1450)*INDEX(卡牌消耗!$B$8:$F$8,AG1450)/$Q$4/50,0)*50</f>
        <v>34450</v>
      </c>
      <c r="AL1450" s="14" t="str">
        <f>IF(AD1450&gt;0,INDEX(挂机升级突破!$BX$4:$CH$4,AD1450),"")</f>
        <v>红色基础材料</v>
      </c>
      <c r="AM1450" s="14">
        <f>ROUND(INDEX(挂机升级突破!$BX$6:$CH$57,卡牌消耗!AI1450,AD1450)*INDEX(卡牌消耗!$B$5:$F$5,AG1450)/$Q$4/5,0)*5</f>
        <v>65</v>
      </c>
      <c r="AN1450" s="14" t="str">
        <f>IF(AE1450&gt;0,INDEX(挂机升级突破!$BX$4:$CH$4,AE1450),"")</f>
        <v>灵玉</v>
      </c>
      <c r="AO1450" s="14">
        <f>IF(AE1450&gt;0,ROUND(INDEX(挂机升级突破!$BX$6:$CH$57,卡牌消耗!AI1450,AE1450)*INDEX(卡牌消耗!$B$7:$F$7,AG1450)/$Q$4,0),"")</f>
        <v>2</v>
      </c>
    </row>
    <row r="1451" spans="27:41" ht="16.5" x14ac:dyDescent="0.2">
      <c r="AA1451" s="104">
        <v>1447</v>
      </c>
      <c r="AB1451" s="14">
        <f t="shared" si="243"/>
        <v>28</v>
      </c>
      <c r="AC1451" s="14">
        <f>INDEX(挂机升级突破!$BU$6:$BU$57,卡牌消耗!AI1451)</f>
        <v>11</v>
      </c>
      <c r="AD1451" s="14">
        <f>INDEX(挂机升级突破!BV$6:BV$57,卡牌消耗!$AI1451)</f>
        <v>5</v>
      </c>
      <c r="AE1451" s="14">
        <f>INDEX(挂机升级突破!BW$6:BW$57,卡牌消耗!$AI1451)</f>
        <v>10</v>
      </c>
      <c r="AF1451" s="14" t="str">
        <f t="shared" si="244"/>
        <v>秦琼</v>
      </c>
      <c r="AG1451" s="14">
        <f t="shared" si="245"/>
        <v>4</v>
      </c>
      <c r="AH1451" s="14" t="str">
        <f t="shared" si="246"/>
        <v>秦琼魂火-43</v>
      </c>
      <c r="AI1451" s="14">
        <f t="shared" si="247"/>
        <v>43</v>
      </c>
      <c r="AJ1451" s="14" t="str">
        <f>INDEX(挂机升级突破!$BX$4:$CH$4,INDEX(挂机升级突破!$BU$6:$BU$57,卡牌消耗!AI1451))</f>
        <v>金币</v>
      </c>
      <c r="AK1451" s="14">
        <f>ROUND(INDEX(挂机升级突破!$BN$6:$BN$57,卡牌消耗!AI1451)*INDEX(卡牌消耗!$B$8:$F$8,AG1451)/$Q$4/50,0)*50</f>
        <v>34450</v>
      </c>
      <c r="AL1451" s="14" t="str">
        <f>IF(AD1451&gt;0,INDEX(挂机升级突破!$BX$4:$CH$4,AD1451),"")</f>
        <v>红色基础材料</v>
      </c>
      <c r="AM1451" s="14">
        <f>ROUND(INDEX(挂机升级突破!$BX$6:$CH$57,卡牌消耗!AI1451,AD1451)*INDEX(卡牌消耗!$B$5:$F$5,AG1451)/$Q$4/5,0)*5</f>
        <v>65</v>
      </c>
      <c r="AN1451" s="14" t="str">
        <f>IF(AE1451&gt;0,INDEX(挂机升级突破!$BX$4:$CH$4,AE1451),"")</f>
        <v>灵玉</v>
      </c>
      <c r="AO1451" s="14">
        <f>IF(AE1451&gt;0,ROUND(INDEX(挂机升级突破!$BX$6:$CH$57,卡牌消耗!AI1451,AE1451)*INDEX(卡牌消耗!$B$7:$F$7,AG1451)/$Q$4,0),"")</f>
        <v>2</v>
      </c>
    </row>
    <row r="1452" spans="27:41" ht="16.5" x14ac:dyDescent="0.2">
      <c r="AA1452" s="104">
        <v>1448</v>
      </c>
      <c r="AB1452" s="14">
        <f t="shared" si="243"/>
        <v>28</v>
      </c>
      <c r="AC1452" s="14">
        <f>INDEX(挂机升级突破!$BU$6:$BU$57,卡牌消耗!AI1452)</f>
        <v>11</v>
      </c>
      <c r="AD1452" s="14">
        <f>INDEX(挂机升级突破!BV$6:BV$57,卡牌消耗!$AI1452)</f>
        <v>5</v>
      </c>
      <c r="AE1452" s="14">
        <f>INDEX(挂机升级突破!BW$6:BW$57,卡牌消耗!$AI1452)</f>
        <v>10</v>
      </c>
      <c r="AF1452" s="14" t="str">
        <f t="shared" si="244"/>
        <v>秦琼</v>
      </c>
      <c r="AG1452" s="14">
        <f t="shared" si="245"/>
        <v>4</v>
      </c>
      <c r="AH1452" s="14" t="str">
        <f t="shared" si="246"/>
        <v>秦琼魂火-44</v>
      </c>
      <c r="AI1452" s="14">
        <f t="shared" si="247"/>
        <v>44</v>
      </c>
      <c r="AJ1452" s="14" t="str">
        <f>INDEX(挂机升级突破!$BX$4:$CH$4,INDEX(挂机升级突破!$BU$6:$BU$57,卡牌消耗!AI1452))</f>
        <v>金币</v>
      </c>
      <c r="AK1452" s="14">
        <f>ROUND(INDEX(挂机升级突破!$BN$6:$BN$57,卡牌消耗!AI1452)*INDEX(卡牌消耗!$B$8:$F$8,AG1452)/$Q$4/50,0)*50</f>
        <v>43850</v>
      </c>
      <c r="AL1452" s="14" t="str">
        <f>IF(AD1452&gt;0,INDEX(挂机升级突破!$BX$4:$CH$4,AD1452),"")</f>
        <v>红色基础材料</v>
      </c>
      <c r="AM1452" s="14">
        <f>ROUND(INDEX(挂机升级突破!$BX$6:$CH$57,卡牌消耗!AI1452,AD1452)*INDEX(卡牌消耗!$B$5:$F$5,AG1452)/$Q$4/5,0)*5</f>
        <v>75</v>
      </c>
      <c r="AN1452" s="14" t="str">
        <f>IF(AE1452&gt;0,INDEX(挂机升级突破!$BX$4:$CH$4,AE1452),"")</f>
        <v>灵玉</v>
      </c>
      <c r="AO1452" s="14">
        <f>IF(AE1452&gt;0,ROUND(INDEX(挂机升级突破!$BX$6:$CH$57,卡牌消耗!AI1452,AE1452)*INDEX(卡牌消耗!$B$7:$F$7,AG1452)/$Q$4,0),"")</f>
        <v>2</v>
      </c>
    </row>
    <row r="1453" spans="27:41" ht="16.5" x14ac:dyDescent="0.2">
      <c r="AA1453" s="104">
        <v>1449</v>
      </c>
      <c r="AB1453" s="14">
        <f t="shared" si="243"/>
        <v>28</v>
      </c>
      <c r="AC1453" s="14">
        <f>INDEX(挂机升级突破!$BU$6:$BU$57,卡牌消耗!AI1453)</f>
        <v>11</v>
      </c>
      <c r="AD1453" s="14">
        <f>INDEX(挂机升级突破!BV$6:BV$57,卡牌消耗!$AI1453)</f>
        <v>5</v>
      </c>
      <c r="AE1453" s="14">
        <f>INDEX(挂机升级突破!BW$6:BW$57,卡牌消耗!$AI1453)</f>
        <v>10</v>
      </c>
      <c r="AF1453" s="14" t="str">
        <f t="shared" si="244"/>
        <v>秦琼</v>
      </c>
      <c r="AG1453" s="14">
        <f t="shared" si="245"/>
        <v>4</v>
      </c>
      <c r="AH1453" s="14" t="str">
        <f t="shared" si="246"/>
        <v>秦琼魂火-45</v>
      </c>
      <c r="AI1453" s="14">
        <f t="shared" si="247"/>
        <v>45</v>
      </c>
      <c r="AJ1453" s="14" t="str">
        <f>INDEX(挂机升级突破!$BX$4:$CH$4,INDEX(挂机升级突破!$BU$6:$BU$57,卡牌消耗!AI1453))</f>
        <v>金币</v>
      </c>
      <c r="AK1453" s="14">
        <f>ROUND(INDEX(挂机升级突破!$BN$6:$BN$57,卡牌消耗!AI1453)*INDEX(卡牌消耗!$B$8:$F$8,AG1453)/$Q$4/50,0)*50</f>
        <v>43850</v>
      </c>
      <c r="AL1453" s="14" t="str">
        <f>IF(AD1453&gt;0,INDEX(挂机升级突破!$BX$4:$CH$4,AD1453),"")</f>
        <v>红色基础材料</v>
      </c>
      <c r="AM1453" s="14">
        <f>ROUND(INDEX(挂机升级突破!$BX$6:$CH$57,卡牌消耗!AI1453,AD1453)*INDEX(卡牌消耗!$B$5:$F$5,AG1453)/$Q$4/5,0)*5</f>
        <v>75</v>
      </c>
      <c r="AN1453" s="14" t="str">
        <f>IF(AE1453&gt;0,INDEX(挂机升级突破!$BX$4:$CH$4,AE1453),"")</f>
        <v>灵玉</v>
      </c>
      <c r="AO1453" s="14">
        <f>IF(AE1453&gt;0,ROUND(INDEX(挂机升级突破!$BX$6:$CH$57,卡牌消耗!AI1453,AE1453)*INDEX(卡牌消耗!$B$7:$F$7,AG1453)/$Q$4,0),"")</f>
        <v>2</v>
      </c>
    </row>
    <row r="1454" spans="27:41" ht="16.5" x14ac:dyDescent="0.2">
      <c r="AA1454" s="104">
        <v>1450</v>
      </c>
      <c r="AB1454" s="14">
        <f t="shared" si="243"/>
        <v>28</v>
      </c>
      <c r="AC1454" s="14">
        <f>INDEX(挂机升级突破!$BU$6:$BU$57,卡牌消耗!AI1454)</f>
        <v>11</v>
      </c>
      <c r="AD1454" s="14">
        <f>INDEX(挂机升级突破!BV$6:BV$57,卡牌消耗!$AI1454)</f>
        <v>5</v>
      </c>
      <c r="AE1454" s="14">
        <f>INDEX(挂机升级突破!BW$6:BW$57,卡牌消耗!$AI1454)</f>
        <v>10</v>
      </c>
      <c r="AF1454" s="14" t="str">
        <f t="shared" si="244"/>
        <v>秦琼</v>
      </c>
      <c r="AG1454" s="14">
        <f t="shared" si="245"/>
        <v>4</v>
      </c>
      <c r="AH1454" s="14" t="str">
        <f t="shared" si="246"/>
        <v>秦琼魂火-46</v>
      </c>
      <c r="AI1454" s="14">
        <f t="shared" si="247"/>
        <v>46</v>
      </c>
      <c r="AJ1454" s="14" t="str">
        <f>INDEX(挂机升级突破!$BX$4:$CH$4,INDEX(挂机升级突破!$BU$6:$BU$57,卡牌消耗!AI1454))</f>
        <v>金币</v>
      </c>
      <c r="AK1454" s="14">
        <f>ROUND(INDEX(挂机升级突破!$BN$6:$BN$57,卡牌消耗!AI1454)*INDEX(卡牌消耗!$B$8:$F$8,AG1454)/$Q$4/50,0)*50</f>
        <v>47000</v>
      </c>
      <c r="AL1454" s="14" t="str">
        <f>IF(AD1454&gt;0,INDEX(挂机升级突破!$BX$4:$CH$4,AD1454),"")</f>
        <v>红色基础材料</v>
      </c>
      <c r="AM1454" s="14">
        <f>ROUND(INDEX(挂机升级突破!$BX$6:$CH$57,卡牌消耗!AI1454,AD1454)*INDEX(卡牌消耗!$B$5:$F$5,AG1454)/$Q$4/5,0)*5</f>
        <v>75</v>
      </c>
      <c r="AN1454" s="14" t="str">
        <f>IF(AE1454&gt;0,INDEX(挂机升级突破!$BX$4:$CH$4,AE1454),"")</f>
        <v>灵玉</v>
      </c>
      <c r="AO1454" s="14">
        <f>IF(AE1454&gt;0,ROUND(INDEX(挂机升级突破!$BX$6:$CH$57,卡牌消耗!AI1454,AE1454)*INDEX(卡牌消耗!$B$7:$F$7,AG1454)/$Q$4,0),"")</f>
        <v>2</v>
      </c>
    </row>
    <row r="1455" spans="27:41" ht="16.5" x14ac:dyDescent="0.2">
      <c r="AA1455" s="104">
        <v>1451</v>
      </c>
      <c r="AB1455" s="14">
        <f t="shared" si="243"/>
        <v>28</v>
      </c>
      <c r="AC1455" s="14">
        <f>INDEX(挂机升级突破!$BU$6:$BU$57,卡牌消耗!AI1455)</f>
        <v>11</v>
      </c>
      <c r="AD1455" s="14">
        <f>INDEX(挂机升级突破!BV$6:BV$57,卡牌消耗!$AI1455)</f>
        <v>5</v>
      </c>
      <c r="AE1455" s="14">
        <f>INDEX(挂机升级突破!BW$6:BW$57,卡牌消耗!$AI1455)</f>
        <v>10</v>
      </c>
      <c r="AF1455" s="14" t="str">
        <f t="shared" si="244"/>
        <v>秦琼</v>
      </c>
      <c r="AG1455" s="14">
        <f t="shared" si="245"/>
        <v>4</v>
      </c>
      <c r="AH1455" s="14" t="str">
        <f t="shared" si="246"/>
        <v>秦琼魂火-47</v>
      </c>
      <c r="AI1455" s="14">
        <f t="shared" si="247"/>
        <v>47</v>
      </c>
      <c r="AJ1455" s="14" t="str">
        <f>INDEX(挂机升级突破!$BX$4:$CH$4,INDEX(挂机升级突破!$BU$6:$BU$57,卡牌消耗!AI1455))</f>
        <v>金币</v>
      </c>
      <c r="AK1455" s="14">
        <f>ROUND(INDEX(挂机升级突破!$BN$6:$BN$57,卡牌消耗!AI1455)*INDEX(卡牌消耗!$B$8:$F$8,AG1455)/$Q$4/50,0)*50</f>
        <v>227950</v>
      </c>
      <c r="AL1455" s="14" t="str">
        <f>IF(AD1455&gt;0,INDEX(挂机升级突破!$BX$4:$CH$4,AD1455),"")</f>
        <v>红色基础材料</v>
      </c>
      <c r="AM1455" s="14">
        <f>ROUND(INDEX(挂机升级突破!$BX$6:$CH$57,卡牌消耗!AI1455,AD1455)*INDEX(卡牌消耗!$B$5:$F$5,AG1455)/$Q$4/5,0)*5</f>
        <v>75</v>
      </c>
      <c r="AN1455" s="14" t="str">
        <f>IF(AE1455&gt;0,INDEX(挂机升级突破!$BX$4:$CH$4,AE1455),"")</f>
        <v>灵玉</v>
      </c>
      <c r="AO1455" s="14">
        <f>IF(AE1455&gt;0,ROUND(INDEX(挂机升级突破!$BX$6:$CH$57,卡牌消耗!AI1455,AE1455)*INDEX(卡牌消耗!$B$7:$F$7,AG1455)/$Q$4,0),"")</f>
        <v>2</v>
      </c>
    </row>
    <row r="1456" spans="27:41" ht="16.5" x14ac:dyDescent="0.2">
      <c r="AA1456" s="104">
        <v>1452</v>
      </c>
      <c r="AB1456" s="14">
        <f t="shared" si="243"/>
        <v>28</v>
      </c>
      <c r="AC1456" s="14">
        <f>INDEX(挂机升级突破!$BU$6:$BU$57,卡牌消耗!AI1456)</f>
        <v>11</v>
      </c>
      <c r="AD1456" s="14">
        <f>INDEX(挂机升级突破!BV$6:BV$57,卡牌消耗!$AI1456)</f>
        <v>5</v>
      </c>
      <c r="AE1456" s="14">
        <f>INDEX(挂机升级突破!BW$6:BW$57,卡牌消耗!$AI1456)</f>
        <v>10</v>
      </c>
      <c r="AF1456" s="14" t="str">
        <f t="shared" si="244"/>
        <v>秦琼</v>
      </c>
      <c r="AG1456" s="14">
        <f t="shared" si="245"/>
        <v>4</v>
      </c>
      <c r="AH1456" s="14" t="str">
        <f t="shared" si="246"/>
        <v>秦琼魂火-48</v>
      </c>
      <c r="AI1456" s="14">
        <f t="shared" si="247"/>
        <v>48</v>
      </c>
      <c r="AJ1456" s="14" t="str">
        <f>INDEX(挂机升级突破!$BX$4:$CH$4,INDEX(挂机升级突破!$BU$6:$BU$57,卡牌消耗!AI1456))</f>
        <v>金币</v>
      </c>
      <c r="AK1456" s="14">
        <f>ROUND(INDEX(挂机升级突破!$BN$6:$BN$57,卡牌消耗!AI1456)*INDEX(卡牌消耗!$B$8:$F$8,AG1456)/$Q$4/50,0)*50</f>
        <v>227950</v>
      </c>
      <c r="AL1456" s="14" t="str">
        <f>IF(AD1456&gt;0,INDEX(挂机升级突破!$BX$4:$CH$4,AD1456),"")</f>
        <v>红色基础材料</v>
      </c>
      <c r="AM1456" s="14">
        <f>ROUND(INDEX(挂机升级突破!$BX$6:$CH$57,卡牌消耗!AI1456,AD1456)*INDEX(卡牌消耗!$B$5:$F$5,AG1456)/$Q$4/5,0)*5</f>
        <v>75</v>
      </c>
      <c r="AN1456" s="14" t="str">
        <f>IF(AE1456&gt;0,INDEX(挂机升级突破!$BX$4:$CH$4,AE1456),"")</f>
        <v>灵玉</v>
      </c>
      <c r="AO1456" s="14">
        <f>IF(AE1456&gt;0,ROUND(INDEX(挂机升级突破!$BX$6:$CH$57,卡牌消耗!AI1456,AE1456)*INDEX(卡牌消耗!$B$7:$F$7,AG1456)/$Q$4,0),"")</f>
        <v>2</v>
      </c>
    </row>
    <row r="1457" spans="27:41" ht="16.5" x14ac:dyDescent="0.2">
      <c r="AA1457" s="104">
        <v>1453</v>
      </c>
      <c r="AB1457" s="14">
        <f t="shared" si="243"/>
        <v>28</v>
      </c>
      <c r="AC1457" s="14">
        <f>INDEX(挂机升级突破!$BU$6:$BU$57,卡牌消耗!AI1457)</f>
        <v>11</v>
      </c>
      <c r="AD1457" s="14">
        <f>INDEX(挂机升级突破!BV$6:BV$57,卡牌消耗!$AI1457)</f>
        <v>5</v>
      </c>
      <c r="AE1457" s="14">
        <f>INDEX(挂机升级突破!BW$6:BW$57,卡牌消耗!$AI1457)</f>
        <v>10</v>
      </c>
      <c r="AF1457" s="14" t="str">
        <f t="shared" si="244"/>
        <v>秦琼</v>
      </c>
      <c r="AG1457" s="14">
        <f t="shared" si="245"/>
        <v>4</v>
      </c>
      <c r="AH1457" s="14" t="str">
        <f t="shared" si="246"/>
        <v>秦琼魂火-49</v>
      </c>
      <c r="AI1457" s="14">
        <f t="shared" si="247"/>
        <v>49</v>
      </c>
      <c r="AJ1457" s="14" t="str">
        <f>INDEX(挂机升级突破!$BX$4:$CH$4,INDEX(挂机升级突破!$BU$6:$BU$57,卡牌消耗!AI1457))</f>
        <v>金币</v>
      </c>
      <c r="AK1457" s="14">
        <f>ROUND(INDEX(挂机升级突破!$BN$6:$BN$57,卡牌消耗!AI1457)*INDEX(卡牌消耗!$B$8:$F$8,AG1457)/$Q$4/50,0)*50</f>
        <v>227950</v>
      </c>
      <c r="AL1457" s="14" t="str">
        <f>IF(AD1457&gt;0,INDEX(挂机升级突破!$BX$4:$CH$4,AD1457),"")</f>
        <v>红色基础材料</v>
      </c>
      <c r="AM1457" s="14">
        <f>ROUND(INDEX(挂机升级突破!$BX$6:$CH$57,卡牌消耗!AI1457,AD1457)*INDEX(卡牌消耗!$B$5:$F$5,AG1457)/$Q$4/5,0)*5</f>
        <v>85</v>
      </c>
      <c r="AN1457" s="14" t="str">
        <f>IF(AE1457&gt;0,INDEX(挂机升级突破!$BX$4:$CH$4,AE1457),"")</f>
        <v>灵玉</v>
      </c>
      <c r="AO1457" s="14">
        <f>IF(AE1457&gt;0,ROUND(INDEX(挂机升级突破!$BX$6:$CH$57,卡牌消耗!AI1457,AE1457)*INDEX(卡牌消耗!$B$7:$F$7,AG1457)/$Q$4,0),"")</f>
        <v>2</v>
      </c>
    </row>
    <row r="1458" spans="27:41" ht="16.5" x14ac:dyDescent="0.2">
      <c r="AA1458" s="104">
        <v>1454</v>
      </c>
      <c r="AB1458" s="14">
        <f t="shared" si="243"/>
        <v>28</v>
      </c>
      <c r="AC1458" s="14">
        <f>INDEX(挂机升级突破!$BU$6:$BU$57,卡牌消耗!AI1458)</f>
        <v>11</v>
      </c>
      <c r="AD1458" s="14">
        <f>INDEX(挂机升级突破!BV$6:BV$57,卡牌消耗!$AI1458)</f>
        <v>5</v>
      </c>
      <c r="AE1458" s="14">
        <f>INDEX(挂机升级突破!BW$6:BW$57,卡牌消耗!$AI1458)</f>
        <v>10</v>
      </c>
      <c r="AF1458" s="14" t="str">
        <f t="shared" si="244"/>
        <v>秦琼</v>
      </c>
      <c r="AG1458" s="14">
        <f t="shared" si="245"/>
        <v>4</v>
      </c>
      <c r="AH1458" s="14" t="str">
        <f t="shared" si="246"/>
        <v>秦琼魂火-50</v>
      </c>
      <c r="AI1458" s="14">
        <f t="shared" si="247"/>
        <v>50</v>
      </c>
      <c r="AJ1458" s="14" t="str">
        <f>INDEX(挂机升级突破!$BX$4:$CH$4,INDEX(挂机升级突破!$BU$6:$BU$57,卡牌消耗!AI1458))</f>
        <v>金币</v>
      </c>
      <c r="AK1458" s="14">
        <f>ROUND(INDEX(挂机升级突破!$BN$6:$BN$57,卡牌消耗!AI1458)*INDEX(卡牌消耗!$B$8:$F$8,AG1458)/$Q$4/50,0)*50</f>
        <v>379900</v>
      </c>
      <c r="AL1458" s="14" t="str">
        <f>IF(AD1458&gt;0,INDEX(挂机升级突破!$BX$4:$CH$4,AD1458),"")</f>
        <v>红色基础材料</v>
      </c>
      <c r="AM1458" s="14">
        <f>ROUND(INDEX(挂机升级突破!$BX$6:$CH$57,卡牌消耗!AI1458,AD1458)*INDEX(卡牌消耗!$B$5:$F$5,AG1458)/$Q$4/5,0)*5</f>
        <v>85</v>
      </c>
      <c r="AN1458" s="14" t="str">
        <f>IF(AE1458&gt;0,INDEX(挂机升级突破!$BX$4:$CH$4,AE1458),"")</f>
        <v>灵玉</v>
      </c>
      <c r="AO1458" s="14">
        <f>IF(AE1458&gt;0,ROUND(INDEX(挂机升级突破!$BX$6:$CH$57,卡牌消耗!AI1458,AE1458)*INDEX(卡牌消耗!$B$7:$F$7,AG1458)/$Q$4,0),"")</f>
        <v>2</v>
      </c>
    </row>
    <row r="1459" spans="27:41" ht="16.5" x14ac:dyDescent="0.2">
      <c r="AA1459" s="104">
        <v>1455</v>
      </c>
      <c r="AB1459" s="14">
        <f t="shared" si="243"/>
        <v>28</v>
      </c>
      <c r="AC1459" s="14">
        <f>INDEX(挂机升级突破!$BU$6:$BU$57,卡牌消耗!AI1459)</f>
        <v>11</v>
      </c>
      <c r="AD1459" s="14">
        <f>INDEX(挂机升级突破!BV$6:BV$57,卡牌消耗!$AI1459)</f>
        <v>5</v>
      </c>
      <c r="AE1459" s="14">
        <f>INDEX(挂机升级突破!BW$6:BW$57,卡牌消耗!$AI1459)</f>
        <v>10</v>
      </c>
      <c r="AF1459" s="14" t="str">
        <f t="shared" si="244"/>
        <v>秦琼</v>
      </c>
      <c r="AG1459" s="14">
        <f t="shared" si="245"/>
        <v>4</v>
      </c>
      <c r="AH1459" s="14" t="str">
        <f t="shared" si="246"/>
        <v>秦琼魂火-51</v>
      </c>
      <c r="AI1459" s="14">
        <f t="shared" si="247"/>
        <v>51</v>
      </c>
      <c r="AJ1459" s="14" t="str">
        <f>INDEX(挂机升级突破!$BX$4:$CH$4,INDEX(挂机升级突破!$BU$6:$BU$57,卡牌消耗!AI1459))</f>
        <v>金币</v>
      </c>
      <c r="AK1459" s="14">
        <f>ROUND(INDEX(挂机升级突破!$BN$6:$BN$57,卡牌消耗!AI1459)*INDEX(卡牌消耗!$B$8:$F$8,AG1459)/$Q$4/50,0)*50</f>
        <v>417900</v>
      </c>
      <c r="AL1459" s="14" t="str">
        <f>IF(AD1459&gt;0,INDEX(挂机升级突破!$BX$4:$CH$4,AD1459),"")</f>
        <v>红色基础材料</v>
      </c>
      <c r="AM1459" s="14">
        <f>ROUND(INDEX(挂机升级突破!$BX$6:$CH$57,卡牌消耗!AI1459,AD1459)*INDEX(卡牌消耗!$B$5:$F$5,AG1459)/$Q$4/5,0)*5</f>
        <v>85</v>
      </c>
      <c r="AN1459" s="14" t="str">
        <f>IF(AE1459&gt;0,INDEX(挂机升级突破!$BX$4:$CH$4,AE1459),"")</f>
        <v>灵玉</v>
      </c>
      <c r="AO1459" s="14">
        <f>IF(AE1459&gt;0,ROUND(INDEX(挂机升级突破!$BX$6:$CH$57,卡牌消耗!AI1459,AE1459)*INDEX(卡牌消耗!$B$7:$F$7,AG1459)/$Q$4,0),"")</f>
        <v>2</v>
      </c>
    </row>
    <row r="1460" spans="27:41" ht="16.5" x14ac:dyDescent="0.2">
      <c r="AA1460" s="104">
        <v>1456</v>
      </c>
      <c r="AB1460" s="14">
        <f t="shared" si="243"/>
        <v>28</v>
      </c>
      <c r="AC1460" s="14">
        <f>INDEX(挂机升级突破!$BU$6:$BU$57,卡牌消耗!AI1460)</f>
        <v>11</v>
      </c>
      <c r="AD1460" s="14">
        <f>INDEX(挂机升级突破!BV$6:BV$57,卡牌消耗!$AI1460)</f>
        <v>5</v>
      </c>
      <c r="AE1460" s="14">
        <f>INDEX(挂机升级突破!BW$6:BW$57,卡牌消耗!$AI1460)</f>
        <v>10</v>
      </c>
      <c r="AF1460" s="14" t="str">
        <f t="shared" si="244"/>
        <v>秦琼</v>
      </c>
      <c r="AG1460" s="14">
        <f t="shared" si="245"/>
        <v>4</v>
      </c>
      <c r="AH1460" s="14" t="str">
        <f t="shared" si="246"/>
        <v>秦琼魂火-52</v>
      </c>
      <c r="AI1460" s="14">
        <f t="shared" si="247"/>
        <v>52</v>
      </c>
      <c r="AJ1460" s="14" t="str">
        <f>INDEX(挂机升级突破!$BX$4:$CH$4,INDEX(挂机升级突破!$BU$6:$BU$57,卡牌消耗!AI1460))</f>
        <v>金币</v>
      </c>
      <c r="AK1460" s="14">
        <f>ROUND(INDEX(挂机升级突破!$BN$6:$BN$57,卡牌消耗!AI1460)*INDEX(卡牌消耗!$B$8:$F$8,AG1460)/$Q$4/50,0)*50</f>
        <v>417900</v>
      </c>
      <c r="AL1460" s="14" t="str">
        <f>IF(AD1460&gt;0,INDEX(挂机升级突破!$BX$4:$CH$4,AD1460),"")</f>
        <v>红色基础材料</v>
      </c>
      <c r="AM1460" s="14">
        <f>ROUND(INDEX(挂机升级突破!$BX$6:$CH$57,卡牌消耗!AI1460,AD1460)*INDEX(卡牌消耗!$B$5:$F$5,AG1460)/$Q$4/5,0)*5</f>
        <v>85</v>
      </c>
      <c r="AN1460" s="14" t="str">
        <f>IF(AE1460&gt;0,INDEX(挂机升级突破!$BX$4:$CH$4,AE1460),"")</f>
        <v>灵玉</v>
      </c>
      <c r="AO1460" s="14">
        <f>IF(AE1460&gt;0,ROUND(INDEX(挂机升级突破!$BX$6:$CH$57,卡牌消耗!AI1460,AE1460)*INDEX(卡牌消耗!$B$7:$F$7,AG1460)/$Q$4,0),"")</f>
        <v>2</v>
      </c>
    </row>
  </sheetData>
  <mergeCells count="9">
    <mergeCell ref="I11:N11"/>
    <mergeCell ref="I19:N19"/>
    <mergeCell ref="T3:X3"/>
    <mergeCell ref="AR3:BE3"/>
    <mergeCell ref="CD3:CN3"/>
    <mergeCell ref="BH3:BR3"/>
    <mergeCell ref="A3:F3"/>
    <mergeCell ref="I3:M3"/>
    <mergeCell ref="AA3:AO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L1685"/>
  <sheetViews>
    <sheetView topLeftCell="BR1" workbookViewId="0">
      <selection activeCell="BX23" sqref="BX23"/>
    </sheetView>
  </sheetViews>
  <sheetFormatPr defaultRowHeight="14.25" x14ac:dyDescent="0.2"/>
  <cols>
    <col min="2" max="9" width="10" customWidth="1"/>
    <col min="10" max="10" width="11" customWidth="1"/>
    <col min="11" max="11" width="10.625" customWidth="1"/>
    <col min="12" max="13" width="10.375" customWidth="1"/>
    <col min="14" max="17" width="11" customWidth="1"/>
    <col min="18" max="39" width="10.875" customWidth="1"/>
    <col min="40" max="42" width="10.125" customWidth="1"/>
    <col min="49" max="50" width="7.625" customWidth="1"/>
    <col min="54" max="54" width="11.5" customWidth="1"/>
    <col min="55" max="57" width="11.625" customWidth="1"/>
    <col min="58" max="58" width="12" customWidth="1"/>
    <col min="59" max="59" width="11" customWidth="1"/>
    <col min="60" max="60" width="9.875" customWidth="1"/>
    <col min="61" max="61" width="11.625" customWidth="1"/>
    <col min="62" max="63" width="10.125" customWidth="1"/>
    <col min="64" max="64" width="9.875" customWidth="1"/>
    <col min="65" max="65" width="10.75" customWidth="1"/>
    <col min="71" max="71" width="9.375" customWidth="1"/>
    <col min="84" max="84" width="7.25" customWidth="1"/>
    <col min="98" max="98" width="9.75" customWidth="1"/>
    <col min="105" max="106" width="9.125" bestFit="1" customWidth="1"/>
    <col min="107" max="107" width="14" bestFit="1" customWidth="1"/>
    <col min="108" max="108" width="10.125" bestFit="1" customWidth="1"/>
    <col min="109" max="109" width="9.25" bestFit="1" customWidth="1"/>
    <col min="110" max="110" width="9.125" bestFit="1" customWidth="1"/>
    <col min="112" max="112" width="9.125" bestFit="1" customWidth="1"/>
    <col min="115" max="115" width="13.875" bestFit="1" customWidth="1"/>
    <col min="116" max="118" width="9.125" bestFit="1" customWidth="1"/>
    <col min="124" max="124" width="8.375" customWidth="1"/>
    <col min="131" max="131" width="11" customWidth="1"/>
    <col min="132" max="132" width="10.625" customWidth="1"/>
    <col min="133" max="137" width="10.625" style="142" customWidth="1"/>
    <col min="138" max="138" width="11.125" style="142" customWidth="1"/>
    <col min="139" max="139" width="11.25" style="102" customWidth="1"/>
    <col min="140" max="141" width="10.875" style="102" customWidth="1"/>
    <col min="142" max="142" width="13.125" customWidth="1"/>
    <col min="143" max="143" width="10.875" customWidth="1"/>
    <col min="144" max="144" width="11.5" customWidth="1"/>
    <col min="145" max="145" width="10.875" customWidth="1"/>
    <col min="146" max="146" width="9.125" bestFit="1" customWidth="1"/>
    <col min="147" max="147" width="9.125" style="102" bestFit="1" customWidth="1"/>
    <col min="148" max="148" width="9.125" bestFit="1" customWidth="1"/>
    <col min="149" max="149" width="9" style="102"/>
    <col min="150" max="150" width="13.875" bestFit="1" customWidth="1"/>
    <col min="153" max="153" width="12.375" customWidth="1"/>
    <col min="154" max="154" width="11.875" customWidth="1"/>
    <col min="156" max="156" width="12.75" customWidth="1"/>
    <col min="157" max="157" width="12.125" customWidth="1"/>
    <col min="159" max="159" width="12.75" customWidth="1"/>
    <col min="160" max="160" width="13.625" customWidth="1"/>
    <col min="163" max="163" width="11" style="102" customWidth="1"/>
    <col min="164" max="164" width="11.125" style="102" customWidth="1"/>
    <col min="165" max="165" width="11.375" style="102" customWidth="1"/>
    <col min="166" max="166" width="11.625" style="102" customWidth="1"/>
    <col min="167" max="169" width="9" style="102"/>
    <col min="171" max="171" width="9" style="102"/>
    <col min="173" max="173" width="9" style="142"/>
    <col min="174" max="174" width="26.75" style="102" customWidth="1"/>
    <col min="175" max="175" width="9" style="102"/>
    <col min="176" max="176" width="11" customWidth="1"/>
    <col min="177" max="177" width="12.625" customWidth="1"/>
    <col min="178" max="178" width="12.5" customWidth="1"/>
    <col min="179" max="179" width="14" customWidth="1"/>
    <col min="180" max="180" width="11.375" customWidth="1"/>
    <col min="181" max="181" width="11.875" customWidth="1"/>
    <col min="182" max="182" width="11" customWidth="1"/>
    <col min="187" max="187" width="9.25" customWidth="1"/>
    <col min="189" max="189" width="13.125" customWidth="1"/>
    <col min="190" max="190" width="10.25" customWidth="1"/>
    <col min="191" max="191" width="9.875" customWidth="1"/>
    <col min="192" max="192" width="12.375" customWidth="1"/>
  </cols>
  <sheetData>
    <row r="2" spans="1:194" x14ac:dyDescent="0.2">
      <c r="A2" t="s">
        <v>580</v>
      </c>
    </row>
    <row r="3" spans="1:194" ht="16.5" x14ac:dyDescent="0.2">
      <c r="A3" s="80" t="s">
        <v>571</v>
      </c>
      <c r="B3" s="79">
        <v>5</v>
      </c>
      <c r="C3" s="82" t="s">
        <v>581</v>
      </c>
      <c r="D3" s="81">
        <v>3</v>
      </c>
      <c r="DT3">
        <v>1</v>
      </c>
      <c r="DU3">
        <v>2</v>
      </c>
      <c r="DV3">
        <v>3</v>
      </c>
      <c r="DW3">
        <v>4</v>
      </c>
      <c r="FU3">
        <v>1</v>
      </c>
      <c r="FV3">
        <v>1</v>
      </c>
      <c r="FW3">
        <v>2</v>
      </c>
      <c r="FX3">
        <v>2</v>
      </c>
      <c r="FY3">
        <v>3</v>
      </c>
      <c r="FZ3">
        <v>3</v>
      </c>
    </row>
    <row r="4" spans="1:194" ht="20.25" x14ac:dyDescent="0.2">
      <c r="F4">
        <v>5</v>
      </c>
      <c r="G4">
        <v>10</v>
      </c>
      <c r="H4">
        <v>20</v>
      </c>
      <c r="I4">
        <v>50</v>
      </c>
      <c r="AU4">
        <f>PRODUCT(AU6:AU8)</f>
        <v>524880</v>
      </c>
      <c r="BV4" s="82" t="s">
        <v>226</v>
      </c>
      <c r="BW4" s="35">
        <v>0</v>
      </c>
      <c r="BX4" s="35">
        <v>0</v>
      </c>
      <c r="BY4" s="35">
        <v>0</v>
      </c>
      <c r="BZ4" s="35">
        <v>0</v>
      </c>
      <c r="CG4" s="187" t="s">
        <v>632</v>
      </c>
      <c r="CH4" s="187"/>
      <c r="CI4" s="187"/>
      <c r="CJ4" s="187"/>
      <c r="CK4" s="187" t="s">
        <v>633</v>
      </c>
      <c r="CL4" s="187"/>
      <c r="CM4" s="187"/>
      <c r="CN4" s="187"/>
      <c r="CO4" s="187" t="s">
        <v>136</v>
      </c>
      <c r="CP4" s="187"/>
      <c r="CQ4" s="187"/>
      <c r="CR4" s="187"/>
      <c r="CW4" s="187" t="s">
        <v>630</v>
      </c>
      <c r="CX4" s="187"/>
      <c r="CY4" s="187"/>
      <c r="CZ4" s="187"/>
      <c r="DC4" s="186" t="s">
        <v>628</v>
      </c>
      <c r="DD4" s="186"/>
      <c r="DE4" s="186"/>
      <c r="DF4" s="186"/>
      <c r="DG4" s="187" t="s">
        <v>631</v>
      </c>
      <c r="DH4" s="187"/>
      <c r="DI4" s="187"/>
      <c r="DJ4" s="187"/>
      <c r="DK4" s="186" t="s">
        <v>629</v>
      </c>
      <c r="DL4" s="186"/>
      <c r="DM4" s="186"/>
      <c r="DN4" s="186"/>
    </row>
    <row r="5" spans="1:194" ht="17.25" x14ac:dyDescent="0.2">
      <c r="A5" s="12" t="s">
        <v>552</v>
      </c>
      <c r="B5" s="12" t="s">
        <v>76</v>
      </c>
      <c r="C5" s="12" t="s">
        <v>1444</v>
      </c>
      <c r="D5" s="12" t="s">
        <v>570</v>
      </c>
      <c r="E5" s="12" t="s">
        <v>582</v>
      </c>
      <c r="F5" s="12" t="s">
        <v>375</v>
      </c>
      <c r="G5" s="12" t="s">
        <v>553</v>
      </c>
      <c r="H5" s="12" t="s">
        <v>554</v>
      </c>
      <c r="I5" s="12" t="s">
        <v>555</v>
      </c>
      <c r="J5" s="12" t="s">
        <v>556</v>
      </c>
      <c r="K5" s="12" t="s">
        <v>553</v>
      </c>
      <c r="L5" s="12" t="s">
        <v>554</v>
      </c>
      <c r="M5" s="12" t="s">
        <v>555</v>
      </c>
      <c r="N5" s="12" t="s">
        <v>556</v>
      </c>
      <c r="O5" s="12" t="s">
        <v>553</v>
      </c>
      <c r="P5" s="12" t="s">
        <v>554</v>
      </c>
      <c r="Q5" s="12" t="s">
        <v>555</v>
      </c>
      <c r="R5" s="12" t="s">
        <v>556</v>
      </c>
      <c r="S5" s="12" t="s">
        <v>583</v>
      </c>
      <c r="T5" s="12" t="s">
        <v>83</v>
      </c>
      <c r="U5" s="12" t="s">
        <v>553</v>
      </c>
      <c r="V5" s="12" t="s">
        <v>554</v>
      </c>
      <c r="W5" s="12" t="s">
        <v>555</v>
      </c>
      <c r="X5" s="12" t="s">
        <v>556</v>
      </c>
      <c r="Y5" s="12" t="s">
        <v>553</v>
      </c>
      <c r="Z5" s="12" t="s">
        <v>554</v>
      </c>
      <c r="AA5" s="12" t="s">
        <v>555</v>
      </c>
      <c r="AB5" s="12" t="s">
        <v>556</v>
      </c>
      <c r="AC5" s="12" t="s">
        <v>584</v>
      </c>
      <c r="AD5" s="12" t="s">
        <v>83</v>
      </c>
      <c r="AE5" s="12" t="s">
        <v>553</v>
      </c>
      <c r="AF5" s="12" t="s">
        <v>554</v>
      </c>
      <c r="AG5" s="12" t="s">
        <v>555</v>
      </c>
      <c r="AH5" s="12" t="s">
        <v>556</v>
      </c>
      <c r="AI5" s="12" t="s">
        <v>553</v>
      </c>
      <c r="AJ5" s="12" t="s">
        <v>554</v>
      </c>
      <c r="AK5" s="12" t="s">
        <v>555</v>
      </c>
      <c r="AL5" s="12" t="s">
        <v>556</v>
      </c>
      <c r="AN5" s="12" t="s">
        <v>563</v>
      </c>
      <c r="AO5" s="12" t="s">
        <v>564</v>
      </c>
      <c r="AP5" s="12" t="s">
        <v>634</v>
      </c>
      <c r="AQ5" s="12" t="s">
        <v>635</v>
      </c>
      <c r="AR5" s="12" t="s">
        <v>636</v>
      </c>
      <c r="AT5" s="45" t="s">
        <v>577</v>
      </c>
      <c r="AU5" s="12" t="s">
        <v>227</v>
      </c>
      <c r="AV5" s="12" t="s">
        <v>46</v>
      </c>
      <c r="AW5" s="12" t="s">
        <v>146</v>
      </c>
      <c r="AX5" s="12" t="s">
        <v>146</v>
      </c>
      <c r="AZ5" s="12" t="s">
        <v>575</v>
      </c>
      <c r="BA5" s="12" t="s">
        <v>572</v>
      </c>
      <c r="BB5" s="12" t="s">
        <v>573</v>
      </c>
      <c r="BC5" s="12" t="s">
        <v>574</v>
      </c>
      <c r="BD5" s="12" t="s">
        <v>841</v>
      </c>
      <c r="BE5" s="12" t="s">
        <v>842</v>
      </c>
      <c r="BF5" s="12" t="s">
        <v>553</v>
      </c>
      <c r="BG5" s="12" t="s">
        <v>554</v>
      </c>
      <c r="BH5" s="12" t="s">
        <v>555</v>
      </c>
      <c r="BI5" s="12" t="s">
        <v>556</v>
      </c>
      <c r="BJ5" s="12" t="s">
        <v>553</v>
      </c>
      <c r="BK5" s="12" t="s">
        <v>554</v>
      </c>
      <c r="BL5" s="12" t="s">
        <v>555</v>
      </c>
      <c r="BM5" s="12" t="s">
        <v>556</v>
      </c>
      <c r="BN5" s="12" t="s">
        <v>553</v>
      </c>
      <c r="BO5" s="12" t="s">
        <v>554</v>
      </c>
      <c r="BP5" s="12" t="s">
        <v>555</v>
      </c>
      <c r="BQ5" s="12" t="s">
        <v>556</v>
      </c>
      <c r="BR5" s="12" t="s">
        <v>593</v>
      </c>
      <c r="BS5" s="12" t="s">
        <v>553</v>
      </c>
      <c r="BT5" s="12" t="s">
        <v>554</v>
      </c>
      <c r="BU5" s="12" t="s">
        <v>555</v>
      </c>
      <c r="BV5" s="12" t="s">
        <v>556</v>
      </c>
      <c r="BW5" s="12" t="s">
        <v>553</v>
      </c>
      <c r="BX5" s="12" t="s">
        <v>554</v>
      </c>
      <c r="BY5" s="12" t="s">
        <v>555</v>
      </c>
      <c r="BZ5" s="12" t="s">
        <v>556</v>
      </c>
      <c r="CC5" s="12" t="s">
        <v>74</v>
      </c>
      <c r="CD5" s="12" t="s">
        <v>37</v>
      </c>
      <c r="CE5" s="12" t="s">
        <v>626</v>
      </c>
      <c r="CF5" s="12" t="s">
        <v>230</v>
      </c>
      <c r="CG5" s="12" t="s">
        <v>553</v>
      </c>
      <c r="CH5" s="12" t="s">
        <v>554</v>
      </c>
      <c r="CI5" s="12" t="s">
        <v>555</v>
      </c>
      <c r="CJ5" s="12" t="s">
        <v>556</v>
      </c>
      <c r="CK5" s="12" t="s">
        <v>553</v>
      </c>
      <c r="CL5" s="12" t="s">
        <v>554</v>
      </c>
      <c r="CM5" s="12" t="s">
        <v>555</v>
      </c>
      <c r="CN5" s="12" t="s">
        <v>556</v>
      </c>
      <c r="CO5" s="12" t="s">
        <v>553</v>
      </c>
      <c r="CP5" s="12" t="s">
        <v>554</v>
      </c>
      <c r="CQ5" s="12" t="s">
        <v>555</v>
      </c>
      <c r="CR5" s="12" t="s">
        <v>556</v>
      </c>
      <c r="CU5" s="12" t="s">
        <v>74</v>
      </c>
      <c r="CV5" s="12" t="s">
        <v>37</v>
      </c>
      <c r="CW5" s="12" t="s">
        <v>553</v>
      </c>
      <c r="CX5" s="12" t="s">
        <v>554</v>
      </c>
      <c r="CY5" s="12" t="s">
        <v>555</v>
      </c>
      <c r="CZ5" s="12" t="s">
        <v>556</v>
      </c>
      <c r="DA5" s="12" t="s">
        <v>627</v>
      </c>
      <c r="DB5" s="12" t="s">
        <v>37</v>
      </c>
      <c r="DC5" s="12" t="s">
        <v>553</v>
      </c>
      <c r="DD5" s="12" t="s">
        <v>554</v>
      </c>
      <c r="DE5" s="12" t="s">
        <v>555</v>
      </c>
      <c r="DF5" s="12" t="s">
        <v>556</v>
      </c>
      <c r="DG5" s="12" t="s">
        <v>553</v>
      </c>
      <c r="DH5" s="12" t="s">
        <v>554</v>
      </c>
      <c r="DI5" s="12" t="s">
        <v>555</v>
      </c>
      <c r="DJ5" s="12" t="s">
        <v>556</v>
      </c>
      <c r="DK5" s="12" t="s">
        <v>553</v>
      </c>
      <c r="DL5" s="12" t="s">
        <v>554</v>
      </c>
      <c r="DM5" s="12" t="s">
        <v>555</v>
      </c>
      <c r="DN5" s="12" t="s">
        <v>556</v>
      </c>
      <c r="DQ5" s="12" t="s">
        <v>843</v>
      </c>
      <c r="DR5" s="12" t="s">
        <v>844</v>
      </c>
      <c r="DS5" s="12" t="s">
        <v>845</v>
      </c>
      <c r="DT5" s="12" t="s">
        <v>846</v>
      </c>
      <c r="DU5" s="12" t="s">
        <v>847</v>
      </c>
      <c r="DV5" s="12" t="s">
        <v>848</v>
      </c>
      <c r="DW5" s="12" t="s">
        <v>849</v>
      </c>
      <c r="DX5" s="12" t="s">
        <v>850</v>
      </c>
      <c r="DY5" s="12" t="s">
        <v>851</v>
      </c>
      <c r="EA5" s="12" t="s">
        <v>1155</v>
      </c>
      <c r="EB5" s="12" t="s">
        <v>1140</v>
      </c>
      <c r="EC5" s="12" t="s">
        <v>1159</v>
      </c>
      <c r="EF5" s="12" t="s">
        <v>1158</v>
      </c>
      <c r="EG5" s="12" t="s">
        <v>1157</v>
      </c>
      <c r="EH5" s="12" t="s">
        <v>1156</v>
      </c>
      <c r="EI5" s="12" t="s">
        <v>970</v>
      </c>
      <c r="EJ5" s="12" t="s">
        <v>955</v>
      </c>
      <c r="EK5" s="12" t="s">
        <v>956</v>
      </c>
      <c r="EL5" s="12" t="s">
        <v>863</v>
      </c>
      <c r="EM5" s="12" t="s">
        <v>864</v>
      </c>
      <c r="EN5" s="12" t="s">
        <v>954</v>
      </c>
      <c r="EO5" s="12" t="s">
        <v>957</v>
      </c>
      <c r="EP5" s="12" t="s">
        <v>868</v>
      </c>
      <c r="EQ5" s="12" t="s">
        <v>959</v>
      </c>
      <c r="ER5" s="12" t="s">
        <v>869</v>
      </c>
      <c r="ES5" s="12"/>
      <c r="ET5" s="12" t="s">
        <v>862</v>
      </c>
      <c r="EV5" s="12" t="s">
        <v>852</v>
      </c>
      <c r="EW5" s="12" t="s">
        <v>853</v>
      </c>
      <c r="EX5" s="12" t="s">
        <v>854</v>
      </c>
      <c r="EY5" s="12" t="s">
        <v>855</v>
      </c>
      <c r="EZ5" s="12" t="s">
        <v>856</v>
      </c>
      <c r="FA5" s="12" t="s">
        <v>857</v>
      </c>
      <c r="FB5" s="12" t="s">
        <v>858</v>
      </c>
      <c r="FC5" s="12" t="s">
        <v>859</v>
      </c>
      <c r="FD5" s="12" t="s">
        <v>860</v>
      </c>
      <c r="FG5" s="12" t="s">
        <v>886</v>
      </c>
      <c r="FH5" s="12" t="s">
        <v>964</v>
      </c>
      <c r="FI5" s="12" t="s">
        <v>871</v>
      </c>
      <c r="FJ5" s="12" t="s">
        <v>1161</v>
      </c>
      <c r="FN5" s="12" t="s">
        <v>960</v>
      </c>
      <c r="FO5" s="12" t="s">
        <v>969</v>
      </c>
      <c r="FP5" s="12" t="s">
        <v>961</v>
      </c>
      <c r="FQ5" s="12" t="s">
        <v>1160</v>
      </c>
      <c r="FR5" s="12" t="s">
        <v>968</v>
      </c>
      <c r="FS5" s="12" t="s">
        <v>963</v>
      </c>
      <c r="FT5" s="12" t="s">
        <v>962</v>
      </c>
      <c r="FU5" s="12" t="s">
        <v>955</v>
      </c>
      <c r="FV5" s="12" t="s">
        <v>956</v>
      </c>
      <c r="FW5" s="12" t="s">
        <v>863</v>
      </c>
      <c r="FX5" s="12" t="s">
        <v>864</v>
      </c>
      <c r="FY5" s="12" t="s">
        <v>954</v>
      </c>
      <c r="FZ5" s="12" t="s">
        <v>957</v>
      </c>
      <c r="GA5" s="12" t="s">
        <v>868</v>
      </c>
      <c r="GB5" s="12" t="s">
        <v>959</v>
      </c>
      <c r="GC5" s="12" t="s">
        <v>869</v>
      </c>
      <c r="GD5" s="12" t="s">
        <v>852</v>
      </c>
      <c r="GE5" s="12" t="s">
        <v>853</v>
      </c>
      <c r="GF5" s="12" t="s">
        <v>854</v>
      </c>
      <c r="GG5" s="12" t="s">
        <v>855</v>
      </c>
      <c r="GH5" s="12" t="s">
        <v>856</v>
      </c>
      <c r="GI5" s="12" t="s">
        <v>857</v>
      </c>
      <c r="GJ5" s="12" t="s">
        <v>858</v>
      </c>
      <c r="GK5" s="12" t="s">
        <v>859</v>
      </c>
      <c r="GL5" s="12" t="s">
        <v>860</v>
      </c>
    </row>
    <row r="6" spans="1:194" ht="16.5" x14ac:dyDescent="0.2">
      <c r="A6" s="81">
        <v>0</v>
      </c>
      <c r="B6" s="81">
        <v>0</v>
      </c>
      <c r="C6" s="159">
        <v>0</v>
      </c>
      <c r="D6" s="81">
        <v>0</v>
      </c>
      <c r="E6" s="81">
        <v>0</v>
      </c>
      <c r="F6" s="81">
        <v>0</v>
      </c>
      <c r="G6" s="81">
        <v>0</v>
      </c>
      <c r="H6" s="81">
        <v>0</v>
      </c>
      <c r="I6" s="81">
        <v>0</v>
      </c>
      <c r="J6" s="81">
        <v>0</v>
      </c>
      <c r="K6" s="81">
        <v>0</v>
      </c>
      <c r="L6" s="81">
        <v>0</v>
      </c>
      <c r="M6" s="81">
        <v>0</v>
      </c>
      <c r="N6" s="81">
        <v>0</v>
      </c>
      <c r="O6" s="81">
        <v>0</v>
      </c>
      <c r="P6" s="81">
        <v>0</v>
      </c>
      <c r="Q6" s="81">
        <v>0</v>
      </c>
      <c r="R6" s="81">
        <v>0</v>
      </c>
      <c r="S6" s="81">
        <v>0</v>
      </c>
      <c r="T6" s="81">
        <v>0</v>
      </c>
      <c r="U6" s="81">
        <v>0</v>
      </c>
      <c r="V6" s="81">
        <v>0</v>
      </c>
      <c r="W6" s="81">
        <v>0</v>
      </c>
      <c r="X6" s="81">
        <v>0</v>
      </c>
      <c r="Y6" s="81">
        <v>0</v>
      </c>
      <c r="Z6" s="81">
        <v>0</v>
      </c>
      <c r="AA6" s="81">
        <v>0</v>
      </c>
      <c r="AB6" s="81">
        <v>0</v>
      </c>
      <c r="AC6" s="81">
        <v>0</v>
      </c>
      <c r="AD6" s="81">
        <v>0</v>
      </c>
      <c r="AE6" s="81">
        <v>0</v>
      </c>
      <c r="AF6" s="81">
        <v>0</v>
      </c>
      <c r="AG6" s="81">
        <v>0</v>
      </c>
      <c r="AH6" s="81">
        <v>0</v>
      </c>
      <c r="AI6" s="81">
        <v>0</v>
      </c>
      <c r="AJ6" s="81">
        <v>0</v>
      </c>
      <c r="AK6" s="81">
        <v>0</v>
      </c>
      <c r="AL6" s="81">
        <v>0</v>
      </c>
      <c r="AN6" s="79" t="s">
        <v>553</v>
      </c>
      <c r="AO6" s="79">
        <v>5</v>
      </c>
      <c r="AP6" s="83">
        <v>20</v>
      </c>
      <c r="AQ6" s="83"/>
      <c r="AR6" s="83">
        <f>AO6*AP6*1000</f>
        <v>100000</v>
      </c>
      <c r="AT6" s="81" t="s">
        <v>578</v>
      </c>
      <c r="AU6" s="81">
        <v>108</v>
      </c>
      <c r="AV6" s="81">
        <f>AU$4/AU6</f>
        <v>4860</v>
      </c>
      <c r="AW6" s="32">
        <v>1</v>
      </c>
      <c r="AX6" s="32">
        <v>1</v>
      </c>
      <c r="AZ6" s="79">
        <v>1</v>
      </c>
      <c r="BA6" s="79">
        <v>37</v>
      </c>
      <c r="BB6" s="79" t="s">
        <v>576</v>
      </c>
      <c r="BC6" s="79"/>
      <c r="BD6" s="95">
        <v>1</v>
      </c>
      <c r="BE6" s="95"/>
      <c r="BF6" s="19">
        <v>0.2</v>
      </c>
      <c r="BG6" s="79"/>
      <c r="BH6" s="79"/>
      <c r="BI6" s="79"/>
      <c r="BJ6" s="81">
        <f t="shared" ref="BJ6:BJ13" si="0">$O$16*BF6</f>
        <v>206.86800000000005</v>
      </c>
      <c r="BK6" s="81">
        <f t="shared" ref="BK6:BK13" si="1">$P$16*BG6</f>
        <v>0</v>
      </c>
      <c r="BL6" s="81">
        <f t="shared" ref="BL6:BL13" si="2">$Q$16*BH6</f>
        <v>0</v>
      </c>
      <c r="BM6" s="81">
        <f t="shared" ref="BM6:BM13" si="3">$R$16*BI6</f>
        <v>0</v>
      </c>
      <c r="BN6" s="81">
        <f t="shared" ref="BN6:BN13" si="4">$Y$16*BF6</f>
        <v>426.02</v>
      </c>
      <c r="BO6" s="81">
        <f t="shared" ref="BO6:BO13" si="5">$Z$16*BG6</f>
        <v>0</v>
      </c>
      <c r="BP6" s="81">
        <f t="shared" ref="BP6:BP13" si="6">$AA$16*BH6</f>
        <v>0</v>
      </c>
      <c r="BQ6" s="81">
        <f t="shared" ref="BQ6:BQ13" si="7">$AB$16*BI6</f>
        <v>0</v>
      </c>
      <c r="BR6" s="81">
        <v>7</v>
      </c>
      <c r="BS6" s="81">
        <f t="shared" ref="BS6:BT13" si="8">$AI$16*BF6</f>
        <v>498.28000000000014</v>
      </c>
      <c r="BT6" s="81">
        <f t="shared" si="8"/>
        <v>0</v>
      </c>
      <c r="BU6" s="81">
        <f t="shared" ref="BU6:BU13" si="9">$AK$16*BH6</f>
        <v>0</v>
      </c>
      <c r="BV6" s="81">
        <f t="shared" ref="BV6:BV13" si="10">$AL$16*BI6</f>
        <v>0</v>
      </c>
      <c r="BW6" s="14">
        <f>BS6/(1-BW$4)</f>
        <v>498.28000000000014</v>
      </c>
      <c r="BX6" s="14">
        <f t="shared" ref="BX6:BZ6" si="11">BT6/(1-BX$4)</f>
        <v>0</v>
      </c>
      <c r="BY6" s="14">
        <f t="shared" si="11"/>
        <v>0</v>
      </c>
      <c r="BZ6" s="14">
        <f t="shared" si="11"/>
        <v>0</v>
      </c>
      <c r="CC6" s="81">
        <v>1</v>
      </c>
      <c r="CD6" s="81" t="e">
        <f>INDEX(节奏总表!#REF!,MATCH(专属武器强化!CC6,节奏总表!#REF!,1))</f>
        <v>#REF!</v>
      </c>
      <c r="CE6" s="81"/>
      <c r="CF6" s="81" t="e">
        <f t="shared" ref="CF6:CF37" si="12">MATCH(CD6,$B$6:$B$15,1)-1</f>
        <v>#REF!</v>
      </c>
      <c r="CG6" s="14" t="e">
        <f t="shared" ref="CG6:CG37" si="13">IF($CF6&gt;0,INDEX(AE$7:AE$15,$CF6),0)*$B$3</f>
        <v>#REF!</v>
      </c>
      <c r="CH6" s="14" t="e">
        <f t="shared" ref="CH6:CH37" si="14">IF($CF6&gt;0,INDEX(AF$7:AF$15,$CF6),0)*$B$3</f>
        <v>#REF!</v>
      </c>
      <c r="CI6" s="14" t="e">
        <f t="shared" ref="CI6:CI37" si="15">IF($CF6&gt;0,INDEX(AG$7:AG$15,$CF6),0)*$B$3</f>
        <v>#REF!</v>
      </c>
      <c r="CJ6" s="14" t="e">
        <f t="shared" ref="CJ6:CJ37" si="16">IF($CF6&gt;0,INDEX(AH$7:AH$15,$CF6),0)*$B$3</f>
        <v>#REF!</v>
      </c>
      <c r="CK6" s="14"/>
      <c r="CL6" s="14"/>
      <c r="CM6" s="14"/>
      <c r="CN6" s="14"/>
      <c r="CO6" s="14" t="e">
        <f>SUM(CG$6:CG6)</f>
        <v>#REF!</v>
      </c>
      <c r="CP6" s="14" t="e">
        <f>SUM(CH$6:CH6)</f>
        <v>#REF!</v>
      </c>
      <c r="CQ6" s="14" t="e">
        <f>SUM(CI$6:CI6)</f>
        <v>#REF!</v>
      </c>
      <c r="CR6" s="14" t="e">
        <f>SUM(CJ$6:CJ6)</f>
        <v>#REF!</v>
      </c>
      <c r="CU6" s="83">
        <v>1</v>
      </c>
      <c r="CV6" s="14" t="e">
        <f>INDEX(节奏总表!#REF!,专属武器强化!CU6)</f>
        <v>#REF!</v>
      </c>
      <c r="CW6" s="14" t="e">
        <f t="shared" ref="CW6:CW37" si="17">INDEX(CO$6:CO$65,$CU6)</f>
        <v>#REF!</v>
      </c>
      <c r="CX6" s="14" t="e">
        <f t="shared" ref="CX6:CZ6" si="18">INDEX(CP$6:CP$65,$CU6)</f>
        <v>#REF!</v>
      </c>
      <c r="CY6" s="14" t="e">
        <f t="shared" si="18"/>
        <v>#REF!</v>
      </c>
      <c r="CZ6" s="14" t="e">
        <f t="shared" si="18"/>
        <v>#REF!</v>
      </c>
      <c r="DA6" s="83"/>
      <c r="DB6" s="83"/>
      <c r="DC6" s="14"/>
      <c r="DD6" s="83"/>
      <c r="DE6" s="83"/>
      <c r="DF6" s="83"/>
      <c r="DG6" s="83"/>
      <c r="DH6" s="83"/>
      <c r="DI6" s="83"/>
      <c r="DJ6" s="83"/>
      <c r="DK6" s="83"/>
      <c r="DL6" s="83"/>
      <c r="DM6" s="83"/>
      <c r="DN6" s="83"/>
      <c r="DQ6" s="95">
        <v>1</v>
      </c>
      <c r="DR6" s="14">
        <f>INT((DQ6-1)/9)+1</f>
        <v>1</v>
      </c>
      <c r="DS6" s="14">
        <f>DQ6-(DR6-1)*9</f>
        <v>1</v>
      </c>
      <c r="DT6" s="14">
        <f t="shared" ref="DT6:DW25" si="19">INDEX($K$22:$AP$30,$DS6,($DR6-1)*4+DT$3)</f>
        <v>3.1338364779874222</v>
      </c>
      <c r="DU6" s="14">
        <f t="shared" si="19"/>
        <v>0</v>
      </c>
      <c r="DV6" s="14">
        <f t="shared" si="19"/>
        <v>0</v>
      </c>
      <c r="DW6" s="14">
        <f t="shared" si="19"/>
        <v>0</v>
      </c>
      <c r="DX6" s="14">
        <f>INDEX($BD$6:$BD$13,DR6)</f>
        <v>1</v>
      </c>
      <c r="DY6" s="14">
        <f>INDEX($BE$6:$BE$13,DR6)</f>
        <v>0</v>
      </c>
      <c r="EA6" s="139">
        <v>1</v>
      </c>
      <c r="EB6" s="139">
        <f>金币总表!AT7*0.5</f>
        <v>89010</v>
      </c>
      <c r="EC6" s="139">
        <f>ROUND(EB6/6,0)</f>
        <v>14835</v>
      </c>
      <c r="EF6" s="139">
        <v>1</v>
      </c>
      <c r="EG6" s="14">
        <f>INT((EF6-1)/9)+1</f>
        <v>1</v>
      </c>
      <c r="EH6" s="19">
        <v>0.02</v>
      </c>
      <c r="EI6" s="139">
        <v>2</v>
      </c>
      <c r="EJ6" s="139" t="s">
        <v>958</v>
      </c>
      <c r="EK6" s="139">
        <f>ROUND(INDEX($EC$6:$EC$13,EG6)*EH6/ET6,0)</f>
        <v>95</v>
      </c>
      <c r="EL6" s="139" t="s">
        <v>861</v>
      </c>
      <c r="EM6" s="139">
        <v>1</v>
      </c>
      <c r="EN6" s="139"/>
      <c r="EO6" s="139"/>
      <c r="EP6" s="139">
        <f t="shared" ref="EP6:EP37" si="20">ROUND(1/ET6,2)</f>
        <v>0.32</v>
      </c>
      <c r="EQ6" s="139">
        <v>1</v>
      </c>
      <c r="ER6" s="139">
        <f>FD6</f>
        <v>5</v>
      </c>
      <c r="ES6" s="139"/>
      <c r="ET6" s="139">
        <f t="shared" ref="ET6:ET14" si="21">DT6/EM6</f>
        <v>3.1338364779874222</v>
      </c>
      <c r="EV6">
        <v>0</v>
      </c>
      <c r="EW6">
        <v>1</v>
      </c>
      <c r="EX6">
        <f t="shared" ref="EX6:EX37" si="22">ROUND(ET6*0.35,0)</f>
        <v>1</v>
      </c>
      <c r="EY6" s="89">
        <f t="shared" ref="EY6:EY37" si="23">ROUND(1/ET6/2,4)</f>
        <v>0.1595</v>
      </c>
      <c r="EZ6">
        <v>1</v>
      </c>
      <c r="FA6">
        <f t="shared" ref="FA6:FA37" si="24">ROUND(ET6*0.7,0)</f>
        <v>2</v>
      </c>
      <c r="FB6" s="89">
        <f t="shared" ref="FB6:FB37" si="25">ROUND(2/ET6,4)</f>
        <v>0.63819999999999999</v>
      </c>
      <c r="FC6">
        <v>1</v>
      </c>
      <c r="FD6">
        <f t="shared" ref="FD6:FD37" si="26">ROUND(ET6*1.5,0)</f>
        <v>5</v>
      </c>
      <c r="FG6" s="101">
        <v>1102001</v>
      </c>
      <c r="FH6" s="101">
        <v>1102001</v>
      </c>
      <c r="FI6" s="101" t="s">
        <v>182</v>
      </c>
      <c r="FJ6" s="14">
        <f>INDEX(卡牌消耗!$C$13:$C$40,MATCH(专属武器强化!FG6,卡牌消耗!$A$13:$A$40,0))</f>
        <v>5</v>
      </c>
      <c r="FN6" s="101">
        <v>1</v>
      </c>
      <c r="FO6" s="101">
        <f>IF(FT6&gt;0,(FS6-1)*9+FT6,0)</f>
        <v>0</v>
      </c>
      <c r="FP6" s="101">
        <f>INT((FN6-1)/80+1)</f>
        <v>1</v>
      </c>
      <c r="FQ6" s="14">
        <f>INDEX($FJ$6:$FJ$26,FP6)</f>
        <v>5</v>
      </c>
      <c r="FR6" s="101" t="str">
        <f>INDEX($FI$6:$FI$26,FP6)&amp;"专属武器-魂珠-"&amp;FS6&amp;" "&amp;FT6&amp;"级"</f>
        <v>关羽专属武器-魂珠-1 0级</v>
      </c>
      <c r="FS6" s="101">
        <f>INT((FN6-(FP6-1)*80-1)/10)+1</f>
        <v>1</v>
      </c>
      <c r="FT6" s="101">
        <f>FN6-(FP6-1)*80-(FS6-1)*10-1</f>
        <v>0</v>
      </c>
      <c r="FU6" s="101" t="str">
        <f>IF($FT6&gt;0,IF(INDEX($EI$6:$EI$77,$FO6)&gt;=FU$3,INDEX(EJ$6:EJ$77,$FO6),""),"")</f>
        <v/>
      </c>
      <c r="FV6" s="101" t="str">
        <f>IF($FT6&gt;0,IF(INDEX($EI$6:$EI$77,$FO6)&gt;=FV$3,ROUND(INDEX(EK$6:EK$77,$FO6)*INDEX(卡牌消耗!$B$8:$F$8,FQ6)/5,0)*5,""),"")</f>
        <v/>
      </c>
      <c r="FW6" s="101" t="str">
        <f>IF($FT6&gt;0,IF(INDEX($EI$6:$EI$77,$FO6)&gt;=FW$3,INDEX(EL$6:EL$77,$FO6),""),"")</f>
        <v/>
      </c>
      <c r="FX6" s="101" t="str">
        <f>IF($FT6&gt;0,IF(INDEX($EI$6:$EI$77,$FO6)&gt;=FX$3,INDEX(EM$6:EM$77,$FO6),""),"")</f>
        <v/>
      </c>
      <c r="FY6" s="101" t="str">
        <f>IF($FT6&gt;0,IF(INDEX($EI$6:$EI$77,$FO6)&gt;=FY$3,INDEX(EN$6:EN$77,$FO6),""),"")</f>
        <v/>
      </c>
      <c r="FZ6" s="101" t="str">
        <f>IF($FT6&gt;0,IF(INDEX($EI$6:$EI$77,$FO6)&gt;=FZ$3,INDEX(EO$6:EO$77,$FO6),""),"")</f>
        <v/>
      </c>
      <c r="GA6" s="101" t="str">
        <f>IF($FT6&gt;0,INDEX(EP$6:EP$77,$FO6),"")</f>
        <v/>
      </c>
      <c r="GB6" s="101" t="str">
        <f>IF($FT6&gt;0,INDEX(EQ$6:EQ$77,$FO6),"")</f>
        <v/>
      </c>
      <c r="GC6" s="101" t="str">
        <f>IF($FT6&gt;0,INDEX(ER$6:ER$77,$FO6),"")</f>
        <v/>
      </c>
      <c r="GD6" s="101" t="str">
        <f t="shared" ref="GD6:GL6" si="27">IF($FT6&gt;0,INDEX(EV$6:EV$77,$FO6),"")</f>
        <v/>
      </c>
      <c r="GE6" s="101" t="str">
        <f t="shared" si="27"/>
        <v/>
      </c>
      <c r="GF6" s="101" t="str">
        <f t="shared" si="27"/>
        <v/>
      </c>
      <c r="GG6" s="101" t="str">
        <f t="shared" si="27"/>
        <v/>
      </c>
      <c r="GH6" s="101" t="str">
        <f t="shared" si="27"/>
        <v/>
      </c>
      <c r="GI6" s="101" t="str">
        <f t="shared" si="27"/>
        <v/>
      </c>
      <c r="GJ6" s="101" t="str">
        <f t="shared" si="27"/>
        <v/>
      </c>
      <c r="GK6" s="101" t="str">
        <f t="shared" si="27"/>
        <v/>
      </c>
      <c r="GL6" s="101" t="str">
        <f t="shared" si="27"/>
        <v/>
      </c>
    </row>
    <row r="7" spans="1:194" ht="16.5" x14ac:dyDescent="0.2">
      <c r="A7" s="79">
        <v>1</v>
      </c>
      <c r="B7" s="79">
        <v>37</v>
      </c>
      <c r="C7" s="159">
        <v>35</v>
      </c>
      <c r="D7" s="14">
        <f>SUMIFS(节奏总表!$U$5:$U$34,节奏总表!$M$5:$M$34,"&lt;="&amp;专属武器强化!C7,节奏总表!$M$5:$M$34,"&gt;"&amp;C6)</f>
        <v>2.87</v>
      </c>
      <c r="E7" s="81">
        <v>50</v>
      </c>
      <c r="F7" s="14">
        <f t="shared" ref="F7:F15" si="28">SUMPRODUCT(K7:N7,F$4:I$4)</f>
        <v>50</v>
      </c>
      <c r="G7" s="19">
        <v>1</v>
      </c>
      <c r="H7" s="81"/>
      <c r="I7" s="81"/>
      <c r="J7" s="81"/>
      <c r="K7" s="14">
        <f t="shared" ref="K7:K16" si="29">$E7*G7/F$4</f>
        <v>10</v>
      </c>
      <c r="L7" s="14">
        <f t="shared" ref="L7:L16" si="30">$E7*H7/G$4</f>
        <v>0</v>
      </c>
      <c r="M7" s="14">
        <f t="shared" ref="M7:M16" si="31">$E7*I7/H$4</f>
        <v>0</v>
      </c>
      <c r="N7" s="14">
        <f t="shared" ref="N7:N16" si="32">$E7*J7/I$4</f>
        <v>0</v>
      </c>
      <c r="O7" s="14">
        <f t="shared" ref="O7:O15" si="33">K7*$D7*$D$3</f>
        <v>86.100000000000009</v>
      </c>
      <c r="P7" s="14">
        <f t="shared" ref="P7:P15" si="34">L7*$D7*$D$3</f>
        <v>0</v>
      </c>
      <c r="Q7" s="14">
        <f t="shared" ref="Q7:Q15" si="35">M7*$D7*$D$3</f>
        <v>0</v>
      </c>
      <c r="R7" s="14">
        <f t="shared" ref="R7:R15" si="36">N7*$D7*$D$3</f>
        <v>0</v>
      </c>
      <c r="S7" s="14">
        <f t="shared" ref="S7:S15" si="37">E7*$AX$7</f>
        <v>70</v>
      </c>
      <c r="T7" s="14">
        <f>SUMIFS(节奏总表!$W$5:$W$34,节奏总表!$M$5:$M$34,"&lt;="&amp;专属武器强化!C7,节奏总表!$M$5:$M$34,"&gt;"&amp;C6)</f>
        <v>2.5300000000000002</v>
      </c>
      <c r="U7" s="14">
        <f t="shared" ref="U7:U15" si="38">$S7*G7/F$4</f>
        <v>14</v>
      </c>
      <c r="V7" s="14">
        <f t="shared" ref="V7:V15" si="39">$S7*H7/G$4</f>
        <v>0</v>
      </c>
      <c r="W7" s="14">
        <f t="shared" ref="W7:W15" si="40">$S7*I7/H$4</f>
        <v>0</v>
      </c>
      <c r="X7" s="14">
        <f t="shared" ref="X7:X15" si="41">$S7*J7/I$4</f>
        <v>0</v>
      </c>
      <c r="Y7" s="14">
        <f t="shared" ref="Y7:Y15" si="42">U7*$T7*$B$3</f>
        <v>177.10000000000002</v>
      </c>
      <c r="Z7" s="14">
        <f t="shared" ref="Z7:Z15" si="43">V7*$T7*$B$3</f>
        <v>0</v>
      </c>
      <c r="AA7" s="14">
        <f t="shared" ref="AA7:AA15" si="44">W7*$T7*$B$3</f>
        <v>0</v>
      </c>
      <c r="AB7" s="14">
        <f t="shared" ref="AB7:AB15" si="45">X7*$T7*$B$3</f>
        <v>0</v>
      </c>
      <c r="AC7" s="14">
        <f t="shared" ref="AC7:AC15" si="46">E7*$AX$8</f>
        <v>100</v>
      </c>
      <c r="AD7" s="14">
        <f>SUMIFS(节奏总表!$Y$5:$Y$34,节奏总表!$M$5:$M$34,"&lt;="&amp;专属武器强化!C7,节奏总表!$M$5:$M$34,"&gt;"&amp;C6)</f>
        <v>2.33</v>
      </c>
      <c r="AE7" s="14">
        <f t="shared" ref="AE7:AE15" si="47">$AC7*G7/F$4</f>
        <v>20</v>
      </c>
      <c r="AF7" s="14">
        <f t="shared" ref="AF7:AF15" si="48">$AC7*H7/G$4</f>
        <v>0</v>
      </c>
      <c r="AG7" s="14">
        <f t="shared" ref="AG7:AG15" si="49">$AC7*I7/H$4</f>
        <v>0</v>
      </c>
      <c r="AH7" s="14">
        <f t="shared" ref="AH7:AH15" si="50">$AC7*J7/I$4</f>
        <v>0</v>
      </c>
      <c r="AI7" s="14">
        <f t="shared" ref="AI7:AI15" si="51">AE7*$AD7*$B$3</f>
        <v>233</v>
      </c>
      <c r="AJ7" s="14">
        <f t="shared" ref="AJ7:AJ15" si="52">AF7*$AD7*$B$3</f>
        <v>0</v>
      </c>
      <c r="AK7" s="14">
        <f t="shared" ref="AK7:AK15" si="53">AG7*$AD7*$B$3</f>
        <v>0</v>
      </c>
      <c r="AL7" s="14">
        <f t="shared" ref="AL7:AL15" si="54">AH7*$AD7*$B$3</f>
        <v>0</v>
      </c>
      <c r="AN7" s="79" t="s">
        <v>554</v>
      </c>
      <c r="AO7" s="79">
        <v>10</v>
      </c>
      <c r="AP7" s="83">
        <v>10</v>
      </c>
      <c r="AQ7" s="83">
        <f>AO7*AP7</f>
        <v>100</v>
      </c>
      <c r="AR7" s="83"/>
      <c r="AT7" s="81" t="s">
        <v>40</v>
      </c>
      <c r="AU7" s="81">
        <v>81</v>
      </c>
      <c r="AV7" s="81">
        <f t="shared" ref="AV7:AV8" si="55">AU$4/AU7</f>
        <v>6480</v>
      </c>
      <c r="AW7" s="32">
        <f>ROUND(AV7/AV$6,4)</f>
        <v>1.3332999999999999</v>
      </c>
      <c r="AX7" s="32">
        <v>1.4</v>
      </c>
      <c r="AZ7" s="79">
        <v>2</v>
      </c>
      <c r="BA7" s="79">
        <v>53</v>
      </c>
      <c r="BB7" s="79" t="s">
        <v>569</v>
      </c>
      <c r="BC7" s="79" t="s">
        <v>557</v>
      </c>
      <c r="BD7" s="95">
        <v>1</v>
      </c>
      <c r="BE7" s="95">
        <v>2</v>
      </c>
      <c r="BF7" s="19">
        <v>0.3</v>
      </c>
      <c r="BG7" s="19">
        <v>0.1</v>
      </c>
      <c r="BH7" s="79"/>
      <c r="BI7" s="79"/>
      <c r="BJ7" s="81">
        <f t="shared" si="0"/>
        <v>310.30200000000002</v>
      </c>
      <c r="BK7" s="81">
        <f t="shared" si="1"/>
        <v>133.518</v>
      </c>
      <c r="BL7" s="81">
        <f t="shared" si="2"/>
        <v>0</v>
      </c>
      <c r="BM7" s="81">
        <f t="shared" si="3"/>
        <v>0</v>
      </c>
      <c r="BN7" s="81">
        <f t="shared" si="4"/>
        <v>639.03</v>
      </c>
      <c r="BO7" s="81">
        <f t="shared" si="5"/>
        <v>274.85499999999996</v>
      </c>
      <c r="BP7" s="81">
        <f t="shared" si="6"/>
        <v>0</v>
      </c>
      <c r="BQ7" s="81">
        <f t="shared" si="7"/>
        <v>0</v>
      </c>
      <c r="BR7" s="81">
        <v>6</v>
      </c>
      <c r="BS7" s="81">
        <f t="shared" si="8"/>
        <v>747.42000000000019</v>
      </c>
      <c r="BT7" s="81">
        <f t="shared" si="8"/>
        <v>249.14000000000007</v>
      </c>
      <c r="BU7" s="81">
        <f t="shared" si="9"/>
        <v>0</v>
      </c>
      <c r="BV7" s="81">
        <f t="shared" si="10"/>
        <v>0</v>
      </c>
      <c r="BW7" s="14">
        <f t="shared" ref="BW7:BW13" si="56">BS7/(1-BW$4)</f>
        <v>747.42000000000019</v>
      </c>
      <c r="BX7" s="14">
        <f t="shared" ref="BX7:BX13" si="57">BT7/(1-BX$4)</f>
        <v>249.14000000000007</v>
      </c>
      <c r="BY7" s="14">
        <f t="shared" ref="BY7:BY13" si="58">BU7/(1-BY$4)</f>
        <v>0</v>
      </c>
      <c r="BZ7" s="14">
        <f t="shared" ref="BZ7:BZ13" si="59">BV7/(1-BZ$4)</f>
        <v>0</v>
      </c>
      <c r="CC7" s="81">
        <v>2</v>
      </c>
      <c r="CD7" s="81" t="e">
        <f>INDEX(节奏总表!#REF!,MATCH(专属武器强化!CC7,节奏总表!#REF!,1))</f>
        <v>#REF!</v>
      </c>
      <c r="CE7" s="81">
        <v>1</v>
      </c>
      <c r="CF7" s="81" t="e">
        <f t="shared" si="12"/>
        <v>#REF!</v>
      </c>
      <c r="CG7" s="14" t="e">
        <f t="shared" si="13"/>
        <v>#REF!</v>
      </c>
      <c r="CH7" s="14" t="e">
        <f t="shared" si="14"/>
        <v>#REF!</v>
      </c>
      <c r="CI7" s="14" t="e">
        <f t="shared" si="15"/>
        <v>#REF!</v>
      </c>
      <c r="CJ7" s="14" t="e">
        <f t="shared" si="16"/>
        <v>#REF!</v>
      </c>
      <c r="CK7" s="14"/>
      <c r="CL7" s="14"/>
      <c r="CM7" s="14"/>
      <c r="CN7" s="14"/>
      <c r="CO7" s="14" t="e">
        <f>SUM(CG$6:CG7)</f>
        <v>#REF!</v>
      </c>
      <c r="CP7" s="14" t="e">
        <f>SUM(CH$6:CH7)</f>
        <v>#REF!</v>
      </c>
      <c r="CQ7" s="14" t="e">
        <f>SUM(CI$6:CI7)</f>
        <v>#REF!</v>
      </c>
      <c r="CR7" s="14" t="e">
        <f>SUM(CJ$6:CJ7)</f>
        <v>#REF!</v>
      </c>
      <c r="CU7" s="83">
        <v>2</v>
      </c>
      <c r="CV7" s="14" t="e">
        <f>INDEX(节奏总表!#REF!,专属武器强化!CU7)</f>
        <v>#REF!</v>
      </c>
      <c r="CW7" s="14" t="e">
        <f t="shared" si="17"/>
        <v>#REF!</v>
      </c>
      <c r="CX7" s="14" t="e">
        <f t="shared" ref="CX7:CX65" si="60">INDEX(CP$6:CP$65,$CU7)</f>
        <v>#REF!</v>
      </c>
      <c r="CY7" s="14" t="e">
        <f t="shared" ref="CY7:CY65" si="61">INDEX(CQ$6:CQ$65,$CU7)</f>
        <v>#REF!</v>
      </c>
      <c r="CZ7" s="14" t="e">
        <f t="shared" ref="CZ7:CZ65" si="62">INDEX(CR$6:CR$65,$CU7)</f>
        <v>#REF!</v>
      </c>
      <c r="DA7" s="83">
        <v>1</v>
      </c>
      <c r="DB7" s="83">
        <v>1</v>
      </c>
      <c r="DC7" s="14">
        <f t="shared" ref="DC7:DC16" si="63">IF(DA7&gt;0,INDEX($K$22:$AP$30,$DB7,($DA7-1)*4+1),0)*3</f>
        <v>9.401509433962266</v>
      </c>
      <c r="DD7" s="14">
        <f t="shared" ref="DD7:DD16" si="64">IF(DA7&gt;0,INDEX($K$22:$AP$30,$DB7,($DA7-1)*4+2),0)*3</f>
        <v>0</v>
      </c>
      <c r="DE7" s="14">
        <f t="shared" ref="DE7:DE16" si="65">IF(DA7&gt;0,INDEX($K$22:$AP$30,$DB7,($DA7-1)*4+3),0)*3</f>
        <v>0</v>
      </c>
      <c r="DF7" s="14">
        <f t="shared" ref="DF7:DF16" si="66">IF(DB7&gt;0,INDEX($K$22:$AP$30,$DB7,($DA7-1)*4+4),0)*3</f>
        <v>0</v>
      </c>
      <c r="DG7" s="83"/>
      <c r="DH7" s="83"/>
      <c r="DI7" s="83"/>
      <c r="DJ7" s="83"/>
      <c r="DK7" s="14" t="e">
        <f>CW7-SUM(DC$7:DC7)+SUM(DG$7:DG7)</f>
        <v>#REF!</v>
      </c>
      <c r="DL7" s="14" t="e">
        <f>CX7-SUM(DD$7:DD7)+SUM(DH$7:DH7)</f>
        <v>#REF!</v>
      </c>
      <c r="DM7" s="14" t="e">
        <f>CY7-SUM(DE$7:DE7)+SUM(DI$7:DI7)</f>
        <v>#REF!</v>
      </c>
      <c r="DN7" s="14" t="e">
        <f>CZ7-SUM(DF$7:DF7)+SUM(DJ$7:DJ7)</f>
        <v>#REF!</v>
      </c>
      <c r="DQ7" s="95">
        <v>2</v>
      </c>
      <c r="DR7" s="14">
        <f t="shared" ref="DR7:DR70" si="67">INT((DQ7-1)/9)+1</f>
        <v>1</v>
      </c>
      <c r="DS7" s="14">
        <f t="shared" ref="DS7:DS70" si="68">DQ7-(DR7-1)*9</f>
        <v>2</v>
      </c>
      <c r="DT7" s="14">
        <f t="shared" si="19"/>
        <v>6.2676729559748443</v>
      </c>
      <c r="DU7" s="14">
        <f t="shared" si="19"/>
        <v>0</v>
      </c>
      <c r="DV7" s="14">
        <f t="shared" si="19"/>
        <v>0</v>
      </c>
      <c r="DW7" s="14">
        <f t="shared" si="19"/>
        <v>0</v>
      </c>
      <c r="DX7" s="14">
        <f t="shared" ref="DX7:DX70" si="69">INDEX($BD$6:$BD$13,DR7)</f>
        <v>1</v>
      </c>
      <c r="DY7" s="14">
        <f t="shared" ref="DY7:DY70" si="70">INDEX($BE$6:$BE$13,DR7)</f>
        <v>0</v>
      </c>
      <c r="EA7" s="139">
        <v>2</v>
      </c>
      <c r="EB7" s="139">
        <f>金币总表!AT7*0.5+金币总表!AT8*0.3</f>
        <v>203601</v>
      </c>
      <c r="EC7" s="139">
        <f t="shared" ref="EC7:EC13" si="71">ROUND(EB7/6,0)</f>
        <v>33934</v>
      </c>
      <c r="EF7" s="139">
        <v>2</v>
      </c>
      <c r="EG7" s="14">
        <f t="shared" ref="EG7:EG70" si="72">INT((EF7-1)/9)+1</f>
        <v>1</v>
      </c>
      <c r="EH7" s="19">
        <v>0.03</v>
      </c>
      <c r="EI7" s="139">
        <v>2</v>
      </c>
      <c r="EJ7" s="139" t="s">
        <v>958</v>
      </c>
      <c r="EK7" s="139">
        <f t="shared" ref="EK7:EK70" si="73">ROUND(INDEX($EC$6:$EC$13,EG7)*EH7/ET7,0)</f>
        <v>142</v>
      </c>
      <c r="EL7" s="139" t="s">
        <v>861</v>
      </c>
      <c r="EM7" s="139">
        <v>2</v>
      </c>
      <c r="EN7" s="139"/>
      <c r="EO7" s="139"/>
      <c r="EP7" s="139">
        <f t="shared" si="20"/>
        <v>0.32</v>
      </c>
      <c r="EQ7" s="139">
        <v>1</v>
      </c>
      <c r="ER7" s="139">
        <f t="shared" ref="ER7:ER41" si="74">FD7</f>
        <v>5</v>
      </c>
      <c r="ES7" s="139"/>
      <c r="ET7" s="139">
        <f t="shared" si="21"/>
        <v>3.1338364779874222</v>
      </c>
      <c r="EV7">
        <v>0</v>
      </c>
      <c r="EW7">
        <v>1</v>
      </c>
      <c r="EX7">
        <f t="shared" si="22"/>
        <v>1</v>
      </c>
      <c r="EY7" s="89">
        <f t="shared" si="23"/>
        <v>0.1595</v>
      </c>
      <c r="EZ7">
        <v>1</v>
      </c>
      <c r="FA7">
        <f t="shared" si="24"/>
        <v>2</v>
      </c>
      <c r="FB7" s="89">
        <f t="shared" si="25"/>
        <v>0.63819999999999999</v>
      </c>
      <c r="FC7">
        <v>1</v>
      </c>
      <c r="FD7">
        <f t="shared" si="26"/>
        <v>5</v>
      </c>
      <c r="FG7" s="101">
        <v>1102002</v>
      </c>
      <c r="FH7" s="101">
        <v>1102002</v>
      </c>
      <c r="FI7" s="101" t="s">
        <v>183</v>
      </c>
      <c r="FJ7" s="14">
        <f>INDEX(卡牌消耗!$C$13:$C$40,MATCH(专属武器强化!FG7,卡牌消耗!$A$13:$A$40,0))</f>
        <v>3</v>
      </c>
      <c r="FN7" s="101">
        <v>2</v>
      </c>
      <c r="FO7" s="101">
        <f t="shared" ref="FO7:FO70" si="75">IF(FT7&gt;0,(FS7-1)*9+FT7,0)</f>
        <v>1</v>
      </c>
      <c r="FP7" s="101">
        <f t="shared" ref="FP7:FP70" si="76">INT((FN7-1)/80+1)</f>
        <v>1</v>
      </c>
      <c r="FQ7" s="14">
        <f t="shared" ref="FQ7:FQ70" si="77">INDEX($FJ$6:$FJ$26,FP7)</f>
        <v>5</v>
      </c>
      <c r="FR7" s="101" t="str">
        <f t="shared" ref="FR7:FR70" si="78">INDEX($FI$6:$FI$26,FP7)&amp;"专属武器-魂珠-"&amp;FS7&amp;" "&amp;FT7&amp;"级"</f>
        <v>关羽专属武器-魂珠-1 1级</v>
      </c>
      <c r="FS7" s="101">
        <f t="shared" ref="FS7:FS70" si="79">INT((FN7-(FP7-1)*80-1)/10)+1</f>
        <v>1</v>
      </c>
      <c r="FT7" s="101">
        <f t="shared" ref="FT7:FT70" si="80">FN7-(FP7-1)*80-(FS7-1)*10-1</f>
        <v>1</v>
      </c>
      <c r="FU7" s="101" t="str">
        <f t="shared" ref="FU7:FU70" si="81">IF($FT7&gt;0,IF(INDEX($EI$6:$EI$77,$FO7)&gt;=FU$3,INDEX(EJ$6:EJ$77,$FO7),""),"")</f>
        <v>金币</v>
      </c>
      <c r="FV7" s="139">
        <f>IF($FT7&gt;0,IF(INDEX($EI$6:$EI$77,$FO7)&gt;=FV$3,ROUND(INDEX(EK$6:EK$77,$FO7)*INDEX(卡牌消耗!$B$8:$F$8,FQ7)/5,0)*5,""),"")</f>
        <v>190</v>
      </c>
      <c r="FW7" s="101" t="str">
        <f t="shared" ref="FW7:FW70" si="82">IF($FT7&gt;0,IF(INDEX($EI$6:$EI$77,$FO7)&gt;=FW$3,INDEX(EL$6:EL$77,$FO7),""),"")</f>
        <v>专属强化石1</v>
      </c>
      <c r="FX7" s="101">
        <f t="shared" ref="FX7:FX70" si="83">IF($FT7&gt;0,IF(INDEX($EI$6:$EI$77,$FO7)&gt;=FX$3,INDEX(EM$6:EM$77,$FO7),""),"")</f>
        <v>1</v>
      </c>
      <c r="FY7" s="101" t="str">
        <f t="shared" ref="FY7:FY70" si="84">IF($FT7&gt;0,IF(INDEX($EI$6:$EI$77,$FO7)&gt;=FY$3,INDEX(EN$6:EN$77,$FO7),""),"")</f>
        <v/>
      </c>
      <c r="FZ7" s="101" t="str">
        <f t="shared" ref="FZ7:FZ70" si="85">IF($FT7&gt;0,IF(INDEX($EI$6:$EI$77,$FO7)&gt;=FZ$3,INDEX(EO$6:EO$77,$FO7),""),"")</f>
        <v/>
      </c>
      <c r="GA7" s="101">
        <f t="shared" ref="GA7:GA70" si="86">IF($FT7&gt;0,INDEX(EP$6:EP$77,$FO7),"")</f>
        <v>0.32</v>
      </c>
      <c r="GB7" s="101">
        <f t="shared" ref="GB7:GB70" si="87">IF($FT7&gt;0,INDEX(EQ$6:EQ$77,$FO7),"")</f>
        <v>1</v>
      </c>
      <c r="GC7" s="101">
        <f t="shared" ref="GC7:GC70" si="88">IF($FT7&gt;0,INDEX(ER$6:ER$77,$FO7),"")</f>
        <v>5</v>
      </c>
      <c r="GD7" s="101">
        <f t="shared" ref="GD7:GD70" si="89">IF($FT7&gt;0,INDEX(EV$6:EV$77,$FO7),"")</f>
        <v>0</v>
      </c>
      <c r="GE7" s="101">
        <f t="shared" ref="GE7:GE70" si="90">IF($FT7&gt;0,INDEX(EW$6:EW$77,$FO7),"")</f>
        <v>1</v>
      </c>
      <c r="GF7" s="101">
        <f t="shared" ref="GF7:GF70" si="91">IF($FT7&gt;0,INDEX(EX$6:EX$77,$FO7),"")</f>
        <v>1</v>
      </c>
      <c r="GG7" s="101">
        <f t="shared" ref="GG7:GG70" si="92">IF($FT7&gt;0,INDEX(EY$6:EY$77,$FO7),"")</f>
        <v>0.1595</v>
      </c>
      <c r="GH7" s="101">
        <f t="shared" ref="GH7:GH70" si="93">IF($FT7&gt;0,INDEX(EZ$6:EZ$77,$FO7),"")</f>
        <v>1</v>
      </c>
      <c r="GI7" s="101">
        <f t="shared" ref="GI7:GI70" si="94">IF($FT7&gt;0,INDEX(FA$6:FA$77,$FO7),"")</f>
        <v>2</v>
      </c>
      <c r="GJ7" s="101">
        <f t="shared" ref="GJ7:GJ70" si="95">IF($FT7&gt;0,INDEX(FB$6:FB$77,$FO7),"")</f>
        <v>0.63819999999999999</v>
      </c>
      <c r="GK7" s="101">
        <f t="shared" ref="GK7:GK70" si="96">IF($FT7&gt;0,INDEX(FC$6:FC$77,$FO7),"")</f>
        <v>1</v>
      </c>
      <c r="GL7" s="101">
        <f t="shared" ref="GL7:GL70" si="97">IF($FT7&gt;0,INDEX(FD$6:FD$77,$FO7),"")</f>
        <v>5</v>
      </c>
    </row>
    <row r="8" spans="1:194" ht="16.5" x14ac:dyDescent="0.2">
      <c r="A8" s="79">
        <v>2</v>
      </c>
      <c r="B8" s="79">
        <v>50</v>
      </c>
      <c r="C8" s="159">
        <v>50</v>
      </c>
      <c r="D8" s="14">
        <f>SUMIFS(节奏总表!$U$5:$U$34,节奏总表!$M$5:$M$34,"&lt;="&amp;专属武器强化!C8,节奏总表!$M$5:$M$34,"&gt;"&amp;C7)</f>
        <v>2.4</v>
      </c>
      <c r="E8" s="81">
        <v>100</v>
      </c>
      <c r="F8" s="14">
        <f t="shared" si="28"/>
        <v>100</v>
      </c>
      <c r="G8" s="19">
        <v>0.7</v>
      </c>
      <c r="H8" s="19">
        <v>0.3</v>
      </c>
      <c r="I8" s="81"/>
      <c r="J8" s="81"/>
      <c r="K8" s="14">
        <f t="shared" si="29"/>
        <v>14</v>
      </c>
      <c r="L8" s="14">
        <f t="shared" si="30"/>
        <v>3</v>
      </c>
      <c r="M8" s="14">
        <f t="shared" si="31"/>
        <v>0</v>
      </c>
      <c r="N8" s="14">
        <f t="shared" si="32"/>
        <v>0</v>
      </c>
      <c r="O8" s="14">
        <f t="shared" si="33"/>
        <v>100.80000000000001</v>
      </c>
      <c r="P8" s="14">
        <f t="shared" si="34"/>
        <v>21.599999999999998</v>
      </c>
      <c r="Q8" s="14">
        <f t="shared" si="35"/>
        <v>0</v>
      </c>
      <c r="R8" s="14">
        <f t="shared" si="36"/>
        <v>0</v>
      </c>
      <c r="S8" s="14">
        <f t="shared" si="37"/>
        <v>140</v>
      </c>
      <c r="T8" s="14">
        <f>SUMIFS(节奏总表!$W$5:$W$34,节奏总表!$M$5:$M$34,"&lt;="&amp;专属武器强化!C8,节奏总表!$M$5:$M$34,"&gt;"&amp;C7)</f>
        <v>2.12</v>
      </c>
      <c r="U8" s="14">
        <f t="shared" si="38"/>
        <v>19.600000000000001</v>
      </c>
      <c r="V8" s="14">
        <f t="shared" si="39"/>
        <v>4.2</v>
      </c>
      <c r="W8" s="14">
        <f t="shared" si="40"/>
        <v>0</v>
      </c>
      <c r="X8" s="14">
        <f t="shared" si="41"/>
        <v>0</v>
      </c>
      <c r="Y8" s="14">
        <f t="shared" si="42"/>
        <v>207.76000000000005</v>
      </c>
      <c r="Z8" s="14">
        <f t="shared" si="43"/>
        <v>44.52000000000001</v>
      </c>
      <c r="AA8" s="14">
        <f t="shared" si="44"/>
        <v>0</v>
      </c>
      <c r="AB8" s="14">
        <f t="shared" si="45"/>
        <v>0</v>
      </c>
      <c r="AC8" s="14">
        <f t="shared" si="46"/>
        <v>200</v>
      </c>
      <c r="AD8" s="14">
        <f>SUMIFS(节奏总表!$Y$5:$Y$34,节奏总表!$M$5:$M$34,"&lt;="&amp;专属武器强化!C8,节奏总表!$M$5:$M$34,"&gt;"&amp;C7)</f>
        <v>1.71</v>
      </c>
      <c r="AE8" s="14">
        <f t="shared" si="47"/>
        <v>28</v>
      </c>
      <c r="AF8" s="14">
        <f t="shared" si="48"/>
        <v>6</v>
      </c>
      <c r="AG8" s="14">
        <f t="shared" si="49"/>
        <v>0</v>
      </c>
      <c r="AH8" s="14">
        <f t="shared" si="50"/>
        <v>0</v>
      </c>
      <c r="AI8" s="14">
        <f t="shared" si="51"/>
        <v>239.39999999999998</v>
      </c>
      <c r="AJ8" s="14">
        <f t="shared" si="52"/>
        <v>51.3</v>
      </c>
      <c r="AK8" s="14">
        <f t="shared" si="53"/>
        <v>0</v>
      </c>
      <c r="AL8" s="14">
        <f t="shared" si="54"/>
        <v>0</v>
      </c>
      <c r="AN8" s="79" t="s">
        <v>555</v>
      </c>
      <c r="AO8" s="79">
        <v>20</v>
      </c>
      <c r="AP8" s="83">
        <v>5</v>
      </c>
      <c r="AQ8" s="83">
        <f>AO8*AP8</f>
        <v>100</v>
      </c>
      <c r="AR8" s="83"/>
      <c r="AT8" s="81" t="s">
        <v>579</v>
      </c>
      <c r="AU8" s="81">
        <v>60</v>
      </c>
      <c r="AV8" s="81">
        <f t="shared" si="55"/>
        <v>8748</v>
      </c>
      <c r="AW8" s="32">
        <f>ROUND(AV8/AV$6,4)</f>
        <v>1.8</v>
      </c>
      <c r="AX8" s="32">
        <v>2</v>
      </c>
      <c r="AZ8" s="79">
        <v>3</v>
      </c>
      <c r="BA8" s="79">
        <v>77</v>
      </c>
      <c r="BB8" s="79" t="s">
        <v>558</v>
      </c>
      <c r="BC8" s="79" t="s">
        <v>567</v>
      </c>
      <c r="BD8" s="95">
        <v>1</v>
      </c>
      <c r="BE8" s="95">
        <v>2</v>
      </c>
      <c r="BF8" s="19">
        <v>0.5</v>
      </c>
      <c r="BG8" s="19">
        <v>0.25</v>
      </c>
      <c r="BH8" s="79"/>
      <c r="BI8" s="79"/>
      <c r="BJ8" s="81">
        <f t="shared" si="0"/>
        <v>517.17000000000007</v>
      </c>
      <c r="BK8" s="81">
        <f t="shared" si="1"/>
        <v>333.79499999999996</v>
      </c>
      <c r="BL8" s="81">
        <f t="shared" si="2"/>
        <v>0</v>
      </c>
      <c r="BM8" s="81">
        <f t="shared" si="3"/>
        <v>0</v>
      </c>
      <c r="BN8" s="81">
        <f t="shared" si="4"/>
        <v>1065.05</v>
      </c>
      <c r="BO8" s="81">
        <f t="shared" si="5"/>
        <v>687.13749999999993</v>
      </c>
      <c r="BP8" s="81">
        <f t="shared" si="6"/>
        <v>0</v>
      </c>
      <c r="BQ8" s="81">
        <f t="shared" si="7"/>
        <v>0</v>
      </c>
      <c r="BR8" s="81">
        <v>6</v>
      </c>
      <c r="BS8" s="81">
        <f t="shared" si="8"/>
        <v>1245.7000000000003</v>
      </c>
      <c r="BT8" s="81">
        <f t="shared" si="8"/>
        <v>622.85000000000014</v>
      </c>
      <c r="BU8" s="81">
        <f t="shared" si="9"/>
        <v>0</v>
      </c>
      <c r="BV8" s="81">
        <f t="shared" si="10"/>
        <v>0</v>
      </c>
      <c r="BW8" s="14">
        <f t="shared" si="56"/>
        <v>1245.7000000000003</v>
      </c>
      <c r="BX8" s="14">
        <f t="shared" si="57"/>
        <v>622.85000000000014</v>
      </c>
      <c r="BY8" s="14">
        <f t="shared" si="58"/>
        <v>0</v>
      </c>
      <c r="BZ8" s="14">
        <f t="shared" si="59"/>
        <v>0</v>
      </c>
      <c r="CC8" s="81">
        <v>3</v>
      </c>
      <c r="CD8" s="81" t="e">
        <f>INDEX(节奏总表!#REF!,MATCH(专属武器强化!CC8,节奏总表!#REF!,1))</f>
        <v>#REF!</v>
      </c>
      <c r="CE8" s="81"/>
      <c r="CF8" s="81" t="e">
        <f t="shared" si="12"/>
        <v>#REF!</v>
      </c>
      <c r="CG8" s="14" t="e">
        <f t="shared" si="13"/>
        <v>#REF!</v>
      </c>
      <c r="CH8" s="14" t="e">
        <f t="shared" si="14"/>
        <v>#REF!</v>
      </c>
      <c r="CI8" s="14" t="e">
        <f t="shared" si="15"/>
        <v>#REF!</v>
      </c>
      <c r="CJ8" s="14" t="e">
        <f t="shared" si="16"/>
        <v>#REF!</v>
      </c>
      <c r="CK8" s="14"/>
      <c r="CL8" s="14"/>
      <c r="CM8" s="14"/>
      <c r="CN8" s="14"/>
      <c r="CO8" s="14" t="e">
        <f>SUM(CG$6:CG8)</f>
        <v>#REF!</v>
      </c>
      <c r="CP8" s="14" t="e">
        <f>SUM(CH$6:CH8)</f>
        <v>#REF!</v>
      </c>
      <c r="CQ8" s="14" t="e">
        <f>SUM(CI$6:CI8)</f>
        <v>#REF!</v>
      </c>
      <c r="CR8" s="14" t="e">
        <f>SUM(CJ$6:CJ8)</f>
        <v>#REF!</v>
      </c>
      <c r="CU8" s="83">
        <v>2</v>
      </c>
      <c r="CV8" s="14" t="e">
        <f>INDEX(节奏总表!#REF!,专属武器强化!CU8)</f>
        <v>#REF!</v>
      </c>
      <c r="CW8" s="14" t="e">
        <f t="shared" si="17"/>
        <v>#REF!</v>
      </c>
      <c r="CX8" s="14" t="e">
        <f t="shared" si="60"/>
        <v>#REF!</v>
      </c>
      <c r="CY8" s="14" t="e">
        <f t="shared" si="61"/>
        <v>#REF!</v>
      </c>
      <c r="CZ8" s="14" t="e">
        <f t="shared" si="62"/>
        <v>#REF!</v>
      </c>
      <c r="DA8" s="83">
        <v>1</v>
      </c>
      <c r="DB8" s="83">
        <v>2</v>
      </c>
      <c r="DC8" s="14">
        <f t="shared" si="63"/>
        <v>18.803018867924532</v>
      </c>
      <c r="DD8" s="14">
        <f t="shared" si="64"/>
        <v>0</v>
      </c>
      <c r="DE8" s="14">
        <f t="shared" si="65"/>
        <v>0</v>
      </c>
      <c r="DF8" s="14">
        <f t="shared" si="66"/>
        <v>0</v>
      </c>
      <c r="DG8" s="83"/>
      <c r="DH8" s="83"/>
      <c r="DI8" s="83"/>
      <c r="DJ8" s="83"/>
      <c r="DK8" s="14" t="e">
        <f>CW8-SUM(DC$7:DC8)+SUM(DG$7:DG8)</f>
        <v>#REF!</v>
      </c>
      <c r="DL8" s="14" t="e">
        <f>CX8-SUM(DD$7:DD8)+SUM(DH$7:DH8)</f>
        <v>#REF!</v>
      </c>
      <c r="DM8" s="14" t="e">
        <f>CY8-SUM(DE$7:DE8)+SUM(DI$7:DI8)</f>
        <v>#REF!</v>
      </c>
      <c r="DN8" s="14" t="e">
        <f>CZ8-SUM(DF$7:DF8)+SUM(DJ$7:DJ8)</f>
        <v>#REF!</v>
      </c>
      <c r="DQ8" s="95">
        <v>3</v>
      </c>
      <c r="DR8" s="14">
        <f t="shared" si="67"/>
        <v>1</v>
      </c>
      <c r="DS8" s="14">
        <f t="shared" si="68"/>
        <v>3</v>
      </c>
      <c r="DT8" s="14">
        <f t="shared" si="19"/>
        <v>9.401509433962266</v>
      </c>
      <c r="DU8" s="14">
        <f t="shared" si="19"/>
        <v>0</v>
      </c>
      <c r="DV8" s="14">
        <f t="shared" si="19"/>
        <v>0</v>
      </c>
      <c r="DW8" s="14">
        <f t="shared" si="19"/>
        <v>0</v>
      </c>
      <c r="DX8" s="14">
        <f t="shared" si="69"/>
        <v>1</v>
      </c>
      <c r="DY8" s="14">
        <f t="shared" si="70"/>
        <v>0</v>
      </c>
      <c r="EA8" s="139">
        <v>3</v>
      </c>
      <c r="EB8" s="139">
        <f>金币总表!AT8*0.7+金币总表!AT9*0.3</f>
        <v>530839</v>
      </c>
      <c r="EC8" s="139">
        <f t="shared" si="71"/>
        <v>88473</v>
      </c>
      <c r="EF8" s="139">
        <v>3</v>
      </c>
      <c r="EG8" s="14">
        <f t="shared" si="72"/>
        <v>1</v>
      </c>
      <c r="EH8" s="19">
        <f>EH6+EH7</f>
        <v>0.05</v>
      </c>
      <c r="EI8" s="139">
        <v>2</v>
      </c>
      <c r="EJ8" s="139" t="s">
        <v>958</v>
      </c>
      <c r="EK8" s="139">
        <f t="shared" si="73"/>
        <v>237</v>
      </c>
      <c r="EL8" s="139" t="s">
        <v>861</v>
      </c>
      <c r="EM8" s="139">
        <v>3</v>
      </c>
      <c r="EN8" s="139"/>
      <c r="EO8" s="139"/>
      <c r="EP8" s="139">
        <f t="shared" si="20"/>
        <v>0.32</v>
      </c>
      <c r="EQ8" s="139">
        <v>1</v>
      </c>
      <c r="ER8" s="139">
        <f t="shared" si="74"/>
        <v>5</v>
      </c>
      <c r="ES8" s="139"/>
      <c r="ET8" s="139">
        <f t="shared" si="21"/>
        <v>3.1338364779874222</v>
      </c>
      <c r="EV8">
        <v>0</v>
      </c>
      <c r="EW8">
        <v>1</v>
      </c>
      <c r="EX8">
        <f t="shared" si="22"/>
        <v>1</v>
      </c>
      <c r="EY8" s="89">
        <f t="shared" si="23"/>
        <v>0.1595</v>
      </c>
      <c r="EZ8">
        <v>1</v>
      </c>
      <c r="FA8">
        <f t="shared" si="24"/>
        <v>2</v>
      </c>
      <c r="FB8" s="89">
        <f t="shared" si="25"/>
        <v>0.63819999999999999</v>
      </c>
      <c r="FC8">
        <v>1</v>
      </c>
      <c r="FD8">
        <f t="shared" si="26"/>
        <v>5</v>
      </c>
      <c r="FG8" s="101">
        <v>1102003</v>
      </c>
      <c r="FH8" s="101">
        <v>1102003</v>
      </c>
      <c r="FI8" s="101" t="s">
        <v>184</v>
      </c>
      <c r="FJ8" s="14">
        <f>INDEX(卡牌消耗!$C$13:$C$40,MATCH(专属武器强化!FG8,卡牌消耗!$A$13:$A$40,0))</f>
        <v>4</v>
      </c>
      <c r="FN8" s="101">
        <v>3</v>
      </c>
      <c r="FO8" s="101">
        <f t="shared" si="75"/>
        <v>2</v>
      </c>
      <c r="FP8" s="101">
        <f t="shared" si="76"/>
        <v>1</v>
      </c>
      <c r="FQ8" s="14">
        <f t="shared" si="77"/>
        <v>5</v>
      </c>
      <c r="FR8" s="101" t="str">
        <f t="shared" si="78"/>
        <v>关羽专属武器-魂珠-1 2级</v>
      </c>
      <c r="FS8" s="101">
        <f t="shared" si="79"/>
        <v>1</v>
      </c>
      <c r="FT8" s="101">
        <f t="shared" si="80"/>
        <v>2</v>
      </c>
      <c r="FU8" s="101" t="str">
        <f t="shared" si="81"/>
        <v>金币</v>
      </c>
      <c r="FV8" s="139">
        <f>IF($FT8&gt;0,IF(INDEX($EI$6:$EI$77,$FO8)&gt;=FV$3,ROUND(INDEX(EK$6:EK$77,$FO8)*INDEX(卡牌消耗!$B$8:$F$8,FQ8)/5,0)*5,""),"")</f>
        <v>285</v>
      </c>
      <c r="FW8" s="101" t="str">
        <f t="shared" si="82"/>
        <v>专属强化石1</v>
      </c>
      <c r="FX8" s="101">
        <f t="shared" si="83"/>
        <v>2</v>
      </c>
      <c r="FY8" s="101" t="str">
        <f t="shared" si="84"/>
        <v/>
      </c>
      <c r="FZ8" s="101" t="str">
        <f t="shared" si="85"/>
        <v/>
      </c>
      <c r="GA8" s="101">
        <f t="shared" si="86"/>
        <v>0.32</v>
      </c>
      <c r="GB8" s="101">
        <f t="shared" si="87"/>
        <v>1</v>
      </c>
      <c r="GC8" s="101">
        <f t="shared" si="88"/>
        <v>5</v>
      </c>
      <c r="GD8" s="101">
        <f t="shared" si="89"/>
        <v>0</v>
      </c>
      <c r="GE8" s="101">
        <f t="shared" si="90"/>
        <v>1</v>
      </c>
      <c r="GF8" s="101">
        <f t="shared" si="91"/>
        <v>1</v>
      </c>
      <c r="GG8" s="101">
        <f t="shared" si="92"/>
        <v>0.1595</v>
      </c>
      <c r="GH8" s="101">
        <f t="shared" si="93"/>
        <v>1</v>
      </c>
      <c r="GI8" s="101">
        <f t="shared" si="94"/>
        <v>2</v>
      </c>
      <c r="GJ8" s="101">
        <f t="shared" si="95"/>
        <v>0.63819999999999999</v>
      </c>
      <c r="GK8" s="101">
        <f t="shared" si="96"/>
        <v>1</v>
      </c>
      <c r="GL8" s="101">
        <f t="shared" si="97"/>
        <v>5</v>
      </c>
    </row>
    <row r="9" spans="1:194" ht="16.5" x14ac:dyDescent="0.2">
      <c r="A9" s="79">
        <v>3</v>
      </c>
      <c r="B9" s="79">
        <v>65</v>
      </c>
      <c r="C9" s="159">
        <v>65</v>
      </c>
      <c r="D9" s="14">
        <f>SUMIFS(节奏总表!$U$5:$U$34,节奏总表!$M$5:$M$34,"&lt;="&amp;专属武器强化!C9,节奏总表!$M$5:$M$34,"&gt;"&amp;C8)</f>
        <v>3.5600000000000005</v>
      </c>
      <c r="E9" s="81">
        <v>150</v>
      </c>
      <c r="F9" s="14">
        <f t="shared" si="28"/>
        <v>150</v>
      </c>
      <c r="G9" s="19">
        <v>0.6</v>
      </c>
      <c r="H9" s="19">
        <v>0.4</v>
      </c>
      <c r="I9" s="81"/>
      <c r="J9" s="81"/>
      <c r="K9" s="14">
        <f t="shared" si="29"/>
        <v>18</v>
      </c>
      <c r="L9" s="14">
        <f t="shared" si="30"/>
        <v>6</v>
      </c>
      <c r="M9" s="14">
        <f t="shared" si="31"/>
        <v>0</v>
      </c>
      <c r="N9" s="14">
        <f t="shared" si="32"/>
        <v>0</v>
      </c>
      <c r="O9" s="14">
        <f t="shared" si="33"/>
        <v>192.24000000000004</v>
      </c>
      <c r="P9" s="14">
        <f t="shared" si="34"/>
        <v>64.080000000000013</v>
      </c>
      <c r="Q9" s="14">
        <f t="shared" si="35"/>
        <v>0</v>
      </c>
      <c r="R9" s="14">
        <f t="shared" si="36"/>
        <v>0</v>
      </c>
      <c r="S9" s="14">
        <f t="shared" si="37"/>
        <v>210</v>
      </c>
      <c r="T9" s="14">
        <f>SUMIFS(节奏总表!$W$5:$W$34,节奏总表!$M$5:$M$34,"&lt;="&amp;专属武器强化!C9,节奏总表!$M$5:$M$34,"&gt;"&amp;C8)</f>
        <v>3.1399999999999997</v>
      </c>
      <c r="U9" s="14">
        <f t="shared" si="38"/>
        <v>25.2</v>
      </c>
      <c r="V9" s="14">
        <f t="shared" si="39"/>
        <v>8.4</v>
      </c>
      <c r="W9" s="14">
        <f t="shared" si="40"/>
        <v>0</v>
      </c>
      <c r="X9" s="14">
        <f t="shared" si="41"/>
        <v>0</v>
      </c>
      <c r="Y9" s="14">
        <f t="shared" si="42"/>
        <v>395.63999999999993</v>
      </c>
      <c r="Z9" s="14">
        <f t="shared" si="43"/>
        <v>131.88</v>
      </c>
      <c r="AA9" s="14">
        <f t="shared" si="44"/>
        <v>0</v>
      </c>
      <c r="AB9" s="14">
        <f t="shared" si="45"/>
        <v>0</v>
      </c>
      <c r="AC9" s="14">
        <f t="shared" si="46"/>
        <v>300</v>
      </c>
      <c r="AD9" s="14">
        <f>SUMIFS(节奏总表!$Y$5:$Y$34,节奏总表!$M$5:$M$34,"&lt;="&amp;专属武器强化!C9,节奏总表!$M$5:$M$34,"&gt;"&amp;C8)</f>
        <v>2.5499999999999998</v>
      </c>
      <c r="AE9" s="14">
        <f t="shared" si="47"/>
        <v>36</v>
      </c>
      <c r="AF9" s="14">
        <f t="shared" si="48"/>
        <v>12</v>
      </c>
      <c r="AG9" s="14">
        <f t="shared" si="49"/>
        <v>0</v>
      </c>
      <c r="AH9" s="14">
        <f t="shared" si="50"/>
        <v>0</v>
      </c>
      <c r="AI9" s="14">
        <f t="shared" si="51"/>
        <v>459</v>
      </c>
      <c r="AJ9" s="14">
        <f t="shared" si="52"/>
        <v>153</v>
      </c>
      <c r="AK9" s="14">
        <f t="shared" si="53"/>
        <v>0</v>
      </c>
      <c r="AL9" s="14">
        <f t="shared" si="54"/>
        <v>0</v>
      </c>
      <c r="AN9" s="79" t="s">
        <v>556</v>
      </c>
      <c r="AO9" s="79">
        <v>50</v>
      </c>
      <c r="AP9" s="83">
        <v>5</v>
      </c>
      <c r="AQ9" s="83">
        <f>AO9*AP9</f>
        <v>250</v>
      </c>
      <c r="AR9" s="83"/>
      <c r="AZ9" s="79">
        <v>4</v>
      </c>
      <c r="BA9" s="79">
        <v>97</v>
      </c>
      <c r="BB9" s="79" t="s">
        <v>559</v>
      </c>
      <c r="BC9" s="79" t="s">
        <v>560</v>
      </c>
      <c r="BD9" s="95">
        <v>2</v>
      </c>
      <c r="BE9" s="95">
        <v>3</v>
      </c>
      <c r="BF9" s="79"/>
      <c r="BG9" s="19">
        <v>0.3</v>
      </c>
      <c r="BH9" s="19">
        <v>0.1</v>
      </c>
      <c r="BI9" s="79"/>
      <c r="BJ9" s="81">
        <f t="shared" si="0"/>
        <v>0</v>
      </c>
      <c r="BK9" s="81">
        <f t="shared" si="1"/>
        <v>400.55399999999992</v>
      </c>
      <c r="BL9" s="81">
        <f t="shared" si="2"/>
        <v>118.2765</v>
      </c>
      <c r="BM9" s="81">
        <f t="shared" si="3"/>
        <v>0</v>
      </c>
      <c r="BN9" s="81">
        <f t="shared" si="4"/>
        <v>0</v>
      </c>
      <c r="BO9" s="81">
        <f t="shared" si="5"/>
        <v>824.56499999999994</v>
      </c>
      <c r="BP9" s="81">
        <f t="shared" si="6"/>
        <v>243.50900000000001</v>
      </c>
      <c r="BQ9" s="81">
        <f t="shared" si="7"/>
        <v>0</v>
      </c>
      <c r="BR9" s="81">
        <v>5</v>
      </c>
      <c r="BS9" s="81">
        <f t="shared" si="8"/>
        <v>0</v>
      </c>
      <c r="BT9" s="81">
        <f t="shared" si="8"/>
        <v>747.42000000000019</v>
      </c>
      <c r="BU9" s="81">
        <f t="shared" si="9"/>
        <v>281.62000000000006</v>
      </c>
      <c r="BV9" s="81">
        <f t="shared" si="10"/>
        <v>0</v>
      </c>
      <c r="BW9" s="14">
        <f t="shared" si="56"/>
        <v>0</v>
      </c>
      <c r="BX9" s="14">
        <f t="shared" si="57"/>
        <v>747.42000000000019</v>
      </c>
      <c r="BY9" s="14">
        <f t="shared" si="58"/>
        <v>281.62000000000006</v>
      </c>
      <c r="BZ9" s="14">
        <f t="shared" si="59"/>
        <v>0</v>
      </c>
      <c r="CC9" s="81">
        <v>4</v>
      </c>
      <c r="CD9" s="81" t="e">
        <f>INDEX(节奏总表!#REF!,MATCH(专属武器强化!CC9,节奏总表!#REF!,1))</f>
        <v>#REF!</v>
      </c>
      <c r="CE9" s="81">
        <v>2</v>
      </c>
      <c r="CF9" s="81" t="e">
        <f t="shared" si="12"/>
        <v>#REF!</v>
      </c>
      <c r="CG9" s="14" t="e">
        <f t="shared" si="13"/>
        <v>#REF!</v>
      </c>
      <c r="CH9" s="14" t="e">
        <f t="shared" si="14"/>
        <v>#REF!</v>
      </c>
      <c r="CI9" s="14" t="e">
        <f t="shared" si="15"/>
        <v>#REF!</v>
      </c>
      <c r="CJ9" s="14" t="e">
        <f t="shared" si="16"/>
        <v>#REF!</v>
      </c>
      <c r="CK9" s="14"/>
      <c r="CL9" s="14"/>
      <c r="CM9" s="14"/>
      <c r="CN9" s="14"/>
      <c r="CO9" s="14" t="e">
        <f>SUM(CG$6:CG9)</f>
        <v>#REF!</v>
      </c>
      <c r="CP9" s="14" t="e">
        <f>SUM(CH$6:CH9)</f>
        <v>#REF!</v>
      </c>
      <c r="CQ9" s="14" t="e">
        <f>SUM(CI$6:CI9)</f>
        <v>#REF!</v>
      </c>
      <c r="CR9" s="14" t="e">
        <f>SUM(CJ$6:CJ9)</f>
        <v>#REF!</v>
      </c>
      <c r="CU9" s="83">
        <v>2</v>
      </c>
      <c r="CV9" s="14" t="e">
        <f>INDEX(节奏总表!#REF!,专属武器强化!CU9)</f>
        <v>#REF!</v>
      </c>
      <c r="CW9" s="14" t="e">
        <f t="shared" si="17"/>
        <v>#REF!</v>
      </c>
      <c r="CX9" s="14" t="e">
        <f t="shared" si="60"/>
        <v>#REF!</v>
      </c>
      <c r="CY9" s="14" t="e">
        <f t="shared" si="61"/>
        <v>#REF!</v>
      </c>
      <c r="CZ9" s="14" t="e">
        <f t="shared" si="62"/>
        <v>#REF!</v>
      </c>
      <c r="DA9" s="83">
        <v>1</v>
      </c>
      <c r="DB9" s="83">
        <v>3</v>
      </c>
      <c r="DC9" s="14">
        <f t="shared" si="63"/>
        <v>28.204528301886796</v>
      </c>
      <c r="DD9" s="14">
        <f t="shared" si="64"/>
        <v>0</v>
      </c>
      <c r="DE9" s="14">
        <f t="shared" si="65"/>
        <v>0</v>
      </c>
      <c r="DF9" s="14">
        <f t="shared" si="66"/>
        <v>0</v>
      </c>
      <c r="DG9" s="83"/>
      <c r="DH9" s="83"/>
      <c r="DI9" s="83"/>
      <c r="DJ9" s="83"/>
      <c r="DK9" s="14" t="e">
        <f>CW9-SUM(DC$7:DC9)+SUM(DG$7:DG9)</f>
        <v>#REF!</v>
      </c>
      <c r="DL9" s="14" t="e">
        <f>CX9-SUM(DD$7:DD9)+SUM(DH$7:DH9)</f>
        <v>#REF!</v>
      </c>
      <c r="DM9" s="14" t="e">
        <f>CY9-SUM(DE$7:DE9)+SUM(DI$7:DI9)</f>
        <v>#REF!</v>
      </c>
      <c r="DN9" s="14" t="e">
        <f>CZ9-SUM(DF$7:DF9)+SUM(DJ$7:DJ9)</f>
        <v>#REF!</v>
      </c>
      <c r="DQ9" s="95">
        <v>4</v>
      </c>
      <c r="DR9" s="14">
        <f t="shared" si="67"/>
        <v>1</v>
      </c>
      <c r="DS9" s="14">
        <f t="shared" si="68"/>
        <v>4</v>
      </c>
      <c r="DT9" s="14">
        <f t="shared" si="19"/>
        <v>15.669182389937111</v>
      </c>
      <c r="DU9" s="14">
        <f t="shared" si="19"/>
        <v>0</v>
      </c>
      <c r="DV9" s="14">
        <f t="shared" si="19"/>
        <v>0</v>
      </c>
      <c r="DW9" s="14">
        <f t="shared" si="19"/>
        <v>0</v>
      </c>
      <c r="DX9" s="14">
        <f t="shared" si="69"/>
        <v>1</v>
      </c>
      <c r="DY9" s="14">
        <f t="shared" si="70"/>
        <v>0</v>
      </c>
      <c r="EA9" s="139">
        <v>4</v>
      </c>
      <c r="EB9" s="139">
        <f>金币总表!AT9*0.7+金币总表!AT10*0.3</f>
        <v>1081385.5</v>
      </c>
      <c r="EC9" s="139">
        <f t="shared" si="71"/>
        <v>180231</v>
      </c>
      <c r="EF9" s="139">
        <v>4</v>
      </c>
      <c r="EG9" s="14">
        <f t="shared" si="72"/>
        <v>1</v>
      </c>
      <c r="EH9" s="19">
        <f t="shared" ref="EH9:EH14" si="98">EH7+EH8</f>
        <v>0.08</v>
      </c>
      <c r="EI9" s="139">
        <v>2</v>
      </c>
      <c r="EJ9" s="139" t="s">
        <v>958</v>
      </c>
      <c r="EK9" s="139">
        <f t="shared" si="73"/>
        <v>303</v>
      </c>
      <c r="EL9" s="139" t="s">
        <v>861</v>
      </c>
      <c r="EM9" s="139">
        <v>4</v>
      </c>
      <c r="EN9" s="139"/>
      <c r="EO9" s="139"/>
      <c r="EP9" s="139">
        <f t="shared" si="20"/>
        <v>0.26</v>
      </c>
      <c r="EQ9" s="139">
        <v>1</v>
      </c>
      <c r="ER9" s="139">
        <f t="shared" si="74"/>
        <v>6</v>
      </c>
      <c r="ES9" s="139"/>
      <c r="ET9" s="139">
        <f t="shared" si="21"/>
        <v>3.9172955974842778</v>
      </c>
      <c r="EV9">
        <v>0</v>
      </c>
      <c r="EW9">
        <v>1</v>
      </c>
      <c r="EX9">
        <f t="shared" si="22"/>
        <v>1</v>
      </c>
      <c r="EY9" s="89">
        <f t="shared" si="23"/>
        <v>0.12759999999999999</v>
      </c>
      <c r="EZ9">
        <v>1</v>
      </c>
      <c r="FA9">
        <f t="shared" si="24"/>
        <v>3</v>
      </c>
      <c r="FB9" s="89">
        <f t="shared" si="25"/>
        <v>0.51060000000000005</v>
      </c>
      <c r="FC9">
        <v>1</v>
      </c>
      <c r="FD9">
        <f t="shared" si="26"/>
        <v>6</v>
      </c>
      <c r="FG9" s="101">
        <v>1102005</v>
      </c>
      <c r="FH9" s="101">
        <v>1102005</v>
      </c>
      <c r="FI9" s="101" t="s">
        <v>186</v>
      </c>
      <c r="FJ9" s="14">
        <f>INDEX(卡牌消耗!$C$13:$C$40,MATCH(专属武器强化!FG9,卡牌消耗!$A$13:$A$40,0))</f>
        <v>3</v>
      </c>
      <c r="FN9" s="101">
        <v>4</v>
      </c>
      <c r="FO9" s="101">
        <f t="shared" si="75"/>
        <v>3</v>
      </c>
      <c r="FP9" s="101">
        <f t="shared" si="76"/>
        <v>1</v>
      </c>
      <c r="FQ9" s="14">
        <f t="shared" si="77"/>
        <v>5</v>
      </c>
      <c r="FR9" s="101" t="str">
        <f t="shared" si="78"/>
        <v>关羽专属武器-魂珠-1 3级</v>
      </c>
      <c r="FS9" s="101">
        <f t="shared" si="79"/>
        <v>1</v>
      </c>
      <c r="FT9" s="101">
        <f t="shared" si="80"/>
        <v>3</v>
      </c>
      <c r="FU9" s="101" t="str">
        <f t="shared" si="81"/>
        <v>金币</v>
      </c>
      <c r="FV9" s="139">
        <f>IF($FT9&gt;0,IF(INDEX($EI$6:$EI$77,$FO9)&gt;=FV$3,ROUND(INDEX(EK$6:EK$77,$FO9)*INDEX(卡牌消耗!$B$8:$F$8,FQ9)/5,0)*5,""),"")</f>
        <v>475</v>
      </c>
      <c r="FW9" s="101" t="str">
        <f t="shared" si="82"/>
        <v>专属强化石1</v>
      </c>
      <c r="FX9" s="101">
        <f t="shared" si="83"/>
        <v>3</v>
      </c>
      <c r="FY9" s="101" t="str">
        <f t="shared" si="84"/>
        <v/>
      </c>
      <c r="FZ9" s="101" t="str">
        <f t="shared" si="85"/>
        <v/>
      </c>
      <c r="GA9" s="101">
        <f t="shared" si="86"/>
        <v>0.32</v>
      </c>
      <c r="GB9" s="101">
        <f t="shared" si="87"/>
        <v>1</v>
      </c>
      <c r="GC9" s="101">
        <f t="shared" si="88"/>
        <v>5</v>
      </c>
      <c r="GD9" s="101">
        <f t="shared" si="89"/>
        <v>0</v>
      </c>
      <c r="GE9" s="101">
        <f t="shared" si="90"/>
        <v>1</v>
      </c>
      <c r="GF9" s="101">
        <f t="shared" si="91"/>
        <v>1</v>
      </c>
      <c r="GG9" s="101">
        <f t="shared" si="92"/>
        <v>0.1595</v>
      </c>
      <c r="GH9" s="101">
        <f t="shared" si="93"/>
        <v>1</v>
      </c>
      <c r="GI9" s="101">
        <f t="shared" si="94"/>
        <v>2</v>
      </c>
      <c r="GJ9" s="101">
        <f t="shared" si="95"/>
        <v>0.63819999999999999</v>
      </c>
      <c r="GK9" s="101">
        <f t="shared" si="96"/>
        <v>1</v>
      </c>
      <c r="GL9" s="101">
        <f t="shared" si="97"/>
        <v>5</v>
      </c>
    </row>
    <row r="10" spans="1:194" ht="16.5" x14ac:dyDescent="0.2">
      <c r="A10" s="79">
        <v>4</v>
      </c>
      <c r="B10" s="79">
        <v>80</v>
      </c>
      <c r="C10" s="159">
        <v>80</v>
      </c>
      <c r="D10" s="14">
        <f>SUMIFS(节奏总表!$U$5:$U$34,节奏总表!$M$5:$M$34,"&lt;="&amp;专属武器强化!C10,节奏总表!$M$5:$M$34,"&gt;"&amp;C9)</f>
        <v>6</v>
      </c>
      <c r="E10" s="81">
        <v>200</v>
      </c>
      <c r="F10" s="14">
        <f t="shared" si="28"/>
        <v>200</v>
      </c>
      <c r="G10" s="19">
        <v>0.5</v>
      </c>
      <c r="H10" s="19">
        <v>0.5</v>
      </c>
      <c r="I10" s="19"/>
      <c r="J10" s="81"/>
      <c r="K10" s="14">
        <f t="shared" si="29"/>
        <v>20</v>
      </c>
      <c r="L10" s="14">
        <f t="shared" si="30"/>
        <v>10</v>
      </c>
      <c r="M10" s="14">
        <f t="shared" si="31"/>
        <v>0</v>
      </c>
      <c r="N10" s="14">
        <f t="shared" si="32"/>
        <v>0</v>
      </c>
      <c r="O10" s="14">
        <f t="shared" si="33"/>
        <v>360</v>
      </c>
      <c r="P10" s="14">
        <f t="shared" si="34"/>
        <v>180</v>
      </c>
      <c r="Q10" s="14">
        <f t="shared" si="35"/>
        <v>0</v>
      </c>
      <c r="R10" s="14">
        <f t="shared" si="36"/>
        <v>0</v>
      </c>
      <c r="S10" s="14">
        <f t="shared" si="37"/>
        <v>280</v>
      </c>
      <c r="T10" s="14">
        <f>SUMIFS(节奏总表!$W$5:$W$34,节奏总表!$M$5:$M$34,"&lt;="&amp;专属武器强化!C10,节奏总表!$M$5:$M$34,"&gt;"&amp;C9)</f>
        <v>5.3000000000000007</v>
      </c>
      <c r="U10" s="14">
        <f t="shared" si="38"/>
        <v>28</v>
      </c>
      <c r="V10" s="14">
        <f t="shared" si="39"/>
        <v>14</v>
      </c>
      <c r="W10" s="14">
        <f t="shared" si="40"/>
        <v>0</v>
      </c>
      <c r="X10" s="14">
        <f t="shared" si="41"/>
        <v>0</v>
      </c>
      <c r="Y10" s="14">
        <f t="shared" si="42"/>
        <v>742.00000000000023</v>
      </c>
      <c r="Z10" s="14">
        <f t="shared" si="43"/>
        <v>371.00000000000011</v>
      </c>
      <c r="AA10" s="14">
        <f t="shared" si="44"/>
        <v>0</v>
      </c>
      <c r="AB10" s="14">
        <f t="shared" si="45"/>
        <v>0</v>
      </c>
      <c r="AC10" s="14">
        <f t="shared" si="46"/>
        <v>400</v>
      </c>
      <c r="AD10" s="14">
        <f>SUMIFS(节奏总表!$Y$5:$Y$34,节奏总表!$M$5:$M$34,"&lt;="&amp;专属武器强化!C10,节奏总表!$M$5:$M$34,"&gt;"&amp;C9)</f>
        <v>4.29</v>
      </c>
      <c r="AE10" s="14">
        <f t="shared" si="47"/>
        <v>40</v>
      </c>
      <c r="AF10" s="14">
        <f t="shared" si="48"/>
        <v>20</v>
      </c>
      <c r="AG10" s="14">
        <f t="shared" si="49"/>
        <v>0</v>
      </c>
      <c r="AH10" s="14">
        <f t="shared" si="50"/>
        <v>0</v>
      </c>
      <c r="AI10" s="14">
        <f t="shared" si="51"/>
        <v>858</v>
      </c>
      <c r="AJ10" s="14">
        <f t="shared" si="52"/>
        <v>429</v>
      </c>
      <c r="AK10" s="14">
        <f t="shared" si="53"/>
        <v>0</v>
      </c>
      <c r="AL10" s="14">
        <f t="shared" si="54"/>
        <v>0</v>
      </c>
      <c r="AZ10" s="79">
        <v>5</v>
      </c>
      <c r="BA10" s="79">
        <v>107</v>
      </c>
      <c r="BB10" s="79" t="s">
        <v>559</v>
      </c>
      <c r="BC10" s="79" t="s">
        <v>568</v>
      </c>
      <c r="BD10" s="95">
        <v>2</v>
      </c>
      <c r="BE10" s="95">
        <v>3</v>
      </c>
      <c r="BF10" s="79"/>
      <c r="BG10" s="19">
        <v>0.35</v>
      </c>
      <c r="BH10" s="19">
        <v>0.2</v>
      </c>
      <c r="BI10" s="79"/>
      <c r="BJ10" s="81">
        <f t="shared" si="0"/>
        <v>0</v>
      </c>
      <c r="BK10" s="81">
        <f t="shared" si="1"/>
        <v>467.31299999999993</v>
      </c>
      <c r="BL10" s="81">
        <f t="shared" si="2"/>
        <v>236.553</v>
      </c>
      <c r="BM10" s="81">
        <f t="shared" si="3"/>
        <v>0</v>
      </c>
      <c r="BN10" s="81">
        <f t="shared" si="4"/>
        <v>0</v>
      </c>
      <c r="BO10" s="81">
        <f t="shared" si="5"/>
        <v>961.99249999999984</v>
      </c>
      <c r="BP10" s="81">
        <f t="shared" si="6"/>
        <v>487.01800000000003</v>
      </c>
      <c r="BQ10" s="81">
        <f t="shared" si="7"/>
        <v>0</v>
      </c>
      <c r="BR10" s="81">
        <v>5</v>
      </c>
      <c r="BS10" s="81">
        <f t="shared" si="8"/>
        <v>0</v>
      </c>
      <c r="BT10" s="81">
        <f t="shared" si="8"/>
        <v>871.99000000000012</v>
      </c>
      <c r="BU10" s="81">
        <f t="shared" si="9"/>
        <v>563.24000000000012</v>
      </c>
      <c r="BV10" s="81">
        <f t="shared" si="10"/>
        <v>0</v>
      </c>
      <c r="BW10" s="14">
        <f t="shared" si="56"/>
        <v>0</v>
      </c>
      <c r="BX10" s="14">
        <f t="shared" si="57"/>
        <v>871.99000000000012</v>
      </c>
      <c r="BY10" s="14">
        <f t="shared" si="58"/>
        <v>563.24000000000012</v>
      </c>
      <c r="BZ10" s="14">
        <f t="shared" si="59"/>
        <v>0</v>
      </c>
      <c r="CC10" s="81">
        <v>5</v>
      </c>
      <c r="CD10" s="81" t="e">
        <f>INDEX(节奏总表!#REF!,MATCH(专属武器强化!CC10,节奏总表!#REF!,1))</f>
        <v>#REF!</v>
      </c>
      <c r="CE10" s="81"/>
      <c r="CF10" s="81" t="e">
        <f t="shared" si="12"/>
        <v>#REF!</v>
      </c>
      <c r="CG10" s="14" t="e">
        <f t="shared" si="13"/>
        <v>#REF!</v>
      </c>
      <c r="CH10" s="14" t="e">
        <f t="shared" si="14"/>
        <v>#REF!</v>
      </c>
      <c r="CI10" s="14" t="e">
        <f t="shared" si="15"/>
        <v>#REF!</v>
      </c>
      <c r="CJ10" s="14" t="e">
        <f t="shared" si="16"/>
        <v>#REF!</v>
      </c>
      <c r="CK10" s="14"/>
      <c r="CL10" s="14"/>
      <c r="CM10" s="14"/>
      <c r="CN10" s="14"/>
      <c r="CO10" s="14" t="e">
        <f>SUM(CG$6:CG10)</f>
        <v>#REF!</v>
      </c>
      <c r="CP10" s="14" t="e">
        <f>SUM(CH$6:CH10)</f>
        <v>#REF!</v>
      </c>
      <c r="CQ10" s="14" t="e">
        <f>SUM(CI$6:CI10)</f>
        <v>#REF!</v>
      </c>
      <c r="CR10" s="14" t="e">
        <f>SUM(CJ$6:CJ10)</f>
        <v>#REF!</v>
      </c>
      <c r="CU10" s="83">
        <v>3</v>
      </c>
      <c r="CV10" s="14" t="e">
        <f>INDEX(节奏总表!#REF!,专属武器强化!CU10)</f>
        <v>#REF!</v>
      </c>
      <c r="CW10" s="14" t="e">
        <f t="shared" si="17"/>
        <v>#REF!</v>
      </c>
      <c r="CX10" s="14" t="e">
        <f t="shared" si="60"/>
        <v>#REF!</v>
      </c>
      <c r="CY10" s="14" t="e">
        <f t="shared" si="61"/>
        <v>#REF!</v>
      </c>
      <c r="CZ10" s="14" t="e">
        <f t="shared" si="62"/>
        <v>#REF!</v>
      </c>
      <c r="DA10" s="83">
        <v>1</v>
      </c>
      <c r="DB10" s="83">
        <v>4</v>
      </c>
      <c r="DC10" s="14">
        <f t="shared" si="63"/>
        <v>47.007547169811332</v>
      </c>
      <c r="DD10" s="14">
        <f t="shared" si="64"/>
        <v>0</v>
      </c>
      <c r="DE10" s="14">
        <f t="shared" si="65"/>
        <v>0</v>
      </c>
      <c r="DF10" s="14">
        <f t="shared" si="66"/>
        <v>0</v>
      </c>
      <c r="DG10" s="83"/>
      <c r="DH10" s="83"/>
      <c r="DI10" s="83"/>
      <c r="DJ10" s="83"/>
      <c r="DK10" s="14" t="e">
        <f>CW10-SUM(DC$7:DC10)+SUM(DG$7:DG10)</f>
        <v>#REF!</v>
      </c>
      <c r="DL10" s="14" t="e">
        <f>CX10-SUM(DD$7:DD10)+SUM(DH$7:DH10)</f>
        <v>#REF!</v>
      </c>
      <c r="DM10" s="14" t="e">
        <f>CY10-SUM(DE$7:DE10)+SUM(DI$7:DI10)</f>
        <v>#REF!</v>
      </c>
      <c r="DN10" s="14" t="e">
        <f>CZ10-SUM(DF$7:DF10)+SUM(DJ$7:DJ10)</f>
        <v>#REF!</v>
      </c>
      <c r="DQ10" s="95">
        <v>5</v>
      </c>
      <c r="DR10" s="14">
        <f t="shared" si="67"/>
        <v>1</v>
      </c>
      <c r="DS10" s="14">
        <f t="shared" si="68"/>
        <v>5</v>
      </c>
      <c r="DT10" s="14">
        <f t="shared" si="19"/>
        <v>25.070691823899377</v>
      </c>
      <c r="DU10" s="14">
        <f t="shared" si="19"/>
        <v>0</v>
      </c>
      <c r="DV10" s="14">
        <f t="shared" si="19"/>
        <v>0</v>
      </c>
      <c r="DW10" s="14">
        <f t="shared" si="19"/>
        <v>0</v>
      </c>
      <c r="DX10" s="14">
        <f t="shared" si="69"/>
        <v>1</v>
      </c>
      <c r="DY10" s="14">
        <f t="shared" si="70"/>
        <v>0</v>
      </c>
      <c r="EA10" s="139">
        <v>5</v>
      </c>
      <c r="EB10" s="139">
        <f>金币总表!AT10*0.7+金币总表!AT11*0.3</f>
        <v>2216978.7000000002</v>
      </c>
      <c r="EC10" s="139">
        <f t="shared" si="71"/>
        <v>369496</v>
      </c>
      <c r="EF10" s="139">
        <v>5</v>
      </c>
      <c r="EG10" s="14">
        <f t="shared" si="72"/>
        <v>1</v>
      </c>
      <c r="EH10" s="19">
        <f t="shared" si="98"/>
        <v>0.13</v>
      </c>
      <c r="EI10" s="139">
        <v>2</v>
      </c>
      <c r="EJ10" s="139" t="s">
        <v>958</v>
      </c>
      <c r="EK10" s="139">
        <f t="shared" si="73"/>
        <v>385</v>
      </c>
      <c r="EL10" s="139" t="s">
        <v>861</v>
      </c>
      <c r="EM10" s="139">
        <v>5</v>
      </c>
      <c r="EN10" s="139"/>
      <c r="EO10" s="139"/>
      <c r="EP10" s="139">
        <f t="shared" si="20"/>
        <v>0.2</v>
      </c>
      <c r="EQ10" s="139">
        <v>1</v>
      </c>
      <c r="ER10" s="139">
        <f t="shared" si="74"/>
        <v>8</v>
      </c>
      <c r="ES10" s="139"/>
      <c r="ET10" s="139">
        <f t="shared" si="21"/>
        <v>5.0141383647798756</v>
      </c>
      <c r="EV10">
        <v>0</v>
      </c>
      <c r="EW10">
        <v>1</v>
      </c>
      <c r="EX10">
        <f t="shared" si="22"/>
        <v>2</v>
      </c>
      <c r="EY10" s="89">
        <f t="shared" si="23"/>
        <v>9.9699999999999997E-2</v>
      </c>
      <c r="EZ10">
        <v>1</v>
      </c>
      <c r="FA10">
        <f t="shared" si="24"/>
        <v>4</v>
      </c>
      <c r="FB10" s="89">
        <f t="shared" si="25"/>
        <v>0.39889999999999998</v>
      </c>
      <c r="FC10">
        <v>1</v>
      </c>
      <c r="FD10">
        <f t="shared" si="26"/>
        <v>8</v>
      </c>
      <c r="FG10" s="101">
        <v>1102006</v>
      </c>
      <c r="FH10" s="101">
        <v>1102006</v>
      </c>
      <c r="FI10" s="101" t="s">
        <v>187</v>
      </c>
      <c r="FJ10" s="14">
        <f>INDEX(卡牌消耗!$C$13:$C$40,MATCH(专属武器强化!FG10,卡牌消耗!$A$13:$A$40,0))</f>
        <v>5</v>
      </c>
      <c r="FN10" s="101">
        <v>5</v>
      </c>
      <c r="FO10" s="101">
        <f t="shared" si="75"/>
        <v>4</v>
      </c>
      <c r="FP10" s="101">
        <f t="shared" si="76"/>
        <v>1</v>
      </c>
      <c r="FQ10" s="14">
        <f t="shared" si="77"/>
        <v>5</v>
      </c>
      <c r="FR10" s="101" t="str">
        <f t="shared" si="78"/>
        <v>关羽专属武器-魂珠-1 4级</v>
      </c>
      <c r="FS10" s="101">
        <f t="shared" si="79"/>
        <v>1</v>
      </c>
      <c r="FT10" s="101">
        <f t="shared" si="80"/>
        <v>4</v>
      </c>
      <c r="FU10" s="101" t="str">
        <f t="shared" si="81"/>
        <v>金币</v>
      </c>
      <c r="FV10" s="139">
        <f>IF($FT10&gt;0,IF(INDEX($EI$6:$EI$77,$FO10)&gt;=FV$3,ROUND(INDEX(EK$6:EK$77,$FO10)*INDEX(卡牌消耗!$B$8:$F$8,FQ10)/5,0)*5,""),"")</f>
        <v>605</v>
      </c>
      <c r="FW10" s="101" t="str">
        <f t="shared" si="82"/>
        <v>专属强化石1</v>
      </c>
      <c r="FX10" s="101">
        <f t="shared" si="83"/>
        <v>4</v>
      </c>
      <c r="FY10" s="101" t="str">
        <f t="shared" si="84"/>
        <v/>
      </c>
      <c r="FZ10" s="101" t="str">
        <f t="shared" si="85"/>
        <v/>
      </c>
      <c r="GA10" s="101">
        <f t="shared" si="86"/>
        <v>0.26</v>
      </c>
      <c r="GB10" s="101">
        <f t="shared" si="87"/>
        <v>1</v>
      </c>
      <c r="GC10" s="101">
        <f t="shared" si="88"/>
        <v>6</v>
      </c>
      <c r="GD10" s="101">
        <f t="shared" si="89"/>
        <v>0</v>
      </c>
      <c r="GE10" s="101">
        <f t="shared" si="90"/>
        <v>1</v>
      </c>
      <c r="GF10" s="101">
        <f t="shared" si="91"/>
        <v>1</v>
      </c>
      <c r="GG10" s="101">
        <f t="shared" si="92"/>
        <v>0.12759999999999999</v>
      </c>
      <c r="GH10" s="101">
        <f t="shared" si="93"/>
        <v>1</v>
      </c>
      <c r="GI10" s="101">
        <f t="shared" si="94"/>
        <v>3</v>
      </c>
      <c r="GJ10" s="101">
        <f t="shared" si="95"/>
        <v>0.51060000000000005</v>
      </c>
      <c r="GK10" s="101">
        <f t="shared" si="96"/>
        <v>1</v>
      </c>
      <c r="GL10" s="101">
        <f t="shared" si="97"/>
        <v>6</v>
      </c>
    </row>
    <row r="11" spans="1:194" ht="16.5" x14ac:dyDescent="0.2">
      <c r="A11" s="79">
        <v>5</v>
      </c>
      <c r="B11" s="79">
        <v>95</v>
      </c>
      <c r="C11" s="159">
        <v>95</v>
      </c>
      <c r="D11" s="14">
        <f>SUMIFS(节奏总表!$U$5:$U$34,节奏总表!$M$5:$M$34,"&lt;="&amp;专属武器强化!C11,节奏总表!$M$5:$M$34,"&gt;"&amp;C10)</f>
        <v>9.84</v>
      </c>
      <c r="E11" s="81">
        <v>250</v>
      </c>
      <c r="F11" s="14">
        <f t="shared" si="28"/>
        <v>250</v>
      </c>
      <c r="G11" s="19">
        <v>0.2</v>
      </c>
      <c r="H11" s="19">
        <v>0.6</v>
      </c>
      <c r="I11" s="19">
        <v>0.2</v>
      </c>
      <c r="J11" s="81"/>
      <c r="K11" s="14">
        <f t="shared" si="29"/>
        <v>10</v>
      </c>
      <c r="L11" s="14">
        <f t="shared" si="30"/>
        <v>15</v>
      </c>
      <c r="M11" s="14">
        <f t="shared" si="31"/>
        <v>2.5</v>
      </c>
      <c r="N11" s="14">
        <f t="shared" si="32"/>
        <v>0</v>
      </c>
      <c r="O11" s="14">
        <f t="shared" si="33"/>
        <v>295.20000000000005</v>
      </c>
      <c r="P11" s="14">
        <f t="shared" si="34"/>
        <v>442.79999999999995</v>
      </c>
      <c r="Q11" s="14">
        <f t="shared" si="35"/>
        <v>73.800000000000011</v>
      </c>
      <c r="R11" s="14">
        <f t="shared" si="36"/>
        <v>0</v>
      </c>
      <c r="S11" s="14">
        <f t="shared" si="37"/>
        <v>350</v>
      </c>
      <c r="T11" s="14">
        <f>SUMIFS(节奏总表!$W$5:$W$34,节奏总表!$M$5:$M$34,"&lt;="&amp;专属武器强化!C11,节奏总表!$M$5:$M$34,"&gt;"&amp;C10)</f>
        <v>8.6799999999999979</v>
      </c>
      <c r="U11" s="14">
        <f t="shared" si="38"/>
        <v>14</v>
      </c>
      <c r="V11" s="14">
        <f t="shared" si="39"/>
        <v>21</v>
      </c>
      <c r="W11" s="14">
        <f t="shared" si="40"/>
        <v>3.5</v>
      </c>
      <c r="X11" s="14">
        <f t="shared" si="41"/>
        <v>0</v>
      </c>
      <c r="Y11" s="14">
        <f t="shared" si="42"/>
        <v>607.5999999999998</v>
      </c>
      <c r="Z11" s="14">
        <f t="shared" si="43"/>
        <v>911.39999999999975</v>
      </c>
      <c r="AA11" s="14">
        <f t="shared" si="44"/>
        <v>151.89999999999995</v>
      </c>
      <c r="AB11" s="14">
        <f t="shared" si="45"/>
        <v>0</v>
      </c>
      <c r="AC11" s="14">
        <f t="shared" si="46"/>
        <v>500</v>
      </c>
      <c r="AD11" s="14">
        <f>SUMIFS(节奏总表!$Y$5:$Y$34,节奏总表!$M$5:$M$34,"&lt;="&amp;专属武器强化!C11,节奏总表!$M$5:$M$34,"&gt;"&amp;C10)</f>
        <v>7.0200000000000014</v>
      </c>
      <c r="AE11" s="14">
        <f t="shared" si="47"/>
        <v>20</v>
      </c>
      <c r="AF11" s="14">
        <f t="shared" si="48"/>
        <v>30</v>
      </c>
      <c r="AG11" s="14">
        <f t="shared" si="49"/>
        <v>5</v>
      </c>
      <c r="AH11" s="14">
        <f t="shared" si="50"/>
        <v>0</v>
      </c>
      <c r="AI11" s="14">
        <f t="shared" si="51"/>
        <v>702.00000000000023</v>
      </c>
      <c r="AJ11" s="14">
        <f t="shared" si="52"/>
        <v>1053.0000000000002</v>
      </c>
      <c r="AK11" s="14">
        <f t="shared" si="53"/>
        <v>175.50000000000006</v>
      </c>
      <c r="AL11" s="14">
        <f t="shared" si="54"/>
        <v>0</v>
      </c>
      <c r="AZ11" s="79">
        <v>6</v>
      </c>
      <c r="BA11" s="79">
        <v>117</v>
      </c>
      <c r="BB11" s="79" t="s">
        <v>561</v>
      </c>
      <c r="BC11" s="79" t="s">
        <v>562</v>
      </c>
      <c r="BD11" s="95">
        <v>3</v>
      </c>
      <c r="BE11" s="95">
        <v>4</v>
      </c>
      <c r="BF11" s="79"/>
      <c r="BG11" s="79"/>
      <c r="BH11" s="19">
        <v>0.35</v>
      </c>
      <c r="BI11" s="19">
        <v>0.15</v>
      </c>
      <c r="BJ11" s="81">
        <f t="shared" si="0"/>
        <v>0</v>
      </c>
      <c r="BK11" s="81">
        <f t="shared" si="1"/>
        <v>0</v>
      </c>
      <c r="BL11" s="81">
        <f t="shared" si="2"/>
        <v>413.96774999999991</v>
      </c>
      <c r="BM11" s="81">
        <f t="shared" si="3"/>
        <v>83.627100000000013</v>
      </c>
      <c r="BN11" s="81">
        <f t="shared" si="4"/>
        <v>0</v>
      </c>
      <c r="BO11" s="81">
        <f t="shared" si="5"/>
        <v>0</v>
      </c>
      <c r="BP11" s="81">
        <f t="shared" si="6"/>
        <v>852.28150000000005</v>
      </c>
      <c r="BQ11" s="81">
        <f t="shared" si="7"/>
        <v>172.17060000000001</v>
      </c>
      <c r="BR11" s="81">
        <v>4</v>
      </c>
      <c r="BS11" s="81">
        <f t="shared" si="8"/>
        <v>0</v>
      </c>
      <c r="BT11" s="81">
        <f t="shared" si="8"/>
        <v>0</v>
      </c>
      <c r="BU11" s="81">
        <f t="shared" si="9"/>
        <v>985.67000000000007</v>
      </c>
      <c r="BV11" s="81">
        <f t="shared" si="10"/>
        <v>199.13399999999999</v>
      </c>
      <c r="BW11" s="14">
        <f t="shared" si="56"/>
        <v>0</v>
      </c>
      <c r="BX11" s="14">
        <f t="shared" si="57"/>
        <v>0</v>
      </c>
      <c r="BY11" s="14">
        <f t="shared" si="58"/>
        <v>985.67000000000007</v>
      </c>
      <c r="BZ11" s="14">
        <f t="shared" si="59"/>
        <v>199.13399999999999</v>
      </c>
      <c r="CC11" s="81">
        <v>6</v>
      </c>
      <c r="CD11" s="81" t="e">
        <f>INDEX(节奏总表!#REF!,MATCH(专属武器强化!CC11,节奏总表!#REF!,1))</f>
        <v>#REF!</v>
      </c>
      <c r="CE11" s="81"/>
      <c r="CF11" s="81" t="e">
        <f t="shared" si="12"/>
        <v>#REF!</v>
      </c>
      <c r="CG11" s="14" t="e">
        <f t="shared" si="13"/>
        <v>#REF!</v>
      </c>
      <c r="CH11" s="14" t="e">
        <f t="shared" si="14"/>
        <v>#REF!</v>
      </c>
      <c r="CI11" s="14" t="e">
        <f t="shared" si="15"/>
        <v>#REF!</v>
      </c>
      <c r="CJ11" s="14" t="e">
        <f t="shared" si="16"/>
        <v>#REF!</v>
      </c>
      <c r="CK11" s="14"/>
      <c r="CL11" s="14"/>
      <c r="CM11" s="14"/>
      <c r="CN11" s="14"/>
      <c r="CO11" s="14" t="e">
        <f>SUM(CG$6:CG11)</f>
        <v>#REF!</v>
      </c>
      <c r="CP11" s="14" t="e">
        <f>SUM(CH$6:CH11)</f>
        <v>#REF!</v>
      </c>
      <c r="CQ11" s="14" t="e">
        <f>SUM(CI$6:CI11)</f>
        <v>#REF!</v>
      </c>
      <c r="CR11" s="14" t="e">
        <f>SUM(CJ$6:CJ11)</f>
        <v>#REF!</v>
      </c>
      <c r="CU11" s="83">
        <v>3</v>
      </c>
      <c r="CV11" s="14" t="e">
        <f>INDEX(节奏总表!#REF!,专属武器强化!CU11)</f>
        <v>#REF!</v>
      </c>
      <c r="CW11" s="14" t="e">
        <f t="shared" si="17"/>
        <v>#REF!</v>
      </c>
      <c r="CX11" s="14" t="e">
        <f t="shared" si="60"/>
        <v>#REF!</v>
      </c>
      <c r="CY11" s="14" t="e">
        <f t="shared" si="61"/>
        <v>#REF!</v>
      </c>
      <c r="CZ11" s="14" t="e">
        <f t="shared" si="62"/>
        <v>#REF!</v>
      </c>
      <c r="DA11" s="83">
        <v>1</v>
      </c>
      <c r="DB11" s="83">
        <v>5</v>
      </c>
      <c r="DC11" s="14">
        <f t="shared" si="63"/>
        <v>75.212075471698128</v>
      </c>
      <c r="DD11" s="14">
        <f t="shared" si="64"/>
        <v>0</v>
      </c>
      <c r="DE11" s="14">
        <f t="shared" si="65"/>
        <v>0</v>
      </c>
      <c r="DF11" s="14">
        <f t="shared" si="66"/>
        <v>0</v>
      </c>
      <c r="DG11" s="83">
        <v>40</v>
      </c>
      <c r="DH11" s="83"/>
      <c r="DI11" s="83"/>
      <c r="DJ11" s="83"/>
      <c r="DK11" s="14" t="e">
        <f>CW11-SUM(DC$7:DC11)+SUM(DG$7:DG11)</f>
        <v>#REF!</v>
      </c>
      <c r="DL11" s="14" t="e">
        <f>CX11-SUM(DD$7:DD11)+SUM(DH$7:DH11)</f>
        <v>#REF!</v>
      </c>
      <c r="DM11" s="14" t="e">
        <f>CY11-SUM(DE$7:DE11)+SUM(DI$7:DI11)</f>
        <v>#REF!</v>
      </c>
      <c r="DN11" s="14" t="e">
        <f>CZ11-SUM(DF$7:DF11)+SUM(DJ$7:DJ11)</f>
        <v>#REF!</v>
      </c>
      <c r="DQ11" s="95">
        <v>6</v>
      </c>
      <c r="DR11" s="14">
        <f t="shared" si="67"/>
        <v>1</v>
      </c>
      <c r="DS11" s="14">
        <f t="shared" si="68"/>
        <v>6</v>
      </c>
      <c r="DT11" s="14">
        <f t="shared" si="19"/>
        <v>40.739874213836494</v>
      </c>
      <c r="DU11" s="14">
        <f t="shared" si="19"/>
        <v>0</v>
      </c>
      <c r="DV11" s="14">
        <f t="shared" si="19"/>
        <v>0</v>
      </c>
      <c r="DW11" s="14">
        <f t="shared" si="19"/>
        <v>0</v>
      </c>
      <c r="DX11" s="14">
        <f t="shared" si="69"/>
        <v>1</v>
      </c>
      <c r="DY11" s="14">
        <f t="shared" si="70"/>
        <v>0</v>
      </c>
      <c r="EA11" s="139">
        <v>6</v>
      </c>
      <c r="EB11" s="139">
        <f>金币总表!AT11*0.7</f>
        <v>2632324.7999999998</v>
      </c>
      <c r="EC11" s="139">
        <f t="shared" si="71"/>
        <v>438721</v>
      </c>
      <c r="EF11" s="139">
        <v>6</v>
      </c>
      <c r="EG11" s="14">
        <f t="shared" si="72"/>
        <v>1</v>
      </c>
      <c r="EH11" s="19">
        <f t="shared" si="98"/>
        <v>0.21000000000000002</v>
      </c>
      <c r="EI11" s="139">
        <v>2</v>
      </c>
      <c r="EJ11" s="139" t="s">
        <v>958</v>
      </c>
      <c r="EK11" s="139">
        <f t="shared" si="73"/>
        <v>459</v>
      </c>
      <c r="EL11" s="139" t="s">
        <v>861</v>
      </c>
      <c r="EM11" s="139">
        <v>6</v>
      </c>
      <c r="EN11" s="139"/>
      <c r="EO11" s="139"/>
      <c r="EP11" s="139">
        <f t="shared" si="20"/>
        <v>0.15</v>
      </c>
      <c r="EQ11" s="139">
        <v>1</v>
      </c>
      <c r="ER11" s="139">
        <f t="shared" si="74"/>
        <v>10</v>
      </c>
      <c r="ES11" s="139"/>
      <c r="ET11" s="139">
        <f t="shared" si="21"/>
        <v>6.7899790356394156</v>
      </c>
      <c r="EV11">
        <v>0</v>
      </c>
      <c r="EW11">
        <v>1</v>
      </c>
      <c r="EX11">
        <f t="shared" si="22"/>
        <v>2</v>
      </c>
      <c r="EY11" s="89">
        <f t="shared" si="23"/>
        <v>7.3599999999999999E-2</v>
      </c>
      <c r="EZ11">
        <v>1</v>
      </c>
      <c r="FA11">
        <f t="shared" si="24"/>
        <v>5</v>
      </c>
      <c r="FB11" s="89">
        <f t="shared" si="25"/>
        <v>0.29459999999999997</v>
      </c>
      <c r="FC11">
        <v>1</v>
      </c>
      <c r="FD11">
        <f t="shared" si="26"/>
        <v>10</v>
      </c>
      <c r="FG11" s="101">
        <v>1102007</v>
      </c>
      <c r="FH11" s="101">
        <v>1102007</v>
      </c>
      <c r="FI11" s="101" t="s">
        <v>188</v>
      </c>
      <c r="FJ11" s="14">
        <f>INDEX(卡牌消耗!$C$13:$C$40,MATCH(专属武器强化!FG11,卡牌消耗!$A$13:$A$40,0))</f>
        <v>4</v>
      </c>
      <c r="FN11" s="101">
        <v>6</v>
      </c>
      <c r="FO11" s="101">
        <f t="shared" si="75"/>
        <v>5</v>
      </c>
      <c r="FP11" s="101">
        <f t="shared" si="76"/>
        <v>1</v>
      </c>
      <c r="FQ11" s="14">
        <f t="shared" si="77"/>
        <v>5</v>
      </c>
      <c r="FR11" s="101" t="str">
        <f t="shared" si="78"/>
        <v>关羽专属武器-魂珠-1 5级</v>
      </c>
      <c r="FS11" s="101">
        <f t="shared" si="79"/>
        <v>1</v>
      </c>
      <c r="FT11" s="101">
        <f t="shared" si="80"/>
        <v>5</v>
      </c>
      <c r="FU11" s="101" t="str">
        <f t="shared" si="81"/>
        <v>金币</v>
      </c>
      <c r="FV11" s="139">
        <f>IF($FT11&gt;0,IF(INDEX($EI$6:$EI$77,$FO11)&gt;=FV$3,ROUND(INDEX(EK$6:EK$77,$FO11)*INDEX(卡牌消耗!$B$8:$F$8,FQ11)/5,0)*5,""),"")</f>
        <v>770</v>
      </c>
      <c r="FW11" s="101" t="str">
        <f t="shared" si="82"/>
        <v>专属强化石1</v>
      </c>
      <c r="FX11" s="101">
        <f t="shared" si="83"/>
        <v>5</v>
      </c>
      <c r="FY11" s="101" t="str">
        <f t="shared" si="84"/>
        <v/>
      </c>
      <c r="FZ11" s="101" t="str">
        <f t="shared" si="85"/>
        <v/>
      </c>
      <c r="GA11" s="101">
        <f t="shared" si="86"/>
        <v>0.2</v>
      </c>
      <c r="GB11" s="101">
        <f t="shared" si="87"/>
        <v>1</v>
      </c>
      <c r="GC11" s="101">
        <f t="shared" si="88"/>
        <v>8</v>
      </c>
      <c r="GD11" s="101">
        <f t="shared" si="89"/>
        <v>0</v>
      </c>
      <c r="GE11" s="101">
        <f t="shared" si="90"/>
        <v>1</v>
      </c>
      <c r="GF11" s="101">
        <f t="shared" si="91"/>
        <v>2</v>
      </c>
      <c r="GG11" s="101">
        <f t="shared" si="92"/>
        <v>9.9699999999999997E-2</v>
      </c>
      <c r="GH11" s="101">
        <f t="shared" si="93"/>
        <v>1</v>
      </c>
      <c r="GI11" s="101">
        <f t="shared" si="94"/>
        <v>4</v>
      </c>
      <c r="GJ11" s="101">
        <f t="shared" si="95"/>
        <v>0.39889999999999998</v>
      </c>
      <c r="GK11" s="101">
        <f t="shared" si="96"/>
        <v>1</v>
      </c>
      <c r="GL11" s="101">
        <f t="shared" si="97"/>
        <v>8</v>
      </c>
    </row>
    <row r="12" spans="1:194" ht="16.5" x14ac:dyDescent="0.2">
      <c r="A12" s="79">
        <v>6</v>
      </c>
      <c r="B12" s="79">
        <v>110</v>
      </c>
      <c r="C12" s="159">
        <v>110</v>
      </c>
      <c r="D12" s="14">
        <f>SUMIFS(节奏总表!$U$5:$U$34,节奏总表!$M$5:$M$34,"&lt;="&amp;专属武器强化!C12,节奏总表!$M$5:$M$34,"&gt;"&amp;C11)</f>
        <v>12.100000000000001</v>
      </c>
      <c r="E12" s="81">
        <v>300</v>
      </c>
      <c r="F12" s="14">
        <f t="shared" si="28"/>
        <v>300</v>
      </c>
      <c r="G12" s="81"/>
      <c r="H12" s="19">
        <v>0.4</v>
      </c>
      <c r="I12" s="19">
        <v>0.4</v>
      </c>
      <c r="J12" s="19">
        <v>0.2</v>
      </c>
      <c r="K12" s="14">
        <f t="shared" si="29"/>
        <v>0</v>
      </c>
      <c r="L12" s="14">
        <f t="shared" si="30"/>
        <v>12</v>
      </c>
      <c r="M12" s="14">
        <f t="shared" si="31"/>
        <v>6</v>
      </c>
      <c r="N12" s="14">
        <f t="shared" si="32"/>
        <v>1.2</v>
      </c>
      <c r="O12" s="14">
        <f t="shared" si="33"/>
        <v>0</v>
      </c>
      <c r="P12" s="14">
        <f t="shared" si="34"/>
        <v>435.6</v>
      </c>
      <c r="Q12" s="14">
        <f t="shared" si="35"/>
        <v>217.8</v>
      </c>
      <c r="R12" s="14">
        <f t="shared" si="36"/>
        <v>43.56</v>
      </c>
      <c r="S12" s="14">
        <f t="shared" si="37"/>
        <v>420</v>
      </c>
      <c r="T12" s="14">
        <f>SUMIFS(节奏总表!$W$5:$W$34,节奏总表!$M$5:$M$34,"&lt;="&amp;专属武器强化!C12,节奏总表!$M$5:$M$34,"&gt;"&amp;C11)</f>
        <v>10.670000000000002</v>
      </c>
      <c r="U12" s="14">
        <f t="shared" si="38"/>
        <v>0</v>
      </c>
      <c r="V12" s="14">
        <f t="shared" si="39"/>
        <v>16.8</v>
      </c>
      <c r="W12" s="14">
        <f t="shared" si="40"/>
        <v>8.4</v>
      </c>
      <c r="X12" s="14">
        <f t="shared" si="41"/>
        <v>1.68</v>
      </c>
      <c r="Y12" s="14">
        <f t="shared" si="42"/>
        <v>0</v>
      </c>
      <c r="Z12" s="14">
        <f t="shared" si="43"/>
        <v>896.2800000000002</v>
      </c>
      <c r="AA12" s="14">
        <f t="shared" si="44"/>
        <v>448.1400000000001</v>
      </c>
      <c r="AB12" s="14">
        <f t="shared" si="45"/>
        <v>89.628000000000014</v>
      </c>
      <c r="AC12" s="14">
        <f t="shared" si="46"/>
        <v>600</v>
      </c>
      <c r="AD12" s="14">
        <f>SUMIFS(节奏总表!$Y$5:$Y$34,节奏总表!$M$5:$M$34,"&lt;="&amp;专属武器强化!C12,节奏总表!$M$5:$M$34,"&gt;"&amp;C11)</f>
        <v>8.639999999999997</v>
      </c>
      <c r="AE12" s="14">
        <f t="shared" si="47"/>
        <v>0</v>
      </c>
      <c r="AF12" s="14">
        <f t="shared" si="48"/>
        <v>24</v>
      </c>
      <c r="AG12" s="14">
        <f t="shared" si="49"/>
        <v>12</v>
      </c>
      <c r="AH12" s="14">
        <f t="shared" si="50"/>
        <v>2.4</v>
      </c>
      <c r="AI12" s="14">
        <f t="shared" si="51"/>
        <v>0</v>
      </c>
      <c r="AJ12" s="14">
        <f t="shared" si="52"/>
        <v>1036.7999999999997</v>
      </c>
      <c r="AK12" s="14">
        <f t="shared" si="53"/>
        <v>518.39999999999986</v>
      </c>
      <c r="AL12" s="14">
        <f t="shared" si="54"/>
        <v>103.67999999999996</v>
      </c>
      <c r="AZ12" s="79">
        <v>7</v>
      </c>
      <c r="BA12" s="79">
        <v>127</v>
      </c>
      <c r="BB12" s="79" t="s">
        <v>561</v>
      </c>
      <c r="BC12" s="79" t="s">
        <v>565</v>
      </c>
      <c r="BD12" s="95">
        <v>3</v>
      </c>
      <c r="BE12" s="95">
        <v>4</v>
      </c>
      <c r="BF12" s="79"/>
      <c r="BG12" s="79"/>
      <c r="BH12" s="19">
        <v>0.35</v>
      </c>
      <c r="BI12" s="19">
        <v>0.25</v>
      </c>
      <c r="BJ12" s="81">
        <f t="shared" si="0"/>
        <v>0</v>
      </c>
      <c r="BK12" s="81">
        <f t="shared" si="1"/>
        <v>0</v>
      </c>
      <c r="BL12" s="81">
        <f t="shared" si="2"/>
        <v>413.96774999999991</v>
      </c>
      <c r="BM12" s="81">
        <f t="shared" si="3"/>
        <v>139.37850000000003</v>
      </c>
      <c r="BN12" s="81">
        <f t="shared" si="4"/>
        <v>0</v>
      </c>
      <c r="BO12" s="81">
        <f t="shared" si="5"/>
        <v>0</v>
      </c>
      <c r="BP12" s="81">
        <f t="shared" si="6"/>
        <v>852.28150000000005</v>
      </c>
      <c r="BQ12" s="81">
        <f t="shared" si="7"/>
        <v>286.95100000000002</v>
      </c>
      <c r="BR12" s="81">
        <v>4</v>
      </c>
      <c r="BS12" s="81">
        <f t="shared" si="8"/>
        <v>0</v>
      </c>
      <c r="BT12" s="81">
        <f t="shared" si="8"/>
        <v>0</v>
      </c>
      <c r="BU12" s="81">
        <f t="shared" si="9"/>
        <v>985.67000000000007</v>
      </c>
      <c r="BV12" s="81">
        <f t="shared" si="10"/>
        <v>331.89</v>
      </c>
      <c r="BW12" s="14">
        <f t="shared" si="56"/>
        <v>0</v>
      </c>
      <c r="BX12" s="14">
        <f t="shared" si="57"/>
        <v>0</v>
      </c>
      <c r="BY12" s="14">
        <f t="shared" si="58"/>
        <v>985.67000000000007</v>
      </c>
      <c r="BZ12" s="14">
        <f t="shared" si="59"/>
        <v>331.89</v>
      </c>
      <c r="CC12" s="81">
        <v>7</v>
      </c>
      <c r="CD12" s="81" t="e">
        <f>INDEX(节奏总表!#REF!,MATCH(专属武器强化!CC12,节奏总表!#REF!,1))</f>
        <v>#REF!</v>
      </c>
      <c r="CE12" s="81"/>
      <c r="CF12" s="81" t="e">
        <f t="shared" si="12"/>
        <v>#REF!</v>
      </c>
      <c r="CG12" s="14" t="e">
        <f t="shared" si="13"/>
        <v>#REF!</v>
      </c>
      <c r="CH12" s="14" t="e">
        <f t="shared" si="14"/>
        <v>#REF!</v>
      </c>
      <c r="CI12" s="14" t="e">
        <f t="shared" si="15"/>
        <v>#REF!</v>
      </c>
      <c r="CJ12" s="14" t="e">
        <f t="shared" si="16"/>
        <v>#REF!</v>
      </c>
      <c r="CK12" s="14"/>
      <c r="CL12" s="14"/>
      <c r="CM12" s="14"/>
      <c r="CN12" s="14"/>
      <c r="CO12" s="14" t="e">
        <f>SUM(CG$6:CG12)</f>
        <v>#REF!</v>
      </c>
      <c r="CP12" s="14" t="e">
        <f>SUM(CH$6:CH12)</f>
        <v>#REF!</v>
      </c>
      <c r="CQ12" s="14" t="e">
        <f>SUM(CI$6:CI12)</f>
        <v>#REF!</v>
      </c>
      <c r="CR12" s="14" t="e">
        <f>SUM(CJ$6:CJ12)</f>
        <v>#REF!</v>
      </c>
      <c r="CU12" s="83">
        <v>4</v>
      </c>
      <c r="CV12" s="14" t="e">
        <f>INDEX(节奏总表!#REF!,专属武器强化!CU12)</f>
        <v>#REF!</v>
      </c>
      <c r="CW12" s="14" t="e">
        <f t="shared" si="17"/>
        <v>#REF!</v>
      </c>
      <c r="CX12" s="14" t="e">
        <f t="shared" si="60"/>
        <v>#REF!</v>
      </c>
      <c r="CY12" s="14" t="e">
        <f t="shared" si="61"/>
        <v>#REF!</v>
      </c>
      <c r="CZ12" s="14" t="e">
        <f t="shared" si="62"/>
        <v>#REF!</v>
      </c>
      <c r="DA12" s="83">
        <v>2</v>
      </c>
      <c r="DB12" s="83">
        <v>1</v>
      </c>
      <c r="DC12" s="14">
        <f t="shared" si="63"/>
        <v>23.356875000000006</v>
      </c>
      <c r="DD12" s="14">
        <f t="shared" si="64"/>
        <v>7.7856250000000031</v>
      </c>
      <c r="DE12" s="14">
        <f t="shared" si="65"/>
        <v>0</v>
      </c>
      <c r="DF12" s="14">
        <f t="shared" si="66"/>
        <v>0</v>
      </c>
      <c r="DG12" s="83"/>
      <c r="DH12" s="83"/>
      <c r="DI12" s="83"/>
      <c r="DJ12" s="83"/>
      <c r="DK12" s="14" t="e">
        <f>CW12-SUM(DC$7:DC12)+SUM(DG$7:DG12)</f>
        <v>#REF!</v>
      </c>
      <c r="DL12" s="14" t="e">
        <f>CX12-SUM(DD$7:DD12)+SUM(DH$7:DH12)</f>
        <v>#REF!</v>
      </c>
      <c r="DM12" s="14" t="e">
        <f>CY12-SUM(DE$7:DE12)+SUM(DI$7:DI12)</f>
        <v>#REF!</v>
      </c>
      <c r="DN12" s="14" t="e">
        <f>CZ12-SUM(DF$7:DF12)+SUM(DJ$7:DJ12)</f>
        <v>#REF!</v>
      </c>
      <c r="DQ12" s="95">
        <v>7</v>
      </c>
      <c r="DR12" s="14">
        <f t="shared" si="67"/>
        <v>1</v>
      </c>
      <c r="DS12" s="14">
        <f t="shared" si="68"/>
        <v>7</v>
      </c>
      <c r="DT12" s="14">
        <f t="shared" si="19"/>
        <v>65.810566037735867</v>
      </c>
      <c r="DU12" s="14">
        <f t="shared" si="19"/>
        <v>0</v>
      </c>
      <c r="DV12" s="14">
        <f t="shared" si="19"/>
        <v>0</v>
      </c>
      <c r="DW12" s="14">
        <f t="shared" si="19"/>
        <v>0</v>
      </c>
      <c r="DX12" s="14">
        <f t="shared" si="69"/>
        <v>1</v>
      </c>
      <c r="DY12" s="14">
        <f t="shared" si="70"/>
        <v>0</v>
      </c>
      <c r="EA12" s="139">
        <v>7</v>
      </c>
      <c r="EB12" s="139">
        <f>金币总表!AT12*0.8</f>
        <v>18235168</v>
      </c>
      <c r="EC12" s="139">
        <f t="shared" si="71"/>
        <v>3039195</v>
      </c>
      <c r="EF12" s="139">
        <v>7</v>
      </c>
      <c r="EG12" s="14">
        <f t="shared" si="72"/>
        <v>1</v>
      </c>
      <c r="EH12" s="19">
        <f t="shared" si="98"/>
        <v>0.34</v>
      </c>
      <c r="EI12" s="139">
        <v>2</v>
      </c>
      <c r="EJ12" s="139" t="s">
        <v>958</v>
      </c>
      <c r="EK12" s="139">
        <f t="shared" si="73"/>
        <v>536</v>
      </c>
      <c r="EL12" s="139" t="s">
        <v>861</v>
      </c>
      <c r="EM12" s="139">
        <v>7</v>
      </c>
      <c r="EN12" s="139"/>
      <c r="EO12" s="139"/>
      <c r="EP12" s="139">
        <f t="shared" si="20"/>
        <v>0.11</v>
      </c>
      <c r="EQ12" s="139">
        <v>1</v>
      </c>
      <c r="ER12" s="139">
        <f t="shared" si="74"/>
        <v>14</v>
      </c>
      <c r="ES12" s="139"/>
      <c r="ET12" s="139">
        <f t="shared" si="21"/>
        <v>9.401509433962266</v>
      </c>
      <c r="EV12">
        <v>0</v>
      </c>
      <c r="EW12">
        <v>1</v>
      </c>
      <c r="EX12">
        <f t="shared" si="22"/>
        <v>3</v>
      </c>
      <c r="EY12" s="89">
        <f t="shared" si="23"/>
        <v>5.3199999999999997E-2</v>
      </c>
      <c r="EZ12">
        <v>1</v>
      </c>
      <c r="FA12">
        <f t="shared" si="24"/>
        <v>7</v>
      </c>
      <c r="FB12" s="89">
        <f t="shared" si="25"/>
        <v>0.2127</v>
      </c>
      <c r="FC12">
        <v>1</v>
      </c>
      <c r="FD12">
        <f t="shared" si="26"/>
        <v>14</v>
      </c>
      <c r="FG12" s="101">
        <v>1102008</v>
      </c>
      <c r="FH12" s="101">
        <v>1102008</v>
      </c>
      <c r="FI12" s="101" t="s">
        <v>189</v>
      </c>
      <c r="FJ12" s="14">
        <f>INDEX(卡牌消耗!$C$13:$C$40,MATCH(专属武器强化!FG12,卡牌消耗!$A$13:$A$40,0))</f>
        <v>4</v>
      </c>
      <c r="FN12" s="101">
        <v>7</v>
      </c>
      <c r="FO12" s="101">
        <f t="shared" si="75"/>
        <v>6</v>
      </c>
      <c r="FP12" s="101">
        <f t="shared" si="76"/>
        <v>1</v>
      </c>
      <c r="FQ12" s="14">
        <f t="shared" si="77"/>
        <v>5</v>
      </c>
      <c r="FR12" s="101" t="str">
        <f t="shared" si="78"/>
        <v>关羽专属武器-魂珠-1 6级</v>
      </c>
      <c r="FS12" s="101">
        <f t="shared" si="79"/>
        <v>1</v>
      </c>
      <c r="FT12" s="101">
        <f t="shared" si="80"/>
        <v>6</v>
      </c>
      <c r="FU12" s="101" t="str">
        <f t="shared" si="81"/>
        <v>金币</v>
      </c>
      <c r="FV12" s="139">
        <f>IF($FT12&gt;0,IF(INDEX($EI$6:$EI$77,$FO12)&gt;=FV$3,ROUND(INDEX(EK$6:EK$77,$FO12)*INDEX(卡牌消耗!$B$8:$F$8,FQ12)/5,0)*5,""),"")</f>
        <v>920</v>
      </c>
      <c r="FW12" s="101" t="str">
        <f t="shared" si="82"/>
        <v>专属强化石1</v>
      </c>
      <c r="FX12" s="101">
        <f t="shared" si="83"/>
        <v>6</v>
      </c>
      <c r="FY12" s="101" t="str">
        <f t="shared" si="84"/>
        <v/>
      </c>
      <c r="FZ12" s="101" t="str">
        <f t="shared" si="85"/>
        <v/>
      </c>
      <c r="GA12" s="101">
        <f t="shared" si="86"/>
        <v>0.15</v>
      </c>
      <c r="GB12" s="101">
        <f t="shared" si="87"/>
        <v>1</v>
      </c>
      <c r="GC12" s="101">
        <f t="shared" si="88"/>
        <v>10</v>
      </c>
      <c r="GD12" s="101">
        <f t="shared" si="89"/>
        <v>0</v>
      </c>
      <c r="GE12" s="101">
        <f t="shared" si="90"/>
        <v>1</v>
      </c>
      <c r="GF12" s="101">
        <f t="shared" si="91"/>
        <v>2</v>
      </c>
      <c r="GG12" s="101">
        <f t="shared" si="92"/>
        <v>7.3599999999999999E-2</v>
      </c>
      <c r="GH12" s="101">
        <f t="shared" si="93"/>
        <v>1</v>
      </c>
      <c r="GI12" s="101">
        <f t="shared" si="94"/>
        <v>5</v>
      </c>
      <c r="GJ12" s="101">
        <f t="shared" si="95"/>
        <v>0.29459999999999997</v>
      </c>
      <c r="GK12" s="101">
        <f t="shared" si="96"/>
        <v>1</v>
      </c>
      <c r="GL12" s="101">
        <f t="shared" si="97"/>
        <v>10</v>
      </c>
    </row>
    <row r="13" spans="1:194" ht="16.5" x14ac:dyDescent="0.2">
      <c r="A13" s="79">
        <v>7</v>
      </c>
      <c r="B13" s="79">
        <v>120</v>
      </c>
      <c r="C13" s="159">
        <v>120</v>
      </c>
      <c r="D13" s="14">
        <f>SUMIFS(节奏总表!$U$5:$U$34,节奏总表!$M$5:$M$34,"&lt;="&amp;专属武器强化!C13,节奏总表!$M$5:$M$34,"&gt;"&amp;C12)</f>
        <v>9.1000000000000014</v>
      </c>
      <c r="E13" s="81">
        <v>350</v>
      </c>
      <c r="F13" s="14">
        <f t="shared" si="28"/>
        <v>350</v>
      </c>
      <c r="G13" s="81"/>
      <c r="H13" s="19">
        <v>0.2</v>
      </c>
      <c r="I13" s="19">
        <v>0.6</v>
      </c>
      <c r="J13" s="19">
        <v>0.2</v>
      </c>
      <c r="K13" s="14">
        <f t="shared" si="29"/>
        <v>0</v>
      </c>
      <c r="L13" s="14">
        <f t="shared" si="30"/>
        <v>7</v>
      </c>
      <c r="M13" s="14">
        <f t="shared" si="31"/>
        <v>10.5</v>
      </c>
      <c r="N13" s="14">
        <f t="shared" si="32"/>
        <v>1.4</v>
      </c>
      <c r="O13" s="14">
        <f t="shared" si="33"/>
        <v>0</v>
      </c>
      <c r="P13" s="14">
        <f t="shared" si="34"/>
        <v>191.10000000000002</v>
      </c>
      <c r="Q13" s="14">
        <f t="shared" si="35"/>
        <v>286.65000000000003</v>
      </c>
      <c r="R13" s="14">
        <f t="shared" si="36"/>
        <v>38.220000000000006</v>
      </c>
      <c r="S13" s="14">
        <f t="shared" si="37"/>
        <v>489.99999999999994</v>
      </c>
      <c r="T13" s="14">
        <f>SUMIFS(节奏总表!$W$5:$W$34,节奏总表!$M$5:$M$34,"&lt;="&amp;专属武器强化!C13,节奏总表!$M$5:$M$34,"&gt;"&amp;C12)</f>
        <v>8.0299999999999976</v>
      </c>
      <c r="U13" s="14">
        <f t="shared" si="38"/>
        <v>0</v>
      </c>
      <c r="V13" s="14">
        <f t="shared" si="39"/>
        <v>9.8000000000000007</v>
      </c>
      <c r="W13" s="14">
        <f t="shared" si="40"/>
        <v>14.699999999999998</v>
      </c>
      <c r="X13" s="14">
        <f t="shared" si="41"/>
        <v>1.96</v>
      </c>
      <c r="Y13" s="14">
        <f t="shared" si="42"/>
        <v>0</v>
      </c>
      <c r="Z13" s="14">
        <f t="shared" si="43"/>
        <v>393.46999999999991</v>
      </c>
      <c r="AA13" s="14">
        <f t="shared" si="44"/>
        <v>590.2049999999997</v>
      </c>
      <c r="AB13" s="14">
        <f t="shared" si="45"/>
        <v>78.693999999999974</v>
      </c>
      <c r="AC13" s="14">
        <f t="shared" si="46"/>
        <v>700</v>
      </c>
      <c r="AD13" s="14">
        <f>SUMIFS(节奏总表!$Y$5:$Y$34,节奏总表!$M$5:$M$34,"&lt;="&amp;专属武器强化!C13,节奏总表!$M$5:$M$34,"&gt;"&amp;C12)</f>
        <v>6.5</v>
      </c>
      <c r="AE13" s="14">
        <f t="shared" si="47"/>
        <v>0</v>
      </c>
      <c r="AF13" s="14">
        <f t="shared" si="48"/>
        <v>14</v>
      </c>
      <c r="AG13" s="14">
        <f t="shared" si="49"/>
        <v>21</v>
      </c>
      <c r="AH13" s="14">
        <f t="shared" si="50"/>
        <v>2.8</v>
      </c>
      <c r="AI13" s="14">
        <f t="shared" si="51"/>
        <v>0</v>
      </c>
      <c r="AJ13" s="14">
        <f t="shared" si="52"/>
        <v>455</v>
      </c>
      <c r="AK13" s="14">
        <f t="shared" si="53"/>
        <v>682.5</v>
      </c>
      <c r="AL13" s="14">
        <f t="shared" si="54"/>
        <v>91</v>
      </c>
      <c r="AZ13" s="79">
        <v>8</v>
      </c>
      <c r="BA13" s="79">
        <v>137</v>
      </c>
      <c r="BB13" s="79" t="s">
        <v>566</v>
      </c>
      <c r="BC13" s="79"/>
      <c r="BD13" s="95">
        <v>4</v>
      </c>
      <c r="BE13" s="95"/>
      <c r="BF13" s="79"/>
      <c r="BG13" s="79"/>
      <c r="BH13" s="79"/>
      <c r="BI13" s="19">
        <v>0.6</v>
      </c>
      <c r="BJ13" s="81">
        <f t="shared" si="0"/>
        <v>0</v>
      </c>
      <c r="BK13" s="81">
        <f t="shared" si="1"/>
        <v>0</v>
      </c>
      <c r="BL13" s="81">
        <f t="shared" si="2"/>
        <v>0</v>
      </c>
      <c r="BM13" s="81">
        <f t="shared" si="3"/>
        <v>334.50840000000005</v>
      </c>
      <c r="BN13" s="81">
        <f t="shared" si="4"/>
        <v>0</v>
      </c>
      <c r="BO13" s="81">
        <f t="shared" si="5"/>
        <v>0</v>
      </c>
      <c r="BP13" s="81">
        <f t="shared" si="6"/>
        <v>0</v>
      </c>
      <c r="BQ13" s="81">
        <f t="shared" si="7"/>
        <v>688.68240000000003</v>
      </c>
      <c r="BR13" s="81">
        <v>3</v>
      </c>
      <c r="BS13" s="81">
        <f t="shared" si="8"/>
        <v>0</v>
      </c>
      <c r="BT13" s="81">
        <f t="shared" si="8"/>
        <v>0</v>
      </c>
      <c r="BU13" s="81">
        <f t="shared" si="9"/>
        <v>0</v>
      </c>
      <c r="BV13" s="81">
        <f t="shared" si="10"/>
        <v>796.53599999999994</v>
      </c>
      <c r="BW13" s="14">
        <f t="shared" si="56"/>
        <v>0</v>
      </c>
      <c r="BX13" s="14">
        <f t="shared" si="57"/>
        <v>0</v>
      </c>
      <c r="BY13" s="14">
        <f t="shared" si="58"/>
        <v>0</v>
      </c>
      <c r="BZ13" s="14">
        <f t="shared" si="59"/>
        <v>796.53599999999994</v>
      </c>
      <c r="CC13" s="81">
        <v>8</v>
      </c>
      <c r="CD13" s="81" t="e">
        <f>INDEX(节奏总表!#REF!,MATCH(专属武器强化!CC13,节奏总表!#REF!,1))</f>
        <v>#REF!</v>
      </c>
      <c r="CE13" s="81"/>
      <c r="CF13" s="81" t="e">
        <f t="shared" si="12"/>
        <v>#REF!</v>
      </c>
      <c r="CG13" s="14" t="e">
        <f t="shared" si="13"/>
        <v>#REF!</v>
      </c>
      <c r="CH13" s="14" t="e">
        <f t="shared" si="14"/>
        <v>#REF!</v>
      </c>
      <c r="CI13" s="14" t="e">
        <f t="shared" si="15"/>
        <v>#REF!</v>
      </c>
      <c r="CJ13" s="14" t="e">
        <f t="shared" si="16"/>
        <v>#REF!</v>
      </c>
      <c r="CK13" s="14"/>
      <c r="CL13" s="14"/>
      <c r="CM13" s="14"/>
      <c r="CN13" s="14"/>
      <c r="CO13" s="14" t="e">
        <f>SUM(CG$6:CG13)</f>
        <v>#REF!</v>
      </c>
      <c r="CP13" s="14" t="e">
        <f>SUM(CH$6:CH13)</f>
        <v>#REF!</v>
      </c>
      <c r="CQ13" s="14" t="e">
        <f>SUM(CI$6:CI13)</f>
        <v>#REF!</v>
      </c>
      <c r="CR13" s="14" t="e">
        <f>SUM(CJ$6:CJ13)</f>
        <v>#REF!</v>
      </c>
      <c r="CU13" s="83">
        <v>4</v>
      </c>
      <c r="CV13" s="14" t="e">
        <f>INDEX(节奏总表!#REF!,专属武器强化!CU13)</f>
        <v>#REF!</v>
      </c>
      <c r="CW13" s="14" t="e">
        <f t="shared" si="17"/>
        <v>#REF!</v>
      </c>
      <c r="CX13" s="14" t="e">
        <f t="shared" si="60"/>
        <v>#REF!</v>
      </c>
      <c r="CY13" s="14" t="e">
        <f t="shared" si="61"/>
        <v>#REF!</v>
      </c>
      <c r="CZ13" s="14" t="e">
        <f t="shared" si="62"/>
        <v>#REF!</v>
      </c>
      <c r="DA13" s="83">
        <v>2</v>
      </c>
      <c r="DB13" s="83">
        <v>2</v>
      </c>
      <c r="DC13" s="14">
        <f t="shared" si="63"/>
        <v>46.713750000000012</v>
      </c>
      <c r="DD13" s="14">
        <f t="shared" si="64"/>
        <v>15.571250000000006</v>
      </c>
      <c r="DE13" s="14">
        <f t="shared" si="65"/>
        <v>0</v>
      </c>
      <c r="DF13" s="14">
        <f t="shared" si="66"/>
        <v>0</v>
      </c>
      <c r="DG13" s="83"/>
      <c r="DH13" s="83">
        <v>2</v>
      </c>
      <c r="DI13" s="83"/>
      <c r="DJ13" s="83"/>
      <c r="DK13" s="14" t="e">
        <f>CW13-SUM(DC$7:DC13)+SUM(DG$7:DG13)</f>
        <v>#REF!</v>
      </c>
      <c r="DL13" s="14" t="e">
        <f>CX13-SUM(DD$7:DD13)+SUM(DH$7:DH13)</f>
        <v>#REF!</v>
      </c>
      <c r="DM13" s="14" t="e">
        <f>CY13-SUM(DE$7:DE13)+SUM(DI$7:DI13)</f>
        <v>#REF!</v>
      </c>
      <c r="DN13" s="14" t="e">
        <f>CZ13-SUM(DF$7:DF13)+SUM(DJ$7:DJ13)</f>
        <v>#REF!</v>
      </c>
      <c r="DQ13" s="95">
        <v>8</v>
      </c>
      <c r="DR13" s="14">
        <f t="shared" si="67"/>
        <v>1</v>
      </c>
      <c r="DS13" s="14">
        <f t="shared" si="68"/>
        <v>8</v>
      </c>
      <c r="DT13" s="14">
        <f t="shared" si="19"/>
        <v>106.55044025157235</v>
      </c>
      <c r="DU13" s="14">
        <f t="shared" si="19"/>
        <v>0</v>
      </c>
      <c r="DV13" s="14">
        <f t="shared" si="19"/>
        <v>0</v>
      </c>
      <c r="DW13" s="14">
        <f t="shared" si="19"/>
        <v>0</v>
      </c>
      <c r="DX13" s="14">
        <f t="shared" si="69"/>
        <v>1</v>
      </c>
      <c r="DY13" s="14">
        <f t="shared" si="70"/>
        <v>0</v>
      </c>
      <c r="EA13" s="139">
        <v>8</v>
      </c>
      <c r="EB13" s="139">
        <f>金币总表!AT12*1.2</f>
        <v>27352752</v>
      </c>
      <c r="EC13" s="139">
        <f t="shared" si="71"/>
        <v>4558792</v>
      </c>
      <c r="EF13" s="139">
        <v>8</v>
      </c>
      <c r="EG13" s="14">
        <f t="shared" si="72"/>
        <v>1</v>
      </c>
      <c r="EH13" s="19">
        <f t="shared" si="98"/>
        <v>0.55000000000000004</v>
      </c>
      <c r="EI13" s="139">
        <v>2</v>
      </c>
      <c r="EJ13" s="139" t="s">
        <v>958</v>
      </c>
      <c r="EK13" s="139">
        <f t="shared" si="73"/>
        <v>613</v>
      </c>
      <c r="EL13" s="139" t="s">
        <v>861</v>
      </c>
      <c r="EM13" s="139">
        <v>8</v>
      </c>
      <c r="EN13" s="139"/>
      <c r="EO13" s="139"/>
      <c r="EP13" s="139">
        <f t="shared" si="20"/>
        <v>0.08</v>
      </c>
      <c r="EQ13" s="139">
        <v>1</v>
      </c>
      <c r="ER13" s="139">
        <f t="shared" si="74"/>
        <v>20</v>
      </c>
      <c r="ES13" s="139"/>
      <c r="ET13" s="139">
        <f t="shared" si="21"/>
        <v>13.318805031446544</v>
      </c>
      <c r="EV13">
        <v>0</v>
      </c>
      <c r="EW13">
        <v>1</v>
      </c>
      <c r="EX13">
        <f t="shared" si="22"/>
        <v>5</v>
      </c>
      <c r="EY13" s="89">
        <f t="shared" si="23"/>
        <v>3.7499999999999999E-2</v>
      </c>
      <c r="EZ13">
        <v>1</v>
      </c>
      <c r="FA13">
        <f t="shared" si="24"/>
        <v>9</v>
      </c>
      <c r="FB13" s="89">
        <f t="shared" si="25"/>
        <v>0.1502</v>
      </c>
      <c r="FC13">
        <v>1</v>
      </c>
      <c r="FD13">
        <f t="shared" si="26"/>
        <v>20</v>
      </c>
      <c r="FG13" s="101">
        <v>1102009</v>
      </c>
      <c r="FH13" s="101">
        <v>1102009</v>
      </c>
      <c r="FI13" s="101" t="s">
        <v>190</v>
      </c>
      <c r="FJ13" s="14">
        <f>INDEX(卡牌消耗!$C$13:$C$40,MATCH(专属武器强化!FG13,卡牌消耗!$A$13:$A$40,0))</f>
        <v>3</v>
      </c>
      <c r="FN13" s="101">
        <v>8</v>
      </c>
      <c r="FO13" s="101">
        <f t="shared" si="75"/>
        <v>7</v>
      </c>
      <c r="FP13" s="101">
        <f t="shared" si="76"/>
        <v>1</v>
      </c>
      <c r="FQ13" s="14">
        <f t="shared" si="77"/>
        <v>5</v>
      </c>
      <c r="FR13" s="101" t="str">
        <f t="shared" si="78"/>
        <v>关羽专属武器-魂珠-1 7级</v>
      </c>
      <c r="FS13" s="101">
        <f t="shared" si="79"/>
        <v>1</v>
      </c>
      <c r="FT13" s="101">
        <f t="shared" si="80"/>
        <v>7</v>
      </c>
      <c r="FU13" s="101" t="str">
        <f t="shared" si="81"/>
        <v>金币</v>
      </c>
      <c r="FV13" s="139">
        <f>IF($FT13&gt;0,IF(INDEX($EI$6:$EI$77,$FO13)&gt;=FV$3,ROUND(INDEX(EK$6:EK$77,$FO13)*INDEX(卡牌消耗!$B$8:$F$8,FQ13)/5,0)*5,""),"")</f>
        <v>1070</v>
      </c>
      <c r="FW13" s="101" t="str">
        <f t="shared" si="82"/>
        <v>专属强化石1</v>
      </c>
      <c r="FX13" s="101">
        <f t="shared" si="83"/>
        <v>7</v>
      </c>
      <c r="FY13" s="101" t="str">
        <f t="shared" si="84"/>
        <v/>
      </c>
      <c r="FZ13" s="101" t="str">
        <f t="shared" si="85"/>
        <v/>
      </c>
      <c r="GA13" s="101">
        <f t="shared" si="86"/>
        <v>0.11</v>
      </c>
      <c r="GB13" s="101">
        <f t="shared" si="87"/>
        <v>1</v>
      </c>
      <c r="GC13" s="101">
        <f t="shared" si="88"/>
        <v>14</v>
      </c>
      <c r="GD13" s="101">
        <f t="shared" si="89"/>
        <v>0</v>
      </c>
      <c r="GE13" s="101">
        <f t="shared" si="90"/>
        <v>1</v>
      </c>
      <c r="GF13" s="101">
        <f t="shared" si="91"/>
        <v>3</v>
      </c>
      <c r="GG13" s="101">
        <f t="shared" si="92"/>
        <v>5.3199999999999997E-2</v>
      </c>
      <c r="GH13" s="101">
        <f t="shared" si="93"/>
        <v>1</v>
      </c>
      <c r="GI13" s="101">
        <f t="shared" si="94"/>
        <v>7</v>
      </c>
      <c r="GJ13" s="101">
        <f t="shared" si="95"/>
        <v>0.2127</v>
      </c>
      <c r="GK13" s="101">
        <f t="shared" si="96"/>
        <v>1</v>
      </c>
      <c r="GL13" s="101">
        <f t="shared" si="97"/>
        <v>14</v>
      </c>
    </row>
    <row r="14" spans="1:194" ht="16.5" x14ac:dyDescent="0.2">
      <c r="A14" s="79">
        <v>8</v>
      </c>
      <c r="B14" s="79">
        <v>130</v>
      </c>
      <c r="C14" s="159">
        <v>130</v>
      </c>
      <c r="D14" s="14">
        <f>SUMIFS(节奏总表!$U$5:$U$34,节奏总表!$M$5:$M$34,"&lt;="&amp;专属武器强化!C14,节奏总表!$M$5:$M$34,"&gt;"&amp;C13)</f>
        <v>11.059999999999995</v>
      </c>
      <c r="E14" s="81">
        <v>400</v>
      </c>
      <c r="F14" s="14">
        <f t="shared" si="28"/>
        <v>400</v>
      </c>
      <c r="G14" s="81"/>
      <c r="H14" s="19"/>
      <c r="I14" s="19">
        <v>0.4</v>
      </c>
      <c r="J14" s="19">
        <v>0.6</v>
      </c>
      <c r="K14" s="14">
        <f t="shared" si="29"/>
        <v>0</v>
      </c>
      <c r="L14" s="14">
        <f t="shared" si="30"/>
        <v>0</v>
      </c>
      <c r="M14" s="14">
        <f t="shared" si="31"/>
        <v>8</v>
      </c>
      <c r="N14" s="14">
        <f t="shared" si="32"/>
        <v>4.8</v>
      </c>
      <c r="O14" s="14">
        <f t="shared" si="33"/>
        <v>0</v>
      </c>
      <c r="P14" s="14">
        <f t="shared" si="34"/>
        <v>0</v>
      </c>
      <c r="Q14" s="14">
        <f t="shared" si="35"/>
        <v>265.43999999999988</v>
      </c>
      <c r="R14" s="14">
        <f t="shared" si="36"/>
        <v>159.26399999999992</v>
      </c>
      <c r="S14" s="14">
        <f t="shared" si="37"/>
        <v>560</v>
      </c>
      <c r="T14" s="14">
        <f>SUMIFS(节奏总表!$W$5:$W$34,节奏总表!$M$5:$M$34,"&lt;="&amp;专属武器强化!C14,节奏总表!$M$5:$M$34,"&gt;"&amp;C13)</f>
        <v>9.7700000000000031</v>
      </c>
      <c r="U14" s="14">
        <f t="shared" si="38"/>
        <v>0</v>
      </c>
      <c r="V14" s="14">
        <f t="shared" si="39"/>
        <v>0</v>
      </c>
      <c r="W14" s="14">
        <f t="shared" si="40"/>
        <v>11.2</v>
      </c>
      <c r="X14" s="14">
        <f t="shared" si="41"/>
        <v>6.72</v>
      </c>
      <c r="Y14" s="14">
        <f t="shared" si="42"/>
        <v>0</v>
      </c>
      <c r="Z14" s="14">
        <f t="shared" si="43"/>
        <v>0</v>
      </c>
      <c r="AA14" s="14">
        <f t="shared" si="44"/>
        <v>547.12000000000012</v>
      </c>
      <c r="AB14" s="14">
        <f t="shared" si="45"/>
        <v>328.27200000000011</v>
      </c>
      <c r="AC14" s="14">
        <f t="shared" si="46"/>
        <v>800</v>
      </c>
      <c r="AD14" s="14">
        <f>SUMIFS(节奏总表!$Y$5:$Y$34,节奏总表!$M$5:$M$34,"&lt;="&amp;专属武器强化!C14,节奏总表!$M$5:$M$34,"&gt;"&amp;C13)</f>
        <v>7.9100000000000037</v>
      </c>
      <c r="AE14" s="14">
        <f t="shared" si="47"/>
        <v>0</v>
      </c>
      <c r="AF14" s="14">
        <f t="shared" si="48"/>
        <v>0</v>
      </c>
      <c r="AG14" s="14">
        <f t="shared" si="49"/>
        <v>16</v>
      </c>
      <c r="AH14" s="14">
        <f t="shared" si="50"/>
        <v>9.6</v>
      </c>
      <c r="AI14" s="14">
        <f t="shared" si="51"/>
        <v>0</v>
      </c>
      <c r="AJ14" s="14">
        <f t="shared" si="52"/>
        <v>0</v>
      </c>
      <c r="AK14" s="14">
        <f t="shared" si="53"/>
        <v>632.8000000000003</v>
      </c>
      <c r="AL14" s="14">
        <f t="shared" si="54"/>
        <v>379.68000000000018</v>
      </c>
      <c r="CC14" s="81">
        <v>9</v>
      </c>
      <c r="CD14" s="81" t="e">
        <f>INDEX(节奏总表!#REF!,MATCH(专属武器强化!CC14,节奏总表!#REF!,1))</f>
        <v>#REF!</v>
      </c>
      <c r="CE14" s="81">
        <v>3</v>
      </c>
      <c r="CF14" s="81" t="e">
        <f t="shared" si="12"/>
        <v>#REF!</v>
      </c>
      <c r="CG14" s="14" t="e">
        <f t="shared" si="13"/>
        <v>#REF!</v>
      </c>
      <c r="CH14" s="14" t="e">
        <f t="shared" si="14"/>
        <v>#REF!</v>
      </c>
      <c r="CI14" s="14" t="e">
        <f t="shared" si="15"/>
        <v>#REF!</v>
      </c>
      <c r="CJ14" s="14" t="e">
        <f t="shared" si="16"/>
        <v>#REF!</v>
      </c>
      <c r="CK14" s="14"/>
      <c r="CL14" s="14"/>
      <c r="CM14" s="14"/>
      <c r="CN14" s="14"/>
      <c r="CO14" s="14" t="e">
        <f>SUM(CG$6:CG14)</f>
        <v>#REF!</v>
      </c>
      <c r="CP14" s="14" t="e">
        <f>SUM(CH$6:CH14)</f>
        <v>#REF!</v>
      </c>
      <c r="CQ14" s="14" t="e">
        <f>SUM(CI$6:CI14)</f>
        <v>#REF!</v>
      </c>
      <c r="CR14" s="14" t="e">
        <f>SUM(CJ$6:CJ14)</f>
        <v>#REF!</v>
      </c>
      <c r="CU14" s="83">
        <v>5</v>
      </c>
      <c r="CV14" s="14" t="e">
        <f>INDEX(节奏总表!#REF!,专属武器强化!CU14)</f>
        <v>#REF!</v>
      </c>
      <c r="CW14" s="14" t="e">
        <f t="shared" si="17"/>
        <v>#REF!</v>
      </c>
      <c r="CX14" s="14" t="e">
        <f t="shared" si="60"/>
        <v>#REF!</v>
      </c>
      <c r="CY14" s="14" t="e">
        <f t="shared" si="61"/>
        <v>#REF!</v>
      </c>
      <c r="CZ14" s="14" t="e">
        <f t="shared" si="62"/>
        <v>#REF!</v>
      </c>
      <c r="DA14" s="83">
        <v>2</v>
      </c>
      <c r="DB14" s="83">
        <v>3</v>
      </c>
      <c r="DC14" s="14">
        <f t="shared" si="63"/>
        <v>70.070625000000021</v>
      </c>
      <c r="DD14" s="14">
        <f t="shared" si="64"/>
        <v>23.356875000000006</v>
      </c>
      <c r="DE14" s="14">
        <f t="shared" si="65"/>
        <v>0</v>
      </c>
      <c r="DF14" s="14">
        <f t="shared" si="66"/>
        <v>0</v>
      </c>
      <c r="DG14" s="83"/>
      <c r="DH14" s="83">
        <v>25</v>
      </c>
      <c r="DI14" s="83"/>
      <c r="DJ14" s="83"/>
      <c r="DK14" s="14" t="e">
        <f>CW14-SUM(DC$7:DC14)+SUM(DG$7:DG14)</f>
        <v>#REF!</v>
      </c>
      <c r="DL14" s="14" t="e">
        <f>CX14-SUM(DD$7:DD14)+SUM(DH$7:DH14)</f>
        <v>#REF!</v>
      </c>
      <c r="DM14" s="14" t="e">
        <f>CY14-SUM(DE$7:DE14)+SUM(DI$7:DI14)</f>
        <v>#REF!</v>
      </c>
      <c r="DN14" s="14" t="e">
        <f>CZ14-SUM(DF$7:DF14)+SUM(DJ$7:DJ14)</f>
        <v>#REF!</v>
      </c>
      <c r="DQ14" s="95">
        <v>9</v>
      </c>
      <c r="DR14" s="14">
        <f t="shared" si="67"/>
        <v>1</v>
      </c>
      <c r="DS14" s="14">
        <f t="shared" si="68"/>
        <v>9</v>
      </c>
      <c r="DT14" s="14">
        <f t="shared" si="19"/>
        <v>172.36100628930822</v>
      </c>
      <c r="DU14" s="14">
        <f t="shared" si="19"/>
        <v>0</v>
      </c>
      <c r="DV14" s="14">
        <f t="shared" si="19"/>
        <v>0</v>
      </c>
      <c r="DW14" s="14">
        <f t="shared" si="19"/>
        <v>0</v>
      </c>
      <c r="DX14" s="14">
        <f t="shared" si="69"/>
        <v>1</v>
      </c>
      <c r="DY14" s="14">
        <f t="shared" si="70"/>
        <v>0</v>
      </c>
      <c r="EF14" s="139">
        <v>9</v>
      </c>
      <c r="EG14" s="14">
        <f t="shared" si="72"/>
        <v>1</v>
      </c>
      <c r="EH14" s="19">
        <f t="shared" si="98"/>
        <v>0.89000000000000012</v>
      </c>
      <c r="EI14" s="139">
        <v>2</v>
      </c>
      <c r="EJ14" s="139" t="s">
        <v>958</v>
      </c>
      <c r="EK14" s="139">
        <f t="shared" si="73"/>
        <v>766</v>
      </c>
      <c r="EL14" s="139" t="s">
        <v>861</v>
      </c>
      <c r="EM14" s="139">
        <v>10</v>
      </c>
      <c r="EN14" s="139"/>
      <c r="EO14" s="139"/>
      <c r="EP14" s="139">
        <f t="shared" si="20"/>
        <v>0.06</v>
      </c>
      <c r="EQ14" s="139">
        <v>1</v>
      </c>
      <c r="ER14" s="139">
        <f t="shared" si="74"/>
        <v>26</v>
      </c>
      <c r="ES14" s="139"/>
      <c r="ET14" s="139">
        <f t="shared" si="21"/>
        <v>17.236100628930821</v>
      </c>
      <c r="EV14">
        <v>0</v>
      </c>
      <c r="EW14">
        <v>1</v>
      </c>
      <c r="EX14">
        <f t="shared" si="22"/>
        <v>6</v>
      </c>
      <c r="EY14" s="89">
        <f t="shared" si="23"/>
        <v>2.9000000000000001E-2</v>
      </c>
      <c r="EZ14">
        <v>1</v>
      </c>
      <c r="FA14">
        <f t="shared" si="24"/>
        <v>12</v>
      </c>
      <c r="FB14" s="89">
        <f t="shared" si="25"/>
        <v>0.11600000000000001</v>
      </c>
      <c r="FC14">
        <v>1</v>
      </c>
      <c r="FD14">
        <f t="shared" si="26"/>
        <v>26</v>
      </c>
      <c r="FG14" s="101">
        <v>1102010</v>
      </c>
      <c r="FH14" s="101">
        <v>1102010</v>
      </c>
      <c r="FI14" s="101" t="s">
        <v>191</v>
      </c>
      <c r="FJ14" s="14">
        <f>INDEX(卡牌消耗!$C$13:$C$40,MATCH(专属武器强化!FG14,卡牌消耗!$A$13:$A$40,0))</f>
        <v>4</v>
      </c>
      <c r="FN14" s="101">
        <v>9</v>
      </c>
      <c r="FO14" s="101">
        <f t="shared" si="75"/>
        <v>8</v>
      </c>
      <c r="FP14" s="101">
        <f t="shared" si="76"/>
        <v>1</v>
      </c>
      <c r="FQ14" s="14">
        <f t="shared" si="77"/>
        <v>5</v>
      </c>
      <c r="FR14" s="101" t="str">
        <f t="shared" si="78"/>
        <v>关羽专属武器-魂珠-1 8级</v>
      </c>
      <c r="FS14" s="101">
        <f t="shared" si="79"/>
        <v>1</v>
      </c>
      <c r="FT14" s="101">
        <f t="shared" si="80"/>
        <v>8</v>
      </c>
      <c r="FU14" s="101" t="str">
        <f t="shared" si="81"/>
        <v>金币</v>
      </c>
      <c r="FV14" s="139">
        <f>IF($FT14&gt;0,IF(INDEX($EI$6:$EI$77,$FO14)&gt;=FV$3,ROUND(INDEX(EK$6:EK$77,$FO14)*INDEX(卡牌消耗!$B$8:$F$8,FQ14)/5,0)*5,""),"")</f>
        <v>1225</v>
      </c>
      <c r="FW14" s="101" t="str">
        <f t="shared" si="82"/>
        <v>专属强化石1</v>
      </c>
      <c r="FX14" s="101">
        <f t="shared" si="83"/>
        <v>8</v>
      </c>
      <c r="FY14" s="101" t="str">
        <f t="shared" si="84"/>
        <v/>
      </c>
      <c r="FZ14" s="101" t="str">
        <f t="shared" si="85"/>
        <v/>
      </c>
      <c r="GA14" s="101">
        <f t="shared" si="86"/>
        <v>0.08</v>
      </c>
      <c r="GB14" s="101">
        <f t="shared" si="87"/>
        <v>1</v>
      </c>
      <c r="GC14" s="101">
        <f t="shared" si="88"/>
        <v>20</v>
      </c>
      <c r="GD14" s="101">
        <f t="shared" si="89"/>
        <v>0</v>
      </c>
      <c r="GE14" s="101">
        <f t="shared" si="90"/>
        <v>1</v>
      </c>
      <c r="GF14" s="101">
        <f t="shared" si="91"/>
        <v>5</v>
      </c>
      <c r="GG14" s="101">
        <f t="shared" si="92"/>
        <v>3.7499999999999999E-2</v>
      </c>
      <c r="GH14" s="101">
        <f t="shared" si="93"/>
        <v>1</v>
      </c>
      <c r="GI14" s="101">
        <f t="shared" si="94"/>
        <v>9</v>
      </c>
      <c r="GJ14" s="101">
        <f t="shared" si="95"/>
        <v>0.1502</v>
      </c>
      <c r="GK14" s="101">
        <f t="shared" si="96"/>
        <v>1</v>
      </c>
      <c r="GL14" s="101">
        <f t="shared" si="97"/>
        <v>20</v>
      </c>
    </row>
    <row r="15" spans="1:194" ht="16.5" x14ac:dyDescent="0.2">
      <c r="A15" s="79">
        <v>9</v>
      </c>
      <c r="B15" s="79">
        <v>140</v>
      </c>
      <c r="C15" s="159">
        <v>140</v>
      </c>
      <c r="D15" s="14">
        <f>SUMIFS(节奏总表!$U$5:$U$34,节奏总表!$M$5:$M$34,"&lt;="&amp;专属武器强化!C15,节奏总表!$M$5:$M$34,"&gt;"&amp;C14)</f>
        <v>15.070000000000007</v>
      </c>
      <c r="E15" s="81">
        <v>500</v>
      </c>
      <c r="F15" s="14">
        <f t="shared" si="28"/>
        <v>500</v>
      </c>
      <c r="G15" s="81"/>
      <c r="H15" s="19"/>
      <c r="I15" s="19">
        <v>0.3</v>
      </c>
      <c r="J15" s="19">
        <v>0.7</v>
      </c>
      <c r="K15" s="14">
        <f t="shared" si="29"/>
        <v>0</v>
      </c>
      <c r="L15" s="14">
        <f t="shared" si="30"/>
        <v>0</v>
      </c>
      <c r="M15" s="14">
        <f t="shared" si="31"/>
        <v>7.5</v>
      </c>
      <c r="N15" s="14">
        <f t="shared" si="32"/>
        <v>7</v>
      </c>
      <c r="O15" s="14">
        <f t="shared" si="33"/>
        <v>0</v>
      </c>
      <c r="P15" s="14">
        <f t="shared" si="34"/>
        <v>0</v>
      </c>
      <c r="Q15" s="14">
        <f t="shared" si="35"/>
        <v>339.07500000000016</v>
      </c>
      <c r="R15" s="14">
        <f t="shared" si="36"/>
        <v>316.47000000000014</v>
      </c>
      <c r="S15" s="14">
        <f t="shared" si="37"/>
        <v>700</v>
      </c>
      <c r="T15" s="14">
        <f>SUMIFS(节奏总表!$W$5:$W$34,节奏总表!$M$5:$M$34,"&lt;="&amp;专属武器强化!C15,节奏总表!$M$5:$M$34,"&gt;"&amp;C14)</f>
        <v>13.29</v>
      </c>
      <c r="U15" s="14">
        <f t="shared" si="38"/>
        <v>0</v>
      </c>
      <c r="V15" s="14">
        <f t="shared" si="39"/>
        <v>0</v>
      </c>
      <c r="W15" s="14">
        <f t="shared" si="40"/>
        <v>10.5</v>
      </c>
      <c r="X15" s="14">
        <f t="shared" si="41"/>
        <v>9.7999999999999989</v>
      </c>
      <c r="Y15" s="14">
        <f t="shared" si="42"/>
        <v>0</v>
      </c>
      <c r="Z15" s="14">
        <f t="shared" si="43"/>
        <v>0</v>
      </c>
      <c r="AA15" s="14">
        <f t="shared" si="44"/>
        <v>697.72499999999991</v>
      </c>
      <c r="AB15" s="14">
        <f t="shared" si="45"/>
        <v>651.20999999999992</v>
      </c>
      <c r="AC15" s="14">
        <f t="shared" si="46"/>
        <v>1000</v>
      </c>
      <c r="AD15" s="14">
        <f>SUMIFS(节奏总表!$Y$5:$Y$34,节奏总表!$M$5:$M$34,"&lt;="&amp;专属武器强化!C15,节奏总表!$M$5:$M$34,"&gt;"&amp;C14)</f>
        <v>10.759999999999998</v>
      </c>
      <c r="AE15" s="14">
        <f t="shared" si="47"/>
        <v>0</v>
      </c>
      <c r="AF15" s="14">
        <f t="shared" si="48"/>
        <v>0</v>
      </c>
      <c r="AG15" s="14">
        <f t="shared" si="49"/>
        <v>15</v>
      </c>
      <c r="AH15" s="14">
        <f t="shared" si="50"/>
        <v>14</v>
      </c>
      <c r="AI15" s="14">
        <f t="shared" si="51"/>
        <v>0</v>
      </c>
      <c r="AJ15" s="14">
        <f t="shared" si="52"/>
        <v>0</v>
      </c>
      <c r="AK15" s="14">
        <f t="shared" si="53"/>
        <v>806.99999999999989</v>
      </c>
      <c r="AL15" s="14">
        <f t="shared" si="54"/>
        <v>753.19999999999993</v>
      </c>
      <c r="CC15" s="81">
        <v>10</v>
      </c>
      <c r="CD15" s="81" t="e">
        <f>INDEX(节奏总表!#REF!,MATCH(专属武器强化!CC15,节奏总表!#REF!,1))</f>
        <v>#REF!</v>
      </c>
      <c r="CE15" s="81"/>
      <c r="CF15" s="81" t="e">
        <f t="shared" si="12"/>
        <v>#REF!</v>
      </c>
      <c r="CG15" s="14" t="e">
        <f t="shared" si="13"/>
        <v>#REF!</v>
      </c>
      <c r="CH15" s="14" t="e">
        <f t="shared" si="14"/>
        <v>#REF!</v>
      </c>
      <c r="CI15" s="14" t="e">
        <f t="shared" si="15"/>
        <v>#REF!</v>
      </c>
      <c r="CJ15" s="14" t="e">
        <f t="shared" si="16"/>
        <v>#REF!</v>
      </c>
      <c r="CK15" s="14"/>
      <c r="CL15" s="14"/>
      <c r="CM15" s="14"/>
      <c r="CN15" s="14"/>
      <c r="CO15" s="14" t="e">
        <f>SUM(CG$6:CG15)</f>
        <v>#REF!</v>
      </c>
      <c r="CP15" s="14" t="e">
        <f>SUM(CH$6:CH15)</f>
        <v>#REF!</v>
      </c>
      <c r="CQ15" s="14" t="e">
        <f>SUM(CI$6:CI15)</f>
        <v>#REF!</v>
      </c>
      <c r="CR15" s="14" t="e">
        <f>SUM(CJ$6:CJ15)</f>
        <v>#REF!</v>
      </c>
      <c r="CU15" s="83">
        <v>6</v>
      </c>
      <c r="CV15" s="14" t="e">
        <f>INDEX(节奏总表!#REF!,专属武器强化!CU15)</f>
        <v>#REF!</v>
      </c>
      <c r="CW15" s="14" t="e">
        <f t="shared" si="17"/>
        <v>#REF!</v>
      </c>
      <c r="CX15" s="14" t="e">
        <f t="shared" si="60"/>
        <v>#REF!</v>
      </c>
      <c r="CY15" s="14" t="e">
        <f t="shared" si="61"/>
        <v>#REF!</v>
      </c>
      <c r="CZ15" s="14" t="e">
        <f t="shared" si="62"/>
        <v>#REF!</v>
      </c>
      <c r="DA15" s="83">
        <v>2</v>
      </c>
      <c r="DB15" s="83">
        <v>4</v>
      </c>
      <c r="DC15" s="14">
        <f t="shared" si="63"/>
        <v>116.78437500000003</v>
      </c>
      <c r="DD15" s="14">
        <f t="shared" si="64"/>
        <v>38.928125000000009</v>
      </c>
      <c r="DE15" s="14">
        <f t="shared" si="65"/>
        <v>0</v>
      </c>
      <c r="DF15" s="14">
        <f t="shared" si="66"/>
        <v>0</v>
      </c>
      <c r="DG15" s="83"/>
      <c r="DH15" s="83">
        <v>12</v>
      </c>
      <c r="DI15" s="83"/>
      <c r="DJ15" s="83"/>
      <c r="DK15" s="14" t="e">
        <f>CW15-SUM(DC$7:DC15)+SUM(DG$7:DG15)</f>
        <v>#REF!</v>
      </c>
      <c r="DL15" s="14" t="e">
        <f>CX15-SUM(DD$7:DD15)+SUM(DH$7:DH15)</f>
        <v>#REF!</v>
      </c>
      <c r="DM15" s="14" t="e">
        <f>CY15-SUM(DE$7:DE15)+SUM(DI$7:DI15)</f>
        <v>#REF!</v>
      </c>
      <c r="DN15" s="14" t="e">
        <f>CZ15-SUM(DF$7:DF15)+SUM(DJ$7:DJ15)</f>
        <v>#REF!</v>
      </c>
      <c r="DQ15" s="95">
        <v>10</v>
      </c>
      <c r="DR15" s="14">
        <f t="shared" si="67"/>
        <v>2</v>
      </c>
      <c r="DS15" s="14">
        <f t="shared" si="68"/>
        <v>1</v>
      </c>
      <c r="DT15" s="14">
        <f t="shared" si="19"/>
        <v>7.7856250000000022</v>
      </c>
      <c r="DU15" s="14">
        <f t="shared" si="19"/>
        <v>2.5952083333333342</v>
      </c>
      <c r="DV15" s="14">
        <f t="shared" si="19"/>
        <v>0</v>
      </c>
      <c r="DW15" s="14">
        <f t="shared" si="19"/>
        <v>0</v>
      </c>
      <c r="DX15" s="14">
        <f t="shared" si="69"/>
        <v>1</v>
      </c>
      <c r="DY15" s="14">
        <f t="shared" si="70"/>
        <v>2</v>
      </c>
      <c r="EF15" s="139">
        <v>10</v>
      </c>
      <c r="EG15" s="14">
        <f t="shared" si="72"/>
        <v>2</v>
      </c>
      <c r="EH15" s="19">
        <v>0.02</v>
      </c>
      <c r="EI15" s="139">
        <v>3</v>
      </c>
      <c r="EJ15" s="139" t="s">
        <v>958</v>
      </c>
      <c r="EK15" s="139">
        <f t="shared" si="73"/>
        <v>262</v>
      </c>
      <c r="EL15" s="139" t="s">
        <v>865</v>
      </c>
      <c r="EM15" s="139">
        <f>ROUND(EO15*DT15/DU15,0)</f>
        <v>3</v>
      </c>
      <c r="EN15" s="139" t="s">
        <v>866</v>
      </c>
      <c r="EO15" s="139">
        <v>1</v>
      </c>
      <c r="EP15" s="139">
        <f t="shared" si="20"/>
        <v>0.39</v>
      </c>
      <c r="EQ15" s="139">
        <v>1</v>
      </c>
      <c r="ER15" s="139">
        <f t="shared" si="74"/>
        <v>4</v>
      </c>
      <c r="ES15" s="139"/>
      <c r="ET15" s="139">
        <f t="shared" ref="ET15:ET32" si="99">DU15/EO15</f>
        <v>2.5952083333333342</v>
      </c>
      <c r="EV15">
        <v>0</v>
      </c>
      <c r="EW15">
        <v>1</v>
      </c>
      <c r="EX15">
        <f t="shared" si="22"/>
        <v>1</v>
      </c>
      <c r="EY15" s="89">
        <f t="shared" si="23"/>
        <v>0.19270000000000001</v>
      </c>
      <c r="EZ15">
        <v>1</v>
      </c>
      <c r="FA15">
        <f t="shared" si="24"/>
        <v>2</v>
      </c>
      <c r="FB15" s="89">
        <f t="shared" si="25"/>
        <v>0.77070000000000005</v>
      </c>
      <c r="FC15">
        <v>1</v>
      </c>
      <c r="FD15">
        <f t="shared" si="26"/>
        <v>4</v>
      </c>
      <c r="FG15" s="101">
        <v>1102011</v>
      </c>
      <c r="FH15" s="101">
        <v>1102011</v>
      </c>
      <c r="FI15" s="101" t="s">
        <v>192</v>
      </c>
      <c r="FJ15" s="14">
        <f>INDEX(卡牌消耗!$C$13:$C$40,MATCH(专属武器强化!FG15,卡牌消耗!$A$13:$A$40,0))</f>
        <v>4</v>
      </c>
      <c r="FN15" s="101">
        <v>10</v>
      </c>
      <c r="FO15" s="101">
        <f t="shared" si="75"/>
        <v>9</v>
      </c>
      <c r="FP15" s="101">
        <f t="shared" si="76"/>
        <v>1</v>
      </c>
      <c r="FQ15" s="14">
        <f t="shared" si="77"/>
        <v>5</v>
      </c>
      <c r="FR15" s="101" t="str">
        <f t="shared" si="78"/>
        <v>关羽专属武器-魂珠-1 9级</v>
      </c>
      <c r="FS15" s="101">
        <f t="shared" si="79"/>
        <v>1</v>
      </c>
      <c r="FT15" s="101">
        <f t="shared" si="80"/>
        <v>9</v>
      </c>
      <c r="FU15" s="101" t="str">
        <f t="shared" si="81"/>
        <v>金币</v>
      </c>
      <c r="FV15" s="139">
        <f>IF($FT15&gt;0,IF(INDEX($EI$6:$EI$77,$FO15)&gt;=FV$3,ROUND(INDEX(EK$6:EK$77,$FO15)*INDEX(卡牌消耗!$B$8:$F$8,FQ15)/5,0)*5,""),"")</f>
        <v>1530</v>
      </c>
      <c r="FW15" s="101" t="str">
        <f t="shared" si="82"/>
        <v>专属强化石1</v>
      </c>
      <c r="FX15" s="101">
        <f t="shared" si="83"/>
        <v>10</v>
      </c>
      <c r="FY15" s="101" t="str">
        <f t="shared" si="84"/>
        <v/>
      </c>
      <c r="FZ15" s="101" t="str">
        <f t="shared" si="85"/>
        <v/>
      </c>
      <c r="GA15" s="101">
        <f t="shared" si="86"/>
        <v>0.06</v>
      </c>
      <c r="GB15" s="101">
        <f t="shared" si="87"/>
        <v>1</v>
      </c>
      <c r="GC15" s="101">
        <f t="shared" si="88"/>
        <v>26</v>
      </c>
      <c r="GD15" s="101">
        <f t="shared" si="89"/>
        <v>0</v>
      </c>
      <c r="GE15" s="101">
        <f t="shared" si="90"/>
        <v>1</v>
      </c>
      <c r="GF15" s="101">
        <f t="shared" si="91"/>
        <v>6</v>
      </c>
      <c r="GG15" s="101">
        <f t="shared" si="92"/>
        <v>2.9000000000000001E-2</v>
      </c>
      <c r="GH15" s="101">
        <f t="shared" si="93"/>
        <v>1</v>
      </c>
      <c r="GI15" s="101">
        <f t="shared" si="94"/>
        <v>12</v>
      </c>
      <c r="GJ15" s="101">
        <f t="shared" si="95"/>
        <v>0.11600000000000001</v>
      </c>
      <c r="GK15" s="101">
        <f t="shared" si="96"/>
        <v>1</v>
      </c>
      <c r="GL15" s="101">
        <f t="shared" si="97"/>
        <v>26</v>
      </c>
    </row>
    <row r="16" spans="1:194" ht="16.5" x14ac:dyDescent="0.2">
      <c r="A16" s="79"/>
      <c r="B16" s="79">
        <v>150</v>
      </c>
      <c r="C16" s="159">
        <v>150</v>
      </c>
      <c r="D16" s="79"/>
      <c r="E16" s="81"/>
      <c r="F16" s="79"/>
      <c r="G16" s="81"/>
      <c r="H16" s="81"/>
      <c r="I16" s="81"/>
      <c r="J16" s="81"/>
      <c r="K16" s="14">
        <f t="shared" si="29"/>
        <v>0</v>
      </c>
      <c r="L16" s="14">
        <f t="shared" si="30"/>
        <v>0</v>
      </c>
      <c r="M16" s="14">
        <f t="shared" si="31"/>
        <v>0</v>
      </c>
      <c r="N16" s="14">
        <f t="shared" si="32"/>
        <v>0</v>
      </c>
      <c r="O16" s="14">
        <f>SUM(O7:O15)</f>
        <v>1034.3400000000001</v>
      </c>
      <c r="P16" s="14">
        <f t="shared" ref="P16:R16" si="100">SUM(P7:P15)</f>
        <v>1335.1799999999998</v>
      </c>
      <c r="Q16" s="14">
        <f t="shared" si="100"/>
        <v>1182.7649999999999</v>
      </c>
      <c r="R16" s="14">
        <f t="shared" si="100"/>
        <v>557.51400000000012</v>
      </c>
      <c r="S16" s="14"/>
      <c r="T16" s="14"/>
      <c r="U16" s="14"/>
      <c r="V16" s="14"/>
      <c r="W16" s="14"/>
      <c r="X16" s="14"/>
      <c r="Y16" s="14">
        <f>SUM(Y7:Y15)</f>
        <v>2130.1</v>
      </c>
      <c r="Z16" s="14">
        <f t="shared" ref="Z16" si="101">SUM(Z7:Z15)</f>
        <v>2748.5499999999997</v>
      </c>
      <c r="AA16" s="14">
        <f t="shared" ref="AA16" si="102">SUM(AA7:AA15)</f>
        <v>2435.09</v>
      </c>
      <c r="AB16" s="14">
        <f t="shared" ref="AB16" si="103">SUM(AB7:AB15)</f>
        <v>1147.8040000000001</v>
      </c>
      <c r="AC16" s="14"/>
      <c r="AD16" s="14"/>
      <c r="AE16" s="14"/>
      <c r="AF16" s="14"/>
      <c r="AG16" s="14"/>
      <c r="AH16" s="14"/>
      <c r="AI16" s="14">
        <f>SUM(AI7:AI15)</f>
        <v>2491.4000000000005</v>
      </c>
      <c r="AJ16" s="14">
        <f>SUM(AJ7:AJ15)</f>
        <v>3178.1</v>
      </c>
      <c r="AK16" s="14">
        <f>SUM(AK7:AK15)</f>
        <v>2816.2000000000003</v>
      </c>
      <c r="AL16" s="14">
        <f>SUM(AL7:AL15)</f>
        <v>1327.56</v>
      </c>
      <c r="CC16" s="81">
        <v>11</v>
      </c>
      <c r="CD16" s="81" t="e">
        <f>INDEX(节奏总表!#REF!,MATCH(专属武器强化!CC16,节奏总表!#REF!,1))</f>
        <v>#REF!</v>
      </c>
      <c r="CE16" s="81"/>
      <c r="CF16" s="81" t="e">
        <f t="shared" si="12"/>
        <v>#REF!</v>
      </c>
      <c r="CG16" s="14" t="e">
        <f t="shared" si="13"/>
        <v>#REF!</v>
      </c>
      <c r="CH16" s="14" t="e">
        <f t="shared" si="14"/>
        <v>#REF!</v>
      </c>
      <c r="CI16" s="14" t="e">
        <f t="shared" si="15"/>
        <v>#REF!</v>
      </c>
      <c r="CJ16" s="14" t="e">
        <f t="shared" si="16"/>
        <v>#REF!</v>
      </c>
      <c r="CK16" s="14"/>
      <c r="CL16" s="14"/>
      <c r="CM16" s="14"/>
      <c r="CN16" s="14"/>
      <c r="CO16" s="14" t="e">
        <f>SUM(CG$6:CG16)</f>
        <v>#REF!</v>
      </c>
      <c r="CP16" s="14" t="e">
        <f>SUM(CH$6:CH16)</f>
        <v>#REF!</v>
      </c>
      <c r="CQ16" s="14" t="e">
        <f>SUM(CI$6:CI16)</f>
        <v>#REF!</v>
      </c>
      <c r="CR16" s="14" t="e">
        <f>SUM(CJ$6:CJ16)</f>
        <v>#REF!</v>
      </c>
      <c r="CU16" s="83">
        <v>6</v>
      </c>
      <c r="CV16" s="14" t="e">
        <f>INDEX(节奏总表!#REF!,专属武器强化!CU16)</f>
        <v>#REF!</v>
      </c>
      <c r="CW16" s="14" t="e">
        <f t="shared" si="17"/>
        <v>#REF!</v>
      </c>
      <c r="CX16" s="14" t="e">
        <f t="shared" si="60"/>
        <v>#REF!</v>
      </c>
      <c r="CY16" s="14" t="e">
        <f t="shared" si="61"/>
        <v>#REF!</v>
      </c>
      <c r="CZ16" s="14" t="e">
        <f t="shared" si="62"/>
        <v>#REF!</v>
      </c>
      <c r="DA16" s="83">
        <v>1</v>
      </c>
      <c r="DB16" s="83">
        <v>6</v>
      </c>
      <c r="DC16" s="14">
        <f t="shared" si="63"/>
        <v>122.21962264150949</v>
      </c>
      <c r="DD16" s="14">
        <f t="shared" si="64"/>
        <v>0</v>
      </c>
      <c r="DE16" s="14">
        <f t="shared" si="65"/>
        <v>0</v>
      </c>
      <c r="DF16" s="14">
        <f t="shared" si="66"/>
        <v>0</v>
      </c>
      <c r="DG16" s="83">
        <v>45</v>
      </c>
      <c r="DH16" s="83"/>
      <c r="DI16" s="83"/>
      <c r="DJ16" s="83"/>
      <c r="DK16" s="14" t="e">
        <f>CW16-SUM(DC$7:DC16)+SUM(DG$7:DG16)</f>
        <v>#REF!</v>
      </c>
      <c r="DL16" s="14" t="e">
        <f>CX16-SUM(DD$7:DD16)+SUM(DH$7:DH16)</f>
        <v>#REF!</v>
      </c>
      <c r="DM16" s="14" t="e">
        <f>CY16-SUM(DE$7:DE16)+SUM(DI$7:DI16)</f>
        <v>#REF!</v>
      </c>
      <c r="DN16" s="14" t="e">
        <f>CZ16-SUM(DF$7:DF16)+SUM(DJ$7:DJ16)</f>
        <v>#REF!</v>
      </c>
      <c r="DQ16" s="95">
        <v>11</v>
      </c>
      <c r="DR16" s="14">
        <f t="shared" si="67"/>
        <v>2</v>
      </c>
      <c r="DS16" s="14">
        <f t="shared" si="68"/>
        <v>2</v>
      </c>
      <c r="DT16" s="14">
        <f t="shared" si="19"/>
        <v>15.571250000000004</v>
      </c>
      <c r="DU16" s="14">
        <f t="shared" si="19"/>
        <v>5.1904166666666685</v>
      </c>
      <c r="DV16" s="14">
        <f t="shared" si="19"/>
        <v>0</v>
      </c>
      <c r="DW16" s="14">
        <f t="shared" si="19"/>
        <v>0</v>
      </c>
      <c r="DX16" s="14">
        <f t="shared" si="69"/>
        <v>1</v>
      </c>
      <c r="DY16" s="14">
        <f t="shared" si="70"/>
        <v>2</v>
      </c>
      <c r="EF16" s="139">
        <v>11</v>
      </c>
      <c r="EG16" s="14">
        <f t="shared" si="72"/>
        <v>2</v>
      </c>
      <c r="EH16" s="19">
        <v>0.03</v>
      </c>
      <c r="EI16" s="139">
        <v>3</v>
      </c>
      <c r="EJ16" s="139" t="s">
        <v>958</v>
      </c>
      <c r="EK16" s="139">
        <f t="shared" si="73"/>
        <v>196</v>
      </c>
      <c r="EL16" s="139" t="s">
        <v>865</v>
      </c>
      <c r="EM16" s="139">
        <f t="shared" ref="EM16:EM32" si="104">ROUND(EO16*DT16/DU16,0)</f>
        <v>3</v>
      </c>
      <c r="EN16" s="139" t="s">
        <v>866</v>
      </c>
      <c r="EO16" s="139">
        <v>1</v>
      </c>
      <c r="EP16" s="139">
        <f t="shared" si="20"/>
        <v>0.19</v>
      </c>
      <c r="EQ16" s="139">
        <v>1</v>
      </c>
      <c r="ER16" s="139">
        <f t="shared" si="74"/>
        <v>8</v>
      </c>
      <c r="ES16" s="139"/>
      <c r="ET16" s="139">
        <f t="shared" si="99"/>
        <v>5.1904166666666685</v>
      </c>
      <c r="EV16">
        <v>0</v>
      </c>
      <c r="EW16">
        <v>1</v>
      </c>
      <c r="EX16">
        <f t="shared" si="22"/>
        <v>2</v>
      </c>
      <c r="EY16" s="89">
        <f t="shared" si="23"/>
        <v>9.6299999999999997E-2</v>
      </c>
      <c r="EZ16">
        <v>1</v>
      </c>
      <c r="FA16">
        <f t="shared" si="24"/>
        <v>4</v>
      </c>
      <c r="FB16" s="89">
        <f t="shared" si="25"/>
        <v>0.38529999999999998</v>
      </c>
      <c r="FC16">
        <v>1</v>
      </c>
      <c r="FD16">
        <f t="shared" si="26"/>
        <v>8</v>
      </c>
      <c r="FG16" s="101">
        <v>1102012</v>
      </c>
      <c r="FH16" s="101">
        <v>1102012</v>
      </c>
      <c r="FI16" s="101" t="s">
        <v>193</v>
      </c>
      <c r="FJ16" s="14">
        <f>INDEX(卡牌消耗!$C$13:$C$40,MATCH(专属武器强化!FG16,卡牌消耗!$A$13:$A$40,0))</f>
        <v>5</v>
      </c>
      <c r="FN16" s="101">
        <v>11</v>
      </c>
      <c r="FO16" s="101">
        <f t="shared" si="75"/>
        <v>0</v>
      </c>
      <c r="FP16" s="101">
        <f t="shared" si="76"/>
        <v>1</v>
      </c>
      <c r="FQ16" s="14">
        <f t="shared" si="77"/>
        <v>5</v>
      </c>
      <c r="FR16" s="101" t="str">
        <f t="shared" si="78"/>
        <v>关羽专属武器-魂珠-2 0级</v>
      </c>
      <c r="FS16" s="101">
        <f t="shared" si="79"/>
        <v>2</v>
      </c>
      <c r="FT16" s="101">
        <f t="shared" si="80"/>
        <v>0</v>
      </c>
      <c r="FU16" s="101" t="str">
        <f t="shared" si="81"/>
        <v/>
      </c>
      <c r="FV16" s="139" t="str">
        <f>IF($FT16&gt;0,IF(INDEX($EI$6:$EI$77,$FO16)&gt;=FV$3,ROUND(INDEX(EK$6:EK$77,$FO16)*INDEX(卡牌消耗!$B$8:$F$8,FQ16)/5,0)*5,""),"")</f>
        <v/>
      </c>
      <c r="FW16" s="101" t="str">
        <f t="shared" si="82"/>
        <v/>
      </c>
      <c r="FX16" s="101" t="str">
        <f t="shared" si="83"/>
        <v/>
      </c>
      <c r="FY16" s="101" t="str">
        <f t="shared" si="84"/>
        <v/>
      </c>
      <c r="FZ16" s="101" t="str">
        <f t="shared" si="85"/>
        <v/>
      </c>
      <c r="GA16" s="101" t="str">
        <f t="shared" si="86"/>
        <v/>
      </c>
      <c r="GB16" s="101" t="str">
        <f t="shared" si="87"/>
        <v/>
      </c>
      <c r="GC16" s="101" t="str">
        <f t="shared" si="88"/>
        <v/>
      </c>
      <c r="GD16" s="101" t="str">
        <f t="shared" si="89"/>
        <v/>
      </c>
      <c r="GE16" s="101" t="str">
        <f t="shared" si="90"/>
        <v/>
      </c>
      <c r="GF16" s="101" t="str">
        <f t="shared" si="91"/>
        <v/>
      </c>
      <c r="GG16" s="101" t="str">
        <f t="shared" si="92"/>
        <v/>
      </c>
      <c r="GH16" s="101" t="str">
        <f t="shared" si="93"/>
        <v/>
      </c>
      <c r="GI16" s="101" t="str">
        <f t="shared" si="94"/>
        <v/>
      </c>
      <c r="GJ16" s="101" t="str">
        <f t="shared" si="95"/>
        <v/>
      </c>
      <c r="GK16" s="101" t="str">
        <f t="shared" si="96"/>
        <v/>
      </c>
      <c r="GL16" s="101" t="str">
        <f t="shared" si="97"/>
        <v/>
      </c>
    </row>
    <row r="17" spans="1:194" ht="16.5" x14ac:dyDescent="0.2">
      <c r="CC17" s="81">
        <v>12</v>
      </c>
      <c r="CD17" s="81" t="e">
        <f>INDEX(节奏总表!#REF!,MATCH(专属武器强化!CC17,节奏总表!#REF!,1))</f>
        <v>#REF!</v>
      </c>
      <c r="CE17" s="81"/>
      <c r="CF17" s="81" t="e">
        <f t="shared" si="12"/>
        <v>#REF!</v>
      </c>
      <c r="CG17" s="14" t="e">
        <f t="shared" si="13"/>
        <v>#REF!</v>
      </c>
      <c r="CH17" s="14" t="e">
        <f t="shared" si="14"/>
        <v>#REF!</v>
      </c>
      <c r="CI17" s="14" t="e">
        <f t="shared" si="15"/>
        <v>#REF!</v>
      </c>
      <c r="CJ17" s="14" t="e">
        <f t="shared" si="16"/>
        <v>#REF!</v>
      </c>
      <c r="CK17" s="14"/>
      <c r="CL17" s="14"/>
      <c r="CM17" s="14"/>
      <c r="CN17" s="14"/>
      <c r="CO17" s="14" t="e">
        <f>SUM(CG$6:CG17)</f>
        <v>#REF!</v>
      </c>
      <c r="CP17" s="14" t="e">
        <f>SUM(CH$6:CH17)</f>
        <v>#REF!</v>
      </c>
      <c r="CQ17" s="14" t="e">
        <f>SUM(CI$6:CI17)</f>
        <v>#REF!</v>
      </c>
      <c r="CR17" s="14" t="e">
        <f>SUM(CJ$6:CJ17)</f>
        <v>#REF!</v>
      </c>
      <c r="CU17" s="83">
        <v>7</v>
      </c>
      <c r="CV17" s="14" t="e">
        <f>INDEX(节奏总表!#REF!,专属武器强化!CU17)</f>
        <v>#REF!</v>
      </c>
      <c r="CW17" s="14" t="e">
        <f t="shared" si="17"/>
        <v>#REF!</v>
      </c>
      <c r="CX17" s="14" t="e">
        <f t="shared" si="60"/>
        <v>#REF!</v>
      </c>
      <c r="CY17" s="14" t="e">
        <f t="shared" si="61"/>
        <v>#REF!</v>
      </c>
      <c r="CZ17" s="14" t="e">
        <f t="shared" si="62"/>
        <v>#REF!</v>
      </c>
      <c r="DA17" s="83">
        <v>0</v>
      </c>
      <c r="DB17" s="83">
        <v>0</v>
      </c>
      <c r="DC17" s="14">
        <f>IF(DA17&gt;0,INDEX($K$22:$AP$30,$DB17,($DA17-1)*4+1),0)*3</f>
        <v>0</v>
      </c>
      <c r="DD17" s="14">
        <f>IF(DA17&gt;0,INDEX($K$22:$AP$30,$DB17,($DA17-1)*4+2),0)*3</f>
        <v>0</v>
      </c>
      <c r="DE17" s="14">
        <f>IF(DA17&gt;0,INDEX($K$22:$AP$30,$DB17,($DA17-1)*4+3),0)*3</f>
        <v>0</v>
      </c>
      <c r="DF17" s="14">
        <f>IF(DB17&gt;0,INDEX($K$22:$AP$30,$DB17,($DA17-1)*4+4),0)*3</f>
        <v>0</v>
      </c>
      <c r="DG17" s="83"/>
      <c r="DH17" s="83"/>
      <c r="DI17" s="83"/>
      <c r="DJ17" s="83"/>
      <c r="DK17" s="14" t="e">
        <f>CW17-SUM(DC$7:DC17)+SUM(DG$7:DG17)</f>
        <v>#REF!</v>
      </c>
      <c r="DL17" s="14" t="e">
        <f>CX17-SUM(DD$7:DD17)+SUM(DH$7:DH17)</f>
        <v>#REF!</v>
      </c>
      <c r="DM17" s="14" t="e">
        <f>CY17-SUM(DE$7:DE17)+SUM(DI$7:DI17)</f>
        <v>#REF!</v>
      </c>
      <c r="DN17" s="14" t="e">
        <f>CZ17-SUM(DF$7:DF17)+SUM(DJ$7:DJ17)</f>
        <v>#REF!</v>
      </c>
      <c r="DQ17" s="95">
        <v>12</v>
      </c>
      <c r="DR17" s="14">
        <f t="shared" si="67"/>
        <v>2</v>
      </c>
      <c r="DS17" s="14">
        <f t="shared" si="68"/>
        <v>3</v>
      </c>
      <c r="DT17" s="14">
        <f t="shared" si="19"/>
        <v>23.356875000000006</v>
      </c>
      <c r="DU17" s="14">
        <f t="shared" si="19"/>
        <v>7.7856250000000022</v>
      </c>
      <c r="DV17" s="14">
        <f t="shared" si="19"/>
        <v>0</v>
      </c>
      <c r="DW17" s="14">
        <f t="shared" si="19"/>
        <v>0</v>
      </c>
      <c r="DX17" s="14">
        <f t="shared" si="69"/>
        <v>1</v>
      </c>
      <c r="DY17" s="14">
        <f t="shared" si="70"/>
        <v>2</v>
      </c>
      <c r="EF17" s="139">
        <v>12</v>
      </c>
      <c r="EG17" s="14">
        <f t="shared" si="72"/>
        <v>2</v>
      </c>
      <c r="EH17" s="19">
        <f>EH15+EH16</f>
        <v>0.05</v>
      </c>
      <c r="EI17" s="139">
        <v>3</v>
      </c>
      <c r="EJ17" s="139" t="s">
        <v>958</v>
      </c>
      <c r="EK17" s="139">
        <f t="shared" si="73"/>
        <v>436</v>
      </c>
      <c r="EL17" s="139" t="s">
        <v>865</v>
      </c>
      <c r="EM17" s="139">
        <f t="shared" si="104"/>
        <v>6</v>
      </c>
      <c r="EN17" s="139" t="s">
        <v>866</v>
      </c>
      <c r="EO17" s="139">
        <v>2</v>
      </c>
      <c r="EP17" s="139">
        <f t="shared" si="20"/>
        <v>0.26</v>
      </c>
      <c r="EQ17" s="139">
        <v>1</v>
      </c>
      <c r="ER17" s="139">
        <f t="shared" si="74"/>
        <v>6</v>
      </c>
      <c r="ES17" s="139"/>
      <c r="ET17" s="139">
        <f t="shared" si="99"/>
        <v>3.8928125000000011</v>
      </c>
      <c r="EV17">
        <v>0</v>
      </c>
      <c r="EW17">
        <v>1</v>
      </c>
      <c r="EX17">
        <f t="shared" si="22"/>
        <v>1</v>
      </c>
      <c r="EY17" s="89">
        <f t="shared" si="23"/>
        <v>0.12839999999999999</v>
      </c>
      <c r="EZ17">
        <v>1</v>
      </c>
      <c r="FA17">
        <f t="shared" si="24"/>
        <v>3</v>
      </c>
      <c r="FB17" s="89">
        <f t="shared" si="25"/>
        <v>0.51380000000000003</v>
      </c>
      <c r="FC17">
        <v>1</v>
      </c>
      <c r="FD17">
        <f t="shared" si="26"/>
        <v>6</v>
      </c>
      <c r="FG17" s="101">
        <v>1102014</v>
      </c>
      <c r="FH17" s="101">
        <v>1102014</v>
      </c>
      <c r="FI17" s="101" t="s">
        <v>195</v>
      </c>
      <c r="FJ17" s="14">
        <f>INDEX(卡牌消耗!$C$13:$C$40,MATCH(专属武器强化!FG17,卡牌消耗!$A$13:$A$40,0))</f>
        <v>3</v>
      </c>
      <c r="FN17" s="101">
        <v>12</v>
      </c>
      <c r="FO17" s="101">
        <f t="shared" si="75"/>
        <v>10</v>
      </c>
      <c r="FP17" s="101">
        <f t="shared" si="76"/>
        <v>1</v>
      </c>
      <c r="FQ17" s="14">
        <f t="shared" si="77"/>
        <v>5</v>
      </c>
      <c r="FR17" s="101" t="str">
        <f t="shared" si="78"/>
        <v>关羽专属武器-魂珠-2 1级</v>
      </c>
      <c r="FS17" s="101">
        <f t="shared" si="79"/>
        <v>2</v>
      </c>
      <c r="FT17" s="101">
        <f t="shared" si="80"/>
        <v>1</v>
      </c>
      <c r="FU17" s="101" t="str">
        <f t="shared" si="81"/>
        <v>金币</v>
      </c>
      <c r="FV17" s="139">
        <f>IF($FT17&gt;0,IF(INDEX($EI$6:$EI$77,$FO17)&gt;=FV$3,ROUND(INDEX(EK$6:EK$77,$FO17)*INDEX(卡牌消耗!$B$8:$F$8,FQ17)/5,0)*5,""),"")</f>
        <v>525</v>
      </c>
      <c r="FW17" s="101" t="str">
        <f t="shared" si="82"/>
        <v>专属强化石1</v>
      </c>
      <c r="FX17" s="101">
        <f t="shared" si="83"/>
        <v>3</v>
      </c>
      <c r="FY17" s="101" t="str">
        <f t="shared" si="84"/>
        <v>专属强化石2</v>
      </c>
      <c r="FZ17" s="101">
        <f t="shared" si="85"/>
        <v>1</v>
      </c>
      <c r="GA17" s="101">
        <f t="shared" si="86"/>
        <v>0.39</v>
      </c>
      <c r="GB17" s="101">
        <f t="shared" si="87"/>
        <v>1</v>
      </c>
      <c r="GC17" s="101">
        <f t="shared" si="88"/>
        <v>4</v>
      </c>
      <c r="GD17" s="101">
        <f t="shared" si="89"/>
        <v>0</v>
      </c>
      <c r="GE17" s="101">
        <f t="shared" si="90"/>
        <v>1</v>
      </c>
      <c r="GF17" s="101">
        <f t="shared" si="91"/>
        <v>1</v>
      </c>
      <c r="GG17" s="101">
        <f t="shared" si="92"/>
        <v>0.19270000000000001</v>
      </c>
      <c r="GH17" s="101">
        <f t="shared" si="93"/>
        <v>1</v>
      </c>
      <c r="GI17" s="101">
        <f t="shared" si="94"/>
        <v>2</v>
      </c>
      <c r="GJ17" s="101">
        <f t="shared" si="95"/>
        <v>0.77070000000000005</v>
      </c>
      <c r="GK17" s="101">
        <f t="shared" si="96"/>
        <v>1</v>
      </c>
      <c r="GL17" s="101">
        <f t="shared" si="97"/>
        <v>4</v>
      </c>
    </row>
    <row r="18" spans="1:194" ht="16.5" x14ac:dyDescent="0.2">
      <c r="CC18" s="81">
        <v>13</v>
      </c>
      <c r="CD18" s="81" t="e">
        <f>INDEX(节奏总表!#REF!,MATCH(专属武器强化!CC18,节奏总表!#REF!,1))</f>
        <v>#REF!</v>
      </c>
      <c r="CE18" s="81"/>
      <c r="CF18" s="81" t="e">
        <f t="shared" si="12"/>
        <v>#REF!</v>
      </c>
      <c r="CG18" s="14" t="e">
        <f t="shared" si="13"/>
        <v>#REF!</v>
      </c>
      <c r="CH18" s="14" t="e">
        <f t="shared" si="14"/>
        <v>#REF!</v>
      </c>
      <c r="CI18" s="14" t="e">
        <f t="shared" si="15"/>
        <v>#REF!</v>
      </c>
      <c r="CJ18" s="14" t="e">
        <f t="shared" si="16"/>
        <v>#REF!</v>
      </c>
      <c r="CK18" s="14"/>
      <c r="CL18" s="14"/>
      <c r="CM18" s="14"/>
      <c r="CN18" s="14"/>
      <c r="CO18" s="14" t="e">
        <f>SUM(CG$6:CG18)</f>
        <v>#REF!</v>
      </c>
      <c r="CP18" s="14" t="e">
        <f>SUM(CH$6:CH18)</f>
        <v>#REF!</v>
      </c>
      <c r="CQ18" s="14" t="e">
        <f>SUM(CI$6:CI18)</f>
        <v>#REF!</v>
      </c>
      <c r="CR18" s="14" t="e">
        <f>SUM(CJ$6:CJ18)</f>
        <v>#REF!</v>
      </c>
      <c r="CU18" s="83">
        <v>8</v>
      </c>
      <c r="CV18" s="14" t="e">
        <f>INDEX(节奏总表!#REF!,专属武器强化!CU18)</f>
        <v>#REF!</v>
      </c>
      <c r="CW18" s="14" t="e">
        <f t="shared" si="17"/>
        <v>#REF!</v>
      </c>
      <c r="CX18" s="14" t="e">
        <f t="shared" si="60"/>
        <v>#REF!</v>
      </c>
      <c r="CY18" s="14" t="e">
        <f t="shared" si="61"/>
        <v>#REF!</v>
      </c>
      <c r="CZ18" s="14" t="e">
        <f t="shared" si="62"/>
        <v>#REF!</v>
      </c>
      <c r="DA18" s="83">
        <v>2</v>
      </c>
      <c r="DB18" s="83">
        <v>5</v>
      </c>
      <c r="DC18" s="14">
        <f t="shared" ref="DC18:DC76" si="105">IF(DA18&gt;0,INDEX($K$22:$AP$30,$DB18,($DA18-1)*4+1),0)*3</f>
        <v>186.85500000000005</v>
      </c>
      <c r="DD18" s="14">
        <f t="shared" ref="DD18:DD76" si="106">IF(DA18&gt;0,INDEX($K$22:$AP$30,$DB18,($DA18-1)*4+2),0)*3</f>
        <v>62.285000000000025</v>
      </c>
      <c r="DE18" s="14">
        <f t="shared" ref="DE18:DE76" si="107">IF(DA18&gt;0,INDEX($K$22:$AP$30,$DB18,($DA18-1)*4+3),0)*3</f>
        <v>0</v>
      </c>
      <c r="DF18" s="14">
        <f t="shared" ref="DF18:DF76" si="108">IF(DB18&gt;0,INDEX($K$22:$AP$30,$DB18,($DA18-1)*4+4),0)*3</f>
        <v>0</v>
      </c>
      <c r="DG18" s="83">
        <v>20</v>
      </c>
      <c r="DH18" s="83"/>
      <c r="DI18" s="83"/>
      <c r="DJ18" s="83"/>
      <c r="DK18" s="14" t="e">
        <f>CW18-SUM(DC$7:DC18)+SUM(DG$7:DG18)</f>
        <v>#REF!</v>
      </c>
      <c r="DL18" s="14" t="e">
        <f>CX18-SUM(DD$7:DD18)+SUM(DH$7:DH18)</f>
        <v>#REF!</v>
      </c>
      <c r="DM18" s="14" t="e">
        <f>CY18-SUM(DE$7:DE18)+SUM(DI$7:DI18)</f>
        <v>#REF!</v>
      </c>
      <c r="DN18" s="14" t="e">
        <f>CZ18-SUM(DF$7:DF18)+SUM(DJ$7:DJ18)</f>
        <v>#REF!</v>
      </c>
      <c r="DQ18" s="95">
        <v>13</v>
      </c>
      <c r="DR18" s="14">
        <f t="shared" si="67"/>
        <v>2</v>
      </c>
      <c r="DS18" s="14">
        <f t="shared" si="68"/>
        <v>4</v>
      </c>
      <c r="DT18" s="14">
        <f t="shared" si="19"/>
        <v>38.928125000000009</v>
      </c>
      <c r="DU18" s="14">
        <f t="shared" si="19"/>
        <v>12.976041666666669</v>
      </c>
      <c r="DV18" s="14">
        <f t="shared" si="19"/>
        <v>0</v>
      </c>
      <c r="DW18" s="14">
        <f t="shared" si="19"/>
        <v>0</v>
      </c>
      <c r="DX18" s="14">
        <f t="shared" si="69"/>
        <v>1</v>
      </c>
      <c r="DY18" s="14">
        <f t="shared" si="70"/>
        <v>2</v>
      </c>
      <c r="EF18" s="139">
        <v>13</v>
      </c>
      <c r="EG18" s="14">
        <f t="shared" si="72"/>
        <v>2</v>
      </c>
      <c r="EH18" s="19">
        <f t="shared" ref="EH18:EH23" si="109">EH16+EH17</f>
        <v>0.08</v>
      </c>
      <c r="EI18" s="139">
        <v>3</v>
      </c>
      <c r="EJ18" s="139" t="s">
        <v>958</v>
      </c>
      <c r="EK18" s="139">
        <f t="shared" si="73"/>
        <v>418</v>
      </c>
      <c r="EL18" s="139" t="s">
        <v>865</v>
      </c>
      <c r="EM18" s="139">
        <f t="shared" si="104"/>
        <v>6</v>
      </c>
      <c r="EN18" s="139" t="s">
        <v>866</v>
      </c>
      <c r="EO18" s="139">
        <v>2</v>
      </c>
      <c r="EP18" s="139">
        <f t="shared" si="20"/>
        <v>0.15</v>
      </c>
      <c r="EQ18" s="139">
        <v>1</v>
      </c>
      <c r="ER18" s="139">
        <f t="shared" si="74"/>
        <v>10</v>
      </c>
      <c r="ES18" s="139"/>
      <c r="ET18" s="139">
        <f t="shared" si="99"/>
        <v>6.4880208333333345</v>
      </c>
      <c r="EV18">
        <v>0</v>
      </c>
      <c r="EW18">
        <v>1</v>
      </c>
      <c r="EX18">
        <f t="shared" si="22"/>
        <v>2</v>
      </c>
      <c r="EY18" s="89">
        <f t="shared" si="23"/>
        <v>7.7100000000000002E-2</v>
      </c>
      <c r="EZ18">
        <v>1</v>
      </c>
      <c r="FA18">
        <f t="shared" si="24"/>
        <v>5</v>
      </c>
      <c r="FB18" s="89">
        <f t="shared" si="25"/>
        <v>0.30830000000000002</v>
      </c>
      <c r="FC18">
        <v>1</v>
      </c>
      <c r="FD18">
        <f t="shared" si="26"/>
        <v>10</v>
      </c>
      <c r="FG18" s="101">
        <v>1102016</v>
      </c>
      <c r="FH18" s="101">
        <v>1102016</v>
      </c>
      <c r="FI18" s="101" t="s">
        <v>197</v>
      </c>
      <c r="FJ18" s="14">
        <f>INDEX(卡牌消耗!$C$13:$C$40,MATCH(专属武器强化!FG18,卡牌消耗!$A$13:$A$40,0))</f>
        <v>4</v>
      </c>
      <c r="FN18" s="101">
        <v>13</v>
      </c>
      <c r="FO18" s="101">
        <f t="shared" si="75"/>
        <v>11</v>
      </c>
      <c r="FP18" s="101">
        <f t="shared" si="76"/>
        <v>1</v>
      </c>
      <c r="FQ18" s="14">
        <f t="shared" si="77"/>
        <v>5</v>
      </c>
      <c r="FR18" s="101" t="str">
        <f t="shared" si="78"/>
        <v>关羽专属武器-魂珠-2 2级</v>
      </c>
      <c r="FS18" s="101">
        <f t="shared" si="79"/>
        <v>2</v>
      </c>
      <c r="FT18" s="101">
        <f t="shared" si="80"/>
        <v>2</v>
      </c>
      <c r="FU18" s="101" t="str">
        <f t="shared" si="81"/>
        <v>金币</v>
      </c>
      <c r="FV18" s="139">
        <f>IF($FT18&gt;0,IF(INDEX($EI$6:$EI$77,$FO18)&gt;=FV$3,ROUND(INDEX(EK$6:EK$77,$FO18)*INDEX(卡牌消耗!$B$8:$F$8,FQ18)/5,0)*5,""),"")</f>
        <v>390</v>
      </c>
      <c r="FW18" s="101" t="str">
        <f t="shared" si="82"/>
        <v>专属强化石1</v>
      </c>
      <c r="FX18" s="101">
        <f t="shared" si="83"/>
        <v>3</v>
      </c>
      <c r="FY18" s="101" t="str">
        <f t="shared" si="84"/>
        <v>专属强化石2</v>
      </c>
      <c r="FZ18" s="101">
        <f t="shared" si="85"/>
        <v>1</v>
      </c>
      <c r="GA18" s="101">
        <f t="shared" si="86"/>
        <v>0.19</v>
      </c>
      <c r="GB18" s="101">
        <f t="shared" si="87"/>
        <v>1</v>
      </c>
      <c r="GC18" s="101">
        <f t="shared" si="88"/>
        <v>8</v>
      </c>
      <c r="GD18" s="101">
        <f t="shared" si="89"/>
        <v>0</v>
      </c>
      <c r="GE18" s="101">
        <f t="shared" si="90"/>
        <v>1</v>
      </c>
      <c r="GF18" s="101">
        <f t="shared" si="91"/>
        <v>2</v>
      </c>
      <c r="GG18" s="101">
        <f t="shared" si="92"/>
        <v>9.6299999999999997E-2</v>
      </c>
      <c r="GH18" s="101">
        <f t="shared" si="93"/>
        <v>1</v>
      </c>
      <c r="GI18" s="101">
        <f t="shared" si="94"/>
        <v>4</v>
      </c>
      <c r="GJ18" s="101">
        <f t="shared" si="95"/>
        <v>0.38529999999999998</v>
      </c>
      <c r="GK18" s="101">
        <f t="shared" si="96"/>
        <v>1</v>
      </c>
      <c r="GL18" s="101">
        <f t="shared" si="97"/>
        <v>8</v>
      </c>
    </row>
    <row r="19" spans="1:194" ht="16.5" x14ac:dyDescent="0.2">
      <c r="K19">
        <v>1</v>
      </c>
      <c r="L19">
        <v>2</v>
      </c>
      <c r="M19">
        <v>3</v>
      </c>
      <c r="N19">
        <v>4</v>
      </c>
      <c r="O19">
        <v>1</v>
      </c>
      <c r="P19">
        <v>2</v>
      </c>
      <c r="Q19">
        <v>3</v>
      </c>
      <c r="R19">
        <v>4</v>
      </c>
      <c r="S19">
        <v>1</v>
      </c>
      <c r="T19">
        <v>2</v>
      </c>
      <c r="U19">
        <v>3</v>
      </c>
      <c r="V19">
        <v>4</v>
      </c>
      <c r="W19">
        <v>1</v>
      </c>
      <c r="X19">
        <v>2</v>
      </c>
      <c r="Y19">
        <v>3</v>
      </c>
      <c r="Z19">
        <v>4</v>
      </c>
      <c r="AA19">
        <v>1</v>
      </c>
      <c r="AB19">
        <v>2</v>
      </c>
      <c r="AC19">
        <v>3</v>
      </c>
      <c r="AD19">
        <v>4</v>
      </c>
      <c r="AE19">
        <v>1</v>
      </c>
      <c r="AF19">
        <v>2</v>
      </c>
      <c r="AG19">
        <v>3</v>
      </c>
      <c r="AH19">
        <v>4</v>
      </c>
      <c r="AI19">
        <v>1</v>
      </c>
      <c r="AJ19">
        <v>2</v>
      </c>
      <c r="AK19">
        <v>3</v>
      </c>
      <c r="AL19">
        <v>4</v>
      </c>
      <c r="AM19">
        <v>1</v>
      </c>
      <c r="AN19">
        <v>2</v>
      </c>
      <c r="AO19">
        <v>3</v>
      </c>
      <c r="AP19">
        <v>4</v>
      </c>
      <c r="CC19" s="81">
        <v>14</v>
      </c>
      <c r="CD19" s="81" t="e">
        <f>INDEX(节奏总表!#REF!,MATCH(专属武器强化!CC19,节奏总表!#REF!,1))</f>
        <v>#REF!</v>
      </c>
      <c r="CE19" s="81"/>
      <c r="CF19" s="81" t="e">
        <f t="shared" si="12"/>
        <v>#REF!</v>
      </c>
      <c r="CG19" s="14" t="e">
        <f t="shared" si="13"/>
        <v>#REF!</v>
      </c>
      <c r="CH19" s="14" t="e">
        <f t="shared" si="14"/>
        <v>#REF!</v>
      </c>
      <c r="CI19" s="14" t="e">
        <f t="shared" si="15"/>
        <v>#REF!</v>
      </c>
      <c r="CJ19" s="14" t="e">
        <f t="shared" si="16"/>
        <v>#REF!</v>
      </c>
      <c r="CK19" s="14"/>
      <c r="CL19" s="14"/>
      <c r="CM19" s="14"/>
      <c r="CN19" s="14"/>
      <c r="CO19" s="14" t="e">
        <f>SUM(CG$6:CG19)</f>
        <v>#REF!</v>
      </c>
      <c r="CP19" s="14" t="e">
        <f>SUM(CH$6:CH19)</f>
        <v>#REF!</v>
      </c>
      <c r="CQ19" s="14" t="e">
        <f>SUM(CI$6:CI19)</f>
        <v>#REF!</v>
      </c>
      <c r="CR19" s="14" t="e">
        <f>SUM(CJ$6:CJ19)</f>
        <v>#REF!</v>
      </c>
      <c r="CU19" s="83">
        <v>9</v>
      </c>
      <c r="CV19" s="14" t="e">
        <f>INDEX(节奏总表!#REF!,专属武器强化!CU19)</f>
        <v>#REF!</v>
      </c>
      <c r="CW19" s="14" t="e">
        <f t="shared" si="17"/>
        <v>#REF!</v>
      </c>
      <c r="CX19" s="14" t="e">
        <f t="shared" si="60"/>
        <v>#REF!</v>
      </c>
      <c r="CY19" s="14" t="e">
        <f t="shared" si="61"/>
        <v>#REF!</v>
      </c>
      <c r="CZ19" s="14" t="e">
        <f t="shared" si="62"/>
        <v>#REF!</v>
      </c>
      <c r="DA19" s="83">
        <v>3</v>
      </c>
      <c r="DB19" s="83">
        <v>1</v>
      </c>
      <c r="DC19" s="14">
        <f t="shared" si="105"/>
        <v>38.928125000000009</v>
      </c>
      <c r="DD19" s="14">
        <f t="shared" si="106"/>
        <v>19.464062500000004</v>
      </c>
      <c r="DE19" s="14">
        <f t="shared" si="107"/>
        <v>0</v>
      </c>
      <c r="DF19" s="14">
        <f t="shared" si="108"/>
        <v>0</v>
      </c>
      <c r="DG19" s="83"/>
      <c r="DH19" s="83"/>
      <c r="DI19" s="83"/>
      <c r="DJ19" s="83"/>
      <c r="DK19" s="14" t="e">
        <f>CW19-SUM(DC$7:DC19)+SUM(DG$7:DG19)</f>
        <v>#REF!</v>
      </c>
      <c r="DL19" s="14" t="e">
        <f>CX19-SUM(DD$7:DD19)+SUM(DH$7:DH19)</f>
        <v>#REF!</v>
      </c>
      <c r="DM19" s="14" t="e">
        <f>CY19-SUM(DE$7:DE19)+SUM(DI$7:DI19)</f>
        <v>#REF!</v>
      </c>
      <c r="DN19" s="14" t="e">
        <f>CZ19-SUM(DF$7:DF19)+SUM(DJ$7:DJ19)</f>
        <v>#REF!</v>
      </c>
      <c r="DQ19" s="95">
        <v>14</v>
      </c>
      <c r="DR19" s="14">
        <f t="shared" si="67"/>
        <v>2</v>
      </c>
      <c r="DS19" s="14">
        <f t="shared" si="68"/>
        <v>5</v>
      </c>
      <c r="DT19" s="14">
        <f t="shared" si="19"/>
        <v>62.285000000000018</v>
      </c>
      <c r="DU19" s="14">
        <f t="shared" si="19"/>
        <v>20.761666666666674</v>
      </c>
      <c r="DV19" s="14">
        <f t="shared" si="19"/>
        <v>0</v>
      </c>
      <c r="DW19" s="14">
        <f t="shared" si="19"/>
        <v>0</v>
      </c>
      <c r="DX19" s="14">
        <f t="shared" si="69"/>
        <v>1</v>
      </c>
      <c r="DY19" s="14">
        <f t="shared" si="70"/>
        <v>2</v>
      </c>
      <c r="EF19" s="139">
        <v>14</v>
      </c>
      <c r="EG19" s="14">
        <f t="shared" si="72"/>
        <v>2</v>
      </c>
      <c r="EH19" s="19">
        <f t="shared" si="109"/>
        <v>0.13</v>
      </c>
      <c r="EI19" s="139">
        <v>3</v>
      </c>
      <c r="EJ19" s="139" t="s">
        <v>958</v>
      </c>
      <c r="EK19" s="139">
        <f t="shared" si="73"/>
        <v>637</v>
      </c>
      <c r="EL19" s="139" t="s">
        <v>865</v>
      </c>
      <c r="EM19" s="139">
        <f t="shared" si="104"/>
        <v>9</v>
      </c>
      <c r="EN19" s="139" t="s">
        <v>866</v>
      </c>
      <c r="EO19" s="139">
        <v>3</v>
      </c>
      <c r="EP19" s="139">
        <f t="shared" si="20"/>
        <v>0.14000000000000001</v>
      </c>
      <c r="EQ19" s="139">
        <v>1</v>
      </c>
      <c r="ER19" s="139">
        <f t="shared" si="74"/>
        <v>10</v>
      </c>
      <c r="ES19" s="139"/>
      <c r="ET19" s="139">
        <f t="shared" si="99"/>
        <v>6.9205555555555582</v>
      </c>
      <c r="EV19">
        <v>0</v>
      </c>
      <c r="EW19">
        <v>1</v>
      </c>
      <c r="EX19">
        <f t="shared" si="22"/>
        <v>2</v>
      </c>
      <c r="EY19" s="89">
        <f t="shared" si="23"/>
        <v>7.22E-2</v>
      </c>
      <c r="EZ19">
        <v>1</v>
      </c>
      <c r="FA19">
        <f t="shared" si="24"/>
        <v>5</v>
      </c>
      <c r="FB19" s="89">
        <f t="shared" si="25"/>
        <v>0.28899999999999998</v>
      </c>
      <c r="FC19">
        <v>1</v>
      </c>
      <c r="FD19">
        <f t="shared" si="26"/>
        <v>10</v>
      </c>
      <c r="FG19" s="101">
        <v>1102017</v>
      </c>
      <c r="FH19" s="101">
        <v>1102017</v>
      </c>
      <c r="FI19" s="101" t="s">
        <v>198</v>
      </c>
      <c r="FJ19" s="14">
        <f>INDEX(卡牌消耗!$C$13:$C$40,MATCH(专属武器强化!FG19,卡牌消耗!$A$13:$A$40,0))</f>
        <v>3</v>
      </c>
      <c r="FN19" s="101">
        <v>14</v>
      </c>
      <c r="FO19" s="101">
        <f t="shared" si="75"/>
        <v>12</v>
      </c>
      <c r="FP19" s="101">
        <f t="shared" si="76"/>
        <v>1</v>
      </c>
      <c r="FQ19" s="14">
        <f t="shared" si="77"/>
        <v>5</v>
      </c>
      <c r="FR19" s="101" t="str">
        <f t="shared" si="78"/>
        <v>关羽专属武器-魂珠-2 3级</v>
      </c>
      <c r="FS19" s="101">
        <f t="shared" si="79"/>
        <v>2</v>
      </c>
      <c r="FT19" s="101">
        <f t="shared" si="80"/>
        <v>3</v>
      </c>
      <c r="FU19" s="101" t="str">
        <f t="shared" si="81"/>
        <v>金币</v>
      </c>
      <c r="FV19" s="139">
        <f>IF($FT19&gt;0,IF(INDEX($EI$6:$EI$77,$FO19)&gt;=FV$3,ROUND(INDEX(EK$6:EK$77,$FO19)*INDEX(卡牌消耗!$B$8:$F$8,FQ19)/5,0)*5,""),"")</f>
        <v>870</v>
      </c>
      <c r="FW19" s="101" t="str">
        <f t="shared" si="82"/>
        <v>专属强化石1</v>
      </c>
      <c r="FX19" s="101">
        <f t="shared" si="83"/>
        <v>6</v>
      </c>
      <c r="FY19" s="101" t="str">
        <f t="shared" si="84"/>
        <v>专属强化石2</v>
      </c>
      <c r="FZ19" s="101">
        <f t="shared" si="85"/>
        <v>2</v>
      </c>
      <c r="GA19" s="101">
        <f t="shared" si="86"/>
        <v>0.26</v>
      </c>
      <c r="GB19" s="101">
        <f t="shared" si="87"/>
        <v>1</v>
      </c>
      <c r="GC19" s="101">
        <f t="shared" si="88"/>
        <v>6</v>
      </c>
      <c r="GD19" s="101">
        <f t="shared" si="89"/>
        <v>0</v>
      </c>
      <c r="GE19" s="101">
        <f t="shared" si="90"/>
        <v>1</v>
      </c>
      <c r="GF19" s="101">
        <f t="shared" si="91"/>
        <v>1</v>
      </c>
      <c r="GG19" s="101">
        <f t="shared" si="92"/>
        <v>0.12839999999999999</v>
      </c>
      <c r="GH19" s="101">
        <f t="shared" si="93"/>
        <v>1</v>
      </c>
      <c r="GI19" s="101">
        <f t="shared" si="94"/>
        <v>3</v>
      </c>
      <c r="GJ19" s="101">
        <f t="shared" si="95"/>
        <v>0.51380000000000003</v>
      </c>
      <c r="GK19" s="101">
        <f t="shared" si="96"/>
        <v>1</v>
      </c>
      <c r="GL19" s="101">
        <f t="shared" si="97"/>
        <v>6</v>
      </c>
    </row>
    <row r="20" spans="1:194" ht="16.5" x14ac:dyDescent="0.2">
      <c r="B20">
        <f>SUMIFS(B$22:B$30,$A$22:$A$30,"&lt;="&amp;BR6)</f>
        <v>53</v>
      </c>
      <c r="C20">
        <f>SUMIFS(C$22:C$30,$A$22:$A$30,"&lt;="&amp;BR7)</f>
        <v>32</v>
      </c>
      <c r="D20">
        <f>SUMIFS(D$22:D$30,$A$22:$A$30,"&lt;="&amp;BR8)</f>
        <v>32</v>
      </c>
      <c r="E20">
        <f>SUMIFS(E$22:E$30,$A$22:$A$30,"&lt;="&amp;BR9)</f>
        <v>19</v>
      </c>
      <c r="F20">
        <f>SUMIFS(F$22:F$30,$A$22:$A$30,"&lt;="&amp;BR10)</f>
        <v>19</v>
      </c>
      <c r="G20">
        <f>SUMIFS(G$22:G$30,$A$22:$A$30,"&lt;="&amp;BR11)</f>
        <v>11</v>
      </c>
      <c r="H20">
        <f>SUMIFS(H$22:H$30,$A$22:$A$30,"&lt;="&amp;BR12)</f>
        <v>11</v>
      </c>
      <c r="I20">
        <f>SUMIFS(I$22:I$30,$A$22:$A$30,"&lt;="&amp;BR13)</f>
        <v>6</v>
      </c>
      <c r="K20">
        <v>1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2</v>
      </c>
      <c r="S20">
        <v>3</v>
      </c>
      <c r="T20">
        <v>3</v>
      </c>
      <c r="U20">
        <v>3</v>
      </c>
      <c r="V20">
        <v>3</v>
      </c>
      <c r="W20">
        <v>4</v>
      </c>
      <c r="X20">
        <v>4</v>
      </c>
      <c r="Y20">
        <v>4</v>
      </c>
      <c r="Z20">
        <v>4</v>
      </c>
      <c r="AA20">
        <v>5</v>
      </c>
      <c r="AB20">
        <v>5</v>
      </c>
      <c r="AC20">
        <v>5</v>
      </c>
      <c r="AD20">
        <v>5</v>
      </c>
      <c r="AE20">
        <v>6</v>
      </c>
      <c r="AF20">
        <v>6</v>
      </c>
      <c r="AG20">
        <v>6</v>
      </c>
      <c r="AH20">
        <v>6</v>
      </c>
      <c r="AI20">
        <v>7</v>
      </c>
      <c r="AJ20">
        <v>7</v>
      </c>
      <c r="AK20">
        <v>7</v>
      </c>
      <c r="AL20">
        <v>7</v>
      </c>
      <c r="AM20">
        <v>8</v>
      </c>
      <c r="AN20">
        <v>8</v>
      </c>
      <c r="AO20">
        <v>8</v>
      </c>
      <c r="AP20">
        <v>8</v>
      </c>
      <c r="CC20" s="81">
        <v>15</v>
      </c>
      <c r="CD20" s="81" t="e">
        <f>INDEX(节奏总表!#REF!,MATCH(专属武器强化!CC20,节奏总表!#REF!,1))</f>
        <v>#REF!</v>
      </c>
      <c r="CE20" s="81"/>
      <c r="CF20" s="81" t="e">
        <f t="shared" si="12"/>
        <v>#REF!</v>
      </c>
      <c r="CG20" s="14" t="e">
        <f t="shared" si="13"/>
        <v>#REF!</v>
      </c>
      <c r="CH20" s="14" t="e">
        <f t="shared" si="14"/>
        <v>#REF!</v>
      </c>
      <c r="CI20" s="14" t="e">
        <f t="shared" si="15"/>
        <v>#REF!</v>
      </c>
      <c r="CJ20" s="14" t="e">
        <f t="shared" si="16"/>
        <v>#REF!</v>
      </c>
      <c r="CK20" s="14"/>
      <c r="CL20" s="14"/>
      <c r="CM20" s="14"/>
      <c r="CN20" s="14"/>
      <c r="CO20" s="14" t="e">
        <f>SUM(CG$6:CG20)</f>
        <v>#REF!</v>
      </c>
      <c r="CP20" s="14" t="e">
        <f>SUM(CH$6:CH20)</f>
        <v>#REF!</v>
      </c>
      <c r="CQ20" s="14" t="e">
        <f>SUM(CI$6:CI20)</f>
        <v>#REF!</v>
      </c>
      <c r="CR20" s="14" t="e">
        <f>SUM(CJ$6:CJ20)</f>
        <v>#REF!</v>
      </c>
      <c r="CU20" s="83">
        <v>9</v>
      </c>
      <c r="CV20" s="14" t="e">
        <f>INDEX(节奏总表!#REF!,专属武器强化!CU20)</f>
        <v>#REF!</v>
      </c>
      <c r="CW20" s="14" t="e">
        <f t="shared" si="17"/>
        <v>#REF!</v>
      </c>
      <c r="CX20" s="14" t="e">
        <f t="shared" si="60"/>
        <v>#REF!</v>
      </c>
      <c r="CY20" s="14" t="e">
        <f t="shared" si="61"/>
        <v>#REF!</v>
      </c>
      <c r="CZ20" s="14" t="e">
        <f t="shared" si="62"/>
        <v>#REF!</v>
      </c>
      <c r="DA20" s="83">
        <v>3</v>
      </c>
      <c r="DB20" s="83">
        <v>2</v>
      </c>
      <c r="DC20" s="14">
        <f t="shared" si="105"/>
        <v>77.856250000000017</v>
      </c>
      <c r="DD20" s="14">
        <f t="shared" si="106"/>
        <v>38.928125000000009</v>
      </c>
      <c r="DE20" s="14">
        <f t="shared" si="107"/>
        <v>0</v>
      </c>
      <c r="DF20" s="14">
        <f t="shared" si="108"/>
        <v>0</v>
      </c>
      <c r="DG20" s="83"/>
      <c r="DH20" s="83"/>
      <c r="DI20" s="83"/>
      <c r="DJ20" s="83"/>
      <c r="DK20" s="14" t="e">
        <f>CW20-SUM(DC$7:DC20)+SUM(DG$7:DG20)</f>
        <v>#REF!</v>
      </c>
      <c r="DL20" s="14" t="e">
        <f>CX20-SUM(DD$7:DD20)+SUM(DH$7:DH20)</f>
        <v>#REF!</v>
      </c>
      <c r="DM20" s="14" t="e">
        <f>CY20-SUM(DE$7:DE20)+SUM(DI$7:DI20)</f>
        <v>#REF!</v>
      </c>
      <c r="DN20" s="14" t="e">
        <f>CZ20-SUM(DF$7:DF20)+SUM(DJ$7:DJ20)</f>
        <v>#REF!</v>
      </c>
      <c r="DQ20" s="95">
        <v>15</v>
      </c>
      <c r="DR20" s="14">
        <f t="shared" si="67"/>
        <v>2</v>
      </c>
      <c r="DS20" s="14">
        <f t="shared" si="68"/>
        <v>6</v>
      </c>
      <c r="DT20" s="14">
        <f t="shared" si="19"/>
        <v>101.21312500000003</v>
      </c>
      <c r="DU20" s="14">
        <f t="shared" si="19"/>
        <v>33.737708333333345</v>
      </c>
      <c r="DV20" s="14">
        <f t="shared" si="19"/>
        <v>0</v>
      </c>
      <c r="DW20" s="14">
        <f t="shared" si="19"/>
        <v>0</v>
      </c>
      <c r="DX20" s="14">
        <f t="shared" si="69"/>
        <v>1</v>
      </c>
      <c r="DY20" s="14">
        <f t="shared" si="70"/>
        <v>2</v>
      </c>
      <c r="EF20" s="139">
        <v>15</v>
      </c>
      <c r="EG20" s="14">
        <f t="shared" si="72"/>
        <v>2</v>
      </c>
      <c r="EH20" s="19">
        <f t="shared" si="109"/>
        <v>0.21000000000000002</v>
      </c>
      <c r="EI20" s="139">
        <v>3</v>
      </c>
      <c r="EJ20" s="139" t="s">
        <v>958</v>
      </c>
      <c r="EK20" s="139">
        <f t="shared" si="73"/>
        <v>845</v>
      </c>
      <c r="EL20" s="139" t="s">
        <v>865</v>
      </c>
      <c r="EM20" s="139">
        <f t="shared" si="104"/>
        <v>12</v>
      </c>
      <c r="EN20" s="139" t="s">
        <v>866</v>
      </c>
      <c r="EO20" s="139">
        <v>4</v>
      </c>
      <c r="EP20" s="139">
        <f t="shared" si="20"/>
        <v>0.12</v>
      </c>
      <c r="EQ20" s="139">
        <v>1</v>
      </c>
      <c r="ER20" s="139">
        <f t="shared" si="74"/>
        <v>13</v>
      </c>
      <c r="ES20" s="139"/>
      <c r="ET20" s="139">
        <f t="shared" si="99"/>
        <v>8.4344270833333361</v>
      </c>
      <c r="EV20">
        <v>0</v>
      </c>
      <c r="EW20">
        <v>1</v>
      </c>
      <c r="EX20">
        <f t="shared" si="22"/>
        <v>3</v>
      </c>
      <c r="EY20" s="89">
        <f t="shared" si="23"/>
        <v>5.9299999999999999E-2</v>
      </c>
      <c r="EZ20">
        <v>1</v>
      </c>
      <c r="FA20">
        <f t="shared" si="24"/>
        <v>6</v>
      </c>
      <c r="FB20" s="89">
        <f t="shared" si="25"/>
        <v>0.23710000000000001</v>
      </c>
      <c r="FC20">
        <v>1</v>
      </c>
      <c r="FD20">
        <f t="shared" si="26"/>
        <v>13</v>
      </c>
      <c r="FG20" s="101">
        <v>1102020</v>
      </c>
      <c r="FH20" s="101">
        <v>1102020</v>
      </c>
      <c r="FI20" s="101" t="s">
        <v>201</v>
      </c>
      <c r="FJ20" s="14">
        <f>INDEX(卡牌消耗!$C$13:$C$40,MATCH(专属武器强化!FG20,卡牌消耗!$A$13:$A$40,0))</f>
        <v>3</v>
      </c>
      <c r="FN20" s="101">
        <v>15</v>
      </c>
      <c r="FO20" s="101">
        <f t="shared" si="75"/>
        <v>13</v>
      </c>
      <c r="FP20" s="101">
        <f t="shared" si="76"/>
        <v>1</v>
      </c>
      <c r="FQ20" s="14">
        <f t="shared" si="77"/>
        <v>5</v>
      </c>
      <c r="FR20" s="101" t="str">
        <f t="shared" si="78"/>
        <v>关羽专属武器-魂珠-2 4级</v>
      </c>
      <c r="FS20" s="101">
        <f t="shared" si="79"/>
        <v>2</v>
      </c>
      <c r="FT20" s="101">
        <f t="shared" si="80"/>
        <v>4</v>
      </c>
      <c r="FU20" s="101" t="str">
        <f t="shared" si="81"/>
        <v>金币</v>
      </c>
      <c r="FV20" s="139">
        <f>IF($FT20&gt;0,IF(INDEX($EI$6:$EI$77,$FO20)&gt;=FV$3,ROUND(INDEX(EK$6:EK$77,$FO20)*INDEX(卡牌消耗!$B$8:$F$8,FQ20)/5,0)*5,""),"")</f>
        <v>835</v>
      </c>
      <c r="FW20" s="101" t="str">
        <f t="shared" si="82"/>
        <v>专属强化石1</v>
      </c>
      <c r="FX20" s="101">
        <f t="shared" si="83"/>
        <v>6</v>
      </c>
      <c r="FY20" s="101" t="str">
        <f t="shared" si="84"/>
        <v>专属强化石2</v>
      </c>
      <c r="FZ20" s="101">
        <f t="shared" si="85"/>
        <v>2</v>
      </c>
      <c r="GA20" s="101">
        <f t="shared" si="86"/>
        <v>0.15</v>
      </c>
      <c r="GB20" s="101">
        <f t="shared" si="87"/>
        <v>1</v>
      </c>
      <c r="GC20" s="101">
        <f t="shared" si="88"/>
        <v>10</v>
      </c>
      <c r="GD20" s="101">
        <f t="shared" si="89"/>
        <v>0</v>
      </c>
      <c r="GE20" s="101">
        <f t="shared" si="90"/>
        <v>1</v>
      </c>
      <c r="GF20" s="101">
        <f t="shared" si="91"/>
        <v>2</v>
      </c>
      <c r="GG20" s="101">
        <f t="shared" si="92"/>
        <v>7.7100000000000002E-2</v>
      </c>
      <c r="GH20" s="101">
        <f t="shared" si="93"/>
        <v>1</v>
      </c>
      <c r="GI20" s="101">
        <f t="shared" si="94"/>
        <v>5</v>
      </c>
      <c r="GJ20" s="101">
        <f t="shared" si="95"/>
        <v>0.30830000000000002</v>
      </c>
      <c r="GK20" s="101">
        <f t="shared" si="96"/>
        <v>1</v>
      </c>
      <c r="GL20" s="101">
        <f t="shared" si="97"/>
        <v>10</v>
      </c>
    </row>
    <row r="21" spans="1:194" ht="17.25" x14ac:dyDescent="0.2">
      <c r="A21" s="12" t="s">
        <v>37</v>
      </c>
      <c r="B21" s="12" t="s">
        <v>585</v>
      </c>
      <c r="C21" s="12" t="s">
        <v>586</v>
      </c>
      <c r="D21" s="12" t="s">
        <v>587</v>
      </c>
      <c r="E21" s="12" t="s">
        <v>588</v>
      </c>
      <c r="F21" s="12" t="s">
        <v>589</v>
      </c>
      <c r="G21" s="12" t="s">
        <v>590</v>
      </c>
      <c r="H21" s="12" t="s">
        <v>591</v>
      </c>
      <c r="I21" s="12" t="s">
        <v>592</v>
      </c>
      <c r="K21" s="12" t="s">
        <v>594</v>
      </c>
      <c r="L21" s="12" t="s">
        <v>595</v>
      </c>
      <c r="M21" s="12" t="s">
        <v>596</v>
      </c>
      <c r="N21" s="12" t="s">
        <v>597</v>
      </c>
      <c r="O21" s="12" t="s">
        <v>598</v>
      </c>
      <c r="P21" s="12" t="s">
        <v>599</v>
      </c>
      <c r="Q21" s="12" t="s">
        <v>600</v>
      </c>
      <c r="R21" s="12" t="s">
        <v>601</v>
      </c>
      <c r="S21" s="12" t="s">
        <v>602</v>
      </c>
      <c r="T21" s="12" t="s">
        <v>603</v>
      </c>
      <c r="U21" s="12" t="s">
        <v>604</v>
      </c>
      <c r="V21" s="12" t="s">
        <v>605</v>
      </c>
      <c r="W21" s="12" t="s">
        <v>606</v>
      </c>
      <c r="X21" s="12" t="s">
        <v>607</v>
      </c>
      <c r="Y21" s="12" t="s">
        <v>608</v>
      </c>
      <c r="Z21" s="12" t="s">
        <v>609</v>
      </c>
      <c r="AA21" s="12" t="s">
        <v>617</v>
      </c>
      <c r="AB21" s="12" t="s">
        <v>610</v>
      </c>
      <c r="AC21" s="12" t="s">
        <v>611</v>
      </c>
      <c r="AD21" s="12" t="s">
        <v>612</v>
      </c>
      <c r="AE21" s="12" t="s">
        <v>618</v>
      </c>
      <c r="AF21" s="12" t="s">
        <v>613</v>
      </c>
      <c r="AG21" s="12" t="s">
        <v>614</v>
      </c>
      <c r="AH21" s="12" t="s">
        <v>615</v>
      </c>
      <c r="AI21" s="12" t="s">
        <v>619</v>
      </c>
      <c r="AJ21" s="12" t="s">
        <v>616</v>
      </c>
      <c r="AK21" s="12" t="s">
        <v>620</v>
      </c>
      <c r="AL21" s="12" t="s">
        <v>621</v>
      </c>
      <c r="AM21" s="12" t="s">
        <v>622</v>
      </c>
      <c r="AN21" s="12" t="s">
        <v>623</v>
      </c>
      <c r="AO21" s="12" t="s">
        <v>624</v>
      </c>
      <c r="AP21" s="12" t="s">
        <v>625</v>
      </c>
      <c r="CC21" s="81">
        <v>16</v>
      </c>
      <c r="CD21" s="81" t="e">
        <f>INDEX(节奏总表!#REF!,MATCH(专属武器强化!CC21,节奏总表!#REF!,1))</f>
        <v>#REF!</v>
      </c>
      <c r="CE21" s="81"/>
      <c r="CF21" s="81" t="e">
        <f t="shared" si="12"/>
        <v>#REF!</v>
      </c>
      <c r="CG21" s="14" t="e">
        <f t="shared" si="13"/>
        <v>#REF!</v>
      </c>
      <c r="CH21" s="14" t="e">
        <f t="shared" si="14"/>
        <v>#REF!</v>
      </c>
      <c r="CI21" s="14" t="e">
        <f t="shared" si="15"/>
        <v>#REF!</v>
      </c>
      <c r="CJ21" s="14" t="e">
        <f t="shared" si="16"/>
        <v>#REF!</v>
      </c>
      <c r="CK21" s="14"/>
      <c r="CL21" s="14"/>
      <c r="CM21" s="14"/>
      <c r="CN21" s="14"/>
      <c r="CO21" s="14" t="e">
        <f>SUM(CG$6:CG21)</f>
        <v>#REF!</v>
      </c>
      <c r="CP21" s="14" t="e">
        <f>SUM(CH$6:CH21)</f>
        <v>#REF!</v>
      </c>
      <c r="CQ21" s="14" t="e">
        <f>SUM(CI$6:CI21)</f>
        <v>#REF!</v>
      </c>
      <c r="CR21" s="14" t="e">
        <f>SUM(CJ$6:CJ21)</f>
        <v>#REF!</v>
      </c>
      <c r="CU21" s="83">
        <v>9</v>
      </c>
      <c r="CV21" s="14" t="e">
        <f>INDEX(节奏总表!#REF!,专属武器强化!CU21)</f>
        <v>#REF!</v>
      </c>
      <c r="CW21" s="14" t="e">
        <f t="shared" si="17"/>
        <v>#REF!</v>
      </c>
      <c r="CX21" s="14" t="e">
        <f t="shared" si="60"/>
        <v>#REF!</v>
      </c>
      <c r="CY21" s="14" t="e">
        <f t="shared" si="61"/>
        <v>#REF!</v>
      </c>
      <c r="CZ21" s="14" t="e">
        <f t="shared" si="62"/>
        <v>#REF!</v>
      </c>
      <c r="DA21" s="83">
        <v>3</v>
      </c>
      <c r="DB21" s="83">
        <v>3</v>
      </c>
      <c r="DC21" s="14">
        <f t="shared" si="105"/>
        <v>116.78437500000003</v>
      </c>
      <c r="DD21" s="14">
        <f t="shared" si="106"/>
        <v>58.392187500000013</v>
      </c>
      <c r="DE21" s="14">
        <f t="shared" si="107"/>
        <v>0</v>
      </c>
      <c r="DF21" s="14">
        <f t="shared" si="108"/>
        <v>0</v>
      </c>
      <c r="DG21" s="83"/>
      <c r="DH21" s="83">
        <v>15</v>
      </c>
      <c r="DI21" s="83"/>
      <c r="DJ21" s="83"/>
      <c r="DK21" s="14" t="e">
        <f>CW21-SUM(DC$7:DC21)+SUM(DG$7:DG21)</f>
        <v>#REF!</v>
      </c>
      <c r="DL21" s="14" t="e">
        <f>CX21-SUM(DD$7:DD21)+SUM(DH$7:DH21)</f>
        <v>#REF!</v>
      </c>
      <c r="DM21" s="14" t="e">
        <f>CY21-SUM(DE$7:DE21)+SUM(DI$7:DI21)</f>
        <v>#REF!</v>
      </c>
      <c r="DN21" s="14" t="e">
        <f>CZ21-SUM(DF$7:DF21)+SUM(DJ$7:DJ21)</f>
        <v>#REF!</v>
      </c>
      <c r="DQ21" s="95">
        <v>16</v>
      </c>
      <c r="DR21" s="14">
        <f t="shared" si="67"/>
        <v>2</v>
      </c>
      <c r="DS21" s="14">
        <f t="shared" si="68"/>
        <v>7</v>
      </c>
      <c r="DT21" s="14">
        <f t="shared" si="19"/>
        <v>163.49812500000004</v>
      </c>
      <c r="DU21" s="14">
        <f t="shared" si="19"/>
        <v>54.499375000000015</v>
      </c>
      <c r="DV21" s="14">
        <f t="shared" si="19"/>
        <v>0</v>
      </c>
      <c r="DW21" s="14">
        <f t="shared" si="19"/>
        <v>0</v>
      </c>
      <c r="DX21" s="14">
        <f t="shared" si="69"/>
        <v>1</v>
      </c>
      <c r="DY21" s="14">
        <f t="shared" si="70"/>
        <v>2</v>
      </c>
      <c r="EF21" s="139">
        <v>16</v>
      </c>
      <c r="EG21" s="14">
        <f t="shared" si="72"/>
        <v>2</v>
      </c>
      <c r="EH21" s="19">
        <f t="shared" si="109"/>
        <v>0.34</v>
      </c>
      <c r="EI21" s="139">
        <v>3</v>
      </c>
      <c r="EJ21" s="139" t="s">
        <v>958</v>
      </c>
      <c r="EK21" s="139">
        <f t="shared" si="73"/>
        <v>1059</v>
      </c>
      <c r="EL21" s="139" t="s">
        <v>865</v>
      </c>
      <c r="EM21" s="139">
        <f t="shared" si="104"/>
        <v>15</v>
      </c>
      <c r="EN21" s="139" t="s">
        <v>866</v>
      </c>
      <c r="EO21" s="139">
        <v>5</v>
      </c>
      <c r="EP21" s="139">
        <f t="shared" si="20"/>
        <v>0.09</v>
      </c>
      <c r="EQ21" s="139">
        <v>1</v>
      </c>
      <c r="ER21" s="139">
        <f t="shared" si="74"/>
        <v>16</v>
      </c>
      <c r="ES21" s="139"/>
      <c r="ET21" s="139">
        <f t="shared" si="99"/>
        <v>10.899875000000003</v>
      </c>
      <c r="EV21">
        <v>0</v>
      </c>
      <c r="EW21">
        <v>1</v>
      </c>
      <c r="EX21">
        <f t="shared" si="22"/>
        <v>4</v>
      </c>
      <c r="EY21" s="89">
        <f t="shared" si="23"/>
        <v>4.5900000000000003E-2</v>
      </c>
      <c r="EZ21">
        <v>1</v>
      </c>
      <c r="FA21">
        <f t="shared" si="24"/>
        <v>8</v>
      </c>
      <c r="FB21" s="89">
        <f t="shared" si="25"/>
        <v>0.1835</v>
      </c>
      <c r="FC21">
        <v>1</v>
      </c>
      <c r="FD21">
        <f t="shared" si="26"/>
        <v>16</v>
      </c>
      <c r="FG21" s="101">
        <v>1102021</v>
      </c>
      <c r="FH21" s="101">
        <v>1102021</v>
      </c>
      <c r="FI21" s="101" t="s">
        <v>202</v>
      </c>
      <c r="FJ21" s="14">
        <f>INDEX(卡牌消耗!$C$13:$C$40,MATCH(专属武器强化!FG21,卡牌消耗!$A$13:$A$40,0))</f>
        <v>3</v>
      </c>
      <c r="FN21" s="101">
        <v>16</v>
      </c>
      <c r="FO21" s="101">
        <f t="shared" si="75"/>
        <v>14</v>
      </c>
      <c r="FP21" s="101">
        <f t="shared" si="76"/>
        <v>1</v>
      </c>
      <c r="FQ21" s="14">
        <f t="shared" si="77"/>
        <v>5</v>
      </c>
      <c r="FR21" s="101" t="str">
        <f t="shared" si="78"/>
        <v>关羽专属武器-魂珠-2 5级</v>
      </c>
      <c r="FS21" s="101">
        <f t="shared" si="79"/>
        <v>2</v>
      </c>
      <c r="FT21" s="101">
        <f t="shared" si="80"/>
        <v>5</v>
      </c>
      <c r="FU21" s="101" t="str">
        <f t="shared" si="81"/>
        <v>金币</v>
      </c>
      <c r="FV21" s="139">
        <f>IF($FT21&gt;0,IF(INDEX($EI$6:$EI$77,$FO21)&gt;=FV$3,ROUND(INDEX(EK$6:EK$77,$FO21)*INDEX(卡牌消耗!$B$8:$F$8,FQ21)/5,0)*5,""),"")</f>
        <v>1275</v>
      </c>
      <c r="FW21" s="101" t="str">
        <f t="shared" si="82"/>
        <v>专属强化石1</v>
      </c>
      <c r="FX21" s="101">
        <f t="shared" si="83"/>
        <v>9</v>
      </c>
      <c r="FY21" s="101" t="str">
        <f t="shared" si="84"/>
        <v>专属强化石2</v>
      </c>
      <c r="FZ21" s="101">
        <f t="shared" si="85"/>
        <v>3</v>
      </c>
      <c r="GA21" s="101">
        <f t="shared" si="86"/>
        <v>0.14000000000000001</v>
      </c>
      <c r="GB21" s="101">
        <f t="shared" si="87"/>
        <v>1</v>
      </c>
      <c r="GC21" s="101">
        <f t="shared" si="88"/>
        <v>10</v>
      </c>
      <c r="GD21" s="101">
        <f t="shared" si="89"/>
        <v>0</v>
      </c>
      <c r="GE21" s="101">
        <f t="shared" si="90"/>
        <v>1</v>
      </c>
      <c r="GF21" s="101">
        <f t="shared" si="91"/>
        <v>2</v>
      </c>
      <c r="GG21" s="101">
        <f t="shared" si="92"/>
        <v>7.22E-2</v>
      </c>
      <c r="GH21" s="101">
        <f t="shared" si="93"/>
        <v>1</v>
      </c>
      <c r="GI21" s="101">
        <f t="shared" si="94"/>
        <v>5</v>
      </c>
      <c r="GJ21" s="101">
        <f t="shared" si="95"/>
        <v>0.28899999999999998</v>
      </c>
      <c r="GK21" s="101">
        <f t="shared" si="96"/>
        <v>1</v>
      </c>
      <c r="GL21" s="101">
        <f t="shared" si="97"/>
        <v>10</v>
      </c>
    </row>
    <row r="22" spans="1:194" ht="16.5" x14ac:dyDescent="0.2">
      <c r="A22" s="81">
        <v>1</v>
      </c>
      <c r="B22" s="81">
        <v>1</v>
      </c>
      <c r="C22" s="81">
        <v>1</v>
      </c>
      <c r="D22" s="81">
        <v>1</v>
      </c>
      <c r="E22" s="81">
        <v>1</v>
      </c>
      <c r="F22" s="81">
        <v>1</v>
      </c>
      <c r="G22" s="81">
        <v>1</v>
      </c>
      <c r="H22" s="81">
        <v>1</v>
      </c>
      <c r="I22" s="81">
        <v>1</v>
      </c>
      <c r="K22" s="81">
        <f t="shared" ref="K22:T30" si="110">INDEX($BW$6:$BZ$13,K$20,K$19)*INDEX($B22:$I22,K$20)/INDEX($B$20:$I$20,K$20)/3</f>
        <v>3.1338364779874222</v>
      </c>
      <c r="L22" s="84">
        <f t="shared" si="110"/>
        <v>0</v>
      </c>
      <c r="M22" s="84">
        <f t="shared" si="110"/>
        <v>0</v>
      </c>
      <c r="N22" s="84">
        <f t="shared" si="110"/>
        <v>0</v>
      </c>
      <c r="O22" s="84">
        <f t="shared" si="110"/>
        <v>7.7856250000000022</v>
      </c>
      <c r="P22" s="84">
        <f t="shared" si="110"/>
        <v>2.5952083333333342</v>
      </c>
      <c r="Q22" s="84">
        <f t="shared" si="110"/>
        <v>0</v>
      </c>
      <c r="R22" s="84">
        <f t="shared" si="110"/>
        <v>0</v>
      </c>
      <c r="S22" s="84">
        <f t="shared" si="110"/>
        <v>12.976041666666669</v>
      </c>
      <c r="T22" s="84">
        <f t="shared" si="110"/>
        <v>6.4880208333333345</v>
      </c>
      <c r="U22" s="84">
        <f t="shared" ref="U22:AD30" si="111">INDEX($BW$6:$BZ$13,U$20,U$19)*INDEX($B22:$I22,U$20)/INDEX($B$20:$I$20,U$20)/3</f>
        <v>0</v>
      </c>
      <c r="V22" s="84">
        <f t="shared" si="111"/>
        <v>0</v>
      </c>
      <c r="W22" s="84">
        <f t="shared" si="111"/>
        <v>0</v>
      </c>
      <c r="X22" s="84">
        <f t="shared" si="111"/>
        <v>13.112631578947372</v>
      </c>
      <c r="Y22" s="84">
        <f t="shared" si="111"/>
        <v>4.9407017543859659</v>
      </c>
      <c r="Z22" s="84">
        <f t="shared" si="111"/>
        <v>0</v>
      </c>
      <c r="AA22" s="84">
        <f t="shared" si="111"/>
        <v>0</v>
      </c>
      <c r="AB22" s="84">
        <f t="shared" si="111"/>
        <v>15.298070175438598</v>
      </c>
      <c r="AC22" s="84">
        <f t="shared" si="111"/>
        <v>9.8814035087719319</v>
      </c>
      <c r="AD22" s="84">
        <f t="shared" si="111"/>
        <v>0</v>
      </c>
      <c r="AE22" s="84">
        <f t="shared" ref="AE22:AP30" si="112">INDEX($BW$6:$BZ$13,AE$20,AE$19)*INDEX($B22:$I22,AE$20)/INDEX($B$20:$I$20,AE$20)/3</f>
        <v>0</v>
      </c>
      <c r="AF22" s="84">
        <f t="shared" si="112"/>
        <v>0</v>
      </c>
      <c r="AG22" s="84">
        <f t="shared" si="112"/>
        <v>29.868787878787881</v>
      </c>
      <c r="AH22" s="84">
        <f t="shared" si="112"/>
        <v>6.0343636363636364</v>
      </c>
      <c r="AI22" s="84">
        <f t="shared" si="112"/>
        <v>0</v>
      </c>
      <c r="AJ22" s="84">
        <f t="shared" si="112"/>
        <v>0</v>
      </c>
      <c r="AK22" s="84">
        <f t="shared" si="112"/>
        <v>29.868787878787881</v>
      </c>
      <c r="AL22" s="84">
        <f t="shared" si="112"/>
        <v>10.057272727272727</v>
      </c>
      <c r="AM22" s="84">
        <f t="shared" si="112"/>
        <v>0</v>
      </c>
      <c r="AN22" s="84">
        <f t="shared" si="112"/>
        <v>0</v>
      </c>
      <c r="AO22" s="84">
        <f t="shared" si="112"/>
        <v>0</v>
      </c>
      <c r="AP22" s="84">
        <f t="shared" si="112"/>
        <v>44.252000000000002</v>
      </c>
      <c r="CC22" s="81">
        <v>17</v>
      </c>
      <c r="CD22" s="81" t="e">
        <f>INDEX(节奏总表!#REF!,MATCH(专属武器强化!CC22,节奏总表!#REF!,1))</f>
        <v>#REF!</v>
      </c>
      <c r="CE22" s="81">
        <v>4</v>
      </c>
      <c r="CF22" s="81" t="e">
        <f t="shared" si="12"/>
        <v>#REF!</v>
      </c>
      <c r="CG22" s="14" t="e">
        <f t="shared" si="13"/>
        <v>#REF!</v>
      </c>
      <c r="CH22" s="14" t="e">
        <f t="shared" si="14"/>
        <v>#REF!</v>
      </c>
      <c r="CI22" s="14" t="e">
        <f t="shared" si="15"/>
        <v>#REF!</v>
      </c>
      <c r="CJ22" s="14" t="e">
        <f t="shared" si="16"/>
        <v>#REF!</v>
      </c>
      <c r="CK22" s="14"/>
      <c r="CL22" s="14"/>
      <c r="CM22" s="14"/>
      <c r="CN22" s="14"/>
      <c r="CO22" s="14" t="e">
        <f>SUM(CG$6:CG22)</f>
        <v>#REF!</v>
      </c>
      <c r="CP22" s="14" t="e">
        <f>SUM(CH$6:CH22)</f>
        <v>#REF!</v>
      </c>
      <c r="CQ22" s="14" t="e">
        <f>SUM(CI$6:CI22)</f>
        <v>#REF!</v>
      </c>
      <c r="CR22" s="14" t="e">
        <f>SUM(CJ$6:CJ22)</f>
        <v>#REF!</v>
      </c>
      <c r="CU22" s="83">
        <v>10</v>
      </c>
      <c r="CV22" s="14" t="e">
        <f>INDEX(节奏总表!#REF!,专属武器强化!CU22)</f>
        <v>#REF!</v>
      </c>
      <c r="CW22" s="14" t="e">
        <f t="shared" si="17"/>
        <v>#REF!</v>
      </c>
      <c r="CX22" s="14" t="e">
        <f t="shared" si="60"/>
        <v>#REF!</v>
      </c>
      <c r="CY22" s="14" t="e">
        <f t="shared" si="61"/>
        <v>#REF!</v>
      </c>
      <c r="CZ22" s="14" t="e">
        <f t="shared" si="62"/>
        <v>#REF!</v>
      </c>
      <c r="DA22" s="83">
        <v>0</v>
      </c>
      <c r="DB22" s="83">
        <v>0</v>
      </c>
      <c r="DC22" s="14">
        <f t="shared" si="105"/>
        <v>0</v>
      </c>
      <c r="DD22" s="14">
        <f t="shared" si="106"/>
        <v>0</v>
      </c>
      <c r="DE22" s="14">
        <f t="shared" si="107"/>
        <v>0</v>
      </c>
      <c r="DF22" s="14">
        <f t="shared" si="108"/>
        <v>0</v>
      </c>
      <c r="DG22" s="83"/>
      <c r="DH22" s="83"/>
      <c r="DI22" s="83"/>
      <c r="DJ22" s="83"/>
      <c r="DK22" s="14" t="e">
        <f>CW22-SUM(DC$7:DC22)+SUM(DG$7:DG22)</f>
        <v>#REF!</v>
      </c>
      <c r="DL22" s="14" t="e">
        <f>CX22-SUM(DD$7:DD22)+SUM(DH$7:DH22)</f>
        <v>#REF!</v>
      </c>
      <c r="DM22" s="14" t="e">
        <f>CY22-SUM(DE$7:DE22)+SUM(DI$7:DI22)</f>
        <v>#REF!</v>
      </c>
      <c r="DN22" s="14" t="e">
        <f>CZ22-SUM(DF$7:DF22)+SUM(DJ$7:DJ22)</f>
        <v>#REF!</v>
      </c>
      <c r="DQ22" s="95">
        <v>17</v>
      </c>
      <c r="DR22" s="14">
        <f t="shared" si="67"/>
        <v>2</v>
      </c>
      <c r="DS22" s="14">
        <f t="shared" si="68"/>
        <v>8</v>
      </c>
      <c r="DT22" s="14">
        <f t="shared" si="19"/>
        <v>264.71125000000006</v>
      </c>
      <c r="DU22" s="14">
        <f t="shared" si="19"/>
        <v>88.237083333333359</v>
      </c>
      <c r="DV22" s="14">
        <f t="shared" si="19"/>
        <v>0</v>
      </c>
      <c r="DW22" s="14">
        <f t="shared" si="19"/>
        <v>0</v>
      </c>
      <c r="DX22" s="14">
        <f t="shared" si="69"/>
        <v>1</v>
      </c>
      <c r="DY22" s="14">
        <f t="shared" si="70"/>
        <v>2</v>
      </c>
      <c r="EF22" s="139">
        <v>17</v>
      </c>
      <c r="EG22" s="14">
        <f t="shared" si="72"/>
        <v>2</v>
      </c>
      <c r="EH22" s="19">
        <f t="shared" si="109"/>
        <v>0.55000000000000004</v>
      </c>
      <c r="EI22" s="139">
        <v>3</v>
      </c>
      <c r="EJ22" s="139" t="s">
        <v>958</v>
      </c>
      <c r="EK22" s="139">
        <f t="shared" si="73"/>
        <v>1269</v>
      </c>
      <c r="EL22" s="139" t="s">
        <v>865</v>
      </c>
      <c r="EM22" s="139">
        <f t="shared" si="104"/>
        <v>18</v>
      </c>
      <c r="EN22" s="139" t="s">
        <v>866</v>
      </c>
      <c r="EO22" s="139">
        <v>6</v>
      </c>
      <c r="EP22" s="139">
        <f t="shared" si="20"/>
        <v>7.0000000000000007E-2</v>
      </c>
      <c r="EQ22" s="139">
        <v>1</v>
      </c>
      <c r="ER22" s="139">
        <f t="shared" si="74"/>
        <v>22</v>
      </c>
      <c r="ES22" s="139"/>
      <c r="ET22" s="139">
        <f t="shared" si="99"/>
        <v>14.70618055555556</v>
      </c>
      <c r="EV22">
        <v>0</v>
      </c>
      <c r="EW22">
        <v>1</v>
      </c>
      <c r="EX22">
        <f t="shared" si="22"/>
        <v>5</v>
      </c>
      <c r="EY22" s="89">
        <f t="shared" si="23"/>
        <v>3.4000000000000002E-2</v>
      </c>
      <c r="EZ22">
        <v>1</v>
      </c>
      <c r="FA22">
        <f t="shared" si="24"/>
        <v>10</v>
      </c>
      <c r="FB22" s="89">
        <f t="shared" si="25"/>
        <v>0.13600000000000001</v>
      </c>
      <c r="FC22">
        <v>1</v>
      </c>
      <c r="FD22">
        <f t="shared" si="26"/>
        <v>22</v>
      </c>
      <c r="FG22" s="101">
        <v>1102024</v>
      </c>
      <c r="FH22" s="101">
        <v>1102024</v>
      </c>
      <c r="FI22" s="101" t="s">
        <v>883</v>
      </c>
      <c r="FJ22" s="14">
        <f>INDEX(卡牌消耗!$C$13:$C$40,MATCH(专属武器强化!FG22,卡牌消耗!$A$13:$A$40,0))</f>
        <v>3</v>
      </c>
      <c r="FN22" s="101">
        <v>17</v>
      </c>
      <c r="FO22" s="101">
        <f t="shared" si="75"/>
        <v>15</v>
      </c>
      <c r="FP22" s="101">
        <f t="shared" si="76"/>
        <v>1</v>
      </c>
      <c r="FQ22" s="14">
        <f t="shared" si="77"/>
        <v>5</v>
      </c>
      <c r="FR22" s="101" t="str">
        <f t="shared" si="78"/>
        <v>关羽专属武器-魂珠-2 6级</v>
      </c>
      <c r="FS22" s="101">
        <f t="shared" si="79"/>
        <v>2</v>
      </c>
      <c r="FT22" s="101">
        <f t="shared" si="80"/>
        <v>6</v>
      </c>
      <c r="FU22" s="101" t="str">
        <f t="shared" si="81"/>
        <v>金币</v>
      </c>
      <c r="FV22" s="139">
        <f>IF($FT22&gt;0,IF(INDEX($EI$6:$EI$77,$FO22)&gt;=FV$3,ROUND(INDEX(EK$6:EK$77,$FO22)*INDEX(卡牌消耗!$B$8:$F$8,FQ22)/5,0)*5,""),"")</f>
        <v>1690</v>
      </c>
      <c r="FW22" s="101" t="str">
        <f t="shared" si="82"/>
        <v>专属强化石1</v>
      </c>
      <c r="FX22" s="101">
        <f t="shared" si="83"/>
        <v>12</v>
      </c>
      <c r="FY22" s="101" t="str">
        <f t="shared" si="84"/>
        <v>专属强化石2</v>
      </c>
      <c r="FZ22" s="101">
        <f t="shared" si="85"/>
        <v>4</v>
      </c>
      <c r="GA22" s="101">
        <f t="shared" si="86"/>
        <v>0.12</v>
      </c>
      <c r="GB22" s="101">
        <f t="shared" si="87"/>
        <v>1</v>
      </c>
      <c r="GC22" s="101">
        <f t="shared" si="88"/>
        <v>13</v>
      </c>
      <c r="GD22" s="101">
        <f t="shared" si="89"/>
        <v>0</v>
      </c>
      <c r="GE22" s="101">
        <f t="shared" si="90"/>
        <v>1</v>
      </c>
      <c r="GF22" s="101">
        <f t="shared" si="91"/>
        <v>3</v>
      </c>
      <c r="GG22" s="101">
        <f t="shared" si="92"/>
        <v>5.9299999999999999E-2</v>
      </c>
      <c r="GH22" s="101">
        <f t="shared" si="93"/>
        <v>1</v>
      </c>
      <c r="GI22" s="101">
        <f t="shared" si="94"/>
        <v>6</v>
      </c>
      <c r="GJ22" s="101">
        <f t="shared" si="95"/>
        <v>0.23710000000000001</v>
      </c>
      <c r="GK22" s="101">
        <f t="shared" si="96"/>
        <v>1</v>
      </c>
      <c r="GL22" s="101">
        <f t="shared" si="97"/>
        <v>13</v>
      </c>
    </row>
    <row r="23" spans="1:194" ht="16.5" x14ac:dyDescent="0.2">
      <c r="A23" s="81">
        <v>2</v>
      </c>
      <c r="B23" s="81">
        <v>2</v>
      </c>
      <c r="C23" s="81">
        <v>2</v>
      </c>
      <c r="D23" s="81">
        <v>2</v>
      </c>
      <c r="E23" s="81">
        <v>2</v>
      </c>
      <c r="F23" s="81">
        <v>2</v>
      </c>
      <c r="G23" s="81">
        <v>2</v>
      </c>
      <c r="H23" s="81">
        <v>2</v>
      </c>
      <c r="I23" s="81">
        <v>2</v>
      </c>
      <c r="K23" s="84">
        <f t="shared" si="110"/>
        <v>6.2676729559748443</v>
      </c>
      <c r="L23" s="84">
        <f t="shared" si="110"/>
        <v>0</v>
      </c>
      <c r="M23" s="84">
        <f t="shared" si="110"/>
        <v>0</v>
      </c>
      <c r="N23" s="84">
        <f t="shared" si="110"/>
        <v>0</v>
      </c>
      <c r="O23" s="84">
        <f t="shared" si="110"/>
        <v>15.571250000000004</v>
      </c>
      <c r="P23" s="84">
        <f t="shared" si="110"/>
        <v>5.1904166666666685</v>
      </c>
      <c r="Q23" s="84">
        <f t="shared" si="110"/>
        <v>0</v>
      </c>
      <c r="R23" s="84">
        <f t="shared" si="110"/>
        <v>0</v>
      </c>
      <c r="S23" s="84">
        <f t="shared" si="110"/>
        <v>25.952083333333338</v>
      </c>
      <c r="T23" s="84">
        <f t="shared" si="110"/>
        <v>12.976041666666669</v>
      </c>
      <c r="U23" s="84">
        <f t="shared" si="111"/>
        <v>0</v>
      </c>
      <c r="V23" s="84">
        <f t="shared" si="111"/>
        <v>0</v>
      </c>
      <c r="W23" s="84">
        <f t="shared" si="111"/>
        <v>0</v>
      </c>
      <c r="X23" s="84">
        <f t="shared" si="111"/>
        <v>26.225263157894744</v>
      </c>
      <c r="Y23" s="84">
        <f t="shared" si="111"/>
        <v>9.8814035087719319</v>
      </c>
      <c r="Z23" s="84">
        <f t="shared" si="111"/>
        <v>0</v>
      </c>
      <c r="AA23" s="84">
        <f t="shared" si="111"/>
        <v>0</v>
      </c>
      <c r="AB23" s="84">
        <f t="shared" si="111"/>
        <v>30.596140350877196</v>
      </c>
      <c r="AC23" s="84">
        <f t="shared" si="111"/>
        <v>19.762807017543864</v>
      </c>
      <c r="AD23" s="84">
        <f t="shared" si="111"/>
        <v>0</v>
      </c>
      <c r="AE23" s="84">
        <f t="shared" si="112"/>
        <v>0</v>
      </c>
      <c r="AF23" s="84">
        <f t="shared" si="112"/>
        <v>0</v>
      </c>
      <c r="AG23" s="84">
        <f t="shared" si="112"/>
        <v>59.737575757575762</v>
      </c>
      <c r="AH23" s="84">
        <f t="shared" si="112"/>
        <v>12.068727272727273</v>
      </c>
      <c r="AI23" s="84">
        <f t="shared" si="112"/>
        <v>0</v>
      </c>
      <c r="AJ23" s="84">
        <f t="shared" si="112"/>
        <v>0</v>
      </c>
      <c r="AK23" s="84">
        <f t="shared" si="112"/>
        <v>59.737575757575762</v>
      </c>
      <c r="AL23" s="84">
        <f t="shared" si="112"/>
        <v>20.114545454545453</v>
      </c>
      <c r="AM23" s="84">
        <f t="shared" si="112"/>
        <v>0</v>
      </c>
      <c r="AN23" s="84">
        <f t="shared" si="112"/>
        <v>0</v>
      </c>
      <c r="AO23" s="84">
        <f t="shared" si="112"/>
        <v>0</v>
      </c>
      <c r="AP23" s="84">
        <f t="shared" si="112"/>
        <v>88.504000000000005</v>
      </c>
      <c r="CC23" s="81">
        <v>18</v>
      </c>
      <c r="CD23" s="81" t="e">
        <f>INDEX(节奏总表!#REF!,MATCH(专属武器强化!CC23,节奏总表!#REF!,1))</f>
        <v>#REF!</v>
      </c>
      <c r="CE23" s="81"/>
      <c r="CF23" s="81" t="e">
        <f t="shared" si="12"/>
        <v>#REF!</v>
      </c>
      <c r="CG23" s="14" t="e">
        <f t="shared" si="13"/>
        <v>#REF!</v>
      </c>
      <c r="CH23" s="14" t="e">
        <f t="shared" si="14"/>
        <v>#REF!</v>
      </c>
      <c r="CI23" s="14" t="e">
        <f t="shared" si="15"/>
        <v>#REF!</v>
      </c>
      <c r="CJ23" s="14" t="e">
        <f t="shared" si="16"/>
        <v>#REF!</v>
      </c>
      <c r="CK23" s="14"/>
      <c r="CL23" s="14"/>
      <c r="CM23" s="14"/>
      <c r="CN23" s="14"/>
      <c r="CO23" s="14" t="e">
        <f>SUM(CG$6:CG23)</f>
        <v>#REF!</v>
      </c>
      <c r="CP23" s="14" t="e">
        <f>SUM(CH$6:CH23)</f>
        <v>#REF!</v>
      </c>
      <c r="CQ23" s="14" t="e">
        <f>SUM(CI$6:CI23)</f>
        <v>#REF!</v>
      </c>
      <c r="CR23" s="14" t="e">
        <f>SUM(CJ$6:CJ23)</f>
        <v>#REF!</v>
      </c>
      <c r="CU23" s="83">
        <v>11</v>
      </c>
      <c r="CV23" s="14" t="e">
        <f>INDEX(节奏总表!#REF!,专属武器强化!CU23)</f>
        <v>#REF!</v>
      </c>
      <c r="CW23" s="14" t="e">
        <f t="shared" si="17"/>
        <v>#REF!</v>
      </c>
      <c r="CX23" s="14" t="e">
        <f t="shared" si="60"/>
        <v>#REF!</v>
      </c>
      <c r="CY23" s="14" t="e">
        <f t="shared" si="61"/>
        <v>#REF!</v>
      </c>
      <c r="CZ23" s="14" t="e">
        <f t="shared" si="62"/>
        <v>#REF!</v>
      </c>
      <c r="DA23" s="83">
        <v>3</v>
      </c>
      <c r="DB23" s="83">
        <v>4</v>
      </c>
      <c r="DC23" s="14">
        <f t="shared" si="105"/>
        <v>194.64062500000006</v>
      </c>
      <c r="DD23" s="14">
        <f t="shared" si="106"/>
        <v>97.320312500000028</v>
      </c>
      <c r="DE23" s="14">
        <f t="shared" si="107"/>
        <v>0</v>
      </c>
      <c r="DF23" s="14">
        <f t="shared" si="108"/>
        <v>0</v>
      </c>
      <c r="DG23" s="83"/>
      <c r="DH23" s="83"/>
      <c r="DI23" s="83"/>
      <c r="DJ23" s="83"/>
      <c r="DK23" s="14" t="e">
        <f>CW23-SUM(DC$7:DC23)+SUM(DG$7:DG23)</f>
        <v>#REF!</v>
      </c>
      <c r="DL23" s="14" t="e">
        <f>CX23-SUM(DD$7:DD23)+SUM(DH$7:DH23)</f>
        <v>#REF!</v>
      </c>
      <c r="DM23" s="14" t="e">
        <f>CY23-SUM(DE$7:DE23)+SUM(DI$7:DI23)</f>
        <v>#REF!</v>
      </c>
      <c r="DN23" s="14" t="e">
        <f>CZ23-SUM(DF$7:DF23)+SUM(DJ$7:DJ23)</f>
        <v>#REF!</v>
      </c>
      <c r="DQ23" s="95">
        <v>18</v>
      </c>
      <c r="DR23" s="14">
        <f t="shared" si="67"/>
        <v>2</v>
      </c>
      <c r="DS23" s="14">
        <f t="shared" si="68"/>
        <v>9</v>
      </c>
      <c r="DT23" s="14">
        <f t="shared" si="19"/>
        <v>428.20937500000014</v>
      </c>
      <c r="DU23" s="14">
        <f t="shared" si="19"/>
        <v>142.73645833333339</v>
      </c>
      <c r="DV23" s="14">
        <f t="shared" si="19"/>
        <v>0</v>
      </c>
      <c r="DW23" s="14">
        <f t="shared" si="19"/>
        <v>0</v>
      </c>
      <c r="DX23" s="14">
        <f t="shared" si="69"/>
        <v>1</v>
      </c>
      <c r="DY23" s="14">
        <f t="shared" si="70"/>
        <v>2</v>
      </c>
      <c r="EF23" s="139">
        <v>18</v>
      </c>
      <c r="EG23" s="14">
        <f t="shared" si="72"/>
        <v>2</v>
      </c>
      <c r="EH23" s="19">
        <f t="shared" si="109"/>
        <v>0.89000000000000012</v>
      </c>
      <c r="EI23" s="139">
        <v>3</v>
      </c>
      <c r="EJ23" s="139" t="s">
        <v>958</v>
      </c>
      <c r="EK23" s="139">
        <f t="shared" si="73"/>
        <v>1693</v>
      </c>
      <c r="EL23" s="139" t="s">
        <v>865</v>
      </c>
      <c r="EM23" s="139">
        <f t="shared" si="104"/>
        <v>24</v>
      </c>
      <c r="EN23" s="139" t="s">
        <v>866</v>
      </c>
      <c r="EO23" s="139">
        <v>8</v>
      </c>
      <c r="EP23" s="139">
        <f t="shared" si="20"/>
        <v>0.06</v>
      </c>
      <c r="EQ23" s="139">
        <v>1</v>
      </c>
      <c r="ER23" s="139">
        <f t="shared" si="74"/>
        <v>27</v>
      </c>
      <c r="ES23" s="139"/>
      <c r="ET23" s="139">
        <f t="shared" si="99"/>
        <v>17.842057291666674</v>
      </c>
      <c r="EV23">
        <v>0</v>
      </c>
      <c r="EW23">
        <v>1</v>
      </c>
      <c r="EX23">
        <f t="shared" si="22"/>
        <v>6</v>
      </c>
      <c r="EY23" s="89">
        <f t="shared" si="23"/>
        <v>2.8000000000000001E-2</v>
      </c>
      <c r="EZ23">
        <v>1</v>
      </c>
      <c r="FA23">
        <f t="shared" si="24"/>
        <v>12</v>
      </c>
      <c r="FB23" s="89">
        <f t="shared" si="25"/>
        <v>0.11210000000000001</v>
      </c>
      <c r="FC23">
        <v>1</v>
      </c>
      <c r="FD23">
        <f t="shared" si="26"/>
        <v>27</v>
      </c>
      <c r="FG23" s="101">
        <v>1102026</v>
      </c>
      <c r="FH23" s="101">
        <v>1102026</v>
      </c>
      <c r="FI23" s="101" t="s">
        <v>965</v>
      </c>
      <c r="FJ23" s="14">
        <f>INDEX(卡牌消耗!$C$13:$C$40,MATCH(专属武器强化!FG23,卡牌消耗!$A$13:$A$40,0))</f>
        <v>3</v>
      </c>
      <c r="FN23" s="101">
        <v>18</v>
      </c>
      <c r="FO23" s="101">
        <f t="shared" si="75"/>
        <v>16</v>
      </c>
      <c r="FP23" s="101">
        <f t="shared" si="76"/>
        <v>1</v>
      </c>
      <c r="FQ23" s="14">
        <f t="shared" si="77"/>
        <v>5</v>
      </c>
      <c r="FR23" s="101" t="str">
        <f t="shared" si="78"/>
        <v>关羽专属武器-魂珠-2 7级</v>
      </c>
      <c r="FS23" s="101">
        <f t="shared" si="79"/>
        <v>2</v>
      </c>
      <c r="FT23" s="101">
        <f t="shared" si="80"/>
        <v>7</v>
      </c>
      <c r="FU23" s="101" t="str">
        <f t="shared" si="81"/>
        <v>金币</v>
      </c>
      <c r="FV23" s="139">
        <f>IF($FT23&gt;0,IF(INDEX($EI$6:$EI$77,$FO23)&gt;=FV$3,ROUND(INDEX(EK$6:EK$77,$FO23)*INDEX(卡牌消耗!$B$8:$F$8,FQ23)/5,0)*5,""),"")</f>
        <v>2120</v>
      </c>
      <c r="FW23" s="101" t="str">
        <f t="shared" si="82"/>
        <v>专属强化石1</v>
      </c>
      <c r="FX23" s="101">
        <f t="shared" si="83"/>
        <v>15</v>
      </c>
      <c r="FY23" s="101" t="str">
        <f t="shared" si="84"/>
        <v>专属强化石2</v>
      </c>
      <c r="FZ23" s="101">
        <f t="shared" si="85"/>
        <v>5</v>
      </c>
      <c r="GA23" s="101">
        <f t="shared" si="86"/>
        <v>0.09</v>
      </c>
      <c r="GB23" s="101">
        <f t="shared" si="87"/>
        <v>1</v>
      </c>
      <c r="GC23" s="101">
        <f t="shared" si="88"/>
        <v>16</v>
      </c>
      <c r="GD23" s="101">
        <f t="shared" si="89"/>
        <v>0</v>
      </c>
      <c r="GE23" s="101">
        <f t="shared" si="90"/>
        <v>1</v>
      </c>
      <c r="GF23" s="101">
        <f t="shared" si="91"/>
        <v>4</v>
      </c>
      <c r="GG23" s="101">
        <f t="shared" si="92"/>
        <v>4.5900000000000003E-2</v>
      </c>
      <c r="GH23" s="101">
        <f t="shared" si="93"/>
        <v>1</v>
      </c>
      <c r="GI23" s="101">
        <f t="shared" si="94"/>
        <v>8</v>
      </c>
      <c r="GJ23" s="101">
        <f t="shared" si="95"/>
        <v>0.1835</v>
      </c>
      <c r="GK23" s="101">
        <f t="shared" si="96"/>
        <v>1</v>
      </c>
      <c r="GL23" s="101">
        <f t="shared" si="97"/>
        <v>16</v>
      </c>
    </row>
    <row r="24" spans="1:194" ht="16.5" x14ac:dyDescent="0.2">
      <c r="A24" s="81">
        <v>3</v>
      </c>
      <c r="B24" s="81">
        <v>3</v>
      </c>
      <c r="C24" s="81">
        <v>3</v>
      </c>
      <c r="D24" s="81">
        <v>3</v>
      </c>
      <c r="E24" s="81">
        <v>3</v>
      </c>
      <c r="F24" s="81">
        <v>3</v>
      </c>
      <c r="G24" s="81">
        <v>3</v>
      </c>
      <c r="H24" s="81">
        <v>3</v>
      </c>
      <c r="I24" s="81">
        <v>3</v>
      </c>
      <c r="K24" s="84">
        <f t="shared" si="110"/>
        <v>9.401509433962266</v>
      </c>
      <c r="L24" s="84">
        <f t="shared" si="110"/>
        <v>0</v>
      </c>
      <c r="M24" s="84">
        <f t="shared" si="110"/>
        <v>0</v>
      </c>
      <c r="N24" s="84">
        <f t="shared" si="110"/>
        <v>0</v>
      </c>
      <c r="O24" s="84">
        <f t="shared" si="110"/>
        <v>23.356875000000006</v>
      </c>
      <c r="P24" s="84">
        <f t="shared" si="110"/>
        <v>7.7856250000000022</v>
      </c>
      <c r="Q24" s="84">
        <f t="shared" si="110"/>
        <v>0</v>
      </c>
      <c r="R24" s="84">
        <f t="shared" si="110"/>
        <v>0</v>
      </c>
      <c r="S24" s="84">
        <f t="shared" si="110"/>
        <v>38.928125000000009</v>
      </c>
      <c r="T24" s="84">
        <f t="shared" si="110"/>
        <v>19.464062500000004</v>
      </c>
      <c r="U24" s="84">
        <f t="shared" si="111"/>
        <v>0</v>
      </c>
      <c r="V24" s="84">
        <f t="shared" si="111"/>
        <v>0</v>
      </c>
      <c r="W24" s="84">
        <f t="shared" si="111"/>
        <v>0</v>
      </c>
      <c r="X24" s="84">
        <f t="shared" si="111"/>
        <v>39.337894736842117</v>
      </c>
      <c r="Y24" s="84">
        <f t="shared" si="111"/>
        <v>14.822105263157896</v>
      </c>
      <c r="Z24" s="84">
        <f t="shared" si="111"/>
        <v>0</v>
      </c>
      <c r="AA24" s="84">
        <f t="shared" si="111"/>
        <v>0</v>
      </c>
      <c r="AB24" s="84">
        <f t="shared" si="111"/>
        <v>45.894210526315796</v>
      </c>
      <c r="AC24" s="84">
        <f t="shared" si="111"/>
        <v>29.644210526315792</v>
      </c>
      <c r="AD24" s="84">
        <f t="shared" si="111"/>
        <v>0</v>
      </c>
      <c r="AE24" s="84">
        <f t="shared" si="112"/>
        <v>0</v>
      </c>
      <c r="AF24" s="84">
        <f t="shared" si="112"/>
        <v>0</v>
      </c>
      <c r="AG24" s="84">
        <f t="shared" si="112"/>
        <v>89.606363636363639</v>
      </c>
      <c r="AH24" s="84">
        <f t="shared" si="112"/>
        <v>18.103090909090906</v>
      </c>
      <c r="AI24" s="84">
        <f t="shared" si="112"/>
        <v>0</v>
      </c>
      <c r="AJ24" s="84">
        <f t="shared" si="112"/>
        <v>0</v>
      </c>
      <c r="AK24" s="84">
        <f t="shared" si="112"/>
        <v>89.606363636363639</v>
      </c>
      <c r="AL24" s="84">
        <f t="shared" si="112"/>
        <v>30.171818181818182</v>
      </c>
      <c r="AM24" s="84">
        <f t="shared" si="112"/>
        <v>0</v>
      </c>
      <c r="AN24" s="84">
        <f t="shared" si="112"/>
        <v>0</v>
      </c>
      <c r="AO24" s="84">
        <f t="shared" si="112"/>
        <v>0</v>
      </c>
      <c r="AP24" s="84">
        <f t="shared" si="112"/>
        <v>132.756</v>
      </c>
      <c r="CC24" s="81">
        <v>19</v>
      </c>
      <c r="CD24" s="81" t="e">
        <f>INDEX(节奏总表!#REF!,MATCH(专属武器强化!CC24,节奏总表!#REF!,1))</f>
        <v>#REF!</v>
      </c>
      <c r="CE24" s="81"/>
      <c r="CF24" s="81" t="e">
        <f t="shared" si="12"/>
        <v>#REF!</v>
      </c>
      <c r="CG24" s="14" t="e">
        <f t="shared" si="13"/>
        <v>#REF!</v>
      </c>
      <c r="CH24" s="14" t="e">
        <f t="shared" si="14"/>
        <v>#REF!</v>
      </c>
      <c r="CI24" s="14" t="e">
        <f t="shared" si="15"/>
        <v>#REF!</v>
      </c>
      <c r="CJ24" s="14" t="e">
        <f t="shared" si="16"/>
        <v>#REF!</v>
      </c>
      <c r="CK24" s="14"/>
      <c r="CL24" s="14"/>
      <c r="CM24" s="14"/>
      <c r="CN24" s="14"/>
      <c r="CO24" s="14" t="e">
        <f>SUM(CG$6:CG24)</f>
        <v>#REF!</v>
      </c>
      <c r="CP24" s="14" t="e">
        <f>SUM(CH$6:CH24)</f>
        <v>#REF!</v>
      </c>
      <c r="CQ24" s="14" t="e">
        <f>SUM(CI$6:CI24)</f>
        <v>#REF!</v>
      </c>
      <c r="CR24" s="14" t="e">
        <f>SUM(CJ$6:CJ24)</f>
        <v>#REF!</v>
      </c>
      <c r="CU24" s="83">
        <v>12</v>
      </c>
      <c r="CV24" s="14" t="e">
        <f>INDEX(节奏总表!#REF!,专属武器强化!CU24)</f>
        <v>#REF!</v>
      </c>
      <c r="CW24" s="14" t="e">
        <f t="shared" si="17"/>
        <v>#REF!</v>
      </c>
      <c r="CX24" s="14" t="e">
        <f t="shared" si="60"/>
        <v>#REF!</v>
      </c>
      <c r="CY24" s="14" t="e">
        <f t="shared" si="61"/>
        <v>#REF!</v>
      </c>
      <c r="CZ24" s="14" t="e">
        <f t="shared" si="62"/>
        <v>#REF!</v>
      </c>
      <c r="DA24" s="83">
        <v>0</v>
      </c>
      <c r="DB24" s="83">
        <v>0</v>
      </c>
      <c r="DC24" s="14">
        <f t="shared" si="105"/>
        <v>0</v>
      </c>
      <c r="DD24" s="14">
        <f t="shared" si="106"/>
        <v>0</v>
      </c>
      <c r="DE24" s="14">
        <f t="shared" si="107"/>
        <v>0</v>
      </c>
      <c r="DF24" s="14">
        <f t="shared" si="108"/>
        <v>0</v>
      </c>
      <c r="DG24" s="83"/>
      <c r="DH24" s="83"/>
      <c r="DI24" s="83"/>
      <c r="DJ24" s="83"/>
      <c r="DK24" s="14" t="e">
        <f>CW24-SUM(DC$7:DC24)+SUM(DG$7:DG24)</f>
        <v>#REF!</v>
      </c>
      <c r="DL24" s="14" t="e">
        <f>CX24-SUM(DD$7:DD24)+SUM(DH$7:DH24)</f>
        <v>#REF!</v>
      </c>
      <c r="DM24" s="14" t="e">
        <f>CY24-SUM(DE$7:DE24)+SUM(DI$7:DI24)</f>
        <v>#REF!</v>
      </c>
      <c r="DN24" s="14" t="e">
        <f>CZ24-SUM(DF$7:DF24)+SUM(DJ$7:DJ24)</f>
        <v>#REF!</v>
      </c>
      <c r="DQ24" s="95">
        <v>19</v>
      </c>
      <c r="DR24" s="14">
        <f t="shared" si="67"/>
        <v>3</v>
      </c>
      <c r="DS24" s="14">
        <f t="shared" si="68"/>
        <v>1</v>
      </c>
      <c r="DT24" s="14">
        <f t="shared" si="19"/>
        <v>12.976041666666669</v>
      </c>
      <c r="DU24" s="14">
        <f t="shared" si="19"/>
        <v>6.4880208333333345</v>
      </c>
      <c r="DV24" s="14">
        <f t="shared" si="19"/>
        <v>0</v>
      </c>
      <c r="DW24" s="14">
        <f t="shared" si="19"/>
        <v>0</v>
      </c>
      <c r="DX24" s="14">
        <f t="shared" si="69"/>
        <v>1</v>
      </c>
      <c r="DY24" s="14">
        <f t="shared" si="70"/>
        <v>2</v>
      </c>
      <c r="EF24" s="139">
        <v>19</v>
      </c>
      <c r="EG24" s="14">
        <f t="shared" si="72"/>
        <v>3</v>
      </c>
      <c r="EH24" s="19">
        <v>0.02</v>
      </c>
      <c r="EI24" s="139">
        <v>3</v>
      </c>
      <c r="EJ24" s="139" t="s">
        <v>958</v>
      </c>
      <c r="EK24" s="139">
        <f t="shared" si="73"/>
        <v>545</v>
      </c>
      <c r="EL24" s="139" t="s">
        <v>865</v>
      </c>
      <c r="EM24" s="139">
        <f t="shared" si="104"/>
        <v>4</v>
      </c>
      <c r="EN24" s="139" t="s">
        <v>866</v>
      </c>
      <c r="EO24" s="139">
        <v>2</v>
      </c>
      <c r="EP24" s="139">
        <f t="shared" si="20"/>
        <v>0.31</v>
      </c>
      <c r="EQ24" s="139">
        <v>1</v>
      </c>
      <c r="ER24" s="139">
        <f t="shared" si="74"/>
        <v>5</v>
      </c>
      <c r="ES24" s="139"/>
      <c r="ET24" s="139">
        <f t="shared" si="99"/>
        <v>3.2440104166666672</v>
      </c>
      <c r="EV24">
        <v>0</v>
      </c>
      <c r="EW24">
        <v>1</v>
      </c>
      <c r="EX24">
        <f t="shared" si="22"/>
        <v>1</v>
      </c>
      <c r="EY24" s="89">
        <f t="shared" si="23"/>
        <v>0.15409999999999999</v>
      </c>
      <c r="EZ24">
        <v>1</v>
      </c>
      <c r="FA24">
        <f t="shared" si="24"/>
        <v>2</v>
      </c>
      <c r="FB24" s="89">
        <f t="shared" si="25"/>
        <v>0.61650000000000005</v>
      </c>
      <c r="FC24">
        <v>1</v>
      </c>
      <c r="FD24">
        <f t="shared" si="26"/>
        <v>5</v>
      </c>
      <c r="FG24" s="101">
        <v>1102028</v>
      </c>
      <c r="FH24" s="101">
        <v>1102028</v>
      </c>
      <c r="FI24" s="101" t="s">
        <v>966</v>
      </c>
      <c r="FJ24" s="14">
        <f>INDEX(卡牌消耗!$C$13:$C$40,MATCH(专属武器强化!FG24,卡牌消耗!$A$13:$A$40,0))</f>
        <v>5</v>
      </c>
      <c r="FN24" s="101">
        <v>19</v>
      </c>
      <c r="FO24" s="101">
        <f t="shared" si="75"/>
        <v>17</v>
      </c>
      <c r="FP24" s="101">
        <f t="shared" si="76"/>
        <v>1</v>
      </c>
      <c r="FQ24" s="14">
        <f t="shared" si="77"/>
        <v>5</v>
      </c>
      <c r="FR24" s="101" t="str">
        <f t="shared" si="78"/>
        <v>关羽专属武器-魂珠-2 8级</v>
      </c>
      <c r="FS24" s="101">
        <f t="shared" si="79"/>
        <v>2</v>
      </c>
      <c r="FT24" s="101">
        <f t="shared" si="80"/>
        <v>8</v>
      </c>
      <c r="FU24" s="101" t="str">
        <f t="shared" si="81"/>
        <v>金币</v>
      </c>
      <c r="FV24" s="139">
        <f>IF($FT24&gt;0,IF(INDEX($EI$6:$EI$77,$FO24)&gt;=FV$3,ROUND(INDEX(EK$6:EK$77,$FO24)*INDEX(卡牌消耗!$B$8:$F$8,FQ24)/5,0)*5,""),"")</f>
        <v>2540</v>
      </c>
      <c r="FW24" s="101" t="str">
        <f t="shared" si="82"/>
        <v>专属强化石1</v>
      </c>
      <c r="FX24" s="101">
        <f t="shared" si="83"/>
        <v>18</v>
      </c>
      <c r="FY24" s="101" t="str">
        <f t="shared" si="84"/>
        <v>专属强化石2</v>
      </c>
      <c r="FZ24" s="101">
        <f t="shared" si="85"/>
        <v>6</v>
      </c>
      <c r="GA24" s="101">
        <f t="shared" si="86"/>
        <v>7.0000000000000007E-2</v>
      </c>
      <c r="GB24" s="101">
        <f t="shared" si="87"/>
        <v>1</v>
      </c>
      <c r="GC24" s="101">
        <f t="shared" si="88"/>
        <v>22</v>
      </c>
      <c r="GD24" s="101">
        <f t="shared" si="89"/>
        <v>0</v>
      </c>
      <c r="GE24" s="101">
        <f t="shared" si="90"/>
        <v>1</v>
      </c>
      <c r="GF24" s="101">
        <f t="shared" si="91"/>
        <v>5</v>
      </c>
      <c r="GG24" s="101">
        <f t="shared" si="92"/>
        <v>3.4000000000000002E-2</v>
      </c>
      <c r="GH24" s="101">
        <f t="shared" si="93"/>
        <v>1</v>
      </c>
      <c r="GI24" s="101">
        <f t="shared" si="94"/>
        <v>10</v>
      </c>
      <c r="GJ24" s="101">
        <f t="shared" si="95"/>
        <v>0.13600000000000001</v>
      </c>
      <c r="GK24" s="101">
        <f t="shared" si="96"/>
        <v>1</v>
      </c>
      <c r="GL24" s="101">
        <f t="shared" si="97"/>
        <v>22</v>
      </c>
    </row>
    <row r="25" spans="1:194" ht="16.5" x14ac:dyDescent="0.2">
      <c r="A25" s="81">
        <v>4</v>
      </c>
      <c r="B25" s="81">
        <v>5</v>
      </c>
      <c r="C25" s="81">
        <v>5</v>
      </c>
      <c r="D25" s="81">
        <v>5</v>
      </c>
      <c r="E25" s="81">
        <v>5</v>
      </c>
      <c r="F25" s="81">
        <v>5</v>
      </c>
      <c r="G25" s="81">
        <v>5</v>
      </c>
      <c r="H25" s="81">
        <v>5</v>
      </c>
      <c r="I25" s="81">
        <v>5</v>
      </c>
      <c r="K25" s="84">
        <f t="shared" si="110"/>
        <v>15.669182389937111</v>
      </c>
      <c r="L25" s="84">
        <f t="shared" si="110"/>
        <v>0</v>
      </c>
      <c r="M25" s="84">
        <f t="shared" si="110"/>
        <v>0</v>
      </c>
      <c r="N25" s="84">
        <f t="shared" si="110"/>
        <v>0</v>
      </c>
      <c r="O25" s="84">
        <f t="shared" si="110"/>
        <v>38.928125000000009</v>
      </c>
      <c r="P25" s="84">
        <f t="shared" si="110"/>
        <v>12.976041666666669</v>
      </c>
      <c r="Q25" s="84">
        <f t="shared" si="110"/>
        <v>0</v>
      </c>
      <c r="R25" s="84">
        <f t="shared" si="110"/>
        <v>0</v>
      </c>
      <c r="S25" s="84">
        <f t="shared" si="110"/>
        <v>64.880208333333357</v>
      </c>
      <c r="T25" s="84">
        <f t="shared" si="110"/>
        <v>32.440104166666679</v>
      </c>
      <c r="U25" s="84">
        <f t="shared" si="111"/>
        <v>0</v>
      </c>
      <c r="V25" s="84">
        <f t="shared" si="111"/>
        <v>0</v>
      </c>
      <c r="W25" s="84">
        <f t="shared" si="111"/>
        <v>0</v>
      </c>
      <c r="X25" s="84">
        <f t="shared" si="111"/>
        <v>65.563157894736861</v>
      </c>
      <c r="Y25" s="84">
        <f t="shared" si="111"/>
        <v>24.703508771929833</v>
      </c>
      <c r="Z25" s="84">
        <f t="shared" si="111"/>
        <v>0</v>
      </c>
      <c r="AA25" s="84">
        <f t="shared" si="111"/>
        <v>0</v>
      </c>
      <c r="AB25" s="84">
        <f t="shared" si="111"/>
        <v>76.490350877192995</v>
      </c>
      <c r="AC25" s="84">
        <f t="shared" si="111"/>
        <v>49.407017543859666</v>
      </c>
      <c r="AD25" s="84">
        <f t="shared" si="111"/>
        <v>0</v>
      </c>
      <c r="AE25" s="84">
        <f t="shared" si="112"/>
        <v>0</v>
      </c>
      <c r="AF25" s="84">
        <f t="shared" si="112"/>
        <v>0</v>
      </c>
      <c r="AG25" s="84">
        <f t="shared" si="112"/>
        <v>149.34393939393939</v>
      </c>
      <c r="AH25" s="84">
        <f t="shared" si="112"/>
        <v>30.171818181818182</v>
      </c>
      <c r="AI25" s="84">
        <f t="shared" si="112"/>
        <v>0</v>
      </c>
      <c r="AJ25" s="84">
        <f t="shared" si="112"/>
        <v>0</v>
      </c>
      <c r="AK25" s="84">
        <f t="shared" si="112"/>
        <v>149.34393939393939</v>
      </c>
      <c r="AL25" s="84">
        <f t="shared" si="112"/>
        <v>50.286363636363632</v>
      </c>
      <c r="AM25" s="84">
        <f t="shared" si="112"/>
        <v>0</v>
      </c>
      <c r="AN25" s="84">
        <f t="shared" si="112"/>
        <v>0</v>
      </c>
      <c r="AO25" s="84">
        <f t="shared" si="112"/>
        <v>0</v>
      </c>
      <c r="AP25" s="84">
        <f t="shared" si="112"/>
        <v>221.26</v>
      </c>
      <c r="CC25" s="81">
        <v>20</v>
      </c>
      <c r="CD25" s="81" t="e">
        <f>INDEX(节奏总表!#REF!,MATCH(专属武器强化!CC25,节奏总表!#REF!,1))</f>
        <v>#REF!</v>
      </c>
      <c r="CE25" s="81"/>
      <c r="CF25" s="81" t="e">
        <f t="shared" si="12"/>
        <v>#REF!</v>
      </c>
      <c r="CG25" s="14" t="e">
        <f t="shared" si="13"/>
        <v>#REF!</v>
      </c>
      <c r="CH25" s="14" t="e">
        <f t="shared" si="14"/>
        <v>#REF!</v>
      </c>
      <c r="CI25" s="14" t="e">
        <f t="shared" si="15"/>
        <v>#REF!</v>
      </c>
      <c r="CJ25" s="14" t="e">
        <f t="shared" si="16"/>
        <v>#REF!</v>
      </c>
      <c r="CK25" s="14"/>
      <c r="CL25" s="14"/>
      <c r="CM25" s="14"/>
      <c r="CN25" s="14"/>
      <c r="CO25" s="14" t="e">
        <f>SUM(CG$6:CG25)</f>
        <v>#REF!</v>
      </c>
      <c r="CP25" s="14" t="e">
        <f>SUM(CH$6:CH25)</f>
        <v>#REF!</v>
      </c>
      <c r="CQ25" s="14" t="e">
        <f>SUM(CI$6:CI25)</f>
        <v>#REF!</v>
      </c>
      <c r="CR25" s="14" t="e">
        <f>SUM(CJ$6:CJ25)</f>
        <v>#REF!</v>
      </c>
      <c r="CU25" s="83">
        <v>13</v>
      </c>
      <c r="CV25" s="14" t="e">
        <f>INDEX(节奏总表!#REF!,专属武器强化!CU25)</f>
        <v>#REF!</v>
      </c>
      <c r="CW25" s="14" t="e">
        <f t="shared" si="17"/>
        <v>#REF!</v>
      </c>
      <c r="CX25" s="14" t="e">
        <f t="shared" si="60"/>
        <v>#REF!</v>
      </c>
      <c r="CY25" s="14" t="e">
        <f t="shared" si="61"/>
        <v>#REF!</v>
      </c>
      <c r="CZ25" s="14" t="e">
        <f t="shared" si="62"/>
        <v>#REF!</v>
      </c>
      <c r="DA25" s="83">
        <v>3</v>
      </c>
      <c r="DB25" s="83">
        <v>5</v>
      </c>
      <c r="DC25" s="14">
        <f t="shared" si="105"/>
        <v>311.42500000000007</v>
      </c>
      <c r="DD25" s="14">
        <f t="shared" si="106"/>
        <v>155.71250000000003</v>
      </c>
      <c r="DE25" s="14">
        <f t="shared" si="107"/>
        <v>0</v>
      </c>
      <c r="DF25" s="14">
        <f t="shared" si="108"/>
        <v>0</v>
      </c>
      <c r="DG25" s="83"/>
      <c r="DH25" s="83"/>
      <c r="DI25" s="83"/>
      <c r="DJ25" s="83"/>
      <c r="DK25" s="14" t="e">
        <f>CW25-SUM(DC$7:DC25)+SUM(DG$7:DG25)</f>
        <v>#REF!</v>
      </c>
      <c r="DL25" s="14" t="e">
        <f>CX25-SUM(DD$7:DD25)+SUM(DH$7:DH25)</f>
        <v>#REF!</v>
      </c>
      <c r="DM25" s="14" t="e">
        <f>CY25-SUM(DE$7:DE25)+SUM(DI$7:DI25)</f>
        <v>#REF!</v>
      </c>
      <c r="DN25" s="14" t="e">
        <f>CZ25-SUM(DF$7:DF25)+SUM(DJ$7:DJ25)</f>
        <v>#REF!</v>
      </c>
      <c r="DQ25" s="95">
        <v>20</v>
      </c>
      <c r="DR25" s="14">
        <f t="shared" si="67"/>
        <v>3</v>
      </c>
      <c r="DS25" s="14">
        <f t="shared" si="68"/>
        <v>2</v>
      </c>
      <c r="DT25" s="14">
        <f t="shared" si="19"/>
        <v>25.952083333333338</v>
      </c>
      <c r="DU25" s="14">
        <f t="shared" si="19"/>
        <v>12.976041666666669</v>
      </c>
      <c r="DV25" s="14">
        <f t="shared" si="19"/>
        <v>0</v>
      </c>
      <c r="DW25" s="14">
        <f t="shared" si="19"/>
        <v>0</v>
      </c>
      <c r="DX25" s="14">
        <f t="shared" si="69"/>
        <v>1</v>
      </c>
      <c r="DY25" s="14">
        <f t="shared" si="70"/>
        <v>2</v>
      </c>
      <c r="EF25" s="139">
        <v>20</v>
      </c>
      <c r="EG25" s="14">
        <f t="shared" si="72"/>
        <v>3</v>
      </c>
      <c r="EH25" s="19">
        <v>0.03</v>
      </c>
      <c r="EI25" s="139">
        <v>3</v>
      </c>
      <c r="EJ25" s="139" t="s">
        <v>958</v>
      </c>
      <c r="EK25" s="139">
        <f t="shared" si="73"/>
        <v>409</v>
      </c>
      <c r="EL25" s="139" t="s">
        <v>865</v>
      </c>
      <c r="EM25" s="139">
        <f t="shared" si="104"/>
        <v>4</v>
      </c>
      <c r="EN25" s="139" t="s">
        <v>866</v>
      </c>
      <c r="EO25" s="139">
        <v>2</v>
      </c>
      <c r="EP25" s="139">
        <f t="shared" si="20"/>
        <v>0.15</v>
      </c>
      <c r="EQ25" s="139">
        <v>1</v>
      </c>
      <c r="ER25" s="139">
        <f t="shared" si="74"/>
        <v>10</v>
      </c>
      <c r="ES25" s="139"/>
      <c r="ET25" s="139">
        <f t="shared" si="99"/>
        <v>6.4880208333333345</v>
      </c>
      <c r="EV25">
        <v>0</v>
      </c>
      <c r="EW25">
        <v>1</v>
      </c>
      <c r="EX25">
        <f t="shared" si="22"/>
        <v>2</v>
      </c>
      <c r="EY25" s="89">
        <f t="shared" si="23"/>
        <v>7.7100000000000002E-2</v>
      </c>
      <c r="EZ25">
        <v>1</v>
      </c>
      <c r="FA25">
        <f t="shared" si="24"/>
        <v>5</v>
      </c>
      <c r="FB25" s="89">
        <f t="shared" si="25"/>
        <v>0.30830000000000002</v>
      </c>
      <c r="FC25">
        <v>1</v>
      </c>
      <c r="FD25">
        <f t="shared" si="26"/>
        <v>10</v>
      </c>
      <c r="FG25" s="101">
        <v>1102030</v>
      </c>
      <c r="FH25" s="101">
        <v>1102030</v>
      </c>
      <c r="FI25" s="101" t="s">
        <v>884</v>
      </c>
      <c r="FJ25" s="14">
        <f>INDEX(卡牌消耗!$C$13:$C$40,MATCH(专属武器强化!FG25,卡牌消耗!$A$13:$A$40,0))</f>
        <v>3</v>
      </c>
      <c r="FN25" s="101">
        <v>20</v>
      </c>
      <c r="FO25" s="101">
        <f t="shared" si="75"/>
        <v>18</v>
      </c>
      <c r="FP25" s="101">
        <f t="shared" si="76"/>
        <v>1</v>
      </c>
      <c r="FQ25" s="14">
        <f t="shared" si="77"/>
        <v>5</v>
      </c>
      <c r="FR25" s="101" t="str">
        <f t="shared" si="78"/>
        <v>关羽专属武器-魂珠-2 9级</v>
      </c>
      <c r="FS25" s="101">
        <f t="shared" si="79"/>
        <v>2</v>
      </c>
      <c r="FT25" s="101">
        <f t="shared" si="80"/>
        <v>9</v>
      </c>
      <c r="FU25" s="101" t="str">
        <f t="shared" si="81"/>
        <v>金币</v>
      </c>
      <c r="FV25" s="139">
        <f>IF($FT25&gt;0,IF(INDEX($EI$6:$EI$77,$FO25)&gt;=FV$3,ROUND(INDEX(EK$6:EK$77,$FO25)*INDEX(卡牌消耗!$B$8:$F$8,FQ25)/5,0)*5,""),"")</f>
        <v>3385</v>
      </c>
      <c r="FW25" s="101" t="str">
        <f t="shared" si="82"/>
        <v>专属强化石1</v>
      </c>
      <c r="FX25" s="101">
        <f t="shared" si="83"/>
        <v>24</v>
      </c>
      <c r="FY25" s="101" t="str">
        <f t="shared" si="84"/>
        <v>专属强化石2</v>
      </c>
      <c r="FZ25" s="101">
        <f t="shared" si="85"/>
        <v>8</v>
      </c>
      <c r="GA25" s="101">
        <f t="shared" si="86"/>
        <v>0.06</v>
      </c>
      <c r="GB25" s="101">
        <f t="shared" si="87"/>
        <v>1</v>
      </c>
      <c r="GC25" s="101">
        <f t="shared" si="88"/>
        <v>27</v>
      </c>
      <c r="GD25" s="101">
        <f t="shared" si="89"/>
        <v>0</v>
      </c>
      <c r="GE25" s="101">
        <f t="shared" si="90"/>
        <v>1</v>
      </c>
      <c r="GF25" s="101">
        <f t="shared" si="91"/>
        <v>6</v>
      </c>
      <c r="GG25" s="101">
        <f t="shared" si="92"/>
        <v>2.8000000000000001E-2</v>
      </c>
      <c r="GH25" s="101">
        <f t="shared" si="93"/>
        <v>1</v>
      </c>
      <c r="GI25" s="101">
        <f t="shared" si="94"/>
        <v>12</v>
      </c>
      <c r="GJ25" s="101">
        <f t="shared" si="95"/>
        <v>0.11210000000000001</v>
      </c>
      <c r="GK25" s="101">
        <f t="shared" si="96"/>
        <v>1</v>
      </c>
      <c r="GL25" s="101">
        <f t="shared" si="97"/>
        <v>27</v>
      </c>
    </row>
    <row r="26" spans="1:194" ht="16.5" x14ac:dyDescent="0.2">
      <c r="A26" s="81">
        <v>5</v>
      </c>
      <c r="B26" s="81">
        <v>8</v>
      </c>
      <c r="C26" s="81">
        <v>8</v>
      </c>
      <c r="D26" s="81">
        <v>8</v>
      </c>
      <c r="E26" s="81">
        <v>8</v>
      </c>
      <c r="F26" s="81">
        <v>8</v>
      </c>
      <c r="G26" s="81">
        <v>8</v>
      </c>
      <c r="H26" s="81">
        <v>8</v>
      </c>
      <c r="I26" s="81">
        <v>8</v>
      </c>
      <c r="K26" s="84">
        <f t="shared" si="110"/>
        <v>25.070691823899377</v>
      </c>
      <c r="L26" s="84">
        <f t="shared" si="110"/>
        <v>0</v>
      </c>
      <c r="M26" s="84">
        <f t="shared" si="110"/>
        <v>0</v>
      </c>
      <c r="N26" s="84">
        <f t="shared" si="110"/>
        <v>0</v>
      </c>
      <c r="O26" s="84">
        <f t="shared" si="110"/>
        <v>62.285000000000018</v>
      </c>
      <c r="P26" s="84">
        <f t="shared" si="110"/>
        <v>20.761666666666674</v>
      </c>
      <c r="Q26" s="84">
        <f t="shared" si="110"/>
        <v>0</v>
      </c>
      <c r="R26" s="84">
        <f t="shared" si="110"/>
        <v>0</v>
      </c>
      <c r="S26" s="84">
        <f t="shared" si="110"/>
        <v>103.80833333333335</v>
      </c>
      <c r="T26" s="84">
        <f t="shared" si="110"/>
        <v>51.904166666666676</v>
      </c>
      <c r="U26" s="84">
        <f t="shared" si="111"/>
        <v>0</v>
      </c>
      <c r="V26" s="84">
        <f t="shared" si="111"/>
        <v>0</v>
      </c>
      <c r="W26" s="84">
        <f t="shared" si="111"/>
        <v>0</v>
      </c>
      <c r="X26" s="84">
        <f t="shared" si="111"/>
        <v>104.90105263157898</v>
      </c>
      <c r="Y26" s="84">
        <f t="shared" si="111"/>
        <v>39.525614035087727</v>
      </c>
      <c r="Z26" s="84">
        <f t="shared" si="111"/>
        <v>0</v>
      </c>
      <c r="AA26" s="84">
        <f t="shared" si="111"/>
        <v>0</v>
      </c>
      <c r="AB26" s="84">
        <f t="shared" si="111"/>
        <v>122.38456140350878</v>
      </c>
      <c r="AC26" s="84">
        <f t="shared" si="111"/>
        <v>79.051228070175455</v>
      </c>
      <c r="AD26" s="84">
        <f t="shared" si="111"/>
        <v>0</v>
      </c>
      <c r="AE26" s="84">
        <f t="shared" si="112"/>
        <v>0</v>
      </c>
      <c r="AF26" s="84">
        <f t="shared" si="112"/>
        <v>0</v>
      </c>
      <c r="AG26" s="84">
        <f t="shared" si="112"/>
        <v>238.95030303030305</v>
      </c>
      <c r="AH26" s="84">
        <f t="shared" si="112"/>
        <v>48.274909090909091</v>
      </c>
      <c r="AI26" s="84">
        <f t="shared" si="112"/>
        <v>0</v>
      </c>
      <c r="AJ26" s="84">
        <f t="shared" si="112"/>
        <v>0</v>
      </c>
      <c r="AK26" s="84">
        <f t="shared" si="112"/>
        <v>238.95030303030305</v>
      </c>
      <c r="AL26" s="84">
        <f t="shared" si="112"/>
        <v>80.458181818181814</v>
      </c>
      <c r="AM26" s="84">
        <f t="shared" si="112"/>
        <v>0</v>
      </c>
      <c r="AN26" s="84">
        <f t="shared" si="112"/>
        <v>0</v>
      </c>
      <c r="AO26" s="84">
        <f t="shared" si="112"/>
        <v>0</v>
      </c>
      <c r="AP26" s="84">
        <f t="shared" si="112"/>
        <v>354.01600000000002</v>
      </c>
      <c r="CC26" s="81">
        <v>21</v>
      </c>
      <c r="CD26" s="81" t="e">
        <f>INDEX(节奏总表!#REF!,MATCH(专属武器强化!CC26,节奏总表!#REF!,1))</f>
        <v>#REF!</v>
      </c>
      <c r="CE26" s="81"/>
      <c r="CF26" s="81" t="e">
        <f t="shared" si="12"/>
        <v>#REF!</v>
      </c>
      <c r="CG26" s="14" t="e">
        <f t="shared" si="13"/>
        <v>#REF!</v>
      </c>
      <c r="CH26" s="14" t="e">
        <f t="shared" si="14"/>
        <v>#REF!</v>
      </c>
      <c r="CI26" s="14" t="e">
        <f t="shared" si="15"/>
        <v>#REF!</v>
      </c>
      <c r="CJ26" s="14" t="e">
        <f t="shared" si="16"/>
        <v>#REF!</v>
      </c>
      <c r="CK26" s="14"/>
      <c r="CL26" s="14"/>
      <c r="CM26" s="14"/>
      <c r="CN26" s="14"/>
      <c r="CO26" s="14" t="e">
        <f>SUM(CG$6:CG26)</f>
        <v>#REF!</v>
      </c>
      <c r="CP26" s="14" t="e">
        <f>SUM(CH$6:CH26)</f>
        <v>#REF!</v>
      </c>
      <c r="CQ26" s="14" t="e">
        <f>SUM(CI$6:CI26)</f>
        <v>#REF!</v>
      </c>
      <c r="CR26" s="14" t="e">
        <f>SUM(CJ$6:CJ26)</f>
        <v>#REF!</v>
      </c>
      <c r="CU26" s="83">
        <v>14</v>
      </c>
      <c r="CV26" s="14" t="e">
        <f>INDEX(节奏总表!#REF!,专属武器强化!CU26)</f>
        <v>#REF!</v>
      </c>
      <c r="CW26" s="14" t="e">
        <f t="shared" si="17"/>
        <v>#REF!</v>
      </c>
      <c r="CX26" s="14" t="e">
        <f t="shared" si="60"/>
        <v>#REF!</v>
      </c>
      <c r="CY26" s="14" t="e">
        <f t="shared" si="61"/>
        <v>#REF!</v>
      </c>
      <c r="CZ26" s="14" t="e">
        <f t="shared" si="62"/>
        <v>#REF!</v>
      </c>
      <c r="DA26" s="83">
        <v>1</v>
      </c>
      <c r="DB26" s="83">
        <v>7</v>
      </c>
      <c r="DC26" s="14">
        <f t="shared" si="105"/>
        <v>197.4316981132076</v>
      </c>
      <c r="DD26" s="14">
        <f t="shared" si="106"/>
        <v>0</v>
      </c>
      <c r="DE26" s="14">
        <f t="shared" si="107"/>
        <v>0</v>
      </c>
      <c r="DF26" s="14">
        <f t="shared" si="108"/>
        <v>0</v>
      </c>
      <c r="DG26" s="83"/>
      <c r="DH26" s="83"/>
      <c r="DI26" s="83"/>
      <c r="DJ26" s="83"/>
      <c r="DK26" s="14" t="e">
        <f>CW26-SUM(DC$7:DC26)+SUM(DG$7:DG26)</f>
        <v>#REF!</v>
      </c>
      <c r="DL26" s="14" t="e">
        <f>CX26-SUM(DD$7:DD26)+SUM(DH$7:DH26)</f>
        <v>#REF!</v>
      </c>
      <c r="DM26" s="14" t="e">
        <f>CY26-SUM(DE$7:DE26)+SUM(DI$7:DI26)</f>
        <v>#REF!</v>
      </c>
      <c r="DN26" s="14" t="e">
        <f>CZ26-SUM(DF$7:DF26)+SUM(DJ$7:DJ26)</f>
        <v>#REF!</v>
      </c>
      <c r="DQ26" s="95">
        <v>21</v>
      </c>
      <c r="DR26" s="14">
        <f t="shared" si="67"/>
        <v>3</v>
      </c>
      <c r="DS26" s="14">
        <f t="shared" si="68"/>
        <v>3</v>
      </c>
      <c r="DT26" s="14">
        <f t="shared" ref="DT26:DW45" si="113">INDEX($K$22:$AP$30,$DS26,($DR26-1)*4+DT$3)</f>
        <v>38.928125000000009</v>
      </c>
      <c r="DU26" s="14">
        <f t="shared" si="113"/>
        <v>19.464062500000004</v>
      </c>
      <c r="DV26" s="14">
        <f t="shared" si="113"/>
        <v>0</v>
      </c>
      <c r="DW26" s="14">
        <f t="shared" si="113"/>
        <v>0</v>
      </c>
      <c r="DX26" s="14">
        <f t="shared" si="69"/>
        <v>1</v>
      </c>
      <c r="DY26" s="14">
        <f t="shared" si="70"/>
        <v>2</v>
      </c>
      <c r="EF26" s="139">
        <v>21</v>
      </c>
      <c r="EG26" s="14">
        <f t="shared" si="72"/>
        <v>3</v>
      </c>
      <c r="EH26" s="19">
        <f t="shared" ref="EH26:EH77" si="114">EH24+EH25</f>
        <v>0.05</v>
      </c>
      <c r="EI26" s="139">
        <v>3</v>
      </c>
      <c r="EJ26" s="139" t="s">
        <v>958</v>
      </c>
      <c r="EK26" s="139">
        <f t="shared" si="73"/>
        <v>682</v>
      </c>
      <c r="EL26" s="139" t="s">
        <v>865</v>
      </c>
      <c r="EM26" s="139">
        <f t="shared" si="104"/>
        <v>6</v>
      </c>
      <c r="EN26" s="139" t="s">
        <v>866</v>
      </c>
      <c r="EO26" s="139">
        <v>3</v>
      </c>
      <c r="EP26" s="139">
        <f t="shared" si="20"/>
        <v>0.15</v>
      </c>
      <c r="EQ26" s="139">
        <v>1</v>
      </c>
      <c r="ER26" s="139">
        <f t="shared" si="74"/>
        <v>10</v>
      </c>
      <c r="ES26" s="139"/>
      <c r="ET26" s="139">
        <f t="shared" si="99"/>
        <v>6.4880208333333345</v>
      </c>
      <c r="EV26">
        <v>0</v>
      </c>
      <c r="EW26">
        <v>1</v>
      </c>
      <c r="EX26">
        <f t="shared" si="22"/>
        <v>2</v>
      </c>
      <c r="EY26" s="89">
        <f t="shared" si="23"/>
        <v>7.7100000000000002E-2</v>
      </c>
      <c r="EZ26">
        <v>1</v>
      </c>
      <c r="FA26">
        <f t="shared" si="24"/>
        <v>5</v>
      </c>
      <c r="FB26" s="89">
        <f t="shared" si="25"/>
        <v>0.30830000000000002</v>
      </c>
      <c r="FC26">
        <v>1</v>
      </c>
      <c r="FD26">
        <f t="shared" si="26"/>
        <v>10</v>
      </c>
      <c r="FG26" s="101">
        <v>1102031</v>
      </c>
      <c r="FH26" s="101">
        <v>1102031</v>
      </c>
      <c r="FI26" s="101" t="s">
        <v>967</v>
      </c>
      <c r="FJ26" s="14">
        <f>INDEX(卡牌消耗!$C$13:$C$40,MATCH(专属武器强化!FG26,卡牌消耗!$A$13:$A$40,0))</f>
        <v>4</v>
      </c>
      <c r="FN26" s="101">
        <v>21</v>
      </c>
      <c r="FO26" s="101">
        <f t="shared" si="75"/>
        <v>0</v>
      </c>
      <c r="FP26" s="101">
        <f t="shared" si="76"/>
        <v>1</v>
      </c>
      <c r="FQ26" s="14">
        <f t="shared" si="77"/>
        <v>5</v>
      </c>
      <c r="FR26" s="101" t="str">
        <f t="shared" si="78"/>
        <v>关羽专属武器-魂珠-3 0级</v>
      </c>
      <c r="FS26" s="101">
        <f t="shared" si="79"/>
        <v>3</v>
      </c>
      <c r="FT26" s="101">
        <f t="shared" si="80"/>
        <v>0</v>
      </c>
      <c r="FU26" s="101" t="str">
        <f t="shared" si="81"/>
        <v/>
      </c>
      <c r="FV26" s="139" t="str">
        <f>IF($FT26&gt;0,IF(INDEX($EI$6:$EI$77,$FO26)&gt;=FV$3,ROUND(INDEX(EK$6:EK$77,$FO26)*INDEX(卡牌消耗!$B$8:$F$8,FQ26)/5,0)*5,""),"")</f>
        <v/>
      </c>
      <c r="FW26" s="101" t="str">
        <f t="shared" si="82"/>
        <v/>
      </c>
      <c r="FX26" s="101" t="str">
        <f t="shared" si="83"/>
        <v/>
      </c>
      <c r="FY26" s="101" t="str">
        <f t="shared" si="84"/>
        <v/>
      </c>
      <c r="FZ26" s="101" t="str">
        <f t="shared" si="85"/>
        <v/>
      </c>
      <c r="GA26" s="101" t="str">
        <f t="shared" si="86"/>
        <v/>
      </c>
      <c r="GB26" s="101" t="str">
        <f t="shared" si="87"/>
        <v/>
      </c>
      <c r="GC26" s="101" t="str">
        <f t="shared" si="88"/>
        <v/>
      </c>
      <c r="GD26" s="101" t="str">
        <f t="shared" si="89"/>
        <v/>
      </c>
      <c r="GE26" s="101" t="str">
        <f t="shared" si="90"/>
        <v/>
      </c>
      <c r="GF26" s="101" t="str">
        <f t="shared" si="91"/>
        <v/>
      </c>
      <c r="GG26" s="101" t="str">
        <f t="shared" si="92"/>
        <v/>
      </c>
      <c r="GH26" s="101" t="str">
        <f t="shared" si="93"/>
        <v/>
      </c>
      <c r="GI26" s="101" t="str">
        <f t="shared" si="94"/>
        <v/>
      </c>
      <c r="GJ26" s="101" t="str">
        <f t="shared" si="95"/>
        <v/>
      </c>
      <c r="GK26" s="101" t="str">
        <f t="shared" si="96"/>
        <v/>
      </c>
      <c r="GL26" s="101" t="str">
        <f t="shared" si="97"/>
        <v/>
      </c>
    </row>
    <row r="27" spans="1:194" ht="16.5" x14ac:dyDescent="0.2">
      <c r="A27" s="81">
        <v>6</v>
      </c>
      <c r="B27" s="81">
        <v>13</v>
      </c>
      <c r="C27" s="81">
        <v>13</v>
      </c>
      <c r="D27" s="81">
        <v>13</v>
      </c>
      <c r="E27" s="81">
        <v>13</v>
      </c>
      <c r="F27" s="81">
        <v>13</v>
      </c>
      <c r="G27" s="81">
        <v>13</v>
      </c>
      <c r="H27" s="81">
        <v>13</v>
      </c>
      <c r="I27" s="81">
        <v>13</v>
      </c>
      <c r="K27" s="84">
        <f t="shared" si="110"/>
        <v>40.739874213836494</v>
      </c>
      <c r="L27" s="84">
        <f t="shared" si="110"/>
        <v>0</v>
      </c>
      <c r="M27" s="84">
        <f t="shared" si="110"/>
        <v>0</v>
      </c>
      <c r="N27" s="84">
        <f t="shared" si="110"/>
        <v>0</v>
      </c>
      <c r="O27" s="84">
        <f t="shared" si="110"/>
        <v>101.21312500000003</v>
      </c>
      <c r="P27" s="84">
        <f t="shared" si="110"/>
        <v>33.737708333333345</v>
      </c>
      <c r="Q27" s="84">
        <f t="shared" si="110"/>
        <v>0</v>
      </c>
      <c r="R27" s="84">
        <f t="shared" si="110"/>
        <v>0</v>
      </c>
      <c r="S27" s="84">
        <f t="shared" si="110"/>
        <v>168.68854166666671</v>
      </c>
      <c r="T27" s="84">
        <f t="shared" si="110"/>
        <v>84.344270833333354</v>
      </c>
      <c r="U27" s="84">
        <f t="shared" si="111"/>
        <v>0</v>
      </c>
      <c r="V27" s="84">
        <f t="shared" si="111"/>
        <v>0</v>
      </c>
      <c r="W27" s="84">
        <f t="shared" si="111"/>
        <v>0</v>
      </c>
      <c r="X27" s="84">
        <f t="shared" si="111"/>
        <v>170.46421052631584</v>
      </c>
      <c r="Y27" s="84">
        <f t="shared" si="111"/>
        <v>64.229122807017561</v>
      </c>
      <c r="Z27" s="84">
        <f t="shared" si="111"/>
        <v>0</v>
      </c>
      <c r="AA27" s="84">
        <f t="shared" si="111"/>
        <v>0</v>
      </c>
      <c r="AB27" s="84">
        <f t="shared" si="111"/>
        <v>198.87491228070178</v>
      </c>
      <c r="AC27" s="84">
        <f t="shared" si="111"/>
        <v>128.45824561403512</v>
      </c>
      <c r="AD27" s="84">
        <f t="shared" si="111"/>
        <v>0</v>
      </c>
      <c r="AE27" s="84">
        <f t="shared" si="112"/>
        <v>0</v>
      </c>
      <c r="AF27" s="84">
        <f t="shared" si="112"/>
        <v>0</v>
      </c>
      <c r="AG27" s="84">
        <f t="shared" si="112"/>
        <v>388.29424242424244</v>
      </c>
      <c r="AH27" s="84">
        <f t="shared" si="112"/>
        <v>78.446727272727273</v>
      </c>
      <c r="AI27" s="84">
        <f t="shared" si="112"/>
        <v>0</v>
      </c>
      <c r="AJ27" s="84">
        <f t="shared" si="112"/>
        <v>0</v>
      </c>
      <c r="AK27" s="84">
        <f t="shared" si="112"/>
        <v>388.29424242424244</v>
      </c>
      <c r="AL27" s="84">
        <f t="shared" si="112"/>
        <v>130.74454545454543</v>
      </c>
      <c r="AM27" s="84">
        <f t="shared" si="112"/>
        <v>0</v>
      </c>
      <c r="AN27" s="84">
        <f t="shared" si="112"/>
        <v>0</v>
      </c>
      <c r="AO27" s="84">
        <f t="shared" si="112"/>
        <v>0</v>
      </c>
      <c r="AP27" s="84">
        <f t="shared" si="112"/>
        <v>575.27599999999995</v>
      </c>
      <c r="CC27" s="81">
        <v>22</v>
      </c>
      <c r="CD27" s="81" t="e">
        <f>INDEX(节奏总表!#REF!,MATCH(专属武器强化!CC27,节奏总表!#REF!,1))</f>
        <v>#REF!</v>
      </c>
      <c r="CE27" s="81">
        <v>5</v>
      </c>
      <c r="CF27" s="81" t="e">
        <f t="shared" si="12"/>
        <v>#REF!</v>
      </c>
      <c r="CG27" s="14" t="e">
        <f t="shared" si="13"/>
        <v>#REF!</v>
      </c>
      <c r="CH27" s="14" t="e">
        <f t="shared" si="14"/>
        <v>#REF!</v>
      </c>
      <c r="CI27" s="14" t="e">
        <f t="shared" si="15"/>
        <v>#REF!</v>
      </c>
      <c r="CJ27" s="14" t="e">
        <f t="shared" si="16"/>
        <v>#REF!</v>
      </c>
      <c r="CK27" s="14"/>
      <c r="CL27" s="14"/>
      <c r="CM27" s="14"/>
      <c r="CN27" s="14"/>
      <c r="CO27" s="14" t="e">
        <f>SUM(CG$6:CG27)</f>
        <v>#REF!</v>
      </c>
      <c r="CP27" s="14" t="e">
        <f>SUM(CH$6:CH27)</f>
        <v>#REF!</v>
      </c>
      <c r="CQ27" s="14" t="e">
        <f>SUM(CI$6:CI27)</f>
        <v>#REF!</v>
      </c>
      <c r="CR27" s="14" t="e">
        <f>SUM(CJ$6:CJ27)</f>
        <v>#REF!</v>
      </c>
      <c r="CU27" s="83">
        <v>15</v>
      </c>
      <c r="CV27" s="14" t="e">
        <f>INDEX(节奏总表!#REF!,专属武器强化!CU27)</f>
        <v>#REF!</v>
      </c>
      <c r="CW27" s="14" t="e">
        <f t="shared" si="17"/>
        <v>#REF!</v>
      </c>
      <c r="CX27" s="14" t="e">
        <f t="shared" si="60"/>
        <v>#REF!</v>
      </c>
      <c r="CY27" s="14" t="e">
        <f t="shared" si="61"/>
        <v>#REF!</v>
      </c>
      <c r="CZ27" s="14" t="e">
        <f t="shared" si="62"/>
        <v>#REF!</v>
      </c>
      <c r="DA27" s="83">
        <v>0</v>
      </c>
      <c r="DB27" s="83">
        <v>0</v>
      </c>
      <c r="DC27" s="14">
        <f t="shared" si="105"/>
        <v>0</v>
      </c>
      <c r="DD27" s="14">
        <f t="shared" si="106"/>
        <v>0</v>
      </c>
      <c r="DE27" s="14">
        <f t="shared" si="107"/>
        <v>0</v>
      </c>
      <c r="DF27" s="14">
        <f t="shared" si="108"/>
        <v>0</v>
      </c>
      <c r="DG27" s="83"/>
      <c r="DH27" s="83"/>
      <c r="DI27" s="83"/>
      <c r="DJ27" s="83"/>
      <c r="DK27" s="14" t="e">
        <f>CW27-SUM(DC$7:DC27)+SUM(DG$7:DG27)</f>
        <v>#REF!</v>
      </c>
      <c r="DL27" s="14" t="e">
        <f>CX27-SUM(DD$7:DD27)+SUM(DH$7:DH27)</f>
        <v>#REF!</v>
      </c>
      <c r="DM27" s="14" t="e">
        <f>CY27-SUM(DE$7:DE27)+SUM(DI$7:DI27)</f>
        <v>#REF!</v>
      </c>
      <c r="DN27" s="14" t="e">
        <f>CZ27-SUM(DF$7:DF27)+SUM(DJ$7:DJ27)</f>
        <v>#REF!</v>
      </c>
      <c r="DQ27" s="95">
        <v>22</v>
      </c>
      <c r="DR27" s="14">
        <f t="shared" si="67"/>
        <v>3</v>
      </c>
      <c r="DS27" s="14">
        <f t="shared" si="68"/>
        <v>4</v>
      </c>
      <c r="DT27" s="14">
        <f t="shared" si="113"/>
        <v>64.880208333333357</v>
      </c>
      <c r="DU27" s="14">
        <f t="shared" si="113"/>
        <v>32.440104166666679</v>
      </c>
      <c r="DV27" s="14">
        <f t="shared" si="113"/>
        <v>0</v>
      </c>
      <c r="DW27" s="14">
        <f t="shared" si="113"/>
        <v>0</v>
      </c>
      <c r="DX27" s="14">
        <f t="shared" si="69"/>
        <v>1</v>
      </c>
      <c r="DY27" s="14">
        <f t="shared" si="70"/>
        <v>2</v>
      </c>
      <c r="EF27" s="139">
        <v>22</v>
      </c>
      <c r="EG27" s="14">
        <f t="shared" si="72"/>
        <v>3</v>
      </c>
      <c r="EH27" s="19">
        <f t="shared" si="114"/>
        <v>0.08</v>
      </c>
      <c r="EI27" s="139">
        <v>3</v>
      </c>
      <c r="EJ27" s="139" t="s">
        <v>958</v>
      </c>
      <c r="EK27" s="139">
        <f t="shared" si="73"/>
        <v>655</v>
      </c>
      <c r="EL27" s="139" t="s">
        <v>865</v>
      </c>
      <c r="EM27" s="139">
        <f t="shared" si="104"/>
        <v>6</v>
      </c>
      <c r="EN27" s="139" t="s">
        <v>866</v>
      </c>
      <c r="EO27" s="139">
        <v>3</v>
      </c>
      <c r="EP27" s="139">
        <f t="shared" si="20"/>
        <v>0.09</v>
      </c>
      <c r="EQ27" s="139">
        <v>1</v>
      </c>
      <c r="ER27" s="139">
        <f t="shared" si="74"/>
        <v>16</v>
      </c>
      <c r="ES27" s="139"/>
      <c r="ET27" s="139">
        <f t="shared" si="99"/>
        <v>10.813368055555559</v>
      </c>
      <c r="EV27">
        <v>0</v>
      </c>
      <c r="EW27">
        <v>1</v>
      </c>
      <c r="EX27">
        <f t="shared" si="22"/>
        <v>4</v>
      </c>
      <c r="EY27" s="89">
        <f t="shared" si="23"/>
        <v>4.6199999999999998E-2</v>
      </c>
      <c r="EZ27">
        <v>1</v>
      </c>
      <c r="FA27">
        <f t="shared" si="24"/>
        <v>8</v>
      </c>
      <c r="FB27" s="89">
        <f t="shared" si="25"/>
        <v>0.185</v>
      </c>
      <c r="FC27">
        <v>1</v>
      </c>
      <c r="FD27">
        <f t="shared" si="26"/>
        <v>16</v>
      </c>
      <c r="FN27" s="101">
        <v>22</v>
      </c>
      <c r="FO27" s="101">
        <f t="shared" si="75"/>
        <v>19</v>
      </c>
      <c r="FP27" s="101">
        <f t="shared" si="76"/>
        <v>1</v>
      </c>
      <c r="FQ27" s="14">
        <f t="shared" si="77"/>
        <v>5</v>
      </c>
      <c r="FR27" s="101" t="str">
        <f t="shared" si="78"/>
        <v>关羽专属武器-魂珠-3 1级</v>
      </c>
      <c r="FS27" s="101">
        <f t="shared" si="79"/>
        <v>3</v>
      </c>
      <c r="FT27" s="101">
        <f t="shared" si="80"/>
        <v>1</v>
      </c>
      <c r="FU27" s="101" t="str">
        <f t="shared" si="81"/>
        <v>金币</v>
      </c>
      <c r="FV27" s="139">
        <f>IF($FT27&gt;0,IF(INDEX($EI$6:$EI$77,$FO27)&gt;=FV$3,ROUND(INDEX(EK$6:EK$77,$FO27)*INDEX(卡牌消耗!$B$8:$F$8,FQ27)/5,0)*5,""),"")</f>
        <v>1090</v>
      </c>
      <c r="FW27" s="101" t="str">
        <f t="shared" si="82"/>
        <v>专属强化石1</v>
      </c>
      <c r="FX27" s="101">
        <f t="shared" si="83"/>
        <v>4</v>
      </c>
      <c r="FY27" s="101" t="str">
        <f t="shared" si="84"/>
        <v>专属强化石2</v>
      </c>
      <c r="FZ27" s="101">
        <f t="shared" si="85"/>
        <v>2</v>
      </c>
      <c r="GA27" s="101">
        <f t="shared" si="86"/>
        <v>0.31</v>
      </c>
      <c r="GB27" s="101">
        <f t="shared" si="87"/>
        <v>1</v>
      </c>
      <c r="GC27" s="101">
        <f t="shared" si="88"/>
        <v>5</v>
      </c>
      <c r="GD27" s="101">
        <f t="shared" si="89"/>
        <v>0</v>
      </c>
      <c r="GE27" s="101">
        <f t="shared" si="90"/>
        <v>1</v>
      </c>
      <c r="GF27" s="101">
        <f t="shared" si="91"/>
        <v>1</v>
      </c>
      <c r="GG27" s="101">
        <f t="shared" si="92"/>
        <v>0.15409999999999999</v>
      </c>
      <c r="GH27" s="101">
        <f t="shared" si="93"/>
        <v>1</v>
      </c>
      <c r="GI27" s="101">
        <f t="shared" si="94"/>
        <v>2</v>
      </c>
      <c r="GJ27" s="101">
        <f t="shared" si="95"/>
        <v>0.61650000000000005</v>
      </c>
      <c r="GK27" s="101">
        <f t="shared" si="96"/>
        <v>1</v>
      </c>
      <c r="GL27" s="101">
        <f t="shared" si="97"/>
        <v>5</v>
      </c>
    </row>
    <row r="28" spans="1:194" ht="16.5" x14ac:dyDescent="0.2">
      <c r="A28" s="81">
        <v>7</v>
      </c>
      <c r="B28" s="81">
        <v>21</v>
      </c>
      <c r="C28" s="81">
        <v>21</v>
      </c>
      <c r="D28" s="81">
        <v>21</v>
      </c>
      <c r="E28" s="81">
        <v>21</v>
      </c>
      <c r="F28" s="81">
        <v>21</v>
      </c>
      <c r="G28" s="81">
        <v>21</v>
      </c>
      <c r="H28" s="81">
        <v>21</v>
      </c>
      <c r="I28" s="81">
        <v>21</v>
      </c>
      <c r="K28" s="84">
        <f t="shared" si="110"/>
        <v>65.810566037735867</v>
      </c>
      <c r="L28" s="84">
        <f t="shared" si="110"/>
        <v>0</v>
      </c>
      <c r="M28" s="84">
        <f t="shared" si="110"/>
        <v>0</v>
      </c>
      <c r="N28" s="84">
        <f t="shared" si="110"/>
        <v>0</v>
      </c>
      <c r="O28" s="84">
        <f t="shared" si="110"/>
        <v>163.49812500000004</v>
      </c>
      <c r="P28" s="84">
        <f t="shared" si="110"/>
        <v>54.499375000000015</v>
      </c>
      <c r="Q28" s="84">
        <f t="shared" si="110"/>
        <v>0</v>
      </c>
      <c r="R28" s="84">
        <f t="shared" si="110"/>
        <v>0</v>
      </c>
      <c r="S28" s="84">
        <f t="shared" si="110"/>
        <v>272.49687500000005</v>
      </c>
      <c r="T28" s="84">
        <f t="shared" si="110"/>
        <v>136.24843750000002</v>
      </c>
      <c r="U28" s="84">
        <f t="shared" si="111"/>
        <v>0</v>
      </c>
      <c r="V28" s="84">
        <f t="shared" si="111"/>
        <v>0</v>
      </c>
      <c r="W28" s="84">
        <f t="shared" si="111"/>
        <v>0</v>
      </c>
      <c r="X28" s="84">
        <f t="shared" si="111"/>
        <v>275.36526315789479</v>
      </c>
      <c r="Y28" s="84">
        <f t="shared" si="111"/>
        <v>103.75473684210529</v>
      </c>
      <c r="Z28" s="84">
        <f t="shared" si="111"/>
        <v>0</v>
      </c>
      <c r="AA28" s="84">
        <f t="shared" si="111"/>
        <v>0</v>
      </c>
      <c r="AB28" s="84">
        <f t="shared" si="111"/>
        <v>321.25947368421055</v>
      </c>
      <c r="AC28" s="84">
        <f t="shared" si="111"/>
        <v>207.50947368421058</v>
      </c>
      <c r="AD28" s="84">
        <f t="shared" si="111"/>
        <v>0</v>
      </c>
      <c r="AE28" s="84">
        <f t="shared" si="112"/>
        <v>0</v>
      </c>
      <c r="AF28" s="84">
        <f t="shared" si="112"/>
        <v>0</v>
      </c>
      <c r="AG28" s="84">
        <f t="shared" si="112"/>
        <v>627.24454545454546</v>
      </c>
      <c r="AH28" s="84">
        <f t="shared" si="112"/>
        <v>126.72163636363634</v>
      </c>
      <c r="AI28" s="84">
        <f t="shared" si="112"/>
        <v>0</v>
      </c>
      <c r="AJ28" s="84">
        <f t="shared" si="112"/>
        <v>0</v>
      </c>
      <c r="AK28" s="84">
        <f t="shared" si="112"/>
        <v>627.24454545454546</v>
      </c>
      <c r="AL28" s="84">
        <f t="shared" si="112"/>
        <v>211.20272727272729</v>
      </c>
      <c r="AM28" s="84">
        <f t="shared" si="112"/>
        <v>0</v>
      </c>
      <c r="AN28" s="84">
        <f t="shared" si="112"/>
        <v>0</v>
      </c>
      <c r="AO28" s="84">
        <f t="shared" si="112"/>
        <v>0</v>
      </c>
      <c r="AP28" s="84">
        <f t="shared" si="112"/>
        <v>929.29199999999992</v>
      </c>
      <c r="CC28" s="81">
        <v>23</v>
      </c>
      <c r="CD28" s="81" t="e">
        <f>INDEX(节奏总表!#REF!,MATCH(专属武器强化!CC28,节奏总表!#REF!,1))</f>
        <v>#REF!</v>
      </c>
      <c r="CE28" s="81"/>
      <c r="CF28" s="81" t="e">
        <f t="shared" si="12"/>
        <v>#REF!</v>
      </c>
      <c r="CG28" s="14" t="e">
        <f t="shared" si="13"/>
        <v>#REF!</v>
      </c>
      <c r="CH28" s="14" t="e">
        <f t="shared" si="14"/>
        <v>#REF!</v>
      </c>
      <c r="CI28" s="14" t="e">
        <f t="shared" si="15"/>
        <v>#REF!</v>
      </c>
      <c r="CJ28" s="14" t="e">
        <f t="shared" si="16"/>
        <v>#REF!</v>
      </c>
      <c r="CK28" s="14"/>
      <c r="CL28" s="14"/>
      <c r="CM28" s="14"/>
      <c r="CN28" s="14"/>
      <c r="CO28" s="14" t="e">
        <f>SUM(CG$6:CG28)</f>
        <v>#REF!</v>
      </c>
      <c r="CP28" s="14" t="e">
        <f>SUM(CH$6:CH28)</f>
        <v>#REF!</v>
      </c>
      <c r="CQ28" s="14" t="e">
        <f>SUM(CI$6:CI28)</f>
        <v>#REF!</v>
      </c>
      <c r="CR28" s="14" t="e">
        <f>SUM(CJ$6:CJ28)</f>
        <v>#REF!</v>
      </c>
      <c r="CU28" s="83">
        <v>16</v>
      </c>
      <c r="CV28" s="14" t="e">
        <f>INDEX(节奏总表!#REF!,专属武器强化!CU28)</f>
        <v>#REF!</v>
      </c>
      <c r="CW28" s="14" t="e">
        <f t="shared" si="17"/>
        <v>#REF!</v>
      </c>
      <c r="CX28" s="14" t="e">
        <f t="shared" si="60"/>
        <v>#REF!</v>
      </c>
      <c r="CY28" s="14" t="e">
        <f t="shared" si="61"/>
        <v>#REF!</v>
      </c>
      <c r="CZ28" s="14" t="e">
        <f t="shared" si="62"/>
        <v>#REF!</v>
      </c>
      <c r="DA28" s="83">
        <v>2</v>
      </c>
      <c r="DB28" s="83">
        <v>6</v>
      </c>
      <c r="DC28" s="14">
        <f t="shared" si="105"/>
        <v>303.63937500000009</v>
      </c>
      <c r="DD28" s="14">
        <f t="shared" si="106"/>
        <v>101.21312500000003</v>
      </c>
      <c r="DE28" s="14">
        <f t="shared" si="107"/>
        <v>0</v>
      </c>
      <c r="DF28" s="14">
        <f t="shared" si="108"/>
        <v>0</v>
      </c>
      <c r="DG28" s="83"/>
      <c r="DH28" s="83"/>
      <c r="DI28" s="83"/>
      <c r="DJ28" s="83"/>
      <c r="DK28" s="14" t="e">
        <f>CW28-SUM(DC$7:DC28)+SUM(DG$7:DG28)</f>
        <v>#REF!</v>
      </c>
      <c r="DL28" s="14" t="e">
        <f>CX28-SUM(DD$7:DD28)+SUM(DH$7:DH28)</f>
        <v>#REF!</v>
      </c>
      <c r="DM28" s="14" t="e">
        <f>CY28-SUM(DE$7:DE28)+SUM(DI$7:DI28)</f>
        <v>#REF!</v>
      </c>
      <c r="DN28" s="14" t="e">
        <f>CZ28-SUM(DF$7:DF28)+SUM(DJ$7:DJ28)</f>
        <v>#REF!</v>
      </c>
      <c r="DQ28" s="95">
        <v>23</v>
      </c>
      <c r="DR28" s="14">
        <f t="shared" si="67"/>
        <v>3</v>
      </c>
      <c r="DS28" s="14">
        <f t="shared" si="68"/>
        <v>5</v>
      </c>
      <c r="DT28" s="14">
        <f t="shared" si="113"/>
        <v>103.80833333333335</v>
      </c>
      <c r="DU28" s="14">
        <f t="shared" si="113"/>
        <v>51.904166666666676</v>
      </c>
      <c r="DV28" s="14">
        <f t="shared" si="113"/>
        <v>0</v>
      </c>
      <c r="DW28" s="14">
        <f t="shared" si="113"/>
        <v>0</v>
      </c>
      <c r="DX28" s="14">
        <f t="shared" si="69"/>
        <v>1</v>
      </c>
      <c r="DY28" s="14">
        <f t="shared" si="70"/>
        <v>2</v>
      </c>
      <c r="EF28" s="139">
        <v>23</v>
      </c>
      <c r="EG28" s="14">
        <f t="shared" si="72"/>
        <v>3</v>
      </c>
      <c r="EH28" s="19">
        <f t="shared" si="114"/>
        <v>0.13</v>
      </c>
      <c r="EI28" s="139">
        <v>3</v>
      </c>
      <c r="EJ28" s="139" t="s">
        <v>958</v>
      </c>
      <c r="EK28" s="139">
        <f t="shared" si="73"/>
        <v>886</v>
      </c>
      <c r="EL28" s="139" t="s">
        <v>865</v>
      </c>
      <c r="EM28" s="139">
        <f t="shared" si="104"/>
        <v>8</v>
      </c>
      <c r="EN28" s="139" t="s">
        <v>866</v>
      </c>
      <c r="EO28" s="139">
        <v>4</v>
      </c>
      <c r="EP28" s="139">
        <f t="shared" si="20"/>
        <v>0.08</v>
      </c>
      <c r="EQ28" s="139">
        <v>1</v>
      </c>
      <c r="ER28" s="139">
        <f t="shared" si="74"/>
        <v>19</v>
      </c>
      <c r="ES28" s="139"/>
      <c r="ET28" s="139">
        <f t="shared" si="99"/>
        <v>12.976041666666669</v>
      </c>
      <c r="EV28">
        <v>0</v>
      </c>
      <c r="EW28">
        <v>1</v>
      </c>
      <c r="EX28">
        <f t="shared" si="22"/>
        <v>5</v>
      </c>
      <c r="EY28" s="89">
        <f t="shared" si="23"/>
        <v>3.85E-2</v>
      </c>
      <c r="EZ28">
        <v>1</v>
      </c>
      <c r="FA28">
        <f t="shared" si="24"/>
        <v>9</v>
      </c>
      <c r="FB28" s="89">
        <f t="shared" si="25"/>
        <v>0.15409999999999999</v>
      </c>
      <c r="FC28">
        <v>1</v>
      </c>
      <c r="FD28">
        <f t="shared" si="26"/>
        <v>19</v>
      </c>
      <c r="FN28" s="101">
        <v>23</v>
      </c>
      <c r="FO28" s="101">
        <f t="shared" si="75"/>
        <v>20</v>
      </c>
      <c r="FP28" s="101">
        <f t="shared" si="76"/>
        <v>1</v>
      </c>
      <c r="FQ28" s="14">
        <f t="shared" si="77"/>
        <v>5</v>
      </c>
      <c r="FR28" s="101" t="str">
        <f t="shared" si="78"/>
        <v>关羽专属武器-魂珠-3 2级</v>
      </c>
      <c r="FS28" s="101">
        <f t="shared" si="79"/>
        <v>3</v>
      </c>
      <c r="FT28" s="101">
        <f t="shared" si="80"/>
        <v>2</v>
      </c>
      <c r="FU28" s="101" t="str">
        <f t="shared" si="81"/>
        <v>金币</v>
      </c>
      <c r="FV28" s="139">
        <f>IF($FT28&gt;0,IF(INDEX($EI$6:$EI$77,$FO28)&gt;=FV$3,ROUND(INDEX(EK$6:EK$77,$FO28)*INDEX(卡牌消耗!$B$8:$F$8,FQ28)/5,0)*5,""),"")</f>
        <v>820</v>
      </c>
      <c r="FW28" s="101" t="str">
        <f t="shared" si="82"/>
        <v>专属强化石1</v>
      </c>
      <c r="FX28" s="101">
        <f t="shared" si="83"/>
        <v>4</v>
      </c>
      <c r="FY28" s="101" t="str">
        <f t="shared" si="84"/>
        <v>专属强化石2</v>
      </c>
      <c r="FZ28" s="101">
        <f t="shared" si="85"/>
        <v>2</v>
      </c>
      <c r="GA28" s="101">
        <f t="shared" si="86"/>
        <v>0.15</v>
      </c>
      <c r="GB28" s="101">
        <f t="shared" si="87"/>
        <v>1</v>
      </c>
      <c r="GC28" s="101">
        <f t="shared" si="88"/>
        <v>10</v>
      </c>
      <c r="GD28" s="101">
        <f t="shared" si="89"/>
        <v>0</v>
      </c>
      <c r="GE28" s="101">
        <f t="shared" si="90"/>
        <v>1</v>
      </c>
      <c r="GF28" s="101">
        <f t="shared" si="91"/>
        <v>2</v>
      </c>
      <c r="GG28" s="101">
        <f t="shared" si="92"/>
        <v>7.7100000000000002E-2</v>
      </c>
      <c r="GH28" s="101">
        <f t="shared" si="93"/>
        <v>1</v>
      </c>
      <c r="GI28" s="101">
        <f t="shared" si="94"/>
        <v>5</v>
      </c>
      <c r="GJ28" s="101">
        <f t="shared" si="95"/>
        <v>0.30830000000000002</v>
      </c>
      <c r="GK28" s="101">
        <f t="shared" si="96"/>
        <v>1</v>
      </c>
      <c r="GL28" s="101">
        <f t="shared" si="97"/>
        <v>10</v>
      </c>
    </row>
    <row r="29" spans="1:194" ht="16.5" x14ac:dyDescent="0.2">
      <c r="A29" s="81">
        <v>8</v>
      </c>
      <c r="B29" s="81">
        <v>34</v>
      </c>
      <c r="C29" s="81">
        <v>34</v>
      </c>
      <c r="D29" s="81">
        <v>34</v>
      </c>
      <c r="E29" s="81">
        <v>34</v>
      </c>
      <c r="F29" s="81">
        <v>34</v>
      </c>
      <c r="G29" s="81">
        <v>34</v>
      </c>
      <c r="H29" s="81">
        <v>34</v>
      </c>
      <c r="I29" s="81">
        <v>34</v>
      </c>
      <c r="K29" s="84">
        <f t="shared" si="110"/>
        <v>106.55044025157235</v>
      </c>
      <c r="L29" s="84">
        <f t="shared" si="110"/>
        <v>0</v>
      </c>
      <c r="M29" s="84">
        <f t="shared" si="110"/>
        <v>0</v>
      </c>
      <c r="N29" s="84">
        <f t="shared" si="110"/>
        <v>0</v>
      </c>
      <c r="O29" s="84">
        <f t="shared" si="110"/>
        <v>264.71125000000006</v>
      </c>
      <c r="P29" s="84">
        <f t="shared" si="110"/>
        <v>88.237083333333359</v>
      </c>
      <c r="Q29" s="84">
        <f t="shared" si="110"/>
        <v>0</v>
      </c>
      <c r="R29" s="84">
        <f t="shared" si="110"/>
        <v>0</v>
      </c>
      <c r="S29" s="84">
        <f t="shared" si="110"/>
        <v>441.18541666666675</v>
      </c>
      <c r="T29" s="84">
        <f t="shared" si="110"/>
        <v>220.59270833333338</v>
      </c>
      <c r="U29" s="84">
        <f t="shared" si="111"/>
        <v>0</v>
      </c>
      <c r="V29" s="84">
        <f t="shared" si="111"/>
        <v>0</v>
      </c>
      <c r="W29" s="84">
        <f t="shared" si="111"/>
        <v>0</v>
      </c>
      <c r="X29" s="84">
        <f t="shared" si="111"/>
        <v>445.8294736842106</v>
      </c>
      <c r="Y29" s="84">
        <f t="shared" si="111"/>
        <v>167.98385964912282</v>
      </c>
      <c r="Z29" s="84">
        <f t="shared" si="111"/>
        <v>0</v>
      </c>
      <c r="AA29" s="84">
        <f t="shared" si="111"/>
        <v>0</v>
      </c>
      <c r="AB29" s="84">
        <f t="shared" si="111"/>
        <v>520.13438596491233</v>
      </c>
      <c r="AC29" s="84">
        <f t="shared" si="111"/>
        <v>335.96771929824564</v>
      </c>
      <c r="AD29" s="84">
        <f t="shared" si="111"/>
        <v>0</v>
      </c>
      <c r="AE29" s="84">
        <f t="shared" si="112"/>
        <v>0</v>
      </c>
      <c r="AF29" s="84">
        <f t="shared" si="112"/>
        <v>0</v>
      </c>
      <c r="AG29" s="84">
        <f t="shared" si="112"/>
        <v>1015.5387878787878</v>
      </c>
      <c r="AH29" s="84">
        <f t="shared" si="112"/>
        <v>205.16836363636364</v>
      </c>
      <c r="AI29" s="84">
        <f t="shared" si="112"/>
        <v>0</v>
      </c>
      <c r="AJ29" s="84">
        <f t="shared" si="112"/>
        <v>0</v>
      </c>
      <c r="AK29" s="84">
        <f t="shared" si="112"/>
        <v>1015.5387878787878</v>
      </c>
      <c r="AL29" s="84">
        <f t="shared" si="112"/>
        <v>341.94727272727272</v>
      </c>
      <c r="AM29" s="84">
        <f t="shared" si="112"/>
        <v>0</v>
      </c>
      <c r="AN29" s="84">
        <f t="shared" si="112"/>
        <v>0</v>
      </c>
      <c r="AO29" s="84">
        <f t="shared" si="112"/>
        <v>0</v>
      </c>
      <c r="AP29" s="84">
        <f t="shared" si="112"/>
        <v>1504.568</v>
      </c>
      <c r="CC29" s="81">
        <v>24</v>
      </c>
      <c r="CD29" s="81" t="e">
        <f>INDEX(节奏总表!#REF!,MATCH(专属武器强化!CC29,节奏总表!#REF!,1))</f>
        <v>#REF!</v>
      </c>
      <c r="CE29" s="81"/>
      <c r="CF29" s="81" t="e">
        <f t="shared" si="12"/>
        <v>#REF!</v>
      </c>
      <c r="CG29" s="14" t="e">
        <f t="shared" si="13"/>
        <v>#REF!</v>
      </c>
      <c r="CH29" s="14" t="e">
        <f t="shared" si="14"/>
        <v>#REF!</v>
      </c>
      <c r="CI29" s="14" t="e">
        <f t="shared" si="15"/>
        <v>#REF!</v>
      </c>
      <c r="CJ29" s="14" t="e">
        <f t="shared" si="16"/>
        <v>#REF!</v>
      </c>
      <c r="CK29" s="14"/>
      <c r="CL29" s="14"/>
      <c r="CM29" s="14"/>
      <c r="CN29" s="14"/>
      <c r="CO29" s="14" t="e">
        <f>SUM(CG$6:CG29)</f>
        <v>#REF!</v>
      </c>
      <c r="CP29" s="14" t="e">
        <f>SUM(CH$6:CH29)</f>
        <v>#REF!</v>
      </c>
      <c r="CQ29" s="14" t="e">
        <f>SUM(CI$6:CI29)</f>
        <v>#REF!</v>
      </c>
      <c r="CR29" s="14" t="e">
        <f>SUM(CJ$6:CJ29)</f>
        <v>#REF!</v>
      </c>
      <c r="CU29" s="83">
        <v>17</v>
      </c>
      <c r="CV29" s="14" t="e">
        <f>INDEX(节奏总表!#REF!,专属武器强化!CU29)</f>
        <v>#REF!</v>
      </c>
      <c r="CW29" s="14" t="e">
        <f t="shared" si="17"/>
        <v>#REF!</v>
      </c>
      <c r="CX29" s="14" t="e">
        <f t="shared" si="60"/>
        <v>#REF!</v>
      </c>
      <c r="CY29" s="14" t="e">
        <f t="shared" si="61"/>
        <v>#REF!</v>
      </c>
      <c r="CZ29" s="14" t="e">
        <f t="shared" si="62"/>
        <v>#REF!</v>
      </c>
      <c r="DA29" s="83">
        <v>4</v>
      </c>
      <c r="DB29" s="83">
        <v>1</v>
      </c>
      <c r="DC29" s="14">
        <f t="shared" si="105"/>
        <v>0</v>
      </c>
      <c r="DD29" s="14">
        <f t="shared" si="106"/>
        <v>39.337894736842117</v>
      </c>
      <c r="DE29" s="14">
        <f t="shared" si="107"/>
        <v>14.822105263157898</v>
      </c>
      <c r="DF29" s="14">
        <f t="shared" si="108"/>
        <v>0</v>
      </c>
      <c r="DG29" s="83"/>
      <c r="DH29" s="83"/>
      <c r="DI29" s="83"/>
      <c r="DJ29" s="83"/>
      <c r="DK29" s="14" t="e">
        <f>CW29-SUM(DC$7:DC29)+SUM(DG$7:DG29)</f>
        <v>#REF!</v>
      </c>
      <c r="DL29" s="14" t="e">
        <f>CX29-SUM(DD$7:DD29)+SUM(DH$7:DH29)</f>
        <v>#REF!</v>
      </c>
      <c r="DM29" s="14" t="e">
        <f>CY29-SUM(DE$7:DE29)+SUM(DI$7:DI29)</f>
        <v>#REF!</v>
      </c>
      <c r="DN29" s="14" t="e">
        <f>CZ29-SUM(DF$7:DF29)+SUM(DJ$7:DJ29)</f>
        <v>#REF!</v>
      </c>
      <c r="DQ29" s="95">
        <v>24</v>
      </c>
      <c r="DR29" s="14">
        <f t="shared" si="67"/>
        <v>3</v>
      </c>
      <c r="DS29" s="14">
        <f t="shared" si="68"/>
        <v>6</v>
      </c>
      <c r="DT29" s="14">
        <f t="shared" si="113"/>
        <v>168.68854166666671</v>
      </c>
      <c r="DU29" s="14">
        <f t="shared" si="113"/>
        <v>84.344270833333354</v>
      </c>
      <c r="DV29" s="14">
        <f t="shared" si="113"/>
        <v>0</v>
      </c>
      <c r="DW29" s="14">
        <f t="shared" si="113"/>
        <v>0</v>
      </c>
      <c r="DX29" s="14">
        <f t="shared" si="69"/>
        <v>1</v>
      </c>
      <c r="DY29" s="14">
        <f t="shared" si="70"/>
        <v>2</v>
      </c>
      <c r="EF29" s="139">
        <v>24</v>
      </c>
      <c r="EG29" s="14">
        <f t="shared" si="72"/>
        <v>3</v>
      </c>
      <c r="EH29" s="19">
        <f t="shared" si="114"/>
        <v>0.21000000000000002</v>
      </c>
      <c r="EI29" s="139">
        <v>3</v>
      </c>
      <c r="EJ29" s="139" t="s">
        <v>958</v>
      </c>
      <c r="EK29" s="139">
        <f t="shared" si="73"/>
        <v>1101</v>
      </c>
      <c r="EL29" s="139" t="s">
        <v>865</v>
      </c>
      <c r="EM29" s="139">
        <f t="shared" si="104"/>
        <v>10</v>
      </c>
      <c r="EN29" s="139" t="s">
        <v>866</v>
      </c>
      <c r="EO29" s="139">
        <v>5</v>
      </c>
      <c r="EP29" s="139">
        <f t="shared" si="20"/>
        <v>0.06</v>
      </c>
      <c r="EQ29" s="139">
        <v>1</v>
      </c>
      <c r="ER29" s="139">
        <f t="shared" si="74"/>
        <v>25</v>
      </c>
      <c r="ES29" s="139"/>
      <c r="ET29" s="139">
        <f t="shared" si="99"/>
        <v>16.868854166666672</v>
      </c>
      <c r="EV29">
        <v>0</v>
      </c>
      <c r="EW29">
        <v>1</v>
      </c>
      <c r="EX29">
        <f t="shared" si="22"/>
        <v>6</v>
      </c>
      <c r="EY29" s="89">
        <f t="shared" si="23"/>
        <v>2.9600000000000001E-2</v>
      </c>
      <c r="EZ29">
        <v>1</v>
      </c>
      <c r="FA29">
        <f t="shared" si="24"/>
        <v>12</v>
      </c>
      <c r="FB29" s="89">
        <f t="shared" si="25"/>
        <v>0.1186</v>
      </c>
      <c r="FC29">
        <v>1</v>
      </c>
      <c r="FD29">
        <f t="shared" si="26"/>
        <v>25</v>
      </c>
      <c r="FN29" s="101">
        <v>24</v>
      </c>
      <c r="FO29" s="101">
        <f t="shared" si="75"/>
        <v>21</v>
      </c>
      <c r="FP29" s="101">
        <f t="shared" si="76"/>
        <v>1</v>
      </c>
      <c r="FQ29" s="14">
        <f t="shared" si="77"/>
        <v>5</v>
      </c>
      <c r="FR29" s="101" t="str">
        <f t="shared" si="78"/>
        <v>关羽专属武器-魂珠-3 3级</v>
      </c>
      <c r="FS29" s="101">
        <f t="shared" si="79"/>
        <v>3</v>
      </c>
      <c r="FT29" s="101">
        <f t="shared" si="80"/>
        <v>3</v>
      </c>
      <c r="FU29" s="101" t="str">
        <f t="shared" si="81"/>
        <v>金币</v>
      </c>
      <c r="FV29" s="139">
        <f>IF($FT29&gt;0,IF(INDEX($EI$6:$EI$77,$FO29)&gt;=FV$3,ROUND(INDEX(EK$6:EK$77,$FO29)*INDEX(卡牌消耗!$B$8:$F$8,FQ29)/5,0)*5,""),"")</f>
        <v>1365</v>
      </c>
      <c r="FW29" s="101" t="str">
        <f t="shared" si="82"/>
        <v>专属强化石1</v>
      </c>
      <c r="FX29" s="101">
        <f t="shared" si="83"/>
        <v>6</v>
      </c>
      <c r="FY29" s="101" t="str">
        <f t="shared" si="84"/>
        <v>专属强化石2</v>
      </c>
      <c r="FZ29" s="101">
        <f t="shared" si="85"/>
        <v>3</v>
      </c>
      <c r="GA29" s="101">
        <f t="shared" si="86"/>
        <v>0.15</v>
      </c>
      <c r="GB29" s="101">
        <f t="shared" si="87"/>
        <v>1</v>
      </c>
      <c r="GC29" s="101">
        <f t="shared" si="88"/>
        <v>10</v>
      </c>
      <c r="GD29" s="101">
        <f t="shared" si="89"/>
        <v>0</v>
      </c>
      <c r="GE29" s="101">
        <f t="shared" si="90"/>
        <v>1</v>
      </c>
      <c r="GF29" s="101">
        <f t="shared" si="91"/>
        <v>2</v>
      </c>
      <c r="GG29" s="101">
        <f t="shared" si="92"/>
        <v>7.7100000000000002E-2</v>
      </c>
      <c r="GH29" s="101">
        <f t="shared" si="93"/>
        <v>1</v>
      </c>
      <c r="GI29" s="101">
        <f t="shared" si="94"/>
        <v>5</v>
      </c>
      <c r="GJ29" s="101">
        <f t="shared" si="95"/>
        <v>0.30830000000000002</v>
      </c>
      <c r="GK29" s="101">
        <f t="shared" si="96"/>
        <v>1</v>
      </c>
      <c r="GL29" s="101">
        <f t="shared" si="97"/>
        <v>10</v>
      </c>
    </row>
    <row r="30" spans="1:194" ht="16.5" x14ac:dyDescent="0.2">
      <c r="A30" s="81">
        <v>9</v>
      </c>
      <c r="B30" s="81">
        <v>55</v>
      </c>
      <c r="C30" s="81">
        <v>55</v>
      </c>
      <c r="D30" s="81">
        <v>55</v>
      </c>
      <c r="E30" s="81">
        <v>55</v>
      </c>
      <c r="F30" s="81">
        <v>55</v>
      </c>
      <c r="G30" s="81">
        <v>55</v>
      </c>
      <c r="H30" s="81">
        <v>55</v>
      </c>
      <c r="I30" s="81">
        <v>55</v>
      </c>
      <c r="K30" s="84">
        <f t="shared" si="110"/>
        <v>172.36100628930822</v>
      </c>
      <c r="L30" s="84">
        <f t="shared" si="110"/>
        <v>0</v>
      </c>
      <c r="M30" s="84">
        <f t="shared" si="110"/>
        <v>0</v>
      </c>
      <c r="N30" s="84">
        <f t="shared" si="110"/>
        <v>0</v>
      </c>
      <c r="O30" s="84">
        <f t="shared" si="110"/>
        <v>428.20937500000014</v>
      </c>
      <c r="P30" s="84">
        <f t="shared" si="110"/>
        <v>142.73645833333339</v>
      </c>
      <c r="Q30" s="84">
        <f t="shared" si="110"/>
        <v>0</v>
      </c>
      <c r="R30" s="84">
        <f t="shared" si="110"/>
        <v>0</v>
      </c>
      <c r="S30" s="84">
        <f t="shared" si="110"/>
        <v>713.68229166666686</v>
      </c>
      <c r="T30" s="84">
        <f t="shared" si="110"/>
        <v>356.84114583333343</v>
      </c>
      <c r="U30" s="84">
        <f t="shared" si="111"/>
        <v>0</v>
      </c>
      <c r="V30" s="84">
        <f t="shared" si="111"/>
        <v>0</v>
      </c>
      <c r="W30" s="84">
        <f t="shared" si="111"/>
        <v>0</v>
      </c>
      <c r="X30" s="84">
        <f t="shared" si="111"/>
        <v>721.1947368421055</v>
      </c>
      <c r="Y30" s="84">
        <f t="shared" si="111"/>
        <v>271.73859649122812</v>
      </c>
      <c r="Z30" s="84">
        <f t="shared" si="111"/>
        <v>0</v>
      </c>
      <c r="AA30" s="84">
        <f t="shared" si="111"/>
        <v>0</v>
      </c>
      <c r="AB30" s="84">
        <f t="shared" si="111"/>
        <v>841.39385964912287</v>
      </c>
      <c r="AC30" s="84">
        <f t="shared" si="111"/>
        <v>543.47719298245624</v>
      </c>
      <c r="AD30" s="84">
        <f t="shared" si="111"/>
        <v>0</v>
      </c>
      <c r="AE30" s="84">
        <f t="shared" si="112"/>
        <v>0</v>
      </c>
      <c r="AF30" s="84">
        <f t="shared" si="112"/>
        <v>0</v>
      </c>
      <c r="AG30" s="84">
        <f t="shared" si="112"/>
        <v>1642.7833333333335</v>
      </c>
      <c r="AH30" s="84">
        <f t="shared" si="112"/>
        <v>331.89</v>
      </c>
      <c r="AI30" s="84">
        <f t="shared" si="112"/>
        <v>0</v>
      </c>
      <c r="AJ30" s="84">
        <f t="shared" si="112"/>
        <v>0</v>
      </c>
      <c r="AK30" s="84">
        <f t="shared" si="112"/>
        <v>1642.7833333333335</v>
      </c>
      <c r="AL30" s="84">
        <f t="shared" si="112"/>
        <v>553.15</v>
      </c>
      <c r="AM30" s="84">
        <f t="shared" si="112"/>
        <v>0</v>
      </c>
      <c r="AN30" s="84">
        <f t="shared" si="112"/>
        <v>0</v>
      </c>
      <c r="AO30" s="84">
        <f t="shared" si="112"/>
        <v>0</v>
      </c>
      <c r="AP30" s="84">
        <f t="shared" si="112"/>
        <v>2433.8599999999997</v>
      </c>
      <c r="CC30" s="81">
        <v>25</v>
      </c>
      <c r="CD30" s="81" t="e">
        <f>INDEX(节奏总表!#REF!,MATCH(专属武器强化!CC30,节奏总表!#REF!,1))</f>
        <v>#REF!</v>
      </c>
      <c r="CE30" s="81"/>
      <c r="CF30" s="81" t="e">
        <f t="shared" si="12"/>
        <v>#REF!</v>
      </c>
      <c r="CG30" s="14" t="e">
        <f t="shared" si="13"/>
        <v>#REF!</v>
      </c>
      <c r="CH30" s="14" t="e">
        <f t="shared" si="14"/>
        <v>#REF!</v>
      </c>
      <c r="CI30" s="14" t="e">
        <f t="shared" si="15"/>
        <v>#REF!</v>
      </c>
      <c r="CJ30" s="14" t="e">
        <f t="shared" si="16"/>
        <v>#REF!</v>
      </c>
      <c r="CK30" s="14"/>
      <c r="CL30" s="14"/>
      <c r="CM30" s="14"/>
      <c r="CN30" s="14"/>
      <c r="CO30" s="14" t="e">
        <f>SUM(CG$6:CG30)</f>
        <v>#REF!</v>
      </c>
      <c r="CP30" s="14" t="e">
        <f>SUM(CH$6:CH30)</f>
        <v>#REF!</v>
      </c>
      <c r="CQ30" s="14" t="e">
        <f>SUM(CI$6:CI30)</f>
        <v>#REF!</v>
      </c>
      <c r="CR30" s="14" t="e">
        <f>SUM(CJ$6:CJ30)</f>
        <v>#REF!</v>
      </c>
      <c r="CU30" s="83">
        <v>17</v>
      </c>
      <c r="CV30" s="14" t="e">
        <f>INDEX(节奏总表!#REF!,专属武器强化!CU30)</f>
        <v>#REF!</v>
      </c>
      <c r="CW30" s="14" t="e">
        <f t="shared" si="17"/>
        <v>#REF!</v>
      </c>
      <c r="CX30" s="14" t="e">
        <f t="shared" si="60"/>
        <v>#REF!</v>
      </c>
      <c r="CY30" s="14" t="e">
        <f t="shared" si="61"/>
        <v>#REF!</v>
      </c>
      <c r="CZ30" s="14" t="e">
        <f t="shared" si="62"/>
        <v>#REF!</v>
      </c>
      <c r="DA30" s="83">
        <v>4</v>
      </c>
      <c r="DB30" s="83">
        <v>2</v>
      </c>
      <c r="DC30" s="14">
        <f t="shared" si="105"/>
        <v>0</v>
      </c>
      <c r="DD30" s="14">
        <f t="shared" si="106"/>
        <v>78.675789473684233</v>
      </c>
      <c r="DE30" s="14">
        <f t="shared" si="107"/>
        <v>29.644210526315796</v>
      </c>
      <c r="DF30" s="14">
        <f t="shared" si="108"/>
        <v>0</v>
      </c>
      <c r="DG30" s="83"/>
      <c r="DH30" s="83"/>
      <c r="DI30" s="83">
        <v>25</v>
      </c>
      <c r="DJ30" s="83"/>
      <c r="DK30" s="14" t="e">
        <f>CW30-SUM(DC$7:DC30)+SUM(DG$7:DG30)</f>
        <v>#REF!</v>
      </c>
      <c r="DL30" s="14" t="e">
        <f>CX30-SUM(DD$7:DD30)+SUM(DH$7:DH30)</f>
        <v>#REF!</v>
      </c>
      <c r="DM30" s="14" t="e">
        <f>CY30-SUM(DE$7:DE30)+SUM(DI$7:DI30)</f>
        <v>#REF!</v>
      </c>
      <c r="DN30" s="14" t="e">
        <f>CZ30-SUM(DF$7:DF30)+SUM(DJ$7:DJ30)</f>
        <v>#REF!</v>
      </c>
      <c r="DQ30" s="95">
        <v>25</v>
      </c>
      <c r="DR30" s="14">
        <f t="shared" si="67"/>
        <v>3</v>
      </c>
      <c r="DS30" s="14">
        <f t="shared" si="68"/>
        <v>7</v>
      </c>
      <c r="DT30" s="14">
        <f t="shared" si="113"/>
        <v>272.49687500000005</v>
      </c>
      <c r="DU30" s="14">
        <f t="shared" si="113"/>
        <v>136.24843750000002</v>
      </c>
      <c r="DV30" s="14">
        <f t="shared" si="113"/>
        <v>0</v>
      </c>
      <c r="DW30" s="14">
        <f t="shared" si="113"/>
        <v>0</v>
      </c>
      <c r="DX30" s="14">
        <f t="shared" si="69"/>
        <v>1</v>
      </c>
      <c r="DY30" s="14">
        <f t="shared" si="70"/>
        <v>2</v>
      </c>
      <c r="EF30" s="139">
        <v>25</v>
      </c>
      <c r="EG30" s="14">
        <f t="shared" si="72"/>
        <v>3</v>
      </c>
      <c r="EH30" s="19">
        <f t="shared" si="114"/>
        <v>0.34</v>
      </c>
      <c r="EI30" s="139">
        <v>3</v>
      </c>
      <c r="EJ30" s="139" t="s">
        <v>958</v>
      </c>
      <c r="EK30" s="139">
        <f t="shared" si="73"/>
        <v>1325</v>
      </c>
      <c r="EL30" s="139" t="s">
        <v>865</v>
      </c>
      <c r="EM30" s="139">
        <f t="shared" si="104"/>
        <v>12</v>
      </c>
      <c r="EN30" s="139" t="s">
        <v>866</v>
      </c>
      <c r="EO30" s="139">
        <v>6</v>
      </c>
      <c r="EP30" s="139">
        <f t="shared" si="20"/>
        <v>0.04</v>
      </c>
      <c r="EQ30" s="139">
        <v>1</v>
      </c>
      <c r="ER30" s="139">
        <f t="shared" si="74"/>
        <v>34</v>
      </c>
      <c r="ES30" s="139"/>
      <c r="ET30" s="139">
        <f t="shared" si="99"/>
        <v>22.708072916666669</v>
      </c>
      <c r="EV30">
        <v>0</v>
      </c>
      <c r="EW30">
        <v>1</v>
      </c>
      <c r="EX30">
        <f t="shared" si="22"/>
        <v>8</v>
      </c>
      <c r="EY30" s="89">
        <f t="shared" si="23"/>
        <v>2.1999999999999999E-2</v>
      </c>
      <c r="EZ30">
        <v>1</v>
      </c>
      <c r="FA30">
        <f t="shared" si="24"/>
        <v>16</v>
      </c>
      <c r="FB30" s="89">
        <f t="shared" si="25"/>
        <v>8.8099999999999998E-2</v>
      </c>
      <c r="FC30">
        <v>1</v>
      </c>
      <c r="FD30">
        <f t="shared" si="26"/>
        <v>34</v>
      </c>
      <c r="FN30" s="101">
        <v>25</v>
      </c>
      <c r="FO30" s="101">
        <f t="shared" si="75"/>
        <v>22</v>
      </c>
      <c r="FP30" s="101">
        <f t="shared" si="76"/>
        <v>1</v>
      </c>
      <c r="FQ30" s="14">
        <f t="shared" si="77"/>
        <v>5</v>
      </c>
      <c r="FR30" s="101" t="str">
        <f t="shared" si="78"/>
        <v>关羽专属武器-魂珠-3 4级</v>
      </c>
      <c r="FS30" s="101">
        <f t="shared" si="79"/>
        <v>3</v>
      </c>
      <c r="FT30" s="101">
        <f t="shared" si="80"/>
        <v>4</v>
      </c>
      <c r="FU30" s="101" t="str">
        <f t="shared" si="81"/>
        <v>金币</v>
      </c>
      <c r="FV30" s="139">
        <f>IF($FT30&gt;0,IF(INDEX($EI$6:$EI$77,$FO30)&gt;=FV$3,ROUND(INDEX(EK$6:EK$77,$FO30)*INDEX(卡牌消耗!$B$8:$F$8,FQ30)/5,0)*5,""),"")</f>
        <v>1310</v>
      </c>
      <c r="FW30" s="101" t="str">
        <f t="shared" si="82"/>
        <v>专属强化石1</v>
      </c>
      <c r="FX30" s="101">
        <f t="shared" si="83"/>
        <v>6</v>
      </c>
      <c r="FY30" s="101" t="str">
        <f t="shared" si="84"/>
        <v>专属强化石2</v>
      </c>
      <c r="FZ30" s="101">
        <f t="shared" si="85"/>
        <v>3</v>
      </c>
      <c r="GA30" s="101">
        <f t="shared" si="86"/>
        <v>0.09</v>
      </c>
      <c r="GB30" s="101">
        <f t="shared" si="87"/>
        <v>1</v>
      </c>
      <c r="GC30" s="101">
        <f t="shared" si="88"/>
        <v>16</v>
      </c>
      <c r="GD30" s="101">
        <f t="shared" si="89"/>
        <v>0</v>
      </c>
      <c r="GE30" s="101">
        <f t="shared" si="90"/>
        <v>1</v>
      </c>
      <c r="GF30" s="101">
        <f t="shared" si="91"/>
        <v>4</v>
      </c>
      <c r="GG30" s="101">
        <f t="shared" si="92"/>
        <v>4.6199999999999998E-2</v>
      </c>
      <c r="GH30" s="101">
        <f t="shared" si="93"/>
        <v>1</v>
      </c>
      <c r="GI30" s="101">
        <f t="shared" si="94"/>
        <v>8</v>
      </c>
      <c r="GJ30" s="101">
        <f t="shared" si="95"/>
        <v>0.185</v>
      </c>
      <c r="GK30" s="101">
        <f t="shared" si="96"/>
        <v>1</v>
      </c>
      <c r="GL30" s="101">
        <f t="shared" si="97"/>
        <v>16</v>
      </c>
    </row>
    <row r="31" spans="1:194" ht="16.5" x14ac:dyDescent="0.2">
      <c r="CC31" s="81">
        <v>26</v>
      </c>
      <c r="CD31" s="81" t="e">
        <f>INDEX(节奏总表!#REF!,MATCH(专属武器强化!CC31,节奏总表!#REF!,1))</f>
        <v>#REF!</v>
      </c>
      <c r="CE31" s="81"/>
      <c r="CF31" s="81" t="e">
        <f t="shared" si="12"/>
        <v>#REF!</v>
      </c>
      <c r="CG31" s="14" t="e">
        <f t="shared" si="13"/>
        <v>#REF!</v>
      </c>
      <c r="CH31" s="14" t="e">
        <f t="shared" si="14"/>
        <v>#REF!</v>
      </c>
      <c r="CI31" s="14" t="e">
        <f t="shared" si="15"/>
        <v>#REF!</v>
      </c>
      <c r="CJ31" s="14" t="e">
        <f t="shared" si="16"/>
        <v>#REF!</v>
      </c>
      <c r="CK31" s="14"/>
      <c r="CL31" s="14"/>
      <c r="CM31" s="14"/>
      <c r="CN31" s="14"/>
      <c r="CO31" s="14" t="e">
        <f>SUM(CG$6:CG31)</f>
        <v>#REF!</v>
      </c>
      <c r="CP31" s="14" t="e">
        <f>SUM(CH$6:CH31)</f>
        <v>#REF!</v>
      </c>
      <c r="CQ31" s="14" t="e">
        <f>SUM(CI$6:CI31)</f>
        <v>#REF!</v>
      </c>
      <c r="CR31" s="14" t="e">
        <f>SUM(CJ$6:CJ31)</f>
        <v>#REF!</v>
      </c>
      <c r="CU31" s="83">
        <v>18</v>
      </c>
      <c r="CV31" s="14" t="e">
        <f>INDEX(节奏总表!#REF!,专属武器强化!CU31)</f>
        <v>#REF!</v>
      </c>
      <c r="CW31" s="14" t="e">
        <f t="shared" si="17"/>
        <v>#REF!</v>
      </c>
      <c r="CX31" s="14" t="e">
        <f t="shared" si="60"/>
        <v>#REF!</v>
      </c>
      <c r="CY31" s="14" t="e">
        <f t="shared" si="61"/>
        <v>#REF!</v>
      </c>
      <c r="CZ31" s="14" t="e">
        <f t="shared" si="62"/>
        <v>#REF!</v>
      </c>
      <c r="DA31" s="85">
        <v>4</v>
      </c>
      <c r="DB31" s="85">
        <v>3</v>
      </c>
      <c r="DC31" s="14">
        <f t="shared" si="105"/>
        <v>0</v>
      </c>
      <c r="DD31" s="14">
        <f t="shared" si="106"/>
        <v>118.01368421052635</v>
      </c>
      <c r="DE31" s="14">
        <f t="shared" si="107"/>
        <v>44.46631578947369</v>
      </c>
      <c r="DF31" s="14">
        <f t="shared" si="108"/>
        <v>0</v>
      </c>
      <c r="DG31" s="83"/>
      <c r="DH31" s="83"/>
      <c r="DI31" s="83">
        <v>23</v>
      </c>
      <c r="DJ31" s="83"/>
      <c r="DK31" s="14" t="e">
        <f>CW31-SUM(DC$7:DC31)+SUM(DG$7:DG31)</f>
        <v>#REF!</v>
      </c>
      <c r="DL31" s="14" t="e">
        <f>CX31-SUM(DD$7:DD31)+SUM(DH$7:DH31)</f>
        <v>#REF!</v>
      </c>
      <c r="DM31" s="14" t="e">
        <f>CY31-SUM(DE$7:DE31)+SUM(DI$7:DI31)</f>
        <v>#REF!</v>
      </c>
      <c r="DN31" s="14" t="e">
        <f>CZ31-SUM(DF$7:DF31)+SUM(DJ$7:DJ31)</f>
        <v>#REF!</v>
      </c>
      <c r="DQ31" s="95">
        <v>26</v>
      </c>
      <c r="DR31" s="14">
        <f t="shared" si="67"/>
        <v>3</v>
      </c>
      <c r="DS31" s="14">
        <f t="shared" si="68"/>
        <v>8</v>
      </c>
      <c r="DT31" s="14">
        <f t="shared" si="113"/>
        <v>441.18541666666675</v>
      </c>
      <c r="DU31" s="14">
        <f t="shared" si="113"/>
        <v>220.59270833333338</v>
      </c>
      <c r="DV31" s="14">
        <f t="shared" si="113"/>
        <v>0</v>
      </c>
      <c r="DW31" s="14">
        <f t="shared" si="113"/>
        <v>0</v>
      </c>
      <c r="DX31" s="14">
        <f t="shared" si="69"/>
        <v>1</v>
      </c>
      <c r="DY31" s="14">
        <f t="shared" si="70"/>
        <v>2</v>
      </c>
      <c r="EF31" s="139">
        <v>26</v>
      </c>
      <c r="EG31" s="14">
        <f t="shared" si="72"/>
        <v>3</v>
      </c>
      <c r="EH31" s="19">
        <f t="shared" si="114"/>
        <v>0.55000000000000004</v>
      </c>
      <c r="EI31" s="139">
        <v>3</v>
      </c>
      <c r="EJ31" s="139" t="s">
        <v>958</v>
      </c>
      <c r="EK31" s="139">
        <f t="shared" si="73"/>
        <v>1765</v>
      </c>
      <c r="EL31" s="139" t="s">
        <v>865</v>
      </c>
      <c r="EM31" s="139">
        <f t="shared" si="104"/>
        <v>16</v>
      </c>
      <c r="EN31" s="139" t="s">
        <v>866</v>
      </c>
      <c r="EO31" s="139">
        <v>8</v>
      </c>
      <c r="EP31" s="139">
        <f t="shared" si="20"/>
        <v>0.04</v>
      </c>
      <c r="EQ31" s="139">
        <v>1</v>
      </c>
      <c r="ER31" s="139">
        <f t="shared" si="74"/>
        <v>41</v>
      </c>
      <c r="ES31" s="139"/>
      <c r="ET31" s="139">
        <f t="shared" si="99"/>
        <v>27.574088541666672</v>
      </c>
      <c r="EV31">
        <v>0</v>
      </c>
      <c r="EW31">
        <v>1</v>
      </c>
      <c r="EX31">
        <f t="shared" si="22"/>
        <v>10</v>
      </c>
      <c r="EY31" s="89">
        <f t="shared" si="23"/>
        <v>1.8100000000000002E-2</v>
      </c>
      <c r="EZ31">
        <v>1</v>
      </c>
      <c r="FA31">
        <f t="shared" si="24"/>
        <v>19</v>
      </c>
      <c r="FB31" s="89">
        <f t="shared" si="25"/>
        <v>7.2499999999999995E-2</v>
      </c>
      <c r="FC31">
        <v>1</v>
      </c>
      <c r="FD31">
        <f t="shared" si="26"/>
        <v>41</v>
      </c>
      <c r="FN31" s="101">
        <v>26</v>
      </c>
      <c r="FO31" s="101">
        <f t="shared" si="75"/>
        <v>23</v>
      </c>
      <c r="FP31" s="101">
        <f t="shared" si="76"/>
        <v>1</v>
      </c>
      <c r="FQ31" s="14">
        <f t="shared" si="77"/>
        <v>5</v>
      </c>
      <c r="FR31" s="101" t="str">
        <f t="shared" si="78"/>
        <v>关羽专属武器-魂珠-3 5级</v>
      </c>
      <c r="FS31" s="101">
        <f t="shared" si="79"/>
        <v>3</v>
      </c>
      <c r="FT31" s="101">
        <f t="shared" si="80"/>
        <v>5</v>
      </c>
      <c r="FU31" s="101" t="str">
        <f t="shared" si="81"/>
        <v>金币</v>
      </c>
      <c r="FV31" s="139">
        <f>IF($FT31&gt;0,IF(INDEX($EI$6:$EI$77,$FO31)&gt;=FV$3,ROUND(INDEX(EK$6:EK$77,$FO31)*INDEX(卡牌消耗!$B$8:$F$8,FQ31)/5,0)*5,""),"")</f>
        <v>1770</v>
      </c>
      <c r="FW31" s="101" t="str">
        <f t="shared" si="82"/>
        <v>专属强化石1</v>
      </c>
      <c r="FX31" s="101">
        <f t="shared" si="83"/>
        <v>8</v>
      </c>
      <c r="FY31" s="101" t="str">
        <f t="shared" si="84"/>
        <v>专属强化石2</v>
      </c>
      <c r="FZ31" s="101">
        <f t="shared" si="85"/>
        <v>4</v>
      </c>
      <c r="GA31" s="101">
        <f t="shared" si="86"/>
        <v>0.08</v>
      </c>
      <c r="GB31" s="101">
        <f t="shared" si="87"/>
        <v>1</v>
      </c>
      <c r="GC31" s="101">
        <f t="shared" si="88"/>
        <v>19</v>
      </c>
      <c r="GD31" s="101">
        <f t="shared" si="89"/>
        <v>0</v>
      </c>
      <c r="GE31" s="101">
        <f t="shared" si="90"/>
        <v>1</v>
      </c>
      <c r="GF31" s="101">
        <f t="shared" si="91"/>
        <v>5</v>
      </c>
      <c r="GG31" s="101">
        <f t="shared" si="92"/>
        <v>3.85E-2</v>
      </c>
      <c r="GH31" s="101">
        <f t="shared" si="93"/>
        <v>1</v>
      </c>
      <c r="GI31" s="101">
        <f t="shared" si="94"/>
        <v>9</v>
      </c>
      <c r="GJ31" s="101">
        <f t="shared" si="95"/>
        <v>0.15409999999999999</v>
      </c>
      <c r="GK31" s="101">
        <f t="shared" si="96"/>
        <v>1</v>
      </c>
      <c r="GL31" s="101">
        <f t="shared" si="97"/>
        <v>19</v>
      </c>
    </row>
    <row r="32" spans="1:194" ht="16.5" x14ac:dyDescent="0.2">
      <c r="CC32" s="81">
        <v>27</v>
      </c>
      <c r="CD32" s="81" t="e">
        <f>INDEX(节奏总表!#REF!,MATCH(专属武器强化!CC32,节奏总表!#REF!,1))</f>
        <v>#REF!</v>
      </c>
      <c r="CE32" s="81"/>
      <c r="CF32" s="81" t="e">
        <f t="shared" si="12"/>
        <v>#REF!</v>
      </c>
      <c r="CG32" s="14" t="e">
        <f t="shared" si="13"/>
        <v>#REF!</v>
      </c>
      <c r="CH32" s="14" t="e">
        <f t="shared" si="14"/>
        <v>#REF!</v>
      </c>
      <c r="CI32" s="14" t="e">
        <f t="shared" si="15"/>
        <v>#REF!</v>
      </c>
      <c r="CJ32" s="14" t="e">
        <f t="shared" si="16"/>
        <v>#REF!</v>
      </c>
      <c r="CK32" s="14"/>
      <c r="CL32" s="14"/>
      <c r="CM32" s="14"/>
      <c r="CN32" s="14"/>
      <c r="CO32" s="14" t="e">
        <f>SUM(CG$6:CG32)</f>
        <v>#REF!</v>
      </c>
      <c r="CP32" s="14" t="e">
        <f>SUM(CH$6:CH32)</f>
        <v>#REF!</v>
      </c>
      <c r="CQ32" s="14" t="e">
        <f>SUM(CI$6:CI32)</f>
        <v>#REF!</v>
      </c>
      <c r="CR32" s="14" t="e">
        <f>SUM(CJ$6:CJ32)</f>
        <v>#REF!</v>
      </c>
      <c r="CU32" s="83">
        <v>19</v>
      </c>
      <c r="CV32" s="14" t="e">
        <f>INDEX(节奏总表!#REF!,专属武器强化!CU32)</f>
        <v>#REF!</v>
      </c>
      <c r="CW32" s="14" t="e">
        <f t="shared" si="17"/>
        <v>#REF!</v>
      </c>
      <c r="CX32" s="14" t="e">
        <f t="shared" si="60"/>
        <v>#REF!</v>
      </c>
      <c r="CY32" s="14" t="e">
        <f t="shared" si="61"/>
        <v>#REF!</v>
      </c>
      <c r="CZ32" s="14" t="e">
        <f t="shared" si="62"/>
        <v>#REF!</v>
      </c>
      <c r="DA32" s="83">
        <v>0</v>
      </c>
      <c r="DB32" s="83">
        <v>0</v>
      </c>
      <c r="DC32" s="14">
        <f t="shared" si="105"/>
        <v>0</v>
      </c>
      <c r="DD32" s="14">
        <f t="shared" si="106"/>
        <v>0</v>
      </c>
      <c r="DE32" s="14">
        <f t="shared" si="107"/>
        <v>0</v>
      </c>
      <c r="DF32" s="14">
        <f t="shared" si="108"/>
        <v>0</v>
      </c>
      <c r="DG32" s="83"/>
      <c r="DH32" s="83"/>
      <c r="DI32" s="83"/>
      <c r="DJ32" s="83"/>
      <c r="DK32" s="14" t="e">
        <f>CW32-SUM(DC$7:DC32)+SUM(DG$7:DG32)</f>
        <v>#REF!</v>
      </c>
      <c r="DL32" s="14" t="e">
        <f>CX32-SUM(DD$7:DD32)+SUM(DH$7:DH32)</f>
        <v>#REF!</v>
      </c>
      <c r="DM32" s="14" t="e">
        <f>CY32-SUM(DE$7:DE32)+SUM(DI$7:DI32)</f>
        <v>#REF!</v>
      </c>
      <c r="DN32" s="14" t="e">
        <f>CZ32-SUM(DF$7:DF32)+SUM(DJ$7:DJ32)</f>
        <v>#REF!</v>
      </c>
      <c r="DQ32" s="95">
        <v>27</v>
      </c>
      <c r="DR32" s="14">
        <f t="shared" si="67"/>
        <v>3</v>
      </c>
      <c r="DS32" s="14">
        <f t="shared" si="68"/>
        <v>9</v>
      </c>
      <c r="DT32" s="14">
        <f t="shared" si="113"/>
        <v>713.68229166666686</v>
      </c>
      <c r="DU32" s="14">
        <f t="shared" si="113"/>
        <v>356.84114583333343</v>
      </c>
      <c r="DV32" s="14">
        <f t="shared" si="113"/>
        <v>0</v>
      </c>
      <c r="DW32" s="14">
        <f t="shared" si="113"/>
        <v>0</v>
      </c>
      <c r="DX32" s="14">
        <f t="shared" si="69"/>
        <v>1</v>
      </c>
      <c r="DY32" s="14">
        <f t="shared" si="70"/>
        <v>2</v>
      </c>
      <c r="EF32" s="139">
        <v>27</v>
      </c>
      <c r="EG32" s="14">
        <f t="shared" si="72"/>
        <v>3</v>
      </c>
      <c r="EH32" s="19">
        <f t="shared" si="114"/>
        <v>0.89000000000000012</v>
      </c>
      <c r="EI32" s="139">
        <v>3</v>
      </c>
      <c r="EJ32" s="139" t="s">
        <v>958</v>
      </c>
      <c r="EK32" s="139">
        <f t="shared" si="73"/>
        <v>2207</v>
      </c>
      <c r="EL32" s="139" t="s">
        <v>865</v>
      </c>
      <c r="EM32" s="139">
        <f t="shared" si="104"/>
        <v>20</v>
      </c>
      <c r="EN32" s="139" t="s">
        <v>866</v>
      </c>
      <c r="EO32" s="139">
        <v>10</v>
      </c>
      <c r="EP32" s="139">
        <f t="shared" si="20"/>
        <v>0.03</v>
      </c>
      <c r="EQ32" s="139">
        <v>1</v>
      </c>
      <c r="ER32" s="139">
        <f t="shared" si="74"/>
        <v>54</v>
      </c>
      <c r="ES32" s="139"/>
      <c r="ET32" s="139">
        <f t="shared" si="99"/>
        <v>35.68411458333334</v>
      </c>
      <c r="EV32">
        <v>0</v>
      </c>
      <c r="EW32">
        <v>1</v>
      </c>
      <c r="EX32">
        <f t="shared" si="22"/>
        <v>12</v>
      </c>
      <c r="EY32" s="89">
        <f t="shared" si="23"/>
        <v>1.4E-2</v>
      </c>
      <c r="EZ32">
        <v>1</v>
      </c>
      <c r="FA32">
        <f t="shared" si="24"/>
        <v>25</v>
      </c>
      <c r="FB32" s="89">
        <f t="shared" si="25"/>
        <v>5.6000000000000001E-2</v>
      </c>
      <c r="FC32">
        <v>1</v>
      </c>
      <c r="FD32">
        <f t="shared" si="26"/>
        <v>54</v>
      </c>
      <c r="FN32" s="101">
        <v>27</v>
      </c>
      <c r="FO32" s="101">
        <f t="shared" si="75"/>
        <v>24</v>
      </c>
      <c r="FP32" s="101">
        <f t="shared" si="76"/>
        <v>1</v>
      </c>
      <c r="FQ32" s="14">
        <f t="shared" si="77"/>
        <v>5</v>
      </c>
      <c r="FR32" s="101" t="str">
        <f t="shared" si="78"/>
        <v>关羽专属武器-魂珠-3 6级</v>
      </c>
      <c r="FS32" s="101">
        <f t="shared" si="79"/>
        <v>3</v>
      </c>
      <c r="FT32" s="101">
        <f t="shared" si="80"/>
        <v>6</v>
      </c>
      <c r="FU32" s="101" t="str">
        <f t="shared" si="81"/>
        <v>金币</v>
      </c>
      <c r="FV32" s="139">
        <f>IF($FT32&gt;0,IF(INDEX($EI$6:$EI$77,$FO32)&gt;=FV$3,ROUND(INDEX(EK$6:EK$77,$FO32)*INDEX(卡牌消耗!$B$8:$F$8,FQ32)/5,0)*5,""),"")</f>
        <v>2200</v>
      </c>
      <c r="FW32" s="101" t="str">
        <f t="shared" si="82"/>
        <v>专属强化石1</v>
      </c>
      <c r="FX32" s="101">
        <f t="shared" si="83"/>
        <v>10</v>
      </c>
      <c r="FY32" s="101" t="str">
        <f t="shared" si="84"/>
        <v>专属强化石2</v>
      </c>
      <c r="FZ32" s="101">
        <f t="shared" si="85"/>
        <v>5</v>
      </c>
      <c r="GA32" s="101">
        <f t="shared" si="86"/>
        <v>0.06</v>
      </c>
      <c r="GB32" s="101">
        <f t="shared" si="87"/>
        <v>1</v>
      </c>
      <c r="GC32" s="101">
        <f t="shared" si="88"/>
        <v>25</v>
      </c>
      <c r="GD32" s="101">
        <f t="shared" si="89"/>
        <v>0</v>
      </c>
      <c r="GE32" s="101">
        <f t="shared" si="90"/>
        <v>1</v>
      </c>
      <c r="GF32" s="101">
        <f t="shared" si="91"/>
        <v>6</v>
      </c>
      <c r="GG32" s="101">
        <f t="shared" si="92"/>
        <v>2.9600000000000001E-2</v>
      </c>
      <c r="GH32" s="101">
        <f t="shared" si="93"/>
        <v>1</v>
      </c>
      <c r="GI32" s="101">
        <f t="shared" si="94"/>
        <v>12</v>
      </c>
      <c r="GJ32" s="101">
        <f t="shared" si="95"/>
        <v>0.1186</v>
      </c>
      <c r="GK32" s="101">
        <f t="shared" si="96"/>
        <v>1</v>
      </c>
      <c r="GL32" s="101">
        <f t="shared" si="97"/>
        <v>25</v>
      </c>
    </row>
    <row r="33" spans="81:194" ht="16.5" x14ac:dyDescent="0.2">
      <c r="CC33" s="81">
        <v>28</v>
      </c>
      <c r="CD33" s="81" t="e">
        <f>INDEX(节奏总表!#REF!,MATCH(专属武器强化!CC33,节奏总表!#REF!,1))</f>
        <v>#REF!</v>
      </c>
      <c r="CE33" s="81">
        <v>6</v>
      </c>
      <c r="CF33" s="81" t="e">
        <f t="shared" si="12"/>
        <v>#REF!</v>
      </c>
      <c r="CG33" s="14" t="e">
        <f t="shared" si="13"/>
        <v>#REF!</v>
      </c>
      <c r="CH33" s="14" t="e">
        <f t="shared" si="14"/>
        <v>#REF!</v>
      </c>
      <c r="CI33" s="14" t="e">
        <f t="shared" si="15"/>
        <v>#REF!</v>
      </c>
      <c r="CJ33" s="14" t="e">
        <f t="shared" si="16"/>
        <v>#REF!</v>
      </c>
      <c r="CK33" s="14"/>
      <c r="CL33" s="14"/>
      <c r="CM33" s="14"/>
      <c r="CN33" s="14"/>
      <c r="CO33" s="14" t="e">
        <f>SUM(CG$6:CG33)</f>
        <v>#REF!</v>
      </c>
      <c r="CP33" s="14" t="e">
        <f>SUM(CH$6:CH33)</f>
        <v>#REF!</v>
      </c>
      <c r="CQ33" s="14" t="e">
        <f>SUM(CI$6:CI33)</f>
        <v>#REF!</v>
      </c>
      <c r="CR33" s="14" t="e">
        <f>SUM(CJ$6:CJ33)</f>
        <v>#REF!</v>
      </c>
      <c r="CU33" s="83">
        <v>20</v>
      </c>
      <c r="CV33" s="14" t="e">
        <f>INDEX(节奏总表!#REF!,专属武器强化!CU33)</f>
        <v>#REF!</v>
      </c>
      <c r="CW33" s="14" t="e">
        <f t="shared" si="17"/>
        <v>#REF!</v>
      </c>
      <c r="CX33" s="14" t="e">
        <f t="shared" si="60"/>
        <v>#REF!</v>
      </c>
      <c r="CY33" s="14" t="e">
        <f t="shared" si="61"/>
        <v>#REF!</v>
      </c>
      <c r="CZ33" s="14" t="e">
        <f t="shared" si="62"/>
        <v>#REF!</v>
      </c>
      <c r="DA33" s="83">
        <v>0</v>
      </c>
      <c r="DB33" s="83">
        <v>0</v>
      </c>
      <c r="DC33" s="14">
        <f t="shared" si="105"/>
        <v>0</v>
      </c>
      <c r="DD33" s="14">
        <f t="shared" si="106"/>
        <v>0</v>
      </c>
      <c r="DE33" s="14">
        <f t="shared" si="107"/>
        <v>0</v>
      </c>
      <c r="DF33" s="14">
        <f t="shared" si="108"/>
        <v>0</v>
      </c>
      <c r="DG33" s="83"/>
      <c r="DH33" s="83"/>
      <c r="DI33" s="83"/>
      <c r="DJ33" s="83"/>
      <c r="DK33" s="14" t="e">
        <f>CW33-SUM(DC$7:DC33)+SUM(DG$7:DG33)</f>
        <v>#REF!</v>
      </c>
      <c r="DL33" s="14" t="e">
        <f>CX33-SUM(DD$7:DD33)+SUM(DH$7:DH33)</f>
        <v>#REF!</v>
      </c>
      <c r="DM33" s="14" t="e">
        <f>CY33-SUM(DE$7:DE33)+SUM(DI$7:DI33)</f>
        <v>#REF!</v>
      </c>
      <c r="DN33" s="14" t="e">
        <f>CZ33-SUM(DF$7:DF33)+SUM(DJ$7:DJ33)</f>
        <v>#REF!</v>
      </c>
      <c r="DQ33" s="95">
        <v>28</v>
      </c>
      <c r="DR33" s="14">
        <f t="shared" si="67"/>
        <v>4</v>
      </c>
      <c r="DS33" s="14">
        <f t="shared" si="68"/>
        <v>1</v>
      </c>
      <c r="DT33" s="14">
        <f t="shared" si="113"/>
        <v>0</v>
      </c>
      <c r="DU33" s="14">
        <f t="shared" si="113"/>
        <v>13.112631578947372</v>
      </c>
      <c r="DV33" s="14">
        <f t="shared" si="113"/>
        <v>4.9407017543859659</v>
      </c>
      <c r="DW33" s="14">
        <f t="shared" si="113"/>
        <v>0</v>
      </c>
      <c r="DX33" s="14">
        <f t="shared" si="69"/>
        <v>2</v>
      </c>
      <c r="DY33" s="14">
        <f t="shared" si="70"/>
        <v>3</v>
      </c>
      <c r="EF33" s="139">
        <v>28</v>
      </c>
      <c r="EG33" s="14">
        <f t="shared" si="72"/>
        <v>4</v>
      </c>
      <c r="EH33" s="19">
        <v>0.02</v>
      </c>
      <c r="EI33" s="139">
        <v>3</v>
      </c>
      <c r="EJ33" s="139" t="s">
        <v>958</v>
      </c>
      <c r="EK33" s="139">
        <f t="shared" si="73"/>
        <v>730</v>
      </c>
      <c r="EL33" s="139" t="s">
        <v>866</v>
      </c>
      <c r="EM33" s="139">
        <f>ROUND(EO33*DU33/DV33,0)</f>
        <v>3</v>
      </c>
      <c r="EN33" s="139" t="s">
        <v>867</v>
      </c>
      <c r="EO33" s="139">
        <v>1</v>
      </c>
      <c r="EP33" s="139">
        <f t="shared" si="20"/>
        <v>0.2</v>
      </c>
      <c r="EQ33" s="139">
        <v>1</v>
      </c>
      <c r="ER33" s="139">
        <f t="shared" si="74"/>
        <v>7</v>
      </c>
      <c r="ES33" s="139"/>
      <c r="ET33" s="139">
        <f t="shared" ref="ET33:ET50" si="115">DV33/EO33</f>
        <v>4.9407017543859659</v>
      </c>
      <c r="EV33">
        <v>0</v>
      </c>
      <c r="EW33">
        <v>1</v>
      </c>
      <c r="EX33">
        <f t="shared" si="22"/>
        <v>2</v>
      </c>
      <c r="EY33" s="89">
        <f t="shared" si="23"/>
        <v>0.1012</v>
      </c>
      <c r="EZ33">
        <v>1</v>
      </c>
      <c r="FA33">
        <f t="shared" si="24"/>
        <v>3</v>
      </c>
      <c r="FB33" s="89">
        <f t="shared" si="25"/>
        <v>0.40479999999999999</v>
      </c>
      <c r="FC33">
        <v>1</v>
      </c>
      <c r="FD33">
        <f t="shared" si="26"/>
        <v>7</v>
      </c>
      <c r="FN33" s="101">
        <v>28</v>
      </c>
      <c r="FO33" s="101">
        <f t="shared" si="75"/>
        <v>25</v>
      </c>
      <c r="FP33" s="101">
        <f t="shared" si="76"/>
        <v>1</v>
      </c>
      <c r="FQ33" s="14">
        <f t="shared" si="77"/>
        <v>5</v>
      </c>
      <c r="FR33" s="101" t="str">
        <f t="shared" si="78"/>
        <v>关羽专属武器-魂珠-3 7级</v>
      </c>
      <c r="FS33" s="101">
        <f t="shared" si="79"/>
        <v>3</v>
      </c>
      <c r="FT33" s="101">
        <f t="shared" si="80"/>
        <v>7</v>
      </c>
      <c r="FU33" s="101" t="str">
        <f t="shared" si="81"/>
        <v>金币</v>
      </c>
      <c r="FV33" s="139">
        <f>IF($FT33&gt;0,IF(INDEX($EI$6:$EI$77,$FO33)&gt;=FV$3,ROUND(INDEX(EK$6:EK$77,$FO33)*INDEX(卡牌消耗!$B$8:$F$8,FQ33)/5,0)*5,""),"")</f>
        <v>2650</v>
      </c>
      <c r="FW33" s="101" t="str">
        <f t="shared" si="82"/>
        <v>专属强化石1</v>
      </c>
      <c r="FX33" s="101">
        <f t="shared" si="83"/>
        <v>12</v>
      </c>
      <c r="FY33" s="101" t="str">
        <f t="shared" si="84"/>
        <v>专属强化石2</v>
      </c>
      <c r="FZ33" s="101">
        <f t="shared" si="85"/>
        <v>6</v>
      </c>
      <c r="GA33" s="101">
        <f t="shared" si="86"/>
        <v>0.04</v>
      </c>
      <c r="GB33" s="101">
        <f t="shared" si="87"/>
        <v>1</v>
      </c>
      <c r="GC33" s="101">
        <f t="shared" si="88"/>
        <v>34</v>
      </c>
      <c r="GD33" s="101">
        <f t="shared" si="89"/>
        <v>0</v>
      </c>
      <c r="GE33" s="101">
        <f t="shared" si="90"/>
        <v>1</v>
      </c>
      <c r="GF33" s="101">
        <f t="shared" si="91"/>
        <v>8</v>
      </c>
      <c r="GG33" s="101">
        <f t="shared" si="92"/>
        <v>2.1999999999999999E-2</v>
      </c>
      <c r="GH33" s="101">
        <f t="shared" si="93"/>
        <v>1</v>
      </c>
      <c r="GI33" s="101">
        <f t="shared" si="94"/>
        <v>16</v>
      </c>
      <c r="GJ33" s="101">
        <f t="shared" si="95"/>
        <v>8.8099999999999998E-2</v>
      </c>
      <c r="GK33" s="101">
        <f t="shared" si="96"/>
        <v>1</v>
      </c>
      <c r="GL33" s="101">
        <f t="shared" si="97"/>
        <v>34</v>
      </c>
    </row>
    <row r="34" spans="81:194" ht="16.5" x14ac:dyDescent="0.2">
      <c r="CC34" s="81">
        <v>29</v>
      </c>
      <c r="CD34" s="81" t="e">
        <f>INDEX(节奏总表!#REF!,MATCH(专属武器强化!CC34,节奏总表!#REF!,1))</f>
        <v>#REF!</v>
      </c>
      <c r="CE34" s="81"/>
      <c r="CF34" s="81" t="e">
        <f t="shared" si="12"/>
        <v>#REF!</v>
      </c>
      <c r="CG34" s="14" t="e">
        <f t="shared" si="13"/>
        <v>#REF!</v>
      </c>
      <c r="CH34" s="14" t="e">
        <f t="shared" si="14"/>
        <v>#REF!</v>
      </c>
      <c r="CI34" s="14" t="e">
        <f t="shared" si="15"/>
        <v>#REF!</v>
      </c>
      <c r="CJ34" s="14" t="e">
        <f t="shared" si="16"/>
        <v>#REF!</v>
      </c>
      <c r="CK34" s="14"/>
      <c r="CL34" s="14"/>
      <c r="CM34" s="14"/>
      <c r="CN34" s="14"/>
      <c r="CO34" s="14" t="e">
        <f>SUM(CG$6:CG34)</f>
        <v>#REF!</v>
      </c>
      <c r="CP34" s="14" t="e">
        <f>SUM(CH$6:CH34)</f>
        <v>#REF!</v>
      </c>
      <c r="CQ34" s="14" t="e">
        <f>SUM(CI$6:CI34)</f>
        <v>#REF!</v>
      </c>
      <c r="CR34" s="14" t="e">
        <f>SUM(CJ$6:CJ34)</f>
        <v>#REF!</v>
      </c>
      <c r="CU34" s="83">
        <v>21</v>
      </c>
      <c r="CV34" s="14" t="e">
        <f>INDEX(节奏总表!#REF!,专属武器强化!CU34)</f>
        <v>#REF!</v>
      </c>
      <c r="CW34" s="14" t="e">
        <f t="shared" si="17"/>
        <v>#REF!</v>
      </c>
      <c r="CX34" s="14" t="e">
        <f t="shared" si="60"/>
        <v>#REF!</v>
      </c>
      <c r="CY34" s="14" t="e">
        <f t="shared" si="61"/>
        <v>#REF!</v>
      </c>
      <c r="CZ34" s="14" t="e">
        <f t="shared" si="62"/>
        <v>#REF!</v>
      </c>
      <c r="DA34" s="83">
        <v>4</v>
      </c>
      <c r="DB34" s="83">
        <v>4</v>
      </c>
      <c r="DC34" s="14">
        <f t="shared" si="105"/>
        <v>0</v>
      </c>
      <c r="DD34" s="14">
        <f t="shared" si="106"/>
        <v>196.68947368421058</v>
      </c>
      <c r="DE34" s="14">
        <f t="shared" si="107"/>
        <v>74.1105263157895</v>
      </c>
      <c r="DF34" s="14">
        <f t="shared" si="108"/>
        <v>0</v>
      </c>
      <c r="DG34" s="83"/>
      <c r="DH34" s="83"/>
      <c r="DI34" s="83">
        <v>10</v>
      </c>
      <c r="DJ34" s="83"/>
      <c r="DK34" s="14" t="e">
        <f>CW34-SUM(DC$7:DC34)+SUM(DG$7:DG34)</f>
        <v>#REF!</v>
      </c>
      <c r="DL34" s="14" t="e">
        <f>CX34-SUM(DD$7:DD34)+SUM(DH$7:DH34)</f>
        <v>#REF!</v>
      </c>
      <c r="DM34" s="14" t="e">
        <f>CY34-SUM(DE$7:DE34)+SUM(DI$7:DI34)</f>
        <v>#REF!</v>
      </c>
      <c r="DN34" s="14" t="e">
        <f>CZ34-SUM(DF$7:DF34)+SUM(DJ$7:DJ34)</f>
        <v>#REF!</v>
      </c>
      <c r="DQ34" s="95">
        <v>29</v>
      </c>
      <c r="DR34" s="14">
        <f t="shared" si="67"/>
        <v>4</v>
      </c>
      <c r="DS34" s="14">
        <f t="shared" si="68"/>
        <v>2</v>
      </c>
      <c r="DT34" s="14">
        <f t="shared" si="113"/>
        <v>0</v>
      </c>
      <c r="DU34" s="14">
        <f t="shared" si="113"/>
        <v>26.225263157894744</v>
      </c>
      <c r="DV34" s="14">
        <f t="shared" si="113"/>
        <v>9.8814035087719319</v>
      </c>
      <c r="DW34" s="14">
        <f t="shared" si="113"/>
        <v>0</v>
      </c>
      <c r="DX34" s="14">
        <f t="shared" si="69"/>
        <v>2</v>
      </c>
      <c r="DY34" s="14">
        <f t="shared" si="70"/>
        <v>3</v>
      </c>
      <c r="EF34" s="139">
        <v>29</v>
      </c>
      <c r="EG34" s="14">
        <f t="shared" si="72"/>
        <v>4</v>
      </c>
      <c r="EH34" s="19">
        <v>0.03</v>
      </c>
      <c r="EI34" s="139">
        <v>3</v>
      </c>
      <c r="EJ34" s="139" t="s">
        <v>958</v>
      </c>
      <c r="EK34" s="139">
        <f t="shared" si="73"/>
        <v>547</v>
      </c>
      <c r="EL34" s="139" t="s">
        <v>866</v>
      </c>
      <c r="EM34" s="139">
        <f>ROUND(EO34*DU34/DV34,0)</f>
        <v>3</v>
      </c>
      <c r="EN34" s="139" t="s">
        <v>867</v>
      </c>
      <c r="EO34" s="139">
        <v>1</v>
      </c>
      <c r="EP34" s="139">
        <f t="shared" si="20"/>
        <v>0.1</v>
      </c>
      <c r="EQ34" s="139">
        <v>1</v>
      </c>
      <c r="ER34" s="139">
        <f t="shared" si="74"/>
        <v>15</v>
      </c>
      <c r="ES34" s="139"/>
      <c r="ET34" s="139">
        <f t="shared" si="115"/>
        <v>9.8814035087719319</v>
      </c>
      <c r="EV34">
        <v>0</v>
      </c>
      <c r="EW34">
        <v>1</v>
      </c>
      <c r="EX34">
        <f t="shared" si="22"/>
        <v>3</v>
      </c>
      <c r="EY34" s="89">
        <f t="shared" si="23"/>
        <v>5.0599999999999999E-2</v>
      </c>
      <c r="EZ34">
        <v>1</v>
      </c>
      <c r="FA34">
        <f t="shared" si="24"/>
        <v>7</v>
      </c>
      <c r="FB34" s="89">
        <f t="shared" si="25"/>
        <v>0.2024</v>
      </c>
      <c r="FC34">
        <v>1</v>
      </c>
      <c r="FD34">
        <f t="shared" si="26"/>
        <v>15</v>
      </c>
      <c r="FN34" s="101">
        <v>29</v>
      </c>
      <c r="FO34" s="101">
        <f t="shared" si="75"/>
        <v>26</v>
      </c>
      <c r="FP34" s="101">
        <f t="shared" si="76"/>
        <v>1</v>
      </c>
      <c r="FQ34" s="14">
        <f t="shared" si="77"/>
        <v>5</v>
      </c>
      <c r="FR34" s="101" t="str">
        <f t="shared" si="78"/>
        <v>关羽专属武器-魂珠-3 8级</v>
      </c>
      <c r="FS34" s="101">
        <f t="shared" si="79"/>
        <v>3</v>
      </c>
      <c r="FT34" s="101">
        <f t="shared" si="80"/>
        <v>8</v>
      </c>
      <c r="FU34" s="101" t="str">
        <f t="shared" si="81"/>
        <v>金币</v>
      </c>
      <c r="FV34" s="139">
        <f>IF($FT34&gt;0,IF(INDEX($EI$6:$EI$77,$FO34)&gt;=FV$3,ROUND(INDEX(EK$6:EK$77,$FO34)*INDEX(卡牌消耗!$B$8:$F$8,FQ34)/5,0)*5,""),"")</f>
        <v>3530</v>
      </c>
      <c r="FW34" s="101" t="str">
        <f t="shared" si="82"/>
        <v>专属强化石1</v>
      </c>
      <c r="FX34" s="101">
        <f t="shared" si="83"/>
        <v>16</v>
      </c>
      <c r="FY34" s="101" t="str">
        <f t="shared" si="84"/>
        <v>专属强化石2</v>
      </c>
      <c r="FZ34" s="101">
        <f t="shared" si="85"/>
        <v>8</v>
      </c>
      <c r="GA34" s="101">
        <f t="shared" si="86"/>
        <v>0.04</v>
      </c>
      <c r="GB34" s="101">
        <f t="shared" si="87"/>
        <v>1</v>
      </c>
      <c r="GC34" s="101">
        <f t="shared" si="88"/>
        <v>41</v>
      </c>
      <c r="GD34" s="101">
        <f t="shared" si="89"/>
        <v>0</v>
      </c>
      <c r="GE34" s="101">
        <f t="shared" si="90"/>
        <v>1</v>
      </c>
      <c r="GF34" s="101">
        <f t="shared" si="91"/>
        <v>10</v>
      </c>
      <c r="GG34" s="101">
        <f t="shared" si="92"/>
        <v>1.8100000000000002E-2</v>
      </c>
      <c r="GH34" s="101">
        <f t="shared" si="93"/>
        <v>1</v>
      </c>
      <c r="GI34" s="101">
        <f t="shared" si="94"/>
        <v>19</v>
      </c>
      <c r="GJ34" s="101">
        <f t="shared" si="95"/>
        <v>7.2499999999999995E-2</v>
      </c>
      <c r="GK34" s="101">
        <f t="shared" si="96"/>
        <v>1</v>
      </c>
      <c r="GL34" s="101">
        <f t="shared" si="97"/>
        <v>41</v>
      </c>
    </row>
    <row r="35" spans="81:194" ht="16.5" x14ac:dyDescent="0.2">
      <c r="CC35" s="81">
        <v>30</v>
      </c>
      <c r="CD35" s="81" t="e">
        <f>INDEX(节奏总表!#REF!,MATCH(专属武器强化!CC35,节奏总表!#REF!,1))</f>
        <v>#REF!</v>
      </c>
      <c r="CE35" s="81"/>
      <c r="CF35" s="81" t="e">
        <f t="shared" si="12"/>
        <v>#REF!</v>
      </c>
      <c r="CG35" s="14" t="e">
        <f t="shared" si="13"/>
        <v>#REF!</v>
      </c>
      <c r="CH35" s="14" t="e">
        <f t="shared" si="14"/>
        <v>#REF!</v>
      </c>
      <c r="CI35" s="14" t="e">
        <f t="shared" si="15"/>
        <v>#REF!</v>
      </c>
      <c r="CJ35" s="14" t="e">
        <f t="shared" si="16"/>
        <v>#REF!</v>
      </c>
      <c r="CK35" s="14"/>
      <c r="CL35" s="14"/>
      <c r="CM35" s="14"/>
      <c r="CN35" s="14"/>
      <c r="CO35" s="14" t="e">
        <f>SUM(CG$6:CG35)</f>
        <v>#REF!</v>
      </c>
      <c r="CP35" s="14" t="e">
        <f>SUM(CH$6:CH35)</f>
        <v>#REF!</v>
      </c>
      <c r="CQ35" s="14" t="e">
        <f>SUM(CI$6:CI35)</f>
        <v>#REF!</v>
      </c>
      <c r="CR35" s="14" t="e">
        <f>SUM(CJ$6:CJ35)</f>
        <v>#REF!</v>
      </c>
      <c r="CU35" s="83">
        <v>22</v>
      </c>
      <c r="CV35" s="14" t="e">
        <f>INDEX(节奏总表!#REF!,专属武器强化!CU35)</f>
        <v>#REF!</v>
      </c>
      <c r="CW35" s="14" t="e">
        <f t="shared" si="17"/>
        <v>#REF!</v>
      </c>
      <c r="CX35" s="14" t="e">
        <f t="shared" si="60"/>
        <v>#REF!</v>
      </c>
      <c r="CY35" s="14" t="e">
        <f t="shared" si="61"/>
        <v>#REF!</v>
      </c>
      <c r="CZ35" s="14" t="e">
        <f t="shared" si="62"/>
        <v>#REF!</v>
      </c>
      <c r="DA35" s="83">
        <v>2</v>
      </c>
      <c r="DB35" s="83">
        <v>7</v>
      </c>
      <c r="DC35" s="14">
        <f t="shared" si="105"/>
        <v>490.4943750000001</v>
      </c>
      <c r="DD35" s="14">
        <f t="shared" si="106"/>
        <v>163.49812500000004</v>
      </c>
      <c r="DE35" s="14">
        <f t="shared" si="107"/>
        <v>0</v>
      </c>
      <c r="DF35" s="14">
        <f t="shared" si="108"/>
        <v>0</v>
      </c>
      <c r="DG35" s="83"/>
      <c r="DH35" s="83"/>
      <c r="DI35" s="83"/>
      <c r="DJ35" s="83"/>
      <c r="DK35" s="14" t="e">
        <f>CW35-SUM(DC$7:DC35)+SUM(DG$7:DG35)</f>
        <v>#REF!</v>
      </c>
      <c r="DL35" s="14" t="e">
        <f>CX35-SUM(DD$7:DD35)+SUM(DH$7:DH35)</f>
        <v>#REF!</v>
      </c>
      <c r="DM35" s="14" t="e">
        <f>CY35-SUM(DE$7:DE35)+SUM(DI$7:DI35)</f>
        <v>#REF!</v>
      </c>
      <c r="DN35" s="14" t="e">
        <f>CZ35-SUM(DF$7:DF35)+SUM(DJ$7:DJ35)</f>
        <v>#REF!</v>
      </c>
      <c r="DQ35" s="95">
        <v>30</v>
      </c>
      <c r="DR35" s="14">
        <f t="shared" si="67"/>
        <v>4</v>
      </c>
      <c r="DS35" s="14">
        <f t="shared" si="68"/>
        <v>3</v>
      </c>
      <c r="DT35" s="14">
        <f t="shared" si="113"/>
        <v>0</v>
      </c>
      <c r="DU35" s="14">
        <f t="shared" si="113"/>
        <v>39.337894736842117</v>
      </c>
      <c r="DV35" s="14">
        <f t="shared" si="113"/>
        <v>14.822105263157896</v>
      </c>
      <c r="DW35" s="14">
        <f t="shared" si="113"/>
        <v>0</v>
      </c>
      <c r="DX35" s="14">
        <f t="shared" si="69"/>
        <v>2</v>
      </c>
      <c r="DY35" s="14">
        <f t="shared" si="70"/>
        <v>3</v>
      </c>
      <c r="EF35" s="139">
        <v>30</v>
      </c>
      <c r="EG35" s="14">
        <f t="shared" si="72"/>
        <v>4</v>
      </c>
      <c r="EH35" s="19">
        <f t="shared" ref="EH35" si="116">EH33+EH34</f>
        <v>0.05</v>
      </c>
      <c r="EI35" s="139">
        <v>3</v>
      </c>
      <c r="EJ35" s="139" t="s">
        <v>958</v>
      </c>
      <c r="EK35" s="139">
        <f t="shared" si="73"/>
        <v>608</v>
      </c>
      <c r="EL35" s="139" t="s">
        <v>866</v>
      </c>
      <c r="EM35" s="139">
        <f t="shared" ref="EM35:EM50" si="117">ROUND(EO35*DU35/DV35,0)</f>
        <v>3</v>
      </c>
      <c r="EN35" s="139" t="s">
        <v>867</v>
      </c>
      <c r="EO35" s="139">
        <v>1</v>
      </c>
      <c r="EP35" s="139">
        <f t="shared" si="20"/>
        <v>7.0000000000000007E-2</v>
      </c>
      <c r="EQ35" s="139">
        <v>1</v>
      </c>
      <c r="ER35" s="139">
        <f t="shared" si="74"/>
        <v>22</v>
      </c>
      <c r="ES35" s="139"/>
      <c r="ET35" s="139">
        <f t="shared" si="115"/>
        <v>14.822105263157896</v>
      </c>
      <c r="EV35">
        <v>0</v>
      </c>
      <c r="EW35">
        <v>1</v>
      </c>
      <c r="EX35">
        <f t="shared" si="22"/>
        <v>5</v>
      </c>
      <c r="EY35" s="89">
        <f t="shared" si="23"/>
        <v>3.3700000000000001E-2</v>
      </c>
      <c r="EZ35">
        <v>1</v>
      </c>
      <c r="FA35">
        <f t="shared" si="24"/>
        <v>10</v>
      </c>
      <c r="FB35" s="89">
        <f t="shared" si="25"/>
        <v>0.13489999999999999</v>
      </c>
      <c r="FC35">
        <v>1</v>
      </c>
      <c r="FD35">
        <f t="shared" si="26"/>
        <v>22</v>
      </c>
      <c r="FN35" s="101">
        <v>30</v>
      </c>
      <c r="FO35" s="101">
        <f t="shared" si="75"/>
        <v>27</v>
      </c>
      <c r="FP35" s="101">
        <f t="shared" si="76"/>
        <v>1</v>
      </c>
      <c r="FQ35" s="14">
        <f t="shared" si="77"/>
        <v>5</v>
      </c>
      <c r="FR35" s="101" t="str">
        <f t="shared" si="78"/>
        <v>关羽专属武器-魂珠-3 9级</v>
      </c>
      <c r="FS35" s="101">
        <f t="shared" si="79"/>
        <v>3</v>
      </c>
      <c r="FT35" s="101">
        <f t="shared" si="80"/>
        <v>9</v>
      </c>
      <c r="FU35" s="101" t="str">
        <f t="shared" si="81"/>
        <v>金币</v>
      </c>
      <c r="FV35" s="139">
        <f>IF($FT35&gt;0,IF(INDEX($EI$6:$EI$77,$FO35)&gt;=FV$3,ROUND(INDEX(EK$6:EK$77,$FO35)*INDEX(卡牌消耗!$B$8:$F$8,FQ35)/5,0)*5,""),"")</f>
        <v>4415</v>
      </c>
      <c r="FW35" s="101" t="str">
        <f t="shared" si="82"/>
        <v>专属强化石1</v>
      </c>
      <c r="FX35" s="101">
        <f t="shared" si="83"/>
        <v>20</v>
      </c>
      <c r="FY35" s="101" t="str">
        <f t="shared" si="84"/>
        <v>专属强化石2</v>
      </c>
      <c r="FZ35" s="101">
        <f t="shared" si="85"/>
        <v>10</v>
      </c>
      <c r="GA35" s="101">
        <f t="shared" si="86"/>
        <v>0.03</v>
      </c>
      <c r="GB35" s="101">
        <f t="shared" si="87"/>
        <v>1</v>
      </c>
      <c r="GC35" s="101">
        <f t="shared" si="88"/>
        <v>54</v>
      </c>
      <c r="GD35" s="101">
        <f t="shared" si="89"/>
        <v>0</v>
      </c>
      <c r="GE35" s="101">
        <f t="shared" si="90"/>
        <v>1</v>
      </c>
      <c r="GF35" s="101">
        <f t="shared" si="91"/>
        <v>12</v>
      </c>
      <c r="GG35" s="101">
        <f t="shared" si="92"/>
        <v>1.4E-2</v>
      </c>
      <c r="GH35" s="101">
        <f t="shared" si="93"/>
        <v>1</v>
      </c>
      <c r="GI35" s="101">
        <f t="shared" si="94"/>
        <v>25</v>
      </c>
      <c r="GJ35" s="101">
        <f t="shared" si="95"/>
        <v>5.6000000000000001E-2</v>
      </c>
      <c r="GK35" s="101">
        <f t="shared" si="96"/>
        <v>1</v>
      </c>
      <c r="GL35" s="101">
        <f t="shared" si="97"/>
        <v>54</v>
      </c>
    </row>
    <row r="36" spans="81:194" ht="16.5" x14ac:dyDescent="0.2">
      <c r="CC36" s="81">
        <v>31</v>
      </c>
      <c r="CD36" s="81" t="e">
        <f>INDEX(节奏总表!#REF!,MATCH(专属武器强化!CC36,节奏总表!#REF!,1))</f>
        <v>#REF!</v>
      </c>
      <c r="CE36" s="81"/>
      <c r="CF36" s="81" t="e">
        <f t="shared" si="12"/>
        <v>#REF!</v>
      </c>
      <c r="CG36" s="14" t="e">
        <f t="shared" si="13"/>
        <v>#REF!</v>
      </c>
      <c r="CH36" s="14" t="e">
        <f t="shared" si="14"/>
        <v>#REF!</v>
      </c>
      <c r="CI36" s="14" t="e">
        <f t="shared" si="15"/>
        <v>#REF!</v>
      </c>
      <c r="CJ36" s="14" t="e">
        <f t="shared" si="16"/>
        <v>#REF!</v>
      </c>
      <c r="CK36" s="14"/>
      <c r="CL36" s="14"/>
      <c r="CM36" s="14"/>
      <c r="CN36" s="14"/>
      <c r="CO36" s="14" t="e">
        <f>SUM(CG$6:CG36)</f>
        <v>#REF!</v>
      </c>
      <c r="CP36" s="14" t="e">
        <f>SUM(CH$6:CH36)</f>
        <v>#REF!</v>
      </c>
      <c r="CQ36" s="14" t="e">
        <f>SUM(CI$6:CI36)</f>
        <v>#REF!</v>
      </c>
      <c r="CR36" s="14" t="e">
        <f>SUM(CJ$6:CJ36)</f>
        <v>#REF!</v>
      </c>
      <c r="CU36" s="83">
        <v>22</v>
      </c>
      <c r="CV36" s="14" t="e">
        <f>INDEX(节奏总表!#REF!,专属武器强化!CU36)</f>
        <v>#REF!</v>
      </c>
      <c r="CW36" s="14" t="e">
        <f t="shared" si="17"/>
        <v>#REF!</v>
      </c>
      <c r="CX36" s="14" t="e">
        <f t="shared" si="60"/>
        <v>#REF!</v>
      </c>
      <c r="CY36" s="14" t="e">
        <f t="shared" si="61"/>
        <v>#REF!</v>
      </c>
      <c r="CZ36" s="14" t="e">
        <f t="shared" si="62"/>
        <v>#REF!</v>
      </c>
      <c r="DA36" s="83">
        <v>5</v>
      </c>
      <c r="DB36" s="83">
        <v>1</v>
      </c>
      <c r="DC36" s="14">
        <f t="shared" si="105"/>
        <v>0</v>
      </c>
      <c r="DD36" s="14">
        <f t="shared" si="106"/>
        <v>45.894210526315796</v>
      </c>
      <c r="DE36" s="14">
        <f t="shared" si="107"/>
        <v>29.644210526315796</v>
      </c>
      <c r="DF36" s="14">
        <f t="shared" si="108"/>
        <v>0</v>
      </c>
      <c r="DG36" s="83"/>
      <c r="DH36" s="83"/>
      <c r="DI36" s="83">
        <v>6</v>
      </c>
      <c r="DJ36" s="83"/>
      <c r="DK36" s="14" t="e">
        <f>CW36-SUM(DC$7:DC36)+SUM(DG$7:DG36)</f>
        <v>#REF!</v>
      </c>
      <c r="DL36" s="14" t="e">
        <f>CX36-SUM(DD$7:DD36)+SUM(DH$7:DH36)</f>
        <v>#REF!</v>
      </c>
      <c r="DM36" s="14" t="e">
        <f>CY36-SUM(DE$7:DE36)+SUM(DI$7:DI36)</f>
        <v>#REF!</v>
      </c>
      <c r="DN36" s="14" t="e">
        <f>CZ36-SUM(DF$7:DF36)+SUM(DJ$7:DJ36)</f>
        <v>#REF!</v>
      </c>
      <c r="DQ36" s="95">
        <v>31</v>
      </c>
      <c r="DR36" s="14">
        <f t="shared" si="67"/>
        <v>4</v>
      </c>
      <c r="DS36" s="14">
        <f t="shared" si="68"/>
        <v>4</v>
      </c>
      <c r="DT36" s="14">
        <f t="shared" si="113"/>
        <v>0</v>
      </c>
      <c r="DU36" s="14">
        <f t="shared" si="113"/>
        <v>65.563157894736861</v>
      </c>
      <c r="DV36" s="14">
        <f t="shared" si="113"/>
        <v>24.703508771929833</v>
      </c>
      <c r="DW36" s="14">
        <f t="shared" si="113"/>
        <v>0</v>
      </c>
      <c r="DX36" s="14">
        <f t="shared" si="69"/>
        <v>2</v>
      </c>
      <c r="DY36" s="14">
        <f t="shared" si="70"/>
        <v>3</v>
      </c>
      <c r="EF36" s="139">
        <v>31</v>
      </c>
      <c r="EG36" s="14">
        <f t="shared" si="72"/>
        <v>4</v>
      </c>
      <c r="EH36" s="19">
        <f t="shared" si="114"/>
        <v>0.08</v>
      </c>
      <c r="EI36" s="139">
        <v>3</v>
      </c>
      <c r="EJ36" s="139" t="s">
        <v>958</v>
      </c>
      <c r="EK36" s="139">
        <f t="shared" si="73"/>
        <v>1167</v>
      </c>
      <c r="EL36" s="139" t="s">
        <v>866</v>
      </c>
      <c r="EM36" s="139">
        <f t="shared" si="117"/>
        <v>5</v>
      </c>
      <c r="EN36" s="139" t="s">
        <v>867</v>
      </c>
      <c r="EO36" s="139">
        <v>2</v>
      </c>
      <c r="EP36" s="139">
        <f t="shared" si="20"/>
        <v>0.08</v>
      </c>
      <c r="EQ36" s="139">
        <v>1</v>
      </c>
      <c r="ER36" s="139">
        <f t="shared" si="74"/>
        <v>19</v>
      </c>
      <c r="ES36" s="139"/>
      <c r="ET36" s="139">
        <f t="shared" si="115"/>
        <v>12.351754385964917</v>
      </c>
      <c r="EV36">
        <v>0</v>
      </c>
      <c r="EW36">
        <v>1</v>
      </c>
      <c r="EX36">
        <f t="shared" si="22"/>
        <v>4</v>
      </c>
      <c r="EY36" s="89">
        <f t="shared" si="23"/>
        <v>4.0500000000000001E-2</v>
      </c>
      <c r="EZ36">
        <v>1</v>
      </c>
      <c r="FA36">
        <f t="shared" si="24"/>
        <v>9</v>
      </c>
      <c r="FB36" s="89">
        <f t="shared" si="25"/>
        <v>0.16189999999999999</v>
      </c>
      <c r="FC36">
        <v>1</v>
      </c>
      <c r="FD36">
        <f t="shared" si="26"/>
        <v>19</v>
      </c>
      <c r="FN36" s="101">
        <v>31</v>
      </c>
      <c r="FO36" s="101">
        <f t="shared" si="75"/>
        <v>0</v>
      </c>
      <c r="FP36" s="101">
        <f t="shared" si="76"/>
        <v>1</v>
      </c>
      <c r="FQ36" s="14">
        <f t="shared" si="77"/>
        <v>5</v>
      </c>
      <c r="FR36" s="101" t="str">
        <f t="shared" si="78"/>
        <v>关羽专属武器-魂珠-4 0级</v>
      </c>
      <c r="FS36" s="101">
        <f t="shared" si="79"/>
        <v>4</v>
      </c>
      <c r="FT36" s="101">
        <f t="shared" si="80"/>
        <v>0</v>
      </c>
      <c r="FU36" s="101" t="str">
        <f t="shared" si="81"/>
        <v/>
      </c>
      <c r="FV36" s="139" t="str">
        <f>IF($FT36&gt;0,IF(INDEX($EI$6:$EI$77,$FO36)&gt;=FV$3,ROUND(INDEX(EK$6:EK$77,$FO36)*INDEX(卡牌消耗!$B$8:$F$8,FQ36)/5,0)*5,""),"")</f>
        <v/>
      </c>
      <c r="FW36" s="101" t="str">
        <f t="shared" si="82"/>
        <v/>
      </c>
      <c r="FX36" s="101" t="str">
        <f t="shared" si="83"/>
        <v/>
      </c>
      <c r="FY36" s="101" t="str">
        <f t="shared" si="84"/>
        <v/>
      </c>
      <c r="FZ36" s="101" t="str">
        <f t="shared" si="85"/>
        <v/>
      </c>
      <c r="GA36" s="101" t="str">
        <f t="shared" si="86"/>
        <v/>
      </c>
      <c r="GB36" s="101" t="str">
        <f t="shared" si="87"/>
        <v/>
      </c>
      <c r="GC36" s="101" t="str">
        <f t="shared" si="88"/>
        <v/>
      </c>
      <c r="GD36" s="101" t="str">
        <f t="shared" si="89"/>
        <v/>
      </c>
      <c r="GE36" s="101" t="str">
        <f t="shared" si="90"/>
        <v/>
      </c>
      <c r="GF36" s="101" t="str">
        <f t="shared" si="91"/>
        <v/>
      </c>
      <c r="GG36" s="101" t="str">
        <f t="shared" si="92"/>
        <v/>
      </c>
      <c r="GH36" s="101" t="str">
        <f t="shared" si="93"/>
        <v/>
      </c>
      <c r="GI36" s="101" t="str">
        <f t="shared" si="94"/>
        <v/>
      </c>
      <c r="GJ36" s="101" t="str">
        <f t="shared" si="95"/>
        <v/>
      </c>
      <c r="GK36" s="101" t="str">
        <f t="shared" si="96"/>
        <v/>
      </c>
      <c r="GL36" s="101" t="str">
        <f t="shared" si="97"/>
        <v/>
      </c>
    </row>
    <row r="37" spans="81:194" ht="16.5" x14ac:dyDescent="0.2">
      <c r="CC37" s="81">
        <v>32</v>
      </c>
      <c r="CD37" s="81" t="e">
        <f>INDEX(节奏总表!#REF!,MATCH(专属武器强化!CC37,节奏总表!#REF!,1))</f>
        <v>#REF!</v>
      </c>
      <c r="CE37" s="81"/>
      <c r="CF37" s="81" t="e">
        <f t="shared" si="12"/>
        <v>#REF!</v>
      </c>
      <c r="CG37" s="14" t="e">
        <f t="shared" si="13"/>
        <v>#REF!</v>
      </c>
      <c r="CH37" s="14" t="e">
        <f t="shared" si="14"/>
        <v>#REF!</v>
      </c>
      <c r="CI37" s="14" t="e">
        <f t="shared" si="15"/>
        <v>#REF!</v>
      </c>
      <c r="CJ37" s="14" t="e">
        <f t="shared" si="16"/>
        <v>#REF!</v>
      </c>
      <c r="CK37" s="14"/>
      <c r="CL37" s="14"/>
      <c r="CM37" s="14"/>
      <c r="CN37" s="14"/>
      <c r="CO37" s="14" t="e">
        <f>SUM(CG$6:CG37)</f>
        <v>#REF!</v>
      </c>
      <c r="CP37" s="14" t="e">
        <f>SUM(CH$6:CH37)</f>
        <v>#REF!</v>
      </c>
      <c r="CQ37" s="14" t="e">
        <f>SUM(CI$6:CI37)</f>
        <v>#REF!</v>
      </c>
      <c r="CR37" s="14" t="e">
        <f>SUM(CJ$6:CJ37)</f>
        <v>#REF!</v>
      </c>
      <c r="CU37" s="83">
        <v>23</v>
      </c>
      <c r="CV37" s="14" t="e">
        <f>INDEX(节奏总表!#REF!,专属武器强化!CU37)</f>
        <v>#REF!</v>
      </c>
      <c r="CW37" s="14" t="e">
        <f t="shared" si="17"/>
        <v>#REF!</v>
      </c>
      <c r="CX37" s="14" t="e">
        <f t="shared" si="60"/>
        <v>#REF!</v>
      </c>
      <c r="CY37" s="14" t="e">
        <f t="shared" si="61"/>
        <v>#REF!</v>
      </c>
      <c r="CZ37" s="14" t="e">
        <f t="shared" si="62"/>
        <v>#REF!</v>
      </c>
      <c r="DA37" s="83">
        <v>0</v>
      </c>
      <c r="DB37" s="83">
        <v>0</v>
      </c>
      <c r="DC37" s="14">
        <f t="shared" si="105"/>
        <v>0</v>
      </c>
      <c r="DD37" s="14">
        <f t="shared" si="106"/>
        <v>0</v>
      </c>
      <c r="DE37" s="14">
        <f t="shared" si="107"/>
        <v>0</v>
      </c>
      <c r="DF37" s="14">
        <f t="shared" si="108"/>
        <v>0</v>
      </c>
      <c r="DG37" s="83"/>
      <c r="DH37" s="83"/>
      <c r="DI37" s="83"/>
      <c r="DJ37" s="83"/>
      <c r="DK37" s="14" t="e">
        <f>CW37-SUM(DC$7:DC37)+SUM(DG$7:DG37)</f>
        <v>#REF!</v>
      </c>
      <c r="DL37" s="14" t="e">
        <f>CX37-SUM(DD$7:DD37)+SUM(DH$7:DH37)</f>
        <v>#REF!</v>
      </c>
      <c r="DM37" s="14" t="e">
        <f>CY37-SUM(DE$7:DE37)+SUM(DI$7:DI37)</f>
        <v>#REF!</v>
      </c>
      <c r="DN37" s="14" t="e">
        <f>CZ37-SUM(DF$7:DF37)+SUM(DJ$7:DJ37)</f>
        <v>#REF!</v>
      </c>
      <c r="DQ37" s="95">
        <v>32</v>
      </c>
      <c r="DR37" s="14">
        <f t="shared" si="67"/>
        <v>4</v>
      </c>
      <c r="DS37" s="14">
        <f t="shared" si="68"/>
        <v>5</v>
      </c>
      <c r="DT37" s="14">
        <f t="shared" si="113"/>
        <v>0</v>
      </c>
      <c r="DU37" s="14">
        <f t="shared" si="113"/>
        <v>104.90105263157898</v>
      </c>
      <c r="DV37" s="14">
        <f t="shared" si="113"/>
        <v>39.525614035087727</v>
      </c>
      <c r="DW37" s="14">
        <f t="shared" si="113"/>
        <v>0</v>
      </c>
      <c r="DX37" s="14">
        <f t="shared" si="69"/>
        <v>2</v>
      </c>
      <c r="DY37" s="14">
        <f t="shared" si="70"/>
        <v>3</v>
      </c>
      <c r="EF37" s="139">
        <v>32</v>
      </c>
      <c r="EG37" s="14">
        <f t="shared" si="72"/>
        <v>4</v>
      </c>
      <c r="EH37" s="19">
        <f t="shared" si="114"/>
        <v>0.13</v>
      </c>
      <c r="EI37" s="139">
        <v>3</v>
      </c>
      <c r="EJ37" s="139" t="s">
        <v>958</v>
      </c>
      <c r="EK37" s="139">
        <f t="shared" si="73"/>
        <v>1186</v>
      </c>
      <c r="EL37" s="139" t="s">
        <v>866</v>
      </c>
      <c r="EM37" s="139">
        <f t="shared" si="117"/>
        <v>5</v>
      </c>
      <c r="EN37" s="139" t="s">
        <v>867</v>
      </c>
      <c r="EO37" s="139">
        <v>2</v>
      </c>
      <c r="EP37" s="139">
        <f t="shared" si="20"/>
        <v>0.05</v>
      </c>
      <c r="EQ37" s="139">
        <v>1</v>
      </c>
      <c r="ER37" s="139">
        <f t="shared" si="74"/>
        <v>30</v>
      </c>
      <c r="ES37" s="139"/>
      <c r="ET37" s="139">
        <f t="shared" si="115"/>
        <v>19.762807017543864</v>
      </c>
      <c r="EV37">
        <v>0</v>
      </c>
      <c r="EW37">
        <v>1</v>
      </c>
      <c r="EX37">
        <f t="shared" si="22"/>
        <v>7</v>
      </c>
      <c r="EY37" s="89">
        <f t="shared" si="23"/>
        <v>2.53E-2</v>
      </c>
      <c r="EZ37">
        <v>1</v>
      </c>
      <c r="FA37">
        <f t="shared" si="24"/>
        <v>14</v>
      </c>
      <c r="FB37" s="89">
        <f t="shared" si="25"/>
        <v>0.1012</v>
      </c>
      <c r="FC37">
        <v>1</v>
      </c>
      <c r="FD37">
        <f t="shared" si="26"/>
        <v>30</v>
      </c>
      <c r="FN37" s="101">
        <v>32</v>
      </c>
      <c r="FO37" s="101">
        <f t="shared" si="75"/>
        <v>28</v>
      </c>
      <c r="FP37" s="101">
        <f t="shared" si="76"/>
        <v>1</v>
      </c>
      <c r="FQ37" s="14">
        <f t="shared" si="77"/>
        <v>5</v>
      </c>
      <c r="FR37" s="101" t="str">
        <f t="shared" si="78"/>
        <v>关羽专属武器-魂珠-4 1级</v>
      </c>
      <c r="FS37" s="101">
        <f t="shared" si="79"/>
        <v>4</v>
      </c>
      <c r="FT37" s="101">
        <f t="shared" si="80"/>
        <v>1</v>
      </c>
      <c r="FU37" s="101" t="str">
        <f t="shared" si="81"/>
        <v>金币</v>
      </c>
      <c r="FV37" s="139">
        <f>IF($FT37&gt;0,IF(INDEX($EI$6:$EI$77,$FO37)&gt;=FV$3,ROUND(INDEX(EK$6:EK$77,$FO37)*INDEX(卡牌消耗!$B$8:$F$8,FQ37)/5,0)*5,""),"")</f>
        <v>1460</v>
      </c>
      <c r="FW37" s="101" t="str">
        <f t="shared" si="82"/>
        <v>专属强化石2</v>
      </c>
      <c r="FX37" s="101">
        <f t="shared" si="83"/>
        <v>3</v>
      </c>
      <c r="FY37" s="101" t="str">
        <f t="shared" si="84"/>
        <v>专属强化石3</v>
      </c>
      <c r="FZ37" s="101">
        <f t="shared" si="85"/>
        <v>1</v>
      </c>
      <c r="GA37" s="101">
        <f t="shared" si="86"/>
        <v>0.2</v>
      </c>
      <c r="GB37" s="101">
        <f t="shared" si="87"/>
        <v>1</v>
      </c>
      <c r="GC37" s="101">
        <f t="shared" si="88"/>
        <v>7</v>
      </c>
      <c r="GD37" s="101">
        <f t="shared" si="89"/>
        <v>0</v>
      </c>
      <c r="GE37" s="101">
        <f t="shared" si="90"/>
        <v>1</v>
      </c>
      <c r="GF37" s="101">
        <f t="shared" si="91"/>
        <v>2</v>
      </c>
      <c r="GG37" s="101">
        <f t="shared" si="92"/>
        <v>0.1012</v>
      </c>
      <c r="GH37" s="101">
        <f t="shared" si="93"/>
        <v>1</v>
      </c>
      <c r="GI37" s="101">
        <f t="shared" si="94"/>
        <v>3</v>
      </c>
      <c r="GJ37" s="101">
        <f t="shared" si="95"/>
        <v>0.40479999999999999</v>
      </c>
      <c r="GK37" s="101">
        <f t="shared" si="96"/>
        <v>1</v>
      </c>
      <c r="GL37" s="101">
        <f t="shared" si="97"/>
        <v>7</v>
      </c>
    </row>
    <row r="38" spans="81:194" ht="16.5" x14ac:dyDescent="0.2">
      <c r="CC38" s="81">
        <v>33</v>
      </c>
      <c r="CD38" s="81" t="e">
        <f>INDEX(节奏总表!#REF!,MATCH(专属武器强化!CC38,节奏总表!#REF!,1))</f>
        <v>#REF!</v>
      </c>
      <c r="CE38" s="81"/>
      <c r="CF38" s="81" t="e">
        <f t="shared" ref="CF38:CF65" si="118">MATCH(CD38,$B$6:$B$15,1)-1</f>
        <v>#REF!</v>
      </c>
      <c r="CG38" s="14" t="e">
        <f t="shared" ref="CG38:CG65" si="119">IF($CF38&gt;0,INDEX(AE$7:AE$15,$CF38),0)*$B$3</f>
        <v>#REF!</v>
      </c>
      <c r="CH38" s="14" t="e">
        <f t="shared" ref="CH38:CH65" si="120">IF($CF38&gt;0,INDEX(AF$7:AF$15,$CF38),0)*$B$3</f>
        <v>#REF!</v>
      </c>
      <c r="CI38" s="14" t="e">
        <f t="shared" ref="CI38:CI65" si="121">IF($CF38&gt;0,INDEX(AG$7:AG$15,$CF38),0)*$B$3</f>
        <v>#REF!</v>
      </c>
      <c r="CJ38" s="14" t="e">
        <f t="shared" ref="CJ38:CJ65" si="122">IF($CF38&gt;0,INDEX(AH$7:AH$15,$CF38),0)*$B$3</f>
        <v>#REF!</v>
      </c>
      <c r="CK38" s="14"/>
      <c r="CL38" s="14"/>
      <c r="CM38" s="14"/>
      <c r="CN38" s="14"/>
      <c r="CO38" s="14" t="e">
        <f>SUM(CG$6:CG38)</f>
        <v>#REF!</v>
      </c>
      <c r="CP38" s="14" t="e">
        <f>SUM(CH$6:CH38)</f>
        <v>#REF!</v>
      </c>
      <c r="CQ38" s="14" t="e">
        <f>SUM(CI$6:CI38)</f>
        <v>#REF!</v>
      </c>
      <c r="CR38" s="14" t="e">
        <f>SUM(CJ$6:CJ38)</f>
        <v>#REF!</v>
      </c>
      <c r="CU38" s="83">
        <v>24</v>
      </c>
      <c r="CV38" s="14" t="e">
        <f>INDEX(节奏总表!#REF!,专属武器强化!CU38)</f>
        <v>#REF!</v>
      </c>
      <c r="CW38" s="14" t="e">
        <f t="shared" ref="CW38:CW65" si="123">INDEX(CO$6:CO$65,$CU38)</f>
        <v>#REF!</v>
      </c>
      <c r="CX38" s="14" t="e">
        <f t="shared" si="60"/>
        <v>#REF!</v>
      </c>
      <c r="CY38" s="14" t="e">
        <f t="shared" si="61"/>
        <v>#REF!</v>
      </c>
      <c r="CZ38" s="14" t="e">
        <f t="shared" si="62"/>
        <v>#REF!</v>
      </c>
      <c r="DA38" s="83">
        <v>5</v>
      </c>
      <c r="DB38" s="83">
        <v>2</v>
      </c>
      <c r="DC38" s="14">
        <f t="shared" si="105"/>
        <v>0</v>
      </c>
      <c r="DD38" s="14">
        <f t="shared" si="106"/>
        <v>91.788421052631591</v>
      </c>
      <c r="DE38" s="14">
        <f t="shared" si="107"/>
        <v>59.288421052631591</v>
      </c>
      <c r="DF38" s="14">
        <f t="shared" si="108"/>
        <v>0</v>
      </c>
      <c r="DG38" s="83"/>
      <c r="DH38" s="83"/>
      <c r="DI38" s="83"/>
      <c r="DJ38" s="83"/>
      <c r="DK38" s="14" t="e">
        <f>CW38-SUM(DC$7:DC38)+SUM(DG$7:DG38)</f>
        <v>#REF!</v>
      </c>
      <c r="DL38" s="14" t="e">
        <f>CX38-SUM(DD$7:DD38)+SUM(DH$7:DH38)</f>
        <v>#REF!</v>
      </c>
      <c r="DM38" s="14" t="e">
        <f>CY38-SUM(DE$7:DE38)+SUM(DI$7:DI38)</f>
        <v>#REF!</v>
      </c>
      <c r="DN38" s="14" t="e">
        <f>CZ38-SUM(DF$7:DF38)+SUM(DJ$7:DJ38)</f>
        <v>#REF!</v>
      </c>
      <c r="DQ38" s="95">
        <v>33</v>
      </c>
      <c r="DR38" s="14">
        <f t="shared" si="67"/>
        <v>4</v>
      </c>
      <c r="DS38" s="14">
        <f t="shared" si="68"/>
        <v>6</v>
      </c>
      <c r="DT38" s="14">
        <f t="shared" si="113"/>
        <v>0</v>
      </c>
      <c r="DU38" s="14">
        <f t="shared" si="113"/>
        <v>170.46421052631584</v>
      </c>
      <c r="DV38" s="14">
        <f t="shared" si="113"/>
        <v>64.229122807017561</v>
      </c>
      <c r="DW38" s="14">
        <f t="shared" si="113"/>
        <v>0</v>
      </c>
      <c r="DX38" s="14">
        <f t="shared" si="69"/>
        <v>2</v>
      </c>
      <c r="DY38" s="14">
        <f t="shared" si="70"/>
        <v>3</v>
      </c>
      <c r="EF38" s="139">
        <v>33</v>
      </c>
      <c r="EG38" s="14">
        <f t="shared" si="72"/>
        <v>4</v>
      </c>
      <c r="EH38" s="19">
        <f t="shared" si="114"/>
        <v>0.21000000000000002</v>
      </c>
      <c r="EI38" s="139">
        <v>3</v>
      </c>
      <c r="EJ38" s="139" t="s">
        <v>958</v>
      </c>
      <c r="EK38" s="139">
        <f t="shared" si="73"/>
        <v>1179</v>
      </c>
      <c r="EL38" s="139" t="s">
        <v>866</v>
      </c>
      <c r="EM38" s="139">
        <f t="shared" si="117"/>
        <v>5</v>
      </c>
      <c r="EN38" s="139" t="s">
        <v>867</v>
      </c>
      <c r="EO38" s="139">
        <v>2</v>
      </c>
      <c r="EP38" s="139">
        <f t="shared" ref="EP38:EP69" si="124">ROUND(1/ET38,2)</f>
        <v>0.03</v>
      </c>
      <c r="EQ38" s="139">
        <v>1</v>
      </c>
      <c r="ER38" s="139">
        <f t="shared" si="74"/>
        <v>48</v>
      </c>
      <c r="ES38" s="139"/>
      <c r="ET38" s="139">
        <f t="shared" si="115"/>
        <v>32.11456140350878</v>
      </c>
      <c r="EV38">
        <v>0</v>
      </c>
      <c r="EW38">
        <v>1</v>
      </c>
      <c r="EX38">
        <f t="shared" ref="EX38:EX69" si="125">ROUND(ET38*0.35,0)</f>
        <v>11</v>
      </c>
      <c r="EY38" s="89">
        <f t="shared" ref="EY38:EY69" si="126">ROUND(1/ET38/2,4)</f>
        <v>1.5599999999999999E-2</v>
      </c>
      <c r="EZ38">
        <v>1</v>
      </c>
      <c r="FA38">
        <f t="shared" ref="FA38:FA69" si="127">ROUND(ET38*0.7,0)</f>
        <v>22</v>
      </c>
      <c r="FB38" s="89">
        <f t="shared" ref="FB38:FB69" si="128">ROUND(2/ET38,4)</f>
        <v>6.2300000000000001E-2</v>
      </c>
      <c r="FC38">
        <v>1</v>
      </c>
      <c r="FD38">
        <f t="shared" ref="FD38:FD69" si="129">ROUND(ET38*1.5,0)</f>
        <v>48</v>
      </c>
      <c r="FN38" s="101">
        <v>33</v>
      </c>
      <c r="FO38" s="101">
        <f t="shared" si="75"/>
        <v>29</v>
      </c>
      <c r="FP38" s="101">
        <f t="shared" si="76"/>
        <v>1</v>
      </c>
      <c r="FQ38" s="14">
        <f t="shared" si="77"/>
        <v>5</v>
      </c>
      <c r="FR38" s="101" t="str">
        <f t="shared" si="78"/>
        <v>关羽专属武器-魂珠-4 2级</v>
      </c>
      <c r="FS38" s="101">
        <f t="shared" si="79"/>
        <v>4</v>
      </c>
      <c r="FT38" s="101">
        <f t="shared" si="80"/>
        <v>2</v>
      </c>
      <c r="FU38" s="101" t="str">
        <f t="shared" si="81"/>
        <v>金币</v>
      </c>
      <c r="FV38" s="139">
        <f>IF($FT38&gt;0,IF(INDEX($EI$6:$EI$77,$FO38)&gt;=FV$3,ROUND(INDEX(EK$6:EK$77,$FO38)*INDEX(卡牌消耗!$B$8:$F$8,FQ38)/5,0)*5,""),"")</f>
        <v>1095</v>
      </c>
      <c r="FW38" s="101" t="str">
        <f t="shared" si="82"/>
        <v>专属强化石2</v>
      </c>
      <c r="FX38" s="101">
        <f t="shared" si="83"/>
        <v>3</v>
      </c>
      <c r="FY38" s="101" t="str">
        <f t="shared" si="84"/>
        <v>专属强化石3</v>
      </c>
      <c r="FZ38" s="101">
        <f t="shared" si="85"/>
        <v>1</v>
      </c>
      <c r="GA38" s="101">
        <f t="shared" si="86"/>
        <v>0.1</v>
      </c>
      <c r="GB38" s="101">
        <f t="shared" si="87"/>
        <v>1</v>
      </c>
      <c r="GC38" s="101">
        <f t="shared" si="88"/>
        <v>15</v>
      </c>
      <c r="GD38" s="101">
        <f t="shared" si="89"/>
        <v>0</v>
      </c>
      <c r="GE38" s="101">
        <f t="shared" si="90"/>
        <v>1</v>
      </c>
      <c r="GF38" s="101">
        <f t="shared" si="91"/>
        <v>3</v>
      </c>
      <c r="GG38" s="101">
        <f t="shared" si="92"/>
        <v>5.0599999999999999E-2</v>
      </c>
      <c r="GH38" s="101">
        <f t="shared" si="93"/>
        <v>1</v>
      </c>
      <c r="GI38" s="101">
        <f t="shared" si="94"/>
        <v>7</v>
      </c>
      <c r="GJ38" s="101">
        <f t="shared" si="95"/>
        <v>0.2024</v>
      </c>
      <c r="GK38" s="101">
        <f t="shared" si="96"/>
        <v>1</v>
      </c>
      <c r="GL38" s="101">
        <f t="shared" si="97"/>
        <v>15</v>
      </c>
    </row>
    <row r="39" spans="81:194" ht="16.5" x14ac:dyDescent="0.2">
      <c r="CC39" s="81">
        <v>34</v>
      </c>
      <c r="CD39" s="81" t="e">
        <f>INDEX(节奏总表!#REF!,MATCH(专属武器强化!CC39,节奏总表!#REF!,1))</f>
        <v>#REF!</v>
      </c>
      <c r="CE39" s="81"/>
      <c r="CF39" s="81" t="e">
        <f t="shared" si="118"/>
        <v>#REF!</v>
      </c>
      <c r="CG39" s="14" t="e">
        <f t="shared" si="119"/>
        <v>#REF!</v>
      </c>
      <c r="CH39" s="14" t="e">
        <f t="shared" si="120"/>
        <v>#REF!</v>
      </c>
      <c r="CI39" s="14" t="e">
        <f t="shared" si="121"/>
        <v>#REF!</v>
      </c>
      <c r="CJ39" s="14" t="e">
        <f t="shared" si="122"/>
        <v>#REF!</v>
      </c>
      <c r="CK39" s="14"/>
      <c r="CL39" s="14"/>
      <c r="CM39" s="14"/>
      <c r="CN39" s="14"/>
      <c r="CO39" s="14" t="e">
        <f>SUM(CG$6:CG39)</f>
        <v>#REF!</v>
      </c>
      <c r="CP39" s="14" t="e">
        <f>SUM(CH$6:CH39)</f>
        <v>#REF!</v>
      </c>
      <c r="CQ39" s="14" t="e">
        <f>SUM(CI$6:CI39)</f>
        <v>#REF!</v>
      </c>
      <c r="CR39" s="14" t="e">
        <f>SUM(CJ$6:CJ39)</f>
        <v>#REF!</v>
      </c>
      <c r="CU39" s="83">
        <v>25</v>
      </c>
      <c r="CV39" s="14" t="e">
        <f>INDEX(节奏总表!#REF!,专属武器强化!CU39)</f>
        <v>#REF!</v>
      </c>
      <c r="CW39" s="14" t="e">
        <f t="shared" si="123"/>
        <v>#REF!</v>
      </c>
      <c r="CX39" s="14" t="e">
        <f t="shared" si="60"/>
        <v>#REF!</v>
      </c>
      <c r="CY39" s="14" t="e">
        <f t="shared" si="61"/>
        <v>#REF!</v>
      </c>
      <c r="CZ39" s="14" t="e">
        <f t="shared" si="62"/>
        <v>#REF!</v>
      </c>
      <c r="DA39" s="83">
        <v>0</v>
      </c>
      <c r="DB39" s="83">
        <v>0</v>
      </c>
      <c r="DC39" s="14">
        <f t="shared" si="105"/>
        <v>0</v>
      </c>
      <c r="DD39" s="14">
        <f t="shared" si="106"/>
        <v>0</v>
      </c>
      <c r="DE39" s="14">
        <f t="shared" si="107"/>
        <v>0</v>
      </c>
      <c r="DF39" s="14">
        <f t="shared" si="108"/>
        <v>0</v>
      </c>
      <c r="DG39" s="83"/>
      <c r="DH39" s="83"/>
      <c r="DI39" s="83"/>
      <c r="DJ39" s="83"/>
      <c r="DK39" s="14" t="e">
        <f>CW39-SUM(DC$7:DC39)+SUM(DG$7:DG39)</f>
        <v>#REF!</v>
      </c>
      <c r="DL39" s="14" t="e">
        <f>CX39-SUM(DD$7:DD39)+SUM(DH$7:DH39)</f>
        <v>#REF!</v>
      </c>
      <c r="DM39" s="14" t="e">
        <f>CY39-SUM(DE$7:DE39)+SUM(DI$7:DI39)</f>
        <v>#REF!</v>
      </c>
      <c r="DN39" s="14" t="e">
        <f>CZ39-SUM(DF$7:DF39)+SUM(DJ$7:DJ39)</f>
        <v>#REF!</v>
      </c>
      <c r="DQ39" s="95">
        <v>34</v>
      </c>
      <c r="DR39" s="14">
        <f t="shared" si="67"/>
        <v>4</v>
      </c>
      <c r="DS39" s="14">
        <f t="shared" si="68"/>
        <v>7</v>
      </c>
      <c r="DT39" s="14">
        <f t="shared" si="113"/>
        <v>0</v>
      </c>
      <c r="DU39" s="14">
        <f t="shared" si="113"/>
        <v>275.36526315789479</v>
      </c>
      <c r="DV39" s="14">
        <f t="shared" si="113"/>
        <v>103.75473684210529</v>
      </c>
      <c r="DW39" s="14">
        <f t="shared" si="113"/>
        <v>0</v>
      </c>
      <c r="DX39" s="14">
        <f t="shared" si="69"/>
        <v>2</v>
      </c>
      <c r="DY39" s="14">
        <f t="shared" si="70"/>
        <v>3</v>
      </c>
      <c r="EF39" s="139">
        <v>34</v>
      </c>
      <c r="EG39" s="14">
        <f t="shared" si="72"/>
        <v>4</v>
      </c>
      <c r="EH39" s="19">
        <f t="shared" si="114"/>
        <v>0.34</v>
      </c>
      <c r="EI39" s="139">
        <v>3</v>
      </c>
      <c r="EJ39" s="139" t="s">
        <v>958</v>
      </c>
      <c r="EK39" s="139">
        <f t="shared" si="73"/>
        <v>1772</v>
      </c>
      <c r="EL39" s="139" t="s">
        <v>866</v>
      </c>
      <c r="EM39" s="139">
        <f t="shared" si="117"/>
        <v>8</v>
      </c>
      <c r="EN39" s="139" t="s">
        <v>867</v>
      </c>
      <c r="EO39" s="139">
        <v>3</v>
      </c>
      <c r="EP39" s="139">
        <f t="shared" si="124"/>
        <v>0.03</v>
      </c>
      <c r="EQ39" s="139">
        <v>1</v>
      </c>
      <c r="ER39" s="139">
        <f t="shared" si="74"/>
        <v>52</v>
      </c>
      <c r="ES39" s="139"/>
      <c r="ET39" s="139">
        <f t="shared" si="115"/>
        <v>34.584912280701765</v>
      </c>
      <c r="EV39">
        <v>0</v>
      </c>
      <c r="EW39">
        <v>1</v>
      </c>
      <c r="EX39">
        <f t="shared" si="125"/>
        <v>12</v>
      </c>
      <c r="EY39" s="89">
        <f t="shared" si="126"/>
        <v>1.4500000000000001E-2</v>
      </c>
      <c r="EZ39">
        <v>1</v>
      </c>
      <c r="FA39">
        <f t="shared" si="127"/>
        <v>24</v>
      </c>
      <c r="FB39" s="89">
        <f t="shared" si="128"/>
        <v>5.7799999999999997E-2</v>
      </c>
      <c r="FC39">
        <v>1</v>
      </c>
      <c r="FD39">
        <f t="shared" si="129"/>
        <v>52</v>
      </c>
      <c r="FN39" s="101">
        <v>34</v>
      </c>
      <c r="FO39" s="101">
        <f t="shared" si="75"/>
        <v>30</v>
      </c>
      <c r="FP39" s="101">
        <f t="shared" si="76"/>
        <v>1</v>
      </c>
      <c r="FQ39" s="14">
        <f t="shared" si="77"/>
        <v>5</v>
      </c>
      <c r="FR39" s="101" t="str">
        <f t="shared" si="78"/>
        <v>关羽专属武器-魂珠-4 3级</v>
      </c>
      <c r="FS39" s="101">
        <f t="shared" si="79"/>
        <v>4</v>
      </c>
      <c r="FT39" s="101">
        <f t="shared" si="80"/>
        <v>3</v>
      </c>
      <c r="FU39" s="101" t="str">
        <f t="shared" si="81"/>
        <v>金币</v>
      </c>
      <c r="FV39" s="139">
        <f>IF($FT39&gt;0,IF(INDEX($EI$6:$EI$77,$FO39)&gt;=FV$3,ROUND(INDEX(EK$6:EK$77,$FO39)*INDEX(卡牌消耗!$B$8:$F$8,FQ39)/5,0)*5,""),"")</f>
        <v>1215</v>
      </c>
      <c r="FW39" s="101" t="str">
        <f t="shared" si="82"/>
        <v>专属强化石2</v>
      </c>
      <c r="FX39" s="101">
        <f t="shared" si="83"/>
        <v>3</v>
      </c>
      <c r="FY39" s="101" t="str">
        <f t="shared" si="84"/>
        <v>专属强化石3</v>
      </c>
      <c r="FZ39" s="101">
        <f t="shared" si="85"/>
        <v>1</v>
      </c>
      <c r="GA39" s="101">
        <f t="shared" si="86"/>
        <v>7.0000000000000007E-2</v>
      </c>
      <c r="GB39" s="101">
        <f t="shared" si="87"/>
        <v>1</v>
      </c>
      <c r="GC39" s="101">
        <f t="shared" si="88"/>
        <v>22</v>
      </c>
      <c r="GD39" s="101">
        <f t="shared" si="89"/>
        <v>0</v>
      </c>
      <c r="GE39" s="101">
        <f t="shared" si="90"/>
        <v>1</v>
      </c>
      <c r="GF39" s="101">
        <f t="shared" si="91"/>
        <v>5</v>
      </c>
      <c r="GG39" s="101">
        <f t="shared" si="92"/>
        <v>3.3700000000000001E-2</v>
      </c>
      <c r="GH39" s="101">
        <f t="shared" si="93"/>
        <v>1</v>
      </c>
      <c r="GI39" s="101">
        <f t="shared" si="94"/>
        <v>10</v>
      </c>
      <c r="GJ39" s="101">
        <f t="shared" si="95"/>
        <v>0.13489999999999999</v>
      </c>
      <c r="GK39" s="101">
        <f t="shared" si="96"/>
        <v>1</v>
      </c>
      <c r="GL39" s="101">
        <f t="shared" si="97"/>
        <v>22</v>
      </c>
    </row>
    <row r="40" spans="81:194" ht="16.5" x14ac:dyDescent="0.2">
      <c r="CC40" s="81">
        <v>35</v>
      </c>
      <c r="CD40" s="81" t="e">
        <f>INDEX(节奏总表!#REF!,MATCH(专属武器强化!CC40,节奏总表!#REF!,1))</f>
        <v>#REF!</v>
      </c>
      <c r="CE40" s="81">
        <v>7</v>
      </c>
      <c r="CF40" s="81" t="e">
        <f t="shared" si="118"/>
        <v>#REF!</v>
      </c>
      <c r="CG40" s="14" t="e">
        <f t="shared" si="119"/>
        <v>#REF!</v>
      </c>
      <c r="CH40" s="14" t="e">
        <f t="shared" si="120"/>
        <v>#REF!</v>
      </c>
      <c r="CI40" s="14" t="e">
        <f t="shared" si="121"/>
        <v>#REF!</v>
      </c>
      <c r="CJ40" s="14" t="e">
        <f t="shared" si="122"/>
        <v>#REF!</v>
      </c>
      <c r="CK40" s="14"/>
      <c r="CL40" s="14"/>
      <c r="CM40" s="14"/>
      <c r="CN40" s="14"/>
      <c r="CO40" s="14" t="e">
        <f>SUM(CG$6:CG40)</f>
        <v>#REF!</v>
      </c>
      <c r="CP40" s="14" t="e">
        <f>SUM(CH$6:CH40)</f>
        <v>#REF!</v>
      </c>
      <c r="CQ40" s="14" t="e">
        <f>SUM(CI$6:CI40)</f>
        <v>#REF!</v>
      </c>
      <c r="CR40" s="14" t="e">
        <f>SUM(CJ$6:CJ40)</f>
        <v>#REF!</v>
      </c>
      <c r="CU40" s="83">
        <v>26</v>
      </c>
      <c r="CV40" s="14" t="e">
        <f>INDEX(节奏总表!#REF!,专属武器强化!CU40)</f>
        <v>#REF!</v>
      </c>
      <c r="CW40" s="14" t="e">
        <f t="shared" si="123"/>
        <v>#REF!</v>
      </c>
      <c r="CX40" s="14" t="e">
        <f t="shared" si="60"/>
        <v>#REF!</v>
      </c>
      <c r="CY40" s="14" t="e">
        <f t="shared" si="61"/>
        <v>#REF!</v>
      </c>
      <c r="CZ40" s="14" t="e">
        <f t="shared" si="62"/>
        <v>#REF!</v>
      </c>
      <c r="DA40" s="83">
        <v>4</v>
      </c>
      <c r="DB40" s="83">
        <v>5</v>
      </c>
      <c r="DC40" s="14">
        <f t="shared" si="105"/>
        <v>0</v>
      </c>
      <c r="DD40" s="14">
        <f t="shared" si="106"/>
        <v>314.70315789473693</v>
      </c>
      <c r="DE40" s="14">
        <f t="shared" si="107"/>
        <v>118.57684210526318</v>
      </c>
      <c r="DF40" s="14">
        <f t="shared" si="108"/>
        <v>0</v>
      </c>
      <c r="DG40" s="83"/>
      <c r="DH40" s="83"/>
      <c r="DI40" s="83"/>
      <c r="DJ40" s="83"/>
      <c r="DK40" s="14" t="e">
        <f>CW40-SUM(DC$7:DC40)+SUM(DG$7:DG40)</f>
        <v>#REF!</v>
      </c>
      <c r="DL40" s="14" t="e">
        <f>CX40-SUM(DD$7:DD40)+SUM(DH$7:DH40)</f>
        <v>#REF!</v>
      </c>
      <c r="DM40" s="14" t="e">
        <f>CY40-SUM(DE$7:DE40)+SUM(DI$7:DI40)</f>
        <v>#REF!</v>
      </c>
      <c r="DN40" s="14" t="e">
        <f>CZ40-SUM(DF$7:DF40)+SUM(DJ$7:DJ40)</f>
        <v>#REF!</v>
      </c>
      <c r="DQ40" s="95">
        <v>35</v>
      </c>
      <c r="DR40" s="14">
        <f t="shared" si="67"/>
        <v>4</v>
      </c>
      <c r="DS40" s="14">
        <f t="shared" si="68"/>
        <v>8</v>
      </c>
      <c r="DT40" s="14">
        <f t="shared" si="113"/>
        <v>0</v>
      </c>
      <c r="DU40" s="14">
        <f t="shared" si="113"/>
        <v>445.8294736842106</v>
      </c>
      <c r="DV40" s="14">
        <f t="shared" si="113"/>
        <v>167.98385964912282</v>
      </c>
      <c r="DW40" s="14">
        <f t="shared" si="113"/>
        <v>0</v>
      </c>
      <c r="DX40" s="14">
        <f t="shared" si="69"/>
        <v>2</v>
      </c>
      <c r="DY40" s="14">
        <f t="shared" si="70"/>
        <v>3</v>
      </c>
      <c r="EF40" s="139">
        <v>35</v>
      </c>
      <c r="EG40" s="14">
        <f t="shared" si="72"/>
        <v>4</v>
      </c>
      <c r="EH40" s="19">
        <f t="shared" si="114"/>
        <v>0.55000000000000004</v>
      </c>
      <c r="EI40" s="139">
        <v>3</v>
      </c>
      <c r="EJ40" s="139" t="s">
        <v>958</v>
      </c>
      <c r="EK40" s="139">
        <f t="shared" si="73"/>
        <v>2360</v>
      </c>
      <c r="EL40" s="139" t="s">
        <v>866</v>
      </c>
      <c r="EM40" s="139">
        <f t="shared" si="117"/>
        <v>11</v>
      </c>
      <c r="EN40" s="139" t="s">
        <v>867</v>
      </c>
      <c r="EO40" s="139">
        <v>4</v>
      </c>
      <c r="EP40" s="139">
        <f t="shared" si="124"/>
        <v>0.02</v>
      </c>
      <c r="EQ40" s="139">
        <v>1</v>
      </c>
      <c r="ER40" s="139">
        <f t="shared" si="74"/>
        <v>63</v>
      </c>
      <c r="ES40" s="139"/>
      <c r="ET40" s="139">
        <f t="shared" si="115"/>
        <v>41.995964912280705</v>
      </c>
      <c r="EV40">
        <v>0</v>
      </c>
      <c r="EW40">
        <v>1</v>
      </c>
      <c r="EX40">
        <f t="shared" si="125"/>
        <v>15</v>
      </c>
      <c r="EY40" s="89">
        <f t="shared" si="126"/>
        <v>1.1900000000000001E-2</v>
      </c>
      <c r="EZ40">
        <v>1</v>
      </c>
      <c r="FA40">
        <f t="shared" si="127"/>
        <v>29</v>
      </c>
      <c r="FB40" s="89">
        <f t="shared" si="128"/>
        <v>4.7600000000000003E-2</v>
      </c>
      <c r="FC40">
        <v>1</v>
      </c>
      <c r="FD40">
        <f t="shared" si="129"/>
        <v>63</v>
      </c>
      <c r="FN40" s="101">
        <v>35</v>
      </c>
      <c r="FO40" s="101">
        <f t="shared" si="75"/>
        <v>31</v>
      </c>
      <c r="FP40" s="101">
        <f t="shared" si="76"/>
        <v>1</v>
      </c>
      <c r="FQ40" s="14">
        <f t="shared" si="77"/>
        <v>5</v>
      </c>
      <c r="FR40" s="101" t="str">
        <f t="shared" si="78"/>
        <v>关羽专属武器-魂珠-4 4级</v>
      </c>
      <c r="FS40" s="101">
        <f t="shared" si="79"/>
        <v>4</v>
      </c>
      <c r="FT40" s="101">
        <f t="shared" si="80"/>
        <v>4</v>
      </c>
      <c r="FU40" s="101" t="str">
        <f t="shared" si="81"/>
        <v>金币</v>
      </c>
      <c r="FV40" s="139">
        <f>IF($FT40&gt;0,IF(INDEX($EI$6:$EI$77,$FO40)&gt;=FV$3,ROUND(INDEX(EK$6:EK$77,$FO40)*INDEX(卡牌消耗!$B$8:$F$8,FQ40)/5,0)*5,""),"")</f>
        <v>2335</v>
      </c>
      <c r="FW40" s="101" t="str">
        <f t="shared" si="82"/>
        <v>专属强化石2</v>
      </c>
      <c r="FX40" s="101">
        <f t="shared" si="83"/>
        <v>5</v>
      </c>
      <c r="FY40" s="101" t="str">
        <f t="shared" si="84"/>
        <v>专属强化石3</v>
      </c>
      <c r="FZ40" s="101">
        <f t="shared" si="85"/>
        <v>2</v>
      </c>
      <c r="GA40" s="101">
        <f t="shared" si="86"/>
        <v>0.08</v>
      </c>
      <c r="GB40" s="101">
        <f t="shared" si="87"/>
        <v>1</v>
      </c>
      <c r="GC40" s="101">
        <f t="shared" si="88"/>
        <v>19</v>
      </c>
      <c r="GD40" s="101">
        <f t="shared" si="89"/>
        <v>0</v>
      </c>
      <c r="GE40" s="101">
        <f t="shared" si="90"/>
        <v>1</v>
      </c>
      <c r="GF40" s="101">
        <f t="shared" si="91"/>
        <v>4</v>
      </c>
      <c r="GG40" s="101">
        <f t="shared" si="92"/>
        <v>4.0500000000000001E-2</v>
      </c>
      <c r="GH40" s="101">
        <f t="shared" si="93"/>
        <v>1</v>
      </c>
      <c r="GI40" s="101">
        <f t="shared" si="94"/>
        <v>9</v>
      </c>
      <c r="GJ40" s="101">
        <f t="shared" si="95"/>
        <v>0.16189999999999999</v>
      </c>
      <c r="GK40" s="101">
        <f t="shared" si="96"/>
        <v>1</v>
      </c>
      <c r="GL40" s="101">
        <f t="shared" si="97"/>
        <v>19</v>
      </c>
    </row>
    <row r="41" spans="81:194" ht="16.5" x14ac:dyDescent="0.2">
      <c r="CC41" s="81">
        <v>36</v>
      </c>
      <c r="CD41" s="81" t="e">
        <f>INDEX(节奏总表!#REF!,MATCH(专属武器强化!CC41,节奏总表!#REF!,1))</f>
        <v>#REF!</v>
      </c>
      <c r="CE41" s="81"/>
      <c r="CF41" s="81" t="e">
        <f t="shared" si="118"/>
        <v>#REF!</v>
      </c>
      <c r="CG41" s="14" t="e">
        <f t="shared" si="119"/>
        <v>#REF!</v>
      </c>
      <c r="CH41" s="14" t="e">
        <f t="shared" si="120"/>
        <v>#REF!</v>
      </c>
      <c r="CI41" s="14" t="e">
        <f t="shared" si="121"/>
        <v>#REF!</v>
      </c>
      <c r="CJ41" s="14" t="e">
        <f t="shared" si="122"/>
        <v>#REF!</v>
      </c>
      <c r="CK41" s="14"/>
      <c r="CL41" s="14"/>
      <c r="CM41" s="14"/>
      <c r="CN41" s="14"/>
      <c r="CO41" s="14" t="e">
        <f>SUM(CG$6:CG41)</f>
        <v>#REF!</v>
      </c>
      <c r="CP41" s="14" t="e">
        <f>SUM(CH$6:CH41)</f>
        <v>#REF!</v>
      </c>
      <c r="CQ41" s="14" t="e">
        <f>SUM(CI$6:CI41)</f>
        <v>#REF!</v>
      </c>
      <c r="CR41" s="14" t="e">
        <f>SUM(CJ$6:CJ41)</f>
        <v>#REF!</v>
      </c>
      <c r="CU41" s="83">
        <v>27</v>
      </c>
      <c r="CV41" s="14" t="e">
        <f>INDEX(节奏总表!#REF!,专属武器强化!CU41)</f>
        <v>#REF!</v>
      </c>
      <c r="CW41" s="14" t="e">
        <f t="shared" si="123"/>
        <v>#REF!</v>
      </c>
      <c r="CX41" s="14" t="e">
        <f t="shared" si="60"/>
        <v>#REF!</v>
      </c>
      <c r="CY41" s="14" t="e">
        <f t="shared" si="61"/>
        <v>#REF!</v>
      </c>
      <c r="CZ41" s="14" t="e">
        <f t="shared" si="62"/>
        <v>#REF!</v>
      </c>
      <c r="DA41" s="83">
        <v>0</v>
      </c>
      <c r="DB41" s="83">
        <v>0</v>
      </c>
      <c r="DC41" s="14">
        <f t="shared" si="105"/>
        <v>0</v>
      </c>
      <c r="DD41" s="14">
        <f t="shared" si="106"/>
        <v>0</v>
      </c>
      <c r="DE41" s="14">
        <f t="shared" si="107"/>
        <v>0</v>
      </c>
      <c r="DF41" s="14">
        <f t="shared" si="108"/>
        <v>0</v>
      </c>
      <c r="DG41" s="83"/>
      <c r="DH41" s="83"/>
      <c r="DI41" s="83"/>
      <c r="DJ41" s="83"/>
      <c r="DK41" s="14" t="e">
        <f>CW41-SUM(DC$7:DC41)+SUM(DG$7:DG41)</f>
        <v>#REF!</v>
      </c>
      <c r="DL41" s="14" t="e">
        <f>CX41-SUM(DD$7:DD41)+SUM(DH$7:DH41)</f>
        <v>#REF!</v>
      </c>
      <c r="DM41" s="14" t="e">
        <f>CY41-SUM(DE$7:DE41)+SUM(DI$7:DI41)</f>
        <v>#REF!</v>
      </c>
      <c r="DN41" s="14" t="e">
        <f>CZ41-SUM(DF$7:DF41)+SUM(DJ$7:DJ41)</f>
        <v>#REF!</v>
      </c>
      <c r="DQ41" s="95">
        <v>36</v>
      </c>
      <c r="DR41" s="14">
        <f t="shared" si="67"/>
        <v>4</v>
      </c>
      <c r="DS41" s="14">
        <f t="shared" si="68"/>
        <v>9</v>
      </c>
      <c r="DT41" s="14">
        <f t="shared" si="113"/>
        <v>0</v>
      </c>
      <c r="DU41" s="14">
        <f t="shared" si="113"/>
        <v>721.1947368421055</v>
      </c>
      <c r="DV41" s="14">
        <f t="shared" si="113"/>
        <v>271.73859649122812</v>
      </c>
      <c r="DW41" s="14">
        <f t="shared" si="113"/>
        <v>0</v>
      </c>
      <c r="DX41" s="14">
        <f t="shared" si="69"/>
        <v>2</v>
      </c>
      <c r="DY41" s="14">
        <f t="shared" si="70"/>
        <v>3</v>
      </c>
      <c r="EF41" s="139">
        <v>36</v>
      </c>
      <c r="EG41" s="14">
        <f t="shared" si="72"/>
        <v>4</v>
      </c>
      <c r="EH41" s="19">
        <f t="shared" si="114"/>
        <v>0.89000000000000012</v>
      </c>
      <c r="EI41" s="139">
        <v>3</v>
      </c>
      <c r="EJ41" s="139" t="s">
        <v>958</v>
      </c>
      <c r="EK41" s="139">
        <f t="shared" si="73"/>
        <v>3542</v>
      </c>
      <c r="EL41" s="139" t="s">
        <v>866</v>
      </c>
      <c r="EM41" s="139">
        <f t="shared" si="117"/>
        <v>16</v>
      </c>
      <c r="EN41" s="139" t="s">
        <v>867</v>
      </c>
      <c r="EO41" s="139">
        <v>6</v>
      </c>
      <c r="EP41" s="139">
        <f t="shared" si="124"/>
        <v>0.02</v>
      </c>
      <c r="EQ41" s="139">
        <v>1</v>
      </c>
      <c r="ER41" s="139">
        <f t="shared" si="74"/>
        <v>68</v>
      </c>
      <c r="ES41" s="139"/>
      <c r="ET41" s="139">
        <f t="shared" si="115"/>
        <v>45.289766081871356</v>
      </c>
      <c r="EV41">
        <v>0</v>
      </c>
      <c r="EW41">
        <v>1</v>
      </c>
      <c r="EX41">
        <f t="shared" si="125"/>
        <v>16</v>
      </c>
      <c r="EY41" s="89">
        <f t="shared" si="126"/>
        <v>1.0999999999999999E-2</v>
      </c>
      <c r="EZ41">
        <v>1</v>
      </c>
      <c r="FA41">
        <f t="shared" si="127"/>
        <v>32</v>
      </c>
      <c r="FB41" s="89">
        <f t="shared" si="128"/>
        <v>4.4200000000000003E-2</v>
      </c>
      <c r="FC41">
        <v>1</v>
      </c>
      <c r="FD41">
        <f t="shared" si="129"/>
        <v>68</v>
      </c>
      <c r="FN41" s="101">
        <v>36</v>
      </c>
      <c r="FO41" s="101">
        <f t="shared" si="75"/>
        <v>32</v>
      </c>
      <c r="FP41" s="101">
        <f t="shared" si="76"/>
        <v>1</v>
      </c>
      <c r="FQ41" s="14">
        <f t="shared" si="77"/>
        <v>5</v>
      </c>
      <c r="FR41" s="101" t="str">
        <f t="shared" si="78"/>
        <v>关羽专属武器-魂珠-4 5级</v>
      </c>
      <c r="FS41" s="101">
        <f t="shared" si="79"/>
        <v>4</v>
      </c>
      <c r="FT41" s="101">
        <f t="shared" si="80"/>
        <v>5</v>
      </c>
      <c r="FU41" s="101" t="str">
        <f t="shared" si="81"/>
        <v>金币</v>
      </c>
      <c r="FV41" s="139">
        <f>IF($FT41&gt;0,IF(INDEX($EI$6:$EI$77,$FO41)&gt;=FV$3,ROUND(INDEX(EK$6:EK$77,$FO41)*INDEX(卡牌消耗!$B$8:$F$8,FQ41)/5,0)*5,""),"")</f>
        <v>2370</v>
      </c>
      <c r="FW41" s="101" t="str">
        <f t="shared" si="82"/>
        <v>专属强化石2</v>
      </c>
      <c r="FX41" s="101">
        <f t="shared" si="83"/>
        <v>5</v>
      </c>
      <c r="FY41" s="101" t="str">
        <f t="shared" si="84"/>
        <v>专属强化石3</v>
      </c>
      <c r="FZ41" s="101">
        <f t="shared" si="85"/>
        <v>2</v>
      </c>
      <c r="GA41" s="101">
        <f t="shared" si="86"/>
        <v>0.05</v>
      </c>
      <c r="GB41" s="101">
        <f t="shared" si="87"/>
        <v>1</v>
      </c>
      <c r="GC41" s="101">
        <f t="shared" si="88"/>
        <v>30</v>
      </c>
      <c r="GD41" s="101">
        <f t="shared" si="89"/>
        <v>0</v>
      </c>
      <c r="GE41" s="101">
        <f t="shared" si="90"/>
        <v>1</v>
      </c>
      <c r="GF41" s="101">
        <f t="shared" si="91"/>
        <v>7</v>
      </c>
      <c r="GG41" s="101">
        <f t="shared" si="92"/>
        <v>2.53E-2</v>
      </c>
      <c r="GH41" s="101">
        <f t="shared" si="93"/>
        <v>1</v>
      </c>
      <c r="GI41" s="101">
        <f t="shared" si="94"/>
        <v>14</v>
      </c>
      <c r="GJ41" s="101">
        <f t="shared" si="95"/>
        <v>0.1012</v>
      </c>
      <c r="GK41" s="101">
        <f t="shared" si="96"/>
        <v>1</v>
      </c>
      <c r="GL41" s="101">
        <f t="shared" si="97"/>
        <v>30</v>
      </c>
    </row>
    <row r="42" spans="81:194" ht="16.5" x14ac:dyDescent="0.2">
      <c r="CC42" s="81">
        <v>37</v>
      </c>
      <c r="CD42" s="81" t="e">
        <f>INDEX(节奏总表!#REF!,MATCH(专属武器强化!CC42,节奏总表!#REF!,1))</f>
        <v>#REF!</v>
      </c>
      <c r="CE42" s="81"/>
      <c r="CF42" s="81" t="e">
        <f t="shared" si="118"/>
        <v>#REF!</v>
      </c>
      <c r="CG42" s="14" t="e">
        <f t="shared" si="119"/>
        <v>#REF!</v>
      </c>
      <c r="CH42" s="14" t="e">
        <f t="shared" si="120"/>
        <v>#REF!</v>
      </c>
      <c r="CI42" s="14" t="e">
        <f t="shared" si="121"/>
        <v>#REF!</v>
      </c>
      <c r="CJ42" s="14" t="e">
        <f t="shared" si="122"/>
        <v>#REF!</v>
      </c>
      <c r="CK42" s="14"/>
      <c r="CL42" s="14"/>
      <c r="CM42" s="14"/>
      <c r="CN42" s="14"/>
      <c r="CO42" s="14" t="e">
        <f>SUM(CG$6:CG42)</f>
        <v>#REF!</v>
      </c>
      <c r="CP42" s="14" t="e">
        <f>SUM(CH$6:CH42)</f>
        <v>#REF!</v>
      </c>
      <c r="CQ42" s="14" t="e">
        <f>SUM(CI$6:CI42)</f>
        <v>#REF!</v>
      </c>
      <c r="CR42" s="14" t="e">
        <f>SUM(CJ$6:CJ42)</f>
        <v>#REF!</v>
      </c>
      <c r="CU42" s="83">
        <v>28</v>
      </c>
      <c r="CV42" s="14" t="e">
        <f>INDEX(节奏总表!#REF!,专属武器强化!CU42)</f>
        <v>#REF!</v>
      </c>
      <c r="CW42" s="14" t="e">
        <f t="shared" si="123"/>
        <v>#REF!</v>
      </c>
      <c r="CX42" s="14" t="e">
        <f t="shared" si="60"/>
        <v>#REF!</v>
      </c>
      <c r="CY42" s="14" t="e">
        <f t="shared" si="61"/>
        <v>#REF!</v>
      </c>
      <c r="CZ42" s="14" t="e">
        <f t="shared" si="62"/>
        <v>#REF!</v>
      </c>
      <c r="DA42" s="83">
        <v>0</v>
      </c>
      <c r="DB42" s="83">
        <v>0</v>
      </c>
      <c r="DC42" s="14">
        <f t="shared" si="105"/>
        <v>0</v>
      </c>
      <c r="DD42" s="14">
        <f t="shared" si="106"/>
        <v>0</v>
      </c>
      <c r="DE42" s="14">
        <f t="shared" si="107"/>
        <v>0</v>
      </c>
      <c r="DF42" s="14">
        <f t="shared" si="108"/>
        <v>0</v>
      </c>
      <c r="DG42" s="83"/>
      <c r="DH42" s="83"/>
      <c r="DI42" s="83"/>
      <c r="DJ42" s="83"/>
      <c r="DK42" s="14" t="e">
        <f>CW42-SUM(DC$7:DC42)+SUM(DG$7:DG42)</f>
        <v>#REF!</v>
      </c>
      <c r="DL42" s="14" t="e">
        <f>CX42-SUM(DD$7:DD42)+SUM(DH$7:DH42)</f>
        <v>#REF!</v>
      </c>
      <c r="DM42" s="14" t="e">
        <f>CY42-SUM(DE$7:DE42)+SUM(DI$7:DI42)</f>
        <v>#REF!</v>
      </c>
      <c r="DN42" s="14" t="e">
        <f>CZ42-SUM(DF$7:DF42)+SUM(DJ$7:DJ42)</f>
        <v>#REF!</v>
      </c>
      <c r="DQ42" s="95">
        <v>37</v>
      </c>
      <c r="DR42" s="14">
        <f t="shared" si="67"/>
        <v>5</v>
      </c>
      <c r="DS42" s="14">
        <f t="shared" si="68"/>
        <v>1</v>
      </c>
      <c r="DT42" s="14">
        <f t="shared" si="113"/>
        <v>0</v>
      </c>
      <c r="DU42" s="14">
        <f t="shared" si="113"/>
        <v>15.298070175438598</v>
      </c>
      <c r="DV42" s="14">
        <f t="shared" si="113"/>
        <v>9.8814035087719319</v>
      </c>
      <c r="DW42" s="14">
        <f t="shared" si="113"/>
        <v>0</v>
      </c>
      <c r="DX42" s="14">
        <f t="shared" si="69"/>
        <v>2</v>
      </c>
      <c r="DY42" s="14">
        <f t="shared" si="70"/>
        <v>3</v>
      </c>
      <c r="EF42" s="139">
        <v>37</v>
      </c>
      <c r="EG42" s="14">
        <f t="shared" si="72"/>
        <v>5</v>
      </c>
      <c r="EH42" s="19">
        <v>0.02</v>
      </c>
      <c r="EI42" s="139">
        <v>3</v>
      </c>
      <c r="EJ42" s="139" t="s">
        <v>958</v>
      </c>
      <c r="EK42" s="139">
        <f t="shared" si="73"/>
        <v>1496</v>
      </c>
      <c r="EL42" s="139" t="s">
        <v>866</v>
      </c>
      <c r="EM42" s="139">
        <f t="shared" si="117"/>
        <v>3</v>
      </c>
      <c r="EN42" s="139" t="s">
        <v>867</v>
      </c>
      <c r="EO42" s="139">
        <v>2</v>
      </c>
      <c r="EP42" s="139">
        <f t="shared" si="124"/>
        <v>0.2</v>
      </c>
      <c r="EQ42" s="139">
        <v>1</v>
      </c>
      <c r="ER42" s="139">
        <f t="shared" ref="ER42:ER51" si="130">FD42</f>
        <v>7</v>
      </c>
      <c r="ES42" s="139"/>
      <c r="ET42" s="139">
        <f t="shared" si="115"/>
        <v>4.9407017543859659</v>
      </c>
      <c r="EV42">
        <v>0</v>
      </c>
      <c r="EW42">
        <v>1</v>
      </c>
      <c r="EX42">
        <f t="shared" si="125"/>
        <v>2</v>
      </c>
      <c r="EY42" s="89">
        <f t="shared" si="126"/>
        <v>0.1012</v>
      </c>
      <c r="EZ42">
        <v>1</v>
      </c>
      <c r="FA42">
        <f t="shared" si="127"/>
        <v>3</v>
      </c>
      <c r="FB42" s="89">
        <f t="shared" si="128"/>
        <v>0.40479999999999999</v>
      </c>
      <c r="FC42">
        <v>1</v>
      </c>
      <c r="FD42">
        <f t="shared" si="129"/>
        <v>7</v>
      </c>
      <c r="FN42" s="101">
        <v>37</v>
      </c>
      <c r="FO42" s="101">
        <f t="shared" si="75"/>
        <v>33</v>
      </c>
      <c r="FP42" s="101">
        <f t="shared" si="76"/>
        <v>1</v>
      </c>
      <c r="FQ42" s="14">
        <f t="shared" si="77"/>
        <v>5</v>
      </c>
      <c r="FR42" s="101" t="str">
        <f t="shared" si="78"/>
        <v>关羽专属武器-魂珠-4 6级</v>
      </c>
      <c r="FS42" s="101">
        <f t="shared" si="79"/>
        <v>4</v>
      </c>
      <c r="FT42" s="101">
        <f t="shared" si="80"/>
        <v>6</v>
      </c>
      <c r="FU42" s="101" t="str">
        <f t="shared" si="81"/>
        <v>金币</v>
      </c>
      <c r="FV42" s="139">
        <f>IF($FT42&gt;0,IF(INDEX($EI$6:$EI$77,$FO42)&gt;=FV$3,ROUND(INDEX(EK$6:EK$77,$FO42)*INDEX(卡牌消耗!$B$8:$F$8,FQ42)/5,0)*5,""),"")</f>
        <v>2360</v>
      </c>
      <c r="FW42" s="101" t="str">
        <f t="shared" si="82"/>
        <v>专属强化石2</v>
      </c>
      <c r="FX42" s="101">
        <f t="shared" si="83"/>
        <v>5</v>
      </c>
      <c r="FY42" s="101" t="str">
        <f t="shared" si="84"/>
        <v>专属强化石3</v>
      </c>
      <c r="FZ42" s="101">
        <f t="shared" si="85"/>
        <v>2</v>
      </c>
      <c r="GA42" s="101">
        <f t="shared" si="86"/>
        <v>0.03</v>
      </c>
      <c r="GB42" s="101">
        <f t="shared" si="87"/>
        <v>1</v>
      </c>
      <c r="GC42" s="101">
        <f t="shared" si="88"/>
        <v>48</v>
      </c>
      <c r="GD42" s="101">
        <f t="shared" si="89"/>
        <v>0</v>
      </c>
      <c r="GE42" s="101">
        <f t="shared" si="90"/>
        <v>1</v>
      </c>
      <c r="GF42" s="101">
        <f t="shared" si="91"/>
        <v>11</v>
      </c>
      <c r="GG42" s="101">
        <f t="shared" si="92"/>
        <v>1.5599999999999999E-2</v>
      </c>
      <c r="GH42" s="101">
        <f t="shared" si="93"/>
        <v>1</v>
      </c>
      <c r="GI42" s="101">
        <f t="shared" si="94"/>
        <v>22</v>
      </c>
      <c r="GJ42" s="101">
        <f t="shared" si="95"/>
        <v>6.2300000000000001E-2</v>
      </c>
      <c r="GK42" s="101">
        <f t="shared" si="96"/>
        <v>1</v>
      </c>
      <c r="GL42" s="101">
        <f t="shared" si="97"/>
        <v>48</v>
      </c>
    </row>
    <row r="43" spans="81:194" ht="16.5" x14ac:dyDescent="0.2">
      <c r="CC43" s="81">
        <v>38</v>
      </c>
      <c r="CD43" s="81" t="e">
        <f>INDEX(节奏总表!#REF!,MATCH(专属武器强化!CC43,节奏总表!#REF!,1))</f>
        <v>#REF!</v>
      </c>
      <c r="CE43" s="81"/>
      <c r="CF43" s="81" t="e">
        <f t="shared" si="118"/>
        <v>#REF!</v>
      </c>
      <c r="CG43" s="14" t="e">
        <f t="shared" si="119"/>
        <v>#REF!</v>
      </c>
      <c r="CH43" s="14" t="e">
        <f t="shared" si="120"/>
        <v>#REF!</v>
      </c>
      <c r="CI43" s="14" t="e">
        <f t="shared" si="121"/>
        <v>#REF!</v>
      </c>
      <c r="CJ43" s="14" t="e">
        <f t="shared" si="122"/>
        <v>#REF!</v>
      </c>
      <c r="CK43" s="14"/>
      <c r="CL43" s="14"/>
      <c r="CM43" s="14"/>
      <c r="CN43" s="14"/>
      <c r="CO43" s="14" t="e">
        <f>SUM(CG$6:CG43)</f>
        <v>#REF!</v>
      </c>
      <c r="CP43" s="14" t="e">
        <f>SUM(CH$6:CH43)</f>
        <v>#REF!</v>
      </c>
      <c r="CQ43" s="14" t="e">
        <f>SUM(CI$6:CI43)</f>
        <v>#REF!</v>
      </c>
      <c r="CR43" s="14" t="e">
        <f>SUM(CJ$6:CJ43)</f>
        <v>#REF!</v>
      </c>
      <c r="CU43" s="83">
        <v>28</v>
      </c>
      <c r="CV43" s="14" t="e">
        <f>INDEX(节奏总表!#REF!,专属武器强化!CU43)</f>
        <v>#REF!</v>
      </c>
      <c r="CW43" s="14" t="e">
        <f t="shared" si="123"/>
        <v>#REF!</v>
      </c>
      <c r="CX43" s="14" t="e">
        <f t="shared" si="60"/>
        <v>#REF!</v>
      </c>
      <c r="CY43" s="14" t="e">
        <f t="shared" si="61"/>
        <v>#REF!</v>
      </c>
      <c r="CZ43" s="14" t="e">
        <f t="shared" si="62"/>
        <v>#REF!</v>
      </c>
      <c r="DA43" s="83">
        <v>6</v>
      </c>
      <c r="DB43" s="83">
        <v>1</v>
      </c>
      <c r="DC43" s="14">
        <f t="shared" si="105"/>
        <v>0</v>
      </c>
      <c r="DD43" s="14">
        <f t="shared" si="106"/>
        <v>0</v>
      </c>
      <c r="DE43" s="14">
        <f t="shared" si="107"/>
        <v>89.606363636363639</v>
      </c>
      <c r="DF43" s="14">
        <f t="shared" si="108"/>
        <v>18.103090909090909</v>
      </c>
      <c r="DG43" s="83"/>
      <c r="DH43" s="83"/>
      <c r="DI43" s="83"/>
      <c r="DJ43" s="83"/>
      <c r="DK43" s="14" t="e">
        <f>CW43-SUM(DC$7:DC43)+SUM(DG$7:DG43)</f>
        <v>#REF!</v>
      </c>
      <c r="DL43" s="14" t="e">
        <f>CX43-SUM(DD$7:DD43)+SUM(DH$7:DH43)</f>
        <v>#REF!</v>
      </c>
      <c r="DM43" s="14" t="e">
        <f>CY43-SUM(DE$7:DE43)+SUM(DI$7:DI43)</f>
        <v>#REF!</v>
      </c>
      <c r="DN43" s="14" t="e">
        <f>CZ43-SUM(DF$7:DF43)+SUM(DJ$7:DJ43)</f>
        <v>#REF!</v>
      </c>
      <c r="DQ43" s="95">
        <v>38</v>
      </c>
      <c r="DR43" s="14">
        <f t="shared" si="67"/>
        <v>5</v>
      </c>
      <c r="DS43" s="14">
        <f t="shared" si="68"/>
        <v>2</v>
      </c>
      <c r="DT43" s="14">
        <f t="shared" si="113"/>
        <v>0</v>
      </c>
      <c r="DU43" s="14">
        <f t="shared" si="113"/>
        <v>30.596140350877196</v>
      </c>
      <c r="DV43" s="14">
        <f t="shared" si="113"/>
        <v>19.762807017543864</v>
      </c>
      <c r="DW43" s="14">
        <f t="shared" si="113"/>
        <v>0</v>
      </c>
      <c r="DX43" s="14">
        <f t="shared" si="69"/>
        <v>2</v>
      </c>
      <c r="DY43" s="14">
        <f t="shared" si="70"/>
        <v>3</v>
      </c>
      <c r="EF43" s="139">
        <v>38</v>
      </c>
      <c r="EG43" s="14">
        <f t="shared" si="72"/>
        <v>5</v>
      </c>
      <c r="EH43" s="19">
        <v>0.03</v>
      </c>
      <c r="EI43" s="139">
        <v>3</v>
      </c>
      <c r="EJ43" s="139" t="s">
        <v>958</v>
      </c>
      <c r="EK43" s="139">
        <f t="shared" si="73"/>
        <v>1122</v>
      </c>
      <c r="EL43" s="139" t="s">
        <v>866</v>
      </c>
      <c r="EM43" s="139">
        <f t="shared" si="117"/>
        <v>3</v>
      </c>
      <c r="EN43" s="139" t="s">
        <v>867</v>
      </c>
      <c r="EO43" s="139">
        <v>2</v>
      </c>
      <c r="EP43" s="139">
        <f t="shared" si="124"/>
        <v>0.1</v>
      </c>
      <c r="EQ43" s="139">
        <v>1</v>
      </c>
      <c r="ER43" s="139">
        <f t="shared" si="130"/>
        <v>15</v>
      </c>
      <c r="ES43" s="139"/>
      <c r="ET43" s="139">
        <f t="shared" si="115"/>
        <v>9.8814035087719319</v>
      </c>
      <c r="EV43">
        <v>0</v>
      </c>
      <c r="EW43">
        <v>1</v>
      </c>
      <c r="EX43">
        <f t="shared" si="125"/>
        <v>3</v>
      </c>
      <c r="EY43" s="89">
        <f t="shared" si="126"/>
        <v>5.0599999999999999E-2</v>
      </c>
      <c r="EZ43">
        <v>1</v>
      </c>
      <c r="FA43">
        <f t="shared" si="127"/>
        <v>7</v>
      </c>
      <c r="FB43" s="89">
        <f t="shared" si="128"/>
        <v>0.2024</v>
      </c>
      <c r="FC43">
        <v>1</v>
      </c>
      <c r="FD43">
        <f t="shared" si="129"/>
        <v>15</v>
      </c>
      <c r="FN43" s="101">
        <v>38</v>
      </c>
      <c r="FO43" s="101">
        <f t="shared" si="75"/>
        <v>34</v>
      </c>
      <c r="FP43" s="101">
        <f t="shared" si="76"/>
        <v>1</v>
      </c>
      <c r="FQ43" s="14">
        <f t="shared" si="77"/>
        <v>5</v>
      </c>
      <c r="FR43" s="101" t="str">
        <f t="shared" si="78"/>
        <v>关羽专属武器-魂珠-4 7级</v>
      </c>
      <c r="FS43" s="101">
        <f t="shared" si="79"/>
        <v>4</v>
      </c>
      <c r="FT43" s="101">
        <f t="shared" si="80"/>
        <v>7</v>
      </c>
      <c r="FU43" s="101" t="str">
        <f t="shared" si="81"/>
        <v>金币</v>
      </c>
      <c r="FV43" s="139">
        <f>IF($FT43&gt;0,IF(INDEX($EI$6:$EI$77,$FO43)&gt;=FV$3,ROUND(INDEX(EK$6:EK$77,$FO43)*INDEX(卡牌消耗!$B$8:$F$8,FQ43)/5,0)*5,""),"")</f>
        <v>3545</v>
      </c>
      <c r="FW43" s="101" t="str">
        <f t="shared" si="82"/>
        <v>专属强化石2</v>
      </c>
      <c r="FX43" s="101">
        <f t="shared" si="83"/>
        <v>8</v>
      </c>
      <c r="FY43" s="101" t="str">
        <f t="shared" si="84"/>
        <v>专属强化石3</v>
      </c>
      <c r="FZ43" s="101">
        <f t="shared" si="85"/>
        <v>3</v>
      </c>
      <c r="GA43" s="101">
        <f t="shared" si="86"/>
        <v>0.03</v>
      </c>
      <c r="GB43" s="101">
        <f t="shared" si="87"/>
        <v>1</v>
      </c>
      <c r="GC43" s="101">
        <f t="shared" si="88"/>
        <v>52</v>
      </c>
      <c r="GD43" s="101">
        <f t="shared" si="89"/>
        <v>0</v>
      </c>
      <c r="GE43" s="101">
        <f t="shared" si="90"/>
        <v>1</v>
      </c>
      <c r="GF43" s="101">
        <f t="shared" si="91"/>
        <v>12</v>
      </c>
      <c r="GG43" s="101">
        <f t="shared" si="92"/>
        <v>1.4500000000000001E-2</v>
      </c>
      <c r="GH43" s="101">
        <f t="shared" si="93"/>
        <v>1</v>
      </c>
      <c r="GI43" s="101">
        <f t="shared" si="94"/>
        <v>24</v>
      </c>
      <c r="GJ43" s="101">
        <f t="shared" si="95"/>
        <v>5.7799999999999997E-2</v>
      </c>
      <c r="GK43" s="101">
        <f t="shared" si="96"/>
        <v>1</v>
      </c>
      <c r="GL43" s="101">
        <f t="shared" si="97"/>
        <v>52</v>
      </c>
    </row>
    <row r="44" spans="81:194" ht="16.5" x14ac:dyDescent="0.2">
      <c r="CC44" s="81">
        <v>39</v>
      </c>
      <c r="CD44" s="81" t="e">
        <f>INDEX(节奏总表!#REF!,MATCH(专属武器强化!CC44,节奏总表!#REF!,1))</f>
        <v>#REF!</v>
      </c>
      <c r="CE44" s="81"/>
      <c r="CF44" s="81" t="e">
        <f t="shared" si="118"/>
        <v>#REF!</v>
      </c>
      <c r="CG44" s="14" t="e">
        <f t="shared" si="119"/>
        <v>#REF!</v>
      </c>
      <c r="CH44" s="14" t="e">
        <f t="shared" si="120"/>
        <v>#REF!</v>
      </c>
      <c r="CI44" s="14" t="e">
        <f t="shared" si="121"/>
        <v>#REF!</v>
      </c>
      <c r="CJ44" s="14" t="e">
        <f t="shared" si="122"/>
        <v>#REF!</v>
      </c>
      <c r="CK44" s="14"/>
      <c r="CL44" s="14"/>
      <c r="CM44" s="14"/>
      <c r="CN44" s="14"/>
      <c r="CO44" s="14" t="e">
        <f>SUM(CG$6:CG44)</f>
        <v>#REF!</v>
      </c>
      <c r="CP44" s="14" t="e">
        <f>SUM(CH$6:CH44)</f>
        <v>#REF!</v>
      </c>
      <c r="CQ44" s="14" t="e">
        <f>SUM(CI$6:CI44)</f>
        <v>#REF!</v>
      </c>
      <c r="CR44" s="14" t="e">
        <f>SUM(CJ$6:CJ44)</f>
        <v>#REF!</v>
      </c>
      <c r="CU44" s="83">
        <v>29</v>
      </c>
      <c r="CV44" s="14" t="e">
        <f>INDEX(节奏总表!#REF!,专属武器强化!CU44)</f>
        <v>#REF!</v>
      </c>
      <c r="CW44" s="14" t="e">
        <f t="shared" si="123"/>
        <v>#REF!</v>
      </c>
      <c r="CX44" s="14" t="e">
        <f t="shared" si="60"/>
        <v>#REF!</v>
      </c>
      <c r="CY44" s="14" t="e">
        <f t="shared" si="61"/>
        <v>#REF!</v>
      </c>
      <c r="CZ44" s="14" t="e">
        <f t="shared" si="62"/>
        <v>#REF!</v>
      </c>
      <c r="DA44" s="83">
        <v>5</v>
      </c>
      <c r="DB44" s="83">
        <v>3</v>
      </c>
      <c r="DC44" s="14">
        <f t="shared" si="105"/>
        <v>0</v>
      </c>
      <c r="DD44" s="14">
        <f t="shared" si="106"/>
        <v>137.68263157894739</v>
      </c>
      <c r="DE44" s="14">
        <f t="shared" si="107"/>
        <v>88.93263157894738</v>
      </c>
      <c r="DF44" s="14">
        <f t="shared" si="108"/>
        <v>0</v>
      </c>
      <c r="DG44" s="83"/>
      <c r="DH44" s="83"/>
      <c r="DI44" s="83">
        <v>5</v>
      </c>
      <c r="DJ44" s="83"/>
      <c r="DK44" s="14" t="e">
        <f>CW44-SUM(DC$7:DC44)+SUM(DG$7:DG44)</f>
        <v>#REF!</v>
      </c>
      <c r="DL44" s="14" t="e">
        <f>CX44-SUM(DD$7:DD44)+SUM(DH$7:DH44)</f>
        <v>#REF!</v>
      </c>
      <c r="DM44" s="14" t="e">
        <f>CY44-SUM(DE$7:DE44)+SUM(DI$7:DI44)</f>
        <v>#REF!</v>
      </c>
      <c r="DN44" s="14" t="e">
        <f>CZ44-SUM(DF$7:DF44)+SUM(DJ$7:DJ44)</f>
        <v>#REF!</v>
      </c>
      <c r="DQ44" s="95">
        <v>39</v>
      </c>
      <c r="DR44" s="14">
        <f t="shared" si="67"/>
        <v>5</v>
      </c>
      <c r="DS44" s="14">
        <f t="shared" si="68"/>
        <v>3</v>
      </c>
      <c r="DT44" s="14">
        <f t="shared" si="113"/>
        <v>0</v>
      </c>
      <c r="DU44" s="14">
        <f t="shared" si="113"/>
        <v>45.894210526315796</v>
      </c>
      <c r="DV44" s="14">
        <f t="shared" si="113"/>
        <v>29.644210526315792</v>
      </c>
      <c r="DW44" s="14">
        <f t="shared" si="113"/>
        <v>0</v>
      </c>
      <c r="DX44" s="14">
        <f t="shared" si="69"/>
        <v>2</v>
      </c>
      <c r="DY44" s="14">
        <f t="shared" si="70"/>
        <v>3</v>
      </c>
      <c r="EF44" s="139">
        <v>39</v>
      </c>
      <c r="EG44" s="14">
        <f t="shared" si="72"/>
        <v>5</v>
      </c>
      <c r="EH44" s="19">
        <f t="shared" ref="EH44" si="131">EH42+EH43</f>
        <v>0.05</v>
      </c>
      <c r="EI44" s="139">
        <v>3</v>
      </c>
      <c r="EJ44" s="139" t="s">
        <v>958</v>
      </c>
      <c r="EK44" s="139">
        <f t="shared" si="73"/>
        <v>1246</v>
      </c>
      <c r="EL44" s="139" t="s">
        <v>866</v>
      </c>
      <c r="EM44" s="139">
        <f t="shared" si="117"/>
        <v>3</v>
      </c>
      <c r="EN44" s="139" t="s">
        <v>867</v>
      </c>
      <c r="EO44" s="139">
        <v>2</v>
      </c>
      <c r="EP44" s="139">
        <f t="shared" si="124"/>
        <v>7.0000000000000007E-2</v>
      </c>
      <c r="EQ44" s="139">
        <v>1</v>
      </c>
      <c r="ER44" s="139">
        <f t="shared" si="130"/>
        <v>22</v>
      </c>
      <c r="ES44" s="139"/>
      <c r="ET44" s="139">
        <f t="shared" si="115"/>
        <v>14.822105263157896</v>
      </c>
      <c r="EV44">
        <v>0</v>
      </c>
      <c r="EW44">
        <v>1</v>
      </c>
      <c r="EX44">
        <f t="shared" si="125"/>
        <v>5</v>
      </c>
      <c r="EY44" s="89">
        <f t="shared" si="126"/>
        <v>3.3700000000000001E-2</v>
      </c>
      <c r="EZ44">
        <v>1</v>
      </c>
      <c r="FA44">
        <f t="shared" si="127"/>
        <v>10</v>
      </c>
      <c r="FB44" s="89">
        <f t="shared" si="128"/>
        <v>0.13489999999999999</v>
      </c>
      <c r="FC44">
        <v>1</v>
      </c>
      <c r="FD44">
        <f t="shared" si="129"/>
        <v>22</v>
      </c>
      <c r="FN44" s="101">
        <v>39</v>
      </c>
      <c r="FO44" s="101">
        <f t="shared" si="75"/>
        <v>35</v>
      </c>
      <c r="FP44" s="101">
        <f t="shared" si="76"/>
        <v>1</v>
      </c>
      <c r="FQ44" s="14">
        <f t="shared" si="77"/>
        <v>5</v>
      </c>
      <c r="FR44" s="101" t="str">
        <f t="shared" si="78"/>
        <v>关羽专属武器-魂珠-4 8级</v>
      </c>
      <c r="FS44" s="101">
        <f t="shared" si="79"/>
        <v>4</v>
      </c>
      <c r="FT44" s="101">
        <f t="shared" si="80"/>
        <v>8</v>
      </c>
      <c r="FU44" s="101" t="str">
        <f t="shared" si="81"/>
        <v>金币</v>
      </c>
      <c r="FV44" s="139">
        <f>IF($FT44&gt;0,IF(INDEX($EI$6:$EI$77,$FO44)&gt;=FV$3,ROUND(INDEX(EK$6:EK$77,$FO44)*INDEX(卡牌消耗!$B$8:$F$8,FQ44)/5,0)*5,""),"")</f>
        <v>4720</v>
      </c>
      <c r="FW44" s="101" t="str">
        <f t="shared" si="82"/>
        <v>专属强化石2</v>
      </c>
      <c r="FX44" s="101">
        <f t="shared" si="83"/>
        <v>11</v>
      </c>
      <c r="FY44" s="101" t="str">
        <f t="shared" si="84"/>
        <v>专属强化石3</v>
      </c>
      <c r="FZ44" s="101">
        <f t="shared" si="85"/>
        <v>4</v>
      </c>
      <c r="GA44" s="101">
        <f t="shared" si="86"/>
        <v>0.02</v>
      </c>
      <c r="GB44" s="101">
        <f t="shared" si="87"/>
        <v>1</v>
      </c>
      <c r="GC44" s="101">
        <f t="shared" si="88"/>
        <v>63</v>
      </c>
      <c r="GD44" s="101">
        <f t="shared" si="89"/>
        <v>0</v>
      </c>
      <c r="GE44" s="101">
        <f t="shared" si="90"/>
        <v>1</v>
      </c>
      <c r="GF44" s="101">
        <f t="shared" si="91"/>
        <v>15</v>
      </c>
      <c r="GG44" s="101">
        <f t="shared" si="92"/>
        <v>1.1900000000000001E-2</v>
      </c>
      <c r="GH44" s="101">
        <f t="shared" si="93"/>
        <v>1</v>
      </c>
      <c r="GI44" s="101">
        <f t="shared" si="94"/>
        <v>29</v>
      </c>
      <c r="GJ44" s="101">
        <f t="shared" si="95"/>
        <v>4.7600000000000003E-2</v>
      </c>
      <c r="GK44" s="101">
        <f t="shared" si="96"/>
        <v>1</v>
      </c>
      <c r="GL44" s="101">
        <f t="shared" si="97"/>
        <v>63</v>
      </c>
    </row>
    <row r="45" spans="81:194" ht="16.5" x14ac:dyDescent="0.2">
      <c r="CC45" s="81">
        <v>40</v>
      </c>
      <c r="CD45" s="81" t="e">
        <f>INDEX(节奏总表!#REF!,MATCH(专属武器强化!CC45,节奏总表!#REF!,1))</f>
        <v>#REF!</v>
      </c>
      <c r="CE45" s="81"/>
      <c r="CF45" s="81" t="e">
        <f t="shared" si="118"/>
        <v>#REF!</v>
      </c>
      <c r="CG45" s="14" t="e">
        <f t="shared" si="119"/>
        <v>#REF!</v>
      </c>
      <c r="CH45" s="14" t="e">
        <f t="shared" si="120"/>
        <v>#REF!</v>
      </c>
      <c r="CI45" s="14" t="e">
        <f t="shared" si="121"/>
        <v>#REF!</v>
      </c>
      <c r="CJ45" s="14" t="e">
        <f t="shared" si="122"/>
        <v>#REF!</v>
      </c>
      <c r="CK45" s="14"/>
      <c r="CL45" s="14"/>
      <c r="CM45" s="14"/>
      <c r="CN45" s="14"/>
      <c r="CO45" s="14" t="e">
        <f>SUM(CG$6:CG45)</f>
        <v>#REF!</v>
      </c>
      <c r="CP45" s="14" t="e">
        <f>SUM(CH$6:CH45)</f>
        <v>#REF!</v>
      </c>
      <c r="CQ45" s="14" t="e">
        <f>SUM(CI$6:CI45)</f>
        <v>#REF!</v>
      </c>
      <c r="CR45" s="14" t="e">
        <f>SUM(CJ$6:CJ45)</f>
        <v>#REF!</v>
      </c>
      <c r="CU45" s="83">
        <v>30</v>
      </c>
      <c r="CV45" s="14" t="e">
        <f>INDEX(节奏总表!#REF!,专属武器强化!CU45)</f>
        <v>#REF!</v>
      </c>
      <c r="CW45" s="14" t="e">
        <f t="shared" si="123"/>
        <v>#REF!</v>
      </c>
      <c r="CX45" s="14" t="e">
        <f t="shared" si="60"/>
        <v>#REF!</v>
      </c>
      <c r="CY45" s="14" t="e">
        <f t="shared" si="61"/>
        <v>#REF!</v>
      </c>
      <c r="CZ45" s="14" t="e">
        <f t="shared" si="62"/>
        <v>#REF!</v>
      </c>
      <c r="DA45" s="83">
        <v>0</v>
      </c>
      <c r="DB45" s="83">
        <v>0</v>
      </c>
      <c r="DC45" s="14">
        <f t="shared" si="105"/>
        <v>0</v>
      </c>
      <c r="DD45" s="14">
        <f t="shared" si="106"/>
        <v>0</v>
      </c>
      <c r="DE45" s="14">
        <f t="shared" si="107"/>
        <v>0</v>
      </c>
      <c r="DF45" s="14">
        <f t="shared" si="108"/>
        <v>0</v>
      </c>
      <c r="DG45" s="83"/>
      <c r="DH45" s="83"/>
      <c r="DI45" s="83"/>
      <c r="DJ45" s="83"/>
      <c r="DK45" s="14" t="e">
        <f>CW45-SUM(DC$7:DC45)+SUM(DG$7:DG45)</f>
        <v>#REF!</v>
      </c>
      <c r="DL45" s="14" t="e">
        <f>CX45-SUM(DD$7:DD45)+SUM(DH$7:DH45)</f>
        <v>#REF!</v>
      </c>
      <c r="DM45" s="14" t="e">
        <f>CY45-SUM(DE$7:DE45)+SUM(DI$7:DI45)</f>
        <v>#REF!</v>
      </c>
      <c r="DN45" s="14" t="e">
        <f>CZ45-SUM(DF$7:DF45)+SUM(DJ$7:DJ45)</f>
        <v>#REF!</v>
      </c>
      <c r="DQ45" s="95">
        <v>40</v>
      </c>
      <c r="DR45" s="14">
        <f t="shared" si="67"/>
        <v>5</v>
      </c>
      <c r="DS45" s="14">
        <f t="shared" si="68"/>
        <v>4</v>
      </c>
      <c r="DT45" s="14">
        <f t="shared" si="113"/>
        <v>0</v>
      </c>
      <c r="DU45" s="14">
        <f t="shared" si="113"/>
        <v>76.490350877192995</v>
      </c>
      <c r="DV45" s="14">
        <f t="shared" si="113"/>
        <v>49.407017543859666</v>
      </c>
      <c r="DW45" s="14">
        <f t="shared" si="113"/>
        <v>0</v>
      </c>
      <c r="DX45" s="14">
        <f t="shared" si="69"/>
        <v>2</v>
      </c>
      <c r="DY45" s="14">
        <f t="shared" si="70"/>
        <v>3</v>
      </c>
      <c r="EF45" s="139">
        <v>40</v>
      </c>
      <c r="EG45" s="14">
        <f t="shared" si="72"/>
        <v>5</v>
      </c>
      <c r="EH45" s="19">
        <f t="shared" si="114"/>
        <v>0.08</v>
      </c>
      <c r="EI45" s="139">
        <v>3</v>
      </c>
      <c r="EJ45" s="139" t="s">
        <v>958</v>
      </c>
      <c r="EK45" s="139">
        <f t="shared" si="73"/>
        <v>1795</v>
      </c>
      <c r="EL45" s="139" t="s">
        <v>866</v>
      </c>
      <c r="EM45" s="139">
        <f t="shared" si="117"/>
        <v>5</v>
      </c>
      <c r="EN45" s="139" t="s">
        <v>867</v>
      </c>
      <c r="EO45" s="139">
        <v>3</v>
      </c>
      <c r="EP45" s="139">
        <f t="shared" si="124"/>
        <v>0.06</v>
      </c>
      <c r="EQ45" s="139">
        <v>1</v>
      </c>
      <c r="ER45" s="139">
        <f t="shared" si="130"/>
        <v>25</v>
      </c>
      <c r="ES45" s="139"/>
      <c r="ET45" s="139">
        <f t="shared" si="115"/>
        <v>16.469005847953223</v>
      </c>
      <c r="EV45">
        <v>0</v>
      </c>
      <c r="EW45">
        <v>1</v>
      </c>
      <c r="EX45">
        <f t="shared" si="125"/>
        <v>6</v>
      </c>
      <c r="EY45" s="89">
        <f t="shared" si="126"/>
        <v>3.04E-2</v>
      </c>
      <c r="EZ45">
        <v>1</v>
      </c>
      <c r="FA45">
        <f t="shared" si="127"/>
        <v>12</v>
      </c>
      <c r="FB45" s="89">
        <f t="shared" si="128"/>
        <v>0.12139999999999999</v>
      </c>
      <c r="FC45">
        <v>1</v>
      </c>
      <c r="FD45">
        <f t="shared" si="129"/>
        <v>25</v>
      </c>
      <c r="FN45" s="101">
        <v>40</v>
      </c>
      <c r="FO45" s="101">
        <f t="shared" si="75"/>
        <v>36</v>
      </c>
      <c r="FP45" s="101">
        <f t="shared" si="76"/>
        <v>1</v>
      </c>
      <c r="FQ45" s="14">
        <f t="shared" si="77"/>
        <v>5</v>
      </c>
      <c r="FR45" s="101" t="str">
        <f t="shared" si="78"/>
        <v>关羽专属武器-魂珠-4 9级</v>
      </c>
      <c r="FS45" s="101">
        <f t="shared" si="79"/>
        <v>4</v>
      </c>
      <c r="FT45" s="101">
        <f t="shared" si="80"/>
        <v>9</v>
      </c>
      <c r="FU45" s="101" t="str">
        <f t="shared" si="81"/>
        <v>金币</v>
      </c>
      <c r="FV45" s="139">
        <f>IF($FT45&gt;0,IF(INDEX($EI$6:$EI$77,$FO45)&gt;=FV$3,ROUND(INDEX(EK$6:EK$77,$FO45)*INDEX(卡牌消耗!$B$8:$F$8,FQ45)/5,0)*5,""),"")</f>
        <v>7085</v>
      </c>
      <c r="FW45" s="101" t="str">
        <f t="shared" si="82"/>
        <v>专属强化石2</v>
      </c>
      <c r="FX45" s="101">
        <f t="shared" si="83"/>
        <v>16</v>
      </c>
      <c r="FY45" s="101" t="str">
        <f t="shared" si="84"/>
        <v>专属强化石3</v>
      </c>
      <c r="FZ45" s="101">
        <f t="shared" si="85"/>
        <v>6</v>
      </c>
      <c r="GA45" s="101">
        <f t="shared" si="86"/>
        <v>0.02</v>
      </c>
      <c r="GB45" s="101">
        <f t="shared" si="87"/>
        <v>1</v>
      </c>
      <c r="GC45" s="101">
        <f t="shared" si="88"/>
        <v>68</v>
      </c>
      <c r="GD45" s="101">
        <f t="shared" si="89"/>
        <v>0</v>
      </c>
      <c r="GE45" s="101">
        <f t="shared" si="90"/>
        <v>1</v>
      </c>
      <c r="GF45" s="101">
        <f t="shared" si="91"/>
        <v>16</v>
      </c>
      <c r="GG45" s="101">
        <f t="shared" si="92"/>
        <v>1.0999999999999999E-2</v>
      </c>
      <c r="GH45" s="101">
        <f t="shared" si="93"/>
        <v>1</v>
      </c>
      <c r="GI45" s="101">
        <f t="shared" si="94"/>
        <v>32</v>
      </c>
      <c r="GJ45" s="101">
        <f t="shared" si="95"/>
        <v>4.4200000000000003E-2</v>
      </c>
      <c r="GK45" s="101">
        <f t="shared" si="96"/>
        <v>1</v>
      </c>
      <c r="GL45" s="101">
        <f t="shared" si="97"/>
        <v>68</v>
      </c>
    </row>
    <row r="46" spans="81:194" ht="16.5" x14ac:dyDescent="0.2">
      <c r="CC46" s="81">
        <v>41</v>
      </c>
      <c r="CD46" s="81" t="e">
        <f>INDEX(节奏总表!#REF!,MATCH(专属武器强化!CC46,节奏总表!#REF!,1))</f>
        <v>#REF!</v>
      </c>
      <c r="CE46" s="81"/>
      <c r="CF46" s="81" t="e">
        <f t="shared" si="118"/>
        <v>#REF!</v>
      </c>
      <c r="CG46" s="14" t="e">
        <f t="shared" si="119"/>
        <v>#REF!</v>
      </c>
      <c r="CH46" s="14" t="e">
        <f t="shared" si="120"/>
        <v>#REF!</v>
      </c>
      <c r="CI46" s="14" t="e">
        <f t="shared" si="121"/>
        <v>#REF!</v>
      </c>
      <c r="CJ46" s="14" t="e">
        <f t="shared" si="122"/>
        <v>#REF!</v>
      </c>
      <c r="CK46" s="14"/>
      <c r="CL46" s="14"/>
      <c r="CM46" s="14"/>
      <c r="CN46" s="14"/>
      <c r="CO46" s="14" t="e">
        <f>SUM(CG$6:CG46)</f>
        <v>#REF!</v>
      </c>
      <c r="CP46" s="14" t="e">
        <f>SUM(CH$6:CH46)</f>
        <v>#REF!</v>
      </c>
      <c r="CQ46" s="14" t="e">
        <f>SUM(CI$6:CI46)</f>
        <v>#REF!</v>
      </c>
      <c r="CR46" s="14" t="e">
        <f>SUM(CJ$6:CJ46)</f>
        <v>#REF!</v>
      </c>
      <c r="CU46" s="83">
        <v>31</v>
      </c>
      <c r="CV46" s="14" t="e">
        <f>INDEX(节奏总表!#REF!,专属武器强化!CU46)</f>
        <v>#REF!</v>
      </c>
      <c r="CW46" s="14" t="e">
        <f t="shared" si="123"/>
        <v>#REF!</v>
      </c>
      <c r="CX46" s="14" t="e">
        <f t="shared" si="60"/>
        <v>#REF!</v>
      </c>
      <c r="CY46" s="14" t="e">
        <f t="shared" si="61"/>
        <v>#REF!</v>
      </c>
      <c r="CZ46" s="14" t="e">
        <f t="shared" si="62"/>
        <v>#REF!</v>
      </c>
      <c r="DA46" s="152">
        <v>0</v>
      </c>
      <c r="DB46" s="152">
        <v>0</v>
      </c>
      <c r="DC46" s="14">
        <f t="shared" si="105"/>
        <v>0</v>
      </c>
      <c r="DD46" s="14">
        <f t="shared" si="106"/>
        <v>0</v>
      </c>
      <c r="DE46" s="14">
        <f t="shared" si="107"/>
        <v>0</v>
      </c>
      <c r="DF46" s="14">
        <f t="shared" si="108"/>
        <v>0</v>
      </c>
      <c r="DG46" s="83"/>
      <c r="DH46" s="83"/>
      <c r="DI46" s="83"/>
      <c r="DJ46" s="83"/>
      <c r="DK46" s="14" t="e">
        <f>CW46-SUM(DC$7:DC46)+SUM(DG$7:DG46)</f>
        <v>#REF!</v>
      </c>
      <c r="DL46" s="14" t="e">
        <f>CX46-SUM(DD$7:DD46)+SUM(DH$7:DH46)</f>
        <v>#REF!</v>
      </c>
      <c r="DM46" s="14" t="e">
        <f>CY46-SUM(DE$7:DE46)+SUM(DI$7:DI46)</f>
        <v>#REF!</v>
      </c>
      <c r="DN46" s="14" t="e">
        <f>CZ46-SUM(DF$7:DF46)+SUM(DJ$7:DJ46)</f>
        <v>#REF!</v>
      </c>
      <c r="DQ46" s="95">
        <v>41</v>
      </c>
      <c r="DR46" s="14">
        <f t="shared" si="67"/>
        <v>5</v>
      </c>
      <c r="DS46" s="14">
        <f t="shared" si="68"/>
        <v>5</v>
      </c>
      <c r="DT46" s="14">
        <f t="shared" ref="DT46:DW65" si="132">INDEX($K$22:$AP$30,$DS46,($DR46-1)*4+DT$3)</f>
        <v>0</v>
      </c>
      <c r="DU46" s="14">
        <f t="shared" si="132"/>
        <v>122.38456140350878</v>
      </c>
      <c r="DV46" s="14">
        <f t="shared" si="132"/>
        <v>79.051228070175455</v>
      </c>
      <c r="DW46" s="14">
        <f t="shared" si="132"/>
        <v>0</v>
      </c>
      <c r="DX46" s="14">
        <f t="shared" si="69"/>
        <v>2</v>
      </c>
      <c r="DY46" s="14">
        <f t="shared" si="70"/>
        <v>3</v>
      </c>
      <c r="EF46" s="139">
        <v>41</v>
      </c>
      <c r="EG46" s="14">
        <f t="shared" si="72"/>
        <v>5</v>
      </c>
      <c r="EH46" s="19">
        <f t="shared" si="114"/>
        <v>0.13</v>
      </c>
      <c r="EI46" s="139">
        <v>3</v>
      </c>
      <c r="EJ46" s="139" t="s">
        <v>958</v>
      </c>
      <c r="EK46" s="139">
        <f t="shared" si="73"/>
        <v>1823</v>
      </c>
      <c r="EL46" s="139" t="s">
        <v>866</v>
      </c>
      <c r="EM46" s="139">
        <f t="shared" si="117"/>
        <v>5</v>
      </c>
      <c r="EN46" s="139" t="s">
        <v>867</v>
      </c>
      <c r="EO46" s="139">
        <v>3</v>
      </c>
      <c r="EP46" s="139">
        <f t="shared" si="124"/>
        <v>0.04</v>
      </c>
      <c r="EQ46" s="139">
        <v>1</v>
      </c>
      <c r="ER46" s="139">
        <f t="shared" si="130"/>
        <v>40</v>
      </c>
      <c r="ES46" s="139"/>
      <c r="ET46" s="139">
        <f t="shared" si="115"/>
        <v>26.350409356725152</v>
      </c>
      <c r="EV46">
        <v>0</v>
      </c>
      <c r="EW46">
        <v>1</v>
      </c>
      <c r="EX46">
        <f t="shared" si="125"/>
        <v>9</v>
      </c>
      <c r="EY46" s="89">
        <f t="shared" si="126"/>
        <v>1.9E-2</v>
      </c>
      <c r="EZ46">
        <v>1</v>
      </c>
      <c r="FA46">
        <f t="shared" si="127"/>
        <v>18</v>
      </c>
      <c r="FB46" s="89">
        <f t="shared" si="128"/>
        <v>7.5899999999999995E-2</v>
      </c>
      <c r="FC46">
        <v>1</v>
      </c>
      <c r="FD46">
        <f t="shared" si="129"/>
        <v>40</v>
      </c>
      <c r="FN46" s="101">
        <v>41</v>
      </c>
      <c r="FO46" s="101">
        <f t="shared" si="75"/>
        <v>0</v>
      </c>
      <c r="FP46" s="101">
        <f t="shared" si="76"/>
        <v>1</v>
      </c>
      <c r="FQ46" s="14">
        <f t="shared" si="77"/>
        <v>5</v>
      </c>
      <c r="FR46" s="101" t="str">
        <f t="shared" si="78"/>
        <v>关羽专属武器-魂珠-5 0级</v>
      </c>
      <c r="FS46" s="101">
        <f t="shared" si="79"/>
        <v>5</v>
      </c>
      <c r="FT46" s="101">
        <f t="shared" si="80"/>
        <v>0</v>
      </c>
      <c r="FU46" s="101" t="str">
        <f t="shared" si="81"/>
        <v/>
      </c>
      <c r="FV46" s="139" t="str">
        <f>IF($FT46&gt;0,IF(INDEX($EI$6:$EI$77,$FO46)&gt;=FV$3,ROUND(INDEX(EK$6:EK$77,$FO46)*INDEX(卡牌消耗!$B$8:$F$8,FQ46)/5,0)*5,""),"")</f>
        <v/>
      </c>
      <c r="FW46" s="101" t="str">
        <f t="shared" si="82"/>
        <v/>
      </c>
      <c r="FX46" s="101" t="str">
        <f t="shared" si="83"/>
        <v/>
      </c>
      <c r="FY46" s="101" t="str">
        <f t="shared" si="84"/>
        <v/>
      </c>
      <c r="FZ46" s="101" t="str">
        <f t="shared" si="85"/>
        <v/>
      </c>
      <c r="GA46" s="101" t="str">
        <f t="shared" si="86"/>
        <v/>
      </c>
      <c r="GB46" s="101" t="str">
        <f t="shared" si="87"/>
        <v/>
      </c>
      <c r="GC46" s="101" t="str">
        <f t="shared" si="88"/>
        <v/>
      </c>
      <c r="GD46" s="101" t="str">
        <f t="shared" si="89"/>
        <v/>
      </c>
      <c r="GE46" s="101" t="str">
        <f t="shared" si="90"/>
        <v/>
      </c>
      <c r="GF46" s="101" t="str">
        <f t="shared" si="91"/>
        <v/>
      </c>
      <c r="GG46" s="101" t="str">
        <f t="shared" si="92"/>
        <v/>
      </c>
      <c r="GH46" s="101" t="str">
        <f t="shared" si="93"/>
        <v/>
      </c>
      <c r="GI46" s="101" t="str">
        <f t="shared" si="94"/>
        <v/>
      </c>
      <c r="GJ46" s="101" t="str">
        <f t="shared" si="95"/>
        <v/>
      </c>
      <c r="GK46" s="101" t="str">
        <f t="shared" si="96"/>
        <v/>
      </c>
      <c r="GL46" s="101" t="str">
        <f t="shared" si="97"/>
        <v/>
      </c>
    </row>
    <row r="47" spans="81:194" ht="16.5" x14ac:dyDescent="0.2">
      <c r="CC47" s="81">
        <v>42</v>
      </c>
      <c r="CD47" s="81" t="e">
        <f>INDEX(节奏总表!#REF!,MATCH(专属武器强化!CC47,节奏总表!#REF!,1))</f>
        <v>#REF!</v>
      </c>
      <c r="CE47" s="81"/>
      <c r="CF47" s="81" t="e">
        <f t="shared" si="118"/>
        <v>#REF!</v>
      </c>
      <c r="CG47" s="14" t="e">
        <f t="shared" si="119"/>
        <v>#REF!</v>
      </c>
      <c r="CH47" s="14" t="e">
        <f t="shared" si="120"/>
        <v>#REF!</v>
      </c>
      <c r="CI47" s="14" t="e">
        <f t="shared" si="121"/>
        <v>#REF!</v>
      </c>
      <c r="CJ47" s="14" t="e">
        <f t="shared" si="122"/>
        <v>#REF!</v>
      </c>
      <c r="CK47" s="14"/>
      <c r="CL47" s="14"/>
      <c r="CM47" s="14"/>
      <c r="CN47" s="14"/>
      <c r="CO47" s="14" t="e">
        <f>SUM(CG$6:CG47)</f>
        <v>#REF!</v>
      </c>
      <c r="CP47" s="14" t="e">
        <f>SUM(CH$6:CH47)</f>
        <v>#REF!</v>
      </c>
      <c r="CQ47" s="14" t="e">
        <f>SUM(CI$6:CI47)</f>
        <v>#REF!</v>
      </c>
      <c r="CR47" s="14" t="e">
        <f>SUM(CJ$6:CJ47)</f>
        <v>#REF!</v>
      </c>
      <c r="CU47" s="83">
        <v>32</v>
      </c>
      <c r="CV47" s="14" t="e">
        <f>INDEX(节奏总表!#REF!,专属武器强化!CU47)</f>
        <v>#REF!</v>
      </c>
      <c r="CW47" s="14" t="e">
        <f t="shared" si="123"/>
        <v>#REF!</v>
      </c>
      <c r="CX47" s="14" t="e">
        <f t="shared" si="60"/>
        <v>#REF!</v>
      </c>
      <c r="CY47" s="14" t="e">
        <f t="shared" si="61"/>
        <v>#REF!</v>
      </c>
      <c r="CZ47" s="14" t="e">
        <f t="shared" si="62"/>
        <v>#REF!</v>
      </c>
      <c r="DA47" s="83">
        <v>6</v>
      </c>
      <c r="DB47" s="83">
        <v>2</v>
      </c>
      <c r="DC47" s="14">
        <f t="shared" si="105"/>
        <v>0</v>
      </c>
      <c r="DD47" s="14">
        <f t="shared" si="106"/>
        <v>0</v>
      </c>
      <c r="DE47" s="14">
        <f t="shared" si="107"/>
        <v>179.21272727272728</v>
      </c>
      <c r="DF47" s="14">
        <f t="shared" si="108"/>
        <v>36.206181818181818</v>
      </c>
      <c r="DG47" s="83"/>
      <c r="DH47" s="83"/>
      <c r="DI47" s="83">
        <v>10</v>
      </c>
      <c r="DJ47" s="83"/>
      <c r="DK47" s="14" t="e">
        <f>CW47-SUM(DC$7:DC47)+SUM(DG$7:DG47)</f>
        <v>#REF!</v>
      </c>
      <c r="DL47" s="14" t="e">
        <f>CX47-SUM(DD$7:DD47)+SUM(DH$7:DH47)</f>
        <v>#REF!</v>
      </c>
      <c r="DM47" s="14" t="e">
        <f>CY47-SUM(DE$7:DE47)+SUM(DI$7:DI47)</f>
        <v>#REF!</v>
      </c>
      <c r="DN47" s="14" t="e">
        <f>CZ47-SUM(DF$7:DF47)+SUM(DJ$7:DJ47)</f>
        <v>#REF!</v>
      </c>
      <c r="DQ47" s="95">
        <v>42</v>
      </c>
      <c r="DR47" s="14">
        <f t="shared" si="67"/>
        <v>5</v>
      </c>
      <c r="DS47" s="14">
        <f t="shared" si="68"/>
        <v>6</v>
      </c>
      <c r="DT47" s="14">
        <f t="shared" si="132"/>
        <v>0</v>
      </c>
      <c r="DU47" s="14">
        <f t="shared" si="132"/>
        <v>198.87491228070178</v>
      </c>
      <c r="DV47" s="14">
        <f t="shared" si="132"/>
        <v>128.45824561403512</v>
      </c>
      <c r="DW47" s="14">
        <f t="shared" si="132"/>
        <v>0</v>
      </c>
      <c r="DX47" s="14">
        <f t="shared" si="69"/>
        <v>2</v>
      </c>
      <c r="DY47" s="14">
        <f t="shared" si="70"/>
        <v>3</v>
      </c>
      <c r="EF47" s="139">
        <v>42</v>
      </c>
      <c r="EG47" s="14">
        <f t="shared" si="72"/>
        <v>5</v>
      </c>
      <c r="EH47" s="19">
        <f t="shared" si="114"/>
        <v>0.21000000000000002</v>
      </c>
      <c r="EI47" s="139">
        <v>3</v>
      </c>
      <c r="EJ47" s="139" t="s">
        <v>958</v>
      </c>
      <c r="EK47" s="139">
        <f t="shared" si="73"/>
        <v>3020</v>
      </c>
      <c r="EL47" s="139" t="s">
        <v>866</v>
      </c>
      <c r="EM47" s="139">
        <f t="shared" si="117"/>
        <v>8</v>
      </c>
      <c r="EN47" s="139" t="s">
        <v>867</v>
      </c>
      <c r="EO47" s="139">
        <v>5</v>
      </c>
      <c r="EP47" s="139">
        <f t="shared" si="124"/>
        <v>0.04</v>
      </c>
      <c r="EQ47" s="139">
        <v>1</v>
      </c>
      <c r="ER47" s="139">
        <f t="shared" si="130"/>
        <v>39</v>
      </c>
      <c r="ES47" s="139"/>
      <c r="ET47" s="139">
        <f t="shared" si="115"/>
        <v>25.691649122807025</v>
      </c>
      <c r="EV47">
        <v>0</v>
      </c>
      <c r="EW47">
        <v>1</v>
      </c>
      <c r="EX47">
        <f t="shared" si="125"/>
        <v>9</v>
      </c>
      <c r="EY47" s="89">
        <f t="shared" si="126"/>
        <v>1.95E-2</v>
      </c>
      <c r="EZ47">
        <v>1</v>
      </c>
      <c r="FA47">
        <f t="shared" si="127"/>
        <v>18</v>
      </c>
      <c r="FB47" s="89">
        <f t="shared" si="128"/>
        <v>7.7799999999999994E-2</v>
      </c>
      <c r="FC47">
        <v>1</v>
      </c>
      <c r="FD47">
        <f t="shared" si="129"/>
        <v>39</v>
      </c>
      <c r="FN47" s="101">
        <v>42</v>
      </c>
      <c r="FO47" s="101">
        <f t="shared" si="75"/>
        <v>37</v>
      </c>
      <c r="FP47" s="101">
        <f t="shared" si="76"/>
        <v>1</v>
      </c>
      <c r="FQ47" s="14">
        <f t="shared" si="77"/>
        <v>5</v>
      </c>
      <c r="FR47" s="101" t="str">
        <f t="shared" si="78"/>
        <v>关羽专属武器-魂珠-5 1级</v>
      </c>
      <c r="FS47" s="101">
        <f t="shared" si="79"/>
        <v>5</v>
      </c>
      <c r="FT47" s="101">
        <f t="shared" si="80"/>
        <v>1</v>
      </c>
      <c r="FU47" s="101" t="str">
        <f t="shared" si="81"/>
        <v>金币</v>
      </c>
      <c r="FV47" s="139">
        <f>IF($FT47&gt;0,IF(INDEX($EI$6:$EI$77,$FO47)&gt;=FV$3,ROUND(INDEX(EK$6:EK$77,$FO47)*INDEX(卡牌消耗!$B$8:$F$8,FQ47)/5,0)*5,""),"")</f>
        <v>2990</v>
      </c>
      <c r="FW47" s="101" t="str">
        <f t="shared" si="82"/>
        <v>专属强化石2</v>
      </c>
      <c r="FX47" s="101">
        <f t="shared" si="83"/>
        <v>3</v>
      </c>
      <c r="FY47" s="101" t="str">
        <f t="shared" si="84"/>
        <v>专属强化石3</v>
      </c>
      <c r="FZ47" s="101">
        <f t="shared" si="85"/>
        <v>2</v>
      </c>
      <c r="GA47" s="101">
        <f t="shared" si="86"/>
        <v>0.2</v>
      </c>
      <c r="GB47" s="101">
        <f t="shared" si="87"/>
        <v>1</v>
      </c>
      <c r="GC47" s="101">
        <f t="shared" si="88"/>
        <v>7</v>
      </c>
      <c r="GD47" s="101">
        <f t="shared" si="89"/>
        <v>0</v>
      </c>
      <c r="GE47" s="101">
        <f t="shared" si="90"/>
        <v>1</v>
      </c>
      <c r="GF47" s="101">
        <f t="shared" si="91"/>
        <v>2</v>
      </c>
      <c r="GG47" s="101">
        <f t="shared" si="92"/>
        <v>0.1012</v>
      </c>
      <c r="GH47" s="101">
        <f t="shared" si="93"/>
        <v>1</v>
      </c>
      <c r="GI47" s="101">
        <f t="shared" si="94"/>
        <v>3</v>
      </c>
      <c r="GJ47" s="101">
        <f t="shared" si="95"/>
        <v>0.40479999999999999</v>
      </c>
      <c r="GK47" s="101">
        <f t="shared" si="96"/>
        <v>1</v>
      </c>
      <c r="GL47" s="101">
        <f t="shared" si="97"/>
        <v>7</v>
      </c>
    </row>
    <row r="48" spans="81:194" ht="16.5" x14ac:dyDescent="0.2">
      <c r="CC48" s="81">
        <v>43</v>
      </c>
      <c r="CD48" s="81" t="e">
        <f>INDEX(节奏总表!#REF!,MATCH(专属武器强化!CC48,节奏总表!#REF!,1))</f>
        <v>#REF!</v>
      </c>
      <c r="CE48" s="81"/>
      <c r="CF48" s="81" t="e">
        <f t="shared" si="118"/>
        <v>#REF!</v>
      </c>
      <c r="CG48" s="14" t="e">
        <f t="shared" si="119"/>
        <v>#REF!</v>
      </c>
      <c r="CH48" s="14" t="e">
        <f t="shared" si="120"/>
        <v>#REF!</v>
      </c>
      <c r="CI48" s="14" t="e">
        <f t="shared" si="121"/>
        <v>#REF!</v>
      </c>
      <c r="CJ48" s="14" t="e">
        <f t="shared" si="122"/>
        <v>#REF!</v>
      </c>
      <c r="CK48" s="14"/>
      <c r="CL48" s="14"/>
      <c r="CM48" s="14"/>
      <c r="CN48" s="14"/>
      <c r="CO48" s="14" t="e">
        <f>SUM(CG$6:CG48)</f>
        <v>#REF!</v>
      </c>
      <c r="CP48" s="14" t="e">
        <f>SUM(CH$6:CH48)</f>
        <v>#REF!</v>
      </c>
      <c r="CQ48" s="14" t="e">
        <f>SUM(CI$6:CI48)</f>
        <v>#REF!</v>
      </c>
      <c r="CR48" s="14" t="e">
        <f>SUM(CJ$6:CJ48)</f>
        <v>#REF!</v>
      </c>
      <c r="CU48" s="83">
        <v>33</v>
      </c>
      <c r="CV48" s="14" t="e">
        <f>INDEX(节奏总表!#REF!,专属武器强化!CU48)</f>
        <v>#REF!</v>
      </c>
      <c r="CW48" s="14" t="e">
        <f t="shared" si="123"/>
        <v>#REF!</v>
      </c>
      <c r="CX48" s="14" t="e">
        <f t="shared" si="60"/>
        <v>#REF!</v>
      </c>
      <c r="CY48" s="14" t="e">
        <f t="shared" si="61"/>
        <v>#REF!</v>
      </c>
      <c r="CZ48" s="14" t="e">
        <f t="shared" si="62"/>
        <v>#REF!</v>
      </c>
      <c r="DA48" s="83">
        <v>0</v>
      </c>
      <c r="DB48" s="83">
        <v>0</v>
      </c>
      <c r="DC48" s="14">
        <f t="shared" si="105"/>
        <v>0</v>
      </c>
      <c r="DD48" s="14">
        <f t="shared" si="106"/>
        <v>0</v>
      </c>
      <c r="DE48" s="14">
        <f t="shared" si="107"/>
        <v>0</v>
      </c>
      <c r="DF48" s="14">
        <f t="shared" si="108"/>
        <v>0</v>
      </c>
      <c r="DG48" s="83"/>
      <c r="DH48" s="83"/>
      <c r="DI48" s="83"/>
      <c r="DJ48" s="83"/>
      <c r="DK48" s="14" t="e">
        <f>CW48-SUM(DC$7:DC48)+SUM(DG$7:DG48)</f>
        <v>#REF!</v>
      </c>
      <c r="DL48" s="14" t="e">
        <f>CX48-SUM(DD$7:DD48)+SUM(DH$7:DH48)</f>
        <v>#REF!</v>
      </c>
      <c r="DM48" s="14" t="e">
        <f>CY48-SUM(DE$7:DE48)+SUM(DI$7:DI48)</f>
        <v>#REF!</v>
      </c>
      <c r="DN48" s="14" t="e">
        <f>CZ48-SUM(DF$7:DF48)+SUM(DJ$7:DJ48)</f>
        <v>#REF!</v>
      </c>
      <c r="DQ48" s="95">
        <v>43</v>
      </c>
      <c r="DR48" s="14">
        <f t="shared" si="67"/>
        <v>5</v>
      </c>
      <c r="DS48" s="14">
        <f t="shared" si="68"/>
        <v>7</v>
      </c>
      <c r="DT48" s="14">
        <f t="shared" si="132"/>
        <v>0</v>
      </c>
      <c r="DU48" s="14">
        <f t="shared" si="132"/>
        <v>321.25947368421055</v>
      </c>
      <c r="DV48" s="14">
        <f t="shared" si="132"/>
        <v>207.50947368421058</v>
      </c>
      <c r="DW48" s="14">
        <f t="shared" si="132"/>
        <v>0</v>
      </c>
      <c r="DX48" s="14">
        <f t="shared" si="69"/>
        <v>2</v>
      </c>
      <c r="DY48" s="14">
        <f t="shared" si="70"/>
        <v>3</v>
      </c>
      <c r="EF48" s="139">
        <v>43</v>
      </c>
      <c r="EG48" s="14">
        <f t="shared" si="72"/>
        <v>5</v>
      </c>
      <c r="EH48" s="19">
        <f t="shared" si="114"/>
        <v>0.34</v>
      </c>
      <c r="EI48" s="139">
        <v>3</v>
      </c>
      <c r="EJ48" s="139" t="s">
        <v>958</v>
      </c>
      <c r="EK48" s="139">
        <f t="shared" si="73"/>
        <v>3027</v>
      </c>
      <c r="EL48" s="139" t="s">
        <v>866</v>
      </c>
      <c r="EM48" s="139">
        <f t="shared" si="117"/>
        <v>8</v>
      </c>
      <c r="EN48" s="139" t="s">
        <v>867</v>
      </c>
      <c r="EO48" s="139">
        <v>5</v>
      </c>
      <c r="EP48" s="139">
        <f t="shared" si="124"/>
        <v>0.02</v>
      </c>
      <c r="EQ48" s="139">
        <v>1</v>
      </c>
      <c r="ER48" s="139">
        <f t="shared" si="130"/>
        <v>62</v>
      </c>
      <c r="ES48" s="139"/>
      <c r="ET48" s="139">
        <f t="shared" si="115"/>
        <v>41.501894736842118</v>
      </c>
      <c r="EV48">
        <v>0</v>
      </c>
      <c r="EW48">
        <v>1</v>
      </c>
      <c r="EX48">
        <f t="shared" si="125"/>
        <v>15</v>
      </c>
      <c r="EY48" s="89">
        <f t="shared" si="126"/>
        <v>1.2E-2</v>
      </c>
      <c r="EZ48">
        <v>1</v>
      </c>
      <c r="FA48">
        <f t="shared" si="127"/>
        <v>29</v>
      </c>
      <c r="FB48" s="89">
        <f t="shared" si="128"/>
        <v>4.82E-2</v>
      </c>
      <c r="FC48">
        <v>1</v>
      </c>
      <c r="FD48">
        <f t="shared" si="129"/>
        <v>62</v>
      </c>
      <c r="FN48" s="101">
        <v>43</v>
      </c>
      <c r="FO48" s="101">
        <f t="shared" si="75"/>
        <v>38</v>
      </c>
      <c r="FP48" s="101">
        <f t="shared" si="76"/>
        <v>1</v>
      </c>
      <c r="FQ48" s="14">
        <f t="shared" si="77"/>
        <v>5</v>
      </c>
      <c r="FR48" s="101" t="str">
        <f t="shared" si="78"/>
        <v>关羽专属武器-魂珠-5 2级</v>
      </c>
      <c r="FS48" s="101">
        <f t="shared" si="79"/>
        <v>5</v>
      </c>
      <c r="FT48" s="101">
        <f t="shared" si="80"/>
        <v>2</v>
      </c>
      <c r="FU48" s="101" t="str">
        <f t="shared" si="81"/>
        <v>金币</v>
      </c>
      <c r="FV48" s="139">
        <f>IF($FT48&gt;0,IF(INDEX($EI$6:$EI$77,$FO48)&gt;=FV$3,ROUND(INDEX(EK$6:EK$77,$FO48)*INDEX(卡牌消耗!$B$8:$F$8,FQ48)/5,0)*5,""),"")</f>
        <v>2245</v>
      </c>
      <c r="FW48" s="101" t="str">
        <f t="shared" si="82"/>
        <v>专属强化石2</v>
      </c>
      <c r="FX48" s="101">
        <f t="shared" si="83"/>
        <v>3</v>
      </c>
      <c r="FY48" s="101" t="str">
        <f t="shared" si="84"/>
        <v>专属强化石3</v>
      </c>
      <c r="FZ48" s="101">
        <f t="shared" si="85"/>
        <v>2</v>
      </c>
      <c r="GA48" s="101">
        <f t="shared" si="86"/>
        <v>0.1</v>
      </c>
      <c r="GB48" s="101">
        <f t="shared" si="87"/>
        <v>1</v>
      </c>
      <c r="GC48" s="101">
        <f t="shared" si="88"/>
        <v>15</v>
      </c>
      <c r="GD48" s="101">
        <f t="shared" si="89"/>
        <v>0</v>
      </c>
      <c r="GE48" s="101">
        <f t="shared" si="90"/>
        <v>1</v>
      </c>
      <c r="GF48" s="101">
        <f t="shared" si="91"/>
        <v>3</v>
      </c>
      <c r="GG48" s="101">
        <f t="shared" si="92"/>
        <v>5.0599999999999999E-2</v>
      </c>
      <c r="GH48" s="101">
        <f t="shared" si="93"/>
        <v>1</v>
      </c>
      <c r="GI48" s="101">
        <f t="shared" si="94"/>
        <v>7</v>
      </c>
      <c r="GJ48" s="101">
        <f t="shared" si="95"/>
        <v>0.2024</v>
      </c>
      <c r="GK48" s="101">
        <f t="shared" si="96"/>
        <v>1</v>
      </c>
      <c r="GL48" s="101">
        <f t="shared" si="97"/>
        <v>15</v>
      </c>
    </row>
    <row r="49" spans="81:194" ht="16.5" x14ac:dyDescent="0.2">
      <c r="CC49" s="81">
        <v>44</v>
      </c>
      <c r="CD49" s="81" t="e">
        <f>INDEX(节奏总表!#REF!,MATCH(专属武器强化!CC49,节奏总表!#REF!,1))</f>
        <v>#REF!</v>
      </c>
      <c r="CE49" s="81">
        <v>8</v>
      </c>
      <c r="CF49" s="81" t="e">
        <f t="shared" si="118"/>
        <v>#REF!</v>
      </c>
      <c r="CG49" s="14" t="e">
        <f t="shared" si="119"/>
        <v>#REF!</v>
      </c>
      <c r="CH49" s="14" t="e">
        <f t="shared" si="120"/>
        <v>#REF!</v>
      </c>
      <c r="CI49" s="14" t="e">
        <f t="shared" si="121"/>
        <v>#REF!</v>
      </c>
      <c r="CJ49" s="14" t="e">
        <f t="shared" si="122"/>
        <v>#REF!</v>
      </c>
      <c r="CK49" s="14"/>
      <c r="CL49" s="14"/>
      <c r="CM49" s="14"/>
      <c r="CN49" s="14"/>
      <c r="CO49" s="14" t="e">
        <f>SUM(CG$6:CG49)</f>
        <v>#REF!</v>
      </c>
      <c r="CP49" s="14" t="e">
        <f>SUM(CH$6:CH49)</f>
        <v>#REF!</v>
      </c>
      <c r="CQ49" s="14" t="e">
        <f>SUM(CI$6:CI49)</f>
        <v>#REF!</v>
      </c>
      <c r="CR49" s="14" t="e">
        <f>SUM(CJ$6:CJ49)</f>
        <v>#REF!</v>
      </c>
      <c r="CU49" s="83">
        <v>34</v>
      </c>
      <c r="CV49" s="14" t="e">
        <f>INDEX(节奏总表!#REF!,专属武器强化!CU49)</f>
        <v>#REF!</v>
      </c>
      <c r="CW49" s="14" t="e">
        <f t="shared" si="123"/>
        <v>#REF!</v>
      </c>
      <c r="CX49" s="14" t="e">
        <f t="shared" si="60"/>
        <v>#REF!</v>
      </c>
      <c r="CY49" s="14" t="e">
        <f t="shared" si="61"/>
        <v>#REF!</v>
      </c>
      <c r="CZ49" s="14" t="e">
        <f t="shared" si="62"/>
        <v>#REF!</v>
      </c>
      <c r="DA49" s="83">
        <v>0</v>
      </c>
      <c r="DB49" s="83">
        <v>0</v>
      </c>
      <c r="DC49" s="14">
        <f t="shared" si="105"/>
        <v>0</v>
      </c>
      <c r="DD49" s="14">
        <f t="shared" si="106"/>
        <v>0</v>
      </c>
      <c r="DE49" s="14">
        <f t="shared" si="107"/>
        <v>0</v>
      </c>
      <c r="DF49" s="14">
        <f t="shared" si="108"/>
        <v>0</v>
      </c>
      <c r="DG49" s="83"/>
      <c r="DH49" s="83"/>
      <c r="DI49" s="83"/>
      <c r="DJ49" s="83"/>
      <c r="DK49" s="14" t="e">
        <f>CW49-SUM(DC$7:DC49)+SUM(DG$7:DG49)</f>
        <v>#REF!</v>
      </c>
      <c r="DL49" s="14" t="e">
        <f>CX49-SUM(DD$7:DD49)+SUM(DH$7:DH49)</f>
        <v>#REF!</v>
      </c>
      <c r="DM49" s="14" t="e">
        <f>CY49-SUM(DE$7:DE49)+SUM(DI$7:DI49)</f>
        <v>#REF!</v>
      </c>
      <c r="DN49" s="14" t="e">
        <f>CZ49-SUM(DF$7:DF49)+SUM(DJ$7:DJ49)</f>
        <v>#REF!</v>
      </c>
      <c r="DQ49" s="95">
        <v>44</v>
      </c>
      <c r="DR49" s="14">
        <f t="shared" si="67"/>
        <v>5</v>
      </c>
      <c r="DS49" s="14">
        <f t="shared" si="68"/>
        <v>8</v>
      </c>
      <c r="DT49" s="14">
        <f t="shared" si="132"/>
        <v>0</v>
      </c>
      <c r="DU49" s="14">
        <f t="shared" si="132"/>
        <v>520.13438596491233</v>
      </c>
      <c r="DV49" s="14">
        <f t="shared" si="132"/>
        <v>335.96771929824564</v>
      </c>
      <c r="DW49" s="14">
        <f t="shared" si="132"/>
        <v>0</v>
      </c>
      <c r="DX49" s="14">
        <f t="shared" si="69"/>
        <v>2</v>
      </c>
      <c r="DY49" s="14">
        <f t="shared" si="70"/>
        <v>3</v>
      </c>
      <c r="EF49" s="139">
        <v>44</v>
      </c>
      <c r="EG49" s="14">
        <f t="shared" si="72"/>
        <v>5</v>
      </c>
      <c r="EH49" s="19">
        <f t="shared" si="114"/>
        <v>0.55000000000000004</v>
      </c>
      <c r="EI49" s="139">
        <v>3</v>
      </c>
      <c r="EJ49" s="139" t="s">
        <v>958</v>
      </c>
      <c r="EK49" s="139">
        <f t="shared" si="73"/>
        <v>4234</v>
      </c>
      <c r="EL49" s="139" t="s">
        <v>866</v>
      </c>
      <c r="EM49" s="139">
        <f t="shared" si="117"/>
        <v>11</v>
      </c>
      <c r="EN49" s="139" t="s">
        <v>867</v>
      </c>
      <c r="EO49" s="139">
        <v>7</v>
      </c>
      <c r="EP49" s="139">
        <f t="shared" si="124"/>
        <v>0.02</v>
      </c>
      <c r="EQ49" s="139">
        <v>1</v>
      </c>
      <c r="ER49" s="139">
        <f t="shared" si="130"/>
        <v>72</v>
      </c>
      <c r="ES49" s="139"/>
      <c r="ET49" s="139">
        <f t="shared" si="115"/>
        <v>47.995388471177947</v>
      </c>
      <c r="EV49">
        <v>0</v>
      </c>
      <c r="EW49">
        <v>1</v>
      </c>
      <c r="EX49">
        <f t="shared" si="125"/>
        <v>17</v>
      </c>
      <c r="EY49" s="89">
        <f t="shared" si="126"/>
        <v>1.04E-2</v>
      </c>
      <c r="EZ49">
        <v>1</v>
      </c>
      <c r="FA49">
        <f t="shared" si="127"/>
        <v>34</v>
      </c>
      <c r="FB49" s="89">
        <f t="shared" si="128"/>
        <v>4.1700000000000001E-2</v>
      </c>
      <c r="FC49">
        <v>1</v>
      </c>
      <c r="FD49">
        <f t="shared" si="129"/>
        <v>72</v>
      </c>
      <c r="FN49" s="101">
        <v>44</v>
      </c>
      <c r="FO49" s="101">
        <f t="shared" si="75"/>
        <v>39</v>
      </c>
      <c r="FP49" s="101">
        <f t="shared" si="76"/>
        <v>1</v>
      </c>
      <c r="FQ49" s="14">
        <f t="shared" si="77"/>
        <v>5</v>
      </c>
      <c r="FR49" s="101" t="str">
        <f t="shared" si="78"/>
        <v>关羽专属武器-魂珠-5 3级</v>
      </c>
      <c r="FS49" s="101">
        <f t="shared" si="79"/>
        <v>5</v>
      </c>
      <c r="FT49" s="101">
        <f t="shared" si="80"/>
        <v>3</v>
      </c>
      <c r="FU49" s="101" t="str">
        <f t="shared" si="81"/>
        <v>金币</v>
      </c>
      <c r="FV49" s="139">
        <f>IF($FT49&gt;0,IF(INDEX($EI$6:$EI$77,$FO49)&gt;=FV$3,ROUND(INDEX(EK$6:EK$77,$FO49)*INDEX(卡牌消耗!$B$8:$F$8,FQ49)/5,0)*5,""),"")</f>
        <v>2490</v>
      </c>
      <c r="FW49" s="101" t="str">
        <f t="shared" si="82"/>
        <v>专属强化石2</v>
      </c>
      <c r="FX49" s="101">
        <f t="shared" si="83"/>
        <v>3</v>
      </c>
      <c r="FY49" s="101" t="str">
        <f t="shared" si="84"/>
        <v>专属强化石3</v>
      </c>
      <c r="FZ49" s="101">
        <f t="shared" si="85"/>
        <v>2</v>
      </c>
      <c r="GA49" s="101">
        <f t="shared" si="86"/>
        <v>7.0000000000000007E-2</v>
      </c>
      <c r="GB49" s="101">
        <f t="shared" si="87"/>
        <v>1</v>
      </c>
      <c r="GC49" s="101">
        <f t="shared" si="88"/>
        <v>22</v>
      </c>
      <c r="GD49" s="101">
        <f t="shared" si="89"/>
        <v>0</v>
      </c>
      <c r="GE49" s="101">
        <f t="shared" si="90"/>
        <v>1</v>
      </c>
      <c r="GF49" s="101">
        <f t="shared" si="91"/>
        <v>5</v>
      </c>
      <c r="GG49" s="101">
        <f t="shared" si="92"/>
        <v>3.3700000000000001E-2</v>
      </c>
      <c r="GH49" s="101">
        <f t="shared" si="93"/>
        <v>1</v>
      </c>
      <c r="GI49" s="101">
        <f t="shared" si="94"/>
        <v>10</v>
      </c>
      <c r="GJ49" s="101">
        <f t="shared" si="95"/>
        <v>0.13489999999999999</v>
      </c>
      <c r="GK49" s="101">
        <f t="shared" si="96"/>
        <v>1</v>
      </c>
      <c r="GL49" s="101">
        <f t="shared" si="97"/>
        <v>22</v>
      </c>
    </row>
    <row r="50" spans="81:194" ht="16.5" x14ac:dyDescent="0.2">
      <c r="CC50" s="81">
        <v>45</v>
      </c>
      <c r="CD50" s="81" t="e">
        <f>INDEX(节奏总表!#REF!,MATCH(专属武器强化!CC50,节奏总表!#REF!,1))</f>
        <v>#REF!</v>
      </c>
      <c r="CE50" s="81"/>
      <c r="CF50" s="81" t="e">
        <f t="shared" si="118"/>
        <v>#REF!</v>
      </c>
      <c r="CG50" s="14" t="e">
        <f t="shared" si="119"/>
        <v>#REF!</v>
      </c>
      <c r="CH50" s="14" t="e">
        <f t="shared" si="120"/>
        <v>#REF!</v>
      </c>
      <c r="CI50" s="14" t="e">
        <f t="shared" si="121"/>
        <v>#REF!</v>
      </c>
      <c r="CJ50" s="14" t="e">
        <f t="shared" si="122"/>
        <v>#REF!</v>
      </c>
      <c r="CK50" s="14"/>
      <c r="CL50" s="14"/>
      <c r="CM50" s="14"/>
      <c r="CN50" s="14"/>
      <c r="CO50" s="14" t="e">
        <f>SUM(CG$6:CG50)</f>
        <v>#REF!</v>
      </c>
      <c r="CP50" s="14" t="e">
        <f>SUM(CH$6:CH50)</f>
        <v>#REF!</v>
      </c>
      <c r="CQ50" s="14" t="e">
        <f>SUM(CI$6:CI50)</f>
        <v>#REF!</v>
      </c>
      <c r="CR50" s="14" t="e">
        <f>SUM(CJ$6:CJ50)</f>
        <v>#REF!</v>
      </c>
      <c r="CU50" s="83">
        <v>35</v>
      </c>
      <c r="CV50" s="14" t="e">
        <f>INDEX(节奏总表!#REF!,专属武器强化!CU50)</f>
        <v>#REF!</v>
      </c>
      <c r="CW50" s="14" t="e">
        <f t="shared" si="123"/>
        <v>#REF!</v>
      </c>
      <c r="CX50" s="14" t="e">
        <f t="shared" si="60"/>
        <v>#REF!</v>
      </c>
      <c r="CY50" s="14" t="e">
        <f t="shared" si="61"/>
        <v>#REF!</v>
      </c>
      <c r="CZ50" s="14" t="e">
        <f t="shared" si="62"/>
        <v>#REF!</v>
      </c>
      <c r="DA50" s="83">
        <v>7</v>
      </c>
      <c r="DB50" s="83">
        <v>1</v>
      </c>
      <c r="DC50" s="14">
        <f t="shared" si="105"/>
        <v>0</v>
      </c>
      <c r="DD50" s="14">
        <f t="shared" si="106"/>
        <v>0</v>
      </c>
      <c r="DE50" s="14">
        <f t="shared" si="107"/>
        <v>89.606363636363639</v>
      </c>
      <c r="DF50" s="14">
        <f t="shared" si="108"/>
        <v>30.171818181818182</v>
      </c>
      <c r="DG50" s="83"/>
      <c r="DH50" s="83"/>
      <c r="DI50" s="83"/>
      <c r="DJ50" s="83"/>
      <c r="DK50" s="14" t="e">
        <f>CW50-SUM(DC$7:DC50)+SUM(DG$7:DG50)</f>
        <v>#REF!</v>
      </c>
      <c r="DL50" s="14" t="e">
        <f>CX50-SUM(DD$7:DD50)+SUM(DH$7:DH50)</f>
        <v>#REF!</v>
      </c>
      <c r="DM50" s="14" t="e">
        <f>CY50-SUM(DE$7:DE50)+SUM(DI$7:DI50)</f>
        <v>#REF!</v>
      </c>
      <c r="DN50" s="14" t="e">
        <f>CZ50-SUM(DF$7:DF50)+SUM(DJ$7:DJ50)</f>
        <v>#REF!</v>
      </c>
      <c r="DQ50" s="95">
        <v>45</v>
      </c>
      <c r="DR50" s="14">
        <f t="shared" si="67"/>
        <v>5</v>
      </c>
      <c r="DS50" s="14">
        <f t="shared" si="68"/>
        <v>9</v>
      </c>
      <c r="DT50" s="14">
        <f t="shared" si="132"/>
        <v>0</v>
      </c>
      <c r="DU50" s="14">
        <f t="shared" si="132"/>
        <v>841.39385964912287</v>
      </c>
      <c r="DV50" s="14">
        <f t="shared" si="132"/>
        <v>543.47719298245624</v>
      </c>
      <c r="DW50" s="14">
        <f t="shared" si="132"/>
        <v>0</v>
      </c>
      <c r="DX50" s="14">
        <f t="shared" si="69"/>
        <v>2</v>
      </c>
      <c r="DY50" s="14">
        <f t="shared" si="70"/>
        <v>3</v>
      </c>
      <c r="EF50" s="139">
        <v>45</v>
      </c>
      <c r="EG50" s="14">
        <f t="shared" si="72"/>
        <v>5</v>
      </c>
      <c r="EH50" s="19">
        <f t="shared" si="114"/>
        <v>0.89000000000000012</v>
      </c>
      <c r="EI50" s="139">
        <v>3</v>
      </c>
      <c r="EJ50" s="139" t="s">
        <v>958</v>
      </c>
      <c r="EK50" s="139">
        <f t="shared" si="73"/>
        <v>5446</v>
      </c>
      <c r="EL50" s="139" t="s">
        <v>866</v>
      </c>
      <c r="EM50" s="139">
        <f t="shared" si="117"/>
        <v>14</v>
      </c>
      <c r="EN50" s="139" t="s">
        <v>867</v>
      </c>
      <c r="EO50" s="139">
        <v>9</v>
      </c>
      <c r="EP50" s="139">
        <f t="shared" si="124"/>
        <v>0.02</v>
      </c>
      <c r="EQ50" s="139">
        <v>1</v>
      </c>
      <c r="ER50" s="139">
        <f t="shared" si="130"/>
        <v>91</v>
      </c>
      <c r="ES50" s="139"/>
      <c r="ET50" s="139">
        <f t="shared" si="115"/>
        <v>60.386354775828472</v>
      </c>
      <c r="EV50">
        <v>0</v>
      </c>
      <c r="EW50">
        <v>1</v>
      </c>
      <c r="EX50">
        <f t="shared" si="125"/>
        <v>21</v>
      </c>
      <c r="EY50" s="89">
        <f t="shared" si="126"/>
        <v>8.3000000000000001E-3</v>
      </c>
      <c r="EZ50">
        <v>1</v>
      </c>
      <c r="FA50">
        <f t="shared" si="127"/>
        <v>42</v>
      </c>
      <c r="FB50" s="89">
        <f t="shared" si="128"/>
        <v>3.3099999999999997E-2</v>
      </c>
      <c r="FC50">
        <v>1</v>
      </c>
      <c r="FD50">
        <f t="shared" si="129"/>
        <v>91</v>
      </c>
      <c r="FN50" s="101">
        <v>45</v>
      </c>
      <c r="FO50" s="101">
        <f t="shared" si="75"/>
        <v>40</v>
      </c>
      <c r="FP50" s="101">
        <f t="shared" si="76"/>
        <v>1</v>
      </c>
      <c r="FQ50" s="14">
        <f t="shared" si="77"/>
        <v>5</v>
      </c>
      <c r="FR50" s="101" t="str">
        <f t="shared" si="78"/>
        <v>关羽专属武器-魂珠-5 4级</v>
      </c>
      <c r="FS50" s="101">
        <f t="shared" si="79"/>
        <v>5</v>
      </c>
      <c r="FT50" s="101">
        <f t="shared" si="80"/>
        <v>4</v>
      </c>
      <c r="FU50" s="101" t="str">
        <f t="shared" si="81"/>
        <v>金币</v>
      </c>
      <c r="FV50" s="139">
        <f>IF($FT50&gt;0,IF(INDEX($EI$6:$EI$77,$FO50)&gt;=FV$3,ROUND(INDEX(EK$6:EK$77,$FO50)*INDEX(卡牌消耗!$B$8:$F$8,FQ50)/5,0)*5,""),"")</f>
        <v>3590</v>
      </c>
      <c r="FW50" s="101" t="str">
        <f t="shared" si="82"/>
        <v>专属强化石2</v>
      </c>
      <c r="FX50" s="101">
        <f t="shared" si="83"/>
        <v>5</v>
      </c>
      <c r="FY50" s="101" t="str">
        <f t="shared" si="84"/>
        <v>专属强化石3</v>
      </c>
      <c r="FZ50" s="101">
        <f t="shared" si="85"/>
        <v>3</v>
      </c>
      <c r="GA50" s="101">
        <f t="shared" si="86"/>
        <v>0.06</v>
      </c>
      <c r="GB50" s="101">
        <f t="shared" si="87"/>
        <v>1</v>
      </c>
      <c r="GC50" s="101">
        <f t="shared" si="88"/>
        <v>25</v>
      </c>
      <c r="GD50" s="101">
        <f t="shared" si="89"/>
        <v>0</v>
      </c>
      <c r="GE50" s="101">
        <f t="shared" si="90"/>
        <v>1</v>
      </c>
      <c r="GF50" s="101">
        <f t="shared" si="91"/>
        <v>6</v>
      </c>
      <c r="GG50" s="101">
        <f t="shared" si="92"/>
        <v>3.04E-2</v>
      </c>
      <c r="GH50" s="101">
        <f t="shared" si="93"/>
        <v>1</v>
      </c>
      <c r="GI50" s="101">
        <f t="shared" si="94"/>
        <v>12</v>
      </c>
      <c r="GJ50" s="101">
        <f t="shared" si="95"/>
        <v>0.12139999999999999</v>
      </c>
      <c r="GK50" s="101">
        <f t="shared" si="96"/>
        <v>1</v>
      </c>
      <c r="GL50" s="101">
        <f t="shared" si="97"/>
        <v>25</v>
      </c>
    </row>
    <row r="51" spans="81:194" ht="16.5" x14ac:dyDescent="0.2">
      <c r="CC51" s="81">
        <v>46</v>
      </c>
      <c r="CD51" s="81" t="e">
        <f>INDEX(节奏总表!#REF!,MATCH(专属武器强化!CC51,节奏总表!#REF!,1))</f>
        <v>#REF!</v>
      </c>
      <c r="CE51" s="81"/>
      <c r="CF51" s="81" t="e">
        <f t="shared" si="118"/>
        <v>#REF!</v>
      </c>
      <c r="CG51" s="14" t="e">
        <f t="shared" si="119"/>
        <v>#REF!</v>
      </c>
      <c r="CH51" s="14" t="e">
        <f t="shared" si="120"/>
        <v>#REF!</v>
      </c>
      <c r="CI51" s="14" t="e">
        <f t="shared" si="121"/>
        <v>#REF!</v>
      </c>
      <c r="CJ51" s="14" t="e">
        <f t="shared" si="122"/>
        <v>#REF!</v>
      </c>
      <c r="CK51" s="14"/>
      <c r="CL51" s="14"/>
      <c r="CM51" s="14"/>
      <c r="CN51" s="14"/>
      <c r="CO51" s="14" t="e">
        <f>SUM(CG$6:CG51)</f>
        <v>#REF!</v>
      </c>
      <c r="CP51" s="14" t="e">
        <f>SUM(CH$6:CH51)</f>
        <v>#REF!</v>
      </c>
      <c r="CQ51" s="14" t="e">
        <f>SUM(CI$6:CI51)</f>
        <v>#REF!</v>
      </c>
      <c r="CR51" s="14" t="e">
        <f>SUM(CJ$6:CJ51)</f>
        <v>#REF!</v>
      </c>
      <c r="CU51" s="83">
        <v>36</v>
      </c>
      <c r="CV51" s="14" t="e">
        <f>INDEX(节奏总表!#REF!,专属武器强化!CU51)</f>
        <v>#REF!</v>
      </c>
      <c r="CW51" s="14" t="e">
        <f t="shared" si="123"/>
        <v>#REF!</v>
      </c>
      <c r="CX51" s="14" t="e">
        <f t="shared" si="60"/>
        <v>#REF!</v>
      </c>
      <c r="CY51" s="14" t="e">
        <f t="shared" si="61"/>
        <v>#REF!</v>
      </c>
      <c r="CZ51" s="14" t="e">
        <f t="shared" si="62"/>
        <v>#REF!</v>
      </c>
      <c r="DA51" s="83">
        <v>6</v>
      </c>
      <c r="DB51" s="83">
        <v>3</v>
      </c>
      <c r="DC51" s="14">
        <f t="shared" si="105"/>
        <v>0</v>
      </c>
      <c r="DD51" s="14">
        <f t="shared" si="106"/>
        <v>0</v>
      </c>
      <c r="DE51" s="14">
        <f t="shared" si="107"/>
        <v>268.8190909090909</v>
      </c>
      <c r="DF51" s="14">
        <f t="shared" si="108"/>
        <v>54.309272727272713</v>
      </c>
      <c r="DG51" s="83"/>
      <c r="DH51" s="83"/>
      <c r="DI51" s="83"/>
      <c r="DJ51" s="83"/>
      <c r="DK51" s="14" t="e">
        <f>CW51-SUM(DC$7:DC51)+SUM(DG$7:DG51)</f>
        <v>#REF!</v>
      </c>
      <c r="DL51" s="14" t="e">
        <f>CX51-SUM(DD$7:DD51)+SUM(DH$7:DH51)</f>
        <v>#REF!</v>
      </c>
      <c r="DM51" s="14" t="e">
        <f>CY51-SUM(DE$7:DE51)+SUM(DI$7:DI51)</f>
        <v>#REF!</v>
      </c>
      <c r="DN51" s="14" t="e">
        <f>CZ51-SUM(DF$7:DF51)+SUM(DJ$7:DJ51)</f>
        <v>#REF!</v>
      </c>
      <c r="DQ51" s="95">
        <v>46</v>
      </c>
      <c r="DR51" s="14">
        <f t="shared" si="67"/>
        <v>6</v>
      </c>
      <c r="DS51" s="14">
        <f t="shared" si="68"/>
        <v>1</v>
      </c>
      <c r="DT51" s="14">
        <f t="shared" si="132"/>
        <v>0</v>
      </c>
      <c r="DU51" s="14">
        <f t="shared" si="132"/>
        <v>0</v>
      </c>
      <c r="DV51" s="14">
        <f t="shared" si="132"/>
        <v>29.868787878787881</v>
      </c>
      <c r="DW51" s="14">
        <f t="shared" si="132"/>
        <v>6.0343636363636364</v>
      </c>
      <c r="DX51" s="14">
        <f t="shared" si="69"/>
        <v>3</v>
      </c>
      <c r="DY51" s="14">
        <f t="shared" si="70"/>
        <v>4</v>
      </c>
      <c r="EF51" s="139">
        <v>46</v>
      </c>
      <c r="EG51" s="14">
        <f t="shared" si="72"/>
        <v>6</v>
      </c>
      <c r="EH51" s="19">
        <v>0.02</v>
      </c>
      <c r="EI51" s="139">
        <v>3</v>
      </c>
      <c r="EJ51" s="139" t="s">
        <v>958</v>
      </c>
      <c r="EK51" s="139">
        <f t="shared" si="73"/>
        <v>1454</v>
      </c>
      <c r="EL51" s="139" t="s">
        <v>867</v>
      </c>
      <c r="EM51" s="139">
        <f>ROUND(EO51*DV51/DW51,0)</f>
        <v>5</v>
      </c>
      <c r="EN51" s="139" t="s">
        <v>870</v>
      </c>
      <c r="EO51" s="139">
        <v>1</v>
      </c>
      <c r="EP51" s="139">
        <f t="shared" si="124"/>
        <v>0.17</v>
      </c>
      <c r="EQ51" s="139">
        <v>1</v>
      </c>
      <c r="ER51" s="139">
        <f t="shared" si="130"/>
        <v>9</v>
      </c>
      <c r="ES51" s="139"/>
      <c r="ET51" s="139">
        <f t="shared" ref="ET51:ET68" si="133">DW51/EO51</f>
        <v>6.0343636363636364</v>
      </c>
      <c r="EV51">
        <v>0</v>
      </c>
      <c r="EW51">
        <v>1</v>
      </c>
      <c r="EX51">
        <f t="shared" si="125"/>
        <v>2</v>
      </c>
      <c r="EY51" s="89">
        <f t="shared" si="126"/>
        <v>8.2900000000000001E-2</v>
      </c>
      <c r="EZ51">
        <v>1</v>
      </c>
      <c r="FA51">
        <f t="shared" si="127"/>
        <v>4</v>
      </c>
      <c r="FB51" s="89">
        <f t="shared" si="128"/>
        <v>0.33139999999999997</v>
      </c>
      <c r="FC51">
        <v>1</v>
      </c>
      <c r="FD51">
        <f t="shared" si="129"/>
        <v>9</v>
      </c>
      <c r="FN51" s="101">
        <v>46</v>
      </c>
      <c r="FO51" s="101">
        <f t="shared" si="75"/>
        <v>41</v>
      </c>
      <c r="FP51" s="101">
        <f t="shared" si="76"/>
        <v>1</v>
      </c>
      <c r="FQ51" s="14">
        <f t="shared" si="77"/>
        <v>5</v>
      </c>
      <c r="FR51" s="101" t="str">
        <f t="shared" si="78"/>
        <v>关羽专属武器-魂珠-5 5级</v>
      </c>
      <c r="FS51" s="101">
        <f t="shared" si="79"/>
        <v>5</v>
      </c>
      <c r="FT51" s="101">
        <f t="shared" si="80"/>
        <v>5</v>
      </c>
      <c r="FU51" s="101" t="str">
        <f t="shared" si="81"/>
        <v>金币</v>
      </c>
      <c r="FV51" s="139">
        <f>IF($FT51&gt;0,IF(INDEX($EI$6:$EI$77,$FO51)&gt;=FV$3,ROUND(INDEX(EK$6:EK$77,$FO51)*INDEX(卡牌消耗!$B$8:$F$8,FQ51)/5,0)*5,""),"")</f>
        <v>3645</v>
      </c>
      <c r="FW51" s="101" t="str">
        <f t="shared" si="82"/>
        <v>专属强化石2</v>
      </c>
      <c r="FX51" s="101">
        <f t="shared" si="83"/>
        <v>5</v>
      </c>
      <c r="FY51" s="101" t="str">
        <f t="shared" si="84"/>
        <v>专属强化石3</v>
      </c>
      <c r="FZ51" s="101">
        <f t="shared" si="85"/>
        <v>3</v>
      </c>
      <c r="GA51" s="101">
        <f t="shared" si="86"/>
        <v>0.04</v>
      </c>
      <c r="GB51" s="101">
        <f t="shared" si="87"/>
        <v>1</v>
      </c>
      <c r="GC51" s="101">
        <f t="shared" si="88"/>
        <v>40</v>
      </c>
      <c r="GD51" s="101">
        <f t="shared" si="89"/>
        <v>0</v>
      </c>
      <c r="GE51" s="101">
        <f t="shared" si="90"/>
        <v>1</v>
      </c>
      <c r="GF51" s="101">
        <f t="shared" si="91"/>
        <v>9</v>
      </c>
      <c r="GG51" s="101">
        <f t="shared" si="92"/>
        <v>1.9E-2</v>
      </c>
      <c r="GH51" s="101">
        <f t="shared" si="93"/>
        <v>1</v>
      </c>
      <c r="GI51" s="101">
        <f t="shared" si="94"/>
        <v>18</v>
      </c>
      <c r="GJ51" s="101">
        <f t="shared" si="95"/>
        <v>7.5899999999999995E-2</v>
      </c>
      <c r="GK51" s="101">
        <f t="shared" si="96"/>
        <v>1</v>
      </c>
      <c r="GL51" s="101">
        <f t="shared" si="97"/>
        <v>40</v>
      </c>
    </row>
    <row r="52" spans="81:194" ht="16.5" x14ac:dyDescent="0.2">
      <c r="CC52" s="81">
        <v>47</v>
      </c>
      <c r="CD52" s="81" t="e">
        <f>INDEX(节奏总表!#REF!,MATCH(专属武器强化!CC52,节奏总表!#REF!,1))</f>
        <v>#REF!</v>
      </c>
      <c r="CE52" s="81"/>
      <c r="CF52" s="81" t="e">
        <f t="shared" si="118"/>
        <v>#REF!</v>
      </c>
      <c r="CG52" s="14" t="e">
        <f t="shared" si="119"/>
        <v>#REF!</v>
      </c>
      <c r="CH52" s="14" t="e">
        <f t="shared" si="120"/>
        <v>#REF!</v>
      </c>
      <c r="CI52" s="14" t="e">
        <f t="shared" si="121"/>
        <v>#REF!</v>
      </c>
      <c r="CJ52" s="14" t="e">
        <f t="shared" si="122"/>
        <v>#REF!</v>
      </c>
      <c r="CK52" s="14"/>
      <c r="CL52" s="14"/>
      <c r="CM52" s="14"/>
      <c r="CN52" s="14"/>
      <c r="CO52" s="14" t="e">
        <f>SUM(CG$6:CG52)</f>
        <v>#REF!</v>
      </c>
      <c r="CP52" s="14" t="e">
        <f>SUM(CH$6:CH52)</f>
        <v>#REF!</v>
      </c>
      <c r="CQ52" s="14" t="e">
        <f>SUM(CI$6:CI52)</f>
        <v>#REF!</v>
      </c>
      <c r="CR52" s="14" t="e">
        <f>SUM(CJ$6:CJ52)</f>
        <v>#REF!</v>
      </c>
      <c r="CU52" s="83">
        <v>37</v>
      </c>
      <c r="CV52" s="14" t="e">
        <f>INDEX(节奏总表!#REF!,专属武器强化!CU52)</f>
        <v>#REF!</v>
      </c>
      <c r="CW52" s="14" t="e">
        <f t="shared" si="123"/>
        <v>#REF!</v>
      </c>
      <c r="CX52" s="14" t="e">
        <f t="shared" si="60"/>
        <v>#REF!</v>
      </c>
      <c r="CY52" s="14" t="e">
        <f t="shared" si="61"/>
        <v>#REF!</v>
      </c>
      <c r="CZ52" s="14" t="e">
        <f t="shared" si="62"/>
        <v>#REF!</v>
      </c>
      <c r="DA52" s="83">
        <v>0</v>
      </c>
      <c r="DB52" s="83">
        <v>0</v>
      </c>
      <c r="DC52" s="14">
        <f t="shared" si="105"/>
        <v>0</v>
      </c>
      <c r="DD52" s="14">
        <f t="shared" si="106"/>
        <v>0</v>
      </c>
      <c r="DE52" s="14">
        <f t="shared" si="107"/>
        <v>0</v>
      </c>
      <c r="DF52" s="14">
        <f t="shared" si="108"/>
        <v>0</v>
      </c>
      <c r="DG52" s="83"/>
      <c r="DH52" s="83"/>
      <c r="DI52" s="83"/>
      <c r="DJ52" s="83"/>
      <c r="DK52" s="14" t="e">
        <f>CW52-SUM(DC$7:DC52)+SUM(DG$7:DG52)</f>
        <v>#REF!</v>
      </c>
      <c r="DL52" s="14" t="e">
        <f>CX52-SUM(DD$7:DD52)+SUM(DH$7:DH52)</f>
        <v>#REF!</v>
      </c>
      <c r="DM52" s="14" t="e">
        <f>CY52-SUM(DE$7:DE52)+SUM(DI$7:DI52)</f>
        <v>#REF!</v>
      </c>
      <c r="DN52" s="14" t="e">
        <f>CZ52-SUM(DF$7:DF52)+SUM(DJ$7:DJ52)</f>
        <v>#REF!</v>
      </c>
      <c r="DQ52" s="95">
        <v>47</v>
      </c>
      <c r="DR52" s="14">
        <f t="shared" si="67"/>
        <v>6</v>
      </c>
      <c r="DS52" s="14">
        <f t="shared" si="68"/>
        <v>2</v>
      </c>
      <c r="DT52" s="14">
        <f t="shared" si="132"/>
        <v>0</v>
      </c>
      <c r="DU52" s="14">
        <f t="shared" si="132"/>
        <v>0</v>
      </c>
      <c r="DV52" s="14">
        <f t="shared" si="132"/>
        <v>59.737575757575762</v>
      </c>
      <c r="DW52" s="14">
        <f t="shared" si="132"/>
        <v>12.068727272727273</v>
      </c>
      <c r="DX52" s="14">
        <f t="shared" si="69"/>
        <v>3</v>
      </c>
      <c r="DY52" s="14">
        <f t="shared" si="70"/>
        <v>4</v>
      </c>
      <c r="EF52" s="139">
        <v>47</v>
      </c>
      <c r="EG52" s="14">
        <f t="shared" si="72"/>
        <v>6</v>
      </c>
      <c r="EH52" s="19">
        <v>0.03</v>
      </c>
      <c r="EI52" s="139">
        <v>3</v>
      </c>
      <c r="EJ52" s="139" t="s">
        <v>958</v>
      </c>
      <c r="EK52" s="139">
        <f t="shared" si="73"/>
        <v>2181</v>
      </c>
      <c r="EL52" s="139" t="s">
        <v>867</v>
      </c>
      <c r="EM52" s="139">
        <f t="shared" ref="EM52:EM68" si="134">ROUND(EO52*DV52/DW52,0)</f>
        <v>10</v>
      </c>
      <c r="EN52" s="139" t="s">
        <v>870</v>
      </c>
      <c r="EO52" s="139">
        <v>2</v>
      </c>
      <c r="EP52" s="139">
        <f t="shared" si="124"/>
        <v>0.17</v>
      </c>
      <c r="EQ52" s="139">
        <v>1</v>
      </c>
      <c r="ER52" s="139">
        <f t="shared" ref="ER52:ER77" si="135">FD52</f>
        <v>9</v>
      </c>
      <c r="ES52" s="139"/>
      <c r="ET52" s="139">
        <f t="shared" si="133"/>
        <v>6.0343636363636364</v>
      </c>
      <c r="EV52">
        <v>0</v>
      </c>
      <c r="EW52">
        <v>1</v>
      </c>
      <c r="EX52">
        <f t="shared" si="125"/>
        <v>2</v>
      </c>
      <c r="EY52" s="89">
        <f t="shared" si="126"/>
        <v>8.2900000000000001E-2</v>
      </c>
      <c r="EZ52">
        <v>1</v>
      </c>
      <c r="FA52">
        <f t="shared" si="127"/>
        <v>4</v>
      </c>
      <c r="FB52" s="89">
        <f t="shared" si="128"/>
        <v>0.33139999999999997</v>
      </c>
      <c r="FC52">
        <v>1</v>
      </c>
      <c r="FD52">
        <f t="shared" si="129"/>
        <v>9</v>
      </c>
      <c r="FN52" s="101">
        <v>47</v>
      </c>
      <c r="FO52" s="101">
        <f t="shared" si="75"/>
        <v>42</v>
      </c>
      <c r="FP52" s="101">
        <f t="shared" si="76"/>
        <v>1</v>
      </c>
      <c r="FQ52" s="14">
        <f t="shared" si="77"/>
        <v>5</v>
      </c>
      <c r="FR52" s="101" t="str">
        <f t="shared" si="78"/>
        <v>关羽专属武器-魂珠-5 6级</v>
      </c>
      <c r="FS52" s="101">
        <f t="shared" si="79"/>
        <v>5</v>
      </c>
      <c r="FT52" s="101">
        <f t="shared" si="80"/>
        <v>6</v>
      </c>
      <c r="FU52" s="101" t="str">
        <f t="shared" si="81"/>
        <v>金币</v>
      </c>
      <c r="FV52" s="139">
        <f>IF($FT52&gt;0,IF(INDEX($EI$6:$EI$77,$FO52)&gt;=FV$3,ROUND(INDEX(EK$6:EK$77,$FO52)*INDEX(卡牌消耗!$B$8:$F$8,FQ52)/5,0)*5,""),"")</f>
        <v>6040</v>
      </c>
      <c r="FW52" s="101" t="str">
        <f t="shared" si="82"/>
        <v>专属强化石2</v>
      </c>
      <c r="FX52" s="101">
        <f t="shared" si="83"/>
        <v>8</v>
      </c>
      <c r="FY52" s="101" t="str">
        <f t="shared" si="84"/>
        <v>专属强化石3</v>
      </c>
      <c r="FZ52" s="101">
        <f t="shared" si="85"/>
        <v>5</v>
      </c>
      <c r="GA52" s="101">
        <f t="shared" si="86"/>
        <v>0.04</v>
      </c>
      <c r="GB52" s="101">
        <f t="shared" si="87"/>
        <v>1</v>
      </c>
      <c r="GC52" s="101">
        <f t="shared" si="88"/>
        <v>39</v>
      </c>
      <c r="GD52" s="101">
        <f t="shared" si="89"/>
        <v>0</v>
      </c>
      <c r="GE52" s="101">
        <f t="shared" si="90"/>
        <v>1</v>
      </c>
      <c r="GF52" s="101">
        <f t="shared" si="91"/>
        <v>9</v>
      </c>
      <c r="GG52" s="101">
        <f t="shared" si="92"/>
        <v>1.95E-2</v>
      </c>
      <c r="GH52" s="101">
        <f t="shared" si="93"/>
        <v>1</v>
      </c>
      <c r="GI52" s="101">
        <f t="shared" si="94"/>
        <v>18</v>
      </c>
      <c r="GJ52" s="101">
        <f t="shared" si="95"/>
        <v>7.7799999999999994E-2</v>
      </c>
      <c r="GK52" s="101">
        <f t="shared" si="96"/>
        <v>1</v>
      </c>
      <c r="GL52" s="101">
        <f t="shared" si="97"/>
        <v>39</v>
      </c>
    </row>
    <row r="53" spans="81:194" ht="16.5" x14ac:dyDescent="0.2">
      <c r="CC53" s="81">
        <v>48</v>
      </c>
      <c r="CD53" s="81" t="e">
        <f>INDEX(节奏总表!#REF!,MATCH(专属武器强化!CC53,节奏总表!#REF!,1))</f>
        <v>#REF!</v>
      </c>
      <c r="CE53" s="81"/>
      <c r="CF53" s="81" t="e">
        <f t="shared" si="118"/>
        <v>#REF!</v>
      </c>
      <c r="CG53" s="14" t="e">
        <f t="shared" si="119"/>
        <v>#REF!</v>
      </c>
      <c r="CH53" s="14" t="e">
        <f t="shared" si="120"/>
        <v>#REF!</v>
      </c>
      <c r="CI53" s="14" t="e">
        <f t="shared" si="121"/>
        <v>#REF!</v>
      </c>
      <c r="CJ53" s="14" t="e">
        <f t="shared" si="122"/>
        <v>#REF!</v>
      </c>
      <c r="CK53" s="14"/>
      <c r="CL53" s="14"/>
      <c r="CM53" s="14"/>
      <c r="CN53" s="14"/>
      <c r="CO53" s="14" t="e">
        <f>SUM(CG$6:CG53)</f>
        <v>#REF!</v>
      </c>
      <c r="CP53" s="14" t="e">
        <f>SUM(CH$6:CH53)</f>
        <v>#REF!</v>
      </c>
      <c r="CQ53" s="14" t="e">
        <f>SUM(CI$6:CI53)</f>
        <v>#REF!</v>
      </c>
      <c r="CR53" s="14" t="e">
        <f>SUM(CJ$6:CJ53)</f>
        <v>#REF!</v>
      </c>
      <c r="CU53" s="83">
        <v>38</v>
      </c>
      <c r="CV53" s="14" t="e">
        <f>INDEX(节奏总表!#REF!,专属武器强化!CU53)</f>
        <v>#REF!</v>
      </c>
      <c r="CW53" s="14" t="e">
        <f t="shared" si="123"/>
        <v>#REF!</v>
      </c>
      <c r="CX53" s="14" t="e">
        <f t="shared" si="60"/>
        <v>#REF!</v>
      </c>
      <c r="CY53" s="14" t="e">
        <f t="shared" si="61"/>
        <v>#REF!</v>
      </c>
      <c r="CZ53" s="14" t="e">
        <f t="shared" si="62"/>
        <v>#REF!</v>
      </c>
      <c r="DA53" s="83">
        <v>7</v>
      </c>
      <c r="DB53" s="83">
        <v>2</v>
      </c>
      <c r="DC53" s="14">
        <f t="shared" si="105"/>
        <v>0</v>
      </c>
      <c r="DD53" s="14">
        <f t="shared" si="106"/>
        <v>0</v>
      </c>
      <c r="DE53" s="14">
        <f t="shared" si="107"/>
        <v>179.21272727272728</v>
      </c>
      <c r="DF53" s="14">
        <f t="shared" si="108"/>
        <v>60.343636363636364</v>
      </c>
      <c r="DG53" s="83"/>
      <c r="DH53" s="83"/>
      <c r="DI53" s="83"/>
      <c r="DJ53" s="83"/>
      <c r="DK53" s="14" t="e">
        <f>CW53-SUM(DC$7:DC53)+SUM(DG$7:DG53)</f>
        <v>#REF!</v>
      </c>
      <c r="DL53" s="14" t="e">
        <f>CX53-SUM(DD$7:DD53)+SUM(DH$7:DH53)</f>
        <v>#REF!</v>
      </c>
      <c r="DM53" s="14" t="e">
        <f>CY53-SUM(DE$7:DE53)+SUM(DI$7:DI53)</f>
        <v>#REF!</v>
      </c>
      <c r="DN53" s="14" t="e">
        <f>CZ53-SUM(DF$7:DF53)+SUM(DJ$7:DJ53)</f>
        <v>#REF!</v>
      </c>
      <c r="DQ53" s="95">
        <v>48</v>
      </c>
      <c r="DR53" s="14">
        <f t="shared" si="67"/>
        <v>6</v>
      </c>
      <c r="DS53" s="14">
        <f t="shared" si="68"/>
        <v>3</v>
      </c>
      <c r="DT53" s="14">
        <f t="shared" si="132"/>
        <v>0</v>
      </c>
      <c r="DU53" s="14">
        <f t="shared" si="132"/>
        <v>0</v>
      </c>
      <c r="DV53" s="14">
        <f t="shared" si="132"/>
        <v>89.606363636363639</v>
      </c>
      <c r="DW53" s="14">
        <f t="shared" si="132"/>
        <v>18.103090909090906</v>
      </c>
      <c r="DX53" s="14">
        <f t="shared" si="69"/>
        <v>3</v>
      </c>
      <c r="DY53" s="14">
        <f t="shared" si="70"/>
        <v>4</v>
      </c>
      <c r="EF53" s="139">
        <v>48</v>
      </c>
      <c r="EG53" s="14">
        <f t="shared" si="72"/>
        <v>6</v>
      </c>
      <c r="EH53" s="19">
        <f t="shared" ref="EH53" si="136">EH51+EH52</f>
        <v>0.05</v>
      </c>
      <c r="EI53" s="139">
        <v>3</v>
      </c>
      <c r="EJ53" s="139" t="s">
        <v>958</v>
      </c>
      <c r="EK53" s="139">
        <f t="shared" si="73"/>
        <v>2423</v>
      </c>
      <c r="EL53" s="139" t="s">
        <v>867</v>
      </c>
      <c r="EM53" s="139">
        <f t="shared" si="134"/>
        <v>10</v>
      </c>
      <c r="EN53" s="139" t="s">
        <v>870</v>
      </c>
      <c r="EO53" s="139">
        <v>2</v>
      </c>
      <c r="EP53" s="139">
        <f t="shared" si="124"/>
        <v>0.11</v>
      </c>
      <c r="EQ53" s="139">
        <v>1</v>
      </c>
      <c r="ER53" s="139">
        <f t="shared" si="135"/>
        <v>14</v>
      </c>
      <c r="ES53" s="139"/>
      <c r="ET53" s="139">
        <f t="shared" si="133"/>
        <v>9.0515454545454528</v>
      </c>
      <c r="EV53">
        <v>0</v>
      </c>
      <c r="EW53">
        <v>1</v>
      </c>
      <c r="EX53">
        <f t="shared" si="125"/>
        <v>3</v>
      </c>
      <c r="EY53" s="89">
        <f t="shared" si="126"/>
        <v>5.5199999999999999E-2</v>
      </c>
      <c r="EZ53">
        <v>1</v>
      </c>
      <c r="FA53">
        <f t="shared" si="127"/>
        <v>6</v>
      </c>
      <c r="FB53" s="89">
        <f t="shared" si="128"/>
        <v>0.221</v>
      </c>
      <c r="FC53">
        <v>1</v>
      </c>
      <c r="FD53">
        <f t="shared" si="129"/>
        <v>14</v>
      </c>
      <c r="FN53" s="101">
        <v>48</v>
      </c>
      <c r="FO53" s="101">
        <f t="shared" si="75"/>
        <v>43</v>
      </c>
      <c r="FP53" s="101">
        <f t="shared" si="76"/>
        <v>1</v>
      </c>
      <c r="FQ53" s="14">
        <f t="shared" si="77"/>
        <v>5</v>
      </c>
      <c r="FR53" s="101" t="str">
        <f t="shared" si="78"/>
        <v>关羽专属武器-魂珠-5 7级</v>
      </c>
      <c r="FS53" s="101">
        <f t="shared" si="79"/>
        <v>5</v>
      </c>
      <c r="FT53" s="101">
        <f t="shared" si="80"/>
        <v>7</v>
      </c>
      <c r="FU53" s="101" t="str">
        <f t="shared" si="81"/>
        <v>金币</v>
      </c>
      <c r="FV53" s="139">
        <f>IF($FT53&gt;0,IF(INDEX($EI$6:$EI$77,$FO53)&gt;=FV$3,ROUND(INDEX(EK$6:EK$77,$FO53)*INDEX(卡牌消耗!$B$8:$F$8,FQ53)/5,0)*5,""),"")</f>
        <v>6055</v>
      </c>
      <c r="FW53" s="101" t="str">
        <f t="shared" si="82"/>
        <v>专属强化石2</v>
      </c>
      <c r="FX53" s="101">
        <f t="shared" si="83"/>
        <v>8</v>
      </c>
      <c r="FY53" s="101" t="str">
        <f t="shared" si="84"/>
        <v>专属强化石3</v>
      </c>
      <c r="FZ53" s="101">
        <f t="shared" si="85"/>
        <v>5</v>
      </c>
      <c r="GA53" s="101">
        <f t="shared" si="86"/>
        <v>0.02</v>
      </c>
      <c r="GB53" s="101">
        <f t="shared" si="87"/>
        <v>1</v>
      </c>
      <c r="GC53" s="101">
        <f t="shared" si="88"/>
        <v>62</v>
      </c>
      <c r="GD53" s="101">
        <f t="shared" si="89"/>
        <v>0</v>
      </c>
      <c r="GE53" s="101">
        <f t="shared" si="90"/>
        <v>1</v>
      </c>
      <c r="GF53" s="101">
        <f t="shared" si="91"/>
        <v>15</v>
      </c>
      <c r="GG53" s="101">
        <f t="shared" si="92"/>
        <v>1.2E-2</v>
      </c>
      <c r="GH53" s="101">
        <f t="shared" si="93"/>
        <v>1</v>
      </c>
      <c r="GI53" s="101">
        <f t="shared" si="94"/>
        <v>29</v>
      </c>
      <c r="GJ53" s="101">
        <f t="shared" si="95"/>
        <v>4.82E-2</v>
      </c>
      <c r="GK53" s="101">
        <f t="shared" si="96"/>
        <v>1</v>
      </c>
      <c r="GL53" s="101">
        <f t="shared" si="97"/>
        <v>62</v>
      </c>
    </row>
    <row r="54" spans="81:194" ht="16.5" x14ac:dyDescent="0.2">
      <c r="CC54" s="81">
        <v>49</v>
      </c>
      <c r="CD54" s="81" t="e">
        <f>INDEX(节奏总表!#REF!,MATCH(专属武器强化!CC54,节奏总表!#REF!,1))</f>
        <v>#REF!</v>
      </c>
      <c r="CE54" s="81"/>
      <c r="CF54" s="81" t="e">
        <f t="shared" si="118"/>
        <v>#REF!</v>
      </c>
      <c r="CG54" s="14" t="e">
        <f t="shared" si="119"/>
        <v>#REF!</v>
      </c>
      <c r="CH54" s="14" t="e">
        <f t="shared" si="120"/>
        <v>#REF!</v>
      </c>
      <c r="CI54" s="14" t="e">
        <f t="shared" si="121"/>
        <v>#REF!</v>
      </c>
      <c r="CJ54" s="14" t="e">
        <f t="shared" si="122"/>
        <v>#REF!</v>
      </c>
      <c r="CK54" s="14"/>
      <c r="CL54" s="14"/>
      <c r="CM54" s="14"/>
      <c r="CN54" s="14"/>
      <c r="CO54" s="14" t="e">
        <f>SUM(CG$6:CG54)</f>
        <v>#REF!</v>
      </c>
      <c r="CP54" s="14" t="e">
        <f>SUM(CH$6:CH54)</f>
        <v>#REF!</v>
      </c>
      <c r="CQ54" s="14" t="e">
        <f>SUM(CI$6:CI54)</f>
        <v>#REF!</v>
      </c>
      <c r="CR54" s="14" t="e">
        <f>SUM(CJ$6:CJ54)</f>
        <v>#REF!</v>
      </c>
      <c r="CU54" s="83">
        <v>39</v>
      </c>
      <c r="CV54" s="14" t="e">
        <f>INDEX(节奏总表!#REF!,专属武器强化!CU54)</f>
        <v>#REF!</v>
      </c>
      <c r="CW54" s="14" t="e">
        <f t="shared" si="123"/>
        <v>#REF!</v>
      </c>
      <c r="CX54" s="14" t="e">
        <f t="shared" si="60"/>
        <v>#REF!</v>
      </c>
      <c r="CY54" s="14" t="e">
        <f t="shared" si="61"/>
        <v>#REF!</v>
      </c>
      <c r="CZ54" s="14" t="e">
        <f t="shared" si="62"/>
        <v>#REF!</v>
      </c>
      <c r="DA54" s="83">
        <v>0</v>
      </c>
      <c r="DB54" s="83">
        <v>0</v>
      </c>
      <c r="DC54" s="14">
        <f t="shared" si="105"/>
        <v>0</v>
      </c>
      <c r="DD54" s="14">
        <f t="shared" si="106"/>
        <v>0</v>
      </c>
      <c r="DE54" s="14">
        <f t="shared" si="107"/>
        <v>0</v>
      </c>
      <c r="DF54" s="14">
        <f t="shared" si="108"/>
        <v>0</v>
      </c>
      <c r="DG54" s="83"/>
      <c r="DH54" s="83"/>
      <c r="DI54" s="83"/>
      <c r="DJ54" s="83"/>
      <c r="DK54" s="14" t="e">
        <f>CW54-SUM(DC$7:DC54)+SUM(DG$7:DG54)</f>
        <v>#REF!</v>
      </c>
      <c r="DL54" s="14" t="e">
        <f>CX54-SUM(DD$7:DD54)+SUM(DH$7:DH54)</f>
        <v>#REF!</v>
      </c>
      <c r="DM54" s="14" t="e">
        <f>CY54-SUM(DE$7:DE54)+SUM(DI$7:DI54)</f>
        <v>#REF!</v>
      </c>
      <c r="DN54" s="14" t="e">
        <f>CZ54-SUM(DF$7:DF54)+SUM(DJ$7:DJ54)</f>
        <v>#REF!</v>
      </c>
      <c r="DQ54" s="95">
        <v>49</v>
      </c>
      <c r="DR54" s="14">
        <f t="shared" si="67"/>
        <v>6</v>
      </c>
      <c r="DS54" s="14">
        <f t="shared" si="68"/>
        <v>4</v>
      </c>
      <c r="DT54" s="14">
        <f t="shared" si="132"/>
        <v>0</v>
      </c>
      <c r="DU54" s="14">
        <f t="shared" si="132"/>
        <v>0</v>
      </c>
      <c r="DV54" s="14">
        <f t="shared" si="132"/>
        <v>149.34393939393939</v>
      </c>
      <c r="DW54" s="14">
        <f t="shared" si="132"/>
        <v>30.171818181818182</v>
      </c>
      <c r="DX54" s="14">
        <f t="shared" si="69"/>
        <v>3</v>
      </c>
      <c r="DY54" s="14">
        <f t="shared" si="70"/>
        <v>4</v>
      </c>
      <c r="EF54" s="139">
        <v>49</v>
      </c>
      <c r="EG54" s="14">
        <f t="shared" si="72"/>
        <v>6</v>
      </c>
      <c r="EH54" s="19">
        <f t="shared" si="114"/>
        <v>0.08</v>
      </c>
      <c r="EI54" s="139">
        <v>3</v>
      </c>
      <c r="EJ54" s="139" t="s">
        <v>958</v>
      </c>
      <c r="EK54" s="139">
        <f t="shared" si="73"/>
        <v>3490</v>
      </c>
      <c r="EL54" s="139" t="s">
        <v>867</v>
      </c>
      <c r="EM54" s="139">
        <f t="shared" si="134"/>
        <v>15</v>
      </c>
      <c r="EN54" s="139" t="s">
        <v>870</v>
      </c>
      <c r="EO54" s="139">
        <v>3</v>
      </c>
      <c r="EP54" s="139">
        <f t="shared" si="124"/>
        <v>0.1</v>
      </c>
      <c r="EQ54" s="139">
        <v>1</v>
      </c>
      <c r="ER54" s="139">
        <f t="shared" si="135"/>
        <v>15</v>
      </c>
      <c r="ES54" s="139"/>
      <c r="ET54" s="139">
        <f t="shared" si="133"/>
        <v>10.057272727272727</v>
      </c>
      <c r="EV54">
        <v>0</v>
      </c>
      <c r="EW54">
        <v>1</v>
      </c>
      <c r="EX54">
        <f t="shared" si="125"/>
        <v>4</v>
      </c>
      <c r="EY54" s="89">
        <f t="shared" si="126"/>
        <v>4.9700000000000001E-2</v>
      </c>
      <c r="EZ54">
        <v>1</v>
      </c>
      <c r="FA54">
        <f t="shared" si="127"/>
        <v>7</v>
      </c>
      <c r="FB54" s="89">
        <f t="shared" si="128"/>
        <v>0.19889999999999999</v>
      </c>
      <c r="FC54">
        <v>1</v>
      </c>
      <c r="FD54">
        <f t="shared" si="129"/>
        <v>15</v>
      </c>
      <c r="FN54" s="101">
        <v>49</v>
      </c>
      <c r="FO54" s="101">
        <f t="shared" si="75"/>
        <v>44</v>
      </c>
      <c r="FP54" s="101">
        <f t="shared" si="76"/>
        <v>1</v>
      </c>
      <c r="FQ54" s="14">
        <f t="shared" si="77"/>
        <v>5</v>
      </c>
      <c r="FR54" s="101" t="str">
        <f t="shared" si="78"/>
        <v>关羽专属武器-魂珠-5 8级</v>
      </c>
      <c r="FS54" s="101">
        <f t="shared" si="79"/>
        <v>5</v>
      </c>
      <c r="FT54" s="101">
        <f t="shared" si="80"/>
        <v>8</v>
      </c>
      <c r="FU54" s="101" t="str">
        <f t="shared" si="81"/>
        <v>金币</v>
      </c>
      <c r="FV54" s="139">
        <f>IF($FT54&gt;0,IF(INDEX($EI$6:$EI$77,$FO54)&gt;=FV$3,ROUND(INDEX(EK$6:EK$77,$FO54)*INDEX(卡牌消耗!$B$8:$F$8,FQ54)/5,0)*5,""),"")</f>
        <v>8470</v>
      </c>
      <c r="FW54" s="101" t="str">
        <f t="shared" si="82"/>
        <v>专属强化石2</v>
      </c>
      <c r="FX54" s="101">
        <f t="shared" si="83"/>
        <v>11</v>
      </c>
      <c r="FY54" s="101" t="str">
        <f t="shared" si="84"/>
        <v>专属强化石3</v>
      </c>
      <c r="FZ54" s="101">
        <f t="shared" si="85"/>
        <v>7</v>
      </c>
      <c r="GA54" s="101">
        <f t="shared" si="86"/>
        <v>0.02</v>
      </c>
      <c r="GB54" s="101">
        <f t="shared" si="87"/>
        <v>1</v>
      </c>
      <c r="GC54" s="101">
        <f t="shared" si="88"/>
        <v>72</v>
      </c>
      <c r="GD54" s="101">
        <f t="shared" si="89"/>
        <v>0</v>
      </c>
      <c r="GE54" s="101">
        <f t="shared" si="90"/>
        <v>1</v>
      </c>
      <c r="GF54" s="101">
        <f t="shared" si="91"/>
        <v>17</v>
      </c>
      <c r="GG54" s="101">
        <f t="shared" si="92"/>
        <v>1.04E-2</v>
      </c>
      <c r="GH54" s="101">
        <f t="shared" si="93"/>
        <v>1</v>
      </c>
      <c r="GI54" s="101">
        <f t="shared" si="94"/>
        <v>34</v>
      </c>
      <c r="GJ54" s="101">
        <f t="shared" si="95"/>
        <v>4.1700000000000001E-2</v>
      </c>
      <c r="GK54" s="101">
        <f t="shared" si="96"/>
        <v>1</v>
      </c>
      <c r="GL54" s="101">
        <f t="shared" si="97"/>
        <v>72</v>
      </c>
    </row>
    <row r="55" spans="81:194" ht="16.5" x14ac:dyDescent="0.2">
      <c r="CC55" s="81">
        <v>50</v>
      </c>
      <c r="CD55" s="81" t="e">
        <f>INDEX(节奏总表!#REF!,MATCH(专属武器强化!CC55,节奏总表!#REF!,1))</f>
        <v>#REF!</v>
      </c>
      <c r="CE55" s="81"/>
      <c r="CF55" s="81" t="e">
        <f t="shared" si="118"/>
        <v>#REF!</v>
      </c>
      <c r="CG55" s="14" t="e">
        <f t="shared" si="119"/>
        <v>#REF!</v>
      </c>
      <c r="CH55" s="14" t="e">
        <f t="shared" si="120"/>
        <v>#REF!</v>
      </c>
      <c r="CI55" s="14" t="e">
        <f t="shared" si="121"/>
        <v>#REF!</v>
      </c>
      <c r="CJ55" s="14" t="e">
        <f t="shared" si="122"/>
        <v>#REF!</v>
      </c>
      <c r="CK55" s="14"/>
      <c r="CL55" s="14"/>
      <c r="CM55" s="14"/>
      <c r="CN55" s="14"/>
      <c r="CO55" s="14" t="e">
        <f>SUM(CG$6:CG55)</f>
        <v>#REF!</v>
      </c>
      <c r="CP55" s="14" t="e">
        <f>SUM(CH$6:CH55)</f>
        <v>#REF!</v>
      </c>
      <c r="CQ55" s="14" t="e">
        <f>SUM(CI$6:CI55)</f>
        <v>#REF!</v>
      </c>
      <c r="CR55" s="14" t="e">
        <f>SUM(CJ$6:CJ55)</f>
        <v>#REF!</v>
      </c>
      <c r="CU55" s="83">
        <v>40</v>
      </c>
      <c r="CV55" s="14" t="e">
        <f>INDEX(节奏总表!#REF!,专属武器强化!CU55)</f>
        <v>#REF!</v>
      </c>
      <c r="CW55" s="14" t="e">
        <f t="shared" si="123"/>
        <v>#REF!</v>
      </c>
      <c r="CX55" s="14" t="e">
        <f t="shared" si="60"/>
        <v>#REF!</v>
      </c>
      <c r="CY55" s="14" t="e">
        <f t="shared" si="61"/>
        <v>#REF!</v>
      </c>
      <c r="CZ55" s="14" t="e">
        <f t="shared" si="62"/>
        <v>#REF!</v>
      </c>
      <c r="DA55" s="83">
        <v>5</v>
      </c>
      <c r="DB55" s="83">
        <v>4</v>
      </c>
      <c r="DC55" s="14">
        <f t="shared" si="105"/>
        <v>0</v>
      </c>
      <c r="DD55" s="14">
        <f t="shared" si="106"/>
        <v>229.47105263157897</v>
      </c>
      <c r="DE55" s="14">
        <f t="shared" si="107"/>
        <v>148.221052631579</v>
      </c>
      <c r="DF55" s="14">
        <f t="shared" si="108"/>
        <v>0</v>
      </c>
      <c r="DG55" s="83"/>
      <c r="DH55" s="83"/>
      <c r="DI55" s="83"/>
      <c r="DJ55" s="83"/>
      <c r="DK55" s="14" t="e">
        <f>CW55-SUM(DC$7:DC55)+SUM(DG$7:DG55)</f>
        <v>#REF!</v>
      </c>
      <c r="DL55" s="14" t="e">
        <f>CX55-SUM(DD$7:DD55)+SUM(DH$7:DH55)</f>
        <v>#REF!</v>
      </c>
      <c r="DM55" s="14" t="e">
        <f>CY55-SUM(DE$7:DE55)+SUM(DI$7:DI55)</f>
        <v>#REF!</v>
      </c>
      <c r="DN55" s="14" t="e">
        <f>CZ55-SUM(DF$7:DF55)+SUM(DJ$7:DJ55)</f>
        <v>#REF!</v>
      </c>
      <c r="DQ55" s="95">
        <v>50</v>
      </c>
      <c r="DR55" s="14">
        <f t="shared" si="67"/>
        <v>6</v>
      </c>
      <c r="DS55" s="14">
        <f t="shared" si="68"/>
        <v>5</v>
      </c>
      <c r="DT55" s="14">
        <f t="shared" si="132"/>
        <v>0</v>
      </c>
      <c r="DU55" s="14">
        <f t="shared" si="132"/>
        <v>0</v>
      </c>
      <c r="DV55" s="14">
        <f t="shared" si="132"/>
        <v>238.95030303030305</v>
      </c>
      <c r="DW55" s="14">
        <f t="shared" si="132"/>
        <v>48.274909090909091</v>
      </c>
      <c r="DX55" s="14">
        <f t="shared" si="69"/>
        <v>3</v>
      </c>
      <c r="DY55" s="14">
        <f t="shared" si="70"/>
        <v>4</v>
      </c>
      <c r="EF55" s="139">
        <v>50</v>
      </c>
      <c r="EG55" s="14">
        <f t="shared" si="72"/>
        <v>6</v>
      </c>
      <c r="EH55" s="19">
        <f t="shared" si="114"/>
        <v>0.13</v>
      </c>
      <c r="EI55" s="139">
        <v>3</v>
      </c>
      <c r="EJ55" s="139" t="s">
        <v>958</v>
      </c>
      <c r="EK55" s="139">
        <f t="shared" si="73"/>
        <v>3544</v>
      </c>
      <c r="EL55" s="139" t="s">
        <v>867</v>
      </c>
      <c r="EM55" s="139">
        <f t="shared" si="134"/>
        <v>15</v>
      </c>
      <c r="EN55" s="139" t="s">
        <v>870</v>
      </c>
      <c r="EO55" s="139">
        <v>3</v>
      </c>
      <c r="EP55" s="139">
        <f t="shared" si="124"/>
        <v>0.06</v>
      </c>
      <c r="EQ55" s="139">
        <v>1</v>
      </c>
      <c r="ER55" s="139">
        <f t="shared" si="135"/>
        <v>24</v>
      </c>
      <c r="ES55" s="139"/>
      <c r="ET55" s="139">
        <f t="shared" si="133"/>
        <v>16.091636363636365</v>
      </c>
      <c r="EV55">
        <v>0</v>
      </c>
      <c r="EW55">
        <v>1</v>
      </c>
      <c r="EX55">
        <f t="shared" si="125"/>
        <v>6</v>
      </c>
      <c r="EY55" s="89">
        <f t="shared" si="126"/>
        <v>3.1099999999999999E-2</v>
      </c>
      <c r="EZ55">
        <v>1</v>
      </c>
      <c r="FA55">
        <f t="shared" si="127"/>
        <v>11</v>
      </c>
      <c r="FB55" s="89">
        <f t="shared" si="128"/>
        <v>0.12429999999999999</v>
      </c>
      <c r="FC55">
        <v>1</v>
      </c>
      <c r="FD55">
        <f t="shared" si="129"/>
        <v>24</v>
      </c>
      <c r="FN55" s="101">
        <v>50</v>
      </c>
      <c r="FO55" s="101">
        <f t="shared" si="75"/>
        <v>45</v>
      </c>
      <c r="FP55" s="101">
        <f t="shared" si="76"/>
        <v>1</v>
      </c>
      <c r="FQ55" s="14">
        <f t="shared" si="77"/>
        <v>5</v>
      </c>
      <c r="FR55" s="101" t="str">
        <f t="shared" si="78"/>
        <v>关羽专属武器-魂珠-5 9级</v>
      </c>
      <c r="FS55" s="101">
        <f t="shared" si="79"/>
        <v>5</v>
      </c>
      <c r="FT55" s="101">
        <f t="shared" si="80"/>
        <v>9</v>
      </c>
      <c r="FU55" s="101" t="str">
        <f t="shared" si="81"/>
        <v>金币</v>
      </c>
      <c r="FV55" s="139">
        <f>IF($FT55&gt;0,IF(INDEX($EI$6:$EI$77,$FO55)&gt;=FV$3,ROUND(INDEX(EK$6:EK$77,$FO55)*INDEX(卡牌消耗!$B$8:$F$8,FQ55)/5,0)*5,""),"")</f>
        <v>10890</v>
      </c>
      <c r="FW55" s="101" t="str">
        <f t="shared" si="82"/>
        <v>专属强化石2</v>
      </c>
      <c r="FX55" s="101">
        <f t="shared" si="83"/>
        <v>14</v>
      </c>
      <c r="FY55" s="101" t="str">
        <f t="shared" si="84"/>
        <v>专属强化石3</v>
      </c>
      <c r="FZ55" s="101">
        <f t="shared" si="85"/>
        <v>9</v>
      </c>
      <c r="GA55" s="101">
        <f t="shared" si="86"/>
        <v>0.02</v>
      </c>
      <c r="GB55" s="101">
        <f t="shared" si="87"/>
        <v>1</v>
      </c>
      <c r="GC55" s="101">
        <f t="shared" si="88"/>
        <v>91</v>
      </c>
      <c r="GD55" s="101">
        <f t="shared" si="89"/>
        <v>0</v>
      </c>
      <c r="GE55" s="101">
        <f t="shared" si="90"/>
        <v>1</v>
      </c>
      <c r="GF55" s="101">
        <f t="shared" si="91"/>
        <v>21</v>
      </c>
      <c r="GG55" s="101">
        <f t="shared" si="92"/>
        <v>8.3000000000000001E-3</v>
      </c>
      <c r="GH55" s="101">
        <f t="shared" si="93"/>
        <v>1</v>
      </c>
      <c r="GI55" s="101">
        <f t="shared" si="94"/>
        <v>42</v>
      </c>
      <c r="GJ55" s="101">
        <f t="shared" si="95"/>
        <v>3.3099999999999997E-2</v>
      </c>
      <c r="GK55" s="101">
        <f t="shared" si="96"/>
        <v>1</v>
      </c>
      <c r="GL55" s="101">
        <f t="shared" si="97"/>
        <v>91</v>
      </c>
    </row>
    <row r="56" spans="81:194" ht="16.5" x14ac:dyDescent="0.2">
      <c r="CC56" s="81">
        <v>51</v>
      </c>
      <c r="CD56" s="81" t="e">
        <f>INDEX(节奏总表!#REF!,MATCH(专属武器强化!CC56,节奏总表!#REF!,1))</f>
        <v>#REF!</v>
      </c>
      <c r="CE56" s="81"/>
      <c r="CF56" s="81" t="e">
        <f t="shared" si="118"/>
        <v>#REF!</v>
      </c>
      <c r="CG56" s="14" t="e">
        <f t="shared" si="119"/>
        <v>#REF!</v>
      </c>
      <c r="CH56" s="14" t="e">
        <f t="shared" si="120"/>
        <v>#REF!</v>
      </c>
      <c r="CI56" s="14" t="e">
        <f t="shared" si="121"/>
        <v>#REF!</v>
      </c>
      <c r="CJ56" s="14" t="e">
        <f t="shared" si="122"/>
        <v>#REF!</v>
      </c>
      <c r="CK56" s="14"/>
      <c r="CL56" s="14"/>
      <c r="CM56" s="14"/>
      <c r="CN56" s="14"/>
      <c r="CO56" s="14" t="e">
        <f>SUM(CG$6:CG56)</f>
        <v>#REF!</v>
      </c>
      <c r="CP56" s="14" t="e">
        <f>SUM(CH$6:CH56)</f>
        <v>#REF!</v>
      </c>
      <c r="CQ56" s="14" t="e">
        <f>SUM(CI$6:CI56)</f>
        <v>#REF!</v>
      </c>
      <c r="CR56" s="14" t="e">
        <f>SUM(CJ$6:CJ56)</f>
        <v>#REF!</v>
      </c>
      <c r="CU56" s="83">
        <v>41</v>
      </c>
      <c r="CV56" s="14" t="e">
        <f>INDEX(节奏总表!#REF!,专属武器强化!CU56)</f>
        <v>#REF!</v>
      </c>
      <c r="CW56" s="14" t="e">
        <f t="shared" si="123"/>
        <v>#REF!</v>
      </c>
      <c r="CX56" s="14" t="e">
        <f t="shared" si="60"/>
        <v>#REF!</v>
      </c>
      <c r="CY56" s="14" t="e">
        <f t="shared" si="61"/>
        <v>#REF!</v>
      </c>
      <c r="CZ56" s="14" t="e">
        <f t="shared" si="62"/>
        <v>#REF!</v>
      </c>
      <c r="DA56" s="83">
        <v>0</v>
      </c>
      <c r="DB56" s="83">
        <v>0</v>
      </c>
      <c r="DC56" s="14">
        <f t="shared" si="105"/>
        <v>0</v>
      </c>
      <c r="DD56" s="14">
        <f t="shared" si="106"/>
        <v>0</v>
      </c>
      <c r="DE56" s="14">
        <f t="shared" si="107"/>
        <v>0</v>
      </c>
      <c r="DF56" s="14">
        <f t="shared" si="108"/>
        <v>0</v>
      </c>
      <c r="DG56" s="83"/>
      <c r="DH56" s="83"/>
      <c r="DI56" s="83"/>
      <c r="DJ56" s="83"/>
      <c r="DK56" s="14" t="e">
        <f>CW56-SUM(DC$7:DC56)+SUM(DG$7:DG56)</f>
        <v>#REF!</v>
      </c>
      <c r="DL56" s="14" t="e">
        <f>CX56-SUM(DD$7:DD56)+SUM(DH$7:DH56)</f>
        <v>#REF!</v>
      </c>
      <c r="DM56" s="14" t="e">
        <f>CY56-SUM(DE$7:DE56)+SUM(DI$7:DI56)</f>
        <v>#REF!</v>
      </c>
      <c r="DN56" s="14" t="e">
        <f>CZ56-SUM(DF$7:DF56)+SUM(DJ$7:DJ56)</f>
        <v>#REF!</v>
      </c>
      <c r="DQ56" s="95">
        <v>51</v>
      </c>
      <c r="DR56" s="14">
        <f t="shared" si="67"/>
        <v>6</v>
      </c>
      <c r="DS56" s="14">
        <f t="shared" si="68"/>
        <v>6</v>
      </c>
      <c r="DT56" s="14">
        <f t="shared" si="132"/>
        <v>0</v>
      </c>
      <c r="DU56" s="14">
        <f t="shared" si="132"/>
        <v>0</v>
      </c>
      <c r="DV56" s="14">
        <f t="shared" si="132"/>
        <v>388.29424242424244</v>
      </c>
      <c r="DW56" s="14">
        <f t="shared" si="132"/>
        <v>78.446727272727273</v>
      </c>
      <c r="DX56" s="14">
        <f t="shared" si="69"/>
        <v>3</v>
      </c>
      <c r="DY56" s="14">
        <f t="shared" si="70"/>
        <v>4</v>
      </c>
      <c r="EF56" s="139">
        <v>51</v>
      </c>
      <c r="EG56" s="14">
        <f t="shared" si="72"/>
        <v>6</v>
      </c>
      <c r="EH56" s="19">
        <f t="shared" si="114"/>
        <v>0.21000000000000002</v>
      </c>
      <c r="EI56" s="139">
        <v>3</v>
      </c>
      <c r="EJ56" s="139" t="s">
        <v>958</v>
      </c>
      <c r="EK56" s="139">
        <f t="shared" si="73"/>
        <v>4698</v>
      </c>
      <c r="EL56" s="139" t="s">
        <v>867</v>
      </c>
      <c r="EM56" s="139">
        <f t="shared" si="134"/>
        <v>20</v>
      </c>
      <c r="EN56" s="139" t="s">
        <v>870</v>
      </c>
      <c r="EO56" s="139">
        <v>4</v>
      </c>
      <c r="EP56" s="139">
        <f t="shared" si="124"/>
        <v>0.05</v>
      </c>
      <c r="EQ56" s="139">
        <v>1</v>
      </c>
      <c r="ER56" s="139">
        <f t="shared" si="135"/>
        <v>29</v>
      </c>
      <c r="ES56" s="139"/>
      <c r="ET56" s="139">
        <f t="shared" si="133"/>
        <v>19.611681818181818</v>
      </c>
      <c r="EV56">
        <v>0</v>
      </c>
      <c r="EW56">
        <v>1</v>
      </c>
      <c r="EX56">
        <f t="shared" si="125"/>
        <v>7</v>
      </c>
      <c r="EY56" s="89">
        <f t="shared" si="126"/>
        <v>2.5499999999999998E-2</v>
      </c>
      <c r="EZ56">
        <v>1</v>
      </c>
      <c r="FA56">
        <f t="shared" si="127"/>
        <v>14</v>
      </c>
      <c r="FB56" s="89">
        <f t="shared" si="128"/>
        <v>0.10199999999999999</v>
      </c>
      <c r="FC56">
        <v>1</v>
      </c>
      <c r="FD56">
        <f t="shared" si="129"/>
        <v>29</v>
      </c>
      <c r="FN56" s="101">
        <v>51</v>
      </c>
      <c r="FO56" s="101">
        <f t="shared" si="75"/>
        <v>0</v>
      </c>
      <c r="FP56" s="101">
        <f t="shared" si="76"/>
        <v>1</v>
      </c>
      <c r="FQ56" s="14">
        <f t="shared" si="77"/>
        <v>5</v>
      </c>
      <c r="FR56" s="101" t="str">
        <f t="shared" si="78"/>
        <v>关羽专属武器-魂珠-6 0级</v>
      </c>
      <c r="FS56" s="101">
        <f t="shared" si="79"/>
        <v>6</v>
      </c>
      <c r="FT56" s="101">
        <f t="shared" si="80"/>
        <v>0</v>
      </c>
      <c r="FU56" s="101" t="str">
        <f t="shared" si="81"/>
        <v/>
      </c>
      <c r="FV56" s="139" t="str">
        <f>IF($FT56&gt;0,IF(INDEX($EI$6:$EI$77,$FO56)&gt;=FV$3,ROUND(INDEX(EK$6:EK$77,$FO56)*INDEX(卡牌消耗!$B$8:$F$8,FQ56)/5,0)*5,""),"")</f>
        <v/>
      </c>
      <c r="FW56" s="101" t="str">
        <f t="shared" si="82"/>
        <v/>
      </c>
      <c r="FX56" s="101" t="str">
        <f t="shared" si="83"/>
        <v/>
      </c>
      <c r="FY56" s="101" t="str">
        <f t="shared" si="84"/>
        <v/>
      </c>
      <c r="FZ56" s="101" t="str">
        <f t="shared" si="85"/>
        <v/>
      </c>
      <c r="GA56" s="101" t="str">
        <f t="shared" si="86"/>
        <v/>
      </c>
      <c r="GB56" s="101" t="str">
        <f t="shared" si="87"/>
        <v/>
      </c>
      <c r="GC56" s="101" t="str">
        <f t="shared" si="88"/>
        <v/>
      </c>
      <c r="GD56" s="101" t="str">
        <f t="shared" si="89"/>
        <v/>
      </c>
      <c r="GE56" s="101" t="str">
        <f t="shared" si="90"/>
        <v/>
      </c>
      <c r="GF56" s="101" t="str">
        <f t="shared" si="91"/>
        <v/>
      </c>
      <c r="GG56" s="101" t="str">
        <f t="shared" si="92"/>
        <v/>
      </c>
      <c r="GH56" s="101" t="str">
        <f t="shared" si="93"/>
        <v/>
      </c>
      <c r="GI56" s="101" t="str">
        <f t="shared" si="94"/>
        <v/>
      </c>
      <c r="GJ56" s="101" t="str">
        <f t="shared" si="95"/>
        <v/>
      </c>
      <c r="GK56" s="101" t="str">
        <f t="shared" si="96"/>
        <v/>
      </c>
      <c r="GL56" s="101" t="str">
        <f t="shared" si="97"/>
        <v/>
      </c>
    </row>
    <row r="57" spans="81:194" ht="16.5" x14ac:dyDescent="0.2">
      <c r="CC57" s="81">
        <v>52</v>
      </c>
      <c r="CD57" s="81" t="e">
        <f>INDEX(节奏总表!#REF!,MATCH(专属武器强化!CC57,节奏总表!#REF!,1))</f>
        <v>#REF!</v>
      </c>
      <c r="CE57" s="81"/>
      <c r="CF57" s="81" t="e">
        <f t="shared" si="118"/>
        <v>#REF!</v>
      </c>
      <c r="CG57" s="14" t="e">
        <f t="shared" si="119"/>
        <v>#REF!</v>
      </c>
      <c r="CH57" s="14" t="e">
        <f t="shared" si="120"/>
        <v>#REF!</v>
      </c>
      <c r="CI57" s="14" t="e">
        <f t="shared" si="121"/>
        <v>#REF!</v>
      </c>
      <c r="CJ57" s="14" t="e">
        <f t="shared" si="122"/>
        <v>#REF!</v>
      </c>
      <c r="CK57" s="14"/>
      <c r="CL57" s="14"/>
      <c r="CM57" s="14"/>
      <c r="CN57" s="14"/>
      <c r="CO57" s="14" t="e">
        <f>SUM(CG$6:CG57)</f>
        <v>#REF!</v>
      </c>
      <c r="CP57" s="14" t="e">
        <f>SUM(CH$6:CH57)</f>
        <v>#REF!</v>
      </c>
      <c r="CQ57" s="14" t="e">
        <f>SUM(CI$6:CI57)</f>
        <v>#REF!</v>
      </c>
      <c r="CR57" s="14" t="e">
        <f>SUM(CJ$6:CJ57)</f>
        <v>#REF!</v>
      </c>
      <c r="CU57" s="83">
        <v>42</v>
      </c>
      <c r="CV57" s="14" t="e">
        <f>INDEX(节奏总表!#REF!,专属武器强化!CU57)</f>
        <v>#REF!</v>
      </c>
      <c r="CW57" s="14" t="e">
        <f t="shared" si="123"/>
        <v>#REF!</v>
      </c>
      <c r="CX57" s="14" t="e">
        <f t="shared" si="60"/>
        <v>#REF!</v>
      </c>
      <c r="CY57" s="14" t="e">
        <f t="shared" si="61"/>
        <v>#REF!</v>
      </c>
      <c r="CZ57" s="14" t="e">
        <f t="shared" si="62"/>
        <v>#REF!</v>
      </c>
      <c r="DA57" s="83">
        <v>0</v>
      </c>
      <c r="DB57" s="83">
        <v>0</v>
      </c>
      <c r="DC57" s="14">
        <f t="shared" si="105"/>
        <v>0</v>
      </c>
      <c r="DD57" s="14">
        <f t="shared" si="106"/>
        <v>0</v>
      </c>
      <c r="DE57" s="14">
        <f t="shared" si="107"/>
        <v>0</v>
      </c>
      <c r="DF57" s="14">
        <f t="shared" si="108"/>
        <v>0</v>
      </c>
      <c r="DG57" s="83"/>
      <c r="DH57" s="83"/>
      <c r="DI57" s="83"/>
      <c r="DJ57" s="83"/>
      <c r="DK57" s="14" t="e">
        <f>CW57-SUM(DC$7:DC57)+SUM(DG$7:DG57)</f>
        <v>#REF!</v>
      </c>
      <c r="DL57" s="14" t="e">
        <f>CX57-SUM(DD$7:DD57)+SUM(DH$7:DH57)</f>
        <v>#REF!</v>
      </c>
      <c r="DM57" s="14" t="e">
        <f>CY57-SUM(DE$7:DE57)+SUM(DI$7:DI57)</f>
        <v>#REF!</v>
      </c>
      <c r="DN57" s="14" t="e">
        <f>CZ57-SUM(DF$7:DF57)+SUM(DJ$7:DJ57)</f>
        <v>#REF!</v>
      </c>
      <c r="DQ57" s="95">
        <v>52</v>
      </c>
      <c r="DR57" s="14">
        <f t="shared" si="67"/>
        <v>6</v>
      </c>
      <c r="DS57" s="14">
        <f t="shared" si="68"/>
        <v>7</v>
      </c>
      <c r="DT57" s="14">
        <f t="shared" si="132"/>
        <v>0</v>
      </c>
      <c r="DU57" s="14">
        <f t="shared" si="132"/>
        <v>0</v>
      </c>
      <c r="DV57" s="14">
        <f t="shared" si="132"/>
        <v>627.24454545454546</v>
      </c>
      <c r="DW57" s="14">
        <f t="shared" si="132"/>
        <v>126.72163636363634</v>
      </c>
      <c r="DX57" s="14">
        <f t="shared" si="69"/>
        <v>3</v>
      </c>
      <c r="DY57" s="14">
        <f t="shared" si="70"/>
        <v>4</v>
      </c>
      <c r="EF57" s="139">
        <v>52</v>
      </c>
      <c r="EG57" s="14">
        <f t="shared" si="72"/>
        <v>6</v>
      </c>
      <c r="EH57" s="19">
        <f t="shared" si="114"/>
        <v>0.34</v>
      </c>
      <c r="EI57" s="139">
        <v>3</v>
      </c>
      <c r="EJ57" s="139" t="s">
        <v>958</v>
      </c>
      <c r="EK57" s="139">
        <f t="shared" si="73"/>
        <v>5886</v>
      </c>
      <c r="EL57" s="139" t="s">
        <v>867</v>
      </c>
      <c r="EM57" s="139">
        <f t="shared" si="134"/>
        <v>25</v>
      </c>
      <c r="EN57" s="139" t="s">
        <v>870</v>
      </c>
      <c r="EO57" s="139">
        <v>5</v>
      </c>
      <c r="EP57" s="139">
        <f t="shared" si="124"/>
        <v>0.04</v>
      </c>
      <c r="EQ57" s="139">
        <v>1</v>
      </c>
      <c r="ER57" s="139">
        <f t="shared" si="135"/>
        <v>38</v>
      </c>
      <c r="ES57" s="139"/>
      <c r="ET57" s="139">
        <f t="shared" si="133"/>
        <v>25.344327272727266</v>
      </c>
      <c r="EV57">
        <v>0</v>
      </c>
      <c r="EW57">
        <v>1</v>
      </c>
      <c r="EX57">
        <f t="shared" si="125"/>
        <v>9</v>
      </c>
      <c r="EY57" s="89">
        <f t="shared" si="126"/>
        <v>1.9699999999999999E-2</v>
      </c>
      <c r="EZ57">
        <v>1</v>
      </c>
      <c r="FA57">
        <f t="shared" si="127"/>
        <v>18</v>
      </c>
      <c r="FB57" s="89">
        <f t="shared" si="128"/>
        <v>7.8899999999999998E-2</v>
      </c>
      <c r="FC57">
        <v>1</v>
      </c>
      <c r="FD57">
        <f t="shared" si="129"/>
        <v>38</v>
      </c>
      <c r="FN57" s="101">
        <v>52</v>
      </c>
      <c r="FO57" s="101">
        <f t="shared" si="75"/>
        <v>46</v>
      </c>
      <c r="FP57" s="101">
        <f t="shared" si="76"/>
        <v>1</v>
      </c>
      <c r="FQ57" s="14">
        <f t="shared" si="77"/>
        <v>5</v>
      </c>
      <c r="FR57" s="101" t="str">
        <f t="shared" si="78"/>
        <v>关羽专属武器-魂珠-6 1级</v>
      </c>
      <c r="FS57" s="101">
        <f t="shared" si="79"/>
        <v>6</v>
      </c>
      <c r="FT57" s="101">
        <f t="shared" si="80"/>
        <v>1</v>
      </c>
      <c r="FU57" s="101" t="str">
        <f t="shared" si="81"/>
        <v>金币</v>
      </c>
      <c r="FV57" s="139">
        <f>IF($FT57&gt;0,IF(INDEX($EI$6:$EI$77,$FO57)&gt;=FV$3,ROUND(INDEX(EK$6:EK$77,$FO57)*INDEX(卡牌消耗!$B$8:$F$8,FQ57)/5,0)*5,""),"")</f>
        <v>2910</v>
      </c>
      <c r="FW57" s="101" t="str">
        <f t="shared" si="82"/>
        <v>专属强化石3</v>
      </c>
      <c r="FX57" s="101">
        <f t="shared" si="83"/>
        <v>5</v>
      </c>
      <c r="FY57" s="101" t="str">
        <f t="shared" si="84"/>
        <v>专属强化石4</v>
      </c>
      <c r="FZ57" s="101">
        <f t="shared" si="85"/>
        <v>1</v>
      </c>
      <c r="GA57" s="101">
        <f t="shared" si="86"/>
        <v>0.17</v>
      </c>
      <c r="GB57" s="101">
        <f t="shared" si="87"/>
        <v>1</v>
      </c>
      <c r="GC57" s="101">
        <f t="shared" si="88"/>
        <v>9</v>
      </c>
      <c r="GD57" s="101">
        <f t="shared" si="89"/>
        <v>0</v>
      </c>
      <c r="GE57" s="101">
        <f t="shared" si="90"/>
        <v>1</v>
      </c>
      <c r="GF57" s="101">
        <f t="shared" si="91"/>
        <v>2</v>
      </c>
      <c r="GG57" s="101">
        <f t="shared" si="92"/>
        <v>8.2900000000000001E-2</v>
      </c>
      <c r="GH57" s="101">
        <f t="shared" si="93"/>
        <v>1</v>
      </c>
      <c r="GI57" s="101">
        <f t="shared" si="94"/>
        <v>4</v>
      </c>
      <c r="GJ57" s="101">
        <f t="shared" si="95"/>
        <v>0.33139999999999997</v>
      </c>
      <c r="GK57" s="101">
        <f t="shared" si="96"/>
        <v>1</v>
      </c>
      <c r="GL57" s="101">
        <f t="shared" si="97"/>
        <v>9</v>
      </c>
    </row>
    <row r="58" spans="81:194" ht="16.5" x14ac:dyDescent="0.2">
      <c r="CC58" s="81">
        <v>53</v>
      </c>
      <c r="CD58" s="81" t="e">
        <f>INDEX(节奏总表!#REF!,MATCH(专属武器强化!CC58,节奏总表!#REF!,1))</f>
        <v>#REF!</v>
      </c>
      <c r="CE58" s="81"/>
      <c r="CF58" s="81" t="e">
        <f t="shared" si="118"/>
        <v>#REF!</v>
      </c>
      <c r="CG58" s="14" t="e">
        <f t="shared" si="119"/>
        <v>#REF!</v>
      </c>
      <c r="CH58" s="14" t="e">
        <f t="shared" si="120"/>
        <v>#REF!</v>
      </c>
      <c r="CI58" s="14" t="e">
        <f t="shared" si="121"/>
        <v>#REF!</v>
      </c>
      <c r="CJ58" s="14" t="e">
        <f t="shared" si="122"/>
        <v>#REF!</v>
      </c>
      <c r="CK58" s="14"/>
      <c r="CL58" s="14"/>
      <c r="CM58" s="14"/>
      <c r="CN58" s="14"/>
      <c r="CO58" s="14" t="e">
        <f>SUM(CG$6:CG58)</f>
        <v>#REF!</v>
      </c>
      <c r="CP58" s="14" t="e">
        <f>SUM(CH$6:CH58)</f>
        <v>#REF!</v>
      </c>
      <c r="CQ58" s="14" t="e">
        <f>SUM(CI$6:CI58)</f>
        <v>#REF!</v>
      </c>
      <c r="CR58" s="14" t="e">
        <f>SUM(CJ$6:CJ58)</f>
        <v>#REF!</v>
      </c>
      <c r="CU58" s="83">
        <v>43</v>
      </c>
      <c r="CV58" s="14" t="e">
        <f>INDEX(节奏总表!#REF!,专属武器强化!CU58)</f>
        <v>#REF!</v>
      </c>
      <c r="CW58" s="14" t="e">
        <f t="shared" si="123"/>
        <v>#REF!</v>
      </c>
      <c r="CX58" s="14" t="e">
        <f t="shared" si="60"/>
        <v>#REF!</v>
      </c>
      <c r="CY58" s="14" t="e">
        <f t="shared" si="61"/>
        <v>#REF!</v>
      </c>
      <c r="CZ58" s="14" t="e">
        <f t="shared" si="62"/>
        <v>#REF!</v>
      </c>
      <c r="DA58" s="83">
        <v>0</v>
      </c>
      <c r="DB58" s="83">
        <v>0</v>
      </c>
      <c r="DC58" s="14">
        <f t="shared" si="105"/>
        <v>0</v>
      </c>
      <c r="DD58" s="14">
        <f t="shared" si="106"/>
        <v>0</v>
      </c>
      <c r="DE58" s="14">
        <f t="shared" si="107"/>
        <v>0</v>
      </c>
      <c r="DF58" s="14">
        <f t="shared" si="108"/>
        <v>0</v>
      </c>
      <c r="DG58" s="83"/>
      <c r="DH58" s="83"/>
      <c r="DI58" s="83"/>
      <c r="DJ58" s="83"/>
      <c r="DK58" s="14" t="e">
        <f>CW58-SUM(DC$7:DC58)+SUM(DG$7:DG58)</f>
        <v>#REF!</v>
      </c>
      <c r="DL58" s="14" t="e">
        <f>CX58-SUM(DD$7:DD58)+SUM(DH$7:DH58)</f>
        <v>#REF!</v>
      </c>
      <c r="DM58" s="14" t="e">
        <f>CY58-SUM(DE$7:DE58)+SUM(DI$7:DI58)</f>
        <v>#REF!</v>
      </c>
      <c r="DN58" s="14" t="e">
        <f>CZ58-SUM(DF$7:DF58)+SUM(DJ$7:DJ58)</f>
        <v>#REF!</v>
      </c>
      <c r="DQ58" s="95">
        <v>53</v>
      </c>
      <c r="DR58" s="14">
        <f t="shared" si="67"/>
        <v>6</v>
      </c>
      <c r="DS58" s="14">
        <f t="shared" si="68"/>
        <v>8</v>
      </c>
      <c r="DT58" s="14">
        <f t="shared" si="132"/>
        <v>0</v>
      </c>
      <c r="DU58" s="14">
        <f t="shared" si="132"/>
        <v>0</v>
      </c>
      <c r="DV58" s="14">
        <f t="shared" si="132"/>
        <v>1015.5387878787878</v>
      </c>
      <c r="DW58" s="14">
        <f t="shared" si="132"/>
        <v>205.16836363636364</v>
      </c>
      <c r="DX58" s="14">
        <f t="shared" si="69"/>
        <v>3</v>
      </c>
      <c r="DY58" s="14">
        <f t="shared" si="70"/>
        <v>4</v>
      </c>
      <c r="EF58" s="139">
        <v>53</v>
      </c>
      <c r="EG58" s="14">
        <f t="shared" si="72"/>
        <v>6</v>
      </c>
      <c r="EH58" s="19">
        <f t="shared" si="114"/>
        <v>0.55000000000000004</v>
      </c>
      <c r="EI58" s="139">
        <v>3</v>
      </c>
      <c r="EJ58" s="139" t="s">
        <v>958</v>
      </c>
      <c r="EK58" s="139">
        <f t="shared" si="73"/>
        <v>8233</v>
      </c>
      <c r="EL58" s="139" t="s">
        <v>867</v>
      </c>
      <c r="EM58" s="139">
        <f t="shared" si="134"/>
        <v>35</v>
      </c>
      <c r="EN58" s="139" t="s">
        <v>870</v>
      </c>
      <c r="EO58" s="139">
        <v>7</v>
      </c>
      <c r="EP58" s="139">
        <f t="shared" si="124"/>
        <v>0.03</v>
      </c>
      <c r="EQ58" s="139">
        <v>1</v>
      </c>
      <c r="ER58" s="139">
        <f t="shared" si="135"/>
        <v>44</v>
      </c>
      <c r="ES58" s="139"/>
      <c r="ET58" s="139">
        <f t="shared" si="133"/>
        <v>29.309766233766233</v>
      </c>
      <c r="EV58">
        <v>0</v>
      </c>
      <c r="EW58">
        <v>1</v>
      </c>
      <c r="EX58">
        <f t="shared" si="125"/>
        <v>10</v>
      </c>
      <c r="EY58" s="89">
        <f t="shared" si="126"/>
        <v>1.7100000000000001E-2</v>
      </c>
      <c r="EZ58">
        <v>1</v>
      </c>
      <c r="FA58">
        <f t="shared" si="127"/>
        <v>21</v>
      </c>
      <c r="FB58" s="89">
        <f t="shared" si="128"/>
        <v>6.8199999999999997E-2</v>
      </c>
      <c r="FC58">
        <v>1</v>
      </c>
      <c r="FD58">
        <f t="shared" si="129"/>
        <v>44</v>
      </c>
      <c r="FN58" s="101">
        <v>53</v>
      </c>
      <c r="FO58" s="101">
        <f t="shared" si="75"/>
        <v>47</v>
      </c>
      <c r="FP58" s="101">
        <f t="shared" si="76"/>
        <v>1</v>
      </c>
      <c r="FQ58" s="14">
        <f t="shared" si="77"/>
        <v>5</v>
      </c>
      <c r="FR58" s="101" t="str">
        <f t="shared" si="78"/>
        <v>关羽专属武器-魂珠-6 2级</v>
      </c>
      <c r="FS58" s="101">
        <f t="shared" si="79"/>
        <v>6</v>
      </c>
      <c r="FT58" s="101">
        <f t="shared" si="80"/>
        <v>2</v>
      </c>
      <c r="FU58" s="101" t="str">
        <f t="shared" si="81"/>
        <v>金币</v>
      </c>
      <c r="FV58" s="139">
        <f>IF($FT58&gt;0,IF(INDEX($EI$6:$EI$77,$FO58)&gt;=FV$3,ROUND(INDEX(EK$6:EK$77,$FO58)*INDEX(卡牌消耗!$B$8:$F$8,FQ58)/5,0)*5,""),"")</f>
        <v>4360</v>
      </c>
      <c r="FW58" s="101" t="str">
        <f t="shared" si="82"/>
        <v>专属强化石3</v>
      </c>
      <c r="FX58" s="101">
        <f t="shared" si="83"/>
        <v>10</v>
      </c>
      <c r="FY58" s="101" t="str">
        <f t="shared" si="84"/>
        <v>专属强化石4</v>
      </c>
      <c r="FZ58" s="101">
        <f t="shared" si="85"/>
        <v>2</v>
      </c>
      <c r="GA58" s="101">
        <f t="shared" si="86"/>
        <v>0.17</v>
      </c>
      <c r="GB58" s="101">
        <f t="shared" si="87"/>
        <v>1</v>
      </c>
      <c r="GC58" s="101">
        <f t="shared" si="88"/>
        <v>9</v>
      </c>
      <c r="GD58" s="101">
        <f t="shared" si="89"/>
        <v>0</v>
      </c>
      <c r="GE58" s="101">
        <f t="shared" si="90"/>
        <v>1</v>
      </c>
      <c r="GF58" s="101">
        <f t="shared" si="91"/>
        <v>2</v>
      </c>
      <c r="GG58" s="101">
        <f t="shared" si="92"/>
        <v>8.2900000000000001E-2</v>
      </c>
      <c r="GH58" s="101">
        <f t="shared" si="93"/>
        <v>1</v>
      </c>
      <c r="GI58" s="101">
        <f t="shared" si="94"/>
        <v>4</v>
      </c>
      <c r="GJ58" s="101">
        <f t="shared" si="95"/>
        <v>0.33139999999999997</v>
      </c>
      <c r="GK58" s="101">
        <f t="shared" si="96"/>
        <v>1</v>
      </c>
      <c r="GL58" s="101">
        <f t="shared" si="97"/>
        <v>9</v>
      </c>
    </row>
    <row r="59" spans="81:194" ht="16.5" x14ac:dyDescent="0.2">
      <c r="CC59" s="81">
        <v>54</v>
      </c>
      <c r="CD59" s="81" t="e">
        <f>INDEX(节奏总表!#REF!,MATCH(专属武器强化!CC59,节奏总表!#REF!,1))</f>
        <v>#REF!</v>
      </c>
      <c r="CE59" s="81"/>
      <c r="CF59" s="81" t="e">
        <f t="shared" si="118"/>
        <v>#REF!</v>
      </c>
      <c r="CG59" s="14" t="e">
        <f t="shared" si="119"/>
        <v>#REF!</v>
      </c>
      <c r="CH59" s="14" t="e">
        <f t="shared" si="120"/>
        <v>#REF!</v>
      </c>
      <c r="CI59" s="14" t="e">
        <f t="shared" si="121"/>
        <v>#REF!</v>
      </c>
      <c r="CJ59" s="14" t="e">
        <f t="shared" si="122"/>
        <v>#REF!</v>
      </c>
      <c r="CK59" s="14"/>
      <c r="CL59" s="14"/>
      <c r="CM59" s="14"/>
      <c r="CN59" s="14"/>
      <c r="CO59" s="14" t="e">
        <f>SUM(CG$6:CG59)</f>
        <v>#REF!</v>
      </c>
      <c r="CP59" s="14" t="e">
        <f>SUM(CH$6:CH59)</f>
        <v>#REF!</v>
      </c>
      <c r="CQ59" s="14" t="e">
        <f>SUM(CI$6:CI59)</f>
        <v>#REF!</v>
      </c>
      <c r="CR59" s="14" t="e">
        <f>SUM(CJ$6:CJ59)</f>
        <v>#REF!</v>
      </c>
      <c r="CU59" s="83">
        <v>44</v>
      </c>
      <c r="CV59" s="14" t="e">
        <f>INDEX(节奏总表!#REF!,专属武器强化!CU59)</f>
        <v>#REF!</v>
      </c>
      <c r="CW59" s="14" t="e">
        <f t="shared" si="123"/>
        <v>#REF!</v>
      </c>
      <c r="CX59" s="14" t="e">
        <f t="shared" si="60"/>
        <v>#REF!</v>
      </c>
      <c r="CY59" s="14" t="e">
        <f t="shared" si="61"/>
        <v>#REF!</v>
      </c>
      <c r="CZ59" s="14" t="e">
        <f t="shared" si="62"/>
        <v>#REF!</v>
      </c>
      <c r="DA59" s="83">
        <v>8</v>
      </c>
      <c r="DB59" s="83">
        <v>1</v>
      </c>
      <c r="DC59" s="14">
        <f t="shared" si="105"/>
        <v>0</v>
      </c>
      <c r="DD59" s="14">
        <f t="shared" si="106"/>
        <v>0</v>
      </c>
      <c r="DE59" s="14">
        <f t="shared" si="107"/>
        <v>0</v>
      </c>
      <c r="DF59" s="14">
        <f t="shared" si="108"/>
        <v>132.756</v>
      </c>
      <c r="DG59" s="83"/>
      <c r="DH59" s="83"/>
      <c r="DI59" s="83"/>
      <c r="DJ59" s="83"/>
      <c r="DK59" s="14" t="e">
        <f>CW59-SUM(DC$7:DC59)+SUM(DG$7:DG59)</f>
        <v>#REF!</v>
      </c>
      <c r="DL59" s="14" t="e">
        <f>CX59-SUM(DD$7:DD59)+SUM(DH$7:DH59)</f>
        <v>#REF!</v>
      </c>
      <c r="DM59" s="14" t="e">
        <f>CY59-SUM(DE$7:DE59)+SUM(DI$7:DI59)</f>
        <v>#REF!</v>
      </c>
      <c r="DN59" s="14" t="e">
        <f>CZ59-SUM(DF$7:DF59)+SUM(DJ$7:DJ59)</f>
        <v>#REF!</v>
      </c>
      <c r="DQ59" s="95">
        <v>54</v>
      </c>
      <c r="DR59" s="14">
        <f t="shared" si="67"/>
        <v>6</v>
      </c>
      <c r="DS59" s="14">
        <f t="shared" si="68"/>
        <v>9</v>
      </c>
      <c r="DT59" s="14">
        <f t="shared" si="132"/>
        <v>0</v>
      </c>
      <c r="DU59" s="14">
        <f t="shared" si="132"/>
        <v>0</v>
      </c>
      <c r="DV59" s="14">
        <f t="shared" si="132"/>
        <v>1642.7833333333335</v>
      </c>
      <c r="DW59" s="14">
        <f t="shared" si="132"/>
        <v>331.89</v>
      </c>
      <c r="DX59" s="14">
        <f t="shared" si="69"/>
        <v>3</v>
      </c>
      <c r="DY59" s="14">
        <f t="shared" si="70"/>
        <v>4</v>
      </c>
      <c r="EF59" s="139">
        <v>54</v>
      </c>
      <c r="EG59" s="14">
        <f t="shared" si="72"/>
        <v>6</v>
      </c>
      <c r="EH59" s="19">
        <f t="shared" si="114"/>
        <v>0.89000000000000012</v>
      </c>
      <c r="EI59" s="139">
        <v>3</v>
      </c>
      <c r="EJ59" s="139" t="s">
        <v>958</v>
      </c>
      <c r="EK59" s="139">
        <f t="shared" si="73"/>
        <v>9412</v>
      </c>
      <c r="EL59" s="139" t="s">
        <v>867</v>
      </c>
      <c r="EM59" s="139">
        <f t="shared" si="134"/>
        <v>40</v>
      </c>
      <c r="EN59" s="139" t="s">
        <v>870</v>
      </c>
      <c r="EO59" s="139">
        <v>8</v>
      </c>
      <c r="EP59" s="139">
        <f t="shared" si="124"/>
        <v>0.02</v>
      </c>
      <c r="EQ59" s="139">
        <v>1</v>
      </c>
      <c r="ER59" s="139">
        <f t="shared" si="135"/>
        <v>62</v>
      </c>
      <c r="ES59" s="139"/>
      <c r="ET59" s="139">
        <f t="shared" si="133"/>
        <v>41.486249999999998</v>
      </c>
      <c r="EV59">
        <v>0</v>
      </c>
      <c r="EW59">
        <v>1</v>
      </c>
      <c r="EX59">
        <f t="shared" si="125"/>
        <v>15</v>
      </c>
      <c r="EY59" s="89">
        <f t="shared" si="126"/>
        <v>1.21E-2</v>
      </c>
      <c r="EZ59">
        <v>1</v>
      </c>
      <c r="FA59">
        <f t="shared" si="127"/>
        <v>29</v>
      </c>
      <c r="FB59" s="89">
        <f t="shared" si="128"/>
        <v>4.82E-2</v>
      </c>
      <c r="FC59">
        <v>1</v>
      </c>
      <c r="FD59">
        <f t="shared" si="129"/>
        <v>62</v>
      </c>
      <c r="FN59" s="101">
        <v>54</v>
      </c>
      <c r="FO59" s="101">
        <f t="shared" si="75"/>
        <v>48</v>
      </c>
      <c r="FP59" s="101">
        <f t="shared" si="76"/>
        <v>1</v>
      </c>
      <c r="FQ59" s="14">
        <f t="shared" si="77"/>
        <v>5</v>
      </c>
      <c r="FR59" s="101" t="str">
        <f t="shared" si="78"/>
        <v>关羽专属武器-魂珠-6 3级</v>
      </c>
      <c r="FS59" s="101">
        <f t="shared" si="79"/>
        <v>6</v>
      </c>
      <c r="FT59" s="101">
        <f t="shared" si="80"/>
        <v>3</v>
      </c>
      <c r="FU59" s="101" t="str">
        <f t="shared" si="81"/>
        <v>金币</v>
      </c>
      <c r="FV59" s="139">
        <f>IF($FT59&gt;0,IF(INDEX($EI$6:$EI$77,$FO59)&gt;=FV$3,ROUND(INDEX(EK$6:EK$77,$FO59)*INDEX(卡牌消耗!$B$8:$F$8,FQ59)/5,0)*5,""),"")</f>
        <v>4845</v>
      </c>
      <c r="FW59" s="101" t="str">
        <f t="shared" si="82"/>
        <v>专属强化石3</v>
      </c>
      <c r="FX59" s="101">
        <f t="shared" si="83"/>
        <v>10</v>
      </c>
      <c r="FY59" s="101" t="str">
        <f t="shared" si="84"/>
        <v>专属强化石4</v>
      </c>
      <c r="FZ59" s="101">
        <f t="shared" si="85"/>
        <v>2</v>
      </c>
      <c r="GA59" s="101">
        <f t="shared" si="86"/>
        <v>0.11</v>
      </c>
      <c r="GB59" s="101">
        <f t="shared" si="87"/>
        <v>1</v>
      </c>
      <c r="GC59" s="101">
        <f t="shared" si="88"/>
        <v>14</v>
      </c>
      <c r="GD59" s="101">
        <f t="shared" si="89"/>
        <v>0</v>
      </c>
      <c r="GE59" s="101">
        <f t="shared" si="90"/>
        <v>1</v>
      </c>
      <c r="GF59" s="101">
        <f t="shared" si="91"/>
        <v>3</v>
      </c>
      <c r="GG59" s="101">
        <f t="shared" si="92"/>
        <v>5.5199999999999999E-2</v>
      </c>
      <c r="GH59" s="101">
        <f t="shared" si="93"/>
        <v>1</v>
      </c>
      <c r="GI59" s="101">
        <f t="shared" si="94"/>
        <v>6</v>
      </c>
      <c r="GJ59" s="101">
        <f t="shared" si="95"/>
        <v>0.221</v>
      </c>
      <c r="GK59" s="101">
        <f t="shared" si="96"/>
        <v>1</v>
      </c>
      <c r="GL59" s="101">
        <f t="shared" si="97"/>
        <v>14</v>
      </c>
    </row>
    <row r="60" spans="81:194" ht="16.5" x14ac:dyDescent="0.2">
      <c r="CC60" s="81">
        <v>55</v>
      </c>
      <c r="CD60" s="81" t="e">
        <f>INDEX(节奏总表!#REF!,MATCH(专属武器强化!CC60,节奏总表!#REF!,1))</f>
        <v>#REF!</v>
      </c>
      <c r="CE60" s="81"/>
      <c r="CF60" s="81" t="e">
        <f t="shared" si="118"/>
        <v>#REF!</v>
      </c>
      <c r="CG60" s="14" t="e">
        <f t="shared" si="119"/>
        <v>#REF!</v>
      </c>
      <c r="CH60" s="14" t="e">
        <f t="shared" si="120"/>
        <v>#REF!</v>
      </c>
      <c r="CI60" s="14" t="e">
        <f t="shared" si="121"/>
        <v>#REF!</v>
      </c>
      <c r="CJ60" s="14" t="e">
        <f t="shared" si="122"/>
        <v>#REF!</v>
      </c>
      <c r="CK60" s="14"/>
      <c r="CL60" s="14"/>
      <c r="CM60" s="14"/>
      <c r="CN60" s="14"/>
      <c r="CO60" s="14" t="e">
        <f>SUM(CG$6:CG60)</f>
        <v>#REF!</v>
      </c>
      <c r="CP60" s="14" t="e">
        <f>SUM(CH$6:CH60)</f>
        <v>#REF!</v>
      </c>
      <c r="CQ60" s="14" t="e">
        <f>SUM(CI$6:CI60)</f>
        <v>#REF!</v>
      </c>
      <c r="CR60" s="14" t="e">
        <f>SUM(CJ$6:CJ60)</f>
        <v>#REF!</v>
      </c>
      <c r="CU60" s="83">
        <v>44</v>
      </c>
      <c r="CV60" s="14" t="e">
        <f>INDEX(节奏总表!#REF!,专属武器强化!CU60)</f>
        <v>#REF!</v>
      </c>
      <c r="CW60" s="14" t="e">
        <f t="shared" si="123"/>
        <v>#REF!</v>
      </c>
      <c r="CX60" s="14" t="e">
        <f t="shared" si="60"/>
        <v>#REF!</v>
      </c>
      <c r="CY60" s="14" t="e">
        <f t="shared" si="61"/>
        <v>#REF!</v>
      </c>
      <c r="CZ60" s="14" t="e">
        <f t="shared" si="62"/>
        <v>#REF!</v>
      </c>
      <c r="DA60" s="83">
        <v>7</v>
      </c>
      <c r="DB60" s="83">
        <v>3</v>
      </c>
      <c r="DC60" s="14">
        <f t="shared" si="105"/>
        <v>0</v>
      </c>
      <c r="DD60" s="14">
        <f t="shared" si="106"/>
        <v>0</v>
      </c>
      <c r="DE60" s="14">
        <f t="shared" si="107"/>
        <v>268.8190909090909</v>
      </c>
      <c r="DF60" s="14">
        <f t="shared" si="108"/>
        <v>90.515454545454546</v>
      </c>
      <c r="DG60" s="83"/>
      <c r="DH60" s="83"/>
      <c r="DI60" s="83"/>
      <c r="DJ60" s="83"/>
      <c r="DK60" s="14" t="e">
        <f>CW60-SUM(DC$7:DC60)+SUM(DG$7:DG60)</f>
        <v>#REF!</v>
      </c>
      <c r="DL60" s="14" t="e">
        <f>CX60-SUM(DD$7:DD60)+SUM(DH$7:DH60)</f>
        <v>#REF!</v>
      </c>
      <c r="DM60" s="14" t="e">
        <f>CY60-SUM(DE$7:DE60)+SUM(DI$7:DI60)</f>
        <v>#REF!</v>
      </c>
      <c r="DN60" s="14" t="e">
        <f>CZ60-SUM(DF$7:DF60)+SUM(DJ$7:DJ60)</f>
        <v>#REF!</v>
      </c>
      <c r="DQ60" s="95">
        <v>55</v>
      </c>
      <c r="DR60" s="14">
        <f t="shared" si="67"/>
        <v>7</v>
      </c>
      <c r="DS60" s="14">
        <f t="shared" si="68"/>
        <v>1</v>
      </c>
      <c r="DT60" s="14">
        <f t="shared" si="132"/>
        <v>0</v>
      </c>
      <c r="DU60" s="14">
        <f t="shared" si="132"/>
        <v>0</v>
      </c>
      <c r="DV60" s="14">
        <f t="shared" si="132"/>
        <v>29.868787878787881</v>
      </c>
      <c r="DW60" s="14">
        <f t="shared" si="132"/>
        <v>10.057272727272727</v>
      </c>
      <c r="DX60" s="14">
        <f t="shared" si="69"/>
        <v>3</v>
      </c>
      <c r="DY60" s="14">
        <f t="shared" si="70"/>
        <v>4</v>
      </c>
      <c r="EF60" s="139">
        <v>55</v>
      </c>
      <c r="EG60" s="14">
        <f t="shared" si="72"/>
        <v>7</v>
      </c>
      <c r="EH60" s="19">
        <v>0.02</v>
      </c>
      <c r="EI60" s="139">
        <v>3</v>
      </c>
      <c r="EJ60" s="139" t="s">
        <v>958</v>
      </c>
      <c r="EK60" s="139">
        <f t="shared" si="73"/>
        <v>12088</v>
      </c>
      <c r="EL60" s="139" t="s">
        <v>867</v>
      </c>
      <c r="EM60" s="139">
        <f t="shared" si="134"/>
        <v>6</v>
      </c>
      <c r="EN60" s="139" t="s">
        <v>870</v>
      </c>
      <c r="EO60" s="139">
        <v>2</v>
      </c>
      <c r="EP60" s="139">
        <f t="shared" si="124"/>
        <v>0.2</v>
      </c>
      <c r="EQ60" s="139">
        <v>1</v>
      </c>
      <c r="ER60" s="139">
        <f t="shared" si="135"/>
        <v>8</v>
      </c>
      <c r="ES60" s="139"/>
      <c r="ET60" s="139">
        <f t="shared" si="133"/>
        <v>5.0286363636363633</v>
      </c>
      <c r="EV60">
        <v>0</v>
      </c>
      <c r="EW60">
        <v>1</v>
      </c>
      <c r="EX60">
        <f t="shared" si="125"/>
        <v>2</v>
      </c>
      <c r="EY60" s="89">
        <f t="shared" si="126"/>
        <v>9.9400000000000002E-2</v>
      </c>
      <c r="EZ60">
        <v>1</v>
      </c>
      <c r="FA60">
        <f t="shared" si="127"/>
        <v>4</v>
      </c>
      <c r="FB60" s="89">
        <f t="shared" si="128"/>
        <v>0.3977</v>
      </c>
      <c r="FC60">
        <v>1</v>
      </c>
      <c r="FD60">
        <f t="shared" si="129"/>
        <v>8</v>
      </c>
      <c r="FN60" s="101">
        <v>55</v>
      </c>
      <c r="FO60" s="101">
        <f t="shared" si="75"/>
        <v>49</v>
      </c>
      <c r="FP60" s="101">
        <f t="shared" si="76"/>
        <v>1</v>
      </c>
      <c r="FQ60" s="14">
        <f t="shared" si="77"/>
        <v>5</v>
      </c>
      <c r="FR60" s="101" t="str">
        <f t="shared" si="78"/>
        <v>关羽专属武器-魂珠-6 4级</v>
      </c>
      <c r="FS60" s="101">
        <f t="shared" si="79"/>
        <v>6</v>
      </c>
      <c r="FT60" s="101">
        <f t="shared" si="80"/>
        <v>4</v>
      </c>
      <c r="FU60" s="101" t="str">
        <f t="shared" si="81"/>
        <v>金币</v>
      </c>
      <c r="FV60" s="139">
        <f>IF($FT60&gt;0,IF(INDEX($EI$6:$EI$77,$FO60)&gt;=FV$3,ROUND(INDEX(EK$6:EK$77,$FO60)*INDEX(卡牌消耗!$B$8:$F$8,FQ60)/5,0)*5,""),"")</f>
        <v>6980</v>
      </c>
      <c r="FW60" s="101" t="str">
        <f t="shared" si="82"/>
        <v>专属强化石3</v>
      </c>
      <c r="FX60" s="101">
        <f t="shared" si="83"/>
        <v>15</v>
      </c>
      <c r="FY60" s="101" t="str">
        <f t="shared" si="84"/>
        <v>专属强化石4</v>
      </c>
      <c r="FZ60" s="101">
        <f t="shared" si="85"/>
        <v>3</v>
      </c>
      <c r="GA60" s="101">
        <f t="shared" si="86"/>
        <v>0.1</v>
      </c>
      <c r="GB60" s="101">
        <f t="shared" si="87"/>
        <v>1</v>
      </c>
      <c r="GC60" s="101">
        <f t="shared" si="88"/>
        <v>15</v>
      </c>
      <c r="GD60" s="101">
        <f t="shared" si="89"/>
        <v>0</v>
      </c>
      <c r="GE60" s="101">
        <f t="shared" si="90"/>
        <v>1</v>
      </c>
      <c r="GF60" s="101">
        <f t="shared" si="91"/>
        <v>4</v>
      </c>
      <c r="GG60" s="101">
        <f t="shared" si="92"/>
        <v>4.9700000000000001E-2</v>
      </c>
      <c r="GH60" s="101">
        <f t="shared" si="93"/>
        <v>1</v>
      </c>
      <c r="GI60" s="101">
        <f t="shared" si="94"/>
        <v>7</v>
      </c>
      <c r="GJ60" s="101">
        <f t="shared" si="95"/>
        <v>0.19889999999999999</v>
      </c>
      <c r="GK60" s="101">
        <f t="shared" si="96"/>
        <v>1</v>
      </c>
      <c r="GL60" s="101">
        <f t="shared" si="97"/>
        <v>15</v>
      </c>
    </row>
    <row r="61" spans="81:194" ht="16.5" x14ac:dyDescent="0.2">
      <c r="CC61" s="81">
        <v>56</v>
      </c>
      <c r="CD61" s="81" t="e">
        <f>INDEX(节奏总表!#REF!,MATCH(专属武器强化!CC61,节奏总表!#REF!,1))</f>
        <v>#REF!</v>
      </c>
      <c r="CE61" s="81"/>
      <c r="CF61" s="81" t="e">
        <f t="shared" si="118"/>
        <v>#REF!</v>
      </c>
      <c r="CG61" s="14" t="e">
        <f t="shared" si="119"/>
        <v>#REF!</v>
      </c>
      <c r="CH61" s="14" t="e">
        <f t="shared" si="120"/>
        <v>#REF!</v>
      </c>
      <c r="CI61" s="14" t="e">
        <f t="shared" si="121"/>
        <v>#REF!</v>
      </c>
      <c r="CJ61" s="14" t="e">
        <f t="shared" si="122"/>
        <v>#REF!</v>
      </c>
      <c r="CK61" s="14"/>
      <c r="CL61" s="14"/>
      <c r="CM61" s="14"/>
      <c r="CN61" s="14"/>
      <c r="CO61" s="14" t="e">
        <f>SUM(CG$6:CG61)</f>
        <v>#REF!</v>
      </c>
      <c r="CP61" s="14" t="e">
        <f>SUM(CH$6:CH61)</f>
        <v>#REF!</v>
      </c>
      <c r="CQ61" s="14" t="e">
        <f>SUM(CI$6:CI61)</f>
        <v>#REF!</v>
      </c>
      <c r="CR61" s="14" t="e">
        <f>SUM(CJ$6:CJ61)</f>
        <v>#REF!</v>
      </c>
      <c r="CU61" s="83">
        <v>45</v>
      </c>
      <c r="CV61" s="14" t="e">
        <f>INDEX(节奏总表!#REF!,专属武器强化!CU61)</f>
        <v>#REF!</v>
      </c>
      <c r="CW61" s="14" t="e">
        <f t="shared" si="123"/>
        <v>#REF!</v>
      </c>
      <c r="CX61" s="14" t="e">
        <f t="shared" si="60"/>
        <v>#REF!</v>
      </c>
      <c r="CY61" s="14" t="e">
        <f t="shared" si="61"/>
        <v>#REF!</v>
      </c>
      <c r="CZ61" s="14" t="e">
        <f t="shared" si="62"/>
        <v>#REF!</v>
      </c>
      <c r="DA61" s="83">
        <v>0</v>
      </c>
      <c r="DB61" s="83">
        <v>0</v>
      </c>
      <c r="DC61" s="14">
        <f t="shared" si="105"/>
        <v>0</v>
      </c>
      <c r="DD61" s="14">
        <f t="shared" si="106"/>
        <v>0</v>
      </c>
      <c r="DE61" s="14">
        <f t="shared" si="107"/>
        <v>0</v>
      </c>
      <c r="DF61" s="14">
        <f t="shared" si="108"/>
        <v>0</v>
      </c>
      <c r="DG61" s="83"/>
      <c r="DH61" s="83"/>
      <c r="DI61" s="83"/>
      <c r="DJ61" s="83"/>
      <c r="DK61" s="14" t="e">
        <f>CW61-SUM(DC$7:DC61)+SUM(DG$7:DG61)</f>
        <v>#REF!</v>
      </c>
      <c r="DL61" s="14" t="e">
        <f>CX61-SUM(DD$7:DD61)+SUM(DH$7:DH61)</f>
        <v>#REF!</v>
      </c>
      <c r="DM61" s="14" t="e">
        <f>CY61-SUM(DE$7:DE61)+SUM(DI$7:DI61)</f>
        <v>#REF!</v>
      </c>
      <c r="DN61" s="14" t="e">
        <f>CZ61-SUM(DF$7:DF61)+SUM(DJ$7:DJ61)</f>
        <v>#REF!</v>
      </c>
      <c r="DQ61" s="95">
        <v>56</v>
      </c>
      <c r="DR61" s="14">
        <f t="shared" si="67"/>
        <v>7</v>
      </c>
      <c r="DS61" s="14">
        <f t="shared" si="68"/>
        <v>2</v>
      </c>
      <c r="DT61" s="14">
        <f t="shared" si="132"/>
        <v>0</v>
      </c>
      <c r="DU61" s="14">
        <f t="shared" si="132"/>
        <v>0</v>
      </c>
      <c r="DV61" s="14">
        <f t="shared" si="132"/>
        <v>59.737575757575762</v>
      </c>
      <c r="DW61" s="14">
        <f t="shared" si="132"/>
        <v>20.114545454545453</v>
      </c>
      <c r="DX61" s="14">
        <f t="shared" si="69"/>
        <v>3</v>
      </c>
      <c r="DY61" s="14">
        <f t="shared" si="70"/>
        <v>4</v>
      </c>
      <c r="EF61" s="139">
        <v>56</v>
      </c>
      <c r="EG61" s="14">
        <f t="shared" si="72"/>
        <v>7</v>
      </c>
      <c r="EH61" s="19">
        <v>0.03</v>
      </c>
      <c r="EI61" s="139">
        <v>3</v>
      </c>
      <c r="EJ61" s="139" t="s">
        <v>958</v>
      </c>
      <c r="EK61" s="139">
        <f t="shared" si="73"/>
        <v>9066</v>
      </c>
      <c r="EL61" s="139" t="s">
        <v>867</v>
      </c>
      <c r="EM61" s="139">
        <f t="shared" si="134"/>
        <v>6</v>
      </c>
      <c r="EN61" s="139" t="s">
        <v>870</v>
      </c>
      <c r="EO61" s="139">
        <v>2</v>
      </c>
      <c r="EP61" s="139">
        <f t="shared" si="124"/>
        <v>0.1</v>
      </c>
      <c r="EQ61" s="139">
        <v>1</v>
      </c>
      <c r="ER61" s="139">
        <f t="shared" si="135"/>
        <v>15</v>
      </c>
      <c r="ES61" s="139"/>
      <c r="ET61" s="139">
        <f t="shared" si="133"/>
        <v>10.057272727272727</v>
      </c>
      <c r="EV61">
        <v>0</v>
      </c>
      <c r="EW61">
        <v>1</v>
      </c>
      <c r="EX61">
        <f t="shared" si="125"/>
        <v>4</v>
      </c>
      <c r="EY61" s="89">
        <f t="shared" si="126"/>
        <v>4.9700000000000001E-2</v>
      </c>
      <c r="EZ61">
        <v>1</v>
      </c>
      <c r="FA61">
        <f t="shared" si="127"/>
        <v>7</v>
      </c>
      <c r="FB61" s="89">
        <f t="shared" si="128"/>
        <v>0.19889999999999999</v>
      </c>
      <c r="FC61">
        <v>1</v>
      </c>
      <c r="FD61">
        <f t="shared" si="129"/>
        <v>15</v>
      </c>
      <c r="FN61" s="101">
        <v>56</v>
      </c>
      <c r="FO61" s="101">
        <f t="shared" si="75"/>
        <v>50</v>
      </c>
      <c r="FP61" s="101">
        <f t="shared" si="76"/>
        <v>1</v>
      </c>
      <c r="FQ61" s="14">
        <f t="shared" si="77"/>
        <v>5</v>
      </c>
      <c r="FR61" s="101" t="str">
        <f t="shared" si="78"/>
        <v>关羽专属武器-魂珠-6 5级</v>
      </c>
      <c r="FS61" s="101">
        <f t="shared" si="79"/>
        <v>6</v>
      </c>
      <c r="FT61" s="101">
        <f t="shared" si="80"/>
        <v>5</v>
      </c>
      <c r="FU61" s="101" t="str">
        <f t="shared" si="81"/>
        <v>金币</v>
      </c>
      <c r="FV61" s="139">
        <f>IF($FT61&gt;0,IF(INDEX($EI$6:$EI$77,$FO61)&gt;=FV$3,ROUND(INDEX(EK$6:EK$77,$FO61)*INDEX(卡牌消耗!$B$8:$F$8,FQ61)/5,0)*5,""),"")</f>
        <v>7090</v>
      </c>
      <c r="FW61" s="101" t="str">
        <f t="shared" si="82"/>
        <v>专属强化石3</v>
      </c>
      <c r="FX61" s="101">
        <f t="shared" si="83"/>
        <v>15</v>
      </c>
      <c r="FY61" s="101" t="str">
        <f t="shared" si="84"/>
        <v>专属强化石4</v>
      </c>
      <c r="FZ61" s="101">
        <f t="shared" si="85"/>
        <v>3</v>
      </c>
      <c r="GA61" s="101">
        <f t="shared" si="86"/>
        <v>0.06</v>
      </c>
      <c r="GB61" s="101">
        <f t="shared" si="87"/>
        <v>1</v>
      </c>
      <c r="GC61" s="101">
        <f t="shared" si="88"/>
        <v>24</v>
      </c>
      <c r="GD61" s="101">
        <f t="shared" si="89"/>
        <v>0</v>
      </c>
      <c r="GE61" s="101">
        <f t="shared" si="90"/>
        <v>1</v>
      </c>
      <c r="GF61" s="101">
        <f t="shared" si="91"/>
        <v>6</v>
      </c>
      <c r="GG61" s="101">
        <f t="shared" si="92"/>
        <v>3.1099999999999999E-2</v>
      </c>
      <c r="GH61" s="101">
        <f t="shared" si="93"/>
        <v>1</v>
      </c>
      <c r="GI61" s="101">
        <f t="shared" si="94"/>
        <v>11</v>
      </c>
      <c r="GJ61" s="101">
        <f t="shared" si="95"/>
        <v>0.12429999999999999</v>
      </c>
      <c r="GK61" s="101">
        <f t="shared" si="96"/>
        <v>1</v>
      </c>
      <c r="GL61" s="101">
        <f t="shared" si="97"/>
        <v>24</v>
      </c>
    </row>
    <row r="62" spans="81:194" ht="16.5" x14ac:dyDescent="0.2">
      <c r="CC62" s="81">
        <v>57</v>
      </c>
      <c r="CD62" s="81" t="e">
        <f>INDEX(节奏总表!#REF!,MATCH(专属武器强化!CC62,节奏总表!#REF!,1))</f>
        <v>#REF!</v>
      </c>
      <c r="CE62" s="81"/>
      <c r="CF62" s="81" t="e">
        <f t="shared" si="118"/>
        <v>#REF!</v>
      </c>
      <c r="CG62" s="14" t="e">
        <f t="shared" si="119"/>
        <v>#REF!</v>
      </c>
      <c r="CH62" s="14" t="e">
        <f t="shared" si="120"/>
        <v>#REF!</v>
      </c>
      <c r="CI62" s="14" t="e">
        <f t="shared" si="121"/>
        <v>#REF!</v>
      </c>
      <c r="CJ62" s="14" t="e">
        <f t="shared" si="122"/>
        <v>#REF!</v>
      </c>
      <c r="CK62" s="14"/>
      <c r="CL62" s="14"/>
      <c r="CM62" s="14"/>
      <c r="CN62" s="14"/>
      <c r="CO62" s="14" t="e">
        <f>SUM(CG$6:CG62)</f>
        <v>#REF!</v>
      </c>
      <c r="CP62" s="14" t="e">
        <f>SUM(CH$6:CH62)</f>
        <v>#REF!</v>
      </c>
      <c r="CQ62" s="14" t="e">
        <f>SUM(CI$6:CI62)</f>
        <v>#REF!</v>
      </c>
      <c r="CR62" s="14" t="e">
        <f>SUM(CJ$6:CJ62)</f>
        <v>#REF!</v>
      </c>
      <c r="CU62" s="83">
        <v>46</v>
      </c>
      <c r="CV62" s="14" t="e">
        <f>INDEX(节奏总表!#REF!,专属武器强化!CU62)</f>
        <v>#REF!</v>
      </c>
      <c r="CW62" s="14" t="e">
        <f t="shared" si="123"/>
        <v>#REF!</v>
      </c>
      <c r="CX62" s="14" t="e">
        <f t="shared" si="60"/>
        <v>#REF!</v>
      </c>
      <c r="CY62" s="14" t="e">
        <f t="shared" si="61"/>
        <v>#REF!</v>
      </c>
      <c r="CZ62" s="14" t="e">
        <f t="shared" si="62"/>
        <v>#REF!</v>
      </c>
      <c r="DA62" s="83">
        <v>0</v>
      </c>
      <c r="DB62" s="83">
        <v>0</v>
      </c>
      <c r="DC62" s="14">
        <f t="shared" si="105"/>
        <v>0</v>
      </c>
      <c r="DD62" s="14">
        <f t="shared" si="106"/>
        <v>0</v>
      </c>
      <c r="DE62" s="14">
        <f t="shared" si="107"/>
        <v>0</v>
      </c>
      <c r="DF62" s="14">
        <f t="shared" si="108"/>
        <v>0</v>
      </c>
      <c r="DG62" s="83"/>
      <c r="DH62" s="83"/>
      <c r="DI62" s="83"/>
      <c r="DJ62" s="83"/>
      <c r="DK62" s="14" t="e">
        <f>CW62-SUM(DC$7:DC62)+SUM(DG$7:DG62)</f>
        <v>#REF!</v>
      </c>
      <c r="DL62" s="14" t="e">
        <f>CX62-SUM(DD$7:DD62)+SUM(DH$7:DH62)</f>
        <v>#REF!</v>
      </c>
      <c r="DM62" s="14" t="e">
        <f>CY62-SUM(DE$7:DE62)+SUM(DI$7:DI62)</f>
        <v>#REF!</v>
      </c>
      <c r="DN62" s="14" t="e">
        <f>CZ62-SUM(DF$7:DF62)+SUM(DJ$7:DJ62)</f>
        <v>#REF!</v>
      </c>
      <c r="DQ62" s="95">
        <v>57</v>
      </c>
      <c r="DR62" s="14">
        <f t="shared" si="67"/>
        <v>7</v>
      </c>
      <c r="DS62" s="14">
        <f t="shared" si="68"/>
        <v>3</v>
      </c>
      <c r="DT62" s="14">
        <f t="shared" si="132"/>
        <v>0</v>
      </c>
      <c r="DU62" s="14">
        <f t="shared" si="132"/>
        <v>0</v>
      </c>
      <c r="DV62" s="14">
        <f t="shared" si="132"/>
        <v>89.606363636363639</v>
      </c>
      <c r="DW62" s="14">
        <f t="shared" si="132"/>
        <v>30.171818181818182</v>
      </c>
      <c r="DX62" s="14">
        <f t="shared" si="69"/>
        <v>3</v>
      </c>
      <c r="DY62" s="14">
        <f t="shared" si="70"/>
        <v>4</v>
      </c>
      <c r="EF62" s="139">
        <v>57</v>
      </c>
      <c r="EG62" s="14">
        <f t="shared" si="72"/>
        <v>7</v>
      </c>
      <c r="EH62" s="19">
        <f t="shared" ref="EH62" si="137">EH60+EH61</f>
        <v>0.05</v>
      </c>
      <c r="EI62" s="139">
        <v>3</v>
      </c>
      <c r="EJ62" s="139" t="s">
        <v>958</v>
      </c>
      <c r="EK62" s="139">
        <f t="shared" si="73"/>
        <v>15109</v>
      </c>
      <c r="EL62" s="139" t="s">
        <v>867</v>
      </c>
      <c r="EM62" s="139">
        <f t="shared" si="134"/>
        <v>9</v>
      </c>
      <c r="EN62" s="139" t="s">
        <v>870</v>
      </c>
      <c r="EO62" s="139">
        <v>3</v>
      </c>
      <c r="EP62" s="139">
        <f t="shared" si="124"/>
        <v>0.1</v>
      </c>
      <c r="EQ62" s="139">
        <v>1</v>
      </c>
      <c r="ER62" s="139">
        <f t="shared" si="135"/>
        <v>15</v>
      </c>
      <c r="ES62" s="139"/>
      <c r="ET62" s="139">
        <f t="shared" si="133"/>
        <v>10.057272727272727</v>
      </c>
      <c r="EV62">
        <v>0</v>
      </c>
      <c r="EW62">
        <v>1</v>
      </c>
      <c r="EX62">
        <f t="shared" si="125"/>
        <v>4</v>
      </c>
      <c r="EY62" s="89">
        <f t="shared" si="126"/>
        <v>4.9700000000000001E-2</v>
      </c>
      <c r="EZ62">
        <v>1</v>
      </c>
      <c r="FA62">
        <f t="shared" si="127"/>
        <v>7</v>
      </c>
      <c r="FB62" s="89">
        <f t="shared" si="128"/>
        <v>0.19889999999999999</v>
      </c>
      <c r="FC62">
        <v>1</v>
      </c>
      <c r="FD62">
        <f t="shared" si="129"/>
        <v>15</v>
      </c>
      <c r="FN62" s="101">
        <v>57</v>
      </c>
      <c r="FO62" s="101">
        <f t="shared" si="75"/>
        <v>51</v>
      </c>
      <c r="FP62" s="101">
        <f t="shared" si="76"/>
        <v>1</v>
      </c>
      <c r="FQ62" s="14">
        <f t="shared" si="77"/>
        <v>5</v>
      </c>
      <c r="FR62" s="101" t="str">
        <f t="shared" si="78"/>
        <v>关羽专属武器-魂珠-6 6级</v>
      </c>
      <c r="FS62" s="101">
        <f t="shared" si="79"/>
        <v>6</v>
      </c>
      <c r="FT62" s="101">
        <f t="shared" si="80"/>
        <v>6</v>
      </c>
      <c r="FU62" s="101" t="str">
        <f t="shared" si="81"/>
        <v>金币</v>
      </c>
      <c r="FV62" s="139">
        <f>IF($FT62&gt;0,IF(INDEX($EI$6:$EI$77,$FO62)&gt;=FV$3,ROUND(INDEX(EK$6:EK$77,$FO62)*INDEX(卡牌消耗!$B$8:$F$8,FQ62)/5,0)*5,""),"")</f>
        <v>9395</v>
      </c>
      <c r="FW62" s="101" t="str">
        <f t="shared" si="82"/>
        <v>专属强化石3</v>
      </c>
      <c r="FX62" s="101">
        <f t="shared" si="83"/>
        <v>20</v>
      </c>
      <c r="FY62" s="101" t="str">
        <f t="shared" si="84"/>
        <v>专属强化石4</v>
      </c>
      <c r="FZ62" s="101">
        <f t="shared" si="85"/>
        <v>4</v>
      </c>
      <c r="GA62" s="101">
        <f t="shared" si="86"/>
        <v>0.05</v>
      </c>
      <c r="GB62" s="101">
        <f t="shared" si="87"/>
        <v>1</v>
      </c>
      <c r="GC62" s="101">
        <f t="shared" si="88"/>
        <v>29</v>
      </c>
      <c r="GD62" s="101">
        <f t="shared" si="89"/>
        <v>0</v>
      </c>
      <c r="GE62" s="101">
        <f t="shared" si="90"/>
        <v>1</v>
      </c>
      <c r="GF62" s="101">
        <f t="shared" si="91"/>
        <v>7</v>
      </c>
      <c r="GG62" s="101">
        <f t="shared" si="92"/>
        <v>2.5499999999999998E-2</v>
      </c>
      <c r="GH62" s="101">
        <f t="shared" si="93"/>
        <v>1</v>
      </c>
      <c r="GI62" s="101">
        <f t="shared" si="94"/>
        <v>14</v>
      </c>
      <c r="GJ62" s="101">
        <f t="shared" si="95"/>
        <v>0.10199999999999999</v>
      </c>
      <c r="GK62" s="101">
        <f t="shared" si="96"/>
        <v>1</v>
      </c>
      <c r="GL62" s="101">
        <f t="shared" si="97"/>
        <v>29</v>
      </c>
    </row>
    <row r="63" spans="81:194" ht="16.5" x14ac:dyDescent="0.2">
      <c r="CC63" s="81">
        <v>58</v>
      </c>
      <c r="CD63" s="81" t="e">
        <f>INDEX(节奏总表!#REF!,MATCH(专属武器强化!CC63,节奏总表!#REF!,1))</f>
        <v>#REF!</v>
      </c>
      <c r="CE63" s="81"/>
      <c r="CF63" s="81" t="e">
        <f t="shared" si="118"/>
        <v>#REF!</v>
      </c>
      <c r="CG63" s="14" t="e">
        <f t="shared" si="119"/>
        <v>#REF!</v>
      </c>
      <c r="CH63" s="14" t="e">
        <f t="shared" si="120"/>
        <v>#REF!</v>
      </c>
      <c r="CI63" s="14" t="e">
        <f t="shared" si="121"/>
        <v>#REF!</v>
      </c>
      <c r="CJ63" s="14" t="e">
        <f t="shared" si="122"/>
        <v>#REF!</v>
      </c>
      <c r="CK63" s="14"/>
      <c r="CL63" s="14"/>
      <c r="CM63" s="14"/>
      <c r="CN63" s="14"/>
      <c r="CO63" s="14" t="e">
        <f>SUM(CG$6:CG63)</f>
        <v>#REF!</v>
      </c>
      <c r="CP63" s="14" t="e">
        <f>SUM(CH$6:CH63)</f>
        <v>#REF!</v>
      </c>
      <c r="CQ63" s="14" t="e">
        <f>SUM(CI$6:CI63)</f>
        <v>#REF!</v>
      </c>
      <c r="CR63" s="14" t="e">
        <f>SUM(CJ$6:CJ63)</f>
        <v>#REF!</v>
      </c>
      <c r="CU63" s="83">
        <v>47</v>
      </c>
      <c r="CV63" s="14" t="e">
        <f>INDEX(节奏总表!#REF!,专属武器强化!CU63)</f>
        <v>#REF!</v>
      </c>
      <c r="CW63" s="14" t="e">
        <f t="shared" si="123"/>
        <v>#REF!</v>
      </c>
      <c r="CX63" s="14" t="e">
        <f t="shared" si="60"/>
        <v>#REF!</v>
      </c>
      <c r="CY63" s="14" t="e">
        <f t="shared" si="61"/>
        <v>#REF!</v>
      </c>
      <c r="CZ63" s="14" t="e">
        <f t="shared" si="62"/>
        <v>#REF!</v>
      </c>
      <c r="DA63" s="83">
        <v>0</v>
      </c>
      <c r="DB63" s="83">
        <v>0</v>
      </c>
      <c r="DC63" s="14">
        <f t="shared" si="105"/>
        <v>0</v>
      </c>
      <c r="DD63" s="14">
        <f t="shared" si="106"/>
        <v>0</v>
      </c>
      <c r="DE63" s="14">
        <f t="shared" si="107"/>
        <v>0</v>
      </c>
      <c r="DF63" s="14">
        <f t="shared" si="108"/>
        <v>0</v>
      </c>
      <c r="DG63" s="83"/>
      <c r="DH63" s="83"/>
      <c r="DI63" s="83"/>
      <c r="DJ63" s="83"/>
      <c r="DK63" s="14" t="e">
        <f>CW63-SUM(DC$7:DC63)+SUM(DG$7:DG63)</f>
        <v>#REF!</v>
      </c>
      <c r="DL63" s="14" t="e">
        <f>CX63-SUM(DD$7:DD63)+SUM(DH$7:DH63)</f>
        <v>#REF!</v>
      </c>
      <c r="DM63" s="14" t="e">
        <f>CY63-SUM(DE$7:DE63)+SUM(DI$7:DI63)</f>
        <v>#REF!</v>
      </c>
      <c r="DN63" s="14" t="e">
        <f>CZ63-SUM(DF$7:DF63)+SUM(DJ$7:DJ63)</f>
        <v>#REF!</v>
      </c>
      <c r="DQ63" s="95">
        <v>58</v>
      </c>
      <c r="DR63" s="14">
        <f t="shared" si="67"/>
        <v>7</v>
      </c>
      <c r="DS63" s="14">
        <f t="shared" si="68"/>
        <v>4</v>
      </c>
      <c r="DT63" s="14">
        <f t="shared" si="132"/>
        <v>0</v>
      </c>
      <c r="DU63" s="14">
        <f t="shared" si="132"/>
        <v>0</v>
      </c>
      <c r="DV63" s="14">
        <f t="shared" si="132"/>
        <v>149.34393939393939</v>
      </c>
      <c r="DW63" s="14">
        <f t="shared" si="132"/>
        <v>50.286363636363632</v>
      </c>
      <c r="DX63" s="14">
        <f t="shared" si="69"/>
        <v>3</v>
      </c>
      <c r="DY63" s="14">
        <f t="shared" si="70"/>
        <v>4</v>
      </c>
      <c r="EF63" s="139">
        <v>58</v>
      </c>
      <c r="EG63" s="14">
        <f t="shared" si="72"/>
        <v>7</v>
      </c>
      <c r="EH63" s="19">
        <f t="shared" si="114"/>
        <v>0.08</v>
      </c>
      <c r="EI63" s="139">
        <v>3</v>
      </c>
      <c r="EJ63" s="139" t="s">
        <v>958</v>
      </c>
      <c r="EK63" s="139">
        <f t="shared" si="73"/>
        <v>19340</v>
      </c>
      <c r="EL63" s="139" t="s">
        <v>867</v>
      </c>
      <c r="EM63" s="139">
        <f t="shared" si="134"/>
        <v>12</v>
      </c>
      <c r="EN63" s="139" t="s">
        <v>870</v>
      </c>
      <c r="EO63" s="139">
        <v>4</v>
      </c>
      <c r="EP63" s="139">
        <f t="shared" si="124"/>
        <v>0.08</v>
      </c>
      <c r="EQ63" s="139">
        <v>1</v>
      </c>
      <c r="ER63" s="139">
        <f t="shared" si="135"/>
        <v>19</v>
      </c>
      <c r="ES63" s="139"/>
      <c r="ET63" s="139">
        <f t="shared" si="133"/>
        <v>12.571590909090908</v>
      </c>
      <c r="EV63">
        <v>0</v>
      </c>
      <c r="EW63">
        <v>1</v>
      </c>
      <c r="EX63">
        <f t="shared" si="125"/>
        <v>4</v>
      </c>
      <c r="EY63" s="89">
        <f t="shared" si="126"/>
        <v>3.9800000000000002E-2</v>
      </c>
      <c r="EZ63">
        <v>1</v>
      </c>
      <c r="FA63">
        <f t="shared" si="127"/>
        <v>9</v>
      </c>
      <c r="FB63" s="89">
        <f t="shared" si="128"/>
        <v>0.15909999999999999</v>
      </c>
      <c r="FC63">
        <v>1</v>
      </c>
      <c r="FD63">
        <f t="shared" si="129"/>
        <v>19</v>
      </c>
      <c r="FN63" s="101">
        <v>58</v>
      </c>
      <c r="FO63" s="101">
        <f t="shared" si="75"/>
        <v>52</v>
      </c>
      <c r="FP63" s="101">
        <f t="shared" si="76"/>
        <v>1</v>
      </c>
      <c r="FQ63" s="14">
        <f t="shared" si="77"/>
        <v>5</v>
      </c>
      <c r="FR63" s="101" t="str">
        <f t="shared" si="78"/>
        <v>关羽专属武器-魂珠-6 7级</v>
      </c>
      <c r="FS63" s="101">
        <f t="shared" si="79"/>
        <v>6</v>
      </c>
      <c r="FT63" s="101">
        <f t="shared" si="80"/>
        <v>7</v>
      </c>
      <c r="FU63" s="101" t="str">
        <f t="shared" si="81"/>
        <v>金币</v>
      </c>
      <c r="FV63" s="139">
        <f>IF($FT63&gt;0,IF(INDEX($EI$6:$EI$77,$FO63)&gt;=FV$3,ROUND(INDEX(EK$6:EK$77,$FO63)*INDEX(卡牌消耗!$B$8:$F$8,FQ63)/5,0)*5,""),"")</f>
        <v>11770</v>
      </c>
      <c r="FW63" s="101" t="str">
        <f t="shared" si="82"/>
        <v>专属强化石3</v>
      </c>
      <c r="FX63" s="101">
        <f t="shared" si="83"/>
        <v>25</v>
      </c>
      <c r="FY63" s="101" t="str">
        <f t="shared" si="84"/>
        <v>专属强化石4</v>
      </c>
      <c r="FZ63" s="101">
        <f t="shared" si="85"/>
        <v>5</v>
      </c>
      <c r="GA63" s="101">
        <f t="shared" si="86"/>
        <v>0.04</v>
      </c>
      <c r="GB63" s="101">
        <f t="shared" si="87"/>
        <v>1</v>
      </c>
      <c r="GC63" s="101">
        <f t="shared" si="88"/>
        <v>38</v>
      </c>
      <c r="GD63" s="101">
        <f t="shared" si="89"/>
        <v>0</v>
      </c>
      <c r="GE63" s="101">
        <f t="shared" si="90"/>
        <v>1</v>
      </c>
      <c r="GF63" s="101">
        <f t="shared" si="91"/>
        <v>9</v>
      </c>
      <c r="GG63" s="101">
        <f t="shared" si="92"/>
        <v>1.9699999999999999E-2</v>
      </c>
      <c r="GH63" s="101">
        <f t="shared" si="93"/>
        <v>1</v>
      </c>
      <c r="GI63" s="101">
        <f t="shared" si="94"/>
        <v>18</v>
      </c>
      <c r="GJ63" s="101">
        <f t="shared" si="95"/>
        <v>7.8899999999999998E-2</v>
      </c>
      <c r="GK63" s="101">
        <f t="shared" si="96"/>
        <v>1</v>
      </c>
      <c r="GL63" s="101">
        <f t="shared" si="97"/>
        <v>38</v>
      </c>
    </row>
    <row r="64" spans="81:194" ht="16.5" x14ac:dyDescent="0.2">
      <c r="CC64" s="81">
        <v>59</v>
      </c>
      <c r="CD64" s="81" t="e">
        <f>INDEX(节奏总表!#REF!,MATCH(专属武器强化!CC64,节奏总表!#REF!,1))</f>
        <v>#REF!</v>
      </c>
      <c r="CE64" s="81"/>
      <c r="CF64" s="81" t="e">
        <f t="shared" si="118"/>
        <v>#REF!</v>
      </c>
      <c r="CG64" s="14" t="e">
        <f t="shared" si="119"/>
        <v>#REF!</v>
      </c>
      <c r="CH64" s="14" t="e">
        <f t="shared" si="120"/>
        <v>#REF!</v>
      </c>
      <c r="CI64" s="14" t="e">
        <f t="shared" si="121"/>
        <v>#REF!</v>
      </c>
      <c r="CJ64" s="14" t="e">
        <f t="shared" si="122"/>
        <v>#REF!</v>
      </c>
      <c r="CK64" s="14"/>
      <c r="CL64" s="14"/>
      <c r="CM64" s="14"/>
      <c r="CN64" s="14"/>
      <c r="CO64" s="14" t="e">
        <f>SUM(CG$6:CG64)</f>
        <v>#REF!</v>
      </c>
      <c r="CP64" s="14" t="e">
        <f>SUM(CH$6:CH64)</f>
        <v>#REF!</v>
      </c>
      <c r="CQ64" s="14" t="e">
        <f>SUM(CI$6:CI64)</f>
        <v>#REF!</v>
      </c>
      <c r="CR64" s="14" t="e">
        <f>SUM(CJ$6:CJ64)</f>
        <v>#REF!</v>
      </c>
      <c r="CU64" s="83">
        <v>48</v>
      </c>
      <c r="CV64" s="14" t="e">
        <f>INDEX(节奏总表!#REF!,专属武器强化!CU64)</f>
        <v>#REF!</v>
      </c>
      <c r="CW64" s="14" t="e">
        <f t="shared" si="123"/>
        <v>#REF!</v>
      </c>
      <c r="CX64" s="14" t="e">
        <f t="shared" si="60"/>
        <v>#REF!</v>
      </c>
      <c r="CY64" s="14" t="e">
        <f t="shared" si="61"/>
        <v>#REF!</v>
      </c>
      <c r="CZ64" s="14" t="e">
        <f t="shared" si="62"/>
        <v>#REF!</v>
      </c>
      <c r="DA64" s="83">
        <v>0</v>
      </c>
      <c r="DB64" s="83">
        <v>0</v>
      </c>
      <c r="DC64" s="14">
        <f t="shared" si="105"/>
        <v>0</v>
      </c>
      <c r="DD64" s="14">
        <f t="shared" si="106"/>
        <v>0</v>
      </c>
      <c r="DE64" s="14">
        <f t="shared" si="107"/>
        <v>0</v>
      </c>
      <c r="DF64" s="14">
        <f t="shared" si="108"/>
        <v>0</v>
      </c>
      <c r="DG64" s="83"/>
      <c r="DH64" s="83"/>
      <c r="DI64" s="83"/>
      <c r="DJ64" s="83"/>
      <c r="DK64" s="14" t="e">
        <f>CW64-SUM(DC$7:DC64)+SUM(DG$7:DG64)</f>
        <v>#REF!</v>
      </c>
      <c r="DL64" s="14" t="e">
        <f>CX64-SUM(DD$7:DD64)+SUM(DH$7:DH64)</f>
        <v>#REF!</v>
      </c>
      <c r="DM64" s="14" t="e">
        <f>CY64-SUM(DE$7:DE64)+SUM(DI$7:DI64)</f>
        <v>#REF!</v>
      </c>
      <c r="DN64" s="14" t="e">
        <f>CZ64-SUM(DF$7:DF64)+SUM(DJ$7:DJ64)</f>
        <v>#REF!</v>
      </c>
      <c r="DQ64" s="95">
        <v>59</v>
      </c>
      <c r="DR64" s="14">
        <f t="shared" si="67"/>
        <v>7</v>
      </c>
      <c r="DS64" s="14">
        <f t="shared" si="68"/>
        <v>5</v>
      </c>
      <c r="DT64" s="14">
        <f t="shared" si="132"/>
        <v>0</v>
      </c>
      <c r="DU64" s="14">
        <f t="shared" si="132"/>
        <v>0</v>
      </c>
      <c r="DV64" s="14">
        <f t="shared" si="132"/>
        <v>238.95030303030305</v>
      </c>
      <c r="DW64" s="14">
        <f t="shared" si="132"/>
        <v>80.458181818181814</v>
      </c>
      <c r="DX64" s="14">
        <f t="shared" si="69"/>
        <v>3</v>
      </c>
      <c r="DY64" s="14">
        <f t="shared" si="70"/>
        <v>4</v>
      </c>
      <c r="EF64" s="139">
        <v>59</v>
      </c>
      <c r="EG64" s="14">
        <f t="shared" si="72"/>
        <v>7</v>
      </c>
      <c r="EH64" s="19">
        <f t="shared" si="114"/>
        <v>0.13</v>
      </c>
      <c r="EI64" s="139">
        <v>3</v>
      </c>
      <c r="EJ64" s="139" t="s">
        <v>958</v>
      </c>
      <c r="EK64" s="139">
        <f t="shared" si="73"/>
        <v>19642</v>
      </c>
      <c r="EL64" s="139" t="s">
        <v>867</v>
      </c>
      <c r="EM64" s="139">
        <f t="shared" si="134"/>
        <v>12</v>
      </c>
      <c r="EN64" s="139" t="s">
        <v>870</v>
      </c>
      <c r="EO64" s="139">
        <v>4</v>
      </c>
      <c r="EP64" s="139">
        <f t="shared" si="124"/>
        <v>0.05</v>
      </c>
      <c r="EQ64" s="139">
        <v>1</v>
      </c>
      <c r="ER64" s="139">
        <f t="shared" si="135"/>
        <v>30</v>
      </c>
      <c r="ES64" s="139"/>
      <c r="ET64" s="139">
        <f t="shared" si="133"/>
        <v>20.114545454545453</v>
      </c>
      <c r="EV64">
        <v>0</v>
      </c>
      <c r="EW64">
        <v>1</v>
      </c>
      <c r="EX64">
        <f t="shared" si="125"/>
        <v>7</v>
      </c>
      <c r="EY64" s="89">
        <f t="shared" si="126"/>
        <v>2.4899999999999999E-2</v>
      </c>
      <c r="EZ64">
        <v>1</v>
      </c>
      <c r="FA64">
        <f t="shared" si="127"/>
        <v>14</v>
      </c>
      <c r="FB64" s="89">
        <f t="shared" si="128"/>
        <v>9.9400000000000002E-2</v>
      </c>
      <c r="FC64">
        <v>1</v>
      </c>
      <c r="FD64">
        <f t="shared" si="129"/>
        <v>30</v>
      </c>
      <c r="FN64" s="101">
        <v>59</v>
      </c>
      <c r="FO64" s="101">
        <f t="shared" si="75"/>
        <v>53</v>
      </c>
      <c r="FP64" s="101">
        <f t="shared" si="76"/>
        <v>1</v>
      </c>
      <c r="FQ64" s="14">
        <f t="shared" si="77"/>
        <v>5</v>
      </c>
      <c r="FR64" s="101" t="str">
        <f t="shared" si="78"/>
        <v>关羽专属武器-魂珠-6 8级</v>
      </c>
      <c r="FS64" s="101">
        <f t="shared" si="79"/>
        <v>6</v>
      </c>
      <c r="FT64" s="101">
        <f t="shared" si="80"/>
        <v>8</v>
      </c>
      <c r="FU64" s="101" t="str">
        <f t="shared" si="81"/>
        <v>金币</v>
      </c>
      <c r="FV64" s="139">
        <f>IF($FT64&gt;0,IF(INDEX($EI$6:$EI$77,$FO64)&gt;=FV$3,ROUND(INDEX(EK$6:EK$77,$FO64)*INDEX(卡牌消耗!$B$8:$F$8,FQ64)/5,0)*5,""),"")</f>
        <v>16465</v>
      </c>
      <c r="FW64" s="101" t="str">
        <f t="shared" si="82"/>
        <v>专属强化石3</v>
      </c>
      <c r="FX64" s="101">
        <f t="shared" si="83"/>
        <v>35</v>
      </c>
      <c r="FY64" s="101" t="str">
        <f t="shared" si="84"/>
        <v>专属强化石4</v>
      </c>
      <c r="FZ64" s="101">
        <f t="shared" si="85"/>
        <v>7</v>
      </c>
      <c r="GA64" s="101">
        <f t="shared" si="86"/>
        <v>0.03</v>
      </c>
      <c r="GB64" s="101">
        <f t="shared" si="87"/>
        <v>1</v>
      </c>
      <c r="GC64" s="101">
        <f t="shared" si="88"/>
        <v>44</v>
      </c>
      <c r="GD64" s="101">
        <f t="shared" si="89"/>
        <v>0</v>
      </c>
      <c r="GE64" s="101">
        <f t="shared" si="90"/>
        <v>1</v>
      </c>
      <c r="GF64" s="101">
        <f t="shared" si="91"/>
        <v>10</v>
      </c>
      <c r="GG64" s="101">
        <f t="shared" si="92"/>
        <v>1.7100000000000001E-2</v>
      </c>
      <c r="GH64" s="101">
        <f t="shared" si="93"/>
        <v>1</v>
      </c>
      <c r="GI64" s="101">
        <f t="shared" si="94"/>
        <v>21</v>
      </c>
      <c r="GJ64" s="101">
        <f t="shared" si="95"/>
        <v>6.8199999999999997E-2</v>
      </c>
      <c r="GK64" s="101">
        <f t="shared" si="96"/>
        <v>1</v>
      </c>
      <c r="GL64" s="101">
        <f t="shared" si="97"/>
        <v>44</v>
      </c>
    </row>
    <row r="65" spans="81:194" ht="16.5" x14ac:dyDescent="0.2">
      <c r="CC65" s="81">
        <v>60</v>
      </c>
      <c r="CD65" s="81" t="e">
        <f>INDEX(节奏总表!#REF!,MATCH(专属武器强化!CC65,节奏总表!#REF!,1))</f>
        <v>#REF!</v>
      </c>
      <c r="CE65" s="81"/>
      <c r="CF65" s="81" t="e">
        <f t="shared" si="118"/>
        <v>#REF!</v>
      </c>
      <c r="CG65" s="14" t="e">
        <f t="shared" si="119"/>
        <v>#REF!</v>
      </c>
      <c r="CH65" s="14" t="e">
        <f t="shared" si="120"/>
        <v>#REF!</v>
      </c>
      <c r="CI65" s="14" t="e">
        <f t="shared" si="121"/>
        <v>#REF!</v>
      </c>
      <c r="CJ65" s="14" t="e">
        <f t="shared" si="122"/>
        <v>#REF!</v>
      </c>
      <c r="CK65" s="14"/>
      <c r="CL65" s="14"/>
      <c r="CM65" s="14"/>
      <c r="CN65" s="14"/>
      <c r="CO65" s="14" t="e">
        <f>SUM(CG$6:CG65)</f>
        <v>#REF!</v>
      </c>
      <c r="CP65" s="14" t="e">
        <f>SUM(CH$6:CH65)</f>
        <v>#REF!</v>
      </c>
      <c r="CQ65" s="14" t="e">
        <f>SUM(CI$6:CI65)</f>
        <v>#REF!</v>
      </c>
      <c r="CR65" s="14" t="e">
        <f>SUM(CJ$6:CJ65)</f>
        <v>#REF!</v>
      </c>
      <c r="CU65" s="83">
        <v>49</v>
      </c>
      <c r="CV65" s="14" t="e">
        <f>INDEX(节奏总表!#REF!,专属武器强化!CU65)</f>
        <v>#REF!</v>
      </c>
      <c r="CW65" s="14" t="e">
        <f t="shared" si="123"/>
        <v>#REF!</v>
      </c>
      <c r="CX65" s="14" t="e">
        <f t="shared" si="60"/>
        <v>#REF!</v>
      </c>
      <c r="CY65" s="14" t="e">
        <f t="shared" si="61"/>
        <v>#REF!</v>
      </c>
      <c r="CZ65" s="14" t="e">
        <f t="shared" si="62"/>
        <v>#REF!</v>
      </c>
      <c r="DA65" s="83">
        <v>8</v>
      </c>
      <c r="DB65" s="83">
        <v>2</v>
      </c>
      <c r="DC65" s="14">
        <f t="shared" si="105"/>
        <v>0</v>
      </c>
      <c r="DD65" s="14">
        <f t="shared" si="106"/>
        <v>0</v>
      </c>
      <c r="DE65" s="14">
        <f t="shared" si="107"/>
        <v>0</v>
      </c>
      <c r="DF65" s="14">
        <f t="shared" si="108"/>
        <v>265.512</v>
      </c>
      <c r="DG65" s="83"/>
      <c r="DH65" s="83"/>
      <c r="DI65" s="83"/>
      <c r="DJ65" s="83"/>
      <c r="DK65" s="14" t="e">
        <f>CW65-SUM(DC$7:DC65)+SUM(DG$7:DG65)</f>
        <v>#REF!</v>
      </c>
      <c r="DL65" s="14" t="e">
        <f>CX65-SUM(DD$7:DD65)+SUM(DH$7:DH65)</f>
        <v>#REF!</v>
      </c>
      <c r="DM65" s="14" t="e">
        <f>CY65-SUM(DE$7:DE65)+SUM(DI$7:DI65)</f>
        <v>#REF!</v>
      </c>
      <c r="DN65" s="14" t="e">
        <f>CZ65-SUM(DF$7:DF65)+SUM(DJ$7:DJ65)</f>
        <v>#REF!</v>
      </c>
      <c r="DQ65" s="95">
        <v>60</v>
      </c>
      <c r="DR65" s="14">
        <f t="shared" si="67"/>
        <v>7</v>
      </c>
      <c r="DS65" s="14">
        <f t="shared" si="68"/>
        <v>6</v>
      </c>
      <c r="DT65" s="14">
        <f t="shared" si="132"/>
        <v>0</v>
      </c>
      <c r="DU65" s="14">
        <f t="shared" si="132"/>
        <v>0</v>
      </c>
      <c r="DV65" s="14">
        <f t="shared" si="132"/>
        <v>388.29424242424244</v>
      </c>
      <c r="DW65" s="14">
        <f t="shared" si="132"/>
        <v>130.74454545454543</v>
      </c>
      <c r="DX65" s="14">
        <f t="shared" si="69"/>
        <v>3</v>
      </c>
      <c r="DY65" s="14">
        <f t="shared" si="70"/>
        <v>4</v>
      </c>
      <c r="EF65" s="139">
        <v>60</v>
      </c>
      <c r="EG65" s="14">
        <f t="shared" si="72"/>
        <v>7</v>
      </c>
      <c r="EH65" s="19">
        <f t="shared" si="114"/>
        <v>0.21000000000000002</v>
      </c>
      <c r="EI65" s="139">
        <v>3</v>
      </c>
      <c r="EJ65" s="139" t="s">
        <v>958</v>
      </c>
      <c r="EK65" s="139">
        <f t="shared" si="73"/>
        <v>24408</v>
      </c>
      <c r="EL65" s="139" t="s">
        <v>867</v>
      </c>
      <c r="EM65" s="139">
        <f t="shared" si="134"/>
        <v>15</v>
      </c>
      <c r="EN65" s="139" t="s">
        <v>870</v>
      </c>
      <c r="EO65" s="139">
        <v>5</v>
      </c>
      <c r="EP65" s="139">
        <f t="shared" si="124"/>
        <v>0.04</v>
      </c>
      <c r="EQ65" s="139">
        <v>1</v>
      </c>
      <c r="ER65" s="139">
        <f t="shared" si="135"/>
        <v>39</v>
      </c>
      <c r="ES65" s="139"/>
      <c r="ET65" s="139">
        <f t="shared" si="133"/>
        <v>26.148909090909086</v>
      </c>
      <c r="EV65">
        <v>0</v>
      </c>
      <c r="EW65">
        <v>1</v>
      </c>
      <c r="EX65">
        <f t="shared" si="125"/>
        <v>9</v>
      </c>
      <c r="EY65" s="89">
        <f t="shared" si="126"/>
        <v>1.9099999999999999E-2</v>
      </c>
      <c r="EZ65">
        <v>1</v>
      </c>
      <c r="FA65">
        <f t="shared" si="127"/>
        <v>18</v>
      </c>
      <c r="FB65" s="89">
        <f t="shared" si="128"/>
        <v>7.6499999999999999E-2</v>
      </c>
      <c r="FC65">
        <v>1</v>
      </c>
      <c r="FD65">
        <f t="shared" si="129"/>
        <v>39</v>
      </c>
      <c r="FN65" s="101">
        <v>60</v>
      </c>
      <c r="FO65" s="101">
        <f t="shared" si="75"/>
        <v>54</v>
      </c>
      <c r="FP65" s="101">
        <f t="shared" si="76"/>
        <v>1</v>
      </c>
      <c r="FQ65" s="14">
        <f t="shared" si="77"/>
        <v>5</v>
      </c>
      <c r="FR65" s="101" t="str">
        <f t="shared" si="78"/>
        <v>关羽专属武器-魂珠-6 9级</v>
      </c>
      <c r="FS65" s="101">
        <f t="shared" si="79"/>
        <v>6</v>
      </c>
      <c r="FT65" s="101">
        <f t="shared" si="80"/>
        <v>9</v>
      </c>
      <c r="FU65" s="101" t="str">
        <f t="shared" si="81"/>
        <v>金币</v>
      </c>
      <c r="FV65" s="139">
        <f>IF($FT65&gt;0,IF(INDEX($EI$6:$EI$77,$FO65)&gt;=FV$3,ROUND(INDEX(EK$6:EK$77,$FO65)*INDEX(卡牌消耗!$B$8:$F$8,FQ65)/5,0)*5,""),"")</f>
        <v>18825</v>
      </c>
      <c r="FW65" s="101" t="str">
        <f t="shared" si="82"/>
        <v>专属强化石3</v>
      </c>
      <c r="FX65" s="101">
        <f t="shared" si="83"/>
        <v>40</v>
      </c>
      <c r="FY65" s="101" t="str">
        <f t="shared" si="84"/>
        <v>专属强化石4</v>
      </c>
      <c r="FZ65" s="101">
        <f t="shared" si="85"/>
        <v>8</v>
      </c>
      <c r="GA65" s="101">
        <f t="shared" si="86"/>
        <v>0.02</v>
      </c>
      <c r="GB65" s="101">
        <f t="shared" si="87"/>
        <v>1</v>
      </c>
      <c r="GC65" s="101">
        <f t="shared" si="88"/>
        <v>62</v>
      </c>
      <c r="GD65" s="101">
        <f t="shared" si="89"/>
        <v>0</v>
      </c>
      <c r="GE65" s="101">
        <f t="shared" si="90"/>
        <v>1</v>
      </c>
      <c r="GF65" s="101">
        <f t="shared" si="91"/>
        <v>15</v>
      </c>
      <c r="GG65" s="101">
        <f t="shared" si="92"/>
        <v>1.21E-2</v>
      </c>
      <c r="GH65" s="101">
        <f t="shared" si="93"/>
        <v>1</v>
      </c>
      <c r="GI65" s="101">
        <f t="shared" si="94"/>
        <v>29</v>
      </c>
      <c r="GJ65" s="101">
        <f t="shared" si="95"/>
        <v>4.82E-2</v>
      </c>
      <c r="GK65" s="101">
        <f t="shared" si="96"/>
        <v>1</v>
      </c>
      <c r="GL65" s="101">
        <f t="shared" si="97"/>
        <v>62</v>
      </c>
    </row>
    <row r="66" spans="81:194" ht="16.5" x14ac:dyDescent="0.2">
      <c r="CU66" s="83">
        <v>50</v>
      </c>
      <c r="CV66" s="14" t="e">
        <f>INDEX(节奏总表!#REF!,专属武器强化!CU66)</f>
        <v>#REF!</v>
      </c>
      <c r="CW66" s="14" t="e">
        <f t="shared" ref="CW66:CW76" si="138">INDEX(CO$6:CO$65,$CU66)</f>
        <v>#REF!</v>
      </c>
      <c r="CX66" s="14" t="e">
        <f t="shared" ref="CX66:CX76" si="139">INDEX(CP$6:CP$65,$CU66)</f>
        <v>#REF!</v>
      </c>
      <c r="CY66" s="14" t="e">
        <f t="shared" ref="CY66:CY76" si="140">INDEX(CQ$6:CQ$65,$CU66)</f>
        <v>#REF!</v>
      </c>
      <c r="CZ66" s="14" t="e">
        <f t="shared" ref="CZ66:CZ76" si="141">INDEX(CR$6:CR$65,$CU66)</f>
        <v>#REF!</v>
      </c>
      <c r="DA66" s="83">
        <v>0</v>
      </c>
      <c r="DB66" s="83">
        <v>0</v>
      </c>
      <c r="DC66" s="14">
        <f t="shared" si="105"/>
        <v>0</v>
      </c>
      <c r="DD66" s="14">
        <f t="shared" si="106"/>
        <v>0</v>
      </c>
      <c r="DE66" s="14">
        <f t="shared" si="107"/>
        <v>0</v>
      </c>
      <c r="DF66" s="14">
        <f t="shared" si="108"/>
        <v>0</v>
      </c>
      <c r="DG66" s="83"/>
      <c r="DH66" s="83"/>
      <c r="DI66" s="83"/>
      <c r="DJ66" s="83"/>
      <c r="DK66" s="14" t="e">
        <f>CW66-SUM(DC$7:DC66)+SUM(DG$7:DG66)</f>
        <v>#REF!</v>
      </c>
      <c r="DL66" s="14" t="e">
        <f>CX66-SUM(DD$7:DD66)+SUM(DH$7:DH66)</f>
        <v>#REF!</v>
      </c>
      <c r="DM66" s="14" t="e">
        <f>CY66-SUM(DE$7:DE66)+SUM(DI$7:DI66)</f>
        <v>#REF!</v>
      </c>
      <c r="DN66" s="14" t="e">
        <f>CZ66-SUM(DF$7:DF66)+SUM(DJ$7:DJ66)</f>
        <v>#REF!</v>
      </c>
      <c r="DQ66" s="95">
        <v>61</v>
      </c>
      <c r="DR66" s="14">
        <f t="shared" si="67"/>
        <v>7</v>
      </c>
      <c r="DS66" s="14">
        <f t="shared" si="68"/>
        <v>7</v>
      </c>
      <c r="DT66" s="14">
        <f t="shared" ref="DT66:DW77" si="142">INDEX($K$22:$AP$30,$DS66,($DR66-1)*4+DT$3)</f>
        <v>0</v>
      </c>
      <c r="DU66" s="14">
        <f t="shared" si="142"/>
        <v>0</v>
      </c>
      <c r="DV66" s="14">
        <f t="shared" si="142"/>
        <v>627.24454545454546</v>
      </c>
      <c r="DW66" s="14">
        <f t="shared" si="142"/>
        <v>211.20272727272729</v>
      </c>
      <c r="DX66" s="14">
        <f t="shared" si="69"/>
        <v>3</v>
      </c>
      <c r="DY66" s="14">
        <f t="shared" si="70"/>
        <v>4</v>
      </c>
      <c r="EF66" s="139">
        <v>61</v>
      </c>
      <c r="EG66" s="14">
        <f t="shared" si="72"/>
        <v>7</v>
      </c>
      <c r="EH66" s="19">
        <f t="shared" si="114"/>
        <v>0.34</v>
      </c>
      <c r="EI66" s="139">
        <v>3</v>
      </c>
      <c r="EJ66" s="139" t="s">
        <v>958</v>
      </c>
      <c r="EK66" s="139">
        <f t="shared" si="73"/>
        <v>34248</v>
      </c>
      <c r="EL66" s="139" t="s">
        <v>867</v>
      </c>
      <c r="EM66" s="139">
        <f t="shared" si="134"/>
        <v>21</v>
      </c>
      <c r="EN66" s="139" t="s">
        <v>870</v>
      </c>
      <c r="EO66" s="139">
        <v>7</v>
      </c>
      <c r="EP66" s="139">
        <f t="shared" si="124"/>
        <v>0.03</v>
      </c>
      <c r="EQ66" s="139">
        <v>1</v>
      </c>
      <c r="ER66" s="139">
        <f t="shared" si="135"/>
        <v>45</v>
      </c>
      <c r="ES66" s="139"/>
      <c r="ET66" s="139">
        <f t="shared" si="133"/>
        <v>30.171818181818185</v>
      </c>
      <c r="EV66">
        <v>0</v>
      </c>
      <c r="EW66">
        <v>1</v>
      </c>
      <c r="EX66">
        <f t="shared" si="125"/>
        <v>11</v>
      </c>
      <c r="EY66" s="89">
        <f t="shared" si="126"/>
        <v>1.66E-2</v>
      </c>
      <c r="EZ66">
        <v>1</v>
      </c>
      <c r="FA66">
        <f t="shared" si="127"/>
        <v>21</v>
      </c>
      <c r="FB66" s="89">
        <f t="shared" si="128"/>
        <v>6.6299999999999998E-2</v>
      </c>
      <c r="FC66">
        <v>1</v>
      </c>
      <c r="FD66">
        <f t="shared" si="129"/>
        <v>45</v>
      </c>
      <c r="FN66" s="101">
        <v>61</v>
      </c>
      <c r="FO66" s="101">
        <f t="shared" si="75"/>
        <v>0</v>
      </c>
      <c r="FP66" s="101">
        <f t="shared" si="76"/>
        <v>1</v>
      </c>
      <c r="FQ66" s="14">
        <f t="shared" si="77"/>
        <v>5</v>
      </c>
      <c r="FR66" s="101" t="str">
        <f t="shared" si="78"/>
        <v>关羽专属武器-魂珠-7 0级</v>
      </c>
      <c r="FS66" s="101">
        <f t="shared" si="79"/>
        <v>7</v>
      </c>
      <c r="FT66" s="101">
        <f t="shared" si="80"/>
        <v>0</v>
      </c>
      <c r="FU66" s="101" t="str">
        <f t="shared" si="81"/>
        <v/>
      </c>
      <c r="FV66" s="139" t="str">
        <f>IF($FT66&gt;0,IF(INDEX($EI$6:$EI$77,$FO66)&gt;=FV$3,ROUND(INDEX(EK$6:EK$77,$FO66)*INDEX(卡牌消耗!$B$8:$F$8,FQ66)/5,0)*5,""),"")</f>
        <v/>
      </c>
      <c r="FW66" s="101" t="str">
        <f t="shared" si="82"/>
        <v/>
      </c>
      <c r="FX66" s="101" t="str">
        <f t="shared" si="83"/>
        <v/>
      </c>
      <c r="FY66" s="101" t="str">
        <f t="shared" si="84"/>
        <v/>
      </c>
      <c r="FZ66" s="101" t="str">
        <f t="shared" si="85"/>
        <v/>
      </c>
      <c r="GA66" s="101" t="str">
        <f t="shared" si="86"/>
        <v/>
      </c>
      <c r="GB66" s="101" t="str">
        <f t="shared" si="87"/>
        <v/>
      </c>
      <c r="GC66" s="101" t="str">
        <f t="shared" si="88"/>
        <v/>
      </c>
      <c r="GD66" s="101" t="str">
        <f t="shared" si="89"/>
        <v/>
      </c>
      <c r="GE66" s="101" t="str">
        <f t="shared" si="90"/>
        <v/>
      </c>
      <c r="GF66" s="101" t="str">
        <f t="shared" si="91"/>
        <v/>
      </c>
      <c r="GG66" s="101" t="str">
        <f t="shared" si="92"/>
        <v/>
      </c>
      <c r="GH66" s="101" t="str">
        <f t="shared" si="93"/>
        <v/>
      </c>
      <c r="GI66" s="101" t="str">
        <f t="shared" si="94"/>
        <v/>
      </c>
      <c r="GJ66" s="101" t="str">
        <f t="shared" si="95"/>
        <v/>
      </c>
      <c r="GK66" s="101" t="str">
        <f t="shared" si="96"/>
        <v/>
      </c>
      <c r="GL66" s="101" t="str">
        <f t="shared" si="97"/>
        <v/>
      </c>
    </row>
    <row r="67" spans="81:194" ht="16.5" x14ac:dyDescent="0.2">
      <c r="CU67" s="83">
        <v>51</v>
      </c>
      <c r="CV67" s="14" t="e">
        <f>INDEX(节奏总表!#REF!,专属武器强化!CU67)</f>
        <v>#REF!</v>
      </c>
      <c r="CW67" s="14" t="e">
        <f t="shared" si="138"/>
        <v>#REF!</v>
      </c>
      <c r="CX67" s="14" t="e">
        <f t="shared" si="139"/>
        <v>#REF!</v>
      </c>
      <c r="CY67" s="14" t="e">
        <f t="shared" si="140"/>
        <v>#REF!</v>
      </c>
      <c r="CZ67" s="14" t="e">
        <f t="shared" si="141"/>
        <v>#REF!</v>
      </c>
      <c r="DA67" s="83">
        <v>7</v>
      </c>
      <c r="DB67" s="83">
        <v>4</v>
      </c>
      <c r="DC67" s="14">
        <f t="shared" si="105"/>
        <v>0</v>
      </c>
      <c r="DD67" s="14">
        <f t="shared" si="106"/>
        <v>0</v>
      </c>
      <c r="DE67" s="14">
        <f t="shared" si="107"/>
        <v>448.03181818181815</v>
      </c>
      <c r="DF67" s="14">
        <f t="shared" si="108"/>
        <v>150.8590909090909</v>
      </c>
      <c r="DG67" s="83"/>
      <c r="DH67" s="83"/>
      <c r="DI67" s="83"/>
      <c r="DJ67" s="83">
        <v>20</v>
      </c>
      <c r="DK67" s="14" t="e">
        <f>CW67-SUM(DC$7:DC67)+SUM(DG$7:DG67)</f>
        <v>#REF!</v>
      </c>
      <c r="DL67" s="14" t="e">
        <f>CX67-SUM(DD$7:DD67)+SUM(DH$7:DH67)</f>
        <v>#REF!</v>
      </c>
      <c r="DM67" s="14" t="e">
        <f>CY67-SUM(DE$7:DE67)+SUM(DI$7:DI67)</f>
        <v>#REF!</v>
      </c>
      <c r="DN67" s="14" t="e">
        <f>CZ67-SUM(DF$7:DF67)+SUM(DJ$7:DJ67)</f>
        <v>#REF!</v>
      </c>
      <c r="DQ67" s="95">
        <v>62</v>
      </c>
      <c r="DR67" s="14">
        <f t="shared" si="67"/>
        <v>7</v>
      </c>
      <c r="DS67" s="14">
        <f t="shared" si="68"/>
        <v>8</v>
      </c>
      <c r="DT67" s="14">
        <f t="shared" si="142"/>
        <v>0</v>
      </c>
      <c r="DU67" s="14">
        <f t="shared" si="142"/>
        <v>0</v>
      </c>
      <c r="DV67" s="14">
        <f t="shared" si="142"/>
        <v>1015.5387878787878</v>
      </c>
      <c r="DW67" s="14">
        <f t="shared" si="142"/>
        <v>341.94727272727272</v>
      </c>
      <c r="DX67" s="14">
        <f t="shared" si="69"/>
        <v>3</v>
      </c>
      <c r="DY67" s="14">
        <f t="shared" si="70"/>
        <v>4</v>
      </c>
      <c r="EF67" s="139">
        <v>62</v>
      </c>
      <c r="EG67" s="14">
        <f t="shared" si="72"/>
        <v>7</v>
      </c>
      <c r="EH67" s="19">
        <f t="shared" si="114"/>
        <v>0.55000000000000004</v>
      </c>
      <c r="EI67" s="139">
        <v>3</v>
      </c>
      <c r="EJ67" s="139" t="s">
        <v>958</v>
      </c>
      <c r="EK67" s="139">
        <f t="shared" si="73"/>
        <v>39107</v>
      </c>
      <c r="EL67" s="139" t="s">
        <v>867</v>
      </c>
      <c r="EM67" s="139">
        <f t="shared" si="134"/>
        <v>24</v>
      </c>
      <c r="EN67" s="139" t="s">
        <v>870</v>
      </c>
      <c r="EO67" s="139">
        <v>8</v>
      </c>
      <c r="EP67" s="139">
        <f t="shared" si="124"/>
        <v>0.02</v>
      </c>
      <c r="EQ67" s="139">
        <v>1</v>
      </c>
      <c r="ER67" s="139">
        <f t="shared" si="135"/>
        <v>64</v>
      </c>
      <c r="ES67" s="139"/>
      <c r="ET67" s="139">
        <f t="shared" si="133"/>
        <v>42.74340909090909</v>
      </c>
      <c r="EV67">
        <v>0</v>
      </c>
      <c r="EW67">
        <v>1</v>
      </c>
      <c r="EX67">
        <f t="shared" si="125"/>
        <v>15</v>
      </c>
      <c r="EY67" s="89">
        <f t="shared" si="126"/>
        <v>1.17E-2</v>
      </c>
      <c r="EZ67">
        <v>1</v>
      </c>
      <c r="FA67">
        <f t="shared" si="127"/>
        <v>30</v>
      </c>
      <c r="FB67" s="89">
        <f t="shared" si="128"/>
        <v>4.6800000000000001E-2</v>
      </c>
      <c r="FC67">
        <v>1</v>
      </c>
      <c r="FD67">
        <f t="shared" si="129"/>
        <v>64</v>
      </c>
      <c r="FN67" s="101">
        <v>62</v>
      </c>
      <c r="FO67" s="101">
        <f t="shared" si="75"/>
        <v>55</v>
      </c>
      <c r="FP67" s="101">
        <f t="shared" si="76"/>
        <v>1</v>
      </c>
      <c r="FQ67" s="14">
        <f t="shared" si="77"/>
        <v>5</v>
      </c>
      <c r="FR67" s="101" t="str">
        <f t="shared" si="78"/>
        <v>关羽专属武器-魂珠-7 1级</v>
      </c>
      <c r="FS67" s="101">
        <f t="shared" si="79"/>
        <v>7</v>
      </c>
      <c r="FT67" s="101">
        <f t="shared" si="80"/>
        <v>1</v>
      </c>
      <c r="FU67" s="101" t="str">
        <f t="shared" si="81"/>
        <v>金币</v>
      </c>
      <c r="FV67" s="139">
        <f>IF($FT67&gt;0,IF(INDEX($EI$6:$EI$77,$FO67)&gt;=FV$3,ROUND(INDEX(EK$6:EK$77,$FO67)*INDEX(卡牌消耗!$B$8:$F$8,FQ67)/5,0)*5,""),"")</f>
        <v>24175</v>
      </c>
      <c r="FW67" s="101" t="str">
        <f t="shared" si="82"/>
        <v>专属强化石3</v>
      </c>
      <c r="FX67" s="101">
        <f t="shared" si="83"/>
        <v>6</v>
      </c>
      <c r="FY67" s="101" t="str">
        <f t="shared" si="84"/>
        <v>专属强化石4</v>
      </c>
      <c r="FZ67" s="101">
        <f t="shared" si="85"/>
        <v>2</v>
      </c>
      <c r="GA67" s="101">
        <f t="shared" si="86"/>
        <v>0.2</v>
      </c>
      <c r="GB67" s="101">
        <f t="shared" si="87"/>
        <v>1</v>
      </c>
      <c r="GC67" s="101">
        <f t="shared" si="88"/>
        <v>8</v>
      </c>
      <c r="GD67" s="101">
        <f t="shared" si="89"/>
        <v>0</v>
      </c>
      <c r="GE67" s="101">
        <f t="shared" si="90"/>
        <v>1</v>
      </c>
      <c r="GF67" s="101">
        <f t="shared" si="91"/>
        <v>2</v>
      </c>
      <c r="GG67" s="101">
        <f t="shared" si="92"/>
        <v>9.9400000000000002E-2</v>
      </c>
      <c r="GH67" s="101">
        <f t="shared" si="93"/>
        <v>1</v>
      </c>
      <c r="GI67" s="101">
        <f t="shared" si="94"/>
        <v>4</v>
      </c>
      <c r="GJ67" s="101">
        <f t="shared" si="95"/>
        <v>0.3977</v>
      </c>
      <c r="GK67" s="101">
        <f t="shared" si="96"/>
        <v>1</v>
      </c>
      <c r="GL67" s="101">
        <f t="shared" si="97"/>
        <v>8</v>
      </c>
    </row>
    <row r="68" spans="81:194" ht="16.5" x14ac:dyDescent="0.2">
      <c r="CU68" s="83">
        <v>52</v>
      </c>
      <c r="CV68" s="14" t="e">
        <f>INDEX(节奏总表!#REF!,专属武器强化!CU68)</f>
        <v>#REF!</v>
      </c>
      <c r="CW68" s="14" t="e">
        <f t="shared" si="138"/>
        <v>#REF!</v>
      </c>
      <c r="CX68" s="14" t="e">
        <f t="shared" si="139"/>
        <v>#REF!</v>
      </c>
      <c r="CY68" s="14" t="e">
        <f t="shared" si="140"/>
        <v>#REF!</v>
      </c>
      <c r="CZ68" s="14" t="e">
        <f t="shared" si="141"/>
        <v>#REF!</v>
      </c>
      <c r="DA68" s="83">
        <v>0</v>
      </c>
      <c r="DB68" s="83">
        <v>0</v>
      </c>
      <c r="DC68" s="14">
        <f t="shared" si="105"/>
        <v>0</v>
      </c>
      <c r="DD68" s="14">
        <f t="shared" si="106"/>
        <v>0</v>
      </c>
      <c r="DE68" s="14">
        <f t="shared" si="107"/>
        <v>0</v>
      </c>
      <c r="DF68" s="14">
        <f t="shared" si="108"/>
        <v>0</v>
      </c>
      <c r="DG68" s="83"/>
      <c r="DH68" s="83"/>
      <c r="DI68" s="83"/>
      <c r="DJ68" s="83"/>
      <c r="DK68" s="14" t="e">
        <f>CW68-SUM(DC$7:DC68)+SUM(DG$7:DG68)</f>
        <v>#REF!</v>
      </c>
      <c r="DL68" s="14" t="e">
        <f>CX68-SUM(DD$7:DD68)+SUM(DH$7:DH68)</f>
        <v>#REF!</v>
      </c>
      <c r="DM68" s="14" t="e">
        <f>CY68-SUM(DE$7:DE68)+SUM(DI$7:DI68)</f>
        <v>#REF!</v>
      </c>
      <c r="DN68" s="14" t="e">
        <f>CZ68-SUM(DF$7:DF68)+SUM(DJ$7:DJ68)</f>
        <v>#REF!</v>
      </c>
      <c r="DQ68" s="95">
        <v>63</v>
      </c>
      <c r="DR68" s="14">
        <f t="shared" si="67"/>
        <v>7</v>
      </c>
      <c r="DS68" s="14">
        <f t="shared" si="68"/>
        <v>9</v>
      </c>
      <c r="DT68" s="14">
        <f t="shared" si="142"/>
        <v>0</v>
      </c>
      <c r="DU68" s="14">
        <f t="shared" si="142"/>
        <v>0</v>
      </c>
      <c r="DV68" s="14">
        <f t="shared" si="142"/>
        <v>1642.7833333333335</v>
      </c>
      <c r="DW68" s="14">
        <f t="shared" si="142"/>
        <v>553.15</v>
      </c>
      <c r="DX68" s="14">
        <f t="shared" si="69"/>
        <v>3</v>
      </c>
      <c r="DY68" s="14">
        <f t="shared" si="70"/>
        <v>4</v>
      </c>
      <c r="EF68" s="139">
        <v>63</v>
      </c>
      <c r="EG68" s="14">
        <f t="shared" si="72"/>
        <v>7</v>
      </c>
      <c r="EH68" s="19">
        <f t="shared" si="114"/>
        <v>0.89000000000000012</v>
      </c>
      <c r="EI68" s="139">
        <v>3</v>
      </c>
      <c r="EJ68" s="139" t="s">
        <v>958</v>
      </c>
      <c r="EK68" s="139">
        <f t="shared" si="73"/>
        <v>48900</v>
      </c>
      <c r="EL68" s="139" t="s">
        <v>867</v>
      </c>
      <c r="EM68" s="139">
        <f t="shared" si="134"/>
        <v>30</v>
      </c>
      <c r="EN68" s="139" t="s">
        <v>870</v>
      </c>
      <c r="EO68" s="139">
        <v>10</v>
      </c>
      <c r="EP68" s="139">
        <f t="shared" si="124"/>
        <v>0.02</v>
      </c>
      <c r="EQ68" s="139">
        <v>1</v>
      </c>
      <c r="ER68" s="139">
        <f t="shared" si="135"/>
        <v>83</v>
      </c>
      <c r="ES68" s="139"/>
      <c r="ET68" s="139">
        <f t="shared" si="133"/>
        <v>55.314999999999998</v>
      </c>
      <c r="EV68">
        <v>0</v>
      </c>
      <c r="EW68">
        <v>1</v>
      </c>
      <c r="EX68">
        <f t="shared" si="125"/>
        <v>19</v>
      </c>
      <c r="EY68" s="89">
        <f t="shared" si="126"/>
        <v>8.9999999999999993E-3</v>
      </c>
      <c r="EZ68">
        <v>1</v>
      </c>
      <c r="FA68">
        <f t="shared" si="127"/>
        <v>39</v>
      </c>
      <c r="FB68" s="89">
        <f t="shared" si="128"/>
        <v>3.6200000000000003E-2</v>
      </c>
      <c r="FC68">
        <v>1</v>
      </c>
      <c r="FD68">
        <f t="shared" si="129"/>
        <v>83</v>
      </c>
      <c r="FN68" s="101">
        <v>63</v>
      </c>
      <c r="FO68" s="101">
        <f t="shared" si="75"/>
        <v>56</v>
      </c>
      <c r="FP68" s="101">
        <f t="shared" si="76"/>
        <v>1</v>
      </c>
      <c r="FQ68" s="14">
        <f t="shared" si="77"/>
        <v>5</v>
      </c>
      <c r="FR68" s="101" t="str">
        <f t="shared" si="78"/>
        <v>关羽专属武器-魂珠-7 2级</v>
      </c>
      <c r="FS68" s="101">
        <f t="shared" si="79"/>
        <v>7</v>
      </c>
      <c r="FT68" s="101">
        <f t="shared" si="80"/>
        <v>2</v>
      </c>
      <c r="FU68" s="101" t="str">
        <f t="shared" si="81"/>
        <v>金币</v>
      </c>
      <c r="FV68" s="139">
        <f>IF($FT68&gt;0,IF(INDEX($EI$6:$EI$77,$FO68)&gt;=FV$3,ROUND(INDEX(EK$6:EK$77,$FO68)*INDEX(卡牌消耗!$B$8:$F$8,FQ68)/5,0)*5,""),"")</f>
        <v>18130</v>
      </c>
      <c r="FW68" s="101" t="str">
        <f t="shared" si="82"/>
        <v>专属强化石3</v>
      </c>
      <c r="FX68" s="101">
        <f t="shared" si="83"/>
        <v>6</v>
      </c>
      <c r="FY68" s="101" t="str">
        <f t="shared" si="84"/>
        <v>专属强化石4</v>
      </c>
      <c r="FZ68" s="101">
        <f t="shared" si="85"/>
        <v>2</v>
      </c>
      <c r="GA68" s="101">
        <f t="shared" si="86"/>
        <v>0.1</v>
      </c>
      <c r="GB68" s="101">
        <f t="shared" si="87"/>
        <v>1</v>
      </c>
      <c r="GC68" s="101">
        <f t="shared" si="88"/>
        <v>15</v>
      </c>
      <c r="GD68" s="101">
        <f t="shared" si="89"/>
        <v>0</v>
      </c>
      <c r="GE68" s="101">
        <f t="shared" si="90"/>
        <v>1</v>
      </c>
      <c r="GF68" s="101">
        <f t="shared" si="91"/>
        <v>4</v>
      </c>
      <c r="GG68" s="101">
        <f t="shared" si="92"/>
        <v>4.9700000000000001E-2</v>
      </c>
      <c r="GH68" s="101">
        <f t="shared" si="93"/>
        <v>1</v>
      </c>
      <c r="GI68" s="101">
        <f t="shared" si="94"/>
        <v>7</v>
      </c>
      <c r="GJ68" s="101">
        <f t="shared" si="95"/>
        <v>0.19889999999999999</v>
      </c>
      <c r="GK68" s="101">
        <f t="shared" si="96"/>
        <v>1</v>
      </c>
      <c r="GL68" s="101">
        <f t="shared" si="97"/>
        <v>15</v>
      </c>
    </row>
    <row r="69" spans="81:194" ht="16.5" x14ac:dyDescent="0.2">
      <c r="CU69" s="83">
        <v>53</v>
      </c>
      <c r="CV69" s="14" t="e">
        <f>INDEX(节奏总表!#REF!,专属武器强化!CU69)</f>
        <v>#REF!</v>
      </c>
      <c r="CW69" s="14" t="e">
        <f t="shared" si="138"/>
        <v>#REF!</v>
      </c>
      <c r="CX69" s="14" t="e">
        <f t="shared" si="139"/>
        <v>#REF!</v>
      </c>
      <c r="CY69" s="14" t="e">
        <f t="shared" si="140"/>
        <v>#REF!</v>
      </c>
      <c r="CZ69" s="14" t="e">
        <f t="shared" si="141"/>
        <v>#REF!</v>
      </c>
      <c r="DA69" s="83">
        <v>0</v>
      </c>
      <c r="DB69" s="83">
        <v>0</v>
      </c>
      <c r="DC69" s="14">
        <f t="shared" si="105"/>
        <v>0</v>
      </c>
      <c r="DD69" s="14">
        <f t="shared" si="106"/>
        <v>0</v>
      </c>
      <c r="DE69" s="14">
        <f t="shared" si="107"/>
        <v>0</v>
      </c>
      <c r="DF69" s="14">
        <f t="shared" si="108"/>
        <v>0</v>
      </c>
      <c r="DG69" s="83"/>
      <c r="DH69" s="83"/>
      <c r="DI69" s="83"/>
      <c r="DJ69" s="83"/>
      <c r="DK69" s="14" t="e">
        <f>CW69-SUM(DC$7:DC69)+SUM(DG$7:DG69)</f>
        <v>#REF!</v>
      </c>
      <c r="DL69" s="14" t="e">
        <f>CX69-SUM(DD$7:DD69)+SUM(DH$7:DH69)</f>
        <v>#REF!</v>
      </c>
      <c r="DM69" s="14" t="e">
        <f>CY69-SUM(DE$7:DE69)+SUM(DI$7:DI69)</f>
        <v>#REF!</v>
      </c>
      <c r="DN69" s="14" t="e">
        <f>CZ69-SUM(DF$7:DF69)+SUM(DJ$7:DJ69)</f>
        <v>#REF!</v>
      </c>
      <c r="DQ69" s="95">
        <v>64</v>
      </c>
      <c r="DR69" s="14">
        <f t="shared" si="67"/>
        <v>8</v>
      </c>
      <c r="DS69" s="14">
        <f t="shared" si="68"/>
        <v>1</v>
      </c>
      <c r="DT69" s="14">
        <f t="shared" si="142"/>
        <v>0</v>
      </c>
      <c r="DU69" s="14">
        <f t="shared" si="142"/>
        <v>0</v>
      </c>
      <c r="DV69" s="14">
        <f t="shared" si="142"/>
        <v>0</v>
      </c>
      <c r="DW69" s="14">
        <f t="shared" si="142"/>
        <v>44.252000000000002</v>
      </c>
      <c r="DX69" s="14">
        <f t="shared" si="69"/>
        <v>4</v>
      </c>
      <c r="DY69" s="14">
        <f t="shared" si="70"/>
        <v>0</v>
      </c>
      <c r="EF69" s="139">
        <v>64</v>
      </c>
      <c r="EG69" s="14">
        <f t="shared" si="72"/>
        <v>8</v>
      </c>
      <c r="EH69" s="19">
        <v>0.02</v>
      </c>
      <c r="EI69" s="139">
        <v>2</v>
      </c>
      <c r="EJ69" s="139" t="s">
        <v>958</v>
      </c>
      <c r="EK69" s="139">
        <f t="shared" si="73"/>
        <v>10302</v>
      </c>
      <c r="EL69" s="139" t="s">
        <v>870</v>
      </c>
      <c r="EM69" s="139">
        <v>5</v>
      </c>
      <c r="EN69" s="139"/>
      <c r="EO69" s="139"/>
      <c r="EP69" s="139">
        <f t="shared" si="124"/>
        <v>0.11</v>
      </c>
      <c r="EQ69" s="139">
        <v>1</v>
      </c>
      <c r="ER69" s="139">
        <f t="shared" si="135"/>
        <v>13</v>
      </c>
      <c r="ES69" s="139"/>
      <c r="ET69" s="139">
        <f t="shared" ref="ET69:ET77" si="143">DW69/EM69</f>
        <v>8.8504000000000005</v>
      </c>
      <c r="EV69">
        <v>0</v>
      </c>
      <c r="EW69">
        <v>1</v>
      </c>
      <c r="EX69">
        <f t="shared" si="125"/>
        <v>3</v>
      </c>
      <c r="EY69" s="89">
        <f t="shared" si="126"/>
        <v>5.6500000000000002E-2</v>
      </c>
      <c r="EZ69">
        <v>1</v>
      </c>
      <c r="FA69">
        <f t="shared" si="127"/>
        <v>6</v>
      </c>
      <c r="FB69" s="89">
        <f t="shared" si="128"/>
        <v>0.22600000000000001</v>
      </c>
      <c r="FC69">
        <v>1</v>
      </c>
      <c r="FD69">
        <f t="shared" si="129"/>
        <v>13</v>
      </c>
      <c r="FN69" s="101">
        <v>64</v>
      </c>
      <c r="FO69" s="101">
        <f t="shared" si="75"/>
        <v>57</v>
      </c>
      <c r="FP69" s="101">
        <f t="shared" si="76"/>
        <v>1</v>
      </c>
      <c r="FQ69" s="14">
        <f t="shared" si="77"/>
        <v>5</v>
      </c>
      <c r="FR69" s="101" t="str">
        <f t="shared" si="78"/>
        <v>关羽专属武器-魂珠-7 3级</v>
      </c>
      <c r="FS69" s="101">
        <f t="shared" si="79"/>
        <v>7</v>
      </c>
      <c r="FT69" s="101">
        <f t="shared" si="80"/>
        <v>3</v>
      </c>
      <c r="FU69" s="101" t="str">
        <f t="shared" si="81"/>
        <v>金币</v>
      </c>
      <c r="FV69" s="139">
        <f>IF($FT69&gt;0,IF(INDEX($EI$6:$EI$77,$FO69)&gt;=FV$3,ROUND(INDEX(EK$6:EK$77,$FO69)*INDEX(卡牌消耗!$B$8:$F$8,FQ69)/5,0)*5,""),"")</f>
        <v>30220</v>
      </c>
      <c r="FW69" s="101" t="str">
        <f t="shared" si="82"/>
        <v>专属强化石3</v>
      </c>
      <c r="FX69" s="101">
        <f t="shared" si="83"/>
        <v>9</v>
      </c>
      <c r="FY69" s="101" t="str">
        <f t="shared" si="84"/>
        <v>专属强化石4</v>
      </c>
      <c r="FZ69" s="101">
        <f t="shared" si="85"/>
        <v>3</v>
      </c>
      <c r="GA69" s="101">
        <f t="shared" si="86"/>
        <v>0.1</v>
      </c>
      <c r="GB69" s="101">
        <f t="shared" si="87"/>
        <v>1</v>
      </c>
      <c r="GC69" s="101">
        <f t="shared" si="88"/>
        <v>15</v>
      </c>
      <c r="GD69" s="101">
        <f t="shared" si="89"/>
        <v>0</v>
      </c>
      <c r="GE69" s="101">
        <f t="shared" si="90"/>
        <v>1</v>
      </c>
      <c r="GF69" s="101">
        <f t="shared" si="91"/>
        <v>4</v>
      </c>
      <c r="GG69" s="101">
        <f t="shared" si="92"/>
        <v>4.9700000000000001E-2</v>
      </c>
      <c r="GH69" s="101">
        <f t="shared" si="93"/>
        <v>1</v>
      </c>
      <c r="GI69" s="101">
        <f t="shared" si="94"/>
        <v>7</v>
      </c>
      <c r="GJ69" s="101">
        <f t="shared" si="95"/>
        <v>0.19889999999999999</v>
      </c>
      <c r="GK69" s="101">
        <f t="shared" si="96"/>
        <v>1</v>
      </c>
      <c r="GL69" s="101">
        <f t="shared" si="97"/>
        <v>15</v>
      </c>
    </row>
    <row r="70" spans="81:194" ht="16.5" x14ac:dyDescent="0.2">
      <c r="CU70" s="83">
        <v>54</v>
      </c>
      <c r="CV70" s="14" t="e">
        <f>INDEX(节奏总表!#REF!,专属武器强化!CU70)</f>
        <v>#REF!</v>
      </c>
      <c r="CW70" s="14" t="e">
        <f t="shared" si="138"/>
        <v>#REF!</v>
      </c>
      <c r="CX70" s="14" t="e">
        <f t="shared" si="139"/>
        <v>#REF!</v>
      </c>
      <c r="CY70" s="14" t="e">
        <f t="shared" si="140"/>
        <v>#REF!</v>
      </c>
      <c r="CZ70" s="14" t="e">
        <f t="shared" si="141"/>
        <v>#REF!</v>
      </c>
      <c r="DA70" s="83">
        <v>0</v>
      </c>
      <c r="DB70" s="83">
        <v>0</v>
      </c>
      <c r="DC70" s="14">
        <f t="shared" si="105"/>
        <v>0</v>
      </c>
      <c r="DD70" s="14">
        <f t="shared" si="106"/>
        <v>0</v>
      </c>
      <c r="DE70" s="14">
        <f t="shared" si="107"/>
        <v>0</v>
      </c>
      <c r="DF70" s="14">
        <f t="shared" si="108"/>
        <v>0</v>
      </c>
      <c r="DG70" s="83"/>
      <c r="DH70" s="83"/>
      <c r="DI70" s="83"/>
      <c r="DJ70" s="83"/>
      <c r="DK70" s="14" t="e">
        <f>CW70-SUM(DC$7:DC70)+SUM(DG$7:DG70)</f>
        <v>#REF!</v>
      </c>
      <c r="DL70" s="14" t="e">
        <f>CX70-SUM(DD$7:DD70)+SUM(DH$7:DH70)</f>
        <v>#REF!</v>
      </c>
      <c r="DM70" s="14" t="e">
        <f>CY70-SUM(DE$7:DE70)+SUM(DI$7:DI70)</f>
        <v>#REF!</v>
      </c>
      <c r="DN70" s="14" t="e">
        <f>CZ70-SUM(DF$7:DF70)+SUM(DJ$7:DJ70)</f>
        <v>#REF!</v>
      </c>
      <c r="DQ70" s="95">
        <v>65</v>
      </c>
      <c r="DR70" s="14">
        <f t="shared" si="67"/>
        <v>8</v>
      </c>
      <c r="DS70" s="14">
        <f t="shared" si="68"/>
        <v>2</v>
      </c>
      <c r="DT70" s="14">
        <f t="shared" si="142"/>
        <v>0</v>
      </c>
      <c r="DU70" s="14">
        <f t="shared" si="142"/>
        <v>0</v>
      </c>
      <c r="DV70" s="14">
        <f t="shared" si="142"/>
        <v>0</v>
      </c>
      <c r="DW70" s="14">
        <f t="shared" si="142"/>
        <v>88.504000000000005</v>
      </c>
      <c r="DX70" s="14">
        <f t="shared" si="69"/>
        <v>4</v>
      </c>
      <c r="DY70" s="14">
        <f t="shared" si="70"/>
        <v>0</v>
      </c>
      <c r="EF70" s="139">
        <v>65</v>
      </c>
      <c r="EG70" s="14">
        <f t="shared" si="72"/>
        <v>8</v>
      </c>
      <c r="EH70" s="19">
        <v>0.03</v>
      </c>
      <c r="EI70" s="139">
        <v>2</v>
      </c>
      <c r="EJ70" s="139" t="s">
        <v>958</v>
      </c>
      <c r="EK70" s="139">
        <f t="shared" si="73"/>
        <v>12362</v>
      </c>
      <c r="EL70" s="139" t="s">
        <v>870</v>
      </c>
      <c r="EM70" s="139">
        <v>8</v>
      </c>
      <c r="EN70" s="139"/>
      <c r="EO70" s="139"/>
      <c r="EP70" s="139">
        <f t="shared" ref="EP70:EP77" si="144">ROUND(1/ET70,2)</f>
        <v>0.09</v>
      </c>
      <c r="EQ70" s="139">
        <v>1</v>
      </c>
      <c r="ER70" s="139">
        <f t="shared" si="135"/>
        <v>17</v>
      </c>
      <c r="ES70" s="139"/>
      <c r="ET70" s="139">
        <f t="shared" si="143"/>
        <v>11.063000000000001</v>
      </c>
      <c r="EV70">
        <v>0</v>
      </c>
      <c r="EW70">
        <v>1</v>
      </c>
      <c r="EX70">
        <f t="shared" ref="EX70:EX77" si="145">ROUND(ET70*0.35,0)</f>
        <v>4</v>
      </c>
      <c r="EY70" s="89">
        <f t="shared" ref="EY70:EY77" si="146">ROUND(1/ET70/2,4)</f>
        <v>4.5199999999999997E-2</v>
      </c>
      <c r="EZ70">
        <v>1</v>
      </c>
      <c r="FA70">
        <f t="shared" ref="FA70:FA77" si="147">ROUND(ET70*0.7,0)</f>
        <v>8</v>
      </c>
      <c r="FB70" s="89">
        <f t="shared" ref="FB70:FB77" si="148">ROUND(2/ET70,4)</f>
        <v>0.18079999999999999</v>
      </c>
      <c r="FC70">
        <v>1</v>
      </c>
      <c r="FD70">
        <f t="shared" ref="FD70:FD77" si="149">ROUND(ET70*1.5,0)</f>
        <v>17</v>
      </c>
      <c r="FN70" s="101">
        <v>65</v>
      </c>
      <c r="FO70" s="101">
        <f t="shared" si="75"/>
        <v>58</v>
      </c>
      <c r="FP70" s="101">
        <f t="shared" si="76"/>
        <v>1</v>
      </c>
      <c r="FQ70" s="14">
        <f t="shared" si="77"/>
        <v>5</v>
      </c>
      <c r="FR70" s="101" t="str">
        <f t="shared" si="78"/>
        <v>关羽专属武器-魂珠-7 4级</v>
      </c>
      <c r="FS70" s="101">
        <f t="shared" si="79"/>
        <v>7</v>
      </c>
      <c r="FT70" s="101">
        <f t="shared" si="80"/>
        <v>4</v>
      </c>
      <c r="FU70" s="101" t="str">
        <f t="shared" si="81"/>
        <v>金币</v>
      </c>
      <c r="FV70" s="139">
        <f>IF($FT70&gt;0,IF(INDEX($EI$6:$EI$77,$FO70)&gt;=FV$3,ROUND(INDEX(EK$6:EK$77,$FO70)*INDEX(卡牌消耗!$B$8:$F$8,FQ70)/5,0)*5,""),"")</f>
        <v>38680</v>
      </c>
      <c r="FW70" s="101" t="str">
        <f t="shared" si="82"/>
        <v>专属强化石3</v>
      </c>
      <c r="FX70" s="101">
        <f t="shared" si="83"/>
        <v>12</v>
      </c>
      <c r="FY70" s="101" t="str">
        <f t="shared" si="84"/>
        <v>专属强化石4</v>
      </c>
      <c r="FZ70" s="101">
        <f t="shared" si="85"/>
        <v>4</v>
      </c>
      <c r="GA70" s="101">
        <f t="shared" si="86"/>
        <v>0.08</v>
      </c>
      <c r="GB70" s="101">
        <f t="shared" si="87"/>
        <v>1</v>
      </c>
      <c r="GC70" s="101">
        <f t="shared" si="88"/>
        <v>19</v>
      </c>
      <c r="GD70" s="101">
        <f t="shared" si="89"/>
        <v>0</v>
      </c>
      <c r="GE70" s="101">
        <f t="shared" si="90"/>
        <v>1</v>
      </c>
      <c r="GF70" s="101">
        <f t="shared" si="91"/>
        <v>4</v>
      </c>
      <c r="GG70" s="101">
        <f t="shared" si="92"/>
        <v>3.9800000000000002E-2</v>
      </c>
      <c r="GH70" s="101">
        <f t="shared" si="93"/>
        <v>1</v>
      </c>
      <c r="GI70" s="101">
        <f t="shared" si="94"/>
        <v>9</v>
      </c>
      <c r="GJ70" s="101">
        <f t="shared" si="95"/>
        <v>0.15909999999999999</v>
      </c>
      <c r="GK70" s="101">
        <f t="shared" si="96"/>
        <v>1</v>
      </c>
      <c r="GL70" s="101">
        <f t="shared" si="97"/>
        <v>19</v>
      </c>
    </row>
    <row r="71" spans="81:194" ht="16.5" x14ac:dyDescent="0.2">
      <c r="CU71" s="83">
        <v>55</v>
      </c>
      <c r="CV71" s="14" t="e">
        <f>INDEX(节奏总表!#REF!,专属武器强化!CU71)</f>
        <v>#REF!</v>
      </c>
      <c r="CW71" s="14" t="e">
        <f t="shared" si="138"/>
        <v>#REF!</v>
      </c>
      <c r="CX71" s="14" t="e">
        <f t="shared" si="139"/>
        <v>#REF!</v>
      </c>
      <c r="CY71" s="14" t="e">
        <f t="shared" si="140"/>
        <v>#REF!</v>
      </c>
      <c r="CZ71" s="14" t="e">
        <f t="shared" si="141"/>
        <v>#REF!</v>
      </c>
      <c r="DA71" s="83">
        <v>0</v>
      </c>
      <c r="DB71" s="83">
        <v>0</v>
      </c>
      <c r="DC71" s="14">
        <f t="shared" si="105"/>
        <v>0</v>
      </c>
      <c r="DD71" s="14">
        <f t="shared" si="106"/>
        <v>0</v>
      </c>
      <c r="DE71" s="14">
        <f t="shared" si="107"/>
        <v>0</v>
      </c>
      <c r="DF71" s="14">
        <f t="shared" si="108"/>
        <v>0</v>
      </c>
      <c r="DG71" s="83"/>
      <c r="DH71" s="83"/>
      <c r="DI71" s="83"/>
      <c r="DJ71" s="83"/>
      <c r="DK71" s="14" t="e">
        <f>CW71-SUM(DC$7:DC71)+SUM(DG$7:DG71)</f>
        <v>#REF!</v>
      </c>
      <c r="DL71" s="14" t="e">
        <f>CX71-SUM(DD$7:DD71)+SUM(DH$7:DH71)</f>
        <v>#REF!</v>
      </c>
      <c r="DM71" s="14" t="e">
        <f>CY71-SUM(DE$7:DE71)+SUM(DI$7:DI71)</f>
        <v>#REF!</v>
      </c>
      <c r="DN71" s="14" t="e">
        <f>CZ71-SUM(DF$7:DF71)+SUM(DJ$7:DJ71)</f>
        <v>#REF!</v>
      </c>
      <c r="DQ71" s="95">
        <v>66</v>
      </c>
      <c r="DR71" s="14">
        <f t="shared" ref="DR71:DR77" si="150">INT((DQ71-1)/9)+1</f>
        <v>8</v>
      </c>
      <c r="DS71" s="14">
        <f t="shared" ref="DS71:DS77" si="151">DQ71-(DR71-1)*9</f>
        <v>3</v>
      </c>
      <c r="DT71" s="14">
        <f t="shared" si="142"/>
        <v>0</v>
      </c>
      <c r="DU71" s="14">
        <f t="shared" si="142"/>
        <v>0</v>
      </c>
      <c r="DV71" s="14">
        <f t="shared" si="142"/>
        <v>0</v>
      </c>
      <c r="DW71" s="14">
        <f t="shared" si="142"/>
        <v>132.756</v>
      </c>
      <c r="DX71" s="14">
        <f t="shared" ref="DX71:DX77" si="152">INDEX($BD$6:$BD$13,DR71)</f>
        <v>4</v>
      </c>
      <c r="DY71" s="14">
        <f t="shared" ref="DY71:DY77" si="153">INDEX($BE$6:$BE$13,DR71)</f>
        <v>0</v>
      </c>
      <c r="EF71" s="139">
        <v>66</v>
      </c>
      <c r="EG71" s="14">
        <f t="shared" ref="EG71:EG77" si="154">INT((EF71-1)/9)+1</f>
        <v>8</v>
      </c>
      <c r="EH71" s="19">
        <f t="shared" ref="EH71" si="155">EH69+EH70</f>
        <v>0.05</v>
      </c>
      <c r="EI71" s="139">
        <v>2</v>
      </c>
      <c r="EJ71" s="139" t="s">
        <v>958</v>
      </c>
      <c r="EK71" s="139">
        <f t="shared" ref="EK71:EK77" si="156">ROUND(INDEX($EC$6:$EC$13,EG71)*EH71/ET71,0)</f>
        <v>17170</v>
      </c>
      <c r="EL71" s="139" t="s">
        <v>870</v>
      </c>
      <c r="EM71" s="139">
        <v>10</v>
      </c>
      <c r="EN71" s="139"/>
      <c r="EO71" s="139"/>
      <c r="EP71" s="139">
        <f t="shared" si="144"/>
        <v>0.08</v>
      </c>
      <c r="EQ71" s="139">
        <v>1</v>
      </c>
      <c r="ER71" s="139">
        <f t="shared" si="135"/>
        <v>20</v>
      </c>
      <c r="ES71" s="139"/>
      <c r="ET71" s="139">
        <f t="shared" si="143"/>
        <v>13.275600000000001</v>
      </c>
      <c r="EV71">
        <v>0</v>
      </c>
      <c r="EW71">
        <v>1</v>
      </c>
      <c r="EX71">
        <f t="shared" si="145"/>
        <v>5</v>
      </c>
      <c r="EY71" s="89">
        <f t="shared" si="146"/>
        <v>3.7699999999999997E-2</v>
      </c>
      <c r="EZ71">
        <v>1</v>
      </c>
      <c r="FA71">
        <f t="shared" si="147"/>
        <v>9</v>
      </c>
      <c r="FB71" s="89">
        <f t="shared" si="148"/>
        <v>0.1507</v>
      </c>
      <c r="FC71">
        <v>1</v>
      </c>
      <c r="FD71">
        <f t="shared" si="149"/>
        <v>20</v>
      </c>
      <c r="FN71" s="101">
        <v>66</v>
      </c>
      <c r="FO71" s="101">
        <f t="shared" ref="FO71:FO85" si="157">IF(FT71&gt;0,(FS71-1)*9+FT71,0)</f>
        <v>59</v>
      </c>
      <c r="FP71" s="101">
        <f t="shared" ref="FP71:FP134" si="158">INT((FN71-1)/80+1)</f>
        <v>1</v>
      </c>
      <c r="FQ71" s="14">
        <f t="shared" ref="FQ71:FQ134" si="159">INDEX($FJ$6:$FJ$26,FP71)</f>
        <v>5</v>
      </c>
      <c r="FR71" s="101" t="str">
        <f t="shared" ref="FR71:FR85" si="160">INDEX($FI$6:$FI$26,FP71)&amp;"专属武器-魂珠-"&amp;FS71&amp;" "&amp;FT71&amp;"级"</f>
        <v>关羽专属武器-魂珠-7 5级</v>
      </c>
      <c r="FS71" s="101">
        <f t="shared" ref="FS71:FS85" si="161">INT((FN71-(FP71-1)*80-1)/10)+1</f>
        <v>7</v>
      </c>
      <c r="FT71" s="101">
        <f t="shared" ref="FT71:FT85" si="162">FN71-(FP71-1)*80-(FS71-1)*10-1</f>
        <v>5</v>
      </c>
      <c r="FU71" s="101" t="str">
        <f t="shared" ref="FU71:FU134" si="163">IF($FT71&gt;0,IF(INDEX($EI$6:$EI$77,$FO71)&gt;=FU$3,INDEX(EJ$6:EJ$77,$FO71),""),"")</f>
        <v>金币</v>
      </c>
      <c r="FV71" s="139">
        <f>IF($FT71&gt;0,IF(INDEX($EI$6:$EI$77,$FO71)&gt;=FV$3,ROUND(INDEX(EK$6:EK$77,$FO71)*INDEX(卡牌消耗!$B$8:$F$8,FQ71)/5,0)*5,""),"")</f>
        <v>39285</v>
      </c>
      <c r="FW71" s="101" t="str">
        <f t="shared" ref="FW71:FW134" si="164">IF($FT71&gt;0,IF(INDEX($EI$6:$EI$77,$FO71)&gt;=FW$3,INDEX(EL$6:EL$77,$FO71),""),"")</f>
        <v>专属强化石3</v>
      </c>
      <c r="FX71" s="101">
        <f t="shared" ref="FX71:FX134" si="165">IF($FT71&gt;0,IF(INDEX($EI$6:$EI$77,$FO71)&gt;=FX$3,INDEX(EM$6:EM$77,$FO71),""),"")</f>
        <v>12</v>
      </c>
      <c r="FY71" s="101" t="str">
        <f t="shared" ref="FY71:FY134" si="166">IF($FT71&gt;0,IF(INDEX($EI$6:$EI$77,$FO71)&gt;=FY$3,INDEX(EN$6:EN$77,$FO71),""),"")</f>
        <v>专属强化石4</v>
      </c>
      <c r="FZ71" s="101">
        <f t="shared" ref="FZ71:FZ134" si="167">IF($FT71&gt;0,IF(INDEX($EI$6:$EI$77,$FO71)&gt;=FZ$3,INDEX(EO$6:EO$77,$FO71),""),"")</f>
        <v>4</v>
      </c>
      <c r="GA71" s="101">
        <f t="shared" ref="GA71:GA85" si="168">IF($FT71&gt;0,INDEX(EP$6:EP$77,$FO71),"")</f>
        <v>0.05</v>
      </c>
      <c r="GB71" s="101">
        <f t="shared" ref="GB71:GB85" si="169">IF($FT71&gt;0,INDEX(EQ$6:EQ$77,$FO71),"")</f>
        <v>1</v>
      </c>
      <c r="GC71" s="101">
        <f t="shared" ref="GC71:GC85" si="170">IF($FT71&gt;0,INDEX(ER$6:ER$77,$FO71),"")</f>
        <v>30</v>
      </c>
      <c r="GD71" s="101">
        <f t="shared" ref="GD71:GD85" si="171">IF($FT71&gt;0,INDEX(EV$6:EV$77,$FO71),"")</f>
        <v>0</v>
      </c>
      <c r="GE71" s="101">
        <f t="shared" ref="GE71:GE85" si="172">IF($FT71&gt;0,INDEX(EW$6:EW$77,$FO71),"")</f>
        <v>1</v>
      </c>
      <c r="GF71" s="101">
        <f t="shared" ref="GF71:GF85" si="173">IF($FT71&gt;0,INDEX(EX$6:EX$77,$FO71),"")</f>
        <v>7</v>
      </c>
      <c r="GG71" s="101">
        <f t="shared" ref="GG71:GG85" si="174">IF($FT71&gt;0,INDEX(EY$6:EY$77,$FO71),"")</f>
        <v>2.4899999999999999E-2</v>
      </c>
      <c r="GH71" s="101">
        <f t="shared" ref="GH71:GH85" si="175">IF($FT71&gt;0,INDEX(EZ$6:EZ$77,$FO71),"")</f>
        <v>1</v>
      </c>
      <c r="GI71" s="101">
        <f t="shared" ref="GI71:GI85" si="176">IF($FT71&gt;0,INDEX(FA$6:FA$77,$FO71),"")</f>
        <v>14</v>
      </c>
      <c r="GJ71" s="101">
        <f t="shared" ref="GJ71:GJ85" si="177">IF($FT71&gt;0,INDEX(FB$6:FB$77,$FO71),"")</f>
        <v>9.9400000000000002E-2</v>
      </c>
      <c r="GK71" s="101">
        <f t="shared" ref="GK71:GK85" si="178">IF($FT71&gt;0,INDEX(FC$6:FC$77,$FO71),"")</f>
        <v>1</v>
      </c>
      <c r="GL71" s="101">
        <f t="shared" ref="GL71:GL85" si="179">IF($FT71&gt;0,INDEX(FD$6:FD$77,$FO71),"")</f>
        <v>30</v>
      </c>
    </row>
    <row r="72" spans="81:194" ht="16.5" x14ac:dyDescent="0.2">
      <c r="CU72" s="83">
        <v>56</v>
      </c>
      <c r="CV72" s="14" t="e">
        <f>INDEX(节奏总表!#REF!,专属武器强化!CU72)</f>
        <v>#REF!</v>
      </c>
      <c r="CW72" s="14" t="e">
        <f t="shared" si="138"/>
        <v>#REF!</v>
      </c>
      <c r="CX72" s="14" t="e">
        <f t="shared" si="139"/>
        <v>#REF!</v>
      </c>
      <c r="CY72" s="14" t="e">
        <f t="shared" si="140"/>
        <v>#REF!</v>
      </c>
      <c r="CZ72" s="14" t="e">
        <f t="shared" si="141"/>
        <v>#REF!</v>
      </c>
      <c r="DA72" s="83">
        <v>6</v>
      </c>
      <c r="DB72" s="83">
        <v>4</v>
      </c>
      <c r="DC72" s="14">
        <f t="shared" si="105"/>
        <v>0</v>
      </c>
      <c r="DD72" s="14">
        <f t="shared" si="106"/>
        <v>0</v>
      </c>
      <c r="DE72" s="14">
        <f t="shared" si="107"/>
        <v>448.03181818181815</v>
      </c>
      <c r="DF72" s="14">
        <f t="shared" si="108"/>
        <v>90.515454545454546</v>
      </c>
      <c r="DG72" s="83"/>
      <c r="DH72" s="83"/>
      <c r="DI72" s="83">
        <v>25</v>
      </c>
      <c r="DJ72" s="83"/>
      <c r="DK72" s="14" t="e">
        <f>CW72-SUM(DC$7:DC72)+SUM(DG$7:DG72)</f>
        <v>#REF!</v>
      </c>
      <c r="DL72" s="14" t="e">
        <f>CX72-SUM(DD$7:DD72)+SUM(DH$7:DH72)</f>
        <v>#REF!</v>
      </c>
      <c r="DM72" s="14" t="e">
        <f>CY72-SUM(DE$7:DE72)+SUM(DI$7:DI72)</f>
        <v>#REF!</v>
      </c>
      <c r="DN72" s="14" t="e">
        <f>CZ72-SUM(DF$7:DF72)+SUM(DJ$7:DJ72)</f>
        <v>#REF!</v>
      </c>
      <c r="DQ72" s="95">
        <v>67</v>
      </c>
      <c r="DR72" s="14">
        <f t="shared" si="150"/>
        <v>8</v>
      </c>
      <c r="DS72" s="14">
        <f t="shared" si="151"/>
        <v>4</v>
      </c>
      <c r="DT72" s="14">
        <f t="shared" si="142"/>
        <v>0</v>
      </c>
      <c r="DU72" s="14">
        <f t="shared" si="142"/>
        <v>0</v>
      </c>
      <c r="DV72" s="14">
        <f t="shared" si="142"/>
        <v>0</v>
      </c>
      <c r="DW72" s="14">
        <f t="shared" si="142"/>
        <v>221.26</v>
      </c>
      <c r="DX72" s="14">
        <f t="shared" si="152"/>
        <v>4</v>
      </c>
      <c r="DY72" s="14">
        <f t="shared" si="153"/>
        <v>0</v>
      </c>
      <c r="EF72" s="139">
        <v>67</v>
      </c>
      <c r="EG72" s="14">
        <f t="shared" si="154"/>
        <v>8</v>
      </c>
      <c r="EH72" s="19">
        <f t="shared" si="114"/>
        <v>0.08</v>
      </c>
      <c r="EI72" s="139">
        <v>2</v>
      </c>
      <c r="EJ72" s="139" t="s">
        <v>958</v>
      </c>
      <c r="EK72" s="139">
        <f t="shared" si="156"/>
        <v>19780</v>
      </c>
      <c r="EL72" s="139" t="s">
        <v>870</v>
      </c>
      <c r="EM72" s="139">
        <v>12</v>
      </c>
      <c r="EN72" s="139"/>
      <c r="EO72" s="139"/>
      <c r="EP72" s="139">
        <f t="shared" si="144"/>
        <v>0.05</v>
      </c>
      <c r="EQ72" s="139">
        <v>1</v>
      </c>
      <c r="ER72" s="139">
        <f t="shared" si="135"/>
        <v>28</v>
      </c>
      <c r="ES72" s="139"/>
      <c r="ET72" s="139">
        <f t="shared" si="143"/>
        <v>18.438333333333333</v>
      </c>
      <c r="EV72">
        <v>0</v>
      </c>
      <c r="EW72">
        <v>1</v>
      </c>
      <c r="EX72">
        <f t="shared" si="145"/>
        <v>6</v>
      </c>
      <c r="EY72" s="89">
        <f t="shared" si="146"/>
        <v>2.7099999999999999E-2</v>
      </c>
      <c r="EZ72">
        <v>1</v>
      </c>
      <c r="FA72">
        <f t="shared" si="147"/>
        <v>13</v>
      </c>
      <c r="FB72" s="89">
        <f t="shared" si="148"/>
        <v>0.1085</v>
      </c>
      <c r="FC72">
        <v>1</v>
      </c>
      <c r="FD72">
        <f t="shared" si="149"/>
        <v>28</v>
      </c>
      <c r="FN72" s="101">
        <v>67</v>
      </c>
      <c r="FO72" s="101">
        <f t="shared" si="157"/>
        <v>60</v>
      </c>
      <c r="FP72" s="101">
        <f t="shared" si="158"/>
        <v>1</v>
      </c>
      <c r="FQ72" s="14">
        <f t="shared" si="159"/>
        <v>5</v>
      </c>
      <c r="FR72" s="101" t="str">
        <f t="shared" si="160"/>
        <v>关羽专属武器-魂珠-7 6级</v>
      </c>
      <c r="FS72" s="101">
        <f t="shared" si="161"/>
        <v>7</v>
      </c>
      <c r="FT72" s="101">
        <f t="shared" si="162"/>
        <v>6</v>
      </c>
      <c r="FU72" s="101" t="str">
        <f t="shared" si="163"/>
        <v>金币</v>
      </c>
      <c r="FV72" s="139">
        <f>IF($FT72&gt;0,IF(INDEX($EI$6:$EI$77,$FO72)&gt;=FV$3,ROUND(INDEX(EK$6:EK$77,$FO72)*INDEX(卡牌消耗!$B$8:$F$8,FQ72)/5,0)*5,""),"")</f>
        <v>48815</v>
      </c>
      <c r="FW72" s="101" t="str">
        <f t="shared" si="164"/>
        <v>专属强化石3</v>
      </c>
      <c r="FX72" s="101">
        <f t="shared" si="165"/>
        <v>15</v>
      </c>
      <c r="FY72" s="101" t="str">
        <f t="shared" si="166"/>
        <v>专属强化石4</v>
      </c>
      <c r="FZ72" s="101">
        <f t="shared" si="167"/>
        <v>5</v>
      </c>
      <c r="GA72" s="101">
        <f t="shared" si="168"/>
        <v>0.04</v>
      </c>
      <c r="GB72" s="101">
        <f t="shared" si="169"/>
        <v>1</v>
      </c>
      <c r="GC72" s="101">
        <f t="shared" si="170"/>
        <v>39</v>
      </c>
      <c r="GD72" s="101">
        <f t="shared" si="171"/>
        <v>0</v>
      </c>
      <c r="GE72" s="101">
        <f t="shared" si="172"/>
        <v>1</v>
      </c>
      <c r="GF72" s="101">
        <f t="shared" si="173"/>
        <v>9</v>
      </c>
      <c r="GG72" s="101">
        <f t="shared" si="174"/>
        <v>1.9099999999999999E-2</v>
      </c>
      <c r="GH72" s="101">
        <f t="shared" si="175"/>
        <v>1</v>
      </c>
      <c r="GI72" s="101">
        <f t="shared" si="176"/>
        <v>18</v>
      </c>
      <c r="GJ72" s="101">
        <f t="shared" si="177"/>
        <v>7.6499999999999999E-2</v>
      </c>
      <c r="GK72" s="101">
        <f t="shared" si="178"/>
        <v>1</v>
      </c>
      <c r="GL72" s="101">
        <f t="shared" si="179"/>
        <v>39</v>
      </c>
    </row>
    <row r="73" spans="81:194" ht="16.5" x14ac:dyDescent="0.2">
      <c r="CU73" s="83">
        <v>57</v>
      </c>
      <c r="CV73" s="14" t="e">
        <f>INDEX(节奏总表!#REF!,专属武器强化!CU73)</f>
        <v>#REF!</v>
      </c>
      <c r="CW73" s="14" t="e">
        <f t="shared" si="138"/>
        <v>#REF!</v>
      </c>
      <c r="CX73" s="14" t="e">
        <f t="shared" si="139"/>
        <v>#REF!</v>
      </c>
      <c r="CY73" s="14" t="e">
        <f t="shared" si="140"/>
        <v>#REF!</v>
      </c>
      <c r="CZ73" s="14" t="e">
        <f t="shared" si="141"/>
        <v>#REF!</v>
      </c>
      <c r="DA73" s="83">
        <v>0</v>
      </c>
      <c r="DB73" s="83">
        <v>0</v>
      </c>
      <c r="DC73" s="14">
        <f t="shared" si="105"/>
        <v>0</v>
      </c>
      <c r="DD73" s="14">
        <f t="shared" si="106"/>
        <v>0</v>
      </c>
      <c r="DE73" s="14">
        <f t="shared" si="107"/>
        <v>0</v>
      </c>
      <c r="DF73" s="14">
        <f t="shared" si="108"/>
        <v>0</v>
      </c>
      <c r="DG73" s="83"/>
      <c r="DH73" s="83"/>
      <c r="DI73" s="83"/>
      <c r="DJ73" s="83"/>
      <c r="DK73" s="14" t="e">
        <f>CW73-SUM(DC$7:DC73)+SUM(DG$7:DG73)</f>
        <v>#REF!</v>
      </c>
      <c r="DL73" s="14" t="e">
        <f>CX73-SUM(DD$7:DD73)+SUM(DH$7:DH73)</f>
        <v>#REF!</v>
      </c>
      <c r="DM73" s="14" t="e">
        <f>CY73-SUM(DE$7:DE73)+SUM(DI$7:DI73)</f>
        <v>#REF!</v>
      </c>
      <c r="DN73" s="14" t="e">
        <f>CZ73-SUM(DF$7:DF73)+SUM(DJ$7:DJ73)</f>
        <v>#REF!</v>
      </c>
      <c r="DQ73" s="95">
        <v>68</v>
      </c>
      <c r="DR73" s="14">
        <f t="shared" si="150"/>
        <v>8</v>
      </c>
      <c r="DS73" s="14">
        <f t="shared" si="151"/>
        <v>5</v>
      </c>
      <c r="DT73" s="14">
        <f t="shared" si="142"/>
        <v>0</v>
      </c>
      <c r="DU73" s="14">
        <f t="shared" si="142"/>
        <v>0</v>
      </c>
      <c r="DV73" s="14">
        <f t="shared" si="142"/>
        <v>0</v>
      </c>
      <c r="DW73" s="14">
        <f t="shared" si="142"/>
        <v>354.01600000000002</v>
      </c>
      <c r="DX73" s="14">
        <f t="shared" si="152"/>
        <v>4</v>
      </c>
      <c r="DY73" s="14">
        <f t="shared" si="153"/>
        <v>0</v>
      </c>
      <c r="EF73" s="139">
        <v>68</v>
      </c>
      <c r="EG73" s="14">
        <f t="shared" si="154"/>
        <v>8</v>
      </c>
      <c r="EH73" s="19">
        <f t="shared" si="114"/>
        <v>0.13</v>
      </c>
      <c r="EI73" s="139">
        <v>2</v>
      </c>
      <c r="EJ73" s="139" t="s">
        <v>958</v>
      </c>
      <c r="EK73" s="139">
        <f t="shared" si="156"/>
        <v>25111</v>
      </c>
      <c r="EL73" s="139" t="s">
        <v>870</v>
      </c>
      <c r="EM73" s="139">
        <v>15</v>
      </c>
      <c r="EN73" s="139"/>
      <c r="EO73" s="139"/>
      <c r="EP73" s="139">
        <f t="shared" si="144"/>
        <v>0.04</v>
      </c>
      <c r="EQ73" s="139">
        <v>1</v>
      </c>
      <c r="ER73" s="139">
        <f t="shared" si="135"/>
        <v>35</v>
      </c>
      <c r="ES73" s="139"/>
      <c r="ET73" s="139">
        <f t="shared" si="143"/>
        <v>23.601066666666668</v>
      </c>
      <c r="EV73">
        <v>0</v>
      </c>
      <c r="EW73">
        <v>1</v>
      </c>
      <c r="EX73">
        <f t="shared" si="145"/>
        <v>8</v>
      </c>
      <c r="EY73" s="89">
        <f t="shared" si="146"/>
        <v>2.12E-2</v>
      </c>
      <c r="EZ73">
        <v>1</v>
      </c>
      <c r="FA73">
        <f t="shared" si="147"/>
        <v>17</v>
      </c>
      <c r="FB73" s="89">
        <f t="shared" si="148"/>
        <v>8.4699999999999998E-2</v>
      </c>
      <c r="FC73">
        <v>1</v>
      </c>
      <c r="FD73">
        <f t="shared" si="149"/>
        <v>35</v>
      </c>
      <c r="FN73" s="101">
        <v>68</v>
      </c>
      <c r="FO73" s="101">
        <f t="shared" si="157"/>
        <v>61</v>
      </c>
      <c r="FP73" s="101">
        <f t="shared" si="158"/>
        <v>1</v>
      </c>
      <c r="FQ73" s="14">
        <f t="shared" si="159"/>
        <v>5</v>
      </c>
      <c r="FR73" s="101" t="str">
        <f t="shared" si="160"/>
        <v>关羽专属武器-魂珠-7 7级</v>
      </c>
      <c r="FS73" s="101">
        <f t="shared" si="161"/>
        <v>7</v>
      </c>
      <c r="FT73" s="101">
        <f t="shared" si="162"/>
        <v>7</v>
      </c>
      <c r="FU73" s="101" t="str">
        <f t="shared" si="163"/>
        <v>金币</v>
      </c>
      <c r="FV73" s="139">
        <f>IF($FT73&gt;0,IF(INDEX($EI$6:$EI$77,$FO73)&gt;=FV$3,ROUND(INDEX(EK$6:EK$77,$FO73)*INDEX(卡牌消耗!$B$8:$F$8,FQ73)/5,0)*5,""),"")</f>
        <v>68495</v>
      </c>
      <c r="FW73" s="101" t="str">
        <f t="shared" si="164"/>
        <v>专属强化石3</v>
      </c>
      <c r="FX73" s="101">
        <f t="shared" si="165"/>
        <v>21</v>
      </c>
      <c r="FY73" s="101" t="str">
        <f t="shared" si="166"/>
        <v>专属强化石4</v>
      </c>
      <c r="FZ73" s="101">
        <f t="shared" si="167"/>
        <v>7</v>
      </c>
      <c r="GA73" s="101">
        <f t="shared" si="168"/>
        <v>0.03</v>
      </c>
      <c r="GB73" s="101">
        <f t="shared" si="169"/>
        <v>1</v>
      </c>
      <c r="GC73" s="101">
        <f t="shared" si="170"/>
        <v>45</v>
      </c>
      <c r="GD73" s="101">
        <f t="shared" si="171"/>
        <v>0</v>
      </c>
      <c r="GE73" s="101">
        <f t="shared" si="172"/>
        <v>1</v>
      </c>
      <c r="GF73" s="101">
        <f t="shared" si="173"/>
        <v>11</v>
      </c>
      <c r="GG73" s="101">
        <f t="shared" si="174"/>
        <v>1.66E-2</v>
      </c>
      <c r="GH73" s="101">
        <f t="shared" si="175"/>
        <v>1</v>
      </c>
      <c r="GI73" s="101">
        <f t="shared" si="176"/>
        <v>21</v>
      </c>
      <c r="GJ73" s="101">
        <f t="shared" si="177"/>
        <v>6.6299999999999998E-2</v>
      </c>
      <c r="GK73" s="101">
        <f t="shared" si="178"/>
        <v>1</v>
      </c>
      <c r="GL73" s="101">
        <f t="shared" si="179"/>
        <v>45</v>
      </c>
    </row>
    <row r="74" spans="81:194" ht="16.5" x14ac:dyDescent="0.2">
      <c r="CU74" s="83">
        <v>58</v>
      </c>
      <c r="CV74" s="14" t="e">
        <f>INDEX(节奏总表!#REF!,专属武器强化!CU74)</f>
        <v>#REF!</v>
      </c>
      <c r="CW74" s="14" t="e">
        <f t="shared" si="138"/>
        <v>#REF!</v>
      </c>
      <c r="CX74" s="14" t="e">
        <f t="shared" si="139"/>
        <v>#REF!</v>
      </c>
      <c r="CY74" s="14" t="e">
        <f t="shared" si="140"/>
        <v>#REF!</v>
      </c>
      <c r="CZ74" s="14" t="e">
        <f t="shared" si="141"/>
        <v>#REF!</v>
      </c>
      <c r="DA74" s="83">
        <v>0</v>
      </c>
      <c r="DB74" s="83">
        <v>0</v>
      </c>
      <c r="DC74" s="14">
        <f t="shared" si="105"/>
        <v>0</v>
      </c>
      <c r="DD74" s="14">
        <f t="shared" si="106"/>
        <v>0</v>
      </c>
      <c r="DE74" s="14">
        <f t="shared" si="107"/>
        <v>0</v>
      </c>
      <c r="DF74" s="14">
        <f t="shared" si="108"/>
        <v>0</v>
      </c>
      <c r="DG74" s="83"/>
      <c r="DH74" s="83"/>
      <c r="DI74" s="83"/>
      <c r="DJ74" s="83"/>
      <c r="DK74" s="14" t="e">
        <f>CW74-SUM(DC$7:DC74)+SUM(DG$7:DG74)</f>
        <v>#REF!</v>
      </c>
      <c r="DL74" s="14" t="e">
        <f>CX74-SUM(DD$7:DD74)+SUM(DH$7:DH74)</f>
        <v>#REF!</v>
      </c>
      <c r="DM74" s="14" t="e">
        <f>CY74-SUM(DE$7:DE74)+SUM(DI$7:DI74)</f>
        <v>#REF!</v>
      </c>
      <c r="DN74" s="14" t="e">
        <f>CZ74-SUM(DF$7:DF74)+SUM(DJ$7:DJ74)</f>
        <v>#REF!</v>
      </c>
      <c r="DQ74" s="95">
        <v>69</v>
      </c>
      <c r="DR74" s="14">
        <f t="shared" si="150"/>
        <v>8</v>
      </c>
      <c r="DS74" s="14">
        <f t="shared" si="151"/>
        <v>6</v>
      </c>
      <c r="DT74" s="14">
        <f t="shared" si="142"/>
        <v>0</v>
      </c>
      <c r="DU74" s="14">
        <f t="shared" si="142"/>
        <v>0</v>
      </c>
      <c r="DV74" s="14">
        <f t="shared" si="142"/>
        <v>0</v>
      </c>
      <c r="DW74" s="14">
        <f t="shared" si="142"/>
        <v>575.27599999999995</v>
      </c>
      <c r="DX74" s="14">
        <f t="shared" si="152"/>
        <v>4</v>
      </c>
      <c r="DY74" s="14">
        <f t="shared" si="153"/>
        <v>0</v>
      </c>
      <c r="EF74" s="139">
        <v>69</v>
      </c>
      <c r="EG74" s="14">
        <f t="shared" si="154"/>
        <v>8</v>
      </c>
      <c r="EH74" s="19">
        <f t="shared" si="114"/>
        <v>0.21000000000000002</v>
      </c>
      <c r="EI74" s="139">
        <v>2</v>
      </c>
      <c r="EJ74" s="139" t="s">
        <v>958</v>
      </c>
      <c r="EK74" s="139">
        <f t="shared" si="156"/>
        <v>29955</v>
      </c>
      <c r="EL74" s="139" t="s">
        <v>870</v>
      </c>
      <c r="EM74" s="139">
        <v>18</v>
      </c>
      <c r="EN74" s="139"/>
      <c r="EO74" s="139"/>
      <c r="EP74" s="139">
        <f t="shared" si="144"/>
        <v>0.03</v>
      </c>
      <c r="EQ74" s="139">
        <v>1</v>
      </c>
      <c r="ER74" s="139">
        <f t="shared" si="135"/>
        <v>48</v>
      </c>
      <c r="ES74" s="139"/>
      <c r="ET74" s="139">
        <f t="shared" si="143"/>
        <v>31.959777777777774</v>
      </c>
      <c r="EV74">
        <v>0</v>
      </c>
      <c r="EW74">
        <v>1</v>
      </c>
      <c r="EX74">
        <f t="shared" si="145"/>
        <v>11</v>
      </c>
      <c r="EY74" s="89">
        <f t="shared" si="146"/>
        <v>1.5599999999999999E-2</v>
      </c>
      <c r="EZ74">
        <v>1</v>
      </c>
      <c r="FA74">
        <f t="shared" si="147"/>
        <v>22</v>
      </c>
      <c r="FB74" s="89">
        <f t="shared" si="148"/>
        <v>6.2600000000000003E-2</v>
      </c>
      <c r="FC74">
        <v>1</v>
      </c>
      <c r="FD74">
        <f t="shared" si="149"/>
        <v>48</v>
      </c>
      <c r="FN74" s="101">
        <v>69</v>
      </c>
      <c r="FO74" s="101">
        <f t="shared" si="157"/>
        <v>62</v>
      </c>
      <c r="FP74" s="101">
        <f t="shared" si="158"/>
        <v>1</v>
      </c>
      <c r="FQ74" s="14">
        <f t="shared" si="159"/>
        <v>5</v>
      </c>
      <c r="FR74" s="101" t="str">
        <f t="shared" si="160"/>
        <v>关羽专属武器-魂珠-7 8级</v>
      </c>
      <c r="FS74" s="101">
        <f t="shared" si="161"/>
        <v>7</v>
      </c>
      <c r="FT74" s="101">
        <f t="shared" si="162"/>
        <v>8</v>
      </c>
      <c r="FU74" s="101" t="str">
        <f t="shared" si="163"/>
        <v>金币</v>
      </c>
      <c r="FV74" s="139">
        <f>IF($FT74&gt;0,IF(INDEX($EI$6:$EI$77,$FO74)&gt;=FV$3,ROUND(INDEX(EK$6:EK$77,$FO74)*INDEX(卡牌消耗!$B$8:$F$8,FQ74)/5,0)*5,""),"")</f>
        <v>78215</v>
      </c>
      <c r="FW74" s="101" t="str">
        <f t="shared" si="164"/>
        <v>专属强化石3</v>
      </c>
      <c r="FX74" s="101">
        <f t="shared" si="165"/>
        <v>24</v>
      </c>
      <c r="FY74" s="101" t="str">
        <f t="shared" si="166"/>
        <v>专属强化石4</v>
      </c>
      <c r="FZ74" s="101">
        <f t="shared" si="167"/>
        <v>8</v>
      </c>
      <c r="GA74" s="101">
        <f t="shared" si="168"/>
        <v>0.02</v>
      </c>
      <c r="GB74" s="101">
        <f t="shared" si="169"/>
        <v>1</v>
      </c>
      <c r="GC74" s="101">
        <f t="shared" si="170"/>
        <v>64</v>
      </c>
      <c r="GD74" s="101">
        <f t="shared" si="171"/>
        <v>0</v>
      </c>
      <c r="GE74" s="101">
        <f t="shared" si="172"/>
        <v>1</v>
      </c>
      <c r="GF74" s="101">
        <f t="shared" si="173"/>
        <v>15</v>
      </c>
      <c r="GG74" s="101">
        <f t="shared" si="174"/>
        <v>1.17E-2</v>
      </c>
      <c r="GH74" s="101">
        <f t="shared" si="175"/>
        <v>1</v>
      </c>
      <c r="GI74" s="101">
        <f t="shared" si="176"/>
        <v>30</v>
      </c>
      <c r="GJ74" s="101">
        <f t="shared" si="177"/>
        <v>4.6800000000000001E-2</v>
      </c>
      <c r="GK74" s="101">
        <f t="shared" si="178"/>
        <v>1</v>
      </c>
      <c r="GL74" s="101">
        <f t="shared" si="179"/>
        <v>64</v>
      </c>
    </row>
    <row r="75" spans="81:194" ht="16.5" x14ac:dyDescent="0.2">
      <c r="CU75" s="83">
        <v>59</v>
      </c>
      <c r="CV75" s="14" t="e">
        <f>INDEX(节奏总表!#REF!,专属武器强化!CU75)</f>
        <v>#REF!</v>
      </c>
      <c r="CW75" s="14" t="e">
        <f t="shared" si="138"/>
        <v>#REF!</v>
      </c>
      <c r="CX75" s="14" t="e">
        <f t="shared" si="139"/>
        <v>#REF!</v>
      </c>
      <c r="CY75" s="14" t="e">
        <f t="shared" si="140"/>
        <v>#REF!</v>
      </c>
      <c r="CZ75" s="14" t="e">
        <f t="shared" si="141"/>
        <v>#REF!</v>
      </c>
      <c r="DA75" s="83">
        <v>8</v>
      </c>
      <c r="DB75" s="83">
        <v>3</v>
      </c>
      <c r="DC75" s="14">
        <f t="shared" si="105"/>
        <v>0</v>
      </c>
      <c r="DD75" s="14">
        <f t="shared" si="106"/>
        <v>0</v>
      </c>
      <c r="DE75" s="14">
        <f t="shared" si="107"/>
        <v>0</v>
      </c>
      <c r="DF75" s="14">
        <f t="shared" si="108"/>
        <v>398.26800000000003</v>
      </c>
      <c r="DG75" s="83"/>
      <c r="DH75" s="83"/>
      <c r="DI75" s="83"/>
      <c r="DJ75" s="83">
        <v>1</v>
      </c>
      <c r="DK75" s="14" t="e">
        <f>CW75-SUM(DC$7:DC75)+SUM(DG$7:DG75)</f>
        <v>#REF!</v>
      </c>
      <c r="DL75" s="14" t="e">
        <f>CX75-SUM(DD$7:DD75)+SUM(DH$7:DH75)</f>
        <v>#REF!</v>
      </c>
      <c r="DM75" s="14" t="e">
        <f>CY75-SUM(DE$7:DE75)+SUM(DI$7:DI75)</f>
        <v>#REF!</v>
      </c>
      <c r="DN75" s="14" t="e">
        <f>CZ75-SUM(DF$7:DF75)+SUM(DJ$7:DJ75)</f>
        <v>#REF!</v>
      </c>
      <c r="DQ75" s="95">
        <v>70</v>
      </c>
      <c r="DR75" s="14">
        <f t="shared" si="150"/>
        <v>8</v>
      </c>
      <c r="DS75" s="14">
        <f t="shared" si="151"/>
        <v>7</v>
      </c>
      <c r="DT75" s="14">
        <f t="shared" si="142"/>
        <v>0</v>
      </c>
      <c r="DU75" s="14">
        <f t="shared" si="142"/>
        <v>0</v>
      </c>
      <c r="DV75" s="14">
        <f t="shared" si="142"/>
        <v>0</v>
      </c>
      <c r="DW75" s="14">
        <f t="shared" si="142"/>
        <v>929.29199999999992</v>
      </c>
      <c r="DX75" s="14">
        <f t="shared" si="152"/>
        <v>4</v>
      </c>
      <c r="DY75" s="14">
        <f t="shared" si="153"/>
        <v>0</v>
      </c>
      <c r="EF75" s="139">
        <v>70</v>
      </c>
      <c r="EG75" s="14">
        <f t="shared" si="154"/>
        <v>8</v>
      </c>
      <c r="EH75" s="19">
        <f t="shared" si="114"/>
        <v>0.34</v>
      </c>
      <c r="EI75" s="139">
        <v>2</v>
      </c>
      <c r="EJ75" s="139" t="s">
        <v>958</v>
      </c>
      <c r="EK75" s="139">
        <f t="shared" si="156"/>
        <v>41698</v>
      </c>
      <c r="EL75" s="139" t="s">
        <v>870</v>
      </c>
      <c r="EM75" s="139">
        <v>25</v>
      </c>
      <c r="EN75" s="139"/>
      <c r="EO75" s="139"/>
      <c r="EP75" s="139">
        <f t="shared" si="144"/>
        <v>0.03</v>
      </c>
      <c r="EQ75" s="139">
        <v>1</v>
      </c>
      <c r="ER75" s="139">
        <f t="shared" si="135"/>
        <v>56</v>
      </c>
      <c r="ES75" s="139"/>
      <c r="ET75" s="139">
        <f t="shared" si="143"/>
        <v>37.171679999999995</v>
      </c>
      <c r="EV75">
        <v>0</v>
      </c>
      <c r="EW75">
        <v>1</v>
      </c>
      <c r="EX75">
        <f t="shared" si="145"/>
        <v>13</v>
      </c>
      <c r="EY75" s="89">
        <f t="shared" si="146"/>
        <v>1.35E-2</v>
      </c>
      <c r="EZ75">
        <v>1</v>
      </c>
      <c r="FA75">
        <f t="shared" si="147"/>
        <v>26</v>
      </c>
      <c r="FB75" s="89">
        <f t="shared" si="148"/>
        <v>5.3800000000000001E-2</v>
      </c>
      <c r="FC75">
        <v>1</v>
      </c>
      <c r="FD75">
        <f t="shared" si="149"/>
        <v>56</v>
      </c>
      <c r="FN75" s="101">
        <v>70</v>
      </c>
      <c r="FO75" s="101">
        <f t="shared" si="157"/>
        <v>63</v>
      </c>
      <c r="FP75" s="101">
        <f t="shared" si="158"/>
        <v>1</v>
      </c>
      <c r="FQ75" s="14">
        <f t="shared" si="159"/>
        <v>5</v>
      </c>
      <c r="FR75" s="101" t="str">
        <f t="shared" si="160"/>
        <v>关羽专属武器-魂珠-7 9级</v>
      </c>
      <c r="FS75" s="101">
        <f t="shared" si="161"/>
        <v>7</v>
      </c>
      <c r="FT75" s="101">
        <f t="shared" si="162"/>
        <v>9</v>
      </c>
      <c r="FU75" s="101" t="str">
        <f t="shared" si="163"/>
        <v>金币</v>
      </c>
      <c r="FV75" s="139">
        <f>IF($FT75&gt;0,IF(INDEX($EI$6:$EI$77,$FO75)&gt;=FV$3,ROUND(INDEX(EK$6:EK$77,$FO75)*INDEX(卡牌消耗!$B$8:$F$8,FQ75)/5,0)*5,""),"")</f>
        <v>97800</v>
      </c>
      <c r="FW75" s="101" t="str">
        <f t="shared" si="164"/>
        <v>专属强化石3</v>
      </c>
      <c r="FX75" s="101">
        <f t="shared" si="165"/>
        <v>30</v>
      </c>
      <c r="FY75" s="101" t="str">
        <f t="shared" si="166"/>
        <v>专属强化石4</v>
      </c>
      <c r="FZ75" s="101">
        <f t="shared" si="167"/>
        <v>10</v>
      </c>
      <c r="GA75" s="101">
        <f t="shared" si="168"/>
        <v>0.02</v>
      </c>
      <c r="GB75" s="101">
        <f t="shared" si="169"/>
        <v>1</v>
      </c>
      <c r="GC75" s="101">
        <f t="shared" si="170"/>
        <v>83</v>
      </c>
      <c r="GD75" s="101">
        <f t="shared" si="171"/>
        <v>0</v>
      </c>
      <c r="GE75" s="101">
        <f t="shared" si="172"/>
        <v>1</v>
      </c>
      <c r="GF75" s="101">
        <f t="shared" si="173"/>
        <v>19</v>
      </c>
      <c r="GG75" s="101">
        <f t="shared" si="174"/>
        <v>8.9999999999999993E-3</v>
      </c>
      <c r="GH75" s="101">
        <f t="shared" si="175"/>
        <v>1</v>
      </c>
      <c r="GI75" s="101">
        <f t="shared" si="176"/>
        <v>39</v>
      </c>
      <c r="GJ75" s="101">
        <f t="shared" si="177"/>
        <v>3.6200000000000003E-2</v>
      </c>
      <c r="GK75" s="101">
        <f t="shared" si="178"/>
        <v>1</v>
      </c>
      <c r="GL75" s="101">
        <f t="shared" si="179"/>
        <v>83</v>
      </c>
    </row>
    <row r="76" spans="81:194" ht="16.5" x14ac:dyDescent="0.2">
      <c r="CU76" s="83">
        <v>60</v>
      </c>
      <c r="CV76" s="14" t="e">
        <f>INDEX(节奏总表!#REF!,专属武器强化!CU76)</f>
        <v>#REF!</v>
      </c>
      <c r="CW76" s="14" t="e">
        <f t="shared" si="138"/>
        <v>#REF!</v>
      </c>
      <c r="CX76" s="14" t="e">
        <f t="shared" si="139"/>
        <v>#REF!</v>
      </c>
      <c r="CY76" s="14" t="e">
        <f t="shared" si="140"/>
        <v>#REF!</v>
      </c>
      <c r="CZ76" s="14" t="e">
        <f t="shared" si="141"/>
        <v>#REF!</v>
      </c>
      <c r="DA76" s="83">
        <v>0</v>
      </c>
      <c r="DB76" s="83">
        <v>0</v>
      </c>
      <c r="DC76" s="14">
        <f t="shared" si="105"/>
        <v>0</v>
      </c>
      <c r="DD76" s="14">
        <f t="shared" si="106"/>
        <v>0</v>
      </c>
      <c r="DE76" s="14">
        <f t="shared" si="107"/>
        <v>0</v>
      </c>
      <c r="DF76" s="14">
        <f t="shared" si="108"/>
        <v>0</v>
      </c>
      <c r="DG76" s="83"/>
      <c r="DH76" s="83"/>
      <c r="DI76" s="83"/>
      <c r="DJ76" s="83"/>
      <c r="DK76" s="14" t="e">
        <f>CW76-SUM(DC$7:DC76)+SUM(DG$7:DG76)</f>
        <v>#REF!</v>
      </c>
      <c r="DL76" s="14" t="e">
        <f>CX76-SUM(DD$7:DD76)+SUM(DH$7:DH76)</f>
        <v>#REF!</v>
      </c>
      <c r="DM76" s="14" t="e">
        <f>CY76-SUM(DE$7:DE76)+SUM(DI$7:DI76)</f>
        <v>#REF!</v>
      </c>
      <c r="DN76" s="14" t="e">
        <f>CZ76-SUM(DF$7:DF76)+SUM(DJ$7:DJ76)</f>
        <v>#REF!</v>
      </c>
      <c r="DQ76" s="95">
        <v>71</v>
      </c>
      <c r="DR76" s="14">
        <f t="shared" si="150"/>
        <v>8</v>
      </c>
      <c r="DS76" s="14">
        <f t="shared" si="151"/>
        <v>8</v>
      </c>
      <c r="DT76" s="14">
        <f t="shared" si="142"/>
        <v>0</v>
      </c>
      <c r="DU76" s="14">
        <f t="shared" si="142"/>
        <v>0</v>
      </c>
      <c r="DV76" s="14">
        <f t="shared" si="142"/>
        <v>0</v>
      </c>
      <c r="DW76" s="14">
        <f t="shared" si="142"/>
        <v>1504.568</v>
      </c>
      <c r="DX76" s="14">
        <f t="shared" si="152"/>
        <v>4</v>
      </c>
      <c r="DY76" s="14">
        <f t="shared" si="153"/>
        <v>0</v>
      </c>
      <c r="EF76" s="139">
        <v>71</v>
      </c>
      <c r="EG76" s="14">
        <f t="shared" si="154"/>
        <v>8</v>
      </c>
      <c r="EH76" s="19">
        <f t="shared" si="114"/>
        <v>0.55000000000000004</v>
      </c>
      <c r="EI76" s="139">
        <v>2</v>
      </c>
      <c r="EJ76" s="139" t="s">
        <v>958</v>
      </c>
      <c r="EK76" s="139">
        <f t="shared" si="156"/>
        <v>49994</v>
      </c>
      <c r="EL76" s="139" t="s">
        <v>870</v>
      </c>
      <c r="EM76" s="139">
        <v>30</v>
      </c>
      <c r="EN76" s="139"/>
      <c r="EO76" s="139"/>
      <c r="EP76" s="139">
        <f t="shared" si="144"/>
        <v>0.02</v>
      </c>
      <c r="EQ76" s="139">
        <v>1</v>
      </c>
      <c r="ER76" s="139">
        <f t="shared" si="135"/>
        <v>75</v>
      </c>
      <c r="ES76" s="139"/>
      <c r="ET76" s="139">
        <f t="shared" si="143"/>
        <v>50.152266666666669</v>
      </c>
      <c r="EV76">
        <v>0</v>
      </c>
      <c r="EW76">
        <v>1</v>
      </c>
      <c r="EX76">
        <f t="shared" si="145"/>
        <v>18</v>
      </c>
      <c r="EY76" s="89">
        <f t="shared" si="146"/>
        <v>0.01</v>
      </c>
      <c r="EZ76">
        <v>1</v>
      </c>
      <c r="FA76">
        <f t="shared" si="147"/>
        <v>35</v>
      </c>
      <c r="FB76" s="89">
        <f t="shared" si="148"/>
        <v>3.9899999999999998E-2</v>
      </c>
      <c r="FC76">
        <v>1</v>
      </c>
      <c r="FD76">
        <f t="shared" si="149"/>
        <v>75</v>
      </c>
      <c r="FN76" s="101">
        <v>71</v>
      </c>
      <c r="FO76" s="101">
        <f t="shared" si="157"/>
        <v>0</v>
      </c>
      <c r="FP76" s="101">
        <f t="shared" si="158"/>
        <v>1</v>
      </c>
      <c r="FQ76" s="14">
        <f t="shared" si="159"/>
        <v>5</v>
      </c>
      <c r="FR76" s="101" t="str">
        <f t="shared" si="160"/>
        <v>关羽专属武器-魂珠-8 0级</v>
      </c>
      <c r="FS76" s="101">
        <f t="shared" si="161"/>
        <v>8</v>
      </c>
      <c r="FT76" s="101">
        <f t="shared" si="162"/>
        <v>0</v>
      </c>
      <c r="FU76" s="101" t="str">
        <f t="shared" si="163"/>
        <v/>
      </c>
      <c r="FV76" s="139" t="str">
        <f>IF($FT76&gt;0,IF(INDEX($EI$6:$EI$77,$FO76)&gt;=FV$3,ROUND(INDEX(EK$6:EK$77,$FO76)*INDEX(卡牌消耗!$B$8:$F$8,FQ76)/5,0)*5,""),"")</f>
        <v/>
      </c>
      <c r="FW76" s="101" t="str">
        <f t="shared" si="164"/>
        <v/>
      </c>
      <c r="FX76" s="101" t="str">
        <f t="shared" si="165"/>
        <v/>
      </c>
      <c r="FY76" s="101" t="str">
        <f t="shared" si="166"/>
        <v/>
      </c>
      <c r="FZ76" s="101" t="str">
        <f t="shared" si="167"/>
        <v/>
      </c>
      <c r="GA76" s="101" t="str">
        <f t="shared" si="168"/>
        <v/>
      </c>
      <c r="GB76" s="101" t="str">
        <f t="shared" si="169"/>
        <v/>
      </c>
      <c r="GC76" s="101" t="str">
        <f t="shared" si="170"/>
        <v/>
      </c>
      <c r="GD76" s="101" t="str">
        <f t="shared" si="171"/>
        <v/>
      </c>
      <c r="GE76" s="101" t="str">
        <f t="shared" si="172"/>
        <v/>
      </c>
      <c r="GF76" s="101" t="str">
        <f t="shared" si="173"/>
        <v/>
      </c>
      <c r="GG76" s="101" t="str">
        <f t="shared" si="174"/>
        <v/>
      </c>
      <c r="GH76" s="101" t="str">
        <f t="shared" si="175"/>
        <v/>
      </c>
      <c r="GI76" s="101" t="str">
        <f t="shared" si="176"/>
        <v/>
      </c>
      <c r="GJ76" s="101" t="str">
        <f t="shared" si="177"/>
        <v/>
      </c>
      <c r="GK76" s="101" t="str">
        <f t="shared" si="178"/>
        <v/>
      </c>
      <c r="GL76" s="101" t="str">
        <f t="shared" si="179"/>
        <v/>
      </c>
    </row>
    <row r="77" spans="81:194" ht="16.5" x14ac:dyDescent="0.2">
      <c r="CU77" s="15"/>
      <c r="CV77" s="15"/>
      <c r="CW77" s="15"/>
      <c r="CX77" s="15"/>
      <c r="CY77" s="15"/>
      <c r="CZ77" s="15"/>
      <c r="DQ77" s="95">
        <v>72</v>
      </c>
      <c r="DR77" s="14">
        <f t="shared" si="150"/>
        <v>8</v>
      </c>
      <c r="DS77" s="14">
        <f t="shared" si="151"/>
        <v>9</v>
      </c>
      <c r="DT77" s="14">
        <f t="shared" si="142"/>
        <v>0</v>
      </c>
      <c r="DU77" s="14">
        <f t="shared" si="142"/>
        <v>0</v>
      </c>
      <c r="DV77" s="14">
        <f t="shared" si="142"/>
        <v>0</v>
      </c>
      <c r="DW77" s="14">
        <f t="shared" si="142"/>
        <v>2433.8599999999997</v>
      </c>
      <c r="DX77" s="14">
        <f t="shared" si="152"/>
        <v>4</v>
      </c>
      <c r="DY77" s="14">
        <f t="shared" si="153"/>
        <v>0</v>
      </c>
      <c r="EF77" s="139">
        <v>72</v>
      </c>
      <c r="EG77" s="14">
        <f t="shared" si="154"/>
        <v>8</v>
      </c>
      <c r="EH77" s="19">
        <f t="shared" si="114"/>
        <v>0.89000000000000012</v>
      </c>
      <c r="EI77" s="139">
        <v>2</v>
      </c>
      <c r="EJ77" s="139" t="s">
        <v>958</v>
      </c>
      <c r="EK77" s="139">
        <f t="shared" si="156"/>
        <v>50011</v>
      </c>
      <c r="EL77" s="139" t="s">
        <v>870</v>
      </c>
      <c r="EM77" s="139">
        <v>30</v>
      </c>
      <c r="EN77" s="139"/>
      <c r="EO77" s="139"/>
      <c r="EP77" s="139">
        <f t="shared" si="144"/>
        <v>0.01</v>
      </c>
      <c r="EQ77" s="139">
        <v>1</v>
      </c>
      <c r="ER77" s="139">
        <f t="shared" si="135"/>
        <v>122</v>
      </c>
      <c r="ES77" s="139"/>
      <c r="ET77" s="139">
        <f t="shared" si="143"/>
        <v>81.12866666666666</v>
      </c>
      <c r="EV77">
        <v>0</v>
      </c>
      <c r="EW77">
        <v>1</v>
      </c>
      <c r="EX77">
        <f t="shared" si="145"/>
        <v>28</v>
      </c>
      <c r="EY77" s="89">
        <f t="shared" si="146"/>
        <v>6.1999999999999998E-3</v>
      </c>
      <c r="EZ77">
        <v>1</v>
      </c>
      <c r="FA77">
        <f t="shared" si="147"/>
        <v>57</v>
      </c>
      <c r="FB77" s="89">
        <f t="shared" si="148"/>
        <v>2.47E-2</v>
      </c>
      <c r="FC77">
        <v>1</v>
      </c>
      <c r="FD77">
        <f t="shared" si="149"/>
        <v>122</v>
      </c>
      <c r="FN77" s="101">
        <v>72</v>
      </c>
      <c r="FO77" s="101">
        <f t="shared" si="157"/>
        <v>64</v>
      </c>
      <c r="FP77" s="101">
        <f t="shared" si="158"/>
        <v>1</v>
      </c>
      <c r="FQ77" s="14">
        <f t="shared" si="159"/>
        <v>5</v>
      </c>
      <c r="FR77" s="101" t="str">
        <f t="shared" si="160"/>
        <v>关羽专属武器-魂珠-8 1级</v>
      </c>
      <c r="FS77" s="101">
        <f t="shared" si="161"/>
        <v>8</v>
      </c>
      <c r="FT77" s="101">
        <f t="shared" si="162"/>
        <v>1</v>
      </c>
      <c r="FU77" s="101" t="str">
        <f t="shared" si="163"/>
        <v>金币</v>
      </c>
      <c r="FV77" s="139">
        <f>IF($FT77&gt;0,IF(INDEX($EI$6:$EI$77,$FO77)&gt;=FV$3,ROUND(INDEX(EK$6:EK$77,$FO77)*INDEX(卡牌消耗!$B$8:$F$8,FQ77)/5,0)*5,""),"")</f>
        <v>20605</v>
      </c>
      <c r="FW77" s="101" t="str">
        <f t="shared" si="164"/>
        <v>专属强化石4</v>
      </c>
      <c r="FX77" s="101">
        <f t="shared" si="165"/>
        <v>5</v>
      </c>
      <c r="FY77" s="101" t="str">
        <f t="shared" si="166"/>
        <v/>
      </c>
      <c r="FZ77" s="101" t="str">
        <f t="shared" si="167"/>
        <v/>
      </c>
      <c r="GA77" s="101">
        <f t="shared" si="168"/>
        <v>0.11</v>
      </c>
      <c r="GB77" s="101">
        <f t="shared" si="169"/>
        <v>1</v>
      </c>
      <c r="GC77" s="101">
        <f t="shared" si="170"/>
        <v>13</v>
      </c>
      <c r="GD77" s="101">
        <f t="shared" si="171"/>
        <v>0</v>
      </c>
      <c r="GE77" s="101">
        <f t="shared" si="172"/>
        <v>1</v>
      </c>
      <c r="GF77" s="101">
        <f t="shared" si="173"/>
        <v>3</v>
      </c>
      <c r="GG77" s="101">
        <f t="shared" si="174"/>
        <v>5.6500000000000002E-2</v>
      </c>
      <c r="GH77" s="101">
        <f t="shared" si="175"/>
        <v>1</v>
      </c>
      <c r="GI77" s="101">
        <f t="shared" si="176"/>
        <v>6</v>
      </c>
      <c r="GJ77" s="101">
        <f t="shared" si="177"/>
        <v>0.22600000000000001</v>
      </c>
      <c r="GK77" s="101">
        <f t="shared" si="178"/>
        <v>1</v>
      </c>
      <c r="GL77" s="101">
        <f t="shared" si="179"/>
        <v>13</v>
      </c>
    </row>
    <row r="78" spans="81:194" ht="16.5" x14ac:dyDescent="0.2">
      <c r="CU78" s="15"/>
      <c r="CV78" s="15"/>
      <c r="CW78" s="15"/>
      <c r="CX78" s="15"/>
      <c r="CY78" s="15"/>
      <c r="CZ78" s="15"/>
      <c r="FN78" s="101">
        <v>73</v>
      </c>
      <c r="FO78" s="101">
        <f t="shared" si="157"/>
        <v>65</v>
      </c>
      <c r="FP78" s="101">
        <f t="shared" si="158"/>
        <v>1</v>
      </c>
      <c r="FQ78" s="14">
        <f t="shared" si="159"/>
        <v>5</v>
      </c>
      <c r="FR78" s="101" t="str">
        <f t="shared" si="160"/>
        <v>关羽专属武器-魂珠-8 2级</v>
      </c>
      <c r="FS78" s="101">
        <f t="shared" si="161"/>
        <v>8</v>
      </c>
      <c r="FT78" s="101">
        <f t="shared" si="162"/>
        <v>2</v>
      </c>
      <c r="FU78" s="101" t="str">
        <f t="shared" si="163"/>
        <v>金币</v>
      </c>
      <c r="FV78" s="139">
        <f>IF($FT78&gt;0,IF(INDEX($EI$6:$EI$77,$FO78)&gt;=FV$3,ROUND(INDEX(EK$6:EK$77,$FO78)*INDEX(卡牌消耗!$B$8:$F$8,FQ78)/5,0)*5,""),"")</f>
        <v>24725</v>
      </c>
      <c r="FW78" s="101" t="str">
        <f t="shared" si="164"/>
        <v>专属强化石4</v>
      </c>
      <c r="FX78" s="101">
        <f t="shared" si="165"/>
        <v>8</v>
      </c>
      <c r="FY78" s="101" t="str">
        <f t="shared" si="166"/>
        <v/>
      </c>
      <c r="FZ78" s="101" t="str">
        <f t="shared" si="167"/>
        <v/>
      </c>
      <c r="GA78" s="101">
        <f t="shared" si="168"/>
        <v>0.09</v>
      </c>
      <c r="GB78" s="101">
        <f t="shared" si="169"/>
        <v>1</v>
      </c>
      <c r="GC78" s="101">
        <f t="shared" si="170"/>
        <v>17</v>
      </c>
      <c r="GD78" s="101">
        <f t="shared" si="171"/>
        <v>0</v>
      </c>
      <c r="GE78" s="101">
        <f t="shared" si="172"/>
        <v>1</v>
      </c>
      <c r="GF78" s="101">
        <f t="shared" si="173"/>
        <v>4</v>
      </c>
      <c r="GG78" s="101">
        <f t="shared" si="174"/>
        <v>4.5199999999999997E-2</v>
      </c>
      <c r="GH78" s="101">
        <f t="shared" si="175"/>
        <v>1</v>
      </c>
      <c r="GI78" s="101">
        <f t="shared" si="176"/>
        <v>8</v>
      </c>
      <c r="GJ78" s="101">
        <f t="shared" si="177"/>
        <v>0.18079999999999999</v>
      </c>
      <c r="GK78" s="101">
        <f t="shared" si="178"/>
        <v>1</v>
      </c>
      <c r="GL78" s="101">
        <f t="shared" si="179"/>
        <v>17</v>
      </c>
    </row>
    <row r="79" spans="81:194" ht="16.5" x14ac:dyDescent="0.2">
      <c r="CU79" s="15"/>
      <c r="CV79" s="15"/>
      <c r="CW79" s="15"/>
      <c r="CX79" s="15"/>
      <c r="CY79" s="15"/>
      <c r="CZ79" s="15"/>
      <c r="FN79" s="101">
        <v>74</v>
      </c>
      <c r="FO79" s="101">
        <f t="shared" si="157"/>
        <v>66</v>
      </c>
      <c r="FP79" s="101">
        <f t="shared" si="158"/>
        <v>1</v>
      </c>
      <c r="FQ79" s="14">
        <f t="shared" si="159"/>
        <v>5</v>
      </c>
      <c r="FR79" s="101" t="str">
        <f t="shared" si="160"/>
        <v>关羽专属武器-魂珠-8 3级</v>
      </c>
      <c r="FS79" s="101">
        <f t="shared" si="161"/>
        <v>8</v>
      </c>
      <c r="FT79" s="101">
        <f t="shared" si="162"/>
        <v>3</v>
      </c>
      <c r="FU79" s="101" t="str">
        <f t="shared" si="163"/>
        <v>金币</v>
      </c>
      <c r="FV79" s="139">
        <f>IF($FT79&gt;0,IF(INDEX($EI$6:$EI$77,$FO79)&gt;=FV$3,ROUND(INDEX(EK$6:EK$77,$FO79)*INDEX(卡牌消耗!$B$8:$F$8,FQ79)/5,0)*5,""),"")</f>
        <v>34340</v>
      </c>
      <c r="FW79" s="101" t="str">
        <f t="shared" si="164"/>
        <v>专属强化石4</v>
      </c>
      <c r="FX79" s="101">
        <f t="shared" si="165"/>
        <v>10</v>
      </c>
      <c r="FY79" s="101" t="str">
        <f t="shared" si="166"/>
        <v/>
      </c>
      <c r="FZ79" s="101" t="str">
        <f t="shared" si="167"/>
        <v/>
      </c>
      <c r="GA79" s="101">
        <f t="shared" si="168"/>
        <v>0.08</v>
      </c>
      <c r="GB79" s="101">
        <f t="shared" si="169"/>
        <v>1</v>
      </c>
      <c r="GC79" s="101">
        <f t="shared" si="170"/>
        <v>20</v>
      </c>
      <c r="GD79" s="101">
        <f t="shared" si="171"/>
        <v>0</v>
      </c>
      <c r="GE79" s="101">
        <f t="shared" si="172"/>
        <v>1</v>
      </c>
      <c r="GF79" s="101">
        <f t="shared" si="173"/>
        <v>5</v>
      </c>
      <c r="GG79" s="101">
        <f t="shared" si="174"/>
        <v>3.7699999999999997E-2</v>
      </c>
      <c r="GH79" s="101">
        <f t="shared" si="175"/>
        <v>1</v>
      </c>
      <c r="GI79" s="101">
        <f t="shared" si="176"/>
        <v>9</v>
      </c>
      <c r="GJ79" s="101">
        <f t="shared" si="177"/>
        <v>0.1507</v>
      </c>
      <c r="GK79" s="101">
        <f t="shared" si="178"/>
        <v>1</v>
      </c>
      <c r="GL79" s="101">
        <f t="shared" si="179"/>
        <v>20</v>
      </c>
    </row>
    <row r="80" spans="81:194" ht="16.5" x14ac:dyDescent="0.2">
      <c r="CU80" s="15"/>
      <c r="CV80" s="15"/>
      <c r="CW80" s="15"/>
      <c r="CX80" s="15"/>
      <c r="CY80" s="15"/>
      <c r="CZ80" s="15"/>
      <c r="FN80" s="101">
        <v>75</v>
      </c>
      <c r="FO80" s="101">
        <f t="shared" si="157"/>
        <v>67</v>
      </c>
      <c r="FP80" s="101">
        <f t="shared" si="158"/>
        <v>1</v>
      </c>
      <c r="FQ80" s="14">
        <f t="shared" si="159"/>
        <v>5</v>
      </c>
      <c r="FR80" s="101" t="str">
        <f t="shared" si="160"/>
        <v>关羽专属武器-魂珠-8 4级</v>
      </c>
      <c r="FS80" s="101">
        <f t="shared" si="161"/>
        <v>8</v>
      </c>
      <c r="FT80" s="101">
        <f t="shared" si="162"/>
        <v>4</v>
      </c>
      <c r="FU80" s="101" t="str">
        <f t="shared" si="163"/>
        <v>金币</v>
      </c>
      <c r="FV80" s="139">
        <f>IF($FT80&gt;0,IF(INDEX($EI$6:$EI$77,$FO80)&gt;=FV$3,ROUND(INDEX(EK$6:EK$77,$FO80)*INDEX(卡牌消耗!$B$8:$F$8,FQ80)/5,0)*5,""),"")</f>
        <v>39560</v>
      </c>
      <c r="FW80" s="101" t="str">
        <f t="shared" si="164"/>
        <v>专属强化石4</v>
      </c>
      <c r="FX80" s="101">
        <f t="shared" si="165"/>
        <v>12</v>
      </c>
      <c r="FY80" s="101" t="str">
        <f t="shared" si="166"/>
        <v/>
      </c>
      <c r="FZ80" s="101" t="str">
        <f t="shared" si="167"/>
        <v/>
      </c>
      <c r="GA80" s="101">
        <f t="shared" si="168"/>
        <v>0.05</v>
      </c>
      <c r="GB80" s="101">
        <f t="shared" si="169"/>
        <v>1</v>
      </c>
      <c r="GC80" s="101">
        <f t="shared" si="170"/>
        <v>28</v>
      </c>
      <c r="GD80" s="101">
        <f t="shared" si="171"/>
        <v>0</v>
      </c>
      <c r="GE80" s="101">
        <f t="shared" si="172"/>
        <v>1</v>
      </c>
      <c r="GF80" s="101">
        <f t="shared" si="173"/>
        <v>6</v>
      </c>
      <c r="GG80" s="101">
        <f t="shared" si="174"/>
        <v>2.7099999999999999E-2</v>
      </c>
      <c r="GH80" s="101">
        <f t="shared" si="175"/>
        <v>1</v>
      </c>
      <c r="GI80" s="101">
        <f t="shared" si="176"/>
        <v>13</v>
      </c>
      <c r="GJ80" s="101">
        <f t="shared" si="177"/>
        <v>0.1085</v>
      </c>
      <c r="GK80" s="101">
        <f t="shared" si="178"/>
        <v>1</v>
      </c>
      <c r="GL80" s="101">
        <f t="shared" si="179"/>
        <v>28</v>
      </c>
    </row>
    <row r="81" spans="168:194" ht="16.5" x14ac:dyDescent="0.2">
      <c r="FN81" s="101">
        <v>76</v>
      </c>
      <c r="FO81" s="101">
        <f t="shared" si="157"/>
        <v>68</v>
      </c>
      <c r="FP81" s="101">
        <f t="shared" si="158"/>
        <v>1</v>
      </c>
      <c r="FQ81" s="14">
        <f t="shared" si="159"/>
        <v>5</v>
      </c>
      <c r="FR81" s="101" t="str">
        <f t="shared" si="160"/>
        <v>关羽专属武器-魂珠-8 5级</v>
      </c>
      <c r="FS81" s="101">
        <f t="shared" si="161"/>
        <v>8</v>
      </c>
      <c r="FT81" s="101">
        <f t="shared" si="162"/>
        <v>5</v>
      </c>
      <c r="FU81" s="101" t="str">
        <f t="shared" si="163"/>
        <v>金币</v>
      </c>
      <c r="FV81" s="139">
        <f>IF($FT81&gt;0,IF(INDEX($EI$6:$EI$77,$FO81)&gt;=FV$3,ROUND(INDEX(EK$6:EK$77,$FO81)*INDEX(卡牌消耗!$B$8:$F$8,FQ81)/5,0)*5,""),"")</f>
        <v>50220</v>
      </c>
      <c r="FW81" s="101" t="str">
        <f t="shared" si="164"/>
        <v>专属强化石4</v>
      </c>
      <c r="FX81" s="101">
        <f t="shared" si="165"/>
        <v>15</v>
      </c>
      <c r="FY81" s="101" t="str">
        <f t="shared" si="166"/>
        <v/>
      </c>
      <c r="FZ81" s="101" t="str">
        <f t="shared" si="167"/>
        <v/>
      </c>
      <c r="GA81" s="101">
        <f t="shared" si="168"/>
        <v>0.04</v>
      </c>
      <c r="GB81" s="101">
        <f t="shared" si="169"/>
        <v>1</v>
      </c>
      <c r="GC81" s="101">
        <f t="shared" si="170"/>
        <v>35</v>
      </c>
      <c r="GD81" s="101">
        <f t="shared" si="171"/>
        <v>0</v>
      </c>
      <c r="GE81" s="101">
        <f t="shared" si="172"/>
        <v>1</v>
      </c>
      <c r="GF81" s="101">
        <f t="shared" si="173"/>
        <v>8</v>
      </c>
      <c r="GG81" s="101">
        <f t="shared" si="174"/>
        <v>2.12E-2</v>
      </c>
      <c r="GH81" s="101">
        <f t="shared" si="175"/>
        <v>1</v>
      </c>
      <c r="GI81" s="101">
        <f t="shared" si="176"/>
        <v>17</v>
      </c>
      <c r="GJ81" s="101">
        <f t="shared" si="177"/>
        <v>8.4699999999999998E-2</v>
      </c>
      <c r="GK81" s="101">
        <f t="shared" si="178"/>
        <v>1</v>
      </c>
      <c r="GL81" s="101">
        <f t="shared" si="179"/>
        <v>35</v>
      </c>
    </row>
    <row r="82" spans="168:194" ht="16.5" x14ac:dyDescent="0.2">
      <c r="FN82" s="101">
        <v>77</v>
      </c>
      <c r="FO82" s="101">
        <f t="shared" si="157"/>
        <v>69</v>
      </c>
      <c r="FP82" s="101">
        <f t="shared" si="158"/>
        <v>1</v>
      </c>
      <c r="FQ82" s="14">
        <f t="shared" si="159"/>
        <v>5</v>
      </c>
      <c r="FR82" s="101" t="str">
        <f t="shared" si="160"/>
        <v>关羽专属武器-魂珠-8 6级</v>
      </c>
      <c r="FS82" s="101">
        <f t="shared" si="161"/>
        <v>8</v>
      </c>
      <c r="FT82" s="101">
        <f t="shared" si="162"/>
        <v>6</v>
      </c>
      <c r="FU82" s="101" t="str">
        <f t="shared" si="163"/>
        <v>金币</v>
      </c>
      <c r="FV82" s="139">
        <f>IF($FT82&gt;0,IF(INDEX($EI$6:$EI$77,$FO82)&gt;=FV$3,ROUND(INDEX(EK$6:EK$77,$FO82)*INDEX(卡牌消耗!$B$8:$F$8,FQ82)/5,0)*5,""),"")</f>
        <v>59910</v>
      </c>
      <c r="FW82" s="101" t="str">
        <f t="shared" si="164"/>
        <v>专属强化石4</v>
      </c>
      <c r="FX82" s="101">
        <f t="shared" si="165"/>
        <v>18</v>
      </c>
      <c r="FY82" s="101" t="str">
        <f t="shared" si="166"/>
        <v/>
      </c>
      <c r="FZ82" s="101" t="str">
        <f t="shared" si="167"/>
        <v/>
      </c>
      <c r="GA82" s="101">
        <f t="shared" si="168"/>
        <v>0.03</v>
      </c>
      <c r="GB82" s="101">
        <f t="shared" si="169"/>
        <v>1</v>
      </c>
      <c r="GC82" s="101">
        <f t="shared" si="170"/>
        <v>48</v>
      </c>
      <c r="GD82" s="101">
        <f t="shared" si="171"/>
        <v>0</v>
      </c>
      <c r="GE82" s="101">
        <f t="shared" si="172"/>
        <v>1</v>
      </c>
      <c r="GF82" s="101">
        <f t="shared" si="173"/>
        <v>11</v>
      </c>
      <c r="GG82" s="101">
        <f t="shared" si="174"/>
        <v>1.5599999999999999E-2</v>
      </c>
      <c r="GH82" s="101">
        <f t="shared" si="175"/>
        <v>1</v>
      </c>
      <c r="GI82" s="101">
        <f t="shared" si="176"/>
        <v>22</v>
      </c>
      <c r="GJ82" s="101">
        <f t="shared" si="177"/>
        <v>6.2600000000000003E-2</v>
      </c>
      <c r="GK82" s="101">
        <f t="shared" si="178"/>
        <v>1</v>
      </c>
      <c r="GL82" s="101">
        <f t="shared" si="179"/>
        <v>48</v>
      </c>
    </row>
    <row r="83" spans="168:194" ht="16.5" x14ac:dyDescent="0.2">
      <c r="FN83" s="101">
        <v>78</v>
      </c>
      <c r="FO83" s="101">
        <f t="shared" si="157"/>
        <v>70</v>
      </c>
      <c r="FP83" s="101">
        <f t="shared" si="158"/>
        <v>1</v>
      </c>
      <c r="FQ83" s="14">
        <f t="shared" si="159"/>
        <v>5</v>
      </c>
      <c r="FR83" s="101" t="str">
        <f t="shared" si="160"/>
        <v>关羽专属武器-魂珠-8 7级</v>
      </c>
      <c r="FS83" s="101">
        <f t="shared" si="161"/>
        <v>8</v>
      </c>
      <c r="FT83" s="101">
        <f t="shared" si="162"/>
        <v>7</v>
      </c>
      <c r="FU83" s="101" t="str">
        <f t="shared" si="163"/>
        <v>金币</v>
      </c>
      <c r="FV83" s="139">
        <f>IF($FT83&gt;0,IF(INDEX($EI$6:$EI$77,$FO83)&gt;=FV$3,ROUND(INDEX(EK$6:EK$77,$FO83)*INDEX(卡牌消耗!$B$8:$F$8,FQ83)/5,0)*5,""),"")</f>
        <v>83395</v>
      </c>
      <c r="FW83" s="101" t="str">
        <f t="shared" si="164"/>
        <v>专属强化石4</v>
      </c>
      <c r="FX83" s="101">
        <f t="shared" si="165"/>
        <v>25</v>
      </c>
      <c r="FY83" s="101" t="str">
        <f t="shared" si="166"/>
        <v/>
      </c>
      <c r="FZ83" s="101" t="str">
        <f t="shared" si="167"/>
        <v/>
      </c>
      <c r="GA83" s="101">
        <f t="shared" si="168"/>
        <v>0.03</v>
      </c>
      <c r="GB83" s="101">
        <f t="shared" si="169"/>
        <v>1</v>
      </c>
      <c r="GC83" s="101">
        <f t="shared" si="170"/>
        <v>56</v>
      </c>
      <c r="GD83" s="101">
        <f t="shared" si="171"/>
        <v>0</v>
      </c>
      <c r="GE83" s="101">
        <f t="shared" si="172"/>
        <v>1</v>
      </c>
      <c r="GF83" s="101">
        <f t="shared" si="173"/>
        <v>13</v>
      </c>
      <c r="GG83" s="101">
        <f t="shared" si="174"/>
        <v>1.35E-2</v>
      </c>
      <c r="GH83" s="101">
        <f t="shared" si="175"/>
        <v>1</v>
      </c>
      <c r="GI83" s="101">
        <f t="shared" si="176"/>
        <v>26</v>
      </c>
      <c r="GJ83" s="101">
        <f t="shared" si="177"/>
        <v>5.3800000000000001E-2</v>
      </c>
      <c r="GK83" s="101">
        <f t="shared" si="178"/>
        <v>1</v>
      </c>
      <c r="GL83" s="101">
        <f t="shared" si="179"/>
        <v>56</v>
      </c>
    </row>
    <row r="84" spans="168:194" ht="16.5" x14ac:dyDescent="0.2">
      <c r="FN84" s="101">
        <v>79</v>
      </c>
      <c r="FO84" s="101">
        <f t="shared" si="157"/>
        <v>71</v>
      </c>
      <c r="FP84" s="101">
        <f t="shared" si="158"/>
        <v>1</v>
      </c>
      <c r="FQ84" s="14">
        <f t="shared" si="159"/>
        <v>5</v>
      </c>
      <c r="FR84" s="101" t="str">
        <f t="shared" si="160"/>
        <v>关羽专属武器-魂珠-8 8级</v>
      </c>
      <c r="FS84" s="101">
        <f t="shared" si="161"/>
        <v>8</v>
      </c>
      <c r="FT84" s="101">
        <f t="shared" si="162"/>
        <v>8</v>
      </c>
      <c r="FU84" s="101" t="str">
        <f t="shared" si="163"/>
        <v>金币</v>
      </c>
      <c r="FV84" s="139">
        <f>IF($FT84&gt;0,IF(INDEX($EI$6:$EI$77,$FO84)&gt;=FV$3,ROUND(INDEX(EK$6:EK$77,$FO84)*INDEX(卡牌消耗!$B$8:$F$8,FQ84)/5,0)*5,""),"")</f>
        <v>99990</v>
      </c>
      <c r="FW84" s="101" t="str">
        <f t="shared" si="164"/>
        <v>专属强化石4</v>
      </c>
      <c r="FX84" s="101">
        <f t="shared" si="165"/>
        <v>30</v>
      </c>
      <c r="FY84" s="101" t="str">
        <f t="shared" si="166"/>
        <v/>
      </c>
      <c r="FZ84" s="101" t="str">
        <f t="shared" si="167"/>
        <v/>
      </c>
      <c r="GA84" s="101">
        <f t="shared" si="168"/>
        <v>0.02</v>
      </c>
      <c r="GB84" s="101">
        <f t="shared" si="169"/>
        <v>1</v>
      </c>
      <c r="GC84" s="101">
        <f t="shared" si="170"/>
        <v>75</v>
      </c>
      <c r="GD84" s="101">
        <f t="shared" si="171"/>
        <v>0</v>
      </c>
      <c r="GE84" s="101">
        <f t="shared" si="172"/>
        <v>1</v>
      </c>
      <c r="GF84" s="101">
        <f t="shared" si="173"/>
        <v>18</v>
      </c>
      <c r="GG84" s="101">
        <f t="shared" si="174"/>
        <v>0.01</v>
      </c>
      <c r="GH84" s="101">
        <f t="shared" si="175"/>
        <v>1</v>
      </c>
      <c r="GI84" s="101">
        <f t="shared" si="176"/>
        <v>35</v>
      </c>
      <c r="GJ84" s="101">
        <f t="shared" si="177"/>
        <v>3.9899999999999998E-2</v>
      </c>
      <c r="GK84" s="101">
        <f t="shared" si="178"/>
        <v>1</v>
      </c>
      <c r="GL84" s="101">
        <f t="shared" si="179"/>
        <v>75</v>
      </c>
    </row>
    <row r="85" spans="168:194" ht="16.5" x14ac:dyDescent="0.2">
      <c r="FL85" s="102" t="b">
        <f>$FT86&gt;0</f>
        <v>0</v>
      </c>
      <c r="FN85" s="101">
        <v>80</v>
      </c>
      <c r="FO85" s="101">
        <f t="shared" si="157"/>
        <v>72</v>
      </c>
      <c r="FP85" s="101">
        <f t="shared" si="158"/>
        <v>1</v>
      </c>
      <c r="FQ85" s="14">
        <f t="shared" si="159"/>
        <v>5</v>
      </c>
      <c r="FR85" s="101" t="str">
        <f t="shared" si="160"/>
        <v>关羽专属武器-魂珠-8 9级</v>
      </c>
      <c r="FS85" s="101">
        <f t="shared" si="161"/>
        <v>8</v>
      </c>
      <c r="FT85" s="101">
        <f t="shared" si="162"/>
        <v>9</v>
      </c>
      <c r="FU85" s="101" t="str">
        <f t="shared" si="163"/>
        <v>金币</v>
      </c>
      <c r="FV85" s="139">
        <f>IF($FT85&gt;0,IF(INDEX($EI$6:$EI$77,$FO85)&gt;=FV$3,ROUND(INDEX(EK$6:EK$77,$FO85)*INDEX(卡牌消耗!$B$8:$F$8,FQ85)/5,0)*5,""),"")</f>
        <v>100020</v>
      </c>
      <c r="FW85" s="101" t="str">
        <f t="shared" si="164"/>
        <v>专属强化石4</v>
      </c>
      <c r="FX85" s="101">
        <f t="shared" si="165"/>
        <v>30</v>
      </c>
      <c r="FY85" s="101" t="str">
        <f t="shared" si="166"/>
        <v/>
      </c>
      <c r="FZ85" s="101" t="str">
        <f t="shared" si="167"/>
        <v/>
      </c>
      <c r="GA85" s="101">
        <f t="shared" si="168"/>
        <v>0.01</v>
      </c>
      <c r="GB85" s="101">
        <f t="shared" si="169"/>
        <v>1</v>
      </c>
      <c r="GC85" s="101">
        <f t="shared" si="170"/>
        <v>122</v>
      </c>
      <c r="GD85" s="101">
        <f t="shared" si="171"/>
        <v>0</v>
      </c>
      <c r="GE85" s="101">
        <f t="shared" si="172"/>
        <v>1</v>
      </c>
      <c r="GF85" s="101">
        <f t="shared" si="173"/>
        <v>28</v>
      </c>
      <c r="GG85" s="101">
        <f t="shared" si="174"/>
        <v>6.1999999999999998E-3</v>
      </c>
      <c r="GH85" s="101">
        <f t="shared" si="175"/>
        <v>1</v>
      </c>
      <c r="GI85" s="101">
        <f t="shared" si="176"/>
        <v>57</v>
      </c>
      <c r="GJ85" s="101">
        <f t="shared" si="177"/>
        <v>2.47E-2</v>
      </c>
      <c r="GK85" s="101">
        <f t="shared" si="178"/>
        <v>1</v>
      </c>
      <c r="GL85" s="101">
        <f t="shared" si="179"/>
        <v>122</v>
      </c>
    </row>
    <row r="86" spans="168:194" ht="16.5" x14ac:dyDescent="0.2">
      <c r="FL86" s="102" t="e">
        <f>AND($FT86&gt;0,INDEX($EI$6:$EI$77,$FO86)&gt;=FU$3)</f>
        <v>#VALUE!</v>
      </c>
      <c r="FN86" s="101">
        <v>81</v>
      </c>
      <c r="FO86" s="101">
        <f t="shared" ref="FO86:FO149" si="180">IF(FT86&gt;0,(FS86-1)*9+FT86,0)</f>
        <v>0</v>
      </c>
      <c r="FP86" s="101">
        <f t="shared" si="158"/>
        <v>2</v>
      </c>
      <c r="FQ86" s="14">
        <f t="shared" si="159"/>
        <v>3</v>
      </c>
      <c r="FR86" s="101" t="str">
        <f t="shared" ref="FR86:FR149" si="181">INDEX($FI$6:$FI$26,FP86)&amp;"专属武器-魂珠-"&amp;FS86&amp;" "&amp;FT86&amp;"级"</f>
        <v>许褚专属武器-魂珠-1 0级</v>
      </c>
      <c r="FS86" s="101">
        <f t="shared" ref="FS86:FS149" si="182">INT((FN86-(FP86-1)*80-1)/10)+1</f>
        <v>1</v>
      </c>
      <c r="FT86" s="101">
        <f t="shared" ref="FT86:FT149" si="183">FN86-(FP86-1)*80-(FS86-1)*10-1</f>
        <v>0</v>
      </c>
      <c r="FU86" s="101" t="str">
        <f t="shared" si="163"/>
        <v/>
      </c>
      <c r="FV86" s="139" t="str">
        <f>IF($FT86&gt;0,IF(INDEX($EI$6:$EI$77,$FO86)&gt;=FV$3,ROUND(INDEX(EK$6:EK$77,$FO86)*INDEX(卡牌消耗!$B$8:$F$8,FQ86)/5,0)*5,""),"")</f>
        <v/>
      </c>
      <c r="FW86" s="101" t="str">
        <f t="shared" si="164"/>
        <v/>
      </c>
      <c r="FX86" s="101" t="str">
        <f t="shared" si="165"/>
        <v/>
      </c>
      <c r="FY86" s="101" t="str">
        <f t="shared" si="166"/>
        <v/>
      </c>
      <c r="FZ86" s="101" t="str">
        <f t="shared" si="167"/>
        <v/>
      </c>
      <c r="GA86" s="101" t="str">
        <f t="shared" ref="GA86:GA149" si="184">IF($FT86&gt;0,INDEX(EP$6:EP$77,$FO86),"")</f>
        <v/>
      </c>
      <c r="GB86" s="101" t="str">
        <f t="shared" ref="GB86:GB149" si="185">IF($FT86&gt;0,INDEX(EQ$6:EQ$77,$FO86),"")</f>
        <v/>
      </c>
      <c r="GC86" s="101" t="str">
        <f t="shared" ref="GC86:GC149" si="186">IF($FT86&gt;0,INDEX(ER$6:ER$77,$FO86),"")</f>
        <v/>
      </c>
      <c r="GD86" s="101" t="str">
        <f t="shared" ref="GD86:GD149" si="187">IF($FT86&gt;0,INDEX(EV$6:EV$77,$FO86),"")</f>
        <v/>
      </c>
      <c r="GE86" s="101" t="str">
        <f t="shared" ref="GE86:GE149" si="188">IF($FT86&gt;0,INDEX(EW$6:EW$77,$FO86),"")</f>
        <v/>
      </c>
      <c r="GF86" s="101" t="str">
        <f t="shared" ref="GF86:GF149" si="189">IF($FT86&gt;0,INDEX(EX$6:EX$77,$FO86),"")</f>
        <v/>
      </c>
      <c r="GG86" s="101" t="str">
        <f t="shared" ref="GG86:GG149" si="190">IF($FT86&gt;0,INDEX(EY$6:EY$77,$FO86),"")</f>
        <v/>
      </c>
      <c r="GH86" s="101" t="str">
        <f t="shared" ref="GH86:GH149" si="191">IF($FT86&gt;0,INDEX(EZ$6:EZ$77,$FO86),"")</f>
        <v/>
      </c>
      <c r="GI86" s="101" t="str">
        <f t="shared" ref="GI86:GI149" si="192">IF($FT86&gt;0,INDEX(FA$6:FA$77,$FO86),"")</f>
        <v/>
      </c>
      <c r="GJ86" s="101" t="str">
        <f t="shared" ref="GJ86:GJ149" si="193">IF($FT86&gt;0,INDEX(FB$6:FB$77,$FO86),"")</f>
        <v/>
      </c>
      <c r="GK86" s="101" t="str">
        <f t="shared" ref="GK86:GK149" si="194">IF($FT86&gt;0,INDEX(FC$6:FC$77,$FO86),"")</f>
        <v/>
      </c>
      <c r="GL86" s="101" t="str">
        <f t="shared" ref="GL86:GL149" si="195">IF($FT86&gt;0,INDEX(FD$6:FD$77,$FO86),"")</f>
        <v/>
      </c>
    </row>
    <row r="87" spans="168:194" ht="16.5" x14ac:dyDescent="0.2">
      <c r="FN87" s="101">
        <v>82</v>
      </c>
      <c r="FO87" s="101">
        <f t="shared" si="180"/>
        <v>1</v>
      </c>
      <c r="FP87" s="101">
        <f t="shared" si="158"/>
        <v>2</v>
      </c>
      <c r="FQ87" s="14">
        <f t="shared" si="159"/>
        <v>3</v>
      </c>
      <c r="FR87" s="101" t="str">
        <f t="shared" si="181"/>
        <v>许褚专属武器-魂珠-1 1级</v>
      </c>
      <c r="FS87" s="101">
        <f t="shared" si="182"/>
        <v>1</v>
      </c>
      <c r="FT87" s="101">
        <f t="shared" si="183"/>
        <v>1</v>
      </c>
      <c r="FU87" s="101" t="str">
        <f t="shared" si="163"/>
        <v>金币</v>
      </c>
      <c r="FV87" s="139">
        <f>IF($FT87&gt;0,IF(INDEX($EI$6:$EI$77,$FO87)&gt;=FV$3,ROUND(INDEX(EK$6:EK$77,$FO87)*INDEX(卡牌消耗!$B$8:$F$8,FQ87)/5,0)*5,""),"")</f>
        <v>95</v>
      </c>
      <c r="FW87" s="101" t="str">
        <f t="shared" si="164"/>
        <v>专属强化石1</v>
      </c>
      <c r="FX87" s="101">
        <f t="shared" si="165"/>
        <v>1</v>
      </c>
      <c r="FY87" s="101" t="str">
        <f t="shared" si="166"/>
        <v/>
      </c>
      <c r="FZ87" s="101" t="str">
        <f t="shared" si="167"/>
        <v/>
      </c>
      <c r="GA87" s="101">
        <f t="shared" si="184"/>
        <v>0.32</v>
      </c>
      <c r="GB87" s="101">
        <f t="shared" si="185"/>
        <v>1</v>
      </c>
      <c r="GC87" s="101">
        <f t="shared" si="186"/>
        <v>5</v>
      </c>
      <c r="GD87" s="101">
        <f t="shared" si="187"/>
        <v>0</v>
      </c>
      <c r="GE87" s="101">
        <f t="shared" si="188"/>
        <v>1</v>
      </c>
      <c r="GF87" s="101">
        <f t="shared" si="189"/>
        <v>1</v>
      </c>
      <c r="GG87" s="101">
        <f t="shared" si="190"/>
        <v>0.1595</v>
      </c>
      <c r="GH87" s="101">
        <f t="shared" si="191"/>
        <v>1</v>
      </c>
      <c r="GI87" s="101">
        <f t="shared" si="192"/>
        <v>2</v>
      </c>
      <c r="GJ87" s="101">
        <f t="shared" si="193"/>
        <v>0.63819999999999999</v>
      </c>
      <c r="GK87" s="101">
        <f t="shared" si="194"/>
        <v>1</v>
      </c>
      <c r="GL87" s="101">
        <f t="shared" si="195"/>
        <v>5</v>
      </c>
    </row>
    <row r="88" spans="168:194" ht="16.5" x14ac:dyDescent="0.2">
      <c r="FN88" s="101">
        <v>83</v>
      </c>
      <c r="FO88" s="101">
        <f t="shared" si="180"/>
        <v>2</v>
      </c>
      <c r="FP88" s="101">
        <f t="shared" si="158"/>
        <v>2</v>
      </c>
      <c r="FQ88" s="14">
        <f t="shared" si="159"/>
        <v>3</v>
      </c>
      <c r="FR88" s="101" t="str">
        <f t="shared" si="181"/>
        <v>许褚专属武器-魂珠-1 2级</v>
      </c>
      <c r="FS88" s="101">
        <f t="shared" si="182"/>
        <v>1</v>
      </c>
      <c r="FT88" s="101">
        <f t="shared" si="183"/>
        <v>2</v>
      </c>
      <c r="FU88" s="101" t="str">
        <f t="shared" si="163"/>
        <v>金币</v>
      </c>
      <c r="FV88" s="139">
        <f>IF($FT88&gt;0,IF(INDEX($EI$6:$EI$77,$FO88)&gt;=FV$3,ROUND(INDEX(EK$6:EK$77,$FO88)*INDEX(卡牌消耗!$B$8:$F$8,FQ88)/5,0)*5,""),"")</f>
        <v>140</v>
      </c>
      <c r="FW88" s="101" t="str">
        <f t="shared" si="164"/>
        <v>专属强化石1</v>
      </c>
      <c r="FX88" s="101">
        <f t="shared" si="165"/>
        <v>2</v>
      </c>
      <c r="FY88" s="101" t="str">
        <f t="shared" si="166"/>
        <v/>
      </c>
      <c r="FZ88" s="101" t="str">
        <f t="shared" si="167"/>
        <v/>
      </c>
      <c r="GA88" s="101">
        <f t="shared" si="184"/>
        <v>0.32</v>
      </c>
      <c r="GB88" s="101">
        <f t="shared" si="185"/>
        <v>1</v>
      </c>
      <c r="GC88" s="101">
        <f t="shared" si="186"/>
        <v>5</v>
      </c>
      <c r="GD88" s="101">
        <f t="shared" si="187"/>
        <v>0</v>
      </c>
      <c r="GE88" s="101">
        <f t="shared" si="188"/>
        <v>1</v>
      </c>
      <c r="GF88" s="101">
        <f t="shared" si="189"/>
        <v>1</v>
      </c>
      <c r="GG88" s="101">
        <f t="shared" si="190"/>
        <v>0.1595</v>
      </c>
      <c r="GH88" s="101">
        <f t="shared" si="191"/>
        <v>1</v>
      </c>
      <c r="GI88" s="101">
        <f t="shared" si="192"/>
        <v>2</v>
      </c>
      <c r="GJ88" s="101">
        <f t="shared" si="193"/>
        <v>0.63819999999999999</v>
      </c>
      <c r="GK88" s="101">
        <f t="shared" si="194"/>
        <v>1</v>
      </c>
      <c r="GL88" s="101">
        <f t="shared" si="195"/>
        <v>5</v>
      </c>
    </row>
    <row r="89" spans="168:194" ht="16.5" x14ac:dyDescent="0.2">
      <c r="FN89" s="101">
        <v>84</v>
      </c>
      <c r="FO89" s="101">
        <f t="shared" si="180"/>
        <v>3</v>
      </c>
      <c r="FP89" s="101">
        <f t="shared" si="158"/>
        <v>2</v>
      </c>
      <c r="FQ89" s="14">
        <f t="shared" si="159"/>
        <v>3</v>
      </c>
      <c r="FR89" s="101" t="str">
        <f t="shared" si="181"/>
        <v>许褚专属武器-魂珠-1 3级</v>
      </c>
      <c r="FS89" s="101">
        <f t="shared" si="182"/>
        <v>1</v>
      </c>
      <c r="FT89" s="101">
        <f t="shared" si="183"/>
        <v>3</v>
      </c>
      <c r="FU89" s="101" t="str">
        <f t="shared" si="163"/>
        <v>金币</v>
      </c>
      <c r="FV89" s="139">
        <f>IF($FT89&gt;0,IF(INDEX($EI$6:$EI$77,$FO89)&gt;=FV$3,ROUND(INDEX(EK$6:EK$77,$FO89)*INDEX(卡牌消耗!$B$8:$F$8,FQ89)/5,0)*5,""),"")</f>
        <v>235</v>
      </c>
      <c r="FW89" s="101" t="str">
        <f t="shared" si="164"/>
        <v>专属强化石1</v>
      </c>
      <c r="FX89" s="101">
        <f t="shared" si="165"/>
        <v>3</v>
      </c>
      <c r="FY89" s="101" t="str">
        <f t="shared" si="166"/>
        <v/>
      </c>
      <c r="FZ89" s="101" t="str">
        <f t="shared" si="167"/>
        <v/>
      </c>
      <c r="GA89" s="101">
        <f t="shared" si="184"/>
        <v>0.32</v>
      </c>
      <c r="GB89" s="101">
        <f t="shared" si="185"/>
        <v>1</v>
      </c>
      <c r="GC89" s="101">
        <f t="shared" si="186"/>
        <v>5</v>
      </c>
      <c r="GD89" s="101">
        <f t="shared" si="187"/>
        <v>0</v>
      </c>
      <c r="GE89" s="101">
        <f t="shared" si="188"/>
        <v>1</v>
      </c>
      <c r="GF89" s="101">
        <f t="shared" si="189"/>
        <v>1</v>
      </c>
      <c r="GG89" s="101">
        <f t="shared" si="190"/>
        <v>0.1595</v>
      </c>
      <c r="GH89" s="101">
        <f t="shared" si="191"/>
        <v>1</v>
      </c>
      <c r="GI89" s="101">
        <f t="shared" si="192"/>
        <v>2</v>
      </c>
      <c r="GJ89" s="101">
        <f t="shared" si="193"/>
        <v>0.63819999999999999</v>
      </c>
      <c r="GK89" s="101">
        <f t="shared" si="194"/>
        <v>1</v>
      </c>
      <c r="GL89" s="101">
        <f t="shared" si="195"/>
        <v>5</v>
      </c>
    </row>
    <row r="90" spans="168:194" ht="16.5" x14ac:dyDescent="0.2">
      <c r="FN90" s="101">
        <v>85</v>
      </c>
      <c r="FO90" s="101">
        <f t="shared" si="180"/>
        <v>4</v>
      </c>
      <c r="FP90" s="101">
        <f t="shared" si="158"/>
        <v>2</v>
      </c>
      <c r="FQ90" s="14">
        <f t="shared" si="159"/>
        <v>3</v>
      </c>
      <c r="FR90" s="101" t="str">
        <f t="shared" si="181"/>
        <v>许褚专属武器-魂珠-1 4级</v>
      </c>
      <c r="FS90" s="101">
        <f t="shared" si="182"/>
        <v>1</v>
      </c>
      <c r="FT90" s="101">
        <f t="shared" si="183"/>
        <v>4</v>
      </c>
      <c r="FU90" s="101" t="str">
        <f t="shared" si="163"/>
        <v>金币</v>
      </c>
      <c r="FV90" s="139">
        <f>IF($FT90&gt;0,IF(INDEX($EI$6:$EI$77,$FO90)&gt;=FV$3,ROUND(INDEX(EK$6:EK$77,$FO90)*INDEX(卡牌消耗!$B$8:$F$8,FQ90)/5,0)*5,""),"")</f>
        <v>305</v>
      </c>
      <c r="FW90" s="101" t="str">
        <f t="shared" si="164"/>
        <v>专属强化石1</v>
      </c>
      <c r="FX90" s="101">
        <f t="shared" si="165"/>
        <v>4</v>
      </c>
      <c r="FY90" s="101" t="str">
        <f t="shared" si="166"/>
        <v/>
      </c>
      <c r="FZ90" s="101" t="str">
        <f t="shared" si="167"/>
        <v/>
      </c>
      <c r="GA90" s="101">
        <f t="shared" si="184"/>
        <v>0.26</v>
      </c>
      <c r="GB90" s="101">
        <f t="shared" si="185"/>
        <v>1</v>
      </c>
      <c r="GC90" s="101">
        <f t="shared" si="186"/>
        <v>6</v>
      </c>
      <c r="GD90" s="101">
        <f t="shared" si="187"/>
        <v>0</v>
      </c>
      <c r="GE90" s="101">
        <f t="shared" si="188"/>
        <v>1</v>
      </c>
      <c r="GF90" s="101">
        <f t="shared" si="189"/>
        <v>1</v>
      </c>
      <c r="GG90" s="101">
        <f t="shared" si="190"/>
        <v>0.12759999999999999</v>
      </c>
      <c r="GH90" s="101">
        <f t="shared" si="191"/>
        <v>1</v>
      </c>
      <c r="GI90" s="101">
        <f t="shared" si="192"/>
        <v>3</v>
      </c>
      <c r="GJ90" s="101">
        <f t="shared" si="193"/>
        <v>0.51060000000000005</v>
      </c>
      <c r="GK90" s="101">
        <f t="shared" si="194"/>
        <v>1</v>
      </c>
      <c r="GL90" s="101">
        <f t="shared" si="195"/>
        <v>6</v>
      </c>
    </row>
    <row r="91" spans="168:194" ht="16.5" x14ac:dyDescent="0.2">
      <c r="FN91" s="101">
        <v>86</v>
      </c>
      <c r="FO91" s="101">
        <f t="shared" si="180"/>
        <v>5</v>
      </c>
      <c r="FP91" s="101">
        <f t="shared" si="158"/>
        <v>2</v>
      </c>
      <c r="FQ91" s="14">
        <f t="shared" si="159"/>
        <v>3</v>
      </c>
      <c r="FR91" s="101" t="str">
        <f t="shared" si="181"/>
        <v>许褚专属武器-魂珠-1 5级</v>
      </c>
      <c r="FS91" s="101">
        <f t="shared" si="182"/>
        <v>1</v>
      </c>
      <c r="FT91" s="101">
        <f t="shared" si="183"/>
        <v>5</v>
      </c>
      <c r="FU91" s="101" t="str">
        <f t="shared" si="163"/>
        <v>金币</v>
      </c>
      <c r="FV91" s="139">
        <f>IF($FT91&gt;0,IF(INDEX($EI$6:$EI$77,$FO91)&gt;=FV$3,ROUND(INDEX(EK$6:EK$77,$FO91)*INDEX(卡牌消耗!$B$8:$F$8,FQ91)/5,0)*5,""),"")</f>
        <v>385</v>
      </c>
      <c r="FW91" s="101" t="str">
        <f t="shared" si="164"/>
        <v>专属强化石1</v>
      </c>
      <c r="FX91" s="101">
        <f t="shared" si="165"/>
        <v>5</v>
      </c>
      <c r="FY91" s="101" t="str">
        <f t="shared" si="166"/>
        <v/>
      </c>
      <c r="FZ91" s="101" t="str">
        <f t="shared" si="167"/>
        <v/>
      </c>
      <c r="GA91" s="101">
        <f t="shared" si="184"/>
        <v>0.2</v>
      </c>
      <c r="GB91" s="101">
        <f t="shared" si="185"/>
        <v>1</v>
      </c>
      <c r="GC91" s="101">
        <f t="shared" si="186"/>
        <v>8</v>
      </c>
      <c r="GD91" s="101">
        <f t="shared" si="187"/>
        <v>0</v>
      </c>
      <c r="GE91" s="101">
        <f t="shared" si="188"/>
        <v>1</v>
      </c>
      <c r="GF91" s="101">
        <f t="shared" si="189"/>
        <v>2</v>
      </c>
      <c r="GG91" s="101">
        <f t="shared" si="190"/>
        <v>9.9699999999999997E-2</v>
      </c>
      <c r="GH91" s="101">
        <f t="shared" si="191"/>
        <v>1</v>
      </c>
      <c r="GI91" s="101">
        <f t="shared" si="192"/>
        <v>4</v>
      </c>
      <c r="GJ91" s="101">
        <f t="shared" si="193"/>
        <v>0.39889999999999998</v>
      </c>
      <c r="GK91" s="101">
        <f t="shared" si="194"/>
        <v>1</v>
      </c>
      <c r="GL91" s="101">
        <f t="shared" si="195"/>
        <v>8</v>
      </c>
    </row>
    <row r="92" spans="168:194" ht="16.5" x14ac:dyDescent="0.2">
      <c r="FN92" s="101">
        <v>87</v>
      </c>
      <c r="FO92" s="101">
        <f t="shared" si="180"/>
        <v>6</v>
      </c>
      <c r="FP92" s="101">
        <f t="shared" si="158"/>
        <v>2</v>
      </c>
      <c r="FQ92" s="14">
        <f t="shared" si="159"/>
        <v>3</v>
      </c>
      <c r="FR92" s="101" t="str">
        <f t="shared" si="181"/>
        <v>许褚专属武器-魂珠-1 6级</v>
      </c>
      <c r="FS92" s="101">
        <f t="shared" si="182"/>
        <v>1</v>
      </c>
      <c r="FT92" s="101">
        <f t="shared" si="183"/>
        <v>6</v>
      </c>
      <c r="FU92" s="101" t="str">
        <f t="shared" si="163"/>
        <v>金币</v>
      </c>
      <c r="FV92" s="139">
        <f>IF($FT92&gt;0,IF(INDEX($EI$6:$EI$77,$FO92)&gt;=FV$3,ROUND(INDEX(EK$6:EK$77,$FO92)*INDEX(卡牌消耗!$B$8:$F$8,FQ92)/5,0)*5,""),"")</f>
        <v>460</v>
      </c>
      <c r="FW92" s="101" t="str">
        <f t="shared" si="164"/>
        <v>专属强化石1</v>
      </c>
      <c r="FX92" s="101">
        <f t="shared" si="165"/>
        <v>6</v>
      </c>
      <c r="FY92" s="101" t="str">
        <f t="shared" si="166"/>
        <v/>
      </c>
      <c r="FZ92" s="101" t="str">
        <f t="shared" si="167"/>
        <v/>
      </c>
      <c r="GA92" s="101">
        <f t="shared" si="184"/>
        <v>0.15</v>
      </c>
      <c r="GB92" s="101">
        <f t="shared" si="185"/>
        <v>1</v>
      </c>
      <c r="GC92" s="101">
        <f t="shared" si="186"/>
        <v>10</v>
      </c>
      <c r="GD92" s="101">
        <f t="shared" si="187"/>
        <v>0</v>
      </c>
      <c r="GE92" s="101">
        <f t="shared" si="188"/>
        <v>1</v>
      </c>
      <c r="GF92" s="101">
        <f t="shared" si="189"/>
        <v>2</v>
      </c>
      <c r="GG92" s="101">
        <f t="shared" si="190"/>
        <v>7.3599999999999999E-2</v>
      </c>
      <c r="GH92" s="101">
        <f t="shared" si="191"/>
        <v>1</v>
      </c>
      <c r="GI92" s="101">
        <f t="shared" si="192"/>
        <v>5</v>
      </c>
      <c r="GJ92" s="101">
        <f t="shared" si="193"/>
        <v>0.29459999999999997</v>
      </c>
      <c r="GK92" s="101">
        <f t="shared" si="194"/>
        <v>1</v>
      </c>
      <c r="GL92" s="101">
        <f t="shared" si="195"/>
        <v>10</v>
      </c>
    </row>
    <row r="93" spans="168:194" ht="16.5" x14ac:dyDescent="0.2">
      <c r="FN93" s="101">
        <v>88</v>
      </c>
      <c r="FO93" s="101">
        <f t="shared" si="180"/>
        <v>7</v>
      </c>
      <c r="FP93" s="101">
        <f t="shared" si="158"/>
        <v>2</v>
      </c>
      <c r="FQ93" s="14">
        <f t="shared" si="159"/>
        <v>3</v>
      </c>
      <c r="FR93" s="101" t="str">
        <f t="shared" si="181"/>
        <v>许褚专属武器-魂珠-1 7级</v>
      </c>
      <c r="FS93" s="101">
        <f t="shared" si="182"/>
        <v>1</v>
      </c>
      <c r="FT93" s="101">
        <f t="shared" si="183"/>
        <v>7</v>
      </c>
      <c r="FU93" s="101" t="str">
        <f t="shared" si="163"/>
        <v>金币</v>
      </c>
      <c r="FV93" s="139">
        <f>IF($FT93&gt;0,IF(INDEX($EI$6:$EI$77,$FO93)&gt;=FV$3,ROUND(INDEX(EK$6:EK$77,$FO93)*INDEX(卡牌消耗!$B$8:$F$8,FQ93)/5,0)*5,""),"")</f>
        <v>535</v>
      </c>
      <c r="FW93" s="101" t="str">
        <f t="shared" si="164"/>
        <v>专属强化石1</v>
      </c>
      <c r="FX93" s="101">
        <f t="shared" si="165"/>
        <v>7</v>
      </c>
      <c r="FY93" s="101" t="str">
        <f t="shared" si="166"/>
        <v/>
      </c>
      <c r="FZ93" s="101" t="str">
        <f t="shared" si="167"/>
        <v/>
      </c>
      <c r="GA93" s="101">
        <f t="shared" si="184"/>
        <v>0.11</v>
      </c>
      <c r="GB93" s="101">
        <f t="shared" si="185"/>
        <v>1</v>
      </c>
      <c r="GC93" s="101">
        <f t="shared" si="186"/>
        <v>14</v>
      </c>
      <c r="GD93" s="101">
        <f t="shared" si="187"/>
        <v>0</v>
      </c>
      <c r="GE93" s="101">
        <f t="shared" si="188"/>
        <v>1</v>
      </c>
      <c r="GF93" s="101">
        <f t="shared" si="189"/>
        <v>3</v>
      </c>
      <c r="GG93" s="101">
        <f t="shared" si="190"/>
        <v>5.3199999999999997E-2</v>
      </c>
      <c r="GH93" s="101">
        <f t="shared" si="191"/>
        <v>1</v>
      </c>
      <c r="GI93" s="101">
        <f t="shared" si="192"/>
        <v>7</v>
      </c>
      <c r="GJ93" s="101">
        <f t="shared" si="193"/>
        <v>0.2127</v>
      </c>
      <c r="GK93" s="101">
        <f t="shared" si="194"/>
        <v>1</v>
      </c>
      <c r="GL93" s="101">
        <f t="shared" si="195"/>
        <v>14</v>
      </c>
    </row>
    <row r="94" spans="168:194" ht="16.5" x14ac:dyDescent="0.2">
      <c r="FN94" s="101">
        <v>89</v>
      </c>
      <c r="FO94" s="101">
        <f t="shared" si="180"/>
        <v>8</v>
      </c>
      <c r="FP94" s="101">
        <f t="shared" si="158"/>
        <v>2</v>
      </c>
      <c r="FQ94" s="14">
        <f t="shared" si="159"/>
        <v>3</v>
      </c>
      <c r="FR94" s="101" t="str">
        <f t="shared" si="181"/>
        <v>许褚专属武器-魂珠-1 8级</v>
      </c>
      <c r="FS94" s="101">
        <f t="shared" si="182"/>
        <v>1</v>
      </c>
      <c r="FT94" s="101">
        <f t="shared" si="183"/>
        <v>8</v>
      </c>
      <c r="FU94" s="101" t="str">
        <f t="shared" si="163"/>
        <v>金币</v>
      </c>
      <c r="FV94" s="139">
        <f>IF($FT94&gt;0,IF(INDEX($EI$6:$EI$77,$FO94)&gt;=FV$3,ROUND(INDEX(EK$6:EK$77,$FO94)*INDEX(卡牌消耗!$B$8:$F$8,FQ94)/5,0)*5,""),"")</f>
        <v>615</v>
      </c>
      <c r="FW94" s="101" t="str">
        <f t="shared" si="164"/>
        <v>专属强化石1</v>
      </c>
      <c r="FX94" s="101">
        <f t="shared" si="165"/>
        <v>8</v>
      </c>
      <c r="FY94" s="101" t="str">
        <f t="shared" si="166"/>
        <v/>
      </c>
      <c r="FZ94" s="101" t="str">
        <f t="shared" si="167"/>
        <v/>
      </c>
      <c r="GA94" s="101">
        <f t="shared" si="184"/>
        <v>0.08</v>
      </c>
      <c r="GB94" s="101">
        <f t="shared" si="185"/>
        <v>1</v>
      </c>
      <c r="GC94" s="101">
        <f t="shared" si="186"/>
        <v>20</v>
      </c>
      <c r="GD94" s="101">
        <f t="shared" si="187"/>
        <v>0</v>
      </c>
      <c r="GE94" s="101">
        <f t="shared" si="188"/>
        <v>1</v>
      </c>
      <c r="GF94" s="101">
        <f t="shared" si="189"/>
        <v>5</v>
      </c>
      <c r="GG94" s="101">
        <f t="shared" si="190"/>
        <v>3.7499999999999999E-2</v>
      </c>
      <c r="GH94" s="101">
        <f t="shared" si="191"/>
        <v>1</v>
      </c>
      <c r="GI94" s="101">
        <f t="shared" si="192"/>
        <v>9</v>
      </c>
      <c r="GJ94" s="101">
        <f t="shared" si="193"/>
        <v>0.1502</v>
      </c>
      <c r="GK94" s="101">
        <f t="shared" si="194"/>
        <v>1</v>
      </c>
      <c r="GL94" s="101">
        <f t="shared" si="195"/>
        <v>20</v>
      </c>
    </row>
    <row r="95" spans="168:194" ht="16.5" x14ac:dyDescent="0.2">
      <c r="FN95" s="101">
        <v>90</v>
      </c>
      <c r="FO95" s="101">
        <f t="shared" si="180"/>
        <v>9</v>
      </c>
      <c r="FP95" s="101">
        <f t="shared" si="158"/>
        <v>2</v>
      </c>
      <c r="FQ95" s="14">
        <f t="shared" si="159"/>
        <v>3</v>
      </c>
      <c r="FR95" s="101" t="str">
        <f t="shared" si="181"/>
        <v>许褚专属武器-魂珠-1 9级</v>
      </c>
      <c r="FS95" s="101">
        <f t="shared" si="182"/>
        <v>1</v>
      </c>
      <c r="FT95" s="101">
        <f t="shared" si="183"/>
        <v>9</v>
      </c>
      <c r="FU95" s="101" t="str">
        <f t="shared" si="163"/>
        <v>金币</v>
      </c>
      <c r="FV95" s="139">
        <f>IF($FT95&gt;0,IF(INDEX($EI$6:$EI$77,$FO95)&gt;=FV$3,ROUND(INDEX(EK$6:EK$77,$FO95)*INDEX(卡牌消耗!$B$8:$F$8,FQ95)/5,0)*5,""),"")</f>
        <v>765</v>
      </c>
      <c r="FW95" s="101" t="str">
        <f t="shared" si="164"/>
        <v>专属强化石1</v>
      </c>
      <c r="FX95" s="101">
        <f t="shared" si="165"/>
        <v>10</v>
      </c>
      <c r="FY95" s="101" t="str">
        <f t="shared" si="166"/>
        <v/>
      </c>
      <c r="FZ95" s="101" t="str">
        <f t="shared" si="167"/>
        <v/>
      </c>
      <c r="GA95" s="101">
        <f t="shared" si="184"/>
        <v>0.06</v>
      </c>
      <c r="GB95" s="101">
        <f t="shared" si="185"/>
        <v>1</v>
      </c>
      <c r="GC95" s="101">
        <f t="shared" si="186"/>
        <v>26</v>
      </c>
      <c r="GD95" s="101">
        <f t="shared" si="187"/>
        <v>0</v>
      </c>
      <c r="GE95" s="101">
        <f t="shared" si="188"/>
        <v>1</v>
      </c>
      <c r="GF95" s="101">
        <f t="shared" si="189"/>
        <v>6</v>
      </c>
      <c r="GG95" s="101">
        <f t="shared" si="190"/>
        <v>2.9000000000000001E-2</v>
      </c>
      <c r="GH95" s="101">
        <f t="shared" si="191"/>
        <v>1</v>
      </c>
      <c r="GI95" s="101">
        <f t="shared" si="192"/>
        <v>12</v>
      </c>
      <c r="GJ95" s="101">
        <f t="shared" si="193"/>
        <v>0.11600000000000001</v>
      </c>
      <c r="GK95" s="101">
        <f t="shared" si="194"/>
        <v>1</v>
      </c>
      <c r="GL95" s="101">
        <f t="shared" si="195"/>
        <v>26</v>
      </c>
    </row>
    <row r="96" spans="168:194" ht="16.5" x14ac:dyDescent="0.2">
      <c r="FN96" s="101">
        <v>91</v>
      </c>
      <c r="FO96" s="101">
        <f t="shared" si="180"/>
        <v>0</v>
      </c>
      <c r="FP96" s="101">
        <f t="shared" si="158"/>
        <v>2</v>
      </c>
      <c r="FQ96" s="14">
        <f t="shared" si="159"/>
        <v>3</v>
      </c>
      <c r="FR96" s="101" t="str">
        <f t="shared" si="181"/>
        <v>许褚专属武器-魂珠-2 0级</v>
      </c>
      <c r="FS96" s="101">
        <f t="shared" si="182"/>
        <v>2</v>
      </c>
      <c r="FT96" s="101">
        <f t="shared" si="183"/>
        <v>0</v>
      </c>
      <c r="FU96" s="101" t="str">
        <f t="shared" si="163"/>
        <v/>
      </c>
      <c r="FV96" s="139" t="str">
        <f>IF($FT96&gt;0,IF(INDEX($EI$6:$EI$77,$FO96)&gt;=FV$3,ROUND(INDEX(EK$6:EK$77,$FO96)*INDEX(卡牌消耗!$B$8:$F$8,FQ96)/5,0)*5,""),"")</f>
        <v/>
      </c>
      <c r="FW96" s="101" t="str">
        <f t="shared" si="164"/>
        <v/>
      </c>
      <c r="FX96" s="101" t="str">
        <f t="shared" si="165"/>
        <v/>
      </c>
      <c r="FY96" s="101" t="str">
        <f t="shared" si="166"/>
        <v/>
      </c>
      <c r="FZ96" s="101" t="str">
        <f t="shared" si="167"/>
        <v/>
      </c>
      <c r="GA96" s="101" t="str">
        <f t="shared" si="184"/>
        <v/>
      </c>
      <c r="GB96" s="101" t="str">
        <f t="shared" si="185"/>
        <v/>
      </c>
      <c r="GC96" s="101" t="str">
        <f t="shared" si="186"/>
        <v/>
      </c>
      <c r="GD96" s="101" t="str">
        <f t="shared" si="187"/>
        <v/>
      </c>
      <c r="GE96" s="101" t="str">
        <f t="shared" si="188"/>
        <v/>
      </c>
      <c r="GF96" s="101" t="str">
        <f t="shared" si="189"/>
        <v/>
      </c>
      <c r="GG96" s="101" t="str">
        <f t="shared" si="190"/>
        <v/>
      </c>
      <c r="GH96" s="101" t="str">
        <f t="shared" si="191"/>
        <v/>
      </c>
      <c r="GI96" s="101" t="str">
        <f t="shared" si="192"/>
        <v/>
      </c>
      <c r="GJ96" s="101" t="str">
        <f t="shared" si="193"/>
        <v/>
      </c>
      <c r="GK96" s="101" t="str">
        <f t="shared" si="194"/>
        <v/>
      </c>
      <c r="GL96" s="101" t="str">
        <f t="shared" si="195"/>
        <v/>
      </c>
    </row>
    <row r="97" spans="170:194" ht="16.5" x14ac:dyDescent="0.2">
      <c r="FN97" s="101">
        <v>92</v>
      </c>
      <c r="FO97" s="101">
        <f t="shared" si="180"/>
        <v>10</v>
      </c>
      <c r="FP97" s="101">
        <f t="shared" si="158"/>
        <v>2</v>
      </c>
      <c r="FQ97" s="14">
        <f t="shared" si="159"/>
        <v>3</v>
      </c>
      <c r="FR97" s="101" t="str">
        <f t="shared" si="181"/>
        <v>许褚专属武器-魂珠-2 1级</v>
      </c>
      <c r="FS97" s="101">
        <f t="shared" si="182"/>
        <v>2</v>
      </c>
      <c r="FT97" s="101">
        <f t="shared" si="183"/>
        <v>1</v>
      </c>
      <c r="FU97" s="101" t="str">
        <f t="shared" si="163"/>
        <v>金币</v>
      </c>
      <c r="FV97" s="139">
        <f>IF($FT97&gt;0,IF(INDEX($EI$6:$EI$77,$FO97)&gt;=FV$3,ROUND(INDEX(EK$6:EK$77,$FO97)*INDEX(卡牌消耗!$B$8:$F$8,FQ97)/5,0)*5,""),"")</f>
        <v>260</v>
      </c>
      <c r="FW97" s="101" t="str">
        <f t="shared" si="164"/>
        <v>专属强化石1</v>
      </c>
      <c r="FX97" s="101">
        <f t="shared" si="165"/>
        <v>3</v>
      </c>
      <c r="FY97" s="101" t="str">
        <f t="shared" si="166"/>
        <v>专属强化石2</v>
      </c>
      <c r="FZ97" s="101">
        <f t="shared" si="167"/>
        <v>1</v>
      </c>
      <c r="GA97" s="101">
        <f t="shared" si="184"/>
        <v>0.39</v>
      </c>
      <c r="GB97" s="101">
        <f t="shared" si="185"/>
        <v>1</v>
      </c>
      <c r="GC97" s="101">
        <f t="shared" si="186"/>
        <v>4</v>
      </c>
      <c r="GD97" s="101">
        <f t="shared" si="187"/>
        <v>0</v>
      </c>
      <c r="GE97" s="101">
        <f t="shared" si="188"/>
        <v>1</v>
      </c>
      <c r="GF97" s="101">
        <f t="shared" si="189"/>
        <v>1</v>
      </c>
      <c r="GG97" s="101">
        <f t="shared" si="190"/>
        <v>0.19270000000000001</v>
      </c>
      <c r="GH97" s="101">
        <f t="shared" si="191"/>
        <v>1</v>
      </c>
      <c r="GI97" s="101">
        <f t="shared" si="192"/>
        <v>2</v>
      </c>
      <c r="GJ97" s="101">
        <f t="shared" si="193"/>
        <v>0.77070000000000005</v>
      </c>
      <c r="GK97" s="101">
        <f t="shared" si="194"/>
        <v>1</v>
      </c>
      <c r="GL97" s="101">
        <f t="shared" si="195"/>
        <v>4</v>
      </c>
    </row>
    <row r="98" spans="170:194" ht="16.5" x14ac:dyDescent="0.2">
      <c r="FN98" s="101">
        <v>93</v>
      </c>
      <c r="FO98" s="101">
        <f t="shared" si="180"/>
        <v>11</v>
      </c>
      <c r="FP98" s="101">
        <f t="shared" si="158"/>
        <v>2</v>
      </c>
      <c r="FQ98" s="14">
        <f t="shared" si="159"/>
        <v>3</v>
      </c>
      <c r="FR98" s="101" t="str">
        <f t="shared" si="181"/>
        <v>许褚专属武器-魂珠-2 2级</v>
      </c>
      <c r="FS98" s="101">
        <f t="shared" si="182"/>
        <v>2</v>
      </c>
      <c r="FT98" s="101">
        <f t="shared" si="183"/>
        <v>2</v>
      </c>
      <c r="FU98" s="101" t="str">
        <f t="shared" si="163"/>
        <v>金币</v>
      </c>
      <c r="FV98" s="139">
        <f>IF($FT98&gt;0,IF(INDEX($EI$6:$EI$77,$FO98)&gt;=FV$3,ROUND(INDEX(EK$6:EK$77,$FO98)*INDEX(卡牌消耗!$B$8:$F$8,FQ98)/5,0)*5,""),"")</f>
        <v>195</v>
      </c>
      <c r="FW98" s="101" t="str">
        <f t="shared" si="164"/>
        <v>专属强化石1</v>
      </c>
      <c r="FX98" s="101">
        <f t="shared" si="165"/>
        <v>3</v>
      </c>
      <c r="FY98" s="101" t="str">
        <f t="shared" si="166"/>
        <v>专属强化石2</v>
      </c>
      <c r="FZ98" s="101">
        <f t="shared" si="167"/>
        <v>1</v>
      </c>
      <c r="GA98" s="101">
        <f t="shared" si="184"/>
        <v>0.19</v>
      </c>
      <c r="GB98" s="101">
        <f t="shared" si="185"/>
        <v>1</v>
      </c>
      <c r="GC98" s="101">
        <f t="shared" si="186"/>
        <v>8</v>
      </c>
      <c r="GD98" s="101">
        <f t="shared" si="187"/>
        <v>0</v>
      </c>
      <c r="GE98" s="101">
        <f t="shared" si="188"/>
        <v>1</v>
      </c>
      <c r="GF98" s="101">
        <f t="shared" si="189"/>
        <v>2</v>
      </c>
      <c r="GG98" s="101">
        <f t="shared" si="190"/>
        <v>9.6299999999999997E-2</v>
      </c>
      <c r="GH98" s="101">
        <f t="shared" si="191"/>
        <v>1</v>
      </c>
      <c r="GI98" s="101">
        <f t="shared" si="192"/>
        <v>4</v>
      </c>
      <c r="GJ98" s="101">
        <f t="shared" si="193"/>
        <v>0.38529999999999998</v>
      </c>
      <c r="GK98" s="101">
        <f t="shared" si="194"/>
        <v>1</v>
      </c>
      <c r="GL98" s="101">
        <f t="shared" si="195"/>
        <v>8</v>
      </c>
    </row>
    <row r="99" spans="170:194" ht="16.5" x14ac:dyDescent="0.2">
      <c r="FN99" s="101">
        <v>94</v>
      </c>
      <c r="FO99" s="101">
        <f t="shared" si="180"/>
        <v>12</v>
      </c>
      <c r="FP99" s="101">
        <f t="shared" si="158"/>
        <v>2</v>
      </c>
      <c r="FQ99" s="14">
        <f t="shared" si="159"/>
        <v>3</v>
      </c>
      <c r="FR99" s="101" t="str">
        <f t="shared" si="181"/>
        <v>许褚专属武器-魂珠-2 3级</v>
      </c>
      <c r="FS99" s="101">
        <f t="shared" si="182"/>
        <v>2</v>
      </c>
      <c r="FT99" s="101">
        <f t="shared" si="183"/>
        <v>3</v>
      </c>
      <c r="FU99" s="101" t="str">
        <f t="shared" si="163"/>
        <v>金币</v>
      </c>
      <c r="FV99" s="139">
        <f>IF($FT99&gt;0,IF(INDEX($EI$6:$EI$77,$FO99)&gt;=FV$3,ROUND(INDEX(EK$6:EK$77,$FO99)*INDEX(卡牌消耗!$B$8:$F$8,FQ99)/5,0)*5,""),"")</f>
        <v>435</v>
      </c>
      <c r="FW99" s="101" t="str">
        <f t="shared" si="164"/>
        <v>专属强化石1</v>
      </c>
      <c r="FX99" s="101">
        <f t="shared" si="165"/>
        <v>6</v>
      </c>
      <c r="FY99" s="101" t="str">
        <f t="shared" si="166"/>
        <v>专属强化石2</v>
      </c>
      <c r="FZ99" s="101">
        <f t="shared" si="167"/>
        <v>2</v>
      </c>
      <c r="GA99" s="101">
        <f t="shared" si="184"/>
        <v>0.26</v>
      </c>
      <c r="GB99" s="101">
        <f t="shared" si="185"/>
        <v>1</v>
      </c>
      <c r="GC99" s="101">
        <f t="shared" si="186"/>
        <v>6</v>
      </c>
      <c r="GD99" s="101">
        <f t="shared" si="187"/>
        <v>0</v>
      </c>
      <c r="GE99" s="101">
        <f t="shared" si="188"/>
        <v>1</v>
      </c>
      <c r="GF99" s="101">
        <f t="shared" si="189"/>
        <v>1</v>
      </c>
      <c r="GG99" s="101">
        <f t="shared" si="190"/>
        <v>0.12839999999999999</v>
      </c>
      <c r="GH99" s="101">
        <f t="shared" si="191"/>
        <v>1</v>
      </c>
      <c r="GI99" s="101">
        <f t="shared" si="192"/>
        <v>3</v>
      </c>
      <c r="GJ99" s="101">
        <f t="shared" si="193"/>
        <v>0.51380000000000003</v>
      </c>
      <c r="GK99" s="101">
        <f t="shared" si="194"/>
        <v>1</v>
      </c>
      <c r="GL99" s="101">
        <f t="shared" si="195"/>
        <v>6</v>
      </c>
    </row>
    <row r="100" spans="170:194" ht="16.5" x14ac:dyDescent="0.2">
      <c r="FN100" s="101">
        <v>95</v>
      </c>
      <c r="FO100" s="101">
        <f t="shared" si="180"/>
        <v>13</v>
      </c>
      <c r="FP100" s="101">
        <f t="shared" si="158"/>
        <v>2</v>
      </c>
      <c r="FQ100" s="14">
        <f t="shared" si="159"/>
        <v>3</v>
      </c>
      <c r="FR100" s="101" t="str">
        <f t="shared" si="181"/>
        <v>许褚专属武器-魂珠-2 4级</v>
      </c>
      <c r="FS100" s="101">
        <f t="shared" si="182"/>
        <v>2</v>
      </c>
      <c r="FT100" s="101">
        <f t="shared" si="183"/>
        <v>4</v>
      </c>
      <c r="FU100" s="101" t="str">
        <f t="shared" si="163"/>
        <v>金币</v>
      </c>
      <c r="FV100" s="139">
        <f>IF($FT100&gt;0,IF(INDEX($EI$6:$EI$77,$FO100)&gt;=FV$3,ROUND(INDEX(EK$6:EK$77,$FO100)*INDEX(卡牌消耗!$B$8:$F$8,FQ100)/5,0)*5,""),"")</f>
        <v>420</v>
      </c>
      <c r="FW100" s="101" t="str">
        <f t="shared" si="164"/>
        <v>专属强化石1</v>
      </c>
      <c r="FX100" s="101">
        <f t="shared" si="165"/>
        <v>6</v>
      </c>
      <c r="FY100" s="101" t="str">
        <f t="shared" si="166"/>
        <v>专属强化石2</v>
      </c>
      <c r="FZ100" s="101">
        <f t="shared" si="167"/>
        <v>2</v>
      </c>
      <c r="GA100" s="101">
        <f t="shared" si="184"/>
        <v>0.15</v>
      </c>
      <c r="GB100" s="101">
        <f t="shared" si="185"/>
        <v>1</v>
      </c>
      <c r="GC100" s="101">
        <f t="shared" si="186"/>
        <v>10</v>
      </c>
      <c r="GD100" s="101">
        <f t="shared" si="187"/>
        <v>0</v>
      </c>
      <c r="GE100" s="101">
        <f t="shared" si="188"/>
        <v>1</v>
      </c>
      <c r="GF100" s="101">
        <f t="shared" si="189"/>
        <v>2</v>
      </c>
      <c r="GG100" s="101">
        <f t="shared" si="190"/>
        <v>7.7100000000000002E-2</v>
      </c>
      <c r="GH100" s="101">
        <f t="shared" si="191"/>
        <v>1</v>
      </c>
      <c r="GI100" s="101">
        <f t="shared" si="192"/>
        <v>5</v>
      </c>
      <c r="GJ100" s="101">
        <f t="shared" si="193"/>
        <v>0.30830000000000002</v>
      </c>
      <c r="GK100" s="101">
        <f t="shared" si="194"/>
        <v>1</v>
      </c>
      <c r="GL100" s="101">
        <f t="shared" si="195"/>
        <v>10</v>
      </c>
    </row>
    <row r="101" spans="170:194" ht="16.5" x14ac:dyDescent="0.2">
      <c r="FN101" s="101">
        <v>96</v>
      </c>
      <c r="FO101" s="101">
        <f t="shared" si="180"/>
        <v>14</v>
      </c>
      <c r="FP101" s="101">
        <f t="shared" si="158"/>
        <v>2</v>
      </c>
      <c r="FQ101" s="14">
        <f t="shared" si="159"/>
        <v>3</v>
      </c>
      <c r="FR101" s="101" t="str">
        <f t="shared" si="181"/>
        <v>许褚专属武器-魂珠-2 5级</v>
      </c>
      <c r="FS101" s="101">
        <f t="shared" si="182"/>
        <v>2</v>
      </c>
      <c r="FT101" s="101">
        <f t="shared" si="183"/>
        <v>5</v>
      </c>
      <c r="FU101" s="101" t="str">
        <f t="shared" si="163"/>
        <v>金币</v>
      </c>
      <c r="FV101" s="139">
        <f>IF($FT101&gt;0,IF(INDEX($EI$6:$EI$77,$FO101)&gt;=FV$3,ROUND(INDEX(EK$6:EK$77,$FO101)*INDEX(卡牌消耗!$B$8:$F$8,FQ101)/5,0)*5,""),"")</f>
        <v>635</v>
      </c>
      <c r="FW101" s="101" t="str">
        <f t="shared" si="164"/>
        <v>专属强化石1</v>
      </c>
      <c r="FX101" s="101">
        <f t="shared" si="165"/>
        <v>9</v>
      </c>
      <c r="FY101" s="101" t="str">
        <f t="shared" si="166"/>
        <v>专属强化石2</v>
      </c>
      <c r="FZ101" s="101">
        <f t="shared" si="167"/>
        <v>3</v>
      </c>
      <c r="GA101" s="101">
        <f t="shared" si="184"/>
        <v>0.14000000000000001</v>
      </c>
      <c r="GB101" s="101">
        <f t="shared" si="185"/>
        <v>1</v>
      </c>
      <c r="GC101" s="101">
        <f t="shared" si="186"/>
        <v>10</v>
      </c>
      <c r="GD101" s="101">
        <f t="shared" si="187"/>
        <v>0</v>
      </c>
      <c r="GE101" s="101">
        <f t="shared" si="188"/>
        <v>1</v>
      </c>
      <c r="GF101" s="101">
        <f t="shared" si="189"/>
        <v>2</v>
      </c>
      <c r="GG101" s="101">
        <f t="shared" si="190"/>
        <v>7.22E-2</v>
      </c>
      <c r="GH101" s="101">
        <f t="shared" si="191"/>
        <v>1</v>
      </c>
      <c r="GI101" s="101">
        <f t="shared" si="192"/>
        <v>5</v>
      </c>
      <c r="GJ101" s="101">
        <f t="shared" si="193"/>
        <v>0.28899999999999998</v>
      </c>
      <c r="GK101" s="101">
        <f t="shared" si="194"/>
        <v>1</v>
      </c>
      <c r="GL101" s="101">
        <f t="shared" si="195"/>
        <v>10</v>
      </c>
    </row>
    <row r="102" spans="170:194" ht="16.5" x14ac:dyDescent="0.2">
      <c r="FN102" s="101">
        <v>97</v>
      </c>
      <c r="FO102" s="101">
        <f t="shared" si="180"/>
        <v>15</v>
      </c>
      <c r="FP102" s="101">
        <f t="shared" si="158"/>
        <v>2</v>
      </c>
      <c r="FQ102" s="14">
        <f t="shared" si="159"/>
        <v>3</v>
      </c>
      <c r="FR102" s="101" t="str">
        <f t="shared" si="181"/>
        <v>许褚专属武器-魂珠-2 6级</v>
      </c>
      <c r="FS102" s="101">
        <f t="shared" si="182"/>
        <v>2</v>
      </c>
      <c r="FT102" s="101">
        <f t="shared" si="183"/>
        <v>6</v>
      </c>
      <c r="FU102" s="101" t="str">
        <f t="shared" si="163"/>
        <v>金币</v>
      </c>
      <c r="FV102" s="139">
        <f>IF($FT102&gt;0,IF(INDEX($EI$6:$EI$77,$FO102)&gt;=FV$3,ROUND(INDEX(EK$6:EK$77,$FO102)*INDEX(卡牌消耗!$B$8:$F$8,FQ102)/5,0)*5,""),"")</f>
        <v>845</v>
      </c>
      <c r="FW102" s="101" t="str">
        <f t="shared" si="164"/>
        <v>专属强化石1</v>
      </c>
      <c r="FX102" s="101">
        <f t="shared" si="165"/>
        <v>12</v>
      </c>
      <c r="FY102" s="101" t="str">
        <f t="shared" si="166"/>
        <v>专属强化石2</v>
      </c>
      <c r="FZ102" s="101">
        <f t="shared" si="167"/>
        <v>4</v>
      </c>
      <c r="GA102" s="101">
        <f t="shared" si="184"/>
        <v>0.12</v>
      </c>
      <c r="GB102" s="101">
        <f t="shared" si="185"/>
        <v>1</v>
      </c>
      <c r="GC102" s="101">
        <f t="shared" si="186"/>
        <v>13</v>
      </c>
      <c r="GD102" s="101">
        <f t="shared" si="187"/>
        <v>0</v>
      </c>
      <c r="GE102" s="101">
        <f t="shared" si="188"/>
        <v>1</v>
      </c>
      <c r="GF102" s="101">
        <f t="shared" si="189"/>
        <v>3</v>
      </c>
      <c r="GG102" s="101">
        <f t="shared" si="190"/>
        <v>5.9299999999999999E-2</v>
      </c>
      <c r="GH102" s="101">
        <f t="shared" si="191"/>
        <v>1</v>
      </c>
      <c r="GI102" s="101">
        <f t="shared" si="192"/>
        <v>6</v>
      </c>
      <c r="GJ102" s="101">
        <f t="shared" si="193"/>
        <v>0.23710000000000001</v>
      </c>
      <c r="GK102" s="101">
        <f t="shared" si="194"/>
        <v>1</v>
      </c>
      <c r="GL102" s="101">
        <f t="shared" si="195"/>
        <v>13</v>
      </c>
    </row>
    <row r="103" spans="170:194" ht="16.5" x14ac:dyDescent="0.2">
      <c r="FN103" s="101">
        <v>98</v>
      </c>
      <c r="FO103" s="101">
        <f t="shared" si="180"/>
        <v>16</v>
      </c>
      <c r="FP103" s="101">
        <f t="shared" si="158"/>
        <v>2</v>
      </c>
      <c r="FQ103" s="14">
        <f t="shared" si="159"/>
        <v>3</v>
      </c>
      <c r="FR103" s="101" t="str">
        <f t="shared" si="181"/>
        <v>许褚专属武器-魂珠-2 7级</v>
      </c>
      <c r="FS103" s="101">
        <f t="shared" si="182"/>
        <v>2</v>
      </c>
      <c r="FT103" s="101">
        <f t="shared" si="183"/>
        <v>7</v>
      </c>
      <c r="FU103" s="101" t="str">
        <f t="shared" si="163"/>
        <v>金币</v>
      </c>
      <c r="FV103" s="139">
        <f>IF($FT103&gt;0,IF(INDEX($EI$6:$EI$77,$FO103)&gt;=FV$3,ROUND(INDEX(EK$6:EK$77,$FO103)*INDEX(卡牌消耗!$B$8:$F$8,FQ103)/5,0)*5,""),"")</f>
        <v>1060</v>
      </c>
      <c r="FW103" s="101" t="str">
        <f t="shared" si="164"/>
        <v>专属强化石1</v>
      </c>
      <c r="FX103" s="101">
        <f t="shared" si="165"/>
        <v>15</v>
      </c>
      <c r="FY103" s="101" t="str">
        <f t="shared" si="166"/>
        <v>专属强化石2</v>
      </c>
      <c r="FZ103" s="101">
        <f t="shared" si="167"/>
        <v>5</v>
      </c>
      <c r="GA103" s="101">
        <f t="shared" si="184"/>
        <v>0.09</v>
      </c>
      <c r="GB103" s="101">
        <f t="shared" si="185"/>
        <v>1</v>
      </c>
      <c r="GC103" s="101">
        <f t="shared" si="186"/>
        <v>16</v>
      </c>
      <c r="GD103" s="101">
        <f t="shared" si="187"/>
        <v>0</v>
      </c>
      <c r="GE103" s="101">
        <f t="shared" si="188"/>
        <v>1</v>
      </c>
      <c r="GF103" s="101">
        <f t="shared" si="189"/>
        <v>4</v>
      </c>
      <c r="GG103" s="101">
        <f t="shared" si="190"/>
        <v>4.5900000000000003E-2</v>
      </c>
      <c r="GH103" s="101">
        <f t="shared" si="191"/>
        <v>1</v>
      </c>
      <c r="GI103" s="101">
        <f t="shared" si="192"/>
        <v>8</v>
      </c>
      <c r="GJ103" s="101">
        <f t="shared" si="193"/>
        <v>0.1835</v>
      </c>
      <c r="GK103" s="101">
        <f t="shared" si="194"/>
        <v>1</v>
      </c>
      <c r="GL103" s="101">
        <f t="shared" si="195"/>
        <v>16</v>
      </c>
    </row>
    <row r="104" spans="170:194" ht="16.5" x14ac:dyDescent="0.2">
      <c r="FN104" s="101">
        <v>99</v>
      </c>
      <c r="FO104" s="101">
        <f t="shared" si="180"/>
        <v>17</v>
      </c>
      <c r="FP104" s="101">
        <f t="shared" si="158"/>
        <v>2</v>
      </c>
      <c r="FQ104" s="14">
        <f t="shared" si="159"/>
        <v>3</v>
      </c>
      <c r="FR104" s="101" t="str">
        <f t="shared" si="181"/>
        <v>许褚专属武器-魂珠-2 8级</v>
      </c>
      <c r="FS104" s="101">
        <f t="shared" si="182"/>
        <v>2</v>
      </c>
      <c r="FT104" s="101">
        <f t="shared" si="183"/>
        <v>8</v>
      </c>
      <c r="FU104" s="101" t="str">
        <f t="shared" si="163"/>
        <v>金币</v>
      </c>
      <c r="FV104" s="139">
        <f>IF($FT104&gt;0,IF(INDEX($EI$6:$EI$77,$FO104)&gt;=FV$3,ROUND(INDEX(EK$6:EK$77,$FO104)*INDEX(卡牌消耗!$B$8:$F$8,FQ104)/5,0)*5,""),"")</f>
        <v>1270</v>
      </c>
      <c r="FW104" s="101" t="str">
        <f t="shared" si="164"/>
        <v>专属强化石1</v>
      </c>
      <c r="FX104" s="101">
        <f t="shared" si="165"/>
        <v>18</v>
      </c>
      <c r="FY104" s="101" t="str">
        <f t="shared" si="166"/>
        <v>专属强化石2</v>
      </c>
      <c r="FZ104" s="101">
        <f t="shared" si="167"/>
        <v>6</v>
      </c>
      <c r="GA104" s="101">
        <f t="shared" si="184"/>
        <v>7.0000000000000007E-2</v>
      </c>
      <c r="GB104" s="101">
        <f t="shared" si="185"/>
        <v>1</v>
      </c>
      <c r="GC104" s="101">
        <f t="shared" si="186"/>
        <v>22</v>
      </c>
      <c r="GD104" s="101">
        <f t="shared" si="187"/>
        <v>0</v>
      </c>
      <c r="GE104" s="101">
        <f t="shared" si="188"/>
        <v>1</v>
      </c>
      <c r="GF104" s="101">
        <f t="shared" si="189"/>
        <v>5</v>
      </c>
      <c r="GG104" s="101">
        <f t="shared" si="190"/>
        <v>3.4000000000000002E-2</v>
      </c>
      <c r="GH104" s="101">
        <f t="shared" si="191"/>
        <v>1</v>
      </c>
      <c r="GI104" s="101">
        <f t="shared" si="192"/>
        <v>10</v>
      </c>
      <c r="GJ104" s="101">
        <f t="shared" si="193"/>
        <v>0.13600000000000001</v>
      </c>
      <c r="GK104" s="101">
        <f t="shared" si="194"/>
        <v>1</v>
      </c>
      <c r="GL104" s="101">
        <f t="shared" si="195"/>
        <v>22</v>
      </c>
    </row>
    <row r="105" spans="170:194" ht="16.5" x14ac:dyDescent="0.2">
      <c r="FN105" s="101">
        <v>100</v>
      </c>
      <c r="FO105" s="101">
        <f t="shared" si="180"/>
        <v>18</v>
      </c>
      <c r="FP105" s="101">
        <f t="shared" si="158"/>
        <v>2</v>
      </c>
      <c r="FQ105" s="14">
        <f t="shared" si="159"/>
        <v>3</v>
      </c>
      <c r="FR105" s="101" t="str">
        <f t="shared" si="181"/>
        <v>许褚专属武器-魂珠-2 9级</v>
      </c>
      <c r="FS105" s="101">
        <f t="shared" si="182"/>
        <v>2</v>
      </c>
      <c r="FT105" s="101">
        <f t="shared" si="183"/>
        <v>9</v>
      </c>
      <c r="FU105" s="101" t="str">
        <f t="shared" si="163"/>
        <v>金币</v>
      </c>
      <c r="FV105" s="139">
        <f>IF($FT105&gt;0,IF(INDEX($EI$6:$EI$77,$FO105)&gt;=FV$3,ROUND(INDEX(EK$6:EK$77,$FO105)*INDEX(卡牌消耗!$B$8:$F$8,FQ105)/5,0)*5,""),"")</f>
        <v>1695</v>
      </c>
      <c r="FW105" s="101" t="str">
        <f t="shared" si="164"/>
        <v>专属强化石1</v>
      </c>
      <c r="FX105" s="101">
        <f t="shared" si="165"/>
        <v>24</v>
      </c>
      <c r="FY105" s="101" t="str">
        <f t="shared" si="166"/>
        <v>专属强化石2</v>
      </c>
      <c r="FZ105" s="101">
        <f t="shared" si="167"/>
        <v>8</v>
      </c>
      <c r="GA105" s="101">
        <f t="shared" si="184"/>
        <v>0.06</v>
      </c>
      <c r="GB105" s="101">
        <f t="shared" si="185"/>
        <v>1</v>
      </c>
      <c r="GC105" s="101">
        <f t="shared" si="186"/>
        <v>27</v>
      </c>
      <c r="GD105" s="101">
        <f t="shared" si="187"/>
        <v>0</v>
      </c>
      <c r="GE105" s="101">
        <f t="shared" si="188"/>
        <v>1</v>
      </c>
      <c r="GF105" s="101">
        <f t="shared" si="189"/>
        <v>6</v>
      </c>
      <c r="GG105" s="101">
        <f t="shared" si="190"/>
        <v>2.8000000000000001E-2</v>
      </c>
      <c r="GH105" s="101">
        <f t="shared" si="191"/>
        <v>1</v>
      </c>
      <c r="GI105" s="101">
        <f t="shared" si="192"/>
        <v>12</v>
      </c>
      <c r="GJ105" s="101">
        <f t="shared" si="193"/>
        <v>0.11210000000000001</v>
      </c>
      <c r="GK105" s="101">
        <f t="shared" si="194"/>
        <v>1</v>
      </c>
      <c r="GL105" s="101">
        <f t="shared" si="195"/>
        <v>27</v>
      </c>
    </row>
    <row r="106" spans="170:194" ht="16.5" x14ac:dyDescent="0.2">
      <c r="FN106" s="101">
        <v>101</v>
      </c>
      <c r="FO106" s="101">
        <f t="shared" si="180"/>
        <v>0</v>
      </c>
      <c r="FP106" s="101">
        <f t="shared" si="158"/>
        <v>2</v>
      </c>
      <c r="FQ106" s="14">
        <f t="shared" si="159"/>
        <v>3</v>
      </c>
      <c r="FR106" s="101" t="str">
        <f t="shared" si="181"/>
        <v>许褚专属武器-魂珠-3 0级</v>
      </c>
      <c r="FS106" s="101">
        <f t="shared" si="182"/>
        <v>3</v>
      </c>
      <c r="FT106" s="101">
        <f t="shared" si="183"/>
        <v>0</v>
      </c>
      <c r="FU106" s="101" t="str">
        <f t="shared" si="163"/>
        <v/>
      </c>
      <c r="FV106" s="139" t="str">
        <f>IF($FT106&gt;0,IF(INDEX($EI$6:$EI$77,$FO106)&gt;=FV$3,ROUND(INDEX(EK$6:EK$77,$FO106)*INDEX(卡牌消耗!$B$8:$F$8,FQ106)/5,0)*5,""),"")</f>
        <v/>
      </c>
      <c r="FW106" s="101" t="str">
        <f t="shared" si="164"/>
        <v/>
      </c>
      <c r="FX106" s="101" t="str">
        <f t="shared" si="165"/>
        <v/>
      </c>
      <c r="FY106" s="101" t="str">
        <f t="shared" si="166"/>
        <v/>
      </c>
      <c r="FZ106" s="101" t="str">
        <f t="shared" si="167"/>
        <v/>
      </c>
      <c r="GA106" s="101" t="str">
        <f t="shared" si="184"/>
        <v/>
      </c>
      <c r="GB106" s="101" t="str">
        <f t="shared" si="185"/>
        <v/>
      </c>
      <c r="GC106" s="101" t="str">
        <f t="shared" si="186"/>
        <v/>
      </c>
      <c r="GD106" s="101" t="str">
        <f t="shared" si="187"/>
        <v/>
      </c>
      <c r="GE106" s="101" t="str">
        <f t="shared" si="188"/>
        <v/>
      </c>
      <c r="GF106" s="101" t="str">
        <f t="shared" si="189"/>
        <v/>
      </c>
      <c r="GG106" s="101" t="str">
        <f t="shared" si="190"/>
        <v/>
      </c>
      <c r="GH106" s="101" t="str">
        <f t="shared" si="191"/>
        <v/>
      </c>
      <c r="GI106" s="101" t="str">
        <f t="shared" si="192"/>
        <v/>
      </c>
      <c r="GJ106" s="101" t="str">
        <f t="shared" si="193"/>
        <v/>
      </c>
      <c r="GK106" s="101" t="str">
        <f t="shared" si="194"/>
        <v/>
      </c>
      <c r="GL106" s="101" t="str">
        <f t="shared" si="195"/>
        <v/>
      </c>
    </row>
    <row r="107" spans="170:194" ht="16.5" x14ac:dyDescent="0.2">
      <c r="FN107" s="101">
        <v>102</v>
      </c>
      <c r="FO107" s="101">
        <f t="shared" si="180"/>
        <v>19</v>
      </c>
      <c r="FP107" s="101">
        <f t="shared" si="158"/>
        <v>2</v>
      </c>
      <c r="FQ107" s="14">
        <f t="shared" si="159"/>
        <v>3</v>
      </c>
      <c r="FR107" s="101" t="str">
        <f t="shared" si="181"/>
        <v>许褚专属武器-魂珠-3 1级</v>
      </c>
      <c r="FS107" s="101">
        <f t="shared" si="182"/>
        <v>3</v>
      </c>
      <c r="FT107" s="101">
        <f t="shared" si="183"/>
        <v>1</v>
      </c>
      <c r="FU107" s="101" t="str">
        <f t="shared" si="163"/>
        <v>金币</v>
      </c>
      <c r="FV107" s="139">
        <f>IF($FT107&gt;0,IF(INDEX($EI$6:$EI$77,$FO107)&gt;=FV$3,ROUND(INDEX(EK$6:EK$77,$FO107)*INDEX(卡牌消耗!$B$8:$F$8,FQ107)/5,0)*5,""),"")</f>
        <v>545</v>
      </c>
      <c r="FW107" s="101" t="str">
        <f t="shared" si="164"/>
        <v>专属强化石1</v>
      </c>
      <c r="FX107" s="101">
        <f t="shared" si="165"/>
        <v>4</v>
      </c>
      <c r="FY107" s="101" t="str">
        <f t="shared" si="166"/>
        <v>专属强化石2</v>
      </c>
      <c r="FZ107" s="101">
        <f t="shared" si="167"/>
        <v>2</v>
      </c>
      <c r="GA107" s="101">
        <f t="shared" si="184"/>
        <v>0.31</v>
      </c>
      <c r="GB107" s="101">
        <f t="shared" si="185"/>
        <v>1</v>
      </c>
      <c r="GC107" s="101">
        <f t="shared" si="186"/>
        <v>5</v>
      </c>
      <c r="GD107" s="101">
        <f t="shared" si="187"/>
        <v>0</v>
      </c>
      <c r="GE107" s="101">
        <f t="shared" si="188"/>
        <v>1</v>
      </c>
      <c r="GF107" s="101">
        <f t="shared" si="189"/>
        <v>1</v>
      </c>
      <c r="GG107" s="101">
        <f t="shared" si="190"/>
        <v>0.15409999999999999</v>
      </c>
      <c r="GH107" s="101">
        <f t="shared" si="191"/>
        <v>1</v>
      </c>
      <c r="GI107" s="101">
        <f t="shared" si="192"/>
        <v>2</v>
      </c>
      <c r="GJ107" s="101">
        <f t="shared" si="193"/>
        <v>0.61650000000000005</v>
      </c>
      <c r="GK107" s="101">
        <f t="shared" si="194"/>
        <v>1</v>
      </c>
      <c r="GL107" s="101">
        <f t="shared" si="195"/>
        <v>5</v>
      </c>
    </row>
    <row r="108" spans="170:194" ht="16.5" x14ac:dyDescent="0.2">
      <c r="FN108" s="101">
        <v>103</v>
      </c>
      <c r="FO108" s="101">
        <f t="shared" si="180"/>
        <v>20</v>
      </c>
      <c r="FP108" s="101">
        <f t="shared" si="158"/>
        <v>2</v>
      </c>
      <c r="FQ108" s="14">
        <f t="shared" si="159"/>
        <v>3</v>
      </c>
      <c r="FR108" s="101" t="str">
        <f t="shared" si="181"/>
        <v>许褚专属武器-魂珠-3 2级</v>
      </c>
      <c r="FS108" s="101">
        <f t="shared" si="182"/>
        <v>3</v>
      </c>
      <c r="FT108" s="101">
        <f t="shared" si="183"/>
        <v>2</v>
      </c>
      <c r="FU108" s="101" t="str">
        <f t="shared" si="163"/>
        <v>金币</v>
      </c>
      <c r="FV108" s="139">
        <f>IF($FT108&gt;0,IF(INDEX($EI$6:$EI$77,$FO108)&gt;=FV$3,ROUND(INDEX(EK$6:EK$77,$FO108)*INDEX(卡牌消耗!$B$8:$F$8,FQ108)/5,0)*5,""),"")</f>
        <v>410</v>
      </c>
      <c r="FW108" s="101" t="str">
        <f t="shared" si="164"/>
        <v>专属强化石1</v>
      </c>
      <c r="FX108" s="101">
        <f t="shared" si="165"/>
        <v>4</v>
      </c>
      <c r="FY108" s="101" t="str">
        <f t="shared" si="166"/>
        <v>专属强化石2</v>
      </c>
      <c r="FZ108" s="101">
        <f t="shared" si="167"/>
        <v>2</v>
      </c>
      <c r="GA108" s="101">
        <f t="shared" si="184"/>
        <v>0.15</v>
      </c>
      <c r="GB108" s="101">
        <f t="shared" si="185"/>
        <v>1</v>
      </c>
      <c r="GC108" s="101">
        <f t="shared" si="186"/>
        <v>10</v>
      </c>
      <c r="GD108" s="101">
        <f t="shared" si="187"/>
        <v>0</v>
      </c>
      <c r="GE108" s="101">
        <f t="shared" si="188"/>
        <v>1</v>
      </c>
      <c r="GF108" s="101">
        <f t="shared" si="189"/>
        <v>2</v>
      </c>
      <c r="GG108" s="101">
        <f t="shared" si="190"/>
        <v>7.7100000000000002E-2</v>
      </c>
      <c r="GH108" s="101">
        <f t="shared" si="191"/>
        <v>1</v>
      </c>
      <c r="GI108" s="101">
        <f t="shared" si="192"/>
        <v>5</v>
      </c>
      <c r="GJ108" s="101">
        <f t="shared" si="193"/>
        <v>0.30830000000000002</v>
      </c>
      <c r="GK108" s="101">
        <f t="shared" si="194"/>
        <v>1</v>
      </c>
      <c r="GL108" s="101">
        <f t="shared" si="195"/>
        <v>10</v>
      </c>
    </row>
    <row r="109" spans="170:194" ht="16.5" x14ac:dyDescent="0.2">
      <c r="FN109" s="101">
        <v>104</v>
      </c>
      <c r="FO109" s="101">
        <f t="shared" si="180"/>
        <v>21</v>
      </c>
      <c r="FP109" s="101">
        <f t="shared" si="158"/>
        <v>2</v>
      </c>
      <c r="FQ109" s="14">
        <f t="shared" si="159"/>
        <v>3</v>
      </c>
      <c r="FR109" s="101" t="str">
        <f t="shared" si="181"/>
        <v>许褚专属武器-魂珠-3 3级</v>
      </c>
      <c r="FS109" s="101">
        <f t="shared" si="182"/>
        <v>3</v>
      </c>
      <c r="FT109" s="101">
        <f t="shared" si="183"/>
        <v>3</v>
      </c>
      <c r="FU109" s="101" t="str">
        <f t="shared" si="163"/>
        <v>金币</v>
      </c>
      <c r="FV109" s="139">
        <f>IF($FT109&gt;0,IF(INDEX($EI$6:$EI$77,$FO109)&gt;=FV$3,ROUND(INDEX(EK$6:EK$77,$FO109)*INDEX(卡牌消耗!$B$8:$F$8,FQ109)/5,0)*5,""),"")</f>
        <v>680</v>
      </c>
      <c r="FW109" s="101" t="str">
        <f t="shared" si="164"/>
        <v>专属强化石1</v>
      </c>
      <c r="FX109" s="101">
        <f t="shared" si="165"/>
        <v>6</v>
      </c>
      <c r="FY109" s="101" t="str">
        <f t="shared" si="166"/>
        <v>专属强化石2</v>
      </c>
      <c r="FZ109" s="101">
        <f t="shared" si="167"/>
        <v>3</v>
      </c>
      <c r="GA109" s="101">
        <f t="shared" si="184"/>
        <v>0.15</v>
      </c>
      <c r="GB109" s="101">
        <f t="shared" si="185"/>
        <v>1</v>
      </c>
      <c r="GC109" s="101">
        <f t="shared" si="186"/>
        <v>10</v>
      </c>
      <c r="GD109" s="101">
        <f t="shared" si="187"/>
        <v>0</v>
      </c>
      <c r="GE109" s="101">
        <f t="shared" si="188"/>
        <v>1</v>
      </c>
      <c r="GF109" s="101">
        <f t="shared" si="189"/>
        <v>2</v>
      </c>
      <c r="GG109" s="101">
        <f t="shared" si="190"/>
        <v>7.7100000000000002E-2</v>
      </c>
      <c r="GH109" s="101">
        <f t="shared" si="191"/>
        <v>1</v>
      </c>
      <c r="GI109" s="101">
        <f t="shared" si="192"/>
        <v>5</v>
      </c>
      <c r="GJ109" s="101">
        <f t="shared" si="193"/>
        <v>0.30830000000000002</v>
      </c>
      <c r="GK109" s="101">
        <f t="shared" si="194"/>
        <v>1</v>
      </c>
      <c r="GL109" s="101">
        <f t="shared" si="195"/>
        <v>10</v>
      </c>
    </row>
    <row r="110" spans="170:194" ht="16.5" x14ac:dyDescent="0.2">
      <c r="FN110" s="101">
        <v>105</v>
      </c>
      <c r="FO110" s="101">
        <f t="shared" si="180"/>
        <v>22</v>
      </c>
      <c r="FP110" s="101">
        <f t="shared" si="158"/>
        <v>2</v>
      </c>
      <c r="FQ110" s="14">
        <f t="shared" si="159"/>
        <v>3</v>
      </c>
      <c r="FR110" s="101" t="str">
        <f t="shared" si="181"/>
        <v>许褚专属武器-魂珠-3 4级</v>
      </c>
      <c r="FS110" s="101">
        <f t="shared" si="182"/>
        <v>3</v>
      </c>
      <c r="FT110" s="101">
        <f t="shared" si="183"/>
        <v>4</v>
      </c>
      <c r="FU110" s="101" t="str">
        <f t="shared" si="163"/>
        <v>金币</v>
      </c>
      <c r="FV110" s="139">
        <f>IF($FT110&gt;0,IF(INDEX($EI$6:$EI$77,$FO110)&gt;=FV$3,ROUND(INDEX(EK$6:EK$77,$FO110)*INDEX(卡牌消耗!$B$8:$F$8,FQ110)/5,0)*5,""),"")</f>
        <v>655</v>
      </c>
      <c r="FW110" s="101" t="str">
        <f t="shared" si="164"/>
        <v>专属强化石1</v>
      </c>
      <c r="FX110" s="101">
        <f t="shared" si="165"/>
        <v>6</v>
      </c>
      <c r="FY110" s="101" t="str">
        <f t="shared" si="166"/>
        <v>专属强化石2</v>
      </c>
      <c r="FZ110" s="101">
        <f t="shared" si="167"/>
        <v>3</v>
      </c>
      <c r="GA110" s="101">
        <f t="shared" si="184"/>
        <v>0.09</v>
      </c>
      <c r="GB110" s="101">
        <f t="shared" si="185"/>
        <v>1</v>
      </c>
      <c r="GC110" s="101">
        <f t="shared" si="186"/>
        <v>16</v>
      </c>
      <c r="GD110" s="101">
        <f t="shared" si="187"/>
        <v>0</v>
      </c>
      <c r="GE110" s="101">
        <f t="shared" si="188"/>
        <v>1</v>
      </c>
      <c r="GF110" s="101">
        <f t="shared" si="189"/>
        <v>4</v>
      </c>
      <c r="GG110" s="101">
        <f t="shared" si="190"/>
        <v>4.6199999999999998E-2</v>
      </c>
      <c r="GH110" s="101">
        <f t="shared" si="191"/>
        <v>1</v>
      </c>
      <c r="GI110" s="101">
        <f t="shared" si="192"/>
        <v>8</v>
      </c>
      <c r="GJ110" s="101">
        <f t="shared" si="193"/>
        <v>0.185</v>
      </c>
      <c r="GK110" s="101">
        <f t="shared" si="194"/>
        <v>1</v>
      </c>
      <c r="GL110" s="101">
        <f t="shared" si="195"/>
        <v>16</v>
      </c>
    </row>
    <row r="111" spans="170:194" ht="16.5" x14ac:dyDescent="0.2">
      <c r="FN111" s="101">
        <v>106</v>
      </c>
      <c r="FO111" s="101">
        <f t="shared" si="180"/>
        <v>23</v>
      </c>
      <c r="FP111" s="101">
        <f t="shared" si="158"/>
        <v>2</v>
      </c>
      <c r="FQ111" s="14">
        <f t="shared" si="159"/>
        <v>3</v>
      </c>
      <c r="FR111" s="101" t="str">
        <f t="shared" si="181"/>
        <v>许褚专属武器-魂珠-3 5级</v>
      </c>
      <c r="FS111" s="101">
        <f t="shared" si="182"/>
        <v>3</v>
      </c>
      <c r="FT111" s="101">
        <f t="shared" si="183"/>
        <v>5</v>
      </c>
      <c r="FU111" s="101" t="str">
        <f t="shared" si="163"/>
        <v>金币</v>
      </c>
      <c r="FV111" s="139">
        <f>IF($FT111&gt;0,IF(INDEX($EI$6:$EI$77,$FO111)&gt;=FV$3,ROUND(INDEX(EK$6:EK$77,$FO111)*INDEX(卡牌消耗!$B$8:$F$8,FQ111)/5,0)*5,""),"")</f>
        <v>885</v>
      </c>
      <c r="FW111" s="101" t="str">
        <f t="shared" si="164"/>
        <v>专属强化石1</v>
      </c>
      <c r="FX111" s="101">
        <f t="shared" si="165"/>
        <v>8</v>
      </c>
      <c r="FY111" s="101" t="str">
        <f t="shared" si="166"/>
        <v>专属强化石2</v>
      </c>
      <c r="FZ111" s="101">
        <f t="shared" si="167"/>
        <v>4</v>
      </c>
      <c r="GA111" s="101">
        <f t="shared" si="184"/>
        <v>0.08</v>
      </c>
      <c r="GB111" s="101">
        <f t="shared" si="185"/>
        <v>1</v>
      </c>
      <c r="GC111" s="101">
        <f t="shared" si="186"/>
        <v>19</v>
      </c>
      <c r="GD111" s="101">
        <f t="shared" si="187"/>
        <v>0</v>
      </c>
      <c r="GE111" s="101">
        <f t="shared" si="188"/>
        <v>1</v>
      </c>
      <c r="GF111" s="101">
        <f t="shared" si="189"/>
        <v>5</v>
      </c>
      <c r="GG111" s="101">
        <f t="shared" si="190"/>
        <v>3.85E-2</v>
      </c>
      <c r="GH111" s="101">
        <f t="shared" si="191"/>
        <v>1</v>
      </c>
      <c r="GI111" s="101">
        <f t="shared" si="192"/>
        <v>9</v>
      </c>
      <c r="GJ111" s="101">
        <f t="shared" si="193"/>
        <v>0.15409999999999999</v>
      </c>
      <c r="GK111" s="101">
        <f t="shared" si="194"/>
        <v>1</v>
      </c>
      <c r="GL111" s="101">
        <f t="shared" si="195"/>
        <v>19</v>
      </c>
    </row>
    <row r="112" spans="170:194" ht="16.5" x14ac:dyDescent="0.2">
      <c r="FN112" s="101">
        <v>107</v>
      </c>
      <c r="FO112" s="101">
        <f t="shared" si="180"/>
        <v>24</v>
      </c>
      <c r="FP112" s="101">
        <f t="shared" si="158"/>
        <v>2</v>
      </c>
      <c r="FQ112" s="14">
        <f t="shared" si="159"/>
        <v>3</v>
      </c>
      <c r="FR112" s="101" t="str">
        <f t="shared" si="181"/>
        <v>许褚专属武器-魂珠-3 6级</v>
      </c>
      <c r="FS112" s="101">
        <f t="shared" si="182"/>
        <v>3</v>
      </c>
      <c r="FT112" s="101">
        <f t="shared" si="183"/>
        <v>6</v>
      </c>
      <c r="FU112" s="101" t="str">
        <f t="shared" si="163"/>
        <v>金币</v>
      </c>
      <c r="FV112" s="139">
        <f>IF($FT112&gt;0,IF(INDEX($EI$6:$EI$77,$FO112)&gt;=FV$3,ROUND(INDEX(EK$6:EK$77,$FO112)*INDEX(卡牌消耗!$B$8:$F$8,FQ112)/5,0)*5,""),"")</f>
        <v>1100</v>
      </c>
      <c r="FW112" s="101" t="str">
        <f t="shared" si="164"/>
        <v>专属强化石1</v>
      </c>
      <c r="FX112" s="101">
        <f t="shared" si="165"/>
        <v>10</v>
      </c>
      <c r="FY112" s="101" t="str">
        <f t="shared" si="166"/>
        <v>专属强化石2</v>
      </c>
      <c r="FZ112" s="101">
        <f t="shared" si="167"/>
        <v>5</v>
      </c>
      <c r="GA112" s="101">
        <f t="shared" si="184"/>
        <v>0.06</v>
      </c>
      <c r="GB112" s="101">
        <f t="shared" si="185"/>
        <v>1</v>
      </c>
      <c r="GC112" s="101">
        <f t="shared" si="186"/>
        <v>25</v>
      </c>
      <c r="GD112" s="101">
        <f t="shared" si="187"/>
        <v>0</v>
      </c>
      <c r="GE112" s="101">
        <f t="shared" si="188"/>
        <v>1</v>
      </c>
      <c r="GF112" s="101">
        <f t="shared" si="189"/>
        <v>6</v>
      </c>
      <c r="GG112" s="101">
        <f t="shared" si="190"/>
        <v>2.9600000000000001E-2</v>
      </c>
      <c r="GH112" s="101">
        <f t="shared" si="191"/>
        <v>1</v>
      </c>
      <c r="GI112" s="101">
        <f t="shared" si="192"/>
        <v>12</v>
      </c>
      <c r="GJ112" s="101">
        <f t="shared" si="193"/>
        <v>0.1186</v>
      </c>
      <c r="GK112" s="101">
        <f t="shared" si="194"/>
        <v>1</v>
      </c>
      <c r="GL112" s="101">
        <f t="shared" si="195"/>
        <v>25</v>
      </c>
    </row>
    <row r="113" spans="170:194" ht="16.5" x14ac:dyDescent="0.2">
      <c r="FN113" s="101">
        <v>108</v>
      </c>
      <c r="FO113" s="101">
        <f t="shared" si="180"/>
        <v>25</v>
      </c>
      <c r="FP113" s="101">
        <f t="shared" si="158"/>
        <v>2</v>
      </c>
      <c r="FQ113" s="14">
        <f t="shared" si="159"/>
        <v>3</v>
      </c>
      <c r="FR113" s="101" t="str">
        <f t="shared" si="181"/>
        <v>许褚专属武器-魂珠-3 7级</v>
      </c>
      <c r="FS113" s="101">
        <f t="shared" si="182"/>
        <v>3</v>
      </c>
      <c r="FT113" s="101">
        <f t="shared" si="183"/>
        <v>7</v>
      </c>
      <c r="FU113" s="101" t="str">
        <f t="shared" si="163"/>
        <v>金币</v>
      </c>
      <c r="FV113" s="139">
        <f>IF($FT113&gt;0,IF(INDEX($EI$6:$EI$77,$FO113)&gt;=FV$3,ROUND(INDEX(EK$6:EK$77,$FO113)*INDEX(卡牌消耗!$B$8:$F$8,FQ113)/5,0)*5,""),"")</f>
        <v>1325</v>
      </c>
      <c r="FW113" s="101" t="str">
        <f t="shared" si="164"/>
        <v>专属强化石1</v>
      </c>
      <c r="FX113" s="101">
        <f t="shared" si="165"/>
        <v>12</v>
      </c>
      <c r="FY113" s="101" t="str">
        <f t="shared" si="166"/>
        <v>专属强化石2</v>
      </c>
      <c r="FZ113" s="101">
        <f t="shared" si="167"/>
        <v>6</v>
      </c>
      <c r="GA113" s="101">
        <f t="shared" si="184"/>
        <v>0.04</v>
      </c>
      <c r="GB113" s="101">
        <f t="shared" si="185"/>
        <v>1</v>
      </c>
      <c r="GC113" s="101">
        <f t="shared" si="186"/>
        <v>34</v>
      </c>
      <c r="GD113" s="101">
        <f t="shared" si="187"/>
        <v>0</v>
      </c>
      <c r="GE113" s="101">
        <f t="shared" si="188"/>
        <v>1</v>
      </c>
      <c r="GF113" s="101">
        <f t="shared" si="189"/>
        <v>8</v>
      </c>
      <c r="GG113" s="101">
        <f t="shared" si="190"/>
        <v>2.1999999999999999E-2</v>
      </c>
      <c r="GH113" s="101">
        <f t="shared" si="191"/>
        <v>1</v>
      </c>
      <c r="GI113" s="101">
        <f t="shared" si="192"/>
        <v>16</v>
      </c>
      <c r="GJ113" s="101">
        <f t="shared" si="193"/>
        <v>8.8099999999999998E-2</v>
      </c>
      <c r="GK113" s="101">
        <f t="shared" si="194"/>
        <v>1</v>
      </c>
      <c r="GL113" s="101">
        <f t="shared" si="195"/>
        <v>34</v>
      </c>
    </row>
    <row r="114" spans="170:194" ht="16.5" x14ac:dyDescent="0.2">
      <c r="FN114" s="101">
        <v>109</v>
      </c>
      <c r="FO114" s="101">
        <f t="shared" si="180"/>
        <v>26</v>
      </c>
      <c r="FP114" s="101">
        <f t="shared" si="158"/>
        <v>2</v>
      </c>
      <c r="FQ114" s="14">
        <f t="shared" si="159"/>
        <v>3</v>
      </c>
      <c r="FR114" s="101" t="str">
        <f t="shared" si="181"/>
        <v>许褚专属武器-魂珠-3 8级</v>
      </c>
      <c r="FS114" s="101">
        <f t="shared" si="182"/>
        <v>3</v>
      </c>
      <c r="FT114" s="101">
        <f t="shared" si="183"/>
        <v>8</v>
      </c>
      <c r="FU114" s="101" t="str">
        <f t="shared" si="163"/>
        <v>金币</v>
      </c>
      <c r="FV114" s="139">
        <f>IF($FT114&gt;0,IF(INDEX($EI$6:$EI$77,$FO114)&gt;=FV$3,ROUND(INDEX(EK$6:EK$77,$FO114)*INDEX(卡牌消耗!$B$8:$F$8,FQ114)/5,0)*5,""),"")</f>
        <v>1765</v>
      </c>
      <c r="FW114" s="101" t="str">
        <f t="shared" si="164"/>
        <v>专属强化石1</v>
      </c>
      <c r="FX114" s="101">
        <f t="shared" si="165"/>
        <v>16</v>
      </c>
      <c r="FY114" s="101" t="str">
        <f t="shared" si="166"/>
        <v>专属强化石2</v>
      </c>
      <c r="FZ114" s="101">
        <f t="shared" si="167"/>
        <v>8</v>
      </c>
      <c r="GA114" s="101">
        <f t="shared" si="184"/>
        <v>0.04</v>
      </c>
      <c r="GB114" s="101">
        <f t="shared" si="185"/>
        <v>1</v>
      </c>
      <c r="GC114" s="101">
        <f t="shared" si="186"/>
        <v>41</v>
      </c>
      <c r="GD114" s="101">
        <f t="shared" si="187"/>
        <v>0</v>
      </c>
      <c r="GE114" s="101">
        <f t="shared" si="188"/>
        <v>1</v>
      </c>
      <c r="GF114" s="101">
        <f t="shared" si="189"/>
        <v>10</v>
      </c>
      <c r="GG114" s="101">
        <f t="shared" si="190"/>
        <v>1.8100000000000002E-2</v>
      </c>
      <c r="GH114" s="101">
        <f t="shared" si="191"/>
        <v>1</v>
      </c>
      <c r="GI114" s="101">
        <f t="shared" si="192"/>
        <v>19</v>
      </c>
      <c r="GJ114" s="101">
        <f t="shared" si="193"/>
        <v>7.2499999999999995E-2</v>
      </c>
      <c r="GK114" s="101">
        <f t="shared" si="194"/>
        <v>1</v>
      </c>
      <c r="GL114" s="101">
        <f t="shared" si="195"/>
        <v>41</v>
      </c>
    </row>
    <row r="115" spans="170:194" ht="16.5" x14ac:dyDescent="0.2">
      <c r="FN115" s="101">
        <v>110</v>
      </c>
      <c r="FO115" s="101">
        <f t="shared" si="180"/>
        <v>27</v>
      </c>
      <c r="FP115" s="101">
        <f t="shared" si="158"/>
        <v>2</v>
      </c>
      <c r="FQ115" s="14">
        <f t="shared" si="159"/>
        <v>3</v>
      </c>
      <c r="FR115" s="101" t="str">
        <f t="shared" si="181"/>
        <v>许褚专属武器-魂珠-3 9级</v>
      </c>
      <c r="FS115" s="101">
        <f t="shared" si="182"/>
        <v>3</v>
      </c>
      <c r="FT115" s="101">
        <f t="shared" si="183"/>
        <v>9</v>
      </c>
      <c r="FU115" s="101" t="str">
        <f t="shared" si="163"/>
        <v>金币</v>
      </c>
      <c r="FV115" s="139">
        <f>IF($FT115&gt;0,IF(INDEX($EI$6:$EI$77,$FO115)&gt;=FV$3,ROUND(INDEX(EK$6:EK$77,$FO115)*INDEX(卡牌消耗!$B$8:$F$8,FQ115)/5,0)*5,""),"")</f>
        <v>2205</v>
      </c>
      <c r="FW115" s="101" t="str">
        <f t="shared" si="164"/>
        <v>专属强化石1</v>
      </c>
      <c r="FX115" s="101">
        <f t="shared" si="165"/>
        <v>20</v>
      </c>
      <c r="FY115" s="101" t="str">
        <f t="shared" si="166"/>
        <v>专属强化石2</v>
      </c>
      <c r="FZ115" s="101">
        <f t="shared" si="167"/>
        <v>10</v>
      </c>
      <c r="GA115" s="101">
        <f t="shared" si="184"/>
        <v>0.03</v>
      </c>
      <c r="GB115" s="101">
        <f t="shared" si="185"/>
        <v>1</v>
      </c>
      <c r="GC115" s="101">
        <f t="shared" si="186"/>
        <v>54</v>
      </c>
      <c r="GD115" s="101">
        <f t="shared" si="187"/>
        <v>0</v>
      </c>
      <c r="GE115" s="101">
        <f t="shared" si="188"/>
        <v>1</v>
      </c>
      <c r="GF115" s="101">
        <f t="shared" si="189"/>
        <v>12</v>
      </c>
      <c r="GG115" s="101">
        <f t="shared" si="190"/>
        <v>1.4E-2</v>
      </c>
      <c r="GH115" s="101">
        <f t="shared" si="191"/>
        <v>1</v>
      </c>
      <c r="GI115" s="101">
        <f t="shared" si="192"/>
        <v>25</v>
      </c>
      <c r="GJ115" s="101">
        <f t="shared" si="193"/>
        <v>5.6000000000000001E-2</v>
      </c>
      <c r="GK115" s="101">
        <f t="shared" si="194"/>
        <v>1</v>
      </c>
      <c r="GL115" s="101">
        <f t="shared" si="195"/>
        <v>54</v>
      </c>
    </row>
    <row r="116" spans="170:194" ht="16.5" x14ac:dyDescent="0.2">
      <c r="FN116" s="101">
        <v>111</v>
      </c>
      <c r="FO116" s="101">
        <f t="shared" si="180"/>
        <v>0</v>
      </c>
      <c r="FP116" s="101">
        <f t="shared" si="158"/>
        <v>2</v>
      </c>
      <c r="FQ116" s="14">
        <f t="shared" si="159"/>
        <v>3</v>
      </c>
      <c r="FR116" s="101" t="str">
        <f t="shared" si="181"/>
        <v>许褚专属武器-魂珠-4 0级</v>
      </c>
      <c r="FS116" s="101">
        <f t="shared" si="182"/>
        <v>4</v>
      </c>
      <c r="FT116" s="101">
        <f t="shared" si="183"/>
        <v>0</v>
      </c>
      <c r="FU116" s="101" t="str">
        <f t="shared" si="163"/>
        <v/>
      </c>
      <c r="FV116" s="139" t="str">
        <f>IF($FT116&gt;0,IF(INDEX($EI$6:$EI$77,$FO116)&gt;=FV$3,ROUND(INDEX(EK$6:EK$77,$FO116)*INDEX(卡牌消耗!$B$8:$F$8,FQ116)/5,0)*5,""),"")</f>
        <v/>
      </c>
      <c r="FW116" s="101" t="str">
        <f t="shared" si="164"/>
        <v/>
      </c>
      <c r="FX116" s="101" t="str">
        <f t="shared" si="165"/>
        <v/>
      </c>
      <c r="FY116" s="101" t="str">
        <f t="shared" si="166"/>
        <v/>
      </c>
      <c r="FZ116" s="101" t="str">
        <f t="shared" si="167"/>
        <v/>
      </c>
      <c r="GA116" s="101" t="str">
        <f t="shared" si="184"/>
        <v/>
      </c>
      <c r="GB116" s="101" t="str">
        <f t="shared" si="185"/>
        <v/>
      </c>
      <c r="GC116" s="101" t="str">
        <f t="shared" si="186"/>
        <v/>
      </c>
      <c r="GD116" s="101" t="str">
        <f t="shared" si="187"/>
        <v/>
      </c>
      <c r="GE116" s="101" t="str">
        <f t="shared" si="188"/>
        <v/>
      </c>
      <c r="GF116" s="101" t="str">
        <f t="shared" si="189"/>
        <v/>
      </c>
      <c r="GG116" s="101" t="str">
        <f t="shared" si="190"/>
        <v/>
      </c>
      <c r="GH116" s="101" t="str">
        <f t="shared" si="191"/>
        <v/>
      </c>
      <c r="GI116" s="101" t="str">
        <f t="shared" si="192"/>
        <v/>
      </c>
      <c r="GJ116" s="101" t="str">
        <f t="shared" si="193"/>
        <v/>
      </c>
      <c r="GK116" s="101" t="str">
        <f t="shared" si="194"/>
        <v/>
      </c>
      <c r="GL116" s="101" t="str">
        <f t="shared" si="195"/>
        <v/>
      </c>
    </row>
    <row r="117" spans="170:194" ht="16.5" x14ac:dyDescent="0.2">
      <c r="FN117" s="101">
        <v>112</v>
      </c>
      <c r="FO117" s="101">
        <f t="shared" si="180"/>
        <v>28</v>
      </c>
      <c r="FP117" s="101">
        <f t="shared" si="158"/>
        <v>2</v>
      </c>
      <c r="FQ117" s="14">
        <f t="shared" si="159"/>
        <v>3</v>
      </c>
      <c r="FR117" s="101" t="str">
        <f t="shared" si="181"/>
        <v>许褚专属武器-魂珠-4 1级</v>
      </c>
      <c r="FS117" s="101">
        <f t="shared" si="182"/>
        <v>4</v>
      </c>
      <c r="FT117" s="101">
        <f t="shared" si="183"/>
        <v>1</v>
      </c>
      <c r="FU117" s="101" t="str">
        <f t="shared" si="163"/>
        <v>金币</v>
      </c>
      <c r="FV117" s="139">
        <f>IF($FT117&gt;0,IF(INDEX($EI$6:$EI$77,$FO117)&gt;=FV$3,ROUND(INDEX(EK$6:EK$77,$FO117)*INDEX(卡牌消耗!$B$8:$F$8,FQ117)/5,0)*5,""),"")</f>
        <v>730</v>
      </c>
      <c r="FW117" s="101" t="str">
        <f t="shared" si="164"/>
        <v>专属强化石2</v>
      </c>
      <c r="FX117" s="101">
        <f t="shared" si="165"/>
        <v>3</v>
      </c>
      <c r="FY117" s="101" t="str">
        <f t="shared" si="166"/>
        <v>专属强化石3</v>
      </c>
      <c r="FZ117" s="101">
        <f t="shared" si="167"/>
        <v>1</v>
      </c>
      <c r="GA117" s="101">
        <f t="shared" si="184"/>
        <v>0.2</v>
      </c>
      <c r="GB117" s="101">
        <f t="shared" si="185"/>
        <v>1</v>
      </c>
      <c r="GC117" s="101">
        <f t="shared" si="186"/>
        <v>7</v>
      </c>
      <c r="GD117" s="101">
        <f t="shared" si="187"/>
        <v>0</v>
      </c>
      <c r="GE117" s="101">
        <f t="shared" si="188"/>
        <v>1</v>
      </c>
      <c r="GF117" s="101">
        <f t="shared" si="189"/>
        <v>2</v>
      </c>
      <c r="GG117" s="101">
        <f t="shared" si="190"/>
        <v>0.1012</v>
      </c>
      <c r="GH117" s="101">
        <f t="shared" si="191"/>
        <v>1</v>
      </c>
      <c r="GI117" s="101">
        <f t="shared" si="192"/>
        <v>3</v>
      </c>
      <c r="GJ117" s="101">
        <f t="shared" si="193"/>
        <v>0.40479999999999999</v>
      </c>
      <c r="GK117" s="101">
        <f t="shared" si="194"/>
        <v>1</v>
      </c>
      <c r="GL117" s="101">
        <f t="shared" si="195"/>
        <v>7</v>
      </c>
    </row>
    <row r="118" spans="170:194" ht="16.5" x14ac:dyDescent="0.2">
      <c r="FN118" s="101">
        <v>113</v>
      </c>
      <c r="FO118" s="101">
        <f t="shared" si="180"/>
        <v>29</v>
      </c>
      <c r="FP118" s="101">
        <f t="shared" si="158"/>
        <v>2</v>
      </c>
      <c r="FQ118" s="14">
        <f t="shared" si="159"/>
        <v>3</v>
      </c>
      <c r="FR118" s="101" t="str">
        <f t="shared" si="181"/>
        <v>许褚专属武器-魂珠-4 2级</v>
      </c>
      <c r="FS118" s="101">
        <f t="shared" si="182"/>
        <v>4</v>
      </c>
      <c r="FT118" s="101">
        <f t="shared" si="183"/>
        <v>2</v>
      </c>
      <c r="FU118" s="101" t="str">
        <f t="shared" si="163"/>
        <v>金币</v>
      </c>
      <c r="FV118" s="139">
        <f>IF($FT118&gt;0,IF(INDEX($EI$6:$EI$77,$FO118)&gt;=FV$3,ROUND(INDEX(EK$6:EK$77,$FO118)*INDEX(卡牌消耗!$B$8:$F$8,FQ118)/5,0)*5,""),"")</f>
        <v>545</v>
      </c>
      <c r="FW118" s="101" t="str">
        <f t="shared" si="164"/>
        <v>专属强化石2</v>
      </c>
      <c r="FX118" s="101">
        <f t="shared" si="165"/>
        <v>3</v>
      </c>
      <c r="FY118" s="101" t="str">
        <f t="shared" si="166"/>
        <v>专属强化石3</v>
      </c>
      <c r="FZ118" s="101">
        <f t="shared" si="167"/>
        <v>1</v>
      </c>
      <c r="GA118" s="101">
        <f t="shared" si="184"/>
        <v>0.1</v>
      </c>
      <c r="GB118" s="101">
        <f t="shared" si="185"/>
        <v>1</v>
      </c>
      <c r="GC118" s="101">
        <f t="shared" si="186"/>
        <v>15</v>
      </c>
      <c r="GD118" s="101">
        <f t="shared" si="187"/>
        <v>0</v>
      </c>
      <c r="GE118" s="101">
        <f t="shared" si="188"/>
        <v>1</v>
      </c>
      <c r="GF118" s="101">
        <f t="shared" si="189"/>
        <v>3</v>
      </c>
      <c r="GG118" s="101">
        <f t="shared" si="190"/>
        <v>5.0599999999999999E-2</v>
      </c>
      <c r="GH118" s="101">
        <f t="shared" si="191"/>
        <v>1</v>
      </c>
      <c r="GI118" s="101">
        <f t="shared" si="192"/>
        <v>7</v>
      </c>
      <c r="GJ118" s="101">
        <f t="shared" si="193"/>
        <v>0.2024</v>
      </c>
      <c r="GK118" s="101">
        <f t="shared" si="194"/>
        <v>1</v>
      </c>
      <c r="GL118" s="101">
        <f t="shared" si="195"/>
        <v>15</v>
      </c>
    </row>
    <row r="119" spans="170:194" ht="16.5" x14ac:dyDescent="0.2">
      <c r="FN119" s="101">
        <v>114</v>
      </c>
      <c r="FO119" s="101">
        <f t="shared" si="180"/>
        <v>30</v>
      </c>
      <c r="FP119" s="101">
        <f t="shared" si="158"/>
        <v>2</v>
      </c>
      <c r="FQ119" s="14">
        <f t="shared" si="159"/>
        <v>3</v>
      </c>
      <c r="FR119" s="101" t="str">
        <f t="shared" si="181"/>
        <v>许褚专属武器-魂珠-4 3级</v>
      </c>
      <c r="FS119" s="101">
        <f t="shared" si="182"/>
        <v>4</v>
      </c>
      <c r="FT119" s="101">
        <f t="shared" si="183"/>
        <v>3</v>
      </c>
      <c r="FU119" s="101" t="str">
        <f t="shared" si="163"/>
        <v>金币</v>
      </c>
      <c r="FV119" s="139">
        <f>IF($FT119&gt;0,IF(INDEX($EI$6:$EI$77,$FO119)&gt;=FV$3,ROUND(INDEX(EK$6:EK$77,$FO119)*INDEX(卡牌消耗!$B$8:$F$8,FQ119)/5,0)*5,""),"")</f>
        <v>610</v>
      </c>
      <c r="FW119" s="101" t="str">
        <f t="shared" si="164"/>
        <v>专属强化石2</v>
      </c>
      <c r="FX119" s="101">
        <f t="shared" si="165"/>
        <v>3</v>
      </c>
      <c r="FY119" s="101" t="str">
        <f t="shared" si="166"/>
        <v>专属强化石3</v>
      </c>
      <c r="FZ119" s="101">
        <f t="shared" si="167"/>
        <v>1</v>
      </c>
      <c r="GA119" s="101">
        <f t="shared" si="184"/>
        <v>7.0000000000000007E-2</v>
      </c>
      <c r="GB119" s="101">
        <f t="shared" si="185"/>
        <v>1</v>
      </c>
      <c r="GC119" s="101">
        <f t="shared" si="186"/>
        <v>22</v>
      </c>
      <c r="GD119" s="101">
        <f t="shared" si="187"/>
        <v>0</v>
      </c>
      <c r="GE119" s="101">
        <f t="shared" si="188"/>
        <v>1</v>
      </c>
      <c r="GF119" s="101">
        <f t="shared" si="189"/>
        <v>5</v>
      </c>
      <c r="GG119" s="101">
        <f t="shared" si="190"/>
        <v>3.3700000000000001E-2</v>
      </c>
      <c r="GH119" s="101">
        <f t="shared" si="191"/>
        <v>1</v>
      </c>
      <c r="GI119" s="101">
        <f t="shared" si="192"/>
        <v>10</v>
      </c>
      <c r="GJ119" s="101">
        <f t="shared" si="193"/>
        <v>0.13489999999999999</v>
      </c>
      <c r="GK119" s="101">
        <f t="shared" si="194"/>
        <v>1</v>
      </c>
      <c r="GL119" s="101">
        <f t="shared" si="195"/>
        <v>22</v>
      </c>
    </row>
    <row r="120" spans="170:194" ht="16.5" x14ac:dyDescent="0.2">
      <c r="FN120" s="101">
        <v>115</v>
      </c>
      <c r="FO120" s="101">
        <f t="shared" si="180"/>
        <v>31</v>
      </c>
      <c r="FP120" s="101">
        <f t="shared" si="158"/>
        <v>2</v>
      </c>
      <c r="FQ120" s="14">
        <f t="shared" si="159"/>
        <v>3</v>
      </c>
      <c r="FR120" s="101" t="str">
        <f t="shared" si="181"/>
        <v>许褚专属武器-魂珠-4 4级</v>
      </c>
      <c r="FS120" s="101">
        <f t="shared" si="182"/>
        <v>4</v>
      </c>
      <c r="FT120" s="101">
        <f t="shared" si="183"/>
        <v>4</v>
      </c>
      <c r="FU120" s="101" t="str">
        <f t="shared" si="163"/>
        <v>金币</v>
      </c>
      <c r="FV120" s="139">
        <f>IF($FT120&gt;0,IF(INDEX($EI$6:$EI$77,$FO120)&gt;=FV$3,ROUND(INDEX(EK$6:EK$77,$FO120)*INDEX(卡牌消耗!$B$8:$F$8,FQ120)/5,0)*5,""),"")</f>
        <v>1165</v>
      </c>
      <c r="FW120" s="101" t="str">
        <f t="shared" si="164"/>
        <v>专属强化石2</v>
      </c>
      <c r="FX120" s="101">
        <f t="shared" si="165"/>
        <v>5</v>
      </c>
      <c r="FY120" s="101" t="str">
        <f t="shared" si="166"/>
        <v>专属强化石3</v>
      </c>
      <c r="FZ120" s="101">
        <f t="shared" si="167"/>
        <v>2</v>
      </c>
      <c r="GA120" s="101">
        <f t="shared" si="184"/>
        <v>0.08</v>
      </c>
      <c r="GB120" s="101">
        <f t="shared" si="185"/>
        <v>1</v>
      </c>
      <c r="GC120" s="101">
        <f t="shared" si="186"/>
        <v>19</v>
      </c>
      <c r="GD120" s="101">
        <f t="shared" si="187"/>
        <v>0</v>
      </c>
      <c r="GE120" s="101">
        <f t="shared" si="188"/>
        <v>1</v>
      </c>
      <c r="GF120" s="101">
        <f t="shared" si="189"/>
        <v>4</v>
      </c>
      <c r="GG120" s="101">
        <f t="shared" si="190"/>
        <v>4.0500000000000001E-2</v>
      </c>
      <c r="GH120" s="101">
        <f t="shared" si="191"/>
        <v>1</v>
      </c>
      <c r="GI120" s="101">
        <f t="shared" si="192"/>
        <v>9</v>
      </c>
      <c r="GJ120" s="101">
        <f t="shared" si="193"/>
        <v>0.16189999999999999</v>
      </c>
      <c r="GK120" s="101">
        <f t="shared" si="194"/>
        <v>1</v>
      </c>
      <c r="GL120" s="101">
        <f t="shared" si="195"/>
        <v>19</v>
      </c>
    </row>
    <row r="121" spans="170:194" ht="16.5" x14ac:dyDescent="0.2">
      <c r="FN121" s="101">
        <v>116</v>
      </c>
      <c r="FO121" s="101">
        <f t="shared" si="180"/>
        <v>32</v>
      </c>
      <c r="FP121" s="101">
        <f t="shared" si="158"/>
        <v>2</v>
      </c>
      <c r="FQ121" s="14">
        <f t="shared" si="159"/>
        <v>3</v>
      </c>
      <c r="FR121" s="101" t="str">
        <f t="shared" si="181"/>
        <v>许褚专属武器-魂珠-4 5级</v>
      </c>
      <c r="FS121" s="101">
        <f t="shared" si="182"/>
        <v>4</v>
      </c>
      <c r="FT121" s="101">
        <f t="shared" si="183"/>
        <v>5</v>
      </c>
      <c r="FU121" s="101" t="str">
        <f t="shared" si="163"/>
        <v>金币</v>
      </c>
      <c r="FV121" s="139">
        <f>IF($FT121&gt;0,IF(INDEX($EI$6:$EI$77,$FO121)&gt;=FV$3,ROUND(INDEX(EK$6:EK$77,$FO121)*INDEX(卡牌消耗!$B$8:$F$8,FQ121)/5,0)*5,""),"")</f>
        <v>1185</v>
      </c>
      <c r="FW121" s="101" t="str">
        <f t="shared" si="164"/>
        <v>专属强化石2</v>
      </c>
      <c r="FX121" s="101">
        <f t="shared" si="165"/>
        <v>5</v>
      </c>
      <c r="FY121" s="101" t="str">
        <f t="shared" si="166"/>
        <v>专属强化石3</v>
      </c>
      <c r="FZ121" s="101">
        <f t="shared" si="167"/>
        <v>2</v>
      </c>
      <c r="GA121" s="101">
        <f t="shared" si="184"/>
        <v>0.05</v>
      </c>
      <c r="GB121" s="101">
        <f t="shared" si="185"/>
        <v>1</v>
      </c>
      <c r="GC121" s="101">
        <f t="shared" si="186"/>
        <v>30</v>
      </c>
      <c r="GD121" s="101">
        <f t="shared" si="187"/>
        <v>0</v>
      </c>
      <c r="GE121" s="101">
        <f t="shared" si="188"/>
        <v>1</v>
      </c>
      <c r="GF121" s="101">
        <f t="shared" si="189"/>
        <v>7</v>
      </c>
      <c r="GG121" s="101">
        <f t="shared" si="190"/>
        <v>2.53E-2</v>
      </c>
      <c r="GH121" s="101">
        <f t="shared" si="191"/>
        <v>1</v>
      </c>
      <c r="GI121" s="101">
        <f t="shared" si="192"/>
        <v>14</v>
      </c>
      <c r="GJ121" s="101">
        <f t="shared" si="193"/>
        <v>0.1012</v>
      </c>
      <c r="GK121" s="101">
        <f t="shared" si="194"/>
        <v>1</v>
      </c>
      <c r="GL121" s="101">
        <f t="shared" si="195"/>
        <v>30</v>
      </c>
    </row>
    <row r="122" spans="170:194" ht="16.5" x14ac:dyDescent="0.2">
      <c r="FN122" s="101">
        <v>117</v>
      </c>
      <c r="FO122" s="101">
        <f t="shared" si="180"/>
        <v>33</v>
      </c>
      <c r="FP122" s="101">
        <f t="shared" si="158"/>
        <v>2</v>
      </c>
      <c r="FQ122" s="14">
        <f t="shared" si="159"/>
        <v>3</v>
      </c>
      <c r="FR122" s="101" t="str">
        <f t="shared" si="181"/>
        <v>许褚专属武器-魂珠-4 6级</v>
      </c>
      <c r="FS122" s="101">
        <f t="shared" si="182"/>
        <v>4</v>
      </c>
      <c r="FT122" s="101">
        <f t="shared" si="183"/>
        <v>6</v>
      </c>
      <c r="FU122" s="101" t="str">
        <f t="shared" si="163"/>
        <v>金币</v>
      </c>
      <c r="FV122" s="139">
        <f>IF($FT122&gt;0,IF(INDEX($EI$6:$EI$77,$FO122)&gt;=FV$3,ROUND(INDEX(EK$6:EK$77,$FO122)*INDEX(卡牌消耗!$B$8:$F$8,FQ122)/5,0)*5,""),"")</f>
        <v>1180</v>
      </c>
      <c r="FW122" s="101" t="str">
        <f t="shared" si="164"/>
        <v>专属强化石2</v>
      </c>
      <c r="FX122" s="101">
        <f t="shared" si="165"/>
        <v>5</v>
      </c>
      <c r="FY122" s="101" t="str">
        <f t="shared" si="166"/>
        <v>专属强化石3</v>
      </c>
      <c r="FZ122" s="101">
        <f t="shared" si="167"/>
        <v>2</v>
      </c>
      <c r="GA122" s="101">
        <f t="shared" si="184"/>
        <v>0.03</v>
      </c>
      <c r="GB122" s="101">
        <f t="shared" si="185"/>
        <v>1</v>
      </c>
      <c r="GC122" s="101">
        <f t="shared" si="186"/>
        <v>48</v>
      </c>
      <c r="GD122" s="101">
        <f t="shared" si="187"/>
        <v>0</v>
      </c>
      <c r="GE122" s="101">
        <f t="shared" si="188"/>
        <v>1</v>
      </c>
      <c r="GF122" s="101">
        <f t="shared" si="189"/>
        <v>11</v>
      </c>
      <c r="GG122" s="101">
        <f t="shared" si="190"/>
        <v>1.5599999999999999E-2</v>
      </c>
      <c r="GH122" s="101">
        <f t="shared" si="191"/>
        <v>1</v>
      </c>
      <c r="GI122" s="101">
        <f t="shared" si="192"/>
        <v>22</v>
      </c>
      <c r="GJ122" s="101">
        <f t="shared" si="193"/>
        <v>6.2300000000000001E-2</v>
      </c>
      <c r="GK122" s="101">
        <f t="shared" si="194"/>
        <v>1</v>
      </c>
      <c r="GL122" s="101">
        <f t="shared" si="195"/>
        <v>48</v>
      </c>
    </row>
    <row r="123" spans="170:194" ht="16.5" x14ac:dyDescent="0.2">
      <c r="FN123" s="101">
        <v>118</v>
      </c>
      <c r="FO123" s="101">
        <f t="shared" si="180"/>
        <v>34</v>
      </c>
      <c r="FP123" s="101">
        <f t="shared" si="158"/>
        <v>2</v>
      </c>
      <c r="FQ123" s="14">
        <f t="shared" si="159"/>
        <v>3</v>
      </c>
      <c r="FR123" s="101" t="str">
        <f t="shared" si="181"/>
        <v>许褚专属武器-魂珠-4 7级</v>
      </c>
      <c r="FS123" s="101">
        <f t="shared" si="182"/>
        <v>4</v>
      </c>
      <c r="FT123" s="101">
        <f t="shared" si="183"/>
        <v>7</v>
      </c>
      <c r="FU123" s="101" t="str">
        <f t="shared" si="163"/>
        <v>金币</v>
      </c>
      <c r="FV123" s="139">
        <f>IF($FT123&gt;0,IF(INDEX($EI$6:$EI$77,$FO123)&gt;=FV$3,ROUND(INDEX(EK$6:EK$77,$FO123)*INDEX(卡牌消耗!$B$8:$F$8,FQ123)/5,0)*5,""),"")</f>
        <v>1770</v>
      </c>
      <c r="FW123" s="101" t="str">
        <f t="shared" si="164"/>
        <v>专属强化石2</v>
      </c>
      <c r="FX123" s="101">
        <f t="shared" si="165"/>
        <v>8</v>
      </c>
      <c r="FY123" s="101" t="str">
        <f t="shared" si="166"/>
        <v>专属强化石3</v>
      </c>
      <c r="FZ123" s="101">
        <f t="shared" si="167"/>
        <v>3</v>
      </c>
      <c r="GA123" s="101">
        <f t="shared" si="184"/>
        <v>0.03</v>
      </c>
      <c r="GB123" s="101">
        <f t="shared" si="185"/>
        <v>1</v>
      </c>
      <c r="GC123" s="101">
        <f t="shared" si="186"/>
        <v>52</v>
      </c>
      <c r="GD123" s="101">
        <f t="shared" si="187"/>
        <v>0</v>
      </c>
      <c r="GE123" s="101">
        <f t="shared" si="188"/>
        <v>1</v>
      </c>
      <c r="GF123" s="101">
        <f t="shared" si="189"/>
        <v>12</v>
      </c>
      <c r="GG123" s="101">
        <f t="shared" si="190"/>
        <v>1.4500000000000001E-2</v>
      </c>
      <c r="GH123" s="101">
        <f t="shared" si="191"/>
        <v>1</v>
      </c>
      <c r="GI123" s="101">
        <f t="shared" si="192"/>
        <v>24</v>
      </c>
      <c r="GJ123" s="101">
        <f t="shared" si="193"/>
        <v>5.7799999999999997E-2</v>
      </c>
      <c r="GK123" s="101">
        <f t="shared" si="194"/>
        <v>1</v>
      </c>
      <c r="GL123" s="101">
        <f t="shared" si="195"/>
        <v>52</v>
      </c>
    </row>
    <row r="124" spans="170:194" ht="16.5" x14ac:dyDescent="0.2">
      <c r="FN124" s="101">
        <v>119</v>
      </c>
      <c r="FO124" s="101">
        <f t="shared" si="180"/>
        <v>35</v>
      </c>
      <c r="FP124" s="101">
        <f t="shared" si="158"/>
        <v>2</v>
      </c>
      <c r="FQ124" s="14">
        <f t="shared" si="159"/>
        <v>3</v>
      </c>
      <c r="FR124" s="101" t="str">
        <f t="shared" si="181"/>
        <v>许褚专属武器-魂珠-4 8级</v>
      </c>
      <c r="FS124" s="101">
        <f t="shared" si="182"/>
        <v>4</v>
      </c>
      <c r="FT124" s="101">
        <f t="shared" si="183"/>
        <v>8</v>
      </c>
      <c r="FU124" s="101" t="str">
        <f t="shared" si="163"/>
        <v>金币</v>
      </c>
      <c r="FV124" s="139">
        <f>IF($FT124&gt;0,IF(INDEX($EI$6:$EI$77,$FO124)&gt;=FV$3,ROUND(INDEX(EK$6:EK$77,$FO124)*INDEX(卡牌消耗!$B$8:$F$8,FQ124)/5,0)*5,""),"")</f>
        <v>2360</v>
      </c>
      <c r="FW124" s="101" t="str">
        <f t="shared" si="164"/>
        <v>专属强化石2</v>
      </c>
      <c r="FX124" s="101">
        <f t="shared" si="165"/>
        <v>11</v>
      </c>
      <c r="FY124" s="101" t="str">
        <f t="shared" si="166"/>
        <v>专属强化石3</v>
      </c>
      <c r="FZ124" s="101">
        <f t="shared" si="167"/>
        <v>4</v>
      </c>
      <c r="GA124" s="101">
        <f t="shared" si="184"/>
        <v>0.02</v>
      </c>
      <c r="GB124" s="101">
        <f t="shared" si="185"/>
        <v>1</v>
      </c>
      <c r="GC124" s="101">
        <f t="shared" si="186"/>
        <v>63</v>
      </c>
      <c r="GD124" s="101">
        <f t="shared" si="187"/>
        <v>0</v>
      </c>
      <c r="GE124" s="101">
        <f t="shared" si="188"/>
        <v>1</v>
      </c>
      <c r="GF124" s="101">
        <f t="shared" si="189"/>
        <v>15</v>
      </c>
      <c r="GG124" s="101">
        <f t="shared" si="190"/>
        <v>1.1900000000000001E-2</v>
      </c>
      <c r="GH124" s="101">
        <f t="shared" si="191"/>
        <v>1</v>
      </c>
      <c r="GI124" s="101">
        <f t="shared" si="192"/>
        <v>29</v>
      </c>
      <c r="GJ124" s="101">
        <f t="shared" si="193"/>
        <v>4.7600000000000003E-2</v>
      </c>
      <c r="GK124" s="101">
        <f t="shared" si="194"/>
        <v>1</v>
      </c>
      <c r="GL124" s="101">
        <f t="shared" si="195"/>
        <v>63</v>
      </c>
    </row>
    <row r="125" spans="170:194" ht="16.5" x14ac:dyDescent="0.2">
      <c r="FN125" s="101">
        <v>120</v>
      </c>
      <c r="FO125" s="101">
        <f t="shared" si="180"/>
        <v>36</v>
      </c>
      <c r="FP125" s="101">
        <f t="shared" si="158"/>
        <v>2</v>
      </c>
      <c r="FQ125" s="14">
        <f t="shared" si="159"/>
        <v>3</v>
      </c>
      <c r="FR125" s="101" t="str">
        <f t="shared" si="181"/>
        <v>许褚专属武器-魂珠-4 9级</v>
      </c>
      <c r="FS125" s="101">
        <f t="shared" si="182"/>
        <v>4</v>
      </c>
      <c r="FT125" s="101">
        <f t="shared" si="183"/>
        <v>9</v>
      </c>
      <c r="FU125" s="101" t="str">
        <f t="shared" si="163"/>
        <v>金币</v>
      </c>
      <c r="FV125" s="139">
        <f>IF($FT125&gt;0,IF(INDEX($EI$6:$EI$77,$FO125)&gt;=FV$3,ROUND(INDEX(EK$6:EK$77,$FO125)*INDEX(卡牌消耗!$B$8:$F$8,FQ125)/5,0)*5,""),"")</f>
        <v>3540</v>
      </c>
      <c r="FW125" s="101" t="str">
        <f t="shared" si="164"/>
        <v>专属强化石2</v>
      </c>
      <c r="FX125" s="101">
        <f t="shared" si="165"/>
        <v>16</v>
      </c>
      <c r="FY125" s="101" t="str">
        <f t="shared" si="166"/>
        <v>专属强化石3</v>
      </c>
      <c r="FZ125" s="101">
        <f t="shared" si="167"/>
        <v>6</v>
      </c>
      <c r="GA125" s="101">
        <f t="shared" si="184"/>
        <v>0.02</v>
      </c>
      <c r="GB125" s="101">
        <f t="shared" si="185"/>
        <v>1</v>
      </c>
      <c r="GC125" s="101">
        <f t="shared" si="186"/>
        <v>68</v>
      </c>
      <c r="GD125" s="101">
        <f t="shared" si="187"/>
        <v>0</v>
      </c>
      <c r="GE125" s="101">
        <f t="shared" si="188"/>
        <v>1</v>
      </c>
      <c r="GF125" s="101">
        <f t="shared" si="189"/>
        <v>16</v>
      </c>
      <c r="GG125" s="101">
        <f t="shared" si="190"/>
        <v>1.0999999999999999E-2</v>
      </c>
      <c r="GH125" s="101">
        <f t="shared" si="191"/>
        <v>1</v>
      </c>
      <c r="GI125" s="101">
        <f t="shared" si="192"/>
        <v>32</v>
      </c>
      <c r="GJ125" s="101">
        <f t="shared" si="193"/>
        <v>4.4200000000000003E-2</v>
      </c>
      <c r="GK125" s="101">
        <f t="shared" si="194"/>
        <v>1</v>
      </c>
      <c r="GL125" s="101">
        <f t="shared" si="195"/>
        <v>68</v>
      </c>
    </row>
    <row r="126" spans="170:194" ht="16.5" x14ac:dyDescent="0.2">
      <c r="FN126" s="101">
        <v>121</v>
      </c>
      <c r="FO126" s="101">
        <f t="shared" si="180"/>
        <v>0</v>
      </c>
      <c r="FP126" s="101">
        <f t="shared" si="158"/>
        <v>2</v>
      </c>
      <c r="FQ126" s="14">
        <f t="shared" si="159"/>
        <v>3</v>
      </c>
      <c r="FR126" s="101" t="str">
        <f t="shared" si="181"/>
        <v>许褚专属武器-魂珠-5 0级</v>
      </c>
      <c r="FS126" s="101">
        <f t="shared" si="182"/>
        <v>5</v>
      </c>
      <c r="FT126" s="101">
        <f t="shared" si="183"/>
        <v>0</v>
      </c>
      <c r="FU126" s="101" t="str">
        <f t="shared" si="163"/>
        <v/>
      </c>
      <c r="FV126" s="139" t="str">
        <f>IF($FT126&gt;0,IF(INDEX($EI$6:$EI$77,$FO126)&gt;=FV$3,ROUND(INDEX(EK$6:EK$77,$FO126)*INDEX(卡牌消耗!$B$8:$F$8,FQ126)/5,0)*5,""),"")</f>
        <v/>
      </c>
      <c r="FW126" s="101" t="str">
        <f t="shared" si="164"/>
        <v/>
      </c>
      <c r="FX126" s="101" t="str">
        <f t="shared" si="165"/>
        <v/>
      </c>
      <c r="FY126" s="101" t="str">
        <f t="shared" si="166"/>
        <v/>
      </c>
      <c r="FZ126" s="101" t="str">
        <f t="shared" si="167"/>
        <v/>
      </c>
      <c r="GA126" s="101" t="str">
        <f t="shared" si="184"/>
        <v/>
      </c>
      <c r="GB126" s="101" t="str">
        <f t="shared" si="185"/>
        <v/>
      </c>
      <c r="GC126" s="101" t="str">
        <f t="shared" si="186"/>
        <v/>
      </c>
      <c r="GD126" s="101" t="str">
        <f t="shared" si="187"/>
        <v/>
      </c>
      <c r="GE126" s="101" t="str">
        <f t="shared" si="188"/>
        <v/>
      </c>
      <c r="GF126" s="101" t="str">
        <f t="shared" si="189"/>
        <v/>
      </c>
      <c r="GG126" s="101" t="str">
        <f t="shared" si="190"/>
        <v/>
      </c>
      <c r="GH126" s="101" t="str">
        <f t="shared" si="191"/>
        <v/>
      </c>
      <c r="GI126" s="101" t="str">
        <f t="shared" si="192"/>
        <v/>
      </c>
      <c r="GJ126" s="101" t="str">
        <f t="shared" si="193"/>
        <v/>
      </c>
      <c r="GK126" s="101" t="str">
        <f t="shared" si="194"/>
        <v/>
      </c>
      <c r="GL126" s="101" t="str">
        <f t="shared" si="195"/>
        <v/>
      </c>
    </row>
    <row r="127" spans="170:194" ht="16.5" x14ac:dyDescent="0.2">
      <c r="FN127" s="101">
        <v>122</v>
      </c>
      <c r="FO127" s="101">
        <f t="shared" si="180"/>
        <v>37</v>
      </c>
      <c r="FP127" s="101">
        <f t="shared" si="158"/>
        <v>2</v>
      </c>
      <c r="FQ127" s="14">
        <f t="shared" si="159"/>
        <v>3</v>
      </c>
      <c r="FR127" s="101" t="str">
        <f t="shared" si="181"/>
        <v>许褚专属武器-魂珠-5 1级</v>
      </c>
      <c r="FS127" s="101">
        <f t="shared" si="182"/>
        <v>5</v>
      </c>
      <c r="FT127" s="101">
        <f t="shared" si="183"/>
        <v>1</v>
      </c>
      <c r="FU127" s="101" t="str">
        <f t="shared" si="163"/>
        <v>金币</v>
      </c>
      <c r="FV127" s="139">
        <f>IF($FT127&gt;0,IF(INDEX($EI$6:$EI$77,$FO127)&gt;=FV$3,ROUND(INDEX(EK$6:EK$77,$FO127)*INDEX(卡牌消耗!$B$8:$F$8,FQ127)/5,0)*5,""),"")</f>
        <v>1495</v>
      </c>
      <c r="FW127" s="101" t="str">
        <f t="shared" si="164"/>
        <v>专属强化石2</v>
      </c>
      <c r="FX127" s="101">
        <f t="shared" si="165"/>
        <v>3</v>
      </c>
      <c r="FY127" s="101" t="str">
        <f t="shared" si="166"/>
        <v>专属强化石3</v>
      </c>
      <c r="FZ127" s="101">
        <f t="shared" si="167"/>
        <v>2</v>
      </c>
      <c r="GA127" s="101">
        <f t="shared" si="184"/>
        <v>0.2</v>
      </c>
      <c r="GB127" s="101">
        <f t="shared" si="185"/>
        <v>1</v>
      </c>
      <c r="GC127" s="101">
        <f t="shared" si="186"/>
        <v>7</v>
      </c>
      <c r="GD127" s="101">
        <f t="shared" si="187"/>
        <v>0</v>
      </c>
      <c r="GE127" s="101">
        <f t="shared" si="188"/>
        <v>1</v>
      </c>
      <c r="GF127" s="101">
        <f t="shared" si="189"/>
        <v>2</v>
      </c>
      <c r="GG127" s="101">
        <f t="shared" si="190"/>
        <v>0.1012</v>
      </c>
      <c r="GH127" s="101">
        <f t="shared" si="191"/>
        <v>1</v>
      </c>
      <c r="GI127" s="101">
        <f t="shared" si="192"/>
        <v>3</v>
      </c>
      <c r="GJ127" s="101">
        <f t="shared" si="193"/>
        <v>0.40479999999999999</v>
      </c>
      <c r="GK127" s="101">
        <f t="shared" si="194"/>
        <v>1</v>
      </c>
      <c r="GL127" s="101">
        <f t="shared" si="195"/>
        <v>7</v>
      </c>
    </row>
    <row r="128" spans="170:194" ht="16.5" x14ac:dyDescent="0.2">
      <c r="FN128" s="101">
        <v>123</v>
      </c>
      <c r="FO128" s="101">
        <f t="shared" si="180"/>
        <v>38</v>
      </c>
      <c r="FP128" s="101">
        <f t="shared" si="158"/>
        <v>2</v>
      </c>
      <c r="FQ128" s="14">
        <f t="shared" si="159"/>
        <v>3</v>
      </c>
      <c r="FR128" s="101" t="str">
        <f t="shared" si="181"/>
        <v>许褚专属武器-魂珠-5 2级</v>
      </c>
      <c r="FS128" s="101">
        <f t="shared" si="182"/>
        <v>5</v>
      </c>
      <c r="FT128" s="101">
        <f t="shared" si="183"/>
        <v>2</v>
      </c>
      <c r="FU128" s="101" t="str">
        <f t="shared" si="163"/>
        <v>金币</v>
      </c>
      <c r="FV128" s="139">
        <f>IF($FT128&gt;0,IF(INDEX($EI$6:$EI$77,$FO128)&gt;=FV$3,ROUND(INDEX(EK$6:EK$77,$FO128)*INDEX(卡牌消耗!$B$8:$F$8,FQ128)/5,0)*5,""),"")</f>
        <v>1120</v>
      </c>
      <c r="FW128" s="101" t="str">
        <f t="shared" si="164"/>
        <v>专属强化石2</v>
      </c>
      <c r="FX128" s="101">
        <f t="shared" si="165"/>
        <v>3</v>
      </c>
      <c r="FY128" s="101" t="str">
        <f t="shared" si="166"/>
        <v>专属强化石3</v>
      </c>
      <c r="FZ128" s="101">
        <f t="shared" si="167"/>
        <v>2</v>
      </c>
      <c r="GA128" s="101">
        <f t="shared" si="184"/>
        <v>0.1</v>
      </c>
      <c r="GB128" s="101">
        <f t="shared" si="185"/>
        <v>1</v>
      </c>
      <c r="GC128" s="101">
        <f t="shared" si="186"/>
        <v>15</v>
      </c>
      <c r="GD128" s="101">
        <f t="shared" si="187"/>
        <v>0</v>
      </c>
      <c r="GE128" s="101">
        <f t="shared" si="188"/>
        <v>1</v>
      </c>
      <c r="GF128" s="101">
        <f t="shared" si="189"/>
        <v>3</v>
      </c>
      <c r="GG128" s="101">
        <f t="shared" si="190"/>
        <v>5.0599999999999999E-2</v>
      </c>
      <c r="GH128" s="101">
        <f t="shared" si="191"/>
        <v>1</v>
      </c>
      <c r="GI128" s="101">
        <f t="shared" si="192"/>
        <v>7</v>
      </c>
      <c r="GJ128" s="101">
        <f t="shared" si="193"/>
        <v>0.2024</v>
      </c>
      <c r="GK128" s="101">
        <f t="shared" si="194"/>
        <v>1</v>
      </c>
      <c r="GL128" s="101">
        <f t="shared" si="195"/>
        <v>15</v>
      </c>
    </row>
    <row r="129" spans="170:194" ht="16.5" x14ac:dyDescent="0.2">
      <c r="FN129" s="101">
        <v>124</v>
      </c>
      <c r="FO129" s="101">
        <f t="shared" si="180"/>
        <v>39</v>
      </c>
      <c r="FP129" s="101">
        <f t="shared" si="158"/>
        <v>2</v>
      </c>
      <c r="FQ129" s="14">
        <f t="shared" si="159"/>
        <v>3</v>
      </c>
      <c r="FR129" s="101" t="str">
        <f t="shared" si="181"/>
        <v>许褚专属武器-魂珠-5 3级</v>
      </c>
      <c r="FS129" s="101">
        <f t="shared" si="182"/>
        <v>5</v>
      </c>
      <c r="FT129" s="101">
        <f t="shared" si="183"/>
        <v>3</v>
      </c>
      <c r="FU129" s="101" t="str">
        <f t="shared" si="163"/>
        <v>金币</v>
      </c>
      <c r="FV129" s="139">
        <f>IF($FT129&gt;0,IF(INDEX($EI$6:$EI$77,$FO129)&gt;=FV$3,ROUND(INDEX(EK$6:EK$77,$FO129)*INDEX(卡牌消耗!$B$8:$F$8,FQ129)/5,0)*5,""),"")</f>
        <v>1245</v>
      </c>
      <c r="FW129" s="101" t="str">
        <f t="shared" si="164"/>
        <v>专属强化石2</v>
      </c>
      <c r="FX129" s="101">
        <f t="shared" si="165"/>
        <v>3</v>
      </c>
      <c r="FY129" s="101" t="str">
        <f t="shared" si="166"/>
        <v>专属强化石3</v>
      </c>
      <c r="FZ129" s="101">
        <f t="shared" si="167"/>
        <v>2</v>
      </c>
      <c r="GA129" s="101">
        <f t="shared" si="184"/>
        <v>7.0000000000000007E-2</v>
      </c>
      <c r="GB129" s="101">
        <f t="shared" si="185"/>
        <v>1</v>
      </c>
      <c r="GC129" s="101">
        <f t="shared" si="186"/>
        <v>22</v>
      </c>
      <c r="GD129" s="101">
        <f t="shared" si="187"/>
        <v>0</v>
      </c>
      <c r="GE129" s="101">
        <f t="shared" si="188"/>
        <v>1</v>
      </c>
      <c r="GF129" s="101">
        <f t="shared" si="189"/>
        <v>5</v>
      </c>
      <c r="GG129" s="101">
        <f t="shared" si="190"/>
        <v>3.3700000000000001E-2</v>
      </c>
      <c r="GH129" s="101">
        <f t="shared" si="191"/>
        <v>1</v>
      </c>
      <c r="GI129" s="101">
        <f t="shared" si="192"/>
        <v>10</v>
      </c>
      <c r="GJ129" s="101">
        <f t="shared" si="193"/>
        <v>0.13489999999999999</v>
      </c>
      <c r="GK129" s="101">
        <f t="shared" si="194"/>
        <v>1</v>
      </c>
      <c r="GL129" s="101">
        <f t="shared" si="195"/>
        <v>22</v>
      </c>
    </row>
    <row r="130" spans="170:194" ht="16.5" x14ac:dyDescent="0.2">
      <c r="FN130" s="101">
        <v>125</v>
      </c>
      <c r="FO130" s="101">
        <f t="shared" si="180"/>
        <v>40</v>
      </c>
      <c r="FP130" s="101">
        <f t="shared" si="158"/>
        <v>2</v>
      </c>
      <c r="FQ130" s="14">
        <f t="shared" si="159"/>
        <v>3</v>
      </c>
      <c r="FR130" s="101" t="str">
        <f t="shared" si="181"/>
        <v>许褚专属武器-魂珠-5 4级</v>
      </c>
      <c r="FS130" s="101">
        <f t="shared" si="182"/>
        <v>5</v>
      </c>
      <c r="FT130" s="101">
        <f t="shared" si="183"/>
        <v>4</v>
      </c>
      <c r="FU130" s="101" t="str">
        <f t="shared" si="163"/>
        <v>金币</v>
      </c>
      <c r="FV130" s="139">
        <f>IF($FT130&gt;0,IF(INDEX($EI$6:$EI$77,$FO130)&gt;=FV$3,ROUND(INDEX(EK$6:EK$77,$FO130)*INDEX(卡牌消耗!$B$8:$F$8,FQ130)/5,0)*5,""),"")</f>
        <v>1795</v>
      </c>
      <c r="FW130" s="101" t="str">
        <f t="shared" si="164"/>
        <v>专属强化石2</v>
      </c>
      <c r="FX130" s="101">
        <f t="shared" si="165"/>
        <v>5</v>
      </c>
      <c r="FY130" s="101" t="str">
        <f t="shared" si="166"/>
        <v>专属强化石3</v>
      </c>
      <c r="FZ130" s="101">
        <f t="shared" si="167"/>
        <v>3</v>
      </c>
      <c r="GA130" s="101">
        <f t="shared" si="184"/>
        <v>0.06</v>
      </c>
      <c r="GB130" s="101">
        <f t="shared" si="185"/>
        <v>1</v>
      </c>
      <c r="GC130" s="101">
        <f t="shared" si="186"/>
        <v>25</v>
      </c>
      <c r="GD130" s="101">
        <f t="shared" si="187"/>
        <v>0</v>
      </c>
      <c r="GE130" s="101">
        <f t="shared" si="188"/>
        <v>1</v>
      </c>
      <c r="GF130" s="101">
        <f t="shared" si="189"/>
        <v>6</v>
      </c>
      <c r="GG130" s="101">
        <f t="shared" si="190"/>
        <v>3.04E-2</v>
      </c>
      <c r="GH130" s="101">
        <f t="shared" si="191"/>
        <v>1</v>
      </c>
      <c r="GI130" s="101">
        <f t="shared" si="192"/>
        <v>12</v>
      </c>
      <c r="GJ130" s="101">
        <f t="shared" si="193"/>
        <v>0.12139999999999999</v>
      </c>
      <c r="GK130" s="101">
        <f t="shared" si="194"/>
        <v>1</v>
      </c>
      <c r="GL130" s="101">
        <f t="shared" si="195"/>
        <v>25</v>
      </c>
    </row>
    <row r="131" spans="170:194" ht="16.5" x14ac:dyDescent="0.2">
      <c r="FN131" s="101">
        <v>126</v>
      </c>
      <c r="FO131" s="101">
        <f t="shared" si="180"/>
        <v>41</v>
      </c>
      <c r="FP131" s="101">
        <f t="shared" si="158"/>
        <v>2</v>
      </c>
      <c r="FQ131" s="14">
        <f t="shared" si="159"/>
        <v>3</v>
      </c>
      <c r="FR131" s="101" t="str">
        <f t="shared" si="181"/>
        <v>许褚专属武器-魂珠-5 5级</v>
      </c>
      <c r="FS131" s="101">
        <f t="shared" si="182"/>
        <v>5</v>
      </c>
      <c r="FT131" s="101">
        <f t="shared" si="183"/>
        <v>5</v>
      </c>
      <c r="FU131" s="101" t="str">
        <f t="shared" si="163"/>
        <v>金币</v>
      </c>
      <c r="FV131" s="139">
        <f>IF($FT131&gt;0,IF(INDEX($EI$6:$EI$77,$FO131)&gt;=FV$3,ROUND(INDEX(EK$6:EK$77,$FO131)*INDEX(卡牌消耗!$B$8:$F$8,FQ131)/5,0)*5,""),"")</f>
        <v>1825</v>
      </c>
      <c r="FW131" s="101" t="str">
        <f t="shared" si="164"/>
        <v>专属强化石2</v>
      </c>
      <c r="FX131" s="101">
        <f t="shared" si="165"/>
        <v>5</v>
      </c>
      <c r="FY131" s="101" t="str">
        <f t="shared" si="166"/>
        <v>专属强化石3</v>
      </c>
      <c r="FZ131" s="101">
        <f t="shared" si="167"/>
        <v>3</v>
      </c>
      <c r="GA131" s="101">
        <f t="shared" si="184"/>
        <v>0.04</v>
      </c>
      <c r="GB131" s="101">
        <f t="shared" si="185"/>
        <v>1</v>
      </c>
      <c r="GC131" s="101">
        <f t="shared" si="186"/>
        <v>40</v>
      </c>
      <c r="GD131" s="101">
        <f t="shared" si="187"/>
        <v>0</v>
      </c>
      <c r="GE131" s="101">
        <f t="shared" si="188"/>
        <v>1</v>
      </c>
      <c r="GF131" s="101">
        <f t="shared" si="189"/>
        <v>9</v>
      </c>
      <c r="GG131" s="101">
        <f t="shared" si="190"/>
        <v>1.9E-2</v>
      </c>
      <c r="GH131" s="101">
        <f t="shared" si="191"/>
        <v>1</v>
      </c>
      <c r="GI131" s="101">
        <f t="shared" si="192"/>
        <v>18</v>
      </c>
      <c r="GJ131" s="101">
        <f t="shared" si="193"/>
        <v>7.5899999999999995E-2</v>
      </c>
      <c r="GK131" s="101">
        <f t="shared" si="194"/>
        <v>1</v>
      </c>
      <c r="GL131" s="101">
        <f t="shared" si="195"/>
        <v>40</v>
      </c>
    </row>
    <row r="132" spans="170:194" ht="16.5" x14ac:dyDescent="0.2">
      <c r="FN132" s="101">
        <v>127</v>
      </c>
      <c r="FO132" s="101">
        <f t="shared" si="180"/>
        <v>42</v>
      </c>
      <c r="FP132" s="101">
        <f t="shared" si="158"/>
        <v>2</v>
      </c>
      <c r="FQ132" s="14">
        <f t="shared" si="159"/>
        <v>3</v>
      </c>
      <c r="FR132" s="101" t="str">
        <f t="shared" si="181"/>
        <v>许褚专属武器-魂珠-5 6级</v>
      </c>
      <c r="FS132" s="101">
        <f t="shared" si="182"/>
        <v>5</v>
      </c>
      <c r="FT132" s="101">
        <f t="shared" si="183"/>
        <v>6</v>
      </c>
      <c r="FU132" s="101" t="str">
        <f t="shared" si="163"/>
        <v>金币</v>
      </c>
      <c r="FV132" s="139">
        <f>IF($FT132&gt;0,IF(INDEX($EI$6:$EI$77,$FO132)&gt;=FV$3,ROUND(INDEX(EK$6:EK$77,$FO132)*INDEX(卡牌消耗!$B$8:$F$8,FQ132)/5,0)*5,""),"")</f>
        <v>3020</v>
      </c>
      <c r="FW132" s="101" t="str">
        <f t="shared" si="164"/>
        <v>专属强化石2</v>
      </c>
      <c r="FX132" s="101">
        <f t="shared" si="165"/>
        <v>8</v>
      </c>
      <c r="FY132" s="101" t="str">
        <f t="shared" si="166"/>
        <v>专属强化石3</v>
      </c>
      <c r="FZ132" s="101">
        <f t="shared" si="167"/>
        <v>5</v>
      </c>
      <c r="GA132" s="101">
        <f t="shared" si="184"/>
        <v>0.04</v>
      </c>
      <c r="GB132" s="101">
        <f t="shared" si="185"/>
        <v>1</v>
      </c>
      <c r="GC132" s="101">
        <f t="shared" si="186"/>
        <v>39</v>
      </c>
      <c r="GD132" s="101">
        <f t="shared" si="187"/>
        <v>0</v>
      </c>
      <c r="GE132" s="101">
        <f t="shared" si="188"/>
        <v>1</v>
      </c>
      <c r="GF132" s="101">
        <f t="shared" si="189"/>
        <v>9</v>
      </c>
      <c r="GG132" s="101">
        <f t="shared" si="190"/>
        <v>1.95E-2</v>
      </c>
      <c r="GH132" s="101">
        <f t="shared" si="191"/>
        <v>1</v>
      </c>
      <c r="GI132" s="101">
        <f t="shared" si="192"/>
        <v>18</v>
      </c>
      <c r="GJ132" s="101">
        <f t="shared" si="193"/>
        <v>7.7799999999999994E-2</v>
      </c>
      <c r="GK132" s="101">
        <f t="shared" si="194"/>
        <v>1</v>
      </c>
      <c r="GL132" s="101">
        <f t="shared" si="195"/>
        <v>39</v>
      </c>
    </row>
    <row r="133" spans="170:194" ht="16.5" x14ac:dyDescent="0.2">
      <c r="FN133" s="101">
        <v>128</v>
      </c>
      <c r="FO133" s="101">
        <f t="shared" si="180"/>
        <v>43</v>
      </c>
      <c r="FP133" s="101">
        <f t="shared" si="158"/>
        <v>2</v>
      </c>
      <c r="FQ133" s="14">
        <f t="shared" si="159"/>
        <v>3</v>
      </c>
      <c r="FR133" s="101" t="str">
        <f t="shared" si="181"/>
        <v>许褚专属武器-魂珠-5 7级</v>
      </c>
      <c r="FS133" s="101">
        <f t="shared" si="182"/>
        <v>5</v>
      </c>
      <c r="FT133" s="101">
        <f t="shared" si="183"/>
        <v>7</v>
      </c>
      <c r="FU133" s="101" t="str">
        <f t="shared" si="163"/>
        <v>金币</v>
      </c>
      <c r="FV133" s="139">
        <f>IF($FT133&gt;0,IF(INDEX($EI$6:$EI$77,$FO133)&gt;=FV$3,ROUND(INDEX(EK$6:EK$77,$FO133)*INDEX(卡牌消耗!$B$8:$F$8,FQ133)/5,0)*5,""),"")</f>
        <v>3025</v>
      </c>
      <c r="FW133" s="101" t="str">
        <f t="shared" si="164"/>
        <v>专属强化石2</v>
      </c>
      <c r="FX133" s="101">
        <f t="shared" si="165"/>
        <v>8</v>
      </c>
      <c r="FY133" s="101" t="str">
        <f t="shared" si="166"/>
        <v>专属强化石3</v>
      </c>
      <c r="FZ133" s="101">
        <f t="shared" si="167"/>
        <v>5</v>
      </c>
      <c r="GA133" s="101">
        <f t="shared" si="184"/>
        <v>0.02</v>
      </c>
      <c r="GB133" s="101">
        <f t="shared" si="185"/>
        <v>1</v>
      </c>
      <c r="GC133" s="101">
        <f t="shared" si="186"/>
        <v>62</v>
      </c>
      <c r="GD133" s="101">
        <f t="shared" si="187"/>
        <v>0</v>
      </c>
      <c r="GE133" s="101">
        <f t="shared" si="188"/>
        <v>1</v>
      </c>
      <c r="GF133" s="101">
        <f t="shared" si="189"/>
        <v>15</v>
      </c>
      <c r="GG133" s="101">
        <f t="shared" si="190"/>
        <v>1.2E-2</v>
      </c>
      <c r="GH133" s="101">
        <f t="shared" si="191"/>
        <v>1</v>
      </c>
      <c r="GI133" s="101">
        <f t="shared" si="192"/>
        <v>29</v>
      </c>
      <c r="GJ133" s="101">
        <f t="shared" si="193"/>
        <v>4.82E-2</v>
      </c>
      <c r="GK133" s="101">
        <f t="shared" si="194"/>
        <v>1</v>
      </c>
      <c r="GL133" s="101">
        <f t="shared" si="195"/>
        <v>62</v>
      </c>
    </row>
    <row r="134" spans="170:194" ht="16.5" x14ac:dyDescent="0.2">
      <c r="FN134" s="101">
        <v>129</v>
      </c>
      <c r="FO134" s="101">
        <f t="shared" si="180"/>
        <v>44</v>
      </c>
      <c r="FP134" s="101">
        <f t="shared" si="158"/>
        <v>2</v>
      </c>
      <c r="FQ134" s="14">
        <f t="shared" si="159"/>
        <v>3</v>
      </c>
      <c r="FR134" s="101" t="str">
        <f t="shared" si="181"/>
        <v>许褚专属武器-魂珠-5 8级</v>
      </c>
      <c r="FS134" s="101">
        <f t="shared" si="182"/>
        <v>5</v>
      </c>
      <c r="FT134" s="101">
        <f t="shared" si="183"/>
        <v>8</v>
      </c>
      <c r="FU134" s="101" t="str">
        <f t="shared" si="163"/>
        <v>金币</v>
      </c>
      <c r="FV134" s="139">
        <f>IF($FT134&gt;0,IF(INDEX($EI$6:$EI$77,$FO134)&gt;=FV$3,ROUND(INDEX(EK$6:EK$77,$FO134)*INDEX(卡牌消耗!$B$8:$F$8,FQ134)/5,0)*5,""),"")</f>
        <v>4235</v>
      </c>
      <c r="FW134" s="101" t="str">
        <f t="shared" si="164"/>
        <v>专属强化石2</v>
      </c>
      <c r="FX134" s="101">
        <f t="shared" si="165"/>
        <v>11</v>
      </c>
      <c r="FY134" s="101" t="str">
        <f t="shared" si="166"/>
        <v>专属强化石3</v>
      </c>
      <c r="FZ134" s="101">
        <f t="shared" si="167"/>
        <v>7</v>
      </c>
      <c r="GA134" s="101">
        <f t="shared" si="184"/>
        <v>0.02</v>
      </c>
      <c r="GB134" s="101">
        <f t="shared" si="185"/>
        <v>1</v>
      </c>
      <c r="GC134" s="101">
        <f t="shared" si="186"/>
        <v>72</v>
      </c>
      <c r="GD134" s="101">
        <f t="shared" si="187"/>
        <v>0</v>
      </c>
      <c r="GE134" s="101">
        <f t="shared" si="188"/>
        <v>1</v>
      </c>
      <c r="GF134" s="101">
        <f t="shared" si="189"/>
        <v>17</v>
      </c>
      <c r="GG134" s="101">
        <f t="shared" si="190"/>
        <v>1.04E-2</v>
      </c>
      <c r="GH134" s="101">
        <f t="shared" si="191"/>
        <v>1</v>
      </c>
      <c r="GI134" s="101">
        <f t="shared" si="192"/>
        <v>34</v>
      </c>
      <c r="GJ134" s="101">
        <f t="shared" si="193"/>
        <v>4.1700000000000001E-2</v>
      </c>
      <c r="GK134" s="101">
        <f t="shared" si="194"/>
        <v>1</v>
      </c>
      <c r="GL134" s="101">
        <f t="shared" si="195"/>
        <v>72</v>
      </c>
    </row>
    <row r="135" spans="170:194" ht="16.5" x14ac:dyDescent="0.2">
      <c r="FN135" s="101">
        <v>130</v>
      </c>
      <c r="FO135" s="101">
        <f t="shared" si="180"/>
        <v>45</v>
      </c>
      <c r="FP135" s="101">
        <f t="shared" ref="FP135:FP198" si="196">INT((FN135-1)/80+1)</f>
        <v>2</v>
      </c>
      <c r="FQ135" s="14">
        <f t="shared" ref="FQ135:FQ198" si="197">INDEX($FJ$6:$FJ$26,FP135)</f>
        <v>3</v>
      </c>
      <c r="FR135" s="101" t="str">
        <f t="shared" si="181"/>
        <v>许褚专属武器-魂珠-5 9级</v>
      </c>
      <c r="FS135" s="101">
        <f t="shared" si="182"/>
        <v>5</v>
      </c>
      <c r="FT135" s="101">
        <f t="shared" si="183"/>
        <v>9</v>
      </c>
      <c r="FU135" s="101" t="str">
        <f t="shared" ref="FU135:FU198" si="198">IF($FT135&gt;0,IF(INDEX($EI$6:$EI$77,$FO135)&gt;=FU$3,INDEX(EJ$6:EJ$77,$FO135),""),"")</f>
        <v>金币</v>
      </c>
      <c r="FV135" s="139">
        <f>IF($FT135&gt;0,IF(INDEX($EI$6:$EI$77,$FO135)&gt;=FV$3,ROUND(INDEX(EK$6:EK$77,$FO135)*INDEX(卡牌消耗!$B$8:$F$8,FQ135)/5,0)*5,""),"")</f>
        <v>5445</v>
      </c>
      <c r="FW135" s="101" t="str">
        <f t="shared" ref="FW135:FW198" si="199">IF($FT135&gt;0,IF(INDEX($EI$6:$EI$77,$FO135)&gt;=FW$3,INDEX(EL$6:EL$77,$FO135),""),"")</f>
        <v>专属强化石2</v>
      </c>
      <c r="FX135" s="101">
        <f t="shared" ref="FX135:FX198" si="200">IF($FT135&gt;0,IF(INDEX($EI$6:$EI$77,$FO135)&gt;=FX$3,INDEX(EM$6:EM$77,$FO135),""),"")</f>
        <v>14</v>
      </c>
      <c r="FY135" s="101" t="str">
        <f t="shared" ref="FY135:FY198" si="201">IF($FT135&gt;0,IF(INDEX($EI$6:$EI$77,$FO135)&gt;=FY$3,INDEX(EN$6:EN$77,$FO135),""),"")</f>
        <v>专属强化石3</v>
      </c>
      <c r="FZ135" s="101">
        <f t="shared" ref="FZ135:FZ198" si="202">IF($FT135&gt;0,IF(INDEX($EI$6:$EI$77,$FO135)&gt;=FZ$3,INDEX(EO$6:EO$77,$FO135),""),"")</f>
        <v>9</v>
      </c>
      <c r="GA135" s="101">
        <f t="shared" si="184"/>
        <v>0.02</v>
      </c>
      <c r="GB135" s="101">
        <f t="shared" si="185"/>
        <v>1</v>
      </c>
      <c r="GC135" s="101">
        <f t="shared" si="186"/>
        <v>91</v>
      </c>
      <c r="GD135" s="101">
        <f t="shared" si="187"/>
        <v>0</v>
      </c>
      <c r="GE135" s="101">
        <f t="shared" si="188"/>
        <v>1</v>
      </c>
      <c r="GF135" s="101">
        <f t="shared" si="189"/>
        <v>21</v>
      </c>
      <c r="GG135" s="101">
        <f t="shared" si="190"/>
        <v>8.3000000000000001E-3</v>
      </c>
      <c r="GH135" s="101">
        <f t="shared" si="191"/>
        <v>1</v>
      </c>
      <c r="GI135" s="101">
        <f t="shared" si="192"/>
        <v>42</v>
      </c>
      <c r="GJ135" s="101">
        <f t="shared" si="193"/>
        <v>3.3099999999999997E-2</v>
      </c>
      <c r="GK135" s="101">
        <f t="shared" si="194"/>
        <v>1</v>
      </c>
      <c r="GL135" s="101">
        <f t="shared" si="195"/>
        <v>91</v>
      </c>
    </row>
    <row r="136" spans="170:194" ht="16.5" x14ac:dyDescent="0.2">
      <c r="FN136" s="101">
        <v>131</v>
      </c>
      <c r="FO136" s="101">
        <f t="shared" si="180"/>
        <v>0</v>
      </c>
      <c r="FP136" s="101">
        <f t="shared" si="196"/>
        <v>2</v>
      </c>
      <c r="FQ136" s="14">
        <f t="shared" si="197"/>
        <v>3</v>
      </c>
      <c r="FR136" s="101" t="str">
        <f t="shared" si="181"/>
        <v>许褚专属武器-魂珠-6 0级</v>
      </c>
      <c r="FS136" s="101">
        <f t="shared" si="182"/>
        <v>6</v>
      </c>
      <c r="FT136" s="101">
        <f t="shared" si="183"/>
        <v>0</v>
      </c>
      <c r="FU136" s="101" t="str">
        <f t="shared" si="198"/>
        <v/>
      </c>
      <c r="FV136" s="139" t="str">
        <f>IF($FT136&gt;0,IF(INDEX($EI$6:$EI$77,$FO136)&gt;=FV$3,ROUND(INDEX(EK$6:EK$77,$FO136)*INDEX(卡牌消耗!$B$8:$F$8,FQ136)/5,0)*5,""),"")</f>
        <v/>
      </c>
      <c r="FW136" s="101" t="str">
        <f t="shared" si="199"/>
        <v/>
      </c>
      <c r="FX136" s="101" t="str">
        <f t="shared" si="200"/>
        <v/>
      </c>
      <c r="FY136" s="101" t="str">
        <f t="shared" si="201"/>
        <v/>
      </c>
      <c r="FZ136" s="101" t="str">
        <f t="shared" si="202"/>
        <v/>
      </c>
      <c r="GA136" s="101" t="str">
        <f t="shared" si="184"/>
        <v/>
      </c>
      <c r="GB136" s="101" t="str">
        <f t="shared" si="185"/>
        <v/>
      </c>
      <c r="GC136" s="101" t="str">
        <f t="shared" si="186"/>
        <v/>
      </c>
      <c r="GD136" s="101" t="str">
        <f t="shared" si="187"/>
        <v/>
      </c>
      <c r="GE136" s="101" t="str">
        <f t="shared" si="188"/>
        <v/>
      </c>
      <c r="GF136" s="101" t="str">
        <f t="shared" si="189"/>
        <v/>
      </c>
      <c r="GG136" s="101" t="str">
        <f t="shared" si="190"/>
        <v/>
      </c>
      <c r="GH136" s="101" t="str">
        <f t="shared" si="191"/>
        <v/>
      </c>
      <c r="GI136" s="101" t="str">
        <f t="shared" si="192"/>
        <v/>
      </c>
      <c r="GJ136" s="101" t="str">
        <f t="shared" si="193"/>
        <v/>
      </c>
      <c r="GK136" s="101" t="str">
        <f t="shared" si="194"/>
        <v/>
      </c>
      <c r="GL136" s="101" t="str">
        <f t="shared" si="195"/>
        <v/>
      </c>
    </row>
    <row r="137" spans="170:194" ht="16.5" x14ac:dyDescent="0.2">
      <c r="FN137" s="101">
        <v>132</v>
      </c>
      <c r="FO137" s="101">
        <f t="shared" si="180"/>
        <v>46</v>
      </c>
      <c r="FP137" s="101">
        <f t="shared" si="196"/>
        <v>2</v>
      </c>
      <c r="FQ137" s="14">
        <f t="shared" si="197"/>
        <v>3</v>
      </c>
      <c r="FR137" s="101" t="str">
        <f t="shared" si="181"/>
        <v>许褚专属武器-魂珠-6 1级</v>
      </c>
      <c r="FS137" s="101">
        <f t="shared" si="182"/>
        <v>6</v>
      </c>
      <c r="FT137" s="101">
        <f t="shared" si="183"/>
        <v>1</v>
      </c>
      <c r="FU137" s="101" t="str">
        <f t="shared" si="198"/>
        <v>金币</v>
      </c>
      <c r="FV137" s="139">
        <f>IF($FT137&gt;0,IF(INDEX($EI$6:$EI$77,$FO137)&gt;=FV$3,ROUND(INDEX(EK$6:EK$77,$FO137)*INDEX(卡牌消耗!$B$8:$F$8,FQ137)/5,0)*5,""),"")</f>
        <v>1455</v>
      </c>
      <c r="FW137" s="101" t="str">
        <f t="shared" si="199"/>
        <v>专属强化石3</v>
      </c>
      <c r="FX137" s="101">
        <f t="shared" si="200"/>
        <v>5</v>
      </c>
      <c r="FY137" s="101" t="str">
        <f t="shared" si="201"/>
        <v>专属强化石4</v>
      </c>
      <c r="FZ137" s="101">
        <f t="shared" si="202"/>
        <v>1</v>
      </c>
      <c r="GA137" s="101">
        <f t="shared" si="184"/>
        <v>0.17</v>
      </c>
      <c r="GB137" s="101">
        <f t="shared" si="185"/>
        <v>1</v>
      </c>
      <c r="GC137" s="101">
        <f t="shared" si="186"/>
        <v>9</v>
      </c>
      <c r="GD137" s="101">
        <f t="shared" si="187"/>
        <v>0</v>
      </c>
      <c r="GE137" s="101">
        <f t="shared" si="188"/>
        <v>1</v>
      </c>
      <c r="GF137" s="101">
        <f t="shared" si="189"/>
        <v>2</v>
      </c>
      <c r="GG137" s="101">
        <f t="shared" si="190"/>
        <v>8.2900000000000001E-2</v>
      </c>
      <c r="GH137" s="101">
        <f t="shared" si="191"/>
        <v>1</v>
      </c>
      <c r="GI137" s="101">
        <f t="shared" si="192"/>
        <v>4</v>
      </c>
      <c r="GJ137" s="101">
        <f t="shared" si="193"/>
        <v>0.33139999999999997</v>
      </c>
      <c r="GK137" s="101">
        <f t="shared" si="194"/>
        <v>1</v>
      </c>
      <c r="GL137" s="101">
        <f t="shared" si="195"/>
        <v>9</v>
      </c>
    </row>
    <row r="138" spans="170:194" ht="16.5" x14ac:dyDescent="0.2">
      <c r="FN138" s="101">
        <v>133</v>
      </c>
      <c r="FO138" s="101">
        <f t="shared" si="180"/>
        <v>47</v>
      </c>
      <c r="FP138" s="101">
        <f t="shared" si="196"/>
        <v>2</v>
      </c>
      <c r="FQ138" s="14">
        <f t="shared" si="197"/>
        <v>3</v>
      </c>
      <c r="FR138" s="101" t="str">
        <f t="shared" si="181"/>
        <v>许褚专属武器-魂珠-6 2级</v>
      </c>
      <c r="FS138" s="101">
        <f t="shared" si="182"/>
        <v>6</v>
      </c>
      <c r="FT138" s="101">
        <f t="shared" si="183"/>
        <v>2</v>
      </c>
      <c r="FU138" s="101" t="str">
        <f t="shared" si="198"/>
        <v>金币</v>
      </c>
      <c r="FV138" s="139">
        <f>IF($FT138&gt;0,IF(INDEX($EI$6:$EI$77,$FO138)&gt;=FV$3,ROUND(INDEX(EK$6:EK$77,$FO138)*INDEX(卡牌消耗!$B$8:$F$8,FQ138)/5,0)*5,""),"")</f>
        <v>2180</v>
      </c>
      <c r="FW138" s="101" t="str">
        <f t="shared" si="199"/>
        <v>专属强化石3</v>
      </c>
      <c r="FX138" s="101">
        <f t="shared" si="200"/>
        <v>10</v>
      </c>
      <c r="FY138" s="101" t="str">
        <f t="shared" si="201"/>
        <v>专属强化石4</v>
      </c>
      <c r="FZ138" s="101">
        <f t="shared" si="202"/>
        <v>2</v>
      </c>
      <c r="GA138" s="101">
        <f t="shared" si="184"/>
        <v>0.17</v>
      </c>
      <c r="GB138" s="101">
        <f t="shared" si="185"/>
        <v>1</v>
      </c>
      <c r="GC138" s="101">
        <f t="shared" si="186"/>
        <v>9</v>
      </c>
      <c r="GD138" s="101">
        <f t="shared" si="187"/>
        <v>0</v>
      </c>
      <c r="GE138" s="101">
        <f t="shared" si="188"/>
        <v>1</v>
      </c>
      <c r="GF138" s="101">
        <f t="shared" si="189"/>
        <v>2</v>
      </c>
      <c r="GG138" s="101">
        <f t="shared" si="190"/>
        <v>8.2900000000000001E-2</v>
      </c>
      <c r="GH138" s="101">
        <f t="shared" si="191"/>
        <v>1</v>
      </c>
      <c r="GI138" s="101">
        <f t="shared" si="192"/>
        <v>4</v>
      </c>
      <c r="GJ138" s="101">
        <f t="shared" si="193"/>
        <v>0.33139999999999997</v>
      </c>
      <c r="GK138" s="101">
        <f t="shared" si="194"/>
        <v>1</v>
      </c>
      <c r="GL138" s="101">
        <f t="shared" si="195"/>
        <v>9</v>
      </c>
    </row>
    <row r="139" spans="170:194" ht="16.5" x14ac:dyDescent="0.2">
      <c r="FN139" s="101">
        <v>134</v>
      </c>
      <c r="FO139" s="101">
        <f t="shared" si="180"/>
        <v>48</v>
      </c>
      <c r="FP139" s="101">
        <f t="shared" si="196"/>
        <v>2</v>
      </c>
      <c r="FQ139" s="14">
        <f t="shared" si="197"/>
        <v>3</v>
      </c>
      <c r="FR139" s="101" t="str">
        <f t="shared" si="181"/>
        <v>许褚专属武器-魂珠-6 3级</v>
      </c>
      <c r="FS139" s="101">
        <f t="shared" si="182"/>
        <v>6</v>
      </c>
      <c r="FT139" s="101">
        <f t="shared" si="183"/>
        <v>3</v>
      </c>
      <c r="FU139" s="101" t="str">
        <f t="shared" si="198"/>
        <v>金币</v>
      </c>
      <c r="FV139" s="139">
        <f>IF($FT139&gt;0,IF(INDEX($EI$6:$EI$77,$FO139)&gt;=FV$3,ROUND(INDEX(EK$6:EK$77,$FO139)*INDEX(卡牌消耗!$B$8:$F$8,FQ139)/5,0)*5,""),"")</f>
        <v>2425</v>
      </c>
      <c r="FW139" s="101" t="str">
        <f t="shared" si="199"/>
        <v>专属强化石3</v>
      </c>
      <c r="FX139" s="101">
        <f t="shared" si="200"/>
        <v>10</v>
      </c>
      <c r="FY139" s="101" t="str">
        <f t="shared" si="201"/>
        <v>专属强化石4</v>
      </c>
      <c r="FZ139" s="101">
        <f t="shared" si="202"/>
        <v>2</v>
      </c>
      <c r="GA139" s="101">
        <f t="shared" si="184"/>
        <v>0.11</v>
      </c>
      <c r="GB139" s="101">
        <f t="shared" si="185"/>
        <v>1</v>
      </c>
      <c r="GC139" s="101">
        <f t="shared" si="186"/>
        <v>14</v>
      </c>
      <c r="GD139" s="101">
        <f t="shared" si="187"/>
        <v>0</v>
      </c>
      <c r="GE139" s="101">
        <f t="shared" si="188"/>
        <v>1</v>
      </c>
      <c r="GF139" s="101">
        <f t="shared" si="189"/>
        <v>3</v>
      </c>
      <c r="GG139" s="101">
        <f t="shared" si="190"/>
        <v>5.5199999999999999E-2</v>
      </c>
      <c r="GH139" s="101">
        <f t="shared" si="191"/>
        <v>1</v>
      </c>
      <c r="GI139" s="101">
        <f t="shared" si="192"/>
        <v>6</v>
      </c>
      <c r="GJ139" s="101">
        <f t="shared" si="193"/>
        <v>0.221</v>
      </c>
      <c r="GK139" s="101">
        <f t="shared" si="194"/>
        <v>1</v>
      </c>
      <c r="GL139" s="101">
        <f t="shared" si="195"/>
        <v>14</v>
      </c>
    </row>
    <row r="140" spans="170:194" ht="16.5" x14ac:dyDescent="0.2">
      <c r="FN140" s="101">
        <v>135</v>
      </c>
      <c r="FO140" s="101">
        <f t="shared" si="180"/>
        <v>49</v>
      </c>
      <c r="FP140" s="101">
        <f t="shared" si="196"/>
        <v>2</v>
      </c>
      <c r="FQ140" s="14">
        <f t="shared" si="197"/>
        <v>3</v>
      </c>
      <c r="FR140" s="101" t="str">
        <f t="shared" si="181"/>
        <v>许褚专属武器-魂珠-6 4级</v>
      </c>
      <c r="FS140" s="101">
        <f t="shared" si="182"/>
        <v>6</v>
      </c>
      <c r="FT140" s="101">
        <f t="shared" si="183"/>
        <v>4</v>
      </c>
      <c r="FU140" s="101" t="str">
        <f t="shared" si="198"/>
        <v>金币</v>
      </c>
      <c r="FV140" s="139">
        <f>IF($FT140&gt;0,IF(INDEX($EI$6:$EI$77,$FO140)&gt;=FV$3,ROUND(INDEX(EK$6:EK$77,$FO140)*INDEX(卡牌消耗!$B$8:$F$8,FQ140)/5,0)*5,""),"")</f>
        <v>3490</v>
      </c>
      <c r="FW140" s="101" t="str">
        <f t="shared" si="199"/>
        <v>专属强化石3</v>
      </c>
      <c r="FX140" s="101">
        <f t="shared" si="200"/>
        <v>15</v>
      </c>
      <c r="FY140" s="101" t="str">
        <f t="shared" si="201"/>
        <v>专属强化石4</v>
      </c>
      <c r="FZ140" s="101">
        <f t="shared" si="202"/>
        <v>3</v>
      </c>
      <c r="GA140" s="101">
        <f t="shared" si="184"/>
        <v>0.1</v>
      </c>
      <c r="GB140" s="101">
        <f t="shared" si="185"/>
        <v>1</v>
      </c>
      <c r="GC140" s="101">
        <f t="shared" si="186"/>
        <v>15</v>
      </c>
      <c r="GD140" s="101">
        <f t="shared" si="187"/>
        <v>0</v>
      </c>
      <c r="GE140" s="101">
        <f t="shared" si="188"/>
        <v>1</v>
      </c>
      <c r="GF140" s="101">
        <f t="shared" si="189"/>
        <v>4</v>
      </c>
      <c r="GG140" s="101">
        <f t="shared" si="190"/>
        <v>4.9700000000000001E-2</v>
      </c>
      <c r="GH140" s="101">
        <f t="shared" si="191"/>
        <v>1</v>
      </c>
      <c r="GI140" s="101">
        <f t="shared" si="192"/>
        <v>7</v>
      </c>
      <c r="GJ140" s="101">
        <f t="shared" si="193"/>
        <v>0.19889999999999999</v>
      </c>
      <c r="GK140" s="101">
        <f t="shared" si="194"/>
        <v>1</v>
      </c>
      <c r="GL140" s="101">
        <f t="shared" si="195"/>
        <v>15</v>
      </c>
    </row>
    <row r="141" spans="170:194" ht="16.5" x14ac:dyDescent="0.2">
      <c r="FN141" s="101">
        <v>136</v>
      </c>
      <c r="FO141" s="101">
        <f t="shared" si="180"/>
        <v>50</v>
      </c>
      <c r="FP141" s="101">
        <f t="shared" si="196"/>
        <v>2</v>
      </c>
      <c r="FQ141" s="14">
        <f t="shared" si="197"/>
        <v>3</v>
      </c>
      <c r="FR141" s="101" t="str">
        <f t="shared" si="181"/>
        <v>许褚专属武器-魂珠-6 5级</v>
      </c>
      <c r="FS141" s="101">
        <f t="shared" si="182"/>
        <v>6</v>
      </c>
      <c r="FT141" s="101">
        <f t="shared" si="183"/>
        <v>5</v>
      </c>
      <c r="FU141" s="101" t="str">
        <f t="shared" si="198"/>
        <v>金币</v>
      </c>
      <c r="FV141" s="139">
        <f>IF($FT141&gt;0,IF(INDEX($EI$6:$EI$77,$FO141)&gt;=FV$3,ROUND(INDEX(EK$6:EK$77,$FO141)*INDEX(卡牌消耗!$B$8:$F$8,FQ141)/5,0)*5,""),"")</f>
        <v>3545</v>
      </c>
      <c r="FW141" s="101" t="str">
        <f t="shared" si="199"/>
        <v>专属强化石3</v>
      </c>
      <c r="FX141" s="101">
        <f t="shared" si="200"/>
        <v>15</v>
      </c>
      <c r="FY141" s="101" t="str">
        <f t="shared" si="201"/>
        <v>专属强化石4</v>
      </c>
      <c r="FZ141" s="101">
        <f t="shared" si="202"/>
        <v>3</v>
      </c>
      <c r="GA141" s="101">
        <f t="shared" si="184"/>
        <v>0.06</v>
      </c>
      <c r="GB141" s="101">
        <f t="shared" si="185"/>
        <v>1</v>
      </c>
      <c r="GC141" s="101">
        <f t="shared" si="186"/>
        <v>24</v>
      </c>
      <c r="GD141" s="101">
        <f t="shared" si="187"/>
        <v>0</v>
      </c>
      <c r="GE141" s="101">
        <f t="shared" si="188"/>
        <v>1</v>
      </c>
      <c r="GF141" s="101">
        <f t="shared" si="189"/>
        <v>6</v>
      </c>
      <c r="GG141" s="101">
        <f t="shared" si="190"/>
        <v>3.1099999999999999E-2</v>
      </c>
      <c r="GH141" s="101">
        <f t="shared" si="191"/>
        <v>1</v>
      </c>
      <c r="GI141" s="101">
        <f t="shared" si="192"/>
        <v>11</v>
      </c>
      <c r="GJ141" s="101">
        <f t="shared" si="193"/>
        <v>0.12429999999999999</v>
      </c>
      <c r="GK141" s="101">
        <f t="shared" si="194"/>
        <v>1</v>
      </c>
      <c r="GL141" s="101">
        <f t="shared" si="195"/>
        <v>24</v>
      </c>
    </row>
    <row r="142" spans="170:194" ht="16.5" x14ac:dyDescent="0.2">
      <c r="FN142" s="101">
        <v>137</v>
      </c>
      <c r="FO142" s="101">
        <f t="shared" si="180"/>
        <v>51</v>
      </c>
      <c r="FP142" s="101">
        <f t="shared" si="196"/>
        <v>2</v>
      </c>
      <c r="FQ142" s="14">
        <f t="shared" si="197"/>
        <v>3</v>
      </c>
      <c r="FR142" s="101" t="str">
        <f t="shared" si="181"/>
        <v>许褚专属武器-魂珠-6 6级</v>
      </c>
      <c r="FS142" s="101">
        <f t="shared" si="182"/>
        <v>6</v>
      </c>
      <c r="FT142" s="101">
        <f t="shared" si="183"/>
        <v>6</v>
      </c>
      <c r="FU142" s="101" t="str">
        <f t="shared" si="198"/>
        <v>金币</v>
      </c>
      <c r="FV142" s="139">
        <f>IF($FT142&gt;0,IF(INDEX($EI$6:$EI$77,$FO142)&gt;=FV$3,ROUND(INDEX(EK$6:EK$77,$FO142)*INDEX(卡牌消耗!$B$8:$F$8,FQ142)/5,0)*5,""),"")</f>
        <v>4700</v>
      </c>
      <c r="FW142" s="101" t="str">
        <f t="shared" si="199"/>
        <v>专属强化石3</v>
      </c>
      <c r="FX142" s="101">
        <f t="shared" si="200"/>
        <v>20</v>
      </c>
      <c r="FY142" s="101" t="str">
        <f t="shared" si="201"/>
        <v>专属强化石4</v>
      </c>
      <c r="FZ142" s="101">
        <f t="shared" si="202"/>
        <v>4</v>
      </c>
      <c r="GA142" s="101">
        <f t="shared" si="184"/>
        <v>0.05</v>
      </c>
      <c r="GB142" s="101">
        <f t="shared" si="185"/>
        <v>1</v>
      </c>
      <c r="GC142" s="101">
        <f t="shared" si="186"/>
        <v>29</v>
      </c>
      <c r="GD142" s="101">
        <f t="shared" si="187"/>
        <v>0</v>
      </c>
      <c r="GE142" s="101">
        <f t="shared" si="188"/>
        <v>1</v>
      </c>
      <c r="GF142" s="101">
        <f t="shared" si="189"/>
        <v>7</v>
      </c>
      <c r="GG142" s="101">
        <f t="shared" si="190"/>
        <v>2.5499999999999998E-2</v>
      </c>
      <c r="GH142" s="101">
        <f t="shared" si="191"/>
        <v>1</v>
      </c>
      <c r="GI142" s="101">
        <f t="shared" si="192"/>
        <v>14</v>
      </c>
      <c r="GJ142" s="101">
        <f t="shared" si="193"/>
        <v>0.10199999999999999</v>
      </c>
      <c r="GK142" s="101">
        <f t="shared" si="194"/>
        <v>1</v>
      </c>
      <c r="GL142" s="101">
        <f t="shared" si="195"/>
        <v>29</v>
      </c>
    </row>
    <row r="143" spans="170:194" ht="16.5" x14ac:dyDescent="0.2">
      <c r="FN143" s="101">
        <v>138</v>
      </c>
      <c r="FO143" s="101">
        <f t="shared" si="180"/>
        <v>52</v>
      </c>
      <c r="FP143" s="101">
        <f t="shared" si="196"/>
        <v>2</v>
      </c>
      <c r="FQ143" s="14">
        <f t="shared" si="197"/>
        <v>3</v>
      </c>
      <c r="FR143" s="101" t="str">
        <f t="shared" si="181"/>
        <v>许褚专属武器-魂珠-6 7级</v>
      </c>
      <c r="FS143" s="101">
        <f t="shared" si="182"/>
        <v>6</v>
      </c>
      <c r="FT143" s="101">
        <f t="shared" si="183"/>
        <v>7</v>
      </c>
      <c r="FU143" s="101" t="str">
        <f t="shared" si="198"/>
        <v>金币</v>
      </c>
      <c r="FV143" s="139">
        <f>IF($FT143&gt;0,IF(INDEX($EI$6:$EI$77,$FO143)&gt;=FV$3,ROUND(INDEX(EK$6:EK$77,$FO143)*INDEX(卡牌消耗!$B$8:$F$8,FQ143)/5,0)*5,""),"")</f>
        <v>5885</v>
      </c>
      <c r="FW143" s="101" t="str">
        <f t="shared" si="199"/>
        <v>专属强化石3</v>
      </c>
      <c r="FX143" s="101">
        <f t="shared" si="200"/>
        <v>25</v>
      </c>
      <c r="FY143" s="101" t="str">
        <f t="shared" si="201"/>
        <v>专属强化石4</v>
      </c>
      <c r="FZ143" s="101">
        <f t="shared" si="202"/>
        <v>5</v>
      </c>
      <c r="GA143" s="101">
        <f t="shared" si="184"/>
        <v>0.04</v>
      </c>
      <c r="GB143" s="101">
        <f t="shared" si="185"/>
        <v>1</v>
      </c>
      <c r="GC143" s="101">
        <f t="shared" si="186"/>
        <v>38</v>
      </c>
      <c r="GD143" s="101">
        <f t="shared" si="187"/>
        <v>0</v>
      </c>
      <c r="GE143" s="101">
        <f t="shared" si="188"/>
        <v>1</v>
      </c>
      <c r="GF143" s="101">
        <f t="shared" si="189"/>
        <v>9</v>
      </c>
      <c r="GG143" s="101">
        <f t="shared" si="190"/>
        <v>1.9699999999999999E-2</v>
      </c>
      <c r="GH143" s="101">
        <f t="shared" si="191"/>
        <v>1</v>
      </c>
      <c r="GI143" s="101">
        <f t="shared" si="192"/>
        <v>18</v>
      </c>
      <c r="GJ143" s="101">
        <f t="shared" si="193"/>
        <v>7.8899999999999998E-2</v>
      </c>
      <c r="GK143" s="101">
        <f t="shared" si="194"/>
        <v>1</v>
      </c>
      <c r="GL143" s="101">
        <f t="shared" si="195"/>
        <v>38</v>
      </c>
    </row>
    <row r="144" spans="170:194" ht="16.5" x14ac:dyDescent="0.2">
      <c r="FN144" s="101">
        <v>139</v>
      </c>
      <c r="FO144" s="101">
        <f t="shared" si="180"/>
        <v>53</v>
      </c>
      <c r="FP144" s="101">
        <f t="shared" si="196"/>
        <v>2</v>
      </c>
      <c r="FQ144" s="14">
        <f t="shared" si="197"/>
        <v>3</v>
      </c>
      <c r="FR144" s="101" t="str">
        <f t="shared" si="181"/>
        <v>许褚专属武器-魂珠-6 8级</v>
      </c>
      <c r="FS144" s="101">
        <f t="shared" si="182"/>
        <v>6</v>
      </c>
      <c r="FT144" s="101">
        <f t="shared" si="183"/>
        <v>8</v>
      </c>
      <c r="FU144" s="101" t="str">
        <f t="shared" si="198"/>
        <v>金币</v>
      </c>
      <c r="FV144" s="139">
        <f>IF($FT144&gt;0,IF(INDEX($EI$6:$EI$77,$FO144)&gt;=FV$3,ROUND(INDEX(EK$6:EK$77,$FO144)*INDEX(卡牌消耗!$B$8:$F$8,FQ144)/5,0)*5,""),"")</f>
        <v>8235</v>
      </c>
      <c r="FW144" s="101" t="str">
        <f t="shared" si="199"/>
        <v>专属强化石3</v>
      </c>
      <c r="FX144" s="101">
        <f t="shared" si="200"/>
        <v>35</v>
      </c>
      <c r="FY144" s="101" t="str">
        <f t="shared" si="201"/>
        <v>专属强化石4</v>
      </c>
      <c r="FZ144" s="101">
        <f t="shared" si="202"/>
        <v>7</v>
      </c>
      <c r="GA144" s="101">
        <f t="shared" si="184"/>
        <v>0.03</v>
      </c>
      <c r="GB144" s="101">
        <f t="shared" si="185"/>
        <v>1</v>
      </c>
      <c r="GC144" s="101">
        <f t="shared" si="186"/>
        <v>44</v>
      </c>
      <c r="GD144" s="101">
        <f t="shared" si="187"/>
        <v>0</v>
      </c>
      <c r="GE144" s="101">
        <f t="shared" si="188"/>
        <v>1</v>
      </c>
      <c r="GF144" s="101">
        <f t="shared" si="189"/>
        <v>10</v>
      </c>
      <c r="GG144" s="101">
        <f t="shared" si="190"/>
        <v>1.7100000000000001E-2</v>
      </c>
      <c r="GH144" s="101">
        <f t="shared" si="191"/>
        <v>1</v>
      </c>
      <c r="GI144" s="101">
        <f t="shared" si="192"/>
        <v>21</v>
      </c>
      <c r="GJ144" s="101">
        <f t="shared" si="193"/>
        <v>6.8199999999999997E-2</v>
      </c>
      <c r="GK144" s="101">
        <f t="shared" si="194"/>
        <v>1</v>
      </c>
      <c r="GL144" s="101">
        <f t="shared" si="195"/>
        <v>44</v>
      </c>
    </row>
    <row r="145" spans="170:194" ht="16.5" x14ac:dyDescent="0.2">
      <c r="FN145" s="101">
        <v>140</v>
      </c>
      <c r="FO145" s="101">
        <f t="shared" si="180"/>
        <v>54</v>
      </c>
      <c r="FP145" s="101">
        <f t="shared" si="196"/>
        <v>2</v>
      </c>
      <c r="FQ145" s="14">
        <f t="shared" si="197"/>
        <v>3</v>
      </c>
      <c r="FR145" s="101" t="str">
        <f t="shared" si="181"/>
        <v>许褚专属武器-魂珠-6 9级</v>
      </c>
      <c r="FS145" s="101">
        <f t="shared" si="182"/>
        <v>6</v>
      </c>
      <c r="FT145" s="101">
        <f t="shared" si="183"/>
        <v>9</v>
      </c>
      <c r="FU145" s="101" t="str">
        <f t="shared" si="198"/>
        <v>金币</v>
      </c>
      <c r="FV145" s="139">
        <f>IF($FT145&gt;0,IF(INDEX($EI$6:$EI$77,$FO145)&gt;=FV$3,ROUND(INDEX(EK$6:EK$77,$FO145)*INDEX(卡牌消耗!$B$8:$F$8,FQ145)/5,0)*5,""),"")</f>
        <v>9410</v>
      </c>
      <c r="FW145" s="101" t="str">
        <f t="shared" si="199"/>
        <v>专属强化石3</v>
      </c>
      <c r="FX145" s="101">
        <f t="shared" si="200"/>
        <v>40</v>
      </c>
      <c r="FY145" s="101" t="str">
        <f t="shared" si="201"/>
        <v>专属强化石4</v>
      </c>
      <c r="FZ145" s="101">
        <f t="shared" si="202"/>
        <v>8</v>
      </c>
      <c r="GA145" s="101">
        <f t="shared" si="184"/>
        <v>0.02</v>
      </c>
      <c r="GB145" s="101">
        <f t="shared" si="185"/>
        <v>1</v>
      </c>
      <c r="GC145" s="101">
        <f t="shared" si="186"/>
        <v>62</v>
      </c>
      <c r="GD145" s="101">
        <f t="shared" si="187"/>
        <v>0</v>
      </c>
      <c r="GE145" s="101">
        <f t="shared" si="188"/>
        <v>1</v>
      </c>
      <c r="GF145" s="101">
        <f t="shared" si="189"/>
        <v>15</v>
      </c>
      <c r="GG145" s="101">
        <f t="shared" si="190"/>
        <v>1.21E-2</v>
      </c>
      <c r="GH145" s="101">
        <f t="shared" si="191"/>
        <v>1</v>
      </c>
      <c r="GI145" s="101">
        <f t="shared" si="192"/>
        <v>29</v>
      </c>
      <c r="GJ145" s="101">
        <f t="shared" si="193"/>
        <v>4.82E-2</v>
      </c>
      <c r="GK145" s="101">
        <f t="shared" si="194"/>
        <v>1</v>
      </c>
      <c r="GL145" s="101">
        <f t="shared" si="195"/>
        <v>62</v>
      </c>
    </row>
    <row r="146" spans="170:194" ht="16.5" x14ac:dyDescent="0.2">
      <c r="FN146" s="101">
        <v>141</v>
      </c>
      <c r="FO146" s="101">
        <f t="shared" si="180"/>
        <v>0</v>
      </c>
      <c r="FP146" s="101">
        <f t="shared" si="196"/>
        <v>2</v>
      </c>
      <c r="FQ146" s="14">
        <f t="shared" si="197"/>
        <v>3</v>
      </c>
      <c r="FR146" s="101" t="str">
        <f t="shared" si="181"/>
        <v>许褚专属武器-魂珠-7 0级</v>
      </c>
      <c r="FS146" s="101">
        <f t="shared" si="182"/>
        <v>7</v>
      </c>
      <c r="FT146" s="101">
        <f t="shared" si="183"/>
        <v>0</v>
      </c>
      <c r="FU146" s="101" t="str">
        <f t="shared" si="198"/>
        <v/>
      </c>
      <c r="FV146" s="139" t="str">
        <f>IF($FT146&gt;0,IF(INDEX($EI$6:$EI$77,$FO146)&gt;=FV$3,ROUND(INDEX(EK$6:EK$77,$FO146)*INDEX(卡牌消耗!$B$8:$F$8,FQ146)/5,0)*5,""),"")</f>
        <v/>
      </c>
      <c r="FW146" s="101" t="str">
        <f t="shared" si="199"/>
        <v/>
      </c>
      <c r="FX146" s="101" t="str">
        <f t="shared" si="200"/>
        <v/>
      </c>
      <c r="FY146" s="101" t="str">
        <f t="shared" si="201"/>
        <v/>
      </c>
      <c r="FZ146" s="101" t="str">
        <f t="shared" si="202"/>
        <v/>
      </c>
      <c r="GA146" s="101" t="str">
        <f t="shared" si="184"/>
        <v/>
      </c>
      <c r="GB146" s="101" t="str">
        <f t="shared" si="185"/>
        <v/>
      </c>
      <c r="GC146" s="101" t="str">
        <f t="shared" si="186"/>
        <v/>
      </c>
      <c r="GD146" s="101" t="str">
        <f t="shared" si="187"/>
        <v/>
      </c>
      <c r="GE146" s="101" t="str">
        <f t="shared" si="188"/>
        <v/>
      </c>
      <c r="GF146" s="101" t="str">
        <f t="shared" si="189"/>
        <v/>
      </c>
      <c r="GG146" s="101" t="str">
        <f t="shared" si="190"/>
        <v/>
      </c>
      <c r="GH146" s="101" t="str">
        <f t="shared" si="191"/>
        <v/>
      </c>
      <c r="GI146" s="101" t="str">
        <f t="shared" si="192"/>
        <v/>
      </c>
      <c r="GJ146" s="101" t="str">
        <f t="shared" si="193"/>
        <v/>
      </c>
      <c r="GK146" s="101" t="str">
        <f t="shared" si="194"/>
        <v/>
      </c>
      <c r="GL146" s="101" t="str">
        <f t="shared" si="195"/>
        <v/>
      </c>
    </row>
    <row r="147" spans="170:194" ht="16.5" x14ac:dyDescent="0.2">
      <c r="FN147" s="101">
        <v>142</v>
      </c>
      <c r="FO147" s="101">
        <f t="shared" si="180"/>
        <v>55</v>
      </c>
      <c r="FP147" s="101">
        <f t="shared" si="196"/>
        <v>2</v>
      </c>
      <c r="FQ147" s="14">
        <f t="shared" si="197"/>
        <v>3</v>
      </c>
      <c r="FR147" s="101" t="str">
        <f t="shared" si="181"/>
        <v>许褚专属武器-魂珠-7 1级</v>
      </c>
      <c r="FS147" s="101">
        <f t="shared" si="182"/>
        <v>7</v>
      </c>
      <c r="FT147" s="101">
        <f t="shared" si="183"/>
        <v>1</v>
      </c>
      <c r="FU147" s="101" t="str">
        <f t="shared" si="198"/>
        <v>金币</v>
      </c>
      <c r="FV147" s="139">
        <f>IF($FT147&gt;0,IF(INDEX($EI$6:$EI$77,$FO147)&gt;=FV$3,ROUND(INDEX(EK$6:EK$77,$FO147)*INDEX(卡牌消耗!$B$8:$F$8,FQ147)/5,0)*5,""),"")</f>
        <v>12090</v>
      </c>
      <c r="FW147" s="101" t="str">
        <f t="shared" si="199"/>
        <v>专属强化石3</v>
      </c>
      <c r="FX147" s="101">
        <f t="shared" si="200"/>
        <v>6</v>
      </c>
      <c r="FY147" s="101" t="str">
        <f t="shared" si="201"/>
        <v>专属强化石4</v>
      </c>
      <c r="FZ147" s="101">
        <f t="shared" si="202"/>
        <v>2</v>
      </c>
      <c r="GA147" s="101">
        <f t="shared" si="184"/>
        <v>0.2</v>
      </c>
      <c r="GB147" s="101">
        <f t="shared" si="185"/>
        <v>1</v>
      </c>
      <c r="GC147" s="101">
        <f t="shared" si="186"/>
        <v>8</v>
      </c>
      <c r="GD147" s="101">
        <f t="shared" si="187"/>
        <v>0</v>
      </c>
      <c r="GE147" s="101">
        <f t="shared" si="188"/>
        <v>1</v>
      </c>
      <c r="GF147" s="101">
        <f t="shared" si="189"/>
        <v>2</v>
      </c>
      <c r="GG147" s="101">
        <f t="shared" si="190"/>
        <v>9.9400000000000002E-2</v>
      </c>
      <c r="GH147" s="101">
        <f t="shared" si="191"/>
        <v>1</v>
      </c>
      <c r="GI147" s="101">
        <f t="shared" si="192"/>
        <v>4</v>
      </c>
      <c r="GJ147" s="101">
        <f t="shared" si="193"/>
        <v>0.3977</v>
      </c>
      <c r="GK147" s="101">
        <f t="shared" si="194"/>
        <v>1</v>
      </c>
      <c r="GL147" s="101">
        <f t="shared" si="195"/>
        <v>8</v>
      </c>
    </row>
    <row r="148" spans="170:194" ht="16.5" x14ac:dyDescent="0.2">
      <c r="FN148" s="101">
        <v>143</v>
      </c>
      <c r="FO148" s="101">
        <f t="shared" si="180"/>
        <v>56</v>
      </c>
      <c r="FP148" s="101">
        <f t="shared" si="196"/>
        <v>2</v>
      </c>
      <c r="FQ148" s="14">
        <f t="shared" si="197"/>
        <v>3</v>
      </c>
      <c r="FR148" s="101" t="str">
        <f t="shared" si="181"/>
        <v>许褚专属武器-魂珠-7 2级</v>
      </c>
      <c r="FS148" s="101">
        <f t="shared" si="182"/>
        <v>7</v>
      </c>
      <c r="FT148" s="101">
        <f t="shared" si="183"/>
        <v>2</v>
      </c>
      <c r="FU148" s="101" t="str">
        <f t="shared" si="198"/>
        <v>金币</v>
      </c>
      <c r="FV148" s="139">
        <f>IF($FT148&gt;0,IF(INDEX($EI$6:$EI$77,$FO148)&gt;=FV$3,ROUND(INDEX(EK$6:EK$77,$FO148)*INDEX(卡牌消耗!$B$8:$F$8,FQ148)/5,0)*5,""),"")</f>
        <v>9065</v>
      </c>
      <c r="FW148" s="101" t="str">
        <f t="shared" si="199"/>
        <v>专属强化石3</v>
      </c>
      <c r="FX148" s="101">
        <f t="shared" si="200"/>
        <v>6</v>
      </c>
      <c r="FY148" s="101" t="str">
        <f t="shared" si="201"/>
        <v>专属强化石4</v>
      </c>
      <c r="FZ148" s="101">
        <f t="shared" si="202"/>
        <v>2</v>
      </c>
      <c r="GA148" s="101">
        <f t="shared" si="184"/>
        <v>0.1</v>
      </c>
      <c r="GB148" s="101">
        <f t="shared" si="185"/>
        <v>1</v>
      </c>
      <c r="GC148" s="101">
        <f t="shared" si="186"/>
        <v>15</v>
      </c>
      <c r="GD148" s="101">
        <f t="shared" si="187"/>
        <v>0</v>
      </c>
      <c r="GE148" s="101">
        <f t="shared" si="188"/>
        <v>1</v>
      </c>
      <c r="GF148" s="101">
        <f t="shared" si="189"/>
        <v>4</v>
      </c>
      <c r="GG148" s="101">
        <f t="shared" si="190"/>
        <v>4.9700000000000001E-2</v>
      </c>
      <c r="GH148" s="101">
        <f t="shared" si="191"/>
        <v>1</v>
      </c>
      <c r="GI148" s="101">
        <f t="shared" si="192"/>
        <v>7</v>
      </c>
      <c r="GJ148" s="101">
        <f t="shared" si="193"/>
        <v>0.19889999999999999</v>
      </c>
      <c r="GK148" s="101">
        <f t="shared" si="194"/>
        <v>1</v>
      </c>
      <c r="GL148" s="101">
        <f t="shared" si="195"/>
        <v>15</v>
      </c>
    </row>
    <row r="149" spans="170:194" ht="16.5" x14ac:dyDescent="0.2">
      <c r="FN149" s="101">
        <v>144</v>
      </c>
      <c r="FO149" s="101">
        <f t="shared" si="180"/>
        <v>57</v>
      </c>
      <c r="FP149" s="101">
        <f t="shared" si="196"/>
        <v>2</v>
      </c>
      <c r="FQ149" s="14">
        <f t="shared" si="197"/>
        <v>3</v>
      </c>
      <c r="FR149" s="101" t="str">
        <f t="shared" si="181"/>
        <v>许褚专属武器-魂珠-7 3级</v>
      </c>
      <c r="FS149" s="101">
        <f t="shared" si="182"/>
        <v>7</v>
      </c>
      <c r="FT149" s="101">
        <f t="shared" si="183"/>
        <v>3</v>
      </c>
      <c r="FU149" s="101" t="str">
        <f t="shared" si="198"/>
        <v>金币</v>
      </c>
      <c r="FV149" s="139">
        <f>IF($FT149&gt;0,IF(INDEX($EI$6:$EI$77,$FO149)&gt;=FV$3,ROUND(INDEX(EK$6:EK$77,$FO149)*INDEX(卡牌消耗!$B$8:$F$8,FQ149)/5,0)*5,""),"")</f>
        <v>15110</v>
      </c>
      <c r="FW149" s="101" t="str">
        <f t="shared" si="199"/>
        <v>专属强化石3</v>
      </c>
      <c r="FX149" s="101">
        <f t="shared" si="200"/>
        <v>9</v>
      </c>
      <c r="FY149" s="101" t="str">
        <f t="shared" si="201"/>
        <v>专属强化石4</v>
      </c>
      <c r="FZ149" s="101">
        <f t="shared" si="202"/>
        <v>3</v>
      </c>
      <c r="GA149" s="101">
        <f t="shared" si="184"/>
        <v>0.1</v>
      </c>
      <c r="GB149" s="101">
        <f t="shared" si="185"/>
        <v>1</v>
      </c>
      <c r="GC149" s="101">
        <f t="shared" si="186"/>
        <v>15</v>
      </c>
      <c r="GD149" s="101">
        <f t="shared" si="187"/>
        <v>0</v>
      </c>
      <c r="GE149" s="101">
        <f t="shared" si="188"/>
        <v>1</v>
      </c>
      <c r="GF149" s="101">
        <f t="shared" si="189"/>
        <v>4</v>
      </c>
      <c r="GG149" s="101">
        <f t="shared" si="190"/>
        <v>4.9700000000000001E-2</v>
      </c>
      <c r="GH149" s="101">
        <f t="shared" si="191"/>
        <v>1</v>
      </c>
      <c r="GI149" s="101">
        <f t="shared" si="192"/>
        <v>7</v>
      </c>
      <c r="GJ149" s="101">
        <f t="shared" si="193"/>
        <v>0.19889999999999999</v>
      </c>
      <c r="GK149" s="101">
        <f t="shared" si="194"/>
        <v>1</v>
      </c>
      <c r="GL149" s="101">
        <f t="shared" si="195"/>
        <v>15</v>
      </c>
    </row>
    <row r="150" spans="170:194" ht="16.5" x14ac:dyDescent="0.2">
      <c r="FN150" s="101">
        <v>145</v>
      </c>
      <c r="FO150" s="101">
        <f t="shared" ref="FO150:FO213" si="203">IF(FT150&gt;0,(FS150-1)*9+FT150,0)</f>
        <v>58</v>
      </c>
      <c r="FP150" s="101">
        <f t="shared" si="196"/>
        <v>2</v>
      </c>
      <c r="FQ150" s="14">
        <f t="shared" si="197"/>
        <v>3</v>
      </c>
      <c r="FR150" s="101" t="str">
        <f t="shared" ref="FR150:FR213" si="204">INDEX($FI$6:$FI$26,FP150)&amp;"专属武器-魂珠-"&amp;FS150&amp;" "&amp;FT150&amp;"级"</f>
        <v>许褚专属武器-魂珠-7 4级</v>
      </c>
      <c r="FS150" s="101">
        <f t="shared" ref="FS150:FS213" si="205">INT((FN150-(FP150-1)*80-1)/10)+1</f>
        <v>7</v>
      </c>
      <c r="FT150" s="101">
        <f t="shared" ref="FT150:FT213" si="206">FN150-(FP150-1)*80-(FS150-1)*10-1</f>
        <v>4</v>
      </c>
      <c r="FU150" s="101" t="str">
        <f t="shared" si="198"/>
        <v>金币</v>
      </c>
      <c r="FV150" s="139">
        <f>IF($FT150&gt;0,IF(INDEX($EI$6:$EI$77,$FO150)&gt;=FV$3,ROUND(INDEX(EK$6:EK$77,$FO150)*INDEX(卡牌消耗!$B$8:$F$8,FQ150)/5,0)*5,""),"")</f>
        <v>19340</v>
      </c>
      <c r="FW150" s="101" t="str">
        <f t="shared" si="199"/>
        <v>专属强化石3</v>
      </c>
      <c r="FX150" s="101">
        <f t="shared" si="200"/>
        <v>12</v>
      </c>
      <c r="FY150" s="101" t="str">
        <f t="shared" si="201"/>
        <v>专属强化石4</v>
      </c>
      <c r="FZ150" s="101">
        <f t="shared" si="202"/>
        <v>4</v>
      </c>
      <c r="GA150" s="101">
        <f t="shared" ref="GA150:GA213" si="207">IF($FT150&gt;0,INDEX(EP$6:EP$77,$FO150),"")</f>
        <v>0.08</v>
      </c>
      <c r="GB150" s="101">
        <f t="shared" ref="GB150:GB213" si="208">IF($FT150&gt;0,INDEX(EQ$6:EQ$77,$FO150),"")</f>
        <v>1</v>
      </c>
      <c r="GC150" s="101">
        <f t="shared" ref="GC150:GC213" si="209">IF($FT150&gt;0,INDEX(ER$6:ER$77,$FO150),"")</f>
        <v>19</v>
      </c>
      <c r="GD150" s="101">
        <f t="shared" ref="GD150:GD213" si="210">IF($FT150&gt;0,INDEX(EV$6:EV$77,$FO150),"")</f>
        <v>0</v>
      </c>
      <c r="GE150" s="101">
        <f t="shared" ref="GE150:GE213" si="211">IF($FT150&gt;0,INDEX(EW$6:EW$77,$FO150),"")</f>
        <v>1</v>
      </c>
      <c r="GF150" s="101">
        <f t="shared" ref="GF150:GF213" si="212">IF($FT150&gt;0,INDEX(EX$6:EX$77,$FO150),"")</f>
        <v>4</v>
      </c>
      <c r="GG150" s="101">
        <f t="shared" ref="GG150:GG213" si="213">IF($FT150&gt;0,INDEX(EY$6:EY$77,$FO150),"")</f>
        <v>3.9800000000000002E-2</v>
      </c>
      <c r="GH150" s="101">
        <f t="shared" ref="GH150:GH213" si="214">IF($FT150&gt;0,INDEX(EZ$6:EZ$77,$FO150),"")</f>
        <v>1</v>
      </c>
      <c r="GI150" s="101">
        <f t="shared" ref="GI150:GI213" si="215">IF($FT150&gt;0,INDEX(FA$6:FA$77,$FO150),"")</f>
        <v>9</v>
      </c>
      <c r="GJ150" s="101">
        <f t="shared" ref="GJ150:GJ213" si="216">IF($FT150&gt;0,INDEX(FB$6:FB$77,$FO150),"")</f>
        <v>0.15909999999999999</v>
      </c>
      <c r="GK150" s="101">
        <f t="shared" ref="GK150:GK213" si="217">IF($FT150&gt;0,INDEX(FC$6:FC$77,$FO150),"")</f>
        <v>1</v>
      </c>
      <c r="GL150" s="101">
        <f t="shared" ref="GL150:GL213" si="218">IF($FT150&gt;0,INDEX(FD$6:FD$77,$FO150),"")</f>
        <v>19</v>
      </c>
    </row>
    <row r="151" spans="170:194" ht="16.5" x14ac:dyDescent="0.2">
      <c r="FN151" s="101">
        <v>146</v>
      </c>
      <c r="FO151" s="101">
        <f t="shared" si="203"/>
        <v>59</v>
      </c>
      <c r="FP151" s="101">
        <f t="shared" si="196"/>
        <v>2</v>
      </c>
      <c r="FQ151" s="14">
        <f t="shared" si="197"/>
        <v>3</v>
      </c>
      <c r="FR151" s="101" t="str">
        <f t="shared" si="204"/>
        <v>许褚专属武器-魂珠-7 5级</v>
      </c>
      <c r="FS151" s="101">
        <f t="shared" si="205"/>
        <v>7</v>
      </c>
      <c r="FT151" s="101">
        <f t="shared" si="206"/>
        <v>5</v>
      </c>
      <c r="FU151" s="101" t="str">
        <f t="shared" si="198"/>
        <v>金币</v>
      </c>
      <c r="FV151" s="139">
        <f>IF($FT151&gt;0,IF(INDEX($EI$6:$EI$77,$FO151)&gt;=FV$3,ROUND(INDEX(EK$6:EK$77,$FO151)*INDEX(卡牌消耗!$B$8:$F$8,FQ151)/5,0)*5,""),"")</f>
        <v>19640</v>
      </c>
      <c r="FW151" s="101" t="str">
        <f t="shared" si="199"/>
        <v>专属强化石3</v>
      </c>
      <c r="FX151" s="101">
        <f t="shared" si="200"/>
        <v>12</v>
      </c>
      <c r="FY151" s="101" t="str">
        <f t="shared" si="201"/>
        <v>专属强化石4</v>
      </c>
      <c r="FZ151" s="101">
        <f t="shared" si="202"/>
        <v>4</v>
      </c>
      <c r="GA151" s="101">
        <f t="shared" si="207"/>
        <v>0.05</v>
      </c>
      <c r="GB151" s="101">
        <f t="shared" si="208"/>
        <v>1</v>
      </c>
      <c r="GC151" s="101">
        <f t="shared" si="209"/>
        <v>30</v>
      </c>
      <c r="GD151" s="101">
        <f t="shared" si="210"/>
        <v>0</v>
      </c>
      <c r="GE151" s="101">
        <f t="shared" si="211"/>
        <v>1</v>
      </c>
      <c r="GF151" s="101">
        <f t="shared" si="212"/>
        <v>7</v>
      </c>
      <c r="GG151" s="101">
        <f t="shared" si="213"/>
        <v>2.4899999999999999E-2</v>
      </c>
      <c r="GH151" s="101">
        <f t="shared" si="214"/>
        <v>1</v>
      </c>
      <c r="GI151" s="101">
        <f t="shared" si="215"/>
        <v>14</v>
      </c>
      <c r="GJ151" s="101">
        <f t="shared" si="216"/>
        <v>9.9400000000000002E-2</v>
      </c>
      <c r="GK151" s="101">
        <f t="shared" si="217"/>
        <v>1</v>
      </c>
      <c r="GL151" s="101">
        <f t="shared" si="218"/>
        <v>30</v>
      </c>
    </row>
    <row r="152" spans="170:194" ht="16.5" x14ac:dyDescent="0.2">
      <c r="FN152" s="101">
        <v>147</v>
      </c>
      <c r="FO152" s="101">
        <f t="shared" si="203"/>
        <v>60</v>
      </c>
      <c r="FP152" s="101">
        <f t="shared" si="196"/>
        <v>2</v>
      </c>
      <c r="FQ152" s="14">
        <f t="shared" si="197"/>
        <v>3</v>
      </c>
      <c r="FR152" s="101" t="str">
        <f t="shared" si="204"/>
        <v>许褚专属武器-魂珠-7 6级</v>
      </c>
      <c r="FS152" s="101">
        <f t="shared" si="205"/>
        <v>7</v>
      </c>
      <c r="FT152" s="101">
        <f t="shared" si="206"/>
        <v>6</v>
      </c>
      <c r="FU152" s="101" t="str">
        <f t="shared" si="198"/>
        <v>金币</v>
      </c>
      <c r="FV152" s="139">
        <f>IF($FT152&gt;0,IF(INDEX($EI$6:$EI$77,$FO152)&gt;=FV$3,ROUND(INDEX(EK$6:EK$77,$FO152)*INDEX(卡牌消耗!$B$8:$F$8,FQ152)/5,0)*5,""),"")</f>
        <v>24410</v>
      </c>
      <c r="FW152" s="101" t="str">
        <f t="shared" si="199"/>
        <v>专属强化石3</v>
      </c>
      <c r="FX152" s="101">
        <f t="shared" si="200"/>
        <v>15</v>
      </c>
      <c r="FY152" s="101" t="str">
        <f t="shared" si="201"/>
        <v>专属强化石4</v>
      </c>
      <c r="FZ152" s="101">
        <f t="shared" si="202"/>
        <v>5</v>
      </c>
      <c r="GA152" s="101">
        <f t="shared" si="207"/>
        <v>0.04</v>
      </c>
      <c r="GB152" s="101">
        <f t="shared" si="208"/>
        <v>1</v>
      </c>
      <c r="GC152" s="101">
        <f t="shared" si="209"/>
        <v>39</v>
      </c>
      <c r="GD152" s="101">
        <f t="shared" si="210"/>
        <v>0</v>
      </c>
      <c r="GE152" s="101">
        <f t="shared" si="211"/>
        <v>1</v>
      </c>
      <c r="GF152" s="101">
        <f t="shared" si="212"/>
        <v>9</v>
      </c>
      <c r="GG152" s="101">
        <f t="shared" si="213"/>
        <v>1.9099999999999999E-2</v>
      </c>
      <c r="GH152" s="101">
        <f t="shared" si="214"/>
        <v>1</v>
      </c>
      <c r="GI152" s="101">
        <f t="shared" si="215"/>
        <v>18</v>
      </c>
      <c r="GJ152" s="101">
        <f t="shared" si="216"/>
        <v>7.6499999999999999E-2</v>
      </c>
      <c r="GK152" s="101">
        <f t="shared" si="217"/>
        <v>1</v>
      </c>
      <c r="GL152" s="101">
        <f t="shared" si="218"/>
        <v>39</v>
      </c>
    </row>
    <row r="153" spans="170:194" ht="16.5" x14ac:dyDescent="0.2">
      <c r="FN153" s="101">
        <v>148</v>
      </c>
      <c r="FO153" s="101">
        <f t="shared" si="203"/>
        <v>61</v>
      </c>
      <c r="FP153" s="101">
        <f t="shared" si="196"/>
        <v>2</v>
      </c>
      <c r="FQ153" s="14">
        <f t="shared" si="197"/>
        <v>3</v>
      </c>
      <c r="FR153" s="101" t="str">
        <f t="shared" si="204"/>
        <v>许褚专属武器-魂珠-7 7级</v>
      </c>
      <c r="FS153" s="101">
        <f t="shared" si="205"/>
        <v>7</v>
      </c>
      <c r="FT153" s="101">
        <f t="shared" si="206"/>
        <v>7</v>
      </c>
      <c r="FU153" s="101" t="str">
        <f t="shared" si="198"/>
        <v>金币</v>
      </c>
      <c r="FV153" s="139">
        <f>IF($FT153&gt;0,IF(INDEX($EI$6:$EI$77,$FO153)&gt;=FV$3,ROUND(INDEX(EK$6:EK$77,$FO153)*INDEX(卡牌消耗!$B$8:$F$8,FQ153)/5,0)*5,""),"")</f>
        <v>34250</v>
      </c>
      <c r="FW153" s="101" t="str">
        <f t="shared" si="199"/>
        <v>专属强化石3</v>
      </c>
      <c r="FX153" s="101">
        <f t="shared" si="200"/>
        <v>21</v>
      </c>
      <c r="FY153" s="101" t="str">
        <f t="shared" si="201"/>
        <v>专属强化石4</v>
      </c>
      <c r="FZ153" s="101">
        <f t="shared" si="202"/>
        <v>7</v>
      </c>
      <c r="GA153" s="101">
        <f t="shared" si="207"/>
        <v>0.03</v>
      </c>
      <c r="GB153" s="101">
        <f t="shared" si="208"/>
        <v>1</v>
      </c>
      <c r="GC153" s="101">
        <f t="shared" si="209"/>
        <v>45</v>
      </c>
      <c r="GD153" s="101">
        <f t="shared" si="210"/>
        <v>0</v>
      </c>
      <c r="GE153" s="101">
        <f t="shared" si="211"/>
        <v>1</v>
      </c>
      <c r="GF153" s="101">
        <f t="shared" si="212"/>
        <v>11</v>
      </c>
      <c r="GG153" s="101">
        <f t="shared" si="213"/>
        <v>1.66E-2</v>
      </c>
      <c r="GH153" s="101">
        <f t="shared" si="214"/>
        <v>1</v>
      </c>
      <c r="GI153" s="101">
        <f t="shared" si="215"/>
        <v>21</v>
      </c>
      <c r="GJ153" s="101">
        <f t="shared" si="216"/>
        <v>6.6299999999999998E-2</v>
      </c>
      <c r="GK153" s="101">
        <f t="shared" si="217"/>
        <v>1</v>
      </c>
      <c r="GL153" s="101">
        <f t="shared" si="218"/>
        <v>45</v>
      </c>
    </row>
    <row r="154" spans="170:194" ht="16.5" x14ac:dyDescent="0.2">
      <c r="FN154" s="101">
        <v>149</v>
      </c>
      <c r="FO154" s="101">
        <f t="shared" si="203"/>
        <v>62</v>
      </c>
      <c r="FP154" s="101">
        <f t="shared" si="196"/>
        <v>2</v>
      </c>
      <c r="FQ154" s="14">
        <f t="shared" si="197"/>
        <v>3</v>
      </c>
      <c r="FR154" s="101" t="str">
        <f t="shared" si="204"/>
        <v>许褚专属武器-魂珠-7 8级</v>
      </c>
      <c r="FS154" s="101">
        <f t="shared" si="205"/>
        <v>7</v>
      </c>
      <c r="FT154" s="101">
        <f t="shared" si="206"/>
        <v>8</v>
      </c>
      <c r="FU154" s="101" t="str">
        <f t="shared" si="198"/>
        <v>金币</v>
      </c>
      <c r="FV154" s="139">
        <f>IF($FT154&gt;0,IF(INDEX($EI$6:$EI$77,$FO154)&gt;=FV$3,ROUND(INDEX(EK$6:EK$77,$FO154)*INDEX(卡牌消耗!$B$8:$F$8,FQ154)/5,0)*5,""),"")</f>
        <v>39105</v>
      </c>
      <c r="FW154" s="101" t="str">
        <f t="shared" si="199"/>
        <v>专属强化石3</v>
      </c>
      <c r="FX154" s="101">
        <f t="shared" si="200"/>
        <v>24</v>
      </c>
      <c r="FY154" s="101" t="str">
        <f t="shared" si="201"/>
        <v>专属强化石4</v>
      </c>
      <c r="FZ154" s="101">
        <f t="shared" si="202"/>
        <v>8</v>
      </c>
      <c r="GA154" s="101">
        <f t="shared" si="207"/>
        <v>0.02</v>
      </c>
      <c r="GB154" s="101">
        <f t="shared" si="208"/>
        <v>1</v>
      </c>
      <c r="GC154" s="101">
        <f t="shared" si="209"/>
        <v>64</v>
      </c>
      <c r="GD154" s="101">
        <f t="shared" si="210"/>
        <v>0</v>
      </c>
      <c r="GE154" s="101">
        <f t="shared" si="211"/>
        <v>1</v>
      </c>
      <c r="GF154" s="101">
        <f t="shared" si="212"/>
        <v>15</v>
      </c>
      <c r="GG154" s="101">
        <f t="shared" si="213"/>
        <v>1.17E-2</v>
      </c>
      <c r="GH154" s="101">
        <f t="shared" si="214"/>
        <v>1</v>
      </c>
      <c r="GI154" s="101">
        <f t="shared" si="215"/>
        <v>30</v>
      </c>
      <c r="GJ154" s="101">
        <f t="shared" si="216"/>
        <v>4.6800000000000001E-2</v>
      </c>
      <c r="GK154" s="101">
        <f t="shared" si="217"/>
        <v>1</v>
      </c>
      <c r="GL154" s="101">
        <f t="shared" si="218"/>
        <v>64</v>
      </c>
    </row>
    <row r="155" spans="170:194" ht="16.5" x14ac:dyDescent="0.2">
      <c r="FN155" s="101">
        <v>150</v>
      </c>
      <c r="FO155" s="101">
        <f t="shared" si="203"/>
        <v>63</v>
      </c>
      <c r="FP155" s="101">
        <f t="shared" si="196"/>
        <v>2</v>
      </c>
      <c r="FQ155" s="14">
        <f t="shared" si="197"/>
        <v>3</v>
      </c>
      <c r="FR155" s="101" t="str">
        <f t="shared" si="204"/>
        <v>许褚专属武器-魂珠-7 9级</v>
      </c>
      <c r="FS155" s="101">
        <f t="shared" si="205"/>
        <v>7</v>
      </c>
      <c r="FT155" s="101">
        <f t="shared" si="206"/>
        <v>9</v>
      </c>
      <c r="FU155" s="101" t="str">
        <f t="shared" si="198"/>
        <v>金币</v>
      </c>
      <c r="FV155" s="139">
        <f>IF($FT155&gt;0,IF(INDEX($EI$6:$EI$77,$FO155)&gt;=FV$3,ROUND(INDEX(EK$6:EK$77,$FO155)*INDEX(卡牌消耗!$B$8:$F$8,FQ155)/5,0)*5,""),"")</f>
        <v>48900</v>
      </c>
      <c r="FW155" s="101" t="str">
        <f t="shared" si="199"/>
        <v>专属强化石3</v>
      </c>
      <c r="FX155" s="101">
        <f t="shared" si="200"/>
        <v>30</v>
      </c>
      <c r="FY155" s="101" t="str">
        <f t="shared" si="201"/>
        <v>专属强化石4</v>
      </c>
      <c r="FZ155" s="101">
        <f t="shared" si="202"/>
        <v>10</v>
      </c>
      <c r="GA155" s="101">
        <f t="shared" si="207"/>
        <v>0.02</v>
      </c>
      <c r="GB155" s="101">
        <f t="shared" si="208"/>
        <v>1</v>
      </c>
      <c r="GC155" s="101">
        <f t="shared" si="209"/>
        <v>83</v>
      </c>
      <c r="GD155" s="101">
        <f t="shared" si="210"/>
        <v>0</v>
      </c>
      <c r="GE155" s="101">
        <f t="shared" si="211"/>
        <v>1</v>
      </c>
      <c r="GF155" s="101">
        <f t="shared" si="212"/>
        <v>19</v>
      </c>
      <c r="GG155" s="101">
        <f t="shared" si="213"/>
        <v>8.9999999999999993E-3</v>
      </c>
      <c r="GH155" s="101">
        <f t="shared" si="214"/>
        <v>1</v>
      </c>
      <c r="GI155" s="101">
        <f t="shared" si="215"/>
        <v>39</v>
      </c>
      <c r="GJ155" s="101">
        <f t="shared" si="216"/>
        <v>3.6200000000000003E-2</v>
      </c>
      <c r="GK155" s="101">
        <f t="shared" si="217"/>
        <v>1</v>
      </c>
      <c r="GL155" s="101">
        <f t="shared" si="218"/>
        <v>83</v>
      </c>
    </row>
    <row r="156" spans="170:194" ht="16.5" x14ac:dyDescent="0.2">
      <c r="FN156" s="101">
        <v>151</v>
      </c>
      <c r="FO156" s="101">
        <f t="shared" si="203"/>
        <v>0</v>
      </c>
      <c r="FP156" s="101">
        <f t="shared" si="196"/>
        <v>2</v>
      </c>
      <c r="FQ156" s="14">
        <f t="shared" si="197"/>
        <v>3</v>
      </c>
      <c r="FR156" s="101" t="str">
        <f t="shared" si="204"/>
        <v>许褚专属武器-魂珠-8 0级</v>
      </c>
      <c r="FS156" s="101">
        <f t="shared" si="205"/>
        <v>8</v>
      </c>
      <c r="FT156" s="101">
        <f t="shared" si="206"/>
        <v>0</v>
      </c>
      <c r="FU156" s="101" t="str">
        <f t="shared" si="198"/>
        <v/>
      </c>
      <c r="FV156" s="139" t="str">
        <f>IF($FT156&gt;0,IF(INDEX($EI$6:$EI$77,$FO156)&gt;=FV$3,ROUND(INDEX(EK$6:EK$77,$FO156)*INDEX(卡牌消耗!$B$8:$F$8,FQ156)/5,0)*5,""),"")</f>
        <v/>
      </c>
      <c r="FW156" s="101" t="str">
        <f t="shared" si="199"/>
        <v/>
      </c>
      <c r="FX156" s="101" t="str">
        <f t="shared" si="200"/>
        <v/>
      </c>
      <c r="FY156" s="101" t="str">
        <f t="shared" si="201"/>
        <v/>
      </c>
      <c r="FZ156" s="101" t="str">
        <f t="shared" si="202"/>
        <v/>
      </c>
      <c r="GA156" s="101" t="str">
        <f t="shared" si="207"/>
        <v/>
      </c>
      <c r="GB156" s="101" t="str">
        <f t="shared" si="208"/>
        <v/>
      </c>
      <c r="GC156" s="101" t="str">
        <f t="shared" si="209"/>
        <v/>
      </c>
      <c r="GD156" s="101" t="str">
        <f t="shared" si="210"/>
        <v/>
      </c>
      <c r="GE156" s="101" t="str">
        <f t="shared" si="211"/>
        <v/>
      </c>
      <c r="GF156" s="101" t="str">
        <f t="shared" si="212"/>
        <v/>
      </c>
      <c r="GG156" s="101" t="str">
        <f t="shared" si="213"/>
        <v/>
      </c>
      <c r="GH156" s="101" t="str">
        <f t="shared" si="214"/>
        <v/>
      </c>
      <c r="GI156" s="101" t="str">
        <f t="shared" si="215"/>
        <v/>
      </c>
      <c r="GJ156" s="101" t="str">
        <f t="shared" si="216"/>
        <v/>
      </c>
      <c r="GK156" s="101" t="str">
        <f t="shared" si="217"/>
        <v/>
      </c>
      <c r="GL156" s="101" t="str">
        <f t="shared" si="218"/>
        <v/>
      </c>
    </row>
    <row r="157" spans="170:194" ht="16.5" x14ac:dyDescent="0.2">
      <c r="FN157" s="101">
        <v>152</v>
      </c>
      <c r="FO157" s="101">
        <f t="shared" si="203"/>
        <v>64</v>
      </c>
      <c r="FP157" s="101">
        <f t="shared" si="196"/>
        <v>2</v>
      </c>
      <c r="FQ157" s="14">
        <f t="shared" si="197"/>
        <v>3</v>
      </c>
      <c r="FR157" s="101" t="str">
        <f t="shared" si="204"/>
        <v>许褚专属武器-魂珠-8 1级</v>
      </c>
      <c r="FS157" s="101">
        <f t="shared" si="205"/>
        <v>8</v>
      </c>
      <c r="FT157" s="101">
        <f t="shared" si="206"/>
        <v>1</v>
      </c>
      <c r="FU157" s="101" t="str">
        <f t="shared" si="198"/>
        <v>金币</v>
      </c>
      <c r="FV157" s="139">
        <f>IF($FT157&gt;0,IF(INDEX($EI$6:$EI$77,$FO157)&gt;=FV$3,ROUND(INDEX(EK$6:EK$77,$FO157)*INDEX(卡牌消耗!$B$8:$F$8,FQ157)/5,0)*5,""),"")</f>
        <v>10300</v>
      </c>
      <c r="FW157" s="101" t="str">
        <f t="shared" si="199"/>
        <v>专属强化石4</v>
      </c>
      <c r="FX157" s="101">
        <f t="shared" si="200"/>
        <v>5</v>
      </c>
      <c r="FY157" s="101" t="str">
        <f t="shared" si="201"/>
        <v/>
      </c>
      <c r="FZ157" s="101" t="str">
        <f t="shared" si="202"/>
        <v/>
      </c>
      <c r="GA157" s="101">
        <f t="shared" si="207"/>
        <v>0.11</v>
      </c>
      <c r="GB157" s="101">
        <f t="shared" si="208"/>
        <v>1</v>
      </c>
      <c r="GC157" s="101">
        <f t="shared" si="209"/>
        <v>13</v>
      </c>
      <c r="GD157" s="101">
        <f t="shared" si="210"/>
        <v>0</v>
      </c>
      <c r="GE157" s="101">
        <f t="shared" si="211"/>
        <v>1</v>
      </c>
      <c r="GF157" s="101">
        <f t="shared" si="212"/>
        <v>3</v>
      </c>
      <c r="GG157" s="101">
        <f t="shared" si="213"/>
        <v>5.6500000000000002E-2</v>
      </c>
      <c r="GH157" s="101">
        <f t="shared" si="214"/>
        <v>1</v>
      </c>
      <c r="GI157" s="101">
        <f t="shared" si="215"/>
        <v>6</v>
      </c>
      <c r="GJ157" s="101">
        <f t="shared" si="216"/>
        <v>0.22600000000000001</v>
      </c>
      <c r="GK157" s="101">
        <f t="shared" si="217"/>
        <v>1</v>
      </c>
      <c r="GL157" s="101">
        <f t="shared" si="218"/>
        <v>13</v>
      </c>
    </row>
    <row r="158" spans="170:194" ht="16.5" x14ac:dyDescent="0.2">
      <c r="FN158" s="101">
        <v>153</v>
      </c>
      <c r="FO158" s="101">
        <f t="shared" si="203"/>
        <v>65</v>
      </c>
      <c r="FP158" s="101">
        <f t="shared" si="196"/>
        <v>2</v>
      </c>
      <c r="FQ158" s="14">
        <f t="shared" si="197"/>
        <v>3</v>
      </c>
      <c r="FR158" s="101" t="str">
        <f t="shared" si="204"/>
        <v>许褚专属武器-魂珠-8 2级</v>
      </c>
      <c r="FS158" s="101">
        <f t="shared" si="205"/>
        <v>8</v>
      </c>
      <c r="FT158" s="101">
        <f t="shared" si="206"/>
        <v>2</v>
      </c>
      <c r="FU158" s="101" t="str">
        <f t="shared" si="198"/>
        <v>金币</v>
      </c>
      <c r="FV158" s="139">
        <f>IF($FT158&gt;0,IF(INDEX($EI$6:$EI$77,$FO158)&gt;=FV$3,ROUND(INDEX(EK$6:EK$77,$FO158)*INDEX(卡牌消耗!$B$8:$F$8,FQ158)/5,0)*5,""),"")</f>
        <v>12360</v>
      </c>
      <c r="FW158" s="101" t="str">
        <f t="shared" si="199"/>
        <v>专属强化石4</v>
      </c>
      <c r="FX158" s="101">
        <f t="shared" si="200"/>
        <v>8</v>
      </c>
      <c r="FY158" s="101" t="str">
        <f t="shared" si="201"/>
        <v/>
      </c>
      <c r="FZ158" s="101" t="str">
        <f t="shared" si="202"/>
        <v/>
      </c>
      <c r="GA158" s="101">
        <f t="shared" si="207"/>
        <v>0.09</v>
      </c>
      <c r="GB158" s="101">
        <f t="shared" si="208"/>
        <v>1</v>
      </c>
      <c r="GC158" s="101">
        <f t="shared" si="209"/>
        <v>17</v>
      </c>
      <c r="GD158" s="101">
        <f t="shared" si="210"/>
        <v>0</v>
      </c>
      <c r="GE158" s="101">
        <f t="shared" si="211"/>
        <v>1</v>
      </c>
      <c r="GF158" s="101">
        <f t="shared" si="212"/>
        <v>4</v>
      </c>
      <c r="GG158" s="101">
        <f t="shared" si="213"/>
        <v>4.5199999999999997E-2</v>
      </c>
      <c r="GH158" s="101">
        <f t="shared" si="214"/>
        <v>1</v>
      </c>
      <c r="GI158" s="101">
        <f t="shared" si="215"/>
        <v>8</v>
      </c>
      <c r="GJ158" s="101">
        <f t="shared" si="216"/>
        <v>0.18079999999999999</v>
      </c>
      <c r="GK158" s="101">
        <f t="shared" si="217"/>
        <v>1</v>
      </c>
      <c r="GL158" s="101">
        <f t="shared" si="218"/>
        <v>17</v>
      </c>
    </row>
    <row r="159" spans="170:194" ht="16.5" x14ac:dyDescent="0.2">
      <c r="FN159" s="101">
        <v>154</v>
      </c>
      <c r="FO159" s="101">
        <f t="shared" si="203"/>
        <v>66</v>
      </c>
      <c r="FP159" s="101">
        <f t="shared" si="196"/>
        <v>2</v>
      </c>
      <c r="FQ159" s="14">
        <f t="shared" si="197"/>
        <v>3</v>
      </c>
      <c r="FR159" s="101" t="str">
        <f t="shared" si="204"/>
        <v>许褚专属武器-魂珠-8 3级</v>
      </c>
      <c r="FS159" s="101">
        <f t="shared" si="205"/>
        <v>8</v>
      </c>
      <c r="FT159" s="101">
        <f t="shared" si="206"/>
        <v>3</v>
      </c>
      <c r="FU159" s="101" t="str">
        <f t="shared" si="198"/>
        <v>金币</v>
      </c>
      <c r="FV159" s="139">
        <f>IF($FT159&gt;0,IF(INDEX($EI$6:$EI$77,$FO159)&gt;=FV$3,ROUND(INDEX(EK$6:EK$77,$FO159)*INDEX(卡牌消耗!$B$8:$F$8,FQ159)/5,0)*5,""),"")</f>
        <v>17170</v>
      </c>
      <c r="FW159" s="101" t="str">
        <f t="shared" si="199"/>
        <v>专属强化石4</v>
      </c>
      <c r="FX159" s="101">
        <f t="shared" si="200"/>
        <v>10</v>
      </c>
      <c r="FY159" s="101" t="str">
        <f t="shared" si="201"/>
        <v/>
      </c>
      <c r="FZ159" s="101" t="str">
        <f t="shared" si="202"/>
        <v/>
      </c>
      <c r="GA159" s="101">
        <f t="shared" si="207"/>
        <v>0.08</v>
      </c>
      <c r="GB159" s="101">
        <f t="shared" si="208"/>
        <v>1</v>
      </c>
      <c r="GC159" s="101">
        <f t="shared" si="209"/>
        <v>20</v>
      </c>
      <c r="GD159" s="101">
        <f t="shared" si="210"/>
        <v>0</v>
      </c>
      <c r="GE159" s="101">
        <f t="shared" si="211"/>
        <v>1</v>
      </c>
      <c r="GF159" s="101">
        <f t="shared" si="212"/>
        <v>5</v>
      </c>
      <c r="GG159" s="101">
        <f t="shared" si="213"/>
        <v>3.7699999999999997E-2</v>
      </c>
      <c r="GH159" s="101">
        <f t="shared" si="214"/>
        <v>1</v>
      </c>
      <c r="GI159" s="101">
        <f t="shared" si="215"/>
        <v>9</v>
      </c>
      <c r="GJ159" s="101">
        <f t="shared" si="216"/>
        <v>0.1507</v>
      </c>
      <c r="GK159" s="101">
        <f t="shared" si="217"/>
        <v>1</v>
      </c>
      <c r="GL159" s="101">
        <f t="shared" si="218"/>
        <v>20</v>
      </c>
    </row>
    <row r="160" spans="170:194" ht="16.5" x14ac:dyDescent="0.2">
      <c r="FN160" s="101">
        <v>155</v>
      </c>
      <c r="FO160" s="101">
        <f t="shared" si="203"/>
        <v>67</v>
      </c>
      <c r="FP160" s="101">
        <f t="shared" si="196"/>
        <v>2</v>
      </c>
      <c r="FQ160" s="14">
        <f t="shared" si="197"/>
        <v>3</v>
      </c>
      <c r="FR160" s="101" t="str">
        <f t="shared" si="204"/>
        <v>许褚专属武器-魂珠-8 4级</v>
      </c>
      <c r="FS160" s="101">
        <f t="shared" si="205"/>
        <v>8</v>
      </c>
      <c r="FT160" s="101">
        <f t="shared" si="206"/>
        <v>4</v>
      </c>
      <c r="FU160" s="101" t="str">
        <f t="shared" si="198"/>
        <v>金币</v>
      </c>
      <c r="FV160" s="139">
        <f>IF($FT160&gt;0,IF(INDEX($EI$6:$EI$77,$FO160)&gt;=FV$3,ROUND(INDEX(EK$6:EK$77,$FO160)*INDEX(卡牌消耗!$B$8:$F$8,FQ160)/5,0)*5,""),"")</f>
        <v>19780</v>
      </c>
      <c r="FW160" s="101" t="str">
        <f t="shared" si="199"/>
        <v>专属强化石4</v>
      </c>
      <c r="FX160" s="101">
        <f t="shared" si="200"/>
        <v>12</v>
      </c>
      <c r="FY160" s="101" t="str">
        <f t="shared" si="201"/>
        <v/>
      </c>
      <c r="FZ160" s="101" t="str">
        <f t="shared" si="202"/>
        <v/>
      </c>
      <c r="GA160" s="101">
        <f t="shared" si="207"/>
        <v>0.05</v>
      </c>
      <c r="GB160" s="101">
        <f t="shared" si="208"/>
        <v>1</v>
      </c>
      <c r="GC160" s="101">
        <f t="shared" si="209"/>
        <v>28</v>
      </c>
      <c r="GD160" s="101">
        <f t="shared" si="210"/>
        <v>0</v>
      </c>
      <c r="GE160" s="101">
        <f t="shared" si="211"/>
        <v>1</v>
      </c>
      <c r="GF160" s="101">
        <f t="shared" si="212"/>
        <v>6</v>
      </c>
      <c r="GG160" s="101">
        <f t="shared" si="213"/>
        <v>2.7099999999999999E-2</v>
      </c>
      <c r="GH160" s="101">
        <f t="shared" si="214"/>
        <v>1</v>
      </c>
      <c r="GI160" s="101">
        <f t="shared" si="215"/>
        <v>13</v>
      </c>
      <c r="GJ160" s="101">
        <f t="shared" si="216"/>
        <v>0.1085</v>
      </c>
      <c r="GK160" s="101">
        <f t="shared" si="217"/>
        <v>1</v>
      </c>
      <c r="GL160" s="101">
        <f t="shared" si="218"/>
        <v>28</v>
      </c>
    </row>
    <row r="161" spans="170:194" ht="16.5" x14ac:dyDescent="0.2">
      <c r="FN161" s="101">
        <v>156</v>
      </c>
      <c r="FO161" s="101">
        <f t="shared" si="203"/>
        <v>68</v>
      </c>
      <c r="FP161" s="101">
        <f t="shared" si="196"/>
        <v>2</v>
      </c>
      <c r="FQ161" s="14">
        <f t="shared" si="197"/>
        <v>3</v>
      </c>
      <c r="FR161" s="101" t="str">
        <f t="shared" si="204"/>
        <v>许褚专属武器-魂珠-8 5级</v>
      </c>
      <c r="FS161" s="101">
        <f t="shared" si="205"/>
        <v>8</v>
      </c>
      <c r="FT161" s="101">
        <f t="shared" si="206"/>
        <v>5</v>
      </c>
      <c r="FU161" s="101" t="str">
        <f t="shared" si="198"/>
        <v>金币</v>
      </c>
      <c r="FV161" s="139">
        <f>IF($FT161&gt;0,IF(INDEX($EI$6:$EI$77,$FO161)&gt;=FV$3,ROUND(INDEX(EK$6:EK$77,$FO161)*INDEX(卡牌消耗!$B$8:$F$8,FQ161)/5,0)*5,""),"")</f>
        <v>25110</v>
      </c>
      <c r="FW161" s="101" t="str">
        <f t="shared" si="199"/>
        <v>专属强化石4</v>
      </c>
      <c r="FX161" s="101">
        <f t="shared" si="200"/>
        <v>15</v>
      </c>
      <c r="FY161" s="101" t="str">
        <f t="shared" si="201"/>
        <v/>
      </c>
      <c r="FZ161" s="101" t="str">
        <f t="shared" si="202"/>
        <v/>
      </c>
      <c r="GA161" s="101">
        <f t="shared" si="207"/>
        <v>0.04</v>
      </c>
      <c r="GB161" s="101">
        <f t="shared" si="208"/>
        <v>1</v>
      </c>
      <c r="GC161" s="101">
        <f t="shared" si="209"/>
        <v>35</v>
      </c>
      <c r="GD161" s="101">
        <f t="shared" si="210"/>
        <v>0</v>
      </c>
      <c r="GE161" s="101">
        <f t="shared" si="211"/>
        <v>1</v>
      </c>
      <c r="GF161" s="101">
        <f t="shared" si="212"/>
        <v>8</v>
      </c>
      <c r="GG161" s="101">
        <f t="shared" si="213"/>
        <v>2.12E-2</v>
      </c>
      <c r="GH161" s="101">
        <f t="shared" si="214"/>
        <v>1</v>
      </c>
      <c r="GI161" s="101">
        <f t="shared" si="215"/>
        <v>17</v>
      </c>
      <c r="GJ161" s="101">
        <f t="shared" si="216"/>
        <v>8.4699999999999998E-2</v>
      </c>
      <c r="GK161" s="101">
        <f t="shared" si="217"/>
        <v>1</v>
      </c>
      <c r="GL161" s="101">
        <f t="shared" si="218"/>
        <v>35</v>
      </c>
    </row>
    <row r="162" spans="170:194" ht="16.5" x14ac:dyDescent="0.2">
      <c r="FN162" s="101">
        <v>157</v>
      </c>
      <c r="FO162" s="101">
        <f t="shared" si="203"/>
        <v>69</v>
      </c>
      <c r="FP162" s="101">
        <f t="shared" si="196"/>
        <v>2</v>
      </c>
      <c r="FQ162" s="14">
        <f t="shared" si="197"/>
        <v>3</v>
      </c>
      <c r="FR162" s="101" t="str">
        <f t="shared" si="204"/>
        <v>许褚专属武器-魂珠-8 6级</v>
      </c>
      <c r="FS162" s="101">
        <f t="shared" si="205"/>
        <v>8</v>
      </c>
      <c r="FT162" s="101">
        <f t="shared" si="206"/>
        <v>6</v>
      </c>
      <c r="FU162" s="101" t="str">
        <f t="shared" si="198"/>
        <v>金币</v>
      </c>
      <c r="FV162" s="139">
        <f>IF($FT162&gt;0,IF(INDEX($EI$6:$EI$77,$FO162)&gt;=FV$3,ROUND(INDEX(EK$6:EK$77,$FO162)*INDEX(卡牌消耗!$B$8:$F$8,FQ162)/5,0)*5,""),"")</f>
        <v>29955</v>
      </c>
      <c r="FW162" s="101" t="str">
        <f t="shared" si="199"/>
        <v>专属强化石4</v>
      </c>
      <c r="FX162" s="101">
        <f t="shared" si="200"/>
        <v>18</v>
      </c>
      <c r="FY162" s="101" t="str">
        <f t="shared" si="201"/>
        <v/>
      </c>
      <c r="FZ162" s="101" t="str">
        <f t="shared" si="202"/>
        <v/>
      </c>
      <c r="GA162" s="101">
        <f t="shared" si="207"/>
        <v>0.03</v>
      </c>
      <c r="GB162" s="101">
        <f t="shared" si="208"/>
        <v>1</v>
      </c>
      <c r="GC162" s="101">
        <f t="shared" si="209"/>
        <v>48</v>
      </c>
      <c r="GD162" s="101">
        <f t="shared" si="210"/>
        <v>0</v>
      </c>
      <c r="GE162" s="101">
        <f t="shared" si="211"/>
        <v>1</v>
      </c>
      <c r="GF162" s="101">
        <f t="shared" si="212"/>
        <v>11</v>
      </c>
      <c r="GG162" s="101">
        <f t="shared" si="213"/>
        <v>1.5599999999999999E-2</v>
      </c>
      <c r="GH162" s="101">
        <f t="shared" si="214"/>
        <v>1</v>
      </c>
      <c r="GI162" s="101">
        <f t="shared" si="215"/>
        <v>22</v>
      </c>
      <c r="GJ162" s="101">
        <f t="shared" si="216"/>
        <v>6.2600000000000003E-2</v>
      </c>
      <c r="GK162" s="101">
        <f t="shared" si="217"/>
        <v>1</v>
      </c>
      <c r="GL162" s="101">
        <f t="shared" si="218"/>
        <v>48</v>
      </c>
    </row>
    <row r="163" spans="170:194" ht="16.5" x14ac:dyDescent="0.2">
      <c r="FN163" s="101">
        <v>158</v>
      </c>
      <c r="FO163" s="101">
        <f t="shared" si="203"/>
        <v>70</v>
      </c>
      <c r="FP163" s="101">
        <f t="shared" si="196"/>
        <v>2</v>
      </c>
      <c r="FQ163" s="14">
        <f t="shared" si="197"/>
        <v>3</v>
      </c>
      <c r="FR163" s="101" t="str">
        <f t="shared" si="204"/>
        <v>许褚专属武器-魂珠-8 7级</v>
      </c>
      <c r="FS163" s="101">
        <f t="shared" si="205"/>
        <v>8</v>
      </c>
      <c r="FT163" s="101">
        <f t="shared" si="206"/>
        <v>7</v>
      </c>
      <c r="FU163" s="101" t="str">
        <f t="shared" si="198"/>
        <v>金币</v>
      </c>
      <c r="FV163" s="139">
        <f>IF($FT163&gt;0,IF(INDEX($EI$6:$EI$77,$FO163)&gt;=FV$3,ROUND(INDEX(EK$6:EK$77,$FO163)*INDEX(卡牌消耗!$B$8:$F$8,FQ163)/5,0)*5,""),"")</f>
        <v>41700</v>
      </c>
      <c r="FW163" s="101" t="str">
        <f t="shared" si="199"/>
        <v>专属强化石4</v>
      </c>
      <c r="FX163" s="101">
        <f t="shared" si="200"/>
        <v>25</v>
      </c>
      <c r="FY163" s="101" t="str">
        <f t="shared" si="201"/>
        <v/>
      </c>
      <c r="FZ163" s="101" t="str">
        <f t="shared" si="202"/>
        <v/>
      </c>
      <c r="GA163" s="101">
        <f t="shared" si="207"/>
        <v>0.03</v>
      </c>
      <c r="GB163" s="101">
        <f t="shared" si="208"/>
        <v>1</v>
      </c>
      <c r="GC163" s="101">
        <f t="shared" si="209"/>
        <v>56</v>
      </c>
      <c r="GD163" s="101">
        <f t="shared" si="210"/>
        <v>0</v>
      </c>
      <c r="GE163" s="101">
        <f t="shared" si="211"/>
        <v>1</v>
      </c>
      <c r="GF163" s="101">
        <f t="shared" si="212"/>
        <v>13</v>
      </c>
      <c r="GG163" s="101">
        <f t="shared" si="213"/>
        <v>1.35E-2</v>
      </c>
      <c r="GH163" s="101">
        <f t="shared" si="214"/>
        <v>1</v>
      </c>
      <c r="GI163" s="101">
        <f t="shared" si="215"/>
        <v>26</v>
      </c>
      <c r="GJ163" s="101">
        <f t="shared" si="216"/>
        <v>5.3800000000000001E-2</v>
      </c>
      <c r="GK163" s="101">
        <f t="shared" si="217"/>
        <v>1</v>
      </c>
      <c r="GL163" s="101">
        <f t="shared" si="218"/>
        <v>56</v>
      </c>
    </row>
    <row r="164" spans="170:194" ht="16.5" x14ac:dyDescent="0.2">
      <c r="FN164" s="101">
        <v>159</v>
      </c>
      <c r="FO164" s="101">
        <f t="shared" si="203"/>
        <v>71</v>
      </c>
      <c r="FP164" s="101">
        <f t="shared" si="196"/>
        <v>2</v>
      </c>
      <c r="FQ164" s="14">
        <f t="shared" si="197"/>
        <v>3</v>
      </c>
      <c r="FR164" s="101" t="str">
        <f t="shared" si="204"/>
        <v>许褚专属武器-魂珠-8 8级</v>
      </c>
      <c r="FS164" s="101">
        <f t="shared" si="205"/>
        <v>8</v>
      </c>
      <c r="FT164" s="101">
        <f t="shared" si="206"/>
        <v>8</v>
      </c>
      <c r="FU164" s="101" t="str">
        <f t="shared" si="198"/>
        <v>金币</v>
      </c>
      <c r="FV164" s="139">
        <f>IF($FT164&gt;0,IF(INDEX($EI$6:$EI$77,$FO164)&gt;=FV$3,ROUND(INDEX(EK$6:EK$77,$FO164)*INDEX(卡牌消耗!$B$8:$F$8,FQ164)/5,0)*5,""),"")</f>
        <v>49995</v>
      </c>
      <c r="FW164" s="101" t="str">
        <f t="shared" si="199"/>
        <v>专属强化石4</v>
      </c>
      <c r="FX164" s="101">
        <f t="shared" si="200"/>
        <v>30</v>
      </c>
      <c r="FY164" s="101" t="str">
        <f t="shared" si="201"/>
        <v/>
      </c>
      <c r="FZ164" s="101" t="str">
        <f t="shared" si="202"/>
        <v/>
      </c>
      <c r="GA164" s="101">
        <f t="shared" si="207"/>
        <v>0.02</v>
      </c>
      <c r="GB164" s="101">
        <f t="shared" si="208"/>
        <v>1</v>
      </c>
      <c r="GC164" s="101">
        <f t="shared" si="209"/>
        <v>75</v>
      </c>
      <c r="GD164" s="101">
        <f t="shared" si="210"/>
        <v>0</v>
      </c>
      <c r="GE164" s="101">
        <f t="shared" si="211"/>
        <v>1</v>
      </c>
      <c r="GF164" s="101">
        <f t="shared" si="212"/>
        <v>18</v>
      </c>
      <c r="GG164" s="101">
        <f t="shared" si="213"/>
        <v>0.01</v>
      </c>
      <c r="GH164" s="101">
        <f t="shared" si="214"/>
        <v>1</v>
      </c>
      <c r="GI164" s="101">
        <f t="shared" si="215"/>
        <v>35</v>
      </c>
      <c r="GJ164" s="101">
        <f t="shared" si="216"/>
        <v>3.9899999999999998E-2</v>
      </c>
      <c r="GK164" s="101">
        <f t="shared" si="217"/>
        <v>1</v>
      </c>
      <c r="GL164" s="101">
        <f t="shared" si="218"/>
        <v>75</v>
      </c>
    </row>
    <row r="165" spans="170:194" ht="16.5" x14ac:dyDescent="0.2">
      <c r="FN165" s="101">
        <v>160</v>
      </c>
      <c r="FO165" s="101">
        <f t="shared" si="203"/>
        <v>72</v>
      </c>
      <c r="FP165" s="101">
        <f t="shared" si="196"/>
        <v>2</v>
      </c>
      <c r="FQ165" s="14">
        <f t="shared" si="197"/>
        <v>3</v>
      </c>
      <c r="FR165" s="101" t="str">
        <f t="shared" si="204"/>
        <v>许褚专属武器-魂珠-8 9级</v>
      </c>
      <c r="FS165" s="101">
        <f t="shared" si="205"/>
        <v>8</v>
      </c>
      <c r="FT165" s="101">
        <f t="shared" si="206"/>
        <v>9</v>
      </c>
      <c r="FU165" s="101" t="str">
        <f t="shared" si="198"/>
        <v>金币</v>
      </c>
      <c r="FV165" s="139">
        <f>IF($FT165&gt;0,IF(INDEX($EI$6:$EI$77,$FO165)&gt;=FV$3,ROUND(INDEX(EK$6:EK$77,$FO165)*INDEX(卡牌消耗!$B$8:$F$8,FQ165)/5,0)*5,""),"")</f>
        <v>50010</v>
      </c>
      <c r="FW165" s="101" t="str">
        <f t="shared" si="199"/>
        <v>专属强化石4</v>
      </c>
      <c r="FX165" s="101">
        <f t="shared" si="200"/>
        <v>30</v>
      </c>
      <c r="FY165" s="101" t="str">
        <f t="shared" si="201"/>
        <v/>
      </c>
      <c r="FZ165" s="101" t="str">
        <f t="shared" si="202"/>
        <v/>
      </c>
      <c r="GA165" s="101">
        <f t="shared" si="207"/>
        <v>0.01</v>
      </c>
      <c r="GB165" s="101">
        <f t="shared" si="208"/>
        <v>1</v>
      </c>
      <c r="GC165" s="101">
        <f t="shared" si="209"/>
        <v>122</v>
      </c>
      <c r="GD165" s="101">
        <f t="shared" si="210"/>
        <v>0</v>
      </c>
      <c r="GE165" s="101">
        <f t="shared" si="211"/>
        <v>1</v>
      </c>
      <c r="GF165" s="101">
        <f t="shared" si="212"/>
        <v>28</v>
      </c>
      <c r="GG165" s="101">
        <f t="shared" si="213"/>
        <v>6.1999999999999998E-3</v>
      </c>
      <c r="GH165" s="101">
        <f t="shared" si="214"/>
        <v>1</v>
      </c>
      <c r="GI165" s="101">
        <f t="shared" si="215"/>
        <v>57</v>
      </c>
      <c r="GJ165" s="101">
        <f t="shared" si="216"/>
        <v>2.47E-2</v>
      </c>
      <c r="GK165" s="101">
        <f t="shared" si="217"/>
        <v>1</v>
      </c>
      <c r="GL165" s="101">
        <f t="shared" si="218"/>
        <v>122</v>
      </c>
    </row>
    <row r="166" spans="170:194" ht="16.5" x14ac:dyDescent="0.2">
      <c r="FN166" s="101">
        <v>161</v>
      </c>
      <c r="FO166" s="101">
        <f t="shared" si="203"/>
        <v>0</v>
      </c>
      <c r="FP166" s="101">
        <f t="shared" si="196"/>
        <v>3</v>
      </c>
      <c r="FQ166" s="14">
        <f t="shared" si="197"/>
        <v>4</v>
      </c>
      <c r="FR166" s="101" t="str">
        <f t="shared" si="204"/>
        <v>典韦专属武器-魂珠-1 0级</v>
      </c>
      <c r="FS166" s="101">
        <f t="shared" si="205"/>
        <v>1</v>
      </c>
      <c r="FT166" s="101">
        <f t="shared" si="206"/>
        <v>0</v>
      </c>
      <c r="FU166" s="101" t="str">
        <f t="shared" si="198"/>
        <v/>
      </c>
      <c r="FV166" s="139" t="str">
        <f>IF($FT166&gt;0,IF(INDEX($EI$6:$EI$77,$FO166)&gt;=FV$3,ROUND(INDEX(EK$6:EK$77,$FO166)*INDEX(卡牌消耗!$B$8:$F$8,FQ166)/5,0)*5,""),"")</f>
        <v/>
      </c>
      <c r="FW166" s="101" t="str">
        <f t="shared" si="199"/>
        <v/>
      </c>
      <c r="FX166" s="101" t="str">
        <f t="shared" si="200"/>
        <v/>
      </c>
      <c r="FY166" s="101" t="str">
        <f t="shared" si="201"/>
        <v/>
      </c>
      <c r="FZ166" s="101" t="str">
        <f t="shared" si="202"/>
        <v/>
      </c>
      <c r="GA166" s="101" t="str">
        <f t="shared" si="207"/>
        <v/>
      </c>
      <c r="GB166" s="101" t="str">
        <f t="shared" si="208"/>
        <v/>
      </c>
      <c r="GC166" s="101" t="str">
        <f t="shared" si="209"/>
        <v/>
      </c>
      <c r="GD166" s="101" t="str">
        <f t="shared" si="210"/>
        <v/>
      </c>
      <c r="GE166" s="101" t="str">
        <f t="shared" si="211"/>
        <v/>
      </c>
      <c r="GF166" s="101" t="str">
        <f t="shared" si="212"/>
        <v/>
      </c>
      <c r="GG166" s="101" t="str">
        <f t="shared" si="213"/>
        <v/>
      </c>
      <c r="GH166" s="101" t="str">
        <f t="shared" si="214"/>
        <v/>
      </c>
      <c r="GI166" s="101" t="str">
        <f t="shared" si="215"/>
        <v/>
      </c>
      <c r="GJ166" s="101" t="str">
        <f t="shared" si="216"/>
        <v/>
      </c>
      <c r="GK166" s="101" t="str">
        <f t="shared" si="217"/>
        <v/>
      </c>
      <c r="GL166" s="101" t="str">
        <f t="shared" si="218"/>
        <v/>
      </c>
    </row>
    <row r="167" spans="170:194" ht="16.5" x14ac:dyDescent="0.2">
      <c r="FN167" s="101">
        <v>162</v>
      </c>
      <c r="FO167" s="101">
        <f t="shared" si="203"/>
        <v>1</v>
      </c>
      <c r="FP167" s="101">
        <f t="shared" si="196"/>
        <v>3</v>
      </c>
      <c r="FQ167" s="14">
        <f t="shared" si="197"/>
        <v>4</v>
      </c>
      <c r="FR167" s="101" t="str">
        <f t="shared" si="204"/>
        <v>典韦专属武器-魂珠-1 1级</v>
      </c>
      <c r="FS167" s="101">
        <f t="shared" si="205"/>
        <v>1</v>
      </c>
      <c r="FT167" s="101">
        <f t="shared" si="206"/>
        <v>1</v>
      </c>
      <c r="FU167" s="101" t="str">
        <f t="shared" si="198"/>
        <v>金币</v>
      </c>
      <c r="FV167" s="139">
        <f>IF($FT167&gt;0,IF(INDEX($EI$6:$EI$77,$FO167)&gt;=FV$3,ROUND(INDEX(EK$6:EK$77,$FO167)*INDEX(卡牌消耗!$B$8:$F$8,FQ167)/5,0)*5,""),"")</f>
        <v>145</v>
      </c>
      <c r="FW167" s="101" t="str">
        <f t="shared" si="199"/>
        <v>专属强化石1</v>
      </c>
      <c r="FX167" s="101">
        <f t="shared" si="200"/>
        <v>1</v>
      </c>
      <c r="FY167" s="101" t="str">
        <f t="shared" si="201"/>
        <v/>
      </c>
      <c r="FZ167" s="101" t="str">
        <f t="shared" si="202"/>
        <v/>
      </c>
      <c r="GA167" s="101">
        <f t="shared" si="207"/>
        <v>0.32</v>
      </c>
      <c r="GB167" s="101">
        <f t="shared" si="208"/>
        <v>1</v>
      </c>
      <c r="GC167" s="101">
        <f t="shared" si="209"/>
        <v>5</v>
      </c>
      <c r="GD167" s="101">
        <f t="shared" si="210"/>
        <v>0</v>
      </c>
      <c r="GE167" s="101">
        <f t="shared" si="211"/>
        <v>1</v>
      </c>
      <c r="GF167" s="101">
        <f t="shared" si="212"/>
        <v>1</v>
      </c>
      <c r="GG167" s="101">
        <f t="shared" si="213"/>
        <v>0.1595</v>
      </c>
      <c r="GH167" s="101">
        <f t="shared" si="214"/>
        <v>1</v>
      </c>
      <c r="GI167" s="101">
        <f t="shared" si="215"/>
        <v>2</v>
      </c>
      <c r="GJ167" s="101">
        <f t="shared" si="216"/>
        <v>0.63819999999999999</v>
      </c>
      <c r="GK167" s="101">
        <f t="shared" si="217"/>
        <v>1</v>
      </c>
      <c r="GL167" s="101">
        <f t="shared" si="218"/>
        <v>5</v>
      </c>
    </row>
    <row r="168" spans="170:194" ht="16.5" x14ac:dyDescent="0.2">
      <c r="FN168" s="101">
        <v>163</v>
      </c>
      <c r="FO168" s="101">
        <f t="shared" si="203"/>
        <v>2</v>
      </c>
      <c r="FP168" s="101">
        <f t="shared" si="196"/>
        <v>3</v>
      </c>
      <c r="FQ168" s="14">
        <f t="shared" si="197"/>
        <v>4</v>
      </c>
      <c r="FR168" s="101" t="str">
        <f t="shared" si="204"/>
        <v>典韦专属武器-魂珠-1 2级</v>
      </c>
      <c r="FS168" s="101">
        <f t="shared" si="205"/>
        <v>1</v>
      </c>
      <c r="FT168" s="101">
        <f t="shared" si="206"/>
        <v>2</v>
      </c>
      <c r="FU168" s="101" t="str">
        <f t="shared" si="198"/>
        <v>金币</v>
      </c>
      <c r="FV168" s="139">
        <f>IF($FT168&gt;0,IF(INDEX($EI$6:$EI$77,$FO168)&gt;=FV$3,ROUND(INDEX(EK$6:EK$77,$FO168)*INDEX(卡牌消耗!$B$8:$F$8,FQ168)/5,0)*5,""),"")</f>
        <v>215</v>
      </c>
      <c r="FW168" s="101" t="str">
        <f t="shared" si="199"/>
        <v>专属强化石1</v>
      </c>
      <c r="FX168" s="101">
        <f t="shared" si="200"/>
        <v>2</v>
      </c>
      <c r="FY168" s="101" t="str">
        <f t="shared" si="201"/>
        <v/>
      </c>
      <c r="FZ168" s="101" t="str">
        <f t="shared" si="202"/>
        <v/>
      </c>
      <c r="GA168" s="101">
        <f t="shared" si="207"/>
        <v>0.32</v>
      </c>
      <c r="GB168" s="101">
        <f t="shared" si="208"/>
        <v>1</v>
      </c>
      <c r="GC168" s="101">
        <f t="shared" si="209"/>
        <v>5</v>
      </c>
      <c r="GD168" s="101">
        <f t="shared" si="210"/>
        <v>0</v>
      </c>
      <c r="GE168" s="101">
        <f t="shared" si="211"/>
        <v>1</v>
      </c>
      <c r="GF168" s="101">
        <f t="shared" si="212"/>
        <v>1</v>
      </c>
      <c r="GG168" s="101">
        <f t="shared" si="213"/>
        <v>0.1595</v>
      </c>
      <c r="GH168" s="101">
        <f t="shared" si="214"/>
        <v>1</v>
      </c>
      <c r="GI168" s="101">
        <f t="shared" si="215"/>
        <v>2</v>
      </c>
      <c r="GJ168" s="101">
        <f t="shared" si="216"/>
        <v>0.63819999999999999</v>
      </c>
      <c r="GK168" s="101">
        <f t="shared" si="217"/>
        <v>1</v>
      </c>
      <c r="GL168" s="101">
        <f t="shared" si="218"/>
        <v>5</v>
      </c>
    </row>
    <row r="169" spans="170:194" ht="16.5" x14ac:dyDescent="0.2">
      <c r="FN169" s="101">
        <v>164</v>
      </c>
      <c r="FO169" s="101">
        <f t="shared" si="203"/>
        <v>3</v>
      </c>
      <c r="FP169" s="101">
        <f t="shared" si="196"/>
        <v>3</v>
      </c>
      <c r="FQ169" s="14">
        <f t="shared" si="197"/>
        <v>4</v>
      </c>
      <c r="FR169" s="101" t="str">
        <f t="shared" si="204"/>
        <v>典韦专属武器-魂珠-1 3级</v>
      </c>
      <c r="FS169" s="101">
        <f t="shared" si="205"/>
        <v>1</v>
      </c>
      <c r="FT169" s="101">
        <f t="shared" si="206"/>
        <v>3</v>
      </c>
      <c r="FU169" s="101" t="str">
        <f t="shared" si="198"/>
        <v>金币</v>
      </c>
      <c r="FV169" s="139">
        <f>IF($FT169&gt;0,IF(INDEX($EI$6:$EI$77,$FO169)&gt;=FV$3,ROUND(INDEX(EK$6:EK$77,$FO169)*INDEX(卡牌消耗!$B$8:$F$8,FQ169)/5,0)*5,""),"")</f>
        <v>355</v>
      </c>
      <c r="FW169" s="101" t="str">
        <f t="shared" si="199"/>
        <v>专属强化石1</v>
      </c>
      <c r="FX169" s="101">
        <f t="shared" si="200"/>
        <v>3</v>
      </c>
      <c r="FY169" s="101" t="str">
        <f t="shared" si="201"/>
        <v/>
      </c>
      <c r="FZ169" s="101" t="str">
        <f t="shared" si="202"/>
        <v/>
      </c>
      <c r="GA169" s="101">
        <f t="shared" si="207"/>
        <v>0.32</v>
      </c>
      <c r="GB169" s="101">
        <f t="shared" si="208"/>
        <v>1</v>
      </c>
      <c r="GC169" s="101">
        <f t="shared" si="209"/>
        <v>5</v>
      </c>
      <c r="GD169" s="101">
        <f t="shared" si="210"/>
        <v>0</v>
      </c>
      <c r="GE169" s="101">
        <f t="shared" si="211"/>
        <v>1</v>
      </c>
      <c r="GF169" s="101">
        <f t="shared" si="212"/>
        <v>1</v>
      </c>
      <c r="GG169" s="101">
        <f t="shared" si="213"/>
        <v>0.1595</v>
      </c>
      <c r="GH169" s="101">
        <f t="shared" si="214"/>
        <v>1</v>
      </c>
      <c r="GI169" s="101">
        <f t="shared" si="215"/>
        <v>2</v>
      </c>
      <c r="GJ169" s="101">
        <f t="shared" si="216"/>
        <v>0.63819999999999999</v>
      </c>
      <c r="GK169" s="101">
        <f t="shared" si="217"/>
        <v>1</v>
      </c>
      <c r="GL169" s="101">
        <f t="shared" si="218"/>
        <v>5</v>
      </c>
    </row>
    <row r="170" spans="170:194" ht="16.5" x14ac:dyDescent="0.2">
      <c r="FN170" s="101">
        <v>165</v>
      </c>
      <c r="FO170" s="101">
        <f t="shared" si="203"/>
        <v>4</v>
      </c>
      <c r="FP170" s="101">
        <f t="shared" si="196"/>
        <v>3</v>
      </c>
      <c r="FQ170" s="14">
        <f t="shared" si="197"/>
        <v>4</v>
      </c>
      <c r="FR170" s="101" t="str">
        <f t="shared" si="204"/>
        <v>典韦专属武器-魂珠-1 4级</v>
      </c>
      <c r="FS170" s="101">
        <f t="shared" si="205"/>
        <v>1</v>
      </c>
      <c r="FT170" s="101">
        <f t="shared" si="206"/>
        <v>4</v>
      </c>
      <c r="FU170" s="101" t="str">
        <f t="shared" si="198"/>
        <v>金币</v>
      </c>
      <c r="FV170" s="139">
        <f>IF($FT170&gt;0,IF(INDEX($EI$6:$EI$77,$FO170)&gt;=FV$3,ROUND(INDEX(EK$6:EK$77,$FO170)*INDEX(卡牌消耗!$B$8:$F$8,FQ170)/5,0)*5,""),"")</f>
        <v>455</v>
      </c>
      <c r="FW170" s="101" t="str">
        <f t="shared" si="199"/>
        <v>专属强化石1</v>
      </c>
      <c r="FX170" s="101">
        <f t="shared" si="200"/>
        <v>4</v>
      </c>
      <c r="FY170" s="101" t="str">
        <f t="shared" si="201"/>
        <v/>
      </c>
      <c r="FZ170" s="101" t="str">
        <f t="shared" si="202"/>
        <v/>
      </c>
      <c r="GA170" s="101">
        <f t="shared" si="207"/>
        <v>0.26</v>
      </c>
      <c r="GB170" s="101">
        <f t="shared" si="208"/>
        <v>1</v>
      </c>
      <c r="GC170" s="101">
        <f t="shared" si="209"/>
        <v>6</v>
      </c>
      <c r="GD170" s="101">
        <f t="shared" si="210"/>
        <v>0</v>
      </c>
      <c r="GE170" s="101">
        <f t="shared" si="211"/>
        <v>1</v>
      </c>
      <c r="GF170" s="101">
        <f t="shared" si="212"/>
        <v>1</v>
      </c>
      <c r="GG170" s="101">
        <f t="shared" si="213"/>
        <v>0.12759999999999999</v>
      </c>
      <c r="GH170" s="101">
        <f t="shared" si="214"/>
        <v>1</v>
      </c>
      <c r="GI170" s="101">
        <f t="shared" si="215"/>
        <v>3</v>
      </c>
      <c r="GJ170" s="101">
        <f t="shared" si="216"/>
        <v>0.51060000000000005</v>
      </c>
      <c r="GK170" s="101">
        <f t="shared" si="217"/>
        <v>1</v>
      </c>
      <c r="GL170" s="101">
        <f t="shared" si="218"/>
        <v>6</v>
      </c>
    </row>
    <row r="171" spans="170:194" ht="16.5" x14ac:dyDescent="0.2">
      <c r="FN171" s="101">
        <v>166</v>
      </c>
      <c r="FO171" s="101">
        <f t="shared" si="203"/>
        <v>5</v>
      </c>
      <c r="FP171" s="101">
        <f t="shared" si="196"/>
        <v>3</v>
      </c>
      <c r="FQ171" s="14">
        <f t="shared" si="197"/>
        <v>4</v>
      </c>
      <c r="FR171" s="101" t="str">
        <f t="shared" si="204"/>
        <v>典韦专属武器-魂珠-1 5级</v>
      </c>
      <c r="FS171" s="101">
        <f t="shared" si="205"/>
        <v>1</v>
      </c>
      <c r="FT171" s="101">
        <f t="shared" si="206"/>
        <v>5</v>
      </c>
      <c r="FU171" s="101" t="str">
        <f t="shared" si="198"/>
        <v>金币</v>
      </c>
      <c r="FV171" s="139">
        <f>IF($FT171&gt;0,IF(INDEX($EI$6:$EI$77,$FO171)&gt;=FV$3,ROUND(INDEX(EK$6:EK$77,$FO171)*INDEX(卡牌消耗!$B$8:$F$8,FQ171)/5,0)*5,""),"")</f>
        <v>580</v>
      </c>
      <c r="FW171" s="101" t="str">
        <f t="shared" si="199"/>
        <v>专属强化石1</v>
      </c>
      <c r="FX171" s="101">
        <f t="shared" si="200"/>
        <v>5</v>
      </c>
      <c r="FY171" s="101" t="str">
        <f t="shared" si="201"/>
        <v/>
      </c>
      <c r="FZ171" s="101" t="str">
        <f t="shared" si="202"/>
        <v/>
      </c>
      <c r="GA171" s="101">
        <f t="shared" si="207"/>
        <v>0.2</v>
      </c>
      <c r="GB171" s="101">
        <f t="shared" si="208"/>
        <v>1</v>
      </c>
      <c r="GC171" s="101">
        <f t="shared" si="209"/>
        <v>8</v>
      </c>
      <c r="GD171" s="101">
        <f t="shared" si="210"/>
        <v>0</v>
      </c>
      <c r="GE171" s="101">
        <f t="shared" si="211"/>
        <v>1</v>
      </c>
      <c r="GF171" s="101">
        <f t="shared" si="212"/>
        <v>2</v>
      </c>
      <c r="GG171" s="101">
        <f t="shared" si="213"/>
        <v>9.9699999999999997E-2</v>
      </c>
      <c r="GH171" s="101">
        <f t="shared" si="214"/>
        <v>1</v>
      </c>
      <c r="GI171" s="101">
        <f t="shared" si="215"/>
        <v>4</v>
      </c>
      <c r="GJ171" s="101">
        <f t="shared" si="216"/>
        <v>0.39889999999999998</v>
      </c>
      <c r="GK171" s="101">
        <f t="shared" si="217"/>
        <v>1</v>
      </c>
      <c r="GL171" s="101">
        <f t="shared" si="218"/>
        <v>8</v>
      </c>
    </row>
    <row r="172" spans="170:194" ht="16.5" x14ac:dyDescent="0.2">
      <c r="FN172" s="101">
        <v>167</v>
      </c>
      <c r="FO172" s="101">
        <f t="shared" si="203"/>
        <v>6</v>
      </c>
      <c r="FP172" s="101">
        <f t="shared" si="196"/>
        <v>3</v>
      </c>
      <c r="FQ172" s="14">
        <f t="shared" si="197"/>
        <v>4</v>
      </c>
      <c r="FR172" s="101" t="str">
        <f t="shared" si="204"/>
        <v>典韦专属武器-魂珠-1 6级</v>
      </c>
      <c r="FS172" s="101">
        <f t="shared" si="205"/>
        <v>1</v>
      </c>
      <c r="FT172" s="101">
        <f t="shared" si="206"/>
        <v>6</v>
      </c>
      <c r="FU172" s="101" t="str">
        <f t="shared" si="198"/>
        <v>金币</v>
      </c>
      <c r="FV172" s="139">
        <f>IF($FT172&gt;0,IF(INDEX($EI$6:$EI$77,$FO172)&gt;=FV$3,ROUND(INDEX(EK$6:EK$77,$FO172)*INDEX(卡牌消耗!$B$8:$F$8,FQ172)/5,0)*5,""),"")</f>
        <v>690</v>
      </c>
      <c r="FW172" s="101" t="str">
        <f t="shared" si="199"/>
        <v>专属强化石1</v>
      </c>
      <c r="FX172" s="101">
        <f t="shared" si="200"/>
        <v>6</v>
      </c>
      <c r="FY172" s="101" t="str">
        <f t="shared" si="201"/>
        <v/>
      </c>
      <c r="FZ172" s="101" t="str">
        <f t="shared" si="202"/>
        <v/>
      </c>
      <c r="GA172" s="101">
        <f t="shared" si="207"/>
        <v>0.15</v>
      </c>
      <c r="GB172" s="101">
        <f t="shared" si="208"/>
        <v>1</v>
      </c>
      <c r="GC172" s="101">
        <f t="shared" si="209"/>
        <v>10</v>
      </c>
      <c r="GD172" s="101">
        <f t="shared" si="210"/>
        <v>0</v>
      </c>
      <c r="GE172" s="101">
        <f t="shared" si="211"/>
        <v>1</v>
      </c>
      <c r="GF172" s="101">
        <f t="shared" si="212"/>
        <v>2</v>
      </c>
      <c r="GG172" s="101">
        <f t="shared" si="213"/>
        <v>7.3599999999999999E-2</v>
      </c>
      <c r="GH172" s="101">
        <f t="shared" si="214"/>
        <v>1</v>
      </c>
      <c r="GI172" s="101">
        <f t="shared" si="215"/>
        <v>5</v>
      </c>
      <c r="GJ172" s="101">
        <f t="shared" si="216"/>
        <v>0.29459999999999997</v>
      </c>
      <c r="GK172" s="101">
        <f t="shared" si="217"/>
        <v>1</v>
      </c>
      <c r="GL172" s="101">
        <f t="shared" si="218"/>
        <v>10</v>
      </c>
    </row>
    <row r="173" spans="170:194" ht="16.5" x14ac:dyDescent="0.2">
      <c r="FN173" s="101">
        <v>168</v>
      </c>
      <c r="FO173" s="101">
        <f t="shared" si="203"/>
        <v>7</v>
      </c>
      <c r="FP173" s="101">
        <f t="shared" si="196"/>
        <v>3</v>
      </c>
      <c r="FQ173" s="14">
        <f t="shared" si="197"/>
        <v>4</v>
      </c>
      <c r="FR173" s="101" t="str">
        <f t="shared" si="204"/>
        <v>典韦专属武器-魂珠-1 7级</v>
      </c>
      <c r="FS173" s="101">
        <f t="shared" si="205"/>
        <v>1</v>
      </c>
      <c r="FT173" s="101">
        <f t="shared" si="206"/>
        <v>7</v>
      </c>
      <c r="FU173" s="101" t="str">
        <f t="shared" si="198"/>
        <v>金币</v>
      </c>
      <c r="FV173" s="139">
        <f>IF($FT173&gt;0,IF(INDEX($EI$6:$EI$77,$FO173)&gt;=FV$3,ROUND(INDEX(EK$6:EK$77,$FO173)*INDEX(卡牌消耗!$B$8:$F$8,FQ173)/5,0)*5,""),"")</f>
        <v>805</v>
      </c>
      <c r="FW173" s="101" t="str">
        <f t="shared" si="199"/>
        <v>专属强化石1</v>
      </c>
      <c r="FX173" s="101">
        <f t="shared" si="200"/>
        <v>7</v>
      </c>
      <c r="FY173" s="101" t="str">
        <f t="shared" si="201"/>
        <v/>
      </c>
      <c r="FZ173" s="101" t="str">
        <f t="shared" si="202"/>
        <v/>
      </c>
      <c r="GA173" s="101">
        <f t="shared" si="207"/>
        <v>0.11</v>
      </c>
      <c r="GB173" s="101">
        <f t="shared" si="208"/>
        <v>1</v>
      </c>
      <c r="GC173" s="101">
        <f t="shared" si="209"/>
        <v>14</v>
      </c>
      <c r="GD173" s="101">
        <f t="shared" si="210"/>
        <v>0</v>
      </c>
      <c r="GE173" s="101">
        <f t="shared" si="211"/>
        <v>1</v>
      </c>
      <c r="GF173" s="101">
        <f t="shared" si="212"/>
        <v>3</v>
      </c>
      <c r="GG173" s="101">
        <f t="shared" si="213"/>
        <v>5.3199999999999997E-2</v>
      </c>
      <c r="GH173" s="101">
        <f t="shared" si="214"/>
        <v>1</v>
      </c>
      <c r="GI173" s="101">
        <f t="shared" si="215"/>
        <v>7</v>
      </c>
      <c r="GJ173" s="101">
        <f t="shared" si="216"/>
        <v>0.2127</v>
      </c>
      <c r="GK173" s="101">
        <f t="shared" si="217"/>
        <v>1</v>
      </c>
      <c r="GL173" s="101">
        <f t="shared" si="218"/>
        <v>14</v>
      </c>
    </row>
    <row r="174" spans="170:194" ht="16.5" x14ac:dyDescent="0.2">
      <c r="FN174" s="101">
        <v>169</v>
      </c>
      <c r="FO174" s="101">
        <f t="shared" si="203"/>
        <v>8</v>
      </c>
      <c r="FP174" s="101">
        <f t="shared" si="196"/>
        <v>3</v>
      </c>
      <c r="FQ174" s="14">
        <f t="shared" si="197"/>
        <v>4</v>
      </c>
      <c r="FR174" s="101" t="str">
        <f t="shared" si="204"/>
        <v>典韦专属武器-魂珠-1 8级</v>
      </c>
      <c r="FS174" s="101">
        <f t="shared" si="205"/>
        <v>1</v>
      </c>
      <c r="FT174" s="101">
        <f t="shared" si="206"/>
        <v>8</v>
      </c>
      <c r="FU174" s="101" t="str">
        <f t="shared" si="198"/>
        <v>金币</v>
      </c>
      <c r="FV174" s="139">
        <f>IF($FT174&gt;0,IF(INDEX($EI$6:$EI$77,$FO174)&gt;=FV$3,ROUND(INDEX(EK$6:EK$77,$FO174)*INDEX(卡牌消耗!$B$8:$F$8,FQ174)/5,0)*5,""),"")</f>
        <v>920</v>
      </c>
      <c r="FW174" s="101" t="str">
        <f t="shared" si="199"/>
        <v>专属强化石1</v>
      </c>
      <c r="FX174" s="101">
        <f t="shared" si="200"/>
        <v>8</v>
      </c>
      <c r="FY174" s="101" t="str">
        <f t="shared" si="201"/>
        <v/>
      </c>
      <c r="FZ174" s="101" t="str">
        <f t="shared" si="202"/>
        <v/>
      </c>
      <c r="GA174" s="101">
        <f t="shared" si="207"/>
        <v>0.08</v>
      </c>
      <c r="GB174" s="101">
        <f t="shared" si="208"/>
        <v>1</v>
      </c>
      <c r="GC174" s="101">
        <f t="shared" si="209"/>
        <v>20</v>
      </c>
      <c r="GD174" s="101">
        <f t="shared" si="210"/>
        <v>0</v>
      </c>
      <c r="GE174" s="101">
        <f t="shared" si="211"/>
        <v>1</v>
      </c>
      <c r="GF174" s="101">
        <f t="shared" si="212"/>
        <v>5</v>
      </c>
      <c r="GG174" s="101">
        <f t="shared" si="213"/>
        <v>3.7499999999999999E-2</v>
      </c>
      <c r="GH174" s="101">
        <f t="shared" si="214"/>
        <v>1</v>
      </c>
      <c r="GI174" s="101">
        <f t="shared" si="215"/>
        <v>9</v>
      </c>
      <c r="GJ174" s="101">
        <f t="shared" si="216"/>
        <v>0.1502</v>
      </c>
      <c r="GK174" s="101">
        <f t="shared" si="217"/>
        <v>1</v>
      </c>
      <c r="GL174" s="101">
        <f t="shared" si="218"/>
        <v>20</v>
      </c>
    </row>
    <row r="175" spans="170:194" ht="16.5" x14ac:dyDescent="0.2">
      <c r="FN175" s="101">
        <v>170</v>
      </c>
      <c r="FO175" s="101">
        <f t="shared" si="203"/>
        <v>9</v>
      </c>
      <c r="FP175" s="101">
        <f t="shared" si="196"/>
        <v>3</v>
      </c>
      <c r="FQ175" s="14">
        <f t="shared" si="197"/>
        <v>4</v>
      </c>
      <c r="FR175" s="101" t="str">
        <f t="shared" si="204"/>
        <v>典韦专属武器-魂珠-1 9级</v>
      </c>
      <c r="FS175" s="101">
        <f t="shared" si="205"/>
        <v>1</v>
      </c>
      <c r="FT175" s="101">
        <f t="shared" si="206"/>
        <v>9</v>
      </c>
      <c r="FU175" s="101" t="str">
        <f t="shared" si="198"/>
        <v>金币</v>
      </c>
      <c r="FV175" s="139">
        <f>IF($FT175&gt;0,IF(INDEX($EI$6:$EI$77,$FO175)&gt;=FV$3,ROUND(INDEX(EK$6:EK$77,$FO175)*INDEX(卡牌消耗!$B$8:$F$8,FQ175)/5,0)*5,""),"")</f>
        <v>1150</v>
      </c>
      <c r="FW175" s="101" t="str">
        <f t="shared" si="199"/>
        <v>专属强化石1</v>
      </c>
      <c r="FX175" s="101">
        <f t="shared" si="200"/>
        <v>10</v>
      </c>
      <c r="FY175" s="101" t="str">
        <f t="shared" si="201"/>
        <v/>
      </c>
      <c r="FZ175" s="101" t="str">
        <f t="shared" si="202"/>
        <v/>
      </c>
      <c r="GA175" s="101">
        <f t="shared" si="207"/>
        <v>0.06</v>
      </c>
      <c r="GB175" s="101">
        <f t="shared" si="208"/>
        <v>1</v>
      </c>
      <c r="GC175" s="101">
        <f t="shared" si="209"/>
        <v>26</v>
      </c>
      <c r="GD175" s="101">
        <f t="shared" si="210"/>
        <v>0</v>
      </c>
      <c r="GE175" s="101">
        <f t="shared" si="211"/>
        <v>1</v>
      </c>
      <c r="GF175" s="101">
        <f t="shared" si="212"/>
        <v>6</v>
      </c>
      <c r="GG175" s="101">
        <f t="shared" si="213"/>
        <v>2.9000000000000001E-2</v>
      </c>
      <c r="GH175" s="101">
        <f t="shared" si="214"/>
        <v>1</v>
      </c>
      <c r="GI175" s="101">
        <f t="shared" si="215"/>
        <v>12</v>
      </c>
      <c r="GJ175" s="101">
        <f t="shared" si="216"/>
        <v>0.11600000000000001</v>
      </c>
      <c r="GK175" s="101">
        <f t="shared" si="217"/>
        <v>1</v>
      </c>
      <c r="GL175" s="101">
        <f t="shared" si="218"/>
        <v>26</v>
      </c>
    </row>
    <row r="176" spans="170:194" ht="16.5" x14ac:dyDescent="0.2">
      <c r="FN176" s="101">
        <v>171</v>
      </c>
      <c r="FO176" s="101">
        <f t="shared" si="203"/>
        <v>0</v>
      </c>
      <c r="FP176" s="101">
        <f t="shared" si="196"/>
        <v>3</v>
      </c>
      <c r="FQ176" s="14">
        <f t="shared" si="197"/>
        <v>4</v>
      </c>
      <c r="FR176" s="101" t="str">
        <f t="shared" si="204"/>
        <v>典韦专属武器-魂珠-2 0级</v>
      </c>
      <c r="FS176" s="101">
        <f t="shared" si="205"/>
        <v>2</v>
      </c>
      <c r="FT176" s="101">
        <f t="shared" si="206"/>
        <v>0</v>
      </c>
      <c r="FU176" s="101" t="str">
        <f t="shared" si="198"/>
        <v/>
      </c>
      <c r="FV176" s="139" t="str">
        <f>IF($FT176&gt;0,IF(INDEX($EI$6:$EI$77,$FO176)&gt;=FV$3,ROUND(INDEX(EK$6:EK$77,$FO176)*INDEX(卡牌消耗!$B$8:$F$8,FQ176)/5,0)*5,""),"")</f>
        <v/>
      </c>
      <c r="FW176" s="101" t="str">
        <f t="shared" si="199"/>
        <v/>
      </c>
      <c r="FX176" s="101" t="str">
        <f t="shared" si="200"/>
        <v/>
      </c>
      <c r="FY176" s="101" t="str">
        <f t="shared" si="201"/>
        <v/>
      </c>
      <c r="FZ176" s="101" t="str">
        <f t="shared" si="202"/>
        <v/>
      </c>
      <c r="GA176" s="101" t="str">
        <f t="shared" si="207"/>
        <v/>
      </c>
      <c r="GB176" s="101" t="str">
        <f t="shared" si="208"/>
        <v/>
      </c>
      <c r="GC176" s="101" t="str">
        <f t="shared" si="209"/>
        <v/>
      </c>
      <c r="GD176" s="101" t="str">
        <f t="shared" si="210"/>
        <v/>
      </c>
      <c r="GE176" s="101" t="str">
        <f t="shared" si="211"/>
        <v/>
      </c>
      <c r="GF176" s="101" t="str">
        <f t="shared" si="212"/>
        <v/>
      </c>
      <c r="GG176" s="101" t="str">
        <f t="shared" si="213"/>
        <v/>
      </c>
      <c r="GH176" s="101" t="str">
        <f t="shared" si="214"/>
        <v/>
      </c>
      <c r="GI176" s="101" t="str">
        <f t="shared" si="215"/>
        <v/>
      </c>
      <c r="GJ176" s="101" t="str">
        <f t="shared" si="216"/>
        <v/>
      </c>
      <c r="GK176" s="101" t="str">
        <f t="shared" si="217"/>
        <v/>
      </c>
      <c r="GL176" s="101" t="str">
        <f t="shared" si="218"/>
        <v/>
      </c>
    </row>
    <row r="177" spans="170:194" ht="16.5" x14ac:dyDescent="0.2">
      <c r="FN177" s="101">
        <v>172</v>
      </c>
      <c r="FO177" s="101">
        <f t="shared" si="203"/>
        <v>10</v>
      </c>
      <c r="FP177" s="101">
        <f t="shared" si="196"/>
        <v>3</v>
      </c>
      <c r="FQ177" s="14">
        <f t="shared" si="197"/>
        <v>4</v>
      </c>
      <c r="FR177" s="101" t="str">
        <f t="shared" si="204"/>
        <v>典韦专属武器-魂珠-2 1级</v>
      </c>
      <c r="FS177" s="101">
        <f t="shared" si="205"/>
        <v>2</v>
      </c>
      <c r="FT177" s="101">
        <f t="shared" si="206"/>
        <v>1</v>
      </c>
      <c r="FU177" s="101" t="str">
        <f t="shared" si="198"/>
        <v>金币</v>
      </c>
      <c r="FV177" s="139">
        <f>IF($FT177&gt;0,IF(INDEX($EI$6:$EI$77,$FO177)&gt;=FV$3,ROUND(INDEX(EK$6:EK$77,$FO177)*INDEX(卡牌消耗!$B$8:$F$8,FQ177)/5,0)*5,""),"")</f>
        <v>395</v>
      </c>
      <c r="FW177" s="101" t="str">
        <f t="shared" si="199"/>
        <v>专属强化石1</v>
      </c>
      <c r="FX177" s="101">
        <f t="shared" si="200"/>
        <v>3</v>
      </c>
      <c r="FY177" s="101" t="str">
        <f t="shared" si="201"/>
        <v>专属强化石2</v>
      </c>
      <c r="FZ177" s="101">
        <f t="shared" si="202"/>
        <v>1</v>
      </c>
      <c r="GA177" s="101">
        <f t="shared" si="207"/>
        <v>0.39</v>
      </c>
      <c r="GB177" s="101">
        <f t="shared" si="208"/>
        <v>1</v>
      </c>
      <c r="GC177" s="101">
        <f t="shared" si="209"/>
        <v>4</v>
      </c>
      <c r="GD177" s="101">
        <f t="shared" si="210"/>
        <v>0</v>
      </c>
      <c r="GE177" s="101">
        <f t="shared" si="211"/>
        <v>1</v>
      </c>
      <c r="GF177" s="101">
        <f t="shared" si="212"/>
        <v>1</v>
      </c>
      <c r="GG177" s="101">
        <f t="shared" si="213"/>
        <v>0.19270000000000001</v>
      </c>
      <c r="GH177" s="101">
        <f t="shared" si="214"/>
        <v>1</v>
      </c>
      <c r="GI177" s="101">
        <f t="shared" si="215"/>
        <v>2</v>
      </c>
      <c r="GJ177" s="101">
        <f t="shared" si="216"/>
        <v>0.77070000000000005</v>
      </c>
      <c r="GK177" s="101">
        <f t="shared" si="217"/>
        <v>1</v>
      </c>
      <c r="GL177" s="101">
        <f t="shared" si="218"/>
        <v>4</v>
      </c>
    </row>
    <row r="178" spans="170:194" ht="16.5" x14ac:dyDescent="0.2">
      <c r="FN178" s="101">
        <v>173</v>
      </c>
      <c r="FO178" s="101">
        <f t="shared" si="203"/>
        <v>11</v>
      </c>
      <c r="FP178" s="101">
        <f t="shared" si="196"/>
        <v>3</v>
      </c>
      <c r="FQ178" s="14">
        <f t="shared" si="197"/>
        <v>4</v>
      </c>
      <c r="FR178" s="101" t="str">
        <f t="shared" si="204"/>
        <v>典韦专属武器-魂珠-2 2级</v>
      </c>
      <c r="FS178" s="101">
        <f t="shared" si="205"/>
        <v>2</v>
      </c>
      <c r="FT178" s="101">
        <f t="shared" si="206"/>
        <v>2</v>
      </c>
      <c r="FU178" s="101" t="str">
        <f t="shared" si="198"/>
        <v>金币</v>
      </c>
      <c r="FV178" s="139">
        <f>IF($FT178&gt;0,IF(INDEX($EI$6:$EI$77,$FO178)&gt;=FV$3,ROUND(INDEX(EK$6:EK$77,$FO178)*INDEX(卡牌消耗!$B$8:$F$8,FQ178)/5,0)*5,""),"")</f>
        <v>295</v>
      </c>
      <c r="FW178" s="101" t="str">
        <f t="shared" si="199"/>
        <v>专属强化石1</v>
      </c>
      <c r="FX178" s="101">
        <f t="shared" si="200"/>
        <v>3</v>
      </c>
      <c r="FY178" s="101" t="str">
        <f t="shared" si="201"/>
        <v>专属强化石2</v>
      </c>
      <c r="FZ178" s="101">
        <f t="shared" si="202"/>
        <v>1</v>
      </c>
      <c r="GA178" s="101">
        <f t="shared" si="207"/>
        <v>0.19</v>
      </c>
      <c r="GB178" s="101">
        <f t="shared" si="208"/>
        <v>1</v>
      </c>
      <c r="GC178" s="101">
        <f t="shared" si="209"/>
        <v>8</v>
      </c>
      <c r="GD178" s="101">
        <f t="shared" si="210"/>
        <v>0</v>
      </c>
      <c r="GE178" s="101">
        <f t="shared" si="211"/>
        <v>1</v>
      </c>
      <c r="GF178" s="101">
        <f t="shared" si="212"/>
        <v>2</v>
      </c>
      <c r="GG178" s="101">
        <f t="shared" si="213"/>
        <v>9.6299999999999997E-2</v>
      </c>
      <c r="GH178" s="101">
        <f t="shared" si="214"/>
        <v>1</v>
      </c>
      <c r="GI178" s="101">
        <f t="shared" si="215"/>
        <v>4</v>
      </c>
      <c r="GJ178" s="101">
        <f t="shared" si="216"/>
        <v>0.38529999999999998</v>
      </c>
      <c r="GK178" s="101">
        <f t="shared" si="217"/>
        <v>1</v>
      </c>
      <c r="GL178" s="101">
        <f t="shared" si="218"/>
        <v>8</v>
      </c>
    </row>
    <row r="179" spans="170:194" ht="16.5" x14ac:dyDescent="0.2">
      <c r="FN179" s="101">
        <v>174</v>
      </c>
      <c r="FO179" s="101">
        <f t="shared" si="203"/>
        <v>12</v>
      </c>
      <c r="FP179" s="101">
        <f t="shared" si="196"/>
        <v>3</v>
      </c>
      <c r="FQ179" s="14">
        <f t="shared" si="197"/>
        <v>4</v>
      </c>
      <c r="FR179" s="101" t="str">
        <f t="shared" si="204"/>
        <v>典韦专属武器-魂珠-2 3级</v>
      </c>
      <c r="FS179" s="101">
        <f t="shared" si="205"/>
        <v>2</v>
      </c>
      <c r="FT179" s="101">
        <f t="shared" si="206"/>
        <v>3</v>
      </c>
      <c r="FU179" s="101" t="str">
        <f t="shared" si="198"/>
        <v>金币</v>
      </c>
      <c r="FV179" s="139">
        <f>IF($FT179&gt;0,IF(INDEX($EI$6:$EI$77,$FO179)&gt;=FV$3,ROUND(INDEX(EK$6:EK$77,$FO179)*INDEX(卡牌消耗!$B$8:$F$8,FQ179)/5,0)*5,""),"")</f>
        <v>655</v>
      </c>
      <c r="FW179" s="101" t="str">
        <f t="shared" si="199"/>
        <v>专属强化石1</v>
      </c>
      <c r="FX179" s="101">
        <f t="shared" si="200"/>
        <v>6</v>
      </c>
      <c r="FY179" s="101" t="str">
        <f t="shared" si="201"/>
        <v>专属强化石2</v>
      </c>
      <c r="FZ179" s="101">
        <f t="shared" si="202"/>
        <v>2</v>
      </c>
      <c r="GA179" s="101">
        <f t="shared" si="207"/>
        <v>0.26</v>
      </c>
      <c r="GB179" s="101">
        <f t="shared" si="208"/>
        <v>1</v>
      </c>
      <c r="GC179" s="101">
        <f t="shared" si="209"/>
        <v>6</v>
      </c>
      <c r="GD179" s="101">
        <f t="shared" si="210"/>
        <v>0</v>
      </c>
      <c r="GE179" s="101">
        <f t="shared" si="211"/>
        <v>1</v>
      </c>
      <c r="GF179" s="101">
        <f t="shared" si="212"/>
        <v>1</v>
      </c>
      <c r="GG179" s="101">
        <f t="shared" si="213"/>
        <v>0.12839999999999999</v>
      </c>
      <c r="GH179" s="101">
        <f t="shared" si="214"/>
        <v>1</v>
      </c>
      <c r="GI179" s="101">
        <f t="shared" si="215"/>
        <v>3</v>
      </c>
      <c r="GJ179" s="101">
        <f t="shared" si="216"/>
        <v>0.51380000000000003</v>
      </c>
      <c r="GK179" s="101">
        <f t="shared" si="217"/>
        <v>1</v>
      </c>
      <c r="GL179" s="101">
        <f t="shared" si="218"/>
        <v>6</v>
      </c>
    </row>
    <row r="180" spans="170:194" ht="16.5" x14ac:dyDescent="0.2">
      <c r="FN180" s="101">
        <v>175</v>
      </c>
      <c r="FO180" s="101">
        <f t="shared" si="203"/>
        <v>13</v>
      </c>
      <c r="FP180" s="101">
        <f t="shared" si="196"/>
        <v>3</v>
      </c>
      <c r="FQ180" s="14">
        <f t="shared" si="197"/>
        <v>4</v>
      </c>
      <c r="FR180" s="101" t="str">
        <f t="shared" si="204"/>
        <v>典韦专属武器-魂珠-2 4级</v>
      </c>
      <c r="FS180" s="101">
        <f t="shared" si="205"/>
        <v>2</v>
      </c>
      <c r="FT180" s="101">
        <f t="shared" si="206"/>
        <v>4</v>
      </c>
      <c r="FU180" s="101" t="str">
        <f t="shared" si="198"/>
        <v>金币</v>
      </c>
      <c r="FV180" s="139">
        <f>IF($FT180&gt;0,IF(INDEX($EI$6:$EI$77,$FO180)&gt;=FV$3,ROUND(INDEX(EK$6:EK$77,$FO180)*INDEX(卡牌消耗!$B$8:$F$8,FQ180)/5,0)*5,""),"")</f>
        <v>625</v>
      </c>
      <c r="FW180" s="101" t="str">
        <f t="shared" si="199"/>
        <v>专属强化石1</v>
      </c>
      <c r="FX180" s="101">
        <f t="shared" si="200"/>
        <v>6</v>
      </c>
      <c r="FY180" s="101" t="str">
        <f t="shared" si="201"/>
        <v>专属强化石2</v>
      </c>
      <c r="FZ180" s="101">
        <f t="shared" si="202"/>
        <v>2</v>
      </c>
      <c r="GA180" s="101">
        <f t="shared" si="207"/>
        <v>0.15</v>
      </c>
      <c r="GB180" s="101">
        <f t="shared" si="208"/>
        <v>1</v>
      </c>
      <c r="GC180" s="101">
        <f t="shared" si="209"/>
        <v>10</v>
      </c>
      <c r="GD180" s="101">
        <f t="shared" si="210"/>
        <v>0</v>
      </c>
      <c r="GE180" s="101">
        <f t="shared" si="211"/>
        <v>1</v>
      </c>
      <c r="GF180" s="101">
        <f t="shared" si="212"/>
        <v>2</v>
      </c>
      <c r="GG180" s="101">
        <f t="shared" si="213"/>
        <v>7.7100000000000002E-2</v>
      </c>
      <c r="GH180" s="101">
        <f t="shared" si="214"/>
        <v>1</v>
      </c>
      <c r="GI180" s="101">
        <f t="shared" si="215"/>
        <v>5</v>
      </c>
      <c r="GJ180" s="101">
        <f t="shared" si="216"/>
        <v>0.30830000000000002</v>
      </c>
      <c r="GK180" s="101">
        <f t="shared" si="217"/>
        <v>1</v>
      </c>
      <c r="GL180" s="101">
        <f t="shared" si="218"/>
        <v>10</v>
      </c>
    </row>
    <row r="181" spans="170:194" ht="16.5" x14ac:dyDescent="0.2">
      <c r="FN181" s="101">
        <v>176</v>
      </c>
      <c r="FO181" s="101">
        <f t="shared" si="203"/>
        <v>14</v>
      </c>
      <c r="FP181" s="101">
        <f t="shared" si="196"/>
        <v>3</v>
      </c>
      <c r="FQ181" s="14">
        <f t="shared" si="197"/>
        <v>4</v>
      </c>
      <c r="FR181" s="101" t="str">
        <f t="shared" si="204"/>
        <v>典韦专属武器-魂珠-2 5级</v>
      </c>
      <c r="FS181" s="101">
        <f t="shared" si="205"/>
        <v>2</v>
      </c>
      <c r="FT181" s="101">
        <f t="shared" si="206"/>
        <v>5</v>
      </c>
      <c r="FU181" s="101" t="str">
        <f t="shared" si="198"/>
        <v>金币</v>
      </c>
      <c r="FV181" s="139">
        <f>IF($FT181&gt;0,IF(INDEX($EI$6:$EI$77,$FO181)&gt;=FV$3,ROUND(INDEX(EK$6:EK$77,$FO181)*INDEX(卡牌消耗!$B$8:$F$8,FQ181)/5,0)*5,""),"")</f>
        <v>955</v>
      </c>
      <c r="FW181" s="101" t="str">
        <f t="shared" si="199"/>
        <v>专属强化石1</v>
      </c>
      <c r="FX181" s="101">
        <f t="shared" si="200"/>
        <v>9</v>
      </c>
      <c r="FY181" s="101" t="str">
        <f t="shared" si="201"/>
        <v>专属强化石2</v>
      </c>
      <c r="FZ181" s="101">
        <f t="shared" si="202"/>
        <v>3</v>
      </c>
      <c r="GA181" s="101">
        <f t="shared" si="207"/>
        <v>0.14000000000000001</v>
      </c>
      <c r="GB181" s="101">
        <f t="shared" si="208"/>
        <v>1</v>
      </c>
      <c r="GC181" s="101">
        <f t="shared" si="209"/>
        <v>10</v>
      </c>
      <c r="GD181" s="101">
        <f t="shared" si="210"/>
        <v>0</v>
      </c>
      <c r="GE181" s="101">
        <f t="shared" si="211"/>
        <v>1</v>
      </c>
      <c r="GF181" s="101">
        <f t="shared" si="212"/>
        <v>2</v>
      </c>
      <c r="GG181" s="101">
        <f t="shared" si="213"/>
        <v>7.22E-2</v>
      </c>
      <c r="GH181" s="101">
        <f t="shared" si="214"/>
        <v>1</v>
      </c>
      <c r="GI181" s="101">
        <f t="shared" si="215"/>
        <v>5</v>
      </c>
      <c r="GJ181" s="101">
        <f t="shared" si="216"/>
        <v>0.28899999999999998</v>
      </c>
      <c r="GK181" s="101">
        <f t="shared" si="217"/>
        <v>1</v>
      </c>
      <c r="GL181" s="101">
        <f t="shared" si="218"/>
        <v>10</v>
      </c>
    </row>
    <row r="182" spans="170:194" ht="16.5" x14ac:dyDescent="0.2">
      <c r="FN182" s="101">
        <v>177</v>
      </c>
      <c r="FO182" s="101">
        <f t="shared" si="203"/>
        <v>15</v>
      </c>
      <c r="FP182" s="101">
        <f t="shared" si="196"/>
        <v>3</v>
      </c>
      <c r="FQ182" s="14">
        <f t="shared" si="197"/>
        <v>4</v>
      </c>
      <c r="FR182" s="101" t="str">
        <f t="shared" si="204"/>
        <v>典韦专属武器-魂珠-2 6级</v>
      </c>
      <c r="FS182" s="101">
        <f t="shared" si="205"/>
        <v>2</v>
      </c>
      <c r="FT182" s="101">
        <f t="shared" si="206"/>
        <v>6</v>
      </c>
      <c r="FU182" s="101" t="str">
        <f t="shared" si="198"/>
        <v>金币</v>
      </c>
      <c r="FV182" s="139">
        <f>IF($FT182&gt;0,IF(INDEX($EI$6:$EI$77,$FO182)&gt;=FV$3,ROUND(INDEX(EK$6:EK$77,$FO182)*INDEX(卡牌消耗!$B$8:$F$8,FQ182)/5,0)*5,""),"")</f>
        <v>1270</v>
      </c>
      <c r="FW182" s="101" t="str">
        <f t="shared" si="199"/>
        <v>专属强化石1</v>
      </c>
      <c r="FX182" s="101">
        <f t="shared" si="200"/>
        <v>12</v>
      </c>
      <c r="FY182" s="101" t="str">
        <f t="shared" si="201"/>
        <v>专属强化石2</v>
      </c>
      <c r="FZ182" s="101">
        <f t="shared" si="202"/>
        <v>4</v>
      </c>
      <c r="GA182" s="101">
        <f t="shared" si="207"/>
        <v>0.12</v>
      </c>
      <c r="GB182" s="101">
        <f t="shared" si="208"/>
        <v>1</v>
      </c>
      <c r="GC182" s="101">
        <f t="shared" si="209"/>
        <v>13</v>
      </c>
      <c r="GD182" s="101">
        <f t="shared" si="210"/>
        <v>0</v>
      </c>
      <c r="GE182" s="101">
        <f t="shared" si="211"/>
        <v>1</v>
      </c>
      <c r="GF182" s="101">
        <f t="shared" si="212"/>
        <v>3</v>
      </c>
      <c r="GG182" s="101">
        <f t="shared" si="213"/>
        <v>5.9299999999999999E-2</v>
      </c>
      <c r="GH182" s="101">
        <f t="shared" si="214"/>
        <v>1</v>
      </c>
      <c r="GI182" s="101">
        <f t="shared" si="215"/>
        <v>6</v>
      </c>
      <c r="GJ182" s="101">
        <f t="shared" si="216"/>
        <v>0.23710000000000001</v>
      </c>
      <c r="GK182" s="101">
        <f t="shared" si="217"/>
        <v>1</v>
      </c>
      <c r="GL182" s="101">
        <f t="shared" si="218"/>
        <v>13</v>
      </c>
    </row>
    <row r="183" spans="170:194" ht="16.5" x14ac:dyDescent="0.2">
      <c r="FN183" s="101">
        <v>178</v>
      </c>
      <c r="FO183" s="101">
        <f t="shared" si="203"/>
        <v>16</v>
      </c>
      <c r="FP183" s="101">
        <f t="shared" si="196"/>
        <v>3</v>
      </c>
      <c r="FQ183" s="14">
        <f t="shared" si="197"/>
        <v>4</v>
      </c>
      <c r="FR183" s="101" t="str">
        <f t="shared" si="204"/>
        <v>典韦专属武器-魂珠-2 7级</v>
      </c>
      <c r="FS183" s="101">
        <f t="shared" si="205"/>
        <v>2</v>
      </c>
      <c r="FT183" s="101">
        <f t="shared" si="206"/>
        <v>7</v>
      </c>
      <c r="FU183" s="101" t="str">
        <f t="shared" si="198"/>
        <v>金币</v>
      </c>
      <c r="FV183" s="139">
        <f>IF($FT183&gt;0,IF(INDEX($EI$6:$EI$77,$FO183)&gt;=FV$3,ROUND(INDEX(EK$6:EK$77,$FO183)*INDEX(卡牌消耗!$B$8:$F$8,FQ183)/5,0)*5,""),"")</f>
        <v>1590</v>
      </c>
      <c r="FW183" s="101" t="str">
        <f t="shared" si="199"/>
        <v>专属强化石1</v>
      </c>
      <c r="FX183" s="101">
        <f t="shared" si="200"/>
        <v>15</v>
      </c>
      <c r="FY183" s="101" t="str">
        <f t="shared" si="201"/>
        <v>专属强化石2</v>
      </c>
      <c r="FZ183" s="101">
        <f t="shared" si="202"/>
        <v>5</v>
      </c>
      <c r="GA183" s="101">
        <f t="shared" si="207"/>
        <v>0.09</v>
      </c>
      <c r="GB183" s="101">
        <f t="shared" si="208"/>
        <v>1</v>
      </c>
      <c r="GC183" s="101">
        <f t="shared" si="209"/>
        <v>16</v>
      </c>
      <c r="GD183" s="101">
        <f t="shared" si="210"/>
        <v>0</v>
      </c>
      <c r="GE183" s="101">
        <f t="shared" si="211"/>
        <v>1</v>
      </c>
      <c r="GF183" s="101">
        <f t="shared" si="212"/>
        <v>4</v>
      </c>
      <c r="GG183" s="101">
        <f t="shared" si="213"/>
        <v>4.5900000000000003E-2</v>
      </c>
      <c r="GH183" s="101">
        <f t="shared" si="214"/>
        <v>1</v>
      </c>
      <c r="GI183" s="101">
        <f t="shared" si="215"/>
        <v>8</v>
      </c>
      <c r="GJ183" s="101">
        <f t="shared" si="216"/>
        <v>0.1835</v>
      </c>
      <c r="GK183" s="101">
        <f t="shared" si="217"/>
        <v>1</v>
      </c>
      <c r="GL183" s="101">
        <f t="shared" si="218"/>
        <v>16</v>
      </c>
    </row>
    <row r="184" spans="170:194" ht="16.5" x14ac:dyDescent="0.2">
      <c r="FN184" s="101">
        <v>179</v>
      </c>
      <c r="FO184" s="101">
        <f t="shared" si="203"/>
        <v>17</v>
      </c>
      <c r="FP184" s="101">
        <f t="shared" si="196"/>
        <v>3</v>
      </c>
      <c r="FQ184" s="14">
        <f t="shared" si="197"/>
        <v>4</v>
      </c>
      <c r="FR184" s="101" t="str">
        <f t="shared" si="204"/>
        <v>典韦专属武器-魂珠-2 8级</v>
      </c>
      <c r="FS184" s="101">
        <f t="shared" si="205"/>
        <v>2</v>
      </c>
      <c r="FT184" s="101">
        <f t="shared" si="206"/>
        <v>8</v>
      </c>
      <c r="FU184" s="101" t="str">
        <f t="shared" si="198"/>
        <v>金币</v>
      </c>
      <c r="FV184" s="139">
        <f>IF($FT184&gt;0,IF(INDEX($EI$6:$EI$77,$FO184)&gt;=FV$3,ROUND(INDEX(EK$6:EK$77,$FO184)*INDEX(卡牌消耗!$B$8:$F$8,FQ184)/5,0)*5,""),"")</f>
        <v>1905</v>
      </c>
      <c r="FW184" s="101" t="str">
        <f t="shared" si="199"/>
        <v>专属强化石1</v>
      </c>
      <c r="FX184" s="101">
        <f t="shared" si="200"/>
        <v>18</v>
      </c>
      <c r="FY184" s="101" t="str">
        <f t="shared" si="201"/>
        <v>专属强化石2</v>
      </c>
      <c r="FZ184" s="101">
        <f t="shared" si="202"/>
        <v>6</v>
      </c>
      <c r="GA184" s="101">
        <f t="shared" si="207"/>
        <v>7.0000000000000007E-2</v>
      </c>
      <c r="GB184" s="101">
        <f t="shared" si="208"/>
        <v>1</v>
      </c>
      <c r="GC184" s="101">
        <f t="shared" si="209"/>
        <v>22</v>
      </c>
      <c r="GD184" s="101">
        <f t="shared" si="210"/>
        <v>0</v>
      </c>
      <c r="GE184" s="101">
        <f t="shared" si="211"/>
        <v>1</v>
      </c>
      <c r="GF184" s="101">
        <f t="shared" si="212"/>
        <v>5</v>
      </c>
      <c r="GG184" s="101">
        <f t="shared" si="213"/>
        <v>3.4000000000000002E-2</v>
      </c>
      <c r="GH184" s="101">
        <f t="shared" si="214"/>
        <v>1</v>
      </c>
      <c r="GI184" s="101">
        <f t="shared" si="215"/>
        <v>10</v>
      </c>
      <c r="GJ184" s="101">
        <f t="shared" si="216"/>
        <v>0.13600000000000001</v>
      </c>
      <c r="GK184" s="101">
        <f t="shared" si="217"/>
        <v>1</v>
      </c>
      <c r="GL184" s="101">
        <f t="shared" si="218"/>
        <v>22</v>
      </c>
    </row>
    <row r="185" spans="170:194" ht="16.5" x14ac:dyDescent="0.2">
      <c r="FN185" s="101">
        <v>180</v>
      </c>
      <c r="FO185" s="101">
        <f t="shared" si="203"/>
        <v>18</v>
      </c>
      <c r="FP185" s="101">
        <f t="shared" si="196"/>
        <v>3</v>
      </c>
      <c r="FQ185" s="14">
        <f t="shared" si="197"/>
        <v>4</v>
      </c>
      <c r="FR185" s="101" t="str">
        <f t="shared" si="204"/>
        <v>典韦专属武器-魂珠-2 9级</v>
      </c>
      <c r="FS185" s="101">
        <f t="shared" si="205"/>
        <v>2</v>
      </c>
      <c r="FT185" s="101">
        <f t="shared" si="206"/>
        <v>9</v>
      </c>
      <c r="FU185" s="101" t="str">
        <f t="shared" si="198"/>
        <v>金币</v>
      </c>
      <c r="FV185" s="139">
        <f>IF($FT185&gt;0,IF(INDEX($EI$6:$EI$77,$FO185)&gt;=FV$3,ROUND(INDEX(EK$6:EK$77,$FO185)*INDEX(卡牌消耗!$B$8:$F$8,FQ185)/5,0)*5,""),"")</f>
        <v>2540</v>
      </c>
      <c r="FW185" s="101" t="str">
        <f t="shared" si="199"/>
        <v>专属强化石1</v>
      </c>
      <c r="FX185" s="101">
        <f t="shared" si="200"/>
        <v>24</v>
      </c>
      <c r="FY185" s="101" t="str">
        <f t="shared" si="201"/>
        <v>专属强化石2</v>
      </c>
      <c r="FZ185" s="101">
        <f t="shared" si="202"/>
        <v>8</v>
      </c>
      <c r="GA185" s="101">
        <f t="shared" si="207"/>
        <v>0.06</v>
      </c>
      <c r="GB185" s="101">
        <f t="shared" si="208"/>
        <v>1</v>
      </c>
      <c r="GC185" s="101">
        <f t="shared" si="209"/>
        <v>27</v>
      </c>
      <c r="GD185" s="101">
        <f t="shared" si="210"/>
        <v>0</v>
      </c>
      <c r="GE185" s="101">
        <f t="shared" si="211"/>
        <v>1</v>
      </c>
      <c r="GF185" s="101">
        <f t="shared" si="212"/>
        <v>6</v>
      </c>
      <c r="GG185" s="101">
        <f t="shared" si="213"/>
        <v>2.8000000000000001E-2</v>
      </c>
      <c r="GH185" s="101">
        <f t="shared" si="214"/>
        <v>1</v>
      </c>
      <c r="GI185" s="101">
        <f t="shared" si="215"/>
        <v>12</v>
      </c>
      <c r="GJ185" s="101">
        <f t="shared" si="216"/>
        <v>0.11210000000000001</v>
      </c>
      <c r="GK185" s="101">
        <f t="shared" si="217"/>
        <v>1</v>
      </c>
      <c r="GL185" s="101">
        <f t="shared" si="218"/>
        <v>27</v>
      </c>
    </row>
    <row r="186" spans="170:194" ht="16.5" x14ac:dyDescent="0.2">
      <c r="FN186" s="101">
        <v>181</v>
      </c>
      <c r="FO186" s="101">
        <f t="shared" si="203"/>
        <v>0</v>
      </c>
      <c r="FP186" s="101">
        <f t="shared" si="196"/>
        <v>3</v>
      </c>
      <c r="FQ186" s="14">
        <f t="shared" si="197"/>
        <v>4</v>
      </c>
      <c r="FR186" s="101" t="str">
        <f t="shared" si="204"/>
        <v>典韦专属武器-魂珠-3 0级</v>
      </c>
      <c r="FS186" s="101">
        <f t="shared" si="205"/>
        <v>3</v>
      </c>
      <c r="FT186" s="101">
        <f t="shared" si="206"/>
        <v>0</v>
      </c>
      <c r="FU186" s="101" t="str">
        <f t="shared" si="198"/>
        <v/>
      </c>
      <c r="FV186" s="139" t="str">
        <f>IF($FT186&gt;0,IF(INDEX($EI$6:$EI$77,$FO186)&gt;=FV$3,ROUND(INDEX(EK$6:EK$77,$FO186)*INDEX(卡牌消耗!$B$8:$F$8,FQ186)/5,0)*5,""),"")</f>
        <v/>
      </c>
      <c r="FW186" s="101" t="str">
        <f t="shared" si="199"/>
        <v/>
      </c>
      <c r="FX186" s="101" t="str">
        <f t="shared" si="200"/>
        <v/>
      </c>
      <c r="FY186" s="101" t="str">
        <f t="shared" si="201"/>
        <v/>
      </c>
      <c r="FZ186" s="101" t="str">
        <f t="shared" si="202"/>
        <v/>
      </c>
      <c r="GA186" s="101" t="str">
        <f t="shared" si="207"/>
        <v/>
      </c>
      <c r="GB186" s="101" t="str">
        <f t="shared" si="208"/>
        <v/>
      </c>
      <c r="GC186" s="101" t="str">
        <f t="shared" si="209"/>
        <v/>
      </c>
      <c r="GD186" s="101" t="str">
        <f t="shared" si="210"/>
        <v/>
      </c>
      <c r="GE186" s="101" t="str">
        <f t="shared" si="211"/>
        <v/>
      </c>
      <c r="GF186" s="101" t="str">
        <f t="shared" si="212"/>
        <v/>
      </c>
      <c r="GG186" s="101" t="str">
        <f t="shared" si="213"/>
        <v/>
      </c>
      <c r="GH186" s="101" t="str">
        <f t="shared" si="214"/>
        <v/>
      </c>
      <c r="GI186" s="101" t="str">
        <f t="shared" si="215"/>
        <v/>
      </c>
      <c r="GJ186" s="101" t="str">
        <f t="shared" si="216"/>
        <v/>
      </c>
      <c r="GK186" s="101" t="str">
        <f t="shared" si="217"/>
        <v/>
      </c>
      <c r="GL186" s="101" t="str">
        <f t="shared" si="218"/>
        <v/>
      </c>
    </row>
    <row r="187" spans="170:194" ht="16.5" x14ac:dyDescent="0.2">
      <c r="FN187" s="101">
        <v>182</v>
      </c>
      <c r="FO187" s="101">
        <f t="shared" si="203"/>
        <v>19</v>
      </c>
      <c r="FP187" s="101">
        <f t="shared" si="196"/>
        <v>3</v>
      </c>
      <c r="FQ187" s="14">
        <f t="shared" si="197"/>
        <v>4</v>
      </c>
      <c r="FR187" s="101" t="str">
        <f t="shared" si="204"/>
        <v>典韦专属武器-魂珠-3 1级</v>
      </c>
      <c r="FS187" s="101">
        <f t="shared" si="205"/>
        <v>3</v>
      </c>
      <c r="FT187" s="101">
        <f t="shared" si="206"/>
        <v>1</v>
      </c>
      <c r="FU187" s="101" t="str">
        <f t="shared" si="198"/>
        <v>金币</v>
      </c>
      <c r="FV187" s="139">
        <f>IF($FT187&gt;0,IF(INDEX($EI$6:$EI$77,$FO187)&gt;=FV$3,ROUND(INDEX(EK$6:EK$77,$FO187)*INDEX(卡牌消耗!$B$8:$F$8,FQ187)/5,0)*5,""),"")</f>
        <v>820</v>
      </c>
      <c r="FW187" s="101" t="str">
        <f t="shared" si="199"/>
        <v>专属强化石1</v>
      </c>
      <c r="FX187" s="101">
        <f t="shared" si="200"/>
        <v>4</v>
      </c>
      <c r="FY187" s="101" t="str">
        <f t="shared" si="201"/>
        <v>专属强化石2</v>
      </c>
      <c r="FZ187" s="101">
        <f t="shared" si="202"/>
        <v>2</v>
      </c>
      <c r="GA187" s="101">
        <f t="shared" si="207"/>
        <v>0.31</v>
      </c>
      <c r="GB187" s="101">
        <f t="shared" si="208"/>
        <v>1</v>
      </c>
      <c r="GC187" s="101">
        <f t="shared" si="209"/>
        <v>5</v>
      </c>
      <c r="GD187" s="101">
        <f t="shared" si="210"/>
        <v>0</v>
      </c>
      <c r="GE187" s="101">
        <f t="shared" si="211"/>
        <v>1</v>
      </c>
      <c r="GF187" s="101">
        <f t="shared" si="212"/>
        <v>1</v>
      </c>
      <c r="GG187" s="101">
        <f t="shared" si="213"/>
        <v>0.15409999999999999</v>
      </c>
      <c r="GH187" s="101">
        <f t="shared" si="214"/>
        <v>1</v>
      </c>
      <c r="GI187" s="101">
        <f t="shared" si="215"/>
        <v>2</v>
      </c>
      <c r="GJ187" s="101">
        <f t="shared" si="216"/>
        <v>0.61650000000000005</v>
      </c>
      <c r="GK187" s="101">
        <f t="shared" si="217"/>
        <v>1</v>
      </c>
      <c r="GL187" s="101">
        <f t="shared" si="218"/>
        <v>5</v>
      </c>
    </row>
    <row r="188" spans="170:194" ht="16.5" x14ac:dyDescent="0.2">
      <c r="FN188" s="101">
        <v>183</v>
      </c>
      <c r="FO188" s="101">
        <f t="shared" si="203"/>
        <v>20</v>
      </c>
      <c r="FP188" s="101">
        <f t="shared" si="196"/>
        <v>3</v>
      </c>
      <c r="FQ188" s="14">
        <f t="shared" si="197"/>
        <v>4</v>
      </c>
      <c r="FR188" s="101" t="str">
        <f t="shared" si="204"/>
        <v>典韦专属武器-魂珠-3 2级</v>
      </c>
      <c r="FS188" s="101">
        <f t="shared" si="205"/>
        <v>3</v>
      </c>
      <c r="FT188" s="101">
        <f t="shared" si="206"/>
        <v>2</v>
      </c>
      <c r="FU188" s="101" t="str">
        <f t="shared" si="198"/>
        <v>金币</v>
      </c>
      <c r="FV188" s="139">
        <f>IF($FT188&gt;0,IF(INDEX($EI$6:$EI$77,$FO188)&gt;=FV$3,ROUND(INDEX(EK$6:EK$77,$FO188)*INDEX(卡牌消耗!$B$8:$F$8,FQ188)/5,0)*5,""),"")</f>
        <v>615</v>
      </c>
      <c r="FW188" s="101" t="str">
        <f t="shared" si="199"/>
        <v>专属强化石1</v>
      </c>
      <c r="FX188" s="101">
        <f t="shared" si="200"/>
        <v>4</v>
      </c>
      <c r="FY188" s="101" t="str">
        <f t="shared" si="201"/>
        <v>专属强化石2</v>
      </c>
      <c r="FZ188" s="101">
        <f t="shared" si="202"/>
        <v>2</v>
      </c>
      <c r="GA188" s="101">
        <f t="shared" si="207"/>
        <v>0.15</v>
      </c>
      <c r="GB188" s="101">
        <f t="shared" si="208"/>
        <v>1</v>
      </c>
      <c r="GC188" s="101">
        <f t="shared" si="209"/>
        <v>10</v>
      </c>
      <c r="GD188" s="101">
        <f t="shared" si="210"/>
        <v>0</v>
      </c>
      <c r="GE188" s="101">
        <f t="shared" si="211"/>
        <v>1</v>
      </c>
      <c r="GF188" s="101">
        <f t="shared" si="212"/>
        <v>2</v>
      </c>
      <c r="GG188" s="101">
        <f t="shared" si="213"/>
        <v>7.7100000000000002E-2</v>
      </c>
      <c r="GH188" s="101">
        <f t="shared" si="214"/>
        <v>1</v>
      </c>
      <c r="GI188" s="101">
        <f t="shared" si="215"/>
        <v>5</v>
      </c>
      <c r="GJ188" s="101">
        <f t="shared" si="216"/>
        <v>0.30830000000000002</v>
      </c>
      <c r="GK188" s="101">
        <f t="shared" si="217"/>
        <v>1</v>
      </c>
      <c r="GL188" s="101">
        <f t="shared" si="218"/>
        <v>10</v>
      </c>
    </row>
    <row r="189" spans="170:194" ht="16.5" x14ac:dyDescent="0.2">
      <c r="FN189" s="101">
        <v>184</v>
      </c>
      <c r="FO189" s="101">
        <f t="shared" si="203"/>
        <v>21</v>
      </c>
      <c r="FP189" s="101">
        <f t="shared" si="196"/>
        <v>3</v>
      </c>
      <c r="FQ189" s="14">
        <f t="shared" si="197"/>
        <v>4</v>
      </c>
      <c r="FR189" s="101" t="str">
        <f t="shared" si="204"/>
        <v>典韦专属武器-魂珠-3 3级</v>
      </c>
      <c r="FS189" s="101">
        <f t="shared" si="205"/>
        <v>3</v>
      </c>
      <c r="FT189" s="101">
        <f t="shared" si="206"/>
        <v>3</v>
      </c>
      <c r="FU189" s="101" t="str">
        <f t="shared" si="198"/>
        <v>金币</v>
      </c>
      <c r="FV189" s="139">
        <f>IF($FT189&gt;0,IF(INDEX($EI$6:$EI$77,$FO189)&gt;=FV$3,ROUND(INDEX(EK$6:EK$77,$FO189)*INDEX(卡牌消耗!$B$8:$F$8,FQ189)/5,0)*5,""),"")</f>
        <v>1025</v>
      </c>
      <c r="FW189" s="101" t="str">
        <f t="shared" si="199"/>
        <v>专属强化石1</v>
      </c>
      <c r="FX189" s="101">
        <f t="shared" si="200"/>
        <v>6</v>
      </c>
      <c r="FY189" s="101" t="str">
        <f t="shared" si="201"/>
        <v>专属强化石2</v>
      </c>
      <c r="FZ189" s="101">
        <f t="shared" si="202"/>
        <v>3</v>
      </c>
      <c r="GA189" s="101">
        <f t="shared" si="207"/>
        <v>0.15</v>
      </c>
      <c r="GB189" s="101">
        <f t="shared" si="208"/>
        <v>1</v>
      </c>
      <c r="GC189" s="101">
        <f t="shared" si="209"/>
        <v>10</v>
      </c>
      <c r="GD189" s="101">
        <f t="shared" si="210"/>
        <v>0</v>
      </c>
      <c r="GE189" s="101">
        <f t="shared" si="211"/>
        <v>1</v>
      </c>
      <c r="GF189" s="101">
        <f t="shared" si="212"/>
        <v>2</v>
      </c>
      <c r="GG189" s="101">
        <f t="shared" si="213"/>
        <v>7.7100000000000002E-2</v>
      </c>
      <c r="GH189" s="101">
        <f t="shared" si="214"/>
        <v>1</v>
      </c>
      <c r="GI189" s="101">
        <f t="shared" si="215"/>
        <v>5</v>
      </c>
      <c r="GJ189" s="101">
        <f t="shared" si="216"/>
        <v>0.30830000000000002</v>
      </c>
      <c r="GK189" s="101">
        <f t="shared" si="217"/>
        <v>1</v>
      </c>
      <c r="GL189" s="101">
        <f t="shared" si="218"/>
        <v>10</v>
      </c>
    </row>
    <row r="190" spans="170:194" ht="16.5" x14ac:dyDescent="0.2">
      <c r="FN190" s="101">
        <v>185</v>
      </c>
      <c r="FO190" s="101">
        <f t="shared" si="203"/>
        <v>22</v>
      </c>
      <c r="FP190" s="101">
        <f t="shared" si="196"/>
        <v>3</v>
      </c>
      <c r="FQ190" s="14">
        <f t="shared" si="197"/>
        <v>4</v>
      </c>
      <c r="FR190" s="101" t="str">
        <f t="shared" si="204"/>
        <v>典韦专属武器-魂珠-3 4级</v>
      </c>
      <c r="FS190" s="101">
        <f t="shared" si="205"/>
        <v>3</v>
      </c>
      <c r="FT190" s="101">
        <f t="shared" si="206"/>
        <v>4</v>
      </c>
      <c r="FU190" s="101" t="str">
        <f t="shared" si="198"/>
        <v>金币</v>
      </c>
      <c r="FV190" s="139">
        <f>IF($FT190&gt;0,IF(INDEX($EI$6:$EI$77,$FO190)&gt;=FV$3,ROUND(INDEX(EK$6:EK$77,$FO190)*INDEX(卡牌消耗!$B$8:$F$8,FQ190)/5,0)*5,""),"")</f>
        <v>985</v>
      </c>
      <c r="FW190" s="101" t="str">
        <f t="shared" si="199"/>
        <v>专属强化石1</v>
      </c>
      <c r="FX190" s="101">
        <f t="shared" si="200"/>
        <v>6</v>
      </c>
      <c r="FY190" s="101" t="str">
        <f t="shared" si="201"/>
        <v>专属强化石2</v>
      </c>
      <c r="FZ190" s="101">
        <f t="shared" si="202"/>
        <v>3</v>
      </c>
      <c r="GA190" s="101">
        <f t="shared" si="207"/>
        <v>0.09</v>
      </c>
      <c r="GB190" s="101">
        <f t="shared" si="208"/>
        <v>1</v>
      </c>
      <c r="GC190" s="101">
        <f t="shared" si="209"/>
        <v>16</v>
      </c>
      <c r="GD190" s="101">
        <f t="shared" si="210"/>
        <v>0</v>
      </c>
      <c r="GE190" s="101">
        <f t="shared" si="211"/>
        <v>1</v>
      </c>
      <c r="GF190" s="101">
        <f t="shared" si="212"/>
        <v>4</v>
      </c>
      <c r="GG190" s="101">
        <f t="shared" si="213"/>
        <v>4.6199999999999998E-2</v>
      </c>
      <c r="GH190" s="101">
        <f t="shared" si="214"/>
        <v>1</v>
      </c>
      <c r="GI190" s="101">
        <f t="shared" si="215"/>
        <v>8</v>
      </c>
      <c r="GJ190" s="101">
        <f t="shared" si="216"/>
        <v>0.185</v>
      </c>
      <c r="GK190" s="101">
        <f t="shared" si="217"/>
        <v>1</v>
      </c>
      <c r="GL190" s="101">
        <f t="shared" si="218"/>
        <v>16</v>
      </c>
    </row>
    <row r="191" spans="170:194" ht="16.5" x14ac:dyDescent="0.2">
      <c r="FN191" s="101">
        <v>186</v>
      </c>
      <c r="FO191" s="101">
        <f t="shared" si="203"/>
        <v>23</v>
      </c>
      <c r="FP191" s="101">
        <f t="shared" si="196"/>
        <v>3</v>
      </c>
      <c r="FQ191" s="14">
        <f t="shared" si="197"/>
        <v>4</v>
      </c>
      <c r="FR191" s="101" t="str">
        <f t="shared" si="204"/>
        <v>典韦专属武器-魂珠-3 5级</v>
      </c>
      <c r="FS191" s="101">
        <f t="shared" si="205"/>
        <v>3</v>
      </c>
      <c r="FT191" s="101">
        <f t="shared" si="206"/>
        <v>5</v>
      </c>
      <c r="FU191" s="101" t="str">
        <f t="shared" si="198"/>
        <v>金币</v>
      </c>
      <c r="FV191" s="139">
        <f>IF($FT191&gt;0,IF(INDEX($EI$6:$EI$77,$FO191)&gt;=FV$3,ROUND(INDEX(EK$6:EK$77,$FO191)*INDEX(卡牌消耗!$B$8:$F$8,FQ191)/5,0)*5,""),"")</f>
        <v>1330</v>
      </c>
      <c r="FW191" s="101" t="str">
        <f t="shared" si="199"/>
        <v>专属强化石1</v>
      </c>
      <c r="FX191" s="101">
        <f t="shared" si="200"/>
        <v>8</v>
      </c>
      <c r="FY191" s="101" t="str">
        <f t="shared" si="201"/>
        <v>专属强化石2</v>
      </c>
      <c r="FZ191" s="101">
        <f t="shared" si="202"/>
        <v>4</v>
      </c>
      <c r="GA191" s="101">
        <f t="shared" si="207"/>
        <v>0.08</v>
      </c>
      <c r="GB191" s="101">
        <f t="shared" si="208"/>
        <v>1</v>
      </c>
      <c r="GC191" s="101">
        <f t="shared" si="209"/>
        <v>19</v>
      </c>
      <c r="GD191" s="101">
        <f t="shared" si="210"/>
        <v>0</v>
      </c>
      <c r="GE191" s="101">
        <f t="shared" si="211"/>
        <v>1</v>
      </c>
      <c r="GF191" s="101">
        <f t="shared" si="212"/>
        <v>5</v>
      </c>
      <c r="GG191" s="101">
        <f t="shared" si="213"/>
        <v>3.85E-2</v>
      </c>
      <c r="GH191" s="101">
        <f t="shared" si="214"/>
        <v>1</v>
      </c>
      <c r="GI191" s="101">
        <f t="shared" si="215"/>
        <v>9</v>
      </c>
      <c r="GJ191" s="101">
        <f t="shared" si="216"/>
        <v>0.15409999999999999</v>
      </c>
      <c r="GK191" s="101">
        <f t="shared" si="217"/>
        <v>1</v>
      </c>
      <c r="GL191" s="101">
        <f t="shared" si="218"/>
        <v>19</v>
      </c>
    </row>
    <row r="192" spans="170:194" ht="16.5" x14ac:dyDescent="0.2">
      <c r="FN192" s="101">
        <v>187</v>
      </c>
      <c r="FO192" s="101">
        <f t="shared" si="203"/>
        <v>24</v>
      </c>
      <c r="FP192" s="101">
        <f t="shared" si="196"/>
        <v>3</v>
      </c>
      <c r="FQ192" s="14">
        <f t="shared" si="197"/>
        <v>4</v>
      </c>
      <c r="FR192" s="101" t="str">
        <f t="shared" si="204"/>
        <v>典韦专属武器-魂珠-3 6级</v>
      </c>
      <c r="FS192" s="101">
        <f t="shared" si="205"/>
        <v>3</v>
      </c>
      <c r="FT192" s="101">
        <f t="shared" si="206"/>
        <v>6</v>
      </c>
      <c r="FU192" s="101" t="str">
        <f t="shared" si="198"/>
        <v>金币</v>
      </c>
      <c r="FV192" s="139">
        <f>IF($FT192&gt;0,IF(INDEX($EI$6:$EI$77,$FO192)&gt;=FV$3,ROUND(INDEX(EK$6:EK$77,$FO192)*INDEX(卡牌消耗!$B$8:$F$8,FQ192)/5,0)*5,""),"")</f>
        <v>1650</v>
      </c>
      <c r="FW192" s="101" t="str">
        <f t="shared" si="199"/>
        <v>专属强化石1</v>
      </c>
      <c r="FX192" s="101">
        <f t="shared" si="200"/>
        <v>10</v>
      </c>
      <c r="FY192" s="101" t="str">
        <f t="shared" si="201"/>
        <v>专属强化石2</v>
      </c>
      <c r="FZ192" s="101">
        <f t="shared" si="202"/>
        <v>5</v>
      </c>
      <c r="GA192" s="101">
        <f t="shared" si="207"/>
        <v>0.06</v>
      </c>
      <c r="GB192" s="101">
        <f t="shared" si="208"/>
        <v>1</v>
      </c>
      <c r="GC192" s="101">
        <f t="shared" si="209"/>
        <v>25</v>
      </c>
      <c r="GD192" s="101">
        <f t="shared" si="210"/>
        <v>0</v>
      </c>
      <c r="GE192" s="101">
        <f t="shared" si="211"/>
        <v>1</v>
      </c>
      <c r="GF192" s="101">
        <f t="shared" si="212"/>
        <v>6</v>
      </c>
      <c r="GG192" s="101">
        <f t="shared" si="213"/>
        <v>2.9600000000000001E-2</v>
      </c>
      <c r="GH192" s="101">
        <f t="shared" si="214"/>
        <v>1</v>
      </c>
      <c r="GI192" s="101">
        <f t="shared" si="215"/>
        <v>12</v>
      </c>
      <c r="GJ192" s="101">
        <f t="shared" si="216"/>
        <v>0.1186</v>
      </c>
      <c r="GK192" s="101">
        <f t="shared" si="217"/>
        <v>1</v>
      </c>
      <c r="GL192" s="101">
        <f t="shared" si="218"/>
        <v>25</v>
      </c>
    </row>
    <row r="193" spans="170:194" ht="16.5" x14ac:dyDescent="0.2">
      <c r="FN193" s="101">
        <v>188</v>
      </c>
      <c r="FO193" s="101">
        <f t="shared" si="203"/>
        <v>25</v>
      </c>
      <c r="FP193" s="101">
        <f t="shared" si="196"/>
        <v>3</v>
      </c>
      <c r="FQ193" s="14">
        <f t="shared" si="197"/>
        <v>4</v>
      </c>
      <c r="FR193" s="101" t="str">
        <f t="shared" si="204"/>
        <v>典韦专属武器-魂珠-3 7级</v>
      </c>
      <c r="FS193" s="101">
        <f t="shared" si="205"/>
        <v>3</v>
      </c>
      <c r="FT193" s="101">
        <f t="shared" si="206"/>
        <v>7</v>
      </c>
      <c r="FU193" s="101" t="str">
        <f t="shared" si="198"/>
        <v>金币</v>
      </c>
      <c r="FV193" s="139">
        <f>IF($FT193&gt;0,IF(INDEX($EI$6:$EI$77,$FO193)&gt;=FV$3,ROUND(INDEX(EK$6:EK$77,$FO193)*INDEX(卡牌消耗!$B$8:$F$8,FQ193)/5,0)*5,""),"")</f>
        <v>1990</v>
      </c>
      <c r="FW193" s="101" t="str">
        <f t="shared" si="199"/>
        <v>专属强化石1</v>
      </c>
      <c r="FX193" s="101">
        <f t="shared" si="200"/>
        <v>12</v>
      </c>
      <c r="FY193" s="101" t="str">
        <f t="shared" si="201"/>
        <v>专属强化石2</v>
      </c>
      <c r="FZ193" s="101">
        <f t="shared" si="202"/>
        <v>6</v>
      </c>
      <c r="GA193" s="101">
        <f t="shared" si="207"/>
        <v>0.04</v>
      </c>
      <c r="GB193" s="101">
        <f t="shared" si="208"/>
        <v>1</v>
      </c>
      <c r="GC193" s="101">
        <f t="shared" si="209"/>
        <v>34</v>
      </c>
      <c r="GD193" s="101">
        <f t="shared" si="210"/>
        <v>0</v>
      </c>
      <c r="GE193" s="101">
        <f t="shared" si="211"/>
        <v>1</v>
      </c>
      <c r="GF193" s="101">
        <f t="shared" si="212"/>
        <v>8</v>
      </c>
      <c r="GG193" s="101">
        <f t="shared" si="213"/>
        <v>2.1999999999999999E-2</v>
      </c>
      <c r="GH193" s="101">
        <f t="shared" si="214"/>
        <v>1</v>
      </c>
      <c r="GI193" s="101">
        <f t="shared" si="215"/>
        <v>16</v>
      </c>
      <c r="GJ193" s="101">
        <f t="shared" si="216"/>
        <v>8.8099999999999998E-2</v>
      </c>
      <c r="GK193" s="101">
        <f t="shared" si="217"/>
        <v>1</v>
      </c>
      <c r="GL193" s="101">
        <f t="shared" si="218"/>
        <v>34</v>
      </c>
    </row>
    <row r="194" spans="170:194" ht="16.5" x14ac:dyDescent="0.2">
      <c r="FN194" s="101">
        <v>189</v>
      </c>
      <c r="FO194" s="101">
        <f t="shared" si="203"/>
        <v>26</v>
      </c>
      <c r="FP194" s="101">
        <f t="shared" si="196"/>
        <v>3</v>
      </c>
      <c r="FQ194" s="14">
        <f t="shared" si="197"/>
        <v>4</v>
      </c>
      <c r="FR194" s="101" t="str">
        <f t="shared" si="204"/>
        <v>典韦专属武器-魂珠-3 8级</v>
      </c>
      <c r="FS194" s="101">
        <f t="shared" si="205"/>
        <v>3</v>
      </c>
      <c r="FT194" s="101">
        <f t="shared" si="206"/>
        <v>8</v>
      </c>
      <c r="FU194" s="101" t="str">
        <f t="shared" si="198"/>
        <v>金币</v>
      </c>
      <c r="FV194" s="139">
        <f>IF($FT194&gt;0,IF(INDEX($EI$6:$EI$77,$FO194)&gt;=FV$3,ROUND(INDEX(EK$6:EK$77,$FO194)*INDEX(卡牌消耗!$B$8:$F$8,FQ194)/5,0)*5,""),"")</f>
        <v>2650</v>
      </c>
      <c r="FW194" s="101" t="str">
        <f t="shared" si="199"/>
        <v>专属强化石1</v>
      </c>
      <c r="FX194" s="101">
        <f t="shared" si="200"/>
        <v>16</v>
      </c>
      <c r="FY194" s="101" t="str">
        <f t="shared" si="201"/>
        <v>专属强化石2</v>
      </c>
      <c r="FZ194" s="101">
        <f t="shared" si="202"/>
        <v>8</v>
      </c>
      <c r="GA194" s="101">
        <f t="shared" si="207"/>
        <v>0.04</v>
      </c>
      <c r="GB194" s="101">
        <f t="shared" si="208"/>
        <v>1</v>
      </c>
      <c r="GC194" s="101">
        <f t="shared" si="209"/>
        <v>41</v>
      </c>
      <c r="GD194" s="101">
        <f t="shared" si="210"/>
        <v>0</v>
      </c>
      <c r="GE194" s="101">
        <f t="shared" si="211"/>
        <v>1</v>
      </c>
      <c r="GF194" s="101">
        <f t="shared" si="212"/>
        <v>10</v>
      </c>
      <c r="GG194" s="101">
        <f t="shared" si="213"/>
        <v>1.8100000000000002E-2</v>
      </c>
      <c r="GH194" s="101">
        <f t="shared" si="214"/>
        <v>1</v>
      </c>
      <c r="GI194" s="101">
        <f t="shared" si="215"/>
        <v>19</v>
      </c>
      <c r="GJ194" s="101">
        <f t="shared" si="216"/>
        <v>7.2499999999999995E-2</v>
      </c>
      <c r="GK194" s="101">
        <f t="shared" si="217"/>
        <v>1</v>
      </c>
      <c r="GL194" s="101">
        <f t="shared" si="218"/>
        <v>41</v>
      </c>
    </row>
    <row r="195" spans="170:194" ht="16.5" x14ac:dyDescent="0.2">
      <c r="FN195" s="101">
        <v>190</v>
      </c>
      <c r="FO195" s="101">
        <f t="shared" si="203"/>
        <v>27</v>
      </c>
      <c r="FP195" s="101">
        <f t="shared" si="196"/>
        <v>3</v>
      </c>
      <c r="FQ195" s="14">
        <f t="shared" si="197"/>
        <v>4</v>
      </c>
      <c r="FR195" s="101" t="str">
        <f t="shared" si="204"/>
        <v>典韦专属武器-魂珠-3 9级</v>
      </c>
      <c r="FS195" s="101">
        <f t="shared" si="205"/>
        <v>3</v>
      </c>
      <c r="FT195" s="101">
        <f t="shared" si="206"/>
        <v>9</v>
      </c>
      <c r="FU195" s="101" t="str">
        <f t="shared" si="198"/>
        <v>金币</v>
      </c>
      <c r="FV195" s="139">
        <f>IF($FT195&gt;0,IF(INDEX($EI$6:$EI$77,$FO195)&gt;=FV$3,ROUND(INDEX(EK$6:EK$77,$FO195)*INDEX(卡牌消耗!$B$8:$F$8,FQ195)/5,0)*5,""),"")</f>
        <v>3310</v>
      </c>
      <c r="FW195" s="101" t="str">
        <f t="shared" si="199"/>
        <v>专属强化石1</v>
      </c>
      <c r="FX195" s="101">
        <f t="shared" si="200"/>
        <v>20</v>
      </c>
      <c r="FY195" s="101" t="str">
        <f t="shared" si="201"/>
        <v>专属强化石2</v>
      </c>
      <c r="FZ195" s="101">
        <f t="shared" si="202"/>
        <v>10</v>
      </c>
      <c r="GA195" s="101">
        <f t="shared" si="207"/>
        <v>0.03</v>
      </c>
      <c r="GB195" s="101">
        <f t="shared" si="208"/>
        <v>1</v>
      </c>
      <c r="GC195" s="101">
        <f t="shared" si="209"/>
        <v>54</v>
      </c>
      <c r="GD195" s="101">
        <f t="shared" si="210"/>
        <v>0</v>
      </c>
      <c r="GE195" s="101">
        <f t="shared" si="211"/>
        <v>1</v>
      </c>
      <c r="GF195" s="101">
        <f t="shared" si="212"/>
        <v>12</v>
      </c>
      <c r="GG195" s="101">
        <f t="shared" si="213"/>
        <v>1.4E-2</v>
      </c>
      <c r="GH195" s="101">
        <f t="shared" si="214"/>
        <v>1</v>
      </c>
      <c r="GI195" s="101">
        <f t="shared" si="215"/>
        <v>25</v>
      </c>
      <c r="GJ195" s="101">
        <f t="shared" si="216"/>
        <v>5.6000000000000001E-2</v>
      </c>
      <c r="GK195" s="101">
        <f t="shared" si="217"/>
        <v>1</v>
      </c>
      <c r="GL195" s="101">
        <f t="shared" si="218"/>
        <v>54</v>
      </c>
    </row>
    <row r="196" spans="170:194" ht="16.5" x14ac:dyDescent="0.2">
      <c r="FN196" s="101">
        <v>191</v>
      </c>
      <c r="FO196" s="101">
        <f t="shared" si="203"/>
        <v>0</v>
      </c>
      <c r="FP196" s="101">
        <f t="shared" si="196"/>
        <v>3</v>
      </c>
      <c r="FQ196" s="14">
        <f t="shared" si="197"/>
        <v>4</v>
      </c>
      <c r="FR196" s="101" t="str">
        <f t="shared" si="204"/>
        <v>典韦专属武器-魂珠-4 0级</v>
      </c>
      <c r="FS196" s="101">
        <f t="shared" si="205"/>
        <v>4</v>
      </c>
      <c r="FT196" s="101">
        <f t="shared" si="206"/>
        <v>0</v>
      </c>
      <c r="FU196" s="101" t="str">
        <f t="shared" si="198"/>
        <v/>
      </c>
      <c r="FV196" s="139" t="str">
        <f>IF($FT196&gt;0,IF(INDEX($EI$6:$EI$77,$FO196)&gt;=FV$3,ROUND(INDEX(EK$6:EK$77,$FO196)*INDEX(卡牌消耗!$B$8:$F$8,FQ196)/5,0)*5,""),"")</f>
        <v/>
      </c>
      <c r="FW196" s="101" t="str">
        <f t="shared" si="199"/>
        <v/>
      </c>
      <c r="FX196" s="101" t="str">
        <f t="shared" si="200"/>
        <v/>
      </c>
      <c r="FY196" s="101" t="str">
        <f t="shared" si="201"/>
        <v/>
      </c>
      <c r="FZ196" s="101" t="str">
        <f t="shared" si="202"/>
        <v/>
      </c>
      <c r="GA196" s="101" t="str">
        <f t="shared" si="207"/>
        <v/>
      </c>
      <c r="GB196" s="101" t="str">
        <f t="shared" si="208"/>
        <v/>
      </c>
      <c r="GC196" s="101" t="str">
        <f t="shared" si="209"/>
        <v/>
      </c>
      <c r="GD196" s="101" t="str">
        <f t="shared" si="210"/>
        <v/>
      </c>
      <c r="GE196" s="101" t="str">
        <f t="shared" si="211"/>
        <v/>
      </c>
      <c r="GF196" s="101" t="str">
        <f t="shared" si="212"/>
        <v/>
      </c>
      <c r="GG196" s="101" t="str">
        <f t="shared" si="213"/>
        <v/>
      </c>
      <c r="GH196" s="101" t="str">
        <f t="shared" si="214"/>
        <v/>
      </c>
      <c r="GI196" s="101" t="str">
        <f t="shared" si="215"/>
        <v/>
      </c>
      <c r="GJ196" s="101" t="str">
        <f t="shared" si="216"/>
        <v/>
      </c>
      <c r="GK196" s="101" t="str">
        <f t="shared" si="217"/>
        <v/>
      </c>
      <c r="GL196" s="101" t="str">
        <f t="shared" si="218"/>
        <v/>
      </c>
    </row>
    <row r="197" spans="170:194" ht="16.5" x14ac:dyDescent="0.2">
      <c r="FN197" s="101">
        <v>192</v>
      </c>
      <c r="FO197" s="101">
        <f t="shared" si="203"/>
        <v>28</v>
      </c>
      <c r="FP197" s="101">
        <f t="shared" si="196"/>
        <v>3</v>
      </c>
      <c r="FQ197" s="14">
        <f t="shared" si="197"/>
        <v>4</v>
      </c>
      <c r="FR197" s="101" t="str">
        <f t="shared" si="204"/>
        <v>典韦专属武器-魂珠-4 1级</v>
      </c>
      <c r="FS197" s="101">
        <f t="shared" si="205"/>
        <v>4</v>
      </c>
      <c r="FT197" s="101">
        <f t="shared" si="206"/>
        <v>1</v>
      </c>
      <c r="FU197" s="101" t="str">
        <f t="shared" si="198"/>
        <v>金币</v>
      </c>
      <c r="FV197" s="139">
        <f>IF($FT197&gt;0,IF(INDEX($EI$6:$EI$77,$FO197)&gt;=FV$3,ROUND(INDEX(EK$6:EK$77,$FO197)*INDEX(卡牌消耗!$B$8:$F$8,FQ197)/5,0)*5,""),"")</f>
        <v>1095</v>
      </c>
      <c r="FW197" s="101" t="str">
        <f t="shared" si="199"/>
        <v>专属强化石2</v>
      </c>
      <c r="FX197" s="101">
        <f t="shared" si="200"/>
        <v>3</v>
      </c>
      <c r="FY197" s="101" t="str">
        <f t="shared" si="201"/>
        <v>专属强化石3</v>
      </c>
      <c r="FZ197" s="101">
        <f t="shared" si="202"/>
        <v>1</v>
      </c>
      <c r="GA197" s="101">
        <f t="shared" si="207"/>
        <v>0.2</v>
      </c>
      <c r="GB197" s="101">
        <f t="shared" si="208"/>
        <v>1</v>
      </c>
      <c r="GC197" s="101">
        <f t="shared" si="209"/>
        <v>7</v>
      </c>
      <c r="GD197" s="101">
        <f t="shared" si="210"/>
        <v>0</v>
      </c>
      <c r="GE197" s="101">
        <f t="shared" si="211"/>
        <v>1</v>
      </c>
      <c r="GF197" s="101">
        <f t="shared" si="212"/>
        <v>2</v>
      </c>
      <c r="GG197" s="101">
        <f t="shared" si="213"/>
        <v>0.1012</v>
      </c>
      <c r="GH197" s="101">
        <f t="shared" si="214"/>
        <v>1</v>
      </c>
      <c r="GI197" s="101">
        <f t="shared" si="215"/>
        <v>3</v>
      </c>
      <c r="GJ197" s="101">
        <f t="shared" si="216"/>
        <v>0.40479999999999999</v>
      </c>
      <c r="GK197" s="101">
        <f t="shared" si="217"/>
        <v>1</v>
      </c>
      <c r="GL197" s="101">
        <f t="shared" si="218"/>
        <v>7</v>
      </c>
    </row>
    <row r="198" spans="170:194" ht="16.5" x14ac:dyDescent="0.2">
      <c r="FN198" s="101">
        <v>193</v>
      </c>
      <c r="FO198" s="101">
        <f t="shared" si="203"/>
        <v>29</v>
      </c>
      <c r="FP198" s="101">
        <f t="shared" si="196"/>
        <v>3</v>
      </c>
      <c r="FQ198" s="14">
        <f t="shared" si="197"/>
        <v>4</v>
      </c>
      <c r="FR198" s="101" t="str">
        <f t="shared" si="204"/>
        <v>典韦专属武器-魂珠-4 2级</v>
      </c>
      <c r="FS198" s="101">
        <f t="shared" si="205"/>
        <v>4</v>
      </c>
      <c r="FT198" s="101">
        <f t="shared" si="206"/>
        <v>2</v>
      </c>
      <c r="FU198" s="101" t="str">
        <f t="shared" si="198"/>
        <v>金币</v>
      </c>
      <c r="FV198" s="139">
        <f>IF($FT198&gt;0,IF(INDEX($EI$6:$EI$77,$FO198)&gt;=FV$3,ROUND(INDEX(EK$6:EK$77,$FO198)*INDEX(卡牌消耗!$B$8:$F$8,FQ198)/5,0)*5,""),"")</f>
        <v>820</v>
      </c>
      <c r="FW198" s="101" t="str">
        <f t="shared" si="199"/>
        <v>专属强化石2</v>
      </c>
      <c r="FX198" s="101">
        <f t="shared" si="200"/>
        <v>3</v>
      </c>
      <c r="FY198" s="101" t="str">
        <f t="shared" si="201"/>
        <v>专属强化石3</v>
      </c>
      <c r="FZ198" s="101">
        <f t="shared" si="202"/>
        <v>1</v>
      </c>
      <c r="GA198" s="101">
        <f t="shared" si="207"/>
        <v>0.1</v>
      </c>
      <c r="GB198" s="101">
        <f t="shared" si="208"/>
        <v>1</v>
      </c>
      <c r="GC198" s="101">
        <f t="shared" si="209"/>
        <v>15</v>
      </c>
      <c r="GD198" s="101">
        <f t="shared" si="210"/>
        <v>0</v>
      </c>
      <c r="GE198" s="101">
        <f t="shared" si="211"/>
        <v>1</v>
      </c>
      <c r="GF198" s="101">
        <f t="shared" si="212"/>
        <v>3</v>
      </c>
      <c r="GG198" s="101">
        <f t="shared" si="213"/>
        <v>5.0599999999999999E-2</v>
      </c>
      <c r="GH198" s="101">
        <f t="shared" si="214"/>
        <v>1</v>
      </c>
      <c r="GI198" s="101">
        <f t="shared" si="215"/>
        <v>7</v>
      </c>
      <c r="GJ198" s="101">
        <f t="shared" si="216"/>
        <v>0.2024</v>
      </c>
      <c r="GK198" s="101">
        <f t="shared" si="217"/>
        <v>1</v>
      </c>
      <c r="GL198" s="101">
        <f t="shared" si="218"/>
        <v>15</v>
      </c>
    </row>
    <row r="199" spans="170:194" ht="16.5" x14ac:dyDescent="0.2">
      <c r="FN199" s="101">
        <v>194</v>
      </c>
      <c r="FO199" s="101">
        <f t="shared" si="203"/>
        <v>30</v>
      </c>
      <c r="FP199" s="101">
        <f t="shared" ref="FP199:FP262" si="219">INT((FN199-1)/80+1)</f>
        <v>3</v>
      </c>
      <c r="FQ199" s="14">
        <f t="shared" ref="FQ199:FQ262" si="220">INDEX($FJ$6:$FJ$26,FP199)</f>
        <v>4</v>
      </c>
      <c r="FR199" s="101" t="str">
        <f t="shared" si="204"/>
        <v>典韦专属武器-魂珠-4 3级</v>
      </c>
      <c r="FS199" s="101">
        <f t="shared" si="205"/>
        <v>4</v>
      </c>
      <c r="FT199" s="101">
        <f t="shared" si="206"/>
        <v>3</v>
      </c>
      <c r="FU199" s="101" t="str">
        <f t="shared" ref="FU199:FU262" si="221">IF($FT199&gt;0,IF(INDEX($EI$6:$EI$77,$FO199)&gt;=FU$3,INDEX(EJ$6:EJ$77,$FO199),""),"")</f>
        <v>金币</v>
      </c>
      <c r="FV199" s="139">
        <f>IF($FT199&gt;0,IF(INDEX($EI$6:$EI$77,$FO199)&gt;=FV$3,ROUND(INDEX(EK$6:EK$77,$FO199)*INDEX(卡牌消耗!$B$8:$F$8,FQ199)/5,0)*5,""),"")</f>
        <v>910</v>
      </c>
      <c r="FW199" s="101" t="str">
        <f t="shared" ref="FW199:FW262" si="222">IF($FT199&gt;0,IF(INDEX($EI$6:$EI$77,$FO199)&gt;=FW$3,INDEX(EL$6:EL$77,$FO199),""),"")</f>
        <v>专属强化石2</v>
      </c>
      <c r="FX199" s="101">
        <f t="shared" ref="FX199:FX262" si="223">IF($FT199&gt;0,IF(INDEX($EI$6:$EI$77,$FO199)&gt;=FX$3,INDEX(EM$6:EM$77,$FO199),""),"")</f>
        <v>3</v>
      </c>
      <c r="FY199" s="101" t="str">
        <f t="shared" ref="FY199:FY262" si="224">IF($FT199&gt;0,IF(INDEX($EI$6:$EI$77,$FO199)&gt;=FY$3,INDEX(EN$6:EN$77,$FO199),""),"")</f>
        <v>专属强化石3</v>
      </c>
      <c r="FZ199" s="101">
        <f t="shared" ref="FZ199:FZ262" si="225">IF($FT199&gt;0,IF(INDEX($EI$6:$EI$77,$FO199)&gt;=FZ$3,INDEX(EO$6:EO$77,$FO199),""),"")</f>
        <v>1</v>
      </c>
      <c r="GA199" s="101">
        <f t="shared" si="207"/>
        <v>7.0000000000000007E-2</v>
      </c>
      <c r="GB199" s="101">
        <f t="shared" si="208"/>
        <v>1</v>
      </c>
      <c r="GC199" s="101">
        <f t="shared" si="209"/>
        <v>22</v>
      </c>
      <c r="GD199" s="101">
        <f t="shared" si="210"/>
        <v>0</v>
      </c>
      <c r="GE199" s="101">
        <f t="shared" si="211"/>
        <v>1</v>
      </c>
      <c r="GF199" s="101">
        <f t="shared" si="212"/>
        <v>5</v>
      </c>
      <c r="GG199" s="101">
        <f t="shared" si="213"/>
        <v>3.3700000000000001E-2</v>
      </c>
      <c r="GH199" s="101">
        <f t="shared" si="214"/>
        <v>1</v>
      </c>
      <c r="GI199" s="101">
        <f t="shared" si="215"/>
        <v>10</v>
      </c>
      <c r="GJ199" s="101">
        <f t="shared" si="216"/>
        <v>0.13489999999999999</v>
      </c>
      <c r="GK199" s="101">
        <f t="shared" si="217"/>
        <v>1</v>
      </c>
      <c r="GL199" s="101">
        <f t="shared" si="218"/>
        <v>22</v>
      </c>
    </row>
    <row r="200" spans="170:194" ht="16.5" x14ac:dyDescent="0.2">
      <c r="FN200" s="101">
        <v>195</v>
      </c>
      <c r="FO200" s="101">
        <f t="shared" si="203"/>
        <v>31</v>
      </c>
      <c r="FP200" s="101">
        <f t="shared" si="219"/>
        <v>3</v>
      </c>
      <c r="FQ200" s="14">
        <f t="shared" si="220"/>
        <v>4</v>
      </c>
      <c r="FR200" s="101" t="str">
        <f t="shared" si="204"/>
        <v>典韦专属武器-魂珠-4 4级</v>
      </c>
      <c r="FS200" s="101">
        <f t="shared" si="205"/>
        <v>4</v>
      </c>
      <c r="FT200" s="101">
        <f t="shared" si="206"/>
        <v>4</v>
      </c>
      <c r="FU200" s="101" t="str">
        <f t="shared" si="221"/>
        <v>金币</v>
      </c>
      <c r="FV200" s="139">
        <f>IF($FT200&gt;0,IF(INDEX($EI$6:$EI$77,$FO200)&gt;=FV$3,ROUND(INDEX(EK$6:EK$77,$FO200)*INDEX(卡牌消耗!$B$8:$F$8,FQ200)/5,0)*5,""),"")</f>
        <v>1750</v>
      </c>
      <c r="FW200" s="101" t="str">
        <f t="shared" si="222"/>
        <v>专属强化石2</v>
      </c>
      <c r="FX200" s="101">
        <f t="shared" si="223"/>
        <v>5</v>
      </c>
      <c r="FY200" s="101" t="str">
        <f t="shared" si="224"/>
        <v>专属强化石3</v>
      </c>
      <c r="FZ200" s="101">
        <f t="shared" si="225"/>
        <v>2</v>
      </c>
      <c r="GA200" s="101">
        <f t="shared" si="207"/>
        <v>0.08</v>
      </c>
      <c r="GB200" s="101">
        <f t="shared" si="208"/>
        <v>1</v>
      </c>
      <c r="GC200" s="101">
        <f t="shared" si="209"/>
        <v>19</v>
      </c>
      <c r="GD200" s="101">
        <f t="shared" si="210"/>
        <v>0</v>
      </c>
      <c r="GE200" s="101">
        <f t="shared" si="211"/>
        <v>1</v>
      </c>
      <c r="GF200" s="101">
        <f t="shared" si="212"/>
        <v>4</v>
      </c>
      <c r="GG200" s="101">
        <f t="shared" si="213"/>
        <v>4.0500000000000001E-2</v>
      </c>
      <c r="GH200" s="101">
        <f t="shared" si="214"/>
        <v>1</v>
      </c>
      <c r="GI200" s="101">
        <f t="shared" si="215"/>
        <v>9</v>
      </c>
      <c r="GJ200" s="101">
        <f t="shared" si="216"/>
        <v>0.16189999999999999</v>
      </c>
      <c r="GK200" s="101">
        <f t="shared" si="217"/>
        <v>1</v>
      </c>
      <c r="GL200" s="101">
        <f t="shared" si="218"/>
        <v>19</v>
      </c>
    </row>
    <row r="201" spans="170:194" ht="16.5" x14ac:dyDescent="0.2">
      <c r="FN201" s="101">
        <v>196</v>
      </c>
      <c r="FO201" s="101">
        <f t="shared" si="203"/>
        <v>32</v>
      </c>
      <c r="FP201" s="101">
        <f t="shared" si="219"/>
        <v>3</v>
      </c>
      <c r="FQ201" s="14">
        <f t="shared" si="220"/>
        <v>4</v>
      </c>
      <c r="FR201" s="101" t="str">
        <f t="shared" si="204"/>
        <v>典韦专属武器-魂珠-4 5级</v>
      </c>
      <c r="FS201" s="101">
        <f t="shared" si="205"/>
        <v>4</v>
      </c>
      <c r="FT201" s="101">
        <f t="shared" si="206"/>
        <v>5</v>
      </c>
      <c r="FU201" s="101" t="str">
        <f t="shared" si="221"/>
        <v>金币</v>
      </c>
      <c r="FV201" s="139">
        <f>IF($FT201&gt;0,IF(INDEX($EI$6:$EI$77,$FO201)&gt;=FV$3,ROUND(INDEX(EK$6:EK$77,$FO201)*INDEX(卡牌消耗!$B$8:$F$8,FQ201)/5,0)*5,""),"")</f>
        <v>1780</v>
      </c>
      <c r="FW201" s="101" t="str">
        <f t="shared" si="222"/>
        <v>专属强化石2</v>
      </c>
      <c r="FX201" s="101">
        <f t="shared" si="223"/>
        <v>5</v>
      </c>
      <c r="FY201" s="101" t="str">
        <f t="shared" si="224"/>
        <v>专属强化石3</v>
      </c>
      <c r="FZ201" s="101">
        <f t="shared" si="225"/>
        <v>2</v>
      </c>
      <c r="GA201" s="101">
        <f t="shared" si="207"/>
        <v>0.05</v>
      </c>
      <c r="GB201" s="101">
        <f t="shared" si="208"/>
        <v>1</v>
      </c>
      <c r="GC201" s="101">
        <f t="shared" si="209"/>
        <v>30</v>
      </c>
      <c r="GD201" s="101">
        <f t="shared" si="210"/>
        <v>0</v>
      </c>
      <c r="GE201" s="101">
        <f t="shared" si="211"/>
        <v>1</v>
      </c>
      <c r="GF201" s="101">
        <f t="shared" si="212"/>
        <v>7</v>
      </c>
      <c r="GG201" s="101">
        <f t="shared" si="213"/>
        <v>2.53E-2</v>
      </c>
      <c r="GH201" s="101">
        <f t="shared" si="214"/>
        <v>1</v>
      </c>
      <c r="GI201" s="101">
        <f t="shared" si="215"/>
        <v>14</v>
      </c>
      <c r="GJ201" s="101">
        <f t="shared" si="216"/>
        <v>0.1012</v>
      </c>
      <c r="GK201" s="101">
        <f t="shared" si="217"/>
        <v>1</v>
      </c>
      <c r="GL201" s="101">
        <f t="shared" si="218"/>
        <v>30</v>
      </c>
    </row>
    <row r="202" spans="170:194" ht="16.5" x14ac:dyDescent="0.2">
      <c r="FN202" s="101">
        <v>197</v>
      </c>
      <c r="FO202" s="101">
        <f t="shared" si="203"/>
        <v>33</v>
      </c>
      <c r="FP202" s="101">
        <f t="shared" si="219"/>
        <v>3</v>
      </c>
      <c r="FQ202" s="14">
        <f t="shared" si="220"/>
        <v>4</v>
      </c>
      <c r="FR202" s="101" t="str">
        <f t="shared" si="204"/>
        <v>典韦专属武器-魂珠-4 6级</v>
      </c>
      <c r="FS202" s="101">
        <f t="shared" si="205"/>
        <v>4</v>
      </c>
      <c r="FT202" s="101">
        <f t="shared" si="206"/>
        <v>6</v>
      </c>
      <c r="FU202" s="101" t="str">
        <f t="shared" si="221"/>
        <v>金币</v>
      </c>
      <c r="FV202" s="139">
        <f>IF($FT202&gt;0,IF(INDEX($EI$6:$EI$77,$FO202)&gt;=FV$3,ROUND(INDEX(EK$6:EK$77,$FO202)*INDEX(卡牌消耗!$B$8:$F$8,FQ202)/5,0)*5,""),"")</f>
        <v>1770</v>
      </c>
      <c r="FW202" s="101" t="str">
        <f t="shared" si="222"/>
        <v>专属强化石2</v>
      </c>
      <c r="FX202" s="101">
        <f t="shared" si="223"/>
        <v>5</v>
      </c>
      <c r="FY202" s="101" t="str">
        <f t="shared" si="224"/>
        <v>专属强化石3</v>
      </c>
      <c r="FZ202" s="101">
        <f t="shared" si="225"/>
        <v>2</v>
      </c>
      <c r="GA202" s="101">
        <f t="shared" si="207"/>
        <v>0.03</v>
      </c>
      <c r="GB202" s="101">
        <f t="shared" si="208"/>
        <v>1</v>
      </c>
      <c r="GC202" s="101">
        <f t="shared" si="209"/>
        <v>48</v>
      </c>
      <c r="GD202" s="101">
        <f t="shared" si="210"/>
        <v>0</v>
      </c>
      <c r="GE202" s="101">
        <f t="shared" si="211"/>
        <v>1</v>
      </c>
      <c r="GF202" s="101">
        <f t="shared" si="212"/>
        <v>11</v>
      </c>
      <c r="GG202" s="101">
        <f t="shared" si="213"/>
        <v>1.5599999999999999E-2</v>
      </c>
      <c r="GH202" s="101">
        <f t="shared" si="214"/>
        <v>1</v>
      </c>
      <c r="GI202" s="101">
        <f t="shared" si="215"/>
        <v>22</v>
      </c>
      <c r="GJ202" s="101">
        <f t="shared" si="216"/>
        <v>6.2300000000000001E-2</v>
      </c>
      <c r="GK202" s="101">
        <f t="shared" si="217"/>
        <v>1</v>
      </c>
      <c r="GL202" s="101">
        <f t="shared" si="218"/>
        <v>48</v>
      </c>
    </row>
    <row r="203" spans="170:194" ht="16.5" x14ac:dyDescent="0.2">
      <c r="FN203" s="101">
        <v>198</v>
      </c>
      <c r="FO203" s="101">
        <f t="shared" si="203"/>
        <v>34</v>
      </c>
      <c r="FP203" s="101">
        <f t="shared" si="219"/>
        <v>3</v>
      </c>
      <c r="FQ203" s="14">
        <f t="shared" si="220"/>
        <v>4</v>
      </c>
      <c r="FR203" s="101" t="str">
        <f t="shared" si="204"/>
        <v>典韦专属武器-魂珠-4 7级</v>
      </c>
      <c r="FS203" s="101">
        <f t="shared" si="205"/>
        <v>4</v>
      </c>
      <c r="FT203" s="101">
        <f t="shared" si="206"/>
        <v>7</v>
      </c>
      <c r="FU203" s="101" t="str">
        <f t="shared" si="221"/>
        <v>金币</v>
      </c>
      <c r="FV203" s="139">
        <f>IF($FT203&gt;0,IF(INDEX($EI$6:$EI$77,$FO203)&gt;=FV$3,ROUND(INDEX(EK$6:EK$77,$FO203)*INDEX(卡牌消耗!$B$8:$F$8,FQ203)/5,0)*5,""),"")</f>
        <v>2660</v>
      </c>
      <c r="FW203" s="101" t="str">
        <f t="shared" si="222"/>
        <v>专属强化石2</v>
      </c>
      <c r="FX203" s="101">
        <f t="shared" si="223"/>
        <v>8</v>
      </c>
      <c r="FY203" s="101" t="str">
        <f t="shared" si="224"/>
        <v>专属强化石3</v>
      </c>
      <c r="FZ203" s="101">
        <f t="shared" si="225"/>
        <v>3</v>
      </c>
      <c r="GA203" s="101">
        <f t="shared" si="207"/>
        <v>0.03</v>
      </c>
      <c r="GB203" s="101">
        <f t="shared" si="208"/>
        <v>1</v>
      </c>
      <c r="GC203" s="101">
        <f t="shared" si="209"/>
        <v>52</v>
      </c>
      <c r="GD203" s="101">
        <f t="shared" si="210"/>
        <v>0</v>
      </c>
      <c r="GE203" s="101">
        <f t="shared" si="211"/>
        <v>1</v>
      </c>
      <c r="GF203" s="101">
        <f t="shared" si="212"/>
        <v>12</v>
      </c>
      <c r="GG203" s="101">
        <f t="shared" si="213"/>
        <v>1.4500000000000001E-2</v>
      </c>
      <c r="GH203" s="101">
        <f t="shared" si="214"/>
        <v>1</v>
      </c>
      <c r="GI203" s="101">
        <f t="shared" si="215"/>
        <v>24</v>
      </c>
      <c r="GJ203" s="101">
        <f t="shared" si="216"/>
        <v>5.7799999999999997E-2</v>
      </c>
      <c r="GK203" s="101">
        <f t="shared" si="217"/>
        <v>1</v>
      </c>
      <c r="GL203" s="101">
        <f t="shared" si="218"/>
        <v>52</v>
      </c>
    </row>
    <row r="204" spans="170:194" ht="16.5" x14ac:dyDescent="0.2">
      <c r="FN204" s="101">
        <v>199</v>
      </c>
      <c r="FO204" s="101">
        <f t="shared" si="203"/>
        <v>35</v>
      </c>
      <c r="FP204" s="101">
        <f t="shared" si="219"/>
        <v>3</v>
      </c>
      <c r="FQ204" s="14">
        <f t="shared" si="220"/>
        <v>4</v>
      </c>
      <c r="FR204" s="101" t="str">
        <f t="shared" si="204"/>
        <v>典韦专属武器-魂珠-4 8级</v>
      </c>
      <c r="FS204" s="101">
        <f t="shared" si="205"/>
        <v>4</v>
      </c>
      <c r="FT204" s="101">
        <f t="shared" si="206"/>
        <v>8</v>
      </c>
      <c r="FU204" s="101" t="str">
        <f t="shared" si="221"/>
        <v>金币</v>
      </c>
      <c r="FV204" s="139">
        <f>IF($FT204&gt;0,IF(INDEX($EI$6:$EI$77,$FO204)&gt;=FV$3,ROUND(INDEX(EK$6:EK$77,$FO204)*INDEX(卡牌消耗!$B$8:$F$8,FQ204)/5,0)*5,""),"")</f>
        <v>3540</v>
      </c>
      <c r="FW204" s="101" t="str">
        <f t="shared" si="222"/>
        <v>专属强化石2</v>
      </c>
      <c r="FX204" s="101">
        <f t="shared" si="223"/>
        <v>11</v>
      </c>
      <c r="FY204" s="101" t="str">
        <f t="shared" si="224"/>
        <v>专属强化石3</v>
      </c>
      <c r="FZ204" s="101">
        <f t="shared" si="225"/>
        <v>4</v>
      </c>
      <c r="GA204" s="101">
        <f t="shared" si="207"/>
        <v>0.02</v>
      </c>
      <c r="GB204" s="101">
        <f t="shared" si="208"/>
        <v>1</v>
      </c>
      <c r="GC204" s="101">
        <f t="shared" si="209"/>
        <v>63</v>
      </c>
      <c r="GD204" s="101">
        <f t="shared" si="210"/>
        <v>0</v>
      </c>
      <c r="GE204" s="101">
        <f t="shared" si="211"/>
        <v>1</v>
      </c>
      <c r="GF204" s="101">
        <f t="shared" si="212"/>
        <v>15</v>
      </c>
      <c r="GG204" s="101">
        <f t="shared" si="213"/>
        <v>1.1900000000000001E-2</v>
      </c>
      <c r="GH204" s="101">
        <f t="shared" si="214"/>
        <v>1</v>
      </c>
      <c r="GI204" s="101">
        <f t="shared" si="215"/>
        <v>29</v>
      </c>
      <c r="GJ204" s="101">
        <f t="shared" si="216"/>
        <v>4.7600000000000003E-2</v>
      </c>
      <c r="GK204" s="101">
        <f t="shared" si="217"/>
        <v>1</v>
      </c>
      <c r="GL204" s="101">
        <f t="shared" si="218"/>
        <v>63</v>
      </c>
    </row>
    <row r="205" spans="170:194" ht="16.5" x14ac:dyDescent="0.2">
      <c r="FN205" s="101">
        <v>200</v>
      </c>
      <c r="FO205" s="101">
        <f t="shared" si="203"/>
        <v>36</v>
      </c>
      <c r="FP205" s="101">
        <f t="shared" si="219"/>
        <v>3</v>
      </c>
      <c r="FQ205" s="14">
        <f t="shared" si="220"/>
        <v>4</v>
      </c>
      <c r="FR205" s="101" t="str">
        <f t="shared" si="204"/>
        <v>典韦专属武器-魂珠-4 9级</v>
      </c>
      <c r="FS205" s="101">
        <f t="shared" si="205"/>
        <v>4</v>
      </c>
      <c r="FT205" s="101">
        <f t="shared" si="206"/>
        <v>9</v>
      </c>
      <c r="FU205" s="101" t="str">
        <f t="shared" si="221"/>
        <v>金币</v>
      </c>
      <c r="FV205" s="139">
        <f>IF($FT205&gt;0,IF(INDEX($EI$6:$EI$77,$FO205)&gt;=FV$3,ROUND(INDEX(EK$6:EK$77,$FO205)*INDEX(卡牌消耗!$B$8:$F$8,FQ205)/5,0)*5,""),"")</f>
        <v>5315</v>
      </c>
      <c r="FW205" s="101" t="str">
        <f t="shared" si="222"/>
        <v>专属强化石2</v>
      </c>
      <c r="FX205" s="101">
        <f t="shared" si="223"/>
        <v>16</v>
      </c>
      <c r="FY205" s="101" t="str">
        <f t="shared" si="224"/>
        <v>专属强化石3</v>
      </c>
      <c r="FZ205" s="101">
        <f t="shared" si="225"/>
        <v>6</v>
      </c>
      <c r="GA205" s="101">
        <f t="shared" si="207"/>
        <v>0.02</v>
      </c>
      <c r="GB205" s="101">
        <f t="shared" si="208"/>
        <v>1</v>
      </c>
      <c r="GC205" s="101">
        <f t="shared" si="209"/>
        <v>68</v>
      </c>
      <c r="GD205" s="101">
        <f t="shared" si="210"/>
        <v>0</v>
      </c>
      <c r="GE205" s="101">
        <f t="shared" si="211"/>
        <v>1</v>
      </c>
      <c r="GF205" s="101">
        <f t="shared" si="212"/>
        <v>16</v>
      </c>
      <c r="GG205" s="101">
        <f t="shared" si="213"/>
        <v>1.0999999999999999E-2</v>
      </c>
      <c r="GH205" s="101">
        <f t="shared" si="214"/>
        <v>1</v>
      </c>
      <c r="GI205" s="101">
        <f t="shared" si="215"/>
        <v>32</v>
      </c>
      <c r="GJ205" s="101">
        <f t="shared" si="216"/>
        <v>4.4200000000000003E-2</v>
      </c>
      <c r="GK205" s="101">
        <f t="shared" si="217"/>
        <v>1</v>
      </c>
      <c r="GL205" s="101">
        <f t="shared" si="218"/>
        <v>68</v>
      </c>
    </row>
    <row r="206" spans="170:194" ht="16.5" x14ac:dyDescent="0.2">
      <c r="FN206" s="101">
        <v>201</v>
      </c>
      <c r="FO206" s="101">
        <f t="shared" si="203"/>
        <v>0</v>
      </c>
      <c r="FP206" s="101">
        <f t="shared" si="219"/>
        <v>3</v>
      </c>
      <c r="FQ206" s="14">
        <f t="shared" si="220"/>
        <v>4</v>
      </c>
      <c r="FR206" s="101" t="str">
        <f t="shared" si="204"/>
        <v>典韦专属武器-魂珠-5 0级</v>
      </c>
      <c r="FS206" s="101">
        <f t="shared" si="205"/>
        <v>5</v>
      </c>
      <c r="FT206" s="101">
        <f t="shared" si="206"/>
        <v>0</v>
      </c>
      <c r="FU206" s="101" t="str">
        <f t="shared" si="221"/>
        <v/>
      </c>
      <c r="FV206" s="139" t="str">
        <f>IF($FT206&gt;0,IF(INDEX($EI$6:$EI$77,$FO206)&gt;=FV$3,ROUND(INDEX(EK$6:EK$77,$FO206)*INDEX(卡牌消耗!$B$8:$F$8,FQ206)/5,0)*5,""),"")</f>
        <v/>
      </c>
      <c r="FW206" s="101" t="str">
        <f t="shared" si="222"/>
        <v/>
      </c>
      <c r="FX206" s="101" t="str">
        <f t="shared" si="223"/>
        <v/>
      </c>
      <c r="FY206" s="101" t="str">
        <f t="shared" si="224"/>
        <v/>
      </c>
      <c r="FZ206" s="101" t="str">
        <f t="shared" si="225"/>
        <v/>
      </c>
      <c r="GA206" s="101" t="str">
        <f t="shared" si="207"/>
        <v/>
      </c>
      <c r="GB206" s="101" t="str">
        <f t="shared" si="208"/>
        <v/>
      </c>
      <c r="GC206" s="101" t="str">
        <f t="shared" si="209"/>
        <v/>
      </c>
      <c r="GD206" s="101" t="str">
        <f t="shared" si="210"/>
        <v/>
      </c>
      <c r="GE206" s="101" t="str">
        <f t="shared" si="211"/>
        <v/>
      </c>
      <c r="GF206" s="101" t="str">
        <f t="shared" si="212"/>
        <v/>
      </c>
      <c r="GG206" s="101" t="str">
        <f t="shared" si="213"/>
        <v/>
      </c>
      <c r="GH206" s="101" t="str">
        <f t="shared" si="214"/>
        <v/>
      </c>
      <c r="GI206" s="101" t="str">
        <f t="shared" si="215"/>
        <v/>
      </c>
      <c r="GJ206" s="101" t="str">
        <f t="shared" si="216"/>
        <v/>
      </c>
      <c r="GK206" s="101" t="str">
        <f t="shared" si="217"/>
        <v/>
      </c>
      <c r="GL206" s="101" t="str">
        <f t="shared" si="218"/>
        <v/>
      </c>
    </row>
    <row r="207" spans="170:194" ht="16.5" x14ac:dyDescent="0.2">
      <c r="FN207" s="101">
        <v>202</v>
      </c>
      <c r="FO207" s="101">
        <f t="shared" si="203"/>
        <v>37</v>
      </c>
      <c r="FP207" s="101">
        <f t="shared" si="219"/>
        <v>3</v>
      </c>
      <c r="FQ207" s="14">
        <f t="shared" si="220"/>
        <v>4</v>
      </c>
      <c r="FR207" s="101" t="str">
        <f t="shared" si="204"/>
        <v>典韦专属武器-魂珠-5 1级</v>
      </c>
      <c r="FS207" s="101">
        <f t="shared" si="205"/>
        <v>5</v>
      </c>
      <c r="FT207" s="101">
        <f t="shared" si="206"/>
        <v>1</v>
      </c>
      <c r="FU207" s="101" t="str">
        <f t="shared" si="221"/>
        <v>金币</v>
      </c>
      <c r="FV207" s="139">
        <f>IF($FT207&gt;0,IF(INDEX($EI$6:$EI$77,$FO207)&gt;=FV$3,ROUND(INDEX(EK$6:EK$77,$FO207)*INDEX(卡牌消耗!$B$8:$F$8,FQ207)/5,0)*5,""),"")</f>
        <v>2245</v>
      </c>
      <c r="FW207" s="101" t="str">
        <f t="shared" si="222"/>
        <v>专属强化石2</v>
      </c>
      <c r="FX207" s="101">
        <f t="shared" si="223"/>
        <v>3</v>
      </c>
      <c r="FY207" s="101" t="str">
        <f t="shared" si="224"/>
        <v>专属强化石3</v>
      </c>
      <c r="FZ207" s="101">
        <f t="shared" si="225"/>
        <v>2</v>
      </c>
      <c r="GA207" s="101">
        <f t="shared" si="207"/>
        <v>0.2</v>
      </c>
      <c r="GB207" s="101">
        <f t="shared" si="208"/>
        <v>1</v>
      </c>
      <c r="GC207" s="101">
        <f t="shared" si="209"/>
        <v>7</v>
      </c>
      <c r="GD207" s="101">
        <f t="shared" si="210"/>
        <v>0</v>
      </c>
      <c r="GE207" s="101">
        <f t="shared" si="211"/>
        <v>1</v>
      </c>
      <c r="GF207" s="101">
        <f t="shared" si="212"/>
        <v>2</v>
      </c>
      <c r="GG207" s="101">
        <f t="shared" si="213"/>
        <v>0.1012</v>
      </c>
      <c r="GH207" s="101">
        <f t="shared" si="214"/>
        <v>1</v>
      </c>
      <c r="GI207" s="101">
        <f t="shared" si="215"/>
        <v>3</v>
      </c>
      <c r="GJ207" s="101">
        <f t="shared" si="216"/>
        <v>0.40479999999999999</v>
      </c>
      <c r="GK207" s="101">
        <f t="shared" si="217"/>
        <v>1</v>
      </c>
      <c r="GL207" s="101">
        <f t="shared" si="218"/>
        <v>7</v>
      </c>
    </row>
    <row r="208" spans="170:194" ht="16.5" x14ac:dyDescent="0.2">
      <c r="FN208" s="101">
        <v>203</v>
      </c>
      <c r="FO208" s="101">
        <f t="shared" si="203"/>
        <v>38</v>
      </c>
      <c r="FP208" s="101">
        <f t="shared" si="219"/>
        <v>3</v>
      </c>
      <c r="FQ208" s="14">
        <f t="shared" si="220"/>
        <v>4</v>
      </c>
      <c r="FR208" s="101" t="str">
        <f t="shared" si="204"/>
        <v>典韦专属武器-魂珠-5 2级</v>
      </c>
      <c r="FS208" s="101">
        <f t="shared" si="205"/>
        <v>5</v>
      </c>
      <c r="FT208" s="101">
        <f t="shared" si="206"/>
        <v>2</v>
      </c>
      <c r="FU208" s="101" t="str">
        <f t="shared" si="221"/>
        <v>金币</v>
      </c>
      <c r="FV208" s="139">
        <f>IF($FT208&gt;0,IF(INDEX($EI$6:$EI$77,$FO208)&gt;=FV$3,ROUND(INDEX(EK$6:EK$77,$FO208)*INDEX(卡牌消耗!$B$8:$F$8,FQ208)/5,0)*5,""),"")</f>
        <v>1685</v>
      </c>
      <c r="FW208" s="101" t="str">
        <f t="shared" si="222"/>
        <v>专属强化石2</v>
      </c>
      <c r="FX208" s="101">
        <f t="shared" si="223"/>
        <v>3</v>
      </c>
      <c r="FY208" s="101" t="str">
        <f t="shared" si="224"/>
        <v>专属强化石3</v>
      </c>
      <c r="FZ208" s="101">
        <f t="shared" si="225"/>
        <v>2</v>
      </c>
      <c r="GA208" s="101">
        <f t="shared" si="207"/>
        <v>0.1</v>
      </c>
      <c r="GB208" s="101">
        <f t="shared" si="208"/>
        <v>1</v>
      </c>
      <c r="GC208" s="101">
        <f t="shared" si="209"/>
        <v>15</v>
      </c>
      <c r="GD208" s="101">
        <f t="shared" si="210"/>
        <v>0</v>
      </c>
      <c r="GE208" s="101">
        <f t="shared" si="211"/>
        <v>1</v>
      </c>
      <c r="GF208" s="101">
        <f t="shared" si="212"/>
        <v>3</v>
      </c>
      <c r="GG208" s="101">
        <f t="shared" si="213"/>
        <v>5.0599999999999999E-2</v>
      </c>
      <c r="GH208" s="101">
        <f t="shared" si="214"/>
        <v>1</v>
      </c>
      <c r="GI208" s="101">
        <f t="shared" si="215"/>
        <v>7</v>
      </c>
      <c r="GJ208" s="101">
        <f t="shared" si="216"/>
        <v>0.2024</v>
      </c>
      <c r="GK208" s="101">
        <f t="shared" si="217"/>
        <v>1</v>
      </c>
      <c r="GL208" s="101">
        <f t="shared" si="218"/>
        <v>15</v>
      </c>
    </row>
    <row r="209" spans="170:194" ht="16.5" x14ac:dyDescent="0.2">
      <c r="FN209" s="101">
        <v>204</v>
      </c>
      <c r="FO209" s="101">
        <f t="shared" si="203"/>
        <v>39</v>
      </c>
      <c r="FP209" s="101">
        <f t="shared" si="219"/>
        <v>3</v>
      </c>
      <c r="FQ209" s="14">
        <f t="shared" si="220"/>
        <v>4</v>
      </c>
      <c r="FR209" s="101" t="str">
        <f t="shared" si="204"/>
        <v>典韦专属武器-魂珠-5 3级</v>
      </c>
      <c r="FS209" s="101">
        <f t="shared" si="205"/>
        <v>5</v>
      </c>
      <c r="FT209" s="101">
        <f t="shared" si="206"/>
        <v>3</v>
      </c>
      <c r="FU209" s="101" t="str">
        <f t="shared" si="221"/>
        <v>金币</v>
      </c>
      <c r="FV209" s="139">
        <f>IF($FT209&gt;0,IF(INDEX($EI$6:$EI$77,$FO209)&gt;=FV$3,ROUND(INDEX(EK$6:EK$77,$FO209)*INDEX(卡牌消耗!$B$8:$F$8,FQ209)/5,0)*5,""),"")</f>
        <v>1870</v>
      </c>
      <c r="FW209" s="101" t="str">
        <f t="shared" si="222"/>
        <v>专属强化石2</v>
      </c>
      <c r="FX209" s="101">
        <f t="shared" si="223"/>
        <v>3</v>
      </c>
      <c r="FY209" s="101" t="str">
        <f t="shared" si="224"/>
        <v>专属强化石3</v>
      </c>
      <c r="FZ209" s="101">
        <f t="shared" si="225"/>
        <v>2</v>
      </c>
      <c r="GA209" s="101">
        <f t="shared" si="207"/>
        <v>7.0000000000000007E-2</v>
      </c>
      <c r="GB209" s="101">
        <f t="shared" si="208"/>
        <v>1</v>
      </c>
      <c r="GC209" s="101">
        <f t="shared" si="209"/>
        <v>22</v>
      </c>
      <c r="GD209" s="101">
        <f t="shared" si="210"/>
        <v>0</v>
      </c>
      <c r="GE209" s="101">
        <f t="shared" si="211"/>
        <v>1</v>
      </c>
      <c r="GF209" s="101">
        <f t="shared" si="212"/>
        <v>5</v>
      </c>
      <c r="GG209" s="101">
        <f t="shared" si="213"/>
        <v>3.3700000000000001E-2</v>
      </c>
      <c r="GH209" s="101">
        <f t="shared" si="214"/>
        <v>1</v>
      </c>
      <c r="GI209" s="101">
        <f t="shared" si="215"/>
        <v>10</v>
      </c>
      <c r="GJ209" s="101">
        <f t="shared" si="216"/>
        <v>0.13489999999999999</v>
      </c>
      <c r="GK209" s="101">
        <f t="shared" si="217"/>
        <v>1</v>
      </c>
      <c r="GL209" s="101">
        <f t="shared" si="218"/>
        <v>22</v>
      </c>
    </row>
    <row r="210" spans="170:194" ht="16.5" x14ac:dyDescent="0.2">
      <c r="FN210" s="101">
        <v>205</v>
      </c>
      <c r="FO210" s="101">
        <f t="shared" si="203"/>
        <v>40</v>
      </c>
      <c r="FP210" s="101">
        <f t="shared" si="219"/>
        <v>3</v>
      </c>
      <c r="FQ210" s="14">
        <f t="shared" si="220"/>
        <v>4</v>
      </c>
      <c r="FR210" s="101" t="str">
        <f t="shared" si="204"/>
        <v>典韦专属武器-魂珠-5 4级</v>
      </c>
      <c r="FS210" s="101">
        <f t="shared" si="205"/>
        <v>5</v>
      </c>
      <c r="FT210" s="101">
        <f t="shared" si="206"/>
        <v>4</v>
      </c>
      <c r="FU210" s="101" t="str">
        <f t="shared" si="221"/>
        <v>金币</v>
      </c>
      <c r="FV210" s="139">
        <f>IF($FT210&gt;0,IF(INDEX($EI$6:$EI$77,$FO210)&gt;=FV$3,ROUND(INDEX(EK$6:EK$77,$FO210)*INDEX(卡牌消耗!$B$8:$F$8,FQ210)/5,0)*5,""),"")</f>
        <v>2695</v>
      </c>
      <c r="FW210" s="101" t="str">
        <f t="shared" si="222"/>
        <v>专属强化石2</v>
      </c>
      <c r="FX210" s="101">
        <f t="shared" si="223"/>
        <v>5</v>
      </c>
      <c r="FY210" s="101" t="str">
        <f t="shared" si="224"/>
        <v>专属强化石3</v>
      </c>
      <c r="FZ210" s="101">
        <f t="shared" si="225"/>
        <v>3</v>
      </c>
      <c r="GA210" s="101">
        <f t="shared" si="207"/>
        <v>0.06</v>
      </c>
      <c r="GB210" s="101">
        <f t="shared" si="208"/>
        <v>1</v>
      </c>
      <c r="GC210" s="101">
        <f t="shared" si="209"/>
        <v>25</v>
      </c>
      <c r="GD210" s="101">
        <f t="shared" si="210"/>
        <v>0</v>
      </c>
      <c r="GE210" s="101">
        <f t="shared" si="211"/>
        <v>1</v>
      </c>
      <c r="GF210" s="101">
        <f t="shared" si="212"/>
        <v>6</v>
      </c>
      <c r="GG210" s="101">
        <f t="shared" si="213"/>
        <v>3.04E-2</v>
      </c>
      <c r="GH210" s="101">
        <f t="shared" si="214"/>
        <v>1</v>
      </c>
      <c r="GI210" s="101">
        <f t="shared" si="215"/>
        <v>12</v>
      </c>
      <c r="GJ210" s="101">
        <f t="shared" si="216"/>
        <v>0.12139999999999999</v>
      </c>
      <c r="GK210" s="101">
        <f t="shared" si="217"/>
        <v>1</v>
      </c>
      <c r="GL210" s="101">
        <f t="shared" si="218"/>
        <v>25</v>
      </c>
    </row>
    <row r="211" spans="170:194" ht="16.5" x14ac:dyDescent="0.2">
      <c r="FN211" s="101">
        <v>206</v>
      </c>
      <c r="FO211" s="101">
        <f t="shared" si="203"/>
        <v>41</v>
      </c>
      <c r="FP211" s="101">
        <f t="shared" si="219"/>
        <v>3</v>
      </c>
      <c r="FQ211" s="14">
        <f t="shared" si="220"/>
        <v>4</v>
      </c>
      <c r="FR211" s="101" t="str">
        <f t="shared" si="204"/>
        <v>典韦专属武器-魂珠-5 5级</v>
      </c>
      <c r="FS211" s="101">
        <f t="shared" si="205"/>
        <v>5</v>
      </c>
      <c r="FT211" s="101">
        <f t="shared" si="206"/>
        <v>5</v>
      </c>
      <c r="FU211" s="101" t="str">
        <f t="shared" si="221"/>
        <v>金币</v>
      </c>
      <c r="FV211" s="139">
        <f>IF($FT211&gt;0,IF(INDEX($EI$6:$EI$77,$FO211)&gt;=FV$3,ROUND(INDEX(EK$6:EK$77,$FO211)*INDEX(卡牌消耗!$B$8:$F$8,FQ211)/5,0)*5,""),"")</f>
        <v>2735</v>
      </c>
      <c r="FW211" s="101" t="str">
        <f t="shared" si="222"/>
        <v>专属强化石2</v>
      </c>
      <c r="FX211" s="101">
        <f t="shared" si="223"/>
        <v>5</v>
      </c>
      <c r="FY211" s="101" t="str">
        <f t="shared" si="224"/>
        <v>专属强化石3</v>
      </c>
      <c r="FZ211" s="101">
        <f t="shared" si="225"/>
        <v>3</v>
      </c>
      <c r="GA211" s="101">
        <f t="shared" si="207"/>
        <v>0.04</v>
      </c>
      <c r="GB211" s="101">
        <f t="shared" si="208"/>
        <v>1</v>
      </c>
      <c r="GC211" s="101">
        <f t="shared" si="209"/>
        <v>40</v>
      </c>
      <c r="GD211" s="101">
        <f t="shared" si="210"/>
        <v>0</v>
      </c>
      <c r="GE211" s="101">
        <f t="shared" si="211"/>
        <v>1</v>
      </c>
      <c r="GF211" s="101">
        <f t="shared" si="212"/>
        <v>9</v>
      </c>
      <c r="GG211" s="101">
        <f t="shared" si="213"/>
        <v>1.9E-2</v>
      </c>
      <c r="GH211" s="101">
        <f t="shared" si="214"/>
        <v>1</v>
      </c>
      <c r="GI211" s="101">
        <f t="shared" si="215"/>
        <v>18</v>
      </c>
      <c r="GJ211" s="101">
        <f t="shared" si="216"/>
        <v>7.5899999999999995E-2</v>
      </c>
      <c r="GK211" s="101">
        <f t="shared" si="217"/>
        <v>1</v>
      </c>
      <c r="GL211" s="101">
        <f t="shared" si="218"/>
        <v>40</v>
      </c>
    </row>
    <row r="212" spans="170:194" ht="16.5" x14ac:dyDescent="0.2">
      <c r="FN212" s="101">
        <v>207</v>
      </c>
      <c r="FO212" s="101">
        <f t="shared" si="203"/>
        <v>42</v>
      </c>
      <c r="FP212" s="101">
        <f t="shared" si="219"/>
        <v>3</v>
      </c>
      <c r="FQ212" s="14">
        <f t="shared" si="220"/>
        <v>4</v>
      </c>
      <c r="FR212" s="101" t="str">
        <f t="shared" si="204"/>
        <v>典韦专属武器-魂珠-5 6级</v>
      </c>
      <c r="FS212" s="101">
        <f t="shared" si="205"/>
        <v>5</v>
      </c>
      <c r="FT212" s="101">
        <f t="shared" si="206"/>
        <v>6</v>
      </c>
      <c r="FU212" s="101" t="str">
        <f t="shared" si="221"/>
        <v>金币</v>
      </c>
      <c r="FV212" s="139">
        <f>IF($FT212&gt;0,IF(INDEX($EI$6:$EI$77,$FO212)&gt;=FV$3,ROUND(INDEX(EK$6:EK$77,$FO212)*INDEX(卡牌消耗!$B$8:$F$8,FQ212)/5,0)*5,""),"")</f>
        <v>4530</v>
      </c>
      <c r="FW212" s="101" t="str">
        <f t="shared" si="222"/>
        <v>专属强化石2</v>
      </c>
      <c r="FX212" s="101">
        <f t="shared" si="223"/>
        <v>8</v>
      </c>
      <c r="FY212" s="101" t="str">
        <f t="shared" si="224"/>
        <v>专属强化石3</v>
      </c>
      <c r="FZ212" s="101">
        <f t="shared" si="225"/>
        <v>5</v>
      </c>
      <c r="GA212" s="101">
        <f t="shared" si="207"/>
        <v>0.04</v>
      </c>
      <c r="GB212" s="101">
        <f t="shared" si="208"/>
        <v>1</v>
      </c>
      <c r="GC212" s="101">
        <f t="shared" si="209"/>
        <v>39</v>
      </c>
      <c r="GD212" s="101">
        <f t="shared" si="210"/>
        <v>0</v>
      </c>
      <c r="GE212" s="101">
        <f t="shared" si="211"/>
        <v>1</v>
      </c>
      <c r="GF212" s="101">
        <f t="shared" si="212"/>
        <v>9</v>
      </c>
      <c r="GG212" s="101">
        <f t="shared" si="213"/>
        <v>1.95E-2</v>
      </c>
      <c r="GH212" s="101">
        <f t="shared" si="214"/>
        <v>1</v>
      </c>
      <c r="GI212" s="101">
        <f t="shared" si="215"/>
        <v>18</v>
      </c>
      <c r="GJ212" s="101">
        <f t="shared" si="216"/>
        <v>7.7799999999999994E-2</v>
      </c>
      <c r="GK212" s="101">
        <f t="shared" si="217"/>
        <v>1</v>
      </c>
      <c r="GL212" s="101">
        <f t="shared" si="218"/>
        <v>39</v>
      </c>
    </row>
    <row r="213" spans="170:194" ht="16.5" x14ac:dyDescent="0.2">
      <c r="FN213" s="101">
        <v>208</v>
      </c>
      <c r="FO213" s="101">
        <f t="shared" si="203"/>
        <v>43</v>
      </c>
      <c r="FP213" s="101">
        <f t="shared" si="219"/>
        <v>3</v>
      </c>
      <c r="FQ213" s="14">
        <f t="shared" si="220"/>
        <v>4</v>
      </c>
      <c r="FR213" s="101" t="str">
        <f t="shared" si="204"/>
        <v>典韦专属武器-魂珠-5 7级</v>
      </c>
      <c r="FS213" s="101">
        <f t="shared" si="205"/>
        <v>5</v>
      </c>
      <c r="FT213" s="101">
        <f t="shared" si="206"/>
        <v>7</v>
      </c>
      <c r="FU213" s="101" t="str">
        <f t="shared" si="221"/>
        <v>金币</v>
      </c>
      <c r="FV213" s="139">
        <f>IF($FT213&gt;0,IF(INDEX($EI$6:$EI$77,$FO213)&gt;=FV$3,ROUND(INDEX(EK$6:EK$77,$FO213)*INDEX(卡牌消耗!$B$8:$F$8,FQ213)/5,0)*5,""),"")</f>
        <v>4540</v>
      </c>
      <c r="FW213" s="101" t="str">
        <f t="shared" si="222"/>
        <v>专属强化石2</v>
      </c>
      <c r="FX213" s="101">
        <f t="shared" si="223"/>
        <v>8</v>
      </c>
      <c r="FY213" s="101" t="str">
        <f t="shared" si="224"/>
        <v>专属强化石3</v>
      </c>
      <c r="FZ213" s="101">
        <f t="shared" si="225"/>
        <v>5</v>
      </c>
      <c r="GA213" s="101">
        <f t="shared" si="207"/>
        <v>0.02</v>
      </c>
      <c r="GB213" s="101">
        <f t="shared" si="208"/>
        <v>1</v>
      </c>
      <c r="GC213" s="101">
        <f t="shared" si="209"/>
        <v>62</v>
      </c>
      <c r="GD213" s="101">
        <f t="shared" si="210"/>
        <v>0</v>
      </c>
      <c r="GE213" s="101">
        <f t="shared" si="211"/>
        <v>1</v>
      </c>
      <c r="GF213" s="101">
        <f t="shared" si="212"/>
        <v>15</v>
      </c>
      <c r="GG213" s="101">
        <f t="shared" si="213"/>
        <v>1.2E-2</v>
      </c>
      <c r="GH213" s="101">
        <f t="shared" si="214"/>
        <v>1</v>
      </c>
      <c r="GI213" s="101">
        <f t="shared" si="215"/>
        <v>29</v>
      </c>
      <c r="GJ213" s="101">
        <f t="shared" si="216"/>
        <v>4.82E-2</v>
      </c>
      <c r="GK213" s="101">
        <f t="shared" si="217"/>
        <v>1</v>
      </c>
      <c r="GL213" s="101">
        <f t="shared" si="218"/>
        <v>62</v>
      </c>
    </row>
    <row r="214" spans="170:194" ht="16.5" x14ac:dyDescent="0.2">
      <c r="FN214" s="101">
        <v>209</v>
      </c>
      <c r="FO214" s="101">
        <f t="shared" ref="FO214:FO277" si="226">IF(FT214&gt;0,(FS214-1)*9+FT214,0)</f>
        <v>44</v>
      </c>
      <c r="FP214" s="101">
        <f t="shared" si="219"/>
        <v>3</v>
      </c>
      <c r="FQ214" s="14">
        <f t="shared" si="220"/>
        <v>4</v>
      </c>
      <c r="FR214" s="101" t="str">
        <f t="shared" ref="FR214:FR277" si="227">INDEX($FI$6:$FI$26,FP214)&amp;"专属武器-魂珠-"&amp;FS214&amp;" "&amp;FT214&amp;"级"</f>
        <v>典韦专属武器-魂珠-5 8级</v>
      </c>
      <c r="FS214" s="101">
        <f t="shared" ref="FS214:FS277" si="228">INT((FN214-(FP214-1)*80-1)/10)+1</f>
        <v>5</v>
      </c>
      <c r="FT214" s="101">
        <f t="shared" ref="FT214:FT277" si="229">FN214-(FP214-1)*80-(FS214-1)*10-1</f>
        <v>8</v>
      </c>
      <c r="FU214" s="101" t="str">
        <f t="shared" si="221"/>
        <v>金币</v>
      </c>
      <c r="FV214" s="139">
        <f>IF($FT214&gt;0,IF(INDEX($EI$6:$EI$77,$FO214)&gt;=FV$3,ROUND(INDEX(EK$6:EK$77,$FO214)*INDEX(卡牌消耗!$B$8:$F$8,FQ214)/5,0)*5,""),"")</f>
        <v>6350</v>
      </c>
      <c r="FW214" s="101" t="str">
        <f t="shared" si="222"/>
        <v>专属强化石2</v>
      </c>
      <c r="FX214" s="101">
        <f t="shared" si="223"/>
        <v>11</v>
      </c>
      <c r="FY214" s="101" t="str">
        <f t="shared" si="224"/>
        <v>专属强化石3</v>
      </c>
      <c r="FZ214" s="101">
        <f t="shared" si="225"/>
        <v>7</v>
      </c>
      <c r="GA214" s="101">
        <f t="shared" ref="GA214:GA277" si="230">IF($FT214&gt;0,INDEX(EP$6:EP$77,$FO214),"")</f>
        <v>0.02</v>
      </c>
      <c r="GB214" s="101">
        <f t="shared" ref="GB214:GB277" si="231">IF($FT214&gt;0,INDEX(EQ$6:EQ$77,$FO214),"")</f>
        <v>1</v>
      </c>
      <c r="GC214" s="101">
        <f t="shared" ref="GC214:GC277" si="232">IF($FT214&gt;0,INDEX(ER$6:ER$77,$FO214),"")</f>
        <v>72</v>
      </c>
      <c r="GD214" s="101">
        <f t="shared" ref="GD214:GD277" si="233">IF($FT214&gt;0,INDEX(EV$6:EV$77,$FO214),"")</f>
        <v>0</v>
      </c>
      <c r="GE214" s="101">
        <f t="shared" ref="GE214:GE277" si="234">IF($FT214&gt;0,INDEX(EW$6:EW$77,$FO214),"")</f>
        <v>1</v>
      </c>
      <c r="GF214" s="101">
        <f t="shared" ref="GF214:GF277" si="235">IF($FT214&gt;0,INDEX(EX$6:EX$77,$FO214),"")</f>
        <v>17</v>
      </c>
      <c r="GG214" s="101">
        <f t="shared" ref="GG214:GG277" si="236">IF($FT214&gt;0,INDEX(EY$6:EY$77,$FO214),"")</f>
        <v>1.04E-2</v>
      </c>
      <c r="GH214" s="101">
        <f t="shared" ref="GH214:GH277" si="237">IF($FT214&gt;0,INDEX(EZ$6:EZ$77,$FO214),"")</f>
        <v>1</v>
      </c>
      <c r="GI214" s="101">
        <f t="shared" ref="GI214:GI277" si="238">IF($FT214&gt;0,INDEX(FA$6:FA$77,$FO214),"")</f>
        <v>34</v>
      </c>
      <c r="GJ214" s="101">
        <f t="shared" ref="GJ214:GJ277" si="239">IF($FT214&gt;0,INDEX(FB$6:FB$77,$FO214),"")</f>
        <v>4.1700000000000001E-2</v>
      </c>
      <c r="GK214" s="101">
        <f t="shared" ref="GK214:GK277" si="240">IF($FT214&gt;0,INDEX(FC$6:FC$77,$FO214),"")</f>
        <v>1</v>
      </c>
      <c r="GL214" s="101">
        <f t="shared" ref="GL214:GL277" si="241">IF($FT214&gt;0,INDEX(FD$6:FD$77,$FO214),"")</f>
        <v>72</v>
      </c>
    </row>
    <row r="215" spans="170:194" ht="16.5" x14ac:dyDescent="0.2">
      <c r="FN215" s="101">
        <v>210</v>
      </c>
      <c r="FO215" s="101">
        <f t="shared" si="226"/>
        <v>45</v>
      </c>
      <c r="FP215" s="101">
        <f t="shared" si="219"/>
        <v>3</v>
      </c>
      <c r="FQ215" s="14">
        <f t="shared" si="220"/>
        <v>4</v>
      </c>
      <c r="FR215" s="101" t="str">
        <f t="shared" si="227"/>
        <v>典韦专属武器-魂珠-5 9级</v>
      </c>
      <c r="FS215" s="101">
        <f t="shared" si="228"/>
        <v>5</v>
      </c>
      <c r="FT215" s="101">
        <f t="shared" si="229"/>
        <v>9</v>
      </c>
      <c r="FU215" s="101" t="str">
        <f t="shared" si="221"/>
        <v>金币</v>
      </c>
      <c r="FV215" s="139">
        <f>IF($FT215&gt;0,IF(INDEX($EI$6:$EI$77,$FO215)&gt;=FV$3,ROUND(INDEX(EK$6:EK$77,$FO215)*INDEX(卡牌消耗!$B$8:$F$8,FQ215)/5,0)*5,""),"")</f>
        <v>8170</v>
      </c>
      <c r="FW215" s="101" t="str">
        <f t="shared" si="222"/>
        <v>专属强化石2</v>
      </c>
      <c r="FX215" s="101">
        <f t="shared" si="223"/>
        <v>14</v>
      </c>
      <c r="FY215" s="101" t="str">
        <f t="shared" si="224"/>
        <v>专属强化石3</v>
      </c>
      <c r="FZ215" s="101">
        <f t="shared" si="225"/>
        <v>9</v>
      </c>
      <c r="GA215" s="101">
        <f t="shared" si="230"/>
        <v>0.02</v>
      </c>
      <c r="GB215" s="101">
        <f t="shared" si="231"/>
        <v>1</v>
      </c>
      <c r="GC215" s="101">
        <f t="shared" si="232"/>
        <v>91</v>
      </c>
      <c r="GD215" s="101">
        <f t="shared" si="233"/>
        <v>0</v>
      </c>
      <c r="GE215" s="101">
        <f t="shared" si="234"/>
        <v>1</v>
      </c>
      <c r="GF215" s="101">
        <f t="shared" si="235"/>
        <v>21</v>
      </c>
      <c r="GG215" s="101">
        <f t="shared" si="236"/>
        <v>8.3000000000000001E-3</v>
      </c>
      <c r="GH215" s="101">
        <f t="shared" si="237"/>
        <v>1</v>
      </c>
      <c r="GI215" s="101">
        <f t="shared" si="238"/>
        <v>42</v>
      </c>
      <c r="GJ215" s="101">
        <f t="shared" si="239"/>
        <v>3.3099999999999997E-2</v>
      </c>
      <c r="GK215" s="101">
        <f t="shared" si="240"/>
        <v>1</v>
      </c>
      <c r="GL215" s="101">
        <f t="shared" si="241"/>
        <v>91</v>
      </c>
    </row>
    <row r="216" spans="170:194" ht="16.5" x14ac:dyDescent="0.2">
      <c r="FN216" s="101">
        <v>211</v>
      </c>
      <c r="FO216" s="101">
        <f t="shared" si="226"/>
        <v>0</v>
      </c>
      <c r="FP216" s="101">
        <f t="shared" si="219"/>
        <v>3</v>
      </c>
      <c r="FQ216" s="14">
        <f t="shared" si="220"/>
        <v>4</v>
      </c>
      <c r="FR216" s="101" t="str">
        <f t="shared" si="227"/>
        <v>典韦专属武器-魂珠-6 0级</v>
      </c>
      <c r="FS216" s="101">
        <f t="shared" si="228"/>
        <v>6</v>
      </c>
      <c r="FT216" s="101">
        <f t="shared" si="229"/>
        <v>0</v>
      </c>
      <c r="FU216" s="101" t="str">
        <f t="shared" si="221"/>
        <v/>
      </c>
      <c r="FV216" s="139" t="str">
        <f>IF($FT216&gt;0,IF(INDEX($EI$6:$EI$77,$FO216)&gt;=FV$3,ROUND(INDEX(EK$6:EK$77,$FO216)*INDEX(卡牌消耗!$B$8:$F$8,FQ216)/5,0)*5,""),"")</f>
        <v/>
      </c>
      <c r="FW216" s="101" t="str">
        <f t="shared" si="222"/>
        <v/>
      </c>
      <c r="FX216" s="101" t="str">
        <f t="shared" si="223"/>
        <v/>
      </c>
      <c r="FY216" s="101" t="str">
        <f t="shared" si="224"/>
        <v/>
      </c>
      <c r="FZ216" s="101" t="str">
        <f t="shared" si="225"/>
        <v/>
      </c>
      <c r="GA216" s="101" t="str">
        <f t="shared" si="230"/>
        <v/>
      </c>
      <c r="GB216" s="101" t="str">
        <f t="shared" si="231"/>
        <v/>
      </c>
      <c r="GC216" s="101" t="str">
        <f t="shared" si="232"/>
        <v/>
      </c>
      <c r="GD216" s="101" t="str">
        <f t="shared" si="233"/>
        <v/>
      </c>
      <c r="GE216" s="101" t="str">
        <f t="shared" si="234"/>
        <v/>
      </c>
      <c r="GF216" s="101" t="str">
        <f t="shared" si="235"/>
        <v/>
      </c>
      <c r="GG216" s="101" t="str">
        <f t="shared" si="236"/>
        <v/>
      </c>
      <c r="GH216" s="101" t="str">
        <f t="shared" si="237"/>
        <v/>
      </c>
      <c r="GI216" s="101" t="str">
        <f t="shared" si="238"/>
        <v/>
      </c>
      <c r="GJ216" s="101" t="str">
        <f t="shared" si="239"/>
        <v/>
      </c>
      <c r="GK216" s="101" t="str">
        <f t="shared" si="240"/>
        <v/>
      </c>
      <c r="GL216" s="101" t="str">
        <f t="shared" si="241"/>
        <v/>
      </c>
    </row>
    <row r="217" spans="170:194" ht="16.5" x14ac:dyDescent="0.2">
      <c r="FN217" s="101">
        <v>212</v>
      </c>
      <c r="FO217" s="101">
        <f t="shared" si="226"/>
        <v>46</v>
      </c>
      <c r="FP217" s="101">
        <f t="shared" si="219"/>
        <v>3</v>
      </c>
      <c r="FQ217" s="14">
        <f t="shared" si="220"/>
        <v>4</v>
      </c>
      <c r="FR217" s="101" t="str">
        <f t="shared" si="227"/>
        <v>典韦专属武器-魂珠-6 1级</v>
      </c>
      <c r="FS217" s="101">
        <f t="shared" si="228"/>
        <v>6</v>
      </c>
      <c r="FT217" s="101">
        <f t="shared" si="229"/>
        <v>1</v>
      </c>
      <c r="FU217" s="101" t="str">
        <f t="shared" si="221"/>
        <v>金币</v>
      </c>
      <c r="FV217" s="139">
        <f>IF($FT217&gt;0,IF(INDEX($EI$6:$EI$77,$FO217)&gt;=FV$3,ROUND(INDEX(EK$6:EK$77,$FO217)*INDEX(卡牌消耗!$B$8:$F$8,FQ217)/5,0)*5,""),"")</f>
        <v>2180</v>
      </c>
      <c r="FW217" s="101" t="str">
        <f t="shared" si="222"/>
        <v>专属强化石3</v>
      </c>
      <c r="FX217" s="101">
        <f t="shared" si="223"/>
        <v>5</v>
      </c>
      <c r="FY217" s="101" t="str">
        <f t="shared" si="224"/>
        <v>专属强化石4</v>
      </c>
      <c r="FZ217" s="101">
        <f t="shared" si="225"/>
        <v>1</v>
      </c>
      <c r="GA217" s="101">
        <f t="shared" si="230"/>
        <v>0.17</v>
      </c>
      <c r="GB217" s="101">
        <f t="shared" si="231"/>
        <v>1</v>
      </c>
      <c r="GC217" s="101">
        <f t="shared" si="232"/>
        <v>9</v>
      </c>
      <c r="GD217" s="101">
        <f t="shared" si="233"/>
        <v>0</v>
      </c>
      <c r="GE217" s="101">
        <f t="shared" si="234"/>
        <v>1</v>
      </c>
      <c r="GF217" s="101">
        <f t="shared" si="235"/>
        <v>2</v>
      </c>
      <c r="GG217" s="101">
        <f t="shared" si="236"/>
        <v>8.2900000000000001E-2</v>
      </c>
      <c r="GH217" s="101">
        <f t="shared" si="237"/>
        <v>1</v>
      </c>
      <c r="GI217" s="101">
        <f t="shared" si="238"/>
        <v>4</v>
      </c>
      <c r="GJ217" s="101">
        <f t="shared" si="239"/>
        <v>0.33139999999999997</v>
      </c>
      <c r="GK217" s="101">
        <f t="shared" si="240"/>
        <v>1</v>
      </c>
      <c r="GL217" s="101">
        <f t="shared" si="241"/>
        <v>9</v>
      </c>
    </row>
    <row r="218" spans="170:194" ht="16.5" x14ac:dyDescent="0.2">
      <c r="FN218" s="101">
        <v>213</v>
      </c>
      <c r="FO218" s="101">
        <f t="shared" si="226"/>
        <v>47</v>
      </c>
      <c r="FP218" s="101">
        <f t="shared" si="219"/>
        <v>3</v>
      </c>
      <c r="FQ218" s="14">
        <f t="shared" si="220"/>
        <v>4</v>
      </c>
      <c r="FR218" s="101" t="str">
        <f t="shared" si="227"/>
        <v>典韦专属武器-魂珠-6 2级</v>
      </c>
      <c r="FS218" s="101">
        <f t="shared" si="228"/>
        <v>6</v>
      </c>
      <c r="FT218" s="101">
        <f t="shared" si="229"/>
        <v>2</v>
      </c>
      <c r="FU218" s="101" t="str">
        <f t="shared" si="221"/>
        <v>金币</v>
      </c>
      <c r="FV218" s="139">
        <f>IF($FT218&gt;0,IF(INDEX($EI$6:$EI$77,$FO218)&gt;=FV$3,ROUND(INDEX(EK$6:EK$77,$FO218)*INDEX(卡牌消耗!$B$8:$F$8,FQ218)/5,0)*5,""),"")</f>
        <v>3270</v>
      </c>
      <c r="FW218" s="101" t="str">
        <f t="shared" si="222"/>
        <v>专属强化石3</v>
      </c>
      <c r="FX218" s="101">
        <f t="shared" si="223"/>
        <v>10</v>
      </c>
      <c r="FY218" s="101" t="str">
        <f t="shared" si="224"/>
        <v>专属强化石4</v>
      </c>
      <c r="FZ218" s="101">
        <f t="shared" si="225"/>
        <v>2</v>
      </c>
      <c r="GA218" s="101">
        <f t="shared" si="230"/>
        <v>0.17</v>
      </c>
      <c r="GB218" s="101">
        <f t="shared" si="231"/>
        <v>1</v>
      </c>
      <c r="GC218" s="101">
        <f t="shared" si="232"/>
        <v>9</v>
      </c>
      <c r="GD218" s="101">
        <f t="shared" si="233"/>
        <v>0</v>
      </c>
      <c r="GE218" s="101">
        <f t="shared" si="234"/>
        <v>1</v>
      </c>
      <c r="GF218" s="101">
        <f t="shared" si="235"/>
        <v>2</v>
      </c>
      <c r="GG218" s="101">
        <f t="shared" si="236"/>
        <v>8.2900000000000001E-2</v>
      </c>
      <c r="GH218" s="101">
        <f t="shared" si="237"/>
        <v>1</v>
      </c>
      <c r="GI218" s="101">
        <f t="shared" si="238"/>
        <v>4</v>
      </c>
      <c r="GJ218" s="101">
        <f t="shared" si="239"/>
        <v>0.33139999999999997</v>
      </c>
      <c r="GK218" s="101">
        <f t="shared" si="240"/>
        <v>1</v>
      </c>
      <c r="GL218" s="101">
        <f t="shared" si="241"/>
        <v>9</v>
      </c>
    </row>
    <row r="219" spans="170:194" ht="16.5" x14ac:dyDescent="0.2">
      <c r="FN219" s="101">
        <v>214</v>
      </c>
      <c r="FO219" s="101">
        <f t="shared" si="226"/>
        <v>48</v>
      </c>
      <c r="FP219" s="101">
        <f t="shared" si="219"/>
        <v>3</v>
      </c>
      <c r="FQ219" s="14">
        <f t="shared" si="220"/>
        <v>4</v>
      </c>
      <c r="FR219" s="101" t="str">
        <f t="shared" si="227"/>
        <v>典韦专属武器-魂珠-6 3级</v>
      </c>
      <c r="FS219" s="101">
        <f t="shared" si="228"/>
        <v>6</v>
      </c>
      <c r="FT219" s="101">
        <f t="shared" si="229"/>
        <v>3</v>
      </c>
      <c r="FU219" s="101" t="str">
        <f t="shared" si="221"/>
        <v>金币</v>
      </c>
      <c r="FV219" s="139">
        <f>IF($FT219&gt;0,IF(INDEX($EI$6:$EI$77,$FO219)&gt;=FV$3,ROUND(INDEX(EK$6:EK$77,$FO219)*INDEX(卡牌消耗!$B$8:$F$8,FQ219)/5,0)*5,""),"")</f>
        <v>3635</v>
      </c>
      <c r="FW219" s="101" t="str">
        <f t="shared" si="222"/>
        <v>专属强化石3</v>
      </c>
      <c r="FX219" s="101">
        <f t="shared" si="223"/>
        <v>10</v>
      </c>
      <c r="FY219" s="101" t="str">
        <f t="shared" si="224"/>
        <v>专属强化石4</v>
      </c>
      <c r="FZ219" s="101">
        <f t="shared" si="225"/>
        <v>2</v>
      </c>
      <c r="GA219" s="101">
        <f t="shared" si="230"/>
        <v>0.11</v>
      </c>
      <c r="GB219" s="101">
        <f t="shared" si="231"/>
        <v>1</v>
      </c>
      <c r="GC219" s="101">
        <f t="shared" si="232"/>
        <v>14</v>
      </c>
      <c r="GD219" s="101">
        <f t="shared" si="233"/>
        <v>0</v>
      </c>
      <c r="GE219" s="101">
        <f t="shared" si="234"/>
        <v>1</v>
      </c>
      <c r="GF219" s="101">
        <f t="shared" si="235"/>
        <v>3</v>
      </c>
      <c r="GG219" s="101">
        <f t="shared" si="236"/>
        <v>5.5199999999999999E-2</v>
      </c>
      <c r="GH219" s="101">
        <f t="shared" si="237"/>
        <v>1</v>
      </c>
      <c r="GI219" s="101">
        <f t="shared" si="238"/>
        <v>6</v>
      </c>
      <c r="GJ219" s="101">
        <f t="shared" si="239"/>
        <v>0.221</v>
      </c>
      <c r="GK219" s="101">
        <f t="shared" si="240"/>
        <v>1</v>
      </c>
      <c r="GL219" s="101">
        <f t="shared" si="241"/>
        <v>14</v>
      </c>
    </row>
    <row r="220" spans="170:194" ht="16.5" x14ac:dyDescent="0.2">
      <c r="FN220" s="101">
        <v>215</v>
      </c>
      <c r="FO220" s="101">
        <f t="shared" si="226"/>
        <v>49</v>
      </c>
      <c r="FP220" s="101">
        <f t="shared" si="219"/>
        <v>3</v>
      </c>
      <c r="FQ220" s="14">
        <f t="shared" si="220"/>
        <v>4</v>
      </c>
      <c r="FR220" s="101" t="str">
        <f t="shared" si="227"/>
        <v>典韦专属武器-魂珠-6 4级</v>
      </c>
      <c r="FS220" s="101">
        <f t="shared" si="228"/>
        <v>6</v>
      </c>
      <c r="FT220" s="101">
        <f t="shared" si="229"/>
        <v>4</v>
      </c>
      <c r="FU220" s="101" t="str">
        <f t="shared" si="221"/>
        <v>金币</v>
      </c>
      <c r="FV220" s="139">
        <f>IF($FT220&gt;0,IF(INDEX($EI$6:$EI$77,$FO220)&gt;=FV$3,ROUND(INDEX(EK$6:EK$77,$FO220)*INDEX(卡牌消耗!$B$8:$F$8,FQ220)/5,0)*5,""),"")</f>
        <v>5235</v>
      </c>
      <c r="FW220" s="101" t="str">
        <f t="shared" si="222"/>
        <v>专属强化石3</v>
      </c>
      <c r="FX220" s="101">
        <f t="shared" si="223"/>
        <v>15</v>
      </c>
      <c r="FY220" s="101" t="str">
        <f t="shared" si="224"/>
        <v>专属强化石4</v>
      </c>
      <c r="FZ220" s="101">
        <f t="shared" si="225"/>
        <v>3</v>
      </c>
      <c r="GA220" s="101">
        <f t="shared" si="230"/>
        <v>0.1</v>
      </c>
      <c r="GB220" s="101">
        <f t="shared" si="231"/>
        <v>1</v>
      </c>
      <c r="GC220" s="101">
        <f t="shared" si="232"/>
        <v>15</v>
      </c>
      <c r="GD220" s="101">
        <f t="shared" si="233"/>
        <v>0</v>
      </c>
      <c r="GE220" s="101">
        <f t="shared" si="234"/>
        <v>1</v>
      </c>
      <c r="GF220" s="101">
        <f t="shared" si="235"/>
        <v>4</v>
      </c>
      <c r="GG220" s="101">
        <f t="shared" si="236"/>
        <v>4.9700000000000001E-2</v>
      </c>
      <c r="GH220" s="101">
        <f t="shared" si="237"/>
        <v>1</v>
      </c>
      <c r="GI220" s="101">
        <f t="shared" si="238"/>
        <v>7</v>
      </c>
      <c r="GJ220" s="101">
        <f t="shared" si="239"/>
        <v>0.19889999999999999</v>
      </c>
      <c r="GK220" s="101">
        <f t="shared" si="240"/>
        <v>1</v>
      </c>
      <c r="GL220" s="101">
        <f t="shared" si="241"/>
        <v>15</v>
      </c>
    </row>
    <row r="221" spans="170:194" ht="16.5" x14ac:dyDescent="0.2">
      <c r="FN221" s="101">
        <v>216</v>
      </c>
      <c r="FO221" s="101">
        <f t="shared" si="226"/>
        <v>50</v>
      </c>
      <c r="FP221" s="101">
        <f t="shared" si="219"/>
        <v>3</v>
      </c>
      <c r="FQ221" s="14">
        <f t="shared" si="220"/>
        <v>4</v>
      </c>
      <c r="FR221" s="101" t="str">
        <f t="shared" si="227"/>
        <v>典韦专属武器-魂珠-6 5级</v>
      </c>
      <c r="FS221" s="101">
        <f t="shared" si="228"/>
        <v>6</v>
      </c>
      <c r="FT221" s="101">
        <f t="shared" si="229"/>
        <v>5</v>
      </c>
      <c r="FU221" s="101" t="str">
        <f t="shared" si="221"/>
        <v>金币</v>
      </c>
      <c r="FV221" s="139">
        <f>IF($FT221&gt;0,IF(INDEX($EI$6:$EI$77,$FO221)&gt;=FV$3,ROUND(INDEX(EK$6:EK$77,$FO221)*INDEX(卡牌消耗!$B$8:$F$8,FQ221)/5,0)*5,""),"")</f>
        <v>5315</v>
      </c>
      <c r="FW221" s="101" t="str">
        <f t="shared" si="222"/>
        <v>专属强化石3</v>
      </c>
      <c r="FX221" s="101">
        <f t="shared" si="223"/>
        <v>15</v>
      </c>
      <c r="FY221" s="101" t="str">
        <f t="shared" si="224"/>
        <v>专属强化石4</v>
      </c>
      <c r="FZ221" s="101">
        <f t="shared" si="225"/>
        <v>3</v>
      </c>
      <c r="GA221" s="101">
        <f t="shared" si="230"/>
        <v>0.06</v>
      </c>
      <c r="GB221" s="101">
        <f t="shared" si="231"/>
        <v>1</v>
      </c>
      <c r="GC221" s="101">
        <f t="shared" si="232"/>
        <v>24</v>
      </c>
      <c r="GD221" s="101">
        <f t="shared" si="233"/>
        <v>0</v>
      </c>
      <c r="GE221" s="101">
        <f t="shared" si="234"/>
        <v>1</v>
      </c>
      <c r="GF221" s="101">
        <f t="shared" si="235"/>
        <v>6</v>
      </c>
      <c r="GG221" s="101">
        <f t="shared" si="236"/>
        <v>3.1099999999999999E-2</v>
      </c>
      <c r="GH221" s="101">
        <f t="shared" si="237"/>
        <v>1</v>
      </c>
      <c r="GI221" s="101">
        <f t="shared" si="238"/>
        <v>11</v>
      </c>
      <c r="GJ221" s="101">
        <f t="shared" si="239"/>
        <v>0.12429999999999999</v>
      </c>
      <c r="GK221" s="101">
        <f t="shared" si="240"/>
        <v>1</v>
      </c>
      <c r="GL221" s="101">
        <f t="shared" si="241"/>
        <v>24</v>
      </c>
    </row>
    <row r="222" spans="170:194" ht="16.5" x14ac:dyDescent="0.2">
      <c r="FN222" s="101">
        <v>217</v>
      </c>
      <c r="FO222" s="101">
        <f t="shared" si="226"/>
        <v>51</v>
      </c>
      <c r="FP222" s="101">
        <f t="shared" si="219"/>
        <v>3</v>
      </c>
      <c r="FQ222" s="14">
        <f t="shared" si="220"/>
        <v>4</v>
      </c>
      <c r="FR222" s="101" t="str">
        <f t="shared" si="227"/>
        <v>典韦专属武器-魂珠-6 6级</v>
      </c>
      <c r="FS222" s="101">
        <f t="shared" si="228"/>
        <v>6</v>
      </c>
      <c r="FT222" s="101">
        <f t="shared" si="229"/>
        <v>6</v>
      </c>
      <c r="FU222" s="101" t="str">
        <f t="shared" si="221"/>
        <v>金币</v>
      </c>
      <c r="FV222" s="139">
        <f>IF($FT222&gt;0,IF(INDEX($EI$6:$EI$77,$FO222)&gt;=FV$3,ROUND(INDEX(EK$6:EK$77,$FO222)*INDEX(卡牌消耗!$B$8:$F$8,FQ222)/5,0)*5,""),"")</f>
        <v>7045</v>
      </c>
      <c r="FW222" s="101" t="str">
        <f t="shared" si="222"/>
        <v>专属强化石3</v>
      </c>
      <c r="FX222" s="101">
        <f t="shared" si="223"/>
        <v>20</v>
      </c>
      <c r="FY222" s="101" t="str">
        <f t="shared" si="224"/>
        <v>专属强化石4</v>
      </c>
      <c r="FZ222" s="101">
        <f t="shared" si="225"/>
        <v>4</v>
      </c>
      <c r="GA222" s="101">
        <f t="shared" si="230"/>
        <v>0.05</v>
      </c>
      <c r="GB222" s="101">
        <f t="shared" si="231"/>
        <v>1</v>
      </c>
      <c r="GC222" s="101">
        <f t="shared" si="232"/>
        <v>29</v>
      </c>
      <c r="GD222" s="101">
        <f t="shared" si="233"/>
        <v>0</v>
      </c>
      <c r="GE222" s="101">
        <f t="shared" si="234"/>
        <v>1</v>
      </c>
      <c r="GF222" s="101">
        <f t="shared" si="235"/>
        <v>7</v>
      </c>
      <c r="GG222" s="101">
        <f t="shared" si="236"/>
        <v>2.5499999999999998E-2</v>
      </c>
      <c r="GH222" s="101">
        <f t="shared" si="237"/>
        <v>1</v>
      </c>
      <c r="GI222" s="101">
        <f t="shared" si="238"/>
        <v>14</v>
      </c>
      <c r="GJ222" s="101">
        <f t="shared" si="239"/>
        <v>0.10199999999999999</v>
      </c>
      <c r="GK222" s="101">
        <f t="shared" si="240"/>
        <v>1</v>
      </c>
      <c r="GL222" s="101">
        <f t="shared" si="241"/>
        <v>29</v>
      </c>
    </row>
    <row r="223" spans="170:194" ht="16.5" x14ac:dyDescent="0.2">
      <c r="FN223" s="101">
        <v>218</v>
      </c>
      <c r="FO223" s="101">
        <f t="shared" si="226"/>
        <v>52</v>
      </c>
      <c r="FP223" s="101">
        <f t="shared" si="219"/>
        <v>3</v>
      </c>
      <c r="FQ223" s="14">
        <f t="shared" si="220"/>
        <v>4</v>
      </c>
      <c r="FR223" s="101" t="str">
        <f t="shared" si="227"/>
        <v>典韦专属武器-魂珠-6 7级</v>
      </c>
      <c r="FS223" s="101">
        <f t="shared" si="228"/>
        <v>6</v>
      </c>
      <c r="FT223" s="101">
        <f t="shared" si="229"/>
        <v>7</v>
      </c>
      <c r="FU223" s="101" t="str">
        <f t="shared" si="221"/>
        <v>金币</v>
      </c>
      <c r="FV223" s="139">
        <f>IF($FT223&gt;0,IF(INDEX($EI$6:$EI$77,$FO223)&gt;=FV$3,ROUND(INDEX(EK$6:EK$77,$FO223)*INDEX(卡牌消耗!$B$8:$F$8,FQ223)/5,0)*5,""),"")</f>
        <v>8830</v>
      </c>
      <c r="FW223" s="101" t="str">
        <f t="shared" si="222"/>
        <v>专属强化石3</v>
      </c>
      <c r="FX223" s="101">
        <f t="shared" si="223"/>
        <v>25</v>
      </c>
      <c r="FY223" s="101" t="str">
        <f t="shared" si="224"/>
        <v>专属强化石4</v>
      </c>
      <c r="FZ223" s="101">
        <f t="shared" si="225"/>
        <v>5</v>
      </c>
      <c r="GA223" s="101">
        <f t="shared" si="230"/>
        <v>0.04</v>
      </c>
      <c r="GB223" s="101">
        <f t="shared" si="231"/>
        <v>1</v>
      </c>
      <c r="GC223" s="101">
        <f t="shared" si="232"/>
        <v>38</v>
      </c>
      <c r="GD223" s="101">
        <f t="shared" si="233"/>
        <v>0</v>
      </c>
      <c r="GE223" s="101">
        <f t="shared" si="234"/>
        <v>1</v>
      </c>
      <c r="GF223" s="101">
        <f t="shared" si="235"/>
        <v>9</v>
      </c>
      <c r="GG223" s="101">
        <f t="shared" si="236"/>
        <v>1.9699999999999999E-2</v>
      </c>
      <c r="GH223" s="101">
        <f t="shared" si="237"/>
        <v>1</v>
      </c>
      <c r="GI223" s="101">
        <f t="shared" si="238"/>
        <v>18</v>
      </c>
      <c r="GJ223" s="101">
        <f t="shared" si="239"/>
        <v>7.8899999999999998E-2</v>
      </c>
      <c r="GK223" s="101">
        <f t="shared" si="240"/>
        <v>1</v>
      </c>
      <c r="GL223" s="101">
        <f t="shared" si="241"/>
        <v>38</v>
      </c>
    </row>
    <row r="224" spans="170:194" ht="16.5" x14ac:dyDescent="0.2">
      <c r="FN224" s="101">
        <v>219</v>
      </c>
      <c r="FO224" s="101">
        <f t="shared" si="226"/>
        <v>53</v>
      </c>
      <c r="FP224" s="101">
        <f t="shared" si="219"/>
        <v>3</v>
      </c>
      <c r="FQ224" s="14">
        <f t="shared" si="220"/>
        <v>4</v>
      </c>
      <c r="FR224" s="101" t="str">
        <f t="shared" si="227"/>
        <v>典韦专属武器-魂珠-6 8级</v>
      </c>
      <c r="FS224" s="101">
        <f t="shared" si="228"/>
        <v>6</v>
      </c>
      <c r="FT224" s="101">
        <f t="shared" si="229"/>
        <v>8</v>
      </c>
      <c r="FU224" s="101" t="str">
        <f t="shared" si="221"/>
        <v>金币</v>
      </c>
      <c r="FV224" s="139">
        <f>IF($FT224&gt;0,IF(INDEX($EI$6:$EI$77,$FO224)&gt;=FV$3,ROUND(INDEX(EK$6:EK$77,$FO224)*INDEX(卡牌消耗!$B$8:$F$8,FQ224)/5,0)*5,""),"")</f>
        <v>12350</v>
      </c>
      <c r="FW224" s="101" t="str">
        <f t="shared" si="222"/>
        <v>专属强化石3</v>
      </c>
      <c r="FX224" s="101">
        <f t="shared" si="223"/>
        <v>35</v>
      </c>
      <c r="FY224" s="101" t="str">
        <f t="shared" si="224"/>
        <v>专属强化石4</v>
      </c>
      <c r="FZ224" s="101">
        <f t="shared" si="225"/>
        <v>7</v>
      </c>
      <c r="GA224" s="101">
        <f t="shared" si="230"/>
        <v>0.03</v>
      </c>
      <c r="GB224" s="101">
        <f t="shared" si="231"/>
        <v>1</v>
      </c>
      <c r="GC224" s="101">
        <f t="shared" si="232"/>
        <v>44</v>
      </c>
      <c r="GD224" s="101">
        <f t="shared" si="233"/>
        <v>0</v>
      </c>
      <c r="GE224" s="101">
        <f t="shared" si="234"/>
        <v>1</v>
      </c>
      <c r="GF224" s="101">
        <f t="shared" si="235"/>
        <v>10</v>
      </c>
      <c r="GG224" s="101">
        <f t="shared" si="236"/>
        <v>1.7100000000000001E-2</v>
      </c>
      <c r="GH224" s="101">
        <f t="shared" si="237"/>
        <v>1</v>
      </c>
      <c r="GI224" s="101">
        <f t="shared" si="238"/>
        <v>21</v>
      </c>
      <c r="GJ224" s="101">
        <f t="shared" si="239"/>
        <v>6.8199999999999997E-2</v>
      </c>
      <c r="GK224" s="101">
        <f t="shared" si="240"/>
        <v>1</v>
      </c>
      <c r="GL224" s="101">
        <f t="shared" si="241"/>
        <v>44</v>
      </c>
    </row>
    <row r="225" spans="170:194" ht="16.5" x14ac:dyDescent="0.2">
      <c r="FN225" s="101">
        <v>220</v>
      </c>
      <c r="FO225" s="101">
        <f t="shared" si="226"/>
        <v>54</v>
      </c>
      <c r="FP225" s="101">
        <f t="shared" si="219"/>
        <v>3</v>
      </c>
      <c r="FQ225" s="14">
        <f t="shared" si="220"/>
        <v>4</v>
      </c>
      <c r="FR225" s="101" t="str">
        <f t="shared" si="227"/>
        <v>典韦专属武器-魂珠-6 9级</v>
      </c>
      <c r="FS225" s="101">
        <f t="shared" si="228"/>
        <v>6</v>
      </c>
      <c r="FT225" s="101">
        <f t="shared" si="229"/>
        <v>9</v>
      </c>
      <c r="FU225" s="101" t="str">
        <f t="shared" si="221"/>
        <v>金币</v>
      </c>
      <c r="FV225" s="139">
        <f>IF($FT225&gt;0,IF(INDEX($EI$6:$EI$77,$FO225)&gt;=FV$3,ROUND(INDEX(EK$6:EK$77,$FO225)*INDEX(卡牌消耗!$B$8:$F$8,FQ225)/5,0)*5,""),"")</f>
        <v>14120</v>
      </c>
      <c r="FW225" s="101" t="str">
        <f t="shared" si="222"/>
        <v>专属强化石3</v>
      </c>
      <c r="FX225" s="101">
        <f t="shared" si="223"/>
        <v>40</v>
      </c>
      <c r="FY225" s="101" t="str">
        <f t="shared" si="224"/>
        <v>专属强化石4</v>
      </c>
      <c r="FZ225" s="101">
        <f t="shared" si="225"/>
        <v>8</v>
      </c>
      <c r="GA225" s="101">
        <f t="shared" si="230"/>
        <v>0.02</v>
      </c>
      <c r="GB225" s="101">
        <f t="shared" si="231"/>
        <v>1</v>
      </c>
      <c r="GC225" s="101">
        <f t="shared" si="232"/>
        <v>62</v>
      </c>
      <c r="GD225" s="101">
        <f t="shared" si="233"/>
        <v>0</v>
      </c>
      <c r="GE225" s="101">
        <f t="shared" si="234"/>
        <v>1</v>
      </c>
      <c r="GF225" s="101">
        <f t="shared" si="235"/>
        <v>15</v>
      </c>
      <c r="GG225" s="101">
        <f t="shared" si="236"/>
        <v>1.21E-2</v>
      </c>
      <c r="GH225" s="101">
        <f t="shared" si="237"/>
        <v>1</v>
      </c>
      <c r="GI225" s="101">
        <f t="shared" si="238"/>
        <v>29</v>
      </c>
      <c r="GJ225" s="101">
        <f t="shared" si="239"/>
        <v>4.82E-2</v>
      </c>
      <c r="GK225" s="101">
        <f t="shared" si="240"/>
        <v>1</v>
      </c>
      <c r="GL225" s="101">
        <f t="shared" si="241"/>
        <v>62</v>
      </c>
    </row>
    <row r="226" spans="170:194" ht="16.5" x14ac:dyDescent="0.2">
      <c r="FN226" s="101">
        <v>221</v>
      </c>
      <c r="FO226" s="101">
        <f t="shared" si="226"/>
        <v>0</v>
      </c>
      <c r="FP226" s="101">
        <f t="shared" si="219"/>
        <v>3</v>
      </c>
      <c r="FQ226" s="14">
        <f t="shared" si="220"/>
        <v>4</v>
      </c>
      <c r="FR226" s="101" t="str">
        <f t="shared" si="227"/>
        <v>典韦专属武器-魂珠-7 0级</v>
      </c>
      <c r="FS226" s="101">
        <f t="shared" si="228"/>
        <v>7</v>
      </c>
      <c r="FT226" s="101">
        <f t="shared" si="229"/>
        <v>0</v>
      </c>
      <c r="FU226" s="101" t="str">
        <f t="shared" si="221"/>
        <v/>
      </c>
      <c r="FV226" s="139" t="str">
        <f>IF($FT226&gt;0,IF(INDEX($EI$6:$EI$77,$FO226)&gt;=FV$3,ROUND(INDEX(EK$6:EK$77,$FO226)*INDEX(卡牌消耗!$B$8:$F$8,FQ226)/5,0)*5,""),"")</f>
        <v/>
      </c>
      <c r="FW226" s="101" t="str">
        <f t="shared" si="222"/>
        <v/>
      </c>
      <c r="FX226" s="101" t="str">
        <f t="shared" si="223"/>
        <v/>
      </c>
      <c r="FY226" s="101" t="str">
        <f t="shared" si="224"/>
        <v/>
      </c>
      <c r="FZ226" s="101" t="str">
        <f t="shared" si="225"/>
        <v/>
      </c>
      <c r="GA226" s="101" t="str">
        <f t="shared" si="230"/>
        <v/>
      </c>
      <c r="GB226" s="101" t="str">
        <f t="shared" si="231"/>
        <v/>
      </c>
      <c r="GC226" s="101" t="str">
        <f t="shared" si="232"/>
        <v/>
      </c>
      <c r="GD226" s="101" t="str">
        <f t="shared" si="233"/>
        <v/>
      </c>
      <c r="GE226" s="101" t="str">
        <f t="shared" si="234"/>
        <v/>
      </c>
      <c r="GF226" s="101" t="str">
        <f t="shared" si="235"/>
        <v/>
      </c>
      <c r="GG226" s="101" t="str">
        <f t="shared" si="236"/>
        <v/>
      </c>
      <c r="GH226" s="101" t="str">
        <f t="shared" si="237"/>
        <v/>
      </c>
      <c r="GI226" s="101" t="str">
        <f t="shared" si="238"/>
        <v/>
      </c>
      <c r="GJ226" s="101" t="str">
        <f t="shared" si="239"/>
        <v/>
      </c>
      <c r="GK226" s="101" t="str">
        <f t="shared" si="240"/>
        <v/>
      </c>
      <c r="GL226" s="101" t="str">
        <f t="shared" si="241"/>
        <v/>
      </c>
    </row>
    <row r="227" spans="170:194" ht="16.5" x14ac:dyDescent="0.2">
      <c r="FN227" s="101">
        <v>222</v>
      </c>
      <c r="FO227" s="101">
        <f t="shared" si="226"/>
        <v>55</v>
      </c>
      <c r="FP227" s="101">
        <f t="shared" si="219"/>
        <v>3</v>
      </c>
      <c r="FQ227" s="14">
        <f t="shared" si="220"/>
        <v>4</v>
      </c>
      <c r="FR227" s="101" t="str">
        <f t="shared" si="227"/>
        <v>典韦专属武器-魂珠-7 1级</v>
      </c>
      <c r="FS227" s="101">
        <f t="shared" si="228"/>
        <v>7</v>
      </c>
      <c r="FT227" s="101">
        <f t="shared" si="229"/>
        <v>1</v>
      </c>
      <c r="FU227" s="101" t="str">
        <f t="shared" si="221"/>
        <v>金币</v>
      </c>
      <c r="FV227" s="139">
        <f>IF($FT227&gt;0,IF(INDEX($EI$6:$EI$77,$FO227)&gt;=FV$3,ROUND(INDEX(EK$6:EK$77,$FO227)*INDEX(卡牌消耗!$B$8:$F$8,FQ227)/5,0)*5,""),"")</f>
        <v>18130</v>
      </c>
      <c r="FW227" s="101" t="str">
        <f t="shared" si="222"/>
        <v>专属强化石3</v>
      </c>
      <c r="FX227" s="101">
        <f t="shared" si="223"/>
        <v>6</v>
      </c>
      <c r="FY227" s="101" t="str">
        <f t="shared" si="224"/>
        <v>专属强化石4</v>
      </c>
      <c r="FZ227" s="101">
        <f t="shared" si="225"/>
        <v>2</v>
      </c>
      <c r="GA227" s="101">
        <f t="shared" si="230"/>
        <v>0.2</v>
      </c>
      <c r="GB227" s="101">
        <f t="shared" si="231"/>
        <v>1</v>
      </c>
      <c r="GC227" s="101">
        <f t="shared" si="232"/>
        <v>8</v>
      </c>
      <c r="GD227" s="101">
        <f t="shared" si="233"/>
        <v>0</v>
      </c>
      <c r="GE227" s="101">
        <f t="shared" si="234"/>
        <v>1</v>
      </c>
      <c r="GF227" s="101">
        <f t="shared" si="235"/>
        <v>2</v>
      </c>
      <c r="GG227" s="101">
        <f t="shared" si="236"/>
        <v>9.9400000000000002E-2</v>
      </c>
      <c r="GH227" s="101">
        <f t="shared" si="237"/>
        <v>1</v>
      </c>
      <c r="GI227" s="101">
        <f t="shared" si="238"/>
        <v>4</v>
      </c>
      <c r="GJ227" s="101">
        <f t="shared" si="239"/>
        <v>0.3977</v>
      </c>
      <c r="GK227" s="101">
        <f t="shared" si="240"/>
        <v>1</v>
      </c>
      <c r="GL227" s="101">
        <f t="shared" si="241"/>
        <v>8</v>
      </c>
    </row>
    <row r="228" spans="170:194" ht="16.5" x14ac:dyDescent="0.2">
      <c r="FN228" s="101">
        <v>223</v>
      </c>
      <c r="FO228" s="101">
        <f t="shared" si="226"/>
        <v>56</v>
      </c>
      <c r="FP228" s="101">
        <f t="shared" si="219"/>
        <v>3</v>
      </c>
      <c r="FQ228" s="14">
        <f t="shared" si="220"/>
        <v>4</v>
      </c>
      <c r="FR228" s="101" t="str">
        <f t="shared" si="227"/>
        <v>典韦专属武器-魂珠-7 2级</v>
      </c>
      <c r="FS228" s="101">
        <f t="shared" si="228"/>
        <v>7</v>
      </c>
      <c r="FT228" s="101">
        <f t="shared" si="229"/>
        <v>2</v>
      </c>
      <c r="FU228" s="101" t="str">
        <f t="shared" si="221"/>
        <v>金币</v>
      </c>
      <c r="FV228" s="139">
        <f>IF($FT228&gt;0,IF(INDEX($EI$6:$EI$77,$FO228)&gt;=FV$3,ROUND(INDEX(EK$6:EK$77,$FO228)*INDEX(卡牌消耗!$B$8:$F$8,FQ228)/5,0)*5,""),"")</f>
        <v>13600</v>
      </c>
      <c r="FW228" s="101" t="str">
        <f t="shared" si="222"/>
        <v>专属强化石3</v>
      </c>
      <c r="FX228" s="101">
        <f t="shared" si="223"/>
        <v>6</v>
      </c>
      <c r="FY228" s="101" t="str">
        <f t="shared" si="224"/>
        <v>专属强化石4</v>
      </c>
      <c r="FZ228" s="101">
        <f t="shared" si="225"/>
        <v>2</v>
      </c>
      <c r="GA228" s="101">
        <f t="shared" si="230"/>
        <v>0.1</v>
      </c>
      <c r="GB228" s="101">
        <f t="shared" si="231"/>
        <v>1</v>
      </c>
      <c r="GC228" s="101">
        <f t="shared" si="232"/>
        <v>15</v>
      </c>
      <c r="GD228" s="101">
        <f t="shared" si="233"/>
        <v>0</v>
      </c>
      <c r="GE228" s="101">
        <f t="shared" si="234"/>
        <v>1</v>
      </c>
      <c r="GF228" s="101">
        <f t="shared" si="235"/>
        <v>4</v>
      </c>
      <c r="GG228" s="101">
        <f t="shared" si="236"/>
        <v>4.9700000000000001E-2</v>
      </c>
      <c r="GH228" s="101">
        <f t="shared" si="237"/>
        <v>1</v>
      </c>
      <c r="GI228" s="101">
        <f t="shared" si="238"/>
        <v>7</v>
      </c>
      <c r="GJ228" s="101">
        <f t="shared" si="239"/>
        <v>0.19889999999999999</v>
      </c>
      <c r="GK228" s="101">
        <f t="shared" si="240"/>
        <v>1</v>
      </c>
      <c r="GL228" s="101">
        <f t="shared" si="241"/>
        <v>15</v>
      </c>
    </row>
    <row r="229" spans="170:194" ht="16.5" x14ac:dyDescent="0.2">
      <c r="FN229" s="101">
        <v>224</v>
      </c>
      <c r="FO229" s="101">
        <f t="shared" si="226"/>
        <v>57</v>
      </c>
      <c r="FP229" s="101">
        <f t="shared" si="219"/>
        <v>3</v>
      </c>
      <c r="FQ229" s="14">
        <f t="shared" si="220"/>
        <v>4</v>
      </c>
      <c r="FR229" s="101" t="str">
        <f t="shared" si="227"/>
        <v>典韦专属武器-魂珠-7 3级</v>
      </c>
      <c r="FS229" s="101">
        <f t="shared" si="228"/>
        <v>7</v>
      </c>
      <c r="FT229" s="101">
        <f t="shared" si="229"/>
        <v>3</v>
      </c>
      <c r="FU229" s="101" t="str">
        <f t="shared" si="221"/>
        <v>金币</v>
      </c>
      <c r="FV229" s="139">
        <f>IF($FT229&gt;0,IF(INDEX($EI$6:$EI$77,$FO229)&gt;=FV$3,ROUND(INDEX(EK$6:EK$77,$FO229)*INDEX(卡牌消耗!$B$8:$F$8,FQ229)/5,0)*5,""),"")</f>
        <v>22665</v>
      </c>
      <c r="FW229" s="101" t="str">
        <f t="shared" si="222"/>
        <v>专属强化石3</v>
      </c>
      <c r="FX229" s="101">
        <f t="shared" si="223"/>
        <v>9</v>
      </c>
      <c r="FY229" s="101" t="str">
        <f t="shared" si="224"/>
        <v>专属强化石4</v>
      </c>
      <c r="FZ229" s="101">
        <f t="shared" si="225"/>
        <v>3</v>
      </c>
      <c r="GA229" s="101">
        <f t="shared" si="230"/>
        <v>0.1</v>
      </c>
      <c r="GB229" s="101">
        <f t="shared" si="231"/>
        <v>1</v>
      </c>
      <c r="GC229" s="101">
        <f t="shared" si="232"/>
        <v>15</v>
      </c>
      <c r="GD229" s="101">
        <f t="shared" si="233"/>
        <v>0</v>
      </c>
      <c r="GE229" s="101">
        <f t="shared" si="234"/>
        <v>1</v>
      </c>
      <c r="GF229" s="101">
        <f t="shared" si="235"/>
        <v>4</v>
      </c>
      <c r="GG229" s="101">
        <f t="shared" si="236"/>
        <v>4.9700000000000001E-2</v>
      </c>
      <c r="GH229" s="101">
        <f t="shared" si="237"/>
        <v>1</v>
      </c>
      <c r="GI229" s="101">
        <f t="shared" si="238"/>
        <v>7</v>
      </c>
      <c r="GJ229" s="101">
        <f t="shared" si="239"/>
        <v>0.19889999999999999</v>
      </c>
      <c r="GK229" s="101">
        <f t="shared" si="240"/>
        <v>1</v>
      </c>
      <c r="GL229" s="101">
        <f t="shared" si="241"/>
        <v>15</v>
      </c>
    </row>
    <row r="230" spans="170:194" ht="16.5" x14ac:dyDescent="0.2">
      <c r="FN230" s="101">
        <v>225</v>
      </c>
      <c r="FO230" s="101">
        <f t="shared" si="226"/>
        <v>58</v>
      </c>
      <c r="FP230" s="101">
        <f t="shared" si="219"/>
        <v>3</v>
      </c>
      <c r="FQ230" s="14">
        <f t="shared" si="220"/>
        <v>4</v>
      </c>
      <c r="FR230" s="101" t="str">
        <f t="shared" si="227"/>
        <v>典韦专属武器-魂珠-7 4级</v>
      </c>
      <c r="FS230" s="101">
        <f t="shared" si="228"/>
        <v>7</v>
      </c>
      <c r="FT230" s="101">
        <f t="shared" si="229"/>
        <v>4</v>
      </c>
      <c r="FU230" s="101" t="str">
        <f t="shared" si="221"/>
        <v>金币</v>
      </c>
      <c r="FV230" s="139">
        <f>IF($FT230&gt;0,IF(INDEX($EI$6:$EI$77,$FO230)&gt;=FV$3,ROUND(INDEX(EK$6:EK$77,$FO230)*INDEX(卡牌消耗!$B$8:$F$8,FQ230)/5,0)*5,""),"")</f>
        <v>29010</v>
      </c>
      <c r="FW230" s="101" t="str">
        <f t="shared" si="222"/>
        <v>专属强化石3</v>
      </c>
      <c r="FX230" s="101">
        <f t="shared" si="223"/>
        <v>12</v>
      </c>
      <c r="FY230" s="101" t="str">
        <f t="shared" si="224"/>
        <v>专属强化石4</v>
      </c>
      <c r="FZ230" s="101">
        <f t="shared" si="225"/>
        <v>4</v>
      </c>
      <c r="GA230" s="101">
        <f t="shared" si="230"/>
        <v>0.08</v>
      </c>
      <c r="GB230" s="101">
        <f t="shared" si="231"/>
        <v>1</v>
      </c>
      <c r="GC230" s="101">
        <f t="shared" si="232"/>
        <v>19</v>
      </c>
      <c r="GD230" s="101">
        <f t="shared" si="233"/>
        <v>0</v>
      </c>
      <c r="GE230" s="101">
        <f t="shared" si="234"/>
        <v>1</v>
      </c>
      <c r="GF230" s="101">
        <f t="shared" si="235"/>
        <v>4</v>
      </c>
      <c r="GG230" s="101">
        <f t="shared" si="236"/>
        <v>3.9800000000000002E-2</v>
      </c>
      <c r="GH230" s="101">
        <f t="shared" si="237"/>
        <v>1</v>
      </c>
      <c r="GI230" s="101">
        <f t="shared" si="238"/>
        <v>9</v>
      </c>
      <c r="GJ230" s="101">
        <f t="shared" si="239"/>
        <v>0.15909999999999999</v>
      </c>
      <c r="GK230" s="101">
        <f t="shared" si="240"/>
        <v>1</v>
      </c>
      <c r="GL230" s="101">
        <f t="shared" si="241"/>
        <v>19</v>
      </c>
    </row>
    <row r="231" spans="170:194" ht="16.5" x14ac:dyDescent="0.2">
      <c r="FN231" s="101">
        <v>226</v>
      </c>
      <c r="FO231" s="101">
        <f t="shared" si="226"/>
        <v>59</v>
      </c>
      <c r="FP231" s="101">
        <f t="shared" si="219"/>
        <v>3</v>
      </c>
      <c r="FQ231" s="14">
        <f t="shared" si="220"/>
        <v>4</v>
      </c>
      <c r="FR231" s="101" t="str">
        <f t="shared" si="227"/>
        <v>典韦专属武器-魂珠-7 5级</v>
      </c>
      <c r="FS231" s="101">
        <f t="shared" si="228"/>
        <v>7</v>
      </c>
      <c r="FT231" s="101">
        <f t="shared" si="229"/>
        <v>5</v>
      </c>
      <c r="FU231" s="101" t="str">
        <f t="shared" si="221"/>
        <v>金币</v>
      </c>
      <c r="FV231" s="139">
        <f>IF($FT231&gt;0,IF(INDEX($EI$6:$EI$77,$FO231)&gt;=FV$3,ROUND(INDEX(EK$6:EK$77,$FO231)*INDEX(卡牌消耗!$B$8:$F$8,FQ231)/5,0)*5,""),"")</f>
        <v>29465</v>
      </c>
      <c r="FW231" s="101" t="str">
        <f t="shared" si="222"/>
        <v>专属强化石3</v>
      </c>
      <c r="FX231" s="101">
        <f t="shared" si="223"/>
        <v>12</v>
      </c>
      <c r="FY231" s="101" t="str">
        <f t="shared" si="224"/>
        <v>专属强化石4</v>
      </c>
      <c r="FZ231" s="101">
        <f t="shared" si="225"/>
        <v>4</v>
      </c>
      <c r="GA231" s="101">
        <f t="shared" si="230"/>
        <v>0.05</v>
      </c>
      <c r="GB231" s="101">
        <f t="shared" si="231"/>
        <v>1</v>
      </c>
      <c r="GC231" s="101">
        <f t="shared" si="232"/>
        <v>30</v>
      </c>
      <c r="GD231" s="101">
        <f t="shared" si="233"/>
        <v>0</v>
      </c>
      <c r="GE231" s="101">
        <f t="shared" si="234"/>
        <v>1</v>
      </c>
      <c r="GF231" s="101">
        <f t="shared" si="235"/>
        <v>7</v>
      </c>
      <c r="GG231" s="101">
        <f t="shared" si="236"/>
        <v>2.4899999999999999E-2</v>
      </c>
      <c r="GH231" s="101">
        <f t="shared" si="237"/>
        <v>1</v>
      </c>
      <c r="GI231" s="101">
        <f t="shared" si="238"/>
        <v>14</v>
      </c>
      <c r="GJ231" s="101">
        <f t="shared" si="239"/>
        <v>9.9400000000000002E-2</v>
      </c>
      <c r="GK231" s="101">
        <f t="shared" si="240"/>
        <v>1</v>
      </c>
      <c r="GL231" s="101">
        <f t="shared" si="241"/>
        <v>30</v>
      </c>
    </row>
    <row r="232" spans="170:194" ht="16.5" x14ac:dyDescent="0.2">
      <c r="FN232" s="101">
        <v>227</v>
      </c>
      <c r="FO232" s="101">
        <f t="shared" si="226"/>
        <v>60</v>
      </c>
      <c r="FP232" s="101">
        <f t="shared" si="219"/>
        <v>3</v>
      </c>
      <c r="FQ232" s="14">
        <f t="shared" si="220"/>
        <v>4</v>
      </c>
      <c r="FR232" s="101" t="str">
        <f t="shared" si="227"/>
        <v>典韦专属武器-魂珠-7 6级</v>
      </c>
      <c r="FS232" s="101">
        <f t="shared" si="228"/>
        <v>7</v>
      </c>
      <c r="FT232" s="101">
        <f t="shared" si="229"/>
        <v>6</v>
      </c>
      <c r="FU232" s="101" t="str">
        <f t="shared" si="221"/>
        <v>金币</v>
      </c>
      <c r="FV232" s="139">
        <f>IF($FT232&gt;0,IF(INDEX($EI$6:$EI$77,$FO232)&gt;=FV$3,ROUND(INDEX(EK$6:EK$77,$FO232)*INDEX(卡牌消耗!$B$8:$F$8,FQ232)/5,0)*5,""),"")</f>
        <v>36610</v>
      </c>
      <c r="FW232" s="101" t="str">
        <f t="shared" si="222"/>
        <v>专属强化石3</v>
      </c>
      <c r="FX232" s="101">
        <f t="shared" si="223"/>
        <v>15</v>
      </c>
      <c r="FY232" s="101" t="str">
        <f t="shared" si="224"/>
        <v>专属强化石4</v>
      </c>
      <c r="FZ232" s="101">
        <f t="shared" si="225"/>
        <v>5</v>
      </c>
      <c r="GA232" s="101">
        <f t="shared" si="230"/>
        <v>0.04</v>
      </c>
      <c r="GB232" s="101">
        <f t="shared" si="231"/>
        <v>1</v>
      </c>
      <c r="GC232" s="101">
        <f t="shared" si="232"/>
        <v>39</v>
      </c>
      <c r="GD232" s="101">
        <f t="shared" si="233"/>
        <v>0</v>
      </c>
      <c r="GE232" s="101">
        <f t="shared" si="234"/>
        <v>1</v>
      </c>
      <c r="GF232" s="101">
        <f t="shared" si="235"/>
        <v>9</v>
      </c>
      <c r="GG232" s="101">
        <f t="shared" si="236"/>
        <v>1.9099999999999999E-2</v>
      </c>
      <c r="GH232" s="101">
        <f t="shared" si="237"/>
        <v>1</v>
      </c>
      <c r="GI232" s="101">
        <f t="shared" si="238"/>
        <v>18</v>
      </c>
      <c r="GJ232" s="101">
        <f t="shared" si="239"/>
        <v>7.6499999999999999E-2</v>
      </c>
      <c r="GK232" s="101">
        <f t="shared" si="240"/>
        <v>1</v>
      </c>
      <c r="GL232" s="101">
        <f t="shared" si="241"/>
        <v>39</v>
      </c>
    </row>
    <row r="233" spans="170:194" ht="16.5" x14ac:dyDescent="0.2">
      <c r="FN233" s="101">
        <v>228</v>
      </c>
      <c r="FO233" s="101">
        <f t="shared" si="226"/>
        <v>61</v>
      </c>
      <c r="FP233" s="101">
        <f t="shared" si="219"/>
        <v>3</v>
      </c>
      <c r="FQ233" s="14">
        <f t="shared" si="220"/>
        <v>4</v>
      </c>
      <c r="FR233" s="101" t="str">
        <f t="shared" si="227"/>
        <v>典韦专属武器-魂珠-7 7级</v>
      </c>
      <c r="FS233" s="101">
        <f t="shared" si="228"/>
        <v>7</v>
      </c>
      <c r="FT233" s="101">
        <f t="shared" si="229"/>
        <v>7</v>
      </c>
      <c r="FU233" s="101" t="str">
        <f t="shared" si="221"/>
        <v>金币</v>
      </c>
      <c r="FV233" s="139">
        <f>IF($FT233&gt;0,IF(INDEX($EI$6:$EI$77,$FO233)&gt;=FV$3,ROUND(INDEX(EK$6:EK$77,$FO233)*INDEX(卡牌消耗!$B$8:$F$8,FQ233)/5,0)*5,""),"")</f>
        <v>51370</v>
      </c>
      <c r="FW233" s="101" t="str">
        <f t="shared" si="222"/>
        <v>专属强化石3</v>
      </c>
      <c r="FX233" s="101">
        <f t="shared" si="223"/>
        <v>21</v>
      </c>
      <c r="FY233" s="101" t="str">
        <f t="shared" si="224"/>
        <v>专属强化石4</v>
      </c>
      <c r="FZ233" s="101">
        <f t="shared" si="225"/>
        <v>7</v>
      </c>
      <c r="GA233" s="101">
        <f t="shared" si="230"/>
        <v>0.03</v>
      </c>
      <c r="GB233" s="101">
        <f t="shared" si="231"/>
        <v>1</v>
      </c>
      <c r="GC233" s="101">
        <f t="shared" si="232"/>
        <v>45</v>
      </c>
      <c r="GD233" s="101">
        <f t="shared" si="233"/>
        <v>0</v>
      </c>
      <c r="GE233" s="101">
        <f t="shared" si="234"/>
        <v>1</v>
      </c>
      <c r="GF233" s="101">
        <f t="shared" si="235"/>
        <v>11</v>
      </c>
      <c r="GG233" s="101">
        <f t="shared" si="236"/>
        <v>1.66E-2</v>
      </c>
      <c r="GH233" s="101">
        <f t="shared" si="237"/>
        <v>1</v>
      </c>
      <c r="GI233" s="101">
        <f t="shared" si="238"/>
        <v>21</v>
      </c>
      <c r="GJ233" s="101">
        <f t="shared" si="239"/>
        <v>6.6299999999999998E-2</v>
      </c>
      <c r="GK233" s="101">
        <f t="shared" si="240"/>
        <v>1</v>
      </c>
      <c r="GL233" s="101">
        <f t="shared" si="241"/>
        <v>45</v>
      </c>
    </row>
    <row r="234" spans="170:194" ht="16.5" x14ac:dyDescent="0.2">
      <c r="FN234" s="101">
        <v>229</v>
      </c>
      <c r="FO234" s="101">
        <f t="shared" si="226"/>
        <v>62</v>
      </c>
      <c r="FP234" s="101">
        <f t="shared" si="219"/>
        <v>3</v>
      </c>
      <c r="FQ234" s="14">
        <f t="shared" si="220"/>
        <v>4</v>
      </c>
      <c r="FR234" s="101" t="str">
        <f t="shared" si="227"/>
        <v>典韦专属武器-魂珠-7 8级</v>
      </c>
      <c r="FS234" s="101">
        <f t="shared" si="228"/>
        <v>7</v>
      </c>
      <c r="FT234" s="101">
        <f t="shared" si="229"/>
        <v>8</v>
      </c>
      <c r="FU234" s="101" t="str">
        <f t="shared" si="221"/>
        <v>金币</v>
      </c>
      <c r="FV234" s="139">
        <f>IF($FT234&gt;0,IF(INDEX($EI$6:$EI$77,$FO234)&gt;=FV$3,ROUND(INDEX(EK$6:EK$77,$FO234)*INDEX(卡牌消耗!$B$8:$F$8,FQ234)/5,0)*5,""),"")</f>
        <v>58660</v>
      </c>
      <c r="FW234" s="101" t="str">
        <f t="shared" si="222"/>
        <v>专属强化石3</v>
      </c>
      <c r="FX234" s="101">
        <f t="shared" si="223"/>
        <v>24</v>
      </c>
      <c r="FY234" s="101" t="str">
        <f t="shared" si="224"/>
        <v>专属强化石4</v>
      </c>
      <c r="FZ234" s="101">
        <f t="shared" si="225"/>
        <v>8</v>
      </c>
      <c r="GA234" s="101">
        <f t="shared" si="230"/>
        <v>0.02</v>
      </c>
      <c r="GB234" s="101">
        <f t="shared" si="231"/>
        <v>1</v>
      </c>
      <c r="GC234" s="101">
        <f t="shared" si="232"/>
        <v>64</v>
      </c>
      <c r="GD234" s="101">
        <f t="shared" si="233"/>
        <v>0</v>
      </c>
      <c r="GE234" s="101">
        <f t="shared" si="234"/>
        <v>1</v>
      </c>
      <c r="GF234" s="101">
        <f t="shared" si="235"/>
        <v>15</v>
      </c>
      <c r="GG234" s="101">
        <f t="shared" si="236"/>
        <v>1.17E-2</v>
      </c>
      <c r="GH234" s="101">
        <f t="shared" si="237"/>
        <v>1</v>
      </c>
      <c r="GI234" s="101">
        <f t="shared" si="238"/>
        <v>30</v>
      </c>
      <c r="GJ234" s="101">
        <f t="shared" si="239"/>
        <v>4.6800000000000001E-2</v>
      </c>
      <c r="GK234" s="101">
        <f t="shared" si="240"/>
        <v>1</v>
      </c>
      <c r="GL234" s="101">
        <f t="shared" si="241"/>
        <v>64</v>
      </c>
    </row>
    <row r="235" spans="170:194" ht="16.5" x14ac:dyDescent="0.2">
      <c r="FN235" s="101">
        <v>230</v>
      </c>
      <c r="FO235" s="101">
        <f t="shared" si="226"/>
        <v>63</v>
      </c>
      <c r="FP235" s="101">
        <f t="shared" si="219"/>
        <v>3</v>
      </c>
      <c r="FQ235" s="14">
        <f t="shared" si="220"/>
        <v>4</v>
      </c>
      <c r="FR235" s="101" t="str">
        <f t="shared" si="227"/>
        <v>典韦专属武器-魂珠-7 9级</v>
      </c>
      <c r="FS235" s="101">
        <f t="shared" si="228"/>
        <v>7</v>
      </c>
      <c r="FT235" s="101">
        <f t="shared" si="229"/>
        <v>9</v>
      </c>
      <c r="FU235" s="101" t="str">
        <f t="shared" si="221"/>
        <v>金币</v>
      </c>
      <c r="FV235" s="139">
        <f>IF($FT235&gt;0,IF(INDEX($EI$6:$EI$77,$FO235)&gt;=FV$3,ROUND(INDEX(EK$6:EK$77,$FO235)*INDEX(卡牌消耗!$B$8:$F$8,FQ235)/5,0)*5,""),"")</f>
        <v>73350</v>
      </c>
      <c r="FW235" s="101" t="str">
        <f t="shared" si="222"/>
        <v>专属强化石3</v>
      </c>
      <c r="FX235" s="101">
        <f t="shared" si="223"/>
        <v>30</v>
      </c>
      <c r="FY235" s="101" t="str">
        <f t="shared" si="224"/>
        <v>专属强化石4</v>
      </c>
      <c r="FZ235" s="101">
        <f t="shared" si="225"/>
        <v>10</v>
      </c>
      <c r="GA235" s="101">
        <f t="shared" si="230"/>
        <v>0.02</v>
      </c>
      <c r="GB235" s="101">
        <f t="shared" si="231"/>
        <v>1</v>
      </c>
      <c r="GC235" s="101">
        <f t="shared" si="232"/>
        <v>83</v>
      </c>
      <c r="GD235" s="101">
        <f t="shared" si="233"/>
        <v>0</v>
      </c>
      <c r="GE235" s="101">
        <f t="shared" si="234"/>
        <v>1</v>
      </c>
      <c r="GF235" s="101">
        <f t="shared" si="235"/>
        <v>19</v>
      </c>
      <c r="GG235" s="101">
        <f t="shared" si="236"/>
        <v>8.9999999999999993E-3</v>
      </c>
      <c r="GH235" s="101">
        <f t="shared" si="237"/>
        <v>1</v>
      </c>
      <c r="GI235" s="101">
        <f t="shared" si="238"/>
        <v>39</v>
      </c>
      <c r="GJ235" s="101">
        <f t="shared" si="239"/>
        <v>3.6200000000000003E-2</v>
      </c>
      <c r="GK235" s="101">
        <f t="shared" si="240"/>
        <v>1</v>
      </c>
      <c r="GL235" s="101">
        <f t="shared" si="241"/>
        <v>83</v>
      </c>
    </row>
    <row r="236" spans="170:194" ht="16.5" x14ac:dyDescent="0.2">
      <c r="FN236" s="101">
        <v>231</v>
      </c>
      <c r="FO236" s="101">
        <f t="shared" si="226"/>
        <v>0</v>
      </c>
      <c r="FP236" s="101">
        <f t="shared" si="219"/>
        <v>3</v>
      </c>
      <c r="FQ236" s="14">
        <f t="shared" si="220"/>
        <v>4</v>
      </c>
      <c r="FR236" s="101" t="str">
        <f t="shared" si="227"/>
        <v>典韦专属武器-魂珠-8 0级</v>
      </c>
      <c r="FS236" s="101">
        <f t="shared" si="228"/>
        <v>8</v>
      </c>
      <c r="FT236" s="101">
        <f t="shared" si="229"/>
        <v>0</v>
      </c>
      <c r="FU236" s="101" t="str">
        <f t="shared" si="221"/>
        <v/>
      </c>
      <c r="FV236" s="139" t="str">
        <f>IF($FT236&gt;0,IF(INDEX($EI$6:$EI$77,$FO236)&gt;=FV$3,ROUND(INDEX(EK$6:EK$77,$FO236)*INDEX(卡牌消耗!$B$8:$F$8,FQ236)/5,0)*5,""),"")</f>
        <v/>
      </c>
      <c r="FW236" s="101" t="str">
        <f t="shared" si="222"/>
        <v/>
      </c>
      <c r="FX236" s="101" t="str">
        <f t="shared" si="223"/>
        <v/>
      </c>
      <c r="FY236" s="101" t="str">
        <f t="shared" si="224"/>
        <v/>
      </c>
      <c r="FZ236" s="101" t="str">
        <f t="shared" si="225"/>
        <v/>
      </c>
      <c r="GA236" s="101" t="str">
        <f t="shared" si="230"/>
        <v/>
      </c>
      <c r="GB236" s="101" t="str">
        <f t="shared" si="231"/>
        <v/>
      </c>
      <c r="GC236" s="101" t="str">
        <f t="shared" si="232"/>
        <v/>
      </c>
      <c r="GD236" s="101" t="str">
        <f t="shared" si="233"/>
        <v/>
      </c>
      <c r="GE236" s="101" t="str">
        <f t="shared" si="234"/>
        <v/>
      </c>
      <c r="GF236" s="101" t="str">
        <f t="shared" si="235"/>
        <v/>
      </c>
      <c r="GG236" s="101" t="str">
        <f t="shared" si="236"/>
        <v/>
      </c>
      <c r="GH236" s="101" t="str">
        <f t="shared" si="237"/>
        <v/>
      </c>
      <c r="GI236" s="101" t="str">
        <f t="shared" si="238"/>
        <v/>
      </c>
      <c r="GJ236" s="101" t="str">
        <f t="shared" si="239"/>
        <v/>
      </c>
      <c r="GK236" s="101" t="str">
        <f t="shared" si="240"/>
        <v/>
      </c>
      <c r="GL236" s="101" t="str">
        <f t="shared" si="241"/>
        <v/>
      </c>
    </row>
    <row r="237" spans="170:194" ht="16.5" x14ac:dyDescent="0.2">
      <c r="FN237" s="101">
        <v>232</v>
      </c>
      <c r="FO237" s="101">
        <f t="shared" si="226"/>
        <v>64</v>
      </c>
      <c r="FP237" s="101">
        <f t="shared" si="219"/>
        <v>3</v>
      </c>
      <c r="FQ237" s="14">
        <f t="shared" si="220"/>
        <v>4</v>
      </c>
      <c r="FR237" s="101" t="str">
        <f t="shared" si="227"/>
        <v>典韦专属武器-魂珠-8 1级</v>
      </c>
      <c r="FS237" s="101">
        <f t="shared" si="228"/>
        <v>8</v>
      </c>
      <c r="FT237" s="101">
        <f t="shared" si="229"/>
        <v>1</v>
      </c>
      <c r="FU237" s="101" t="str">
        <f t="shared" si="221"/>
        <v>金币</v>
      </c>
      <c r="FV237" s="139">
        <f>IF($FT237&gt;0,IF(INDEX($EI$6:$EI$77,$FO237)&gt;=FV$3,ROUND(INDEX(EK$6:EK$77,$FO237)*INDEX(卡牌消耗!$B$8:$F$8,FQ237)/5,0)*5,""),"")</f>
        <v>15455</v>
      </c>
      <c r="FW237" s="101" t="str">
        <f t="shared" si="222"/>
        <v>专属强化石4</v>
      </c>
      <c r="FX237" s="101">
        <f t="shared" si="223"/>
        <v>5</v>
      </c>
      <c r="FY237" s="101" t="str">
        <f t="shared" si="224"/>
        <v/>
      </c>
      <c r="FZ237" s="101" t="str">
        <f t="shared" si="225"/>
        <v/>
      </c>
      <c r="GA237" s="101">
        <f t="shared" si="230"/>
        <v>0.11</v>
      </c>
      <c r="GB237" s="101">
        <f t="shared" si="231"/>
        <v>1</v>
      </c>
      <c r="GC237" s="101">
        <f t="shared" si="232"/>
        <v>13</v>
      </c>
      <c r="GD237" s="101">
        <f t="shared" si="233"/>
        <v>0</v>
      </c>
      <c r="GE237" s="101">
        <f t="shared" si="234"/>
        <v>1</v>
      </c>
      <c r="GF237" s="101">
        <f t="shared" si="235"/>
        <v>3</v>
      </c>
      <c r="GG237" s="101">
        <f t="shared" si="236"/>
        <v>5.6500000000000002E-2</v>
      </c>
      <c r="GH237" s="101">
        <f t="shared" si="237"/>
        <v>1</v>
      </c>
      <c r="GI237" s="101">
        <f t="shared" si="238"/>
        <v>6</v>
      </c>
      <c r="GJ237" s="101">
        <f t="shared" si="239"/>
        <v>0.22600000000000001</v>
      </c>
      <c r="GK237" s="101">
        <f t="shared" si="240"/>
        <v>1</v>
      </c>
      <c r="GL237" s="101">
        <f t="shared" si="241"/>
        <v>13</v>
      </c>
    </row>
    <row r="238" spans="170:194" ht="16.5" x14ac:dyDescent="0.2">
      <c r="FN238" s="101">
        <v>233</v>
      </c>
      <c r="FO238" s="101">
        <f t="shared" si="226"/>
        <v>65</v>
      </c>
      <c r="FP238" s="101">
        <f t="shared" si="219"/>
        <v>3</v>
      </c>
      <c r="FQ238" s="14">
        <f t="shared" si="220"/>
        <v>4</v>
      </c>
      <c r="FR238" s="101" t="str">
        <f t="shared" si="227"/>
        <v>典韦专属武器-魂珠-8 2级</v>
      </c>
      <c r="FS238" s="101">
        <f t="shared" si="228"/>
        <v>8</v>
      </c>
      <c r="FT238" s="101">
        <f t="shared" si="229"/>
        <v>2</v>
      </c>
      <c r="FU238" s="101" t="str">
        <f t="shared" si="221"/>
        <v>金币</v>
      </c>
      <c r="FV238" s="139">
        <f>IF($FT238&gt;0,IF(INDEX($EI$6:$EI$77,$FO238)&gt;=FV$3,ROUND(INDEX(EK$6:EK$77,$FO238)*INDEX(卡牌消耗!$B$8:$F$8,FQ238)/5,0)*5,""),"")</f>
        <v>18545</v>
      </c>
      <c r="FW238" s="101" t="str">
        <f t="shared" si="222"/>
        <v>专属强化石4</v>
      </c>
      <c r="FX238" s="101">
        <f t="shared" si="223"/>
        <v>8</v>
      </c>
      <c r="FY238" s="101" t="str">
        <f t="shared" si="224"/>
        <v/>
      </c>
      <c r="FZ238" s="101" t="str">
        <f t="shared" si="225"/>
        <v/>
      </c>
      <c r="GA238" s="101">
        <f t="shared" si="230"/>
        <v>0.09</v>
      </c>
      <c r="GB238" s="101">
        <f t="shared" si="231"/>
        <v>1</v>
      </c>
      <c r="GC238" s="101">
        <f t="shared" si="232"/>
        <v>17</v>
      </c>
      <c r="GD238" s="101">
        <f t="shared" si="233"/>
        <v>0</v>
      </c>
      <c r="GE238" s="101">
        <f t="shared" si="234"/>
        <v>1</v>
      </c>
      <c r="GF238" s="101">
        <f t="shared" si="235"/>
        <v>4</v>
      </c>
      <c r="GG238" s="101">
        <f t="shared" si="236"/>
        <v>4.5199999999999997E-2</v>
      </c>
      <c r="GH238" s="101">
        <f t="shared" si="237"/>
        <v>1</v>
      </c>
      <c r="GI238" s="101">
        <f t="shared" si="238"/>
        <v>8</v>
      </c>
      <c r="GJ238" s="101">
        <f t="shared" si="239"/>
        <v>0.18079999999999999</v>
      </c>
      <c r="GK238" s="101">
        <f t="shared" si="240"/>
        <v>1</v>
      </c>
      <c r="GL238" s="101">
        <f t="shared" si="241"/>
        <v>17</v>
      </c>
    </row>
    <row r="239" spans="170:194" ht="16.5" x14ac:dyDescent="0.2">
      <c r="FN239" s="101">
        <v>234</v>
      </c>
      <c r="FO239" s="101">
        <f t="shared" si="226"/>
        <v>66</v>
      </c>
      <c r="FP239" s="101">
        <f t="shared" si="219"/>
        <v>3</v>
      </c>
      <c r="FQ239" s="14">
        <f t="shared" si="220"/>
        <v>4</v>
      </c>
      <c r="FR239" s="101" t="str">
        <f t="shared" si="227"/>
        <v>典韦专属武器-魂珠-8 3级</v>
      </c>
      <c r="FS239" s="101">
        <f t="shared" si="228"/>
        <v>8</v>
      </c>
      <c r="FT239" s="101">
        <f t="shared" si="229"/>
        <v>3</v>
      </c>
      <c r="FU239" s="101" t="str">
        <f t="shared" si="221"/>
        <v>金币</v>
      </c>
      <c r="FV239" s="139">
        <f>IF($FT239&gt;0,IF(INDEX($EI$6:$EI$77,$FO239)&gt;=FV$3,ROUND(INDEX(EK$6:EK$77,$FO239)*INDEX(卡牌消耗!$B$8:$F$8,FQ239)/5,0)*5,""),"")</f>
        <v>25755</v>
      </c>
      <c r="FW239" s="101" t="str">
        <f t="shared" si="222"/>
        <v>专属强化石4</v>
      </c>
      <c r="FX239" s="101">
        <f t="shared" si="223"/>
        <v>10</v>
      </c>
      <c r="FY239" s="101" t="str">
        <f t="shared" si="224"/>
        <v/>
      </c>
      <c r="FZ239" s="101" t="str">
        <f t="shared" si="225"/>
        <v/>
      </c>
      <c r="GA239" s="101">
        <f t="shared" si="230"/>
        <v>0.08</v>
      </c>
      <c r="GB239" s="101">
        <f t="shared" si="231"/>
        <v>1</v>
      </c>
      <c r="GC239" s="101">
        <f t="shared" si="232"/>
        <v>20</v>
      </c>
      <c r="GD239" s="101">
        <f t="shared" si="233"/>
        <v>0</v>
      </c>
      <c r="GE239" s="101">
        <f t="shared" si="234"/>
        <v>1</v>
      </c>
      <c r="GF239" s="101">
        <f t="shared" si="235"/>
        <v>5</v>
      </c>
      <c r="GG239" s="101">
        <f t="shared" si="236"/>
        <v>3.7699999999999997E-2</v>
      </c>
      <c r="GH239" s="101">
        <f t="shared" si="237"/>
        <v>1</v>
      </c>
      <c r="GI239" s="101">
        <f t="shared" si="238"/>
        <v>9</v>
      </c>
      <c r="GJ239" s="101">
        <f t="shared" si="239"/>
        <v>0.1507</v>
      </c>
      <c r="GK239" s="101">
        <f t="shared" si="240"/>
        <v>1</v>
      </c>
      <c r="GL239" s="101">
        <f t="shared" si="241"/>
        <v>20</v>
      </c>
    </row>
    <row r="240" spans="170:194" ht="16.5" x14ac:dyDescent="0.2">
      <c r="FN240" s="101">
        <v>235</v>
      </c>
      <c r="FO240" s="101">
        <f t="shared" si="226"/>
        <v>67</v>
      </c>
      <c r="FP240" s="101">
        <f t="shared" si="219"/>
        <v>3</v>
      </c>
      <c r="FQ240" s="14">
        <f t="shared" si="220"/>
        <v>4</v>
      </c>
      <c r="FR240" s="101" t="str">
        <f t="shared" si="227"/>
        <v>典韦专属武器-魂珠-8 4级</v>
      </c>
      <c r="FS240" s="101">
        <f t="shared" si="228"/>
        <v>8</v>
      </c>
      <c r="FT240" s="101">
        <f t="shared" si="229"/>
        <v>4</v>
      </c>
      <c r="FU240" s="101" t="str">
        <f t="shared" si="221"/>
        <v>金币</v>
      </c>
      <c r="FV240" s="139">
        <f>IF($FT240&gt;0,IF(INDEX($EI$6:$EI$77,$FO240)&gt;=FV$3,ROUND(INDEX(EK$6:EK$77,$FO240)*INDEX(卡牌消耗!$B$8:$F$8,FQ240)/5,0)*5,""),"")</f>
        <v>29670</v>
      </c>
      <c r="FW240" s="101" t="str">
        <f t="shared" si="222"/>
        <v>专属强化石4</v>
      </c>
      <c r="FX240" s="101">
        <f t="shared" si="223"/>
        <v>12</v>
      </c>
      <c r="FY240" s="101" t="str">
        <f t="shared" si="224"/>
        <v/>
      </c>
      <c r="FZ240" s="101" t="str">
        <f t="shared" si="225"/>
        <v/>
      </c>
      <c r="GA240" s="101">
        <f t="shared" si="230"/>
        <v>0.05</v>
      </c>
      <c r="GB240" s="101">
        <f t="shared" si="231"/>
        <v>1</v>
      </c>
      <c r="GC240" s="101">
        <f t="shared" si="232"/>
        <v>28</v>
      </c>
      <c r="GD240" s="101">
        <f t="shared" si="233"/>
        <v>0</v>
      </c>
      <c r="GE240" s="101">
        <f t="shared" si="234"/>
        <v>1</v>
      </c>
      <c r="GF240" s="101">
        <f t="shared" si="235"/>
        <v>6</v>
      </c>
      <c r="GG240" s="101">
        <f t="shared" si="236"/>
        <v>2.7099999999999999E-2</v>
      </c>
      <c r="GH240" s="101">
        <f t="shared" si="237"/>
        <v>1</v>
      </c>
      <c r="GI240" s="101">
        <f t="shared" si="238"/>
        <v>13</v>
      </c>
      <c r="GJ240" s="101">
        <f t="shared" si="239"/>
        <v>0.1085</v>
      </c>
      <c r="GK240" s="101">
        <f t="shared" si="240"/>
        <v>1</v>
      </c>
      <c r="GL240" s="101">
        <f t="shared" si="241"/>
        <v>28</v>
      </c>
    </row>
    <row r="241" spans="170:194" ht="16.5" x14ac:dyDescent="0.2">
      <c r="FN241" s="101">
        <v>236</v>
      </c>
      <c r="FO241" s="101">
        <f t="shared" si="226"/>
        <v>68</v>
      </c>
      <c r="FP241" s="101">
        <f t="shared" si="219"/>
        <v>3</v>
      </c>
      <c r="FQ241" s="14">
        <f t="shared" si="220"/>
        <v>4</v>
      </c>
      <c r="FR241" s="101" t="str">
        <f t="shared" si="227"/>
        <v>典韦专属武器-魂珠-8 5级</v>
      </c>
      <c r="FS241" s="101">
        <f t="shared" si="228"/>
        <v>8</v>
      </c>
      <c r="FT241" s="101">
        <f t="shared" si="229"/>
        <v>5</v>
      </c>
      <c r="FU241" s="101" t="str">
        <f t="shared" si="221"/>
        <v>金币</v>
      </c>
      <c r="FV241" s="139">
        <f>IF($FT241&gt;0,IF(INDEX($EI$6:$EI$77,$FO241)&gt;=FV$3,ROUND(INDEX(EK$6:EK$77,$FO241)*INDEX(卡牌消耗!$B$8:$F$8,FQ241)/5,0)*5,""),"")</f>
        <v>37665</v>
      </c>
      <c r="FW241" s="101" t="str">
        <f t="shared" si="222"/>
        <v>专属强化石4</v>
      </c>
      <c r="FX241" s="101">
        <f t="shared" si="223"/>
        <v>15</v>
      </c>
      <c r="FY241" s="101" t="str">
        <f t="shared" si="224"/>
        <v/>
      </c>
      <c r="FZ241" s="101" t="str">
        <f t="shared" si="225"/>
        <v/>
      </c>
      <c r="GA241" s="101">
        <f t="shared" si="230"/>
        <v>0.04</v>
      </c>
      <c r="GB241" s="101">
        <f t="shared" si="231"/>
        <v>1</v>
      </c>
      <c r="GC241" s="101">
        <f t="shared" si="232"/>
        <v>35</v>
      </c>
      <c r="GD241" s="101">
        <f t="shared" si="233"/>
        <v>0</v>
      </c>
      <c r="GE241" s="101">
        <f t="shared" si="234"/>
        <v>1</v>
      </c>
      <c r="GF241" s="101">
        <f t="shared" si="235"/>
        <v>8</v>
      </c>
      <c r="GG241" s="101">
        <f t="shared" si="236"/>
        <v>2.12E-2</v>
      </c>
      <c r="GH241" s="101">
        <f t="shared" si="237"/>
        <v>1</v>
      </c>
      <c r="GI241" s="101">
        <f t="shared" si="238"/>
        <v>17</v>
      </c>
      <c r="GJ241" s="101">
        <f t="shared" si="239"/>
        <v>8.4699999999999998E-2</v>
      </c>
      <c r="GK241" s="101">
        <f t="shared" si="240"/>
        <v>1</v>
      </c>
      <c r="GL241" s="101">
        <f t="shared" si="241"/>
        <v>35</v>
      </c>
    </row>
    <row r="242" spans="170:194" ht="16.5" x14ac:dyDescent="0.2">
      <c r="FN242" s="101">
        <v>237</v>
      </c>
      <c r="FO242" s="101">
        <f t="shared" si="226"/>
        <v>69</v>
      </c>
      <c r="FP242" s="101">
        <f t="shared" si="219"/>
        <v>3</v>
      </c>
      <c r="FQ242" s="14">
        <f t="shared" si="220"/>
        <v>4</v>
      </c>
      <c r="FR242" s="101" t="str">
        <f t="shared" si="227"/>
        <v>典韦专属武器-魂珠-8 6级</v>
      </c>
      <c r="FS242" s="101">
        <f t="shared" si="228"/>
        <v>8</v>
      </c>
      <c r="FT242" s="101">
        <f t="shared" si="229"/>
        <v>6</v>
      </c>
      <c r="FU242" s="101" t="str">
        <f t="shared" si="221"/>
        <v>金币</v>
      </c>
      <c r="FV242" s="139">
        <f>IF($FT242&gt;0,IF(INDEX($EI$6:$EI$77,$FO242)&gt;=FV$3,ROUND(INDEX(EK$6:EK$77,$FO242)*INDEX(卡牌消耗!$B$8:$F$8,FQ242)/5,0)*5,""),"")</f>
        <v>44935</v>
      </c>
      <c r="FW242" s="101" t="str">
        <f t="shared" si="222"/>
        <v>专属强化石4</v>
      </c>
      <c r="FX242" s="101">
        <f t="shared" si="223"/>
        <v>18</v>
      </c>
      <c r="FY242" s="101" t="str">
        <f t="shared" si="224"/>
        <v/>
      </c>
      <c r="FZ242" s="101" t="str">
        <f t="shared" si="225"/>
        <v/>
      </c>
      <c r="GA242" s="101">
        <f t="shared" si="230"/>
        <v>0.03</v>
      </c>
      <c r="GB242" s="101">
        <f t="shared" si="231"/>
        <v>1</v>
      </c>
      <c r="GC242" s="101">
        <f t="shared" si="232"/>
        <v>48</v>
      </c>
      <c r="GD242" s="101">
        <f t="shared" si="233"/>
        <v>0</v>
      </c>
      <c r="GE242" s="101">
        <f t="shared" si="234"/>
        <v>1</v>
      </c>
      <c r="GF242" s="101">
        <f t="shared" si="235"/>
        <v>11</v>
      </c>
      <c r="GG242" s="101">
        <f t="shared" si="236"/>
        <v>1.5599999999999999E-2</v>
      </c>
      <c r="GH242" s="101">
        <f t="shared" si="237"/>
        <v>1</v>
      </c>
      <c r="GI242" s="101">
        <f t="shared" si="238"/>
        <v>22</v>
      </c>
      <c r="GJ242" s="101">
        <f t="shared" si="239"/>
        <v>6.2600000000000003E-2</v>
      </c>
      <c r="GK242" s="101">
        <f t="shared" si="240"/>
        <v>1</v>
      </c>
      <c r="GL242" s="101">
        <f t="shared" si="241"/>
        <v>48</v>
      </c>
    </row>
    <row r="243" spans="170:194" ht="16.5" x14ac:dyDescent="0.2">
      <c r="FN243" s="101">
        <v>238</v>
      </c>
      <c r="FO243" s="101">
        <f t="shared" si="226"/>
        <v>70</v>
      </c>
      <c r="FP243" s="101">
        <f t="shared" si="219"/>
        <v>3</v>
      </c>
      <c r="FQ243" s="14">
        <f t="shared" si="220"/>
        <v>4</v>
      </c>
      <c r="FR243" s="101" t="str">
        <f t="shared" si="227"/>
        <v>典韦专属武器-魂珠-8 7级</v>
      </c>
      <c r="FS243" s="101">
        <f t="shared" si="228"/>
        <v>8</v>
      </c>
      <c r="FT243" s="101">
        <f t="shared" si="229"/>
        <v>7</v>
      </c>
      <c r="FU243" s="101" t="str">
        <f t="shared" si="221"/>
        <v>金币</v>
      </c>
      <c r="FV243" s="139">
        <f>IF($FT243&gt;0,IF(INDEX($EI$6:$EI$77,$FO243)&gt;=FV$3,ROUND(INDEX(EK$6:EK$77,$FO243)*INDEX(卡牌消耗!$B$8:$F$8,FQ243)/5,0)*5,""),"")</f>
        <v>62545</v>
      </c>
      <c r="FW243" s="101" t="str">
        <f t="shared" si="222"/>
        <v>专属强化石4</v>
      </c>
      <c r="FX243" s="101">
        <f t="shared" si="223"/>
        <v>25</v>
      </c>
      <c r="FY243" s="101" t="str">
        <f t="shared" si="224"/>
        <v/>
      </c>
      <c r="FZ243" s="101" t="str">
        <f t="shared" si="225"/>
        <v/>
      </c>
      <c r="GA243" s="101">
        <f t="shared" si="230"/>
        <v>0.03</v>
      </c>
      <c r="GB243" s="101">
        <f t="shared" si="231"/>
        <v>1</v>
      </c>
      <c r="GC243" s="101">
        <f t="shared" si="232"/>
        <v>56</v>
      </c>
      <c r="GD243" s="101">
        <f t="shared" si="233"/>
        <v>0</v>
      </c>
      <c r="GE243" s="101">
        <f t="shared" si="234"/>
        <v>1</v>
      </c>
      <c r="GF243" s="101">
        <f t="shared" si="235"/>
        <v>13</v>
      </c>
      <c r="GG243" s="101">
        <f t="shared" si="236"/>
        <v>1.35E-2</v>
      </c>
      <c r="GH243" s="101">
        <f t="shared" si="237"/>
        <v>1</v>
      </c>
      <c r="GI243" s="101">
        <f t="shared" si="238"/>
        <v>26</v>
      </c>
      <c r="GJ243" s="101">
        <f t="shared" si="239"/>
        <v>5.3800000000000001E-2</v>
      </c>
      <c r="GK243" s="101">
        <f t="shared" si="240"/>
        <v>1</v>
      </c>
      <c r="GL243" s="101">
        <f t="shared" si="241"/>
        <v>56</v>
      </c>
    </row>
    <row r="244" spans="170:194" ht="16.5" x14ac:dyDescent="0.2">
      <c r="FN244" s="101">
        <v>239</v>
      </c>
      <c r="FO244" s="101">
        <f t="shared" si="226"/>
        <v>71</v>
      </c>
      <c r="FP244" s="101">
        <f t="shared" si="219"/>
        <v>3</v>
      </c>
      <c r="FQ244" s="14">
        <f t="shared" si="220"/>
        <v>4</v>
      </c>
      <c r="FR244" s="101" t="str">
        <f t="shared" si="227"/>
        <v>典韦专属武器-魂珠-8 8级</v>
      </c>
      <c r="FS244" s="101">
        <f t="shared" si="228"/>
        <v>8</v>
      </c>
      <c r="FT244" s="101">
        <f t="shared" si="229"/>
        <v>8</v>
      </c>
      <c r="FU244" s="101" t="str">
        <f t="shared" si="221"/>
        <v>金币</v>
      </c>
      <c r="FV244" s="139">
        <f>IF($FT244&gt;0,IF(INDEX($EI$6:$EI$77,$FO244)&gt;=FV$3,ROUND(INDEX(EK$6:EK$77,$FO244)*INDEX(卡牌消耗!$B$8:$F$8,FQ244)/5,0)*5,""),"")</f>
        <v>74990</v>
      </c>
      <c r="FW244" s="101" t="str">
        <f t="shared" si="222"/>
        <v>专属强化石4</v>
      </c>
      <c r="FX244" s="101">
        <f t="shared" si="223"/>
        <v>30</v>
      </c>
      <c r="FY244" s="101" t="str">
        <f t="shared" si="224"/>
        <v/>
      </c>
      <c r="FZ244" s="101" t="str">
        <f t="shared" si="225"/>
        <v/>
      </c>
      <c r="GA244" s="101">
        <f t="shared" si="230"/>
        <v>0.02</v>
      </c>
      <c r="GB244" s="101">
        <f t="shared" si="231"/>
        <v>1</v>
      </c>
      <c r="GC244" s="101">
        <f t="shared" si="232"/>
        <v>75</v>
      </c>
      <c r="GD244" s="101">
        <f t="shared" si="233"/>
        <v>0</v>
      </c>
      <c r="GE244" s="101">
        <f t="shared" si="234"/>
        <v>1</v>
      </c>
      <c r="GF244" s="101">
        <f t="shared" si="235"/>
        <v>18</v>
      </c>
      <c r="GG244" s="101">
        <f t="shared" si="236"/>
        <v>0.01</v>
      </c>
      <c r="GH244" s="101">
        <f t="shared" si="237"/>
        <v>1</v>
      </c>
      <c r="GI244" s="101">
        <f t="shared" si="238"/>
        <v>35</v>
      </c>
      <c r="GJ244" s="101">
        <f t="shared" si="239"/>
        <v>3.9899999999999998E-2</v>
      </c>
      <c r="GK244" s="101">
        <f t="shared" si="240"/>
        <v>1</v>
      </c>
      <c r="GL244" s="101">
        <f t="shared" si="241"/>
        <v>75</v>
      </c>
    </row>
    <row r="245" spans="170:194" ht="16.5" x14ac:dyDescent="0.2">
      <c r="FN245" s="101">
        <v>240</v>
      </c>
      <c r="FO245" s="101">
        <f t="shared" si="226"/>
        <v>72</v>
      </c>
      <c r="FP245" s="101">
        <f t="shared" si="219"/>
        <v>3</v>
      </c>
      <c r="FQ245" s="14">
        <f t="shared" si="220"/>
        <v>4</v>
      </c>
      <c r="FR245" s="101" t="str">
        <f t="shared" si="227"/>
        <v>典韦专属武器-魂珠-8 9级</v>
      </c>
      <c r="FS245" s="101">
        <f t="shared" si="228"/>
        <v>8</v>
      </c>
      <c r="FT245" s="101">
        <f t="shared" si="229"/>
        <v>9</v>
      </c>
      <c r="FU245" s="101" t="str">
        <f t="shared" si="221"/>
        <v>金币</v>
      </c>
      <c r="FV245" s="139">
        <f>IF($FT245&gt;0,IF(INDEX($EI$6:$EI$77,$FO245)&gt;=FV$3,ROUND(INDEX(EK$6:EK$77,$FO245)*INDEX(卡牌消耗!$B$8:$F$8,FQ245)/5,0)*5,""),"")</f>
        <v>75015</v>
      </c>
      <c r="FW245" s="101" t="str">
        <f t="shared" si="222"/>
        <v>专属强化石4</v>
      </c>
      <c r="FX245" s="101">
        <f t="shared" si="223"/>
        <v>30</v>
      </c>
      <c r="FY245" s="101" t="str">
        <f t="shared" si="224"/>
        <v/>
      </c>
      <c r="FZ245" s="101" t="str">
        <f t="shared" si="225"/>
        <v/>
      </c>
      <c r="GA245" s="101">
        <f t="shared" si="230"/>
        <v>0.01</v>
      </c>
      <c r="GB245" s="101">
        <f t="shared" si="231"/>
        <v>1</v>
      </c>
      <c r="GC245" s="101">
        <f t="shared" si="232"/>
        <v>122</v>
      </c>
      <c r="GD245" s="101">
        <f t="shared" si="233"/>
        <v>0</v>
      </c>
      <c r="GE245" s="101">
        <f t="shared" si="234"/>
        <v>1</v>
      </c>
      <c r="GF245" s="101">
        <f t="shared" si="235"/>
        <v>28</v>
      </c>
      <c r="GG245" s="101">
        <f t="shared" si="236"/>
        <v>6.1999999999999998E-3</v>
      </c>
      <c r="GH245" s="101">
        <f t="shared" si="237"/>
        <v>1</v>
      </c>
      <c r="GI245" s="101">
        <f t="shared" si="238"/>
        <v>57</v>
      </c>
      <c r="GJ245" s="101">
        <f t="shared" si="239"/>
        <v>2.47E-2</v>
      </c>
      <c r="GK245" s="101">
        <f t="shared" si="240"/>
        <v>1</v>
      </c>
      <c r="GL245" s="101">
        <f t="shared" si="241"/>
        <v>122</v>
      </c>
    </row>
    <row r="246" spans="170:194" ht="16.5" x14ac:dyDescent="0.2">
      <c r="FN246" s="101">
        <v>241</v>
      </c>
      <c r="FO246" s="101">
        <f t="shared" si="226"/>
        <v>0</v>
      </c>
      <c r="FP246" s="101">
        <f t="shared" si="219"/>
        <v>4</v>
      </c>
      <c r="FQ246" s="14">
        <f t="shared" si="220"/>
        <v>3</v>
      </c>
      <c r="FR246" s="101" t="str">
        <f t="shared" si="227"/>
        <v>李轩辕专属武器-魂珠-1 0级</v>
      </c>
      <c r="FS246" s="101">
        <f t="shared" si="228"/>
        <v>1</v>
      </c>
      <c r="FT246" s="101">
        <f t="shared" si="229"/>
        <v>0</v>
      </c>
      <c r="FU246" s="101" t="str">
        <f t="shared" si="221"/>
        <v/>
      </c>
      <c r="FV246" s="139" t="str">
        <f>IF($FT246&gt;0,IF(INDEX($EI$6:$EI$77,$FO246)&gt;=FV$3,ROUND(INDEX(EK$6:EK$77,$FO246)*INDEX(卡牌消耗!$B$8:$F$8,FQ246)/5,0)*5,""),"")</f>
        <v/>
      </c>
      <c r="FW246" s="101" t="str">
        <f t="shared" si="222"/>
        <v/>
      </c>
      <c r="FX246" s="101" t="str">
        <f t="shared" si="223"/>
        <v/>
      </c>
      <c r="FY246" s="101" t="str">
        <f t="shared" si="224"/>
        <v/>
      </c>
      <c r="FZ246" s="101" t="str">
        <f t="shared" si="225"/>
        <v/>
      </c>
      <c r="GA246" s="101" t="str">
        <f t="shared" si="230"/>
        <v/>
      </c>
      <c r="GB246" s="101" t="str">
        <f t="shared" si="231"/>
        <v/>
      </c>
      <c r="GC246" s="101" t="str">
        <f t="shared" si="232"/>
        <v/>
      </c>
      <c r="GD246" s="101" t="str">
        <f t="shared" si="233"/>
        <v/>
      </c>
      <c r="GE246" s="101" t="str">
        <f t="shared" si="234"/>
        <v/>
      </c>
      <c r="GF246" s="101" t="str">
        <f t="shared" si="235"/>
        <v/>
      </c>
      <c r="GG246" s="101" t="str">
        <f t="shared" si="236"/>
        <v/>
      </c>
      <c r="GH246" s="101" t="str">
        <f t="shared" si="237"/>
        <v/>
      </c>
      <c r="GI246" s="101" t="str">
        <f t="shared" si="238"/>
        <v/>
      </c>
      <c r="GJ246" s="101" t="str">
        <f t="shared" si="239"/>
        <v/>
      </c>
      <c r="GK246" s="101" t="str">
        <f t="shared" si="240"/>
        <v/>
      </c>
      <c r="GL246" s="101" t="str">
        <f t="shared" si="241"/>
        <v/>
      </c>
    </row>
    <row r="247" spans="170:194" ht="16.5" x14ac:dyDescent="0.2">
      <c r="FN247" s="101">
        <v>242</v>
      </c>
      <c r="FO247" s="101">
        <f t="shared" si="226"/>
        <v>1</v>
      </c>
      <c r="FP247" s="101">
        <f t="shared" si="219"/>
        <v>4</v>
      </c>
      <c r="FQ247" s="14">
        <f t="shared" si="220"/>
        <v>3</v>
      </c>
      <c r="FR247" s="101" t="str">
        <f t="shared" si="227"/>
        <v>李轩辕专属武器-魂珠-1 1级</v>
      </c>
      <c r="FS247" s="101">
        <f t="shared" si="228"/>
        <v>1</v>
      </c>
      <c r="FT247" s="101">
        <f t="shared" si="229"/>
        <v>1</v>
      </c>
      <c r="FU247" s="101" t="str">
        <f t="shared" si="221"/>
        <v>金币</v>
      </c>
      <c r="FV247" s="139">
        <f>IF($FT247&gt;0,IF(INDEX($EI$6:$EI$77,$FO247)&gt;=FV$3,ROUND(INDEX(EK$6:EK$77,$FO247)*INDEX(卡牌消耗!$B$8:$F$8,FQ247)/5,0)*5,""),"")</f>
        <v>95</v>
      </c>
      <c r="FW247" s="101" t="str">
        <f t="shared" si="222"/>
        <v>专属强化石1</v>
      </c>
      <c r="FX247" s="101">
        <f t="shared" si="223"/>
        <v>1</v>
      </c>
      <c r="FY247" s="101" t="str">
        <f t="shared" si="224"/>
        <v/>
      </c>
      <c r="FZ247" s="101" t="str">
        <f t="shared" si="225"/>
        <v/>
      </c>
      <c r="GA247" s="101">
        <f t="shared" si="230"/>
        <v>0.32</v>
      </c>
      <c r="GB247" s="101">
        <f t="shared" si="231"/>
        <v>1</v>
      </c>
      <c r="GC247" s="101">
        <f t="shared" si="232"/>
        <v>5</v>
      </c>
      <c r="GD247" s="101">
        <f t="shared" si="233"/>
        <v>0</v>
      </c>
      <c r="GE247" s="101">
        <f t="shared" si="234"/>
        <v>1</v>
      </c>
      <c r="GF247" s="101">
        <f t="shared" si="235"/>
        <v>1</v>
      </c>
      <c r="GG247" s="101">
        <f t="shared" si="236"/>
        <v>0.1595</v>
      </c>
      <c r="GH247" s="101">
        <f t="shared" si="237"/>
        <v>1</v>
      </c>
      <c r="GI247" s="101">
        <f t="shared" si="238"/>
        <v>2</v>
      </c>
      <c r="GJ247" s="101">
        <f t="shared" si="239"/>
        <v>0.63819999999999999</v>
      </c>
      <c r="GK247" s="101">
        <f t="shared" si="240"/>
        <v>1</v>
      </c>
      <c r="GL247" s="101">
        <f t="shared" si="241"/>
        <v>5</v>
      </c>
    </row>
    <row r="248" spans="170:194" ht="16.5" x14ac:dyDescent="0.2">
      <c r="FN248" s="101">
        <v>243</v>
      </c>
      <c r="FO248" s="101">
        <f t="shared" si="226"/>
        <v>2</v>
      </c>
      <c r="FP248" s="101">
        <f t="shared" si="219"/>
        <v>4</v>
      </c>
      <c r="FQ248" s="14">
        <f t="shared" si="220"/>
        <v>3</v>
      </c>
      <c r="FR248" s="101" t="str">
        <f t="shared" si="227"/>
        <v>李轩辕专属武器-魂珠-1 2级</v>
      </c>
      <c r="FS248" s="101">
        <f t="shared" si="228"/>
        <v>1</v>
      </c>
      <c r="FT248" s="101">
        <f t="shared" si="229"/>
        <v>2</v>
      </c>
      <c r="FU248" s="101" t="str">
        <f t="shared" si="221"/>
        <v>金币</v>
      </c>
      <c r="FV248" s="139">
        <f>IF($FT248&gt;0,IF(INDEX($EI$6:$EI$77,$FO248)&gt;=FV$3,ROUND(INDEX(EK$6:EK$77,$FO248)*INDEX(卡牌消耗!$B$8:$F$8,FQ248)/5,0)*5,""),"")</f>
        <v>140</v>
      </c>
      <c r="FW248" s="101" t="str">
        <f t="shared" si="222"/>
        <v>专属强化石1</v>
      </c>
      <c r="FX248" s="101">
        <f t="shared" si="223"/>
        <v>2</v>
      </c>
      <c r="FY248" s="101" t="str">
        <f t="shared" si="224"/>
        <v/>
      </c>
      <c r="FZ248" s="101" t="str">
        <f t="shared" si="225"/>
        <v/>
      </c>
      <c r="GA248" s="101">
        <f t="shared" si="230"/>
        <v>0.32</v>
      </c>
      <c r="GB248" s="101">
        <f t="shared" si="231"/>
        <v>1</v>
      </c>
      <c r="GC248" s="101">
        <f t="shared" si="232"/>
        <v>5</v>
      </c>
      <c r="GD248" s="101">
        <f t="shared" si="233"/>
        <v>0</v>
      </c>
      <c r="GE248" s="101">
        <f t="shared" si="234"/>
        <v>1</v>
      </c>
      <c r="GF248" s="101">
        <f t="shared" si="235"/>
        <v>1</v>
      </c>
      <c r="GG248" s="101">
        <f t="shared" si="236"/>
        <v>0.1595</v>
      </c>
      <c r="GH248" s="101">
        <f t="shared" si="237"/>
        <v>1</v>
      </c>
      <c r="GI248" s="101">
        <f t="shared" si="238"/>
        <v>2</v>
      </c>
      <c r="GJ248" s="101">
        <f t="shared" si="239"/>
        <v>0.63819999999999999</v>
      </c>
      <c r="GK248" s="101">
        <f t="shared" si="240"/>
        <v>1</v>
      </c>
      <c r="GL248" s="101">
        <f t="shared" si="241"/>
        <v>5</v>
      </c>
    </row>
    <row r="249" spans="170:194" ht="16.5" x14ac:dyDescent="0.2">
      <c r="FN249" s="101">
        <v>244</v>
      </c>
      <c r="FO249" s="101">
        <f t="shared" si="226"/>
        <v>3</v>
      </c>
      <c r="FP249" s="101">
        <f t="shared" si="219"/>
        <v>4</v>
      </c>
      <c r="FQ249" s="14">
        <f t="shared" si="220"/>
        <v>3</v>
      </c>
      <c r="FR249" s="101" t="str">
        <f t="shared" si="227"/>
        <v>李轩辕专属武器-魂珠-1 3级</v>
      </c>
      <c r="FS249" s="101">
        <f t="shared" si="228"/>
        <v>1</v>
      </c>
      <c r="FT249" s="101">
        <f t="shared" si="229"/>
        <v>3</v>
      </c>
      <c r="FU249" s="101" t="str">
        <f t="shared" si="221"/>
        <v>金币</v>
      </c>
      <c r="FV249" s="139">
        <f>IF($FT249&gt;0,IF(INDEX($EI$6:$EI$77,$FO249)&gt;=FV$3,ROUND(INDEX(EK$6:EK$77,$FO249)*INDEX(卡牌消耗!$B$8:$F$8,FQ249)/5,0)*5,""),"")</f>
        <v>235</v>
      </c>
      <c r="FW249" s="101" t="str">
        <f t="shared" si="222"/>
        <v>专属强化石1</v>
      </c>
      <c r="FX249" s="101">
        <f t="shared" si="223"/>
        <v>3</v>
      </c>
      <c r="FY249" s="101" t="str">
        <f t="shared" si="224"/>
        <v/>
      </c>
      <c r="FZ249" s="101" t="str">
        <f t="shared" si="225"/>
        <v/>
      </c>
      <c r="GA249" s="101">
        <f t="shared" si="230"/>
        <v>0.32</v>
      </c>
      <c r="GB249" s="101">
        <f t="shared" si="231"/>
        <v>1</v>
      </c>
      <c r="GC249" s="101">
        <f t="shared" si="232"/>
        <v>5</v>
      </c>
      <c r="GD249" s="101">
        <f t="shared" si="233"/>
        <v>0</v>
      </c>
      <c r="GE249" s="101">
        <f t="shared" si="234"/>
        <v>1</v>
      </c>
      <c r="GF249" s="101">
        <f t="shared" si="235"/>
        <v>1</v>
      </c>
      <c r="GG249" s="101">
        <f t="shared" si="236"/>
        <v>0.1595</v>
      </c>
      <c r="GH249" s="101">
        <f t="shared" si="237"/>
        <v>1</v>
      </c>
      <c r="GI249" s="101">
        <f t="shared" si="238"/>
        <v>2</v>
      </c>
      <c r="GJ249" s="101">
        <f t="shared" si="239"/>
        <v>0.63819999999999999</v>
      </c>
      <c r="GK249" s="101">
        <f t="shared" si="240"/>
        <v>1</v>
      </c>
      <c r="GL249" s="101">
        <f t="shared" si="241"/>
        <v>5</v>
      </c>
    </row>
    <row r="250" spans="170:194" ht="16.5" x14ac:dyDescent="0.2">
      <c r="FN250" s="101">
        <v>245</v>
      </c>
      <c r="FO250" s="101">
        <f t="shared" si="226"/>
        <v>4</v>
      </c>
      <c r="FP250" s="101">
        <f t="shared" si="219"/>
        <v>4</v>
      </c>
      <c r="FQ250" s="14">
        <f t="shared" si="220"/>
        <v>3</v>
      </c>
      <c r="FR250" s="101" t="str">
        <f t="shared" si="227"/>
        <v>李轩辕专属武器-魂珠-1 4级</v>
      </c>
      <c r="FS250" s="101">
        <f t="shared" si="228"/>
        <v>1</v>
      </c>
      <c r="FT250" s="101">
        <f t="shared" si="229"/>
        <v>4</v>
      </c>
      <c r="FU250" s="101" t="str">
        <f t="shared" si="221"/>
        <v>金币</v>
      </c>
      <c r="FV250" s="139">
        <f>IF($FT250&gt;0,IF(INDEX($EI$6:$EI$77,$FO250)&gt;=FV$3,ROUND(INDEX(EK$6:EK$77,$FO250)*INDEX(卡牌消耗!$B$8:$F$8,FQ250)/5,0)*5,""),"")</f>
        <v>305</v>
      </c>
      <c r="FW250" s="101" t="str">
        <f t="shared" si="222"/>
        <v>专属强化石1</v>
      </c>
      <c r="FX250" s="101">
        <f t="shared" si="223"/>
        <v>4</v>
      </c>
      <c r="FY250" s="101" t="str">
        <f t="shared" si="224"/>
        <v/>
      </c>
      <c r="FZ250" s="101" t="str">
        <f t="shared" si="225"/>
        <v/>
      </c>
      <c r="GA250" s="101">
        <f t="shared" si="230"/>
        <v>0.26</v>
      </c>
      <c r="GB250" s="101">
        <f t="shared" si="231"/>
        <v>1</v>
      </c>
      <c r="GC250" s="101">
        <f t="shared" si="232"/>
        <v>6</v>
      </c>
      <c r="GD250" s="101">
        <f t="shared" si="233"/>
        <v>0</v>
      </c>
      <c r="GE250" s="101">
        <f t="shared" si="234"/>
        <v>1</v>
      </c>
      <c r="GF250" s="101">
        <f t="shared" si="235"/>
        <v>1</v>
      </c>
      <c r="GG250" s="101">
        <f t="shared" si="236"/>
        <v>0.12759999999999999</v>
      </c>
      <c r="GH250" s="101">
        <f t="shared" si="237"/>
        <v>1</v>
      </c>
      <c r="GI250" s="101">
        <f t="shared" si="238"/>
        <v>3</v>
      </c>
      <c r="GJ250" s="101">
        <f t="shared" si="239"/>
        <v>0.51060000000000005</v>
      </c>
      <c r="GK250" s="101">
        <f t="shared" si="240"/>
        <v>1</v>
      </c>
      <c r="GL250" s="101">
        <f t="shared" si="241"/>
        <v>6</v>
      </c>
    </row>
    <row r="251" spans="170:194" ht="16.5" x14ac:dyDescent="0.2">
      <c r="FN251" s="101">
        <v>246</v>
      </c>
      <c r="FO251" s="101">
        <f t="shared" si="226"/>
        <v>5</v>
      </c>
      <c r="FP251" s="101">
        <f t="shared" si="219"/>
        <v>4</v>
      </c>
      <c r="FQ251" s="14">
        <f t="shared" si="220"/>
        <v>3</v>
      </c>
      <c r="FR251" s="101" t="str">
        <f t="shared" si="227"/>
        <v>李轩辕专属武器-魂珠-1 5级</v>
      </c>
      <c r="FS251" s="101">
        <f t="shared" si="228"/>
        <v>1</v>
      </c>
      <c r="FT251" s="101">
        <f t="shared" si="229"/>
        <v>5</v>
      </c>
      <c r="FU251" s="101" t="str">
        <f t="shared" si="221"/>
        <v>金币</v>
      </c>
      <c r="FV251" s="139">
        <f>IF($FT251&gt;0,IF(INDEX($EI$6:$EI$77,$FO251)&gt;=FV$3,ROUND(INDEX(EK$6:EK$77,$FO251)*INDEX(卡牌消耗!$B$8:$F$8,FQ251)/5,0)*5,""),"")</f>
        <v>385</v>
      </c>
      <c r="FW251" s="101" t="str">
        <f t="shared" si="222"/>
        <v>专属强化石1</v>
      </c>
      <c r="FX251" s="101">
        <f t="shared" si="223"/>
        <v>5</v>
      </c>
      <c r="FY251" s="101" t="str">
        <f t="shared" si="224"/>
        <v/>
      </c>
      <c r="FZ251" s="101" t="str">
        <f t="shared" si="225"/>
        <v/>
      </c>
      <c r="GA251" s="101">
        <f t="shared" si="230"/>
        <v>0.2</v>
      </c>
      <c r="GB251" s="101">
        <f t="shared" si="231"/>
        <v>1</v>
      </c>
      <c r="GC251" s="101">
        <f t="shared" si="232"/>
        <v>8</v>
      </c>
      <c r="GD251" s="101">
        <f t="shared" si="233"/>
        <v>0</v>
      </c>
      <c r="GE251" s="101">
        <f t="shared" si="234"/>
        <v>1</v>
      </c>
      <c r="GF251" s="101">
        <f t="shared" si="235"/>
        <v>2</v>
      </c>
      <c r="GG251" s="101">
        <f t="shared" si="236"/>
        <v>9.9699999999999997E-2</v>
      </c>
      <c r="GH251" s="101">
        <f t="shared" si="237"/>
        <v>1</v>
      </c>
      <c r="GI251" s="101">
        <f t="shared" si="238"/>
        <v>4</v>
      </c>
      <c r="GJ251" s="101">
        <f t="shared" si="239"/>
        <v>0.39889999999999998</v>
      </c>
      <c r="GK251" s="101">
        <f t="shared" si="240"/>
        <v>1</v>
      </c>
      <c r="GL251" s="101">
        <f t="shared" si="241"/>
        <v>8</v>
      </c>
    </row>
    <row r="252" spans="170:194" ht="16.5" x14ac:dyDescent="0.2">
      <c r="FN252" s="101">
        <v>247</v>
      </c>
      <c r="FO252" s="101">
        <f t="shared" si="226"/>
        <v>6</v>
      </c>
      <c r="FP252" s="101">
        <f t="shared" si="219"/>
        <v>4</v>
      </c>
      <c r="FQ252" s="14">
        <f t="shared" si="220"/>
        <v>3</v>
      </c>
      <c r="FR252" s="101" t="str">
        <f t="shared" si="227"/>
        <v>李轩辕专属武器-魂珠-1 6级</v>
      </c>
      <c r="FS252" s="101">
        <f t="shared" si="228"/>
        <v>1</v>
      </c>
      <c r="FT252" s="101">
        <f t="shared" si="229"/>
        <v>6</v>
      </c>
      <c r="FU252" s="101" t="str">
        <f t="shared" si="221"/>
        <v>金币</v>
      </c>
      <c r="FV252" s="139">
        <f>IF($FT252&gt;0,IF(INDEX($EI$6:$EI$77,$FO252)&gt;=FV$3,ROUND(INDEX(EK$6:EK$77,$FO252)*INDEX(卡牌消耗!$B$8:$F$8,FQ252)/5,0)*5,""),"")</f>
        <v>460</v>
      </c>
      <c r="FW252" s="101" t="str">
        <f t="shared" si="222"/>
        <v>专属强化石1</v>
      </c>
      <c r="FX252" s="101">
        <f t="shared" si="223"/>
        <v>6</v>
      </c>
      <c r="FY252" s="101" t="str">
        <f t="shared" si="224"/>
        <v/>
      </c>
      <c r="FZ252" s="101" t="str">
        <f t="shared" si="225"/>
        <v/>
      </c>
      <c r="GA252" s="101">
        <f t="shared" si="230"/>
        <v>0.15</v>
      </c>
      <c r="GB252" s="101">
        <f t="shared" si="231"/>
        <v>1</v>
      </c>
      <c r="GC252" s="101">
        <f t="shared" si="232"/>
        <v>10</v>
      </c>
      <c r="GD252" s="101">
        <f t="shared" si="233"/>
        <v>0</v>
      </c>
      <c r="GE252" s="101">
        <f t="shared" si="234"/>
        <v>1</v>
      </c>
      <c r="GF252" s="101">
        <f t="shared" si="235"/>
        <v>2</v>
      </c>
      <c r="GG252" s="101">
        <f t="shared" si="236"/>
        <v>7.3599999999999999E-2</v>
      </c>
      <c r="GH252" s="101">
        <f t="shared" si="237"/>
        <v>1</v>
      </c>
      <c r="GI252" s="101">
        <f t="shared" si="238"/>
        <v>5</v>
      </c>
      <c r="GJ252" s="101">
        <f t="shared" si="239"/>
        <v>0.29459999999999997</v>
      </c>
      <c r="GK252" s="101">
        <f t="shared" si="240"/>
        <v>1</v>
      </c>
      <c r="GL252" s="101">
        <f t="shared" si="241"/>
        <v>10</v>
      </c>
    </row>
    <row r="253" spans="170:194" ht="16.5" x14ac:dyDescent="0.2">
      <c r="FN253" s="101">
        <v>248</v>
      </c>
      <c r="FO253" s="101">
        <f t="shared" si="226"/>
        <v>7</v>
      </c>
      <c r="FP253" s="101">
        <f t="shared" si="219"/>
        <v>4</v>
      </c>
      <c r="FQ253" s="14">
        <f t="shared" si="220"/>
        <v>3</v>
      </c>
      <c r="FR253" s="101" t="str">
        <f t="shared" si="227"/>
        <v>李轩辕专属武器-魂珠-1 7级</v>
      </c>
      <c r="FS253" s="101">
        <f t="shared" si="228"/>
        <v>1</v>
      </c>
      <c r="FT253" s="101">
        <f t="shared" si="229"/>
        <v>7</v>
      </c>
      <c r="FU253" s="101" t="str">
        <f t="shared" si="221"/>
        <v>金币</v>
      </c>
      <c r="FV253" s="139">
        <f>IF($FT253&gt;0,IF(INDEX($EI$6:$EI$77,$FO253)&gt;=FV$3,ROUND(INDEX(EK$6:EK$77,$FO253)*INDEX(卡牌消耗!$B$8:$F$8,FQ253)/5,0)*5,""),"")</f>
        <v>535</v>
      </c>
      <c r="FW253" s="101" t="str">
        <f t="shared" si="222"/>
        <v>专属强化石1</v>
      </c>
      <c r="FX253" s="101">
        <f t="shared" si="223"/>
        <v>7</v>
      </c>
      <c r="FY253" s="101" t="str">
        <f t="shared" si="224"/>
        <v/>
      </c>
      <c r="FZ253" s="101" t="str">
        <f t="shared" si="225"/>
        <v/>
      </c>
      <c r="GA253" s="101">
        <f t="shared" si="230"/>
        <v>0.11</v>
      </c>
      <c r="GB253" s="101">
        <f t="shared" si="231"/>
        <v>1</v>
      </c>
      <c r="GC253" s="101">
        <f t="shared" si="232"/>
        <v>14</v>
      </c>
      <c r="GD253" s="101">
        <f t="shared" si="233"/>
        <v>0</v>
      </c>
      <c r="GE253" s="101">
        <f t="shared" si="234"/>
        <v>1</v>
      </c>
      <c r="GF253" s="101">
        <f t="shared" si="235"/>
        <v>3</v>
      </c>
      <c r="GG253" s="101">
        <f t="shared" si="236"/>
        <v>5.3199999999999997E-2</v>
      </c>
      <c r="GH253" s="101">
        <f t="shared" si="237"/>
        <v>1</v>
      </c>
      <c r="GI253" s="101">
        <f t="shared" si="238"/>
        <v>7</v>
      </c>
      <c r="GJ253" s="101">
        <f t="shared" si="239"/>
        <v>0.2127</v>
      </c>
      <c r="GK253" s="101">
        <f t="shared" si="240"/>
        <v>1</v>
      </c>
      <c r="GL253" s="101">
        <f t="shared" si="241"/>
        <v>14</v>
      </c>
    </row>
    <row r="254" spans="170:194" ht="16.5" x14ac:dyDescent="0.2">
      <c r="FN254" s="101">
        <v>249</v>
      </c>
      <c r="FO254" s="101">
        <f t="shared" si="226"/>
        <v>8</v>
      </c>
      <c r="FP254" s="101">
        <f t="shared" si="219"/>
        <v>4</v>
      </c>
      <c r="FQ254" s="14">
        <f t="shared" si="220"/>
        <v>3</v>
      </c>
      <c r="FR254" s="101" t="str">
        <f t="shared" si="227"/>
        <v>李轩辕专属武器-魂珠-1 8级</v>
      </c>
      <c r="FS254" s="101">
        <f t="shared" si="228"/>
        <v>1</v>
      </c>
      <c r="FT254" s="101">
        <f t="shared" si="229"/>
        <v>8</v>
      </c>
      <c r="FU254" s="101" t="str">
        <f t="shared" si="221"/>
        <v>金币</v>
      </c>
      <c r="FV254" s="139">
        <f>IF($FT254&gt;0,IF(INDEX($EI$6:$EI$77,$FO254)&gt;=FV$3,ROUND(INDEX(EK$6:EK$77,$FO254)*INDEX(卡牌消耗!$B$8:$F$8,FQ254)/5,0)*5,""),"")</f>
        <v>615</v>
      </c>
      <c r="FW254" s="101" t="str">
        <f t="shared" si="222"/>
        <v>专属强化石1</v>
      </c>
      <c r="FX254" s="101">
        <f t="shared" si="223"/>
        <v>8</v>
      </c>
      <c r="FY254" s="101" t="str">
        <f t="shared" si="224"/>
        <v/>
      </c>
      <c r="FZ254" s="101" t="str">
        <f t="shared" si="225"/>
        <v/>
      </c>
      <c r="GA254" s="101">
        <f t="shared" si="230"/>
        <v>0.08</v>
      </c>
      <c r="GB254" s="101">
        <f t="shared" si="231"/>
        <v>1</v>
      </c>
      <c r="GC254" s="101">
        <f t="shared" si="232"/>
        <v>20</v>
      </c>
      <c r="GD254" s="101">
        <f t="shared" si="233"/>
        <v>0</v>
      </c>
      <c r="GE254" s="101">
        <f t="shared" si="234"/>
        <v>1</v>
      </c>
      <c r="GF254" s="101">
        <f t="shared" si="235"/>
        <v>5</v>
      </c>
      <c r="GG254" s="101">
        <f t="shared" si="236"/>
        <v>3.7499999999999999E-2</v>
      </c>
      <c r="GH254" s="101">
        <f t="shared" si="237"/>
        <v>1</v>
      </c>
      <c r="GI254" s="101">
        <f t="shared" si="238"/>
        <v>9</v>
      </c>
      <c r="GJ254" s="101">
        <f t="shared" si="239"/>
        <v>0.1502</v>
      </c>
      <c r="GK254" s="101">
        <f t="shared" si="240"/>
        <v>1</v>
      </c>
      <c r="GL254" s="101">
        <f t="shared" si="241"/>
        <v>20</v>
      </c>
    </row>
    <row r="255" spans="170:194" ht="16.5" x14ac:dyDescent="0.2">
      <c r="FN255" s="101">
        <v>250</v>
      </c>
      <c r="FO255" s="101">
        <f t="shared" si="226"/>
        <v>9</v>
      </c>
      <c r="FP255" s="101">
        <f t="shared" si="219"/>
        <v>4</v>
      </c>
      <c r="FQ255" s="14">
        <f t="shared" si="220"/>
        <v>3</v>
      </c>
      <c r="FR255" s="101" t="str">
        <f t="shared" si="227"/>
        <v>李轩辕专属武器-魂珠-1 9级</v>
      </c>
      <c r="FS255" s="101">
        <f t="shared" si="228"/>
        <v>1</v>
      </c>
      <c r="FT255" s="101">
        <f t="shared" si="229"/>
        <v>9</v>
      </c>
      <c r="FU255" s="101" t="str">
        <f t="shared" si="221"/>
        <v>金币</v>
      </c>
      <c r="FV255" s="139">
        <f>IF($FT255&gt;0,IF(INDEX($EI$6:$EI$77,$FO255)&gt;=FV$3,ROUND(INDEX(EK$6:EK$77,$FO255)*INDEX(卡牌消耗!$B$8:$F$8,FQ255)/5,0)*5,""),"")</f>
        <v>765</v>
      </c>
      <c r="FW255" s="101" t="str">
        <f t="shared" si="222"/>
        <v>专属强化石1</v>
      </c>
      <c r="FX255" s="101">
        <f t="shared" si="223"/>
        <v>10</v>
      </c>
      <c r="FY255" s="101" t="str">
        <f t="shared" si="224"/>
        <v/>
      </c>
      <c r="FZ255" s="101" t="str">
        <f t="shared" si="225"/>
        <v/>
      </c>
      <c r="GA255" s="101">
        <f t="shared" si="230"/>
        <v>0.06</v>
      </c>
      <c r="GB255" s="101">
        <f t="shared" si="231"/>
        <v>1</v>
      </c>
      <c r="GC255" s="101">
        <f t="shared" si="232"/>
        <v>26</v>
      </c>
      <c r="GD255" s="101">
        <f t="shared" si="233"/>
        <v>0</v>
      </c>
      <c r="GE255" s="101">
        <f t="shared" si="234"/>
        <v>1</v>
      </c>
      <c r="GF255" s="101">
        <f t="shared" si="235"/>
        <v>6</v>
      </c>
      <c r="GG255" s="101">
        <f t="shared" si="236"/>
        <v>2.9000000000000001E-2</v>
      </c>
      <c r="GH255" s="101">
        <f t="shared" si="237"/>
        <v>1</v>
      </c>
      <c r="GI255" s="101">
        <f t="shared" si="238"/>
        <v>12</v>
      </c>
      <c r="GJ255" s="101">
        <f t="shared" si="239"/>
        <v>0.11600000000000001</v>
      </c>
      <c r="GK255" s="101">
        <f t="shared" si="240"/>
        <v>1</v>
      </c>
      <c r="GL255" s="101">
        <f t="shared" si="241"/>
        <v>26</v>
      </c>
    </row>
    <row r="256" spans="170:194" ht="16.5" x14ac:dyDescent="0.2">
      <c r="FN256" s="101">
        <v>251</v>
      </c>
      <c r="FO256" s="101">
        <f t="shared" si="226"/>
        <v>0</v>
      </c>
      <c r="FP256" s="101">
        <f t="shared" si="219"/>
        <v>4</v>
      </c>
      <c r="FQ256" s="14">
        <f t="shared" si="220"/>
        <v>3</v>
      </c>
      <c r="FR256" s="101" t="str">
        <f t="shared" si="227"/>
        <v>李轩辕专属武器-魂珠-2 0级</v>
      </c>
      <c r="FS256" s="101">
        <f t="shared" si="228"/>
        <v>2</v>
      </c>
      <c r="FT256" s="101">
        <f t="shared" si="229"/>
        <v>0</v>
      </c>
      <c r="FU256" s="101" t="str">
        <f t="shared" si="221"/>
        <v/>
      </c>
      <c r="FV256" s="139" t="str">
        <f>IF($FT256&gt;0,IF(INDEX($EI$6:$EI$77,$FO256)&gt;=FV$3,ROUND(INDEX(EK$6:EK$77,$FO256)*INDEX(卡牌消耗!$B$8:$F$8,FQ256)/5,0)*5,""),"")</f>
        <v/>
      </c>
      <c r="FW256" s="101" t="str">
        <f t="shared" si="222"/>
        <v/>
      </c>
      <c r="FX256" s="101" t="str">
        <f t="shared" si="223"/>
        <v/>
      </c>
      <c r="FY256" s="101" t="str">
        <f t="shared" si="224"/>
        <v/>
      </c>
      <c r="FZ256" s="101" t="str">
        <f t="shared" si="225"/>
        <v/>
      </c>
      <c r="GA256" s="101" t="str">
        <f t="shared" si="230"/>
        <v/>
      </c>
      <c r="GB256" s="101" t="str">
        <f t="shared" si="231"/>
        <v/>
      </c>
      <c r="GC256" s="101" t="str">
        <f t="shared" si="232"/>
        <v/>
      </c>
      <c r="GD256" s="101" t="str">
        <f t="shared" si="233"/>
        <v/>
      </c>
      <c r="GE256" s="101" t="str">
        <f t="shared" si="234"/>
        <v/>
      </c>
      <c r="GF256" s="101" t="str">
        <f t="shared" si="235"/>
        <v/>
      </c>
      <c r="GG256" s="101" t="str">
        <f t="shared" si="236"/>
        <v/>
      </c>
      <c r="GH256" s="101" t="str">
        <f t="shared" si="237"/>
        <v/>
      </c>
      <c r="GI256" s="101" t="str">
        <f t="shared" si="238"/>
        <v/>
      </c>
      <c r="GJ256" s="101" t="str">
        <f t="shared" si="239"/>
        <v/>
      </c>
      <c r="GK256" s="101" t="str">
        <f t="shared" si="240"/>
        <v/>
      </c>
      <c r="GL256" s="101" t="str">
        <f t="shared" si="241"/>
        <v/>
      </c>
    </row>
    <row r="257" spans="170:194" ht="16.5" x14ac:dyDescent="0.2">
      <c r="FN257" s="101">
        <v>252</v>
      </c>
      <c r="FO257" s="101">
        <f t="shared" si="226"/>
        <v>10</v>
      </c>
      <c r="FP257" s="101">
        <f t="shared" si="219"/>
        <v>4</v>
      </c>
      <c r="FQ257" s="14">
        <f t="shared" si="220"/>
        <v>3</v>
      </c>
      <c r="FR257" s="101" t="str">
        <f t="shared" si="227"/>
        <v>李轩辕专属武器-魂珠-2 1级</v>
      </c>
      <c r="FS257" s="101">
        <f t="shared" si="228"/>
        <v>2</v>
      </c>
      <c r="FT257" s="101">
        <f t="shared" si="229"/>
        <v>1</v>
      </c>
      <c r="FU257" s="101" t="str">
        <f t="shared" si="221"/>
        <v>金币</v>
      </c>
      <c r="FV257" s="139">
        <f>IF($FT257&gt;0,IF(INDEX($EI$6:$EI$77,$FO257)&gt;=FV$3,ROUND(INDEX(EK$6:EK$77,$FO257)*INDEX(卡牌消耗!$B$8:$F$8,FQ257)/5,0)*5,""),"")</f>
        <v>260</v>
      </c>
      <c r="FW257" s="101" t="str">
        <f t="shared" si="222"/>
        <v>专属强化石1</v>
      </c>
      <c r="FX257" s="101">
        <f t="shared" si="223"/>
        <v>3</v>
      </c>
      <c r="FY257" s="101" t="str">
        <f t="shared" si="224"/>
        <v>专属强化石2</v>
      </c>
      <c r="FZ257" s="101">
        <f t="shared" si="225"/>
        <v>1</v>
      </c>
      <c r="GA257" s="101">
        <f t="shared" si="230"/>
        <v>0.39</v>
      </c>
      <c r="GB257" s="101">
        <f t="shared" si="231"/>
        <v>1</v>
      </c>
      <c r="GC257" s="101">
        <f t="shared" si="232"/>
        <v>4</v>
      </c>
      <c r="GD257" s="101">
        <f t="shared" si="233"/>
        <v>0</v>
      </c>
      <c r="GE257" s="101">
        <f t="shared" si="234"/>
        <v>1</v>
      </c>
      <c r="GF257" s="101">
        <f t="shared" si="235"/>
        <v>1</v>
      </c>
      <c r="GG257" s="101">
        <f t="shared" si="236"/>
        <v>0.19270000000000001</v>
      </c>
      <c r="GH257" s="101">
        <f t="shared" si="237"/>
        <v>1</v>
      </c>
      <c r="GI257" s="101">
        <f t="shared" si="238"/>
        <v>2</v>
      </c>
      <c r="GJ257" s="101">
        <f t="shared" si="239"/>
        <v>0.77070000000000005</v>
      </c>
      <c r="GK257" s="101">
        <f t="shared" si="240"/>
        <v>1</v>
      </c>
      <c r="GL257" s="101">
        <f t="shared" si="241"/>
        <v>4</v>
      </c>
    </row>
    <row r="258" spans="170:194" ht="16.5" x14ac:dyDescent="0.2">
      <c r="FN258" s="101">
        <v>253</v>
      </c>
      <c r="FO258" s="101">
        <f t="shared" si="226"/>
        <v>11</v>
      </c>
      <c r="FP258" s="101">
        <f t="shared" si="219"/>
        <v>4</v>
      </c>
      <c r="FQ258" s="14">
        <f t="shared" si="220"/>
        <v>3</v>
      </c>
      <c r="FR258" s="101" t="str">
        <f t="shared" si="227"/>
        <v>李轩辕专属武器-魂珠-2 2级</v>
      </c>
      <c r="FS258" s="101">
        <f t="shared" si="228"/>
        <v>2</v>
      </c>
      <c r="FT258" s="101">
        <f t="shared" si="229"/>
        <v>2</v>
      </c>
      <c r="FU258" s="101" t="str">
        <f t="shared" si="221"/>
        <v>金币</v>
      </c>
      <c r="FV258" s="139">
        <f>IF($FT258&gt;0,IF(INDEX($EI$6:$EI$77,$FO258)&gt;=FV$3,ROUND(INDEX(EK$6:EK$77,$FO258)*INDEX(卡牌消耗!$B$8:$F$8,FQ258)/5,0)*5,""),"")</f>
        <v>195</v>
      </c>
      <c r="FW258" s="101" t="str">
        <f t="shared" si="222"/>
        <v>专属强化石1</v>
      </c>
      <c r="FX258" s="101">
        <f t="shared" si="223"/>
        <v>3</v>
      </c>
      <c r="FY258" s="101" t="str">
        <f t="shared" si="224"/>
        <v>专属强化石2</v>
      </c>
      <c r="FZ258" s="101">
        <f t="shared" si="225"/>
        <v>1</v>
      </c>
      <c r="GA258" s="101">
        <f t="shared" si="230"/>
        <v>0.19</v>
      </c>
      <c r="GB258" s="101">
        <f t="shared" si="231"/>
        <v>1</v>
      </c>
      <c r="GC258" s="101">
        <f t="shared" si="232"/>
        <v>8</v>
      </c>
      <c r="GD258" s="101">
        <f t="shared" si="233"/>
        <v>0</v>
      </c>
      <c r="GE258" s="101">
        <f t="shared" si="234"/>
        <v>1</v>
      </c>
      <c r="GF258" s="101">
        <f t="shared" si="235"/>
        <v>2</v>
      </c>
      <c r="GG258" s="101">
        <f t="shared" si="236"/>
        <v>9.6299999999999997E-2</v>
      </c>
      <c r="GH258" s="101">
        <f t="shared" si="237"/>
        <v>1</v>
      </c>
      <c r="GI258" s="101">
        <f t="shared" si="238"/>
        <v>4</v>
      </c>
      <c r="GJ258" s="101">
        <f t="shared" si="239"/>
        <v>0.38529999999999998</v>
      </c>
      <c r="GK258" s="101">
        <f t="shared" si="240"/>
        <v>1</v>
      </c>
      <c r="GL258" s="101">
        <f t="shared" si="241"/>
        <v>8</v>
      </c>
    </row>
    <row r="259" spans="170:194" ht="16.5" x14ac:dyDescent="0.2">
      <c r="FN259" s="101">
        <v>254</v>
      </c>
      <c r="FO259" s="101">
        <f t="shared" si="226"/>
        <v>12</v>
      </c>
      <c r="FP259" s="101">
        <f t="shared" si="219"/>
        <v>4</v>
      </c>
      <c r="FQ259" s="14">
        <f t="shared" si="220"/>
        <v>3</v>
      </c>
      <c r="FR259" s="101" t="str">
        <f t="shared" si="227"/>
        <v>李轩辕专属武器-魂珠-2 3级</v>
      </c>
      <c r="FS259" s="101">
        <f t="shared" si="228"/>
        <v>2</v>
      </c>
      <c r="FT259" s="101">
        <f t="shared" si="229"/>
        <v>3</v>
      </c>
      <c r="FU259" s="101" t="str">
        <f t="shared" si="221"/>
        <v>金币</v>
      </c>
      <c r="FV259" s="139">
        <f>IF($FT259&gt;0,IF(INDEX($EI$6:$EI$77,$FO259)&gt;=FV$3,ROUND(INDEX(EK$6:EK$77,$FO259)*INDEX(卡牌消耗!$B$8:$F$8,FQ259)/5,0)*5,""),"")</f>
        <v>435</v>
      </c>
      <c r="FW259" s="101" t="str">
        <f t="shared" si="222"/>
        <v>专属强化石1</v>
      </c>
      <c r="FX259" s="101">
        <f t="shared" si="223"/>
        <v>6</v>
      </c>
      <c r="FY259" s="101" t="str">
        <f t="shared" si="224"/>
        <v>专属强化石2</v>
      </c>
      <c r="FZ259" s="101">
        <f t="shared" si="225"/>
        <v>2</v>
      </c>
      <c r="GA259" s="101">
        <f t="shared" si="230"/>
        <v>0.26</v>
      </c>
      <c r="GB259" s="101">
        <f t="shared" si="231"/>
        <v>1</v>
      </c>
      <c r="GC259" s="101">
        <f t="shared" si="232"/>
        <v>6</v>
      </c>
      <c r="GD259" s="101">
        <f t="shared" si="233"/>
        <v>0</v>
      </c>
      <c r="GE259" s="101">
        <f t="shared" si="234"/>
        <v>1</v>
      </c>
      <c r="GF259" s="101">
        <f t="shared" si="235"/>
        <v>1</v>
      </c>
      <c r="GG259" s="101">
        <f t="shared" si="236"/>
        <v>0.12839999999999999</v>
      </c>
      <c r="GH259" s="101">
        <f t="shared" si="237"/>
        <v>1</v>
      </c>
      <c r="GI259" s="101">
        <f t="shared" si="238"/>
        <v>3</v>
      </c>
      <c r="GJ259" s="101">
        <f t="shared" si="239"/>
        <v>0.51380000000000003</v>
      </c>
      <c r="GK259" s="101">
        <f t="shared" si="240"/>
        <v>1</v>
      </c>
      <c r="GL259" s="101">
        <f t="shared" si="241"/>
        <v>6</v>
      </c>
    </row>
    <row r="260" spans="170:194" ht="16.5" x14ac:dyDescent="0.2">
      <c r="FN260" s="101">
        <v>255</v>
      </c>
      <c r="FO260" s="101">
        <f t="shared" si="226"/>
        <v>13</v>
      </c>
      <c r="FP260" s="101">
        <f t="shared" si="219"/>
        <v>4</v>
      </c>
      <c r="FQ260" s="14">
        <f t="shared" si="220"/>
        <v>3</v>
      </c>
      <c r="FR260" s="101" t="str">
        <f t="shared" si="227"/>
        <v>李轩辕专属武器-魂珠-2 4级</v>
      </c>
      <c r="FS260" s="101">
        <f t="shared" si="228"/>
        <v>2</v>
      </c>
      <c r="FT260" s="101">
        <f t="shared" si="229"/>
        <v>4</v>
      </c>
      <c r="FU260" s="101" t="str">
        <f t="shared" si="221"/>
        <v>金币</v>
      </c>
      <c r="FV260" s="139">
        <f>IF($FT260&gt;0,IF(INDEX($EI$6:$EI$77,$FO260)&gt;=FV$3,ROUND(INDEX(EK$6:EK$77,$FO260)*INDEX(卡牌消耗!$B$8:$F$8,FQ260)/5,0)*5,""),"")</f>
        <v>420</v>
      </c>
      <c r="FW260" s="101" t="str">
        <f t="shared" si="222"/>
        <v>专属强化石1</v>
      </c>
      <c r="FX260" s="101">
        <f t="shared" si="223"/>
        <v>6</v>
      </c>
      <c r="FY260" s="101" t="str">
        <f t="shared" si="224"/>
        <v>专属强化石2</v>
      </c>
      <c r="FZ260" s="101">
        <f t="shared" si="225"/>
        <v>2</v>
      </c>
      <c r="GA260" s="101">
        <f t="shared" si="230"/>
        <v>0.15</v>
      </c>
      <c r="GB260" s="101">
        <f t="shared" si="231"/>
        <v>1</v>
      </c>
      <c r="GC260" s="101">
        <f t="shared" si="232"/>
        <v>10</v>
      </c>
      <c r="GD260" s="101">
        <f t="shared" si="233"/>
        <v>0</v>
      </c>
      <c r="GE260" s="101">
        <f t="shared" si="234"/>
        <v>1</v>
      </c>
      <c r="GF260" s="101">
        <f t="shared" si="235"/>
        <v>2</v>
      </c>
      <c r="GG260" s="101">
        <f t="shared" si="236"/>
        <v>7.7100000000000002E-2</v>
      </c>
      <c r="GH260" s="101">
        <f t="shared" si="237"/>
        <v>1</v>
      </c>
      <c r="GI260" s="101">
        <f t="shared" si="238"/>
        <v>5</v>
      </c>
      <c r="GJ260" s="101">
        <f t="shared" si="239"/>
        <v>0.30830000000000002</v>
      </c>
      <c r="GK260" s="101">
        <f t="shared" si="240"/>
        <v>1</v>
      </c>
      <c r="GL260" s="101">
        <f t="shared" si="241"/>
        <v>10</v>
      </c>
    </row>
    <row r="261" spans="170:194" ht="16.5" x14ac:dyDescent="0.2">
      <c r="FN261" s="101">
        <v>256</v>
      </c>
      <c r="FO261" s="101">
        <f t="shared" si="226"/>
        <v>14</v>
      </c>
      <c r="FP261" s="101">
        <f t="shared" si="219"/>
        <v>4</v>
      </c>
      <c r="FQ261" s="14">
        <f t="shared" si="220"/>
        <v>3</v>
      </c>
      <c r="FR261" s="101" t="str">
        <f t="shared" si="227"/>
        <v>李轩辕专属武器-魂珠-2 5级</v>
      </c>
      <c r="FS261" s="101">
        <f t="shared" si="228"/>
        <v>2</v>
      </c>
      <c r="FT261" s="101">
        <f t="shared" si="229"/>
        <v>5</v>
      </c>
      <c r="FU261" s="101" t="str">
        <f t="shared" si="221"/>
        <v>金币</v>
      </c>
      <c r="FV261" s="139">
        <f>IF($FT261&gt;0,IF(INDEX($EI$6:$EI$77,$FO261)&gt;=FV$3,ROUND(INDEX(EK$6:EK$77,$FO261)*INDEX(卡牌消耗!$B$8:$F$8,FQ261)/5,0)*5,""),"")</f>
        <v>635</v>
      </c>
      <c r="FW261" s="101" t="str">
        <f t="shared" si="222"/>
        <v>专属强化石1</v>
      </c>
      <c r="FX261" s="101">
        <f t="shared" si="223"/>
        <v>9</v>
      </c>
      <c r="FY261" s="101" t="str">
        <f t="shared" si="224"/>
        <v>专属强化石2</v>
      </c>
      <c r="FZ261" s="101">
        <f t="shared" si="225"/>
        <v>3</v>
      </c>
      <c r="GA261" s="101">
        <f t="shared" si="230"/>
        <v>0.14000000000000001</v>
      </c>
      <c r="GB261" s="101">
        <f t="shared" si="231"/>
        <v>1</v>
      </c>
      <c r="GC261" s="101">
        <f t="shared" si="232"/>
        <v>10</v>
      </c>
      <c r="GD261" s="101">
        <f t="shared" si="233"/>
        <v>0</v>
      </c>
      <c r="GE261" s="101">
        <f t="shared" si="234"/>
        <v>1</v>
      </c>
      <c r="GF261" s="101">
        <f t="shared" si="235"/>
        <v>2</v>
      </c>
      <c r="GG261" s="101">
        <f t="shared" si="236"/>
        <v>7.22E-2</v>
      </c>
      <c r="GH261" s="101">
        <f t="shared" si="237"/>
        <v>1</v>
      </c>
      <c r="GI261" s="101">
        <f t="shared" si="238"/>
        <v>5</v>
      </c>
      <c r="GJ261" s="101">
        <f t="shared" si="239"/>
        <v>0.28899999999999998</v>
      </c>
      <c r="GK261" s="101">
        <f t="shared" si="240"/>
        <v>1</v>
      </c>
      <c r="GL261" s="101">
        <f t="shared" si="241"/>
        <v>10</v>
      </c>
    </row>
    <row r="262" spans="170:194" ht="16.5" x14ac:dyDescent="0.2">
      <c r="FN262" s="101">
        <v>257</v>
      </c>
      <c r="FO262" s="101">
        <f t="shared" si="226"/>
        <v>15</v>
      </c>
      <c r="FP262" s="101">
        <f t="shared" si="219"/>
        <v>4</v>
      </c>
      <c r="FQ262" s="14">
        <f t="shared" si="220"/>
        <v>3</v>
      </c>
      <c r="FR262" s="101" t="str">
        <f t="shared" si="227"/>
        <v>李轩辕专属武器-魂珠-2 6级</v>
      </c>
      <c r="FS262" s="101">
        <f t="shared" si="228"/>
        <v>2</v>
      </c>
      <c r="FT262" s="101">
        <f t="shared" si="229"/>
        <v>6</v>
      </c>
      <c r="FU262" s="101" t="str">
        <f t="shared" si="221"/>
        <v>金币</v>
      </c>
      <c r="FV262" s="139">
        <f>IF($FT262&gt;0,IF(INDEX($EI$6:$EI$77,$FO262)&gt;=FV$3,ROUND(INDEX(EK$6:EK$77,$FO262)*INDEX(卡牌消耗!$B$8:$F$8,FQ262)/5,0)*5,""),"")</f>
        <v>845</v>
      </c>
      <c r="FW262" s="101" t="str">
        <f t="shared" si="222"/>
        <v>专属强化石1</v>
      </c>
      <c r="FX262" s="101">
        <f t="shared" si="223"/>
        <v>12</v>
      </c>
      <c r="FY262" s="101" t="str">
        <f t="shared" si="224"/>
        <v>专属强化石2</v>
      </c>
      <c r="FZ262" s="101">
        <f t="shared" si="225"/>
        <v>4</v>
      </c>
      <c r="GA262" s="101">
        <f t="shared" si="230"/>
        <v>0.12</v>
      </c>
      <c r="GB262" s="101">
        <f t="shared" si="231"/>
        <v>1</v>
      </c>
      <c r="GC262" s="101">
        <f t="shared" si="232"/>
        <v>13</v>
      </c>
      <c r="GD262" s="101">
        <f t="shared" si="233"/>
        <v>0</v>
      </c>
      <c r="GE262" s="101">
        <f t="shared" si="234"/>
        <v>1</v>
      </c>
      <c r="GF262" s="101">
        <f t="shared" si="235"/>
        <v>3</v>
      </c>
      <c r="GG262" s="101">
        <f t="shared" si="236"/>
        <v>5.9299999999999999E-2</v>
      </c>
      <c r="GH262" s="101">
        <f t="shared" si="237"/>
        <v>1</v>
      </c>
      <c r="GI262" s="101">
        <f t="shared" si="238"/>
        <v>6</v>
      </c>
      <c r="GJ262" s="101">
        <f t="shared" si="239"/>
        <v>0.23710000000000001</v>
      </c>
      <c r="GK262" s="101">
        <f t="shared" si="240"/>
        <v>1</v>
      </c>
      <c r="GL262" s="101">
        <f t="shared" si="241"/>
        <v>13</v>
      </c>
    </row>
    <row r="263" spans="170:194" ht="16.5" x14ac:dyDescent="0.2">
      <c r="FN263" s="101">
        <v>258</v>
      </c>
      <c r="FO263" s="101">
        <f t="shared" si="226"/>
        <v>16</v>
      </c>
      <c r="FP263" s="101">
        <f t="shared" ref="FP263:FP326" si="242">INT((FN263-1)/80+1)</f>
        <v>4</v>
      </c>
      <c r="FQ263" s="14">
        <f t="shared" ref="FQ263:FQ326" si="243">INDEX($FJ$6:$FJ$26,FP263)</f>
        <v>3</v>
      </c>
      <c r="FR263" s="101" t="str">
        <f t="shared" si="227"/>
        <v>李轩辕专属武器-魂珠-2 7级</v>
      </c>
      <c r="FS263" s="101">
        <f t="shared" si="228"/>
        <v>2</v>
      </c>
      <c r="FT263" s="101">
        <f t="shared" si="229"/>
        <v>7</v>
      </c>
      <c r="FU263" s="101" t="str">
        <f t="shared" ref="FU263:FU326" si="244">IF($FT263&gt;0,IF(INDEX($EI$6:$EI$77,$FO263)&gt;=FU$3,INDEX(EJ$6:EJ$77,$FO263),""),"")</f>
        <v>金币</v>
      </c>
      <c r="FV263" s="139">
        <f>IF($FT263&gt;0,IF(INDEX($EI$6:$EI$77,$FO263)&gt;=FV$3,ROUND(INDEX(EK$6:EK$77,$FO263)*INDEX(卡牌消耗!$B$8:$F$8,FQ263)/5,0)*5,""),"")</f>
        <v>1060</v>
      </c>
      <c r="FW263" s="101" t="str">
        <f t="shared" ref="FW263:FW326" si="245">IF($FT263&gt;0,IF(INDEX($EI$6:$EI$77,$FO263)&gt;=FW$3,INDEX(EL$6:EL$77,$FO263),""),"")</f>
        <v>专属强化石1</v>
      </c>
      <c r="FX263" s="101">
        <f t="shared" ref="FX263:FX326" si="246">IF($FT263&gt;0,IF(INDEX($EI$6:$EI$77,$FO263)&gt;=FX$3,INDEX(EM$6:EM$77,$FO263),""),"")</f>
        <v>15</v>
      </c>
      <c r="FY263" s="101" t="str">
        <f t="shared" ref="FY263:FY326" si="247">IF($FT263&gt;0,IF(INDEX($EI$6:$EI$77,$FO263)&gt;=FY$3,INDEX(EN$6:EN$77,$FO263),""),"")</f>
        <v>专属强化石2</v>
      </c>
      <c r="FZ263" s="101">
        <f t="shared" ref="FZ263:FZ326" si="248">IF($FT263&gt;0,IF(INDEX($EI$6:$EI$77,$FO263)&gt;=FZ$3,INDEX(EO$6:EO$77,$FO263),""),"")</f>
        <v>5</v>
      </c>
      <c r="GA263" s="101">
        <f t="shared" si="230"/>
        <v>0.09</v>
      </c>
      <c r="GB263" s="101">
        <f t="shared" si="231"/>
        <v>1</v>
      </c>
      <c r="GC263" s="101">
        <f t="shared" si="232"/>
        <v>16</v>
      </c>
      <c r="GD263" s="101">
        <f t="shared" si="233"/>
        <v>0</v>
      </c>
      <c r="GE263" s="101">
        <f t="shared" si="234"/>
        <v>1</v>
      </c>
      <c r="GF263" s="101">
        <f t="shared" si="235"/>
        <v>4</v>
      </c>
      <c r="GG263" s="101">
        <f t="shared" si="236"/>
        <v>4.5900000000000003E-2</v>
      </c>
      <c r="GH263" s="101">
        <f t="shared" si="237"/>
        <v>1</v>
      </c>
      <c r="GI263" s="101">
        <f t="shared" si="238"/>
        <v>8</v>
      </c>
      <c r="GJ263" s="101">
        <f t="shared" si="239"/>
        <v>0.1835</v>
      </c>
      <c r="GK263" s="101">
        <f t="shared" si="240"/>
        <v>1</v>
      </c>
      <c r="GL263" s="101">
        <f t="shared" si="241"/>
        <v>16</v>
      </c>
    </row>
    <row r="264" spans="170:194" ht="16.5" x14ac:dyDescent="0.2">
      <c r="FN264" s="101">
        <v>259</v>
      </c>
      <c r="FO264" s="101">
        <f t="shared" si="226"/>
        <v>17</v>
      </c>
      <c r="FP264" s="101">
        <f t="shared" si="242"/>
        <v>4</v>
      </c>
      <c r="FQ264" s="14">
        <f t="shared" si="243"/>
        <v>3</v>
      </c>
      <c r="FR264" s="101" t="str">
        <f t="shared" si="227"/>
        <v>李轩辕专属武器-魂珠-2 8级</v>
      </c>
      <c r="FS264" s="101">
        <f t="shared" si="228"/>
        <v>2</v>
      </c>
      <c r="FT264" s="101">
        <f t="shared" si="229"/>
        <v>8</v>
      </c>
      <c r="FU264" s="101" t="str">
        <f t="shared" si="244"/>
        <v>金币</v>
      </c>
      <c r="FV264" s="139">
        <f>IF($FT264&gt;0,IF(INDEX($EI$6:$EI$77,$FO264)&gt;=FV$3,ROUND(INDEX(EK$6:EK$77,$FO264)*INDEX(卡牌消耗!$B$8:$F$8,FQ264)/5,0)*5,""),"")</f>
        <v>1270</v>
      </c>
      <c r="FW264" s="101" t="str">
        <f t="shared" si="245"/>
        <v>专属强化石1</v>
      </c>
      <c r="FX264" s="101">
        <f t="shared" si="246"/>
        <v>18</v>
      </c>
      <c r="FY264" s="101" t="str">
        <f t="shared" si="247"/>
        <v>专属强化石2</v>
      </c>
      <c r="FZ264" s="101">
        <f t="shared" si="248"/>
        <v>6</v>
      </c>
      <c r="GA264" s="101">
        <f t="shared" si="230"/>
        <v>7.0000000000000007E-2</v>
      </c>
      <c r="GB264" s="101">
        <f t="shared" si="231"/>
        <v>1</v>
      </c>
      <c r="GC264" s="101">
        <f t="shared" si="232"/>
        <v>22</v>
      </c>
      <c r="GD264" s="101">
        <f t="shared" si="233"/>
        <v>0</v>
      </c>
      <c r="GE264" s="101">
        <f t="shared" si="234"/>
        <v>1</v>
      </c>
      <c r="GF264" s="101">
        <f t="shared" si="235"/>
        <v>5</v>
      </c>
      <c r="GG264" s="101">
        <f t="shared" si="236"/>
        <v>3.4000000000000002E-2</v>
      </c>
      <c r="GH264" s="101">
        <f t="shared" si="237"/>
        <v>1</v>
      </c>
      <c r="GI264" s="101">
        <f t="shared" si="238"/>
        <v>10</v>
      </c>
      <c r="GJ264" s="101">
        <f t="shared" si="239"/>
        <v>0.13600000000000001</v>
      </c>
      <c r="GK264" s="101">
        <f t="shared" si="240"/>
        <v>1</v>
      </c>
      <c r="GL264" s="101">
        <f t="shared" si="241"/>
        <v>22</v>
      </c>
    </row>
    <row r="265" spans="170:194" ht="16.5" x14ac:dyDescent="0.2">
      <c r="FN265" s="101">
        <v>260</v>
      </c>
      <c r="FO265" s="101">
        <f t="shared" si="226"/>
        <v>18</v>
      </c>
      <c r="FP265" s="101">
        <f t="shared" si="242"/>
        <v>4</v>
      </c>
      <c r="FQ265" s="14">
        <f t="shared" si="243"/>
        <v>3</v>
      </c>
      <c r="FR265" s="101" t="str">
        <f t="shared" si="227"/>
        <v>李轩辕专属武器-魂珠-2 9级</v>
      </c>
      <c r="FS265" s="101">
        <f t="shared" si="228"/>
        <v>2</v>
      </c>
      <c r="FT265" s="101">
        <f t="shared" si="229"/>
        <v>9</v>
      </c>
      <c r="FU265" s="101" t="str">
        <f t="shared" si="244"/>
        <v>金币</v>
      </c>
      <c r="FV265" s="139">
        <f>IF($FT265&gt;0,IF(INDEX($EI$6:$EI$77,$FO265)&gt;=FV$3,ROUND(INDEX(EK$6:EK$77,$FO265)*INDEX(卡牌消耗!$B$8:$F$8,FQ265)/5,0)*5,""),"")</f>
        <v>1695</v>
      </c>
      <c r="FW265" s="101" t="str">
        <f t="shared" si="245"/>
        <v>专属强化石1</v>
      </c>
      <c r="FX265" s="101">
        <f t="shared" si="246"/>
        <v>24</v>
      </c>
      <c r="FY265" s="101" t="str">
        <f t="shared" si="247"/>
        <v>专属强化石2</v>
      </c>
      <c r="FZ265" s="101">
        <f t="shared" si="248"/>
        <v>8</v>
      </c>
      <c r="GA265" s="101">
        <f t="shared" si="230"/>
        <v>0.06</v>
      </c>
      <c r="GB265" s="101">
        <f t="shared" si="231"/>
        <v>1</v>
      </c>
      <c r="GC265" s="101">
        <f t="shared" si="232"/>
        <v>27</v>
      </c>
      <c r="GD265" s="101">
        <f t="shared" si="233"/>
        <v>0</v>
      </c>
      <c r="GE265" s="101">
        <f t="shared" si="234"/>
        <v>1</v>
      </c>
      <c r="GF265" s="101">
        <f t="shared" si="235"/>
        <v>6</v>
      </c>
      <c r="GG265" s="101">
        <f t="shared" si="236"/>
        <v>2.8000000000000001E-2</v>
      </c>
      <c r="GH265" s="101">
        <f t="shared" si="237"/>
        <v>1</v>
      </c>
      <c r="GI265" s="101">
        <f t="shared" si="238"/>
        <v>12</v>
      </c>
      <c r="GJ265" s="101">
        <f t="shared" si="239"/>
        <v>0.11210000000000001</v>
      </c>
      <c r="GK265" s="101">
        <f t="shared" si="240"/>
        <v>1</v>
      </c>
      <c r="GL265" s="101">
        <f t="shared" si="241"/>
        <v>27</v>
      </c>
    </row>
    <row r="266" spans="170:194" ht="16.5" x14ac:dyDescent="0.2">
      <c r="FN266" s="101">
        <v>261</v>
      </c>
      <c r="FO266" s="101">
        <f t="shared" si="226"/>
        <v>0</v>
      </c>
      <c r="FP266" s="101">
        <f t="shared" si="242"/>
        <v>4</v>
      </c>
      <c r="FQ266" s="14">
        <f t="shared" si="243"/>
        <v>3</v>
      </c>
      <c r="FR266" s="101" t="str">
        <f t="shared" si="227"/>
        <v>李轩辕专属武器-魂珠-3 0级</v>
      </c>
      <c r="FS266" s="101">
        <f t="shared" si="228"/>
        <v>3</v>
      </c>
      <c r="FT266" s="101">
        <f t="shared" si="229"/>
        <v>0</v>
      </c>
      <c r="FU266" s="101" t="str">
        <f t="shared" si="244"/>
        <v/>
      </c>
      <c r="FV266" s="139" t="str">
        <f>IF($FT266&gt;0,IF(INDEX($EI$6:$EI$77,$FO266)&gt;=FV$3,ROUND(INDEX(EK$6:EK$77,$FO266)*INDEX(卡牌消耗!$B$8:$F$8,FQ266)/5,0)*5,""),"")</f>
        <v/>
      </c>
      <c r="FW266" s="101" t="str">
        <f t="shared" si="245"/>
        <v/>
      </c>
      <c r="FX266" s="101" t="str">
        <f t="shared" si="246"/>
        <v/>
      </c>
      <c r="FY266" s="101" t="str">
        <f t="shared" si="247"/>
        <v/>
      </c>
      <c r="FZ266" s="101" t="str">
        <f t="shared" si="248"/>
        <v/>
      </c>
      <c r="GA266" s="101" t="str">
        <f t="shared" si="230"/>
        <v/>
      </c>
      <c r="GB266" s="101" t="str">
        <f t="shared" si="231"/>
        <v/>
      </c>
      <c r="GC266" s="101" t="str">
        <f t="shared" si="232"/>
        <v/>
      </c>
      <c r="GD266" s="101" t="str">
        <f t="shared" si="233"/>
        <v/>
      </c>
      <c r="GE266" s="101" t="str">
        <f t="shared" si="234"/>
        <v/>
      </c>
      <c r="GF266" s="101" t="str">
        <f t="shared" si="235"/>
        <v/>
      </c>
      <c r="GG266" s="101" t="str">
        <f t="shared" si="236"/>
        <v/>
      </c>
      <c r="GH266" s="101" t="str">
        <f t="shared" si="237"/>
        <v/>
      </c>
      <c r="GI266" s="101" t="str">
        <f t="shared" si="238"/>
        <v/>
      </c>
      <c r="GJ266" s="101" t="str">
        <f t="shared" si="239"/>
        <v/>
      </c>
      <c r="GK266" s="101" t="str">
        <f t="shared" si="240"/>
        <v/>
      </c>
      <c r="GL266" s="101" t="str">
        <f t="shared" si="241"/>
        <v/>
      </c>
    </row>
    <row r="267" spans="170:194" ht="16.5" x14ac:dyDescent="0.2">
      <c r="FN267" s="101">
        <v>262</v>
      </c>
      <c r="FO267" s="101">
        <f t="shared" si="226"/>
        <v>19</v>
      </c>
      <c r="FP267" s="101">
        <f t="shared" si="242"/>
        <v>4</v>
      </c>
      <c r="FQ267" s="14">
        <f t="shared" si="243"/>
        <v>3</v>
      </c>
      <c r="FR267" s="101" t="str">
        <f t="shared" si="227"/>
        <v>李轩辕专属武器-魂珠-3 1级</v>
      </c>
      <c r="FS267" s="101">
        <f t="shared" si="228"/>
        <v>3</v>
      </c>
      <c r="FT267" s="101">
        <f t="shared" si="229"/>
        <v>1</v>
      </c>
      <c r="FU267" s="101" t="str">
        <f t="shared" si="244"/>
        <v>金币</v>
      </c>
      <c r="FV267" s="139">
        <f>IF($FT267&gt;0,IF(INDEX($EI$6:$EI$77,$FO267)&gt;=FV$3,ROUND(INDEX(EK$6:EK$77,$FO267)*INDEX(卡牌消耗!$B$8:$F$8,FQ267)/5,0)*5,""),"")</f>
        <v>545</v>
      </c>
      <c r="FW267" s="101" t="str">
        <f t="shared" si="245"/>
        <v>专属强化石1</v>
      </c>
      <c r="FX267" s="101">
        <f t="shared" si="246"/>
        <v>4</v>
      </c>
      <c r="FY267" s="101" t="str">
        <f t="shared" si="247"/>
        <v>专属强化石2</v>
      </c>
      <c r="FZ267" s="101">
        <f t="shared" si="248"/>
        <v>2</v>
      </c>
      <c r="GA267" s="101">
        <f t="shared" si="230"/>
        <v>0.31</v>
      </c>
      <c r="GB267" s="101">
        <f t="shared" si="231"/>
        <v>1</v>
      </c>
      <c r="GC267" s="101">
        <f t="shared" si="232"/>
        <v>5</v>
      </c>
      <c r="GD267" s="101">
        <f t="shared" si="233"/>
        <v>0</v>
      </c>
      <c r="GE267" s="101">
        <f t="shared" si="234"/>
        <v>1</v>
      </c>
      <c r="GF267" s="101">
        <f t="shared" si="235"/>
        <v>1</v>
      </c>
      <c r="GG267" s="101">
        <f t="shared" si="236"/>
        <v>0.15409999999999999</v>
      </c>
      <c r="GH267" s="101">
        <f t="shared" si="237"/>
        <v>1</v>
      </c>
      <c r="GI267" s="101">
        <f t="shared" si="238"/>
        <v>2</v>
      </c>
      <c r="GJ267" s="101">
        <f t="shared" si="239"/>
        <v>0.61650000000000005</v>
      </c>
      <c r="GK267" s="101">
        <f t="shared" si="240"/>
        <v>1</v>
      </c>
      <c r="GL267" s="101">
        <f t="shared" si="241"/>
        <v>5</v>
      </c>
    </row>
    <row r="268" spans="170:194" ht="16.5" x14ac:dyDescent="0.2">
      <c r="FN268" s="101">
        <v>263</v>
      </c>
      <c r="FO268" s="101">
        <f t="shared" si="226"/>
        <v>20</v>
      </c>
      <c r="FP268" s="101">
        <f t="shared" si="242"/>
        <v>4</v>
      </c>
      <c r="FQ268" s="14">
        <f t="shared" si="243"/>
        <v>3</v>
      </c>
      <c r="FR268" s="101" t="str">
        <f t="shared" si="227"/>
        <v>李轩辕专属武器-魂珠-3 2级</v>
      </c>
      <c r="FS268" s="101">
        <f t="shared" si="228"/>
        <v>3</v>
      </c>
      <c r="FT268" s="101">
        <f t="shared" si="229"/>
        <v>2</v>
      </c>
      <c r="FU268" s="101" t="str">
        <f t="shared" si="244"/>
        <v>金币</v>
      </c>
      <c r="FV268" s="139">
        <f>IF($FT268&gt;0,IF(INDEX($EI$6:$EI$77,$FO268)&gt;=FV$3,ROUND(INDEX(EK$6:EK$77,$FO268)*INDEX(卡牌消耗!$B$8:$F$8,FQ268)/5,0)*5,""),"")</f>
        <v>410</v>
      </c>
      <c r="FW268" s="101" t="str">
        <f t="shared" si="245"/>
        <v>专属强化石1</v>
      </c>
      <c r="FX268" s="101">
        <f t="shared" si="246"/>
        <v>4</v>
      </c>
      <c r="FY268" s="101" t="str">
        <f t="shared" si="247"/>
        <v>专属强化石2</v>
      </c>
      <c r="FZ268" s="101">
        <f t="shared" si="248"/>
        <v>2</v>
      </c>
      <c r="GA268" s="101">
        <f t="shared" si="230"/>
        <v>0.15</v>
      </c>
      <c r="GB268" s="101">
        <f t="shared" si="231"/>
        <v>1</v>
      </c>
      <c r="GC268" s="101">
        <f t="shared" si="232"/>
        <v>10</v>
      </c>
      <c r="GD268" s="101">
        <f t="shared" si="233"/>
        <v>0</v>
      </c>
      <c r="GE268" s="101">
        <f t="shared" si="234"/>
        <v>1</v>
      </c>
      <c r="GF268" s="101">
        <f t="shared" si="235"/>
        <v>2</v>
      </c>
      <c r="GG268" s="101">
        <f t="shared" si="236"/>
        <v>7.7100000000000002E-2</v>
      </c>
      <c r="GH268" s="101">
        <f t="shared" si="237"/>
        <v>1</v>
      </c>
      <c r="GI268" s="101">
        <f t="shared" si="238"/>
        <v>5</v>
      </c>
      <c r="GJ268" s="101">
        <f t="shared" si="239"/>
        <v>0.30830000000000002</v>
      </c>
      <c r="GK268" s="101">
        <f t="shared" si="240"/>
        <v>1</v>
      </c>
      <c r="GL268" s="101">
        <f t="shared" si="241"/>
        <v>10</v>
      </c>
    </row>
    <row r="269" spans="170:194" ht="16.5" x14ac:dyDescent="0.2">
      <c r="FN269" s="101">
        <v>264</v>
      </c>
      <c r="FO269" s="101">
        <f t="shared" si="226"/>
        <v>21</v>
      </c>
      <c r="FP269" s="101">
        <f t="shared" si="242"/>
        <v>4</v>
      </c>
      <c r="FQ269" s="14">
        <f t="shared" si="243"/>
        <v>3</v>
      </c>
      <c r="FR269" s="101" t="str">
        <f t="shared" si="227"/>
        <v>李轩辕专属武器-魂珠-3 3级</v>
      </c>
      <c r="FS269" s="101">
        <f t="shared" si="228"/>
        <v>3</v>
      </c>
      <c r="FT269" s="101">
        <f t="shared" si="229"/>
        <v>3</v>
      </c>
      <c r="FU269" s="101" t="str">
        <f t="shared" si="244"/>
        <v>金币</v>
      </c>
      <c r="FV269" s="139">
        <f>IF($FT269&gt;0,IF(INDEX($EI$6:$EI$77,$FO269)&gt;=FV$3,ROUND(INDEX(EK$6:EK$77,$FO269)*INDEX(卡牌消耗!$B$8:$F$8,FQ269)/5,0)*5,""),"")</f>
        <v>680</v>
      </c>
      <c r="FW269" s="101" t="str">
        <f t="shared" si="245"/>
        <v>专属强化石1</v>
      </c>
      <c r="FX269" s="101">
        <f t="shared" si="246"/>
        <v>6</v>
      </c>
      <c r="FY269" s="101" t="str">
        <f t="shared" si="247"/>
        <v>专属强化石2</v>
      </c>
      <c r="FZ269" s="101">
        <f t="shared" si="248"/>
        <v>3</v>
      </c>
      <c r="GA269" s="101">
        <f t="shared" si="230"/>
        <v>0.15</v>
      </c>
      <c r="GB269" s="101">
        <f t="shared" si="231"/>
        <v>1</v>
      </c>
      <c r="GC269" s="101">
        <f t="shared" si="232"/>
        <v>10</v>
      </c>
      <c r="GD269" s="101">
        <f t="shared" si="233"/>
        <v>0</v>
      </c>
      <c r="GE269" s="101">
        <f t="shared" si="234"/>
        <v>1</v>
      </c>
      <c r="GF269" s="101">
        <f t="shared" si="235"/>
        <v>2</v>
      </c>
      <c r="GG269" s="101">
        <f t="shared" si="236"/>
        <v>7.7100000000000002E-2</v>
      </c>
      <c r="GH269" s="101">
        <f t="shared" si="237"/>
        <v>1</v>
      </c>
      <c r="GI269" s="101">
        <f t="shared" si="238"/>
        <v>5</v>
      </c>
      <c r="GJ269" s="101">
        <f t="shared" si="239"/>
        <v>0.30830000000000002</v>
      </c>
      <c r="GK269" s="101">
        <f t="shared" si="240"/>
        <v>1</v>
      </c>
      <c r="GL269" s="101">
        <f t="shared" si="241"/>
        <v>10</v>
      </c>
    </row>
    <row r="270" spans="170:194" ht="16.5" x14ac:dyDescent="0.2">
      <c r="FN270" s="101">
        <v>265</v>
      </c>
      <c r="FO270" s="101">
        <f t="shared" si="226"/>
        <v>22</v>
      </c>
      <c r="FP270" s="101">
        <f t="shared" si="242"/>
        <v>4</v>
      </c>
      <c r="FQ270" s="14">
        <f t="shared" si="243"/>
        <v>3</v>
      </c>
      <c r="FR270" s="101" t="str">
        <f t="shared" si="227"/>
        <v>李轩辕专属武器-魂珠-3 4级</v>
      </c>
      <c r="FS270" s="101">
        <f t="shared" si="228"/>
        <v>3</v>
      </c>
      <c r="FT270" s="101">
        <f t="shared" si="229"/>
        <v>4</v>
      </c>
      <c r="FU270" s="101" t="str">
        <f t="shared" si="244"/>
        <v>金币</v>
      </c>
      <c r="FV270" s="139">
        <f>IF($FT270&gt;0,IF(INDEX($EI$6:$EI$77,$FO270)&gt;=FV$3,ROUND(INDEX(EK$6:EK$77,$FO270)*INDEX(卡牌消耗!$B$8:$F$8,FQ270)/5,0)*5,""),"")</f>
        <v>655</v>
      </c>
      <c r="FW270" s="101" t="str">
        <f t="shared" si="245"/>
        <v>专属强化石1</v>
      </c>
      <c r="FX270" s="101">
        <f t="shared" si="246"/>
        <v>6</v>
      </c>
      <c r="FY270" s="101" t="str">
        <f t="shared" si="247"/>
        <v>专属强化石2</v>
      </c>
      <c r="FZ270" s="101">
        <f t="shared" si="248"/>
        <v>3</v>
      </c>
      <c r="GA270" s="101">
        <f t="shared" si="230"/>
        <v>0.09</v>
      </c>
      <c r="GB270" s="101">
        <f t="shared" si="231"/>
        <v>1</v>
      </c>
      <c r="GC270" s="101">
        <f t="shared" si="232"/>
        <v>16</v>
      </c>
      <c r="GD270" s="101">
        <f t="shared" si="233"/>
        <v>0</v>
      </c>
      <c r="GE270" s="101">
        <f t="shared" si="234"/>
        <v>1</v>
      </c>
      <c r="GF270" s="101">
        <f t="shared" si="235"/>
        <v>4</v>
      </c>
      <c r="GG270" s="101">
        <f t="shared" si="236"/>
        <v>4.6199999999999998E-2</v>
      </c>
      <c r="GH270" s="101">
        <f t="shared" si="237"/>
        <v>1</v>
      </c>
      <c r="GI270" s="101">
        <f t="shared" si="238"/>
        <v>8</v>
      </c>
      <c r="GJ270" s="101">
        <f t="shared" si="239"/>
        <v>0.185</v>
      </c>
      <c r="GK270" s="101">
        <f t="shared" si="240"/>
        <v>1</v>
      </c>
      <c r="GL270" s="101">
        <f t="shared" si="241"/>
        <v>16</v>
      </c>
    </row>
    <row r="271" spans="170:194" ht="16.5" x14ac:dyDescent="0.2">
      <c r="FN271" s="101">
        <v>266</v>
      </c>
      <c r="FO271" s="101">
        <f t="shared" si="226"/>
        <v>23</v>
      </c>
      <c r="FP271" s="101">
        <f t="shared" si="242"/>
        <v>4</v>
      </c>
      <c r="FQ271" s="14">
        <f t="shared" si="243"/>
        <v>3</v>
      </c>
      <c r="FR271" s="101" t="str">
        <f t="shared" si="227"/>
        <v>李轩辕专属武器-魂珠-3 5级</v>
      </c>
      <c r="FS271" s="101">
        <f t="shared" si="228"/>
        <v>3</v>
      </c>
      <c r="FT271" s="101">
        <f t="shared" si="229"/>
        <v>5</v>
      </c>
      <c r="FU271" s="101" t="str">
        <f t="shared" si="244"/>
        <v>金币</v>
      </c>
      <c r="FV271" s="139">
        <f>IF($FT271&gt;0,IF(INDEX($EI$6:$EI$77,$FO271)&gt;=FV$3,ROUND(INDEX(EK$6:EK$77,$FO271)*INDEX(卡牌消耗!$B$8:$F$8,FQ271)/5,0)*5,""),"")</f>
        <v>885</v>
      </c>
      <c r="FW271" s="101" t="str">
        <f t="shared" si="245"/>
        <v>专属强化石1</v>
      </c>
      <c r="FX271" s="101">
        <f t="shared" si="246"/>
        <v>8</v>
      </c>
      <c r="FY271" s="101" t="str">
        <f t="shared" si="247"/>
        <v>专属强化石2</v>
      </c>
      <c r="FZ271" s="101">
        <f t="shared" si="248"/>
        <v>4</v>
      </c>
      <c r="GA271" s="101">
        <f t="shared" si="230"/>
        <v>0.08</v>
      </c>
      <c r="GB271" s="101">
        <f t="shared" si="231"/>
        <v>1</v>
      </c>
      <c r="GC271" s="101">
        <f t="shared" si="232"/>
        <v>19</v>
      </c>
      <c r="GD271" s="101">
        <f t="shared" si="233"/>
        <v>0</v>
      </c>
      <c r="GE271" s="101">
        <f t="shared" si="234"/>
        <v>1</v>
      </c>
      <c r="GF271" s="101">
        <f t="shared" si="235"/>
        <v>5</v>
      </c>
      <c r="GG271" s="101">
        <f t="shared" si="236"/>
        <v>3.85E-2</v>
      </c>
      <c r="GH271" s="101">
        <f t="shared" si="237"/>
        <v>1</v>
      </c>
      <c r="GI271" s="101">
        <f t="shared" si="238"/>
        <v>9</v>
      </c>
      <c r="GJ271" s="101">
        <f t="shared" si="239"/>
        <v>0.15409999999999999</v>
      </c>
      <c r="GK271" s="101">
        <f t="shared" si="240"/>
        <v>1</v>
      </c>
      <c r="GL271" s="101">
        <f t="shared" si="241"/>
        <v>19</v>
      </c>
    </row>
    <row r="272" spans="170:194" ht="16.5" x14ac:dyDescent="0.2">
      <c r="FN272" s="101">
        <v>267</v>
      </c>
      <c r="FO272" s="101">
        <f t="shared" si="226"/>
        <v>24</v>
      </c>
      <c r="FP272" s="101">
        <f t="shared" si="242"/>
        <v>4</v>
      </c>
      <c r="FQ272" s="14">
        <f t="shared" si="243"/>
        <v>3</v>
      </c>
      <c r="FR272" s="101" t="str">
        <f t="shared" si="227"/>
        <v>李轩辕专属武器-魂珠-3 6级</v>
      </c>
      <c r="FS272" s="101">
        <f t="shared" si="228"/>
        <v>3</v>
      </c>
      <c r="FT272" s="101">
        <f t="shared" si="229"/>
        <v>6</v>
      </c>
      <c r="FU272" s="101" t="str">
        <f t="shared" si="244"/>
        <v>金币</v>
      </c>
      <c r="FV272" s="139">
        <f>IF($FT272&gt;0,IF(INDEX($EI$6:$EI$77,$FO272)&gt;=FV$3,ROUND(INDEX(EK$6:EK$77,$FO272)*INDEX(卡牌消耗!$B$8:$F$8,FQ272)/5,0)*5,""),"")</f>
        <v>1100</v>
      </c>
      <c r="FW272" s="101" t="str">
        <f t="shared" si="245"/>
        <v>专属强化石1</v>
      </c>
      <c r="FX272" s="101">
        <f t="shared" si="246"/>
        <v>10</v>
      </c>
      <c r="FY272" s="101" t="str">
        <f t="shared" si="247"/>
        <v>专属强化石2</v>
      </c>
      <c r="FZ272" s="101">
        <f t="shared" si="248"/>
        <v>5</v>
      </c>
      <c r="GA272" s="101">
        <f t="shared" si="230"/>
        <v>0.06</v>
      </c>
      <c r="GB272" s="101">
        <f t="shared" si="231"/>
        <v>1</v>
      </c>
      <c r="GC272" s="101">
        <f t="shared" si="232"/>
        <v>25</v>
      </c>
      <c r="GD272" s="101">
        <f t="shared" si="233"/>
        <v>0</v>
      </c>
      <c r="GE272" s="101">
        <f t="shared" si="234"/>
        <v>1</v>
      </c>
      <c r="GF272" s="101">
        <f t="shared" si="235"/>
        <v>6</v>
      </c>
      <c r="GG272" s="101">
        <f t="shared" si="236"/>
        <v>2.9600000000000001E-2</v>
      </c>
      <c r="GH272" s="101">
        <f t="shared" si="237"/>
        <v>1</v>
      </c>
      <c r="GI272" s="101">
        <f t="shared" si="238"/>
        <v>12</v>
      </c>
      <c r="GJ272" s="101">
        <f t="shared" si="239"/>
        <v>0.1186</v>
      </c>
      <c r="GK272" s="101">
        <f t="shared" si="240"/>
        <v>1</v>
      </c>
      <c r="GL272" s="101">
        <f t="shared" si="241"/>
        <v>25</v>
      </c>
    </row>
    <row r="273" spans="170:194" ht="16.5" x14ac:dyDescent="0.2">
      <c r="FN273" s="101">
        <v>268</v>
      </c>
      <c r="FO273" s="101">
        <f t="shared" si="226"/>
        <v>25</v>
      </c>
      <c r="FP273" s="101">
        <f t="shared" si="242"/>
        <v>4</v>
      </c>
      <c r="FQ273" s="14">
        <f t="shared" si="243"/>
        <v>3</v>
      </c>
      <c r="FR273" s="101" t="str">
        <f t="shared" si="227"/>
        <v>李轩辕专属武器-魂珠-3 7级</v>
      </c>
      <c r="FS273" s="101">
        <f t="shared" si="228"/>
        <v>3</v>
      </c>
      <c r="FT273" s="101">
        <f t="shared" si="229"/>
        <v>7</v>
      </c>
      <c r="FU273" s="101" t="str">
        <f t="shared" si="244"/>
        <v>金币</v>
      </c>
      <c r="FV273" s="139">
        <f>IF($FT273&gt;0,IF(INDEX($EI$6:$EI$77,$FO273)&gt;=FV$3,ROUND(INDEX(EK$6:EK$77,$FO273)*INDEX(卡牌消耗!$B$8:$F$8,FQ273)/5,0)*5,""),"")</f>
        <v>1325</v>
      </c>
      <c r="FW273" s="101" t="str">
        <f t="shared" si="245"/>
        <v>专属强化石1</v>
      </c>
      <c r="FX273" s="101">
        <f t="shared" si="246"/>
        <v>12</v>
      </c>
      <c r="FY273" s="101" t="str">
        <f t="shared" si="247"/>
        <v>专属强化石2</v>
      </c>
      <c r="FZ273" s="101">
        <f t="shared" si="248"/>
        <v>6</v>
      </c>
      <c r="GA273" s="101">
        <f t="shared" si="230"/>
        <v>0.04</v>
      </c>
      <c r="GB273" s="101">
        <f t="shared" si="231"/>
        <v>1</v>
      </c>
      <c r="GC273" s="101">
        <f t="shared" si="232"/>
        <v>34</v>
      </c>
      <c r="GD273" s="101">
        <f t="shared" si="233"/>
        <v>0</v>
      </c>
      <c r="GE273" s="101">
        <f t="shared" si="234"/>
        <v>1</v>
      </c>
      <c r="GF273" s="101">
        <f t="shared" si="235"/>
        <v>8</v>
      </c>
      <c r="GG273" s="101">
        <f t="shared" si="236"/>
        <v>2.1999999999999999E-2</v>
      </c>
      <c r="GH273" s="101">
        <f t="shared" si="237"/>
        <v>1</v>
      </c>
      <c r="GI273" s="101">
        <f t="shared" si="238"/>
        <v>16</v>
      </c>
      <c r="GJ273" s="101">
        <f t="shared" si="239"/>
        <v>8.8099999999999998E-2</v>
      </c>
      <c r="GK273" s="101">
        <f t="shared" si="240"/>
        <v>1</v>
      </c>
      <c r="GL273" s="101">
        <f t="shared" si="241"/>
        <v>34</v>
      </c>
    </row>
    <row r="274" spans="170:194" ht="16.5" x14ac:dyDescent="0.2">
      <c r="FN274" s="101">
        <v>269</v>
      </c>
      <c r="FO274" s="101">
        <f t="shared" si="226"/>
        <v>26</v>
      </c>
      <c r="FP274" s="101">
        <f t="shared" si="242"/>
        <v>4</v>
      </c>
      <c r="FQ274" s="14">
        <f t="shared" si="243"/>
        <v>3</v>
      </c>
      <c r="FR274" s="101" t="str">
        <f t="shared" si="227"/>
        <v>李轩辕专属武器-魂珠-3 8级</v>
      </c>
      <c r="FS274" s="101">
        <f t="shared" si="228"/>
        <v>3</v>
      </c>
      <c r="FT274" s="101">
        <f t="shared" si="229"/>
        <v>8</v>
      </c>
      <c r="FU274" s="101" t="str">
        <f t="shared" si="244"/>
        <v>金币</v>
      </c>
      <c r="FV274" s="139">
        <f>IF($FT274&gt;0,IF(INDEX($EI$6:$EI$77,$FO274)&gt;=FV$3,ROUND(INDEX(EK$6:EK$77,$FO274)*INDEX(卡牌消耗!$B$8:$F$8,FQ274)/5,0)*5,""),"")</f>
        <v>1765</v>
      </c>
      <c r="FW274" s="101" t="str">
        <f t="shared" si="245"/>
        <v>专属强化石1</v>
      </c>
      <c r="FX274" s="101">
        <f t="shared" si="246"/>
        <v>16</v>
      </c>
      <c r="FY274" s="101" t="str">
        <f t="shared" si="247"/>
        <v>专属强化石2</v>
      </c>
      <c r="FZ274" s="101">
        <f t="shared" si="248"/>
        <v>8</v>
      </c>
      <c r="GA274" s="101">
        <f t="shared" si="230"/>
        <v>0.04</v>
      </c>
      <c r="GB274" s="101">
        <f t="shared" si="231"/>
        <v>1</v>
      </c>
      <c r="GC274" s="101">
        <f t="shared" si="232"/>
        <v>41</v>
      </c>
      <c r="GD274" s="101">
        <f t="shared" si="233"/>
        <v>0</v>
      </c>
      <c r="GE274" s="101">
        <f t="shared" si="234"/>
        <v>1</v>
      </c>
      <c r="GF274" s="101">
        <f t="shared" si="235"/>
        <v>10</v>
      </c>
      <c r="GG274" s="101">
        <f t="shared" si="236"/>
        <v>1.8100000000000002E-2</v>
      </c>
      <c r="GH274" s="101">
        <f t="shared" si="237"/>
        <v>1</v>
      </c>
      <c r="GI274" s="101">
        <f t="shared" si="238"/>
        <v>19</v>
      </c>
      <c r="GJ274" s="101">
        <f t="shared" si="239"/>
        <v>7.2499999999999995E-2</v>
      </c>
      <c r="GK274" s="101">
        <f t="shared" si="240"/>
        <v>1</v>
      </c>
      <c r="GL274" s="101">
        <f t="shared" si="241"/>
        <v>41</v>
      </c>
    </row>
    <row r="275" spans="170:194" ht="16.5" x14ac:dyDescent="0.2">
      <c r="FN275" s="101">
        <v>270</v>
      </c>
      <c r="FO275" s="101">
        <f t="shared" si="226"/>
        <v>27</v>
      </c>
      <c r="FP275" s="101">
        <f t="shared" si="242"/>
        <v>4</v>
      </c>
      <c r="FQ275" s="14">
        <f t="shared" si="243"/>
        <v>3</v>
      </c>
      <c r="FR275" s="101" t="str">
        <f t="shared" si="227"/>
        <v>李轩辕专属武器-魂珠-3 9级</v>
      </c>
      <c r="FS275" s="101">
        <f t="shared" si="228"/>
        <v>3</v>
      </c>
      <c r="FT275" s="101">
        <f t="shared" si="229"/>
        <v>9</v>
      </c>
      <c r="FU275" s="101" t="str">
        <f t="shared" si="244"/>
        <v>金币</v>
      </c>
      <c r="FV275" s="139">
        <f>IF($FT275&gt;0,IF(INDEX($EI$6:$EI$77,$FO275)&gt;=FV$3,ROUND(INDEX(EK$6:EK$77,$FO275)*INDEX(卡牌消耗!$B$8:$F$8,FQ275)/5,0)*5,""),"")</f>
        <v>2205</v>
      </c>
      <c r="FW275" s="101" t="str">
        <f t="shared" si="245"/>
        <v>专属强化石1</v>
      </c>
      <c r="FX275" s="101">
        <f t="shared" si="246"/>
        <v>20</v>
      </c>
      <c r="FY275" s="101" t="str">
        <f t="shared" si="247"/>
        <v>专属强化石2</v>
      </c>
      <c r="FZ275" s="101">
        <f t="shared" si="248"/>
        <v>10</v>
      </c>
      <c r="GA275" s="101">
        <f t="shared" si="230"/>
        <v>0.03</v>
      </c>
      <c r="GB275" s="101">
        <f t="shared" si="231"/>
        <v>1</v>
      </c>
      <c r="GC275" s="101">
        <f t="shared" si="232"/>
        <v>54</v>
      </c>
      <c r="GD275" s="101">
        <f t="shared" si="233"/>
        <v>0</v>
      </c>
      <c r="GE275" s="101">
        <f t="shared" si="234"/>
        <v>1</v>
      </c>
      <c r="GF275" s="101">
        <f t="shared" si="235"/>
        <v>12</v>
      </c>
      <c r="GG275" s="101">
        <f t="shared" si="236"/>
        <v>1.4E-2</v>
      </c>
      <c r="GH275" s="101">
        <f t="shared" si="237"/>
        <v>1</v>
      </c>
      <c r="GI275" s="101">
        <f t="shared" si="238"/>
        <v>25</v>
      </c>
      <c r="GJ275" s="101">
        <f t="shared" si="239"/>
        <v>5.6000000000000001E-2</v>
      </c>
      <c r="GK275" s="101">
        <f t="shared" si="240"/>
        <v>1</v>
      </c>
      <c r="GL275" s="101">
        <f t="shared" si="241"/>
        <v>54</v>
      </c>
    </row>
    <row r="276" spans="170:194" ht="16.5" x14ac:dyDescent="0.2">
      <c r="FN276" s="101">
        <v>271</v>
      </c>
      <c r="FO276" s="101">
        <f t="shared" si="226"/>
        <v>0</v>
      </c>
      <c r="FP276" s="101">
        <f t="shared" si="242"/>
        <v>4</v>
      </c>
      <c r="FQ276" s="14">
        <f t="shared" si="243"/>
        <v>3</v>
      </c>
      <c r="FR276" s="101" t="str">
        <f t="shared" si="227"/>
        <v>李轩辕专属武器-魂珠-4 0级</v>
      </c>
      <c r="FS276" s="101">
        <f t="shared" si="228"/>
        <v>4</v>
      </c>
      <c r="FT276" s="101">
        <f t="shared" si="229"/>
        <v>0</v>
      </c>
      <c r="FU276" s="101" t="str">
        <f t="shared" si="244"/>
        <v/>
      </c>
      <c r="FV276" s="139" t="str">
        <f>IF($FT276&gt;0,IF(INDEX($EI$6:$EI$77,$FO276)&gt;=FV$3,ROUND(INDEX(EK$6:EK$77,$FO276)*INDEX(卡牌消耗!$B$8:$F$8,FQ276)/5,0)*5,""),"")</f>
        <v/>
      </c>
      <c r="FW276" s="101" t="str">
        <f t="shared" si="245"/>
        <v/>
      </c>
      <c r="FX276" s="101" t="str">
        <f t="shared" si="246"/>
        <v/>
      </c>
      <c r="FY276" s="101" t="str">
        <f t="shared" si="247"/>
        <v/>
      </c>
      <c r="FZ276" s="101" t="str">
        <f t="shared" si="248"/>
        <v/>
      </c>
      <c r="GA276" s="101" t="str">
        <f t="shared" si="230"/>
        <v/>
      </c>
      <c r="GB276" s="101" t="str">
        <f t="shared" si="231"/>
        <v/>
      </c>
      <c r="GC276" s="101" t="str">
        <f t="shared" si="232"/>
        <v/>
      </c>
      <c r="GD276" s="101" t="str">
        <f t="shared" si="233"/>
        <v/>
      </c>
      <c r="GE276" s="101" t="str">
        <f t="shared" si="234"/>
        <v/>
      </c>
      <c r="GF276" s="101" t="str">
        <f t="shared" si="235"/>
        <v/>
      </c>
      <c r="GG276" s="101" t="str">
        <f t="shared" si="236"/>
        <v/>
      </c>
      <c r="GH276" s="101" t="str">
        <f t="shared" si="237"/>
        <v/>
      </c>
      <c r="GI276" s="101" t="str">
        <f t="shared" si="238"/>
        <v/>
      </c>
      <c r="GJ276" s="101" t="str">
        <f t="shared" si="239"/>
        <v/>
      </c>
      <c r="GK276" s="101" t="str">
        <f t="shared" si="240"/>
        <v/>
      </c>
      <c r="GL276" s="101" t="str">
        <f t="shared" si="241"/>
        <v/>
      </c>
    </row>
    <row r="277" spans="170:194" ht="16.5" x14ac:dyDescent="0.2">
      <c r="FN277" s="101">
        <v>272</v>
      </c>
      <c r="FO277" s="101">
        <f t="shared" si="226"/>
        <v>28</v>
      </c>
      <c r="FP277" s="101">
        <f t="shared" si="242"/>
        <v>4</v>
      </c>
      <c r="FQ277" s="14">
        <f t="shared" si="243"/>
        <v>3</v>
      </c>
      <c r="FR277" s="101" t="str">
        <f t="shared" si="227"/>
        <v>李轩辕专属武器-魂珠-4 1级</v>
      </c>
      <c r="FS277" s="101">
        <f t="shared" si="228"/>
        <v>4</v>
      </c>
      <c r="FT277" s="101">
        <f t="shared" si="229"/>
        <v>1</v>
      </c>
      <c r="FU277" s="101" t="str">
        <f t="shared" si="244"/>
        <v>金币</v>
      </c>
      <c r="FV277" s="139">
        <f>IF($FT277&gt;0,IF(INDEX($EI$6:$EI$77,$FO277)&gt;=FV$3,ROUND(INDEX(EK$6:EK$77,$FO277)*INDEX(卡牌消耗!$B$8:$F$8,FQ277)/5,0)*5,""),"")</f>
        <v>730</v>
      </c>
      <c r="FW277" s="101" t="str">
        <f t="shared" si="245"/>
        <v>专属强化石2</v>
      </c>
      <c r="FX277" s="101">
        <f t="shared" si="246"/>
        <v>3</v>
      </c>
      <c r="FY277" s="101" t="str">
        <f t="shared" si="247"/>
        <v>专属强化石3</v>
      </c>
      <c r="FZ277" s="101">
        <f t="shared" si="248"/>
        <v>1</v>
      </c>
      <c r="GA277" s="101">
        <f t="shared" si="230"/>
        <v>0.2</v>
      </c>
      <c r="GB277" s="101">
        <f t="shared" si="231"/>
        <v>1</v>
      </c>
      <c r="GC277" s="101">
        <f t="shared" si="232"/>
        <v>7</v>
      </c>
      <c r="GD277" s="101">
        <f t="shared" si="233"/>
        <v>0</v>
      </c>
      <c r="GE277" s="101">
        <f t="shared" si="234"/>
        <v>1</v>
      </c>
      <c r="GF277" s="101">
        <f t="shared" si="235"/>
        <v>2</v>
      </c>
      <c r="GG277" s="101">
        <f t="shared" si="236"/>
        <v>0.1012</v>
      </c>
      <c r="GH277" s="101">
        <f t="shared" si="237"/>
        <v>1</v>
      </c>
      <c r="GI277" s="101">
        <f t="shared" si="238"/>
        <v>3</v>
      </c>
      <c r="GJ277" s="101">
        <f t="shared" si="239"/>
        <v>0.40479999999999999</v>
      </c>
      <c r="GK277" s="101">
        <f t="shared" si="240"/>
        <v>1</v>
      </c>
      <c r="GL277" s="101">
        <f t="shared" si="241"/>
        <v>7</v>
      </c>
    </row>
    <row r="278" spans="170:194" ht="16.5" x14ac:dyDescent="0.2">
      <c r="FN278" s="101">
        <v>273</v>
      </c>
      <c r="FO278" s="101">
        <f t="shared" ref="FO278:FO341" si="249">IF(FT278&gt;0,(FS278-1)*9+FT278,0)</f>
        <v>29</v>
      </c>
      <c r="FP278" s="101">
        <f t="shared" si="242"/>
        <v>4</v>
      </c>
      <c r="FQ278" s="14">
        <f t="shared" si="243"/>
        <v>3</v>
      </c>
      <c r="FR278" s="101" t="str">
        <f t="shared" ref="FR278:FR341" si="250">INDEX($FI$6:$FI$26,FP278)&amp;"专属武器-魂珠-"&amp;FS278&amp;" "&amp;FT278&amp;"级"</f>
        <v>李轩辕专属武器-魂珠-4 2级</v>
      </c>
      <c r="FS278" s="101">
        <f t="shared" ref="FS278:FS341" si="251">INT((FN278-(FP278-1)*80-1)/10)+1</f>
        <v>4</v>
      </c>
      <c r="FT278" s="101">
        <f t="shared" ref="FT278:FT341" si="252">FN278-(FP278-1)*80-(FS278-1)*10-1</f>
        <v>2</v>
      </c>
      <c r="FU278" s="101" t="str">
        <f t="shared" si="244"/>
        <v>金币</v>
      </c>
      <c r="FV278" s="139">
        <f>IF($FT278&gt;0,IF(INDEX($EI$6:$EI$77,$FO278)&gt;=FV$3,ROUND(INDEX(EK$6:EK$77,$FO278)*INDEX(卡牌消耗!$B$8:$F$8,FQ278)/5,0)*5,""),"")</f>
        <v>545</v>
      </c>
      <c r="FW278" s="101" t="str">
        <f t="shared" si="245"/>
        <v>专属强化石2</v>
      </c>
      <c r="FX278" s="101">
        <f t="shared" si="246"/>
        <v>3</v>
      </c>
      <c r="FY278" s="101" t="str">
        <f t="shared" si="247"/>
        <v>专属强化石3</v>
      </c>
      <c r="FZ278" s="101">
        <f t="shared" si="248"/>
        <v>1</v>
      </c>
      <c r="GA278" s="101">
        <f t="shared" ref="GA278:GA341" si="253">IF($FT278&gt;0,INDEX(EP$6:EP$77,$FO278),"")</f>
        <v>0.1</v>
      </c>
      <c r="GB278" s="101">
        <f t="shared" ref="GB278:GB341" si="254">IF($FT278&gt;0,INDEX(EQ$6:EQ$77,$FO278),"")</f>
        <v>1</v>
      </c>
      <c r="GC278" s="101">
        <f t="shared" ref="GC278:GC341" si="255">IF($FT278&gt;0,INDEX(ER$6:ER$77,$FO278),"")</f>
        <v>15</v>
      </c>
      <c r="GD278" s="101">
        <f t="shared" ref="GD278:GD341" si="256">IF($FT278&gt;0,INDEX(EV$6:EV$77,$FO278),"")</f>
        <v>0</v>
      </c>
      <c r="GE278" s="101">
        <f t="shared" ref="GE278:GE341" si="257">IF($FT278&gt;0,INDEX(EW$6:EW$77,$FO278),"")</f>
        <v>1</v>
      </c>
      <c r="GF278" s="101">
        <f t="shared" ref="GF278:GF341" si="258">IF($FT278&gt;0,INDEX(EX$6:EX$77,$FO278),"")</f>
        <v>3</v>
      </c>
      <c r="GG278" s="101">
        <f t="shared" ref="GG278:GG341" si="259">IF($FT278&gt;0,INDEX(EY$6:EY$77,$FO278),"")</f>
        <v>5.0599999999999999E-2</v>
      </c>
      <c r="GH278" s="101">
        <f t="shared" ref="GH278:GH341" si="260">IF($FT278&gt;0,INDEX(EZ$6:EZ$77,$FO278),"")</f>
        <v>1</v>
      </c>
      <c r="GI278" s="101">
        <f t="shared" ref="GI278:GI341" si="261">IF($FT278&gt;0,INDEX(FA$6:FA$77,$FO278),"")</f>
        <v>7</v>
      </c>
      <c r="GJ278" s="101">
        <f t="shared" ref="GJ278:GJ341" si="262">IF($FT278&gt;0,INDEX(FB$6:FB$77,$FO278),"")</f>
        <v>0.2024</v>
      </c>
      <c r="GK278" s="101">
        <f t="shared" ref="GK278:GK341" si="263">IF($FT278&gt;0,INDEX(FC$6:FC$77,$FO278),"")</f>
        <v>1</v>
      </c>
      <c r="GL278" s="101">
        <f t="shared" ref="GL278:GL341" si="264">IF($FT278&gt;0,INDEX(FD$6:FD$77,$FO278),"")</f>
        <v>15</v>
      </c>
    </row>
    <row r="279" spans="170:194" ht="16.5" x14ac:dyDescent="0.2">
      <c r="FN279" s="101">
        <v>274</v>
      </c>
      <c r="FO279" s="101">
        <f t="shared" si="249"/>
        <v>30</v>
      </c>
      <c r="FP279" s="101">
        <f t="shared" si="242"/>
        <v>4</v>
      </c>
      <c r="FQ279" s="14">
        <f t="shared" si="243"/>
        <v>3</v>
      </c>
      <c r="FR279" s="101" t="str">
        <f t="shared" si="250"/>
        <v>李轩辕专属武器-魂珠-4 3级</v>
      </c>
      <c r="FS279" s="101">
        <f t="shared" si="251"/>
        <v>4</v>
      </c>
      <c r="FT279" s="101">
        <f t="shared" si="252"/>
        <v>3</v>
      </c>
      <c r="FU279" s="101" t="str">
        <f t="shared" si="244"/>
        <v>金币</v>
      </c>
      <c r="FV279" s="139">
        <f>IF($FT279&gt;0,IF(INDEX($EI$6:$EI$77,$FO279)&gt;=FV$3,ROUND(INDEX(EK$6:EK$77,$FO279)*INDEX(卡牌消耗!$B$8:$F$8,FQ279)/5,0)*5,""),"")</f>
        <v>610</v>
      </c>
      <c r="FW279" s="101" t="str">
        <f t="shared" si="245"/>
        <v>专属强化石2</v>
      </c>
      <c r="FX279" s="101">
        <f t="shared" si="246"/>
        <v>3</v>
      </c>
      <c r="FY279" s="101" t="str">
        <f t="shared" si="247"/>
        <v>专属强化石3</v>
      </c>
      <c r="FZ279" s="101">
        <f t="shared" si="248"/>
        <v>1</v>
      </c>
      <c r="GA279" s="101">
        <f t="shared" si="253"/>
        <v>7.0000000000000007E-2</v>
      </c>
      <c r="GB279" s="101">
        <f t="shared" si="254"/>
        <v>1</v>
      </c>
      <c r="GC279" s="101">
        <f t="shared" si="255"/>
        <v>22</v>
      </c>
      <c r="GD279" s="101">
        <f t="shared" si="256"/>
        <v>0</v>
      </c>
      <c r="GE279" s="101">
        <f t="shared" si="257"/>
        <v>1</v>
      </c>
      <c r="GF279" s="101">
        <f t="shared" si="258"/>
        <v>5</v>
      </c>
      <c r="GG279" s="101">
        <f t="shared" si="259"/>
        <v>3.3700000000000001E-2</v>
      </c>
      <c r="GH279" s="101">
        <f t="shared" si="260"/>
        <v>1</v>
      </c>
      <c r="GI279" s="101">
        <f t="shared" si="261"/>
        <v>10</v>
      </c>
      <c r="GJ279" s="101">
        <f t="shared" si="262"/>
        <v>0.13489999999999999</v>
      </c>
      <c r="GK279" s="101">
        <f t="shared" si="263"/>
        <v>1</v>
      </c>
      <c r="GL279" s="101">
        <f t="shared" si="264"/>
        <v>22</v>
      </c>
    </row>
    <row r="280" spans="170:194" ht="16.5" x14ac:dyDescent="0.2">
      <c r="FN280" s="101">
        <v>275</v>
      </c>
      <c r="FO280" s="101">
        <f t="shared" si="249"/>
        <v>31</v>
      </c>
      <c r="FP280" s="101">
        <f t="shared" si="242"/>
        <v>4</v>
      </c>
      <c r="FQ280" s="14">
        <f t="shared" si="243"/>
        <v>3</v>
      </c>
      <c r="FR280" s="101" t="str">
        <f t="shared" si="250"/>
        <v>李轩辕专属武器-魂珠-4 4级</v>
      </c>
      <c r="FS280" s="101">
        <f t="shared" si="251"/>
        <v>4</v>
      </c>
      <c r="FT280" s="101">
        <f t="shared" si="252"/>
        <v>4</v>
      </c>
      <c r="FU280" s="101" t="str">
        <f t="shared" si="244"/>
        <v>金币</v>
      </c>
      <c r="FV280" s="139">
        <f>IF($FT280&gt;0,IF(INDEX($EI$6:$EI$77,$FO280)&gt;=FV$3,ROUND(INDEX(EK$6:EK$77,$FO280)*INDEX(卡牌消耗!$B$8:$F$8,FQ280)/5,0)*5,""),"")</f>
        <v>1165</v>
      </c>
      <c r="FW280" s="101" t="str">
        <f t="shared" si="245"/>
        <v>专属强化石2</v>
      </c>
      <c r="FX280" s="101">
        <f t="shared" si="246"/>
        <v>5</v>
      </c>
      <c r="FY280" s="101" t="str">
        <f t="shared" si="247"/>
        <v>专属强化石3</v>
      </c>
      <c r="FZ280" s="101">
        <f t="shared" si="248"/>
        <v>2</v>
      </c>
      <c r="GA280" s="101">
        <f t="shared" si="253"/>
        <v>0.08</v>
      </c>
      <c r="GB280" s="101">
        <f t="shared" si="254"/>
        <v>1</v>
      </c>
      <c r="GC280" s="101">
        <f t="shared" si="255"/>
        <v>19</v>
      </c>
      <c r="GD280" s="101">
        <f t="shared" si="256"/>
        <v>0</v>
      </c>
      <c r="GE280" s="101">
        <f t="shared" si="257"/>
        <v>1</v>
      </c>
      <c r="GF280" s="101">
        <f t="shared" si="258"/>
        <v>4</v>
      </c>
      <c r="GG280" s="101">
        <f t="shared" si="259"/>
        <v>4.0500000000000001E-2</v>
      </c>
      <c r="GH280" s="101">
        <f t="shared" si="260"/>
        <v>1</v>
      </c>
      <c r="GI280" s="101">
        <f t="shared" si="261"/>
        <v>9</v>
      </c>
      <c r="GJ280" s="101">
        <f t="shared" si="262"/>
        <v>0.16189999999999999</v>
      </c>
      <c r="GK280" s="101">
        <f t="shared" si="263"/>
        <v>1</v>
      </c>
      <c r="GL280" s="101">
        <f t="shared" si="264"/>
        <v>19</v>
      </c>
    </row>
    <row r="281" spans="170:194" ht="16.5" x14ac:dyDescent="0.2">
      <c r="FN281" s="101">
        <v>276</v>
      </c>
      <c r="FO281" s="101">
        <f t="shared" si="249"/>
        <v>32</v>
      </c>
      <c r="FP281" s="101">
        <f t="shared" si="242"/>
        <v>4</v>
      </c>
      <c r="FQ281" s="14">
        <f t="shared" si="243"/>
        <v>3</v>
      </c>
      <c r="FR281" s="101" t="str">
        <f t="shared" si="250"/>
        <v>李轩辕专属武器-魂珠-4 5级</v>
      </c>
      <c r="FS281" s="101">
        <f t="shared" si="251"/>
        <v>4</v>
      </c>
      <c r="FT281" s="101">
        <f t="shared" si="252"/>
        <v>5</v>
      </c>
      <c r="FU281" s="101" t="str">
        <f t="shared" si="244"/>
        <v>金币</v>
      </c>
      <c r="FV281" s="139">
        <f>IF($FT281&gt;0,IF(INDEX($EI$6:$EI$77,$FO281)&gt;=FV$3,ROUND(INDEX(EK$6:EK$77,$FO281)*INDEX(卡牌消耗!$B$8:$F$8,FQ281)/5,0)*5,""),"")</f>
        <v>1185</v>
      </c>
      <c r="FW281" s="101" t="str">
        <f t="shared" si="245"/>
        <v>专属强化石2</v>
      </c>
      <c r="FX281" s="101">
        <f t="shared" si="246"/>
        <v>5</v>
      </c>
      <c r="FY281" s="101" t="str">
        <f t="shared" si="247"/>
        <v>专属强化石3</v>
      </c>
      <c r="FZ281" s="101">
        <f t="shared" si="248"/>
        <v>2</v>
      </c>
      <c r="GA281" s="101">
        <f t="shared" si="253"/>
        <v>0.05</v>
      </c>
      <c r="GB281" s="101">
        <f t="shared" si="254"/>
        <v>1</v>
      </c>
      <c r="GC281" s="101">
        <f t="shared" si="255"/>
        <v>30</v>
      </c>
      <c r="GD281" s="101">
        <f t="shared" si="256"/>
        <v>0</v>
      </c>
      <c r="GE281" s="101">
        <f t="shared" si="257"/>
        <v>1</v>
      </c>
      <c r="GF281" s="101">
        <f t="shared" si="258"/>
        <v>7</v>
      </c>
      <c r="GG281" s="101">
        <f t="shared" si="259"/>
        <v>2.53E-2</v>
      </c>
      <c r="GH281" s="101">
        <f t="shared" si="260"/>
        <v>1</v>
      </c>
      <c r="GI281" s="101">
        <f t="shared" si="261"/>
        <v>14</v>
      </c>
      <c r="GJ281" s="101">
        <f t="shared" si="262"/>
        <v>0.1012</v>
      </c>
      <c r="GK281" s="101">
        <f t="shared" si="263"/>
        <v>1</v>
      </c>
      <c r="GL281" s="101">
        <f t="shared" si="264"/>
        <v>30</v>
      </c>
    </row>
    <row r="282" spans="170:194" ht="16.5" x14ac:dyDescent="0.2">
      <c r="FN282" s="101">
        <v>277</v>
      </c>
      <c r="FO282" s="101">
        <f t="shared" si="249"/>
        <v>33</v>
      </c>
      <c r="FP282" s="101">
        <f t="shared" si="242"/>
        <v>4</v>
      </c>
      <c r="FQ282" s="14">
        <f t="shared" si="243"/>
        <v>3</v>
      </c>
      <c r="FR282" s="101" t="str">
        <f t="shared" si="250"/>
        <v>李轩辕专属武器-魂珠-4 6级</v>
      </c>
      <c r="FS282" s="101">
        <f t="shared" si="251"/>
        <v>4</v>
      </c>
      <c r="FT282" s="101">
        <f t="shared" si="252"/>
        <v>6</v>
      </c>
      <c r="FU282" s="101" t="str">
        <f t="shared" si="244"/>
        <v>金币</v>
      </c>
      <c r="FV282" s="139">
        <f>IF($FT282&gt;0,IF(INDEX($EI$6:$EI$77,$FO282)&gt;=FV$3,ROUND(INDEX(EK$6:EK$77,$FO282)*INDEX(卡牌消耗!$B$8:$F$8,FQ282)/5,0)*5,""),"")</f>
        <v>1180</v>
      </c>
      <c r="FW282" s="101" t="str">
        <f t="shared" si="245"/>
        <v>专属强化石2</v>
      </c>
      <c r="FX282" s="101">
        <f t="shared" si="246"/>
        <v>5</v>
      </c>
      <c r="FY282" s="101" t="str">
        <f t="shared" si="247"/>
        <v>专属强化石3</v>
      </c>
      <c r="FZ282" s="101">
        <f t="shared" si="248"/>
        <v>2</v>
      </c>
      <c r="GA282" s="101">
        <f t="shared" si="253"/>
        <v>0.03</v>
      </c>
      <c r="GB282" s="101">
        <f t="shared" si="254"/>
        <v>1</v>
      </c>
      <c r="GC282" s="101">
        <f t="shared" si="255"/>
        <v>48</v>
      </c>
      <c r="GD282" s="101">
        <f t="shared" si="256"/>
        <v>0</v>
      </c>
      <c r="GE282" s="101">
        <f t="shared" si="257"/>
        <v>1</v>
      </c>
      <c r="GF282" s="101">
        <f t="shared" si="258"/>
        <v>11</v>
      </c>
      <c r="GG282" s="101">
        <f t="shared" si="259"/>
        <v>1.5599999999999999E-2</v>
      </c>
      <c r="GH282" s="101">
        <f t="shared" si="260"/>
        <v>1</v>
      </c>
      <c r="GI282" s="101">
        <f t="shared" si="261"/>
        <v>22</v>
      </c>
      <c r="GJ282" s="101">
        <f t="shared" si="262"/>
        <v>6.2300000000000001E-2</v>
      </c>
      <c r="GK282" s="101">
        <f t="shared" si="263"/>
        <v>1</v>
      </c>
      <c r="GL282" s="101">
        <f t="shared" si="264"/>
        <v>48</v>
      </c>
    </row>
    <row r="283" spans="170:194" ht="16.5" x14ac:dyDescent="0.2">
      <c r="FN283" s="101">
        <v>278</v>
      </c>
      <c r="FO283" s="101">
        <f t="shared" si="249"/>
        <v>34</v>
      </c>
      <c r="FP283" s="101">
        <f t="shared" si="242"/>
        <v>4</v>
      </c>
      <c r="FQ283" s="14">
        <f t="shared" si="243"/>
        <v>3</v>
      </c>
      <c r="FR283" s="101" t="str">
        <f t="shared" si="250"/>
        <v>李轩辕专属武器-魂珠-4 7级</v>
      </c>
      <c r="FS283" s="101">
        <f t="shared" si="251"/>
        <v>4</v>
      </c>
      <c r="FT283" s="101">
        <f t="shared" si="252"/>
        <v>7</v>
      </c>
      <c r="FU283" s="101" t="str">
        <f t="shared" si="244"/>
        <v>金币</v>
      </c>
      <c r="FV283" s="139">
        <f>IF($FT283&gt;0,IF(INDEX($EI$6:$EI$77,$FO283)&gt;=FV$3,ROUND(INDEX(EK$6:EK$77,$FO283)*INDEX(卡牌消耗!$B$8:$F$8,FQ283)/5,0)*5,""),"")</f>
        <v>1770</v>
      </c>
      <c r="FW283" s="101" t="str">
        <f t="shared" si="245"/>
        <v>专属强化石2</v>
      </c>
      <c r="FX283" s="101">
        <f t="shared" si="246"/>
        <v>8</v>
      </c>
      <c r="FY283" s="101" t="str">
        <f t="shared" si="247"/>
        <v>专属强化石3</v>
      </c>
      <c r="FZ283" s="101">
        <f t="shared" si="248"/>
        <v>3</v>
      </c>
      <c r="GA283" s="101">
        <f t="shared" si="253"/>
        <v>0.03</v>
      </c>
      <c r="GB283" s="101">
        <f t="shared" si="254"/>
        <v>1</v>
      </c>
      <c r="GC283" s="101">
        <f t="shared" si="255"/>
        <v>52</v>
      </c>
      <c r="GD283" s="101">
        <f t="shared" si="256"/>
        <v>0</v>
      </c>
      <c r="GE283" s="101">
        <f t="shared" si="257"/>
        <v>1</v>
      </c>
      <c r="GF283" s="101">
        <f t="shared" si="258"/>
        <v>12</v>
      </c>
      <c r="GG283" s="101">
        <f t="shared" si="259"/>
        <v>1.4500000000000001E-2</v>
      </c>
      <c r="GH283" s="101">
        <f t="shared" si="260"/>
        <v>1</v>
      </c>
      <c r="GI283" s="101">
        <f t="shared" si="261"/>
        <v>24</v>
      </c>
      <c r="GJ283" s="101">
        <f t="shared" si="262"/>
        <v>5.7799999999999997E-2</v>
      </c>
      <c r="GK283" s="101">
        <f t="shared" si="263"/>
        <v>1</v>
      </c>
      <c r="GL283" s="101">
        <f t="shared" si="264"/>
        <v>52</v>
      </c>
    </row>
    <row r="284" spans="170:194" ht="16.5" x14ac:dyDescent="0.2">
      <c r="FN284" s="101">
        <v>279</v>
      </c>
      <c r="FO284" s="101">
        <f t="shared" si="249"/>
        <v>35</v>
      </c>
      <c r="FP284" s="101">
        <f t="shared" si="242"/>
        <v>4</v>
      </c>
      <c r="FQ284" s="14">
        <f t="shared" si="243"/>
        <v>3</v>
      </c>
      <c r="FR284" s="101" t="str">
        <f t="shared" si="250"/>
        <v>李轩辕专属武器-魂珠-4 8级</v>
      </c>
      <c r="FS284" s="101">
        <f t="shared" si="251"/>
        <v>4</v>
      </c>
      <c r="FT284" s="101">
        <f t="shared" si="252"/>
        <v>8</v>
      </c>
      <c r="FU284" s="101" t="str">
        <f t="shared" si="244"/>
        <v>金币</v>
      </c>
      <c r="FV284" s="139">
        <f>IF($FT284&gt;0,IF(INDEX($EI$6:$EI$77,$FO284)&gt;=FV$3,ROUND(INDEX(EK$6:EK$77,$FO284)*INDEX(卡牌消耗!$B$8:$F$8,FQ284)/5,0)*5,""),"")</f>
        <v>2360</v>
      </c>
      <c r="FW284" s="101" t="str">
        <f t="shared" si="245"/>
        <v>专属强化石2</v>
      </c>
      <c r="FX284" s="101">
        <f t="shared" si="246"/>
        <v>11</v>
      </c>
      <c r="FY284" s="101" t="str">
        <f t="shared" si="247"/>
        <v>专属强化石3</v>
      </c>
      <c r="FZ284" s="101">
        <f t="shared" si="248"/>
        <v>4</v>
      </c>
      <c r="GA284" s="101">
        <f t="shared" si="253"/>
        <v>0.02</v>
      </c>
      <c r="GB284" s="101">
        <f t="shared" si="254"/>
        <v>1</v>
      </c>
      <c r="GC284" s="101">
        <f t="shared" si="255"/>
        <v>63</v>
      </c>
      <c r="GD284" s="101">
        <f t="shared" si="256"/>
        <v>0</v>
      </c>
      <c r="GE284" s="101">
        <f t="shared" si="257"/>
        <v>1</v>
      </c>
      <c r="GF284" s="101">
        <f t="shared" si="258"/>
        <v>15</v>
      </c>
      <c r="GG284" s="101">
        <f t="shared" si="259"/>
        <v>1.1900000000000001E-2</v>
      </c>
      <c r="GH284" s="101">
        <f t="shared" si="260"/>
        <v>1</v>
      </c>
      <c r="GI284" s="101">
        <f t="shared" si="261"/>
        <v>29</v>
      </c>
      <c r="GJ284" s="101">
        <f t="shared" si="262"/>
        <v>4.7600000000000003E-2</v>
      </c>
      <c r="GK284" s="101">
        <f t="shared" si="263"/>
        <v>1</v>
      </c>
      <c r="GL284" s="101">
        <f t="shared" si="264"/>
        <v>63</v>
      </c>
    </row>
    <row r="285" spans="170:194" ht="16.5" x14ac:dyDescent="0.2">
      <c r="FN285" s="101">
        <v>280</v>
      </c>
      <c r="FO285" s="101">
        <f t="shared" si="249"/>
        <v>36</v>
      </c>
      <c r="FP285" s="101">
        <f t="shared" si="242"/>
        <v>4</v>
      </c>
      <c r="FQ285" s="14">
        <f t="shared" si="243"/>
        <v>3</v>
      </c>
      <c r="FR285" s="101" t="str">
        <f t="shared" si="250"/>
        <v>李轩辕专属武器-魂珠-4 9级</v>
      </c>
      <c r="FS285" s="101">
        <f t="shared" si="251"/>
        <v>4</v>
      </c>
      <c r="FT285" s="101">
        <f t="shared" si="252"/>
        <v>9</v>
      </c>
      <c r="FU285" s="101" t="str">
        <f t="shared" si="244"/>
        <v>金币</v>
      </c>
      <c r="FV285" s="139">
        <f>IF($FT285&gt;0,IF(INDEX($EI$6:$EI$77,$FO285)&gt;=FV$3,ROUND(INDEX(EK$6:EK$77,$FO285)*INDEX(卡牌消耗!$B$8:$F$8,FQ285)/5,0)*5,""),"")</f>
        <v>3540</v>
      </c>
      <c r="FW285" s="101" t="str">
        <f t="shared" si="245"/>
        <v>专属强化石2</v>
      </c>
      <c r="FX285" s="101">
        <f t="shared" si="246"/>
        <v>16</v>
      </c>
      <c r="FY285" s="101" t="str">
        <f t="shared" si="247"/>
        <v>专属强化石3</v>
      </c>
      <c r="FZ285" s="101">
        <f t="shared" si="248"/>
        <v>6</v>
      </c>
      <c r="GA285" s="101">
        <f t="shared" si="253"/>
        <v>0.02</v>
      </c>
      <c r="GB285" s="101">
        <f t="shared" si="254"/>
        <v>1</v>
      </c>
      <c r="GC285" s="101">
        <f t="shared" si="255"/>
        <v>68</v>
      </c>
      <c r="GD285" s="101">
        <f t="shared" si="256"/>
        <v>0</v>
      </c>
      <c r="GE285" s="101">
        <f t="shared" si="257"/>
        <v>1</v>
      </c>
      <c r="GF285" s="101">
        <f t="shared" si="258"/>
        <v>16</v>
      </c>
      <c r="GG285" s="101">
        <f t="shared" si="259"/>
        <v>1.0999999999999999E-2</v>
      </c>
      <c r="GH285" s="101">
        <f t="shared" si="260"/>
        <v>1</v>
      </c>
      <c r="GI285" s="101">
        <f t="shared" si="261"/>
        <v>32</v>
      </c>
      <c r="GJ285" s="101">
        <f t="shared" si="262"/>
        <v>4.4200000000000003E-2</v>
      </c>
      <c r="GK285" s="101">
        <f t="shared" si="263"/>
        <v>1</v>
      </c>
      <c r="GL285" s="101">
        <f t="shared" si="264"/>
        <v>68</v>
      </c>
    </row>
    <row r="286" spans="170:194" ht="16.5" x14ac:dyDescent="0.2">
      <c r="FN286" s="101">
        <v>281</v>
      </c>
      <c r="FO286" s="101">
        <f t="shared" si="249"/>
        <v>0</v>
      </c>
      <c r="FP286" s="101">
        <f t="shared" si="242"/>
        <v>4</v>
      </c>
      <c r="FQ286" s="14">
        <f t="shared" si="243"/>
        <v>3</v>
      </c>
      <c r="FR286" s="101" t="str">
        <f t="shared" si="250"/>
        <v>李轩辕专属武器-魂珠-5 0级</v>
      </c>
      <c r="FS286" s="101">
        <f t="shared" si="251"/>
        <v>5</v>
      </c>
      <c r="FT286" s="101">
        <f t="shared" si="252"/>
        <v>0</v>
      </c>
      <c r="FU286" s="101" t="str">
        <f t="shared" si="244"/>
        <v/>
      </c>
      <c r="FV286" s="139" t="str">
        <f>IF($FT286&gt;0,IF(INDEX($EI$6:$EI$77,$FO286)&gt;=FV$3,ROUND(INDEX(EK$6:EK$77,$FO286)*INDEX(卡牌消耗!$B$8:$F$8,FQ286)/5,0)*5,""),"")</f>
        <v/>
      </c>
      <c r="FW286" s="101" t="str">
        <f t="shared" si="245"/>
        <v/>
      </c>
      <c r="FX286" s="101" t="str">
        <f t="shared" si="246"/>
        <v/>
      </c>
      <c r="FY286" s="101" t="str">
        <f t="shared" si="247"/>
        <v/>
      </c>
      <c r="FZ286" s="101" t="str">
        <f t="shared" si="248"/>
        <v/>
      </c>
      <c r="GA286" s="101" t="str">
        <f t="shared" si="253"/>
        <v/>
      </c>
      <c r="GB286" s="101" t="str">
        <f t="shared" si="254"/>
        <v/>
      </c>
      <c r="GC286" s="101" t="str">
        <f t="shared" si="255"/>
        <v/>
      </c>
      <c r="GD286" s="101" t="str">
        <f t="shared" si="256"/>
        <v/>
      </c>
      <c r="GE286" s="101" t="str">
        <f t="shared" si="257"/>
        <v/>
      </c>
      <c r="GF286" s="101" t="str">
        <f t="shared" si="258"/>
        <v/>
      </c>
      <c r="GG286" s="101" t="str">
        <f t="shared" si="259"/>
        <v/>
      </c>
      <c r="GH286" s="101" t="str">
        <f t="shared" si="260"/>
        <v/>
      </c>
      <c r="GI286" s="101" t="str">
        <f t="shared" si="261"/>
        <v/>
      </c>
      <c r="GJ286" s="101" t="str">
        <f t="shared" si="262"/>
        <v/>
      </c>
      <c r="GK286" s="101" t="str">
        <f t="shared" si="263"/>
        <v/>
      </c>
      <c r="GL286" s="101" t="str">
        <f t="shared" si="264"/>
        <v/>
      </c>
    </row>
    <row r="287" spans="170:194" ht="16.5" x14ac:dyDescent="0.2">
      <c r="FN287" s="101">
        <v>282</v>
      </c>
      <c r="FO287" s="101">
        <f t="shared" si="249"/>
        <v>37</v>
      </c>
      <c r="FP287" s="101">
        <f t="shared" si="242"/>
        <v>4</v>
      </c>
      <c r="FQ287" s="14">
        <f t="shared" si="243"/>
        <v>3</v>
      </c>
      <c r="FR287" s="101" t="str">
        <f t="shared" si="250"/>
        <v>李轩辕专属武器-魂珠-5 1级</v>
      </c>
      <c r="FS287" s="101">
        <f t="shared" si="251"/>
        <v>5</v>
      </c>
      <c r="FT287" s="101">
        <f t="shared" si="252"/>
        <v>1</v>
      </c>
      <c r="FU287" s="101" t="str">
        <f t="shared" si="244"/>
        <v>金币</v>
      </c>
      <c r="FV287" s="139">
        <f>IF($FT287&gt;0,IF(INDEX($EI$6:$EI$77,$FO287)&gt;=FV$3,ROUND(INDEX(EK$6:EK$77,$FO287)*INDEX(卡牌消耗!$B$8:$F$8,FQ287)/5,0)*5,""),"")</f>
        <v>1495</v>
      </c>
      <c r="FW287" s="101" t="str">
        <f t="shared" si="245"/>
        <v>专属强化石2</v>
      </c>
      <c r="FX287" s="101">
        <f t="shared" si="246"/>
        <v>3</v>
      </c>
      <c r="FY287" s="101" t="str">
        <f t="shared" si="247"/>
        <v>专属强化石3</v>
      </c>
      <c r="FZ287" s="101">
        <f t="shared" si="248"/>
        <v>2</v>
      </c>
      <c r="GA287" s="101">
        <f t="shared" si="253"/>
        <v>0.2</v>
      </c>
      <c r="GB287" s="101">
        <f t="shared" si="254"/>
        <v>1</v>
      </c>
      <c r="GC287" s="101">
        <f t="shared" si="255"/>
        <v>7</v>
      </c>
      <c r="GD287" s="101">
        <f t="shared" si="256"/>
        <v>0</v>
      </c>
      <c r="GE287" s="101">
        <f t="shared" si="257"/>
        <v>1</v>
      </c>
      <c r="GF287" s="101">
        <f t="shared" si="258"/>
        <v>2</v>
      </c>
      <c r="GG287" s="101">
        <f t="shared" si="259"/>
        <v>0.1012</v>
      </c>
      <c r="GH287" s="101">
        <f t="shared" si="260"/>
        <v>1</v>
      </c>
      <c r="GI287" s="101">
        <f t="shared" si="261"/>
        <v>3</v>
      </c>
      <c r="GJ287" s="101">
        <f t="shared" si="262"/>
        <v>0.40479999999999999</v>
      </c>
      <c r="GK287" s="101">
        <f t="shared" si="263"/>
        <v>1</v>
      </c>
      <c r="GL287" s="101">
        <f t="shared" si="264"/>
        <v>7</v>
      </c>
    </row>
    <row r="288" spans="170:194" ht="16.5" x14ac:dyDescent="0.2">
      <c r="FN288" s="101">
        <v>283</v>
      </c>
      <c r="FO288" s="101">
        <f t="shared" si="249"/>
        <v>38</v>
      </c>
      <c r="FP288" s="101">
        <f t="shared" si="242"/>
        <v>4</v>
      </c>
      <c r="FQ288" s="14">
        <f t="shared" si="243"/>
        <v>3</v>
      </c>
      <c r="FR288" s="101" t="str">
        <f t="shared" si="250"/>
        <v>李轩辕专属武器-魂珠-5 2级</v>
      </c>
      <c r="FS288" s="101">
        <f t="shared" si="251"/>
        <v>5</v>
      </c>
      <c r="FT288" s="101">
        <f t="shared" si="252"/>
        <v>2</v>
      </c>
      <c r="FU288" s="101" t="str">
        <f t="shared" si="244"/>
        <v>金币</v>
      </c>
      <c r="FV288" s="139">
        <f>IF($FT288&gt;0,IF(INDEX($EI$6:$EI$77,$FO288)&gt;=FV$3,ROUND(INDEX(EK$6:EK$77,$FO288)*INDEX(卡牌消耗!$B$8:$F$8,FQ288)/5,0)*5,""),"")</f>
        <v>1120</v>
      </c>
      <c r="FW288" s="101" t="str">
        <f t="shared" si="245"/>
        <v>专属强化石2</v>
      </c>
      <c r="FX288" s="101">
        <f t="shared" si="246"/>
        <v>3</v>
      </c>
      <c r="FY288" s="101" t="str">
        <f t="shared" si="247"/>
        <v>专属强化石3</v>
      </c>
      <c r="FZ288" s="101">
        <f t="shared" si="248"/>
        <v>2</v>
      </c>
      <c r="GA288" s="101">
        <f t="shared" si="253"/>
        <v>0.1</v>
      </c>
      <c r="GB288" s="101">
        <f t="shared" si="254"/>
        <v>1</v>
      </c>
      <c r="GC288" s="101">
        <f t="shared" si="255"/>
        <v>15</v>
      </c>
      <c r="GD288" s="101">
        <f t="shared" si="256"/>
        <v>0</v>
      </c>
      <c r="GE288" s="101">
        <f t="shared" si="257"/>
        <v>1</v>
      </c>
      <c r="GF288" s="101">
        <f t="shared" si="258"/>
        <v>3</v>
      </c>
      <c r="GG288" s="101">
        <f t="shared" si="259"/>
        <v>5.0599999999999999E-2</v>
      </c>
      <c r="GH288" s="101">
        <f t="shared" si="260"/>
        <v>1</v>
      </c>
      <c r="GI288" s="101">
        <f t="shared" si="261"/>
        <v>7</v>
      </c>
      <c r="GJ288" s="101">
        <f t="shared" si="262"/>
        <v>0.2024</v>
      </c>
      <c r="GK288" s="101">
        <f t="shared" si="263"/>
        <v>1</v>
      </c>
      <c r="GL288" s="101">
        <f t="shared" si="264"/>
        <v>15</v>
      </c>
    </row>
    <row r="289" spans="170:194" ht="16.5" x14ac:dyDescent="0.2">
      <c r="FN289" s="101">
        <v>284</v>
      </c>
      <c r="FO289" s="101">
        <f t="shared" si="249"/>
        <v>39</v>
      </c>
      <c r="FP289" s="101">
        <f t="shared" si="242"/>
        <v>4</v>
      </c>
      <c r="FQ289" s="14">
        <f t="shared" si="243"/>
        <v>3</v>
      </c>
      <c r="FR289" s="101" t="str">
        <f t="shared" si="250"/>
        <v>李轩辕专属武器-魂珠-5 3级</v>
      </c>
      <c r="FS289" s="101">
        <f t="shared" si="251"/>
        <v>5</v>
      </c>
      <c r="FT289" s="101">
        <f t="shared" si="252"/>
        <v>3</v>
      </c>
      <c r="FU289" s="101" t="str">
        <f t="shared" si="244"/>
        <v>金币</v>
      </c>
      <c r="FV289" s="139">
        <f>IF($FT289&gt;0,IF(INDEX($EI$6:$EI$77,$FO289)&gt;=FV$3,ROUND(INDEX(EK$6:EK$77,$FO289)*INDEX(卡牌消耗!$B$8:$F$8,FQ289)/5,0)*5,""),"")</f>
        <v>1245</v>
      </c>
      <c r="FW289" s="101" t="str">
        <f t="shared" si="245"/>
        <v>专属强化石2</v>
      </c>
      <c r="FX289" s="101">
        <f t="shared" si="246"/>
        <v>3</v>
      </c>
      <c r="FY289" s="101" t="str">
        <f t="shared" si="247"/>
        <v>专属强化石3</v>
      </c>
      <c r="FZ289" s="101">
        <f t="shared" si="248"/>
        <v>2</v>
      </c>
      <c r="GA289" s="101">
        <f t="shared" si="253"/>
        <v>7.0000000000000007E-2</v>
      </c>
      <c r="GB289" s="101">
        <f t="shared" si="254"/>
        <v>1</v>
      </c>
      <c r="GC289" s="101">
        <f t="shared" si="255"/>
        <v>22</v>
      </c>
      <c r="GD289" s="101">
        <f t="shared" si="256"/>
        <v>0</v>
      </c>
      <c r="GE289" s="101">
        <f t="shared" si="257"/>
        <v>1</v>
      </c>
      <c r="GF289" s="101">
        <f t="shared" si="258"/>
        <v>5</v>
      </c>
      <c r="GG289" s="101">
        <f t="shared" si="259"/>
        <v>3.3700000000000001E-2</v>
      </c>
      <c r="GH289" s="101">
        <f t="shared" si="260"/>
        <v>1</v>
      </c>
      <c r="GI289" s="101">
        <f t="shared" si="261"/>
        <v>10</v>
      </c>
      <c r="GJ289" s="101">
        <f t="shared" si="262"/>
        <v>0.13489999999999999</v>
      </c>
      <c r="GK289" s="101">
        <f t="shared" si="263"/>
        <v>1</v>
      </c>
      <c r="GL289" s="101">
        <f t="shared" si="264"/>
        <v>22</v>
      </c>
    </row>
    <row r="290" spans="170:194" ht="16.5" x14ac:dyDescent="0.2">
      <c r="FN290" s="101">
        <v>285</v>
      </c>
      <c r="FO290" s="101">
        <f t="shared" si="249"/>
        <v>40</v>
      </c>
      <c r="FP290" s="101">
        <f t="shared" si="242"/>
        <v>4</v>
      </c>
      <c r="FQ290" s="14">
        <f t="shared" si="243"/>
        <v>3</v>
      </c>
      <c r="FR290" s="101" t="str">
        <f t="shared" si="250"/>
        <v>李轩辕专属武器-魂珠-5 4级</v>
      </c>
      <c r="FS290" s="101">
        <f t="shared" si="251"/>
        <v>5</v>
      </c>
      <c r="FT290" s="101">
        <f t="shared" si="252"/>
        <v>4</v>
      </c>
      <c r="FU290" s="101" t="str">
        <f t="shared" si="244"/>
        <v>金币</v>
      </c>
      <c r="FV290" s="139">
        <f>IF($FT290&gt;0,IF(INDEX($EI$6:$EI$77,$FO290)&gt;=FV$3,ROUND(INDEX(EK$6:EK$77,$FO290)*INDEX(卡牌消耗!$B$8:$F$8,FQ290)/5,0)*5,""),"")</f>
        <v>1795</v>
      </c>
      <c r="FW290" s="101" t="str">
        <f t="shared" si="245"/>
        <v>专属强化石2</v>
      </c>
      <c r="FX290" s="101">
        <f t="shared" si="246"/>
        <v>5</v>
      </c>
      <c r="FY290" s="101" t="str">
        <f t="shared" si="247"/>
        <v>专属强化石3</v>
      </c>
      <c r="FZ290" s="101">
        <f t="shared" si="248"/>
        <v>3</v>
      </c>
      <c r="GA290" s="101">
        <f t="shared" si="253"/>
        <v>0.06</v>
      </c>
      <c r="GB290" s="101">
        <f t="shared" si="254"/>
        <v>1</v>
      </c>
      <c r="GC290" s="101">
        <f t="shared" si="255"/>
        <v>25</v>
      </c>
      <c r="GD290" s="101">
        <f t="shared" si="256"/>
        <v>0</v>
      </c>
      <c r="GE290" s="101">
        <f t="shared" si="257"/>
        <v>1</v>
      </c>
      <c r="GF290" s="101">
        <f t="shared" si="258"/>
        <v>6</v>
      </c>
      <c r="GG290" s="101">
        <f t="shared" si="259"/>
        <v>3.04E-2</v>
      </c>
      <c r="GH290" s="101">
        <f t="shared" si="260"/>
        <v>1</v>
      </c>
      <c r="GI290" s="101">
        <f t="shared" si="261"/>
        <v>12</v>
      </c>
      <c r="GJ290" s="101">
        <f t="shared" si="262"/>
        <v>0.12139999999999999</v>
      </c>
      <c r="GK290" s="101">
        <f t="shared" si="263"/>
        <v>1</v>
      </c>
      <c r="GL290" s="101">
        <f t="shared" si="264"/>
        <v>25</v>
      </c>
    </row>
    <row r="291" spans="170:194" ht="16.5" x14ac:dyDescent="0.2">
      <c r="FN291" s="101">
        <v>286</v>
      </c>
      <c r="FO291" s="101">
        <f t="shared" si="249"/>
        <v>41</v>
      </c>
      <c r="FP291" s="101">
        <f t="shared" si="242"/>
        <v>4</v>
      </c>
      <c r="FQ291" s="14">
        <f t="shared" si="243"/>
        <v>3</v>
      </c>
      <c r="FR291" s="101" t="str">
        <f t="shared" si="250"/>
        <v>李轩辕专属武器-魂珠-5 5级</v>
      </c>
      <c r="FS291" s="101">
        <f t="shared" si="251"/>
        <v>5</v>
      </c>
      <c r="FT291" s="101">
        <f t="shared" si="252"/>
        <v>5</v>
      </c>
      <c r="FU291" s="101" t="str">
        <f t="shared" si="244"/>
        <v>金币</v>
      </c>
      <c r="FV291" s="139">
        <f>IF($FT291&gt;0,IF(INDEX($EI$6:$EI$77,$FO291)&gt;=FV$3,ROUND(INDEX(EK$6:EK$77,$FO291)*INDEX(卡牌消耗!$B$8:$F$8,FQ291)/5,0)*5,""),"")</f>
        <v>1825</v>
      </c>
      <c r="FW291" s="101" t="str">
        <f t="shared" si="245"/>
        <v>专属强化石2</v>
      </c>
      <c r="FX291" s="101">
        <f t="shared" si="246"/>
        <v>5</v>
      </c>
      <c r="FY291" s="101" t="str">
        <f t="shared" si="247"/>
        <v>专属强化石3</v>
      </c>
      <c r="FZ291" s="101">
        <f t="shared" si="248"/>
        <v>3</v>
      </c>
      <c r="GA291" s="101">
        <f t="shared" si="253"/>
        <v>0.04</v>
      </c>
      <c r="GB291" s="101">
        <f t="shared" si="254"/>
        <v>1</v>
      </c>
      <c r="GC291" s="101">
        <f t="shared" si="255"/>
        <v>40</v>
      </c>
      <c r="GD291" s="101">
        <f t="shared" si="256"/>
        <v>0</v>
      </c>
      <c r="GE291" s="101">
        <f t="shared" si="257"/>
        <v>1</v>
      </c>
      <c r="GF291" s="101">
        <f t="shared" si="258"/>
        <v>9</v>
      </c>
      <c r="GG291" s="101">
        <f t="shared" si="259"/>
        <v>1.9E-2</v>
      </c>
      <c r="GH291" s="101">
        <f t="shared" si="260"/>
        <v>1</v>
      </c>
      <c r="GI291" s="101">
        <f t="shared" si="261"/>
        <v>18</v>
      </c>
      <c r="GJ291" s="101">
        <f t="shared" si="262"/>
        <v>7.5899999999999995E-2</v>
      </c>
      <c r="GK291" s="101">
        <f t="shared" si="263"/>
        <v>1</v>
      </c>
      <c r="GL291" s="101">
        <f t="shared" si="264"/>
        <v>40</v>
      </c>
    </row>
    <row r="292" spans="170:194" ht="16.5" x14ac:dyDescent="0.2">
      <c r="FN292" s="101">
        <v>287</v>
      </c>
      <c r="FO292" s="101">
        <f t="shared" si="249"/>
        <v>42</v>
      </c>
      <c r="FP292" s="101">
        <f t="shared" si="242"/>
        <v>4</v>
      </c>
      <c r="FQ292" s="14">
        <f t="shared" si="243"/>
        <v>3</v>
      </c>
      <c r="FR292" s="101" t="str">
        <f t="shared" si="250"/>
        <v>李轩辕专属武器-魂珠-5 6级</v>
      </c>
      <c r="FS292" s="101">
        <f t="shared" si="251"/>
        <v>5</v>
      </c>
      <c r="FT292" s="101">
        <f t="shared" si="252"/>
        <v>6</v>
      </c>
      <c r="FU292" s="101" t="str">
        <f t="shared" si="244"/>
        <v>金币</v>
      </c>
      <c r="FV292" s="139">
        <f>IF($FT292&gt;0,IF(INDEX($EI$6:$EI$77,$FO292)&gt;=FV$3,ROUND(INDEX(EK$6:EK$77,$FO292)*INDEX(卡牌消耗!$B$8:$F$8,FQ292)/5,0)*5,""),"")</f>
        <v>3020</v>
      </c>
      <c r="FW292" s="101" t="str">
        <f t="shared" si="245"/>
        <v>专属强化石2</v>
      </c>
      <c r="FX292" s="101">
        <f t="shared" si="246"/>
        <v>8</v>
      </c>
      <c r="FY292" s="101" t="str">
        <f t="shared" si="247"/>
        <v>专属强化石3</v>
      </c>
      <c r="FZ292" s="101">
        <f t="shared" si="248"/>
        <v>5</v>
      </c>
      <c r="GA292" s="101">
        <f t="shared" si="253"/>
        <v>0.04</v>
      </c>
      <c r="GB292" s="101">
        <f t="shared" si="254"/>
        <v>1</v>
      </c>
      <c r="GC292" s="101">
        <f t="shared" si="255"/>
        <v>39</v>
      </c>
      <c r="GD292" s="101">
        <f t="shared" si="256"/>
        <v>0</v>
      </c>
      <c r="GE292" s="101">
        <f t="shared" si="257"/>
        <v>1</v>
      </c>
      <c r="GF292" s="101">
        <f t="shared" si="258"/>
        <v>9</v>
      </c>
      <c r="GG292" s="101">
        <f t="shared" si="259"/>
        <v>1.95E-2</v>
      </c>
      <c r="GH292" s="101">
        <f t="shared" si="260"/>
        <v>1</v>
      </c>
      <c r="GI292" s="101">
        <f t="shared" si="261"/>
        <v>18</v>
      </c>
      <c r="GJ292" s="101">
        <f t="shared" si="262"/>
        <v>7.7799999999999994E-2</v>
      </c>
      <c r="GK292" s="101">
        <f t="shared" si="263"/>
        <v>1</v>
      </c>
      <c r="GL292" s="101">
        <f t="shared" si="264"/>
        <v>39</v>
      </c>
    </row>
    <row r="293" spans="170:194" ht="16.5" x14ac:dyDescent="0.2">
      <c r="FN293" s="101">
        <v>288</v>
      </c>
      <c r="FO293" s="101">
        <f t="shared" si="249"/>
        <v>43</v>
      </c>
      <c r="FP293" s="101">
        <f t="shared" si="242"/>
        <v>4</v>
      </c>
      <c r="FQ293" s="14">
        <f t="shared" si="243"/>
        <v>3</v>
      </c>
      <c r="FR293" s="101" t="str">
        <f t="shared" si="250"/>
        <v>李轩辕专属武器-魂珠-5 7级</v>
      </c>
      <c r="FS293" s="101">
        <f t="shared" si="251"/>
        <v>5</v>
      </c>
      <c r="FT293" s="101">
        <f t="shared" si="252"/>
        <v>7</v>
      </c>
      <c r="FU293" s="101" t="str">
        <f t="shared" si="244"/>
        <v>金币</v>
      </c>
      <c r="FV293" s="139">
        <f>IF($FT293&gt;0,IF(INDEX($EI$6:$EI$77,$FO293)&gt;=FV$3,ROUND(INDEX(EK$6:EK$77,$FO293)*INDEX(卡牌消耗!$B$8:$F$8,FQ293)/5,0)*5,""),"")</f>
        <v>3025</v>
      </c>
      <c r="FW293" s="101" t="str">
        <f t="shared" si="245"/>
        <v>专属强化石2</v>
      </c>
      <c r="FX293" s="101">
        <f t="shared" si="246"/>
        <v>8</v>
      </c>
      <c r="FY293" s="101" t="str">
        <f t="shared" si="247"/>
        <v>专属强化石3</v>
      </c>
      <c r="FZ293" s="101">
        <f t="shared" si="248"/>
        <v>5</v>
      </c>
      <c r="GA293" s="101">
        <f t="shared" si="253"/>
        <v>0.02</v>
      </c>
      <c r="GB293" s="101">
        <f t="shared" si="254"/>
        <v>1</v>
      </c>
      <c r="GC293" s="101">
        <f t="shared" si="255"/>
        <v>62</v>
      </c>
      <c r="GD293" s="101">
        <f t="shared" si="256"/>
        <v>0</v>
      </c>
      <c r="GE293" s="101">
        <f t="shared" si="257"/>
        <v>1</v>
      </c>
      <c r="GF293" s="101">
        <f t="shared" si="258"/>
        <v>15</v>
      </c>
      <c r="GG293" s="101">
        <f t="shared" si="259"/>
        <v>1.2E-2</v>
      </c>
      <c r="GH293" s="101">
        <f t="shared" si="260"/>
        <v>1</v>
      </c>
      <c r="GI293" s="101">
        <f t="shared" si="261"/>
        <v>29</v>
      </c>
      <c r="GJ293" s="101">
        <f t="shared" si="262"/>
        <v>4.82E-2</v>
      </c>
      <c r="GK293" s="101">
        <f t="shared" si="263"/>
        <v>1</v>
      </c>
      <c r="GL293" s="101">
        <f t="shared" si="264"/>
        <v>62</v>
      </c>
    </row>
    <row r="294" spans="170:194" ht="16.5" x14ac:dyDescent="0.2">
      <c r="FN294" s="101">
        <v>289</v>
      </c>
      <c r="FO294" s="101">
        <f t="shared" si="249"/>
        <v>44</v>
      </c>
      <c r="FP294" s="101">
        <f t="shared" si="242"/>
        <v>4</v>
      </c>
      <c r="FQ294" s="14">
        <f t="shared" si="243"/>
        <v>3</v>
      </c>
      <c r="FR294" s="101" t="str">
        <f t="shared" si="250"/>
        <v>李轩辕专属武器-魂珠-5 8级</v>
      </c>
      <c r="FS294" s="101">
        <f t="shared" si="251"/>
        <v>5</v>
      </c>
      <c r="FT294" s="101">
        <f t="shared" si="252"/>
        <v>8</v>
      </c>
      <c r="FU294" s="101" t="str">
        <f t="shared" si="244"/>
        <v>金币</v>
      </c>
      <c r="FV294" s="139">
        <f>IF($FT294&gt;0,IF(INDEX($EI$6:$EI$77,$FO294)&gt;=FV$3,ROUND(INDEX(EK$6:EK$77,$FO294)*INDEX(卡牌消耗!$B$8:$F$8,FQ294)/5,0)*5,""),"")</f>
        <v>4235</v>
      </c>
      <c r="FW294" s="101" t="str">
        <f t="shared" si="245"/>
        <v>专属强化石2</v>
      </c>
      <c r="FX294" s="101">
        <f t="shared" si="246"/>
        <v>11</v>
      </c>
      <c r="FY294" s="101" t="str">
        <f t="shared" si="247"/>
        <v>专属强化石3</v>
      </c>
      <c r="FZ294" s="101">
        <f t="shared" si="248"/>
        <v>7</v>
      </c>
      <c r="GA294" s="101">
        <f t="shared" si="253"/>
        <v>0.02</v>
      </c>
      <c r="GB294" s="101">
        <f t="shared" si="254"/>
        <v>1</v>
      </c>
      <c r="GC294" s="101">
        <f t="shared" si="255"/>
        <v>72</v>
      </c>
      <c r="GD294" s="101">
        <f t="shared" si="256"/>
        <v>0</v>
      </c>
      <c r="GE294" s="101">
        <f t="shared" si="257"/>
        <v>1</v>
      </c>
      <c r="GF294" s="101">
        <f t="shared" si="258"/>
        <v>17</v>
      </c>
      <c r="GG294" s="101">
        <f t="shared" si="259"/>
        <v>1.04E-2</v>
      </c>
      <c r="GH294" s="101">
        <f t="shared" si="260"/>
        <v>1</v>
      </c>
      <c r="GI294" s="101">
        <f t="shared" si="261"/>
        <v>34</v>
      </c>
      <c r="GJ294" s="101">
        <f t="shared" si="262"/>
        <v>4.1700000000000001E-2</v>
      </c>
      <c r="GK294" s="101">
        <f t="shared" si="263"/>
        <v>1</v>
      </c>
      <c r="GL294" s="101">
        <f t="shared" si="264"/>
        <v>72</v>
      </c>
    </row>
    <row r="295" spans="170:194" ht="16.5" x14ac:dyDescent="0.2">
      <c r="FN295" s="101">
        <v>290</v>
      </c>
      <c r="FO295" s="101">
        <f t="shared" si="249"/>
        <v>45</v>
      </c>
      <c r="FP295" s="101">
        <f t="shared" si="242"/>
        <v>4</v>
      </c>
      <c r="FQ295" s="14">
        <f t="shared" si="243"/>
        <v>3</v>
      </c>
      <c r="FR295" s="101" t="str">
        <f t="shared" si="250"/>
        <v>李轩辕专属武器-魂珠-5 9级</v>
      </c>
      <c r="FS295" s="101">
        <f t="shared" si="251"/>
        <v>5</v>
      </c>
      <c r="FT295" s="101">
        <f t="shared" si="252"/>
        <v>9</v>
      </c>
      <c r="FU295" s="101" t="str">
        <f t="shared" si="244"/>
        <v>金币</v>
      </c>
      <c r="FV295" s="139">
        <f>IF($FT295&gt;0,IF(INDEX($EI$6:$EI$77,$FO295)&gt;=FV$3,ROUND(INDEX(EK$6:EK$77,$FO295)*INDEX(卡牌消耗!$B$8:$F$8,FQ295)/5,0)*5,""),"")</f>
        <v>5445</v>
      </c>
      <c r="FW295" s="101" t="str">
        <f t="shared" si="245"/>
        <v>专属强化石2</v>
      </c>
      <c r="FX295" s="101">
        <f t="shared" si="246"/>
        <v>14</v>
      </c>
      <c r="FY295" s="101" t="str">
        <f t="shared" si="247"/>
        <v>专属强化石3</v>
      </c>
      <c r="FZ295" s="101">
        <f t="shared" si="248"/>
        <v>9</v>
      </c>
      <c r="GA295" s="101">
        <f t="shared" si="253"/>
        <v>0.02</v>
      </c>
      <c r="GB295" s="101">
        <f t="shared" si="254"/>
        <v>1</v>
      </c>
      <c r="GC295" s="101">
        <f t="shared" si="255"/>
        <v>91</v>
      </c>
      <c r="GD295" s="101">
        <f t="shared" si="256"/>
        <v>0</v>
      </c>
      <c r="GE295" s="101">
        <f t="shared" si="257"/>
        <v>1</v>
      </c>
      <c r="GF295" s="101">
        <f t="shared" si="258"/>
        <v>21</v>
      </c>
      <c r="GG295" s="101">
        <f t="shared" si="259"/>
        <v>8.3000000000000001E-3</v>
      </c>
      <c r="GH295" s="101">
        <f t="shared" si="260"/>
        <v>1</v>
      </c>
      <c r="GI295" s="101">
        <f t="shared" si="261"/>
        <v>42</v>
      </c>
      <c r="GJ295" s="101">
        <f t="shared" si="262"/>
        <v>3.3099999999999997E-2</v>
      </c>
      <c r="GK295" s="101">
        <f t="shared" si="263"/>
        <v>1</v>
      </c>
      <c r="GL295" s="101">
        <f t="shared" si="264"/>
        <v>91</v>
      </c>
    </row>
    <row r="296" spans="170:194" ht="16.5" x14ac:dyDescent="0.2">
      <c r="FN296" s="101">
        <v>291</v>
      </c>
      <c r="FO296" s="101">
        <f t="shared" si="249"/>
        <v>0</v>
      </c>
      <c r="FP296" s="101">
        <f t="shared" si="242"/>
        <v>4</v>
      </c>
      <c r="FQ296" s="14">
        <f t="shared" si="243"/>
        <v>3</v>
      </c>
      <c r="FR296" s="101" t="str">
        <f t="shared" si="250"/>
        <v>李轩辕专属武器-魂珠-6 0级</v>
      </c>
      <c r="FS296" s="101">
        <f t="shared" si="251"/>
        <v>6</v>
      </c>
      <c r="FT296" s="101">
        <f t="shared" si="252"/>
        <v>0</v>
      </c>
      <c r="FU296" s="101" t="str">
        <f t="shared" si="244"/>
        <v/>
      </c>
      <c r="FV296" s="139" t="str">
        <f>IF($FT296&gt;0,IF(INDEX($EI$6:$EI$77,$FO296)&gt;=FV$3,ROUND(INDEX(EK$6:EK$77,$FO296)*INDEX(卡牌消耗!$B$8:$F$8,FQ296)/5,0)*5,""),"")</f>
        <v/>
      </c>
      <c r="FW296" s="101" t="str">
        <f t="shared" si="245"/>
        <v/>
      </c>
      <c r="FX296" s="101" t="str">
        <f t="shared" si="246"/>
        <v/>
      </c>
      <c r="FY296" s="101" t="str">
        <f t="shared" si="247"/>
        <v/>
      </c>
      <c r="FZ296" s="101" t="str">
        <f t="shared" si="248"/>
        <v/>
      </c>
      <c r="GA296" s="101" t="str">
        <f t="shared" si="253"/>
        <v/>
      </c>
      <c r="GB296" s="101" t="str">
        <f t="shared" si="254"/>
        <v/>
      </c>
      <c r="GC296" s="101" t="str">
        <f t="shared" si="255"/>
        <v/>
      </c>
      <c r="GD296" s="101" t="str">
        <f t="shared" si="256"/>
        <v/>
      </c>
      <c r="GE296" s="101" t="str">
        <f t="shared" si="257"/>
        <v/>
      </c>
      <c r="GF296" s="101" t="str">
        <f t="shared" si="258"/>
        <v/>
      </c>
      <c r="GG296" s="101" t="str">
        <f t="shared" si="259"/>
        <v/>
      </c>
      <c r="GH296" s="101" t="str">
        <f t="shared" si="260"/>
        <v/>
      </c>
      <c r="GI296" s="101" t="str">
        <f t="shared" si="261"/>
        <v/>
      </c>
      <c r="GJ296" s="101" t="str">
        <f t="shared" si="262"/>
        <v/>
      </c>
      <c r="GK296" s="101" t="str">
        <f t="shared" si="263"/>
        <v/>
      </c>
      <c r="GL296" s="101" t="str">
        <f t="shared" si="264"/>
        <v/>
      </c>
    </row>
    <row r="297" spans="170:194" ht="16.5" x14ac:dyDescent="0.2">
      <c r="FN297" s="101">
        <v>292</v>
      </c>
      <c r="FO297" s="101">
        <f t="shared" si="249"/>
        <v>46</v>
      </c>
      <c r="FP297" s="101">
        <f t="shared" si="242"/>
        <v>4</v>
      </c>
      <c r="FQ297" s="14">
        <f t="shared" si="243"/>
        <v>3</v>
      </c>
      <c r="FR297" s="101" t="str">
        <f t="shared" si="250"/>
        <v>李轩辕专属武器-魂珠-6 1级</v>
      </c>
      <c r="FS297" s="101">
        <f t="shared" si="251"/>
        <v>6</v>
      </c>
      <c r="FT297" s="101">
        <f t="shared" si="252"/>
        <v>1</v>
      </c>
      <c r="FU297" s="101" t="str">
        <f t="shared" si="244"/>
        <v>金币</v>
      </c>
      <c r="FV297" s="139">
        <f>IF($FT297&gt;0,IF(INDEX($EI$6:$EI$77,$FO297)&gt;=FV$3,ROUND(INDEX(EK$6:EK$77,$FO297)*INDEX(卡牌消耗!$B$8:$F$8,FQ297)/5,0)*5,""),"")</f>
        <v>1455</v>
      </c>
      <c r="FW297" s="101" t="str">
        <f t="shared" si="245"/>
        <v>专属强化石3</v>
      </c>
      <c r="FX297" s="101">
        <f t="shared" si="246"/>
        <v>5</v>
      </c>
      <c r="FY297" s="101" t="str">
        <f t="shared" si="247"/>
        <v>专属强化石4</v>
      </c>
      <c r="FZ297" s="101">
        <f t="shared" si="248"/>
        <v>1</v>
      </c>
      <c r="GA297" s="101">
        <f t="shared" si="253"/>
        <v>0.17</v>
      </c>
      <c r="GB297" s="101">
        <f t="shared" si="254"/>
        <v>1</v>
      </c>
      <c r="GC297" s="101">
        <f t="shared" si="255"/>
        <v>9</v>
      </c>
      <c r="GD297" s="101">
        <f t="shared" si="256"/>
        <v>0</v>
      </c>
      <c r="GE297" s="101">
        <f t="shared" si="257"/>
        <v>1</v>
      </c>
      <c r="GF297" s="101">
        <f t="shared" si="258"/>
        <v>2</v>
      </c>
      <c r="GG297" s="101">
        <f t="shared" si="259"/>
        <v>8.2900000000000001E-2</v>
      </c>
      <c r="GH297" s="101">
        <f t="shared" si="260"/>
        <v>1</v>
      </c>
      <c r="GI297" s="101">
        <f t="shared" si="261"/>
        <v>4</v>
      </c>
      <c r="GJ297" s="101">
        <f t="shared" si="262"/>
        <v>0.33139999999999997</v>
      </c>
      <c r="GK297" s="101">
        <f t="shared" si="263"/>
        <v>1</v>
      </c>
      <c r="GL297" s="101">
        <f t="shared" si="264"/>
        <v>9</v>
      </c>
    </row>
    <row r="298" spans="170:194" ht="16.5" x14ac:dyDescent="0.2">
      <c r="FN298" s="101">
        <v>293</v>
      </c>
      <c r="FO298" s="101">
        <f t="shared" si="249"/>
        <v>47</v>
      </c>
      <c r="FP298" s="101">
        <f t="shared" si="242"/>
        <v>4</v>
      </c>
      <c r="FQ298" s="14">
        <f t="shared" si="243"/>
        <v>3</v>
      </c>
      <c r="FR298" s="101" t="str">
        <f t="shared" si="250"/>
        <v>李轩辕专属武器-魂珠-6 2级</v>
      </c>
      <c r="FS298" s="101">
        <f t="shared" si="251"/>
        <v>6</v>
      </c>
      <c r="FT298" s="101">
        <f t="shared" si="252"/>
        <v>2</v>
      </c>
      <c r="FU298" s="101" t="str">
        <f t="shared" si="244"/>
        <v>金币</v>
      </c>
      <c r="FV298" s="139">
        <f>IF($FT298&gt;0,IF(INDEX($EI$6:$EI$77,$FO298)&gt;=FV$3,ROUND(INDEX(EK$6:EK$77,$FO298)*INDEX(卡牌消耗!$B$8:$F$8,FQ298)/5,0)*5,""),"")</f>
        <v>2180</v>
      </c>
      <c r="FW298" s="101" t="str">
        <f t="shared" si="245"/>
        <v>专属强化石3</v>
      </c>
      <c r="FX298" s="101">
        <f t="shared" si="246"/>
        <v>10</v>
      </c>
      <c r="FY298" s="101" t="str">
        <f t="shared" si="247"/>
        <v>专属强化石4</v>
      </c>
      <c r="FZ298" s="101">
        <f t="shared" si="248"/>
        <v>2</v>
      </c>
      <c r="GA298" s="101">
        <f t="shared" si="253"/>
        <v>0.17</v>
      </c>
      <c r="GB298" s="101">
        <f t="shared" si="254"/>
        <v>1</v>
      </c>
      <c r="GC298" s="101">
        <f t="shared" si="255"/>
        <v>9</v>
      </c>
      <c r="GD298" s="101">
        <f t="shared" si="256"/>
        <v>0</v>
      </c>
      <c r="GE298" s="101">
        <f t="shared" si="257"/>
        <v>1</v>
      </c>
      <c r="GF298" s="101">
        <f t="shared" si="258"/>
        <v>2</v>
      </c>
      <c r="GG298" s="101">
        <f t="shared" si="259"/>
        <v>8.2900000000000001E-2</v>
      </c>
      <c r="GH298" s="101">
        <f t="shared" si="260"/>
        <v>1</v>
      </c>
      <c r="GI298" s="101">
        <f t="shared" si="261"/>
        <v>4</v>
      </c>
      <c r="GJ298" s="101">
        <f t="shared" si="262"/>
        <v>0.33139999999999997</v>
      </c>
      <c r="GK298" s="101">
        <f t="shared" si="263"/>
        <v>1</v>
      </c>
      <c r="GL298" s="101">
        <f t="shared" si="264"/>
        <v>9</v>
      </c>
    </row>
    <row r="299" spans="170:194" ht="16.5" x14ac:dyDescent="0.2">
      <c r="FN299" s="101">
        <v>294</v>
      </c>
      <c r="FO299" s="101">
        <f t="shared" si="249"/>
        <v>48</v>
      </c>
      <c r="FP299" s="101">
        <f t="shared" si="242"/>
        <v>4</v>
      </c>
      <c r="FQ299" s="14">
        <f t="shared" si="243"/>
        <v>3</v>
      </c>
      <c r="FR299" s="101" t="str">
        <f t="shared" si="250"/>
        <v>李轩辕专属武器-魂珠-6 3级</v>
      </c>
      <c r="FS299" s="101">
        <f t="shared" si="251"/>
        <v>6</v>
      </c>
      <c r="FT299" s="101">
        <f t="shared" si="252"/>
        <v>3</v>
      </c>
      <c r="FU299" s="101" t="str">
        <f t="shared" si="244"/>
        <v>金币</v>
      </c>
      <c r="FV299" s="139">
        <f>IF($FT299&gt;0,IF(INDEX($EI$6:$EI$77,$FO299)&gt;=FV$3,ROUND(INDEX(EK$6:EK$77,$FO299)*INDEX(卡牌消耗!$B$8:$F$8,FQ299)/5,0)*5,""),"")</f>
        <v>2425</v>
      </c>
      <c r="FW299" s="101" t="str">
        <f t="shared" si="245"/>
        <v>专属强化石3</v>
      </c>
      <c r="FX299" s="101">
        <f t="shared" si="246"/>
        <v>10</v>
      </c>
      <c r="FY299" s="101" t="str">
        <f t="shared" si="247"/>
        <v>专属强化石4</v>
      </c>
      <c r="FZ299" s="101">
        <f t="shared" si="248"/>
        <v>2</v>
      </c>
      <c r="GA299" s="101">
        <f t="shared" si="253"/>
        <v>0.11</v>
      </c>
      <c r="GB299" s="101">
        <f t="shared" si="254"/>
        <v>1</v>
      </c>
      <c r="GC299" s="101">
        <f t="shared" si="255"/>
        <v>14</v>
      </c>
      <c r="GD299" s="101">
        <f t="shared" si="256"/>
        <v>0</v>
      </c>
      <c r="GE299" s="101">
        <f t="shared" si="257"/>
        <v>1</v>
      </c>
      <c r="GF299" s="101">
        <f t="shared" si="258"/>
        <v>3</v>
      </c>
      <c r="GG299" s="101">
        <f t="shared" si="259"/>
        <v>5.5199999999999999E-2</v>
      </c>
      <c r="GH299" s="101">
        <f t="shared" si="260"/>
        <v>1</v>
      </c>
      <c r="GI299" s="101">
        <f t="shared" si="261"/>
        <v>6</v>
      </c>
      <c r="GJ299" s="101">
        <f t="shared" si="262"/>
        <v>0.221</v>
      </c>
      <c r="GK299" s="101">
        <f t="shared" si="263"/>
        <v>1</v>
      </c>
      <c r="GL299" s="101">
        <f t="shared" si="264"/>
        <v>14</v>
      </c>
    </row>
    <row r="300" spans="170:194" ht="16.5" x14ac:dyDescent="0.2">
      <c r="FN300" s="101">
        <v>295</v>
      </c>
      <c r="FO300" s="101">
        <f t="shared" si="249"/>
        <v>49</v>
      </c>
      <c r="FP300" s="101">
        <f t="shared" si="242"/>
        <v>4</v>
      </c>
      <c r="FQ300" s="14">
        <f t="shared" si="243"/>
        <v>3</v>
      </c>
      <c r="FR300" s="101" t="str">
        <f t="shared" si="250"/>
        <v>李轩辕专属武器-魂珠-6 4级</v>
      </c>
      <c r="FS300" s="101">
        <f t="shared" si="251"/>
        <v>6</v>
      </c>
      <c r="FT300" s="101">
        <f t="shared" si="252"/>
        <v>4</v>
      </c>
      <c r="FU300" s="101" t="str">
        <f t="shared" si="244"/>
        <v>金币</v>
      </c>
      <c r="FV300" s="139">
        <f>IF($FT300&gt;0,IF(INDEX($EI$6:$EI$77,$FO300)&gt;=FV$3,ROUND(INDEX(EK$6:EK$77,$FO300)*INDEX(卡牌消耗!$B$8:$F$8,FQ300)/5,0)*5,""),"")</f>
        <v>3490</v>
      </c>
      <c r="FW300" s="101" t="str">
        <f t="shared" si="245"/>
        <v>专属强化石3</v>
      </c>
      <c r="FX300" s="101">
        <f t="shared" si="246"/>
        <v>15</v>
      </c>
      <c r="FY300" s="101" t="str">
        <f t="shared" si="247"/>
        <v>专属强化石4</v>
      </c>
      <c r="FZ300" s="101">
        <f t="shared" si="248"/>
        <v>3</v>
      </c>
      <c r="GA300" s="101">
        <f t="shared" si="253"/>
        <v>0.1</v>
      </c>
      <c r="GB300" s="101">
        <f t="shared" si="254"/>
        <v>1</v>
      </c>
      <c r="GC300" s="101">
        <f t="shared" si="255"/>
        <v>15</v>
      </c>
      <c r="GD300" s="101">
        <f t="shared" si="256"/>
        <v>0</v>
      </c>
      <c r="GE300" s="101">
        <f t="shared" si="257"/>
        <v>1</v>
      </c>
      <c r="GF300" s="101">
        <f t="shared" si="258"/>
        <v>4</v>
      </c>
      <c r="GG300" s="101">
        <f t="shared" si="259"/>
        <v>4.9700000000000001E-2</v>
      </c>
      <c r="GH300" s="101">
        <f t="shared" si="260"/>
        <v>1</v>
      </c>
      <c r="GI300" s="101">
        <f t="shared" si="261"/>
        <v>7</v>
      </c>
      <c r="GJ300" s="101">
        <f t="shared" si="262"/>
        <v>0.19889999999999999</v>
      </c>
      <c r="GK300" s="101">
        <f t="shared" si="263"/>
        <v>1</v>
      </c>
      <c r="GL300" s="101">
        <f t="shared" si="264"/>
        <v>15</v>
      </c>
    </row>
    <row r="301" spans="170:194" ht="16.5" x14ac:dyDescent="0.2">
      <c r="FN301" s="101">
        <v>296</v>
      </c>
      <c r="FO301" s="101">
        <f t="shared" si="249"/>
        <v>50</v>
      </c>
      <c r="FP301" s="101">
        <f t="shared" si="242"/>
        <v>4</v>
      </c>
      <c r="FQ301" s="14">
        <f t="shared" si="243"/>
        <v>3</v>
      </c>
      <c r="FR301" s="101" t="str">
        <f t="shared" si="250"/>
        <v>李轩辕专属武器-魂珠-6 5级</v>
      </c>
      <c r="FS301" s="101">
        <f t="shared" si="251"/>
        <v>6</v>
      </c>
      <c r="FT301" s="101">
        <f t="shared" si="252"/>
        <v>5</v>
      </c>
      <c r="FU301" s="101" t="str">
        <f t="shared" si="244"/>
        <v>金币</v>
      </c>
      <c r="FV301" s="139">
        <f>IF($FT301&gt;0,IF(INDEX($EI$6:$EI$77,$FO301)&gt;=FV$3,ROUND(INDEX(EK$6:EK$77,$FO301)*INDEX(卡牌消耗!$B$8:$F$8,FQ301)/5,0)*5,""),"")</f>
        <v>3545</v>
      </c>
      <c r="FW301" s="101" t="str">
        <f t="shared" si="245"/>
        <v>专属强化石3</v>
      </c>
      <c r="FX301" s="101">
        <f t="shared" si="246"/>
        <v>15</v>
      </c>
      <c r="FY301" s="101" t="str">
        <f t="shared" si="247"/>
        <v>专属强化石4</v>
      </c>
      <c r="FZ301" s="101">
        <f t="shared" si="248"/>
        <v>3</v>
      </c>
      <c r="GA301" s="101">
        <f t="shared" si="253"/>
        <v>0.06</v>
      </c>
      <c r="GB301" s="101">
        <f t="shared" si="254"/>
        <v>1</v>
      </c>
      <c r="GC301" s="101">
        <f t="shared" si="255"/>
        <v>24</v>
      </c>
      <c r="GD301" s="101">
        <f t="shared" si="256"/>
        <v>0</v>
      </c>
      <c r="GE301" s="101">
        <f t="shared" si="257"/>
        <v>1</v>
      </c>
      <c r="GF301" s="101">
        <f t="shared" si="258"/>
        <v>6</v>
      </c>
      <c r="GG301" s="101">
        <f t="shared" si="259"/>
        <v>3.1099999999999999E-2</v>
      </c>
      <c r="GH301" s="101">
        <f t="shared" si="260"/>
        <v>1</v>
      </c>
      <c r="GI301" s="101">
        <f t="shared" si="261"/>
        <v>11</v>
      </c>
      <c r="GJ301" s="101">
        <f t="shared" si="262"/>
        <v>0.12429999999999999</v>
      </c>
      <c r="GK301" s="101">
        <f t="shared" si="263"/>
        <v>1</v>
      </c>
      <c r="GL301" s="101">
        <f t="shared" si="264"/>
        <v>24</v>
      </c>
    </row>
    <row r="302" spans="170:194" ht="16.5" x14ac:dyDescent="0.2">
      <c r="FN302" s="101">
        <v>297</v>
      </c>
      <c r="FO302" s="101">
        <f t="shared" si="249"/>
        <v>51</v>
      </c>
      <c r="FP302" s="101">
        <f t="shared" si="242"/>
        <v>4</v>
      </c>
      <c r="FQ302" s="14">
        <f t="shared" si="243"/>
        <v>3</v>
      </c>
      <c r="FR302" s="101" t="str">
        <f t="shared" si="250"/>
        <v>李轩辕专属武器-魂珠-6 6级</v>
      </c>
      <c r="FS302" s="101">
        <f t="shared" si="251"/>
        <v>6</v>
      </c>
      <c r="FT302" s="101">
        <f t="shared" si="252"/>
        <v>6</v>
      </c>
      <c r="FU302" s="101" t="str">
        <f t="shared" si="244"/>
        <v>金币</v>
      </c>
      <c r="FV302" s="139">
        <f>IF($FT302&gt;0,IF(INDEX($EI$6:$EI$77,$FO302)&gt;=FV$3,ROUND(INDEX(EK$6:EK$77,$FO302)*INDEX(卡牌消耗!$B$8:$F$8,FQ302)/5,0)*5,""),"")</f>
        <v>4700</v>
      </c>
      <c r="FW302" s="101" t="str">
        <f t="shared" si="245"/>
        <v>专属强化石3</v>
      </c>
      <c r="FX302" s="101">
        <f t="shared" si="246"/>
        <v>20</v>
      </c>
      <c r="FY302" s="101" t="str">
        <f t="shared" si="247"/>
        <v>专属强化石4</v>
      </c>
      <c r="FZ302" s="101">
        <f t="shared" si="248"/>
        <v>4</v>
      </c>
      <c r="GA302" s="101">
        <f t="shared" si="253"/>
        <v>0.05</v>
      </c>
      <c r="GB302" s="101">
        <f t="shared" si="254"/>
        <v>1</v>
      </c>
      <c r="GC302" s="101">
        <f t="shared" si="255"/>
        <v>29</v>
      </c>
      <c r="GD302" s="101">
        <f t="shared" si="256"/>
        <v>0</v>
      </c>
      <c r="GE302" s="101">
        <f t="shared" si="257"/>
        <v>1</v>
      </c>
      <c r="GF302" s="101">
        <f t="shared" si="258"/>
        <v>7</v>
      </c>
      <c r="GG302" s="101">
        <f t="shared" si="259"/>
        <v>2.5499999999999998E-2</v>
      </c>
      <c r="GH302" s="101">
        <f t="shared" si="260"/>
        <v>1</v>
      </c>
      <c r="GI302" s="101">
        <f t="shared" si="261"/>
        <v>14</v>
      </c>
      <c r="GJ302" s="101">
        <f t="shared" si="262"/>
        <v>0.10199999999999999</v>
      </c>
      <c r="GK302" s="101">
        <f t="shared" si="263"/>
        <v>1</v>
      </c>
      <c r="GL302" s="101">
        <f t="shared" si="264"/>
        <v>29</v>
      </c>
    </row>
    <row r="303" spans="170:194" ht="16.5" x14ac:dyDescent="0.2">
      <c r="FN303" s="101">
        <v>298</v>
      </c>
      <c r="FO303" s="101">
        <f t="shared" si="249"/>
        <v>52</v>
      </c>
      <c r="FP303" s="101">
        <f t="shared" si="242"/>
        <v>4</v>
      </c>
      <c r="FQ303" s="14">
        <f t="shared" si="243"/>
        <v>3</v>
      </c>
      <c r="FR303" s="101" t="str">
        <f t="shared" si="250"/>
        <v>李轩辕专属武器-魂珠-6 7级</v>
      </c>
      <c r="FS303" s="101">
        <f t="shared" si="251"/>
        <v>6</v>
      </c>
      <c r="FT303" s="101">
        <f t="shared" si="252"/>
        <v>7</v>
      </c>
      <c r="FU303" s="101" t="str">
        <f t="shared" si="244"/>
        <v>金币</v>
      </c>
      <c r="FV303" s="139">
        <f>IF($FT303&gt;0,IF(INDEX($EI$6:$EI$77,$FO303)&gt;=FV$3,ROUND(INDEX(EK$6:EK$77,$FO303)*INDEX(卡牌消耗!$B$8:$F$8,FQ303)/5,0)*5,""),"")</f>
        <v>5885</v>
      </c>
      <c r="FW303" s="101" t="str">
        <f t="shared" si="245"/>
        <v>专属强化石3</v>
      </c>
      <c r="FX303" s="101">
        <f t="shared" si="246"/>
        <v>25</v>
      </c>
      <c r="FY303" s="101" t="str">
        <f t="shared" si="247"/>
        <v>专属强化石4</v>
      </c>
      <c r="FZ303" s="101">
        <f t="shared" si="248"/>
        <v>5</v>
      </c>
      <c r="GA303" s="101">
        <f t="shared" si="253"/>
        <v>0.04</v>
      </c>
      <c r="GB303" s="101">
        <f t="shared" si="254"/>
        <v>1</v>
      </c>
      <c r="GC303" s="101">
        <f t="shared" si="255"/>
        <v>38</v>
      </c>
      <c r="GD303" s="101">
        <f t="shared" si="256"/>
        <v>0</v>
      </c>
      <c r="GE303" s="101">
        <f t="shared" si="257"/>
        <v>1</v>
      </c>
      <c r="GF303" s="101">
        <f t="shared" si="258"/>
        <v>9</v>
      </c>
      <c r="GG303" s="101">
        <f t="shared" si="259"/>
        <v>1.9699999999999999E-2</v>
      </c>
      <c r="GH303" s="101">
        <f t="shared" si="260"/>
        <v>1</v>
      </c>
      <c r="GI303" s="101">
        <f t="shared" si="261"/>
        <v>18</v>
      </c>
      <c r="GJ303" s="101">
        <f t="shared" si="262"/>
        <v>7.8899999999999998E-2</v>
      </c>
      <c r="GK303" s="101">
        <f t="shared" si="263"/>
        <v>1</v>
      </c>
      <c r="GL303" s="101">
        <f t="shared" si="264"/>
        <v>38</v>
      </c>
    </row>
    <row r="304" spans="170:194" ht="16.5" x14ac:dyDescent="0.2">
      <c r="FN304" s="101">
        <v>299</v>
      </c>
      <c r="FO304" s="101">
        <f t="shared" si="249"/>
        <v>53</v>
      </c>
      <c r="FP304" s="101">
        <f t="shared" si="242"/>
        <v>4</v>
      </c>
      <c r="FQ304" s="14">
        <f t="shared" si="243"/>
        <v>3</v>
      </c>
      <c r="FR304" s="101" t="str">
        <f t="shared" si="250"/>
        <v>李轩辕专属武器-魂珠-6 8级</v>
      </c>
      <c r="FS304" s="101">
        <f t="shared" si="251"/>
        <v>6</v>
      </c>
      <c r="FT304" s="101">
        <f t="shared" si="252"/>
        <v>8</v>
      </c>
      <c r="FU304" s="101" t="str">
        <f t="shared" si="244"/>
        <v>金币</v>
      </c>
      <c r="FV304" s="139">
        <f>IF($FT304&gt;0,IF(INDEX($EI$6:$EI$77,$FO304)&gt;=FV$3,ROUND(INDEX(EK$6:EK$77,$FO304)*INDEX(卡牌消耗!$B$8:$F$8,FQ304)/5,0)*5,""),"")</f>
        <v>8235</v>
      </c>
      <c r="FW304" s="101" t="str">
        <f t="shared" si="245"/>
        <v>专属强化石3</v>
      </c>
      <c r="FX304" s="101">
        <f t="shared" si="246"/>
        <v>35</v>
      </c>
      <c r="FY304" s="101" t="str">
        <f t="shared" si="247"/>
        <v>专属强化石4</v>
      </c>
      <c r="FZ304" s="101">
        <f t="shared" si="248"/>
        <v>7</v>
      </c>
      <c r="GA304" s="101">
        <f t="shared" si="253"/>
        <v>0.03</v>
      </c>
      <c r="GB304" s="101">
        <f t="shared" si="254"/>
        <v>1</v>
      </c>
      <c r="GC304" s="101">
        <f t="shared" si="255"/>
        <v>44</v>
      </c>
      <c r="GD304" s="101">
        <f t="shared" si="256"/>
        <v>0</v>
      </c>
      <c r="GE304" s="101">
        <f t="shared" si="257"/>
        <v>1</v>
      </c>
      <c r="GF304" s="101">
        <f t="shared" si="258"/>
        <v>10</v>
      </c>
      <c r="GG304" s="101">
        <f t="shared" si="259"/>
        <v>1.7100000000000001E-2</v>
      </c>
      <c r="GH304" s="101">
        <f t="shared" si="260"/>
        <v>1</v>
      </c>
      <c r="GI304" s="101">
        <f t="shared" si="261"/>
        <v>21</v>
      </c>
      <c r="GJ304" s="101">
        <f t="shared" si="262"/>
        <v>6.8199999999999997E-2</v>
      </c>
      <c r="GK304" s="101">
        <f t="shared" si="263"/>
        <v>1</v>
      </c>
      <c r="GL304" s="101">
        <f t="shared" si="264"/>
        <v>44</v>
      </c>
    </row>
    <row r="305" spans="170:194" ht="16.5" x14ac:dyDescent="0.2">
      <c r="FN305" s="101">
        <v>300</v>
      </c>
      <c r="FO305" s="101">
        <f t="shared" si="249"/>
        <v>54</v>
      </c>
      <c r="FP305" s="101">
        <f t="shared" si="242"/>
        <v>4</v>
      </c>
      <c r="FQ305" s="14">
        <f t="shared" si="243"/>
        <v>3</v>
      </c>
      <c r="FR305" s="101" t="str">
        <f t="shared" si="250"/>
        <v>李轩辕专属武器-魂珠-6 9级</v>
      </c>
      <c r="FS305" s="101">
        <f t="shared" si="251"/>
        <v>6</v>
      </c>
      <c r="FT305" s="101">
        <f t="shared" si="252"/>
        <v>9</v>
      </c>
      <c r="FU305" s="101" t="str">
        <f t="shared" si="244"/>
        <v>金币</v>
      </c>
      <c r="FV305" s="139">
        <f>IF($FT305&gt;0,IF(INDEX($EI$6:$EI$77,$FO305)&gt;=FV$3,ROUND(INDEX(EK$6:EK$77,$FO305)*INDEX(卡牌消耗!$B$8:$F$8,FQ305)/5,0)*5,""),"")</f>
        <v>9410</v>
      </c>
      <c r="FW305" s="101" t="str">
        <f t="shared" si="245"/>
        <v>专属强化石3</v>
      </c>
      <c r="FX305" s="101">
        <f t="shared" si="246"/>
        <v>40</v>
      </c>
      <c r="FY305" s="101" t="str">
        <f t="shared" si="247"/>
        <v>专属强化石4</v>
      </c>
      <c r="FZ305" s="101">
        <f t="shared" si="248"/>
        <v>8</v>
      </c>
      <c r="GA305" s="101">
        <f t="shared" si="253"/>
        <v>0.02</v>
      </c>
      <c r="GB305" s="101">
        <f t="shared" si="254"/>
        <v>1</v>
      </c>
      <c r="GC305" s="101">
        <f t="shared" si="255"/>
        <v>62</v>
      </c>
      <c r="GD305" s="101">
        <f t="shared" si="256"/>
        <v>0</v>
      </c>
      <c r="GE305" s="101">
        <f t="shared" si="257"/>
        <v>1</v>
      </c>
      <c r="GF305" s="101">
        <f t="shared" si="258"/>
        <v>15</v>
      </c>
      <c r="GG305" s="101">
        <f t="shared" si="259"/>
        <v>1.21E-2</v>
      </c>
      <c r="GH305" s="101">
        <f t="shared" si="260"/>
        <v>1</v>
      </c>
      <c r="GI305" s="101">
        <f t="shared" si="261"/>
        <v>29</v>
      </c>
      <c r="GJ305" s="101">
        <f t="shared" si="262"/>
        <v>4.82E-2</v>
      </c>
      <c r="GK305" s="101">
        <f t="shared" si="263"/>
        <v>1</v>
      </c>
      <c r="GL305" s="101">
        <f t="shared" si="264"/>
        <v>62</v>
      </c>
    </row>
    <row r="306" spans="170:194" ht="16.5" x14ac:dyDescent="0.2">
      <c r="FN306" s="101">
        <v>301</v>
      </c>
      <c r="FO306" s="101">
        <f t="shared" si="249"/>
        <v>0</v>
      </c>
      <c r="FP306" s="101">
        <f t="shared" si="242"/>
        <v>4</v>
      </c>
      <c r="FQ306" s="14">
        <f t="shared" si="243"/>
        <v>3</v>
      </c>
      <c r="FR306" s="101" t="str">
        <f t="shared" si="250"/>
        <v>李轩辕专属武器-魂珠-7 0级</v>
      </c>
      <c r="FS306" s="101">
        <f t="shared" si="251"/>
        <v>7</v>
      </c>
      <c r="FT306" s="101">
        <f t="shared" si="252"/>
        <v>0</v>
      </c>
      <c r="FU306" s="101" t="str">
        <f t="shared" si="244"/>
        <v/>
      </c>
      <c r="FV306" s="139" t="str">
        <f>IF($FT306&gt;0,IF(INDEX($EI$6:$EI$77,$FO306)&gt;=FV$3,ROUND(INDEX(EK$6:EK$77,$FO306)*INDEX(卡牌消耗!$B$8:$F$8,FQ306)/5,0)*5,""),"")</f>
        <v/>
      </c>
      <c r="FW306" s="101" t="str">
        <f t="shared" si="245"/>
        <v/>
      </c>
      <c r="FX306" s="101" t="str">
        <f t="shared" si="246"/>
        <v/>
      </c>
      <c r="FY306" s="101" t="str">
        <f t="shared" si="247"/>
        <v/>
      </c>
      <c r="FZ306" s="101" t="str">
        <f t="shared" si="248"/>
        <v/>
      </c>
      <c r="GA306" s="101" t="str">
        <f t="shared" si="253"/>
        <v/>
      </c>
      <c r="GB306" s="101" t="str">
        <f t="shared" si="254"/>
        <v/>
      </c>
      <c r="GC306" s="101" t="str">
        <f t="shared" si="255"/>
        <v/>
      </c>
      <c r="GD306" s="101" t="str">
        <f t="shared" si="256"/>
        <v/>
      </c>
      <c r="GE306" s="101" t="str">
        <f t="shared" si="257"/>
        <v/>
      </c>
      <c r="GF306" s="101" t="str">
        <f t="shared" si="258"/>
        <v/>
      </c>
      <c r="GG306" s="101" t="str">
        <f t="shared" si="259"/>
        <v/>
      </c>
      <c r="GH306" s="101" t="str">
        <f t="shared" si="260"/>
        <v/>
      </c>
      <c r="GI306" s="101" t="str">
        <f t="shared" si="261"/>
        <v/>
      </c>
      <c r="GJ306" s="101" t="str">
        <f t="shared" si="262"/>
        <v/>
      </c>
      <c r="GK306" s="101" t="str">
        <f t="shared" si="263"/>
        <v/>
      </c>
      <c r="GL306" s="101" t="str">
        <f t="shared" si="264"/>
        <v/>
      </c>
    </row>
    <row r="307" spans="170:194" ht="16.5" x14ac:dyDescent="0.2">
      <c r="FN307" s="101">
        <v>302</v>
      </c>
      <c r="FO307" s="101">
        <f t="shared" si="249"/>
        <v>55</v>
      </c>
      <c r="FP307" s="101">
        <f t="shared" si="242"/>
        <v>4</v>
      </c>
      <c r="FQ307" s="14">
        <f t="shared" si="243"/>
        <v>3</v>
      </c>
      <c r="FR307" s="101" t="str">
        <f t="shared" si="250"/>
        <v>李轩辕专属武器-魂珠-7 1级</v>
      </c>
      <c r="FS307" s="101">
        <f t="shared" si="251"/>
        <v>7</v>
      </c>
      <c r="FT307" s="101">
        <f t="shared" si="252"/>
        <v>1</v>
      </c>
      <c r="FU307" s="101" t="str">
        <f t="shared" si="244"/>
        <v>金币</v>
      </c>
      <c r="FV307" s="139">
        <f>IF($FT307&gt;0,IF(INDEX($EI$6:$EI$77,$FO307)&gt;=FV$3,ROUND(INDEX(EK$6:EK$77,$FO307)*INDEX(卡牌消耗!$B$8:$F$8,FQ307)/5,0)*5,""),"")</f>
        <v>12090</v>
      </c>
      <c r="FW307" s="101" t="str">
        <f t="shared" si="245"/>
        <v>专属强化石3</v>
      </c>
      <c r="FX307" s="101">
        <f t="shared" si="246"/>
        <v>6</v>
      </c>
      <c r="FY307" s="101" t="str">
        <f t="shared" si="247"/>
        <v>专属强化石4</v>
      </c>
      <c r="FZ307" s="101">
        <f t="shared" si="248"/>
        <v>2</v>
      </c>
      <c r="GA307" s="101">
        <f t="shared" si="253"/>
        <v>0.2</v>
      </c>
      <c r="GB307" s="101">
        <f t="shared" si="254"/>
        <v>1</v>
      </c>
      <c r="GC307" s="101">
        <f t="shared" si="255"/>
        <v>8</v>
      </c>
      <c r="GD307" s="101">
        <f t="shared" si="256"/>
        <v>0</v>
      </c>
      <c r="GE307" s="101">
        <f t="shared" si="257"/>
        <v>1</v>
      </c>
      <c r="GF307" s="101">
        <f t="shared" si="258"/>
        <v>2</v>
      </c>
      <c r="GG307" s="101">
        <f t="shared" si="259"/>
        <v>9.9400000000000002E-2</v>
      </c>
      <c r="GH307" s="101">
        <f t="shared" si="260"/>
        <v>1</v>
      </c>
      <c r="GI307" s="101">
        <f t="shared" si="261"/>
        <v>4</v>
      </c>
      <c r="GJ307" s="101">
        <f t="shared" si="262"/>
        <v>0.3977</v>
      </c>
      <c r="GK307" s="101">
        <f t="shared" si="263"/>
        <v>1</v>
      </c>
      <c r="GL307" s="101">
        <f t="shared" si="264"/>
        <v>8</v>
      </c>
    </row>
    <row r="308" spans="170:194" ht="16.5" x14ac:dyDescent="0.2">
      <c r="FN308" s="101">
        <v>303</v>
      </c>
      <c r="FO308" s="101">
        <f t="shared" si="249"/>
        <v>56</v>
      </c>
      <c r="FP308" s="101">
        <f t="shared" si="242"/>
        <v>4</v>
      </c>
      <c r="FQ308" s="14">
        <f t="shared" si="243"/>
        <v>3</v>
      </c>
      <c r="FR308" s="101" t="str">
        <f t="shared" si="250"/>
        <v>李轩辕专属武器-魂珠-7 2级</v>
      </c>
      <c r="FS308" s="101">
        <f t="shared" si="251"/>
        <v>7</v>
      </c>
      <c r="FT308" s="101">
        <f t="shared" si="252"/>
        <v>2</v>
      </c>
      <c r="FU308" s="101" t="str">
        <f t="shared" si="244"/>
        <v>金币</v>
      </c>
      <c r="FV308" s="139">
        <f>IF($FT308&gt;0,IF(INDEX($EI$6:$EI$77,$FO308)&gt;=FV$3,ROUND(INDEX(EK$6:EK$77,$FO308)*INDEX(卡牌消耗!$B$8:$F$8,FQ308)/5,0)*5,""),"")</f>
        <v>9065</v>
      </c>
      <c r="FW308" s="101" t="str">
        <f t="shared" si="245"/>
        <v>专属强化石3</v>
      </c>
      <c r="FX308" s="101">
        <f t="shared" si="246"/>
        <v>6</v>
      </c>
      <c r="FY308" s="101" t="str">
        <f t="shared" si="247"/>
        <v>专属强化石4</v>
      </c>
      <c r="FZ308" s="101">
        <f t="shared" si="248"/>
        <v>2</v>
      </c>
      <c r="GA308" s="101">
        <f t="shared" si="253"/>
        <v>0.1</v>
      </c>
      <c r="GB308" s="101">
        <f t="shared" si="254"/>
        <v>1</v>
      </c>
      <c r="GC308" s="101">
        <f t="shared" si="255"/>
        <v>15</v>
      </c>
      <c r="GD308" s="101">
        <f t="shared" si="256"/>
        <v>0</v>
      </c>
      <c r="GE308" s="101">
        <f t="shared" si="257"/>
        <v>1</v>
      </c>
      <c r="GF308" s="101">
        <f t="shared" si="258"/>
        <v>4</v>
      </c>
      <c r="GG308" s="101">
        <f t="shared" si="259"/>
        <v>4.9700000000000001E-2</v>
      </c>
      <c r="GH308" s="101">
        <f t="shared" si="260"/>
        <v>1</v>
      </c>
      <c r="GI308" s="101">
        <f t="shared" si="261"/>
        <v>7</v>
      </c>
      <c r="GJ308" s="101">
        <f t="shared" si="262"/>
        <v>0.19889999999999999</v>
      </c>
      <c r="GK308" s="101">
        <f t="shared" si="263"/>
        <v>1</v>
      </c>
      <c r="GL308" s="101">
        <f t="shared" si="264"/>
        <v>15</v>
      </c>
    </row>
    <row r="309" spans="170:194" ht="16.5" x14ac:dyDescent="0.2">
      <c r="FN309" s="101">
        <v>304</v>
      </c>
      <c r="FO309" s="101">
        <f t="shared" si="249"/>
        <v>57</v>
      </c>
      <c r="FP309" s="101">
        <f t="shared" si="242"/>
        <v>4</v>
      </c>
      <c r="FQ309" s="14">
        <f t="shared" si="243"/>
        <v>3</v>
      </c>
      <c r="FR309" s="101" t="str">
        <f t="shared" si="250"/>
        <v>李轩辕专属武器-魂珠-7 3级</v>
      </c>
      <c r="FS309" s="101">
        <f t="shared" si="251"/>
        <v>7</v>
      </c>
      <c r="FT309" s="101">
        <f t="shared" si="252"/>
        <v>3</v>
      </c>
      <c r="FU309" s="101" t="str">
        <f t="shared" si="244"/>
        <v>金币</v>
      </c>
      <c r="FV309" s="139">
        <f>IF($FT309&gt;0,IF(INDEX($EI$6:$EI$77,$FO309)&gt;=FV$3,ROUND(INDEX(EK$6:EK$77,$FO309)*INDEX(卡牌消耗!$B$8:$F$8,FQ309)/5,0)*5,""),"")</f>
        <v>15110</v>
      </c>
      <c r="FW309" s="101" t="str">
        <f t="shared" si="245"/>
        <v>专属强化石3</v>
      </c>
      <c r="FX309" s="101">
        <f t="shared" si="246"/>
        <v>9</v>
      </c>
      <c r="FY309" s="101" t="str">
        <f t="shared" si="247"/>
        <v>专属强化石4</v>
      </c>
      <c r="FZ309" s="101">
        <f t="shared" si="248"/>
        <v>3</v>
      </c>
      <c r="GA309" s="101">
        <f t="shared" si="253"/>
        <v>0.1</v>
      </c>
      <c r="GB309" s="101">
        <f t="shared" si="254"/>
        <v>1</v>
      </c>
      <c r="GC309" s="101">
        <f t="shared" si="255"/>
        <v>15</v>
      </c>
      <c r="GD309" s="101">
        <f t="shared" si="256"/>
        <v>0</v>
      </c>
      <c r="GE309" s="101">
        <f t="shared" si="257"/>
        <v>1</v>
      </c>
      <c r="GF309" s="101">
        <f t="shared" si="258"/>
        <v>4</v>
      </c>
      <c r="GG309" s="101">
        <f t="shared" si="259"/>
        <v>4.9700000000000001E-2</v>
      </c>
      <c r="GH309" s="101">
        <f t="shared" si="260"/>
        <v>1</v>
      </c>
      <c r="GI309" s="101">
        <f t="shared" si="261"/>
        <v>7</v>
      </c>
      <c r="GJ309" s="101">
        <f t="shared" si="262"/>
        <v>0.19889999999999999</v>
      </c>
      <c r="GK309" s="101">
        <f t="shared" si="263"/>
        <v>1</v>
      </c>
      <c r="GL309" s="101">
        <f t="shared" si="264"/>
        <v>15</v>
      </c>
    </row>
    <row r="310" spans="170:194" ht="16.5" x14ac:dyDescent="0.2">
      <c r="FN310" s="101">
        <v>305</v>
      </c>
      <c r="FO310" s="101">
        <f t="shared" si="249"/>
        <v>58</v>
      </c>
      <c r="FP310" s="101">
        <f t="shared" si="242"/>
        <v>4</v>
      </c>
      <c r="FQ310" s="14">
        <f t="shared" si="243"/>
        <v>3</v>
      </c>
      <c r="FR310" s="101" t="str">
        <f t="shared" si="250"/>
        <v>李轩辕专属武器-魂珠-7 4级</v>
      </c>
      <c r="FS310" s="101">
        <f t="shared" si="251"/>
        <v>7</v>
      </c>
      <c r="FT310" s="101">
        <f t="shared" si="252"/>
        <v>4</v>
      </c>
      <c r="FU310" s="101" t="str">
        <f t="shared" si="244"/>
        <v>金币</v>
      </c>
      <c r="FV310" s="139">
        <f>IF($FT310&gt;0,IF(INDEX($EI$6:$EI$77,$FO310)&gt;=FV$3,ROUND(INDEX(EK$6:EK$77,$FO310)*INDEX(卡牌消耗!$B$8:$F$8,FQ310)/5,0)*5,""),"")</f>
        <v>19340</v>
      </c>
      <c r="FW310" s="101" t="str">
        <f t="shared" si="245"/>
        <v>专属强化石3</v>
      </c>
      <c r="FX310" s="101">
        <f t="shared" si="246"/>
        <v>12</v>
      </c>
      <c r="FY310" s="101" t="str">
        <f t="shared" si="247"/>
        <v>专属强化石4</v>
      </c>
      <c r="FZ310" s="101">
        <f t="shared" si="248"/>
        <v>4</v>
      </c>
      <c r="GA310" s="101">
        <f t="shared" si="253"/>
        <v>0.08</v>
      </c>
      <c r="GB310" s="101">
        <f t="shared" si="254"/>
        <v>1</v>
      </c>
      <c r="GC310" s="101">
        <f t="shared" si="255"/>
        <v>19</v>
      </c>
      <c r="GD310" s="101">
        <f t="shared" si="256"/>
        <v>0</v>
      </c>
      <c r="GE310" s="101">
        <f t="shared" si="257"/>
        <v>1</v>
      </c>
      <c r="GF310" s="101">
        <f t="shared" si="258"/>
        <v>4</v>
      </c>
      <c r="GG310" s="101">
        <f t="shared" si="259"/>
        <v>3.9800000000000002E-2</v>
      </c>
      <c r="GH310" s="101">
        <f t="shared" si="260"/>
        <v>1</v>
      </c>
      <c r="GI310" s="101">
        <f t="shared" si="261"/>
        <v>9</v>
      </c>
      <c r="GJ310" s="101">
        <f t="shared" si="262"/>
        <v>0.15909999999999999</v>
      </c>
      <c r="GK310" s="101">
        <f t="shared" si="263"/>
        <v>1</v>
      </c>
      <c r="GL310" s="101">
        <f t="shared" si="264"/>
        <v>19</v>
      </c>
    </row>
    <row r="311" spans="170:194" ht="16.5" x14ac:dyDescent="0.2">
      <c r="FN311" s="101">
        <v>306</v>
      </c>
      <c r="FO311" s="101">
        <f t="shared" si="249"/>
        <v>59</v>
      </c>
      <c r="FP311" s="101">
        <f t="shared" si="242"/>
        <v>4</v>
      </c>
      <c r="FQ311" s="14">
        <f t="shared" si="243"/>
        <v>3</v>
      </c>
      <c r="FR311" s="101" t="str">
        <f t="shared" si="250"/>
        <v>李轩辕专属武器-魂珠-7 5级</v>
      </c>
      <c r="FS311" s="101">
        <f t="shared" si="251"/>
        <v>7</v>
      </c>
      <c r="FT311" s="101">
        <f t="shared" si="252"/>
        <v>5</v>
      </c>
      <c r="FU311" s="101" t="str">
        <f t="shared" si="244"/>
        <v>金币</v>
      </c>
      <c r="FV311" s="139">
        <f>IF($FT311&gt;0,IF(INDEX($EI$6:$EI$77,$FO311)&gt;=FV$3,ROUND(INDEX(EK$6:EK$77,$FO311)*INDEX(卡牌消耗!$B$8:$F$8,FQ311)/5,0)*5,""),"")</f>
        <v>19640</v>
      </c>
      <c r="FW311" s="101" t="str">
        <f t="shared" si="245"/>
        <v>专属强化石3</v>
      </c>
      <c r="FX311" s="101">
        <f t="shared" si="246"/>
        <v>12</v>
      </c>
      <c r="FY311" s="101" t="str">
        <f t="shared" si="247"/>
        <v>专属强化石4</v>
      </c>
      <c r="FZ311" s="101">
        <f t="shared" si="248"/>
        <v>4</v>
      </c>
      <c r="GA311" s="101">
        <f t="shared" si="253"/>
        <v>0.05</v>
      </c>
      <c r="GB311" s="101">
        <f t="shared" si="254"/>
        <v>1</v>
      </c>
      <c r="GC311" s="101">
        <f t="shared" si="255"/>
        <v>30</v>
      </c>
      <c r="GD311" s="101">
        <f t="shared" si="256"/>
        <v>0</v>
      </c>
      <c r="GE311" s="101">
        <f t="shared" si="257"/>
        <v>1</v>
      </c>
      <c r="GF311" s="101">
        <f t="shared" si="258"/>
        <v>7</v>
      </c>
      <c r="GG311" s="101">
        <f t="shared" si="259"/>
        <v>2.4899999999999999E-2</v>
      </c>
      <c r="GH311" s="101">
        <f t="shared" si="260"/>
        <v>1</v>
      </c>
      <c r="GI311" s="101">
        <f t="shared" si="261"/>
        <v>14</v>
      </c>
      <c r="GJ311" s="101">
        <f t="shared" si="262"/>
        <v>9.9400000000000002E-2</v>
      </c>
      <c r="GK311" s="101">
        <f t="shared" si="263"/>
        <v>1</v>
      </c>
      <c r="GL311" s="101">
        <f t="shared" si="264"/>
        <v>30</v>
      </c>
    </row>
    <row r="312" spans="170:194" ht="16.5" x14ac:dyDescent="0.2">
      <c r="FN312" s="101">
        <v>307</v>
      </c>
      <c r="FO312" s="101">
        <f t="shared" si="249"/>
        <v>60</v>
      </c>
      <c r="FP312" s="101">
        <f t="shared" si="242"/>
        <v>4</v>
      </c>
      <c r="FQ312" s="14">
        <f t="shared" si="243"/>
        <v>3</v>
      </c>
      <c r="FR312" s="101" t="str">
        <f t="shared" si="250"/>
        <v>李轩辕专属武器-魂珠-7 6级</v>
      </c>
      <c r="FS312" s="101">
        <f t="shared" si="251"/>
        <v>7</v>
      </c>
      <c r="FT312" s="101">
        <f t="shared" si="252"/>
        <v>6</v>
      </c>
      <c r="FU312" s="101" t="str">
        <f t="shared" si="244"/>
        <v>金币</v>
      </c>
      <c r="FV312" s="139">
        <f>IF($FT312&gt;0,IF(INDEX($EI$6:$EI$77,$FO312)&gt;=FV$3,ROUND(INDEX(EK$6:EK$77,$FO312)*INDEX(卡牌消耗!$B$8:$F$8,FQ312)/5,0)*5,""),"")</f>
        <v>24410</v>
      </c>
      <c r="FW312" s="101" t="str">
        <f t="shared" si="245"/>
        <v>专属强化石3</v>
      </c>
      <c r="FX312" s="101">
        <f t="shared" si="246"/>
        <v>15</v>
      </c>
      <c r="FY312" s="101" t="str">
        <f t="shared" si="247"/>
        <v>专属强化石4</v>
      </c>
      <c r="FZ312" s="101">
        <f t="shared" si="248"/>
        <v>5</v>
      </c>
      <c r="GA312" s="101">
        <f t="shared" si="253"/>
        <v>0.04</v>
      </c>
      <c r="GB312" s="101">
        <f t="shared" si="254"/>
        <v>1</v>
      </c>
      <c r="GC312" s="101">
        <f t="shared" si="255"/>
        <v>39</v>
      </c>
      <c r="GD312" s="101">
        <f t="shared" si="256"/>
        <v>0</v>
      </c>
      <c r="GE312" s="101">
        <f t="shared" si="257"/>
        <v>1</v>
      </c>
      <c r="GF312" s="101">
        <f t="shared" si="258"/>
        <v>9</v>
      </c>
      <c r="GG312" s="101">
        <f t="shared" si="259"/>
        <v>1.9099999999999999E-2</v>
      </c>
      <c r="GH312" s="101">
        <f t="shared" si="260"/>
        <v>1</v>
      </c>
      <c r="GI312" s="101">
        <f t="shared" si="261"/>
        <v>18</v>
      </c>
      <c r="GJ312" s="101">
        <f t="shared" si="262"/>
        <v>7.6499999999999999E-2</v>
      </c>
      <c r="GK312" s="101">
        <f t="shared" si="263"/>
        <v>1</v>
      </c>
      <c r="GL312" s="101">
        <f t="shared" si="264"/>
        <v>39</v>
      </c>
    </row>
    <row r="313" spans="170:194" ht="16.5" x14ac:dyDescent="0.2">
      <c r="FN313" s="101">
        <v>308</v>
      </c>
      <c r="FO313" s="101">
        <f t="shared" si="249"/>
        <v>61</v>
      </c>
      <c r="FP313" s="101">
        <f t="shared" si="242"/>
        <v>4</v>
      </c>
      <c r="FQ313" s="14">
        <f t="shared" si="243"/>
        <v>3</v>
      </c>
      <c r="FR313" s="101" t="str">
        <f t="shared" si="250"/>
        <v>李轩辕专属武器-魂珠-7 7级</v>
      </c>
      <c r="FS313" s="101">
        <f t="shared" si="251"/>
        <v>7</v>
      </c>
      <c r="FT313" s="101">
        <f t="shared" si="252"/>
        <v>7</v>
      </c>
      <c r="FU313" s="101" t="str">
        <f t="shared" si="244"/>
        <v>金币</v>
      </c>
      <c r="FV313" s="139">
        <f>IF($FT313&gt;0,IF(INDEX($EI$6:$EI$77,$FO313)&gt;=FV$3,ROUND(INDEX(EK$6:EK$77,$FO313)*INDEX(卡牌消耗!$B$8:$F$8,FQ313)/5,0)*5,""),"")</f>
        <v>34250</v>
      </c>
      <c r="FW313" s="101" t="str">
        <f t="shared" si="245"/>
        <v>专属强化石3</v>
      </c>
      <c r="FX313" s="101">
        <f t="shared" si="246"/>
        <v>21</v>
      </c>
      <c r="FY313" s="101" t="str">
        <f t="shared" si="247"/>
        <v>专属强化石4</v>
      </c>
      <c r="FZ313" s="101">
        <f t="shared" si="248"/>
        <v>7</v>
      </c>
      <c r="GA313" s="101">
        <f t="shared" si="253"/>
        <v>0.03</v>
      </c>
      <c r="GB313" s="101">
        <f t="shared" si="254"/>
        <v>1</v>
      </c>
      <c r="GC313" s="101">
        <f t="shared" si="255"/>
        <v>45</v>
      </c>
      <c r="GD313" s="101">
        <f t="shared" si="256"/>
        <v>0</v>
      </c>
      <c r="GE313" s="101">
        <f t="shared" si="257"/>
        <v>1</v>
      </c>
      <c r="GF313" s="101">
        <f t="shared" si="258"/>
        <v>11</v>
      </c>
      <c r="GG313" s="101">
        <f t="shared" si="259"/>
        <v>1.66E-2</v>
      </c>
      <c r="GH313" s="101">
        <f t="shared" si="260"/>
        <v>1</v>
      </c>
      <c r="GI313" s="101">
        <f t="shared" si="261"/>
        <v>21</v>
      </c>
      <c r="GJ313" s="101">
        <f t="shared" si="262"/>
        <v>6.6299999999999998E-2</v>
      </c>
      <c r="GK313" s="101">
        <f t="shared" si="263"/>
        <v>1</v>
      </c>
      <c r="GL313" s="101">
        <f t="shared" si="264"/>
        <v>45</v>
      </c>
    </row>
    <row r="314" spans="170:194" ht="16.5" x14ac:dyDescent="0.2">
      <c r="FN314" s="101">
        <v>309</v>
      </c>
      <c r="FO314" s="101">
        <f t="shared" si="249"/>
        <v>62</v>
      </c>
      <c r="FP314" s="101">
        <f t="shared" si="242"/>
        <v>4</v>
      </c>
      <c r="FQ314" s="14">
        <f t="shared" si="243"/>
        <v>3</v>
      </c>
      <c r="FR314" s="101" t="str">
        <f t="shared" si="250"/>
        <v>李轩辕专属武器-魂珠-7 8级</v>
      </c>
      <c r="FS314" s="101">
        <f t="shared" si="251"/>
        <v>7</v>
      </c>
      <c r="FT314" s="101">
        <f t="shared" si="252"/>
        <v>8</v>
      </c>
      <c r="FU314" s="101" t="str">
        <f t="shared" si="244"/>
        <v>金币</v>
      </c>
      <c r="FV314" s="139">
        <f>IF($FT314&gt;0,IF(INDEX($EI$6:$EI$77,$FO314)&gt;=FV$3,ROUND(INDEX(EK$6:EK$77,$FO314)*INDEX(卡牌消耗!$B$8:$F$8,FQ314)/5,0)*5,""),"")</f>
        <v>39105</v>
      </c>
      <c r="FW314" s="101" t="str">
        <f t="shared" si="245"/>
        <v>专属强化石3</v>
      </c>
      <c r="FX314" s="101">
        <f t="shared" si="246"/>
        <v>24</v>
      </c>
      <c r="FY314" s="101" t="str">
        <f t="shared" si="247"/>
        <v>专属强化石4</v>
      </c>
      <c r="FZ314" s="101">
        <f t="shared" si="248"/>
        <v>8</v>
      </c>
      <c r="GA314" s="101">
        <f t="shared" si="253"/>
        <v>0.02</v>
      </c>
      <c r="GB314" s="101">
        <f t="shared" si="254"/>
        <v>1</v>
      </c>
      <c r="GC314" s="101">
        <f t="shared" si="255"/>
        <v>64</v>
      </c>
      <c r="GD314" s="101">
        <f t="shared" si="256"/>
        <v>0</v>
      </c>
      <c r="GE314" s="101">
        <f t="shared" si="257"/>
        <v>1</v>
      </c>
      <c r="GF314" s="101">
        <f t="shared" si="258"/>
        <v>15</v>
      </c>
      <c r="GG314" s="101">
        <f t="shared" si="259"/>
        <v>1.17E-2</v>
      </c>
      <c r="GH314" s="101">
        <f t="shared" si="260"/>
        <v>1</v>
      </c>
      <c r="GI314" s="101">
        <f t="shared" si="261"/>
        <v>30</v>
      </c>
      <c r="GJ314" s="101">
        <f t="shared" si="262"/>
        <v>4.6800000000000001E-2</v>
      </c>
      <c r="GK314" s="101">
        <f t="shared" si="263"/>
        <v>1</v>
      </c>
      <c r="GL314" s="101">
        <f t="shared" si="264"/>
        <v>64</v>
      </c>
    </row>
    <row r="315" spans="170:194" ht="16.5" x14ac:dyDescent="0.2">
      <c r="FN315" s="101">
        <v>310</v>
      </c>
      <c r="FO315" s="101">
        <f t="shared" si="249"/>
        <v>63</v>
      </c>
      <c r="FP315" s="101">
        <f t="shared" si="242"/>
        <v>4</v>
      </c>
      <c r="FQ315" s="14">
        <f t="shared" si="243"/>
        <v>3</v>
      </c>
      <c r="FR315" s="101" t="str">
        <f t="shared" si="250"/>
        <v>李轩辕专属武器-魂珠-7 9级</v>
      </c>
      <c r="FS315" s="101">
        <f t="shared" si="251"/>
        <v>7</v>
      </c>
      <c r="FT315" s="101">
        <f t="shared" si="252"/>
        <v>9</v>
      </c>
      <c r="FU315" s="101" t="str">
        <f t="shared" si="244"/>
        <v>金币</v>
      </c>
      <c r="FV315" s="139">
        <f>IF($FT315&gt;0,IF(INDEX($EI$6:$EI$77,$FO315)&gt;=FV$3,ROUND(INDEX(EK$6:EK$77,$FO315)*INDEX(卡牌消耗!$B$8:$F$8,FQ315)/5,0)*5,""),"")</f>
        <v>48900</v>
      </c>
      <c r="FW315" s="101" t="str">
        <f t="shared" si="245"/>
        <v>专属强化石3</v>
      </c>
      <c r="FX315" s="101">
        <f t="shared" si="246"/>
        <v>30</v>
      </c>
      <c r="FY315" s="101" t="str">
        <f t="shared" si="247"/>
        <v>专属强化石4</v>
      </c>
      <c r="FZ315" s="101">
        <f t="shared" si="248"/>
        <v>10</v>
      </c>
      <c r="GA315" s="101">
        <f t="shared" si="253"/>
        <v>0.02</v>
      </c>
      <c r="GB315" s="101">
        <f t="shared" si="254"/>
        <v>1</v>
      </c>
      <c r="GC315" s="101">
        <f t="shared" si="255"/>
        <v>83</v>
      </c>
      <c r="GD315" s="101">
        <f t="shared" si="256"/>
        <v>0</v>
      </c>
      <c r="GE315" s="101">
        <f t="shared" si="257"/>
        <v>1</v>
      </c>
      <c r="GF315" s="101">
        <f t="shared" si="258"/>
        <v>19</v>
      </c>
      <c r="GG315" s="101">
        <f t="shared" si="259"/>
        <v>8.9999999999999993E-3</v>
      </c>
      <c r="GH315" s="101">
        <f t="shared" si="260"/>
        <v>1</v>
      </c>
      <c r="GI315" s="101">
        <f t="shared" si="261"/>
        <v>39</v>
      </c>
      <c r="GJ315" s="101">
        <f t="shared" si="262"/>
        <v>3.6200000000000003E-2</v>
      </c>
      <c r="GK315" s="101">
        <f t="shared" si="263"/>
        <v>1</v>
      </c>
      <c r="GL315" s="101">
        <f t="shared" si="264"/>
        <v>83</v>
      </c>
    </row>
    <row r="316" spans="170:194" ht="16.5" x14ac:dyDescent="0.2">
      <c r="FN316" s="101">
        <v>311</v>
      </c>
      <c r="FO316" s="101">
        <f t="shared" si="249"/>
        <v>0</v>
      </c>
      <c r="FP316" s="101">
        <f t="shared" si="242"/>
        <v>4</v>
      </c>
      <c r="FQ316" s="14">
        <f t="shared" si="243"/>
        <v>3</v>
      </c>
      <c r="FR316" s="101" t="str">
        <f t="shared" si="250"/>
        <v>李轩辕专属武器-魂珠-8 0级</v>
      </c>
      <c r="FS316" s="101">
        <f t="shared" si="251"/>
        <v>8</v>
      </c>
      <c r="FT316" s="101">
        <f t="shared" si="252"/>
        <v>0</v>
      </c>
      <c r="FU316" s="101" t="str">
        <f t="shared" si="244"/>
        <v/>
      </c>
      <c r="FV316" s="139" t="str">
        <f>IF($FT316&gt;0,IF(INDEX($EI$6:$EI$77,$FO316)&gt;=FV$3,ROUND(INDEX(EK$6:EK$77,$FO316)*INDEX(卡牌消耗!$B$8:$F$8,FQ316)/5,0)*5,""),"")</f>
        <v/>
      </c>
      <c r="FW316" s="101" t="str">
        <f t="shared" si="245"/>
        <v/>
      </c>
      <c r="FX316" s="101" t="str">
        <f t="shared" si="246"/>
        <v/>
      </c>
      <c r="FY316" s="101" t="str">
        <f t="shared" si="247"/>
        <v/>
      </c>
      <c r="FZ316" s="101" t="str">
        <f t="shared" si="248"/>
        <v/>
      </c>
      <c r="GA316" s="101" t="str">
        <f t="shared" si="253"/>
        <v/>
      </c>
      <c r="GB316" s="101" t="str">
        <f t="shared" si="254"/>
        <v/>
      </c>
      <c r="GC316" s="101" t="str">
        <f t="shared" si="255"/>
        <v/>
      </c>
      <c r="GD316" s="101" t="str">
        <f t="shared" si="256"/>
        <v/>
      </c>
      <c r="GE316" s="101" t="str">
        <f t="shared" si="257"/>
        <v/>
      </c>
      <c r="GF316" s="101" t="str">
        <f t="shared" si="258"/>
        <v/>
      </c>
      <c r="GG316" s="101" t="str">
        <f t="shared" si="259"/>
        <v/>
      </c>
      <c r="GH316" s="101" t="str">
        <f t="shared" si="260"/>
        <v/>
      </c>
      <c r="GI316" s="101" t="str">
        <f t="shared" si="261"/>
        <v/>
      </c>
      <c r="GJ316" s="101" t="str">
        <f t="shared" si="262"/>
        <v/>
      </c>
      <c r="GK316" s="101" t="str">
        <f t="shared" si="263"/>
        <v/>
      </c>
      <c r="GL316" s="101" t="str">
        <f t="shared" si="264"/>
        <v/>
      </c>
    </row>
    <row r="317" spans="170:194" ht="16.5" x14ac:dyDescent="0.2">
      <c r="FN317" s="101">
        <v>312</v>
      </c>
      <c r="FO317" s="101">
        <f t="shared" si="249"/>
        <v>64</v>
      </c>
      <c r="FP317" s="101">
        <f t="shared" si="242"/>
        <v>4</v>
      </c>
      <c r="FQ317" s="14">
        <f t="shared" si="243"/>
        <v>3</v>
      </c>
      <c r="FR317" s="101" t="str">
        <f t="shared" si="250"/>
        <v>李轩辕专属武器-魂珠-8 1级</v>
      </c>
      <c r="FS317" s="101">
        <f t="shared" si="251"/>
        <v>8</v>
      </c>
      <c r="FT317" s="101">
        <f t="shared" si="252"/>
        <v>1</v>
      </c>
      <c r="FU317" s="101" t="str">
        <f t="shared" si="244"/>
        <v>金币</v>
      </c>
      <c r="FV317" s="139">
        <f>IF($FT317&gt;0,IF(INDEX($EI$6:$EI$77,$FO317)&gt;=FV$3,ROUND(INDEX(EK$6:EK$77,$FO317)*INDEX(卡牌消耗!$B$8:$F$8,FQ317)/5,0)*5,""),"")</f>
        <v>10300</v>
      </c>
      <c r="FW317" s="101" t="str">
        <f t="shared" si="245"/>
        <v>专属强化石4</v>
      </c>
      <c r="FX317" s="101">
        <f t="shared" si="246"/>
        <v>5</v>
      </c>
      <c r="FY317" s="101" t="str">
        <f t="shared" si="247"/>
        <v/>
      </c>
      <c r="FZ317" s="101" t="str">
        <f t="shared" si="248"/>
        <v/>
      </c>
      <c r="GA317" s="101">
        <f t="shared" si="253"/>
        <v>0.11</v>
      </c>
      <c r="GB317" s="101">
        <f t="shared" si="254"/>
        <v>1</v>
      </c>
      <c r="GC317" s="101">
        <f t="shared" si="255"/>
        <v>13</v>
      </c>
      <c r="GD317" s="101">
        <f t="shared" si="256"/>
        <v>0</v>
      </c>
      <c r="GE317" s="101">
        <f t="shared" si="257"/>
        <v>1</v>
      </c>
      <c r="GF317" s="101">
        <f t="shared" si="258"/>
        <v>3</v>
      </c>
      <c r="GG317" s="101">
        <f t="shared" si="259"/>
        <v>5.6500000000000002E-2</v>
      </c>
      <c r="GH317" s="101">
        <f t="shared" si="260"/>
        <v>1</v>
      </c>
      <c r="GI317" s="101">
        <f t="shared" si="261"/>
        <v>6</v>
      </c>
      <c r="GJ317" s="101">
        <f t="shared" si="262"/>
        <v>0.22600000000000001</v>
      </c>
      <c r="GK317" s="101">
        <f t="shared" si="263"/>
        <v>1</v>
      </c>
      <c r="GL317" s="101">
        <f t="shared" si="264"/>
        <v>13</v>
      </c>
    </row>
    <row r="318" spans="170:194" ht="16.5" x14ac:dyDescent="0.2">
      <c r="FN318" s="101">
        <v>313</v>
      </c>
      <c r="FO318" s="101">
        <f t="shared" si="249"/>
        <v>65</v>
      </c>
      <c r="FP318" s="101">
        <f t="shared" si="242"/>
        <v>4</v>
      </c>
      <c r="FQ318" s="14">
        <f t="shared" si="243"/>
        <v>3</v>
      </c>
      <c r="FR318" s="101" t="str">
        <f t="shared" si="250"/>
        <v>李轩辕专属武器-魂珠-8 2级</v>
      </c>
      <c r="FS318" s="101">
        <f t="shared" si="251"/>
        <v>8</v>
      </c>
      <c r="FT318" s="101">
        <f t="shared" si="252"/>
        <v>2</v>
      </c>
      <c r="FU318" s="101" t="str">
        <f t="shared" si="244"/>
        <v>金币</v>
      </c>
      <c r="FV318" s="139">
        <f>IF($FT318&gt;0,IF(INDEX($EI$6:$EI$77,$FO318)&gt;=FV$3,ROUND(INDEX(EK$6:EK$77,$FO318)*INDEX(卡牌消耗!$B$8:$F$8,FQ318)/5,0)*5,""),"")</f>
        <v>12360</v>
      </c>
      <c r="FW318" s="101" t="str">
        <f t="shared" si="245"/>
        <v>专属强化石4</v>
      </c>
      <c r="FX318" s="101">
        <f t="shared" si="246"/>
        <v>8</v>
      </c>
      <c r="FY318" s="101" t="str">
        <f t="shared" si="247"/>
        <v/>
      </c>
      <c r="FZ318" s="101" t="str">
        <f t="shared" si="248"/>
        <v/>
      </c>
      <c r="GA318" s="101">
        <f t="shared" si="253"/>
        <v>0.09</v>
      </c>
      <c r="GB318" s="101">
        <f t="shared" si="254"/>
        <v>1</v>
      </c>
      <c r="GC318" s="101">
        <f t="shared" si="255"/>
        <v>17</v>
      </c>
      <c r="GD318" s="101">
        <f t="shared" si="256"/>
        <v>0</v>
      </c>
      <c r="GE318" s="101">
        <f t="shared" si="257"/>
        <v>1</v>
      </c>
      <c r="GF318" s="101">
        <f t="shared" si="258"/>
        <v>4</v>
      </c>
      <c r="GG318" s="101">
        <f t="shared" si="259"/>
        <v>4.5199999999999997E-2</v>
      </c>
      <c r="GH318" s="101">
        <f t="shared" si="260"/>
        <v>1</v>
      </c>
      <c r="GI318" s="101">
        <f t="shared" si="261"/>
        <v>8</v>
      </c>
      <c r="GJ318" s="101">
        <f t="shared" si="262"/>
        <v>0.18079999999999999</v>
      </c>
      <c r="GK318" s="101">
        <f t="shared" si="263"/>
        <v>1</v>
      </c>
      <c r="GL318" s="101">
        <f t="shared" si="264"/>
        <v>17</v>
      </c>
    </row>
    <row r="319" spans="170:194" ht="16.5" x14ac:dyDescent="0.2">
      <c r="FN319" s="101">
        <v>314</v>
      </c>
      <c r="FO319" s="101">
        <f t="shared" si="249"/>
        <v>66</v>
      </c>
      <c r="FP319" s="101">
        <f t="shared" si="242"/>
        <v>4</v>
      </c>
      <c r="FQ319" s="14">
        <f t="shared" si="243"/>
        <v>3</v>
      </c>
      <c r="FR319" s="101" t="str">
        <f t="shared" si="250"/>
        <v>李轩辕专属武器-魂珠-8 3级</v>
      </c>
      <c r="FS319" s="101">
        <f t="shared" si="251"/>
        <v>8</v>
      </c>
      <c r="FT319" s="101">
        <f t="shared" si="252"/>
        <v>3</v>
      </c>
      <c r="FU319" s="101" t="str">
        <f t="shared" si="244"/>
        <v>金币</v>
      </c>
      <c r="FV319" s="139">
        <f>IF($FT319&gt;0,IF(INDEX($EI$6:$EI$77,$FO319)&gt;=FV$3,ROUND(INDEX(EK$6:EK$77,$FO319)*INDEX(卡牌消耗!$B$8:$F$8,FQ319)/5,0)*5,""),"")</f>
        <v>17170</v>
      </c>
      <c r="FW319" s="101" t="str">
        <f t="shared" si="245"/>
        <v>专属强化石4</v>
      </c>
      <c r="FX319" s="101">
        <f t="shared" si="246"/>
        <v>10</v>
      </c>
      <c r="FY319" s="101" t="str">
        <f t="shared" si="247"/>
        <v/>
      </c>
      <c r="FZ319" s="101" t="str">
        <f t="shared" si="248"/>
        <v/>
      </c>
      <c r="GA319" s="101">
        <f t="shared" si="253"/>
        <v>0.08</v>
      </c>
      <c r="GB319" s="101">
        <f t="shared" si="254"/>
        <v>1</v>
      </c>
      <c r="GC319" s="101">
        <f t="shared" si="255"/>
        <v>20</v>
      </c>
      <c r="GD319" s="101">
        <f t="shared" si="256"/>
        <v>0</v>
      </c>
      <c r="GE319" s="101">
        <f t="shared" si="257"/>
        <v>1</v>
      </c>
      <c r="GF319" s="101">
        <f t="shared" si="258"/>
        <v>5</v>
      </c>
      <c r="GG319" s="101">
        <f t="shared" si="259"/>
        <v>3.7699999999999997E-2</v>
      </c>
      <c r="GH319" s="101">
        <f t="shared" si="260"/>
        <v>1</v>
      </c>
      <c r="GI319" s="101">
        <f t="shared" si="261"/>
        <v>9</v>
      </c>
      <c r="GJ319" s="101">
        <f t="shared" si="262"/>
        <v>0.1507</v>
      </c>
      <c r="GK319" s="101">
        <f t="shared" si="263"/>
        <v>1</v>
      </c>
      <c r="GL319" s="101">
        <f t="shared" si="264"/>
        <v>20</v>
      </c>
    </row>
    <row r="320" spans="170:194" ht="16.5" x14ac:dyDescent="0.2">
      <c r="FN320" s="101">
        <v>315</v>
      </c>
      <c r="FO320" s="101">
        <f t="shared" si="249"/>
        <v>67</v>
      </c>
      <c r="FP320" s="101">
        <f t="shared" si="242"/>
        <v>4</v>
      </c>
      <c r="FQ320" s="14">
        <f t="shared" si="243"/>
        <v>3</v>
      </c>
      <c r="FR320" s="101" t="str">
        <f t="shared" si="250"/>
        <v>李轩辕专属武器-魂珠-8 4级</v>
      </c>
      <c r="FS320" s="101">
        <f t="shared" si="251"/>
        <v>8</v>
      </c>
      <c r="FT320" s="101">
        <f t="shared" si="252"/>
        <v>4</v>
      </c>
      <c r="FU320" s="101" t="str">
        <f t="shared" si="244"/>
        <v>金币</v>
      </c>
      <c r="FV320" s="139">
        <f>IF($FT320&gt;0,IF(INDEX($EI$6:$EI$77,$FO320)&gt;=FV$3,ROUND(INDEX(EK$6:EK$77,$FO320)*INDEX(卡牌消耗!$B$8:$F$8,FQ320)/5,0)*5,""),"")</f>
        <v>19780</v>
      </c>
      <c r="FW320" s="101" t="str">
        <f t="shared" si="245"/>
        <v>专属强化石4</v>
      </c>
      <c r="FX320" s="101">
        <f t="shared" si="246"/>
        <v>12</v>
      </c>
      <c r="FY320" s="101" t="str">
        <f t="shared" si="247"/>
        <v/>
      </c>
      <c r="FZ320" s="101" t="str">
        <f t="shared" si="248"/>
        <v/>
      </c>
      <c r="GA320" s="101">
        <f t="shared" si="253"/>
        <v>0.05</v>
      </c>
      <c r="GB320" s="101">
        <f t="shared" si="254"/>
        <v>1</v>
      </c>
      <c r="GC320" s="101">
        <f t="shared" si="255"/>
        <v>28</v>
      </c>
      <c r="GD320" s="101">
        <f t="shared" si="256"/>
        <v>0</v>
      </c>
      <c r="GE320" s="101">
        <f t="shared" si="257"/>
        <v>1</v>
      </c>
      <c r="GF320" s="101">
        <f t="shared" si="258"/>
        <v>6</v>
      </c>
      <c r="GG320" s="101">
        <f t="shared" si="259"/>
        <v>2.7099999999999999E-2</v>
      </c>
      <c r="GH320" s="101">
        <f t="shared" si="260"/>
        <v>1</v>
      </c>
      <c r="GI320" s="101">
        <f t="shared" si="261"/>
        <v>13</v>
      </c>
      <c r="GJ320" s="101">
        <f t="shared" si="262"/>
        <v>0.1085</v>
      </c>
      <c r="GK320" s="101">
        <f t="shared" si="263"/>
        <v>1</v>
      </c>
      <c r="GL320" s="101">
        <f t="shared" si="264"/>
        <v>28</v>
      </c>
    </row>
    <row r="321" spans="170:194" ht="16.5" x14ac:dyDescent="0.2">
      <c r="FN321" s="101">
        <v>316</v>
      </c>
      <c r="FO321" s="101">
        <f t="shared" si="249"/>
        <v>68</v>
      </c>
      <c r="FP321" s="101">
        <f t="shared" si="242"/>
        <v>4</v>
      </c>
      <c r="FQ321" s="14">
        <f t="shared" si="243"/>
        <v>3</v>
      </c>
      <c r="FR321" s="101" t="str">
        <f t="shared" si="250"/>
        <v>李轩辕专属武器-魂珠-8 5级</v>
      </c>
      <c r="FS321" s="101">
        <f t="shared" si="251"/>
        <v>8</v>
      </c>
      <c r="FT321" s="101">
        <f t="shared" si="252"/>
        <v>5</v>
      </c>
      <c r="FU321" s="101" t="str">
        <f t="shared" si="244"/>
        <v>金币</v>
      </c>
      <c r="FV321" s="139">
        <f>IF($FT321&gt;0,IF(INDEX($EI$6:$EI$77,$FO321)&gt;=FV$3,ROUND(INDEX(EK$6:EK$77,$FO321)*INDEX(卡牌消耗!$B$8:$F$8,FQ321)/5,0)*5,""),"")</f>
        <v>25110</v>
      </c>
      <c r="FW321" s="101" t="str">
        <f t="shared" si="245"/>
        <v>专属强化石4</v>
      </c>
      <c r="FX321" s="101">
        <f t="shared" si="246"/>
        <v>15</v>
      </c>
      <c r="FY321" s="101" t="str">
        <f t="shared" si="247"/>
        <v/>
      </c>
      <c r="FZ321" s="101" t="str">
        <f t="shared" si="248"/>
        <v/>
      </c>
      <c r="GA321" s="101">
        <f t="shared" si="253"/>
        <v>0.04</v>
      </c>
      <c r="GB321" s="101">
        <f t="shared" si="254"/>
        <v>1</v>
      </c>
      <c r="GC321" s="101">
        <f t="shared" si="255"/>
        <v>35</v>
      </c>
      <c r="GD321" s="101">
        <f t="shared" si="256"/>
        <v>0</v>
      </c>
      <c r="GE321" s="101">
        <f t="shared" si="257"/>
        <v>1</v>
      </c>
      <c r="GF321" s="101">
        <f t="shared" si="258"/>
        <v>8</v>
      </c>
      <c r="GG321" s="101">
        <f t="shared" si="259"/>
        <v>2.12E-2</v>
      </c>
      <c r="GH321" s="101">
        <f t="shared" si="260"/>
        <v>1</v>
      </c>
      <c r="GI321" s="101">
        <f t="shared" si="261"/>
        <v>17</v>
      </c>
      <c r="GJ321" s="101">
        <f t="shared" si="262"/>
        <v>8.4699999999999998E-2</v>
      </c>
      <c r="GK321" s="101">
        <f t="shared" si="263"/>
        <v>1</v>
      </c>
      <c r="GL321" s="101">
        <f t="shared" si="264"/>
        <v>35</v>
      </c>
    </row>
    <row r="322" spans="170:194" ht="16.5" x14ac:dyDescent="0.2">
      <c r="FN322" s="101">
        <v>317</v>
      </c>
      <c r="FO322" s="101">
        <f t="shared" si="249"/>
        <v>69</v>
      </c>
      <c r="FP322" s="101">
        <f t="shared" si="242"/>
        <v>4</v>
      </c>
      <c r="FQ322" s="14">
        <f t="shared" si="243"/>
        <v>3</v>
      </c>
      <c r="FR322" s="101" t="str">
        <f t="shared" si="250"/>
        <v>李轩辕专属武器-魂珠-8 6级</v>
      </c>
      <c r="FS322" s="101">
        <f t="shared" si="251"/>
        <v>8</v>
      </c>
      <c r="FT322" s="101">
        <f t="shared" si="252"/>
        <v>6</v>
      </c>
      <c r="FU322" s="101" t="str">
        <f t="shared" si="244"/>
        <v>金币</v>
      </c>
      <c r="FV322" s="139">
        <f>IF($FT322&gt;0,IF(INDEX($EI$6:$EI$77,$FO322)&gt;=FV$3,ROUND(INDEX(EK$6:EK$77,$FO322)*INDEX(卡牌消耗!$B$8:$F$8,FQ322)/5,0)*5,""),"")</f>
        <v>29955</v>
      </c>
      <c r="FW322" s="101" t="str">
        <f t="shared" si="245"/>
        <v>专属强化石4</v>
      </c>
      <c r="FX322" s="101">
        <f t="shared" si="246"/>
        <v>18</v>
      </c>
      <c r="FY322" s="101" t="str">
        <f t="shared" si="247"/>
        <v/>
      </c>
      <c r="FZ322" s="101" t="str">
        <f t="shared" si="248"/>
        <v/>
      </c>
      <c r="GA322" s="101">
        <f t="shared" si="253"/>
        <v>0.03</v>
      </c>
      <c r="GB322" s="101">
        <f t="shared" si="254"/>
        <v>1</v>
      </c>
      <c r="GC322" s="101">
        <f t="shared" si="255"/>
        <v>48</v>
      </c>
      <c r="GD322" s="101">
        <f t="shared" si="256"/>
        <v>0</v>
      </c>
      <c r="GE322" s="101">
        <f t="shared" si="257"/>
        <v>1</v>
      </c>
      <c r="GF322" s="101">
        <f t="shared" si="258"/>
        <v>11</v>
      </c>
      <c r="GG322" s="101">
        <f t="shared" si="259"/>
        <v>1.5599999999999999E-2</v>
      </c>
      <c r="GH322" s="101">
        <f t="shared" si="260"/>
        <v>1</v>
      </c>
      <c r="GI322" s="101">
        <f t="shared" si="261"/>
        <v>22</v>
      </c>
      <c r="GJ322" s="101">
        <f t="shared" si="262"/>
        <v>6.2600000000000003E-2</v>
      </c>
      <c r="GK322" s="101">
        <f t="shared" si="263"/>
        <v>1</v>
      </c>
      <c r="GL322" s="101">
        <f t="shared" si="264"/>
        <v>48</v>
      </c>
    </row>
    <row r="323" spans="170:194" ht="16.5" x14ac:dyDescent="0.2">
      <c r="FN323" s="101">
        <v>318</v>
      </c>
      <c r="FO323" s="101">
        <f t="shared" si="249"/>
        <v>70</v>
      </c>
      <c r="FP323" s="101">
        <f t="shared" si="242"/>
        <v>4</v>
      </c>
      <c r="FQ323" s="14">
        <f t="shared" si="243"/>
        <v>3</v>
      </c>
      <c r="FR323" s="101" t="str">
        <f t="shared" si="250"/>
        <v>李轩辕专属武器-魂珠-8 7级</v>
      </c>
      <c r="FS323" s="101">
        <f t="shared" si="251"/>
        <v>8</v>
      </c>
      <c r="FT323" s="101">
        <f t="shared" si="252"/>
        <v>7</v>
      </c>
      <c r="FU323" s="101" t="str">
        <f t="shared" si="244"/>
        <v>金币</v>
      </c>
      <c r="FV323" s="139">
        <f>IF($FT323&gt;0,IF(INDEX($EI$6:$EI$77,$FO323)&gt;=FV$3,ROUND(INDEX(EK$6:EK$77,$FO323)*INDEX(卡牌消耗!$B$8:$F$8,FQ323)/5,0)*5,""),"")</f>
        <v>41700</v>
      </c>
      <c r="FW323" s="101" t="str">
        <f t="shared" si="245"/>
        <v>专属强化石4</v>
      </c>
      <c r="FX323" s="101">
        <f t="shared" si="246"/>
        <v>25</v>
      </c>
      <c r="FY323" s="101" t="str">
        <f t="shared" si="247"/>
        <v/>
      </c>
      <c r="FZ323" s="101" t="str">
        <f t="shared" si="248"/>
        <v/>
      </c>
      <c r="GA323" s="101">
        <f t="shared" si="253"/>
        <v>0.03</v>
      </c>
      <c r="GB323" s="101">
        <f t="shared" si="254"/>
        <v>1</v>
      </c>
      <c r="GC323" s="101">
        <f t="shared" si="255"/>
        <v>56</v>
      </c>
      <c r="GD323" s="101">
        <f t="shared" si="256"/>
        <v>0</v>
      </c>
      <c r="GE323" s="101">
        <f t="shared" si="257"/>
        <v>1</v>
      </c>
      <c r="GF323" s="101">
        <f t="shared" si="258"/>
        <v>13</v>
      </c>
      <c r="GG323" s="101">
        <f t="shared" si="259"/>
        <v>1.35E-2</v>
      </c>
      <c r="GH323" s="101">
        <f t="shared" si="260"/>
        <v>1</v>
      </c>
      <c r="GI323" s="101">
        <f t="shared" si="261"/>
        <v>26</v>
      </c>
      <c r="GJ323" s="101">
        <f t="shared" si="262"/>
        <v>5.3800000000000001E-2</v>
      </c>
      <c r="GK323" s="101">
        <f t="shared" si="263"/>
        <v>1</v>
      </c>
      <c r="GL323" s="101">
        <f t="shared" si="264"/>
        <v>56</v>
      </c>
    </row>
    <row r="324" spans="170:194" ht="16.5" x14ac:dyDescent="0.2">
      <c r="FN324" s="101">
        <v>319</v>
      </c>
      <c r="FO324" s="101">
        <f t="shared" si="249"/>
        <v>71</v>
      </c>
      <c r="FP324" s="101">
        <f t="shared" si="242"/>
        <v>4</v>
      </c>
      <c r="FQ324" s="14">
        <f t="shared" si="243"/>
        <v>3</v>
      </c>
      <c r="FR324" s="101" t="str">
        <f t="shared" si="250"/>
        <v>李轩辕专属武器-魂珠-8 8级</v>
      </c>
      <c r="FS324" s="101">
        <f t="shared" si="251"/>
        <v>8</v>
      </c>
      <c r="FT324" s="101">
        <f t="shared" si="252"/>
        <v>8</v>
      </c>
      <c r="FU324" s="101" t="str">
        <f t="shared" si="244"/>
        <v>金币</v>
      </c>
      <c r="FV324" s="139">
        <f>IF($FT324&gt;0,IF(INDEX($EI$6:$EI$77,$FO324)&gt;=FV$3,ROUND(INDEX(EK$6:EK$77,$FO324)*INDEX(卡牌消耗!$B$8:$F$8,FQ324)/5,0)*5,""),"")</f>
        <v>49995</v>
      </c>
      <c r="FW324" s="101" t="str">
        <f t="shared" si="245"/>
        <v>专属强化石4</v>
      </c>
      <c r="FX324" s="101">
        <f t="shared" si="246"/>
        <v>30</v>
      </c>
      <c r="FY324" s="101" t="str">
        <f t="shared" si="247"/>
        <v/>
      </c>
      <c r="FZ324" s="101" t="str">
        <f t="shared" si="248"/>
        <v/>
      </c>
      <c r="GA324" s="101">
        <f t="shared" si="253"/>
        <v>0.02</v>
      </c>
      <c r="GB324" s="101">
        <f t="shared" si="254"/>
        <v>1</v>
      </c>
      <c r="GC324" s="101">
        <f t="shared" si="255"/>
        <v>75</v>
      </c>
      <c r="GD324" s="101">
        <f t="shared" si="256"/>
        <v>0</v>
      </c>
      <c r="GE324" s="101">
        <f t="shared" si="257"/>
        <v>1</v>
      </c>
      <c r="GF324" s="101">
        <f t="shared" si="258"/>
        <v>18</v>
      </c>
      <c r="GG324" s="101">
        <f t="shared" si="259"/>
        <v>0.01</v>
      </c>
      <c r="GH324" s="101">
        <f t="shared" si="260"/>
        <v>1</v>
      </c>
      <c r="GI324" s="101">
        <f t="shared" si="261"/>
        <v>35</v>
      </c>
      <c r="GJ324" s="101">
        <f t="shared" si="262"/>
        <v>3.9899999999999998E-2</v>
      </c>
      <c r="GK324" s="101">
        <f t="shared" si="263"/>
        <v>1</v>
      </c>
      <c r="GL324" s="101">
        <f t="shared" si="264"/>
        <v>75</v>
      </c>
    </row>
    <row r="325" spans="170:194" ht="16.5" x14ac:dyDescent="0.2">
      <c r="FN325" s="101">
        <v>320</v>
      </c>
      <c r="FO325" s="101">
        <f t="shared" si="249"/>
        <v>72</v>
      </c>
      <c r="FP325" s="101">
        <f t="shared" si="242"/>
        <v>4</v>
      </c>
      <c r="FQ325" s="14">
        <f t="shared" si="243"/>
        <v>3</v>
      </c>
      <c r="FR325" s="101" t="str">
        <f t="shared" si="250"/>
        <v>李轩辕专属武器-魂珠-8 9级</v>
      </c>
      <c r="FS325" s="101">
        <f t="shared" si="251"/>
        <v>8</v>
      </c>
      <c r="FT325" s="101">
        <f t="shared" si="252"/>
        <v>9</v>
      </c>
      <c r="FU325" s="101" t="str">
        <f t="shared" si="244"/>
        <v>金币</v>
      </c>
      <c r="FV325" s="139">
        <f>IF($FT325&gt;0,IF(INDEX($EI$6:$EI$77,$FO325)&gt;=FV$3,ROUND(INDEX(EK$6:EK$77,$FO325)*INDEX(卡牌消耗!$B$8:$F$8,FQ325)/5,0)*5,""),"")</f>
        <v>50010</v>
      </c>
      <c r="FW325" s="101" t="str">
        <f t="shared" si="245"/>
        <v>专属强化石4</v>
      </c>
      <c r="FX325" s="101">
        <f t="shared" si="246"/>
        <v>30</v>
      </c>
      <c r="FY325" s="101" t="str">
        <f t="shared" si="247"/>
        <v/>
      </c>
      <c r="FZ325" s="101" t="str">
        <f t="shared" si="248"/>
        <v/>
      </c>
      <c r="GA325" s="101">
        <f t="shared" si="253"/>
        <v>0.01</v>
      </c>
      <c r="GB325" s="101">
        <f t="shared" si="254"/>
        <v>1</v>
      </c>
      <c r="GC325" s="101">
        <f t="shared" si="255"/>
        <v>122</v>
      </c>
      <c r="GD325" s="101">
        <f t="shared" si="256"/>
        <v>0</v>
      </c>
      <c r="GE325" s="101">
        <f t="shared" si="257"/>
        <v>1</v>
      </c>
      <c r="GF325" s="101">
        <f t="shared" si="258"/>
        <v>28</v>
      </c>
      <c r="GG325" s="101">
        <f t="shared" si="259"/>
        <v>6.1999999999999998E-3</v>
      </c>
      <c r="GH325" s="101">
        <f t="shared" si="260"/>
        <v>1</v>
      </c>
      <c r="GI325" s="101">
        <f t="shared" si="261"/>
        <v>57</v>
      </c>
      <c r="GJ325" s="101">
        <f t="shared" si="262"/>
        <v>2.47E-2</v>
      </c>
      <c r="GK325" s="101">
        <f t="shared" si="263"/>
        <v>1</v>
      </c>
      <c r="GL325" s="101">
        <f t="shared" si="264"/>
        <v>122</v>
      </c>
    </row>
    <row r="326" spans="170:194" ht="16.5" x14ac:dyDescent="0.2">
      <c r="FN326" s="101">
        <v>321</v>
      </c>
      <c r="FO326" s="101">
        <f t="shared" si="249"/>
        <v>0</v>
      </c>
      <c r="FP326" s="101">
        <f t="shared" si="242"/>
        <v>5</v>
      </c>
      <c r="FQ326" s="14">
        <f t="shared" si="243"/>
        <v>5</v>
      </c>
      <c r="FR326" s="101" t="str">
        <f t="shared" si="250"/>
        <v>项羽专属武器-魂珠-1 0级</v>
      </c>
      <c r="FS326" s="101">
        <f t="shared" si="251"/>
        <v>1</v>
      </c>
      <c r="FT326" s="101">
        <f t="shared" si="252"/>
        <v>0</v>
      </c>
      <c r="FU326" s="101" t="str">
        <f t="shared" si="244"/>
        <v/>
      </c>
      <c r="FV326" s="139" t="str">
        <f>IF($FT326&gt;0,IF(INDEX($EI$6:$EI$77,$FO326)&gt;=FV$3,ROUND(INDEX(EK$6:EK$77,$FO326)*INDEX(卡牌消耗!$B$8:$F$8,FQ326)/5,0)*5,""),"")</f>
        <v/>
      </c>
      <c r="FW326" s="101" t="str">
        <f t="shared" si="245"/>
        <v/>
      </c>
      <c r="FX326" s="101" t="str">
        <f t="shared" si="246"/>
        <v/>
      </c>
      <c r="FY326" s="101" t="str">
        <f t="shared" si="247"/>
        <v/>
      </c>
      <c r="FZ326" s="101" t="str">
        <f t="shared" si="248"/>
        <v/>
      </c>
      <c r="GA326" s="101" t="str">
        <f t="shared" si="253"/>
        <v/>
      </c>
      <c r="GB326" s="101" t="str">
        <f t="shared" si="254"/>
        <v/>
      </c>
      <c r="GC326" s="101" t="str">
        <f t="shared" si="255"/>
        <v/>
      </c>
      <c r="GD326" s="101" t="str">
        <f t="shared" si="256"/>
        <v/>
      </c>
      <c r="GE326" s="101" t="str">
        <f t="shared" si="257"/>
        <v/>
      </c>
      <c r="GF326" s="101" t="str">
        <f t="shared" si="258"/>
        <v/>
      </c>
      <c r="GG326" s="101" t="str">
        <f t="shared" si="259"/>
        <v/>
      </c>
      <c r="GH326" s="101" t="str">
        <f t="shared" si="260"/>
        <v/>
      </c>
      <c r="GI326" s="101" t="str">
        <f t="shared" si="261"/>
        <v/>
      </c>
      <c r="GJ326" s="101" t="str">
        <f t="shared" si="262"/>
        <v/>
      </c>
      <c r="GK326" s="101" t="str">
        <f t="shared" si="263"/>
        <v/>
      </c>
      <c r="GL326" s="101" t="str">
        <f t="shared" si="264"/>
        <v/>
      </c>
    </row>
    <row r="327" spans="170:194" ht="16.5" x14ac:dyDescent="0.2">
      <c r="FN327" s="101">
        <v>322</v>
      </c>
      <c r="FO327" s="101">
        <f t="shared" si="249"/>
        <v>1</v>
      </c>
      <c r="FP327" s="101">
        <f t="shared" ref="FP327:FP390" si="265">INT((FN327-1)/80+1)</f>
        <v>5</v>
      </c>
      <c r="FQ327" s="14">
        <f t="shared" ref="FQ327:FQ390" si="266">INDEX($FJ$6:$FJ$26,FP327)</f>
        <v>5</v>
      </c>
      <c r="FR327" s="101" t="str">
        <f t="shared" si="250"/>
        <v>项羽专属武器-魂珠-1 1级</v>
      </c>
      <c r="FS327" s="101">
        <f t="shared" si="251"/>
        <v>1</v>
      </c>
      <c r="FT327" s="101">
        <f t="shared" si="252"/>
        <v>1</v>
      </c>
      <c r="FU327" s="101" t="str">
        <f t="shared" ref="FU327:FU390" si="267">IF($FT327&gt;0,IF(INDEX($EI$6:$EI$77,$FO327)&gt;=FU$3,INDEX(EJ$6:EJ$77,$FO327),""),"")</f>
        <v>金币</v>
      </c>
      <c r="FV327" s="139">
        <f>IF($FT327&gt;0,IF(INDEX($EI$6:$EI$77,$FO327)&gt;=FV$3,ROUND(INDEX(EK$6:EK$77,$FO327)*INDEX(卡牌消耗!$B$8:$F$8,FQ327)/5,0)*5,""),"")</f>
        <v>190</v>
      </c>
      <c r="FW327" s="101" t="str">
        <f t="shared" ref="FW327:FW390" si="268">IF($FT327&gt;0,IF(INDEX($EI$6:$EI$77,$FO327)&gt;=FW$3,INDEX(EL$6:EL$77,$FO327),""),"")</f>
        <v>专属强化石1</v>
      </c>
      <c r="FX327" s="101">
        <f t="shared" ref="FX327:FX390" si="269">IF($FT327&gt;0,IF(INDEX($EI$6:$EI$77,$FO327)&gt;=FX$3,INDEX(EM$6:EM$77,$FO327),""),"")</f>
        <v>1</v>
      </c>
      <c r="FY327" s="101" t="str">
        <f t="shared" ref="FY327:FY390" si="270">IF($FT327&gt;0,IF(INDEX($EI$6:$EI$77,$FO327)&gt;=FY$3,INDEX(EN$6:EN$77,$FO327),""),"")</f>
        <v/>
      </c>
      <c r="FZ327" s="101" t="str">
        <f t="shared" ref="FZ327:FZ390" si="271">IF($FT327&gt;0,IF(INDEX($EI$6:$EI$77,$FO327)&gt;=FZ$3,INDEX(EO$6:EO$77,$FO327),""),"")</f>
        <v/>
      </c>
      <c r="GA327" s="101">
        <f t="shared" si="253"/>
        <v>0.32</v>
      </c>
      <c r="GB327" s="101">
        <f t="shared" si="254"/>
        <v>1</v>
      </c>
      <c r="GC327" s="101">
        <f t="shared" si="255"/>
        <v>5</v>
      </c>
      <c r="GD327" s="101">
        <f t="shared" si="256"/>
        <v>0</v>
      </c>
      <c r="GE327" s="101">
        <f t="shared" si="257"/>
        <v>1</v>
      </c>
      <c r="GF327" s="101">
        <f t="shared" si="258"/>
        <v>1</v>
      </c>
      <c r="GG327" s="101">
        <f t="shared" si="259"/>
        <v>0.1595</v>
      </c>
      <c r="GH327" s="101">
        <f t="shared" si="260"/>
        <v>1</v>
      </c>
      <c r="GI327" s="101">
        <f t="shared" si="261"/>
        <v>2</v>
      </c>
      <c r="GJ327" s="101">
        <f t="shared" si="262"/>
        <v>0.63819999999999999</v>
      </c>
      <c r="GK327" s="101">
        <f t="shared" si="263"/>
        <v>1</v>
      </c>
      <c r="GL327" s="101">
        <f t="shared" si="264"/>
        <v>5</v>
      </c>
    </row>
    <row r="328" spans="170:194" ht="16.5" x14ac:dyDescent="0.2">
      <c r="FN328" s="101">
        <v>323</v>
      </c>
      <c r="FO328" s="101">
        <f t="shared" si="249"/>
        <v>2</v>
      </c>
      <c r="FP328" s="101">
        <f t="shared" si="265"/>
        <v>5</v>
      </c>
      <c r="FQ328" s="14">
        <f t="shared" si="266"/>
        <v>5</v>
      </c>
      <c r="FR328" s="101" t="str">
        <f t="shared" si="250"/>
        <v>项羽专属武器-魂珠-1 2级</v>
      </c>
      <c r="FS328" s="101">
        <f t="shared" si="251"/>
        <v>1</v>
      </c>
      <c r="FT328" s="101">
        <f t="shared" si="252"/>
        <v>2</v>
      </c>
      <c r="FU328" s="101" t="str">
        <f t="shared" si="267"/>
        <v>金币</v>
      </c>
      <c r="FV328" s="139">
        <f>IF($FT328&gt;0,IF(INDEX($EI$6:$EI$77,$FO328)&gt;=FV$3,ROUND(INDEX(EK$6:EK$77,$FO328)*INDEX(卡牌消耗!$B$8:$F$8,FQ328)/5,0)*5,""),"")</f>
        <v>285</v>
      </c>
      <c r="FW328" s="101" t="str">
        <f t="shared" si="268"/>
        <v>专属强化石1</v>
      </c>
      <c r="FX328" s="101">
        <f t="shared" si="269"/>
        <v>2</v>
      </c>
      <c r="FY328" s="101" t="str">
        <f t="shared" si="270"/>
        <v/>
      </c>
      <c r="FZ328" s="101" t="str">
        <f t="shared" si="271"/>
        <v/>
      </c>
      <c r="GA328" s="101">
        <f t="shared" si="253"/>
        <v>0.32</v>
      </c>
      <c r="GB328" s="101">
        <f t="shared" si="254"/>
        <v>1</v>
      </c>
      <c r="GC328" s="101">
        <f t="shared" si="255"/>
        <v>5</v>
      </c>
      <c r="GD328" s="101">
        <f t="shared" si="256"/>
        <v>0</v>
      </c>
      <c r="GE328" s="101">
        <f t="shared" si="257"/>
        <v>1</v>
      </c>
      <c r="GF328" s="101">
        <f t="shared" si="258"/>
        <v>1</v>
      </c>
      <c r="GG328" s="101">
        <f t="shared" si="259"/>
        <v>0.1595</v>
      </c>
      <c r="GH328" s="101">
        <f t="shared" si="260"/>
        <v>1</v>
      </c>
      <c r="GI328" s="101">
        <f t="shared" si="261"/>
        <v>2</v>
      </c>
      <c r="GJ328" s="101">
        <f t="shared" si="262"/>
        <v>0.63819999999999999</v>
      </c>
      <c r="GK328" s="101">
        <f t="shared" si="263"/>
        <v>1</v>
      </c>
      <c r="GL328" s="101">
        <f t="shared" si="264"/>
        <v>5</v>
      </c>
    </row>
    <row r="329" spans="170:194" ht="16.5" x14ac:dyDescent="0.2">
      <c r="FN329" s="101">
        <v>324</v>
      </c>
      <c r="FO329" s="101">
        <f t="shared" si="249"/>
        <v>3</v>
      </c>
      <c r="FP329" s="101">
        <f t="shared" si="265"/>
        <v>5</v>
      </c>
      <c r="FQ329" s="14">
        <f t="shared" si="266"/>
        <v>5</v>
      </c>
      <c r="FR329" s="101" t="str">
        <f t="shared" si="250"/>
        <v>项羽专属武器-魂珠-1 3级</v>
      </c>
      <c r="FS329" s="101">
        <f t="shared" si="251"/>
        <v>1</v>
      </c>
      <c r="FT329" s="101">
        <f t="shared" si="252"/>
        <v>3</v>
      </c>
      <c r="FU329" s="101" t="str">
        <f t="shared" si="267"/>
        <v>金币</v>
      </c>
      <c r="FV329" s="139">
        <f>IF($FT329&gt;0,IF(INDEX($EI$6:$EI$77,$FO329)&gt;=FV$3,ROUND(INDEX(EK$6:EK$77,$FO329)*INDEX(卡牌消耗!$B$8:$F$8,FQ329)/5,0)*5,""),"")</f>
        <v>475</v>
      </c>
      <c r="FW329" s="101" t="str">
        <f t="shared" si="268"/>
        <v>专属强化石1</v>
      </c>
      <c r="FX329" s="101">
        <f t="shared" si="269"/>
        <v>3</v>
      </c>
      <c r="FY329" s="101" t="str">
        <f t="shared" si="270"/>
        <v/>
      </c>
      <c r="FZ329" s="101" t="str">
        <f t="shared" si="271"/>
        <v/>
      </c>
      <c r="GA329" s="101">
        <f t="shared" si="253"/>
        <v>0.32</v>
      </c>
      <c r="GB329" s="101">
        <f t="shared" si="254"/>
        <v>1</v>
      </c>
      <c r="GC329" s="101">
        <f t="shared" si="255"/>
        <v>5</v>
      </c>
      <c r="GD329" s="101">
        <f t="shared" si="256"/>
        <v>0</v>
      </c>
      <c r="GE329" s="101">
        <f t="shared" si="257"/>
        <v>1</v>
      </c>
      <c r="GF329" s="101">
        <f t="shared" si="258"/>
        <v>1</v>
      </c>
      <c r="GG329" s="101">
        <f t="shared" si="259"/>
        <v>0.1595</v>
      </c>
      <c r="GH329" s="101">
        <f t="shared" si="260"/>
        <v>1</v>
      </c>
      <c r="GI329" s="101">
        <f t="shared" si="261"/>
        <v>2</v>
      </c>
      <c r="GJ329" s="101">
        <f t="shared" si="262"/>
        <v>0.63819999999999999</v>
      </c>
      <c r="GK329" s="101">
        <f t="shared" si="263"/>
        <v>1</v>
      </c>
      <c r="GL329" s="101">
        <f t="shared" si="264"/>
        <v>5</v>
      </c>
    </row>
    <row r="330" spans="170:194" ht="16.5" x14ac:dyDescent="0.2">
      <c r="FN330" s="101">
        <v>325</v>
      </c>
      <c r="FO330" s="101">
        <f t="shared" si="249"/>
        <v>4</v>
      </c>
      <c r="FP330" s="101">
        <f t="shared" si="265"/>
        <v>5</v>
      </c>
      <c r="FQ330" s="14">
        <f t="shared" si="266"/>
        <v>5</v>
      </c>
      <c r="FR330" s="101" t="str">
        <f t="shared" si="250"/>
        <v>项羽专属武器-魂珠-1 4级</v>
      </c>
      <c r="FS330" s="101">
        <f t="shared" si="251"/>
        <v>1</v>
      </c>
      <c r="FT330" s="101">
        <f t="shared" si="252"/>
        <v>4</v>
      </c>
      <c r="FU330" s="101" t="str">
        <f t="shared" si="267"/>
        <v>金币</v>
      </c>
      <c r="FV330" s="139">
        <f>IF($FT330&gt;0,IF(INDEX($EI$6:$EI$77,$FO330)&gt;=FV$3,ROUND(INDEX(EK$6:EK$77,$FO330)*INDEX(卡牌消耗!$B$8:$F$8,FQ330)/5,0)*5,""),"")</f>
        <v>605</v>
      </c>
      <c r="FW330" s="101" t="str">
        <f t="shared" si="268"/>
        <v>专属强化石1</v>
      </c>
      <c r="FX330" s="101">
        <f t="shared" si="269"/>
        <v>4</v>
      </c>
      <c r="FY330" s="101" t="str">
        <f t="shared" si="270"/>
        <v/>
      </c>
      <c r="FZ330" s="101" t="str">
        <f t="shared" si="271"/>
        <v/>
      </c>
      <c r="GA330" s="101">
        <f t="shared" si="253"/>
        <v>0.26</v>
      </c>
      <c r="GB330" s="101">
        <f t="shared" si="254"/>
        <v>1</v>
      </c>
      <c r="GC330" s="101">
        <f t="shared" si="255"/>
        <v>6</v>
      </c>
      <c r="GD330" s="101">
        <f t="shared" si="256"/>
        <v>0</v>
      </c>
      <c r="GE330" s="101">
        <f t="shared" si="257"/>
        <v>1</v>
      </c>
      <c r="GF330" s="101">
        <f t="shared" si="258"/>
        <v>1</v>
      </c>
      <c r="GG330" s="101">
        <f t="shared" si="259"/>
        <v>0.12759999999999999</v>
      </c>
      <c r="GH330" s="101">
        <f t="shared" si="260"/>
        <v>1</v>
      </c>
      <c r="GI330" s="101">
        <f t="shared" si="261"/>
        <v>3</v>
      </c>
      <c r="GJ330" s="101">
        <f t="shared" si="262"/>
        <v>0.51060000000000005</v>
      </c>
      <c r="GK330" s="101">
        <f t="shared" si="263"/>
        <v>1</v>
      </c>
      <c r="GL330" s="101">
        <f t="shared" si="264"/>
        <v>6</v>
      </c>
    </row>
    <row r="331" spans="170:194" ht="16.5" x14ac:dyDescent="0.2">
      <c r="FN331" s="101">
        <v>326</v>
      </c>
      <c r="FO331" s="101">
        <f t="shared" si="249"/>
        <v>5</v>
      </c>
      <c r="FP331" s="101">
        <f t="shared" si="265"/>
        <v>5</v>
      </c>
      <c r="FQ331" s="14">
        <f t="shared" si="266"/>
        <v>5</v>
      </c>
      <c r="FR331" s="101" t="str">
        <f t="shared" si="250"/>
        <v>项羽专属武器-魂珠-1 5级</v>
      </c>
      <c r="FS331" s="101">
        <f t="shared" si="251"/>
        <v>1</v>
      </c>
      <c r="FT331" s="101">
        <f t="shared" si="252"/>
        <v>5</v>
      </c>
      <c r="FU331" s="101" t="str">
        <f t="shared" si="267"/>
        <v>金币</v>
      </c>
      <c r="FV331" s="139">
        <f>IF($FT331&gt;0,IF(INDEX($EI$6:$EI$77,$FO331)&gt;=FV$3,ROUND(INDEX(EK$6:EK$77,$FO331)*INDEX(卡牌消耗!$B$8:$F$8,FQ331)/5,0)*5,""),"")</f>
        <v>770</v>
      </c>
      <c r="FW331" s="101" t="str">
        <f t="shared" si="268"/>
        <v>专属强化石1</v>
      </c>
      <c r="FX331" s="101">
        <f t="shared" si="269"/>
        <v>5</v>
      </c>
      <c r="FY331" s="101" t="str">
        <f t="shared" si="270"/>
        <v/>
      </c>
      <c r="FZ331" s="101" t="str">
        <f t="shared" si="271"/>
        <v/>
      </c>
      <c r="GA331" s="101">
        <f t="shared" si="253"/>
        <v>0.2</v>
      </c>
      <c r="GB331" s="101">
        <f t="shared" si="254"/>
        <v>1</v>
      </c>
      <c r="GC331" s="101">
        <f t="shared" si="255"/>
        <v>8</v>
      </c>
      <c r="GD331" s="101">
        <f t="shared" si="256"/>
        <v>0</v>
      </c>
      <c r="GE331" s="101">
        <f t="shared" si="257"/>
        <v>1</v>
      </c>
      <c r="GF331" s="101">
        <f t="shared" si="258"/>
        <v>2</v>
      </c>
      <c r="GG331" s="101">
        <f t="shared" si="259"/>
        <v>9.9699999999999997E-2</v>
      </c>
      <c r="GH331" s="101">
        <f t="shared" si="260"/>
        <v>1</v>
      </c>
      <c r="GI331" s="101">
        <f t="shared" si="261"/>
        <v>4</v>
      </c>
      <c r="GJ331" s="101">
        <f t="shared" si="262"/>
        <v>0.39889999999999998</v>
      </c>
      <c r="GK331" s="101">
        <f t="shared" si="263"/>
        <v>1</v>
      </c>
      <c r="GL331" s="101">
        <f t="shared" si="264"/>
        <v>8</v>
      </c>
    </row>
    <row r="332" spans="170:194" ht="16.5" x14ac:dyDescent="0.2">
      <c r="FN332" s="101">
        <v>327</v>
      </c>
      <c r="FO332" s="101">
        <f t="shared" si="249"/>
        <v>6</v>
      </c>
      <c r="FP332" s="101">
        <f t="shared" si="265"/>
        <v>5</v>
      </c>
      <c r="FQ332" s="14">
        <f t="shared" si="266"/>
        <v>5</v>
      </c>
      <c r="FR332" s="101" t="str">
        <f t="shared" si="250"/>
        <v>项羽专属武器-魂珠-1 6级</v>
      </c>
      <c r="FS332" s="101">
        <f t="shared" si="251"/>
        <v>1</v>
      </c>
      <c r="FT332" s="101">
        <f t="shared" si="252"/>
        <v>6</v>
      </c>
      <c r="FU332" s="101" t="str">
        <f t="shared" si="267"/>
        <v>金币</v>
      </c>
      <c r="FV332" s="139">
        <f>IF($FT332&gt;0,IF(INDEX($EI$6:$EI$77,$FO332)&gt;=FV$3,ROUND(INDEX(EK$6:EK$77,$FO332)*INDEX(卡牌消耗!$B$8:$F$8,FQ332)/5,0)*5,""),"")</f>
        <v>920</v>
      </c>
      <c r="FW332" s="101" t="str">
        <f t="shared" si="268"/>
        <v>专属强化石1</v>
      </c>
      <c r="FX332" s="101">
        <f t="shared" si="269"/>
        <v>6</v>
      </c>
      <c r="FY332" s="101" t="str">
        <f t="shared" si="270"/>
        <v/>
      </c>
      <c r="FZ332" s="101" t="str">
        <f t="shared" si="271"/>
        <v/>
      </c>
      <c r="GA332" s="101">
        <f t="shared" si="253"/>
        <v>0.15</v>
      </c>
      <c r="GB332" s="101">
        <f t="shared" si="254"/>
        <v>1</v>
      </c>
      <c r="GC332" s="101">
        <f t="shared" si="255"/>
        <v>10</v>
      </c>
      <c r="GD332" s="101">
        <f t="shared" si="256"/>
        <v>0</v>
      </c>
      <c r="GE332" s="101">
        <f t="shared" si="257"/>
        <v>1</v>
      </c>
      <c r="GF332" s="101">
        <f t="shared" si="258"/>
        <v>2</v>
      </c>
      <c r="GG332" s="101">
        <f t="shared" si="259"/>
        <v>7.3599999999999999E-2</v>
      </c>
      <c r="GH332" s="101">
        <f t="shared" si="260"/>
        <v>1</v>
      </c>
      <c r="GI332" s="101">
        <f t="shared" si="261"/>
        <v>5</v>
      </c>
      <c r="GJ332" s="101">
        <f t="shared" si="262"/>
        <v>0.29459999999999997</v>
      </c>
      <c r="GK332" s="101">
        <f t="shared" si="263"/>
        <v>1</v>
      </c>
      <c r="GL332" s="101">
        <f t="shared" si="264"/>
        <v>10</v>
      </c>
    </row>
    <row r="333" spans="170:194" ht="16.5" x14ac:dyDescent="0.2">
      <c r="FN333" s="101">
        <v>328</v>
      </c>
      <c r="FO333" s="101">
        <f t="shared" si="249"/>
        <v>7</v>
      </c>
      <c r="FP333" s="101">
        <f t="shared" si="265"/>
        <v>5</v>
      </c>
      <c r="FQ333" s="14">
        <f t="shared" si="266"/>
        <v>5</v>
      </c>
      <c r="FR333" s="101" t="str">
        <f t="shared" si="250"/>
        <v>项羽专属武器-魂珠-1 7级</v>
      </c>
      <c r="FS333" s="101">
        <f t="shared" si="251"/>
        <v>1</v>
      </c>
      <c r="FT333" s="101">
        <f t="shared" si="252"/>
        <v>7</v>
      </c>
      <c r="FU333" s="101" t="str">
        <f t="shared" si="267"/>
        <v>金币</v>
      </c>
      <c r="FV333" s="139">
        <f>IF($FT333&gt;0,IF(INDEX($EI$6:$EI$77,$FO333)&gt;=FV$3,ROUND(INDEX(EK$6:EK$77,$FO333)*INDEX(卡牌消耗!$B$8:$F$8,FQ333)/5,0)*5,""),"")</f>
        <v>1070</v>
      </c>
      <c r="FW333" s="101" t="str">
        <f t="shared" si="268"/>
        <v>专属强化石1</v>
      </c>
      <c r="FX333" s="101">
        <f t="shared" si="269"/>
        <v>7</v>
      </c>
      <c r="FY333" s="101" t="str">
        <f t="shared" si="270"/>
        <v/>
      </c>
      <c r="FZ333" s="101" t="str">
        <f t="shared" si="271"/>
        <v/>
      </c>
      <c r="GA333" s="101">
        <f t="shared" si="253"/>
        <v>0.11</v>
      </c>
      <c r="GB333" s="101">
        <f t="shared" si="254"/>
        <v>1</v>
      </c>
      <c r="GC333" s="101">
        <f t="shared" si="255"/>
        <v>14</v>
      </c>
      <c r="GD333" s="101">
        <f t="shared" si="256"/>
        <v>0</v>
      </c>
      <c r="GE333" s="101">
        <f t="shared" si="257"/>
        <v>1</v>
      </c>
      <c r="GF333" s="101">
        <f t="shared" si="258"/>
        <v>3</v>
      </c>
      <c r="GG333" s="101">
        <f t="shared" si="259"/>
        <v>5.3199999999999997E-2</v>
      </c>
      <c r="GH333" s="101">
        <f t="shared" si="260"/>
        <v>1</v>
      </c>
      <c r="GI333" s="101">
        <f t="shared" si="261"/>
        <v>7</v>
      </c>
      <c r="GJ333" s="101">
        <f t="shared" si="262"/>
        <v>0.2127</v>
      </c>
      <c r="GK333" s="101">
        <f t="shared" si="263"/>
        <v>1</v>
      </c>
      <c r="GL333" s="101">
        <f t="shared" si="264"/>
        <v>14</v>
      </c>
    </row>
    <row r="334" spans="170:194" ht="16.5" x14ac:dyDescent="0.2">
      <c r="FN334" s="101">
        <v>329</v>
      </c>
      <c r="FO334" s="101">
        <f t="shared" si="249"/>
        <v>8</v>
      </c>
      <c r="FP334" s="101">
        <f t="shared" si="265"/>
        <v>5</v>
      </c>
      <c r="FQ334" s="14">
        <f t="shared" si="266"/>
        <v>5</v>
      </c>
      <c r="FR334" s="101" t="str">
        <f t="shared" si="250"/>
        <v>项羽专属武器-魂珠-1 8级</v>
      </c>
      <c r="FS334" s="101">
        <f t="shared" si="251"/>
        <v>1</v>
      </c>
      <c r="FT334" s="101">
        <f t="shared" si="252"/>
        <v>8</v>
      </c>
      <c r="FU334" s="101" t="str">
        <f t="shared" si="267"/>
        <v>金币</v>
      </c>
      <c r="FV334" s="139">
        <f>IF($FT334&gt;0,IF(INDEX($EI$6:$EI$77,$FO334)&gt;=FV$3,ROUND(INDEX(EK$6:EK$77,$FO334)*INDEX(卡牌消耗!$B$8:$F$8,FQ334)/5,0)*5,""),"")</f>
        <v>1225</v>
      </c>
      <c r="FW334" s="101" t="str">
        <f t="shared" si="268"/>
        <v>专属强化石1</v>
      </c>
      <c r="FX334" s="101">
        <f t="shared" si="269"/>
        <v>8</v>
      </c>
      <c r="FY334" s="101" t="str">
        <f t="shared" si="270"/>
        <v/>
      </c>
      <c r="FZ334" s="101" t="str">
        <f t="shared" si="271"/>
        <v/>
      </c>
      <c r="GA334" s="101">
        <f t="shared" si="253"/>
        <v>0.08</v>
      </c>
      <c r="GB334" s="101">
        <f t="shared" si="254"/>
        <v>1</v>
      </c>
      <c r="GC334" s="101">
        <f t="shared" si="255"/>
        <v>20</v>
      </c>
      <c r="GD334" s="101">
        <f t="shared" si="256"/>
        <v>0</v>
      </c>
      <c r="GE334" s="101">
        <f t="shared" si="257"/>
        <v>1</v>
      </c>
      <c r="GF334" s="101">
        <f t="shared" si="258"/>
        <v>5</v>
      </c>
      <c r="GG334" s="101">
        <f t="shared" si="259"/>
        <v>3.7499999999999999E-2</v>
      </c>
      <c r="GH334" s="101">
        <f t="shared" si="260"/>
        <v>1</v>
      </c>
      <c r="GI334" s="101">
        <f t="shared" si="261"/>
        <v>9</v>
      </c>
      <c r="GJ334" s="101">
        <f t="shared" si="262"/>
        <v>0.1502</v>
      </c>
      <c r="GK334" s="101">
        <f t="shared" si="263"/>
        <v>1</v>
      </c>
      <c r="GL334" s="101">
        <f t="shared" si="264"/>
        <v>20</v>
      </c>
    </row>
    <row r="335" spans="170:194" ht="16.5" x14ac:dyDescent="0.2">
      <c r="FN335" s="101">
        <v>330</v>
      </c>
      <c r="FO335" s="101">
        <f t="shared" si="249"/>
        <v>9</v>
      </c>
      <c r="FP335" s="101">
        <f t="shared" si="265"/>
        <v>5</v>
      </c>
      <c r="FQ335" s="14">
        <f t="shared" si="266"/>
        <v>5</v>
      </c>
      <c r="FR335" s="101" t="str">
        <f t="shared" si="250"/>
        <v>项羽专属武器-魂珠-1 9级</v>
      </c>
      <c r="FS335" s="101">
        <f t="shared" si="251"/>
        <v>1</v>
      </c>
      <c r="FT335" s="101">
        <f t="shared" si="252"/>
        <v>9</v>
      </c>
      <c r="FU335" s="101" t="str">
        <f t="shared" si="267"/>
        <v>金币</v>
      </c>
      <c r="FV335" s="139">
        <f>IF($FT335&gt;0,IF(INDEX($EI$6:$EI$77,$FO335)&gt;=FV$3,ROUND(INDEX(EK$6:EK$77,$FO335)*INDEX(卡牌消耗!$B$8:$F$8,FQ335)/5,0)*5,""),"")</f>
        <v>1530</v>
      </c>
      <c r="FW335" s="101" t="str">
        <f t="shared" si="268"/>
        <v>专属强化石1</v>
      </c>
      <c r="FX335" s="101">
        <f t="shared" si="269"/>
        <v>10</v>
      </c>
      <c r="FY335" s="101" t="str">
        <f t="shared" si="270"/>
        <v/>
      </c>
      <c r="FZ335" s="101" t="str">
        <f t="shared" si="271"/>
        <v/>
      </c>
      <c r="GA335" s="101">
        <f t="shared" si="253"/>
        <v>0.06</v>
      </c>
      <c r="GB335" s="101">
        <f t="shared" si="254"/>
        <v>1</v>
      </c>
      <c r="GC335" s="101">
        <f t="shared" si="255"/>
        <v>26</v>
      </c>
      <c r="GD335" s="101">
        <f t="shared" si="256"/>
        <v>0</v>
      </c>
      <c r="GE335" s="101">
        <f t="shared" si="257"/>
        <v>1</v>
      </c>
      <c r="GF335" s="101">
        <f t="shared" si="258"/>
        <v>6</v>
      </c>
      <c r="GG335" s="101">
        <f t="shared" si="259"/>
        <v>2.9000000000000001E-2</v>
      </c>
      <c r="GH335" s="101">
        <f t="shared" si="260"/>
        <v>1</v>
      </c>
      <c r="GI335" s="101">
        <f t="shared" si="261"/>
        <v>12</v>
      </c>
      <c r="GJ335" s="101">
        <f t="shared" si="262"/>
        <v>0.11600000000000001</v>
      </c>
      <c r="GK335" s="101">
        <f t="shared" si="263"/>
        <v>1</v>
      </c>
      <c r="GL335" s="101">
        <f t="shared" si="264"/>
        <v>26</v>
      </c>
    </row>
    <row r="336" spans="170:194" ht="16.5" x14ac:dyDescent="0.2">
      <c r="FN336" s="101">
        <v>331</v>
      </c>
      <c r="FO336" s="101">
        <f t="shared" si="249"/>
        <v>0</v>
      </c>
      <c r="FP336" s="101">
        <f t="shared" si="265"/>
        <v>5</v>
      </c>
      <c r="FQ336" s="14">
        <f t="shared" si="266"/>
        <v>5</v>
      </c>
      <c r="FR336" s="101" t="str">
        <f t="shared" si="250"/>
        <v>项羽专属武器-魂珠-2 0级</v>
      </c>
      <c r="FS336" s="101">
        <f t="shared" si="251"/>
        <v>2</v>
      </c>
      <c r="FT336" s="101">
        <f t="shared" si="252"/>
        <v>0</v>
      </c>
      <c r="FU336" s="101" t="str">
        <f t="shared" si="267"/>
        <v/>
      </c>
      <c r="FV336" s="139" t="str">
        <f>IF($FT336&gt;0,IF(INDEX($EI$6:$EI$77,$FO336)&gt;=FV$3,ROUND(INDEX(EK$6:EK$77,$FO336)*INDEX(卡牌消耗!$B$8:$F$8,FQ336)/5,0)*5,""),"")</f>
        <v/>
      </c>
      <c r="FW336" s="101" t="str">
        <f t="shared" si="268"/>
        <v/>
      </c>
      <c r="FX336" s="101" t="str">
        <f t="shared" si="269"/>
        <v/>
      </c>
      <c r="FY336" s="101" t="str">
        <f t="shared" si="270"/>
        <v/>
      </c>
      <c r="FZ336" s="101" t="str">
        <f t="shared" si="271"/>
        <v/>
      </c>
      <c r="GA336" s="101" t="str">
        <f t="shared" si="253"/>
        <v/>
      </c>
      <c r="GB336" s="101" t="str">
        <f t="shared" si="254"/>
        <v/>
      </c>
      <c r="GC336" s="101" t="str">
        <f t="shared" si="255"/>
        <v/>
      </c>
      <c r="GD336" s="101" t="str">
        <f t="shared" si="256"/>
        <v/>
      </c>
      <c r="GE336" s="101" t="str">
        <f t="shared" si="257"/>
        <v/>
      </c>
      <c r="GF336" s="101" t="str">
        <f t="shared" si="258"/>
        <v/>
      </c>
      <c r="GG336" s="101" t="str">
        <f t="shared" si="259"/>
        <v/>
      </c>
      <c r="GH336" s="101" t="str">
        <f t="shared" si="260"/>
        <v/>
      </c>
      <c r="GI336" s="101" t="str">
        <f t="shared" si="261"/>
        <v/>
      </c>
      <c r="GJ336" s="101" t="str">
        <f t="shared" si="262"/>
        <v/>
      </c>
      <c r="GK336" s="101" t="str">
        <f t="shared" si="263"/>
        <v/>
      </c>
      <c r="GL336" s="101" t="str">
        <f t="shared" si="264"/>
        <v/>
      </c>
    </row>
    <row r="337" spans="170:194" ht="16.5" x14ac:dyDescent="0.2">
      <c r="FN337" s="101">
        <v>332</v>
      </c>
      <c r="FO337" s="101">
        <f t="shared" si="249"/>
        <v>10</v>
      </c>
      <c r="FP337" s="101">
        <f t="shared" si="265"/>
        <v>5</v>
      </c>
      <c r="FQ337" s="14">
        <f t="shared" si="266"/>
        <v>5</v>
      </c>
      <c r="FR337" s="101" t="str">
        <f t="shared" si="250"/>
        <v>项羽专属武器-魂珠-2 1级</v>
      </c>
      <c r="FS337" s="101">
        <f t="shared" si="251"/>
        <v>2</v>
      </c>
      <c r="FT337" s="101">
        <f t="shared" si="252"/>
        <v>1</v>
      </c>
      <c r="FU337" s="101" t="str">
        <f t="shared" si="267"/>
        <v>金币</v>
      </c>
      <c r="FV337" s="139">
        <f>IF($FT337&gt;0,IF(INDEX($EI$6:$EI$77,$FO337)&gt;=FV$3,ROUND(INDEX(EK$6:EK$77,$FO337)*INDEX(卡牌消耗!$B$8:$F$8,FQ337)/5,0)*5,""),"")</f>
        <v>525</v>
      </c>
      <c r="FW337" s="101" t="str">
        <f t="shared" si="268"/>
        <v>专属强化石1</v>
      </c>
      <c r="FX337" s="101">
        <f t="shared" si="269"/>
        <v>3</v>
      </c>
      <c r="FY337" s="101" t="str">
        <f t="shared" si="270"/>
        <v>专属强化石2</v>
      </c>
      <c r="FZ337" s="101">
        <f t="shared" si="271"/>
        <v>1</v>
      </c>
      <c r="GA337" s="101">
        <f t="shared" si="253"/>
        <v>0.39</v>
      </c>
      <c r="GB337" s="101">
        <f t="shared" si="254"/>
        <v>1</v>
      </c>
      <c r="GC337" s="101">
        <f t="shared" si="255"/>
        <v>4</v>
      </c>
      <c r="GD337" s="101">
        <f t="shared" si="256"/>
        <v>0</v>
      </c>
      <c r="GE337" s="101">
        <f t="shared" si="257"/>
        <v>1</v>
      </c>
      <c r="GF337" s="101">
        <f t="shared" si="258"/>
        <v>1</v>
      </c>
      <c r="GG337" s="101">
        <f t="shared" si="259"/>
        <v>0.19270000000000001</v>
      </c>
      <c r="GH337" s="101">
        <f t="shared" si="260"/>
        <v>1</v>
      </c>
      <c r="GI337" s="101">
        <f t="shared" si="261"/>
        <v>2</v>
      </c>
      <c r="GJ337" s="101">
        <f t="shared" si="262"/>
        <v>0.77070000000000005</v>
      </c>
      <c r="GK337" s="101">
        <f t="shared" si="263"/>
        <v>1</v>
      </c>
      <c r="GL337" s="101">
        <f t="shared" si="264"/>
        <v>4</v>
      </c>
    </row>
    <row r="338" spans="170:194" ht="16.5" x14ac:dyDescent="0.2">
      <c r="FN338" s="101">
        <v>333</v>
      </c>
      <c r="FO338" s="101">
        <f t="shared" si="249"/>
        <v>11</v>
      </c>
      <c r="FP338" s="101">
        <f t="shared" si="265"/>
        <v>5</v>
      </c>
      <c r="FQ338" s="14">
        <f t="shared" si="266"/>
        <v>5</v>
      </c>
      <c r="FR338" s="101" t="str">
        <f t="shared" si="250"/>
        <v>项羽专属武器-魂珠-2 2级</v>
      </c>
      <c r="FS338" s="101">
        <f t="shared" si="251"/>
        <v>2</v>
      </c>
      <c r="FT338" s="101">
        <f t="shared" si="252"/>
        <v>2</v>
      </c>
      <c r="FU338" s="101" t="str">
        <f t="shared" si="267"/>
        <v>金币</v>
      </c>
      <c r="FV338" s="139">
        <f>IF($FT338&gt;0,IF(INDEX($EI$6:$EI$77,$FO338)&gt;=FV$3,ROUND(INDEX(EK$6:EK$77,$FO338)*INDEX(卡牌消耗!$B$8:$F$8,FQ338)/5,0)*5,""),"")</f>
        <v>390</v>
      </c>
      <c r="FW338" s="101" t="str">
        <f t="shared" si="268"/>
        <v>专属强化石1</v>
      </c>
      <c r="FX338" s="101">
        <f t="shared" si="269"/>
        <v>3</v>
      </c>
      <c r="FY338" s="101" t="str">
        <f t="shared" si="270"/>
        <v>专属强化石2</v>
      </c>
      <c r="FZ338" s="101">
        <f t="shared" si="271"/>
        <v>1</v>
      </c>
      <c r="GA338" s="101">
        <f t="shared" si="253"/>
        <v>0.19</v>
      </c>
      <c r="GB338" s="101">
        <f t="shared" si="254"/>
        <v>1</v>
      </c>
      <c r="GC338" s="101">
        <f t="shared" si="255"/>
        <v>8</v>
      </c>
      <c r="GD338" s="101">
        <f t="shared" si="256"/>
        <v>0</v>
      </c>
      <c r="GE338" s="101">
        <f t="shared" si="257"/>
        <v>1</v>
      </c>
      <c r="GF338" s="101">
        <f t="shared" si="258"/>
        <v>2</v>
      </c>
      <c r="GG338" s="101">
        <f t="shared" si="259"/>
        <v>9.6299999999999997E-2</v>
      </c>
      <c r="GH338" s="101">
        <f t="shared" si="260"/>
        <v>1</v>
      </c>
      <c r="GI338" s="101">
        <f t="shared" si="261"/>
        <v>4</v>
      </c>
      <c r="GJ338" s="101">
        <f t="shared" si="262"/>
        <v>0.38529999999999998</v>
      </c>
      <c r="GK338" s="101">
        <f t="shared" si="263"/>
        <v>1</v>
      </c>
      <c r="GL338" s="101">
        <f t="shared" si="264"/>
        <v>8</v>
      </c>
    </row>
    <row r="339" spans="170:194" ht="16.5" x14ac:dyDescent="0.2">
      <c r="FN339" s="101">
        <v>334</v>
      </c>
      <c r="FO339" s="101">
        <f t="shared" si="249"/>
        <v>12</v>
      </c>
      <c r="FP339" s="101">
        <f t="shared" si="265"/>
        <v>5</v>
      </c>
      <c r="FQ339" s="14">
        <f t="shared" si="266"/>
        <v>5</v>
      </c>
      <c r="FR339" s="101" t="str">
        <f t="shared" si="250"/>
        <v>项羽专属武器-魂珠-2 3级</v>
      </c>
      <c r="FS339" s="101">
        <f t="shared" si="251"/>
        <v>2</v>
      </c>
      <c r="FT339" s="101">
        <f t="shared" si="252"/>
        <v>3</v>
      </c>
      <c r="FU339" s="101" t="str">
        <f t="shared" si="267"/>
        <v>金币</v>
      </c>
      <c r="FV339" s="139">
        <f>IF($FT339&gt;0,IF(INDEX($EI$6:$EI$77,$FO339)&gt;=FV$3,ROUND(INDEX(EK$6:EK$77,$FO339)*INDEX(卡牌消耗!$B$8:$F$8,FQ339)/5,0)*5,""),"")</f>
        <v>870</v>
      </c>
      <c r="FW339" s="101" t="str">
        <f t="shared" si="268"/>
        <v>专属强化石1</v>
      </c>
      <c r="FX339" s="101">
        <f t="shared" si="269"/>
        <v>6</v>
      </c>
      <c r="FY339" s="101" t="str">
        <f t="shared" si="270"/>
        <v>专属强化石2</v>
      </c>
      <c r="FZ339" s="101">
        <f t="shared" si="271"/>
        <v>2</v>
      </c>
      <c r="GA339" s="101">
        <f t="shared" si="253"/>
        <v>0.26</v>
      </c>
      <c r="GB339" s="101">
        <f t="shared" si="254"/>
        <v>1</v>
      </c>
      <c r="GC339" s="101">
        <f t="shared" si="255"/>
        <v>6</v>
      </c>
      <c r="GD339" s="101">
        <f t="shared" si="256"/>
        <v>0</v>
      </c>
      <c r="GE339" s="101">
        <f t="shared" si="257"/>
        <v>1</v>
      </c>
      <c r="GF339" s="101">
        <f t="shared" si="258"/>
        <v>1</v>
      </c>
      <c r="GG339" s="101">
        <f t="shared" si="259"/>
        <v>0.12839999999999999</v>
      </c>
      <c r="GH339" s="101">
        <f t="shared" si="260"/>
        <v>1</v>
      </c>
      <c r="GI339" s="101">
        <f t="shared" si="261"/>
        <v>3</v>
      </c>
      <c r="GJ339" s="101">
        <f t="shared" si="262"/>
        <v>0.51380000000000003</v>
      </c>
      <c r="GK339" s="101">
        <f t="shared" si="263"/>
        <v>1</v>
      </c>
      <c r="GL339" s="101">
        <f t="shared" si="264"/>
        <v>6</v>
      </c>
    </row>
    <row r="340" spans="170:194" ht="16.5" x14ac:dyDescent="0.2">
      <c r="FN340" s="101">
        <v>335</v>
      </c>
      <c r="FO340" s="101">
        <f t="shared" si="249"/>
        <v>13</v>
      </c>
      <c r="FP340" s="101">
        <f t="shared" si="265"/>
        <v>5</v>
      </c>
      <c r="FQ340" s="14">
        <f t="shared" si="266"/>
        <v>5</v>
      </c>
      <c r="FR340" s="101" t="str">
        <f t="shared" si="250"/>
        <v>项羽专属武器-魂珠-2 4级</v>
      </c>
      <c r="FS340" s="101">
        <f t="shared" si="251"/>
        <v>2</v>
      </c>
      <c r="FT340" s="101">
        <f t="shared" si="252"/>
        <v>4</v>
      </c>
      <c r="FU340" s="101" t="str">
        <f t="shared" si="267"/>
        <v>金币</v>
      </c>
      <c r="FV340" s="139">
        <f>IF($FT340&gt;0,IF(INDEX($EI$6:$EI$77,$FO340)&gt;=FV$3,ROUND(INDEX(EK$6:EK$77,$FO340)*INDEX(卡牌消耗!$B$8:$F$8,FQ340)/5,0)*5,""),"")</f>
        <v>835</v>
      </c>
      <c r="FW340" s="101" t="str">
        <f t="shared" si="268"/>
        <v>专属强化石1</v>
      </c>
      <c r="FX340" s="101">
        <f t="shared" si="269"/>
        <v>6</v>
      </c>
      <c r="FY340" s="101" t="str">
        <f t="shared" si="270"/>
        <v>专属强化石2</v>
      </c>
      <c r="FZ340" s="101">
        <f t="shared" si="271"/>
        <v>2</v>
      </c>
      <c r="GA340" s="101">
        <f t="shared" si="253"/>
        <v>0.15</v>
      </c>
      <c r="GB340" s="101">
        <f t="shared" si="254"/>
        <v>1</v>
      </c>
      <c r="GC340" s="101">
        <f t="shared" si="255"/>
        <v>10</v>
      </c>
      <c r="GD340" s="101">
        <f t="shared" si="256"/>
        <v>0</v>
      </c>
      <c r="GE340" s="101">
        <f t="shared" si="257"/>
        <v>1</v>
      </c>
      <c r="GF340" s="101">
        <f t="shared" si="258"/>
        <v>2</v>
      </c>
      <c r="GG340" s="101">
        <f t="shared" si="259"/>
        <v>7.7100000000000002E-2</v>
      </c>
      <c r="GH340" s="101">
        <f t="shared" si="260"/>
        <v>1</v>
      </c>
      <c r="GI340" s="101">
        <f t="shared" si="261"/>
        <v>5</v>
      </c>
      <c r="GJ340" s="101">
        <f t="shared" si="262"/>
        <v>0.30830000000000002</v>
      </c>
      <c r="GK340" s="101">
        <f t="shared" si="263"/>
        <v>1</v>
      </c>
      <c r="GL340" s="101">
        <f t="shared" si="264"/>
        <v>10</v>
      </c>
    </row>
    <row r="341" spans="170:194" ht="16.5" x14ac:dyDescent="0.2">
      <c r="FN341" s="101">
        <v>336</v>
      </c>
      <c r="FO341" s="101">
        <f t="shared" si="249"/>
        <v>14</v>
      </c>
      <c r="FP341" s="101">
        <f t="shared" si="265"/>
        <v>5</v>
      </c>
      <c r="FQ341" s="14">
        <f t="shared" si="266"/>
        <v>5</v>
      </c>
      <c r="FR341" s="101" t="str">
        <f t="shared" si="250"/>
        <v>项羽专属武器-魂珠-2 5级</v>
      </c>
      <c r="FS341" s="101">
        <f t="shared" si="251"/>
        <v>2</v>
      </c>
      <c r="FT341" s="101">
        <f t="shared" si="252"/>
        <v>5</v>
      </c>
      <c r="FU341" s="101" t="str">
        <f t="shared" si="267"/>
        <v>金币</v>
      </c>
      <c r="FV341" s="139">
        <f>IF($FT341&gt;0,IF(INDEX($EI$6:$EI$77,$FO341)&gt;=FV$3,ROUND(INDEX(EK$6:EK$77,$FO341)*INDEX(卡牌消耗!$B$8:$F$8,FQ341)/5,0)*5,""),"")</f>
        <v>1275</v>
      </c>
      <c r="FW341" s="101" t="str">
        <f t="shared" si="268"/>
        <v>专属强化石1</v>
      </c>
      <c r="FX341" s="101">
        <f t="shared" si="269"/>
        <v>9</v>
      </c>
      <c r="FY341" s="101" t="str">
        <f t="shared" si="270"/>
        <v>专属强化石2</v>
      </c>
      <c r="FZ341" s="101">
        <f t="shared" si="271"/>
        <v>3</v>
      </c>
      <c r="GA341" s="101">
        <f t="shared" si="253"/>
        <v>0.14000000000000001</v>
      </c>
      <c r="GB341" s="101">
        <f t="shared" si="254"/>
        <v>1</v>
      </c>
      <c r="GC341" s="101">
        <f t="shared" si="255"/>
        <v>10</v>
      </c>
      <c r="GD341" s="101">
        <f t="shared" si="256"/>
        <v>0</v>
      </c>
      <c r="GE341" s="101">
        <f t="shared" si="257"/>
        <v>1</v>
      </c>
      <c r="GF341" s="101">
        <f t="shared" si="258"/>
        <v>2</v>
      </c>
      <c r="GG341" s="101">
        <f t="shared" si="259"/>
        <v>7.22E-2</v>
      </c>
      <c r="GH341" s="101">
        <f t="shared" si="260"/>
        <v>1</v>
      </c>
      <c r="GI341" s="101">
        <f t="shared" si="261"/>
        <v>5</v>
      </c>
      <c r="GJ341" s="101">
        <f t="shared" si="262"/>
        <v>0.28899999999999998</v>
      </c>
      <c r="GK341" s="101">
        <f t="shared" si="263"/>
        <v>1</v>
      </c>
      <c r="GL341" s="101">
        <f t="shared" si="264"/>
        <v>10</v>
      </c>
    </row>
    <row r="342" spans="170:194" ht="16.5" x14ac:dyDescent="0.2">
      <c r="FN342" s="101">
        <v>337</v>
      </c>
      <c r="FO342" s="101">
        <f t="shared" ref="FO342:FO405" si="272">IF(FT342&gt;0,(FS342-1)*9+FT342,0)</f>
        <v>15</v>
      </c>
      <c r="FP342" s="101">
        <f t="shared" si="265"/>
        <v>5</v>
      </c>
      <c r="FQ342" s="14">
        <f t="shared" si="266"/>
        <v>5</v>
      </c>
      <c r="FR342" s="101" t="str">
        <f t="shared" ref="FR342:FR405" si="273">INDEX($FI$6:$FI$26,FP342)&amp;"专属武器-魂珠-"&amp;FS342&amp;" "&amp;FT342&amp;"级"</f>
        <v>项羽专属武器-魂珠-2 6级</v>
      </c>
      <c r="FS342" s="101">
        <f t="shared" ref="FS342:FS405" si="274">INT((FN342-(FP342-1)*80-1)/10)+1</f>
        <v>2</v>
      </c>
      <c r="FT342" s="101">
        <f t="shared" ref="FT342:FT405" si="275">FN342-(FP342-1)*80-(FS342-1)*10-1</f>
        <v>6</v>
      </c>
      <c r="FU342" s="101" t="str">
        <f t="shared" si="267"/>
        <v>金币</v>
      </c>
      <c r="FV342" s="139">
        <f>IF($FT342&gt;0,IF(INDEX($EI$6:$EI$77,$FO342)&gt;=FV$3,ROUND(INDEX(EK$6:EK$77,$FO342)*INDEX(卡牌消耗!$B$8:$F$8,FQ342)/5,0)*5,""),"")</f>
        <v>1690</v>
      </c>
      <c r="FW342" s="101" t="str">
        <f t="shared" si="268"/>
        <v>专属强化石1</v>
      </c>
      <c r="FX342" s="101">
        <f t="shared" si="269"/>
        <v>12</v>
      </c>
      <c r="FY342" s="101" t="str">
        <f t="shared" si="270"/>
        <v>专属强化石2</v>
      </c>
      <c r="FZ342" s="101">
        <f t="shared" si="271"/>
        <v>4</v>
      </c>
      <c r="GA342" s="101">
        <f t="shared" ref="GA342:GA405" si="276">IF($FT342&gt;0,INDEX(EP$6:EP$77,$FO342),"")</f>
        <v>0.12</v>
      </c>
      <c r="GB342" s="101">
        <f t="shared" ref="GB342:GB405" si="277">IF($FT342&gt;0,INDEX(EQ$6:EQ$77,$FO342),"")</f>
        <v>1</v>
      </c>
      <c r="GC342" s="101">
        <f t="shared" ref="GC342:GC405" si="278">IF($FT342&gt;0,INDEX(ER$6:ER$77,$FO342),"")</f>
        <v>13</v>
      </c>
      <c r="GD342" s="101">
        <f t="shared" ref="GD342:GD405" si="279">IF($FT342&gt;0,INDEX(EV$6:EV$77,$FO342),"")</f>
        <v>0</v>
      </c>
      <c r="GE342" s="101">
        <f t="shared" ref="GE342:GE405" si="280">IF($FT342&gt;0,INDEX(EW$6:EW$77,$FO342),"")</f>
        <v>1</v>
      </c>
      <c r="GF342" s="101">
        <f t="shared" ref="GF342:GF405" si="281">IF($FT342&gt;0,INDEX(EX$6:EX$77,$FO342),"")</f>
        <v>3</v>
      </c>
      <c r="GG342" s="101">
        <f t="shared" ref="GG342:GG405" si="282">IF($FT342&gt;0,INDEX(EY$6:EY$77,$FO342),"")</f>
        <v>5.9299999999999999E-2</v>
      </c>
      <c r="GH342" s="101">
        <f t="shared" ref="GH342:GH405" si="283">IF($FT342&gt;0,INDEX(EZ$6:EZ$77,$FO342),"")</f>
        <v>1</v>
      </c>
      <c r="GI342" s="101">
        <f t="shared" ref="GI342:GI405" si="284">IF($FT342&gt;0,INDEX(FA$6:FA$77,$FO342),"")</f>
        <v>6</v>
      </c>
      <c r="GJ342" s="101">
        <f t="shared" ref="GJ342:GJ405" si="285">IF($FT342&gt;0,INDEX(FB$6:FB$77,$FO342),"")</f>
        <v>0.23710000000000001</v>
      </c>
      <c r="GK342" s="101">
        <f t="shared" ref="GK342:GK405" si="286">IF($FT342&gt;0,INDEX(FC$6:FC$77,$FO342),"")</f>
        <v>1</v>
      </c>
      <c r="GL342" s="101">
        <f t="shared" ref="GL342:GL405" si="287">IF($FT342&gt;0,INDEX(FD$6:FD$77,$FO342),"")</f>
        <v>13</v>
      </c>
    </row>
    <row r="343" spans="170:194" ht="16.5" x14ac:dyDescent="0.2">
      <c r="FN343" s="101">
        <v>338</v>
      </c>
      <c r="FO343" s="101">
        <f t="shared" si="272"/>
        <v>16</v>
      </c>
      <c r="FP343" s="101">
        <f t="shared" si="265"/>
        <v>5</v>
      </c>
      <c r="FQ343" s="14">
        <f t="shared" si="266"/>
        <v>5</v>
      </c>
      <c r="FR343" s="101" t="str">
        <f t="shared" si="273"/>
        <v>项羽专属武器-魂珠-2 7级</v>
      </c>
      <c r="FS343" s="101">
        <f t="shared" si="274"/>
        <v>2</v>
      </c>
      <c r="FT343" s="101">
        <f t="shared" si="275"/>
        <v>7</v>
      </c>
      <c r="FU343" s="101" t="str">
        <f t="shared" si="267"/>
        <v>金币</v>
      </c>
      <c r="FV343" s="139">
        <f>IF($FT343&gt;0,IF(INDEX($EI$6:$EI$77,$FO343)&gt;=FV$3,ROUND(INDEX(EK$6:EK$77,$FO343)*INDEX(卡牌消耗!$B$8:$F$8,FQ343)/5,0)*5,""),"")</f>
        <v>2120</v>
      </c>
      <c r="FW343" s="101" t="str">
        <f t="shared" si="268"/>
        <v>专属强化石1</v>
      </c>
      <c r="FX343" s="101">
        <f t="shared" si="269"/>
        <v>15</v>
      </c>
      <c r="FY343" s="101" t="str">
        <f t="shared" si="270"/>
        <v>专属强化石2</v>
      </c>
      <c r="FZ343" s="101">
        <f t="shared" si="271"/>
        <v>5</v>
      </c>
      <c r="GA343" s="101">
        <f t="shared" si="276"/>
        <v>0.09</v>
      </c>
      <c r="GB343" s="101">
        <f t="shared" si="277"/>
        <v>1</v>
      </c>
      <c r="GC343" s="101">
        <f t="shared" si="278"/>
        <v>16</v>
      </c>
      <c r="GD343" s="101">
        <f t="shared" si="279"/>
        <v>0</v>
      </c>
      <c r="GE343" s="101">
        <f t="shared" si="280"/>
        <v>1</v>
      </c>
      <c r="GF343" s="101">
        <f t="shared" si="281"/>
        <v>4</v>
      </c>
      <c r="GG343" s="101">
        <f t="shared" si="282"/>
        <v>4.5900000000000003E-2</v>
      </c>
      <c r="GH343" s="101">
        <f t="shared" si="283"/>
        <v>1</v>
      </c>
      <c r="GI343" s="101">
        <f t="shared" si="284"/>
        <v>8</v>
      </c>
      <c r="GJ343" s="101">
        <f t="shared" si="285"/>
        <v>0.1835</v>
      </c>
      <c r="GK343" s="101">
        <f t="shared" si="286"/>
        <v>1</v>
      </c>
      <c r="GL343" s="101">
        <f t="shared" si="287"/>
        <v>16</v>
      </c>
    </row>
    <row r="344" spans="170:194" ht="16.5" x14ac:dyDescent="0.2">
      <c r="FN344" s="101">
        <v>339</v>
      </c>
      <c r="FO344" s="101">
        <f t="shared" si="272"/>
        <v>17</v>
      </c>
      <c r="FP344" s="101">
        <f t="shared" si="265"/>
        <v>5</v>
      </c>
      <c r="FQ344" s="14">
        <f t="shared" si="266"/>
        <v>5</v>
      </c>
      <c r="FR344" s="101" t="str">
        <f t="shared" si="273"/>
        <v>项羽专属武器-魂珠-2 8级</v>
      </c>
      <c r="FS344" s="101">
        <f t="shared" si="274"/>
        <v>2</v>
      </c>
      <c r="FT344" s="101">
        <f t="shared" si="275"/>
        <v>8</v>
      </c>
      <c r="FU344" s="101" t="str">
        <f t="shared" si="267"/>
        <v>金币</v>
      </c>
      <c r="FV344" s="139">
        <f>IF($FT344&gt;0,IF(INDEX($EI$6:$EI$77,$FO344)&gt;=FV$3,ROUND(INDEX(EK$6:EK$77,$FO344)*INDEX(卡牌消耗!$B$8:$F$8,FQ344)/5,0)*5,""),"")</f>
        <v>2540</v>
      </c>
      <c r="FW344" s="101" t="str">
        <f t="shared" si="268"/>
        <v>专属强化石1</v>
      </c>
      <c r="FX344" s="101">
        <f t="shared" si="269"/>
        <v>18</v>
      </c>
      <c r="FY344" s="101" t="str">
        <f t="shared" si="270"/>
        <v>专属强化石2</v>
      </c>
      <c r="FZ344" s="101">
        <f t="shared" si="271"/>
        <v>6</v>
      </c>
      <c r="GA344" s="101">
        <f t="shared" si="276"/>
        <v>7.0000000000000007E-2</v>
      </c>
      <c r="GB344" s="101">
        <f t="shared" si="277"/>
        <v>1</v>
      </c>
      <c r="GC344" s="101">
        <f t="shared" si="278"/>
        <v>22</v>
      </c>
      <c r="GD344" s="101">
        <f t="shared" si="279"/>
        <v>0</v>
      </c>
      <c r="GE344" s="101">
        <f t="shared" si="280"/>
        <v>1</v>
      </c>
      <c r="GF344" s="101">
        <f t="shared" si="281"/>
        <v>5</v>
      </c>
      <c r="GG344" s="101">
        <f t="shared" si="282"/>
        <v>3.4000000000000002E-2</v>
      </c>
      <c r="GH344" s="101">
        <f t="shared" si="283"/>
        <v>1</v>
      </c>
      <c r="GI344" s="101">
        <f t="shared" si="284"/>
        <v>10</v>
      </c>
      <c r="GJ344" s="101">
        <f t="shared" si="285"/>
        <v>0.13600000000000001</v>
      </c>
      <c r="GK344" s="101">
        <f t="shared" si="286"/>
        <v>1</v>
      </c>
      <c r="GL344" s="101">
        <f t="shared" si="287"/>
        <v>22</v>
      </c>
    </row>
    <row r="345" spans="170:194" ht="16.5" x14ac:dyDescent="0.2">
      <c r="FN345" s="101">
        <v>340</v>
      </c>
      <c r="FO345" s="101">
        <f t="shared" si="272"/>
        <v>18</v>
      </c>
      <c r="FP345" s="101">
        <f t="shared" si="265"/>
        <v>5</v>
      </c>
      <c r="FQ345" s="14">
        <f t="shared" si="266"/>
        <v>5</v>
      </c>
      <c r="FR345" s="101" t="str">
        <f t="shared" si="273"/>
        <v>项羽专属武器-魂珠-2 9级</v>
      </c>
      <c r="FS345" s="101">
        <f t="shared" si="274"/>
        <v>2</v>
      </c>
      <c r="FT345" s="101">
        <f t="shared" si="275"/>
        <v>9</v>
      </c>
      <c r="FU345" s="101" t="str">
        <f t="shared" si="267"/>
        <v>金币</v>
      </c>
      <c r="FV345" s="139">
        <f>IF($FT345&gt;0,IF(INDEX($EI$6:$EI$77,$FO345)&gt;=FV$3,ROUND(INDEX(EK$6:EK$77,$FO345)*INDEX(卡牌消耗!$B$8:$F$8,FQ345)/5,0)*5,""),"")</f>
        <v>3385</v>
      </c>
      <c r="FW345" s="101" t="str">
        <f t="shared" si="268"/>
        <v>专属强化石1</v>
      </c>
      <c r="FX345" s="101">
        <f t="shared" si="269"/>
        <v>24</v>
      </c>
      <c r="FY345" s="101" t="str">
        <f t="shared" si="270"/>
        <v>专属强化石2</v>
      </c>
      <c r="FZ345" s="101">
        <f t="shared" si="271"/>
        <v>8</v>
      </c>
      <c r="GA345" s="101">
        <f t="shared" si="276"/>
        <v>0.06</v>
      </c>
      <c r="GB345" s="101">
        <f t="shared" si="277"/>
        <v>1</v>
      </c>
      <c r="GC345" s="101">
        <f t="shared" si="278"/>
        <v>27</v>
      </c>
      <c r="GD345" s="101">
        <f t="shared" si="279"/>
        <v>0</v>
      </c>
      <c r="GE345" s="101">
        <f t="shared" si="280"/>
        <v>1</v>
      </c>
      <c r="GF345" s="101">
        <f t="shared" si="281"/>
        <v>6</v>
      </c>
      <c r="GG345" s="101">
        <f t="shared" si="282"/>
        <v>2.8000000000000001E-2</v>
      </c>
      <c r="GH345" s="101">
        <f t="shared" si="283"/>
        <v>1</v>
      </c>
      <c r="GI345" s="101">
        <f t="shared" si="284"/>
        <v>12</v>
      </c>
      <c r="GJ345" s="101">
        <f t="shared" si="285"/>
        <v>0.11210000000000001</v>
      </c>
      <c r="GK345" s="101">
        <f t="shared" si="286"/>
        <v>1</v>
      </c>
      <c r="GL345" s="101">
        <f t="shared" si="287"/>
        <v>27</v>
      </c>
    </row>
    <row r="346" spans="170:194" ht="16.5" x14ac:dyDescent="0.2">
      <c r="FN346" s="101">
        <v>341</v>
      </c>
      <c r="FO346" s="101">
        <f t="shared" si="272"/>
        <v>0</v>
      </c>
      <c r="FP346" s="101">
        <f t="shared" si="265"/>
        <v>5</v>
      </c>
      <c r="FQ346" s="14">
        <f t="shared" si="266"/>
        <v>5</v>
      </c>
      <c r="FR346" s="101" t="str">
        <f t="shared" si="273"/>
        <v>项羽专属武器-魂珠-3 0级</v>
      </c>
      <c r="FS346" s="101">
        <f t="shared" si="274"/>
        <v>3</v>
      </c>
      <c r="FT346" s="101">
        <f t="shared" si="275"/>
        <v>0</v>
      </c>
      <c r="FU346" s="101" t="str">
        <f t="shared" si="267"/>
        <v/>
      </c>
      <c r="FV346" s="139" t="str">
        <f>IF($FT346&gt;0,IF(INDEX($EI$6:$EI$77,$FO346)&gt;=FV$3,ROUND(INDEX(EK$6:EK$77,$FO346)*INDEX(卡牌消耗!$B$8:$F$8,FQ346)/5,0)*5,""),"")</f>
        <v/>
      </c>
      <c r="FW346" s="101" t="str">
        <f t="shared" si="268"/>
        <v/>
      </c>
      <c r="FX346" s="101" t="str">
        <f t="shared" si="269"/>
        <v/>
      </c>
      <c r="FY346" s="101" t="str">
        <f t="shared" si="270"/>
        <v/>
      </c>
      <c r="FZ346" s="101" t="str">
        <f t="shared" si="271"/>
        <v/>
      </c>
      <c r="GA346" s="101" t="str">
        <f t="shared" si="276"/>
        <v/>
      </c>
      <c r="GB346" s="101" t="str">
        <f t="shared" si="277"/>
        <v/>
      </c>
      <c r="GC346" s="101" t="str">
        <f t="shared" si="278"/>
        <v/>
      </c>
      <c r="GD346" s="101" t="str">
        <f t="shared" si="279"/>
        <v/>
      </c>
      <c r="GE346" s="101" t="str">
        <f t="shared" si="280"/>
        <v/>
      </c>
      <c r="GF346" s="101" t="str">
        <f t="shared" si="281"/>
        <v/>
      </c>
      <c r="GG346" s="101" t="str">
        <f t="shared" si="282"/>
        <v/>
      </c>
      <c r="GH346" s="101" t="str">
        <f t="shared" si="283"/>
        <v/>
      </c>
      <c r="GI346" s="101" t="str">
        <f t="shared" si="284"/>
        <v/>
      </c>
      <c r="GJ346" s="101" t="str">
        <f t="shared" si="285"/>
        <v/>
      </c>
      <c r="GK346" s="101" t="str">
        <f t="shared" si="286"/>
        <v/>
      </c>
      <c r="GL346" s="101" t="str">
        <f t="shared" si="287"/>
        <v/>
      </c>
    </row>
    <row r="347" spans="170:194" ht="16.5" x14ac:dyDescent="0.2">
      <c r="FN347" s="101">
        <v>342</v>
      </c>
      <c r="FO347" s="101">
        <f t="shared" si="272"/>
        <v>19</v>
      </c>
      <c r="FP347" s="101">
        <f t="shared" si="265"/>
        <v>5</v>
      </c>
      <c r="FQ347" s="14">
        <f t="shared" si="266"/>
        <v>5</v>
      </c>
      <c r="FR347" s="101" t="str">
        <f t="shared" si="273"/>
        <v>项羽专属武器-魂珠-3 1级</v>
      </c>
      <c r="FS347" s="101">
        <f t="shared" si="274"/>
        <v>3</v>
      </c>
      <c r="FT347" s="101">
        <f t="shared" si="275"/>
        <v>1</v>
      </c>
      <c r="FU347" s="101" t="str">
        <f t="shared" si="267"/>
        <v>金币</v>
      </c>
      <c r="FV347" s="139">
        <f>IF($FT347&gt;0,IF(INDEX($EI$6:$EI$77,$FO347)&gt;=FV$3,ROUND(INDEX(EK$6:EK$77,$FO347)*INDEX(卡牌消耗!$B$8:$F$8,FQ347)/5,0)*5,""),"")</f>
        <v>1090</v>
      </c>
      <c r="FW347" s="101" t="str">
        <f t="shared" si="268"/>
        <v>专属强化石1</v>
      </c>
      <c r="FX347" s="101">
        <f t="shared" si="269"/>
        <v>4</v>
      </c>
      <c r="FY347" s="101" t="str">
        <f t="shared" si="270"/>
        <v>专属强化石2</v>
      </c>
      <c r="FZ347" s="101">
        <f t="shared" si="271"/>
        <v>2</v>
      </c>
      <c r="GA347" s="101">
        <f t="shared" si="276"/>
        <v>0.31</v>
      </c>
      <c r="GB347" s="101">
        <f t="shared" si="277"/>
        <v>1</v>
      </c>
      <c r="GC347" s="101">
        <f t="shared" si="278"/>
        <v>5</v>
      </c>
      <c r="GD347" s="101">
        <f t="shared" si="279"/>
        <v>0</v>
      </c>
      <c r="GE347" s="101">
        <f t="shared" si="280"/>
        <v>1</v>
      </c>
      <c r="GF347" s="101">
        <f t="shared" si="281"/>
        <v>1</v>
      </c>
      <c r="GG347" s="101">
        <f t="shared" si="282"/>
        <v>0.15409999999999999</v>
      </c>
      <c r="GH347" s="101">
        <f t="shared" si="283"/>
        <v>1</v>
      </c>
      <c r="GI347" s="101">
        <f t="shared" si="284"/>
        <v>2</v>
      </c>
      <c r="GJ347" s="101">
        <f t="shared" si="285"/>
        <v>0.61650000000000005</v>
      </c>
      <c r="GK347" s="101">
        <f t="shared" si="286"/>
        <v>1</v>
      </c>
      <c r="GL347" s="101">
        <f t="shared" si="287"/>
        <v>5</v>
      </c>
    </row>
    <row r="348" spans="170:194" ht="16.5" x14ac:dyDescent="0.2">
      <c r="FN348" s="101">
        <v>343</v>
      </c>
      <c r="FO348" s="101">
        <f t="shared" si="272"/>
        <v>20</v>
      </c>
      <c r="FP348" s="101">
        <f t="shared" si="265"/>
        <v>5</v>
      </c>
      <c r="FQ348" s="14">
        <f t="shared" si="266"/>
        <v>5</v>
      </c>
      <c r="FR348" s="101" t="str">
        <f t="shared" si="273"/>
        <v>项羽专属武器-魂珠-3 2级</v>
      </c>
      <c r="FS348" s="101">
        <f t="shared" si="274"/>
        <v>3</v>
      </c>
      <c r="FT348" s="101">
        <f t="shared" si="275"/>
        <v>2</v>
      </c>
      <c r="FU348" s="101" t="str">
        <f t="shared" si="267"/>
        <v>金币</v>
      </c>
      <c r="FV348" s="139">
        <f>IF($FT348&gt;0,IF(INDEX($EI$6:$EI$77,$FO348)&gt;=FV$3,ROUND(INDEX(EK$6:EK$77,$FO348)*INDEX(卡牌消耗!$B$8:$F$8,FQ348)/5,0)*5,""),"")</f>
        <v>820</v>
      </c>
      <c r="FW348" s="101" t="str">
        <f t="shared" si="268"/>
        <v>专属强化石1</v>
      </c>
      <c r="FX348" s="101">
        <f t="shared" si="269"/>
        <v>4</v>
      </c>
      <c r="FY348" s="101" t="str">
        <f t="shared" si="270"/>
        <v>专属强化石2</v>
      </c>
      <c r="FZ348" s="101">
        <f t="shared" si="271"/>
        <v>2</v>
      </c>
      <c r="GA348" s="101">
        <f t="shared" si="276"/>
        <v>0.15</v>
      </c>
      <c r="GB348" s="101">
        <f t="shared" si="277"/>
        <v>1</v>
      </c>
      <c r="GC348" s="101">
        <f t="shared" si="278"/>
        <v>10</v>
      </c>
      <c r="GD348" s="101">
        <f t="shared" si="279"/>
        <v>0</v>
      </c>
      <c r="GE348" s="101">
        <f t="shared" si="280"/>
        <v>1</v>
      </c>
      <c r="GF348" s="101">
        <f t="shared" si="281"/>
        <v>2</v>
      </c>
      <c r="GG348" s="101">
        <f t="shared" si="282"/>
        <v>7.7100000000000002E-2</v>
      </c>
      <c r="GH348" s="101">
        <f t="shared" si="283"/>
        <v>1</v>
      </c>
      <c r="GI348" s="101">
        <f t="shared" si="284"/>
        <v>5</v>
      </c>
      <c r="GJ348" s="101">
        <f t="shared" si="285"/>
        <v>0.30830000000000002</v>
      </c>
      <c r="GK348" s="101">
        <f t="shared" si="286"/>
        <v>1</v>
      </c>
      <c r="GL348" s="101">
        <f t="shared" si="287"/>
        <v>10</v>
      </c>
    </row>
    <row r="349" spans="170:194" ht="16.5" x14ac:dyDescent="0.2">
      <c r="FN349" s="101">
        <v>344</v>
      </c>
      <c r="FO349" s="101">
        <f t="shared" si="272"/>
        <v>21</v>
      </c>
      <c r="FP349" s="101">
        <f t="shared" si="265"/>
        <v>5</v>
      </c>
      <c r="FQ349" s="14">
        <f t="shared" si="266"/>
        <v>5</v>
      </c>
      <c r="FR349" s="101" t="str">
        <f t="shared" si="273"/>
        <v>项羽专属武器-魂珠-3 3级</v>
      </c>
      <c r="FS349" s="101">
        <f t="shared" si="274"/>
        <v>3</v>
      </c>
      <c r="FT349" s="101">
        <f t="shared" si="275"/>
        <v>3</v>
      </c>
      <c r="FU349" s="101" t="str">
        <f t="shared" si="267"/>
        <v>金币</v>
      </c>
      <c r="FV349" s="139">
        <f>IF($FT349&gt;0,IF(INDEX($EI$6:$EI$77,$FO349)&gt;=FV$3,ROUND(INDEX(EK$6:EK$77,$FO349)*INDEX(卡牌消耗!$B$8:$F$8,FQ349)/5,0)*5,""),"")</f>
        <v>1365</v>
      </c>
      <c r="FW349" s="101" t="str">
        <f t="shared" si="268"/>
        <v>专属强化石1</v>
      </c>
      <c r="FX349" s="101">
        <f t="shared" si="269"/>
        <v>6</v>
      </c>
      <c r="FY349" s="101" t="str">
        <f t="shared" si="270"/>
        <v>专属强化石2</v>
      </c>
      <c r="FZ349" s="101">
        <f t="shared" si="271"/>
        <v>3</v>
      </c>
      <c r="GA349" s="101">
        <f t="shared" si="276"/>
        <v>0.15</v>
      </c>
      <c r="GB349" s="101">
        <f t="shared" si="277"/>
        <v>1</v>
      </c>
      <c r="GC349" s="101">
        <f t="shared" si="278"/>
        <v>10</v>
      </c>
      <c r="GD349" s="101">
        <f t="shared" si="279"/>
        <v>0</v>
      </c>
      <c r="GE349" s="101">
        <f t="shared" si="280"/>
        <v>1</v>
      </c>
      <c r="GF349" s="101">
        <f t="shared" si="281"/>
        <v>2</v>
      </c>
      <c r="GG349" s="101">
        <f t="shared" si="282"/>
        <v>7.7100000000000002E-2</v>
      </c>
      <c r="GH349" s="101">
        <f t="shared" si="283"/>
        <v>1</v>
      </c>
      <c r="GI349" s="101">
        <f t="shared" si="284"/>
        <v>5</v>
      </c>
      <c r="GJ349" s="101">
        <f t="shared" si="285"/>
        <v>0.30830000000000002</v>
      </c>
      <c r="GK349" s="101">
        <f t="shared" si="286"/>
        <v>1</v>
      </c>
      <c r="GL349" s="101">
        <f t="shared" si="287"/>
        <v>10</v>
      </c>
    </row>
    <row r="350" spans="170:194" ht="16.5" x14ac:dyDescent="0.2">
      <c r="FN350" s="101">
        <v>345</v>
      </c>
      <c r="FO350" s="101">
        <f t="shared" si="272"/>
        <v>22</v>
      </c>
      <c r="FP350" s="101">
        <f t="shared" si="265"/>
        <v>5</v>
      </c>
      <c r="FQ350" s="14">
        <f t="shared" si="266"/>
        <v>5</v>
      </c>
      <c r="FR350" s="101" t="str">
        <f t="shared" si="273"/>
        <v>项羽专属武器-魂珠-3 4级</v>
      </c>
      <c r="FS350" s="101">
        <f t="shared" si="274"/>
        <v>3</v>
      </c>
      <c r="FT350" s="101">
        <f t="shared" si="275"/>
        <v>4</v>
      </c>
      <c r="FU350" s="101" t="str">
        <f t="shared" si="267"/>
        <v>金币</v>
      </c>
      <c r="FV350" s="139">
        <f>IF($FT350&gt;0,IF(INDEX($EI$6:$EI$77,$FO350)&gt;=FV$3,ROUND(INDEX(EK$6:EK$77,$FO350)*INDEX(卡牌消耗!$B$8:$F$8,FQ350)/5,0)*5,""),"")</f>
        <v>1310</v>
      </c>
      <c r="FW350" s="101" t="str">
        <f t="shared" si="268"/>
        <v>专属强化石1</v>
      </c>
      <c r="FX350" s="101">
        <f t="shared" si="269"/>
        <v>6</v>
      </c>
      <c r="FY350" s="101" t="str">
        <f t="shared" si="270"/>
        <v>专属强化石2</v>
      </c>
      <c r="FZ350" s="101">
        <f t="shared" si="271"/>
        <v>3</v>
      </c>
      <c r="GA350" s="101">
        <f t="shared" si="276"/>
        <v>0.09</v>
      </c>
      <c r="GB350" s="101">
        <f t="shared" si="277"/>
        <v>1</v>
      </c>
      <c r="GC350" s="101">
        <f t="shared" si="278"/>
        <v>16</v>
      </c>
      <c r="GD350" s="101">
        <f t="shared" si="279"/>
        <v>0</v>
      </c>
      <c r="GE350" s="101">
        <f t="shared" si="280"/>
        <v>1</v>
      </c>
      <c r="GF350" s="101">
        <f t="shared" si="281"/>
        <v>4</v>
      </c>
      <c r="GG350" s="101">
        <f t="shared" si="282"/>
        <v>4.6199999999999998E-2</v>
      </c>
      <c r="GH350" s="101">
        <f t="shared" si="283"/>
        <v>1</v>
      </c>
      <c r="GI350" s="101">
        <f t="shared" si="284"/>
        <v>8</v>
      </c>
      <c r="GJ350" s="101">
        <f t="shared" si="285"/>
        <v>0.185</v>
      </c>
      <c r="GK350" s="101">
        <f t="shared" si="286"/>
        <v>1</v>
      </c>
      <c r="GL350" s="101">
        <f t="shared" si="287"/>
        <v>16</v>
      </c>
    </row>
    <row r="351" spans="170:194" ht="16.5" x14ac:dyDescent="0.2">
      <c r="FN351" s="101">
        <v>346</v>
      </c>
      <c r="FO351" s="101">
        <f t="shared" si="272"/>
        <v>23</v>
      </c>
      <c r="FP351" s="101">
        <f t="shared" si="265"/>
        <v>5</v>
      </c>
      <c r="FQ351" s="14">
        <f t="shared" si="266"/>
        <v>5</v>
      </c>
      <c r="FR351" s="101" t="str">
        <f t="shared" si="273"/>
        <v>项羽专属武器-魂珠-3 5级</v>
      </c>
      <c r="FS351" s="101">
        <f t="shared" si="274"/>
        <v>3</v>
      </c>
      <c r="FT351" s="101">
        <f t="shared" si="275"/>
        <v>5</v>
      </c>
      <c r="FU351" s="101" t="str">
        <f t="shared" si="267"/>
        <v>金币</v>
      </c>
      <c r="FV351" s="139">
        <f>IF($FT351&gt;0,IF(INDEX($EI$6:$EI$77,$FO351)&gt;=FV$3,ROUND(INDEX(EK$6:EK$77,$FO351)*INDEX(卡牌消耗!$B$8:$F$8,FQ351)/5,0)*5,""),"")</f>
        <v>1770</v>
      </c>
      <c r="FW351" s="101" t="str">
        <f t="shared" si="268"/>
        <v>专属强化石1</v>
      </c>
      <c r="FX351" s="101">
        <f t="shared" si="269"/>
        <v>8</v>
      </c>
      <c r="FY351" s="101" t="str">
        <f t="shared" si="270"/>
        <v>专属强化石2</v>
      </c>
      <c r="FZ351" s="101">
        <f t="shared" si="271"/>
        <v>4</v>
      </c>
      <c r="GA351" s="101">
        <f t="shared" si="276"/>
        <v>0.08</v>
      </c>
      <c r="GB351" s="101">
        <f t="shared" si="277"/>
        <v>1</v>
      </c>
      <c r="GC351" s="101">
        <f t="shared" si="278"/>
        <v>19</v>
      </c>
      <c r="GD351" s="101">
        <f t="shared" si="279"/>
        <v>0</v>
      </c>
      <c r="GE351" s="101">
        <f t="shared" si="280"/>
        <v>1</v>
      </c>
      <c r="GF351" s="101">
        <f t="shared" si="281"/>
        <v>5</v>
      </c>
      <c r="GG351" s="101">
        <f t="shared" si="282"/>
        <v>3.85E-2</v>
      </c>
      <c r="GH351" s="101">
        <f t="shared" si="283"/>
        <v>1</v>
      </c>
      <c r="GI351" s="101">
        <f t="shared" si="284"/>
        <v>9</v>
      </c>
      <c r="GJ351" s="101">
        <f t="shared" si="285"/>
        <v>0.15409999999999999</v>
      </c>
      <c r="GK351" s="101">
        <f t="shared" si="286"/>
        <v>1</v>
      </c>
      <c r="GL351" s="101">
        <f t="shared" si="287"/>
        <v>19</v>
      </c>
    </row>
    <row r="352" spans="170:194" ht="16.5" x14ac:dyDescent="0.2">
      <c r="FN352" s="101">
        <v>347</v>
      </c>
      <c r="FO352" s="101">
        <f t="shared" si="272"/>
        <v>24</v>
      </c>
      <c r="FP352" s="101">
        <f t="shared" si="265"/>
        <v>5</v>
      </c>
      <c r="FQ352" s="14">
        <f t="shared" si="266"/>
        <v>5</v>
      </c>
      <c r="FR352" s="101" t="str">
        <f t="shared" si="273"/>
        <v>项羽专属武器-魂珠-3 6级</v>
      </c>
      <c r="FS352" s="101">
        <f t="shared" si="274"/>
        <v>3</v>
      </c>
      <c r="FT352" s="101">
        <f t="shared" si="275"/>
        <v>6</v>
      </c>
      <c r="FU352" s="101" t="str">
        <f t="shared" si="267"/>
        <v>金币</v>
      </c>
      <c r="FV352" s="139">
        <f>IF($FT352&gt;0,IF(INDEX($EI$6:$EI$77,$FO352)&gt;=FV$3,ROUND(INDEX(EK$6:EK$77,$FO352)*INDEX(卡牌消耗!$B$8:$F$8,FQ352)/5,0)*5,""),"")</f>
        <v>2200</v>
      </c>
      <c r="FW352" s="101" t="str">
        <f t="shared" si="268"/>
        <v>专属强化石1</v>
      </c>
      <c r="FX352" s="101">
        <f t="shared" si="269"/>
        <v>10</v>
      </c>
      <c r="FY352" s="101" t="str">
        <f t="shared" si="270"/>
        <v>专属强化石2</v>
      </c>
      <c r="FZ352" s="101">
        <f t="shared" si="271"/>
        <v>5</v>
      </c>
      <c r="GA352" s="101">
        <f t="shared" si="276"/>
        <v>0.06</v>
      </c>
      <c r="GB352" s="101">
        <f t="shared" si="277"/>
        <v>1</v>
      </c>
      <c r="GC352" s="101">
        <f t="shared" si="278"/>
        <v>25</v>
      </c>
      <c r="GD352" s="101">
        <f t="shared" si="279"/>
        <v>0</v>
      </c>
      <c r="GE352" s="101">
        <f t="shared" si="280"/>
        <v>1</v>
      </c>
      <c r="GF352" s="101">
        <f t="shared" si="281"/>
        <v>6</v>
      </c>
      <c r="GG352" s="101">
        <f t="shared" si="282"/>
        <v>2.9600000000000001E-2</v>
      </c>
      <c r="GH352" s="101">
        <f t="shared" si="283"/>
        <v>1</v>
      </c>
      <c r="GI352" s="101">
        <f t="shared" si="284"/>
        <v>12</v>
      </c>
      <c r="GJ352" s="101">
        <f t="shared" si="285"/>
        <v>0.1186</v>
      </c>
      <c r="GK352" s="101">
        <f t="shared" si="286"/>
        <v>1</v>
      </c>
      <c r="GL352" s="101">
        <f t="shared" si="287"/>
        <v>25</v>
      </c>
    </row>
    <row r="353" spans="170:194" ht="16.5" x14ac:dyDescent="0.2">
      <c r="FN353" s="101">
        <v>348</v>
      </c>
      <c r="FO353" s="101">
        <f t="shared" si="272"/>
        <v>25</v>
      </c>
      <c r="FP353" s="101">
        <f t="shared" si="265"/>
        <v>5</v>
      </c>
      <c r="FQ353" s="14">
        <f t="shared" si="266"/>
        <v>5</v>
      </c>
      <c r="FR353" s="101" t="str">
        <f t="shared" si="273"/>
        <v>项羽专属武器-魂珠-3 7级</v>
      </c>
      <c r="FS353" s="101">
        <f t="shared" si="274"/>
        <v>3</v>
      </c>
      <c r="FT353" s="101">
        <f t="shared" si="275"/>
        <v>7</v>
      </c>
      <c r="FU353" s="101" t="str">
        <f t="shared" si="267"/>
        <v>金币</v>
      </c>
      <c r="FV353" s="139">
        <f>IF($FT353&gt;0,IF(INDEX($EI$6:$EI$77,$FO353)&gt;=FV$3,ROUND(INDEX(EK$6:EK$77,$FO353)*INDEX(卡牌消耗!$B$8:$F$8,FQ353)/5,0)*5,""),"")</f>
        <v>2650</v>
      </c>
      <c r="FW353" s="101" t="str">
        <f t="shared" si="268"/>
        <v>专属强化石1</v>
      </c>
      <c r="FX353" s="101">
        <f t="shared" si="269"/>
        <v>12</v>
      </c>
      <c r="FY353" s="101" t="str">
        <f t="shared" si="270"/>
        <v>专属强化石2</v>
      </c>
      <c r="FZ353" s="101">
        <f t="shared" si="271"/>
        <v>6</v>
      </c>
      <c r="GA353" s="101">
        <f t="shared" si="276"/>
        <v>0.04</v>
      </c>
      <c r="GB353" s="101">
        <f t="shared" si="277"/>
        <v>1</v>
      </c>
      <c r="GC353" s="101">
        <f t="shared" si="278"/>
        <v>34</v>
      </c>
      <c r="GD353" s="101">
        <f t="shared" si="279"/>
        <v>0</v>
      </c>
      <c r="GE353" s="101">
        <f t="shared" si="280"/>
        <v>1</v>
      </c>
      <c r="GF353" s="101">
        <f t="shared" si="281"/>
        <v>8</v>
      </c>
      <c r="GG353" s="101">
        <f t="shared" si="282"/>
        <v>2.1999999999999999E-2</v>
      </c>
      <c r="GH353" s="101">
        <f t="shared" si="283"/>
        <v>1</v>
      </c>
      <c r="GI353" s="101">
        <f t="shared" si="284"/>
        <v>16</v>
      </c>
      <c r="GJ353" s="101">
        <f t="shared" si="285"/>
        <v>8.8099999999999998E-2</v>
      </c>
      <c r="GK353" s="101">
        <f t="shared" si="286"/>
        <v>1</v>
      </c>
      <c r="GL353" s="101">
        <f t="shared" si="287"/>
        <v>34</v>
      </c>
    </row>
    <row r="354" spans="170:194" ht="16.5" x14ac:dyDescent="0.2">
      <c r="FN354" s="101">
        <v>349</v>
      </c>
      <c r="FO354" s="101">
        <f t="shared" si="272"/>
        <v>26</v>
      </c>
      <c r="FP354" s="101">
        <f t="shared" si="265"/>
        <v>5</v>
      </c>
      <c r="FQ354" s="14">
        <f t="shared" si="266"/>
        <v>5</v>
      </c>
      <c r="FR354" s="101" t="str">
        <f t="shared" si="273"/>
        <v>项羽专属武器-魂珠-3 8级</v>
      </c>
      <c r="FS354" s="101">
        <f t="shared" si="274"/>
        <v>3</v>
      </c>
      <c r="FT354" s="101">
        <f t="shared" si="275"/>
        <v>8</v>
      </c>
      <c r="FU354" s="101" t="str">
        <f t="shared" si="267"/>
        <v>金币</v>
      </c>
      <c r="FV354" s="139">
        <f>IF($FT354&gt;0,IF(INDEX($EI$6:$EI$77,$FO354)&gt;=FV$3,ROUND(INDEX(EK$6:EK$77,$FO354)*INDEX(卡牌消耗!$B$8:$F$8,FQ354)/5,0)*5,""),"")</f>
        <v>3530</v>
      </c>
      <c r="FW354" s="101" t="str">
        <f t="shared" si="268"/>
        <v>专属强化石1</v>
      </c>
      <c r="FX354" s="101">
        <f t="shared" si="269"/>
        <v>16</v>
      </c>
      <c r="FY354" s="101" t="str">
        <f t="shared" si="270"/>
        <v>专属强化石2</v>
      </c>
      <c r="FZ354" s="101">
        <f t="shared" si="271"/>
        <v>8</v>
      </c>
      <c r="GA354" s="101">
        <f t="shared" si="276"/>
        <v>0.04</v>
      </c>
      <c r="GB354" s="101">
        <f t="shared" si="277"/>
        <v>1</v>
      </c>
      <c r="GC354" s="101">
        <f t="shared" si="278"/>
        <v>41</v>
      </c>
      <c r="GD354" s="101">
        <f t="shared" si="279"/>
        <v>0</v>
      </c>
      <c r="GE354" s="101">
        <f t="shared" si="280"/>
        <v>1</v>
      </c>
      <c r="GF354" s="101">
        <f t="shared" si="281"/>
        <v>10</v>
      </c>
      <c r="GG354" s="101">
        <f t="shared" si="282"/>
        <v>1.8100000000000002E-2</v>
      </c>
      <c r="GH354" s="101">
        <f t="shared" si="283"/>
        <v>1</v>
      </c>
      <c r="GI354" s="101">
        <f t="shared" si="284"/>
        <v>19</v>
      </c>
      <c r="GJ354" s="101">
        <f t="shared" si="285"/>
        <v>7.2499999999999995E-2</v>
      </c>
      <c r="GK354" s="101">
        <f t="shared" si="286"/>
        <v>1</v>
      </c>
      <c r="GL354" s="101">
        <f t="shared" si="287"/>
        <v>41</v>
      </c>
    </row>
    <row r="355" spans="170:194" ht="16.5" x14ac:dyDescent="0.2">
      <c r="FN355" s="101">
        <v>350</v>
      </c>
      <c r="FO355" s="101">
        <f t="shared" si="272"/>
        <v>27</v>
      </c>
      <c r="FP355" s="101">
        <f t="shared" si="265"/>
        <v>5</v>
      </c>
      <c r="FQ355" s="14">
        <f t="shared" si="266"/>
        <v>5</v>
      </c>
      <c r="FR355" s="101" t="str">
        <f t="shared" si="273"/>
        <v>项羽专属武器-魂珠-3 9级</v>
      </c>
      <c r="FS355" s="101">
        <f t="shared" si="274"/>
        <v>3</v>
      </c>
      <c r="FT355" s="101">
        <f t="shared" si="275"/>
        <v>9</v>
      </c>
      <c r="FU355" s="101" t="str">
        <f t="shared" si="267"/>
        <v>金币</v>
      </c>
      <c r="FV355" s="139">
        <f>IF($FT355&gt;0,IF(INDEX($EI$6:$EI$77,$FO355)&gt;=FV$3,ROUND(INDEX(EK$6:EK$77,$FO355)*INDEX(卡牌消耗!$B$8:$F$8,FQ355)/5,0)*5,""),"")</f>
        <v>4415</v>
      </c>
      <c r="FW355" s="101" t="str">
        <f t="shared" si="268"/>
        <v>专属强化石1</v>
      </c>
      <c r="FX355" s="101">
        <f t="shared" si="269"/>
        <v>20</v>
      </c>
      <c r="FY355" s="101" t="str">
        <f t="shared" si="270"/>
        <v>专属强化石2</v>
      </c>
      <c r="FZ355" s="101">
        <f t="shared" si="271"/>
        <v>10</v>
      </c>
      <c r="GA355" s="101">
        <f t="shared" si="276"/>
        <v>0.03</v>
      </c>
      <c r="GB355" s="101">
        <f t="shared" si="277"/>
        <v>1</v>
      </c>
      <c r="GC355" s="101">
        <f t="shared" si="278"/>
        <v>54</v>
      </c>
      <c r="GD355" s="101">
        <f t="shared" si="279"/>
        <v>0</v>
      </c>
      <c r="GE355" s="101">
        <f t="shared" si="280"/>
        <v>1</v>
      </c>
      <c r="GF355" s="101">
        <f t="shared" si="281"/>
        <v>12</v>
      </c>
      <c r="GG355" s="101">
        <f t="shared" si="282"/>
        <v>1.4E-2</v>
      </c>
      <c r="GH355" s="101">
        <f t="shared" si="283"/>
        <v>1</v>
      </c>
      <c r="GI355" s="101">
        <f t="shared" si="284"/>
        <v>25</v>
      </c>
      <c r="GJ355" s="101">
        <f t="shared" si="285"/>
        <v>5.6000000000000001E-2</v>
      </c>
      <c r="GK355" s="101">
        <f t="shared" si="286"/>
        <v>1</v>
      </c>
      <c r="GL355" s="101">
        <f t="shared" si="287"/>
        <v>54</v>
      </c>
    </row>
    <row r="356" spans="170:194" ht="16.5" x14ac:dyDescent="0.2">
      <c r="FN356" s="101">
        <v>351</v>
      </c>
      <c r="FO356" s="101">
        <f t="shared" si="272"/>
        <v>0</v>
      </c>
      <c r="FP356" s="101">
        <f t="shared" si="265"/>
        <v>5</v>
      </c>
      <c r="FQ356" s="14">
        <f t="shared" si="266"/>
        <v>5</v>
      </c>
      <c r="FR356" s="101" t="str">
        <f t="shared" si="273"/>
        <v>项羽专属武器-魂珠-4 0级</v>
      </c>
      <c r="FS356" s="101">
        <f t="shared" si="274"/>
        <v>4</v>
      </c>
      <c r="FT356" s="101">
        <f t="shared" si="275"/>
        <v>0</v>
      </c>
      <c r="FU356" s="101" t="str">
        <f t="shared" si="267"/>
        <v/>
      </c>
      <c r="FV356" s="139" t="str">
        <f>IF($FT356&gt;0,IF(INDEX($EI$6:$EI$77,$FO356)&gt;=FV$3,ROUND(INDEX(EK$6:EK$77,$FO356)*INDEX(卡牌消耗!$B$8:$F$8,FQ356)/5,0)*5,""),"")</f>
        <v/>
      </c>
      <c r="FW356" s="101" t="str">
        <f t="shared" si="268"/>
        <v/>
      </c>
      <c r="FX356" s="101" t="str">
        <f t="shared" si="269"/>
        <v/>
      </c>
      <c r="FY356" s="101" t="str">
        <f t="shared" si="270"/>
        <v/>
      </c>
      <c r="FZ356" s="101" t="str">
        <f t="shared" si="271"/>
        <v/>
      </c>
      <c r="GA356" s="101" t="str">
        <f t="shared" si="276"/>
        <v/>
      </c>
      <c r="GB356" s="101" t="str">
        <f t="shared" si="277"/>
        <v/>
      </c>
      <c r="GC356" s="101" t="str">
        <f t="shared" si="278"/>
        <v/>
      </c>
      <c r="GD356" s="101" t="str">
        <f t="shared" si="279"/>
        <v/>
      </c>
      <c r="GE356" s="101" t="str">
        <f t="shared" si="280"/>
        <v/>
      </c>
      <c r="GF356" s="101" t="str">
        <f t="shared" si="281"/>
        <v/>
      </c>
      <c r="GG356" s="101" t="str">
        <f t="shared" si="282"/>
        <v/>
      </c>
      <c r="GH356" s="101" t="str">
        <f t="shared" si="283"/>
        <v/>
      </c>
      <c r="GI356" s="101" t="str">
        <f t="shared" si="284"/>
        <v/>
      </c>
      <c r="GJ356" s="101" t="str">
        <f t="shared" si="285"/>
        <v/>
      </c>
      <c r="GK356" s="101" t="str">
        <f t="shared" si="286"/>
        <v/>
      </c>
      <c r="GL356" s="101" t="str">
        <f t="shared" si="287"/>
        <v/>
      </c>
    </row>
    <row r="357" spans="170:194" ht="16.5" x14ac:dyDescent="0.2">
      <c r="FN357" s="101">
        <v>352</v>
      </c>
      <c r="FO357" s="101">
        <f t="shared" si="272"/>
        <v>28</v>
      </c>
      <c r="FP357" s="101">
        <f t="shared" si="265"/>
        <v>5</v>
      </c>
      <c r="FQ357" s="14">
        <f t="shared" si="266"/>
        <v>5</v>
      </c>
      <c r="FR357" s="101" t="str">
        <f t="shared" si="273"/>
        <v>项羽专属武器-魂珠-4 1级</v>
      </c>
      <c r="FS357" s="101">
        <f t="shared" si="274"/>
        <v>4</v>
      </c>
      <c r="FT357" s="101">
        <f t="shared" si="275"/>
        <v>1</v>
      </c>
      <c r="FU357" s="101" t="str">
        <f t="shared" si="267"/>
        <v>金币</v>
      </c>
      <c r="FV357" s="139">
        <f>IF($FT357&gt;0,IF(INDEX($EI$6:$EI$77,$FO357)&gt;=FV$3,ROUND(INDEX(EK$6:EK$77,$FO357)*INDEX(卡牌消耗!$B$8:$F$8,FQ357)/5,0)*5,""),"")</f>
        <v>1460</v>
      </c>
      <c r="FW357" s="101" t="str">
        <f t="shared" si="268"/>
        <v>专属强化石2</v>
      </c>
      <c r="FX357" s="101">
        <f t="shared" si="269"/>
        <v>3</v>
      </c>
      <c r="FY357" s="101" t="str">
        <f t="shared" si="270"/>
        <v>专属强化石3</v>
      </c>
      <c r="FZ357" s="101">
        <f t="shared" si="271"/>
        <v>1</v>
      </c>
      <c r="GA357" s="101">
        <f t="shared" si="276"/>
        <v>0.2</v>
      </c>
      <c r="GB357" s="101">
        <f t="shared" si="277"/>
        <v>1</v>
      </c>
      <c r="GC357" s="101">
        <f t="shared" si="278"/>
        <v>7</v>
      </c>
      <c r="GD357" s="101">
        <f t="shared" si="279"/>
        <v>0</v>
      </c>
      <c r="GE357" s="101">
        <f t="shared" si="280"/>
        <v>1</v>
      </c>
      <c r="GF357" s="101">
        <f t="shared" si="281"/>
        <v>2</v>
      </c>
      <c r="GG357" s="101">
        <f t="shared" si="282"/>
        <v>0.1012</v>
      </c>
      <c r="GH357" s="101">
        <f t="shared" si="283"/>
        <v>1</v>
      </c>
      <c r="GI357" s="101">
        <f t="shared" si="284"/>
        <v>3</v>
      </c>
      <c r="GJ357" s="101">
        <f t="shared" si="285"/>
        <v>0.40479999999999999</v>
      </c>
      <c r="GK357" s="101">
        <f t="shared" si="286"/>
        <v>1</v>
      </c>
      <c r="GL357" s="101">
        <f t="shared" si="287"/>
        <v>7</v>
      </c>
    </row>
    <row r="358" spans="170:194" ht="16.5" x14ac:dyDescent="0.2">
      <c r="FN358" s="101">
        <v>353</v>
      </c>
      <c r="FO358" s="101">
        <f t="shared" si="272"/>
        <v>29</v>
      </c>
      <c r="FP358" s="101">
        <f t="shared" si="265"/>
        <v>5</v>
      </c>
      <c r="FQ358" s="14">
        <f t="shared" si="266"/>
        <v>5</v>
      </c>
      <c r="FR358" s="101" t="str">
        <f t="shared" si="273"/>
        <v>项羽专属武器-魂珠-4 2级</v>
      </c>
      <c r="FS358" s="101">
        <f t="shared" si="274"/>
        <v>4</v>
      </c>
      <c r="FT358" s="101">
        <f t="shared" si="275"/>
        <v>2</v>
      </c>
      <c r="FU358" s="101" t="str">
        <f t="shared" si="267"/>
        <v>金币</v>
      </c>
      <c r="FV358" s="139">
        <f>IF($FT358&gt;0,IF(INDEX($EI$6:$EI$77,$FO358)&gt;=FV$3,ROUND(INDEX(EK$6:EK$77,$FO358)*INDEX(卡牌消耗!$B$8:$F$8,FQ358)/5,0)*5,""),"")</f>
        <v>1095</v>
      </c>
      <c r="FW358" s="101" t="str">
        <f t="shared" si="268"/>
        <v>专属强化石2</v>
      </c>
      <c r="FX358" s="101">
        <f t="shared" si="269"/>
        <v>3</v>
      </c>
      <c r="FY358" s="101" t="str">
        <f t="shared" si="270"/>
        <v>专属强化石3</v>
      </c>
      <c r="FZ358" s="101">
        <f t="shared" si="271"/>
        <v>1</v>
      </c>
      <c r="GA358" s="101">
        <f t="shared" si="276"/>
        <v>0.1</v>
      </c>
      <c r="GB358" s="101">
        <f t="shared" si="277"/>
        <v>1</v>
      </c>
      <c r="GC358" s="101">
        <f t="shared" si="278"/>
        <v>15</v>
      </c>
      <c r="GD358" s="101">
        <f t="shared" si="279"/>
        <v>0</v>
      </c>
      <c r="GE358" s="101">
        <f t="shared" si="280"/>
        <v>1</v>
      </c>
      <c r="GF358" s="101">
        <f t="shared" si="281"/>
        <v>3</v>
      </c>
      <c r="GG358" s="101">
        <f t="shared" si="282"/>
        <v>5.0599999999999999E-2</v>
      </c>
      <c r="GH358" s="101">
        <f t="shared" si="283"/>
        <v>1</v>
      </c>
      <c r="GI358" s="101">
        <f t="shared" si="284"/>
        <v>7</v>
      </c>
      <c r="GJ358" s="101">
        <f t="shared" si="285"/>
        <v>0.2024</v>
      </c>
      <c r="GK358" s="101">
        <f t="shared" si="286"/>
        <v>1</v>
      </c>
      <c r="GL358" s="101">
        <f t="shared" si="287"/>
        <v>15</v>
      </c>
    </row>
    <row r="359" spans="170:194" ht="16.5" x14ac:dyDescent="0.2">
      <c r="FN359" s="101">
        <v>354</v>
      </c>
      <c r="FO359" s="101">
        <f t="shared" si="272"/>
        <v>30</v>
      </c>
      <c r="FP359" s="101">
        <f t="shared" si="265"/>
        <v>5</v>
      </c>
      <c r="FQ359" s="14">
        <f t="shared" si="266"/>
        <v>5</v>
      </c>
      <c r="FR359" s="101" t="str">
        <f t="shared" si="273"/>
        <v>项羽专属武器-魂珠-4 3级</v>
      </c>
      <c r="FS359" s="101">
        <f t="shared" si="274"/>
        <v>4</v>
      </c>
      <c r="FT359" s="101">
        <f t="shared" si="275"/>
        <v>3</v>
      </c>
      <c r="FU359" s="101" t="str">
        <f t="shared" si="267"/>
        <v>金币</v>
      </c>
      <c r="FV359" s="139">
        <f>IF($FT359&gt;0,IF(INDEX($EI$6:$EI$77,$FO359)&gt;=FV$3,ROUND(INDEX(EK$6:EK$77,$FO359)*INDEX(卡牌消耗!$B$8:$F$8,FQ359)/5,0)*5,""),"")</f>
        <v>1215</v>
      </c>
      <c r="FW359" s="101" t="str">
        <f t="shared" si="268"/>
        <v>专属强化石2</v>
      </c>
      <c r="FX359" s="101">
        <f t="shared" si="269"/>
        <v>3</v>
      </c>
      <c r="FY359" s="101" t="str">
        <f t="shared" si="270"/>
        <v>专属强化石3</v>
      </c>
      <c r="FZ359" s="101">
        <f t="shared" si="271"/>
        <v>1</v>
      </c>
      <c r="GA359" s="101">
        <f t="shared" si="276"/>
        <v>7.0000000000000007E-2</v>
      </c>
      <c r="GB359" s="101">
        <f t="shared" si="277"/>
        <v>1</v>
      </c>
      <c r="GC359" s="101">
        <f t="shared" si="278"/>
        <v>22</v>
      </c>
      <c r="GD359" s="101">
        <f t="shared" si="279"/>
        <v>0</v>
      </c>
      <c r="GE359" s="101">
        <f t="shared" si="280"/>
        <v>1</v>
      </c>
      <c r="GF359" s="101">
        <f t="shared" si="281"/>
        <v>5</v>
      </c>
      <c r="GG359" s="101">
        <f t="shared" si="282"/>
        <v>3.3700000000000001E-2</v>
      </c>
      <c r="GH359" s="101">
        <f t="shared" si="283"/>
        <v>1</v>
      </c>
      <c r="GI359" s="101">
        <f t="shared" si="284"/>
        <v>10</v>
      </c>
      <c r="GJ359" s="101">
        <f t="shared" si="285"/>
        <v>0.13489999999999999</v>
      </c>
      <c r="GK359" s="101">
        <f t="shared" si="286"/>
        <v>1</v>
      </c>
      <c r="GL359" s="101">
        <f t="shared" si="287"/>
        <v>22</v>
      </c>
    </row>
    <row r="360" spans="170:194" ht="16.5" x14ac:dyDescent="0.2">
      <c r="FN360" s="101">
        <v>355</v>
      </c>
      <c r="FO360" s="101">
        <f t="shared" si="272"/>
        <v>31</v>
      </c>
      <c r="FP360" s="101">
        <f t="shared" si="265"/>
        <v>5</v>
      </c>
      <c r="FQ360" s="14">
        <f t="shared" si="266"/>
        <v>5</v>
      </c>
      <c r="FR360" s="101" t="str">
        <f t="shared" si="273"/>
        <v>项羽专属武器-魂珠-4 4级</v>
      </c>
      <c r="FS360" s="101">
        <f t="shared" si="274"/>
        <v>4</v>
      </c>
      <c r="FT360" s="101">
        <f t="shared" si="275"/>
        <v>4</v>
      </c>
      <c r="FU360" s="101" t="str">
        <f t="shared" si="267"/>
        <v>金币</v>
      </c>
      <c r="FV360" s="139">
        <f>IF($FT360&gt;0,IF(INDEX($EI$6:$EI$77,$FO360)&gt;=FV$3,ROUND(INDEX(EK$6:EK$77,$FO360)*INDEX(卡牌消耗!$B$8:$F$8,FQ360)/5,0)*5,""),"")</f>
        <v>2335</v>
      </c>
      <c r="FW360" s="101" t="str">
        <f t="shared" si="268"/>
        <v>专属强化石2</v>
      </c>
      <c r="FX360" s="101">
        <f t="shared" si="269"/>
        <v>5</v>
      </c>
      <c r="FY360" s="101" t="str">
        <f t="shared" si="270"/>
        <v>专属强化石3</v>
      </c>
      <c r="FZ360" s="101">
        <f t="shared" si="271"/>
        <v>2</v>
      </c>
      <c r="GA360" s="101">
        <f t="shared" si="276"/>
        <v>0.08</v>
      </c>
      <c r="GB360" s="101">
        <f t="shared" si="277"/>
        <v>1</v>
      </c>
      <c r="GC360" s="101">
        <f t="shared" si="278"/>
        <v>19</v>
      </c>
      <c r="GD360" s="101">
        <f t="shared" si="279"/>
        <v>0</v>
      </c>
      <c r="GE360" s="101">
        <f t="shared" si="280"/>
        <v>1</v>
      </c>
      <c r="GF360" s="101">
        <f t="shared" si="281"/>
        <v>4</v>
      </c>
      <c r="GG360" s="101">
        <f t="shared" si="282"/>
        <v>4.0500000000000001E-2</v>
      </c>
      <c r="GH360" s="101">
        <f t="shared" si="283"/>
        <v>1</v>
      </c>
      <c r="GI360" s="101">
        <f t="shared" si="284"/>
        <v>9</v>
      </c>
      <c r="GJ360" s="101">
        <f t="shared" si="285"/>
        <v>0.16189999999999999</v>
      </c>
      <c r="GK360" s="101">
        <f t="shared" si="286"/>
        <v>1</v>
      </c>
      <c r="GL360" s="101">
        <f t="shared" si="287"/>
        <v>19</v>
      </c>
    </row>
    <row r="361" spans="170:194" ht="16.5" x14ac:dyDescent="0.2">
      <c r="FN361" s="101">
        <v>356</v>
      </c>
      <c r="FO361" s="101">
        <f t="shared" si="272"/>
        <v>32</v>
      </c>
      <c r="FP361" s="101">
        <f t="shared" si="265"/>
        <v>5</v>
      </c>
      <c r="FQ361" s="14">
        <f t="shared" si="266"/>
        <v>5</v>
      </c>
      <c r="FR361" s="101" t="str">
        <f t="shared" si="273"/>
        <v>项羽专属武器-魂珠-4 5级</v>
      </c>
      <c r="FS361" s="101">
        <f t="shared" si="274"/>
        <v>4</v>
      </c>
      <c r="FT361" s="101">
        <f t="shared" si="275"/>
        <v>5</v>
      </c>
      <c r="FU361" s="101" t="str">
        <f t="shared" si="267"/>
        <v>金币</v>
      </c>
      <c r="FV361" s="139">
        <f>IF($FT361&gt;0,IF(INDEX($EI$6:$EI$77,$FO361)&gt;=FV$3,ROUND(INDEX(EK$6:EK$77,$FO361)*INDEX(卡牌消耗!$B$8:$F$8,FQ361)/5,0)*5,""),"")</f>
        <v>2370</v>
      </c>
      <c r="FW361" s="101" t="str">
        <f t="shared" si="268"/>
        <v>专属强化石2</v>
      </c>
      <c r="FX361" s="101">
        <f t="shared" si="269"/>
        <v>5</v>
      </c>
      <c r="FY361" s="101" t="str">
        <f t="shared" si="270"/>
        <v>专属强化石3</v>
      </c>
      <c r="FZ361" s="101">
        <f t="shared" si="271"/>
        <v>2</v>
      </c>
      <c r="GA361" s="101">
        <f t="shared" si="276"/>
        <v>0.05</v>
      </c>
      <c r="GB361" s="101">
        <f t="shared" si="277"/>
        <v>1</v>
      </c>
      <c r="GC361" s="101">
        <f t="shared" si="278"/>
        <v>30</v>
      </c>
      <c r="GD361" s="101">
        <f t="shared" si="279"/>
        <v>0</v>
      </c>
      <c r="GE361" s="101">
        <f t="shared" si="280"/>
        <v>1</v>
      </c>
      <c r="GF361" s="101">
        <f t="shared" si="281"/>
        <v>7</v>
      </c>
      <c r="GG361" s="101">
        <f t="shared" si="282"/>
        <v>2.53E-2</v>
      </c>
      <c r="GH361" s="101">
        <f t="shared" si="283"/>
        <v>1</v>
      </c>
      <c r="GI361" s="101">
        <f t="shared" si="284"/>
        <v>14</v>
      </c>
      <c r="GJ361" s="101">
        <f t="shared" si="285"/>
        <v>0.1012</v>
      </c>
      <c r="GK361" s="101">
        <f t="shared" si="286"/>
        <v>1</v>
      </c>
      <c r="GL361" s="101">
        <f t="shared" si="287"/>
        <v>30</v>
      </c>
    </row>
    <row r="362" spans="170:194" ht="16.5" x14ac:dyDescent="0.2">
      <c r="FN362" s="101">
        <v>357</v>
      </c>
      <c r="FO362" s="101">
        <f t="shared" si="272"/>
        <v>33</v>
      </c>
      <c r="FP362" s="101">
        <f t="shared" si="265"/>
        <v>5</v>
      </c>
      <c r="FQ362" s="14">
        <f t="shared" si="266"/>
        <v>5</v>
      </c>
      <c r="FR362" s="101" t="str">
        <f t="shared" si="273"/>
        <v>项羽专属武器-魂珠-4 6级</v>
      </c>
      <c r="FS362" s="101">
        <f t="shared" si="274"/>
        <v>4</v>
      </c>
      <c r="FT362" s="101">
        <f t="shared" si="275"/>
        <v>6</v>
      </c>
      <c r="FU362" s="101" t="str">
        <f t="shared" si="267"/>
        <v>金币</v>
      </c>
      <c r="FV362" s="139">
        <f>IF($FT362&gt;0,IF(INDEX($EI$6:$EI$77,$FO362)&gt;=FV$3,ROUND(INDEX(EK$6:EK$77,$FO362)*INDEX(卡牌消耗!$B$8:$F$8,FQ362)/5,0)*5,""),"")</f>
        <v>2360</v>
      </c>
      <c r="FW362" s="101" t="str">
        <f t="shared" si="268"/>
        <v>专属强化石2</v>
      </c>
      <c r="FX362" s="101">
        <f t="shared" si="269"/>
        <v>5</v>
      </c>
      <c r="FY362" s="101" t="str">
        <f t="shared" si="270"/>
        <v>专属强化石3</v>
      </c>
      <c r="FZ362" s="101">
        <f t="shared" si="271"/>
        <v>2</v>
      </c>
      <c r="GA362" s="101">
        <f t="shared" si="276"/>
        <v>0.03</v>
      </c>
      <c r="GB362" s="101">
        <f t="shared" si="277"/>
        <v>1</v>
      </c>
      <c r="GC362" s="101">
        <f t="shared" si="278"/>
        <v>48</v>
      </c>
      <c r="GD362" s="101">
        <f t="shared" si="279"/>
        <v>0</v>
      </c>
      <c r="GE362" s="101">
        <f t="shared" si="280"/>
        <v>1</v>
      </c>
      <c r="GF362" s="101">
        <f t="shared" si="281"/>
        <v>11</v>
      </c>
      <c r="GG362" s="101">
        <f t="shared" si="282"/>
        <v>1.5599999999999999E-2</v>
      </c>
      <c r="GH362" s="101">
        <f t="shared" si="283"/>
        <v>1</v>
      </c>
      <c r="GI362" s="101">
        <f t="shared" si="284"/>
        <v>22</v>
      </c>
      <c r="GJ362" s="101">
        <f t="shared" si="285"/>
        <v>6.2300000000000001E-2</v>
      </c>
      <c r="GK362" s="101">
        <f t="shared" si="286"/>
        <v>1</v>
      </c>
      <c r="GL362" s="101">
        <f t="shared" si="287"/>
        <v>48</v>
      </c>
    </row>
    <row r="363" spans="170:194" ht="16.5" x14ac:dyDescent="0.2">
      <c r="FN363" s="101">
        <v>358</v>
      </c>
      <c r="FO363" s="101">
        <f t="shared" si="272"/>
        <v>34</v>
      </c>
      <c r="FP363" s="101">
        <f t="shared" si="265"/>
        <v>5</v>
      </c>
      <c r="FQ363" s="14">
        <f t="shared" si="266"/>
        <v>5</v>
      </c>
      <c r="FR363" s="101" t="str">
        <f t="shared" si="273"/>
        <v>项羽专属武器-魂珠-4 7级</v>
      </c>
      <c r="FS363" s="101">
        <f t="shared" si="274"/>
        <v>4</v>
      </c>
      <c r="FT363" s="101">
        <f t="shared" si="275"/>
        <v>7</v>
      </c>
      <c r="FU363" s="101" t="str">
        <f t="shared" si="267"/>
        <v>金币</v>
      </c>
      <c r="FV363" s="139">
        <f>IF($FT363&gt;0,IF(INDEX($EI$6:$EI$77,$FO363)&gt;=FV$3,ROUND(INDEX(EK$6:EK$77,$FO363)*INDEX(卡牌消耗!$B$8:$F$8,FQ363)/5,0)*5,""),"")</f>
        <v>3545</v>
      </c>
      <c r="FW363" s="101" t="str">
        <f t="shared" si="268"/>
        <v>专属强化石2</v>
      </c>
      <c r="FX363" s="101">
        <f t="shared" si="269"/>
        <v>8</v>
      </c>
      <c r="FY363" s="101" t="str">
        <f t="shared" si="270"/>
        <v>专属强化石3</v>
      </c>
      <c r="FZ363" s="101">
        <f t="shared" si="271"/>
        <v>3</v>
      </c>
      <c r="GA363" s="101">
        <f t="shared" si="276"/>
        <v>0.03</v>
      </c>
      <c r="GB363" s="101">
        <f t="shared" si="277"/>
        <v>1</v>
      </c>
      <c r="GC363" s="101">
        <f t="shared" si="278"/>
        <v>52</v>
      </c>
      <c r="GD363" s="101">
        <f t="shared" si="279"/>
        <v>0</v>
      </c>
      <c r="GE363" s="101">
        <f t="shared" si="280"/>
        <v>1</v>
      </c>
      <c r="GF363" s="101">
        <f t="shared" si="281"/>
        <v>12</v>
      </c>
      <c r="GG363" s="101">
        <f t="shared" si="282"/>
        <v>1.4500000000000001E-2</v>
      </c>
      <c r="GH363" s="101">
        <f t="shared" si="283"/>
        <v>1</v>
      </c>
      <c r="GI363" s="101">
        <f t="shared" si="284"/>
        <v>24</v>
      </c>
      <c r="GJ363" s="101">
        <f t="shared" si="285"/>
        <v>5.7799999999999997E-2</v>
      </c>
      <c r="GK363" s="101">
        <f t="shared" si="286"/>
        <v>1</v>
      </c>
      <c r="GL363" s="101">
        <f t="shared" si="287"/>
        <v>52</v>
      </c>
    </row>
    <row r="364" spans="170:194" ht="16.5" x14ac:dyDescent="0.2">
      <c r="FN364" s="101">
        <v>359</v>
      </c>
      <c r="FO364" s="101">
        <f t="shared" si="272"/>
        <v>35</v>
      </c>
      <c r="FP364" s="101">
        <f t="shared" si="265"/>
        <v>5</v>
      </c>
      <c r="FQ364" s="14">
        <f t="shared" si="266"/>
        <v>5</v>
      </c>
      <c r="FR364" s="101" t="str">
        <f t="shared" si="273"/>
        <v>项羽专属武器-魂珠-4 8级</v>
      </c>
      <c r="FS364" s="101">
        <f t="shared" si="274"/>
        <v>4</v>
      </c>
      <c r="FT364" s="101">
        <f t="shared" si="275"/>
        <v>8</v>
      </c>
      <c r="FU364" s="101" t="str">
        <f t="shared" si="267"/>
        <v>金币</v>
      </c>
      <c r="FV364" s="139">
        <f>IF($FT364&gt;0,IF(INDEX($EI$6:$EI$77,$FO364)&gt;=FV$3,ROUND(INDEX(EK$6:EK$77,$FO364)*INDEX(卡牌消耗!$B$8:$F$8,FQ364)/5,0)*5,""),"")</f>
        <v>4720</v>
      </c>
      <c r="FW364" s="101" t="str">
        <f t="shared" si="268"/>
        <v>专属强化石2</v>
      </c>
      <c r="FX364" s="101">
        <f t="shared" si="269"/>
        <v>11</v>
      </c>
      <c r="FY364" s="101" t="str">
        <f t="shared" si="270"/>
        <v>专属强化石3</v>
      </c>
      <c r="FZ364" s="101">
        <f t="shared" si="271"/>
        <v>4</v>
      </c>
      <c r="GA364" s="101">
        <f t="shared" si="276"/>
        <v>0.02</v>
      </c>
      <c r="GB364" s="101">
        <f t="shared" si="277"/>
        <v>1</v>
      </c>
      <c r="GC364" s="101">
        <f t="shared" si="278"/>
        <v>63</v>
      </c>
      <c r="GD364" s="101">
        <f t="shared" si="279"/>
        <v>0</v>
      </c>
      <c r="GE364" s="101">
        <f t="shared" si="280"/>
        <v>1</v>
      </c>
      <c r="GF364" s="101">
        <f t="shared" si="281"/>
        <v>15</v>
      </c>
      <c r="GG364" s="101">
        <f t="shared" si="282"/>
        <v>1.1900000000000001E-2</v>
      </c>
      <c r="GH364" s="101">
        <f t="shared" si="283"/>
        <v>1</v>
      </c>
      <c r="GI364" s="101">
        <f t="shared" si="284"/>
        <v>29</v>
      </c>
      <c r="GJ364" s="101">
        <f t="shared" si="285"/>
        <v>4.7600000000000003E-2</v>
      </c>
      <c r="GK364" s="101">
        <f t="shared" si="286"/>
        <v>1</v>
      </c>
      <c r="GL364" s="101">
        <f t="shared" si="287"/>
        <v>63</v>
      </c>
    </row>
    <row r="365" spans="170:194" ht="16.5" x14ac:dyDescent="0.2">
      <c r="FN365" s="101">
        <v>360</v>
      </c>
      <c r="FO365" s="101">
        <f t="shared" si="272"/>
        <v>36</v>
      </c>
      <c r="FP365" s="101">
        <f t="shared" si="265"/>
        <v>5</v>
      </c>
      <c r="FQ365" s="14">
        <f t="shared" si="266"/>
        <v>5</v>
      </c>
      <c r="FR365" s="101" t="str">
        <f t="shared" si="273"/>
        <v>项羽专属武器-魂珠-4 9级</v>
      </c>
      <c r="FS365" s="101">
        <f t="shared" si="274"/>
        <v>4</v>
      </c>
      <c r="FT365" s="101">
        <f t="shared" si="275"/>
        <v>9</v>
      </c>
      <c r="FU365" s="101" t="str">
        <f t="shared" si="267"/>
        <v>金币</v>
      </c>
      <c r="FV365" s="139">
        <f>IF($FT365&gt;0,IF(INDEX($EI$6:$EI$77,$FO365)&gt;=FV$3,ROUND(INDEX(EK$6:EK$77,$FO365)*INDEX(卡牌消耗!$B$8:$F$8,FQ365)/5,0)*5,""),"")</f>
        <v>7085</v>
      </c>
      <c r="FW365" s="101" t="str">
        <f t="shared" si="268"/>
        <v>专属强化石2</v>
      </c>
      <c r="FX365" s="101">
        <f t="shared" si="269"/>
        <v>16</v>
      </c>
      <c r="FY365" s="101" t="str">
        <f t="shared" si="270"/>
        <v>专属强化石3</v>
      </c>
      <c r="FZ365" s="101">
        <f t="shared" si="271"/>
        <v>6</v>
      </c>
      <c r="GA365" s="101">
        <f t="shared" si="276"/>
        <v>0.02</v>
      </c>
      <c r="GB365" s="101">
        <f t="shared" si="277"/>
        <v>1</v>
      </c>
      <c r="GC365" s="101">
        <f t="shared" si="278"/>
        <v>68</v>
      </c>
      <c r="GD365" s="101">
        <f t="shared" si="279"/>
        <v>0</v>
      </c>
      <c r="GE365" s="101">
        <f t="shared" si="280"/>
        <v>1</v>
      </c>
      <c r="GF365" s="101">
        <f t="shared" si="281"/>
        <v>16</v>
      </c>
      <c r="GG365" s="101">
        <f t="shared" si="282"/>
        <v>1.0999999999999999E-2</v>
      </c>
      <c r="GH365" s="101">
        <f t="shared" si="283"/>
        <v>1</v>
      </c>
      <c r="GI365" s="101">
        <f t="shared" si="284"/>
        <v>32</v>
      </c>
      <c r="GJ365" s="101">
        <f t="shared" si="285"/>
        <v>4.4200000000000003E-2</v>
      </c>
      <c r="GK365" s="101">
        <f t="shared" si="286"/>
        <v>1</v>
      </c>
      <c r="GL365" s="101">
        <f t="shared" si="287"/>
        <v>68</v>
      </c>
    </row>
    <row r="366" spans="170:194" ht="16.5" x14ac:dyDescent="0.2">
      <c r="FN366" s="101">
        <v>361</v>
      </c>
      <c r="FO366" s="101">
        <f t="shared" si="272"/>
        <v>0</v>
      </c>
      <c r="FP366" s="101">
        <f t="shared" si="265"/>
        <v>5</v>
      </c>
      <c r="FQ366" s="14">
        <f t="shared" si="266"/>
        <v>5</v>
      </c>
      <c r="FR366" s="101" t="str">
        <f t="shared" si="273"/>
        <v>项羽专属武器-魂珠-5 0级</v>
      </c>
      <c r="FS366" s="101">
        <f t="shared" si="274"/>
        <v>5</v>
      </c>
      <c r="FT366" s="101">
        <f t="shared" si="275"/>
        <v>0</v>
      </c>
      <c r="FU366" s="101" t="str">
        <f t="shared" si="267"/>
        <v/>
      </c>
      <c r="FV366" s="139" t="str">
        <f>IF($FT366&gt;0,IF(INDEX($EI$6:$EI$77,$FO366)&gt;=FV$3,ROUND(INDEX(EK$6:EK$77,$FO366)*INDEX(卡牌消耗!$B$8:$F$8,FQ366)/5,0)*5,""),"")</f>
        <v/>
      </c>
      <c r="FW366" s="101" t="str">
        <f t="shared" si="268"/>
        <v/>
      </c>
      <c r="FX366" s="101" t="str">
        <f t="shared" si="269"/>
        <v/>
      </c>
      <c r="FY366" s="101" t="str">
        <f t="shared" si="270"/>
        <v/>
      </c>
      <c r="FZ366" s="101" t="str">
        <f t="shared" si="271"/>
        <v/>
      </c>
      <c r="GA366" s="101" t="str">
        <f t="shared" si="276"/>
        <v/>
      </c>
      <c r="GB366" s="101" t="str">
        <f t="shared" si="277"/>
        <v/>
      </c>
      <c r="GC366" s="101" t="str">
        <f t="shared" si="278"/>
        <v/>
      </c>
      <c r="GD366" s="101" t="str">
        <f t="shared" si="279"/>
        <v/>
      </c>
      <c r="GE366" s="101" t="str">
        <f t="shared" si="280"/>
        <v/>
      </c>
      <c r="GF366" s="101" t="str">
        <f t="shared" si="281"/>
        <v/>
      </c>
      <c r="GG366" s="101" t="str">
        <f t="shared" si="282"/>
        <v/>
      </c>
      <c r="GH366" s="101" t="str">
        <f t="shared" si="283"/>
        <v/>
      </c>
      <c r="GI366" s="101" t="str">
        <f t="shared" si="284"/>
        <v/>
      </c>
      <c r="GJ366" s="101" t="str">
        <f t="shared" si="285"/>
        <v/>
      </c>
      <c r="GK366" s="101" t="str">
        <f t="shared" si="286"/>
        <v/>
      </c>
      <c r="GL366" s="101" t="str">
        <f t="shared" si="287"/>
        <v/>
      </c>
    </row>
    <row r="367" spans="170:194" ht="16.5" x14ac:dyDescent="0.2">
      <c r="FN367" s="101">
        <v>362</v>
      </c>
      <c r="FO367" s="101">
        <f t="shared" si="272"/>
        <v>37</v>
      </c>
      <c r="FP367" s="101">
        <f t="shared" si="265"/>
        <v>5</v>
      </c>
      <c r="FQ367" s="14">
        <f t="shared" si="266"/>
        <v>5</v>
      </c>
      <c r="FR367" s="101" t="str">
        <f t="shared" si="273"/>
        <v>项羽专属武器-魂珠-5 1级</v>
      </c>
      <c r="FS367" s="101">
        <f t="shared" si="274"/>
        <v>5</v>
      </c>
      <c r="FT367" s="101">
        <f t="shared" si="275"/>
        <v>1</v>
      </c>
      <c r="FU367" s="101" t="str">
        <f t="shared" si="267"/>
        <v>金币</v>
      </c>
      <c r="FV367" s="139">
        <f>IF($FT367&gt;0,IF(INDEX($EI$6:$EI$77,$FO367)&gt;=FV$3,ROUND(INDEX(EK$6:EK$77,$FO367)*INDEX(卡牌消耗!$B$8:$F$8,FQ367)/5,0)*5,""),"")</f>
        <v>2990</v>
      </c>
      <c r="FW367" s="101" t="str">
        <f t="shared" si="268"/>
        <v>专属强化石2</v>
      </c>
      <c r="FX367" s="101">
        <f t="shared" si="269"/>
        <v>3</v>
      </c>
      <c r="FY367" s="101" t="str">
        <f t="shared" si="270"/>
        <v>专属强化石3</v>
      </c>
      <c r="FZ367" s="101">
        <f t="shared" si="271"/>
        <v>2</v>
      </c>
      <c r="GA367" s="101">
        <f t="shared" si="276"/>
        <v>0.2</v>
      </c>
      <c r="GB367" s="101">
        <f t="shared" si="277"/>
        <v>1</v>
      </c>
      <c r="GC367" s="101">
        <f t="shared" si="278"/>
        <v>7</v>
      </c>
      <c r="GD367" s="101">
        <f t="shared" si="279"/>
        <v>0</v>
      </c>
      <c r="GE367" s="101">
        <f t="shared" si="280"/>
        <v>1</v>
      </c>
      <c r="GF367" s="101">
        <f t="shared" si="281"/>
        <v>2</v>
      </c>
      <c r="GG367" s="101">
        <f t="shared" si="282"/>
        <v>0.1012</v>
      </c>
      <c r="GH367" s="101">
        <f t="shared" si="283"/>
        <v>1</v>
      </c>
      <c r="GI367" s="101">
        <f t="shared" si="284"/>
        <v>3</v>
      </c>
      <c r="GJ367" s="101">
        <f t="shared" si="285"/>
        <v>0.40479999999999999</v>
      </c>
      <c r="GK367" s="101">
        <f t="shared" si="286"/>
        <v>1</v>
      </c>
      <c r="GL367" s="101">
        <f t="shared" si="287"/>
        <v>7</v>
      </c>
    </row>
    <row r="368" spans="170:194" ht="16.5" x14ac:dyDescent="0.2">
      <c r="FN368" s="101">
        <v>363</v>
      </c>
      <c r="FO368" s="101">
        <f t="shared" si="272"/>
        <v>38</v>
      </c>
      <c r="FP368" s="101">
        <f t="shared" si="265"/>
        <v>5</v>
      </c>
      <c r="FQ368" s="14">
        <f t="shared" si="266"/>
        <v>5</v>
      </c>
      <c r="FR368" s="101" t="str">
        <f t="shared" si="273"/>
        <v>项羽专属武器-魂珠-5 2级</v>
      </c>
      <c r="FS368" s="101">
        <f t="shared" si="274"/>
        <v>5</v>
      </c>
      <c r="FT368" s="101">
        <f t="shared" si="275"/>
        <v>2</v>
      </c>
      <c r="FU368" s="101" t="str">
        <f t="shared" si="267"/>
        <v>金币</v>
      </c>
      <c r="FV368" s="139">
        <f>IF($FT368&gt;0,IF(INDEX($EI$6:$EI$77,$FO368)&gt;=FV$3,ROUND(INDEX(EK$6:EK$77,$FO368)*INDEX(卡牌消耗!$B$8:$F$8,FQ368)/5,0)*5,""),"")</f>
        <v>2245</v>
      </c>
      <c r="FW368" s="101" t="str">
        <f t="shared" si="268"/>
        <v>专属强化石2</v>
      </c>
      <c r="FX368" s="101">
        <f t="shared" si="269"/>
        <v>3</v>
      </c>
      <c r="FY368" s="101" t="str">
        <f t="shared" si="270"/>
        <v>专属强化石3</v>
      </c>
      <c r="FZ368" s="101">
        <f t="shared" si="271"/>
        <v>2</v>
      </c>
      <c r="GA368" s="101">
        <f t="shared" si="276"/>
        <v>0.1</v>
      </c>
      <c r="GB368" s="101">
        <f t="shared" si="277"/>
        <v>1</v>
      </c>
      <c r="GC368" s="101">
        <f t="shared" si="278"/>
        <v>15</v>
      </c>
      <c r="GD368" s="101">
        <f t="shared" si="279"/>
        <v>0</v>
      </c>
      <c r="GE368" s="101">
        <f t="shared" si="280"/>
        <v>1</v>
      </c>
      <c r="GF368" s="101">
        <f t="shared" si="281"/>
        <v>3</v>
      </c>
      <c r="GG368" s="101">
        <f t="shared" si="282"/>
        <v>5.0599999999999999E-2</v>
      </c>
      <c r="GH368" s="101">
        <f t="shared" si="283"/>
        <v>1</v>
      </c>
      <c r="GI368" s="101">
        <f t="shared" si="284"/>
        <v>7</v>
      </c>
      <c r="GJ368" s="101">
        <f t="shared" si="285"/>
        <v>0.2024</v>
      </c>
      <c r="GK368" s="101">
        <f t="shared" si="286"/>
        <v>1</v>
      </c>
      <c r="GL368" s="101">
        <f t="shared" si="287"/>
        <v>15</v>
      </c>
    </row>
    <row r="369" spans="170:194" ht="16.5" x14ac:dyDescent="0.2">
      <c r="FN369" s="101">
        <v>364</v>
      </c>
      <c r="FO369" s="101">
        <f t="shared" si="272"/>
        <v>39</v>
      </c>
      <c r="FP369" s="101">
        <f t="shared" si="265"/>
        <v>5</v>
      </c>
      <c r="FQ369" s="14">
        <f t="shared" si="266"/>
        <v>5</v>
      </c>
      <c r="FR369" s="101" t="str">
        <f t="shared" si="273"/>
        <v>项羽专属武器-魂珠-5 3级</v>
      </c>
      <c r="FS369" s="101">
        <f t="shared" si="274"/>
        <v>5</v>
      </c>
      <c r="FT369" s="101">
        <f t="shared" si="275"/>
        <v>3</v>
      </c>
      <c r="FU369" s="101" t="str">
        <f t="shared" si="267"/>
        <v>金币</v>
      </c>
      <c r="FV369" s="139">
        <f>IF($FT369&gt;0,IF(INDEX($EI$6:$EI$77,$FO369)&gt;=FV$3,ROUND(INDEX(EK$6:EK$77,$FO369)*INDEX(卡牌消耗!$B$8:$F$8,FQ369)/5,0)*5,""),"")</f>
        <v>2490</v>
      </c>
      <c r="FW369" s="101" t="str">
        <f t="shared" si="268"/>
        <v>专属强化石2</v>
      </c>
      <c r="FX369" s="101">
        <f t="shared" si="269"/>
        <v>3</v>
      </c>
      <c r="FY369" s="101" t="str">
        <f t="shared" si="270"/>
        <v>专属强化石3</v>
      </c>
      <c r="FZ369" s="101">
        <f t="shared" si="271"/>
        <v>2</v>
      </c>
      <c r="GA369" s="101">
        <f t="shared" si="276"/>
        <v>7.0000000000000007E-2</v>
      </c>
      <c r="GB369" s="101">
        <f t="shared" si="277"/>
        <v>1</v>
      </c>
      <c r="GC369" s="101">
        <f t="shared" si="278"/>
        <v>22</v>
      </c>
      <c r="GD369" s="101">
        <f t="shared" si="279"/>
        <v>0</v>
      </c>
      <c r="GE369" s="101">
        <f t="shared" si="280"/>
        <v>1</v>
      </c>
      <c r="GF369" s="101">
        <f t="shared" si="281"/>
        <v>5</v>
      </c>
      <c r="GG369" s="101">
        <f t="shared" si="282"/>
        <v>3.3700000000000001E-2</v>
      </c>
      <c r="GH369" s="101">
        <f t="shared" si="283"/>
        <v>1</v>
      </c>
      <c r="GI369" s="101">
        <f t="shared" si="284"/>
        <v>10</v>
      </c>
      <c r="GJ369" s="101">
        <f t="shared" si="285"/>
        <v>0.13489999999999999</v>
      </c>
      <c r="GK369" s="101">
        <f t="shared" si="286"/>
        <v>1</v>
      </c>
      <c r="GL369" s="101">
        <f t="shared" si="287"/>
        <v>22</v>
      </c>
    </row>
    <row r="370" spans="170:194" ht="16.5" x14ac:dyDescent="0.2">
      <c r="FN370" s="101">
        <v>365</v>
      </c>
      <c r="FO370" s="101">
        <f t="shared" si="272"/>
        <v>40</v>
      </c>
      <c r="FP370" s="101">
        <f t="shared" si="265"/>
        <v>5</v>
      </c>
      <c r="FQ370" s="14">
        <f t="shared" si="266"/>
        <v>5</v>
      </c>
      <c r="FR370" s="101" t="str">
        <f t="shared" si="273"/>
        <v>项羽专属武器-魂珠-5 4级</v>
      </c>
      <c r="FS370" s="101">
        <f t="shared" si="274"/>
        <v>5</v>
      </c>
      <c r="FT370" s="101">
        <f t="shared" si="275"/>
        <v>4</v>
      </c>
      <c r="FU370" s="101" t="str">
        <f t="shared" si="267"/>
        <v>金币</v>
      </c>
      <c r="FV370" s="139">
        <f>IF($FT370&gt;0,IF(INDEX($EI$6:$EI$77,$FO370)&gt;=FV$3,ROUND(INDEX(EK$6:EK$77,$FO370)*INDEX(卡牌消耗!$B$8:$F$8,FQ370)/5,0)*5,""),"")</f>
        <v>3590</v>
      </c>
      <c r="FW370" s="101" t="str">
        <f t="shared" si="268"/>
        <v>专属强化石2</v>
      </c>
      <c r="FX370" s="101">
        <f t="shared" si="269"/>
        <v>5</v>
      </c>
      <c r="FY370" s="101" t="str">
        <f t="shared" si="270"/>
        <v>专属强化石3</v>
      </c>
      <c r="FZ370" s="101">
        <f t="shared" si="271"/>
        <v>3</v>
      </c>
      <c r="GA370" s="101">
        <f t="shared" si="276"/>
        <v>0.06</v>
      </c>
      <c r="GB370" s="101">
        <f t="shared" si="277"/>
        <v>1</v>
      </c>
      <c r="GC370" s="101">
        <f t="shared" si="278"/>
        <v>25</v>
      </c>
      <c r="GD370" s="101">
        <f t="shared" si="279"/>
        <v>0</v>
      </c>
      <c r="GE370" s="101">
        <f t="shared" si="280"/>
        <v>1</v>
      </c>
      <c r="GF370" s="101">
        <f t="shared" si="281"/>
        <v>6</v>
      </c>
      <c r="GG370" s="101">
        <f t="shared" si="282"/>
        <v>3.04E-2</v>
      </c>
      <c r="GH370" s="101">
        <f t="shared" si="283"/>
        <v>1</v>
      </c>
      <c r="GI370" s="101">
        <f t="shared" si="284"/>
        <v>12</v>
      </c>
      <c r="GJ370" s="101">
        <f t="shared" si="285"/>
        <v>0.12139999999999999</v>
      </c>
      <c r="GK370" s="101">
        <f t="shared" si="286"/>
        <v>1</v>
      </c>
      <c r="GL370" s="101">
        <f t="shared" si="287"/>
        <v>25</v>
      </c>
    </row>
    <row r="371" spans="170:194" ht="16.5" x14ac:dyDescent="0.2">
      <c r="FN371" s="101">
        <v>366</v>
      </c>
      <c r="FO371" s="101">
        <f t="shared" si="272"/>
        <v>41</v>
      </c>
      <c r="FP371" s="101">
        <f t="shared" si="265"/>
        <v>5</v>
      </c>
      <c r="FQ371" s="14">
        <f t="shared" si="266"/>
        <v>5</v>
      </c>
      <c r="FR371" s="101" t="str">
        <f t="shared" si="273"/>
        <v>项羽专属武器-魂珠-5 5级</v>
      </c>
      <c r="FS371" s="101">
        <f t="shared" si="274"/>
        <v>5</v>
      </c>
      <c r="FT371" s="101">
        <f t="shared" si="275"/>
        <v>5</v>
      </c>
      <c r="FU371" s="101" t="str">
        <f t="shared" si="267"/>
        <v>金币</v>
      </c>
      <c r="FV371" s="139">
        <f>IF($FT371&gt;0,IF(INDEX($EI$6:$EI$77,$FO371)&gt;=FV$3,ROUND(INDEX(EK$6:EK$77,$FO371)*INDEX(卡牌消耗!$B$8:$F$8,FQ371)/5,0)*5,""),"")</f>
        <v>3645</v>
      </c>
      <c r="FW371" s="101" t="str">
        <f t="shared" si="268"/>
        <v>专属强化石2</v>
      </c>
      <c r="FX371" s="101">
        <f t="shared" si="269"/>
        <v>5</v>
      </c>
      <c r="FY371" s="101" t="str">
        <f t="shared" si="270"/>
        <v>专属强化石3</v>
      </c>
      <c r="FZ371" s="101">
        <f t="shared" si="271"/>
        <v>3</v>
      </c>
      <c r="GA371" s="101">
        <f t="shared" si="276"/>
        <v>0.04</v>
      </c>
      <c r="GB371" s="101">
        <f t="shared" si="277"/>
        <v>1</v>
      </c>
      <c r="GC371" s="101">
        <f t="shared" si="278"/>
        <v>40</v>
      </c>
      <c r="GD371" s="101">
        <f t="shared" si="279"/>
        <v>0</v>
      </c>
      <c r="GE371" s="101">
        <f t="shared" si="280"/>
        <v>1</v>
      </c>
      <c r="GF371" s="101">
        <f t="shared" si="281"/>
        <v>9</v>
      </c>
      <c r="GG371" s="101">
        <f t="shared" si="282"/>
        <v>1.9E-2</v>
      </c>
      <c r="GH371" s="101">
        <f t="shared" si="283"/>
        <v>1</v>
      </c>
      <c r="GI371" s="101">
        <f t="shared" si="284"/>
        <v>18</v>
      </c>
      <c r="GJ371" s="101">
        <f t="shared" si="285"/>
        <v>7.5899999999999995E-2</v>
      </c>
      <c r="GK371" s="101">
        <f t="shared" si="286"/>
        <v>1</v>
      </c>
      <c r="GL371" s="101">
        <f t="shared" si="287"/>
        <v>40</v>
      </c>
    </row>
    <row r="372" spans="170:194" ht="16.5" x14ac:dyDescent="0.2">
      <c r="FN372" s="101">
        <v>367</v>
      </c>
      <c r="FO372" s="101">
        <f t="shared" si="272"/>
        <v>42</v>
      </c>
      <c r="FP372" s="101">
        <f t="shared" si="265"/>
        <v>5</v>
      </c>
      <c r="FQ372" s="14">
        <f t="shared" si="266"/>
        <v>5</v>
      </c>
      <c r="FR372" s="101" t="str">
        <f t="shared" si="273"/>
        <v>项羽专属武器-魂珠-5 6级</v>
      </c>
      <c r="FS372" s="101">
        <f t="shared" si="274"/>
        <v>5</v>
      </c>
      <c r="FT372" s="101">
        <f t="shared" si="275"/>
        <v>6</v>
      </c>
      <c r="FU372" s="101" t="str">
        <f t="shared" si="267"/>
        <v>金币</v>
      </c>
      <c r="FV372" s="139">
        <f>IF($FT372&gt;0,IF(INDEX($EI$6:$EI$77,$FO372)&gt;=FV$3,ROUND(INDEX(EK$6:EK$77,$FO372)*INDEX(卡牌消耗!$B$8:$F$8,FQ372)/5,0)*5,""),"")</f>
        <v>6040</v>
      </c>
      <c r="FW372" s="101" t="str">
        <f t="shared" si="268"/>
        <v>专属强化石2</v>
      </c>
      <c r="FX372" s="101">
        <f t="shared" si="269"/>
        <v>8</v>
      </c>
      <c r="FY372" s="101" t="str">
        <f t="shared" si="270"/>
        <v>专属强化石3</v>
      </c>
      <c r="FZ372" s="101">
        <f t="shared" si="271"/>
        <v>5</v>
      </c>
      <c r="GA372" s="101">
        <f t="shared" si="276"/>
        <v>0.04</v>
      </c>
      <c r="GB372" s="101">
        <f t="shared" si="277"/>
        <v>1</v>
      </c>
      <c r="GC372" s="101">
        <f t="shared" si="278"/>
        <v>39</v>
      </c>
      <c r="GD372" s="101">
        <f t="shared" si="279"/>
        <v>0</v>
      </c>
      <c r="GE372" s="101">
        <f t="shared" si="280"/>
        <v>1</v>
      </c>
      <c r="GF372" s="101">
        <f t="shared" si="281"/>
        <v>9</v>
      </c>
      <c r="GG372" s="101">
        <f t="shared" si="282"/>
        <v>1.95E-2</v>
      </c>
      <c r="GH372" s="101">
        <f t="shared" si="283"/>
        <v>1</v>
      </c>
      <c r="GI372" s="101">
        <f t="shared" si="284"/>
        <v>18</v>
      </c>
      <c r="GJ372" s="101">
        <f t="shared" si="285"/>
        <v>7.7799999999999994E-2</v>
      </c>
      <c r="GK372" s="101">
        <f t="shared" si="286"/>
        <v>1</v>
      </c>
      <c r="GL372" s="101">
        <f t="shared" si="287"/>
        <v>39</v>
      </c>
    </row>
    <row r="373" spans="170:194" ht="16.5" x14ac:dyDescent="0.2">
      <c r="FN373" s="101">
        <v>368</v>
      </c>
      <c r="FO373" s="101">
        <f t="shared" si="272"/>
        <v>43</v>
      </c>
      <c r="FP373" s="101">
        <f t="shared" si="265"/>
        <v>5</v>
      </c>
      <c r="FQ373" s="14">
        <f t="shared" si="266"/>
        <v>5</v>
      </c>
      <c r="FR373" s="101" t="str">
        <f t="shared" si="273"/>
        <v>项羽专属武器-魂珠-5 7级</v>
      </c>
      <c r="FS373" s="101">
        <f t="shared" si="274"/>
        <v>5</v>
      </c>
      <c r="FT373" s="101">
        <f t="shared" si="275"/>
        <v>7</v>
      </c>
      <c r="FU373" s="101" t="str">
        <f t="shared" si="267"/>
        <v>金币</v>
      </c>
      <c r="FV373" s="139">
        <f>IF($FT373&gt;0,IF(INDEX($EI$6:$EI$77,$FO373)&gt;=FV$3,ROUND(INDEX(EK$6:EK$77,$FO373)*INDEX(卡牌消耗!$B$8:$F$8,FQ373)/5,0)*5,""),"")</f>
        <v>6055</v>
      </c>
      <c r="FW373" s="101" t="str">
        <f t="shared" si="268"/>
        <v>专属强化石2</v>
      </c>
      <c r="FX373" s="101">
        <f t="shared" si="269"/>
        <v>8</v>
      </c>
      <c r="FY373" s="101" t="str">
        <f t="shared" si="270"/>
        <v>专属强化石3</v>
      </c>
      <c r="FZ373" s="101">
        <f t="shared" si="271"/>
        <v>5</v>
      </c>
      <c r="GA373" s="101">
        <f t="shared" si="276"/>
        <v>0.02</v>
      </c>
      <c r="GB373" s="101">
        <f t="shared" si="277"/>
        <v>1</v>
      </c>
      <c r="GC373" s="101">
        <f t="shared" si="278"/>
        <v>62</v>
      </c>
      <c r="GD373" s="101">
        <f t="shared" si="279"/>
        <v>0</v>
      </c>
      <c r="GE373" s="101">
        <f t="shared" si="280"/>
        <v>1</v>
      </c>
      <c r="GF373" s="101">
        <f t="shared" si="281"/>
        <v>15</v>
      </c>
      <c r="GG373" s="101">
        <f t="shared" si="282"/>
        <v>1.2E-2</v>
      </c>
      <c r="GH373" s="101">
        <f t="shared" si="283"/>
        <v>1</v>
      </c>
      <c r="GI373" s="101">
        <f t="shared" si="284"/>
        <v>29</v>
      </c>
      <c r="GJ373" s="101">
        <f t="shared" si="285"/>
        <v>4.82E-2</v>
      </c>
      <c r="GK373" s="101">
        <f t="shared" si="286"/>
        <v>1</v>
      </c>
      <c r="GL373" s="101">
        <f t="shared" si="287"/>
        <v>62</v>
      </c>
    </row>
    <row r="374" spans="170:194" ht="16.5" x14ac:dyDescent="0.2">
      <c r="FN374" s="101">
        <v>369</v>
      </c>
      <c r="FO374" s="101">
        <f t="shared" si="272"/>
        <v>44</v>
      </c>
      <c r="FP374" s="101">
        <f t="shared" si="265"/>
        <v>5</v>
      </c>
      <c r="FQ374" s="14">
        <f t="shared" si="266"/>
        <v>5</v>
      </c>
      <c r="FR374" s="101" t="str">
        <f t="shared" si="273"/>
        <v>项羽专属武器-魂珠-5 8级</v>
      </c>
      <c r="FS374" s="101">
        <f t="shared" si="274"/>
        <v>5</v>
      </c>
      <c r="FT374" s="101">
        <f t="shared" si="275"/>
        <v>8</v>
      </c>
      <c r="FU374" s="101" t="str">
        <f t="shared" si="267"/>
        <v>金币</v>
      </c>
      <c r="FV374" s="139">
        <f>IF($FT374&gt;0,IF(INDEX($EI$6:$EI$77,$FO374)&gt;=FV$3,ROUND(INDEX(EK$6:EK$77,$FO374)*INDEX(卡牌消耗!$B$8:$F$8,FQ374)/5,0)*5,""),"")</f>
        <v>8470</v>
      </c>
      <c r="FW374" s="101" t="str">
        <f t="shared" si="268"/>
        <v>专属强化石2</v>
      </c>
      <c r="FX374" s="101">
        <f t="shared" si="269"/>
        <v>11</v>
      </c>
      <c r="FY374" s="101" t="str">
        <f t="shared" si="270"/>
        <v>专属强化石3</v>
      </c>
      <c r="FZ374" s="101">
        <f t="shared" si="271"/>
        <v>7</v>
      </c>
      <c r="GA374" s="101">
        <f t="shared" si="276"/>
        <v>0.02</v>
      </c>
      <c r="GB374" s="101">
        <f t="shared" si="277"/>
        <v>1</v>
      </c>
      <c r="GC374" s="101">
        <f t="shared" si="278"/>
        <v>72</v>
      </c>
      <c r="GD374" s="101">
        <f t="shared" si="279"/>
        <v>0</v>
      </c>
      <c r="GE374" s="101">
        <f t="shared" si="280"/>
        <v>1</v>
      </c>
      <c r="GF374" s="101">
        <f t="shared" si="281"/>
        <v>17</v>
      </c>
      <c r="GG374" s="101">
        <f t="shared" si="282"/>
        <v>1.04E-2</v>
      </c>
      <c r="GH374" s="101">
        <f t="shared" si="283"/>
        <v>1</v>
      </c>
      <c r="GI374" s="101">
        <f t="shared" si="284"/>
        <v>34</v>
      </c>
      <c r="GJ374" s="101">
        <f t="shared" si="285"/>
        <v>4.1700000000000001E-2</v>
      </c>
      <c r="GK374" s="101">
        <f t="shared" si="286"/>
        <v>1</v>
      </c>
      <c r="GL374" s="101">
        <f t="shared" si="287"/>
        <v>72</v>
      </c>
    </row>
    <row r="375" spans="170:194" ht="16.5" x14ac:dyDescent="0.2">
      <c r="FN375" s="101">
        <v>370</v>
      </c>
      <c r="FO375" s="101">
        <f t="shared" si="272"/>
        <v>45</v>
      </c>
      <c r="FP375" s="101">
        <f t="shared" si="265"/>
        <v>5</v>
      </c>
      <c r="FQ375" s="14">
        <f t="shared" si="266"/>
        <v>5</v>
      </c>
      <c r="FR375" s="101" t="str">
        <f t="shared" si="273"/>
        <v>项羽专属武器-魂珠-5 9级</v>
      </c>
      <c r="FS375" s="101">
        <f t="shared" si="274"/>
        <v>5</v>
      </c>
      <c r="FT375" s="101">
        <f t="shared" si="275"/>
        <v>9</v>
      </c>
      <c r="FU375" s="101" t="str">
        <f t="shared" si="267"/>
        <v>金币</v>
      </c>
      <c r="FV375" s="139">
        <f>IF($FT375&gt;0,IF(INDEX($EI$6:$EI$77,$FO375)&gt;=FV$3,ROUND(INDEX(EK$6:EK$77,$FO375)*INDEX(卡牌消耗!$B$8:$F$8,FQ375)/5,0)*5,""),"")</f>
        <v>10890</v>
      </c>
      <c r="FW375" s="101" t="str">
        <f t="shared" si="268"/>
        <v>专属强化石2</v>
      </c>
      <c r="FX375" s="101">
        <f t="shared" si="269"/>
        <v>14</v>
      </c>
      <c r="FY375" s="101" t="str">
        <f t="shared" si="270"/>
        <v>专属强化石3</v>
      </c>
      <c r="FZ375" s="101">
        <f t="shared" si="271"/>
        <v>9</v>
      </c>
      <c r="GA375" s="101">
        <f t="shared" si="276"/>
        <v>0.02</v>
      </c>
      <c r="GB375" s="101">
        <f t="shared" si="277"/>
        <v>1</v>
      </c>
      <c r="GC375" s="101">
        <f t="shared" si="278"/>
        <v>91</v>
      </c>
      <c r="GD375" s="101">
        <f t="shared" si="279"/>
        <v>0</v>
      </c>
      <c r="GE375" s="101">
        <f t="shared" si="280"/>
        <v>1</v>
      </c>
      <c r="GF375" s="101">
        <f t="shared" si="281"/>
        <v>21</v>
      </c>
      <c r="GG375" s="101">
        <f t="shared" si="282"/>
        <v>8.3000000000000001E-3</v>
      </c>
      <c r="GH375" s="101">
        <f t="shared" si="283"/>
        <v>1</v>
      </c>
      <c r="GI375" s="101">
        <f t="shared" si="284"/>
        <v>42</v>
      </c>
      <c r="GJ375" s="101">
        <f t="shared" si="285"/>
        <v>3.3099999999999997E-2</v>
      </c>
      <c r="GK375" s="101">
        <f t="shared" si="286"/>
        <v>1</v>
      </c>
      <c r="GL375" s="101">
        <f t="shared" si="287"/>
        <v>91</v>
      </c>
    </row>
    <row r="376" spans="170:194" ht="16.5" x14ac:dyDescent="0.2">
      <c r="FN376" s="101">
        <v>371</v>
      </c>
      <c r="FO376" s="101">
        <f t="shared" si="272"/>
        <v>0</v>
      </c>
      <c r="FP376" s="101">
        <f t="shared" si="265"/>
        <v>5</v>
      </c>
      <c r="FQ376" s="14">
        <f t="shared" si="266"/>
        <v>5</v>
      </c>
      <c r="FR376" s="101" t="str">
        <f t="shared" si="273"/>
        <v>项羽专属武器-魂珠-6 0级</v>
      </c>
      <c r="FS376" s="101">
        <f t="shared" si="274"/>
        <v>6</v>
      </c>
      <c r="FT376" s="101">
        <f t="shared" si="275"/>
        <v>0</v>
      </c>
      <c r="FU376" s="101" t="str">
        <f t="shared" si="267"/>
        <v/>
      </c>
      <c r="FV376" s="139" t="str">
        <f>IF($FT376&gt;0,IF(INDEX($EI$6:$EI$77,$FO376)&gt;=FV$3,ROUND(INDEX(EK$6:EK$77,$FO376)*INDEX(卡牌消耗!$B$8:$F$8,FQ376)/5,0)*5,""),"")</f>
        <v/>
      </c>
      <c r="FW376" s="101" t="str">
        <f t="shared" si="268"/>
        <v/>
      </c>
      <c r="FX376" s="101" t="str">
        <f t="shared" si="269"/>
        <v/>
      </c>
      <c r="FY376" s="101" t="str">
        <f t="shared" si="270"/>
        <v/>
      </c>
      <c r="FZ376" s="101" t="str">
        <f t="shared" si="271"/>
        <v/>
      </c>
      <c r="GA376" s="101" t="str">
        <f t="shared" si="276"/>
        <v/>
      </c>
      <c r="GB376" s="101" t="str">
        <f t="shared" si="277"/>
        <v/>
      </c>
      <c r="GC376" s="101" t="str">
        <f t="shared" si="278"/>
        <v/>
      </c>
      <c r="GD376" s="101" t="str">
        <f t="shared" si="279"/>
        <v/>
      </c>
      <c r="GE376" s="101" t="str">
        <f t="shared" si="280"/>
        <v/>
      </c>
      <c r="GF376" s="101" t="str">
        <f t="shared" si="281"/>
        <v/>
      </c>
      <c r="GG376" s="101" t="str">
        <f t="shared" si="282"/>
        <v/>
      </c>
      <c r="GH376" s="101" t="str">
        <f t="shared" si="283"/>
        <v/>
      </c>
      <c r="GI376" s="101" t="str">
        <f t="shared" si="284"/>
        <v/>
      </c>
      <c r="GJ376" s="101" t="str">
        <f t="shared" si="285"/>
        <v/>
      </c>
      <c r="GK376" s="101" t="str">
        <f t="shared" si="286"/>
        <v/>
      </c>
      <c r="GL376" s="101" t="str">
        <f t="shared" si="287"/>
        <v/>
      </c>
    </row>
    <row r="377" spans="170:194" ht="16.5" x14ac:dyDescent="0.2">
      <c r="FN377" s="101">
        <v>372</v>
      </c>
      <c r="FO377" s="101">
        <f t="shared" si="272"/>
        <v>46</v>
      </c>
      <c r="FP377" s="101">
        <f t="shared" si="265"/>
        <v>5</v>
      </c>
      <c r="FQ377" s="14">
        <f t="shared" si="266"/>
        <v>5</v>
      </c>
      <c r="FR377" s="101" t="str">
        <f t="shared" si="273"/>
        <v>项羽专属武器-魂珠-6 1级</v>
      </c>
      <c r="FS377" s="101">
        <f t="shared" si="274"/>
        <v>6</v>
      </c>
      <c r="FT377" s="101">
        <f t="shared" si="275"/>
        <v>1</v>
      </c>
      <c r="FU377" s="101" t="str">
        <f t="shared" si="267"/>
        <v>金币</v>
      </c>
      <c r="FV377" s="139">
        <f>IF($FT377&gt;0,IF(INDEX($EI$6:$EI$77,$FO377)&gt;=FV$3,ROUND(INDEX(EK$6:EK$77,$FO377)*INDEX(卡牌消耗!$B$8:$F$8,FQ377)/5,0)*5,""),"")</f>
        <v>2910</v>
      </c>
      <c r="FW377" s="101" t="str">
        <f t="shared" si="268"/>
        <v>专属强化石3</v>
      </c>
      <c r="FX377" s="101">
        <f t="shared" si="269"/>
        <v>5</v>
      </c>
      <c r="FY377" s="101" t="str">
        <f t="shared" si="270"/>
        <v>专属强化石4</v>
      </c>
      <c r="FZ377" s="101">
        <f t="shared" si="271"/>
        <v>1</v>
      </c>
      <c r="GA377" s="101">
        <f t="shared" si="276"/>
        <v>0.17</v>
      </c>
      <c r="GB377" s="101">
        <f t="shared" si="277"/>
        <v>1</v>
      </c>
      <c r="GC377" s="101">
        <f t="shared" si="278"/>
        <v>9</v>
      </c>
      <c r="GD377" s="101">
        <f t="shared" si="279"/>
        <v>0</v>
      </c>
      <c r="GE377" s="101">
        <f t="shared" si="280"/>
        <v>1</v>
      </c>
      <c r="GF377" s="101">
        <f t="shared" si="281"/>
        <v>2</v>
      </c>
      <c r="GG377" s="101">
        <f t="shared" si="282"/>
        <v>8.2900000000000001E-2</v>
      </c>
      <c r="GH377" s="101">
        <f t="shared" si="283"/>
        <v>1</v>
      </c>
      <c r="GI377" s="101">
        <f t="shared" si="284"/>
        <v>4</v>
      </c>
      <c r="GJ377" s="101">
        <f t="shared" si="285"/>
        <v>0.33139999999999997</v>
      </c>
      <c r="GK377" s="101">
        <f t="shared" si="286"/>
        <v>1</v>
      </c>
      <c r="GL377" s="101">
        <f t="shared" si="287"/>
        <v>9</v>
      </c>
    </row>
    <row r="378" spans="170:194" ht="16.5" x14ac:dyDescent="0.2">
      <c r="FN378" s="101">
        <v>373</v>
      </c>
      <c r="FO378" s="101">
        <f t="shared" si="272"/>
        <v>47</v>
      </c>
      <c r="FP378" s="101">
        <f t="shared" si="265"/>
        <v>5</v>
      </c>
      <c r="FQ378" s="14">
        <f t="shared" si="266"/>
        <v>5</v>
      </c>
      <c r="FR378" s="101" t="str">
        <f t="shared" si="273"/>
        <v>项羽专属武器-魂珠-6 2级</v>
      </c>
      <c r="FS378" s="101">
        <f t="shared" si="274"/>
        <v>6</v>
      </c>
      <c r="FT378" s="101">
        <f t="shared" si="275"/>
        <v>2</v>
      </c>
      <c r="FU378" s="101" t="str">
        <f t="shared" si="267"/>
        <v>金币</v>
      </c>
      <c r="FV378" s="139">
        <f>IF($FT378&gt;0,IF(INDEX($EI$6:$EI$77,$FO378)&gt;=FV$3,ROUND(INDEX(EK$6:EK$77,$FO378)*INDEX(卡牌消耗!$B$8:$F$8,FQ378)/5,0)*5,""),"")</f>
        <v>4360</v>
      </c>
      <c r="FW378" s="101" t="str">
        <f t="shared" si="268"/>
        <v>专属强化石3</v>
      </c>
      <c r="FX378" s="101">
        <f t="shared" si="269"/>
        <v>10</v>
      </c>
      <c r="FY378" s="101" t="str">
        <f t="shared" si="270"/>
        <v>专属强化石4</v>
      </c>
      <c r="FZ378" s="101">
        <f t="shared" si="271"/>
        <v>2</v>
      </c>
      <c r="GA378" s="101">
        <f t="shared" si="276"/>
        <v>0.17</v>
      </c>
      <c r="GB378" s="101">
        <f t="shared" si="277"/>
        <v>1</v>
      </c>
      <c r="GC378" s="101">
        <f t="shared" si="278"/>
        <v>9</v>
      </c>
      <c r="GD378" s="101">
        <f t="shared" si="279"/>
        <v>0</v>
      </c>
      <c r="GE378" s="101">
        <f t="shared" si="280"/>
        <v>1</v>
      </c>
      <c r="GF378" s="101">
        <f t="shared" si="281"/>
        <v>2</v>
      </c>
      <c r="GG378" s="101">
        <f t="shared" si="282"/>
        <v>8.2900000000000001E-2</v>
      </c>
      <c r="GH378" s="101">
        <f t="shared" si="283"/>
        <v>1</v>
      </c>
      <c r="GI378" s="101">
        <f t="shared" si="284"/>
        <v>4</v>
      </c>
      <c r="GJ378" s="101">
        <f t="shared" si="285"/>
        <v>0.33139999999999997</v>
      </c>
      <c r="GK378" s="101">
        <f t="shared" si="286"/>
        <v>1</v>
      </c>
      <c r="GL378" s="101">
        <f t="shared" si="287"/>
        <v>9</v>
      </c>
    </row>
    <row r="379" spans="170:194" ht="16.5" x14ac:dyDescent="0.2">
      <c r="FN379" s="101">
        <v>374</v>
      </c>
      <c r="FO379" s="101">
        <f t="shared" si="272"/>
        <v>48</v>
      </c>
      <c r="FP379" s="101">
        <f t="shared" si="265"/>
        <v>5</v>
      </c>
      <c r="FQ379" s="14">
        <f t="shared" si="266"/>
        <v>5</v>
      </c>
      <c r="FR379" s="101" t="str">
        <f t="shared" si="273"/>
        <v>项羽专属武器-魂珠-6 3级</v>
      </c>
      <c r="FS379" s="101">
        <f t="shared" si="274"/>
        <v>6</v>
      </c>
      <c r="FT379" s="101">
        <f t="shared" si="275"/>
        <v>3</v>
      </c>
      <c r="FU379" s="101" t="str">
        <f t="shared" si="267"/>
        <v>金币</v>
      </c>
      <c r="FV379" s="139">
        <f>IF($FT379&gt;0,IF(INDEX($EI$6:$EI$77,$FO379)&gt;=FV$3,ROUND(INDEX(EK$6:EK$77,$FO379)*INDEX(卡牌消耗!$B$8:$F$8,FQ379)/5,0)*5,""),"")</f>
        <v>4845</v>
      </c>
      <c r="FW379" s="101" t="str">
        <f t="shared" si="268"/>
        <v>专属强化石3</v>
      </c>
      <c r="FX379" s="101">
        <f t="shared" si="269"/>
        <v>10</v>
      </c>
      <c r="FY379" s="101" t="str">
        <f t="shared" si="270"/>
        <v>专属强化石4</v>
      </c>
      <c r="FZ379" s="101">
        <f t="shared" si="271"/>
        <v>2</v>
      </c>
      <c r="GA379" s="101">
        <f t="shared" si="276"/>
        <v>0.11</v>
      </c>
      <c r="GB379" s="101">
        <f t="shared" si="277"/>
        <v>1</v>
      </c>
      <c r="GC379" s="101">
        <f t="shared" si="278"/>
        <v>14</v>
      </c>
      <c r="GD379" s="101">
        <f t="shared" si="279"/>
        <v>0</v>
      </c>
      <c r="GE379" s="101">
        <f t="shared" si="280"/>
        <v>1</v>
      </c>
      <c r="GF379" s="101">
        <f t="shared" si="281"/>
        <v>3</v>
      </c>
      <c r="GG379" s="101">
        <f t="shared" si="282"/>
        <v>5.5199999999999999E-2</v>
      </c>
      <c r="GH379" s="101">
        <f t="shared" si="283"/>
        <v>1</v>
      </c>
      <c r="GI379" s="101">
        <f t="shared" si="284"/>
        <v>6</v>
      </c>
      <c r="GJ379" s="101">
        <f t="shared" si="285"/>
        <v>0.221</v>
      </c>
      <c r="GK379" s="101">
        <f t="shared" si="286"/>
        <v>1</v>
      </c>
      <c r="GL379" s="101">
        <f t="shared" si="287"/>
        <v>14</v>
      </c>
    </row>
    <row r="380" spans="170:194" ht="16.5" x14ac:dyDescent="0.2">
      <c r="FN380" s="101">
        <v>375</v>
      </c>
      <c r="FO380" s="101">
        <f t="shared" si="272"/>
        <v>49</v>
      </c>
      <c r="FP380" s="101">
        <f t="shared" si="265"/>
        <v>5</v>
      </c>
      <c r="FQ380" s="14">
        <f t="shared" si="266"/>
        <v>5</v>
      </c>
      <c r="FR380" s="101" t="str">
        <f t="shared" si="273"/>
        <v>项羽专属武器-魂珠-6 4级</v>
      </c>
      <c r="FS380" s="101">
        <f t="shared" si="274"/>
        <v>6</v>
      </c>
      <c r="FT380" s="101">
        <f t="shared" si="275"/>
        <v>4</v>
      </c>
      <c r="FU380" s="101" t="str">
        <f t="shared" si="267"/>
        <v>金币</v>
      </c>
      <c r="FV380" s="139">
        <f>IF($FT380&gt;0,IF(INDEX($EI$6:$EI$77,$FO380)&gt;=FV$3,ROUND(INDEX(EK$6:EK$77,$FO380)*INDEX(卡牌消耗!$B$8:$F$8,FQ380)/5,0)*5,""),"")</f>
        <v>6980</v>
      </c>
      <c r="FW380" s="101" t="str">
        <f t="shared" si="268"/>
        <v>专属强化石3</v>
      </c>
      <c r="FX380" s="101">
        <f t="shared" si="269"/>
        <v>15</v>
      </c>
      <c r="FY380" s="101" t="str">
        <f t="shared" si="270"/>
        <v>专属强化石4</v>
      </c>
      <c r="FZ380" s="101">
        <f t="shared" si="271"/>
        <v>3</v>
      </c>
      <c r="GA380" s="101">
        <f t="shared" si="276"/>
        <v>0.1</v>
      </c>
      <c r="GB380" s="101">
        <f t="shared" si="277"/>
        <v>1</v>
      </c>
      <c r="GC380" s="101">
        <f t="shared" si="278"/>
        <v>15</v>
      </c>
      <c r="GD380" s="101">
        <f t="shared" si="279"/>
        <v>0</v>
      </c>
      <c r="GE380" s="101">
        <f t="shared" si="280"/>
        <v>1</v>
      </c>
      <c r="GF380" s="101">
        <f t="shared" si="281"/>
        <v>4</v>
      </c>
      <c r="GG380" s="101">
        <f t="shared" si="282"/>
        <v>4.9700000000000001E-2</v>
      </c>
      <c r="GH380" s="101">
        <f t="shared" si="283"/>
        <v>1</v>
      </c>
      <c r="GI380" s="101">
        <f t="shared" si="284"/>
        <v>7</v>
      </c>
      <c r="GJ380" s="101">
        <f t="shared" si="285"/>
        <v>0.19889999999999999</v>
      </c>
      <c r="GK380" s="101">
        <f t="shared" si="286"/>
        <v>1</v>
      </c>
      <c r="GL380" s="101">
        <f t="shared" si="287"/>
        <v>15</v>
      </c>
    </row>
    <row r="381" spans="170:194" ht="16.5" x14ac:dyDescent="0.2">
      <c r="FN381" s="101">
        <v>376</v>
      </c>
      <c r="FO381" s="101">
        <f t="shared" si="272"/>
        <v>50</v>
      </c>
      <c r="FP381" s="101">
        <f t="shared" si="265"/>
        <v>5</v>
      </c>
      <c r="FQ381" s="14">
        <f t="shared" si="266"/>
        <v>5</v>
      </c>
      <c r="FR381" s="101" t="str">
        <f t="shared" si="273"/>
        <v>项羽专属武器-魂珠-6 5级</v>
      </c>
      <c r="FS381" s="101">
        <f t="shared" si="274"/>
        <v>6</v>
      </c>
      <c r="FT381" s="101">
        <f t="shared" si="275"/>
        <v>5</v>
      </c>
      <c r="FU381" s="101" t="str">
        <f t="shared" si="267"/>
        <v>金币</v>
      </c>
      <c r="FV381" s="139">
        <f>IF($FT381&gt;0,IF(INDEX($EI$6:$EI$77,$FO381)&gt;=FV$3,ROUND(INDEX(EK$6:EK$77,$FO381)*INDEX(卡牌消耗!$B$8:$F$8,FQ381)/5,0)*5,""),"")</f>
        <v>7090</v>
      </c>
      <c r="FW381" s="101" t="str">
        <f t="shared" si="268"/>
        <v>专属强化石3</v>
      </c>
      <c r="FX381" s="101">
        <f t="shared" si="269"/>
        <v>15</v>
      </c>
      <c r="FY381" s="101" t="str">
        <f t="shared" si="270"/>
        <v>专属强化石4</v>
      </c>
      <c r="FZ381" s="101">
        <f t="shared" si="271"/>
        <v>3</v>
      </c>
      <c r="GA381" s="101">
        <f t="shared" si="276"/>
        <v>0.06</v>
      </c>
      <c r="GB381" s="101">
        <f t="shared" si="277"/>
        <v>1</v>
      </c>
      <c r="GC381" s="101">
        <f t="shared" si="278"/>
        <v>24</v>
      </c>
      <c r="GD381" s="101">
        <f t="shared" si="279"/>
        <v>0</v>
      </c>
      <c r="GE381" s="101">
        <f t="shared" si="280"/>
        <v>1</v>
      </c>
      <c r="GF381" s="101">
        <f t="shared" si="281"/>
        <v>6</v>
      </c>
      <c r="GG381" s="101">
        <f t="shared" si="282"/>
        <v>3.1099999999999999E-2</v>
      </c>
      <c r="GH381" s="101">
        <f t="shared" si="283"/>
        <v>1</v>
      </c>
      <c r="GI381" s="101">
        <f t="shared" si="284"/>
        <v>11</v>
      </c>
      <c r="GJ381" s="101">
        <f t="shared" si="285"/>
        <v>0.12429999999999999</v>
      </c>
      <c r="GK381" s="101">
        <f t="shared" si="286"/>
        <v>1</v>
      </c>
      <c r="GL381" s="101">
        <f t="shared" si="287"/>
        <v>24</v>
      </c>
    </row>
    <row r="382" spans="170:194" ht="16.5" x14ac:dyDescent="0.2">
      <c r="FN382" s="101">
        <v>377</v>
      </c>
      <c r="FO382" s="101">
        <f t="shared" si="272"/>
        <v>51</v>
      </c>
      <c r="FP382" s="101">
        <f t="shared" si="265"/>
        <v>5</v>
      </c>
      <c r="FQ382" s="14">
        <f t="shared" si="266"/>
        <v>5</v>
      </c>
      <c r="FR382" s="101" t="str">
        <f t="shared" si="273"/>
        <v>项羽专属武器-魂珠-6 6级</v>
      </c>
      <c r="FS382" s="101">
        <f t="shared" si="274"/>
        <v>6</v>
      </c>
      <c r="FT382" s="101">
        <f t="shared" si="275"/>
        <v>6</v>
      </c>
      <c r="FU382" s="101" t="str">
        <f t="shared" si="267"/>
        <v>金币</v>
      </c>
      <c r="FV382" s="139">
        <f>IF($FT382&gt;0,IF(INDEX($EI$6:$EI$77,$FO382)&gt;=FV$3,ROUND(INDEX(EK$6:EK$77,$FO382)*INDEX(卡牌消耗!$B$8:$F$8,FQ382)/5,0)*5,""),"")</f>
        <v>9395</v>
      </c>
      <c r="FW382" s="101" t="str">
        <f t="shared" si="268"/>
        <v>专属强化石3</v>
      </c>
      <c r="FX382" s="101">
        <f t="shared" si="269"/>
        <v>20</v>
      </c>
      <c r="FY382" s="101" t="str">
        <f t="shared" si="270"/>
        <v>专属强化石4</v>
      </c>
      <c r="FZ382" s="101">
        <f t="shared" si="271"/>
        <v>4</v>
      </c>
      <c r="GA382" s="101">
        <f t="shared" si="276"/>
        <v>0.05</v>
      </c>
      <c r="GB382" s="101">
        <f t="shared" si="277"/>
        <v>1</v>
      </c>
      <c r="GC382" s="101">
        <f t="shared" si="278"/>
        <v>29</v>
      </c>
      <c r="GD382" s="101">
        <f t="shared" si="279"/>
        <v>0</v>
      </c>
      <c r="GE382" s="101">
        <f t="shared" si="280"/>
        <v>1</v>
      </c>
      <c r="GF382" s="101">
        <f t="shared" si="281"/>
        <v>7</v>
      </c>
      <c r="GG382" s="101">
        <f t="shared" si="282"/>
        <v>2.5499999999999998E-2</v>
      </c>
      <c r="GH382" s="101">
        <f t="shared" si="283"/>
        <v>1</v>
      </c>
      <c r="GI382" s="101">
        <f t="shared" si="284"/>
        <v>14</v>
      </c>
      <c r="GJ382" s="101">
        <f t="shared" si="285"/>
        <v>0.10199999999999999</v>
      </c>
      <c r="GK382" s="101">
        <f t="shared" si="286"/>
        <v>1</v>
      </c>
      <c r="GL382" s="101">
        <f t="shared" si="287"/>
        <v>29</v>
      </c>
    </row>
    <row r="383" spans="170:194" ht="16.5" x14ac:dyDescent="0.2">
      <c r="FN383" s="101">
        <v>378</v>
      </c>
      <c r="FO383" s="101">
        <f t="shared" si="272"/>
        <v>52</v>
      </c>
      <c r="FP383" s="101">
        <f t="shared" si="265"/>
        <v>5</v>
      </c>
      <c r="FQ383" s="14">
        <f t="shared" si="266"/>
        <v>5</v>
      </c>
      <c r="FR383" s="101" t="str">
        <f t="shared" si="273"/>
        <v>项羽专属武器-魂珠-6 7级</v>
      </c>
      <c r="FS383" s="101">
        <f t="shared" si="274"/>
        <v>6</v>
      </c>
      <c r="FT383" s="101">
        <f t="shared" si="275"/>
        <v>7</v>
      </c>
      <c r="FU383" s="101" t="str">
        <f t="shared" si="267"/>
        <v>金币</v>
      </c>
      <c r="FV383" s="139">
        <f>IF($FT383&gt;0,IF(INDEX($EI$6:$EI$77,$FO383)&gt;=FV$3,ROUND(INDEX(EK$6:EK$77,$FO383)*INDEX(卡牌消耗!$B$8:$F$8,FQ383)/5,0)*5,""),"")</f>
        <v>11770</v>
      </c>
      <c r="FW383" s="101" t="str">
        <f t="shared" si="268"/>
        <v>专属强化石3</v>
      </c>
      <c r="FX383" s="101">
        <f t="shared" si="269"/>
        <v>25</v>
      </c>
      <c r="FY383" s="101" t="str">
        <f t="shared" si="270"/>
        <v>专属强化石4</v>
      </c>
      <c r="FZ383" s="101">
        <f t="shared" si="271"/>
        <v>5</v>
      </c>
      <c r="GA383" s="101">
        <f t="shared" si="276"/>
        <v>0.04</v>
      </c>
      <c r="GB383" s="101">
        <f t="shared" si="277"/>
        <v>1</v>
      </c>
      <c r="GC383" s="101">
        <f t="shared" si="278"/>
        <v>38</v>
      </c>
      <c r="GD383" s="101">
        <f t="shared" si="279"/>
        <v>0</v>
      </c>
      <c r="GE383" s="101">
        <f t="shared" si="280"/>
        <v>1</v>
      </c>
      <c r="GF383" s="101">
        <f t="shared" si="281"/>
        <v>9</v>
      </c>
      <c r="GG383" s="101">
        <f t="shared" si="282"/>
        <v>1.9699999999999999E-2</v>
      </c>
      <c r="GH383" s="101">
        <f t="shared" si="283"/>
        <v>1</v>
      </c>
      <c r="GI383" s="101">
        <f t="shared" si="284"/>
        <v>18</v>
      </c>
      <c r="GJ383" s="101">
        <f t="shared" si="285"/>
        <v>7.8899999999999998E-2</v>
      </c>
      <c r="GK383" s="101">
        <f t="shared" si="286"/>
        <v>1</v>
      </c>
      <c r="GL383" s="101">
        <f t="shared" si="287"/>
        <v>38</v>
      </c>
    </row>
    <row r="384" spans="170:194" ht="16.5" x14ac:dyDescent="0.2">
      <c r="FN384" s="101">
        <v>379</v>
      </c>
      <c r="FO384" s="101">
        <f t="shared" si="272"/>
        <v>53</v>
      </c>
      <c r="FP384" s="101">
        <f t="shared" si="265"/>
        <v>5</v>
      </c>
      <c r="FQ384" s="14">
        <f t="shared" si="266"/>
        <v>5</v>
      </c>
      <c r="FR384" s="101" t="str">
        <f t="shared" si="273"/>
        <v>项羽专属武器-魂珠-6 8级</v>
      </c>
      <c r="FS384" s="101">
        <f t="shared" si="274"/>
        <v>6</v>
      </c>
      <c r="FT384" s="101">
        <f t="shared" si="275"/>
        <v>8</v>
      </c>
      <c r="FU384" s="101" t="str">
        <f t="shared" si="267"/>
        <v>金币</v>
      </c>
      <c r="FV384" s="139">
        <f>IF($FT384&gt;0,IF(INDEX($EI$6:$EI$77,$FO384)&gt;=FV$3,ROUND(INDEX(EK$6:EK$77,$FO384)*INDEX(卡牌消耗!$B$8:$F$8,FQ384)/5,0)*5,""),"")</f>
        <v>16465</v>
      </c>
      <c r="FW384" s="101" t="str">
        <f t="shared" si="268"/>
        <v>专属强化石3</v>
      </c>
      <c r="FX384" s="101">
        <f t="shared" si="269"/>
        <v>35</v>
      </c>
      <c r="FY384" s="101" t="str">
        <f t="shared" si="270"/>
        <v>专属强化石4</v>
      </c>
      <c r="FZ384" s="101">
        <f t="shared" si="271"/>
        <v>7</v>
      </c>
      <c r="GA384" s="101">
        <f t="shared" si="276"/>
        <v>0.03</v>
      </c>
      <c r="GB384" s="101">
        <f t="shared" si="277"/>
        <v>1</v>
      </c>
      <c r="GC384" s="101">
        <f t="shared" si="278"/>
        <v>44</v>
      </c>
      <c r="GD384" s="101">
        <f t="shared" si="279"/>
        <v>0</v>
      </c>
      <c r="GE384" s="101">
        <f t="shared" si="280"/>
        <v>1</v>
      </c>
      <c r="GF384" s="101">
        <f t="shared" si="281"/>
        <v>10</v>
      </c>
      <c r="GG384" s="101">
        <f t="shared" si="282"/>
        <v>1.7100000000000001E-2</v>
      </c>
      <c r="GH384" s="101">
        <f t="shared" si="283"/>
        <v>1</v>
      </c>
      <c r="GI384" s="101">
        <f t="shared" si="284"/>
        <v>21</v>
      </c>
      <c r="GJ384" s="101">
        <f t="shared" si="285"/>
        <v>6.8199999999999997E-2</v>
      </c>
      <c r="GK384" s="101">
        <f t="shared" si="286"/>
        <v>1</v>
      </c>
      <c r="GL384" s="101">
        <f t="shared" si="287"/>
        <v>44</v>
      </c>
    </row>
    <row r="385" spans="170:194" ht="16.5" x14ac:dyDescent="0.2">
      <c r="FN385" s="101">
        <v>380</v>
      </c>
      <c r="FO385" s="101">
        <f t="shared" si="272"/>
        <v>54</v>
      </c>
      <c r="FP385" s="101">
        <f t="shared" si="265"/>
        <v>5</v>
      </c>
      <c r="FQ385" s="14">
        <f t="shared" si="266"/>
        <v>5</v>
      </c>
      <c r="FR385" s="101" t="str">
        <f t="shared" si="273"/>
        <v>项羽专属武器-魂珠-6 9级</v>
      </c>
      <c r="FS385" s="101">
        <f t="shared" si="274"/>
        <v>6</v>
      </c>
      <c r="FT385" s="101">
        <f t="shared" si="275"/>
        <v>9</v>
      </c>
      <c r="FU385" s="101" t="str">
        <f t="shared" si="267"/>
        <v>金币</v>
      </c>
      <c r="FV385" s="139">
        <f>IF($FT385&gt;0,IF(INDEX($EI$6:$EI$77,$FO385)&gt;=FV$3,ROUND(INDEX(EK$6:EK$77,$FO385)*INDEX(卡牌消耗!$B$8:$F$8,FQ385)/5,0)*5,""),"")</f>
        <v>18825</v>
      </c>
      <c r="FW385" s="101" t="str">
        <f t="shared" si="268"/>
        <v>专属强化石3</v>
      </c>
      <c r="FX385" s="101">
        <f t="shared" si="269"/>
        <v>40</v>
      </c>
      <c r="FY385" s="101" t="str">
        <f t="shared" si="270"/>
        <v>专属强化石4</v>
      </c>
      <c r="FZ385" s="101">
        <f t="shared" si="271"/>
        <v>8</v>
      </c>
      <c r="GA385" s="101">
        <f t="shared" si="276"/>
        <v>0.02</v>
      </c>
      <c r="GB385" s="101">
        <f t="shared" si="277"/>
        <v>1</v>
      </c>
      <c r="GC385" s="101">
        <f t="shared" si="278"/>
        <v>62</v>
      </c>
      <c r="GD385" s="101">
        <f t="shared" si="279"/>
        <v>0</v>
      </c>
      <c r="GE385" s="101">
        <f t="shared" si="280"/>
        <v>1</v>
      </c>
      <c r="GF385" s="101">
        <f t="shared" si="281"/>
        <v>15</v>
      </c>
      <c r="GG385" s="101">
        <f t="shared" si="282"/>
        <v>1.21E-2</v>
      </c>
      <c r="GH385" s="101">
        <f t="shared" si="283"/>
        <v>1</v>
      </c>
      <c r="GI385" s="101">
        <f t="shared" si="284"/>
        <v>29</v>
      </c>
      <c r="GJ385" s="101">
        <f t="shared" si="285"/>
        <v>4.82E-2</v>
      </c>
      <c r="GK385" s="101">
        <f t="shared" si="286"/>
        <v>1</v>
      </c>
      <c r="GL385" s="101">
        <f t="shared" si="287"/>
        <v>62</v>
      </c>
    </row>
    <row r="386" spans="170:194" ht="16.5" x14ac:dyDescent="0.2">
      <c r="FN386" s="101">
        <v>381</v>
      </c>
      <c r="FO386" s="101">
        <f t="shared" si="272"/>
        <v>0</v>
      </c>
      <c r="FP386" s="101">
        <f t="shared" si="265"/>
        <v>5</v>
      </c>
      <c r="FQ386" s="14">
        <f t="shared" si="266"/>
        <v>5</v>
      </c>
      <c r="FR386" s="101" t="str">
        <f t="shared" si="273"/>
        <v>项羽专属武器-魂珠-7 0级</v>
      </c>
      <c r="FS386" s="101">
        <f t="shared" si="274"/>
        <v>7</v>
      </c>
      <c r="FT386" s="101">
        <f t="shared" si="275"/>
        <v>0</v>
      </c>
      <c r="FU386" s="101" t="str">
        <f t="shared" si="267"/>
        <v/>
      </c>
      <c r="FV386" s="139" t="str">
        <f>IF($FT386&gt;0,IF(INDEX($EI$6:$EI$77,$FO386)&gt;=FV$3,ROUND(INDEX(EK$6:EK$77,$FO386)*INDEX(卡牌消耗!$B$8:$F$8,FQ386)/5,0)*5,""),"")</f>
        <v/>
      </c>
      <c r="FW386" s="101" t="str">
        <f t="shared" si="268"/>
        <v/>
      </c>
      <c r="FX386" s="101" t="str">
        <f t="shared" si="269"/>
        <v/>
      </c>
      <c r="FY386" s="101" t="str">
        <f t="shared" si="270"/>
        <v/>
      </c>
      <c r="FZ386" s="101" t="str">
        <f t="shared" si="271"/>
        <v/>
      </c>
      <c r="GA386" s="101" t="str">
        <f t="shared" si="276"/>
        <v/>
      </c>
      <c r="GB386" s="101" t="str">
        <f t="shared" si="277"/>
        <v/>
      </c>
      <c r="GC386" s="101" t="str">
        <f t="shared" si="278"/>
        <v/>
      </c>
      <c r="GD386" s="101" t="str">
        <f t="shared" si="279"/>
        <v/>
      </c>
      <c r="GE386" s="101" t="str">
        <f t="shared" si="280"/>
        <v/>
      </c>
      <c r="GF386" s="101" t="str">
        <f t="shared" si="281"/>
        <v/>
      </c>
      <c r="GG386" s="101" t="str">
        <f t="shared" si="282"/>
        <v/>
      </c>
      <c r="GH386" s="101" t="str">
        <f t="shared" si="283"/>
        <v/>
      </c>
      <c r="GI386" s="101" t="str">
        <f t="shared" si="284"/>
        <v/>
      </c>
      <c r="GJ386" s="101" t="str">
        <f t="shared" si="285"/>
        <v/>
      </c>
      <c r="GK386" s="101" t="str">
        <f t="shared" si="286"/>
        <v/>
      </c>
      <c r="GL386" s="101" t="str">
        <f t="shared" si="287"/>
        <v/>
      </c>
    </row>
    <row r="387" spans="170:194" ht="16.5" x14ac:dyDescent="0.2">
      <c r="FN387" s="101">
        <v>382</v>
      </c>
      <c r="FO387" s="101">
        <f t="shared" si="272"/>
        <v>55</v>
      </c>
      <c r="FP387" s="101">
        <f t="shared" si="265"/>
        <v>5</v>
      </c>
      <c r="FQ387" s="14">
        <f t="shared" si="266"/>
        <v>5</v>
      </c>
      <c r="FR387" s="101" t="str">
        <f t="shared" si="273"/>
        <v>项羽专属武器-魂珠-7 1级</v>
      </c>
      <c r="FS387" s="101">
        <f t="shared" si="274"/>
        <v>7</v>
      </c>
      <c r="FT387" s="101">
        <f t="shared" si="275"/>
        <v>1</v>
      </c>
      <c r="FU387" s="101" t="str">
        <f t="shared" si="267"/>
        <v>金币</v>
      </c>
      <c r="FV387" s="139">
        <f>IF($FT387&gt;0,IF(INDEX($EI$6:$EI$77,$FO387)&gt;=FV$3,ROUND(INDEX(EK$6:EK$77,$FO387)*INDEX(卡牌消耗!$B$8:$F$8,FQ387)/5,0)*5,""),"")</f>
        <v>24175</v>
      </c>
      <c r="FW387" s="101" t="str">
        <f t="shared" si="268"/>
        <v>专属强化石3</v>
      </c>
      <c r="FX387" s="101">
        <f t="shared" si="269"/>
        <v>6</v>
      </c>
      <c r="FY387" s="101" t="str">
        <f t="shared" si="270"/>
        <v>专属强化石4</v>
      </c>
      <c r="FZ387" s="101">
        <f t="shared" si="271"/>
        <v>2</v>
      </c>
      <c r="GA387" s="101">
        <f t="shared" si="276"/>
        <v>0.2</v>
      </c>
      <c r="GB387" s="101">
        <f t="shared" si="277"/>
        <v>1</v>
      </c>
      <c r="GC387" s="101">
        <f t="shared" si="278"/>
        <v>8</v>
      </c>
      <c r="GD387" s="101">
        <f t="shared" si="279"/>
        <v>0</v>
      </c>
      <c r="GE387" s="101">
        <f t="shared" si="280"/>
        <v>1</v>
      </c>
      <c r="GF387" s="101">
        <f t="shared" si="281"/>
        <v>2</v>
      </c>
      <c r="GG387" s="101">
        <f t="shared" si="282"/>
        <v>9.9400000000000002E-2</v>
      </c>
      <c r="GH387" s="101">
        <f t="shared" si="283"/>
        <v>1</v>
      </c>
      <c r="GI387" s="101">
        <f t="shared" si="284"/>
        <v>4</v>
      </c>
      <c r="GJ387" s="101">
        <f t="shared" si="285"/>
        <v>0.3977</v>
      </c>
      <c r="GK387" s="101">
        <f t="shared" si="286"/>
        <v>1</v>
      </c>
      <c r="GL387" s="101">
        <f t="shared" si="287"/>
        <v>8</v>
      </c>
    </row>
    <row r="388" spans="170:194" ht="16.5" x14ac:dyDescent="0.2">
      <c r="FN388" s="101">
        <v>383</v>
      </c>
      <c r="FO388" s="101">
        <f t="shared" si="272"/>
        <v>56</v>
      </c>
      <c r="FP388" s="101">
        <f t="shared" si="265"/>
        <v>5</v>
      </c>
      <c r="FQ388" s="14">
        <f t="shared" si="266"/>
        <v>5</v>
      </c>
      <c r="FR388" s="101" t="str">
        <f t="shared" si="273"/>
        <v>项羽专属武器-魂珠-7 2级</v>
      </c>
      <c r="FS388" s="101">
        <f t="shared" si="274"/>
        <v>7</v>
      </c>
      <c r="FT388" s="101">
        <f t="shared" si="275"/>
        <v>2</v>
      </c>
      <c r="FU388" s="101" t="str">
        <f t="shared" si="267"/>
        <v>金币</v>
      </c>
      <c r="FV388" s="139">
        <f>IF($FT388&gt;0,IF(INDEX($EI$6:$EI$77,$FO388)&gt;=FV$3,ROUND(INDEX(EK$6:EK$77,$FO388)*INDEX(卡牌消耗!$B$8:$F$8,FQ388)/5,0)*5,""),"")</f>
        <v>18130</v>
      </c>
      <c r="FW388" s="101" t="str">
        <f t="shared" si="268"/>
        <v>专属强化石3</v>
      </c>
      <c r="FX388" s="101">
        <f t="shared" si="269"/>
        <v>6</v>
      </c>
      <c r="FY388" s="101" t="str">
        <f t="shared" si="270"/>
        <v>专属强化石4</v>
      </c>
      <c r="FZ388" s="101">
        <f t="shared" si="271"/>
        <v>2</v>
      </c>
      <c r="GA388" s="101">
        <f t="shared" si="276"/>
        <v>0.1</v>
      </c>
      <c r="GB388" s="101">
        <f t="shared" si="277"/>
        <v>1</v>
      </c>
      <c r="GC388" s="101">
        <f t="shared" si="278"/>
        <v>15</v>
      </c>
      <c r="GD388" s="101">
        <f t="shared" si="279"/>
        <v>0</v>
      </c>
      <c r="GE388" s="101">
        <f t="shared" si="280"/>
        <v>1</v>
      </c>
      <c r="GF388" s="101">
        <f t="shared" si="281"/>
        <v>4</v>
      </c>
      <c r="GG388" s="101">
        <f t="shared" si="282"/>
        <v>4.9700000000000001E-2</v>
      </c>
      <c r="GH388" s="101">
        <f t="shared" si="283"/>
        <v>1</v>
      </c>
      <c r="GI388" s="101">
        <f t="shared" si="284"/>
        <v>7</v>
      </c>
      <c r="GJ388" s="101">
        <f t="shared" si="285"/>
        <v>0.19889999999999999</v>
      </c>
      <c r="GK388" s="101">
        <f t="shared" si="286"/>
        <v>1</v>
      </c>
      <c r="GL388" s="101">
        <f t="shared" si="287"/>
        <v>15</v>
      </c>
    </row>
    <row r="389" spans="170:194" ht="16.5" x14ac:dyDescent="0.2">
      <c r="FN389" s="101">
        <v>384</v>
      </c>
      <c r="FO389" s="101">
        <f t="shared" si="272"/>
        <v>57</v>
      </c>
      <c r="FP389" s="101">
        <f t="shared" si="265"/>
        <v>5</v>
      </c>
      <c r="FQ389" s="14">
        <f t="shared" si="266"/>
        <v>5</v>
      </c>
      <c r="FR389" s="101" t="str">
        <f t="shared" si="273"/>
        <v>项羽专属武器-魂珠-7 3级</v>
      </c>
      <c r="FS389" s="101">
        <f t="shared" si="274"/>
        <v>7</v>
      </c>
      <c r="FT389" s="101">
        <f t="shared" si="275"/>
        <v>3</v>
      </c>
      <c r="FU389" s="101" t="str">
        <f t="shared" si="267"/>
        <v>金币</v>
      </c>
      <c r="FV389" s="139">
        <f>IF($FT389&gt;0,IF(INDEX($EI$6:$EI$77,$FO389)&gt;=FV$3,ROUND(INDEX(EK$6:EK$77,$FO389)*INDEX(卡牌消耗!$B$8:$F$8,FQ389)/5,0)*5,""),"")</f>
        <v>30220</v>
      </c>
      <c r="FW389" s="101" t="str">
        <f t="shared" si="268"/>
        <v>专属强化石3</v>
      </c>
      <c r="FX389" s="101">
        <f t="shared" si="269"/>
        <v>9</v>
      </c>
      <c r="FY389" s="101" t="str">
        <f t="shared" si="270"/>
        <v>专属强化石4</v>
      </c>
      <c r="FZ389" s="101">
        <f t="shared" si="271"/>
        <v>3</v>
      </c>
      <c r="GA389" s="101">
        <f t="shared" si="276"/>
        <v>0.1</v>
      </c>
      <c r="GB389" s="101">
        <f t="shared" si="277"/>
        <v>1</v>
      </c>
      <c r="GC389" s="101">
        <f t="shared" si="278"/>
        <v>15</v>
      </c>
      <c r="GD389" s="101">
        <f t="shared" si="279"/>
        <v>0</v>
      </c>
      <c r="GE389" s="101">
        <f t="shared" si="280"/>
        <v>1</v>
      </c>
      <c r="GF389" s="101">
        <f t="shared" si="281"/>
        <v>4</v>
      </c>
      <c r="GG389" s="101">
        <f t="shared" si="282"/>
        <v>4.9700000000000001E-2</v>
      </c>
      <c r="GH389" s="101">
        <f t="shared" si="283"/>
        <v>1</v>
      </c>
      <c r="GI389" s="101">
        <f t="shared" si="284"/>
        <v>7</v>
      </c>
      <c r="GJ389" s="101">
        <f t="shared" si="285"/>
        <v>0.19889999999999999</v>
      </c>
      <c r="GK389" s="101">
        <f t="shared" si="286"/>
        <v>1</v>
      </c>
      <c r="GL389" s="101">
        <f t="shared" si="287"/>
        <v>15</v>
      </c>
    </row>
    <row r="390" spans="170:194" ht="16.5" x14ac:dyDescent="0.2">
      <c r="FN390" s="101">
        <v>385</v>
      </c>
      <c r="FO390" s="101">
        <f t="shared" si="272"/>
        <v>58</v>
      </c>
      <c r="FP390" s="101">
        <f t="shared" si="265"/>
        <v>5</v>
      </c>
      <c r="FQ390" s="14">
        <f t="shared" si="266"/>
        <v>5</v>
      </c>
      <c r="FR390" s="101" t="str">
        <f t="shared" si="273"/>
        <v>项羽专属武器-魂珠-7 4级</v>
      </c>
      <c r="FS390" s="101">
        <f t="shared" si="274"/>
        <v>7</v>
      </c>
      <c r="FT390" s="101">
        <f t="shared" si="275"/>
        <v>4</v>
      </c>
      <c r="FU390" s="101" t="str">
        <f t="shared" si="267"/>
        <v>金币</v>
      </c>
      <c r="FV390" s="139">
        <f>IF($FT390&gt;0,IF(INDEX($EI$6:$EI$77,$FO390)&gt;=FV$3,ROUND(INDEX(EK$6:EK$77,$FO390)*INDEX(卡牌消耗!$B$8:$F$8,FQ390)/5,0)*5,""),"")</f>
        <v>38680</v>
      </c>
      <c r="FW390" s="101" t="str">
        <f t="shared" si="268"/>
        <v>专属强化石3</v>
      </c>
      <c r="FX390" s="101">
        <f t="shared" si="269"/>
        <v>12</v>
      </c>
      <c r="FY390" s="101" t="str">
        <f t="shared" si="270"/>
        <v>专属强化石4</v>
      </c>
      <c r="FZ390" s="101">
        <f t="shared" si="271"/>
        <v>4</v>
      </c>
      <c r="GA390" s="101">
        <f t="shared" si="276"/>
        <v>0.08</v>
      </c>
      <c r="GB390" s="101">
        <f t="shared" si="277"/>
        <v>1</v>
      </c>
      <c r="GC390" s="101">
        <f t="shared" si="278"/>
        <v>19</v>
      </c>
      <c r="GD390" s="101">
        <f t="shared" si="279"/>
        <v>0</v>
      </c>
      <c r="GE390" s="101">
        <f t="shared" si="280"/>
        <v>1</v>
      </c>
      <c r="GF390" s="101">
        <f t="shared" si="281"/>
        <v>4</v>
      </c>
      <c r="GG390" s="101">
        <f t="shared" si="282"/>
        <v>3.9800000000000002E-2</v>
      </c>
      <c r="GH390" s="101">
        <f t="shared" si="283"/>
        <v>1</v>
      </c>
      <c r="GI390" s="101">
        <f t="shared" si="284"/>
        <v>9</v>
      </c>
      <c r="GJ390" s="101">
        <f t="shared" si="285"/>
        <v>0.15909999999999999</v>
      </c>
      <c r="GK390" s="101">
        <f t="shared" si="286"/>
        <v>1</v>
      </c>
      <c r="GL390" s="101">
        <f t="shared" si="287"/>
        <v>19</v>
      </c>
    </row>
    <row r="391" spans="170:194" ht="16.5" x14ac:dyDescent="0.2">
      <c r="FN391" s="101">
        <v>386</v>
      </c>
      <c r="FO391" s="101">
        <f t="shared" si="272"/>
        <v>59</v>
      </c>
      <c r="FP391" s="101">
        <f t="shared" ref="FP391:FP454" si="288">INT((FN391-1)/80+1)</f>
        <v>5</v>
      </c>
      <c r="FQ391" s="14">
        <f t="shared" ref="FQ391:FQ454" si="289">INDEX($FJ$6:$FJ$26,FP391)</f>
        <v>5</v>
      </c>
      <c r="FR391" s="101" t="str">
        <f t="shared" si="273"/>
        <v>项羽专属武器-魂珠-7 5级</v>
      </c>
      <c r="FS391" s="101">
        <f t="shared" si="274"/>
        <v>7</v>
      </c>
      <c r="FT391" s="101">
        <f t="shared" si="275"/>
        <v>5</v>
      </c>
      <c r="FU391" s="101" t="str">
        <f t="shared" ref="FU391:FU454" si="290">IF($FT391&gt;0,IF(INDEX($EI$6:$EI$77,$FO391)&gt;=FU$3,INDEX(EJ$6:EJ$77,$FO391),""),"")</f>
        <v>金币</v>
      </c>
      <c r="FV391" s="139">
        <f>IF($FT391&gt;0,IF(INDEX($EI$6:$EI$77,$FO391)&gt;=FV$3,ROUND(INDEX(EK$6:EK$77,$FO391)*INDEX(卡牌消耗!$B$8:$F$8,FQ391)/5,0)*5,""),"")</f>
        <v>39285</v>
      </c>
      <c r="FW391" s="101" t="str">
        <f t="shared" ref="FW391:FW454" si="291">IF($FT391&gt;0,IF(INDEX($EI$6:$EI$77,$FO391)&gt;=FW$3,INDEX(EL$6:EL$77,$FO391),""),"")</f>
        <v>专属强化石3</v>
      </c>
      <c r="FX391" s="101">
        <f t="shared" ref="FX391:FX454" si="292">IF($FT391&gt;0,IF(INDEX($EI$6:$EI$77,$FO391)&gt;=FX$3,INDEX(EM$6:EM$77,$FO391),""),"")</f>
        <v>12</v>
      </c>
      <c r="FY391" s="101" t="str">
        <f t="shared" ref="FY391:FY454" si="293">IF($FT391&gt;0,IF(INDEX($EI$6:$EI$77,$FO391)&gt;=FY$3,INDEX(EN$6:EN$77,$FO391),""),"")</f>
        <v>专属强化石4</v>
      </c>
      <c r="FZ391" s="101">
        <f t="shared" ref="FZ391:FZ454" si="294">IF($FT391&gt;0,IF(INDEX($EI$6:$EI$77,$FO391)&gt;=FZ$3,INDEX(EO$6:EO$77,$FO391),""),"")</f>
        <v>4</v>
      </c>
      <c r="GA391" s="101">
        <f t="shared" si="276"/>
        <v>0.05</v>
      </c>
      <c r="GB391" s="101">
        <f t="shared" si="277"/>
        <v>1</v>
      </c>
      <c r="GC391" s="101">
        <f t="shared" si="278"/>
        <v>30</v>
      </c>
      <c r="GD391" s="101">
        <f t="shared" si="279"/>
        <v>0</v>
      </c>
      <c r="GE391" s="101">
        <f t="shared" si="280"/>
        <v>1</v>
      </c>
      <c r="GF391" s="101">
        <f t="shared" si="281"/>
        <v>7</v>
      </c>
      <c r="GG391" s="101">
        <f t="shared" si="282"/>
        <v>2.4899999999999999E-2</v>
      </c>
      <c r="GH391" s="101">
        <f t="shared" si="283"/>
        <v>1</v>
      </c>
      <c r="GI391" s="101">
        <f t="shared" si="284"/>
        <v>14</v>
      </c>
      <c r="GJ391" s="101">
        <f t="shared" si="285"/>
        <v>9.9400000000000002E-2</v>
      </c>
      <c r="GK391" s="101">
        <f t="shared" si="286"/>
        <v>1</v>
      </c>
      <c r="GL391" s="101">
        <f t="shared" si="287"/>
        <v>30</v>
      </c>
    </row>
    <row r="392" spans="170:194" ht="16.5" x14ac:dyDescent="0.2">
      <c r="FN392" s="101">
        <v>387</v>
      </c>
      <c r="FO392" s="101">
        <f t="shared" si="272"/>
        <v>60</v>
      </c>
      <c r="FP392" s="101">
        <f t="shared" si="288"/>
        <v>5</v>
      </c>
      <c r="FQ392" s="14">
        <f t="shared" si="289"/>
        <v>5</v>
      </c>
      <c r="FR392" s="101" t="str">
        <f t="shared" si="273"/>
        <v>项羽专属武器-魂珠-7 6级</v>
      </c>
      <c r="FS392" s="101">
        <f t="shared" si="274"/>
        <v>7</v>
      </c>
      <c r="FT392" s="101">
        <f t="shared" si="275"/>
        <v>6</v>
      </c>
      <c r="FU392" s="101" t="str">
        <f t="shared" si="290"/>
        <v>金币</v>
      </c>
      <c r="FV392" s="139">
        <f>IF($FT392&gt;0,IF(INDEX($EI$6:$EI$77,$FO392)&gt;=FV$3,ROUND(INDEX(EK$6:EK$77,$FO392)*INDEX(卡牌消耗!$B$8:$F$8,FQ392)/5,0)*5,""),"")</f>
        <v>48815</v>
      </c>
      <c r="FW392" s="101" t="str">
        <f t="shared" si="291"/>
        <v>专属强化石3</v>
      </c>
      <c r="FX392" s="101">
        <f t="shared" si="292"/>
        <v>15</v>
      </c>
      <c r="FY392" s="101" t="str">
        <f t="shared" si="293"/>
        <v>专属强化石4</v>
      </c>
      <c r="FZ392" s="101">
        <f t="shared" si="294"/>
        <v>5</v>
      </c>
      <c r="GA392" s="101">
        <f t="shared" si="276"/>
        <v>0.04</v>
      </c>
      <c r="GB392" s="101">
        <f t="shared" si="277"/>
        <v>1</v>
      </c>
      <c r="GC392" s="101">
        <f t="shared" si="278"/>
        <v>39</v>
      </c>
      <c r="GD392" s="101">
        <f t="shared" si="279"/>
        <v>0</v>
      </c>
      <c r="GE392" s="101">
        <f t="shared" si="280"/>
        <v>1</v>
      </c>
      <c r="GF392" s="101">
        <f t="shared" si="281"/>
        <v>9</v>
      </c>
      <c r="GG392" s="101">
        <f t="shared" si="282"/>
        <v>1.9099999999999999E-2</v>
      </c>
      <c r="GH392" s="101">
        <f t="shared" si="283"/>
        <v>1</v>
      </c>
      <c r="GI392" s="101">
        <f t="shared" si="284"/>
        <v>18</v>
      </c>
      <c r="GJ392" s="101">
        <f t="shared" si="285"/>
        <v>7.6499999999999999E-2</v>
      </c>
      <c r="GK392" s="101">
        <f t="shared" si="286"/>
        <v>1</v>
      </c>
      <c r="GL392" s="101">
        <f t="shared" si="287"/>
        <v>39</v>
      </c>
    </row>
    <row r="393" spans="170:194" ht="16.5" x14ac:dyDescent="0.2">
      <c r="FN393" s="101">
        <v>388</v>
      </c>
      <c r="FO393" s="101">
        <f t="shared" si="272"/>
        <v>61</v>
      </c>
      <c r="FP393" s="101">
        <f t="shared" si="288"/>
        <v>5</v>
      </c>
      <c r="FQ393" s="14">
        <f t="shared" si="289"/>
        <v>5</v>
      </c>
      <c r="FR393" s="101" t="str">
        <f t="shared" si="273"/>
        <v>项羽专属武器-魂珠-7 7级</v>
      </c>
      <c r="FS393" s="101">
        <f t="shared" si="274"/>
        <v>7</v>
      </c>
      <c r="FT393" s="101">
        <f t="shared" si="275"/>
        <v>7</v>
      </c>
      <c r="FU393" s="101" t="str">
        <f t="shared" si="290"/>
        <v>金币</v>
      </c>
      <c r="FV393" s="139">
        <f>IF($FT393&gt;0,IF(INDEX($EI$6:$EI$77,$FO393)&gt;=FV$3,ROUND(INDEX(EK$6:EK$77,$FO393)*INDEX(卡牌消耗!$B$8:$F$8,FQ393)/5,0)*5,""),"")</f>
        <v>68495</v>
      </c>
      <c r="FW393" s="101" t="str">
        <f t="shared" si="291"/>
        <v>专属强化石3</v>
      </c>
      <c r="FX393" s="101">
        <f t="shared" si="292"/>
        <v>21</v>
      </c>
      <c r="FY393" s="101" t="str">
        <f t="shared" si="293"/>
        <v>专属强化石4</v>
      </c>
      <c r="FZ393" s="101">
        <f t="shared" si="294"/>
        <v>7</v>
      </c>
      <c r="GA393" s="101">
        <f t="shared" si="276"/>
        <v>0.03</v>
      </c>
      <c r="GB393" s="101">
        <f t="shared" si="277"/>
        <v>1</v>
      </c>
      <c r="GC393" s="101">
        <f t="shared" si="278"/>
        <v>45</v>
      </c>
      <c r="GD393" s="101">
        <f t="shared" si="279"/>
        <v>0</v>
      </c>
      <c r="GE393" s="101">
        <f t="shared" si="280"/>
        <v>1</v>
      </c>
      <c r="GF393" s="101">
        <f t="shared" si="281"/>
        <v>11</v>
      </c>
      <c r="GG393" s="101">
        <f t="shared" si="282"/>
        <v>1.66E-2</v>
      </c>
      <c r="GH393" s="101">
        <f t="shared" si="283"/>
        <v>1</v>
      </c>
      <c r="GI393" s="101">
        <f t="shared" si="284"/>
        <v>21</v>
      </c>
      <c r="GJ393" s="101">
        <f t="shared" si="285"/>
        <v>6.6299999999999998E-2</v>
      </c>
      <c r="GK393" s="101">
        <f t="shared" si="286"/>
        <v>1</v>
      </c>
      <c r="GL393" s="101">
        <f t="shared" si="287"/>
        <v>45</v>
      </c>
    </row>
    <row r="394" spans="170:194" ht="16.5" x14ac:dyDescent="0.2">
      <c r="FN394" s="101">
        <v>389</v>
      </c>
      <c r="FO394" s="101">
        <f t="shared" si="272"/>
        <v>62</v>
      </c>
      <c r="FP394" s="101">
        <f t="shared" si="288"/>
        <v>5</v>
      </c>
      <c r="FQ394" s="14">
        <f t="shared" si="289"/>
        <v>5</v>
      </c>
      <c r="FR394" s="101" t="str">
        <f t="shared" si="273"/>
        <v>项羽专属武器-魂珠-7 8级</v>
      </c>
      <c r="FS394" s="101">
        <f t="shared" si="274"/>
        <v>7</v>
      </c>
      <c r="FT394" s="101">
        <f t="shared" si="275"/>
        <v>8</v>
      </c>
      <c r="FU394" s="101" t="str">
        <f t="shared" si="290"/>
        <v>金币</v>
      </c>
      <c r="FV394" s="139">
        <f>IF($FT394&gt;0,IF(INDEX($EI$6:$EI$77,$FO394)&gt;=FV$3,ROUND(INDEX(EK$6:EK$77,$FO394)*INDEX(卡牌消耗!$B$8:$F$8,FQ394)/5,0)*5,""),"")</f>
        <v>78215</v>
      </c>
      <c r="FW394" s="101" t="str">
        <f t="shared" si="291"/>
        <v>专属强化石3</v>
      </c>
      <c r="FX394" s="101">
        <f t="shared" si="292"/>
        <v>24</v>
      </c>
      <c r="FY394" s="101" t="str">
        <f t="shared" si="293"/>
        <v>专属强化石4</v>
      </c>
      <c r="FZ394" s="101">
        <f t="shared" si="294"/>
        <v>8</v>
      </c>
      <c r="GA394" s="101">
        <f t="shared" si="276"/>
        <v>0.02</v>
      </c>
      <c r="GB394" s="101">
        <f t="shared" si="277"/>
        <v>1</v>
      </c>
      <c r="GC394" s="101">
        <f t="shared" si="278"/>
        <v>64</v>
      </c>
      <c r="GD394" s="101">
        <f t="shared" si="279"/>
        <v>0</v>
      </c>
      <c r="GE394" s="101">
        <f t="shared" si="280"/>
        <v>1</v>
      </c>
      <c r="GF394" s="101">
        <f t="shared" si="281"/>
        <v>15</v>
      </c>
      <c r="GG394" s="101">
        <f t="shared" si="282"/>
        <v>1.17E-2</v>
      </c>
      <c r="GH394" s="101">
        <f t="shared" si="283"/>
        <v>1</v>
      </c>
      <c r="GI394" s="101">
        <f t="shared" si="284"/>
        <v>30</v>
      </c>
      <c r="GJ394" s="101">
        <f t="shared" si="285"/>
        <v>4.6800000000000001E-2</v>
      </c>
      <c r="GK394" s="101">
        <f t="shared" si="286"/>
        <v>1</v>
      </c>
      <c r="GL394" s="101">
        <f t="shared" si="287"/>
        <v>64</v>
      </c>
    </row>
    <row r="395" spans="170:194" ht="16.5" x14ac:dyDescent="0.2">
      <c r="FN395" s="101">
        <v>390</v>
      </c>
      <c r="FO395" s="101">
        <f t="shared" si="272"/>
        <v>63</v>
      </c>
      <c r="FP395" s="101">
        <f t="shared" si="288"/>
        <v>5</v>
      </c>
      <c r="FQ395" s="14">
        <f t="shared" si="289"/>
        <v>5</v>
      </c>
      <c r="FR395" s="101" t="str">
        <f t="shared" si="273"/>
        <v>项羽专属武器-魂珠-7 9级</v>
      </c>
      <c r="FS395" s="101">
        <f t="shared" si="274"/>
        <v>7</v>
      </c>
      <c r="FT395" s="101">
        <f t="shared" si="275"/>
        <v>9</v>
      </c>
      <c r="FU395" s="101" t="str">
        <f t="shared" si="290"/>
        <v>金币</v>
      </c>
      <c r="FV395" s="139">
        <f>IF($FT395&gt;0,IF(INDEX($EI$6:$EI$77,$FO395)&gt;=FV$3,ROUND(INDEX(EK$6:EK$77,$FO395)*INDEX(卡牌消耗!$B$8:$F$8,FQ395)/5,0)*5,""),"")</f>
        <v>97800</v>
      </c>
      <c r="FW395" s="101" t="str">
        <f t="shared" si="291"/>
        <v>专属强化石3</v>
      </c>
      <c r="FX395" s="101">
        <f t="shared" si="292"/>
        <v>30</v>
      </c>
      <c r="FY395" s="101" t="str">
        <f t="shared" si="293"/>
        <v>专属强化石4</v>
      </c>
      <c r="FZ395" s="101">
        <f t="shared" si="294"/>
        <v>10</v>
      </c>
      <c r="GA395" s="101">
        <f t="shared" si="276"/>
        <v>0.02</v>
      </c>
      <c r="GB395" s="101">
        <f t="shared" si="277"/>
        <v>1</v>
      </c>
      <c r="GC395" s="101">
        <f t="shared" si="278"/>
        <v>83</v>
      </c>
      <c r="GD395" s="101">
        <f t="shared" si="279"/>
        <v>0</v>
      </c>
      <c r="GE395" s="101">
        <f t="shared" si="280"/>
        <v>1</v>
      </c>
      <c r="GF395" s="101">
        <f t="shared" si="281"/>
        <v>19</v>
      </c>
      <c r="GG395" s="101">
        <f t="shared" si="282"/>
        <v>8.9999999999999993E-3</v>
      </c>
      <c r="GH395" s="101">
        <f t="shared" si="283"/>
        <v>1</v>
      </c>
      <c r="GI395" s="101">
        <f t="shared" si="284"/>
        <v>39</v>
      </c>
      <c r="GJ395" s="101">
        <f t="shared" si="285"/>
        <v>3.6200000000000003E-2</v>
      </c>
      <c r="GK395" s="101">
        <f t="shared" si="286"/>
        <v>1</v>
      </c>
      <c r="GL395" s="101">
        <f t="shared" si="287"/>
        <v>83</v>
      </c>
    </row>
    <row r="396" spans="170:194" ht="16.5" x14ac:dyDescent="0.2">
      <c r="FN396" s="101">
        <v>391</v>
      </c>
      <c r="FO396" s="101">
        <f t="shared" si="272"/>
        <v>0</v>
      </c>
      <c r="FP396" s="101">
        <f t="shared" si="288"/>
        <v>5</v>
      </c>
      <c r="FQ396" s="14">
        <f t="shared" si="289"/>
        <v>5</v>
      </c>
      <c r="FR396" s="101" t="str">
        <f t="shared" si="273"/>
        <v>项羽专属武器-魂珠-8 0级</v>
      </c>
      <c r="FS396" s="101">
        <f t="shared" si="274"/>
        <v>8</v>
      </c>
      <c r="FT396" s="101">
        <f t="shared" si="275"/>
        <v>0</v>
      </c>
      <c r="FU396" s="101" t="str">
        <f t="shared" si="290"/>
        <v/>
      </c>
      <c r="FV396" s="139" t="str">
        <f>IF($FT396&gt;0,IF(INDEX($EI$6:$EI$77,$FO396)&gt;=FV$3,ROUND(INDEX(EK$6:EK$77,$FO396)*INDEX(卡牌消耗!$B$8:$F$8,FQ396)/5,0)*5,""),"")</f>
        <v/>
      </c>
      <c r="FW396" s="101" t="str">
        <f t="shared" si="291"/>
        <v/>
      </c>
      <c r="FX396" s="101" t="str">
        <f t="shared" si="292"/>
        <v/>
      </c>
      <c r="FY396" s="101" t="str">
        <f t="shared" si="293"/>
        <v/>
      </c>
      <c r="FZ396" s="101" t="str">
        <f t="shared" si="294"/>
        <v/>
      </c>
      <c r="GA396" s="101" t="str">
        <f t="shared" si="276"/>
        <v/>
      </c>
      <c r="GB396" s="101" t="str">
        <f t="shared" si="277"/>
        <v/>
      </c>
      <c r="GC396" s="101" t="str">
        <f t="shared" si="278"/>
        <v/>
      </c>
      <c r="GD396" s="101" t="str">
        <f t="shared" si="279"/>
        <v/>
      </c>
      <c r="GE396" s="101" t="str">
        <f t="shared" si="280"/>
        <v/>
      </c>
      <c r="GF396" s="101" t="str">
        <f t="shared" si="281"/>
        <v/>
      </c>
      <c r="GG396" s="101" t="str">
        <f t="shared" si="282"/>
        <v/>
      </c>
      <c r="GH396" s="101" t="str">
        <f t="shared" si="283"/>
        <v/>
      </c>
      <c r="GI396" s="101" t="str">
        <f t="shared" si="284"/>
        <v/>
      </c>
      <c r="GJ396" s="101" t="str">
        <f t="shared" si="285"/>
        <v/>
      </c>
      <c r="GK396" s="101" t="str">
        <f t="shared" si="286"/>
        <v/>
      </c>
      <c r="GL396" s="101" t="str">
        <f t="shared" si="287"/>
        <v/>
      </c>
    </row>
    <row r="397" spans="170:194" ht="16.5" x14ac:dyDescent="0.2">
      <c r="FN397" s="101">
        <v>392</v>
      </c>
      <c r="FO397" s="101">
        <f t="shared" si="272"/>
        <v>64</v>
      </c>
      <c r="FP397" s="101">
        <f t="shared" si="288"/>
        <v>5</v>
      </c>
      <c r="FQ397" s="14">
        <f t="shared" si="289"/>
        <v>5</v>
      </c>
      <c r="FR397" s="101" t="str">
        <f t="shared" si="273"/>
        <v>项羽专属武器-魂珠-8 1级</v>
      </c>
      <c r="FS397" s="101">
        <f t="shared" si="274"/>
        <v>8</v>
      </c>
      <c r="FT397" s="101">
        <f t="shared" si="275"/>
        <v>1</v>
      </c>
      <c r="FU397" s="101" t="str">
        <f t="shared" si="290"/>
        <v>金币</v>
      </c>
      <c r="FV397" s="139">
        <f>IF($FT397&gt;0,IF(INDEX($EI$6:$EI$77,$FO397)&gt;=FV$3,ROUND(INDEX(EK$6:EK$77,$FO397)*INDEX(卡牌消耗!$B$8:$F$8,FQ397)/5,0)*5,""),"")</f>
        <v>20605</v>
      </c>
      <c r="FW397" s="101" t="str">
        <f t="shared" si="291"/>
        <v>专属强化石4</v>
      </c>
      <c r="FX397" s="101">
        <f t="shared" si="292"/>
        <v>5</v>
      </c>
      <c r="FY397" s="101" t="str">
        <f t="shared" si="293"/>
        <v/>
      </c>
      <c r="FZ397" s="101" t="str">
        <f t="shared" si="294"/>
        <v/>
      </c>
      <c r="GA397" s="101">
        <f t="shared" si="276"/>
        <v>0.11</v>
      </c>
      <c r="GB397" s="101">
        <f t="shared" si="277"/>
        <v>1</v>
      </c>
      <c r="GC397" s="101">
        <f t="shared" si="278"/>
        <v>13</v>
      </c>
      <c r="GD397" s="101">
        <f t="shared" si="279"/>
        <v>0</v>
      </c>
      <c r="GE397" s="101">
        <f t="shared" si="280"/>
        <v>1</v>
      </c>
      <c r="GF397" s="101">
        <f t="shared" si="281"/>
        <v>3</v>
      </c>
      <c r="GG397" s="101">
        <f t="shared" si="282"/>
        <v>5.6500000000000002E-2</v>
      </c>
      <c r="GH397" s="101">
        <f t="shared" si="283"/>
        <v>1</v>
      </c>
      <c r="GI397" s="101">
        <f t="shared" si="284"/>
        <v>6</v>
      </c>
      <c r="GJ397" s="101">
        <f t="shared" si="285"/>
        <v>0.22600000000000001</v>
      </c>
      <c r="GK397" s="101">
        <f t="shared" si="286"/>
        <v>1</v>
      </c>
      <c r="GL397" s="101">
        <f t="shared" si="287"/>
        <v>13</v>
      </c>
    </row>
    <row r="398" spans="170:194" ht="16.5" x14ac:dyDescent="0.2">
      <c r="FN398" s="101">
        <v>393</v>
      </c>
      <c r="FO398" s="101">
        <f t="shared" si="272"/>
        <v>65</v>
      </c>
      <c r="FP398" s="101">
        <f t="shared" si="288"/>
        <v>5</v>
      </c>
      <c r="FQ398" s="14">
        <f t="shared" si="289"/>
        <v>5</v>
      </c>
      <c r="FR398" s="101" t="str">
        <f t="shared" si="273"/>
        <v>项羽专属武器-魂珠-8 2级</v>
      </c>
      <c r="FS398" s="101">
        <f t="shared" si="274"/>
        <v>8</v>
      </c>
      <c r="FT398" s="101">
        <f t="shared" si="275"/>
        <v>2</v>
      </c>
      <c r="FU398" s="101" t="str">
        <f t="shared" si="290"/>
        <v>金币</v>
      </c>
      <c r="FV398" s="139">
        <f>IF($FT398&gt;0,IF(INDEX($EI$6:$EI$77,$FO398)&gt;=FV$3,ROUND(INDEX(EK$6:EK$77,$FO398)*INDEX(卡牌消耗!$B$8:$F$8,FQ398)/5,0)*5,""),"")</f>
        <v>24725</v>
      </c>
      <c r="FW398" s="101" t="str">
        <f t="shared" si="291"/>
        <v>专属强化石4</v>
      </c>
      <c r="FX398" s="101">
        <f t="shared" si="292"/>
        <v>8</v>
      </c>
      <c r="FY398" s="101" t="str">
        <f t="shared" si="293"/>
        <v/>
      </c>
      <c r="FZ398" s="101" t="str">
        <f t="shared" si="294"/>
        <v/>
      </c>
      <c r="GA398" s="101">
        <f t="shared" si="276"/>
        <v>0.09</v>
      </c>
      <c r="GB398" s="101">
        <f t="shared" si="277"/>
        <v>1</v>
      </c>
      <c r="GC398" s="101">
        <f t="shared" si="278"/>
        <v>17</v>
      </c>
      <c r="GD398" s="101">
        <f t="shared" si="279"/>
        <v>0</v>
      </c>
      <c r="GE398" s="101">
        <f t="shared" si="280"/>
        <v>1</v>
      </c>
      <c r="GF398" s="101">
        <f t="shared" si="281"/>
        <v>4</v>
      </c>
      <c r="GG398" s="101">
        <f t="shared" si="282"/>
        <v>4.5199999999999997E-2</v>
      </c>
      <c r="GH398" s="101">
        <f t="shared" si="283"/>
        <v>1</v>
      </c>
      <c r="GI398" s="101">
        <f t="shared" si="284"/>
        <v>8</v>
      </c>
      <c r="GJ398" s="101">
        <f t="shared" si="285"/>
        <v>0.18079999999999999</v>
      </c>
      <c r="GK398" s="101">
        <f t="shared" si="286"/>
        <v>1</v>
      </c>
      <c r="GL398" s="101">
        <f t="shared" si="287"/>
        <v>17</v>
      </c>
    </row>
    <row r="399" spans="170:194" ht="16.5" x14ac:dyDescent="0.2">
      <c r="FN399" s="101">
        <v>394</v>
      </c>
      <c r="FO399" s="101">
        <f t="shared" si="272"/>
        <v>66</v>
      </c>
      <c r="FP399" s="101">
        <f t="shared" si="288"/>
        <v>5</v>
      </c>
      <c r="FQ399" s="14">
        <f t="shared" si="289"/>
        <v>5</v>
      </c>
      <c r="FR399" s="101" t="str">
        <f t="shared" si="273"/>
        <v>项羽专属武器-魂珠-8 3级</v>
      </c>
      <c r="FS399" s="101">
        <f t="shared" si="274"/>
        <v>8</v>
      </c>
      <c r="FT399" s="101">
        <f t="shared" si="275"/>
        <v>3</v>
      </c>
      <c r="FU399" s="101" t="str">
        <f t="shared" si="290"/>
        <v>金币</v>
      </c>
      <c r="FV399" s="139">
        <f>IF($FT399&gt;0,IF(INDEX($EI$6:$EI$77,$FO399)&gt;=FV$3,ROUND(INDEX(EK$6:EK$77,$FO399)*INDEX(卡牌消耗!$B$8:$F$8,FQ399)/5,0)*5,""),"")</f>
        <v>34340</v>
      </c>
      <c r="FW399" s="101" t="str">
        <f t="shared" si="291"/>
        <v>专属强化石4</v>
      </c>
      <c r="FX399" s="101">
        <f t="shared" si="292"/>
        <v>10</v>
      </c>
      <c r="FY399" s="101" t="str">
        <f t="shared" si="293"/>
        <v/>
      </c>
      <c r="FZ399" s="101" t="str">
        <f t="shared" si="294"/>
        <v/>
      </c>
      <c r="GA399" s="101">
        <f t="shared" si="276"/>
        <v>0.08</v>
      </c>
      <c r="GB399" s="101">
        <f t="shared" si="277"/>
        <v>1</v>
      </c>
      <c r="GC399" s="101">
        <f t="shared" si="278"/>
        <v>20</v>
      </c>
      <c r="GD399" s="101">
        <f t="shared" si="279"/>
        <v>0</v>
      </c>
      <c r="GE399" s="101">
        <f t="shared" si="280"/>
        <v>1</v>
      </c>
      <c r="GF399" s="101">
        <f t="shared" si="281"/>
        <v>5</v>
      </c>
      <c r="GG399" s="101">
        <f t="shared" si="282"/>
        <v>3.7699999999999997E-2</v>
      </c>
      <c r="GH399" s="101">
        <f t="shared" si="283"/>
        <v>1</v>
      </c>
      <c r="GI399" s="101">
        <f t="shared" si="284"/>
        <v>9</v>
      </c>
      <c r="GJ399" s="101">
        <f t="shared" si="285"/>
        <v>0.1507</v>
      </c>
      <c r="GK399" s="101">
        <f t="shared" si="286"/>
        <v>1</v>
      </c>
      <c r="GL399" s="101">
        <f t="shared" si="287"/>
        <v>20</v>
      </c>
    </row>
    <row r="400" spans="170:194" ht="16.5" x14ac:dyDescent="0.2">
      <c r="FN400" s="101">
        <v>395</v>
      </c>
      <c r="FO400" s="101">
        <f t="shared" si="272"/>
        <v>67</v>
      </c>
      <c r="FP400" s="101">
        <f t="shared" si="288"/>
        <v>5</v>
      </c>
      <c r="FQ400" s="14">
        <f t="shared" si="289"/>
        <v>5</v>
      </c>
      <c r="FR400" s="101" t="str">
        <f t="shared" si="273"/>
        <v>项羽专属武器-魂珠-8 4级</v>
      </c>
      <c r="FS400" s="101">
        <f t="shared" si="274"/>
        <v>8</v>
      </c>
      <c r="FT400" s="101">
        <f t="shared" si="275"/>
        <v>4</v>
      </c>
      <c r="FU400" s="101" t="str">
        <f t="shared" si="290"/>
        <v>金币</v>
      </c>
      <c r="FV400" s="139">
        <f>IF($FT400&gt;0,IF(INDEX($EI$6:$EI$77,$FO400)&gt;=FV$3,ROUND(INDEX(EK$6:EK$77,$FO400)*INDEX(卡牌消耗!$B$8:$F$8,FQ400)/5,0)*5,""),"")</f>
        <v>39560</v>
      </c>
      <c r="FW400" s="101" t="str">
        <f t="shared" si="291"/>
        <v>专属强化石4</v>
      </c>
      <c r="FX400" s="101">
        <f t="shared" si="292"/>
        <v>12</v>
      </c>
      <c r="FY400" s="101" t="str">
        <f t="shared" si="293"/>
        <v/>
      </c>
      <c r="FZ400" s="101" t="str">
        <f t="shared" si="294"/>
        <v/>
      </c>
      <c r="GA400" s="101">
        <f t="shared" si="276"/>
        <v>0.05</v>
      </c>
      <c r="GB400" s="101">
        <f t="shared" si="277"/>
        <v>1</v>
      </c>
      <c r="GC400" s="101">
        <f t="shared" si="278"/>
        <v>28</v>
      </c>
      <c r="GD400" s="101">
        <f t="shared" si="279"/>
        <v>0</v>
      </c>
      <c r="GE400" s="101">
        <f t="shared" si="280"/>
        <v>1</v>
      </c>
      <c r="GF400" s="101">
        <f t="shared" si="281"/>
        <v>6</v>
      </c>
      <c r="GG400" s="101">
        <f t="shared" si="282"/>
        <v>2.7099999999999999E-2</v>
      </c>
      <c r="GH400" s="101">
        <f t="shared" si="283"/>
        <v>1</v>
      </c>
      <c r="GI400" s="101">
        <f t="shared" si="284"/>
        <v>13</v>
      </c>
      <c r="GJ400" s="101">
        <f t="shared" si="285"/>
        <v>0.1085</v>
      </c>
      <c r="GK400" s="101">
        <f t="shared" si="286"/>
        <v>1</v>
      </c>
      <c r="GL400" s="101">
        <f t="shared" si="287"/>
        <v>28</v>
      </c>
    </row>
    <row r="401" spans="170:194" ht="16.5" x14ac:dyDescent="0.2">
      <c r="FN401" s="101">
        <v>396</v>
      </c>
      <c r="FO401" s="101">
        <f t="shared" si="272"/>
        <v>68</v>
      </c>
      <c r="FP401" s="101">
        <f t="shared" si="288"/>
        <v>5</v>
      </c>
      <c r="FQ401" s="14">
        <f t="shared" si="289"/>
        <v>5</v>
      </c>
      <c r="FR401" s="101" t="str">
        <f t="shared" si="273"/>
        <v>项羽专属武器-魂珠-8 5级</v>
      </c>
      <c r="FS401" s="101">
        <f t="shared" si="274"/>
        <v>8</v>
      </c>
      <c r="FT401" s="101">
        <f t="shared" si="275"/>
        <v>5</v>
      </c>
      <c r="FU401" s="101" t="str">
        <f t="shared" si="290"/>
        <v>金币</v>
      </c>
      <c r="FV401" s="139">
        <f>IF($FT401&gt;0,IF(INDEX($EI$6:$EI$77,$FO401)&gt;=FV$3,ROUND(INDEX(EK$6:EK$77,$FO401)*INDEX(卡牌消耗!$B$8:$F$8,FQ401)/5,0)*5,""),"")</f>
        <v>50220</v>
      </c>
      <c r="FW401" s="101" t="str">
        <f t="shared" si="291"/>
        <v>专属强化石4</v>
      </c>
      <c r="FX401" s="101">
        <f t="shared" si="292"/>
        <v>15</v>
      </c>
      <c r="FY401" s="101" t="str">
        <f t="shared" si="293"/>
        <v/>
      </c>
      <c r="FZ401" s="101" t="str">
        <f t="shared" si="294"/>
        <v/>
      </c>
      <c r="GA401" s="101">
        <f t="shared" si="276"/>
        <v>0.04</v>
      </c>
      <c r="GB401" s="101">
        <f t="shared" si="277"/>
        <v>1</v>
      </c>
      <c r="GC401" s="101">
        <f t="shared" si="278"/>
        <v>35</v>
      </c>
      <c r="GD401" s="101">
        <f t="shared" si="279"/>
        <v>0</v>
      </c>
      <c r="GE401" s="101">
        <f t="shared" si="280"/>
        <v>1</v>
      </c>
      <c r="GF401" s="101">
        <f t="shared" si="281"/>
        <v>8</v>
      </c>
      <c r="GG401" s="101">
        <f t="shared" si="282"/>
        <v>2.12E-2</v>
      </c>
      <c r="GH401" s="101">
        <f t="shared" si="283"/>
        <v>1</v>
      </c>
      <c r="GI401" s="101">
        <f t="shared" si="284"/>
        <v>17</v>
      </c>
      <c r="GJ401" s="101">
        <f t="shared" si="285"/>
        <v>8.4699999999999998E-2</v>
      </c>
      <c r="GK401" s="101">
        <f t="shared" si="286"/>
        <v>1</v>
      </c>
      <c r="GL401" s="101">
        <f t="shared" si="287"/>
        <v>35</v>
      </c>
    </row>
    <row r="402" spans="170:194" ht="16.5" x14ac:dyDescent="0.2">
      <c r="FN402" s="101">
        <v>397</v>
      </c>
      <c r="FO402" s="101">
        <f t="shared" si="272"/>
        <v>69</v>
      </c>
      <c r="FP402" s="101">
        <f t="shared" si="288"/>
        <v>5</v>
      </c>
      <c r="FQ402" s="14">
        <f t="shared" si="289"/>
        <v>5</v>
      </c>
      <c r="FR402" s="101" t="str">
        <f t="shared" si="273"/>
        <v>项羽专属武器-魂珠-8 6级</v>
      </c>
      <c r="FS402" s="101">
        <f t="shared" si="274"/>
        <v>8</v>
      </c>
      <c r="FT402" s="101">
        <f t="shared" si="275"/>
        <v>6</v>
      </c>
      <c r="FU402" s="101" t="str">
        <f t="shared" si="290"/>
        <v>金币</v>
      </c>
      <c r="FV402" s="139">
        <f>IF($FT402&gt;0,IF(INDEX($EI$6:$EI$77,$FO402)&gt;=FV$3,ROUND(INDEX(EK$6:EK$77,$FO402)*INDEX(卡牌消耗!$B$8:$F$8,FQ402)/5,0)*5,""),"")</f>
        <v>59910</v>
      </c>
      <c r="FW402" s="101" t="str">
        <f t="shared" si="291"/>
        <v>专属强化石4</v>
      </c>
      <c r="FX402" s="101">
        <f t="shared" si="292"/>
        <v>18</v>
      </c>
      <c r="FY402" s="101" t="str">
        <f t="shared" si="293"/>
        <v/>
      </c>
      <c r="FZ402" s="101" t="str">
        <f t="shared" si="294"/>
        <v/>
      </c>
      <c r="GA402" s="101">
        <f t="shared" si="276"/>
        <v>0.03</v>
      </c>
      <c r="GB402" s="101">
        <f t="shared" si="277"/>
        <v>1</v>
      </c>
      <c r="GC402" s="101">
        <f t="shared" si="278"/>
        <v>48</v>
      </c>
      <c r="GD402" s="101">
        <f t="shared" si="279"/>
        <v>0</v>
      </c>
      <c r="GE402" s="101">
        <f t="shared" si="280"/>
        <v>1</v>
      </c>
      <c r="GF402" s="101">
        <f t="shared" si="281"/>
        <v>11</v>
      </c>
      <c r="GG402" s="101">
        <f t="shared" si="282"/>
        <v>1.5599999999999999E-2</v>
      </c>
      <c r="GH402" s="101">
        <f t="shared" si="283"/>
        <v>1</v>
      </c>
      <c r="GI402" s="101">
        <f t="shared" si="284"/>
        <v>22</v>
      </c>
      <c r="GJ402" s="101">
        <f t="shared" si="285"/>
        <v>6.2600000000000003E-2</v>
      </c>
      <c r="GK402" s="101">
        <f t="shared" si="286"/>
        <v>1</v>
      </c>
      <c r="GL402" s="101">
        <f t="shared" si="287"/>
        <v>48</v>
      </c>
    </row>
    <row r="403" spans="170:194" ht="16.5" x14ac:dyDescent="0.2">
      <c r="FN403" s="101">
        <v>398</v>
      </c>
      <c r="FO403" s="101">
        <f t="shared" si="272"/>
        <v>70</v>
      </c>
      <c r="FP403" s="101">
        <f t="shared" si="288"/>
        <v>5</v>
      </c>
      <c r="FQ403" s="14">
        <f t="shared" si="289"/>
        <v>5</v>
      </c>
      <c r="FR403" s="101" t="str">
        <f t="shared" si="273"/>
        <v>项羽专属武器-魂珠-8 7级</v>
      </c>
      <c r="FS403" s="101">
        <f t="shared" si="274"/>
        <v>8</v>
      </c>
      <c r="FT403" s="101">
        <f t="shared" si="275"/>
        <v>7</v>
      </c>
      <c r="FU403" s="101" t="str">
        <f t="shared" si="290"/>
        <v>金币</v>
      </c>
      <c r="FV403" s="139">
        <f>IF($FT403&gt;0,IF(INDEX($EI$6:$EI$77,$FO403)&gt;=FV$3,ROUND(INDEX(EK$6:EK$77,$FO403)*INDEX(卡牌消耗!$B$8:$F$8,FQ403)/5,0)*5,""),"")</f>
        <v>83395</v>
      </c>
      <c r="FW403" s="101" t="str">
        <f t="shared" si="291"/>
        <v>专属强化石4</v>
      </c>
      <c r="FX403" s="101">
        <f t="shared" si="292"/>
        <v>25</v>
      </c>
      <c r="FY403" s="101" t="str">
        <f t="shared" si="293"/>
        <v/>
      </c>
      <c r="FZ403" s="101" t="str">
        <f t="shared" si="294"/>
        <v/>
      </c>
      <c r="GA403" s="101">
        <f t="shared" si="276"/>
        <v>0.03</v>
      </c>
      <c r="GB403" s="101">
        <f t="shared" si="277"/>
        <v>1</v>
      </c>
      <c r="GC403" s="101">
        <f t="shared" si="278"/>
        <v>56</v>
      </c>
      <c r="GD403" s="101">
        <f t="shared" si="279"/>
        <v>0</v>
      </c>
      <c r="GE403" s="101">
        <f t="shared" si="280"/>
        <v>1</v>
      </c>
      <c r="GF403" s="101">
        <f t="shared" si="281"/>
        <v>13</v>
      </c>
      <c r="GG403" s="101">
        <f t="shared" si="282"/>
        <v>1.35E-2</v>
      </c>
      <c r="GH403" s="101">
        <f t="shared" si="283"/>
        <v>1</v>
      </c>
      <c r="GI403" s="101">
        <f t="shared" si="284"/>
        <v>26</v>
      </c>
      <c r="GJ403" s="101">
        <f t="shared" si="285"/>
        <v>5.3800000000000001E-2</v>
      </c>
      <c r="GK403" s="101">
        <f t="shared" si="286"/>
        <v>1</v>
      </c>
      <c r="GL403" s="101">
        <f t="shared" si="287"/>
        <v>56</v>
      </c>
    </row>
    <row r="404" spans="170:194" ht="16.5" x14ac:dyDescent="0.2">
      <c r="FN404" s="101">
        <v>399</v>
      </c>
      <c r="FO404" s="101">
        <f t="shared" si="272"/>
        <v>71</v>
      </c>
      <c r="FP404" s="101">
        <f t="shared" si="288"/>
        <v>5</v>
      </c>
      <c r="FQ404" s="14">
        <f t="shared" si="289"/>
        <v>5</v>
      </c>
      <c r="FR404" s="101" t="str">
        <f t="shared" si="273"/>
        <v>项羽专属武器-魂珠-8 8级</v>
      </c>
      <c r="FS404" s="101">
        <f t="shared" si="274"/>
        <v>8</v>
      </c>
      <c r="FT404" s="101">
        <f t="shared" si="275"/>
        <v>8</v>
      </c>
      <c r="FU404" s="101" t="str">
        <f t="shared" si="290"/>
        <v>金币</v>
      </c>
      <c r="FV404" s="139">
        <f>IF($FT404&gt;0,IF(INDEX($EI$6:$EI$77,$FO404)&gt;=FV$3,ROUND(INDEX(EK$6:EK$77,$FO404)*INDEX(卡牌消耗!$B$8:$F$8,FQ404)/5,0)*5,""),"")</f>
        <v>99990</v>
      </c>
      <c r="FW404" s="101" t="str">
        <f t="shared" si="291"/>
        <v>专属强化石4</v>
      </c>
      <c r="FX404" s="101">
        <f t="shared" si="292"/>
        <v>30</v>
      </c>
      <c r="FY404" s="101" t="str">
        <f t="shared" si="293"/>
        <v/>
      </c>
      <c r="FZ404" s="101" t="str">
        <f t="shared" si="294"/>
        <v/>
      </c>
      <c r="GA404" s="101">
        <f t="shared" si="276"/>
        <v>0.02</v>
      </c>
      <c r="GB404" s="101">
        <f t="shared" si="277"/>
        <v>1</v>
      </c>
      <c r="GC404" s="101">
        <f t="shared" si="278"/>
        <v>75</v>
      </c>
      <c r="GD404" s="101">
        <f t="shared" si="279"/>
        <v>0</v>
      </c>
      <c r="GE404" s="101">
        <f t="shared" si="280"/>
        <v>1</v>
      </c>
      <c r="GF404" s="101">
        <f t="shared" si="281"/>
        <v>18</v>
      </c>
      <c r="GG404" s="101">
        <f t="shared" si="282"/>
        <v>0.01</v>
      </c>
      <c r="GH404" s="101">
        <f t="shared" si="283"/>
        <v>1</v>
      </c>
      <c r="GI404" s="101">
        <f t="shared" si="284"/>
        <v>35</v>
      </c>
      <c r="GJ404" s="101">
        <f t="shared" si="285"/>
        <v>3.9899999999999998E-2</v>
      </c>
      <c r="GK404" s="101">
        <f t="shared" si="286"/>
        <v>1</v>
      </c>
      <c r="GL404" s="101">
        <f t="shared" si="287"/>
        <v>75</v>
      </c>
    </row>
    <row r="405" spans="170:194" ht="16.5" x14ac:dyDescent="0.2">
      <c r="FN405" s="101">
        <v>400</v>
      </c>
      <c r="FO405" s="101">
        <f t="shared" si="272"/>
        <v>72</v>
      </c>
      <c r="FP405" s="101">
        <f t="shared" si="288"/>
        <v>5</v>
      </c>
      <c r="FQ405" s="14">
        <f t="shared" si="289"/>
        <v>5</v>
      </c>
      <c r="FR405" s="101" t="str">
        <f t="shared" si="273"/>
        <v>项羽专属武器-魂珠-8 9级</v>
      </c>
      <c r="FS405" s="101">
        <f t="shared" si="274"/>
        <v>8</v>
      </c>
      <c r="FT405" s="101">
        <f t="shared" si="275"/>
        <v>9</v>
      </c>
      <c r="FU405" s="101" t="str">
        <f t="shared" si="290"/>
        <v>金币</v>
      </c>
      <c r="FV405" s="139">
        <f>IF($FT405&gt;0,IF(INDEX($EI$6:$EI$77,$FO405)&gt;=FV$3,ROUND(INDEX(EK$6:EK$77,$FO405)*INDEX(卡牌消耗!$B$8:$F$8,FQ405)/5,0)*5,""),"")</f>
        <v>100020</v>
      </c>
      <c r="FW405" s="101" t="str">
        <f t="shared" si="291"/>
        <v>专属强化石4</v>
      </c>
      <c r="FX405" s="101">
        <f t="shared" si="292"/>
        <v>30</v>
      </c>
      <c r="FY405" s="101" t="str">
        <f t="shared" si="293"/>
        <v/>
      </c>
      <c r="FZ405" s="101" t="str">
        <f t="shared" si="294"/>
        <v/>
      </c>
      <c r="GA405" s="101">
        <f t="shared" si="276"/>
        <v>0.01</v>
      </c>
      <c r="GB405" s="101">
        <f t="shared" si="277"/>
        <v>1</v>
      </c>
      <c r="GC405" s="101">
        <f t="shared" si="278"/>
        <v>122</v>
      </c>
      <c r="GD405" s="101">
        <f t="shared" si="279"/>
        <v>0</v>
      </c>
      <c r="GE405" s="101">
        <f t="shared" si="280"/>
        <v>1</v>
      </c>
      <c r="GF405" s="101">
        <f t="shared" si="281"/>
        <v>28</v>
      </c>
      <c r="GG405" s="101">
        <f t="shared" si="282"/>
        <v>6.1999999999999998E-3</v>
      </c>
      <c r="GH405" s="101">
        <f t="shared" si="283"/>
        <v>1</v>
      </c>
      <c r="GI405" s="101">
        <f t="shared" si="284"/>
        <v>57</v>
      </c>
      <c r="GJ405" s="101">
        <f t="shared" si="285"/>
        <v>2.47E-2</v>
      </c>
      <c r="GK405" s="101">
        <f t="shared" si="286"/>
        <v>1</v>
      </c>
      <c r="GL405" s="101">
        <f t="shared" si="287"/>
        <v>122</v>
      </c>
    </row>
    <row r="406" spans="170:194" ht="16.5" x14ac:dyDescent="0.2">
      <c r="FN406" s="101">
        <v>401</v>
      </c>
      <c r="FO406" s="101">
        <f t="shared" ref="FO406:FO469" si="295">IF(FT406&gt;0,(FS406-1)*9+FT406,0)</f>
        <v>0</v>
      </c>
      <c r="FP406" s="101">
        <f t="shared" si="288"/>
        <v>6</v>
      </c>
      <c r="FQ406" s="14">
        <f t="shared" si="289"/>
        <v>4</v>
      </c>
      <c r="FR406" s="101" t="str">
        <f t="shared" ref="FR406:FR469" si="296">INDEX($FI$6:$FI$26,FP406)&amp;"专属武器-魂珠-"&amp;FS406&amp;" "&amp;FT406&amp;"级"</f>
        <v>天使缇娜专属武器-魂珠-1 0级</v>
      </c>
      <c r="FS406" s="101">
        <f t="shared" ref="FS406:FS469" si="297">INT((FN406-(FP406-1)*80-1)/10)+1</f>
        <v>1</v>
      </c>
      <c r="FT406" s="101">
        <f t="shared" ref="FT406:FT469" si="298">FN406-(FP406-1)*80-(FS406-1)*10-1</f>
        <v>0</v>
      </c>
      <c r="FU406" s="101" t="str">
        <f t="shared" si="290"/>
        <v/>
      </c>
      <c r="FV406" s="139" t="str">
        <f>IF($FT406&gt;0,IF(INDEX($EI$6:$EI$77,$FO406)&gt;=FV$3,ROUND(INDEX(EK$6:EK$77,$FO406)*INDEX(卡牌消耗!$B$8:$F$8,FQ406)/5,0)*5,""),"")</f>
        <v/>
      </c>
      <c r="FW406" s="101" t="str">
        <f t="shared" si="291"/>
        <v/>
      </c>
      <c r="FX406" s="101" t="str">
        <f t="shared" si="292"/>
        <v/>
      </c>
      <c r="FY406" s="101" t="str">
        <f t="shared" si="293"/>
        <v/>
      </c>
      <c r="FZ406" s="101" t="str">
        <f t="shared" si="294"/>
        <v/>
      </c>
      <c r="GA406" s="101" t="str">
        <f t="shared" ref="GA406:GA469" si="299">IF($FT406&gt;0,INDEX(EP$6:EP$77,$FO406),"")</f>
        <v/>
      </c>
      <c r="GB406" s="101" t="str">
        <f t="shared" ref="GB406:GB469" si="300">IF($FT406&gt;0,INDEX(EQ$6:EQ$77,$FO406),"")</f>
        <v/>
      </c>
      <c r="GC406" s="101" t="str">
        <f t="shared" ref="GC406:GC469" si="301">IF($FT406&gt;0,INDEX(ER$6:ER$77,$FO406),"")</f>
        <v/>
      </c>
      <c r="GD406" s="101" t="str">
        <f t="shared" ref="GD406:GD469" si="302">IF($FT406&gt;0,INDEX(EV$6:EV$77,$FO406),"")</f>
        <v/>
      </c>
      <c r="GE406" s="101" t="str">
        <f t="shared" ref="GE406:GE469" si="303">IF($FT406&gt;0,INDEX(EW$6:EW$77,$FO406),"")</f>
        <v/>
      </c>
      <c r="GF406" s="101" t="str">
        <f t="shared" ref="GF406:GF469" si="304">IF($FT406&gt;0,INDEX(EX$6:EX$77,$FO406),"")</f>
        <v/>
      </c>
      <c r="GG406" s="101" t="str">
        <f t="shared" ref="GG406:GG469" si="305">IF($FT406&gt;0,INDEX(EY$6:EY$77,$FO406),"")</f>
        <v/>
      </c>
      <c r="GH406" s="101" t="str">
        <f t="shared" ref="GH406:GH469" si="306">IF($FT406&gt;0,INDEX(EZ$6:EZ$77,$FO406),"")</f>
        <v/>
      </c>
      <c r="GI406" s="101" t="str">
        <f t="shared" ref="GI406:GI469" si="307">IF($FT406&gt;0,INDEX(FA$6:FA$77,$FO406),"")</f>
        <v/>
      </c>
      <c r="GJ406" s="101" t="str">
        <f t="shared" ref="GJ406:GJ469" si="308">IF($FT406&gt;0,INDEX(FB$6:FB$77,$FO406),"")</f>
        <v/>
      </c>
      <c r="GK406" s="101" t="str">
        <f t="shared" ref="GK406:GK469" si="309">IF($FT406&gt;0,INDEX(FC$6:FC$77,$FO406),"")</f>
        <v/>
      </c>
      <c r="GL406" s="101" t="str">
        <f t="shared" ref="GL406:GL469" si="310">IF($FT406&gt;0,INDEX(FD$6:FD$77,$FO406),"")</f>
        <v/>
      </c>
    </row>
    <row r="407" spans="170:194" ht="16.5" x14ac:dyDescent="0.2">
      <c r="FN407" s="101">
        <v>402</v>
      </c>
      <c r="FO407" s="101">
        <f t="shared" si="295"/>
        <v>1</v>
      </c>
      <c r="FP407" s="101">
        <f t="shared" si="288"/>
        <v>6</v>
      </c>
      <c r="FQ407" s="14">
        <f t="shared" si="289"/>
        <v>4</v>
      </c>
      <c r="FR407" s="101" t="str">
        <f t="shared" si="296"/>
        <v>天使缇娜专属武器-魂珠-1 1级</v>
      </c>
      <c r="FS407" s="101">
        <f t="shared" si="297"/>
        <v>1</v>
      </c>
      <c r="FT407" s="101">
        <f t="shared" si="298"/>
        <v>1</v>
      </c>
      <c r="FU407" s="101" t="str">
        <f t="shared" si="290"/>
        <v>金币</v>
      </c>
      <c r="FV407" s="139">
        <f>IF($FT407&gt;0,IF(INDEX($EI$6:$EI$77,$FO407)&gt;=FV$3,ROUND(INDEX(EK$6:EK$77,$FO407)*INDEX(卡牌消耗!$B$8:$F$8,FQ407)/5,0)*5,""),"")</f>
        <v>145</v>
      </c>
      <c r="FW407" s="101" t="str">
        <f t="shared" si="291"/>
        <v>专属强化石1</v>
      </c>
      <c r="FX407" s="101">
        <f t="shared" si="292"/>
        <v>1</v>
      </c>
      <c r="FY407" s="101" t="str">
        <f t="shared" si="293"/>
        <v/>
      </c>
      <c r="FZ407" s="101" t="str">
        <f t="shared" si="294"/>
        <v/>
      </c>
      <c r="GA407" s="101">
        <f t="shared" si="299"/>
        <v>0.32</v>
      </c>
      <c r="GB407" s="101">
        <f t="shared" si="300"/>
        <v>1</v>
      </c>
      <c r="GC407" s="101">
        <f t="shared" si="301"/>
        <v>5</v>
      </c>
      <c r="GD407" s="101">
        <f t="shared" si="302"/>
        <v>0</v>
      </c>
      <c r="GE407" s="101">
        <f t="shared" si="303"/>
        <v>1</v>
      </c>
      <c r="GF407" s="101">
        <f t="shared" si="304"/>
        <v>1</v>
      </c>
      <c r="GG407" s="101">
        <f t="shared" si="305"/>
        <v>0.1595</v>
      </c>
      <c r="GH407" s="101">
        <f t="shared" si="306"/>
        <v>1</v>
      </c>
      <c r="GI407" s="101">
        <f t="shared" si="307"/>
        <v>2</v>
      </c>
      <c r="GJ407" s="101">
        <f t="shared" si="308"/>
        <v>0.63819999999999999</v>
      </c>
      <c r="GK407" s="101">
        <f t="shared" si="309"/>
        <v>1</v>
      </c>
      <c r="GL407" s="101">
        <f t="shared" si="310"/>
        <v>5</v>
      </c>
    </row>
    <row r="408" spans="170:194" ht="16.5" x14ac:dyDescent="0.2">
      <c r="FN408" s="101">
        <v>403</v>
      </c>
      <c r="FO408" s="101">
        <f t="shared" si="295"/>
        <v>2</v>
      </c>
      <c r="FP408" s="101">
        <f t="shared" si="288"/>
        <v>6</v>
      </c>
      <c r="FQ408" s="14">
        <f t="shared" si="289"/>
        <v>4</v>
      </c>
      <c r="FR408" s="101" t="str">
        <f t="shared" si="296"/>
        <v>天使缇娜专属武器-魂珠-1 2级</v>
      </c>
      <c r="FS408" s="101">
        <f t="shared" si="297"/>
        <v>1</v>
      </c>
      <c r="FT408" s="101">
        <f t="shared" si="298"/>
        <v>2</v>
      </c>
      <c r="FU408" s="101" t="str">
        <f t="shared" si="290"/>
        <v>金币</v>
      </c>
      <c r="FV408" s="139">
        <f>IF($FT408&gt;0,IF(INDEX($EI$6:$EI$77,$FO408)&gt;=FV$3,ROUND(INDEX(EK$6:EK$77,$FO408)*INDEX(卡牌消耗!$B$8:$F$8,FQ408)/5,0)*5,""),"")</f>
        <v>215</v>
      </c>
      <c r="FW408" s="101" t="str">
        <f t="shared" si="291"/>
        <v>专属强化石1</v>
      </c>
      <c r="FX408" s="101">
        <f t="shared" si="292"/>
        <v>2</v>
      </c>
      <c r="FY408" s="101" t="str">
        <f t="shared" si="293"/>
        <v/>
      </c>
      <c r="FZ408" s="101" t="str">
        <f t="shared" si="294"/>
        <v/>
      </c>
      <c r="GA408" s="101">
        <f t="shared" si="299"/>
        <v>0.32</v>
      </c>
      <c r="GB408" s="101">
        <f t="shared" si="300"/>
        <v>1</v>
      </c>
      <c r="GC408" s="101">
        <f t="shared" si="301"/>
        <v>5</v>
      </c>
      <c r="GD408" s="101">
        <f t="shared" si="302"/>
        <v>0</v>
      </c>
      <c r="GE408" s="101">
        <f t="shared" si="303"/>
        <v>1</v>
      </c>
      <c r="GF408" s="101">
        <f t="shared" si="304"/>
        <v>1</v>
      </c>
      <c r="GG408" s="101">
        <f t="shared" si="305"/>
        <v>0.1595</v>
      </c>
      <c r="GH408" s="101">
        <f t="shared" si="306"/>
        <v>1</v>
      </c>
      <c r="GI408" s="101">
        <f t="shared" si="307"/>
        <v>2</v>
      </c>
      <c r="GJ408" s="101">
        <f t="shared" si="308"/>
        <v>0.63819999999999999</v>
      </c>
      <c r="GK408" s="101">
        <f t="shared" si="309"/>
        <v>1</v>
      </c>
      <c r="GL408" s="101">
        <f t="shared" si="310"/>
        <v>5</v>
      </c>
    </row>
    <row r="409" spans="170:194" ht="16.5" x14ac:dyDescent="0.2">
      <c r="FN409" s="101">
        <v>404</v>
      </c>
      <c r="FO409" s="101">
        <f t="shared" si="295"/>
        <v>3</v>
      </c>
      <c r="FP409" s="101">
        <f t="shared" si="288"/>
        <v>6</v>
      </c>
      <c r="FQ409" s="14">
        <f t="shared" si="289"/>
        <v>4</v>
      </c>
      <c r="FR409" s="101" t="str">
        <f t="shared" si="296"/>
        <v>天使缇娜专属武器-魂珠-1 3级</v>
      </c>
      <c r="FS409" s="101">
        <f t="shared" si="297"/>
        <v>1</v>
      </c>
      <c r="FT409" s="101">
        <f t="shared" si="298"/>
        <v>3</v>
      </c>
      <c r="FU409" s="101" t="str">
        <f t="shared" si="290"/>
        <v>金币</v>
      </c>
      <c r="FV409" s="139">
        <f>IF($FT409&gt;0,IF(INDEX($EI$6:$EI$77,$FO409)&gt;=FV$3,ROUND(INDEX(EK$6:EK$77,$FO409)*INDEX(卡牌消耗!$B$8:$F$8,FQ409)/5,0)*5,""),"")</f>
        <v>355</v>
      </c>
      <c r="FW409" s="101" t="str">
        <f t="shared" si="291"/>
        <v>专属强化石1</v>
      </c>
      <c r="FX409" s="101">
        <f t="shared" si="292"/>
        <v>3</v>
      </c>
      <c r="FY409" s="101" t="str">
        <f t="shared" si="293"/>
        <v/>
      </c>
      <c r="FZ409" s="101" t="str">
        <f t="shared" si="294"/>
        <v/>
      </c>
      <c r="GA409" s="101">
        <f t="shared" si="299"/>
        <v>0.32</v>
      </c>
      <c r="GB409" s="101">
        <f t="shared" si="300"/>
        <v>1</v>
      </c>
      <c r="GC409" s="101">
        <f t="shared" si="301"/>
        <v>5</v>
      </c>
      <c r="GD409" s="101">
        <f t="shared" si="302"/>
        <v>0</v>
      </c>
      <c r="GE409" s="101">
        <f t="shared" si="303"/>
        <v>1</v>
      </c>
      <c r="GF409" s="101">
        <f t="shared" si="304"/>
        <v>1</v>
      </c>
      <c r="GG409" s="101">
        <f t="shared" si="305"/>
        <v>0.1595</v>
      </c>
      <c r="GH409" s="101">
        <f t="shared" si="306"/>
        <v>1</v>
      </c>
      <c r="GI409" s="101">
        <f t="shared" si="307"/>
        <v>2</v>
      </c>
      <c r="GJ409" s="101">
        <f t="shared" si="308"/>
        <v>0.63819999999999999</v>
      </c>
      <c r="GK409" s="101">
        <f t="shared" si="309"/>
        <v>1</v>
      </c>
      <c r="GL409" s="101">
        <f t="shared" si="310"/>
        <v>5</v>
      </c>
    </row>
    <row r="410" spans="170:194" ht="16.5" x14ac:dyDescent="0.2">
      <c r="FN410" s="101">
        <v>405</v>
      </c>
      <c r="FO410" s="101">
        <f t="shared" si="295"/>
        <v>4</v>
      </c>
      <c r="FP410" s="101">
        <f t="shared" si="288"/>
        <v>6</v>
      </c>
      <c r="FQ410" s="14">
        <f t="shared" si="289"/>
        <v>4</v>
      </c>
      <c r="FR410" s="101" t="str">
        <f t="shared" si="296"/>
        <v>天使缇娜专属武器-魂珠-1 4级</v>
      </c>
      <c r="FS410" s="101">
        <f t="shared" si="297"/>
        <v>1</v>
      </c>
      <c r="FT410" s="101">
        <f t="shared" si="298"/>
        <v>4</v>
      </c>
      <c r="FU410" s="101" t="str">
        <f t="shared" si="290"/>
        <v>金币</v>
      </c>
      <c r="FV410" s="139">
        <f>IF($FT410&gt;0,IF(INDEX($EI$6:$EI$77,$FO410)&gt;=FV$3,ROUND(INDEX(EK$6:EK$77,$FO410)*INDEX(卡牌消耗!$B$8:$F$8,FQ410)/5,0)*5,""),"")</f>
        <v>455</v>
      </c>
      <c r="FW410" s="101" t="str">
        <f t="shared" si="291"/>
        <v>专属强化石1</v>
      </c>
      <c r="FX410" s="101">
        <f t="shared" si="292"/>
        <v>4</v>
      </c>
      <c r="FY410" s="101" t="str">
        <f t="shared" si="293"/>
        <v/>
      </c>
      <c r="FZ410" s="101" t="str">
        <f t="shared" si="294"/>
        <v/>
      </c>
      <c r="GA410" s="101">
        <f t="shared" si="299"/>
        <v>0.26</v>
      </c>
      <c r="GB410" s="101">
        <f t="shared" si="300"/>
        <v>1</v>
      </c>
      <c r="GC410" s="101">
        <f t="shared" si="301"/>
        <v>6</v>
      </c>
      <c r="GD410" s="101">
        <f t="shared" si="302"/>
        <v>0</v>
      </c>
      <c r="GE410" s="101">
        <f t="shared" si="303"/>
        <v>1</v>
      </c>
      <c r="GF410" s="101">
        <f t="shared" si="304"/>
        <v>1</v>
      </c>
      <c r="GG410" s="101">
        <f t="shared" si="305"/>
        <v>0.12759999999999999</v>
      </c>
      <c r="GH410" s="101">
        <f t="shared" si="306"/>
        <v>1</v>
      </c>
      <c r="GI410" s="101">
        <f t="shared" si="307"/>
        <v>3</v>
      </c>
      <c r="GJ410" s="101">
        <f t="shared" si="308"/>
        <v>0.51060000000000005</v>
      </c>
      <c r="GK410" s="101">
        <f t="shared" si="309"/>
        <v>1</v>
      </c>
      <c r="GL410" s="101">
        <f t="shared" si="310"/>
        <v>6</v>
      </c>
    </row>
    <row r="411" spans="170:194" ht="16.5" x14ac:dyDescent="0.2">
      <c r="FN411" s="101">
        <v>406</v>
      </c>
      <c r="FO411" s="101">
        <f t="shared" si="295"/>
        <v>5</v>
      </c>
      <c r="FP411" s="101">
        <f t="shared" si="288"/>
        <v>6</v>
      </c>
      <c r="FQ411" s="14">
        <f t="shared" si="289"/>
        <v>4</v>
      </c>
      <c r="FR411" s="101" t="str">
        <f t="shared" si="296"/>
        <v>天使缇娜专属武器-魂珠-1 5级</v>
      </c>
      <c r="FS411" s="101">
        <f t="shared" si="297"/>
        <v>1</v>
      </c>
      <c r="FT411" s="101">
        <f t="shared" si="298"/>
        <v>5</v>
      </c>
      <c r="FU411" s="101" t="str">
        <f t="shared" si="290"/>
        <v>金币</v>
      </c>
      <c r="FV411" s="139">
        <f>IF($FT411&gt;0,IF(INDEX($EI$6:$EI$77,$FO411)&gt;=FV$3,ROUND(INDEX(EK$6:EK$77,$FO411)*INDEX(卡牌消耗!$B$8:$F$8,FQ411)/5,0)*5,""),"")</f>
        <v>580</v>
      </c>
      <c r="FW411" s="101" t="str">
        <f t="shared" si="291"/>
        <v>专属强化石1</v>
      </c>
      <c r="FX411" s="101">
        <f t="shared" si="292"/>
        <v>5</v>
      </c>
      <c r="FY411" s="101" t="str">
        <f t="shared" si="293"/>
        <v/>
      </c>
      <c r="FZ411" s="101" t="str">
        <f t="shared" si="294"/>
        <v/>
      </c>
      <c r="GA411" s="101">
        <f t="shared" si="299"/>
        <v>0.2</v>
      </c>
      <c r="GB411" s="101">
        <f t="shared" si="300"/>
        <v>1</v>
      </c>
      <c r="GC411" s="101">
        <f t="shared" si="301"/>
        <v>8</v>
      </c>
      <c r="GD411" s="101">
        <f t="shared" si="302"/>
        <v>0</v>
      </c>
      <c r="GE411" s="101">
        <f t="shared" si="303"/>
        <v>1</v>
      </c>
      <c r="GF411" s="101">
        <f t="shared" si="304"/>
        <v>2</v>
      </c>
      <c r="GG411" s="101">
        <f t="shared" si="305"/>
        <v>9.9699999999999997E-2</v>
      </c>
      <c r="GH411" s="101">
        <f t="shared" si="306"/>
        <v>1</v>
      </c>
      <c r="GI411" s="101">
        <f t="shared" si="307"/>
        <v>4</v>
      </c>
      <c r="GJ411" s="101">
        <f t="shared" si="308"/>
        <v>0.39889999999999998</v>
      </c>
      <c r="GK411" s="101">
        <f t="shared" si="309"/>
        <v>1</v>
      </c>
      <c r="GL411" s="101">
        <f t="shared" si="310"/>
        <v>8</v>
      </c>
    </row>
    <row r="412" spans="170:194" ht="16.5" x14ac:dyDescent="0.2">
      <c r="FN412" s="101">
        <v>407</v>
      </c>
      <c r="FO412" s="101">
        <f t="shared" si="295"/>
        <v>6</v>
      </c>
      <c r="FP412" s="101">
        <f t="shared" si="288"/>
        <v>6</v>
      </c>
      <c r="FQ412" s="14">
        <f t="shared" si="289"/>
        <v>4</v>
      </c>
      <c r="FR412" s="101" t="str">
        <f t="shared" si="296"/>
        <v>天使缇娜专属武器-魂珠-1 6级</v>
      </c>
      <c r="FS412" s="101">
        <f t="shared" si="297"/>
        <v>1</v>
      </c>
      <c r="FT412" s="101">
        <f t="shared" si="298"/>
        <v>6</v>
      </c>
      <c r="FU412" s="101" t="str">
        <f t="shared" si="290"/>
        <v>金币</v>
      </c>
      <c r="FV412" s="139">
        <f>IF($FT412&gt;0,IF(INDEX($EI$6:$EI$77,$FO412)&gt;=FV$3,ROUND(INDEX(EK$6:EK$77,$FO412)*INDEX(卡牌消耗!$B$8:$F$8,FQ412)/5,0)*5,""),"")</f>
        <v>690</v>
      </c>
      <c r="FW412" s="101" t="str">
        <f t="shared" si="291"/>
        <v>专属强化石1</v>
      </c>
      <c r="FX412" s="101">
        <f t="shared" si="292"/>
        <v>6</v>
      </c>
      <c r="FY412" s="101" t="str">
        <f t="shared" si="293"/>
        <v/>
      </c>
      <c r="FZ412" s="101" t="str">
        <f t="shared" si="294"/>
        <v/>
      </c>
      <c r="GA412" s="101">
        <f t="shared" si="299"/>
        <v>0.15</v>
      </c>
      <c r="GB412" s="101">
        <f t="shared" si="300"/>
        <v>1</v>
      </c>
      <c r="GC412" s="101">
        <f t="shared" si="301"/>
        <v>10</v>
      </c>
      <c r="GD412" s="101">
        <f t="shared" si="302"/>
        <v>0</v>
      </c>
      <c r="GE412" s="101">
        <f t="shared" si="303"/>
        <v>1</v>
      </c>
      <c r="GF412" s="101">
        <f t="shared" si="304"/>
        <v>2</v>
      </c>
      <c r="GG412" s="101">
        <f t="shared" si="305"/>
        <v>7.3599999999999999E-2</v>
      </c>
      <c r="GH412" s="101">
        <f t="shared" si="306"/>
        <v>1</v>
      </c>
      <c r="GI412" s="101">
        <f t="shared" si="307"/>
        <v>5</v>
      </c>
      <c r="GJ412" s="101">
        <f t="shared" si="308"/>
        <v>0.29459999999999997</v>
      </c>
      <c r="GK412" s="101">
        <f t="shared" si="309"/>
        <v>1</v>
      </c>
      <c r="GL412" s="101">
        <f t="shared" si="310"/>
        <v>10</v>
      </c>
    </row>
    <row r="413" spans="170:194" ht="16.5" x14ac:dyDescent="0.2">
      <c r="FN413" s="101">
        <v>408</v>
      </c>
      <c r="FO413" s="101">
        <f t="shared" si="295"/>
        <v>7</v>
      </c>
      <c r="FP413" s="101">
        <f t="shared" si="288"/>
        <v>6</v>
      </c>
      <c r="FQ413" s="14">
        <f t="shared" si="289"/>
        <v>4</v>
      </c>
      <c r="FR413" s="101" t="str">
        <f t="shared" si="296"/>
        <v>天使缇娜专属武器-魂珠-1 7级</v>
      </c>
      <c r="FS413" s="101">
        <f t="shared" si="297"/>
        <v>1</v>
      </c>
      <c r="FT413" s="101">
        <f t="shared" si="298"/>
        <v>7</v>
      </c>
      <c r="FU413" s="101" t="str">
        <f t="shared" si="290"/>
        <v>金币</v>
      </c>
      <c r="FV413" s="139">
        <f>IF($FT413&gt;0,IF(INDEX($EI$6:$EI$77,$FO413)&gt;=FV$3,ROUND(INDEX(EK$6:EK$77,$FO413)*INDEX(卡牌消耗!$B$8:$F$8,FQ413)/5,0)*5,""),"")</f>
        <v>805</v>
      </c>
      <c r="FW413" s="101" t="str">
        <f t="shared" si="291"/>
        <v>专属强化石1</v>
      </c>
      <c r="FX413" s="101">
        <f t="shared" si="292"/>
        <v>7</v>
      </c>
      <c r="FY413" s="101" t="str">
        <f t="shared" si="293"/>
        <v/>
      </c>
      <c r="FZ413" s="101" t="str">
        <f t="shared" si="294"/>
        <v/>
      </c>
      <c r="GA413" s="101">
        <f t="shared" si="299"/>
        <v>0.11</v>
      </c>
      <c r="GB413" s="101">
        <f t="shared" si="300"/>
        <v>1</v>
      </c>
      <c r="GC413" s="101">
        <f t="shared" si="301"/>
        <v>14</v>
      </c>
      <c r="GD413" s="101">
        <f t="shared" si="302"/>
        <v>0</v>
      </c>
      <c r="GE413" s="101">
        <f t="shared" si="303"/>
        <v>1</v>
      </c>
      <c r="GF413" s="101">
        <f t="shared" si="304"/>
        <v>3</v>
      </c>
      <c r="GG413" s="101">
        <f t="shared" si="305"/>
        <v>5.3199999999999997E-2</v>
      </c>
      <c r="GH413" s="101">
        <f t="shared" si="306"/>
        <v>1</v>
      </c>
      <c r="GI413" s="101">
        <f t="shared" si="307"/>
        <v>7</v>
      </c>
      <c r="GJ413" s="101">
        <f t="shared" si="308"/>
        <v>0.2127</v>
      </c>
      <c r="GK413" s="101">
        <f t="shared" si="309"/>
        <v>1</v>
      </c>
      <c r="GL413" s="101">
        <f t="shared" si="310"/>
        <v>14</v>
      </c>
    </row>
    <row r="414" spans="170:194" ht="16.5" x14ac:dyDescent="0.2">
      <c r="FN414" s="101">
        <v>409</v>
      </c>
      <c r="FO414" s="101">
        <f t="shared" si="295"/>
        <v>8</v>
      </c>
      <c r="FP414" s="101">
        <f t="shared" si="288"/>
        <v>6</v>
      </c>
      <c r="FQ414" s="14">
        <f t="shared" si="289"/>
        <v>4</v>
      </c>
      <c r="FR414" s="101" t="str">
        <f t="shared" si="296"/>
        <v>天使缇娜专属武器-魂珠-1 8级</v>
      </c>
      <c r="FS414" s="101">
        <f t="shared" si="297"/>
        <v>1</v>
      </c>
      <c r="FT414" s="101">
        <f t="shared" si="298"/>
        <v>8</v>
      </c>
      <c r="FU414" s="101" t="str">
        <f t="shared" si="290"/>
        <v>金币</v>
      </c>
      <c r="FV414" s="139">
        <f>IF($FT414&gt;0,IF(INDEX($EI$6:$EI$77,$FO414)&gt;=FV$3,ROUND(INDEX(EK$6:EK$77,$FO414)*INDEX(卡牌消耗!$B$8:$F$8,FQ414)/5,0)*5,""),"")</f>
        <v>920</v>
      </c>
      <c r="FW414" s="101" t="str">
        <f t="shared" si="291"/>
        <v>专属强化石1</v>
      </c>
      <c r="FX414" s="101">
        <f t="shared" si="292"/>
        <v>8</v>
      </c>
      <c r="FY414" s="101" t="str">
        <f t="shared" si="293"/>
        <v/>
      </c>
      <c r="FZ414" s="101" t="str">
        <f t="shared" si="294"/>
        <v/>
      </c>
      <c r="GA414" s="101">
        <f t="shared" si="299"/>
        <v>0.08</v>
      </c>
      <c r="GB414" s="101">
        <f t="shared" si="300"/>
        <v>1</v>
      </c>
      <c r="GC414" s="101">
        <f t="shared" si="301"/>
        <v>20</v>
      </c>
      <c r="GD414" s="101">
        <f t="shared" si="302"/>
        <v>0</v>
      </c>
      <c r="GE414" s="101">
        <f t="shared" si="303"/>
        <v>1</v>
      </c>
      <c r="GF414" s="101">
        <f t="shared" si="304"/>
        <v>5</v>
      </c>
      <c r="GG414" s="101">
        <f t="shared" si="305"/>
        <v>3.7499999999999999E-2</v>
      </c>
      <c r="GH414" s="101">
        <f t="shared" si="306"/>
        <v>1</v>
      </c>
      <c r="GI414" s="101">
        <f t="shared" si="307"/>
        <v>9</v>
      </c>
      <c r="GJ414" s="101">
        <f t="shared" si="308"/>
        <v>0.1502</v>
      </c>
      <c r="GK414" s="101">
        <f t="shared" si="309"/>
        <v>1</v>
      </c>
      <c r="GL414" s="101">
        <f t="shared" si="310"/>
        <v>20</v>
      </c>
    </row>
    <row r="415" spans="170:194" ht="16.5" x14ac:dyDescent="0.2">
      <c r="FN415" s="101">
        <v>410</v>
      </c>
      <c r="FO415" s="101">
        <f t="shared" si="295"/>
        <v>9</v>
      </c>
      <c r="FP415" s="101">
        <f t="shared" si="288"/>
        <v>6</v>
      </c>
      <c r="FQ415" s="14">
        <f t="shared" si="289"/>
        <v>4</v>
      </c>
      <c r="FR415" s="101" t="str">
        <f t="shared" si="296"/>
        <v>天使缇娜专属武器-魂珠-1 9级</v>
      </c>
      <c r="FS415" s="101">
        <f t="shared" si="297"/>
        <v>1</v>
      </c>
      <c r="FT415" s="101">
        <f t="shared" si="298"/>
        <v>9</v>
      </c>
      <c r="FU415" s="101" t="str">
        <f t="shared" si="290"/>
        <v>金币</v>
      </c>
      <c r="FV415" s="139">
        <f>IF($FT415&gt;0,IF(INDEX($EI$6:$EI$77,$FO415)&gt;=FV$3,ROUND(INDEX(EK$6:EK$77,$FO415)*INDEX(卡牌消耗!$B$8:$F$8,FQ415)/5,0)*5,""),"")</f>
        <v>1150</v>
      </c>
      <c r="FW415" s="101" t="str">
        <f t="shared" si="291"/>
        <v>专属强化石1</v>
      </c>
      <c r="FX415" s="101">
        <f t="shared" si="292"/>
        <v>10</v>
      </c>
      <c r="FY415" s="101" t="str">
        <f t="shared" si="293"/>
        <v/>
      </c>
      <c r="FZ415" s="101" t="str">
        <f t="shared" si="294"/>
        <v/>
      </c>
      <c r="GA415" s="101">
        <f t="shared" si="299"/>
        <v>0.06</v>
      </c>
      <c r="GB415" s="101">
        <f t="shared" si="300"/>
        <v>1</v>
      </c>
      <c r="GC415" s="101">
        <f t="shared" si="301"/>
        <v>26</v>
      </c>
      <c r="GD415" s="101">
        <f t="shared" si="302"/>
        <v>0</v>
      </c>
      <c r="GE415" s="101">
        <f t="shared" si="303"/>
        <v>1</v>
      </c>
      <c r="GF415" s="101">
        <f t="shared" si="304"/>
        <v>6</v>
      </c>
      <c r="GG415" s="101">
        <f t="shared" si="305"/>
        <v>2.9000000000000001E-2</v>
      </c>
      <c r="GH415" s="101">
        <f t="shared" si="306"/>
        <v>1</v>
      </c>
      <c r="GI415" s="101">
        <f t="shared" si="307"/>
        <v>12</v>
      </c>
      <c r="GJ415" s="101">
        <f t="shared" si="308"/>
        <v>0.11600000000000001</v>
      </c>
      <c r="GK415" s="101">
        <f t="shared" si="309"/>
        <v>1</v>
      </c>
      <c r="GL415" s="101">
        <f t="shared" si="310"/>
        <v>26</v>
      </c>
    </row>
    <row r="416" spans="170:194" ht="16.5" x14ac:dyDescent="0.2">
      <c r="FN416" s="101">
        <v>411</v>
      </c>
      <c r="FO416" s="101">
        <f t="shared" si="295"/>
        <v>0</v>
      </c>
      <c r="FP416" s="101">
        <f t="shared" si="288"/>
        <v>6</v>
      </c>
      <c r="FQ416" s="14">
        <f t="shared" si="289"/>
        <v>4</v>
      </c>
      <c r="FR416" s="101" t="str">
        <f t="shared" si="296"/>
        <v>天使缇娜专属武器-魂珠-2 0级</v>
      </c>
      <c r="FS416" s="101">
        <f t="shared" si="297"/>
        <v>2</v>
      </c>
      <c r="FT416" s="101">
        <f t="shared" si="298"/>
        <v>0</v>
      </c>
      <c r="FU416" s="101" t="str">
        <f t="shared" si="290"/>
        <v/>
      </c>
      <c r="FV416" s="139" t="str">
        <f>IF($FT416&gt;0,IF(INDEX($EI$6:$EI$77,$FO416)&gt;=FV$3,ROUND(INDEX(EK$6:EK$77,$FO416)*INDEX(卡牌消耗!$B$8:$F$8,FQ416)/5,0)*5,""),"")</f>
        <v/>
      </c>
      <c r="FW416" s="101" t="str">
        <f t="shared" si="291"/>
        <v/>
      </c>
      <c r="FX416" s="101" t="str">
        <f t="shared" si="292"/>
        <v/>
      </c>
      <c r="FY416" s="101" t="str">
        <f t="shared" si="293"/>
        <v/>
      </c>
      <c r="FZ416" s="101" t="str">
        <f t="shared" si="294"/>
        <v/>
      </c>
      <c r="GA416" s="101" t="str">
        <f t="shared" si="299"/>
        <v/>
      </c>
      <c r="GB416" s="101" t="str">
        <f t="shared" si="300"/>
        <v/>
      </c>
      <c r="GC416" s="101" t="str">
        <f t="shared" si="301"/>
        <v/>
      </c>
      <c r="GD416" s="101" t="str">
        <f t="shared" si="302"/>
        <v/>
      </c>
      <c r="GE416" s="101" t="str">
        <f t="shared" si="303"/>
        <v/>
      </c>
      <c r="GF416" s="101" t="str">
        <f t="shared" si="304"/>
        <v/>
      </c>
      <c r="GG416" s="101" t="str">
        <f t="shared" si="305"/>
        <v/>
      </c>
      <c r="GH416" s="101" t="str">
        <f t="shared" si="306"/>
        <v/>
      </c>
      <c r="GI416" s="101" t="str">
        <f t="shared" si="307"/>
        <v/>
      </c>
      <c r="GJ416" s="101" t="str">
        <f t="shared" si="308"/>
        <v/>
      </c>
      <c r="GK416" s="101" t="str">
        <f t="shared" si="309"/>
        <v/>
      </c>
      <c r="GL416" s="101" t="str">
        <f t="shared" si="310"/>
        <v/>
      </c>
    </row>
    <row r="417" spans="170:194" ht="16.5" x14ac:dyDescent="0.2">
      <c r="FN417" s="101">
        <v>412</v>
      </c>
      <c r="FO417" s="101">
        <f t="shared" si="295"/>
        <v>10</v>
      </c>
      <c r="FP417" s="101">
        <f t="shared" si="288"/>
        <v>6</v>
      </c>
      <c r="FQ417" s="14">
        <f t="shared" si="289"/>
        <v>4</v>
      </c>
      <c r="FR417" s="101" t="str">
        <f t="shared" si="296"/>
        <v>天使缇娜专属武器-魂珠-2 1级</v>
      </c>
      <c r="FS417" s="101">
        <f t="shared" si="297"/>
        <v>2</v>
      </c>
      <c r="FT417" s="101">
        <f t="shared" si="298"/>
        <v>1</v>
      </c>
      <c r="FU417" s="101" t="str">
        <f t="shared" si="290"/>
        <v>金币</v>
      </c>
      <c r="FV417" s="139">
        <f>IF($FT417&gt;0,IF(INDEX($EI$6:$EI$77,$FO417)&gt;=FV$3,ROUND(INDEX(EK$6:EK$77,$FO417)*INDEX(卡牌消耗!$B$8:$F$8,FQ417)/5,0)*5,""),"")</f>
        <v>395</v>
      </c>
      <c r="FW417" s="101" t="str">
        <f t="shared" si="291"/>
        <v>专属强化石1</v>
      </c>
      <c r="FX417" s="101">
        <f t="shared" si="292"/>
        <v>3</v>
      </c>
      <c r="FY417" s="101" t="str">
        <f t="shared" si="293"/>
        <v>专属强化石2</v>
      </c>
      <c r="FZ417" s="101">
        <f t="shared" si="294"/>
        <v>1</v>
      </c>
      <c r="GA417" s="101">
        <f t="shared" si="299"/>
        <v>0.39</v>
      </c>
      <c r="GB417" s="101">
        <f t="shared" si="300"/>
        <v>1</v>
      </c>
      <c r="GC417" s="101">
        <f t="shared" si="301"/>
        <v>4</v>
      </c>
      <c r="GD417" s="101">
        <f t="shared" si="302"/>
        <v>0</v>
      </c>
      <c r="GE417" s="101">
        <f t="shared" si="303"/>
        <v>1</v>
      </c>
      <c r="GF417" s="101">
        <f t="shared" si="304"/>
        <v>1</v>
      </c>
      <c r="GG417" s="101">
        <f t="shared" si="305"/>
        <v>0.19270000000000001</v>
      </c>
      <c r="GH417" s="101">
        <f t="shared" si="306"/>
        <v>1</v>
      </c>
      <c r="GI417" s="101">
        <f t="shared" si="307"/>
        <v>2</v>
      </c>
      <c r="GJ417" s="101">
        <f t="shared" si="308"/>
        <v>0.77070000000000005</v>
      </c>
      <c r="GK417" s="101">
        <f t="shared" si="309"/>
        <v>1</v>
      </c>
      <c r="GL417" s="101">
        <f t="shared" si="310"/>
        <v>4</v>
      </c>
    </row>
    <row r="418" spans="170:194" ht="16.5" x14ac:dyDescent="0.2">
      <c r="FN418" s="101">
        <v>413</v>
      </c>
      <c r="FO418" s="101">
        <f t="shared" si="295"/>
        <v>11</v>
      </c>
      <c r="FP418" s="101">
        <f t="shared" si="288"/>
        <v>6</v>
      </c>
      <c r="FQ418" s="14">
        <f t="shared" si="289"/>
        <v>4</v>
      </c>
      <c r="FR418" s="101" t="str">
        <f t="shared" si="296"/>
        <v>天使缇娜专属武器-魂珠-2 2级</v>
      </c>
      <c r="FS418" s="101">
        <f t="shared" si="297"/>
        <v>2</v>
      </c>
      <c r="FT418" s="101">
        <f t="shared" si="298"/>
        <v>2</v>
      </c>
      <c r="FU418" s="101" t="str">
        <f t="shared" si="290"/>
        <v>金币</v>
      </c>
      <c r="FV418" s="139">
        <f>IF($FT418&gt;0,IF(INDEX($EI$6:$EI$77,$FO418)&gt;=FV$3,ROUND(INDEX(EK$6:EK$77,$FO418)*INDEX(卡牌消耗!$B$8:$F$8,FQ418)/5,0)*5,""),"")</f>
        <v>295</v>
      </c>
      <c r="FW418" s="101" t="str">
        <f t="shared" si="291"/>
        <v>专属强化石1</v>
      </c>
      <c r="FX418" s="101">
        <f t="shared" si="292"/>
        <v>3</v>
      </c>
      <c r="FY418" s="101" t="str">
        <f t="shared" si="293"/>
        <v>专属强化石2</v>
      </c>
      <c r="FZ418" s="101">
        <f t="shared" si="294"/>
        <v>1</v>
      </c>
      <c r="GA418" s="101">
        <f t="shared" si="299"/>
        <v>0.19</v>
      </c>
      <c r="GB418" s="101">
        <f t="shared" si="300"/>
        <v>1</v>
      </c>
      <c r="GC418" s="101">
        <f t="shared" si="301"/>
        <v>8</v>
      </c>
      <c r="GD418" s="101">
        <f t="shared" si="302"/>
        <v>0</v>
      </c>
      <c r="GE418" s="101">
        <f t="shared" si="303"/>
        <v>1</v>
      </c>
      <c r="GF418" s="101">
        <f t="shared" si="304"/>
        <v>2</v>
      </c>
      <c r="GG418" s="101">
        <f t="shared" si="305"/>
        <v>9.6299999999999997E-2</v>
      </c>
      <c r="GH418" s="101">
        <f t="shared" si="306"/>
        <v>1</v>
      </c>
      <c r="GI418" s="101">
        <f t="shared" si="307"/>
        <v>4</v>
      </c>
      <c r="GJ418" s="101">
        <f t="shared" si="308"/>
        <v>0.38529999999999998</v>
      </c>
      <c r="GK418" s="101">
        <f t="shared" si="309"/>
        <v>1</v>
      </c>
      <c r="GL418" s="101">
        <f t="shared" si="310"/>
        <v>8</v>
      </c>
    </row>
    <row r="419" spans="170:194" ht="16.5" x14ac:dyDescent="0.2">
      <c r="FN419" s="101">
        <v>414</v>
      </c>
      <c r="FO419" s="101">
        <f t="shared" si="295"/>
        <v>12</v>
      </c>
      <c r="FP419" s="101">
        <f t="shared" si="288"/>
        <v>6</v>
      </c>
      <c r="FQ419" s="14">
        <f t="shared" si="289"/>
        <v>4</v>
      </c>
      <c r="FR419" s="101" t="str">
        <f t="shared" si="296"/>
        <v>天使缇娜专属武器-魂珠-2 3级</v>
      </c>
      <c r="FS419" s="101">
        <f t="shared" si="297"/>
        <v>2</v>
      </c>
      <c r="FT419" s="101">
        <f t="shared" si="298"/>
        <v>3</v>
      </c>
      <c r="FU419" s="101" t="str">
        <f t="shared" si="290"/>
        <v>金币</v>
      </c>
      <c r="FV419" s="139">
        <f>IF($FT419&gt;0,IF(INDEX($EI$6:$EI$77,$FO419)&gt;=FV$3,ROUND(INDEX(EK$6:EK$77,$FO419)*INDEX(卡牌消耗!$B$8:$F$8,FQ419)/5,0)*5,""),"")</f>
        <v>655</v>
      </c>
      <c r="FW419" s="101" t="str">
        <f t="shared" si="291"/>
        <v>专属强化石1</v>
      </c>
      <c r="FX419" s="101">
        <f t="shared" si="292"/>
        <v>6</v>
      </c>
      <c r="FY419" s="101" t="str">
        <f t="shared" si="293"/>
        <v>专属强化石2</v>
      </c>
      <c r="FZ419" s="101">
        <f t="shared" si="294"/>
        <v>2</v>
      </c>
      <c r="GA419" s="101">
        <f t="shared" si="299"/>
        <v>0.26</v>
      </c>
      <c r="GB419" s="101">
        <f t="shared" si="300"/>
        <v>1</v>
      </c>
      <c r="GC419" s="101">
        <f t="shared" si="301"/>
        <v>6</v>
      </c>
      <c r="GD419" s="101">
        <f t="shared" si="302"/>
        <v>0</v>
      </c>
      <c r="GE419" s="101">
        <f t="shared" si="303"/>
        <v>1</v>
      </c>
      <c r="GF419" s="101">
        <f t="shared" si="304"/>
        <v>1</v>
      </c>
      <c r="GG419" s="101">
        <f t="shared" si="305"/>
        <v>0.12839999999999999</v>
      </c>
      <c r="GH419" s="101">
        <f t="shared" si="306"/>
        <v>1</v>
      </c>
      <c r="GI419" s="101">
        <f t="shared" si="307"/>
        <v>3</v>
      </c>
      <c r="GJ419" s="101">
        <f t="shared" si="308"/>
        <v>0.51380000000000003</v>
      </c>
      <c r="GK419" s="101">
        <f t="shared" si="309"/>
        <v>1</v>
      </c>
      <c r="GL419" s="101">
        <f t="shared" si="310"/>
        <v>6</v>
      </c>
    </row>
    <row r="420" spans="170:194" ht="16.5" x14ac:dyDescent="0.2">
      <c r="FN420" s="101">
        <v>415</v>
      </c>
      <c r="FO420" s="101">
        <f t="shared" si="295"/>
        <v>13</v>
      </c>
      <c r="FP420" s="101">
        <f t="shared" si="288"/>
        <v>6</v>
      </c>
      <c r="FQ420" s="14">
        <f t="shared" si="289"/>
        <v>4</v>
      </c>
      <c r="FR420" s="101" t="str">
        <f t="shared" si="296"/>
        <v>天使缇娜专属武器-魂珠-2 4级</v>
      </c>
      <c r="FS420" s="101">
        <f t="shared" si="297"/>
        <v>2</v>
      </c>
      <c r="FT420" s="101">
        <f t="shared" si="298"/>
        <v>4</v>
      </c>
      <c r="FU420" s="101" t="str">
        <f t="shared" si="290"/>
        <v>金币</v>
      </c>
      <c r="FV420" s="139">
        <f>IF($FT420&gt;0,IF(INDEX($EI$6:$EI$77,$FO420)&gt;=FV$3,ROUND(INDEX(EK$6:EK$77,$FO420)*INDEX(卡牌消耗!$B$8:$F$8,FQ420)/5,0)*5,""),"")</f>
        <v>625</v>
      </c>
      <c r="FW420" s="101" t="str">
        <f t="shared" si="291"/>
        <v>专属强化石1</v>
      </c>
      <c r="FX420" s="101">
        <f t="shared" si="292"/>
        <v>6</v>
      </c>
      <c r="FY420" s="101" t="str">
        <f t="shared" si="293"/>
        <v>专属强化石2</v>
      </c>
      <c r="FZ420" s="101">
        <f t="shared" si="294"/>
        <v>2</v>
      </c>
      <c r="GA420" s="101">
        <f t="shared" si="299"/>
        <v>0.15</v>
      </c>
      <c r="GB420" s="101">
        <f t="shared" si="300"/>
        <v>1</v>
      </c>
      <c r="GC420" s="101">
        <f t="shared" si="301"/>
        <v>10</v>
      </c>
      <c r="GD420" s="101">
        <f t="shared" si="302"/>
        <v>0</v>
      </c>
      <c r="GE420" s="101">
        <f t="shared" si="303"/>
        <v>1</v>
      </c>
      <c r="GF420" s="101">
        <f t="shared" si="304"/>
        <v>2</v>
      </c>
      <c r="GG420" s="101">
        <f t="shared" si="305"/>
        <v>7.7100000000000002E-2</v>
      </c>
      <c r="GH420" s="101">
        <f t="shared" si="306"/>
        <v>1</v>
      </c>
      <c r="GI420" s="101">
        <f t="shared" si="307"/>
        <v>5</v>
      </c>
      <c r="GJ420" s="101">
        <f t="shared" si="308"/>
        <v>0.30830000000000002</v>
      </c>
      <c r="GK420" s="101">
        <f t="shared" si="309"/>
        <v>1</v>
      </c>
      <c r="GL420" s="101">
        <f t="shared" si="310"/>
        <v>10</v>
      </c>
    </row>
    <row r="421" spans="170:194" ht="16.5" x14ac:dyDescent="0.2">
      <c r="FN421" s="101">
        <v>416</v>
      </c>
      <c r="FO421" s="101">
        <f t="shared" si="295"/>
        <v>14</v>
      </c>
      <c r="FP421" s="101">
        <f t="shared" si="288"/>
        <v>6</v>
      </c>
      <c r="FQ421" s="14">
        <f t="shared" si="289"/>
        <v>4</v>
      </c>
      <c r="FR421" s="101" t="str">
        <f t="shared" si="296"/>
        <v>天使缇娜专属武器-魂珠-2 5级</v>
      </c>
      <c r="FS421" s="101">
        <f t="shared" si="297"/>
        <v>2</v>
      </c>
      <c r="FT421" s="101">
        <f t="shared" si="298"/>
        <v>5</v>
      </c>
      <c r="FU421" s="101" t="str">
        <f t="shared" si="290"/>
        <v>金币</v>
      </c>
      <c r="FV421" s="139">
        <f>IF($FT421&gt;0,IF(INDEX($EI$6:$EI$77,$FO421)&gt;=FV$3,ROUND(INDEX(EK$6:EK$77,$FO421)*INDEX(卡牌消耗!$B$8:$F$8,FQ421)/5,0)*5,""),"")</f>
        <v>955</v>
      </c>
      <c r="FW421" s="101" t="str">
        <f t="shared" si="291"/>
        <v>专属强化石1</v>
      </c>
      <c r="FX421" s="101">
        <f t="shared" si="292"/>
        <v>9</v>
      </c>
      <c r="FY421" s="101" t="str">
        <f t="shared" si="293"/>
        <v>专属强化石2</v>
      </c>
      <c r="FZ421" s="101">
        <f t="shared" si="294"/>
        <v>3</v>
      </c>
      <c r="GA421" s="101">
        <f t="shared" si="299"/>
        <v>0.14000000000000001</v>
      </c>
      <c r="GB421" s="101">
        <f t="shared" si="300"/>
        <v>1</v>
      </c>
      <c r="GC421" s="101">
        <f t="shared" si="301"/>
        <v>10</v>
      </c>
      <c r="GD421" s="101">
        <f t="shared" si="302"/>
        <v>0</v>
      </c>
      <c r="GE421" s="101">
        <f t="shared" si="303"/>
        <v>1</v>
      </c>
      <c r="GF421" s="101">
        <f t="shared" si="304"/>
        <v>2</v>
      </c>
      <c r="GG421" s="101">
        <f t="shared" si="305"/>
        <v>7.22E-2</v>
      </c>
      <c r="GH421" s="101">
        <f t="shared" si="306"/>
        <v>1</v>
      </c>
      <c r="GI421" s="101">
        <f t="shared" si="307"/>
        <v>5</v>
      </c>
      <c r="GJ421" s="101">
        <f t="shared" si="308"/>
        <v>0.28899999999999998</v>
      </c>
      <c r="GK421" s="101">
        <f t="shared" si="309"/>
        <v>1</v>
      </c>
      <c r="GL421" s="101">
        <f t="shared" si="310"/>
        <v>10</v>
      </c>
    </row>
    <row r="422" spans="170:194" ht="16.5" x14ac:dyDescent="0.2">
      <c r="FN422" s="101">
        <v>417</v>
      </c>
      <c r="FO422" s="101">
        <f t="shared" si="295"/>
        <v>15</v>
      </c>
      <c r="FP422" s="101">
        <f t="shared" si="288"/>
        <v>6</v>
      </c>
      <c r="FQ422" s="14">
        <f t="shared" si="289"/>
        <v>4</v>
      </c>
      <c r="FR422" s="101" t="str">
        <f t="shared" si="296"/>
        <v>天使缇娜专属武器-魂珠-2 6级</v>
      </c>
      <c r="FS422" s="101">
        <f t="shared" si="297"/>
        <v>2</v>
      </c>
      <c r="FT422" s="101">
        <f t="shared" si="298"/>
        <v>6</v>
      </c>
      <c r="FU422" s="101" t="str">
        <f t="shared" si="290"/>
        <v>金币</v>
      </c>
      <c r="FV422" s="139">
        <f>IF($FT422&gt;0,IF(INDEX($EI$6:$EI$77,$FO422)&gt;=FV$3,ROUND(INDEX(EK$6:EK$77,$FO422)*INDEX(卡牌消耗!$B$8:$F$8,FQ422)/5,0)*5,""),"")</f>
        <v>1270</v>
      </c>
      <c r="FW422" s="101" t="str">
        <f t="shared" si="291"/>
        <v>专属强化石1</v>
      </c>
      <c r="FX422" s="101">
        <f t="shared" si="292"/>
        <v>12</v>
      </c>
      <c r="FY422" s="101" t="str">
        <f t="shared" si="293"/>
        <v>专属强化石2</v>
      </c>
      <c r="FZ422" s="101">
        <f t="shared" si="294"/>
        <v>4</v>
      </c>
      <c r="GA422" s="101">
        <f t="shared" si="299"/>
        <v>0.12</v>
      </c>
      <c r="GB422" s="101">
        <f t="shared" si="300"/>
        <v>1</v>
      </c>
      <c r="GC422" s="101">
        <f t="shared" si="301"/>
        <v>13</v>
      </c>
      <c r="GD422" s="101">
        <f t="shared" si="302"/>
        <v>0</v>
      </c>
      <c r="GE422" s="101">
        <f t="shared" si="303"/>
        <v>1</v>
      </c>
      <c r="GF422" s="101">
        <f t="shared" si="304"/>
        <v>3</v>
      </c>
      <c r="GG422" s="101">
        <f t="shared" si="305"/>
        <v>5.9299999999999999E-2</v>
      </c>
      <c r="GH422" s="101">
        <f t="shared" si="306"/>
        <v>1</v>
      </c>
      <c r="GI422" s="101">
        <f t="shared" si="307"/>
        <v>6</v>
      </c>
      <c r="GJ422" s="101">
        <f t="shared" si="308"/>
        <v>0.23710000000000001</v>
      </c>
      <c r="GK422" s="101">
        <f t="shared" si="309"/>
        <v>1</v>
      </c>
      <c r="GL422" s="101">
        <f t="shared" si="310"/>
        <v>13</v>
      </c>
    </row>
    <row r="423" spans="170:194" ht="16.5" x14ac:dyDescent="0.2">
      <c r="FN423" s="101">
        <v>418</v>
      </c>
      <c r="FO423" s="101">
        <f t="shared" si="295"/>
        <v>16</v>
      </c>
      <c r="FP423" s="101">
        <f t="shared" si="288"/>
        <v>6</v>
      </c>
      <c r="FQ423" s="14">
        <f t="shared" si="289"/>
        <v>4</v>
      </c>
      <c r="FR423" s="101" t="str">
        <f t="shared" si="296"/>
        <v>天使缇娜专属武器-魂珠-2 7级</v>
      </c>
      <c r="FS423" s="101">
        <f t="shared" si="297"/>
        <v>2</v>
      </c>
      <c r="FT423" s="101">
        <f t="shared" si="298"/>
        <v>7</v>
      </c>
      <c r="FU423" s="101" t="str">
        <f t="shared" si="290"/>
        <v>金币</v>
      </c>
      <c r="FV423" s="139">
        <f>IF($FT423&gt;0,IF(INDEX($EI$6:$EI$77,$FO423)&gt;=FV$3,ROUND(INDEX(EK$6:EK$77,$FO423)*INDEX(卡牌消耗!$B$8:$F$8,FQ423)/5,0)*5,""),"")</f>
        <v>1590</v>
      </c>
      <c r="FW423" s="101" t="str">
        <f t="shared" si="291"/>
        <v>专属强化石1</v>
      </c>
      <c r="FX423" s="101">
        <f t="shared" si="292"/>
        <v>15</v>
      </c>
      <c r="FY423" s="101" t="str">
        <f t="shared" si="293"/>
        <v>专属强化石2</v>
      </c>
      <c r="FZ423" s="101">
        <f t="shared" si="294"/>
        <v>5</v>
      </c>
      <c r="GA423" s="101">
        <f t="shared" si="299"/>
        <v>0.09</v>
      </c>
      <c r="GB423" s="101">
        <f t="shared" si="300"/>
        <v>1</v>
      </c>
      <c r="GC423" s="101">
        <f t="shared" si="301"/>
        <v>16</v>
      </c>
      <c r="GD423" s="101">
        <f t="shared" si="302"/>
        <v>0</v>
      </c>
      <c r="GE423" s="101">
        <f t="shared" si="303"/>
        <v>1</v>
      </c>
      <c r="GF423" s="101">
        <f t="shared" si="304"/>
        <v>4</v>
      </c>
      <c r="GG423" s="101">
        <f t="shared" si="305"/>
        <v>4.5900000000000003E-2</v>
      </c>
      <c r="GH423" s="101">
        <f t="shared" si="306"/>
        <v>1</v>
      </c>
      <c r="GI423" s="101">
        <f t="shared" si="307"/>
        <v>8</v>
      </c>
      <c r="GJ423" s="101">
        <f t="shared" si="308"/>
        <v>0.1835</v>
      </c>
      <c r="GK423" s="101">
        <f t="shared" si="309"/>
        <v>1</v>
      </c>
      <c r="GL423" s="101">
        <f t="shared" si="310"/>
        <v>16</v>
      </c>
    </row>
    <row r="424" spans="170:194" ht="16.5" x14ac:dyDescent="0.2">
      <c r="FN424" s="101">
        <v>419</v>
      </c>
      <c r="FO424" s="101">
        <f t="shared" si="295"/>
        <v>17</v>
      </c>
      <c r="FP424" s="101">
        <f t="shared" si="288"/>
        <v>6</v>
      </c>
      <c r="FQ424" s="14">
        <f t="shared" si="289"/>
        <v>4</v>
      </c>
      <c r="FR424" s="101" t="str">
        <f t="shared" si="296"/>
        <v>天使缇娜专属武器-魂珠-2 8级</v>
      </c>
      <c r="FS424" s="101">
        <f t="shared" si="297"/>
        <v>2</v>
      </c>
      <c r="FT424" s="101">
        <f t="shared" si="298"/>
        <v>8</v>
      </c>
      <c r="FU424" s="101" t="str">
        <f t="shared" si="290"/>
        <v>金币</v>
      </c>
      <c r="FV424" s="139">
        <f>IF($FT424&gt;0,IF(INDEX($EI$6:$EI$77,$FO424)&gt;=FV$3,ROUND(INDEX(EK$6:EK$77,$FO424)*INDEX(卡牌消耗!$B$8:$F$8,FQ424)/5,0)*5,""),"")</f>
        <v>1905</v>
      </c>
      <c r="FW424" s="101" t="str">
        <f t="shared" si="291"/>
        <v>专属强化石1</v>
      </c>
      <c r="FX424" s="101">
        <f t="shared" si="292"/>
        <v>18</v>
      </c>
      <c r="FY424" s="101" t="str">
        <f t="shared" si="293"/>
        <v>专属强化石2</v>
      </c>
      <c r="FZ424" s="101">
        <f t="shared" si="294"/>
        <v>6</v>
      </c>
      <c r="GA424" s="101">
        <f t="shared" si="299"/>
        <v>7.0000000000000007E-2</v>
      </c>
      <c r="GB424" s="101">
        <f t="shared" si="300"/>
        <v>1</v>
      </c>
      <c r="GC424" s="101">
        <f t="shared" si="301"/>
        <v>22</v>
      </c>
      <c r="GD424" s="101">
        <f t="shared" si="302"/>
        <v>0</v>
      </c>
      <c r="GE424" s="101">
        <f t="shared" si="303"/>
        <v>1</v>
      </c>
      <c r="GF424" s="101">
        <f t="shared" si="304"/>
        <v>5</v>
      </c>
      <c r="GG424" s="101">
        <f t="shared" si="305"/>
        <v>3.4000000000000002E-2</v>
      </c>
      <c r="GH424" s="101">
        <f t="shared" si="306"/>
        <v>1</v>
      </c>
      <c r="GI424" s="101">
        <f t="shared" si="307"/>
        <v>10</v>
      </c>
      <c r="GJ424" s="101">
        <f t="shared" si="308"/>
        <v>0.13600000000000001</v>
      </c>
      <c r="GK424" s="101">
        <f t="shared" si="309"/>
        <v>1</v>
      </c>
      <c r="GL424" s="101">
        <f t="shared" si="310"/>
        <v>22</v>
      </c>
    </row>
    <row r="425" spans="170:194" ht="16.5" x14ac:dyDescent="0.2">
      <c r="FN425" s="101">
        <v>420</v>
      </c>
      <c r="FO425" s="101">
        <f t="shared" si="295"/>
        <v>18</v>
      </c>
      <c r="FP425" s="101">
        <f t="shared" si="288"/>
        <v>6</v>
      </c>
      <c r="FQ425" s="14">
        <f t="shared" si="289"/>
        <v>4</v>
      </c>
      <c r="FR425" s="101" t="str">
        <f t="shared" si="296"/>
        <v>天使缇娜专属武器-魂珠-2 9级</v>
      </c>
      <c r="FS425" s="101">
        <f t="shared" si="297"/>
        <v>2</v>
      </c>
      <c r="FT425" s="101">
        <f t="shared" si="298"/>
        <v>9</v>
      </c>
      <c r="FU425" s="101" t="str">
        <f t="shared" si="290"/>
        <v>金币</v>
      </c>
      <c r="FV425" s="139">
        <f>IF($FT425&gt;0,IF(INDEX($EI$6:$EI$77,$FO425)&gt;=FV$3,ROUND(INDEX(EK$6:EK$77,$FO425)*INDEX(卡牌消耗!$B$8:$F$8,FQ425)/5,0)*5,""),"")</f>
        <v>2540</v>
      </c>
      <c r="FW425" s="101" t="str">
        <f t="shared" si="291"/>
        <v>专属强化石1</v>
      </c>
      <c r="FX425" s="101">
        <f t="shared" si="292"/>
        <v>24</v>
      </c>
      <c r="FY425" s="101" t="str">
        <f t="shared" si="293"/>
        <v>专属强化石2</v>
      </c>
      <c r="FZ425" s="101">
        <f t="shared" si="294"/>
        <v>8</v>
      </c>
      <c r="GA425" s="101">
        <f t="shared" si="299"/>
        <v>0.06</v>
      </c>
      <c r="GB425" s="101">
        <f t="shared" si="300"/>
        <v>1</v>
      </c>
      <c r="GC425" s="101">
        <f t="shared" si="301"/>
        <v>27</v>
      </c>
      <c r="GD425" s="101">
        <f t="shared" si="302"/>
        <v>0</v>
      </c>
      <c r="GE425" s="101">
        <f t="shared" si="303"/>
        <v>1</v>
      </c>
      <c r="GF425" s="101">
        <f t="shared" si="304"/>
        <v>6</v>
      </c>
      <c r="GG425" s="101">
        <f t="shared" si="305"/>
        <v>2.8000000000000001E-2</v>
      </c>
      <c r="GH425" s="101">
        <f t="shared" si="306"/>
        <v>1</v>
      </c>
      <c r="GI425" s="101">
        <f t="shared" si="307"/>
        <v>12</v>
      </c>
      <c r="GJ425" s="101">
        <f t="shared" si="308"/>
        <v>0.11210000000000001</v>
      </c>
      <c r="GK425" s="101">
        <f t="shared" si="309"/>
        <v>1</v>
      </c>
      <c r="GL425" s="101">
        <f t="shared" si="310"/>
        <v>27</v>
      </c>
    </row>
    <row r="426" spans="170:194" ht="16.5" x14ac:dyDescent="0.2">
      <c r="FN426" s="101">
        <v>421</v>
      </c>
      <c r="FO426" s="101">
        <f t="shared" si="295"/>
        <v>0</v>
      </c>
      <c r="FP426" s="101">
        <f t="shared" si="288"/>
        <v>6</v>
      </c>
      <c r="FQ426" s="14">
        <f t="shared" si="289"/>
        <v>4</v>
      </c>
      <c r="FR426" s="101" t="str">
        <f t="shared" si="296"/>
        <v>天使缇娜专属武器-魂珠-3 0级</v>
      </c>
      <c r="FS426" s="101">
        <f t="shared" si="297"/>
        <v>3</v>
      </c>
      <c r="FT426" s="101">
        <f t="shared" si="298"/>
        <v>0</v>
      </c>
      <c r="FU426" s="101" t="str">
        <f t="shared" si="290"/>
        <v/>
      </c>
      <c r="FV426" s="139" t="str">
        <f>IF($FT426&gt;0,IF(INDEX($EI$6:$EI$77,$FO426)&gt;=FV$3,ROUND(INDEX(EK$6:EK$77,$FO426)*INDEX(卡牌消耗!$B$8:$F$8,FQ426)/5,0)*5,""),"")</f>
        <v/>
      </c>
      <c r="FW426" s="101" t="str">
        <f t="shared" si="291"/>
        <v/>
      </c>
      <c r="FX426" s="101" t="str">
        <f t="shared" si="292"/>
        <v/>
      </c>
      <c r="FY426" s="101" t="str">
        <f t="shared" si="293"/>
        <v/>
      </c>
      <c r="FZ426" s="101" t="str">
        <f t="shared" si="294"/>
        <v/>
      </c>
      <c r="GA426" s="101" t="str">
        <f t="shared" si="299"/>
        <v/>
      </c>
      <c r="GB426" s="101" t="str">
        <f t="shared" si="300"/>
        <v/>
      </c>
      <c r="GC426" s="101" t="str">
        <f t="shared" si="301"/>
        <v/>
      </c>
      <c r="GD426" s="101" t="str">
        <f t="shared" si="302"/>
        <v/>
      </c>
      <c r="GE426" s="101" t="str">
        <f t="shared" si="303"/>
        <v/>
      </c>
      <c r="GF426" s="101" t="str">
        <f t="shared" si="304"/>
        <v/>
      </c>
      <c r="GG426" s="101" t="str">
        <f t="shared" si="305"/>
        <v/>
      </c>
      <c r="GH426" s="101" t="str">
        <f t="shared" si="306"/>
        <v/>
      </c>
      <c r="GI426" s="101" t="str">
        <f t="shared" si="307"/>
        <v/>
      </c>
      <c r="GJ426" s="101" t="str">
        <f t="shared" si="308"/>
        <v/>
      </c>
      <c r="GK426" s="101" t="str">
        <f t="shared" si="309"/>
        <v/>
      </c>
      <c r="GL426" s="101" t="str">
        <f t="shared" si="310"/>
        <v/>
      </c>
    </row>
    <row r="427" spans="170:194" ht="16.5" x14ac:dyDescent="0.2">
      <c r="FN427" s="101">
        <v>422</v>
      </c>
      <c r="FO427" s="101">
        <f t="shared" si="295"/>
        <v>19</v>
      </c>
      <c r="FP427" s="101">
        <f t="shared" si="288"/>
        <v>6</v>
      </c>
      <c r="FQ427" s="14">
        <f t="shared" si="289"/>
        <v>4</v>
      </c>
      <c r="FR427" s="101" t="str">
        <f t="shared" si="296"/>
        <v>天使缇娜专属武器-魂珠-3 1级</v>
      </c>
      <c r="FS427" s="101">
        <f t="shared" si="297"/>
        <v>3</v>
      </c>
      <c r="FT427" s="101">
        <f t="shared" si="298"/>
        <v>1</v>
      </c>
      <c r="FU427" s="101" t="str">
        <f t="shared" si="290"/>
        <v>金币</v>
      </c>
      <c r="FV427" s="139">
        <f>IF($FT427&gt;0,IF(INDEX($EI$6:$EI$77,$FO427)&gt;=FV$3,ROUND(INDEX(EK$6:EK$77,$FO427)*INDEX(卡牌消耗!$B$8:$F$8,FQ427)/5,0)*5,""),"")</f>
        <v>820</v>
      </c>
      <c r="FW427" s="101" t="str">
        <f t="shared" si="291"/>
        <v>专属强化石1</v>
      </c>
      <c r="FX427" s="101">
        <f t="shared" si="292"/>
        <v>4</v>
      </c>
      <c r="FY427" s="101" t="str">
        <f t="shared" si="293"/>
        <v>专属强化石2</v>
      </c>
      <c r="FZ427" s="101">
        <f t="shared" si="294"/>
        <v>2</v>
      </c>
      <c r="GA427" s="101">
        <f t="shared" si="299"/>
        <v>0.31</v>
      </c>
      <c r="GB427" s="101">
        <f t="shared" si="300"/>
        <v>1</v>
      </c>
      <c r="GC427" s="101">
        <f t="shared" si="301"/>
        <v>5</v>
      </c>
      <c r="GD427" s="101">
        <f t="shared" si="302"/>
        <v>0</v>
      </c>
      <c r="GE427" s="101">
        <f t="shared" si="303"/>
        <v>1</v>
      </c>
      <c r="GF427" s="101">
        <f t="shared" si="304"/>
        <v>1</v>
      </c>
      <c r="GG427" s="101">
        <f t="shared" si="305"/>
        <v>0.15409999999999999</v>
      </c>
      <c r="GH427" s="101">
        <f t="shared" si="306"/>
        <v>1</v>
      </c>
      <c r="GI427" s="101">
        <f t="shared" si="307"/>
        <v>2</v>
      </c>
      <c r="GJ427" s="101">
        <f t="shared" si="308"/>
        <v>0.61650000000000005</v>
      </c>
      <c r="GK427" s="101">
        <f t="shared" si="309"/>
        <v>1</v>
      </c>
      <c r="GL427" s="101">
        <f t="shared" si="310"/>
        <v>5</v>
      </c>
    </row>
    <row r="428" spans="170:194" ht="16.5" x14ac:dyDescent="0.2">
      <c r="FN428" s="101">
        <v>423</v>
      </c>
      <c r="FO428" s="101">
        <f t="shared" si="295"/>
        <v>20</v>
      </c>
      <c r="FP428" s="101">
        <f t="shared" si="288"/>
        <v>6</v>
      </c>
      <c r="FQ428" s="14">
        <f t="shared" si="289"/>
        <v>4</v>
      </c>
      <c r="FR428" s="101" t="str">
        <f t="shared" si="296"/>
        <v>天使缇娜专属武器-魂珠-3 2级</v>
      </c>
      <c r="FS428" s="101">
        <f t="shared" si="297"/>
        <v>3</v>
      </c>
      <c r="FT428" s="101">
        <f t="shared" si="298"/>
        <v>2</v>
      </c>
      <c r="FU428" s="101" t="str">
        <f t="shared" si="290"/>
        <v>金币</v>
      </c>
      <c r="FV428" s="139">
        <f>IF($FT428&gt;0,IF(INDEX($EI$6:$EI$77,$FO428)&gt;=FV$3,ROUND(INDEX(EK$6:EK$77,$FO428)*INDEX(卡牌消耗!$B$8:$F$8,FQ428)/5,0)*5,""),"")</f>
        <v>615</v>
      </c>
      <c r="FW428" s="101" t="str">
        <f t="shared" si="291"/>
        <v>专属强化石1</v>
      </c>
      <c r="FX428" s="101">
        <f t="shared" si="292"/>
        <v>4</v>
      </c>
      <c r="FY428" s="101" t="str">
        <f t="shared" si="293"/>
        <v>专属强化石2</v>
      </c>
      <c r="FZ428" s="101">
        <f t="shared" si="294"/>
        <v>2</v>
      </c>
      <c r="GA428" s="101">
        <f t="shared" si="299"/>
        <v>0.15</v>
      </c>
      <c r="GB428" s="101">
        <f t="shared" si="300"/>
        <v>1</v>
      </c>
      <c r="GC428" s="101">
        <f t="shared" si="301"/>
        <v>10</v>
      </c>
      <c r="GD428" s="101">
        <f t="shared" si="302"/>
        <v>0</v>
      </c>
      <c r="GE428" s="101">
        <f t="shared" si="303"/>
        <v>1</v>
      </c>
      <c r="GF428" s="101">
        <f t="shared" si="304"/>
        <v>2</v>
      </c>
      <c r="GG428" s="101">
        <f t="shared" si="305"/>
        <v>7.7100000000000002E-2</v>
      </c>
      <c r="GH428" s="101">
        <f t="shared" si="306"/>
        <v>1</v>
      </c>
      <c r="GI428" s="101">
        <f t="shared" si="307"/>
        <v>5</v>
      </c>
      <c r="GJ428" s="101">
        <f t="shared" si="308"/>
        <v>0.30830000000000002</v>
      </c>
      <c r="GK428" s="101">
        <f t="shared" si="309"/>
        <v>1</v>
      </c>
      <c r="GL428" s="101">
        <f t="shared" si="310"/>
        <v>10</v>
      </c>
    </row>
    <row r="429" spans="170:194" ht="16.5" x14ac:dyDescent="0.2">
      <c r="FN429" s="101">
        <v>424</v>
      </c>
      <c r="FO429" s="101">
        <f t="shared" si="295"/>
        <v>21</v>
      </c>
      <c r="FP429" s="101">
        <f t="shared" si="288"/>
        <v>6</v>
      </c>
      <c r="FQ429" s="14">
        <f t="shared" si="289"/>
        <v>4</v>
      </c>
      <c r="FR429" s="101" t="str">
        <f t="shared" si="296"/>
        <v>天使缇娜专属武器-魂珠-3 3级</v>
      </c>
      <c r="FS429" s="101">
        <f t="shared" si="297"/>
        <v>3</v>
      </c>
      <c r="FT429" s="101">
        <f t="shared" si="298"/>
        <v>3</v>
      </c>
      <c r="FU429" s="101" t="str">
        <f t="shared" si="290"/>
        <v>金币</v>
      </c>
      <c r="FV429" s="139">
        <f>IF($FT429&gt;0,IF(INDEX($EI$6:$EI$77,$FO429)&gt;=FV$3,ROUND(INDEX(EK$6:EK$77,$FO429)*INDEX(卡牌消耗!$B$8:$F$8,FQ429)/5,0)*5,""),"")</f>
        <v>1025</v>
      </c>
      <c r="FW429" s="101" t="str">
        <f t="shared" si="291"/>
        <v>专属强化石1</v>
      </c>
      <c r="FX429" s="101">
        <f t="shared" si="292"/>
        <v>6</v>
      </c>
      <c r="FY429" s="101" t="str">
        <f t="shared" si="293"/>
        <v>专属强化石2</v>
      </c>
      <c r="FZ429" s="101">
        <f t="shared" si="294"/>
        <v>3</v>
      </c>
      <c r="GA429" s="101">
        <f t="shared" si="299"/>
        <v>0.15</v>
      </c>
      <c r="GB429" s="101">
        <f t="shared" si="300"/>
        <v>1</v>
      </c>
      <c r="GC429" s="101">
        <f t="shared" si="301"/>
        <v>10</v>
      </c>
      <c r="GD429" s="101">
        <f t="shared" si="302"/>
        <v>0</v>
      </c>
      <c r="GE429" s="101">
        <f t="shared" si="303"/>
        <v>1</v>
      </c>
      <c r="GF429" s="101">
        <f t="shared" si="304"/>
        <v>2</v>
      </c>
      <c r="GG429" s="101">
        <f t="shared" si="305"/>
        <v>7.7100000000000002E-2</v>
      </c>
      <c r="GH429" s="101">
        <f t="shared" si="306"/>
        <v>1</v>
      </c>
      <c r="GI429" s="101">
        <f t="shared" si="307"/>
        <v>5</v>
      </c>
      <c r="GJ429" s="101">
        <f t="shared" si="308"/>
        <v>0.30830000000000002</v>
      </c>
      <c r="GK429" s="101">
        <f t="shared" si="309"/>
        <v>1</v>
      </c>
      <c r="GL429" s="101">
        <f t="shared" si="310"/>
        <v>10</v>
      </c>
    </row>
    <row r="430" spans="170:194" ht="16.5" x14ac:dyDescent="0.2">
      <c r="FN430" s="101">
        <v>425</v>
      </c>
      <c r="FO430" s="101">
        <f t="shared" si="295"/>
        <v>22</v>
      </c>
      <c r="FP430" s="101">
        <f t="shared" si="288"/>
        <v>6</v>
      </c>
      <c r="FQ430" s="14">
        <f t="shared" si="289"/>
        <v>4</v>
      </c>
      <c r="FR430" s="101" t="str">
        <f t="shared" si="296"/>
        <v>天使缇娜专属武器-魂珠-3 4级</v>
      </c>
      <c r="FS430" s="101">
        <f t="shared" si="297"/>
        <v>3</v>
      </c>
      <c r="FT430" s="101">
        <f t="shared" si="298"/>
        <v>4</v>
      </c>
      <c r="FU430" s="101" t="str">
        <f t="shared" si="290"/>
        <v>金币</v>
      </c>
      <c r="FV430" s="139">
        <f>IF($FT430&gt;0,IF(INDEX($EI$6:$EI$77,$FO430)&gt;=FV$3,ROUND(INDEX(EK$6:EK$77,$FO430)*INDEX(卡牌消耗!$B$8:$F$8,FQ430)/5,0)*5,""),"")</f>
        <v>985</v>
      </c>
      <c r="FW430" s="101" t="str">
        <f t="shared" si="291"/>
        <v>专属强化石1</v>
      </c>
      <c r="FX430" s="101">
        <f t="shared" si="292"/>
        <v>6</v>
      </c>
      <c r="FY430" s="101" t="str">
        <f t="shared" si="293"/>
        <v>专属强化石2</v>
      </c>
      <c r="FZ430" s="101">
        <f t="shared" si="294"/>
        <v>3</v>
      </c>
      <c r="GA430" s="101">
        <f t="shared" si="299"/>
        <v>0.09</v>
      </c>
      <c r="GB430" s="101">
        <f t="shared" si="300"/>
        <v>1</v>
      </c>
      <c r="GC430" s="101">
        <f t="shared" si="301"/>
        <v>16</v>
      </c>
      <c r="GD430" s="101">
        <f t="shared" si="302"/>
        <v>0</v>
      </c>
      <c r="GE430" s="101">
        <f t="shared" si="303"/>
        <v>1</v>
      </c>
      <c r="GF430" s="101">
        <f t="shared" si="304"/>
        <v>4</v>
      </c>
      <c r="GG430" s="101">
        <f t="shared" si="305"/>
        <v>4.6199999999999998E-2</v>
      </c>
      <c r="GH430" s="101">
        <f t="shared" si="306"/>
        <v>1</v>
      </c>
      <c r="GI430" s="101">
        <f t="shared" si="307"/>
        <v>8</v>
      </c>
      <c r="GJ430" s="101">
        <f t="shared" si="308"/>
        <v>0.185</v>
      </c>
      <c r="GK430" s="101">
        <f t="shared" si="309"/>
        <v>1</v>
      </c>
      <c r="GL430" s="101">
        <f t="shared" si="310"/>
        <v>16</v>
      </c>
    </row>
    <row r="431" spans="170:194" ht="16.5" x14ac:dyDescent="0.2">
      <c r="FN431" s="101">
        <v>426</v>
      </c>
      <c r="FO431" s="101">
        <f t="shared" si="295"/>
        <v>23</v>
      </c>
      <c r="FP431" s="101">
        <f t="shared" si="288"/>
        <v>6</v>
      </c>
      <c r="FQ431" s="14">
        <f t="shared" si="289"/>
        <v>4</v>
      </c>
      <c r="FR431" s="101" t="str">
        <f t="shared" si="296"/>
        <v>天使缇娜专属武器-魂珠-3 5级</v>
      </c>
      <c r="FS431" s="101">
        <f t="shared" si="297"/>
        <v>3</v>
      </c>
      <c r="FT431" s="101">
        <f t="shared" si="298"/>
        <v>5</v>
      </c>
      <c r="FU431" s="101" t="str">
        <f t="shared" si="290"/>
        <v>金币</v>
      </c>
      <c r="FV431" s="139">
        <f>IF($FT431&gt;0,IF(INDEX($EI$6:$EI$77,$FO431)&gt;=FV$3,ROUND(INDEX(EK$6:EK$77,$FO431)*INDEX(卡牌消耗!$B$8:$F$8,FQ431)/5,0)*5,""),"")</f>
        <v>1330</v>
      </c>
      <c r="FW431" s="101" t="str">
        <f t="shared" si="291"/>
        <v>专属强化石1</v>
      </c>
      <c r="FX431" s="101">
        <f t="shared" si="292"/>
        <v>8</v>
      </c>
      <c r="FY431" s="101" t="str">
        <f t="shared" si="293"/>
        <v>专属强化石2</v>
      </c>
      <c r="FZ431" s="101">
        <f t="shared" si="294"/>
        <v>4</v>
      </c>
      <c r="GA431" s="101">
        <f t="shared" si="299"/>
        <v>0.08</v>
      </c>
      <c r="GB431" s="101">
        <f t="shared" si="300"/>
        <v>1</v>
      </c>
      <c r="GC431" s="101">
        <f t="shared" si="301"/>
        <v>19</v>
      </c>
      <c r="GD431" s="101">
        <f t="shared" si="302"/>
        <v>0</v>
      </c>
      <c r="GE431" s="101">
        <f t="shared" si="303"/>
        <v>1</v>
      </c>
      <c r="GF431" s="101">
        <f t="shared" si="304"/>
        <v>5</v>
      </c>
      <c r="GG431" s="101">
        <f t="shared" si="305"/>
        <v>3.85E-2</v>
      </c>
      <c r="GH431" s="101">
        <f t="shared" si="306"/>
        <v>1</v>
      </c>
      <c r="GI431" s="101">
        <f t="shared" si="307"/>
        <v>9</v>
      </c>
      <c r="GJ431" s="101">
        <f t="shared" si="308"/>
        <v>0.15409999999999999</v>
      </c>
      <c r="GK431" s="101">
        <f t="shared" si="309"/>
        <v>1</v>
      </c>
      <c r="GL431" s="101">
        <f t="shared" si="310"/>
        <v>19</v>
      </c>
    </row>
    <row r="432" spans="170:194" ht="16.5" x14ac:dyDescent="0.2">
      <c r="FN432" s="101">
        <v>427</v>
      </c>
      <c r="FO432" s="101">
        <f t="shared" si="295"/>
        <v>24</v>
      </c>
      <c r="FP432" s="101">
        <f t="shared" si="288"/>
        <v>6</v>
      </c>
      <c r="FQ432" s="14">
        <f t="shared" si="289"/>
        <v>4</v>
      </c>
      <c r="FR432" s="101" t="str">
        <f t="shared" si="296"/>
        <v>天使缇娜专属武器-魂珠-3 6级</v>
      </c>
      <c r="FS432" s="101">
        <f t="shared" si="297"/>
        <v>3</v>
      </c>
      <c r="FT432" s="101">
        <f t="shared" si="298"/>
        <v>6</v>
      </c>
      <c r="FU432" s="101" t="str">
        <f t="shared" si="290"/>
        <v>金币</v>
      </c>
      <c r="FV432" s="139">
        <f>IF($FT432&gt;0,IF(INDEX($EI$6:$EI$77,$FO432)&gt;=FV$3,ROUND(INDEX(EK$6:EK$77,$FO432)*INDEX(卡牌消耗!$B$8:$F$8,FQ432)/5,0)*5,""),"")</f>
        <v>1650</v>
      </c>
      <c r="FW432" s="101" t="str">
        <f t="shared" si="291"/>
        <v>专属强化石1</v>
      </c>
      <c r="FX432" s="101">
        <f t="shared" si="292"/>
        <v>10</v>
      </c>
      <c r="FY432" s="101" t="str">
        <f t="shared" si="293"/>
        <v>专属强化石2</v>
      </c>
      <c r="FZ432" s="101">
        <f t="shared" si="294"/>
        <v>5</v>
      </c>
      <c r="GA432" s="101">
        <f t="shared" si="299"/>
        <v>0.06</v>
      </c>
      <c r="GB432" s="101">
        <f t="shared" si="300"/>
        <v>1</v>
      </c>
      <c r="GC432" s="101">
        <f t="shared" si="301"/>
        <v>25</v>
      </c>
      <c r="GD432" s="101">
        <f t="shared" si="302"/>
        <v>0</v>
      </c>
      <c r="GE432" s="101">
        <f t="shared" si="303"/>
        <v>1</v>
      </c>
      <c r="GF432" s="101">
        <f t="shared" si="304"/>
        <v>6</v>
      </c>
      <c r="GG432" s="101">
        <f t="shared" si="305"/>
        <v>2.9600000000000001E-2</v>
      </c>
      <c r="GH432" s="101">
        <f t="shared" si="306"/>
        <v>1</v>
      </c>
      <c r="GI432" s="101">
        <f t="shared" si="307"/>
        <v>12</v>
      </c>
      <c r="GJ432" s="101">
        <f t="shared" si="308"/>
        <v>0.1186</v>
      </c>
      <c r="GK432" s="101">
        <f t="shared" si="309"/>
        <v>1</v>
      </c>
      <c r="GL432" s="101">
        <f t="shared" si="310"/>
        <v>25</v>
      </c>
    </row>
    <row r="433" spans="170:194" ht="16.5" x14ac:dyDescent="0.2">
      <c r="FN433" s="101">
        <v>428</v>
      </c>
      <c r="FO433" s="101">
        <f t="shared" si="295"/>
        <v>25</v>
      </c>
      <c r="FP433" s="101">
        <f t="shared" si="288"/>
        <v>6</v>
      </c>
      <c r="FQ433" s="14">
        <f t="shared" si="289"/>
        <v>4</v>
      </c>
      <c r="FR433" s="101" t="str">
        <f t="shared" si="296"/>
        <v>天使缇娜专属武器-魂珠-3 7级</v>
      </c>
      <c r="FS433" s="101">
        <f t="shared" si="297"/>
        <v>3</v>
      </c>
      <c r="FT433" s="101">
        <f t="shared" si="298"/>
        <v>7</v>
      </c>
      <c r="FU433" s="101" t="str">
        <f t="shared" si="290"/>
        <v>金币</v>
      </c>
      <c r="FV433" s="139">
        <f>IF($FT433&gt;0,IF(INDEX($EI$6:$EI$77,$FO433)&gt;=FV$3,ROUND(INDEX(EK$6:EK$77,$FO433)*INDEX(卡牌消耗!$B$8:$F$8,FQ433)/5,0)*5,""),"")</f>
        <v>1990</v>
      </c>
      <c r="FW433" s="101" t="str">
        <f t="shared" si="291"/>
        <v>专属强化石1</v>
      </c>
      <c r="FX433" s="101">
        <f t="shared" si="292"/>
        <v>12</v>
      </c>
      <c r="FY433" s="101" t="str">
        <f t="shared" si="293"/>
        <v>专属强化石2</v>
      </c>
      <c r="FZ433" s="101">
        <f t="shared" si="294"/>
        <v>6</v>
      </c>
      <c r="GA433" s="101">
        <f t="shared" si="299"/>
        <v>0.04</v>
      </c>
      <c r="GB433" s="101">
        <f t="shared" si="300"/>
        <v>1</v>
      </c>
      <c r="GC433" s="101">
        <f t="shared" si="301"/>
        <v>34</v>
      </c>
      <c r="GD433" s="101">
        <f t="shared" si="302"/>
        <v>0</v>
      </c>
      <c r="GE433" s="101">
        <f t="shared" si="303"/>
        <v>1</v>
      </c>
      <c r="GF433" s="101">
        <f t="shared" si="304"/>
        <v>8</v>
      </c>
      <c r="GG433" s="101">
        <f t="shared" si="305"/>
        <v>2.1999999999999999E-2</v>
      </c>
      <c r="GH433" s="101">
        <f t="shared" si="306"/>
        <v>1</v>
      </c>
      <c r="GI433" s="101">
        <f t="shared" si="307"/>
        <v>16</v>
      </c>
      <c r="GJ433" s="101">
        <f t="shared" si="308"/>
        <v>8.8099999999999998E-2</v>
      </c>
      <c r="GK433" s="101">
        <f t="shared" si="309"/>
        <v>1</v>
      </c>
      <c r="GL433" s="101">
        <f t="shared" si="310"/>
        <v>34</v>
      </c>
    </row>
    <row r="434" spans="170:194" ht="16.5" x14ac:dyDescent="0.2">
      <c r="FN434" s="101">
        <v>429</v>
      </c>
      <c r="FO434" s="101">
        <f t="shared" si="295"/>
        <v>26</v>
      </c>
      <c r="FP434" s="101">
        <f t="shared" si="288"/>
        <v>6</v>
      </c>
      <c r="FQ434" s="14">
        <f t="shared" si="289"/>
        <v>4</v>
      </c>
      <c r="FR434" s="101" t="str">
        <f t="shared" si="296"/>
        <v>天使缇娜专属武器-魂珠-3 8级</v>
      </c>
      <c r="FS434" s="101">
        <f t="shared" si="297"/>
        <v>3</v>
      </c>
      <c r="FT434" s="101">
        <f t="shared" si="298"/>
        <v>8</v>
      </c>
      <c r="FU434" s="101" t="str">
        <f t="shared" si="290"/>
        <v>金币</v>
      </c>
      <c r="FV434" s="139">
        <f>IF($FT434&gt;0,IF(INDEX($EI$6:$EI$77,$FO434)&gt;=FV$3,ROUND(INDEX(EK$6:EK$77,$FO434)*INDEX(卡牌消耗!$B$8:$F$8,FQ434)/5,0)*5,""),"")</f>
        <v>2650</v>
      </c>
      <c r="FW434" s="101" t="str">
        <f t="shared" si="291"/>
        <v>专属强化石1</v>
      </c>
      <c r="FX434" s="101">
        <f t="shared" si="292"/>
        <v>16</v>
      </c>
      <c r="FY434" s="101" t="str">
        <f t="shared" si="293"/>
        <v>专属强化石2</v>
      </c>
      <c r="FZ434" s="101">
        <f t="shared" si="294"/>
        <v>8</v>
      </c>
      <c r="GA434" s="101">
        <f t="shared" si="299"/>
        <v>0.04</v>
      </c>
      <c r="GB434" s="101">
        <f t="shared" si="300"/>
        <v>1</v>
      </c>
      <c r="GC434" s="101">
        <f t="shared" si="301"/>
        <v>41</v>
      </c>
      <c r="GD434" s="101">
        <f t="shared" si="302"/>
        <v>0</v>
      </c>
      <c r="GE434" s="101">
        <f t="shared" si="303"/>
        <v>1</v>
      </c>
      <c r="GF434" s="101">
        <f t="shared" si="304"/>
        <v>10</v>
      </c>
      <c r="GG434" s="101">
        <f t="shared" si="305"/>
        <v>1.8100000000000002E-2</v>
      </c>
      <c r="GH434" s="101">
        <f t="shared" si="306"/>
        <v>1</v>
      </c>
      <c r="GI434" s="101">
        <f t="shared" si="307"/>
        <v>19</v>
      </c>
      <c r="GJ434" s="101">
        <f t="shared" si="308"/>
        <v>7.2499999999999995E-2</v>
      </c>
      <c r="GK434" s="101">
        <f t="shared" si="309"/>
        <v>1</v>
      </c>
      <c r="GL434" s="101">
        <f t="shared" si="310"/>
        <v>41</v>
      </c>
    </row>
    <row r="435" spans="170:194" ht="16.5" x14ac:dyDescent="0.2">
      <c r="FN435" s="101">
        <v>430</v>
      </c>
      <c r="FO435" s="101">
        <f t="shared" si="295"/>
        <v>27</v>
      </c>
      <c r="FP435" s="101">
        <f t="shared" si="288"/>
        <v>6</v>
      </c>
      <c r="FQ435" s="14">
        <f t="shared" si="289"/>
        <v>4</v>
      </c>
      <c r="FR435" s="101" t="str">
        <f t="shared" si="296"/>
        <v>天使缇娜专属武器-魂珠-3 9级</v>
      </c>
      <c r="FS435" s="101">
        <f t="shared" si="297"/>
        <v>3</v>
      </c>
      <c r="FT435" s="101">
        <f t="shared" si="298"/>
        <v>9</v>
      </c>
      <c r="FU435" s="101" t="str">
        <f t="shared" si="290"/>
        <v>金币</v>
      </c>
      <c r="FV435" s="139">
        <f>IF($FT435&gt;0,IF(INDEX($EI$6:$EI$77,$FO435)&gt;=FV$3,ROUND(INDEX(EK$6:EK$77,$FO435)*INDEX(卡牌消耗!$B$8:$F$8,FQ435)/5,0)*5,""),"")</f>
        <v>3310</v>
      </c>
      <c r="FW435" s="101" t="str">
        <f t="shared" si="291"/>
        <v>专属强化石1</v>
      </c>
      <c r="FX435" s="101">
        <f t="shared" si="292"/>
        <v>20</v>
      </c>
      <c r="FY435" s="101" t="str">
        <f t="shared" si="293"/>
        <v>专属强化石2</v>
      </c>
      <c r="FZ435" s="101">
        <f t="shared" si="294"/>
        <v>10</v>
      </c>
      <c r="GA435" s="101">
        <f t="shared" si="299"/>
        <v>0.03</v>
      </c>
      <c r="GB435" s="101">
        <f t="shared" si="300"/>
        <v>1</v>
      </c>
      <c r="GC435" s="101">
        <f t="shared" si="301"/>
        <v>54</v>
      </c>
      <c r="GD435" s="101">
        <f t="shared" si="302"/>
        <v>0</v>
      </c>
      <c r="GE435" s="101">
        <f t="shared" si="303"/>
        <v>1</v>
      </c>
      <c r="GF435" s="101">
        <f t="shared" si="304"/>
        <v>12</v>
      </c>
      <c r="GG435" s="101">
        <f t="shared" si="305"/>
        <v>1.4E-2</v>
      </c>
      <c r="GH435" s="101">
        <f t="shared" si="306"/>
        <v>1</v>
      </c>
      <c r="GI435" s="101">
        <f t="shared" si="307"/>
        <v>25</v>
      </c>
      <c r="GJ435" s="101">
        <f t="shared" si="308"/>
        <v>5.6000000000000001E-2</v>
      </c>
      <c r="GK435" s="101">
        <f t="shared" si="309"/>
        <v>1</v>
      </c>
      <c r="GL435" s="101">
        <f t="shared" si="310"/>
        <v>54</v>
      </c>
    </row>
    <row r="436" spans="170:194" ht="16.5" x14ac:dyDescent="0.2">
      <c r="FN436" s="101">
        <v>431</v>
      </c>
      <c r="FO436" s="101">
        <f t="shared" si="295"/>
        <v>0</v>
      </c>
      <c r="FP436" s="101">
        <f t="shared" si="288"/>
        <v>6</v>
      </c>
      <c r="FQ436" s="14">
        <f t="shared" si="289"/>
        <v>4</v>
      </c>
      <c r="FR436" s="101" t="str">
        <f t="shared" si="296"/>
        <v>天使缇娜专属武器-魂珠-4 0级</v>
      </c>
      <c r="FS436" s="101">
        <f t="shared" si="297"/>
        <v>4</v>
      </c>
      <c r="FT436" s="101">
        <f t="shared" si="298"/>
        <v>0</v>
      </c>
      <c r="FU436" s="101" t="str">
        <f t="shared" si="290"/>
        <v/>
      </c>
      <c r="FV436" s="139" t="str">
        <f>IF($FT436&gt;0,IF(INDEX($EI$6:$EI$77,$FO436)&gt;=FV$3,ROUND(INDEX(EK$6:EK$77,$FO436)*INDEX(卡牌消耗!$B$8:$F$8,FQ436)/5,0)*5,""),"")</f>
        <v/>
      </c>
      <c r="FW436" s="101" t="str">
        <f t="shared" si="291"/>
        <v/>
      </c>
      <c r="FX436" s="101" t="str">
        <f t="shared" si="292"/>
        <v/>
      </c>
      <c r="FY436" s="101" t="str">
        <f t="shared" si="293"/>
        <v/>
      </c>
      <c r="FZ436" s="101" t="str">
        <f t="shared" si="294"/>
        <v/>
      </c>
      <c r="GA436" s="101" t="str">
        <f t="shared" si="299"/>
        <v/>
      </c>
      <c r="GB436" s="101" t="str">
        <f t="shared" si="300"/>
        <v/>
      </c>
      <c r="GC436" s="101" t="str">
        <f t="shared" si="301"/>
        <v/>
      </c>
      <c r="GD436" s="101" t="str">
        <f t="shared" si="302"/>
        <v/>
      </c>
      <c r="GE436" s="101" t="str">
        <f t="shared" si="303"/>
        <v/>
      </c>
      <c r="GF436" s="101" t="str">
        <f t="shared" si="304"/>
        <v/>
      </c>
      <c r="GG436" s="101" t="str">
        <f t="shared" si="305"/>
        <v/>
      </c>
      <c r="GH436" s="101" t="str">
        <f t="shared" si="306"/>
        <v/>
      </c>
      <c r="GI436" s="101" t="str">
        <f t="shared" si="307"/>
        <v/>
      </c>
      <c r="GJ436" s="101" t="str">
        <f t="shared" si="308"/>
        <v/>
      </c>
      <c r="GK436" s="101" t="str">
        <f t="shared" si="309"/>
        <v/>
      </c>
      <c r="GL436" s="101" t="str">
        <f t="shared" si="310"/>
        <v/>
      </c>
    </row>
    <row r="437" spans="170:194" ht="16.5" x14ac:dyDescent="0.2">
      <c r="FN437" s="101">
        <v>432</v>
      </c>
      <c r="FO437" s="101">
        <f t="shared" si="295"/>
        <v>28</v>
      </c>
      <c r="FP437" s="101">
        <f t="shared" si="288"/>
        <v>6</v>
      </c>
      <c r="FQ437" s="14">
        <f t="shared" si="289"/>
        <v>4</v>
      </c>
      <c r="FR437" s="101" t="str">
        <f t="shared" si="296"/>
        <v>天使缇娜专属武器-魂珠-4 1级</v>
      </c>
      <c r="FS437" s="101">
        <f t="shared" si="297"/>
        <v>4</v>
      </c>
      <c r="FT437" s="101">
        <f t="shared" si="298"/>
        <v>1</v>
      </c>
      <c r="FU437" s="101" t="str">
        <f t="shared" si="290"/>
        <v>金币</v>
      </c>
      <c r="FV437" s="139">
        <f>IF($FT437&gt;0,IF(INDEX($EI$6:$EI$77,$FO437)&gt;=FV$3,ROUND(INDEX(EK$6:EK$77,$FO437)*INDEX(卡牌消耗!$B$8:$F$8,FQ437)/5,0)*5,""),"")</f>
        <v>1095</v>
      </c>
      <c r="FW437" s="101" t="str">
        <f t="shared" si="291"/>
        <v>专属强化石2</v>
      </c>
      <c r="FX437" s="101">
        <f t="shared" si="292"/>
        <v>3</v>
      </c>
      <c r="FY437" s="101" t="str">
        <f t="shared" si="293"/>
        <v>专属强化石3</v>
      </c>
      <c r="FZ437" s="101">
        <f t="shared" si="294"/>
        <v>1</v>
      </c>
      <c r="GA437" s="101">
        <f t="shared" si="299"/>
        <v>0.2</v>
      </c>
      <c r="GB437" s="101">
        <f t="shared" si="300"/>
        <v>1</v>
      </c>
      <c r="GC437" s="101">
        <f t="shared" si="301"/>
        <v>7</v>
      </c>
      <c r="GD437" s="101">
        <f t="shared" si="302"/>
        <v>0</v>
      </c>
      <c r="GE437" s="101">
        <f t="shared" si="303"/>
        <v>1</v>
      </c>
      <c r="GF437" s="101">
        <f t="shared" si="304"/>
        <v>2</v>
      </c>
      <c r="GG437" s="101">
        <f t="shared" si="305"/>
        <v>0.1012</v>
      </c>
      <c r="GH437" s="101">
        <f t="shared" si="306"/>
        <v>1</v>
      </c>
      <c r="GI437" s="101">
        <f t="shared" si="307"/>
        <v>3</v>
      </c>
      <c r="GJ437" s="101">
        <f t="shared" si="308"/>
        <v>0.40479999999999999</v>
      </c>
      <c r="GK437" s="101">
        <f t="shared" si="309"/>
        <v>1</v>
      </c>
      <c r="GL437" s="101">
        <f t="shared" si="310"/>
        <v>7</v>
      </c>
    </row>
    <row r="438" spans="170:194" ht="16.5" x14ac:dyDescent="0.2">
      <c r="FN438" s="101">
        <v>433</v>
      </c>
      <c r="FO438" s="101">
        <f t="shared" si="295"/>
        <v>29</v>
      </c>
      <c r="FP438" s="101">
        <f t="shared" si="288"/>
        <v>6</v>
      </c>
      <c r="FQ438" s="14">
        <f t="shared" si="289"/>
        <v>4</v>
      </c>
      <c r="FR438" s="101" t="str">
        <f t="shared" si="296"/>
        <v>天使缇娜专属武器-魂珠-4 2级</v>
      </c>
      <c r="FS438" s="101">
        <f t="shared" si="297"/>
        <v>4</v>
      </c>
      <c r="FT438" s="101">
        <f t="shared" si="298"/>
        <v>2</v>
      </c>
      <c r="FU438" s="101" t="str">
        <f t="shared" si="290"/>
        <v>金币</v>
      </c>
      <c r="FV438" s="139">
        <f>IF($FT438&gt;0,IF(INDEX($EI$6:$EI$77,$FO438)&gt;=FV$3,ROUND(INDEX(EK$6:EK$77,$FO438)*INDEX(卡牌消耗!$B$8:$F$8,FQ438)/5,0)*5,""),"")</f>
        <v>820</v>
      </c>
      <c r="FW438" s="101" t="str">
        <f t="shared" si="291"/>
        <v>专属强化石2</v>
      </c>
      <c r="FX438" s="101">
        <f t="shared" si="292"/>
        <v>3</v>
      </c>
      <c r="FY438" s="101" t="str">
        <f t="shared" si="293"/>
        <v>专属强化石3</v>
      </c>
      <c r="FZ438" s="101">
        <f t="shared" si="294"/>
        <v>1</v>
      </c>
      <c r="GA438" s="101">
        <f t="shared" si="299"/>
        <v>0.1</v>
      </c>
      <c r="GB438" s="101">
        <f t="shared" si="300"/>
        <v>1</v>
      </c>
      <c r="GC438" s="101">
        <f t="shared" si="301"/>
        <v>15</v>
      </c>
      <c r="GD438" s="101">
        <f t="shared" si="302"/>
        <v>0</v>
      </c>
      <c r="GE438" s="101">
        <f t="shared" si="303"/>
        <v>1</v>
      </c>
      <c r="GF438" s="101">
        <f t="shared" si="304"/>
        <v>3</v>
      </c>
      <c r="GG438" s="101">
        <f t="shared" si="305"/>
        <v>5.0599999999999999E-2</v>
      </c>
      <c r="GH438" s="101">
        <f t="shared" si="306"/>
        <v>1</v>
      </c>
      <c r="GI438" s="101">
        <f t="shared" si="307"/>
        <v>7</v>
      </c>
      <c r="GJ438" s="101">
        <f t="shared" si="308"/>
        <v>0.2024</v>
      </c>
      <c r="GK438" s="101">
        <f t="shared" si="309"/>
        <v>1</v>
      </c>
      <c r="GL438" s="101">
        <f t="shared" si="310"/>
        <v>15</v>
      </c>
    </row>
    <row r="439" spans="170:194" ht="16.5" x14ac:dyDescent="0.2">
      <c r="FN439" s="101">
        <v>434</v>
      </c>
      <c r="FO439" s="101">
        <f t="shared" si="295"/>
        <v>30</v>
      </c>
      <c r="FP439" s="101">
        <f t="shared" si="288"/>
        <v>6</v>
      </c>
      <c r="FQ439" s="14">
        <f t="shared" si="289"/>
        <v>4</v>
      </c>
      <c r="FR439" s="101" t="str">
        <f t="shared" si="296"/>
        <v>天使缇娜专属武器-魂珠-4 3级</v>
      </c>
      <c r="FS439" s="101">
        <f t="shared" si="297"/>
        <v>4</v>
      </c>
      <c r="FT439" s="101">
        <f t="shared" si="298"/>
        <v>3</v>
      </c>
      <c r="FU439" s="101" t="str">
        <f t="shared" si="290"/>
        <v>金币</v>
      </c>
      <c r="FV439" s="139">
        <f>IF($FT439&gt;0,IF(INDEX($EI$6:$EI$77,$FO439)&gt;=FV$3,ROUND(INDEX(EK$6:EK$77,$FO439)*INDEX(卡牌消耗!$B$8:$F$8,FQ439)/5,0)*5,""),"")</f>
        <v>910</v>
      </c>
      <c r="FW439" s="101" t="str">
        <f t="shared" si="291"/>
        <v>专属强化石2</v>
      </c>
      <c r="FX439" s="101">
        <f t="shared" si="292"/>
        <v>3</v>
      </c>
      <c r="FY439" s="101" t="str">
        <f t="shared" si="293"/>
        <v>专属强化石3</v>
      </c>
      <c r="FZ439" s="101">
        <f t="shared" si="294"/>
        <v>1</v>
      </c>
      <c r="GA439" s="101">
        <f t="shared" si="299"/>
        <v>7.0000000000000007E-2</v>
      </c>
      <c r="GB439" s="101">
        <f t="shared" si="300"/>
        <v>1</v>
      </c>
      <c r="GC439" s="101">
        <f t="shared" si="301"/>
        <v>22</v>
      </c>
      <c r="GD439" s="101">
        <f t="shared" si="302"/>
        <v>0</v>
      </c>
      <c r="GE439" s="101">
        <f t="shared" si="303"/>
        <v>1</v>
      </c>
      <c r="GF439" s="101">
        <f t="shared" si="304"/>
        <v>5</v>
      </c>
      <c r="GG439" s="101">
        <f t="shared" si="305"/>
        <v>3.3700000000000001E-2</v>
      </c>
      <c r="GH439" s="101">
        <f t="shared" si="306"/>
        <v>1</v>
      </c>
      <c r="GI439" s="101">
        <f t="shared" si="307"/>
        <v>10</v>
      </c>
      <c r="GJ439" s="101">
        <f t="shared" si="308"/>
        <v>0.13489999999999999</v>
      </c>
      <c r="GK439" s="101">
        <f t="shared" si="309"/>
        <v>1</v>
      </c>
      <c r="GL439" s="101">
        <f t="shared" si="310"/>
        <v>22</v>
      </c>
    </row>
    <row r="440" spans="170:194" ht="16.5" x14ac:dyDescent="0.2">
      <c r="FN440" s="101">
        <v>435</v>
      </c>
      <c r="FO440" s="101">
        <f t="shared" si="295"/>
        <v>31</v>
      </c>
      <c r="FP440" s="101">
        <f t="shared" si="288"/>
        <v>6</v>
      </c>
      <c r="FQ440" s="14">
        <f t="shared" si="289"/>
        <v>4</v>
      </c>
      <c r="FR440" s="101" t="str">
        <f t="shared" si="296"/>
        <v>天使缇娜专属武器-魂珠-4 4级</v>
      </c>
      <c r="FS440" s="101">
        <f t="shared" si="297"/>
        <v>4</v>
      </c>
      <c r="FT440" s="101">
        <f t="shared" si="298"/>
        <v>4</v>
      </c>
      <c r="FU440" s="101" t="str">
        <f t="shared" si="290"/>
        <v>金币</v>
      </c>
      <c r="FV440" s="139">
        <f>IF($FT440&gt;0,IF(INDEX($EI$6:$EI$77,$FO440)&gt;=FV$3,ROUND(INDEX(EK$6:EK$77,$FO440)*INDEX(卡牌消耗!$B$8:$F$8,FQ440)/5,0)*5,""),"")</f>
        <v>1750</v>
      </c>
      <c r="FW440" s="101" t="str">
        <f t="shared" si="291"/>
        <v>专属强化石2</v>
      </c>
      <c r="FX440" s="101">
        <f t="shared" si="292"/>
        <v>5</v>
      </c>
      <c r="FY440" s="101" t="str">
        <f t="shared" si="293"/>
        <v>专属强化石3</v>
      </c>
      <c r="FZ440" s="101">
        <f t="shared" si="294"/>
        <v>2</v>
      </c>
      <c r="GA440" s="101">
        <f t="shared" si="299"/>
        <v>0.08</v>
      </c>
      <c r="GB440" s="101">
        <f t="shared" si="300"/>
        <v>1</v>
      </c>
      <c r="GC440" s="101">
        <f t="shared" si="301"/>
        <v>19</v>
      </c>
      <c r="GD440" s="101">
        <f t="shared" si="302"/>
        <v>0</v>
      </c>
      <c r="GE440" s="101">
        <f t="shared" si="303"/>
        <v>1</v>
      </c>
      <c r="GF440" s="101">
        <f t="shared" si="304"/>
        <v>4</v>
      </c>
      <c r="GG440" s="101">
        <f t="shared" si="305"/>
        <v>4.0500000000000001E-2</v>
      </c>
      <c r="GH440" s="101">
        <f t="shared" si="306"/>
        <v>1</v>
      </c>
      <c r="GI440" s="101">
        <f t="shared" si="307"/>
        <v>9</v>
      </c>
      <c r="GJ440" s="101">
        <f t="shared" si="308"/>
        <v>0.16189999999999999</v>
      </c>
      <c r="GK440" s="101">
        <f t="shared" si="309"/>
        <v>1</v>
      </c>
      <c r="GL440" s="101">
        <f t="shared" si="310"/>
        <v>19</v>
      </c>
    </row>
    <row r="441" spans="170:194" ht="16.5" x14ac:dyDescent="0.2">
      <c r="FN441" s="101">
        <v>436</v>
      </c>
      <c r="FO441" s="101">
        <f t="shared" si="295"/>
        <v>32</v>
      </c>
      <c r="FP441" s="101">
        <f t="shared" si="288"/>
        <v>6</v>
      </c>
      <c r="FQ441" s="14">
        <f t="shared" si="289"/>
        <v>4</v>
      </c>
      <c r="FR441" s="101" t="str">
        <f t="shared" si="296"/>
        <v>天使缇娜专属武器-魂珠-4 5级</v>
      </c>
      <c r="FS441" s="101">
        <f t="shared" si="297"/>
        <v>4</v>
      </c>
      <c r="FT441" s="101">
        <f t="shared" si="298"/>
        <v>5</v>
      </c>
      <c r="FU441" s="101" t="str">
        <f t="shared" si="290"/>
        <v>金币</v>
      </c>
      <c r="FV441" s="139">
        <f>IF($FT441&gt;0,IF(INDEX($EI$6:$EI$77,$FO441)&gt;=FV$3,ROUND(INDEX(EK$6:EK$77,$FO441)*INDEX(卡牌消耗!$B$8:$F$8,FQ441)/5,0)*5,""),"")</f>
        <v>1780</v>
      </c>
      <c r="FW441" s="101" t="str">
        <f t="shared" si="291"/>
        <v>专属强化石2</v>
      </c>
      <c r="FX441" s="101">
        <f t="shared" si="292"/>
        <v>5</v>
      </c>
      <c r="FY441" s="101" t="str">
        <f t="shared" si="293"/>
        <v>专属强化石3</v>
      </c>
      <c r="FZ441" s="101">
        <f t="shared" si="294"/>
        <v>2</v>
      </c>
      <c r="GA441" s="101">
        <f t="shared" si="299"/>
        <v>0.05</v>
      </c>
      <c r="GB441" s="101">
        <f t="shared" si="300"/>
        <v>1</v>
      </c>
      <c r="GC441" s="101">
        <f t="shared" si="301"/>
        <v>30</v>
      </c>
      <c r="GD441" s="101">
        <f t="shared" si="302"/>
        <v>0</v>
      </c>
      <c r="GE441" s="101">
        <f t="shared" si="303"/>
        <v>1</v>
      </c>
      <c r="GF441" s="101">
        <f t="shared" si="304"/>
        <v>7</v>
      </c>
      <c r="GG441" s="101">
        <f t="shared" si="305"/>
        <v>2.53E-2</v>
      </c>
      <c r="GH441" s="101">
        <f t="shared" si="306"/>
        <v>1</v>
      </c>
      <c r="GI441" s="101">
        <f t="shared" si="307"/>
        <v>14</v>
      </c>
      <c r="GJ441" s="101">
        <f t="shared" si="308"/>
        <v>0.1012</v>
      </c>
      <c r="GK441" s="101">
        <f t="shared" si="309"/>
        <v>1</v>
      </c>
      <c r="GL441" s="101">
        <f t="shared" si="310"/>
        <v>30</v>
      </c>
    </row>
    <row r="442" spans="170:194" ht="16.5" x14ac:dyDescent="0.2">
      <c r="FN442" s="101">
        <v>437</v>
      </c>
      <c r="FO442" s="101">
        <f t="shared" si="295"/>
        <v>33</v>
      </c>
      <c r="FP442" s="101">
        <f t="shared" si="288"/>
        <v>6</v>
      </c>
      <c r="FQ442" s="14">
        <f t="shared" si="289"/>
        <v>4</v>
      </c>
      <c r="FR442" s="101" t="str">
        <f t="shared" si="296"/>
        <v>天使缇娜专属武器-魂珠-4 6级</v>
      </c>
      <c r="FS442" s="101">
        <f t="shared" si="297"/>
        <v>4</v>
      </c>
      <c r="FT442" s="101">
        <f t="shared" si="298"/>
        <v>6</v>
      </c>
      <c r="FU442" s="101" t="str">
        <f t="shared" si="290"/>
        <v>金币</v>
      </c>
      <c r="FV442" s="139">
        <f>IF($FT442&gt;0,IF(INDEX($EI$6:$EI$77,$FO442)&gt;=FV$3,ROUND(INDEX(EK$6:EK$77,$FO442)*INDEX(卡牌消耗!$B$8:$F$8,FQ442)/5,0)*5,""),"")</f>
        <v>1770</v>
      </c>
      <c r="FW442" s="101" t="str">
        <f t="shared" si="291"/>
        <v>专属强化石2</v>
      </c>
      <c r="FX442" s="101">
        <f t="shared" si="292"/>
        <v>5</v>
      </c>
      <c r="FY442" s="101" t="str">
        <f t="shared" si="293"/>
        <v>专属强化石3</v>
      </c>
      <c r="FZ442" s="101">
        <f t="shared" si="294"/>
        <v>2</v>
      </c>
      <c r="GA442" s="101">
        <f t="shared" si="299"/>
        <v>0.03</v>
      </c>
      <c r="GB442" s="101">
        <f t="shared" si="300"/>
        <v>1</v>
      </c>
      <c r="GC442" s="101">
        <f t="shared" si="301"/>
        <v>48</v>
      </c>
      <c r="GD442" s="101">
        <f t="shared" si="302"/>
        <v>0</v>
      </c>
      <c r="GE442" s="101">
        <f t="shared" si="303"/>
        <v>1</v>
      </c>
      <c r="GF442" s="101">
        <f t="shared" si="304"/>
        <v>11</v>
      </c>
      <c r="GG442" s="101">
        <f t="shared" si="305"/>
        <v>1.5599999999999999E-2</v>
      </c>
      <c r="GH442" s="101">
        <f t="shared" si="306"/>
        <v>1</v>
      </c>
      <c r="GI442" s="101">
        <f t="shared" si="307"/>
        <v>22</v>
      </c>
      <c r="GJ442" s="101">
        <f t="shared" si="308"/>
        <v>6.2300000000000001E-2</v>
      </c>
      <c r="GK442" s="101">
        <f t="shared" si="309"/>
        <v>1</v>
      </c>
      <c r="GL442" s="101">
        <f t="shared" si="310"/>
        <v>48</v>
      </c>
    </row>
    <row r="443" spans="170:194" ht="16.5" x14ac:dyDescent="0.2">
      <c r="FN443" s="101">
        <v>438</v>
      </c>
      <c r="FO443" s="101">
        <f t="shared" si="295"/>
        <v>34</v>
      </c>
      <c r="FP443" s="101">
        <f t="shared" si="288"/>
        <v>6</v>
      </c>
      <c r="FQ443" s="14">
        <f t="shared" si="289"/>
        <v>4</v>
      </c>
      <c r="FR443" s="101" t="str">
        <f t="shared" si="296"/>
        <v>天使缇娜专属武器-魂珠-4 7级</v>
      </c>
      <c r="FS443" s="101">
        <f t="shared" si="297"/>
        <v>4</v>
      </c>
      <c r="FT443" s="101">
        <f t="shared" si="298"/>
        <v>7</v>
      </c>
      <c r="FU443" s="101" t="str">
        <f t="shared" si="290"/>
        <v>金币</v>
      </c>
      <c r="FV443" s="139">
        <f>IF($FT443&gt;0,IF(INDEX($EI$6:$EI$77,$FO443)&gt;=FV$3,ROUND(INDEX(EK$6:EK$77,$FO443)*INDEX(卡牌消耗!$B$8:$F$8,FQ443)/5,0)*5,""),"")</f>
        <v>2660</v>
      </c>
      <c r="FW443" s="101" t="str">
        <f t="shared" si="291"/>
        <v>专属强化石2</v>
      </c>
      <c r="FX443" s="101">
        <f t="shared" si="292"/>
        <v>8</v>
      </c>
      <c r="FY443" s="101" t="str">
        <f t="shared" si="293"/>
        <v>专属强化石3</v>
      </c>
      <c r="FZ443" s="101">
        <f t="shared" si="294"/>
        <v>3</v>
      </c>
      <c r="GA443" s="101">
        <f t="shared" si="299"/>
        <v>0.03</v>
      </c>
      <c r="GB443" s="101">
        <f t="shared" si="300"/>
        <v>1</v>
      </c>
      <c r="GC443" s="101">
        <f t="shared" si="301"/>
        <v>52</v>
      </c>
      <c r="GD443" s="101">
        <f t="shared" si="302"/>
        <v>0</v>
      </c>
      <c r="GE443" s="101">
        <f t="shared" si="303"/>
        <v>1</v>
      </c>
      <c r="GF443" s="101">
        <f t="shared" si="304"/>
        <v>12</v>
      </c>
      <c r="GG443" s="101">
        <f t="shared" si="305"/>
        <v>1.4500000000000001E-2</v>
      </c>
      <c r="GH443" s="101">
        <f t="shared" si="306"/>
        <v>1</v>
      </c>
      <c r="GI443" s="101">
        <f t="shared" si="307"/>
        <v>24</v>
      </c>
      <c r="GJ443" s="101">
        <f t="shared" si="308"/>
        <v>5.7799999999999997E-2</v>
      </c>
      <c r="GK443" s="101">
        <f t="shared" si="309"/>
        <v>1</v>
      </c>
      <c r="GL443" s="101">
        <f t="shared" si="310"/>
        <v>52</v>
      </c>
    </row>
    <row r="444" spans="170:194" ht="16.5" x14ac:dyDescent="0.2">
      <c r="FN444" s="101">
        <v>439</v>
      </c>
      <c r="FO444" s="101">
        <f t="shared" si="295"/>
        <v>35</v>
      </c>
      <c r="FP444" s="101">
        <f t="shared" si="288"/>
        <v>6</v>
      </c>
      <c r="FQ444" s="14">
        <f t="shared" si="289"/>
        <v>4</v>
      </c>
      <c r="FR444" s="101" t="str">
        <f t="shared" si="296"/>
        <v>天使缇娜专属武器-魂珠-4 8级</v>
      </c>
      <c r="FS444" s="101">
        <f t="shared" si="297"/>
        <v>4</v>
      </c>
      <c r="FT444" s="101">
        <f t="shared" si="298"/>
        <v>8</v>
      </c>
      <c r="FU444" s="101" t="str">
        <f t="shared" si="290"/>
        <v>金币</v>
      </c>
      <c r="FV444" s="139">
        <f>IF($FT444&gt;0,IF(INDEX($EI$6:$EI$77,$FO444)&gt;=FV$3,ROUND(INDEX(EK$6:EK$77,$FO444)*INDEX(卡牌消耗!$B$8:$F$8,FQ444)/5,0)*5,""),"")</f>
        <v>3540</v>
      </c>
      <c r="FW444" s="101" t="str">
        <f t="shared" si="291"/>
        <v>专属强化石2</v>
      </c>
      <c r="FX444" s="101">
        <f t="shared" si="292"/>
        <v>11</v>
      </c>
      <c r="FY444" s="101" t="str">
        <f t="shared" si="293"/>
        <v>专属强化石3</v>
      </c>
      <c r="FZ444" s="101">
        <f t="shared" si="294"/>
        <v>4</v>
      </c>
      <c r="GA444" s="101">
        <f t="shared" si="299"/>
        <v>0.02</v>
      </c>
      <c r="GB444" s="101">
        <f t="shared" si="300"/>
        <v>1</v>
      </c>
      <c r="GC444" s="101">
        <f t="shared" si="301"/>
        <v>63</v>
      </c>
      <c r="GD444" s="101">
        <f t="shared" si="302"/>
        <v>0</v>
      </c>
      <c r="GE444" s="101">
        <f t="shared" si="303"/>
        <v>1</v>
      </c>
      <c r="GF444" s="101">
        <f t="shared" si="304"/>
        <v>15</v>
      </c>
      <c r="GG444" s="101">
        <f t="shared" si="305"/>
        <v>1.1900000000000001E-2</v>
      </c>
      <c r="GH444" s="101">
        <f t="shared" si="306"/>
        <v>1</v>
      </c>
      <c r="GI444" s="101">
        <f t="shared" si="307"/>
        <v>29</v>
      </c>
      <c r="GJ444" s="101">
        <f t="shared" si="308"/>
        <v>4.7600000000000003E-2</v>
      </c>
      <c r="GK444" s="101">
        <f t="shared" si="309"/>
        <v>1</v>
      </c>
      <c r="GL444" s="101">
        <f t="shared" si="310"/>
        <v>63</v>
      </c>
    </row>
    <row r="445" spans="170:194" ht="16.5" x14ac:dyDescent="0.2">
      <c r="FN445" s="101">
        <v>440</v>
      </c>
      <c r="FO445" s="101">
        <f t="shared" si="295"/>
        <v>36</v>
      </c>
      <c r="FP445" s="101">
        <f t="shared" si="288"/>
        <v>6</v>
      </c>
      <c r="FQ445" s="14">
        <f t="shared" si="289"/>
        <v>4</v>
      </c>
      <c r="FR445" s="101" t="str">
        <f t="shared" si="296"/>
        <v>天使缇娜专属武器-魂珠-4 9级</v>
      </c>
      <c r="FS445" s="101">
        <f t="shared" si="297"/>
        <v>4</v>
      </c>
      <c r="FT445" s="101">
        <f t="shared" si="298"/>
        <v>9</v>
      </c>
      <c r="FU445" s="101" t="str">
        <f t="shared" si="290"/>
        <v>金币</v>
      </c>
      <c r="FV445" s="139">
        <f>IF($FT445&gt;0,IF(INDEX($EI$6:$EI$77,$FO445)&gt;=FV$3,ROUND(INDEX(EK$6:EK$77,$FO445)*INDEX(卡牌消耗!$B$8:$F$8,FQ445)/5,0)*5,""),"")</f>
        <v>5315</v>
      </c>
      <c r="FW445" s="101" t="str">
        <f t="shared" si="291"/>
        <v>专属强化石2</v>
      </c>
      <c r="FX445" s="101">
        <f t="shared" si="292"/>
        <v>16</v>
      </c>
      <c r="FY445" s="101" t="str">
        <f t="shared" si="293"/>
        <v>专属强化石3</v>
      </c>
      <c r="FZ445" s="101">
        <f t="shared" si="294"/>
        <v>6</v>
      </c>
      <c r="GA445" s="101">
        <f t="shared" si="299"/>
        <v>0.02</v>
      </c>
      <c r="GB445" s="101">
        <f t="shared" si="300"/>
        <v>1</v>
      </c>
      <c r="GC445" s="101">
        <f t="shared" si="301"/>
        <v>68</v>
      </c>
      <c r="GD445" s="101">
        <f t="shared" si="302"/>
        <v>0</v>
      </c>
      <c r="GE445" s="101">
        <f t="shared" si="303"/>
        <v>1</v>
      </c>
      <c r="GF445" s="101">
        <f t="shared" si="304"/>
        <v>16</v>
      </c>
      <c r="GG445" s="101">
        <f t="shared" si="305"/>
        <v>1.0999999999999999E-2</v>
      </c>
      <c r="GH445" s="101">
        <f t="shared" si="306"/>
        <v>1</v>
      </c>
      <c r="GI445" s="101">
        <f t="shared" si="307"/>
        <v>32</v>
      </c>
      <c r="GJ445" s="101">
        <f t="shared" si="308"/>
        <v>4.4200000000000003E-2</v>
      </c>
      <c r="GK445" s="101">
        <f t="shared" si="309"/>
        <v>1</v>
      </c>
      <c r="GL445" s="101">
        <f t="shared" si="310"/>
        <v>68</v>
      </c>
    </row>
    <row r="446" spans="170:194" ht="16.5" x14ac:dyDescent="0.2">
      <c r="FN446" s="101">
        <v>441</v>
      </c>
      <c r="FO446" s="101">
        <f t="shared" si="295"/>
        <v>0</v>
      </c>
      <c r="FP446" s="101">
        <f t="shared" si="288"/>
        <v>6</v>
      </c>
      <c r="FQ446" s="14">
        <f t="shared" si="289"/>
        <v>4</v>
      </c>
      <c r="FR446" s="101" t="str">
        <f t="shared" si="296"/>
        <v>天使缇娜专属武器-魂珠-5 0级</v>
      </c>
      <c r="FS446" s="101">
        <f t="shared" si="297"/>
        <v>5</v>
      </c>
      <c r="FT446" s="101">
        <f t="shared" si="298"/>
        <v>0</v>
      </c>
      <c r="FU446" s="101" t="str">
        <f t="shared" si="290"/>
        <v/>
      </c>
      <c r="FV446" s="139" t="str">
        <f>IF($FT446&gt;0,IF(INDEX($EI$6:$EI$77,$FO446)&gt;=FV$3,ROUND(INDEX(EK$6:EK$77,$FO446)*INDEX(卡牌消耗!$B$8:$F$8,FQ446)/5,0)*5,""),"")</f>
        <v/>
      </c>
      <c r="FW446" s="101" t="str">
        <f t="shared" si="291"/>
        <v/>
      </c>
      <c r="FX446" s="101" t="str">
        <f t="shared" si="292"/>
        <v/>
      </c>
      <c r="FY446" s="101" t="str">
        <f t="shared" si="293"/>
        <v/>
      </c>
      <c r="FZ446" s="101" t="str">
        <f t="shared" si="294"/>
        <v/>
      </c>
      <c r="GA446" s="101" t="str">
        <f t="shared" si="299"/>
        <v/>
      </c>
      <c r="GB446" s="101" t="str">
        <f t="shared" si="300"/>
        <v/>
      </c>
      <c r="GC446" s="101" t="str">
        <f t="shared" si="301"/>
        <v/>
      </c>
      <c r="GD446" s="101" t="str">
        <f t="shared" si="302"/>
        <v/>
      </c>
      <c r="GE446" s="101" t="str">
        <f t="shared" si="303"/>
        <v/>
      </c>
      <c r="GF446" s="101" t="str">
        <f t="shared" si="304"/>
        <v/>
      </c>
      <c r="GG446" s="101" t="str">
        <f t="shared" si="305"/>
        <v/>
      </c>
      <c r="GH446" s="101" t="str">
        <f t="shared" si="306"/>
        <v/>
      </c>
      <c r="GI446" s="101" t="str">
        <f t="shared" si="307"/>
        <v/>
      </c>
      <c r="GJ446" s="101" t="str">
        <f t="shared" si="308"/>
        <v/>
      </c>
      <c r="GK446" s="101" t="str">
        <f t="shared" si="309"/>
        <v/>
      </c>
      <c r="GL446" s="101" t="str">
        <f t="shared" si="310"/>
        <v/>
      </c>
    </row>
    <row r="447" spans="170:194" ht="16.5" x14ac:dyDescent="0.2">
      <c r="FN447" s="101">
        <v>442</v>
      </c>
      <c r="FO447" s="101">
        <f t="shared" si="295"/>
        <v>37</v>
      </c>
      <c r="FP447" s="101">
        <f t="shared" si="288"/>
        <v>6</v>
      </c>
      <c r="FQ447" s="14">
        <f t="shared" si="289"/>
        <v>4</v>
      </c>
      <c r="FR447" s="101" t="str">
        <f t="shared" si="296"/>
        <v>天使缇娜专属武器-魂珠-5 1级</v>
      </c>
      <c r="FS447" s="101">
        <f t="shared" si="297"/>
        <v>5</v>
      </c>
      <c r="FT447" s="101">
        <f t="shared" si="298"/>
        <v>1</v>
      </c>
      <c r="FU447" s="101" t="str">
        <f t="shared" si="290"/>
        <v>金币</v>
      </c>
      <c r="FV447" s="139">
        <f>IF($FT447&gt;0,IF(INDEX($EI$6:$EI$77,$FO447)&gt;=FV$3,ROUND(INDEX(EK$6:EK$77,$FO447)*INDEX(卡牌消耗!$B$8:$F$8,FQ447)/5,0)*5,""),"")</f>
        <v>2245</v>
      </c>
      <c r="FW447" s="101" t="str">
        <f t="shared" si="291"/>
        <v>专属强化石2</v>
      </c>
      <c r="FX447" s="101">
        <f t="shared" si="292"/>
        <v>3</v>
      </c>
      <c r="FY447" s="101" t="str">
        <f t="shared" si="293"/>
        <v>专属强化石3</v>
      </c>
      <c r="FZ447" s="101">
        <f t="shared" si="294"/>
        <v>2</v>
      </c>
      <c r="GA447" s="101">
        <f t="shared" si="299"/>
        <v>0.2</v>
      </c>
      <c r="GB447" s="101">
        <f t="shared" si="300"/>
        <v>1</v>
      </c>
      <c r="GC447" s="101">
        <f t="shared" si="301"/>
        <v>7</v>
      </c>
      <c r="GD447" s="101">
        <f t="shared" si="302"/>
        <v>0</v>
      </c>
      <c r="GE447" s="101">
        <f t="shared" si="303"/>
        <v>1</v>
      </c>
      <c r="GF447" s="101">
        <f t="shared" si="304"/>
        <v>2</v>
      </c>
      <c r="GG447" s="101">
        <f t="shared" si="305"/>
        <v>0.1012</v>
      </c>
      <c r="GH447" s="101">
        <f t="shared" si="306"/>
        <v>1</v>
      </c>
      <c r="GI447" s="101">
        <f t="shared" si="307"/>
        <v>3</v>
      </c>
      <c r="GJ447" s="101">
        <f t="shared" si="308"/>
        <v>0.40479999999999999</v>
      </c>
      <c r="GK447" s="101">
        <f t="shared" si="309"/>
        <v>1</v>
      </c>
      <c r="GL447" s="101">
        <f t="shared" si="310"/>
        <v>7</v>
      </c>
    </row>
    <row r="448" spans="170:194" ht="16.5" x14ac:dyDescent="0.2">
      <c r="FN448" s="101">
        <v>443</v>
      </c>
      <c r="FO448" s="101">
        <f t="shared" si="295"/>
        <v>38</v>
      </c>
      <c r="FP448" s="101">
        <f t="shared" si="288"/>
        <v>6</v>
      </c>
      <c r="FQ448" s="14">
        <f t="shared" si="289"/>
        <v>4</v>
      </c>
      <c r="FR448" s="101" t="str">
        <f t="shared" si="296"/>
        <v>天使缇娜专属武器-魂珠-5 2级</v>
      </c>
      <c r="FS448" s="101">
        <f t="shared" si="297"/>
        <v>5</v>
      </c>
      <c r="FT448" s="101">
        <f t="shared" si="298"/>
        <v>2</v>
      </c>
      <c r="FU448" s="101" t="str">
        <f t="shared" si="290"/>
        <v>金币</v>
      </c>
      <c r="FV448" s="139">
        <f>IF($FT448&gt;0,IF(INDEX($EI$6:$EI$77,$FO448)&gt;=FV$3,ROUND(INDEX(EK$6:EK$77,$FO448)*INDEX(卡牌消耗!$B$8:$F$8,FQ448)/5,0)*5,""),"")</f>
        <v>1685</v>
      </c>
      <c r="FW448" s="101" t="str">
        <f t="shared" si="291"/>
        <v>专属强化石2</v>
      </c>
      <c r="FX448" s="101">
        <f t="shared" si="292"/>
        <v>3</v>
      </c>
      <c r="FY448" s="101" t="str">
        <f t="shared" si="293"/>
        <v>专属强化石3</v>
      </c>
      <c r="FZ448" s="101">
        <f t="shared" si="294"/>
        <v>2</v>
      </c>
      <c r="GA448" s="101">
        <f t="shared" si="299"/>
        <v>0.1</v>
      </c>
      <c r="GB448" s="101">
        <f t="shared" si="300"/>
        <v>1</v>
      </c>
      <c r="GC448" s="101">
        <f t="shared" si="301"/>
        <v>15</v>
      </c>
      <c r="GD448" s="101">
        <f t="shared" si="302"/>
        <v>0</v>
      </c>
      <c r="GE448" s="101">
        <f t="shared" si="303"/>
        <v>1</v>
      </c>
      <c r="GF448" s="101">
        <f t="shared" si="304"/>
        <v>3</v>
      </c>
      <c r="GG448" s="101">
        <f t="shared" si="305"/>
        <v>5.0599999999999999E-2</v>
      </c>
      <c r="GH448" s="101">
        <f t="shared" si="306"/>
        <v>1</v>
      </c>
      <c r="GI448" s="101">
        <f t="shared" si="307"/>
        <v>7</v>
      </c>
      <c r="GJ448" s="101">
        <f t="shared" si="308"/>
        <v>0.2024</v>
      </c>
      <c r="GK448" s="101">
        <f t="shared" si="309"/>
        <v>1</v>
      </c>
      <c r="GL448" s="101">
        <f t="shared" si="310"/>
        <v>15</v>
      </c>
    </row>
    <row r="449" spans="170:194" ht="16.5" x14ac:dyDescent="0.2">
      <c r="FN449" s="101">
        <v>444</v>
      </c>
      <c r="FO449" s="101">
        <f t="shared" si="295"/>
        <v>39</v>
      </c>
      <c r="FP449" s="101">
        <f t="shared" si="288"/>
        <v>6</v>
      </c>
      <c r="FQ449" s="14">
        <f t="shared" si="289"/>
        <v>4</v>
      </c>
      <c r="FR449" s="101" t="str">
        <f t="shared" si="296"/>
        <v>天使缇娜专属武器-魂珠-5 3级</v>
      </c>
      <c r="FS449" s="101">
        <f t="shared" si="297"/>
        <v>5</v>
      </c>
      <c r="FT449" s="101">
        <f t="shared" si="298"/>
        <v>3</v>
      </c>
      <c r="FU449" s="101" t="str">
        <f t="shared" si="290"/>
        <v>金币</v>
      </c>
      <c r="FV449" s="139">
        <f>IF($FT449&gt;0,IF(INDEX($EI$6:$EI$77,$FO449)&gt;=FV$3,ROUND(INDEX(EK$6:EK$77,$FO449)*INDEX(卡牌消耗!$B$8:$F$8,FQ449)/5,0)*5,""),"")</f>
        <v>1870</v>
      </c>
      <c r="FW449" s="101" t="str">
        <f t="shared" si="291"/>
        <v>专属强化石2</v>
      </c>
      <c r="FX449" s="101">
        <f t="shared" si="292"/>
        <v>3</v>
      </c>
      <c r="FY449" s="101" t="str">
        <f t="shared" si="293"/>
        <v>专属强化石3</v>
      </c>
      <c r="FZ449" s="101">
        <f t="shared" si="294"/>
        <v>2</v>
      </c>
      <c r="GA449" s="101">
        <f t="shared" si="299"/>
        <v>7.0000000000000007E-2</v>
      </c>
      <c r="GB449" s="101">
        <f t="shared" si="300"/>
        <v>1</v>
      </c>
      <c r="GC449" s="101">
        <f t="shared" si="301"/>
        <v>22</v>
      </c>
      <c r="GD449" s="101">
        <f t="shared" si="302"/>
        <v>0</v>
      </c>
      <c r="GE449" s="101">
        <f t="shared" si="303"/>
        <v>1</v>
      </c>
      <c r="GF449" s="101">
        <f t="shared" si="304"/>
        <v>5</v>
      </c>
      <c r="GG449" s="101">
        <f t="shared" si="305"/>
        <v>3.3700000000000001E-2</v>
      </c>
      <c r="GH449" s="101">
        <f t="shared" si="306"/>
        <v>1</v>
      </c>
      <c r="GI449" s="101">
        <f t="shared" si="307"/>
        <v>10</v>
      </c>
      <c r="GJ449" s="101">
        <f t="shared" si="308"/>
        <v>0.13489999999999999</v>
      </c>
      <c r="GK449" s="101">
        <f t="shared" si="309"/>
        <v>1</v>
      </c>
      <c r="GL449" s="101">
        <f t="shared" si="310"/>
        <v>22</v>
      </c>
    </row>
    <row r="450" spans="170:194" ht="16.5" x14ac:dyDescent="0.2">
      <c r="FN450" s="101">
        <v>445</v>
      </c>
      <c r="FO450" s="101">
        <f t="shared" si="295"/>
        <v>40</v>
      </c>
      <c r="FP450" s="101">
        <f t="shared" si="288"/>
        <v>6</v>
      </c>
      <c r="FQ450" s="14">
        <f t="shared" si="289"/>
        <v>4</v>
      </c>
      <c r="FR450" s="101" t="str">
        <f t="shared" si="296"/>
        <v>天使缇娜专属武器-魂珠-5 4级</v>
      </c>
      <c r="FS450" s="101">
        <f t="shared" si="297"/>
        <v>5</v>
      </c>
      <c r="FT450" s="101">
        <f t="shared" si="298"/>
        <v>4</v>
      </c>
      <c r="FU450" s="101" t="str">
        <f t="shared" si="290"/>
        <v>金币</v>
      </c>
      <c r="FV450" s="139">
        <f>IF($FT450&gt;0,IF(INDEX($EI$6:$EI$77,$FO450)&gt;=FV$3,ROUND(INDEX(EK$6:EK$77,$FO450)*INDEX(卡牌消耗!$B$8:$F$8,FQ450)/5,0)*5,""),"")</f>
        <v>2695</v>
      </c>
      <c r="FW450" s="101" t="str">
        <f t="shared" si="291"/>
        <v>专属强化石2</v>
      </c>
      <c r="FX450" s="101">
        <f t="shared" si="292"/>
        <v>5</v>
      </c>
      <c r="FY450" s="101" t="str">
        <f t="shared" si="293"/>
        <v>专属强化石3</v>
      </c>
      <c r="FZ450" s="101">
        <f t="shared" si="294"/>
        <v>3</v>
      </c>
      <c r="GA450" s="101">
        <f t="shared" si="299"/>
        <v>0.06</v>
      </c>
      <c r="GB450" s="101">
        <f t="shared" si="300"/>
        <v>1</v>
      </c>
      <c r="GC450" s="101">
        <f t="shared" si="301"/>
        <v>25</v>
      </c>
      <c r="GD450" s="101">
        <f t="shared" si="302"/>
        <v>0</v>
      </c>
      <c r="GE450" s="101">
        <f t="shared" si="303"/>
        <v>1</v>
      </c>
      <c r="GF450" s="101">
        <f t="shared" si="304"/>
        <v>6</v>
      </c>
      <c r="GG450" s="101">
        <f t="shared" si="305"/>
        <v>3.04E-2</v>
      </c>
      <c r="GH450" s="101">
        <f t="shared" si="306"/>
        <v>1</v>
      </c>
      <c r="GI450" s="101">
        <f t="shared" si="307"/>
        <v>12</v>
      </c>
      <c r="GJ450" s="101">
        <f t="shared" si="308"/>
        <v>0.12139999999999999</v>
      </c>
      <c r="GK450" s="101">
        <f t="shared" si="309"/>
        <v>1</v>
      </c>
      <c r="GL450" s="101">
        <f t="shared" si="310"/>
        <v>25</v>
      </c>
    </row>
    <row r="451" spans="170:194" ht="16.5" x14ac:dyDescent="0.2">
      <c r="FN451" s="101">
        <v>446</v>
      </c>
      <c r="FO451" s="101">
        <f t="shared" si="295"/>
        <v>41</v>
      </c>
      <c r="FP451" s="101">
        <f t="shared" si="288"/>
        <v>6</v>
      </c>
      <c r="FQ451" s="14">
        <f t="shared" si="289"/>
        <v>4</v>
      </c>
      <c r="FR451" s="101" t="str">
        <f t="shared" si="296"/>
        <v>天使缇娜专属武器-魂珠-5 5级</v>
      </c>
      <c r="FS451" s="101">
        <f t="shared" si="297"/>
        <v>5</v>
      </c>
      <c r="FT451" s="101">
        <f t="shared" si="298"/>
        <v>5</v>
      </c>
      <c r="FU451" s="101" t="str">
        <f t="shared" si="290"/>
        <v>金币</v>
      </c>
      <c r="FV451" s="139">
        <f>IF($FT451&gt;0,IF(INDEX($EI$6:$EI$77,$FO451)&gt;=FV$3,ROUND(INDEX(EK$6:EK$77,$FO451)*INDEX(卡牌消耗!$B$8:$F$8,FQ451)/5,0)*5,""),"")</f>
        <v>2735</v>
      </c>
      <c r="FW451" s="101" t="str">
        <f t="shared" si="291"/>
        <v>专属强化石2</v>
      </c>
      <c r="FX451" s="101">
        <f t="shared" si="292"/>
        <v>5</v>
      </c>
      <c r="FY451" s="101" t="str">
        <f t="shared" si="293"/>
        <v>专属强化石3</v>
      </c>
      <c r="FZ451" s="101">
        <f t="shared" si="294"/>
        <v>3</v>
      </c>
      <c r="GA451" s="101">
        <f t="shared" si="299"/>
        <v>0.04</v>
      </c>
      <c r="GB451" s="101">
        <f t="shared" si="300"/>
        <v>1</v>
      </c>
      <c r="GC451" s="101">
        <f t="shared" si="301"/>
        <v>40</v>
      </c>
      <c r="GD451" s="101">
        <f t="shared" si="302"/>
        <v>0</v>
      </c>
      <c r="GE451" s="101">
        <f t="shared" si="303"/>
        <v>1</v>
      </c>
      <c r="GF451" s="101">
        <f t="shared" si="304"/>
        <v>9</v>
      </c>
      <c r="GG451" s="101">
        <f t="shared" si="305"/>
        <v>1.9E-2</v>
      </c>
      <c r="GH451" s="101">
        <f t="shared" si="306"/>
        <v>1</v>
      </c>
      <c r="GI451" s="101">
        <f t="shared" si="307"/>
        <v>18</v>
      </c>
      <c r="GJ451" s="101">
        <f t="shared" si="308"/>
        <v>7.5899999999999995E-2</v>
      </c>
      <c r="GK451" s="101">
        <f t="shared" si="309"/>
        <v>1</v>
      </c>
      <c r="GL451" s="101">
        <f t="shared" si="310"/>
        <v>40</v>
      </c>
    </row>
    <row r="452" spans="170:194" ht="16.5" x14ac:dyDescent="0.2">
      <c r="FN452" s="101">
        <v>447</v>
      </c>
      <c r="FO452" s="101">
        <f t="shared" si="295"/>
        <v>42</v>
      </c>
      <c r="FP452" s="101">
        <f t="shared" si="288"/>
        <v>6</v>
      </c>
      <c r="FQ452" s="14">
        <f t="shared" si="289"/>
        <v>4</v>
      </c>
      <c r="FR452" s="101" t="str">
        <f t="shared" si="296"/>
        <v>天使缇娜专属武器-魂珠-5 6级</v>
      </c>
      <c r="FS452" s="101">
        <f t="shared" si="297"/>
        <v>5</v>
      </c>
      <c r="FT452" s="101">
        <f t="shared" si="298"/>
        <v>6</v>
      </c>
      <c r="FU452" s="101" t="str">
        <f t="shared" si="290"/>
        <v>金币</v>
      </c>
      <c r="FV452" s="139">
        <f>IF($FT452&gt;0,IF(INDEX($EI$6:$EI$77,$FO452)&gt;=FV$3,ROUND(INDEX(EK$6:EK$77,$FO452)*INDEX(卡牌消耗!$B$8:$F$8,FQ452)/5,0)*5,""),"")</f>
        <v>4530</v>
      </c>
      <c r="FW452" s="101" t="str">
        <f t="shared" si="291"/>
        <v>专属强化石2</v>
      </c>
      <c r="FX452" s="101">
        <f t="shared" si="292"/>
        <v>8</v>
      </c>
      <c r="FY452" s="101" t="str">
        <f t="shared" si="293"/>
        <v>专属强化石3</v>
      </c>
      <c r="FZ452" s="101">
        <f t="shared" si="294"/>
        <v>5</v>
      </c>
      <c r="GA452" s="101">
        <f t="shared" si="299"/>
        <v>0.04</v>
      </c>
      <c r="GB452" s="101">
        <f t="shared" si="300"/>
        <v>1</v>
      </c>
      <c r="GC452" s="101">
        <f t="shared" si="301"/>
        <v>39</v>
      </c>
      <c r="GD452" s="101">
        <f t="shared" si="302"/>
        <v>0</v>
      </c>
      <c r="GE452" s="101">
        <f t="shared" si="303"/>
        <v>1</v>
      </c>
      <c r="GF452" s="101">
        <f t="shared" si="304"/>
        <v>9</v>
      </c>
      <c r="GG452" s="101">
        <f t="shared" si="305"/>
        <v>1.95E-2</v>
      </c>
      <c r="GH452" s="101">
        <f t="shared" si="306"/>
        <v>1</v>
      </c>
      <c r="GI452" s="101">
        <f t="shared" si="307"/>
        <v>18</v>
      </c>
      <c r="GJ452" s="101">
        <f t="shared" si="308"/>
        <v>7.7799999999999994E-2</v>
      </c>
      <c r="GK452" s="101">
        <f t="shared" si="309"/>
        <v>1</v>
      </c>
      <c r="GL452" s="101">
        <f t="shared" si="310"/>
        <v>39</v>
      </c>
    </row>
    <row r="453" spans="170:194" ht="16.5" x14ac:dyDescent="0.2">
      <c r="FN453" s="101">
        <v>448</v>
      </c>
      <c r="FO453" s="101">
        <f t="shared" si="295"/>
        <v>43</v>
      </c>
      <c r="FP453" s="101">
        <f t="shared" si="288"/>
        <v>6</v>
      </c>
      <c r="FQ453" s="14">
        <f t="shared" si="289"/>
        <v>4</v>
      </c>
      <c r="FR453" s="101" t="str">
        <f t="shared" si="296"/>
        <v>天使缇娜专属武器-魂珠-5 7级</v>
      </c>
      <c r="FS453" s="101">
        <f t="shared" si="297"/>
        <v>5</v>
      </c>
      <c r="FT453" s="101">
        <f t="shared" si="298"/>
        <v>7</v>
      </c>
      <c r="FU453" s="101" t="str">
        <f t="shared" si="290"/>
        <v>金币</v>
      </c>
      <c r="FV453" s="139">
        <f>IF($FT453&gt;0,IF(INDEX($EI$6:$EI$77,$FO453)&gt;=FV$3,ROUND(INDEX(EK$6:EK$77,$FO453)*INDEX(卡牌消耗!$B$8:$F$8,FQ453)/5,0)*5,""),"")</f>
        <v>4540</v>
      </c>
      <c r="FW453" s="101" t="str">
        <f t="shared" si="291"/>
        <v>专属强化石2</v>
      </c>
      <c r="FX453" s="101">
        <f t="shared" si="292"/>
        <v>8</v>
      </c>
      <c r="FY453" s="101" t="str">
        <f t="shared" si="293"/>
        <v>专属强化石3</v>
      </c>
      <c r="FZ453" s="101">
        <f t="shared" si="294"/>
        <v>5</v>
      </c>
      <c r="GA453" s="101">
        <f t="shared" si="299"/>
        <v>0.02</v>
      </c>
      <c r="GB453" s="101">
        <f t="shared" si="300"/>
        <v>1</v>
      </c>
      <c r="GC453" s="101">
        <f t="shared" si="301"/>
        <v>62</v>
      </c>
      <c r="GD453" s="101">
        <f t="shared" si="302"/>
        <v>0</v>
      </c>
      <c r="GE453" s="101">
        <f t="shared" si="303"/>
        <v>1</v>
      </c>
      <c r="GF453" s="101">
        <f t="shared" si="304"/>
        <v>15</v>
      </c>
      <c r="GG453" s="101">
        <f t="shared" si="305"/>
        <v>1.2E-2</v>
      </c>
      <c r="GH453" s="101">
        <f t="shared" si="306"/>
        <v>1</v>
      </c>
      <c r="GI453" s="101">
        <f t="shared" si="307"/>
        <v>29</v>
      </c>
      <c r="GJ453" s="101">
        <f t="shared" si="308"/>
        <v>4.82E-2</v>
      </c>
      <c r="GK453" s="101">
        <f t="shared" si="309"/>
        <v>1</v>
      </c>
      <c r="GL453" s="101">
        <f t="shared" si="310"/>
        <v>62</v>
      </c>
    </row>
    <row r="454" spans="170:194" ht="16.5" x14ac:dyDescent="0.2">
      <c r="FN454" s="101">
        <v>449</v>
      </c>
      <c r="FO454" s="101">
        <f t="shared" si="295"/>
        <v>44</v>
      </c>
      <c r="FP454" s="101">
        <f t="shared" si="288"/>
        <v>6</v>
      </c>
      <c r="FQ454" s="14">
        <f t="shared" si="289"/>
        <v>4</v>
      </c>
      <c r="FR454" s="101" t="str">
        <f t="shared" si="296"/>
        <v>天使缇娜专属武器-魂珠-5 8级</v>
      </c>
      <c r="FS454" s="101">
        <f t="shared" si="297"/>
        <v>5</v>
      </c>
      <c r="FT454" s="101">
        <f t="shared" si="298"/>
        <v>8</v>
      </c>
      <c r="FU454" s="101" t="str">
        <f t="shared" si="290"/>
        <v>金币</v>
      </c>
      <c r="FV454" s="139">
        <f>IF($FT454&gt;0,IF(INDEX($EI$6:$EI$77,$FO454)&gt;=FV$3,ROUND(INDEX(EK$6:EK$77,$FO454)*INDEX(卡牌消耗!$B$8:$F$8,FQ454)/5,0)*5,""),"")</f>
        <v>6350</v>
      </c>
      <c r="FW454" s="101" t="str">
        <f t="shared" si="291"/>
        <v>专属强化石2</v>
      </c>
      <c r="FX454" s="101">
        <f t="shared" si="292"/>
        <v>11</v>
      </c>
      <c r="FY454" s="101" t="str">
        <f t="shared" si="293"/>
        <v>专属强化石3</v>
      </c>
      <c r="FZ454" s="101">
        <f t="shared" si="294"/>
        <v>7</v>
      </c>
      <c r="GA454" s="101">
        <f t="shared" si="299"/>
        <v>0.02</v>
      </c>
      <c r="GB454" s="101">
        <f t="shared" si="300"/>
        <v>1</v>
      </c>
      <c r="GC454" s="101">
        <f t="shared" si="301"/>
        <v>72</v>
      </c>
      <c r="GD454" s="101">
        <f t="shared" si="302"/>
        <v>0</v>
      </c>
      <c r="GE454" s="101">
        <f t="shared" si="303"/>
        <v>1</v>
      </c>
      <c r="GF454" s="101">
        <f t="shared" si="304"/>
        <v>17</v>
      </c>
      <c r="GG454" s="101">
        <f t="shared" si="305"/>
        <v>1.04E-2</v>
      </c>
      <c r="GH454" s="101">
        <f t="shared" si="306"/>
        <v>1</v>
      </c>
      <c r="GI454" s="101">
        <f t="shared" si="307"/>
        <v>34</v>
      </c>
      <c r="GJ454" s="101">
        <f t="shared" si="308"/>
        <v>4.1700000000000001E-2</v>
      </c>
      <c r="GK454" s="101">
        <f t="shared" si="309"/>
        <v>1</v>
      </c>
      <c r="GL454" s="101">
        <f t="shared" si="310"/>
        <v>72</v>
      </c>
    </row>
    <row r="455" spans="170:194" ht="16.5" x14ac:dyDescent="0.2">
      <c r="FN455" s="101">
        <v>450</v>
      </c>
      <c r="FO455" s="101">
        <f t="shared" si="295"/>
        <v>45</v>
      </c>
      <c r="FP455" s="101">
        <f t="shared" ref="FP455:FP518" si="311">INT((FN455-1)/80+1)</f>
        <v>6</v>
      </c>
      <c r="FQ455" s="14">
        <f t="shared" ref="FQ455:FQ518" si="312">INDEX($FJ$6:$FJ$26,FP455)</f>
        <v>4</v>
      </c>
      <c r="FR455" s="101" t="str">
        <f t="shared" si="296"/>
        <v>天使缇娜专属武器-魂珠-5 9级</v>
      </c>
      <c r="FS455" s="101">
        <f t="shared" si="297"/>
        <v>5</v>
      </c>
      <c r="FT455" s="101">
        <f t="shared" si="298"/>
        <v>9</v>
      </c>
      <c r="FU455" s="101" t="str">
        <f t="shared" ref="FU455:FU518" si="313">IF($FT455&gt;0,IF(INDEX($EI$6:$EI$77,$FO455)&gt;=FU$3,INDEX(EJ$6:EJ$77,$FO455),""),"")</f>
        <v>金币</v>
      </c>
      <c r="FV455" s="139">
        <f>IF($FT455&gt;0,IF(INDEX($EI$6:$EI$77,$FO455)&gt;=FV$3,ROUND(INDEX(EK$6:EK$77,$FO455)*INDEX(卡牌消耗!$B$8:$F$8,FQ455)/5,0)*5,""),"")</f>
        <v>8170</v>
      </c>
      <c r="FW455" s="101" t="str">
        <f t="shared" ref="FW455:FW518" si="314">IF($FT455&gt;0,IF(INDEX($EI$6:$EI$77,$FO455)&gt;=FW$3,INDEX(EL$6:EL$77,$FO455),""),"")</f>
        <v>专属强化石2</v>
      </c>
      <c r="FX455" s="101">
        <f t="shared" ref="FX455:FX518" si="315">IF($FT455&gt;0,IF(INDEX($EI$6:$EI$77,$FO455)&gt;=FX$3,INDEX(EM$6:EM$77,$FO455),""),"")</f>
        <v>14</v>
      </c>
      <c r="FY455" s="101" t="str">
        <f t="shared" ref="FY455:FY518" si="316">IF($FT455&gt;0,IF(INDEX($EI$6:$EI$77,$FO455)&gt;=FY$3,INDEX(EN$6:EN$77,$FO455),""),"")</f>
        <v>专属强化石3</v>
      </c>
      <c r="FZ455" s="101">
        <f t="shared" ref="FZ455:FZ518" si="317">IF($FT455&gt;0,IF(INDEX($EI$6:$EI$77,$FO455)&gt;=FZ$3,INDEX(EO$6:EO$77,$FO455),""),"")</f>
        <v>9</v>
      </c>
      <c r="GA455" s="101">
        <f t="shared" si="299"/>
        <v>0.02</v>
      </c>
      <c r="GB455" s="101">
        <f t="shared" si="300"/>
        <v>1</v>
      </c>
      <c r="GC455" s="101">
        <f t="shared" si="301"/>
        <v>91</v>
      </c>
      <c r="GD455" s="101">
        <f t="shared" si="302"/>
        <v>0</v>
      </c>
      <c r="GE455" s="101">
        <f t="shared" si="303"/>
        <v>1</v>
      </c>
      <c r="GF455" s="101">
        <f t="shared" si="304"/>
        <v>21</v>
      </c>
      <c r="GG455" s="101">
        <f t="shared" si="305"/>
        <v>8.3000000000000001E-3</v>
      </c>
      <c r="GH455" s="101">
        <f t="shared" si="306"/>
        <v>1</v>
      </c>
      <c r="GI455" s="101">
        <f t="shared" si="307"/>
        <v>42</v>
      </c>
      <c r="GJ455" s="101">
        <f t="shared" si="308"/>
        <v>3.3099999999999997E-2</v>
      </c>
      <c r="GK455" s="101">
        <f t="shared" si="309"/>
        <v>1</v>
      </c>
      <c r="GL455" s="101">
        <f t="shared" si="310"/>
        <v>91</v>
      </c>
    </row>
    <row r="456" spans="170:194" ht="16.5" x14ac:dyDescent="0.2">
      <c r="FN456" s="101">
        <v>451</v>
      </c>
      <c r="FO456" s="101">
        <f t="shared" si="295"/>
        <v>0</v>
      </c>
      <c r="FP456" s="101">
        <f t="shared" si="311"/>
        <v>6</v>
      </c>
      <c r="FQ456" s="14">
        <f t="shared" si="312"/>
        <v>4</v>
      </c>
      <c r="FR456" s="101" t="str">
        <f t="shared" si="296"/>
        <v>天使缇娜专属武器-魂珠-6 0级</v>
      </c>
      <c r="FS456" s="101">
        <f t="shared" si="297"/>
        <v>6</v>
      </c>
      <c r="FT456" s="101">
        <f t="shared" si="298"/>
        <v>0</v>
      </c>
      <c r="FU456" s="101" t="str">
        <f t="shared" si="313"/>
        <v/>
      </c>
      <c r="FV456" s="139" t="str">
        <f>IF($FT456&gt;0,IF(INDEX($EI$6:$EI$77,$FO456)&gt;=FV$3,ROUND(INDEX(EK$6:EK$77,$FO456)*INDEX(卡牌消耗!$B$8:$F$8,FQ456)/5,0)*5,""),"")</f>
        <v/>
      </c>
      <c r="FW456" s="101" t="str">
        <f t="shared" si="314"/>
        <v/>
      </c>
      <c r="FX456" s="101" t="str">
        <f t="shared" si="315"/>
        <v/>
      </c>
      <c r="FY456" s="101" t="str">
        <f t="shared" si="316"/>
        <v/>
      </c>
      <c r="FZ456" s="101" t="str">
        <f t="shared" si="317"/>
        <v/>
      </c>
      <c r="GA456" s="101" t="str">
        <f t="shared" si="299"/>
        <v/>
      </c>
      <c r="GB456" s="101" t="str">
        <f t="shared" si="300"/>
        <v/>
      </c>
      <c r="GC456" s="101" t="str">
        <f t="shared" si="301"/>
        <v/>
      </c>
      <c r="GD456" s="101" t="str">
        <f t="shared" si="302"/>
        <v/>
      </c>
      <c r="GE456" s="101" t="str">
        <f t="shared" si="303"/>
        <v/>
      </c>
      <c r="GF456" s="101" t="str">
        <f t="shared" si="304"/>
        <v/>
      </c>
      <c r="GG456" s="101" t="str">
        <f t="shared" si="305"/>
        <v/>
      </c>
      <c r="GH456" s="101" t="str">
        <f t="shared" si="306"/>
        <v/>
      </c>
      <c r="GI456" s="101" t="str">
        <f t="shared" si="307"/>
        <v/>
      </c>
      <c r="GJ456" s="101" t="str">
        <f t="shared" si="308"/>
        <v/>
      </c>
      <c r="GK456" s="101" t="str">
        <f t="shared" si="309"/>
        <v/>
      </c>
      <c r="GL456" s="101" t="str">
        <f t="shared" si="310"/>
        <v/>
      </c>
    </row>
    <row r="457" spans="170:194" ht="16.5" x14ac:dyDescent="0.2">
      <c r="FN457" s="101">
        <v>452</v>
      </c>
      <c r="FO457" s="101">
        <f t="shared" si="295"/>
        <v>46</v>
      </c>
      <c r="FP457" s="101">
        <f t="shared" si="311"/>
        <v>6</v>
      </c>
      <c r="FQ457" s="14">
        <f t="shared" si="312"/>
        <v>4</v>
      </c>
      <c r="FR457" s="101" t="str">
        <f t="shared" si="296"/>
        <v>天使缇娜专属武器-魂珠-6 1级</v>
      </c>
      <c r="FS457" s="101">
        <f t="shared" si="297"/>
        <v>6</v>
      </c>
      <c r="FT457" s="101">
        <f t="shared" si="298"/>
        <v>1</v>
      </c>
      <c r="FU457" s="101" t="str">
        <f t="shared" si="313"/>
        <v>金币</v>
      </c>
      <c r="FV457" s="139">
        <f>IF($FT457&gt;0,IF(INDEX($EI$6:$EI$77,$FO457)&gt;=FV$3,ROUND(INDEX(EK$6:EK$77,$FO457)*INDEX(卡牌消耗!$B$8:$F$8,FQ457)/5,0)*5,""),"")</f>
        <v>2180</v>
      </c>
      <c r="FW457" s="101" t="str">
        <f t="shared" si="314"/>
        <v>专属强化石3</v>
      </c>
      <c r="FX457" s="101">
        <f t="shared" si="315"/>
        <v>5</v>
      </c>
      <c r="FY457" s="101" t="str">
        <f t="shared" si="316"/>
        <v>专属强化石4</v>
      </c>
      <c r="FZ457" s="101">
        <f t="shared" si="317"/>
        <v>1</v>
      </c>
      <c r="GA457" s="101">
        <f t="shared" si="299"/>
        <v>0.17</v>
      </c>
      <c r="GB457" s="101">
        <f t="shared" si="300"/>
        <v>1</v>
      </c>
      <c r="GC457" s="101">
        <f t="shared" si="301"/>
        <v>9</v>
      </c>
      <c r="GD457" s="101">
        <f t="shared" si="302"/>
        <v>0</v>
      </c>
      <c r="GE457" s="101">
        <f t="shared" si="303"/>
        <v>1</v>
      </c>
      <c r="GF457" s="101">
        <f t="shared" si="304"/>
        <v>2</v>
      </c>
      <c r="GG457" s="101">
        <f t="shared" si="305"/>
        <v>8.2900000000000001E-2</v>
      </c>
      <c r="GH457" s="101">
        <f t="shared" si="306"/>
        <v>1</v>
      </c>
      <c r="GI457" s="101">
        <f t="shared" si="307"/>
        <v>4</v>
      </c>
      <c r="GJ457" s="101">
        <f t="shared" si="308"/>
        <v>0.33139999999999997</v>
      </c>
      <c r="GK457" s="101">
        <f t="shared" si="309"/>
        <v>1</v>
      </c>
      <c r="GL457" s="101">
        <f t="shared" si="310"/>
        <v>9</v>
      </c>
    </row>
    <row r="458" spans="170:194" ht="16.5" x14ac:dyDescent="0.2">
      <c r="FN458" s="101">
        <v>453</v>
      </c>
      <c r="FO458" s="101">
        <f t="shared" si="295"/>
        <v>47</v>
      </c>
      <c r="FP458" s="101">
        <f t="shared" si="311"/>
        <v>6</v>
      </c>
      <c r="FQ458" s="14">
        <f t="shared" si="312"/>
        <v>4</v>
      </c>
      <c r="FR458" s="101" t="str">
        <f t="shared" si="296"/>
        <v>天使缇娜专属武器-魂珠-6 2级</v>
      </c>
      <c r="FS458" s="101">
        <f t="shared" si="297"/>
        <v>6</v>
      </c>
      <c r="FT458" s="101">
        <f t="shared" si="298"/>
        <v>2</v>
      </c>
      <c r="FU458" s="101" t="str">
        <f t="shared" si="313"/>
        <v>金币</v>
      </c>
      <c r="FV458" s="139">
        <f>IF($FT458&gt;0,IF(INDEX($EI$6:$EI$77,$FO458)&gt;=FV$3,ROUND(INDEX(EK$6:EK$77,$FO458)*INDEX(卡牌消耗!$B$8:$F$8,FQ458)/5,0)*5,""),"")</f>
        <v>3270</v>
      </c>
      <c r="FW458" s="101" t="str">
        <f t="shared" si="314"/>
        <v>专属强化石3</v>
      </c>
      <c r="FX458" s="101">
        <f t="shared" si="315"/>
        <v>10</v>
      </c>
      <c r="FY458" s="101" t="str">
        <f t="shared" si="316"/>
        <v>专属强化石4</v>
      </c>
      <c r="FZ458" s="101">
        <f t="shared" si="317"/>
        <v>2</v>
      </c>
      <c r="GA458" s="101">
        <f t="shared" si="299"/>
        <v>0.17</v>
      </c>
      <c r="GB458" s="101">
        <f t="shared" si="300"/>
        <v>1</v>
      </c>
      <c r="GC458" s="101">
        <f t="shared" si="301"/>
        <v>9</v>
      </c>
      <c r="GD458" s="101">
        <f t="shared" si="302"/>
        <v>0</v>
      </c>
      <c r="GE458" s="101">
        <f t="shared" si="303"/>
        <v>1</v>
      </c>
      <c r="GF458" s="101">
        <f t="shared" si="304"/>
        <v>2</v>
      </c>
      <c r="GG458" s="101">
        <f t="shared" si="305"/>
        <v>8.2900000000000001E-2</v>
      </c>
      <c r="GH458" s="101">
        <f t="shared" si="306"/>
        <v>1</v>
      </c>
      <c r="GI458" s="101">
        <f t="shared" si="307"/>
        <v>4</v>
      </c>
      <c r="GJ458" s="101">
        <f t="shared" si="308"/>
        <v>0.33139999999999997</v>
      </c>
      <c r="GK458" s="101">
        <f t="shared" si="309"/>
        <v>1</v>
      </c>
      <c r="GL458" s="101">
        <f t="shared" si="310"/>
        <v>9</v>
      </c>
    </row>
    <row r="459" spans="170:194" ht="16.5" x14ac:dyDescent="0.2">
      <c r="FN459" s="101">
        <v>454</v>
      </c>
      <c r="FO459" s="101">
        <f t="shared" si="295"/>
        <v>48</v>
      </c>
      <c r="FP459" s="101">
        <f t="shared" si="311"/>
        <v>6</v>
      </c>
      <c r="FQ459" s="14">
        <f t="shared" si="312"/>
        <v>4</v>
      </c>
      <c r="FR459" s="101" t="str">
        <f t="shared" si="296"/>
        <v>天使缇娜专属武器-魂珠-6 3级</v>
      </c>
      <c r="FS459" s="101">
        <f t="shared" si="297"/>
        <v>6</v>
      </c>
      <c r="FT459" s="101">
        <f t="shared" si="298"/>
        <v>3</v>
      </c>
      <c r="FU459" s="101" t="str">
        <f t="shared" si="313"/>
        <v>金币</v>
      </c>
      <c r="FV459" s="139">
        <f>IF($FT459&gt;0,IF(INDEX($EI$6:$EI$77,$FO459)&gt;=FV$3,ROUND(INDEX(EK$6:EK$77,$FO459)*INDEX(卡牌消耗!$B$8:$F$8,FQ459)/5,0)*5,""),"")</f>
        <v>3635</v>
      </c>
      <c r="FW459" s="101" t="str">
        <f t="shared" si="314"/>
        <v>专属强化石3</v>
      </c>
      <c r="FX459" s="101">
        <f t="shared" si="315"/>
        <v>10</v>
      </c>
      <c r="FY459" s="101" t="str">
        <f t="shared" si="316"/>
        <v>专属强化石4</v>
      </c>
      <c r="FZ459" s="101">
        <f t="shared" si="317"/>
        <v>2</v>
      </c>
      <c r="GA459" s="101">
        <f t="shared" si="299"/>
        <v>0.11</v>
      </c>
      <c r="GB459" s="101">
        <f t="shared" si="300"/>
        <v>1</v>
      </c>
      <c r="GC459" s="101">
        <f t="shared" si="301"/>
        <v>14</v>
      </c>
      <c r="GD459" s="101">
        <f t="shared" si="302"/>
        <v>0</v>
      </c>
      <c r="GE459" s="101">
        <f t="shared" si="303"/>
        <v>1</v>
      </c>
      <c r="GF459" s="101">
        <f t="shared" si="304"/>
        <v>3</v>
      </c>
      <c r="GG459" s="101">
        <f t="shared" si="305"/>
        <v>5.5199999999999999E-2</v>
      </c>
      <c r="GH459" s="101">
        <f t="shared" si="306"/>
        <v>1</v>
      </c>
      <c r="GI459" s="101">
        <f t="shared" si="307"/>
        <v>6</v>
      </c>
      <c r="GJ459" s="101">
        <f t="shared" si="308"/>
        <v>0.221</v>
      </c>
      <c r="GK459" s="101">
        <f t="shared" si="309"/>
        <v>1</v>
      </c>
      <c r="GL459" s="101">
        <f t="shared" si="310"/>
        <v>14</v>
      </c>
    </row>
    <row r="460" spans="170:194" ht="16.5" x14ac:dyDescent="0.2">
      <c r="FN460" s="101">
        <v>455</v>
      </c>
      <c r="FO460" s="101">
        <f t="shared" si="295"/>
        <v>49</v>
      </c>
      <c r="FP460" s="101">
        <f t="shared" si="311"/>
        <v>6</v>
      </c>
      <c r="FQ460" s="14">
        <f t="shared" si="312"/>
        <v>4</v>
      </c>
      <c r="FR460" s="101" t="str">
        <f t="shared" si="296"/>
        <v>天使缇娜专属武器-魂珠-6 4级</v>
      </c>
      <c r="FS460" s="101">
        <f t="shared" si="297"/>
        <v>6</v>
      </c>
      <c r="FT460" s="101">
        <f t="shared" si="298"/>
        <v>4</v>
      </c>
      <c r="FU460" s="101" t="str">
        <f t="shared" si="313"/>
        <v>金币</v>
      </c>
      <c r="FV460" s="139">
        <f>IF($FT460&gt;0,IF(INDEX($EI$6:$EI$77,$FO460)&gt;=FV$3,ROUND(INDEX(EK$6:EK$77,$FO460)*INDEX(卡牌消耗!$B$8:$F$8,FQ460)/5,0)*5,""),"")</f>
        <v>5235</v>
      </c>
      <c r="FW460" s="101" t="str">
        <f t="shared" si="314"/>
        <v>专属强化石3</v>
      </c>
      <c r="FX460" s="101">
        <f t="shared" si="315"/>
        <v>15</v>
      </c>
      <c r="FY460" s="101" t="str">
        <f t="shared" si="316"/>
        <v>专属强化石4</v>
      </c>
      <c r="FZ460" s="101">
        <f t="shared" si="317"/>
        <v>3</v>
      </c>
      <c r="GA460" s="101">
        <f t="shared" si="299"/>
        <v>0.1</v>
      </c>
      <c r="GB460" s="101">
        <f t="shared" si="300"/>
        <v>1</v>
      </c>
      <c r="GC460" s="101">
        <f t="shared" si="301"/>
        <v>15</v>
      </c>
      <c r="GD460" s="101">
        <f t="shared" si="302"/>
        <v>0</v>
      </c>
      <c r="GE460" s="101">
        <f t="shared" si="303"/>
        <v>1</v>
      </c>
      <c r="GF460" s="101">
        <f t="shared" si="304"/>
        <v>4</v>
      </c>
      <c r="GG460" s="101">
        <f t="shared" si="305"/>
        <v>4.9700000000000001E-2</v>
      </c>
      <c r="GH460" s="101">
        <f t="shared" si="306"/>
        <v>1</v>
      </c>
      <c r="GI460" s="101">
        <f t="shared" si="307"/>
        <v>7</v>
      </c>
      <c r="GJ460" s="101">
        <f t="shared" si="308"/>
        <v>0.19889999999999999</v>
      </c>
      <c r="GK460" s="101">
        <f t="shared" si="309"/>
        <v>1</v>
      </c>
      <c r="GL460" s="101">
        <f t="shared" si="310"/>
        <v>15</v>
      </c>
    </row>
    <row r="461" spans="170:194" ht="16.5" x14ac:dyDescent="0.2">
      <c r="FN461" s="101">
        <v>456</v>
      </c>
      <c r="FO461" s="101">
        <f t="shared" si="295"/>
        <v>50</v>
      </c>
      <c r="FP461" s="101">
        <f t="shared" si="311"/>
        <v>6</v>
      </c>
      <c r="FQ461" s="14">
        <f t="shared" si="312"/>
        <v>4</v>
      </c>
      <c r="FR461" s="101" t="str">
        <f t="shared" si="296"/>
        <v>天使缇娜专属武器-魂珠-6 5级</v>
      </c>
      <c r="FS461" s="101">
        <f t="shared" si="297"/>
        <v>6</v>
      </c>
      <c r="FT461" s="101">
        <f t="shared" si="298"/>
        <v>5</v>
      </c>
      <c r="FU461" s="101" t="str">
        <f t="shared" si="313"/>
        <v>金币</v>
      </c>
      <c r="FV461" s="139">
        <f>IF($FT461&gt;0,IF(INDEX($EI$6:$EI$77,$FO461)&gt;=FV$3,ROUND(INDEX(EK$6:EK$77,$FO461)*INDEX(卡牌消耗!$B$8:$F$8,FQ461)/5,0)*5,""),"")</f>
        <v>5315</v>
      </c>
      <c r="FW461" s="101" t="str">
        <f t="shared" si="314"/>
        <v>专属强化石3</v>
      </c>
      <c r="FX461" s="101">
        <f t="shared" si="315"/>
        <v>15</v>
      </c>
      <c r="FY461" s="101" t="str">
        <f t="shared" si="316"/>
        <v>专属强化石4</v>
      </c>
      <c r="FZ461" s="101">
        <f t="shared" si="317"/>
        <v>3</v>
      </c>
      <c r="GA461" s="101">
        <f t="shared" si="299"/>
        <v>0.06</v>
      </c>
      <c r="GB461" s="101">
        <f t="shared" si="300"/>
        <v>1</v>
      </c>
      <c r="GC461" s="101">
        <f t="shared" si="301"/>
        <v>24</v>
      </c>
      <c r="GD461" s="101">
        <f t="shared" si="302"/>
        <v>0</v>
      </c>
      <c r="GE461" s="101">
        <f t="shared" si="303"/>
        <v>1</v>
      </c>
      <c r="GF461" s="101">
        <f t="shared" si="304"/>
        <v>6</v>
      </c>
      <c r="GG461" s="101">
        <f t="shared" si="305"/>
        <v>3.1099999999999999E-2</v>
      </c>
      <c r="GH461" s="101">
        <f t="shared" si="306"/>
        <v>1</v>
      </c>
      <c r="GI461" s="101">
        <f t="shared" si="307"/>
        <v>11</v>
      </c>
      <c r="GJ461" s="101">
        <f t="shared" si="308"/>
        <v>0.12429999999999999</v>
      </c>
      <c r="GK461" s="101">
        <f t="shared" si="309"/>
        <v>1</v>
      </c>
      <c r="GL461" s="101">
        <f t="shared" si="310"/>
        <v>24</v>
      </c>
    </row>
    <row r="462" spans="170:194" ht="16.5" x14ac:dyDescent="0.2">
      <c r="FN462" s="101">
        <v>457</v>
      </c>
      <c r="FO462" s="101">
        <f t="shared" si="295"/>
        <v>51</v>
      </c>
      <c r="FP462" s="101">
        <f t="shared" si="311"/>
        <v>6</v>
      </c>
      <c r="FQ462" s="14">
        <f t="shared" si="312"/>
        <v>4</v>
      </c>
      <c r="FR462" s="101" t="str">
        <f t="shared" si="296"/>
        <v>天使缇娜专属武器-魂珠-6 6级</v>
      </c>
      <c r="FS462" s="101">
        <f t="shared" si="297"/>
        <v>6</v>
      </c>
      <c r="FT462" s="101">
        <f t="shared" si="298"/>
        <v>6</v>
      </c>
      <c r="FU462" s="101" t="str">
        <f t="shared" si="313"/>
        <v>金币</v>
      </c>
      <c r="FV462" s="139">
        <f>IF($FT462&gt;0,IF(INDEX($EI$6:$EI$77,$FO462)&gt;=FV$3,ROUND(INDEX(EK$6:EK$77,$FO462)*INDEX(卡牌消耗!$B$8:$F$8,FQ462)/5,0)*5,""),"")</f>
        <v>7045</v>
      </c>
      <c r="FW462" s="101" t="str">
        <f t="shared" si="314"/>
        <v>专属强化石3</v>
      </c>
      <c r="FX462" s="101">
        <f t="shared" si="315"/>
        <v>20</v>
      </c>
      <c r="FY462" s="101" t="str">
        <f t="shared" si="316"/>
        <v>专属强化石4</v>
      </c>
      <c r="FZ462" s="101">
        <f t="shared" si="317"/>
        <v>4</v>
      </c>
      <c r="GA462" s="101">
        <f t="shared" si="299"/>
        <v>0.05</v>
      </c>
      <c r="GB462" s="101">
        <f t="shared" si="300"/>
        <v>1</v>
      </c>
      <c r="GC462" s="101">
        <f t="shared" si="301"/>
        <v>29</v>
      </c>
      <c r="GD462" s="101">
        <f t="shared" si="302"/>
        <v>0</v>
      </c>
      <c r="GE462" s="101">
        <f t="shared" si="303"/>
        <v>1</v>
      </c>
      <c r="GF462" s="101">
        <f t="shared" si="304"/>
        <v>7</v>
      </c>
      <c r="GG462" s="101">
        <f t="shared" si="305"/>
        <v>2.5499999999999998E-2</v>
      </c>
      <c r="GH462" s="101">
        <f t="shared" si="306"/>
        <v>1</v>
      </c>
      <c r="GI462" s="101">
        <f t="shared" si="307"/>
        <v>14</v>
      </c>
      <c r="GJ462" s="101">
        <f t="shared" si="308"/>
        <v>0.10199999999999999</v>
      </c>
      <c r="GK462" s="101">
        <f t="shared" si="309"/>
        <v>1</v>
      </c>
      <c r="GL462" s="101">
        <f t="shared" si="310"/>
        <v>29</v>
      </c>
    </row>
    <row r="463" spans="170:194" ht="16.5" x14ac:dyDescent="0.2">
      <c r="FN463" s="101">
        <v>458</v>
      </c>
      <c r="FO463" s="101">
        <f t="shared" si="295"/>
        <v>52</v>
      </c>
      <c r="FP463" s="101">
        <f t="shared" si="311"/>
        <v>6</v>
      </c>
      <c r="FQ463" s="14">
        <f t="shared" si="312"/>
        <v>4</v>
      </c>
      <c r="FR463" s="101" t="str">
        <f t="shared" si="296"/>
        <v>天使缇娜专属武器-魂珠-6 7级</v>
      </c>
      <c r="FS463" s="101">
        <f t="shared" si="297"/>
        <v>6</v>
      </c>
      <c r="FT463" s="101">
        <f t="shared" si="298"/>
        <v>7</v>
      </c>
      <c r="FU463" s="101" t="str">
        <f t="shared" si="313"/>
        <v>金币</v>
      </c>
      <c r="FV463" s="139">
        <f>IF($FT463&gt;0,IF(INDEX($EI$6:$EI$77,$FO463)&gt;=FV$3,ROUND(INDEX(EK$6:EK$77,$FO463)*INDEX(卡牌消耗!$B$8:$F$8,FQ463)/5,0)*5,""),"")</f>
        <v>8830</v>
      </c>
      <c r="FW463" s="101" t="str">
        <f t="shared" si="314"/>
        <v>专属强化石3</v>
      </c>
      <c r="FX463" s="101">
        <f t="shared" si="315"/>
        <v>25</v>
      </c>
      <c r="FY463" s="101" t="str">
        <f t="shared" si="316"/>
        <v>专属强化石4</v>
      </c>
      <c r="FZ463" s="101">
        <f t="shared" si="317"/>
        <v>5</v>
      </c>
      <c r="GA463" s="101">
        <f t="shared" si="299"/>
        <v>0.04</v>
      </c>
      <c r="GB463" s="101">
        <f t="shared" si="300"/>
        <v>1</v>
      </c>
      <c r="GC463" s="101">
        <f t="shared" si="301"/>
        <v>38</v>
      </c>
      <c r="GD463" s="101">
        <f t="shared" si="302"/>
        <v>0</v>
      </c>
      <c r="GE463" s="101">
        <f t="shared" si="303"/>
        <v>1</v>
      </c>
      <c r="GF463" s="101">
        <f t="shared" si="304"/>
        <v>9</v>
      </c>
      <c r="GG463" s="101">
        <f t="shared" si="305"/>
        <v>1.9699999999999999E-2</v>
      </c>
      <c r="GH463" s="101">
        <f t="shared" si="306"/>
        <v>1</v>
      </c>
      <c r="GI463" s="101">
        <f t="shared" si="307"/>
        <v>18</v>
      </c>
      <c r="GJ463" s="101">
        <f t="shared" si="308"/>
        <v>7.8899999999999998E-2</v>
      </c>
      <c r="GK463" s="101">
        <f t="shared" si="309"/>
        <v>1</v>
      </c>
      <c r="GL463" s="101">
        <f t="shared" si="310"/>
        <v>38</v>
      </c>
    </row>
    <row r="464" spans="170:194" ht="16.5" x14ac:dyDescent="0.2">
      <c r="FN464" s="101">
        <v>459</v>
      </c>
      <c r="FO464" s="101">
        <f t="shared" si="295"/>
        <v>53</v>
      </c>
      <c r="FP464" s="101">
        <f t="shared" si="311"/>
        <v>6</v>
      </c>
      <c r="FQ464" s="14">
        <f t="shared" si="312"/>
        <v>4</v>
      </c>
      <c r="FR464" s="101" t="str">
        <f t="shared" si="296"/>
        <v>天使缇娜专属武器-魂珠-6 8级</v>
      </c>
      <c r="FS464" s="101">
        <f t="shared" si="297"/>
        <v>6</v>
      </c>
      <c r="FT464" s="101">
        <f t="shared" si="298"/>
        <v>8</v>
      </c>
      <c r="FU464" s="101" t="str">
        <f t="shared" si="313"/>
        <v>金币</v>
      </c>
      <c r="FV464" s="139">
        <f>IF($FT464&gt;0,IF(INDEX($EI$6:$EI$77,$FO464)&gt;=FV$3,ROUND(INDEX(EK$6:EK$77,$FO464)*INDEX(卡牌消耗!$B$8:$F$8,FQ464)/5,0)*5,""),"")</f>
        <v>12350</v>
      </c>
      <c r="FW464" s="101" t="str">
        <f t="shared" si="314"/>
        <v>专属强化石3</v>
      </c>
      <c r="FX464" s="101">
        <f t="shared" si="315"/>
        <v>35</v>
      </c>
      <c r="FY464" s="101" t="str">
        <f t="shared" si="316"/>
        <v>专属强化石4</v>
      </c>
      <c r="FZ464" s="101">
        <f t="shared" si="317"/>
        <v>7</v>
      </c>
      <c r="GA464" s="101">
        <f t="shared" si="299"/>
        <v>0.03</v>
      </c>
      <c r="GB464" s="101">
        <f t="shared" si="300"/>
        <v>1</v>
      </c>
      <c r="GC464" s="101">
        <f t="shared" si="301"/>
        <v>44</v>
      </c>
      <c r="GD464" s="101">
        <f t="shared" si="302"/>
        <v>0</v>
      </c>
      <c r="GE464" s="101">
        <f t="shared" si="303"/>
        <v>1</v>
      </c>
      <c r="GF464" s="101">
        <f t="shared" si="304"/>
        <v>10</v>
      </c>
      <c r="GG464" s="101">
        <f t="shared" si="305"/>
        <v>1.7100000000000001E-2</v>
      </c>
      <c r="GH464" s="101">
        <f t="shared" si="306"/>
        <v>1</v>
      </c>
      <c r="GI464" s="101">
        <f t="shared" si="307"/>
        <v>21</v>
      </c>
      <c r="GJ464" s="101">
        <f t="shared" si="308"/>
        <v>6.8199999999999997E-2</v>
      </c>
      <c r="GK464" s="101">
        <f t="shared" si="309"/>
        <v>1</v>
      </c>
      <c r="GL464" s="101">
        <f t="shared" si="310"/>
        <v>44</v>
      </c>
    </row>
    <row r="465" spans="170:194" ht="16.5" x14ac:dyDescent="0.2">
      <c r="FN465" s="101">
        <v>460</v>
      </c>
      <c r="FO465" s="101">
        <f t="shared" si="295"/>
        <v>54</v>
      </c>
      <c r="FP465" s="101">
        <f t="shared" si="311"/>
        <v>6</v>
      </c>
      <c r="FQ465" s="14">
        <f t="shared" si="312"/>
        <v>4</v>
      </c>
      <c r="FR465" s="101" t="str">
        <f t="shared" si="296"/>
        <v>天使缇娜专属武器-魂珠-6 9级</v>
      </c>
      <c r="FS465" s="101">
        <f t="shared" si="297"/>
        <v>6</v>
      </c>
      <c r="FT465" s="101">
        <f t="shared" si="298"/>
        <v>9</v>
      </c>
      <c r="FU465" s="101" t="str">
        <f t="shared" si="313"/>
        <v>金币</v>
      </c>
      <c r="FV465" s="139">
        <f>IF($FT465&gt;0,IF(INDEX($EI$6:$EI$77,$FO465)&gt;=FV$3,ROUND(INDEX(EK$6:EK$77,$FO465)*INDEX(卡牌消耗!$B$8:$F$8,FQ465)/5,0)*5,""),"")</f>
        <v>14120</v>
      </c>
      <c r="FW465" s="101" t="str">
        <f t="shared" si="314"/>
        <v>专属强化石3</v>
      </c>
      <c r="FX465" s="101">
        <f t="shared" si="315"/>
        <v>40</v>
      </c>
      <c r="FY465" s="101" t="str">
        <f t="shared" si="316"/>
        <v>专属强化石4</v>
      </c>
      <c r="FZ465" s="101">
        <f t="shared" si="317"/>
        <v>8</v>
      </c>
      <c r="GA465" s="101">
        <f t="shared" si="299"/>
        <v>0.02</v>
      </c>
      <c r="GB465" s="101">
        <f t="shared" si="300"/>
        <v>1</v>
      </c>
      <c r="GC465" s="101">
        <f t="shared" si="301"/>
        <v>62</v>
      </c>
      <c r="GD465" s="101">
        <f t="shared" si="302"/>
        <v>0</v>
      </c>
      <c r="GE465" s="101">
        <f t="shared" si="303"/>
        <v>1</v>
      </c>
      <c r="GF465" s="101">
        <f t="shared" si="304"/>
        <v>15</v>
      </c>
      <c r="GG465" s="101">
        <f t="shared" si="305"/>
        <v>1.21E-2</v>
      </c>
      <c r="GH465" s="101">
        <f t="shared" si="306"/>
        <v>1</v>
      </c>
      <c r="GI465" s="101">
        <f t="shared" si="307"/>
        <v>29</v>
      </c>
      <c r="GJ465" s="101">
        <f t="shared" si="308"/>
        <v>4.82E-2</v>
      </c>
      <c r="GK465" s="101">
        <f t="shared" si="309"/>
        <v>1</v>
      </c>
      <c r="GL465" s="101">
        <f t="shared" si="310"/>
        <v>62</v>
      </c>
    </row>
    <row r="466" spans="170:194" ht="16.5" x14ac:dyDescent="0.2">
      <c r="FN466" s="101">
        <v>461</v>
      </c>
      <c r="FO466" s="101">
        <f t="shared" si="295"/>
        <v>0</v>
      </c>
      <c r="FP466" s="101">
        <f t="shared" si="311"/>
        <v>6</v>
      </c>
      <c r="FQ466" s="14">
        <f t="shared" si="312"/>
        <v>4</v>
      </c>
      <c r="FR466" s="101" t="str">
        <f t="shared" si="296"/>
        <v>天使缇娜专属武器-魂珠-7 0级</v>
      </c>
      <c r="FS466" s="101">
        <f t="shared" si="297"/>
        <v>7</v>
      </c>
      <c r="FT466" s="101">
        <f t="shared" si="298"/>
        <v>0</v>
      </c>
      <c r="FU466" s="101" t="str">
        <f t="shared" si="313"/>
        <v/>
      </c>
      <c r="FV466" s="139" t="str">
        <f>IF($FT466&gt;0,IF(INDEX($EI$6:$EI$77,$FO466)&gt;=FV$3,ROUND(INDEX(EK$6:EK$77,$FO466)*INDEX(卡牌消耗!$B$8:$F$8,FQ466)/5,0)*5,""),"")</f>
        <v/>
      </c>
      <c r="FW466" s="101" t="str">
        <f t="shared" si="314"/>
        <v/>
      </c>
      <c r="FX466" s="101" t="str">
        <f t="shared" si="315"/>
        <v/>
      </c>
      <c r="FY466" s="101" t="str">
        <f t="shared" si="316"/>
        <v/>
      </c>
      <c r="FZ466" s="101" t="str">
        <f t="shared" si="317"/>
        <v/>
      </c>
      <c r="GA466" s="101" t="str">
        <f t="shared" si="299"/>
        <v/>
      </c>
      <c r="GB466" s="101" t="str">
        <f t="shared" si="300"/>
        <v/>
      </c>
      <c r="GC466" s="101" t="str">
        <f t="shared" si="301"/>
        <v/>
      </c>
      <c r="GD466" s="101" t="str">
        <f t="shared" si="302"/>
        <v/>
      </c>
      <c r="GE466" s="101" t="str">
        <f t="shared" si="303"/>
        <v/>
      </c>
      <c r="GF466" s="101" t="str">
        <f t="shared" si="304"/>
        <v/>
      </c>
      <c r="GG466" s="101" t="str">
        <f t="shared" si="305"/>
        <v/>
      </c>
      <c r="GH466" s="101" t="str">
        <f t="shared" si="306"/>
        <v/>
      </c>
      <c r="GI466" s="101" t="str">
        <f t="shared" si="307"/>
        <v/>
      </c>
      <c r="GJ466" s="101" t="str">
        <f t="shared" si="308"/>
        <v/>
      </c>
      <c r="GK466" s="101" t="str">
        <f t="shared" si="309"/>
        <v/>
      </c>
      <c r="GL466" s="101" t="str">
        <f t="shared" si="310"/>
        <v/>
      </c>
    </row>
    <row r="467" spans="170:194" ht="16.5" x14ac:dyDescent="0.2">
      <c r="FN467" s="101">
        <v>462</v>
      </c>
      <c r="FO467" s="101">
        <f t="shared" si="295"/>
        <v>55</v>
      </c>
      <c r="FP467" s="101">
        <f t="shared" si="311"/>
        <v>6</v>
      </c>
      <c r="FQ467" s="14">
        <f t="shared" si="312"/>
        <v>4</v>
      </c>
      <c r="FR467" s="101" t="str">
        <f t="shared" si="296"/>
        <v>天使缇娜专属武器-魂珠-7 1级</v>
      </c>
      <c r="FS467" s="101">
        <f t="shared" si="297"/>
        <v>7</v>
      </c>
      <c r="FT467" s="101">
        <f t="shared" si="298"/>
        <v>1</v>
      </c>
      <c r="FU467" s="101" t="str">
        <f t="shared" si="313"/>
        <v>金币</v>
      </c>
      <c r="FV467" s="139">
        <f>IF($FT467&gt;0,IF(INDEX($EI$6:$EI$77,$FO467)&gt;=FV$3,ROUND(INDEX(EK$6:EK$77,$FO467)*INDEX(卡牌消耗!$B$8:$F$8,FQ467)/5,0)*5,""),"")</f>
        <v>18130</v>
      </c>
      <c r="FW467" s="101" t="str">
        <f t="shared" si="314"/>
        <v>专属强化石3</v>
      </c>
      <c r="FX467" s="101">
        <f t="shared" si="315"/>
        <v>6</v>
      </c>
      <c r="FY467" s="101" t="str">
        <f t="shared" si="316"/>
        <v>专属强化石4</v>
      </c>
      <c r="FZ467" s="101">
        <f t="shared" si="317"/>
        <v>2</v>
      </c>
      <c r="GA467" s="101">
        <f t="shared" si="299"/>
        <v>0.2</v>
      </c>
      <c r="GB467" s="101">
        <f t="shared" si="300"/>
        <v>1</v>
      </c>
      <c r="GC467" s="101">
        <f t="shared" si="301"/>
        <v>8</v>
      </c>
      <c r="GD467" s="101">
        <f t="shared" si="302"/>
        <v>0</v>
      </c>
      <c r="GE467" s="101">
        <f t="shared" si="303"/>
        <v>1</v>
      </c>
      <c r="GF467" s="101">
        <f t="shared" si="304"/>
        <v>2</v>
      </c>
      <c r="GG467" s="101">
        <f t="shared" si="305"/>
        <v>9.9400000000000002E-2</v>
      </c>
      <c r="GH467" s="101">
        <f t="shared" si="306"/>
        <v>1</v>
      </c>
      <c r="GI467" s="101">
        <f t="shared" si="307"/>
        <v>4</v>
      </c>
      <c r="GJ467" s="101">
        <f t="shared" si="308"/>
        <v>0.3977</v>
      </c>
      <c r="GK467" s="101">
        <f t="shared" si="309"/>
        <v>1</v>
      </c>
      <c r="GL467" s="101">
        <f t="shared" si="310"/>
        <v>8</v>
      </c>
    </row>
    <row r="468" spans="170:194" ht="16.5" x14ac:dyDescent="0.2">
      <c r="FN468" s="101">
        <v>463</v>
      </c>
      <c r="FO468" s="101">
        <f t="shared" si="295"/>
        <v>56</v>
      </c>
      <c r="FP468" s="101">
        <f t="shared" si="311"/>
        <v>6</v>
      </c>
      <c r="FQ468" s="14">
        <f t="shared" si="312"/>
        <v>4</v>
      </c>
      <c r="FR468" s="101" t="str">
        <f t="shared" si="296"/>
        <v>天使缇娜专属武器-魂珠-7 2级</v>
      </c>
      <c r="FS468" s="101">
        <f t="shared" si="297"/>
        <v>7</v>
      </c>
      <c r="FT468" s="101">
        <f t="shared" si="298"/>
        <v>2</v>
      </c>
      <c r="FU468" s="101" t="str">
        <f t="shared" si="313"/>
        <v>金币</v>
      </c>
      <c r="FV468" s="139">
        <f>IF($FT468&gt;0,IF(INDEX($EI$6:$EI$77,$FO468)&gt;=FV$3,ROUND(INDEX(EK$6:EK$77,$FO468)*INDEX(卡牌消耗!$B$8:$F$8,FQ468)/5,0)*5,""),"")</f>
        <v>13600</v>
      </c>
      <c r="FW468" s="101" t="str">
        <f t="shared" si="314"/>
        <v>专属强化石3</v>
      </c>
      <c r="FX468" s="101">
        <f t="shared" si="315"/>
        <v>6</v>
      </c>
      <c r="FY468" s="101" t="str">
        <f t="shared" si="316"/>
        <v>专属强化石4</v>
      </c>
      <c r="FZ468" s="101">
        <f t="shared" si="317"/>
        <v>2</v>
      </c>
      <c r="GA468" s="101">
        <f t="shared" si="299"/>
        <v>0.1</v>
      </c>
      <c r="GB468" s="101">
        <f t="shared" si="300"/>
        <v>1</v>
      </c>
      <c r="GC468" s="101">
        <f t="shared" si="301"/>
        <v>15</v>
      </c>
      <c r="GD468" s="101">
        <f t="shared" si="302"/>
        <v>0</v>
      </c>
      <c r="GE468" s="101">
        <f t="shared" si="303"/>
        <v>1</v>
      </c>
      <c r="GF468" s="101">
        <f t="shared" si="304"/>
        <v>4</v>
      </c>
      <c r="GG468" s="101">
        <f t="shared" si="305"/>
        <v>4.9700000000000001E-2</v>
      </c>
      <c r="GH468" s="101">
        <f t="shared" si="306"/>
        <v>1</v>
      </c>
      <c r="GI468" s="101">
        <f t="shared" si="307"/>
        <v>7</v>
      </c>
      <c r="GJ468" s="101">
        <f t="shared" si="308"/>
        <v>0.19889999999999999</v>
      </c>
      <c r="GK468" s="101">
        <f t="shared" si="309"/>
        <v>1</v>
      </c>
      <c r="GL468" s="101">
        <f t="shared" si="310"/>
        <v>15</v>
      </c>
    </row>
    <row r="469" spans="170:194" ht="16.5" x14ac:dyDescent="0.2">
      <c r="FN469" s="101">
        <v>464</v>
      </c>
      <c r="FO469" s="101">
        <f t="shared" si="295"/>
        <v>57</v>
      </c>
      <c r="FP469" s="101">
        <f t="shared" si="311"/>
        <v>6</v>
      </c>
      <c r="FQ469" s="14">
        <f t="shared" si="312"/>
        <v>4</v>
      </c>
      <c r="FR469" s="101" t="str">
        <f t="shared" si="296"/>
        <v>天使缇娜专属武器-魂珠-7 3级</v>
      </c>
      <c r="FS469" s="101">
        <f t="shared" si="297"/>
        <v>7</v>
      </c>
      <c r="FT469" s="101">
        <f t="shared" si="298"/>
        <v>3</v>
      </c>
      <c r="FU469" s="101" t="str">
        <f t="shared" si="313"/>
        <v>金币</v>
      </c>
      <c r="FV469" s="139">
        <f>IF($FT469&gt;0,IF(INDEX($EI$6:$EI$77,$FO469)&gt;=FV$3,ROUND(INDEX(EK$6:EK$77,$FO469)*INDEX(卡牌消耗!$B$8:$F$8,FQ469)/5,0)*5,""),"")</f>
        <v>22665</v>
      </c>
      <c r="FW469" s="101" t="str">
        <f t="shared" si="314"/>
        <v>专属强化石3</v>
      </c>
      <c r="FX469" s="101">
        <f t="shared" si="315"/>
        <v>9</v>
      </c>
      <c r="FY469" s="101" t="str">
        <f t="shared" si="316"/>
        <v>专属强化石4</v>
      </c>
      <c r="FZ469" s="101">
        <f t="shared" si="317"/>
        <v>3</v>
      </c>
      <c r="GA469" s="101">
        <f t="shared" si="299"/>
        <v>0.1</v>
      </c>
      <c r="GB469" s="101">
        <f t="shared" si="300"/>
        <v>1</v>
      </c>
      <c r="GC469" s="101">
        <f t="shared" si="301"/>
        <v>15</v>
      </c>
      <c r="GD469" s="101">
        <f t="shared" si="302"/>
        <v>0</v>
      </c>
      <c r="GE469" s="101">
        <f t="shared" si="303"/>
        <v>1</v>
      </c>
      <c r="GF469" s="101">
        <f t="shared" si="304"/>
        <v>4</v>
      </c>
      <c r="GG469" s="101">
        <f t="shared" si="305"/>
        <v>4.9700000000000001E-2</v>
      </c>
      <c r="GH469" s="101">
        <f t="shared" si="306"/>
        <v>1</v>
      </c>
      <c r="GI469" s="101">
        <f t="shared" si="307"/>
        <v>7</v>
      </c>
      <c r="GJ469" s="101">
        <f t="shared" si="308"/>
        <v>0.19889999999999999</v>
      </c>
      <c r="GK469" s="101">
        <f t="shared" si="309"/>
        <v>1</v>
      </c>
      <c r="GL469" s="101">
        <f t="shared" si="310"/>
        <v>15</v>
      </c>
    </row>
    <row r="470" spans="170:194" ht="16.5" x14ac:dyDescent="0.2">
      <c r="FN470" s="101">
        <v>465</v>
      </c>
      <c r="FO470" s="101">
        <f t="shared" ref="FO470:FO533" si="318">IF(FT470&gt;0,(FS470-1)*9+FT470,0)</f>
        <v>58</v>
      </c>
      <c r="FP470" s="101">
        <f t="shared" si="311"/>
        <v>6</v>
      </c>
      <c r="FQ470" s="14">
        <f t="shared" si="312"/>
        <v>4</v>
      </c>
      <c r="FR470" s="101" t="str">
        <f t="shared" ref="FR470:FR533" si="319">INDEX($FI$6:$FI$26,FP470)&amp;"专属武器-魂珠-"&amp;FS470&amp;" "&amp;FT470&amp;"级"</f>
        <v>天使缇娜专属武器-魂珠-7 4级</v>
      </c>
      <c r="FS470" s="101">
        <f t="shared" ref="FS470:FS533" si="320">INT((FN470-(FP470-1)*80-1)/10)+1</f>
        <v>7</v>
      </c>
      <c r="FT470" s="101">
        <f t="shared" ref="FT470:FT533" si="321">FN470-(FP470-1)*80-(FS470-1)*10-1</f>
        <v>4</v>
      </c>
      <c r="FU470" s="101" t="str">
        <f t="shared" si="313"/>
        <v>金币</v>
      </c>
      <c r="FV470" s="139">
        <f>IF($FT470&gt;0,IF(INDEX($EI$6:$EI$77,$FO470)&gt;=FV$3,ROUND(INDEX(EK$6:EK$77,$FO470)*INDEX(卡牌消耗!$B$8:$F$8,FQ470)/5,0)*5,""),"")</f>
        <v>29010</v>
      </c>
      <c r="FW470" s="101" t="str">
        <f t="shared" si="314"/>
        <v>专属强化石3</v>
      </c>
      <c r="FX470" s="101">
        <f t="shared" si="315"/>
        <v>12</v>
      </c>
      <c r="FY470" s="101" t="str">
        <f t="shared" si="316"/>
        <v>专属强化石4</v>
      </c>
      <c r="FZ470" s="101">
        <f t="shared" si="317"/>
        <v>4</v>
      </c>
      <c r="GA470" s="101">
        <f t="shared" ref="GA470:GA533" si="322">IF($FT470&gt;0,INDEX(EP$6:EP$77,$FO470),"")</f>
        <v>0.08</v>
      </c>
      <c r="GB470" s="101">
        <f t="shared" ref="GB470:GB533" si="323">IF($FT470&gt;0,INDEX(EQ$6:EQ$77,$FO470),"")</f>
        <v>1</v>
      </c>
      <c r="GC470" s="101">
        <f t="shared" ref="GC470:GC533" si="324">IF($FT470&gt;0,INDEX(ER$6:ER$77,$FO470),"")</f>
        <v>19</v>
      </c>
      <c r="GD470" s="101">
        <f t="shared" ref="GD470:GD533" si="325">IF($FT470&gt;0,INDEX(EV$6:EV$77,$FO470),"")</f>
        <v>0</v>
      </c>
      <c r="GE470" s="101">
        <f t="shared" ref="GE470:GE533" si="326">IF($FT470&gt;0,INDEX(EW$6:EW$77,$FO470),"")</f>
        <v>1</v>
      </c>
      <c r="GF470" s="101">
        <f t="shared" ref="GF470:GF533" si="327">IF($FT470&gt;0,INDEX(EX$6:EX$77,$FO470),"")</f>
        <v>4</v>
      </c>
      <c r="GG470" s="101">
        <f t="shared" ref="GG470:GG533" si="328">IF($FT470&gt;0,INDEX(EY$6:EY$77,$FO470),"")</f>
        <v>3.9800000000000002E-2</v>
      </c>
      <c r="GH470" s="101">
        <f t="shared" ref="GH470:GH533" si="329">IF($FT470&gt;0,INDEX(EZ$6:EZ$77,$FO470),"")</f>
        <v>1</v>
      </c>
      <c r="GI470" s="101">
        <f t="shared" ref="GI470:GI533" si="330">IF($FT470&gt;0,INDEX(FA$6:FA$77,$FO470),"")</f>
        <v>9</v>
      </c>
      <c r="GJ470" s="101">
        <f t="shared" ref="GJ470:GJ533" si="331">IF($FT470&gt;0,INDEX(FB$6:FB$77,$FO470),"")</f>
        <v>0.15909999999999999</v>
      </c>
      <c r="GK470" s="101">
        <f t="shared" ref="GK470:GK533" si="332">IF($FT470&gt;0,INDEX(FC$6:FC$77,$FO470),"")</f>
        <v>1</v>
      </c>
      <c r="GL470" s="101">
        <f t="shared" ref="GL470:GL533" si="333">IF($FT470&gt;0,INDEX(FD$6:FD$77,$FO470),"")</f>
        <v>19</v>
      </c>
    </row>
    <row r="471" spans="170:194" ht="16.5" x14ac:dyDescent="0.2">
      <c r="FN471" s="101">
        <v>466</v>
      </c>
      <c r="FO471" s="101">
        <f t="shared" si="318"/>
        <v>59</v>
      </c>
      <c r="FP471" s="101">
        <f t="shared" si="311"/>
        <v>6</v>
      </c>
      <c r="FQ471" s="14">
        <f t="shared" si="312"/>
        <v>4</v>
      </c>
      <c r="FR471" s="101" t="str">
        <f t="shared" si="319"/>
        <v>天使缇娜专属武器-魂珠-7 5级</v>
      </c>
      <c r="FS471" s="101">
        <f t="shared" si="320"/>
        <v>7</v>
      </c>
      <c r="FT471" s="101">
        <f t="shared" si="321"/>
        <v>5</v>
      </c>
      <c r="FU471" s="101" t="str">
        <f t="shared" si="313"/>
        <v>金币</v>
      </c>
      <c r="FV471" s="139">
        <f>IF($FT471&gt;0,IF(INDEX($EI$6:$EI$77,$FO471)&gt;=FV$3,ROUND(INDEX(EK$6:EK$77,$FO471)*INDEX(卡牌消耗!$B$8:$F$8,FQ471)/5,0)*5,""),"")</f>
        <v>29465</v>
      </c>
      <c r="FW471" s="101" t="str">
        <f t="shared" si="314"/>
        <v>专属强化石3</v>
      </c>
      <c r="FX471" s="101">
        <f t="shared" si="315"/>
        <v>12</v>
      </c>
      <c r="FY471" s="101" t="str">
        <f t="shared" si="316"/>
        <v>专属强化石4</v>
      </c>
      <c r="FZ471" s="101">
        <f t="shared" si="317"/>
        <v>4</v>
      </c>
      <c r="GA471" s="101">
        <f t="shared" si="322"/>
        <v>0.05</v>
      </c>
      <c r="GB471" s="101">
        <f t="shared" si="323"/>
        <v>1</v>
      </c>
      <c r="GC471" s="101">
        <f t="shared" si="324"/>
        <v>30</v>
      </c>
      <c r="GD471" s="101">
        <f t="shared" si="325"/>
        <v>0</v>
      </c>
      <c r="GE471" s="101">
        <f t="shared" si="326"/>
        <v>1</v>
      </c>
      <c r="GF471" s="101">
        <f t="shared" si="327"/>
        <v>7</v>
      </c>
      <c r="GG471" s="101">
        <f t="shared" si="328"/>
        <v>2.4899999999999999E-2</v>
      </c>
      <c r="GH471" s="101">
        <f t="shared" si="329"/>
        <v>1</v>
      </c>
      <c r="GI471" s="101">
        <f t="shared" si="330"/>
        <v>14</v>
      </c>
      <c r="GJ471" s="101">
        <f t="shared" si="331"/>
        <v>9.9400000000000002E-2</v>
      </c>
      <c r="GK471" s="101">
        <f t="shared" si="332"/>
        <v>1</v>
      </c>
      <c r="GL471" s="101">
        <f t="shared" si="333"/>
        <v>30</v>
      </c>
    </row>
    <row r="472" spans="170:194" ht="16.5" x14ac:dyDescent="0.2">
      <c r="FN472" s="101">
        <v>467</v>
      </c>
      <c r="FO472" s="101">
        <f t="shared" si="318"/>
        <v>60</v>
      </c>
      <c r="FP472" s="101">
        <f t="shared" si="311"/>
        <v>6</v>
      </c>
      <c r="FQ472" s="14">
        <f t="shared" si="312"/>
        <v>4</v>
      </c>
      <c r="FR472" s="101" t="str">
        <f t="shared" si="319"/>
        <v>天使缇娜专属武器-魂珠-7 6级</v>
      </c>
      <c r="FS472" s="101">
        <f t="shared" si="320"/>
        <v>7</v>
      </c>
      <c r="FT472" s="101">
        <f t="shared" si="321"/>
        <v>6</v>
      </c>
      <c r="FU472" s="101" t="str">
        <f t="shared" si="313"/>
        <v>金币</v>
      </c>
      <c r="FV472" s="139">
        <f>IF($FT472&gt;0,IF(INDEX($EI$6:$EI$77,$FO472)&gt;=FV$3,ROUND(INDEX(EK$6:EK$77,$FO472)*INDEX(卡牌消耗!$B$8:$F$8,FQ472)/5,0)*5,""),"")</f>
        <v>36610</v>
      </c>
      <c r="FW472" s="101" t="str">
        <f t="shared" si="314"/>
        <v>专属强化石3</v>
      </c>
      <c r="FX472" s="101">
        <f t="shared" si="315"/>
        <v>15</v>
      </c>
      <c r="FY472" s="101" t="str">
        <f t="shared" si="316"/>
        <v>专属强化石4</v>
      </c>
      <c r="FZ472" s="101">
        <f t="shared" si="317"/>
        <v>5</v>
      </c>
      <c r="GA472" s="101">
        <f t="shared" si="322"/>
        <v>0.04</v>
      </c>
      <c r="GB472" s="101">
        <f t="shared" si="323"/>
        <v>1</v>
      </c>
      <c r="GC472" s="101">
        <f t="shared" si="324"/>
        <v>39</v>
      </c>
      <c r="GD472" s="101">
        <f t="shared" si="325"/>
        <v>0</v>
      </c>
      <c r="GE472" s="101">
        <f t="shared" si="326"/>
        <v>1</v>
      </c>
      <c r="GF472" s="101">
        <f t="shared" si="327"/>
        <v>9</v>
      </c>
      <c r="GG472" s="101">
        <f t="shared" si="328"/>
        <v>1.9099999999999999E-2</v>
      </c>
      <c r="GH472" s="101">
        <f t="shared" si="329"/>
        <v>1</v>
      </c>
      <c r="GI472" s="101">
        <f t="shared" si="330"/>
        <v>18</v>
      </c>
      <c r="GJ472" s="101">
        <f t="shared" si="331"/>
        <v>7.6499999999999999E-2</v>
      </c>
      <c r="GK472" s="101">
        <f t="shared" si="332"/>
        <v>1</v>
      </c>
      <c r="GL472" s="101">
        <f t="shared" si="333"/>
        <v>39</v>
      </c>
    </row>
    <row r="473" spans="170:194" ht="16.5" x14ac:dyDescent="0.2">
      <c r="FN473" s="101">
        <v>468</v>
      </c>
      <c r="FO473" s="101">
        <f t="shared" si="318"/>
        <v>61</v>
      </c>
      <c r="FP473" s="101">
        <f t="shared" si="311"/>
        <v>6</v>
      </c>
      <c r="FQ473" s="14">
        <f t="shared" si="312"/>
        <v>4</v>
      </c>
      <c r="FR473" s="101" t="str">
        <f t="shared" si="319"/>
        <v>天使缇娜专属武器-魂珠-7 7级</v>
      </c>
      <c r="FS473" s="101">
        <f t="shared" si="320"/>
        <v>7</v>
      </c>
      <c r="FT473" s="101">
        <f t="shared" si="321"/>
        <v>7</v>
      </c>
      <c r="FU473" s="101" t="str">
        <f t="shared" si="313"/>
        <v>金币</v>
      </c>
      <c r="FV473" s="139">
        <f>IF($FT473&gt;0,IF(INDEX($EI$6:$EI$77,$FO473)&gt;=FV$3,ROUND(INDEX(EK$6:EK$77,$FO473)*INDEX(卡牌消耗!$B$8:$F$8,FQ473)/5,0)*5,""),"")</f>
        <v>51370</v>
      </c>
      <c r="FW473" s="101" t="str">
        <f t="shared" si="314"/>
        <v>专属强化石3</v>
      </c>
      <c r="FX473" s="101">
        <f t="shared" si="315"/>
        <v>21</v>
      </c>
      <c r="FY473" s="101" t="str">
        <f t="shared" si="316"/>
        <v>专属强化石4</v>
      </c>
      <c r="FZ473" s="101">
        <f t="shared" si="317"/>
        <v>7</v>
      </c>
      <c r="GA473" s="101">
        <f t="shared" si="322"/>
        <v>0.03</v>
      </c>
      <c r="GB473" s="101">
        <f t="shared" si="323"/>
        <v>1</v>
      </c>
      <c r="GC473" s="101">
        <f t="shared" si="324"/>
        <v>45</v>
      </c>
      <c r="GD473" s="101">
        <f t="shared" si="325"/>
        <v>0</v>
      </c>
      <c r="GE473" s="101">
        <f t="shared" si="326"/>
        <v>1</v>
      </c>
      <c r="GF473" s="101">
        <f t="shared" si="327"/>
        <v>11</v>
      </c>
      <c r="GG473" s="101">
        <f t="shared" si="328"/>
        <v>1.66E-2</v>
      </c>
      <c r="GH473" s="101">
        <f t="shared" si="329"/>
        <v>1</v>
      </c>
      <c r="GI473" s="101">
        <f t="shared" si="330"/>
        <v>21</v>
      </c>
      <c r="GJ473" s="101">
        <f t="shared" si="331"/>
        <v>6.6299999999999998E-2</v>
      </c>
      <c r="GK473" s="101">
        <f t="shared" si="332"/>
        <v>1</v>
      </c>
      <c r="GL473" s="101">
        <f t="shared" si="333"/>
        <v>45</v>
      </c>
    </row>
    <row r="474" spans="170:194" ht="16.5" x14ac:dyDescent="0.2">
      <c r="FN474" s="101">
        <v>469</v>
      </c>
      <c r="FO474" s="101">
        <f t="shared" si="318"/>
        <v>62</v>
      </c>
      <c r="FP474" s="101">
        <f t="shared" si="311"/>
        <v>6</v>
      </c>
      <c r="FQ474" s="14">
        <f t="shared" si="312"/>
        <v>4</v>
      </c>
      <c r="FR474" s="101" t="str">
        <f t="shared" si="319"/>
        <v>天使缇娜专属武器-魂珠-7 8级</v>
      </c>
      <c r="FS474" s="101">
        <f t="shared" si="320"/>
        <v>7</v>
      </c>
      <c r="FT474" s="101">
        <f t="shared" si="321"/>
        <v>8</v>
      </c>
      <c r="FU474" s="101" t="str">
        <f t="shared" si="313"/>
        <v>金币</v>
      </c>
      <c r="FV474" s="139">
        <f>IF($FT474&gt;0,IF(INDEX($EI$6:$EI$77,$FO474)&gt;=FV$3,ROUND(INDEX(EK$6:EK$77,$FO474)*INDEX(卡牌消耗!$B$8:$F$8,FQ474)/5,0)*5,""),"")</f>
        <v>58660</v>
      </c>
      <c r="FW474" s="101" t="str">
        <f t="shared" si="314"/>
        <v>专属强化石3</v>
      </c>
      <c r="FX474" s="101">
        <f t="shared" si="315"/>
        <v>24</v>
      </c>
      <c r="FY474" s="101" t="str">
        <f t="shared" si="316"/>
        <v>专属强化石4</v>
      </c>
      <c r="FZ474" s="101">
        <f t="shared" si="317"/>
        <v>8</v>
      </c>
      <c r="GA474" s="101">
        <f t="shared" si="322"/>
        <v>0.02</v>
      </c>
      <c r="GB474" s="101">
        <f t="shared" si="323"/>
        <v>1</v>
      </c>
      <c r="GC474" s="101">
        <f t="shared" si="324"/>
        <v>64</v>
      </c>
      <c r="GD474" s="101">
        <f t="shared" si="325"/>
        <v>0</v>
      </c>
      <c r="GE474" s="101">
        <f t="shared" si="326"/>
        <v>1</v>
      </c>
      <c r="GF474" s="101">
        <f t="shared" si="327"/>
        <v>15</v>
      </c>
      <c r="GG474" s="101">
        <f t="shared" si="328"/>
        <v>1.17E-2</v>
      </c>
      <c r="GH474" s="101">
        <f t="shared" si="329"/>
        <v>1</v>
      </c>
      <c r="GI474" s="101">
        <f t="shared" si="330"/>
        <v>30</v>
      </c>
      <c r="GJ474" s="101">
        <f t="shared" si="331"/>
        <v>4.6800000000000001E-2</v>
      </c>
      <c r="GK474" s="101">
        <f t="shared" si="332"/>
        <v>1</v>
      </c>
      <c r="GL474" s="101">
        <f t="shared" si="333"/>
        <v>64</v>
      </c>
    </row>
    <row r="475" spans="170:194" ht="16.5" x14ac:dyDescent="0.2">
      <c r="FN475" s="101">
        <v>470</v>
      </c>
      <c r="FO475" s="101">
        <f t="shared" si="318"/>
        <v>63</v>
      </c>
      <c r="FP475" s="101">
        <f t="shared" si="311"/>
        <v>6</v>
      </c>
      <c r="FQ475" s="14">
        <f t="shared" si="312"/>
        <v>4</v>
      </c>
      <c r="FR475" s="101" t="str">
        <f t="shared" si="319"/>
        <v>天使缇娜专属武器-魂珠-7 9级</v>
      </c>
      <c r="FS475" s="101">
        <f t="shared" si="320"/>
        <v>7</v>
      </c>
      <c r="FT475" s="101">
        <f t="shared" si="321"/>
        <v>9</v>
      </c>
      <c r="FU475" s="101" t="str">
        <f t="shared" si="313"/>
        <v>金币</v>
      </c>
      <c r="FV475" s="139">
        <f>IF($FT475&gt;0,IF(INDEX($EI$6:$EI$77,$FO475)&gt;=FV$3,ROUND(INDEX(EK$6:EK$77,$FO475)*INDEX(卡牌消耗!$B$8:$F$8,FQ475)/5,0)*5,""),"")</f>
        <v>73350</v>
      </c>
      <c r="FW475" s="101" t="str">
        <f t="shared" si="314"/>
        <v>专属强化石3</v>
      </c>
      <c r="FX475" s="101">
        <f t="shared" si="315"/>
        <v>30</v>
      </c>
      <c r="FY475" s="101" t="str">
        <f t="shared" si="316"/>
        <v>专属强化石4</v>
      </c>
      <c r="FZ475" s="101">
        <f t="shared" si="317"/>
        <v>10</v>
      </c>
      <c r="GA475" s="101">
        <f t="shared" si="322"/>
        <v>0.02</v>
      </c>
      <c r="GB475" s="101">
        <f t="shared" si="323"/>
        <v>1</v>
      </c>
      <c r="GC475" s="101">
        <f t="shared" si="324"/>
        <v>83</v>
      </c>
      <c r="GD475" s="101">
        <f t="shared" si="325"/>
        <v>0</v>
      </c>
      <c r="GE475" s="101">
        <f t="shared" si="326"/>
        <v>1</v>
      </c>
      <c r="GF475" s="101">
        <f t="shared" si="327"/>
        <v>19</v>
      </c>
      <c r="GG475" s="101">
        <f t="shared" si="328"/>
        <v>8.9999999999999993E-3</v>
      </c>
      <c r="GH475" s="101">
        <f t="shared" si="329"/>
        <v>1</v>
      </c>
      <c r="GI475" s="101">
        <f t="shared" si="330"/>
        <v>39</v>
      </c>
      <c r="GJ475" s="101">
        <f t="shared" si="331"/>
        <v>3.6200000000000003E-2</v>
      </c>
      <c r="GK475" s="101">
        <f t="shared" si="332"/>
        <v>1</v>
      </c>
      <c r="GL475" s="101">
        <f t="shared" si="333"/>
        <v>83</v>
      </c>
    </row>
    <row r="476" spans="170:194" ht="16.5" x14ac:dyDescent="0.2">
      <c r="FN476" s="101">
        <v>471</v>
      </c>
      <c r="FO476" s="101">
        <f t="shared" si="318"/>
        <v>0</v>
      </c>
      <c r="FP476" s="101">
        <f t="shared" si="311"/>
        <v>6</v>
      </c>
      <c r="FQ476" s="14">
        <f t="shared" si="312"/>
        <v>4</v>
      </c>
      <c r="FR476" s="101" t="str">
        <f t="shared" si="319"/>
        <v>天使缇娜专属武器-魂珠-8 0级</v>
      </c>
      <c r="FS476" s="101">
        <f t="shared" si="320"/>
        <v>8</v>
      </c>
      <c r="FT476" s="101">
        <f t="shared" si="321"/>
        <v>0</v>
      </c>
      <c r="FU476" s="101" t="str">
        <f t="shared" si="313"/>
        <v/>
      </c>
      <c r="FV476" s="139" t="str">
        <f>IF($FT476&gt;0,IF(INDEX($EI$6:$EI$77,$FO476)&gt;=FV$3,ROUND(INDEX(EK$6:EK$77,$FO476)*INDEX(卡牌消耗!$B$8:$F$8,FQ476)/5,0)*5,""),"")</f>
        <v/>
      </c>
      <c r="FW476" s="101" t="str">
        <f t="shared" si="314"/>
        <v/>
      </c>
      <c r="FX476" s="101" t="str">
        <f t="shared" si="315"/>
        <v/>
      </c>
      <c r="FY476" s="101" t="str">
        <f t="shared" si="316"/>
        <v/>
      </c>
      <c r="FZ476" s="101" t="str">
        <f t="shared" si="317"/>
        <v/>
      </c>
      <c r="GA476" s="101" t="str">
        <f t="shared" si="322"/>
        <v/>
      </c>
      <c r="GB476" s="101" t="str">
        <f t="shared" si="323"/>
        <v/>
      </c>
      <c r="GC476" s="101" t="str">
        <f t="shared" si="324"/>
        <v/>
      </c>
      <c r="GD476" s="101" t="str">
        <f t="shared" si="325"/>
        <v/>
      </c>
      <c r="GE476" s="101" t="str">
        <f t="shared" si="326"/>
        <v/>
      </c>
      <c r="GF476" s="101" t="str">
        <f t="shared" si="327"/>
        <v/>
      </c>
      <c r="GG476" s="101" t="str">
        <f t="shared" si="328"/>
        <v/>
      </c>
      <c r="GH476" s="101" t="str">
        <f t="shared" si="329"/>
        <v/>
      </c>
      <c r="GI476" s="101" t="str">
        <f t="shared" si="330"/>
        <v/>
      </c>
      <c r="GJ476" s="101" t="str">
        <f t="shared" si="331"/>
        <v/>
      </c>
      <c r="GK476" s="101" t="str">
        <f t="shared" si="332"/>
        <v/>
      </c>
      <c r="GL476" s="101" t="str">
        <f t="shared" si="333"/>
        <v/>
      </c>
    </row>
    <row r="477" spans="170:194" ht="16.5" x14ac:dyDescent="0.2">
      <c r="FN477" s="101">
        <v>472</v>
      </c>
      <c r="FO477" s="101">
        <f t="shared" si="318"/>
        <v>64</v>
      </c>
      <c r="FP477" s="101">
        <f t="shared" si="311"/>
        <v>6</v>
      </c>
      <c r="FQ477" s="14">
        <f t="shared" si="312"/>
        <v>4</v>
      </c>
      <c r="FR477" s="101" t="str">
        <f t="shared" si="319"/>
        <v>天使缇娜专属武器-魂珠-8 1级</v>
      </c>
      <c r="FS477" s="101">
        <f t="shared" si="320"/>
        <v>8</v>
      </c>
      <c r="FT477" s="101">
        <f t="shared" si="321"/>
        <v>1</v>
      </c>
      <c r="FU477" s="101" t="str">
        <f t="shared" si="313"/>
        <v>金币</v>
      </c>
      <c r="FV477" s="139">
        <f>IF($FT477&gt;0,IF(INDEX($EI$6:$EI$77,$FO477)&gt;=FV$3,ROUND(INDEX(EK$6:EK$77,$FO477)*INDEX(卡牌消耗!$B$8:$F$8,FQ477)/5,0)*5,""),"")</f>
        <v>15455</v>
      </c>
      <c r="FW477" s="101" t="str">
        <f t="shared" si="314"/>
        <v>专属强化石4</v>
      </c>
      <c r="FX477" s="101">
        <f t="shared" si="315"/>
        <v>5</v>
      </c>
      <c r="FY477" s="101" t="str">
        <f t="shared" si="316"/>
        <v/>
      </c>
      <c r="FZ477" s="101" t="str">
        <f t="shared" si="317"/>
        <v/>
      </c>
      <c r="GA477" s="101">
        <f t="shared" si="322"/>
        <v>0.11</v>
      </c>
      <c r="GB477" s="101">
        <f t="shared" si="323"/>
        <v>1</v>
      </c>
      <c r="GC477" s="101">
        <f t="shared" si="324"/>
        <v>13</v>
      </c>
      <c r="GD477" s="101">
        <f t="shared" si="325"/>
        <v>0</v>
      </c>
      <c r="GE477" s="101">
        <f t="shared" si="326"/>
        <v>1</v>
      </c>
      <c r="GF477" s="101">
        <f t="shared" si="327"/>
        <v>3</v>
      </c>
      <c r="GG477" s="101">
        <f t="shared" si="328"/>
        <v>5.6500000000000002E-2</v>
      </c>
      <c r="GH477" s="101">
        <f t="shared" si="329"/>
        <v>1</v>
      </c>
      <c r="GI477" s="101">
        <f t="shared" si="330"/>
        <v>6</v>
      </c>
      <c r="GJ477" s="101">
        <f t="shared" si="331"/>
        <v>0.22600000000000001</v>
      </c>
      <c r="GK477" s="101">
        <f t="shared" si="332"/>
        <v>1</v>
      </c>
      <c r="GL477" s="101">
        <f t="shared" si="333"/>
        <v>13</v>
      </c>
    </row>
    <row r="478" spans="170:194" ht="16.5" x14ac:dyDescent="0.2">
      <c r="FN478" s="101">
        <v>473</v>
      </c>
      <c r="FO478" s="101">
        <f t="shared" si="318"/>
        <v>65</v>
      </c>
      <c r="FP478" s="101">
        <f t="shared" si="311"/>
        <v>6</v>
      </c>
      <c r="FQ478" s="14">
        <f t="shared" si="312"/>
        <v>4</v>
      </c>
      <c r="FR478" s="101" t="str">
        <f t="shared" si="319"/>
        <v>天使缇娜专属武器-魂珠-8 2级</v>
      </c>
      <c r="FS478" s="101">
        <f t="shared" si="320"/>
        <v>8</v>
      </c>
      <c r="FT478" s="101">
        <f t="shared" si="321"/>
        <v>2</v>
      </c>
      <c r="FU478" s="101" t="str">
        <f t="shared" si="313"/>
        <v>金币</v>
      </c>
      <c r="FV478" s="139">
        <f>IF($FT478&gt;0,IF(INDEX($EI$6:$EI$77,$FO478)&gt;=FV$3,ROUND(INDEX(EK$6:EK$77,$FO478)*INDEX(卡牌消耗!$B$8:$F$8,FQ478)/5,0)*5,""),"")</f>
        <v>18545</v>
      </c>
      <c r="FW478" s="101" t="str">
        <f t="shared" si="314"/>
        <v>专属强化石4</v>
      </c>
      <c r="FX478" s="101">
        <f t="shared" si="315"/>
        <v>8</v>
      </c>
      <c r="FY478" s="101" t="str">
        <f t="shared" si="316"/>
        <v/>
      </c>
      <c r="FZ478" s="101" t="str">
        <f t="shared" si="317"/>
        <v/>
      </c>
      <c r="GA478" s="101">
        <f t="shared" si="322"/>
        <v>0.09</v>
      </c>
      <c r="GB478" s="101">
        <f t="shared" si="323"/>
        <v>1</v>
      </c>
      <c r="GC478" s="101">
        <f t="shared" si="324"/>
        <v>17</v>
      </c>
      <c r="GD478" s="101">
        <f t="shared" si="325"/>
        <v>0</v>
      </c>
      <c r="GE478" s="101">
        <f t="shared" si="326"/>
        <v>1</v>
      </c>
      <c r="GF478" s="101">
        <f t="shared" si="327"/>
        <v>4</v>
      </c>
      <c r="GG478" s="101">
        <f t="shared" si="328"/>
        <v>4.5199999999999997E-2</v>
      </c>
      <c r="GH478" s="101">
        <f t="shared" si="329"/>
        <v>1</v>
      </c>
      <c r="GI478" s="101">
        <f t="shared" si="330"/>
        <v>8</v>
      </c>
      <c r="GJ478" s="101">
        <f t="shared" si="331"/>
        <v>0.18079999999999999</v>
      </c>
      <c r="GK478" s="101">
        <f t="shared" si="332"/>
        <v>1</v>
      </c>
      <c r="GL478" s="101">
        <f t="shared" si="333"/>
        <v>17</v>
      </c>
    </row>
    <row r="479" spans="170:194" ht="16.5" x14ac:dyDescent="0.2">
      <c r="FN479" s="101">
        <v>474</v>
      </c>
      <c r="FO479" s="101">
        <f t="shared" si="318"/>
        <v>66</v>
      </c>
      <c r="FP479" s="101">
        <f t="shared" si="311"/>
        <v>6</v>
      </c>
      <c r="FQ479" s="14">
        <f t="shared" si="312"/>
        <v>4</v>
      </c>
      <c r="FR479" s="101" t="str">
        <f t="shared" si="319"/>
        <v>天使缇娜专属武器-魂珠-8 3级</v>
      </c>
      <c r="FS479" s="101">
        <f t="shared" si="320"/>
        <v>8</v>
      </c>
      <c r="FT479" s="101">
        <f t="shared" si="321"/>
        <v>3</v>
      </c>
      <c r="FU479" s="101" t="str">
        <f t="shared" si="313"/>
        <v>金币</v>
      </c>
      <c r="FV479" s="139">
        <f>IF($FT479&gt;0,IF(INDEX($EI$6:$EI$77,$FO479)&gt;=FV$3,ROUND(INDEX(EK$6:EK$77,$FO479)*INDEX(卡牌消耗!$B$8:$F$8,FQ479)/5,0)*5,""),"")</f>
        <v>25755</v>
      </c>
      <c r="FW479" s="101" t="str">
        <f t="shared" si="314"/>
        <v>专属强化石4</v>
      </c>
      <c r="FX479" s="101">
        <f t="shared" si="315"/>
        <v>10</v>
      </c>
      <c r="FY479" s="101" t="str">
        <f t="shared" si="316"/>
        <v/>
      </c>
      <c r="FZ479" s="101" t="str">
        <f t="shared" si="317"/>
        <v/>
      </c>
      <c r="GA479" s="101">
        <f t="shared" si="322"/>
        <v>0.08</v>
      </c>
      <c r="GB479" s="101">
        <f t="shared" si="323"/>
        <v>1</v>
      </c>
      <c r="GC479" s="101">
        <f t="shared" si="324"/>
        <v>20</v>
      </c>
      <c r="GD479" s="101">
        <f t="shared" si="325"/>
        <v>0</v>
      </c>
      <c r="GE479" s="101">
        <f t="shared" si="326"/>
        <v>1</v>
      </c>
      <c r="GF479" s="101">
        <f t="shared" si="327"/>
        <v>5</v>
      </c>
      <c r="GG479" s="101">
        <f t="shared" si="328"/>
        <v>3.7699999999999997E-2</v>
      </c>
      <c r="GH479" s="101">
        <f t="shared" si="329"/>
        <v>1</v>
      </c>
      <c r="GI479" s="101">
        <f t="shared" si="330"/>
        <v>9</v>
      </c>
      <c r="GJ479" s="101">
        <f t="shared" si="331"/>
        <v>0.1507</v>
      </c>
      <c r="GK479" s="101">
        <f t="shared" si="332"/>
        <v>1</v>
      </c>
      <c r="GL479" s="101">
        <f t="shared" si="333"/>
        <v>20</v>
      </c>
    </row>
    <row r="480" spans="170:194" ht="16.5" x14ac:dyDescent="0.2">
      <c r="FN480" s="101">
        <v>475</v>
      </c>
      <c r="FO480" s="101">
        <f t="shared" si="318"/>
        <v>67</v>
      </c>
      <c r="FP480" s="101">
        <f t="shared" si="311"/>
        <v>6</v>
      </c>
      <c r="FQ480" s="14">
        <f t="shared" si="312"/>
        <v>4</v>
      </c>
      <c r="FR480" s="101" t="str">
        <f t="shared" si="319"/>
        <v>天使缇娜专属武器-魂珠-8 4级</v>
      </c>
      <c r="FS480" s="101">
        <f t="shared" si="320"/>
        <v>8</v>
      </c>
      <c r="FT480" s="101">
        <f t="shared" si="321"/>
        <v>4</v>
      </c>
      <c r="FU480" s="101" t="str">
        <f t="shared" si="313"/>
        <v>金币</v>
      </c>
      <c r="FV480" s="139">
        <f>IF($FT480&gt;0,IF(INDEX($EI$6:$EI$77,$FO480)&gt;=FV$3,ROUND(INDEX(EK$6:EK$77,$FO480)*INDEX(卡牌消耗!$B$8:$F$8,FQ480)/5,0)*5,""),"")</f>
        <v>29670</v>
      </c>
      <c r="FW480" s="101" t="str">
        <f t="shared" si="314"/>
        <v>专属强化石4</v>
      </c>
      <c r="FX480" s="101">
        <f t="shared" si="315"/>
        <v>12</v>
      </c>
      <c r="FY480" s="101" t="str">
        <f t="shared" si="316"/>
        <v/>
      </c>
      <c r="FZ480" s="101" t="str">
        <f t="shared" si="317"/>
        <v/>
      </c>
      <c r="GA480" s="101">
        <f t="shared" si="322"/>
        <v>0.05</v>
      </c>
      <c r="GB480" s="101">
        <f t="shared" si="323"/>
        <v>1</v>
      </c>
      <c r="GC480" s="101">
        <f t="shared" si="324"/>
        <v>28</v>
      </c>
      <c r="GD480" s="101">
        <f t="shared" si="325"/>
        <v>0</v>
      </c>
      <c r="GE480" s="101">
        <f t="shared" si="326"/>
        <v>1</v>
      </c>
      <c r="GF480" s="101">
        <f t="shared" si="327"/>
        <v>6</v>
      </c>
      <c r="GG480" s="101">
        <f t="shared" si="328"/>
        <v>2.7099999999999999E-2</v>
      </c>
      <c r="GH480" s="101">
        <f t="shared" si="329"/>
        <v>1</v>
      </c>
      <c r="GI480" s="101">
        <f t="shared" si="330"/>
        <v>13</v>
      </c>
      <c r="GJ480" s="101">
        <f t="shared" si="331"/>
        <v>0.1085</v>
      </c>
      <c r="GK480" s="101">
        <f t="shared" si="332"/>
        <v>1</v>
      </c>
      <c r="GL480" s="101">
        <f t="shared" si="333"/>
        <v>28</v>
      </c>
    </row>
    <row r="481" spans="170:194" ht="16.5" x14ac:dyDescent="0.2">
      <c r="FN481" s="101">
        <v>476</v>
      </c>
      <c r="FO481" s="101">
        <f t="shared" si="318"/>
        <v>68</v>
      </c>
      <c r="FP481" s="101">
        <f t="shared" si="311"/>
        <v>6</v>
      </c>
      <c r="FQ481" s="14">
        <f t="shared" si="312"/>
        <v>4</v>
      </c>
      <c r="FR481" s="101" t="str">
        <f t="shared" si="319"/>
        <v>天使缇娜专属武器-魂珠-8 5级</v>
      </c>
      <c r="FS481" s="101">
        <f t="shared" si="320"/>
        <v>8</v>
      </c>
      <c r="FT481" s="101">
        <f t="shared" si="321"/>
        <v>5</v>
      </c>
      <c r="FU481" s="101" t="str">
        <f t="shared" si="313"/>
        <v>金币</v>
      </c>
      <c r="FV481" s="139">
        <f>IF($FT481&gt;0,IF(INDEX($EI$6:$EI$77,$FO481)&gt;=FV$3,ROUND(INDEX(EK$6:EK$77,$FO481)*INDEX(卡牌消耗!$B$8:$F$8,FQ481)/5,0)*5,""),"")</f>
        <v>37665</v>
      </c>
      <c r="FW481" s="101" t="str">
        <f t="shared" si="314"/>
        <v>专属强化石4</v>
      </c>
      <c r="FX481" s="101">
        <f t="shared" si="315"/>
        <v>15</v>
      </c>
      <c r="FY481" s="101" t="str">
        <f t="shared" si="316"/>
        <v/>
      </c>
      <c r="FZ481" s="101" t="str">
        <f t="shared" si="317"/>
        <v/>
      </c>
      <c r="GA481" s="101">
        <f t="shared" si="322"/>
        <v>0.04</v>
      </c>
      <c r="GB481" s="101">
        <f t="shared" si="323"/>
        <v>1</v>
      </c>
      <c r="GC481" s="101">
        <f t="shared" si="324"/>
        <v>35</v>
      </c>
      <c r="GD481" s="101">
        <f t="shared" si="325"/>
        <v>0</v>
      </c>
      <c r="GE481" s="101">
        <f t="shared" si="326"/>
        <v>1</v>
      </c>
      <c r="GF481" s="101">
        <f t="shared" si="327"/>
        <v>8</v>
      </c>
      <c r="GG481" s="101">
        <f t="shared" si="328"/>
        <v>2.12E-2</v>
      </c>
      <c r="GH481" s="101">
        <f t="shared" si="329"/>
        <v>1</v>
      </c>
      <c r="GI481" s="101">
        <f t="shared" si="330"/>
        <v>17</v>
      </c>
      <c r="GJ481" s="101">
        <f t="shared" si="331"/>
        <v>8.4699999999999998E-2</v>
      </c>
      <c r="GK481" s="101">
        <f t="shared" si="332"/>
        <v>1</v>
      </c>
      <c r="GL481" s="101">
        <f t="shared" si="333"/>
        <v>35</v>
      </c>
    </row>
    <row r="482" spans="170:194" ht="16.5" x14ac:dyDescent="0.2">
      <c r="FN482" s="101">
        <v>477</v>
      </c>
      <c r="FO482" s="101">
        <f t="shared" si="318"/>
        <v>69</v>
      </c>
      <c r="FP482" s="101">
        <f t="shared" si="311"/>
        <v>6</v>
      </c>
      <c r="FQ482" s="14">
        <f t="shared" si="312"/>
        <v>4</v>
      </c>
      <c r="FR482" s="101" t="str">
        <f t="shared" si="319"/>
        <v>天使缇娜专属武器-魂珠-8 6级</v>
      </c>
      <c r="FS482" s="101">
        <f t="shared" si="320"/>
        <v>8</v>
      </c>
      <c r="FT482" s="101">
        <f t="shared" si="321"/>
        <v>6</v>
      </c>
      <c r="FU482" s="101" t="str">
        <f t="shared" si="313"/>
        <v>金币</v>
      </c>
      <c r="FV482" s="139">
        <f>IF($FT482&gt;0,IF(INDEX($EI$6:$EI$77,$FO482)&gt;=FV$3,ROUND(INDEX(EK$6:EK$77,$FO482)*INDEX(卡牌消耗!$B$8:$F$8,FQ482)/5,0)*5,""),"")</f>
        <v>44935</v>
      </c>
      <c r="FW482" s="101" t="str">
        <f t="shared" si="314"/>
        <v>专属强化石4</v>
      </c>
      <c r="FX482" s="101">
        <f t="shared" si="315"/>
        <v>18</v>
      </c>
      <c r="FY482" s="101" t="str">
        <f t="shared" si="316"/>
        <v/>
      </c>
      <c r="FZ482" s="101" t="str">
        <f t="shared" si="317"/>
        <v/>
      </c>
      <c r="GA482" s="101">
        <f t="shared" si="322"/>
        <v>0.03</v>
      </c>
      <c r="GB482" s="101">
        <f t="shared" si="323"/>
        <v>1</v>
      </c>
      <c r="GC482" s="101">
        <f t="shared" si="324"/>
        <v>48</v>
      </c>
      <c r="GD482" s="101">
        <f t="shared" si="325"/>
        <v>0</v>
      </c>
      <c r="GE482" s="101">
        <f t="shared" si="326"/>
        <v>1</v>
      </c>
      <c r="GF482" s="101">
        <f t="shared" si="327"/>
        <v>11</v>
      </c>
      <c r="GG482" s="101">
        <f t="shared" si="328"/>
        <v>1.5599999999999999E-2</v>
      </c>
      <c r="GH482" s="101">
        <f t="shared" si="329"/>
        <v>1</v>
      </c>
      <c r="GI482" s="101">
        <f t="shared" si="330"/>
        <v>22</v>
      </c>
      <c r="GJ482" s="101">
        <f t="shared" si="331"/>
        <v>6.2600000000000003E-2</v>
      </c>
      <c r="GK482" s="101">
        <f t="shared" si="332"/>
        <v>1</v>
      </c>
      <c r="GL482" s="101">
        <f t="shared" si="333"/>
        <v>48</v>
      </c>
    </row>
    <row r="483" spans="170:194" ht="16.5" x14ac:dyDescent="0.2">
      <c r="FN483" s="101">
        <v>478</v>
      </c>
      <c r="FO483" s="101">
        <f t="shared" si="318"/>
        <v>70</v>
      </c>
      <c r="FP483" s="101">
        <f t="shared" si="311"/>
        <v>6</v>
      </c>
      <c r="FQ483" s="14">
        <f t="shared" si="312"/>
        <v>4</v>
      </c>
      <c r="FR483" s="101" t="str">
        <f t="shared" si="319"/>
        <v>天使缇娜专属武器-魂珠-8 7级</v>
      </c>
      <c r="FS483" s="101">
        <f t="shared" si="320"/>
        <v>8</v>
      </c>
      <c r="FT483" s="101">
        <f t="shared" si="321"/>
        <v>7</v>
      </c>
      <c r="FU483" s="101" t="str">
        <f t="shared" si="313"/>
        <v>金币</v>
      </c>
      <c r="FV483" s="139">
        <f>IF($FT483&gt;0,IF(INDEX($EI$6:$EI$77,$FO483)&gt;=FV$3,ROUND(INDEX(EK$6:EK$77,$FO483)*INDEX(卡牌消耗!$B$8:$F$8,FQ483)/5,0)*5,""),"")</f>
        <v>62545</v>
      </c>
      <c r="FW483" s="101" t="str">
        <f t="shared" si="314"/>
        <v>专属强化石4</v>
      </c>
      <c r="FX483" s="101">
        <f t="shared" si="315"/>
        <v>25</v>
      </c>
      <c r="FY483" s="101" t="str">
        <f t="shared" si="316"/>
        <v/>
      </c>
      <c r="FZ483" s="101" t="str">
        <f t="shared" si="317"/>
        <v/>
      </c>
      <c r="GA483" s="101">
        <f t="shared" si="322"/>
        <v>0.03</v>
      </c>
      <c r="GB483" s="101">
        <f t="shared" si="323"/>
        <v>1</v>
      </c>
      <c r="GC483" s="101">
        <f t="shared" si="324"/>
        <v>56</v>
      </c>
      <c r="GD483" s="101">
        <f t="shared" si="325"/>
        <v>0</v>
      </c>
      <c r="GE483" s="101">
        <f t="shared" si="326"/>
        <v>1</v>
      </c>
      <c r="GF483" s="101">
        <f t="shared" si="327"/>
        <v>13</v>
      </c>
      <c r="GG483" s="101">
        <f t="shared" si="328"/>
        <v>1.35E-2</v>
      </c>
      <c r="GH483" s="101">
        <f t="shared" si="329"/>
        <v>1</v>
      </c>
      <c r="GI483" s="101">
        <f t="shared" si="330"/>
        <v>26</v>
      </c>
      <c r="GJ483" s="101">
        <f t="shared" si="331"/>
        <v>5.3800000000000001E-2</v>
      </c>
      <c r="GK483" s="101">
        <f t="shared" si="332"/>
        <v>1</v>
      </c>
      <c r="GL483" s="101">
        <f t="shared" si="333"/>
        <v>56</v>
      </c>
    </row>
    <row r="484" spans="170:194" ht="16.5" x14ac:dyDescent="0.2">
      <c r="FN484" s="101">
        <v>479</v>
      </c>
      <c r="FO484" s="101">
        <f t="shared" si="318"/>
        <v>71</v>
      </c>
      <c r="FP484" s="101">
        <f t="shared" si="311"/>
        <v>6</v>
      </c>
      <c r="FQ484" s="14">
        <f t="shared" si="312"/>
        <v>4</v>
      </c>
      <c r="FR484" s="101" t="str">
        <f t="shared" si="319"/>
        <v>天使缇娜专属武器-魂珠-8 8级</v>
      </c>
      <c r="FS484" s="101">
        <f t="shared" si="320"/>
        <v>8</v>
      </c>
      <c r="FT484" s="101">
        <f t="shared" si="321"/>
        <v>8</v>
      </c>
      <c r="FU484" s="101" t="str">
        <f t="shared" si="313"/>
        <v>金币</v>
      </c>
      <c r="FV484" s="139">
        <f>IF($FT484&gt;0,IF(INDEX($EI$6:$EI$77,$FO484)&gt;=FV$3,ROUND(INDEX(EK$6:EK$77,$FO484)*INDEX(卡牌消耗!$B$8:$F$8,FQ484)/5,0)*5,""),"")</f>
        <v>74990</v>
      </c>
      <c r="FW484" s="101" t="str">
        <f t="shared" si="314"/>
        <v>专属强化石4</v>
      </c>
      <c r="FX484" s="101">
        <f t="shared" si="315"/>
        <v>30</v>
      </c>
      <c r="FY484" s="101" t="str">
        <f t="shared" si="316"/>
        <v/>
      </c>
      <c r="FZ484" s="101" t="str">
        <f t="shared" si="317"/>
        <v/>
      </c>
      <c r="GA484" s="101">
        <f t="shared" si="322"/>
        <v>0.02</v>
      </c>
      <c r="GB484" s="101">
        <f t="shared" si="323"/>
        <v>1</v>
      </c>
      <c r="GC484" s="101">
        <f t="shared" si="324"/>
        <v>75</v>
      </c>
      <c r="GD484" s="101">
        <f t="shared" si="325"/>
        <v>0</v>
      </c>
      <c r="GE484" s="101">
        <f t="shared" si="326"/>
        <v>1</v>
      </c>
      <c r="GF484" s="101">
        <f t="shared" si="327"/>
        <v>18</v>
      </c>
      <c r="GG484" s="101">
        <f t="shared" si="328"/>
        <v>0.01</v>
      </c>
      <c r="GH484" s="101">
        <f t="shared" si="329"/>
        <v>1</v>
      </c>
      <c r="GI484" s="101">
        <f t="shared" si="330"/>
        <v>35</v>
      </c>
      <c r="GJ484" s="101">
        <f t="shared" si="331"/>
        <v>3.9899999999999998E-2</v>
      </c>
      <c r="GK484" s="101">
        <f t="shared" si="332"/>
        <v>1</v>
      </c>
      <c r="GL484" s="101">
        <f t="shared" si="333"/>
        <v>75</v>
      </c>
    </row>
    <row r="485" spans="170:194" ht="16.5" x14ac:dyDescent="0.2">
      <c r="FN485" s="101">
        <v>480</v>
      </c>
      <c r="FO485" s="101">
        <f t="shared" si="318"/>
        <v>72</v>
      </c>
      <c r="FP485" s="101">
        <f t="shared" si="311"/>
        <v>6</v>
      </c>
      <c r="FQ485" s="14">
        <f t="shared" si="312"/>
        <v>4</v>
      </c>
      <c r="FR485" s="101" t="str">
        <f t="shared" si="319"/>
        <v>天使缇娜专属武器-魂珠-8 9级</v>
      </c>
      <c r="FS485" s="101">
        <f t="shared" si="320"/>
        <v>8</v>
      </c>
      <c r="FT485" s="101">
        <f t="shared" si="321"/>
        <v>9</v>
      </c>
      <c r="FU485" s="101" t="str">
        <f t="shared" si="313"/>
        <v>金币</v>
      </c>
      <c r="FV485" s="139">
        <f>IF($FT485&gt;0,IF(INDEX($EI$6:$EI$77,$FO485)&gt;=FV$3,ROUND(INDEX(EK$6:EK$77,$FO485)*INDEX(卡牌消耗!$B$8:$F$8,FQ485)/5,0)*5,""),"")</f>
        <v>75015</v>
      </c>
      <c r="FW485" s="101" t="str">
        <f t="shared" si="314"/>
        <v>专属强化石4</v>
      </c>
      <c r="FX485" s="101">
        <f t="shared" si="315"/>
        <v>30</v>
      </c>
      <c r="FY485" s="101" t="str">
        <f t="shared" si="316"/>
        <v/>
      </c>
      <c r="FZ485" s="101" t="str">
        <f t="shared" si="317"/>
        <v/>
      </c>
      <c r="GA485" s="101">
        <f t="shared" si="322"/>
        <v>0.01</v>
      </c>
      <c r="GB485" s="101">
        <f t="shared" si="323"/>
        <v>1</v>
      </c>
      <c r="GC485" s="101">
        <f t="shared" si="324"/>
        <v>122</v>
      </c>
      <c r="GD485" s="101">
        <f t="shared" si="325"/>
        <v>0</v>
      </c>
      <c r="GE485" s="101">
        <f t="shared" si="326"/>
        <v>1</v>
      </c>
      <c r="GF485" s="101">
        <f t="shared" si="327"/>
        <v>28</v>
      </c>
      <c r="GG485" s="101">
        <f t="shared" si="328"/>
        <v>6.1999999999999998E-3</v>
      </c>
      <c r="GH485" s="101">
        <f t="shared" si="329"/>
        <v>1</v>
      </c>
      <c r="GI485" s="101">
        <f t="shared" si="330"/>
        <v>57</v>
      </c>
      <c r="GJ485" s="101">
        <f t="shared" si="331"/>
        <v>2.47E-2</v>
      </c>
      <c r="GK485" s="101">
        <f t="shared" si="332"/>
        <v>1</v>
      </c>
      <c r="GL485" s="101">
        <f t="shared" si="333"/>
        <v>122</v>
      </c>
    </row>
    <row r="486" spans="170:194" ht="16.5" x14ac:dyDescent="0.2">
      <c r="FN486" s="101">
        <v>481</v>
      </c>
      <c r="FO486" s="101">
        <f t="shared" si="318"/>
        <v>0</v>
      </c>
      <c r="FP486" s="101">
        <f t="shared" si="311"/>
        <v>7</v>
      </c>
      <c r="FQ486" s="14">
        <f t="shared" si="312"/>
        <v>4</v>
      </c>
      <c r="FR486" s="101" t="str">
        <f t="shared" si="319"/>
        <v>夏侯渊专属武器-魂珠-1 0级</v>
      </c>
      <c r="FS486" s="101">
        <f t="shared" si="320"/>
        <v>1</v>
      </c>
      <c r="FT486" s="101">
        <f t="shared" si="321"/>
        <v>0</v>
      </c>
      <c r="FU486" s="101" t="str">
        <f t="shared" si="313"/>
        <v/>
      </c>
      <c r="FV486" s="139" t="str">
        <f>IF($FT486&gt;0,IF(INDEX($EI$6:$EI$77,$FO486)&gt;=FV$3,ROUND(INDEX(EK$6:EK$77,$FO486)*INDEX(卡牌消耗!$B$8:$F$8,FQ486)/5,0)*5,""),"")</f>
        <v/>
      </c>
      <c r="FW486" s="101" t="str">
        <f t="shared" si="314"/>
        <v/>
      </c>
      <c r="FX486" s="101" t="str">
        <f t="shared" si="315"/>
        <v/>
      </c>
      <c r="FY486" s="101" t="str">
        <f t="shared" si="316"/>
        <v/>
      </c>
      <c r="FZ486" s="101" t="str">
        <f t="shared" si="317"/>
        <v/>
      </c>
      <c r="GA486" s="101" t="str">
        <f t="shared" si="322"/>
        <v/>
      </c>
      <c r="GB486" s="101" t="str">
        <f t="shared" si="323"/>
        <v/>
      </c>
      <c r="GC486" s="101" t="str">
        <f t="shared" si="324"/>
        <v/>
      </c>
      <c r="GD486" s="101" t="str">
        <f t="shared" si="325"/>
        <v/>
      </c>
      <c r="GE486" s="101" t="str">
        <f t="shared" si="326"/>
        <v/>
      </c>
      <c r="GF486" s="101" t="str">
        <f t="shared" si="327"/>
        <v/>
      </c>
      <c r="GG486" s="101" t="str">
        <f t="shared" si="328"/>
        <v/>
      </c>
      <c r="GH486" s="101" t="str">
        <f t="shared" si="329"/>
        <v/>
      </c>
      <c r="GI486" s="101" t="str">
        <f t="shared" si="330"/>
        <v/>
      </c>
      <c r="GJ486" s="101" t="str">
        <f t="shared" si="331"/>
        <v/>
      </c>
      <c r="GK486" s="101" t="str">
        <f t="shared" si="332"/>
        <v/>
      </c>
      <c r="GL486" s="101" t="str">
        <f t="shared" si="333"/>
        <v/>
      </c>
    </row>
    <row r="487" spans="170:194" ht="16.5" x14ac:dyDescent="0.2">
      <c r="FN487" s="101">
        <v>482</v>
      </c>
      <c r="FO487" s="101">
        <f t="shared" si="318"/>
        <v>1</v>
      </c>
      <c r="FP487" s="101">
        <f t="shared" si="311"/>
        <v>7</v>
      </c>
      <c r="FQ487" s="14">
        <f t="shared" si="312"/>
        <v>4</v>
      </c>
      <c r="FR487" s="101" t="str">
        <f t="shared" si="319"/>
        <v>夏侯渊专属武器-魂珠-1 1级</v>
      </c>
      <c r="FS487" s="101">
        <f t="shared" si="320"/>
        <v>1</v>
      </c>
      <c r="FT487" s="101">
        <f t="shared" si="321"/>
        <v>1</v>
      </c>
      <c r="FU487" s="101" t="str">
        <f t="shared" si="313"/>
        <v>金币</v>
      </c>
      <c r="FV487" s="139">
        <f>IF($FT487&gt;0,IF(INDEX($EI$6:$EI$77,$FO487)&gt;=FV$3,ROUND(INDEX(EK$6:EK$77,$FO487)*INDEX(卡牌消耗!$B$8:$F$8,FQ487)/5,0)*5,""),"")</f>
        <v>145</v>
      </c>
      <c r="FW487" s="101" t="str">
        <f t="shared" si="314"/>
        <v>专属强化石1</v>
      </c>
      <c r="FX487" s="101">
        <f t="shared" si="315"/>
        <v>1</v>
      </c>
      <c r="FY487" s="101" t="str">
        <f t="shared" si="316"/>
        <v/>
      </c>
      <c r="FZ487" s="101" t="str">
        <f t="shared" si="317"/>
        <v/>
      </c>
      <c r="GA487" s="101">
        <f t="shared" si="322"/>
        <v>0.32</v>
      </c>
      <c r="GB487" s="101">
        <f t="shared" si="323"/>
        <v>1</v>
      </c>
      <c r="GC487" s="101">
        <f t="shared" si="324"/>
        <v>5</v>
      </c>
      <c r="GD487" s="101">
        <f t="shared" si="325"/>
        <v>0</v>
      </c>
      <c r="GE487" s="101">
        <f t="shared" si="326"/>
        <v>1</v>
      </c>
      <c r="GF487" s="101">
        <f t="shared" si="327"/>
        <v>1</v>
      </c>
      <c r="GG487" s="101">
        <f t="shared" si="328"/>
        <v>0.1595</v>
      </c>
      <c r="GH487" s="101">
        <f t="shared" si="329"/>
        <v>1</v>
      </c>
      <c r="GI487" s="101">
        <f t="shared" si="330"/>
        <v>2</v>
      </c>
      <c r="GJ487" s="101">
        <f t="shared" si="331"/>
        <v>0.63819999999999999</v>
      </c>
      <c r="GK487" s="101">
        <f t="shared" si="332"/>
        <v>1</v>
      </c>
      <c r="GL487" s="101">
        <f t="shared" si="333"/>
        <v>5</v>
      </c>
    </row>
    <row r="488" spans="170:194" ht="16.5" x14ac:dyDescent="0.2">
      <c r="FN488" s="101">
        <v>483</v>
      </c>
      <c r="FO488" s="101">
        <f t="shared" si="318"/>
        <v>2</v>
      </c>
      <c r="FP488" s="101">
        <f t="shared" si="311"/>
        <v>7</v>
      </c>
      <c r="FQ488" s="14">
        <f t="shared" si="312"/>
        <v>4</v>
      </c>
      <c r="FR488" s="101" t="str">
        <f t="shared" si="319"/>
        <v>夏侯渊专属武器-魂珠-1 2级</v>
      </c>
      <c r="FS488" s="101">
        <f t="shared" si="320"/>
        <v>1</v>
      </c>
      <c r="FT488" s="101">
        <f t="shared" si="321"/>
        <v>2</v>
      </c>
      <c r="FU488" s="101" t="str">
        <f t="shared" si="313"/>
        <v>金币</v>
      </c>
      <c r="FV488" s="139">
        <f>IF($FT488&gt;0,IF(INDEX($EI$6:$EI$77,$FO488)&gt;=FV$3,ROUND(INDEX(EK$6:EK$77,$FO488)*INDEX(卡牌消耗!$B$8:$F$8,FQ488)/5,0)*5,""),"")</f>
        <v>215</v>
      </c>
      <c r="FW488" s="101" t="str">
        <f t="shared" si="314"/>
        <v>专属强化石1</v>
      </c>
      <c r="FX488" s="101">
        <f t="shared" si="315"/>
        <v>2</v>
      </c>
      <c r="FY488" s="101" t="str">
        <f t="shared" si="316"/>
        <v/>
      </c>
      <c r="FZ488" s="101" t="str">
        <f t="shared" si="317"/>
        <v/>
      </c>
      <c r="GA488" s="101">
        <f t="shared" si="322"/>
        <v>0.32</v>
      </c>
      <c r="GB488" s="101">
        <f t="shared" si="323"/>
        <v>1</v>
      </c>
      <c r="GC488" s="101">
        <f t="shared" si="324"/>
        <v>5</v>
      </c>
      <c r="GD488" s="101">
        <f t="shared" si="325"/>
        <v>0</v>
      </c>
      <c r="GE488" s="101">
        <f t="shared" si="326"/>
        <v>1</v>
      </c>
      <c r="GF488" s="101">
        <f t="shared" si="327"/>
        <v>1</v>
      </c>
      <c r="GG488" s="101">
        <f t="shared" si="328"/>
        <v>0.1595</v>
      </c>
      <c r="GH488" s="101">
        <f t="shared" si="329"/>
        <v>1</v>
      </c>
      <c r="GI488" s="101">
        <f t="shared" si="330"/>
        <v>2</v>
      </c>
      <c r="GJ488" s="101">
        <f t="shared" si="331"/>
        <v>0.63819999999999999</v>
      </c>
      <c r="GK488" s="101">
        <f t="shared" si="332"/>
        <v>1</v>
      </c>
      <c r="GL488" s="101">
        <f t="shared" si="333"/>
        <v>5</v>
      </c>
    </row>
    <row r="489" spans="170:194" ht="16.5" x14ac:dyDescent="0.2">
      <c r="FN489" s="101">
        <v>484</v>
      </c>
      <c r="FO489" s="101">
        <f t="shared" si="318"/>
        <v>3</v>
      </c>
      <c r="FP489" s="101">
        <f t="shared" si="311"/>
        <v>7</v>
      </c>
      <c r="FQ489" s="14">
        <f t="shared" si="312"/>
        <v>4</v>
      </c>
      <c r="FR489" s="101" t="str">
        <f t="shared" si="319"/>
        <v>夏侯渊专属武器-魂珠-1 3级</v>
      </c>
      <c r="FS489" s="101">
        <f t="shared" si="320"/>
        <v>1</v>
      </c>
      <c r="FT489" s="101">
        <f t="shared" si="321"/>
        <v>3</v>
      </c>
      <c r="FU489" s="101" t="str">
        <f t="shared" si="313"/>
        <v>金币</v>
      </c>
      <c r="FV489" s="139">
        <f>IF($FT489&gt;0,IF(INDEX($EI$6:$EI$77,$FO489)&gt;=FV$3,ROUND(INDEX(EK$6:EK$77,$FO489)*INDEX(卡牌消耗!$B$8:$F$8,FQ489)/5,0)*5,""),"")</f>
        <v>355</v>
      </c>
      <c r="FW489" s="101" t="str">
        <f t="shared" si="314"/>
        <v>专属强化石1</v>
      </c>
      <c r="FX489" s="101">
        <f t="shared" si="315"/>
        <v>3</v>
      </c>
      <c r="FY489" s="101" t="str">
        <f t="shared" si="316"/>
        <v/>
      </c>
      <c r="FZ489" s="101" t="str">
        <f t="shared" si="317"/>
        <v/>
      </c>
      <c r="GA489" s="101">
        <f t="shared" si="322"/>
        <v>0.32</v>
      </c>
      <c r="GB489" s="101">
        <f t="shared" si="323"/>
        <v>1</v>
      </c>
      <c r="GC489" s="101">
        <f t="shared" si="324"/>
        <v>5</v>
      </c>
      <c r="GD489" s="101">
        <f t="shared" si="325"/>
        <v>0</v>
      </c>
      <c r="GE489" s="101">
        <f t="shared" si="326"/>
        <v>1</v>
      </c>
      <c r="GF489" s="101">
        <f t="shared" si="327"/>
        <v>1</v>
      </c>
      <c r="GG489" s="101">
        <f t="shared" si="328"/>
        <v>0.1595</v>
      </c>
      <c r="GH489" s="101">
        <f t="shared" si="329"/>
        <v>1</v>
      </c>
      <c r="GI489" s="101">
        <f t="shared" si="330"/>
        <v>2</v>
      </c>
      <c r="GJ489" s="101">
        <f t="shared" si="331"/>
        <v>0.63819999999999999</v>
      </c>
      <c r="GK489" s="101">
        <f t="shared" si="332"/>
        <v>1</v>
      </c>
      <c r="GL489" s="101">
        <f t="shared" si="333"/>
        <v>5</v>
      </c>
    </row>
    <row r="490" spans="170:194" ht="16.5" x14ac:dyDescent="0.2">
      <c r="FN490" s="101">
        <v>485</v>
      </c>
      <c r="FO490" s="101">
        <f t="shared" si="318"/>
        <v>4</v>
      </c>
      <c r="FP490" s="101">
        <f t="shared" si="311"/>
        <v>7</v>
      </c>
      <c r="FQ490" s="14">
        <f t="shared" si="312"/>
        <v>4</v>
      </c>
      <c r="FR490" s="101" t="str">
        <f t="shared" si="319"/>
        <v>夏侯渊专属武器-魂珠-1 4级</v>
      </c>
      <c r="FS490" s="101">
        <f t="shared" si="320"/>
        <v>1</v>
      </c>
      <c r="FT490" s="101">
        <f t="shared" si="321"/>
        <v>4</v>
      </c>
      <c r="FU490" s="101" t="str">
        <f t="shared" si="313"/>
        <v>金币</v>
      </c>
      <c r="FV490" s="139">
        <f>IF($FT490&gt;0,IF(INDEX($EI$6:$EI$77,$FO490)&gt;=FV$3,ROUND(INDEX(EK$6:EK$77,$FO490)*INDEX(卡牌消耗!$B$8:$F$8,FQ490)/5,0)*5,""),"")</f>
        <v>455</v>
      </c>
      <c r="FW490" s="101" t="str">
        <f t="shared" si="314"/>
        <v>专属强化石1</v>
      </c>
      <c r="FX490" s="101">
        <f t="shared" si="315"/>
        <v>4</v>
      </c>
      <c r="FY490" s="101" t="str">
        <f t="shared" si="316"/>
        <v/>
      </c>
      <c r="FZ490" s="101" t="str">
        <f t="shared" si="317"/>
        <v/>
      </c>
      <c r="GA490" s="101">
        <f t="shared" si="322"/>
        <v>0.26</v>
      </c>
      <c r="GB490" s="101">
        <f t="shared" si="323"/>
        <v>1</v>
      </c>
      <c r="GC490" s="101">
        <f t="shared" si="324"/>
        <v>6</v>
      </c>
      <c r="GD490" s="101">
        <f t="shared" si="325"/>
        <v>0</v>
      </c>
      <c r="GE490" s="101">
        <f t="shared" si="326"/>
        <v>1</v>
      </c>
      <c r="GF490" s="101">
        <f t="shared" si="327"/>
        <v>1</v>
      </c>
      <c r="GG490" s="101">
        <f t="shared" si="328"/>
        <v>0.12759999999999999</v>
      </c>
      <c r="GH490" s="101">
        <f t="shared" si="329"/>
        <v>1</v>
      </c>
      <c r="GI490" s="101">
        <f t="shared" si="330"/>
        <v>3</v>
      </c>
      <c r="GJ490" s="101">
        <f t="shared" si="331"/>
        <v>0.51060000000000005</v>
      </c>
      <c r="GK490" s="101">
        <f t="shared" si="332"/>
        <v>1</v>
      </c>
      <c r="GL490" s="101">
        <f t="shared" si="333"/>
        <v>6</v>
      </c>
    </row>
    <row r="491" spans="170:194" ht="16.5" x14ac:dyDescent="0.2">
      <c r="FN491" s="101">
        <v>486</v>
      </c>
      <c r="FO491" s="101">
        <f t="shared" si="318"/>
        <v>5</v>
      </c>
      <c r="FP491" s="101">
        <f t="shared" si="311"/>
        <v>7</v>
      </c>
      <c r="FQ491" s="14">
        <f t="shared" si="312"/>
        <v>4</v>
      </c>
      <c r="FR491" s="101" t="str">
        <f t="shared" si="319"/>
        <v>夏侯渊专属武器-魂珠-1 5级</v>
      </c>
      <c r="FS491" s="101">
        <f t="shared" si="320"/>
        <v>1</v>
      </c>
      <c r="FT491" s="101">
        <f t="shared" si="321"/>
        <v>5</v>
      </c>
      <c r="FU491" s="101" t="str">
        <f t="shared" si="313"/>
        <v>金币</v>
      </c>
      <c r="FV491" s="139">
        <f>IF($FT491&gt;0,IF(INDEX($EI$6:$EI$77,$FO491)&gt;=FV$3,ROUND(INDEX(EK$6:EK$77,$FO491)*INDEX(卡牌消耗!$B$8:$F$8,FQ491)/5,0)*5,""),"")</f>
        <v>580</v>
      </c>
      <c r="FW491" s="101" t="str">
        <f t="shared" si="314"/>
        <v>专属强化石1</v>
      </c>
      <c r="FX491" s="101">
        <f t="shared" si="315"/>
        <v>5</v>
      </c>
      <c r="FY491" s="101" t="str">
        <f t="shared" si="316"/>
        <v/>
      </c>
      <c r="FZ491" s="101" t="str">
        <f t="shared" si="317"/>
        <v/>
      </c>
      <c r="GA491" s="101">
        <f t="shared" si="322"/>
        <v>0.2</v>
      </c>
      <c r="GB491" s="101">
        <f t="shared" si="323"/>
        <v>1</v>
      </c>
      <c r="GC491" s="101">
        <f t="shared" si="324"/>
        <v>8</v>
      </c>
      <c r="GD491" s="101">
        <f t="shared" si="325"/>
        <v>0</v>
      </c>
      <c r="GE491" s="101">
        <f t="shared" si="326"/>
        <v>1</v>
      </c>
      <c r="GF491" s="101">
        <f t="shared" si="327"/>
        <v>2</v>
      </c>
      <c r="GG491" s="101">
        <f t="shared" si="328"/>
        <v>9.9699999999999997E-2</v>
      </c>
      <c r="GH491" s="101">
        <f t="shared" si="329"/>
        <v>1</v>
      </c>
      <c r="GI491" s="101">
        <f t="shared" si="330"/>
        <v>4</v>
      </c>
      <c r="GJ491" s="101">
        <f t="shared" si="331"/>
        <v>0.39889999999999998</v>
      </c>
      <c r="GK491" s="101">
        <f t="shared" si="332"/>
        <v>1</v>
      </c>
      <c r="GL491" s="101">
        <f t="shared" si="333"/>
        <v>8</v>
      </c>
    </row>
    <row r="492" spans="170:194" ht="16.5" x14ac:dyDescent="0.2">
      <c r="FN492" s="101">
        <v>487</v>
      </c>
      <c r="FO492" s="101">
        <f t="shared" si="318"/>
        <v>6</v>
      </c>
      <c r="FP492" s="101">
        <f t="shared" si="311"/>
        <v>7</v>
      </c>
      <c r="FQ492" s="14">
        <f t="shared" si="312"/>
        <v>4</v>
      </c>
      <c r="FR492" s="101" t="str">
        <f t="shared" si="319"/>
        <v>夏侯渊专属武器-魂珠-1 6级</v>
      </c>
      <c r="FS492" s="101">
        <f t="shared" si="320"/>
        <v>1</v>
      </c>
      <c r="FT492" s="101">
        <f t="shared" si="321"/>
        <v>6</v>
      </c>
      <c r="FU492" s="101" t="str">
        <f t="shared" si="313"/>
        <v>金币</v>
      </c>
      <c r="FV492" s="139">
        <f>IF($FT492&gt;0,IF(INDEX($EI$6:$EI$77,$FO492)&gt;=FV$3,ROUND(INDEX(EK$6:EK$77,$FO492)*INDEX(卡牌消耗!$B$8:$F$8,FQ492)/5,0)*5,""),"")</f>
        <v>690</v>
      </c>
      <c r="FW492" s="101" t="str">
        <f t="shared" si="314"/>
        <v>专属强化石1</v>
      </c>
      <c r="FX492" s="101">
        <f t="shared" si="315"/>
        <v>6</v>
      </c>
      <c r="FY492" s="101" t="str">
        <f t="shared" si="316"/>
        <v/>
      </c>
      <c r="FZ492" s="101" t="str">
        <f t="shared" si="317"/>
        <v/>
      </c>
      <c r="GA492" s="101">
        <f t="shared" si="322"/>
        <v>0.15</v>
      </c>
      <c r="GB492" s="101">
        <f t="shared" si="323"/>
        <v>1</v>
      </c>
      <c r="GC492" s="101">
        <f t="shared" si="324"/>
        <v>10</v>
      </c>
      <c r="GD492" s="101">
        <f t="shared" si="325"/>
        <v>0</v>
      </c>
      <c r="GE492" s="101">
        <f t="shared" si="326"/>
        <v>1</v>
      </c>
      <c r="GF492" s="101">
        <f t="shared" si="327"/>
        <v>2</v>
      </c>
      <c r="GG492" s="101">
        <f t="shared" si="328"/>
        <v>7.3599999999999999E-2</v>
      </c>
      <c r="GH492" s="101">
        <f t="shared" si="329"/>
        <v>1</v>
      </c>
      <c r="GI492" s="101">
        <f t="shared" si="330"/>
        <v>5</v>
      </c>
      <c r="GJ492" s="101">
        <f t="shared" si="331"/>
        <v>0.29459999999999997</v>
      </c>
      <c r="GK492" s="101">
        <f t="shared" si="332"/>
        <v>1</v>
      </c>
      <c r="GL492" s="101">
        <f t="shared" si="333"/>
        <v>10</v>
      </c>
    </row>
    <row r="493" spans="170:194" ht="16.5" x14ac:dyDescent="0.2">
      <c r="FN493" s="101">
        <v>488</v>
      </c>
      <c r="FO493" s="101">
        <f t="shared" si="318"/>
        <v>7</v>
      </c>
      <c r="FP493" s="101">
        <f t="shared" si="311"/>
        <v>7</v>
      </c>
      <c r="FQ493" s="14">
        <f t="shared" si="312"/>
        <v>4</v>
      </c>
      <c r="FR493" s="101" t="str">
        <f t="shared" si="319"/>
        <v>夏侯渊专属武器-魂珠-1 7级</v>
      </c>
      <c r="FS493" s="101">
        <f t="shared" si="320"/>
        <v>1</v>
      </c>
      <c r="FT493" s="101">
        <f t="shared" si="321"/>
        <v>7</v>
      </c>
      <c r="FU493" s="101" t="str">
        <f t="shared" si="313"/>
        <v>金币</v>
      </c>
      <c r="FV493" s="139">
        <f>IF($FT493&gt;0,IF(INDEX($EI$6:$EI$77,$FO493)&gt;=FV$3,ROUND(INDEX(EK$6:EK$77,$FO493)*INDEX(卡牌消耗!$B$8:$F$8,FQ493)/5,0)*5,""),"")</f>
        <v>805</v>
      </c>
      <c r="FW493" s="101" t="str">
        <f t="shared" si="314"/>
        <v>专属强化石1</v>
      </c>
      <c r="FX493" s="101">
        <f t="shared" si="315"/>
        <v>7</v>
      </c>
      <c r="FY493" s="101" t="str">
        <f t="shared" si="316"/>
        <v/>
      </c>
      <c r="FZ493" s="101" t="str">
        <f t="shared" si="317"/>
        <v/>
      </c>
      <c r="GA493" s="101">
        <f t="shared" si="322"/>
        <v>0.11</v>
      </c>
      <c r="GB493" s="101">
        <f t="shared" si="323"/>
        <v>1</v>
      </c>
      <c r="GC493" s="101">
        <f t="shared" si="324"/>
        <v>14</v>
      </c>
      <c r="GD493" s="101">
        <f t="shared" si="325"/>
        <v>0</v>
      </c>
      <c r="GE493" s="101">
        <f t="shared" si="326"/>
        <v>1</v>
      </c>
      <c r="GF493" s="101">
        <f t="shared" si="327"/>
        <v>3</v>
      </c>
      <c r="GG493" s="101">
        <f t="shared" si="328"/>
        <v>5.3199999999999997E-2</v>
      </c>
      <c r="GH493" s="101">
        <f t="shared" si="329"/>
        <v>1</v>
      </c>
      <c r="GI493" s="101">
        <f t="shared" si="330"/>
        <v>7</v>
      </c>
      <c r="GJ493" s="101">
        <f t="shared" si="331"/>
        <v>0.2127</v>
      </c>
      <c r="GK493" s="101">
        <f t="shared" si="332"/>
        <v>1</v>
      </c>
      <c r="GL493" s="101">
        <f t="shared" si="333"/>
        <v>14</v>
      </c>
    </row>
    <row r="494" spans="170:194" ht="16.5" x14ac:dyDescent="0.2">
      <c r="FN494" s="101">
        <v>489</v>
      </c>
      <c r="FO494" s="101">
        <f t="shared" si="318"/>
        <v>8</v>
      </c>
      <c r="FP494" s="101">
        <f t="shared" si="311"/>
        <v>7</v>
      </c>
      <c r="FQ494" s="14">
        <f t="shared" si="312"/>
        <v>4</v>
      </c>
      <c r="FR494" s="101" t="str">
        <f t="shared" si="319"/>
        <v>夏侯渊专属武器-魂珠-1 8级</v>
      </c>
      <c r="FS494" s="101">
        <f t="shared" si="320"/>
        <v>1</v>
      </c>
      <c r="FT494" s="101">
        <f t="shared" si="321"/>
        <v>8</v>
      </c>
      <c r="FU494" s="101" t="str">
        <f t="shared" si="313"/>
        <v>金币</v>
      </c>
      <c r="FV494" s="139">
        <f>IF($FT494&gt;0,IF(INDEX($EI$6:$EI$77,$FO494)&gt;=FV$3,ROUND(INDEX(EK$6:EK$77,$FO494)*INDEX(卡牌消耗!$B$8:$F$8,FQ494)/5,0)*5,""),"")</f>
        <v>920</v>
      </c>
      <c r="FW494" s="101" t="str">
        <f t="shared" si="314"/>
        <v>专属强化石1</v>
      </c>
      <c r="FX494" s="101">
        <f t="shared" si="315"/>
        <v>8</v>
      </c>
      <c r="FY494" s="101" t="str">
        <f t="shared" si="316"/>
        <v/>
      </c>
      <c r="FZ494" s="101" t="str">
        <f t="shared" si="317"/>
        <v/>
      </c>
      <c r="GA494" s="101">
        <f t="shared" si="322"/>
        <v>0.08</v>
      </c>
      <c r="GB494" s="101">
        <f t="shared" si="323"/>
        <v>1</v>
      </c>
      <c r="GC494" s="101">
        <f t="shared" si="324"/>
        <v>20</v>
      </c>
      <c r="GD494" s="101">
        <f t="shared" si="325"/>
        <v>0</v>
      </c>
      <c r="GE494" s="101">
        <f t="shared" si="326"/>
        <v>1</v>
      </c>
      <c r="GF494" s="101">
        <f t="shared" si="327"/>
        <v>5</v>
      </c>
      <c r="GG494" s="101">
        <f t="shared" si="328"/>
        <v>3.7499999999999999E-2</v>
      </c>
      <c r="GH494" s="101">
        <f t="shared" si="329"/>
        <v>1</v>
      </c>
      <c r="GI494" s="101">
        <f t="shared" si="330"/>
        <v>9</v>
      </c>
      <c r="GJ494" s="101">
        <f t="shared" si="331"/>
        <v>0.1502</v>
      </c>
      <c r="GK494" s="101">
        <f t="shared" si="332"/>
        <v>1</v>
      </c>
      <c r="GL494" s="101">
        <f t="shared" si="333"/>
        <v>20</v>
      </c>
    </row>
    <row r="495" spans="170:194" ht="16.5" x14ac:dyDescent="0.2">
      <c r="FN495" s="101">
        <v>490</v>
      </c>
      <c r="FO495" s="101">
        <f t="shared" si="318"/>
        <v>9</v>
      </c>
      <c r="FP495" s="101">
        <f t="shared" si="311"/>
        <v>7</v>
      </c>
      <c r="FQ495" s="14">
        <f t="shared" si="312"/>
        <v>4</v>
      </c>
      <c r="FR495" s="101" t="str">
        <f t="shared" si="319"/>
        <v>夏侯渊专属武器-魂珠-1 9级</v>
      </c>
      <c r="FS495" s="101">
        <f t="shared" si="320"/>
        <v>1</v>
      </c>
      <c r="FT495" s="101">
        <f t="shared" si="321"/>
        <v>9</v>
      </c>
      <c r="FU495" s="101" t="str">
        <f t="shared" si="313"/>
        <v>金币</v>
      </c>
      <c r="FV495" s="139">
        <f>IF($FT495&gt;0,IF(INDEX($EI$6:$EI$77,$FO495)&gt;=FV$3,ROUND(INDEX(EK$6:EK$77,$FO495)*INDEX(卡牌消耗!$B$8:$F$8,FQ495)/5,0)*5,""),"")</f>
        <v>1150</v>
      </c>
      <c r="FW495" s="101" t="str">
        <f t="shared" si="314"/>
        <v>专属强化石1</v>
      </c>
      <c r="FX495" s="101">
        <f t="shared" si="315"/>
        <v>10</v>
      </c>
      <c r="FY495" s="101" t="str">
        <f t="shared" si="316"/>
        <v/>
      </c>
      <c r="FZ495" s="101" t="str">
        <f t="shared" si="317"/>
        <v/>
      </c>
      <c r="GA495" s="101">
        <f t="shared" si="322"/>
        <v>0.06</v>
      </c>
      <c r="GB495" s="101">
        <f t="shared" si="323"/>
        <v>1</v>
      </c>
      <c r="GC495" s="101">
        <f t="shared" si="324"/>
        <v>26</v>
      </c>
      <c r="GD495" s="101">
        <f t="shared" si="325"/>
        <v>0</v>
      </c>
      <c r="GE495" s="101">
        <f t="shared" si="326"/>
        <v>1</v>
      </c>
      <c r="GF495" s="101">
        <f t="shared" si="327"/>
        <v>6</v>
      </c>
      <c r="GG495" s="101">
        <f t="shared" si="328"/>
        <v>2.9000000000000001E-2</v>
      </c>
      <c r="GH495" s="101">
        <f t="shared" si="329"/>
        <v>1</v>
      </c>
      <c r="GI495" s="101">
        <f t="shared" si="330"/>
        <v>12</v>
      </c>
      <c r="GJ495" s="101">
        <f t="shared" si="331"/>
        <v>0.11600000000000001</v>
      </c>
      <c r="GK495" s="101">
        <f t="shared" si="332"/>
        <v>1</v>
      </c>
      <c r="GL495" s="101">
        <f t="shared" si="333"/>
        <v>26</v>
      </c>
    </row>
    <row r="496" spans="170:194" ht="16.5" x14ac:dyDescent="0.2">
      <c r="FN496" s="101">
        <v>491</v>
      </c>
      <c r="FO496" s="101">
        <f t="shared" si="318"/>
        <v>0</v>
      </c>
      <c r="FP496" s="101">
        <f t="shared" si="311"/>
        <v>7</v>
      </c>
      <c r="FQ496" s="14">
        <f t="shared" si="312"/>
        <v>4</v>
      </c>
      <c r="FR496" s="101" t="str">
        <f t="shared" si="319"/>
        <v>夏侯渊专属武器-魂珠-2 0级</v>
      </c>
      <c r="FS496" s="101">
        <f t="shared" si="320"/>
        <v>2</v>
      </c>
      <c r="FT496" s="101">
        <f t="shared" si="321"/>
        <v>0</v>
      </c>
      <c r="FU496" s="101" t="str">
        <f t="shared" si="313"/>
        <v/>
      </c>
      <c r="FV496" s="139" t="str">
        <f>IF($FT496&gt;0,IF(INDEX($EI$6:$EI$77,$FO496)&gt;=FV$3,ROUND(INDEX(EK$6:EK$77,$FO496)*INDEX(卡牌消耗!$B$8:$F$8,FQ496)/5,0)*5,""),"")</f>
        <v/>
      </c>
      <c r="FW496" s="101" t="str">
        <f t="shared" si="314"/>
        <v/>
      </c>
      <c r="FX496" s="101" t="str">
        <f t="shared" si="315"/>
        <v/>
      </c>
      <c r="FY496" s="101" t="str">
        <f t="shared" si="316"/>
        <v/>
      </c>
      <c r="FZ496" s="101" t="str">
        <f t="shared" si="317"/>
        <v/>
      </c>
      <c r="GA496" s="101" t="str">
        <f t="shared" si="322"/>
        <v/>
      </c>
      <c r="GB496" s="101" t="str">
        <f t="shared" si="323"/>
        <v/>
      </c>
      <c r="GC496" s="101" t="str">
        <f t="shared" si="324"/>
        <v/>
      </c>
      <c r="GD496" s="101" t="str">
        <f t="shared" si="325"/>
        <v/>
      </c>
      <c r="GE496" s="101" t="str">
        <f t="shared" si="326"/>
        <v/>
      </c>
      <c r="GF496" s="101" t="str">
        <f t="shared" si="327"/>
        <v/>
      </c>
      <c r="GG496" s="101" t="str">
        <f t="shared" si="328"/>
        <v/>
      </c>
      <c r="GH496" s="101" t="str">
        <f t="shared" si="329"/>
        <v/>
      </c>
      <c r="GI496" s="101" t="str">
        <f t="shared" si="330"/>
        <v/>
      </c>
      <c r="GJ496" s="101" t="str">
        <f t="shared" si="331"/>
        <v/>
      </c>
      <c r="GK496" s="101" t="str">
        <f t="shared" si="332"/>
        <v/>
      </c>
      <c r="GL496" s="101" t="str">
        <f t="shared" si="333"/>
        <v/>
      </c>
    </row>
    <row r="497" spans="170:194" ht="16.5" x14ac:dyDescent="0.2">
      <c r="FN497" s="101">
        <v>492</v>
      </c>
      <c r="FO497" s="101">
        <f t="shared" si="318"/>
        <v>10</v>
      </c>
      <c r="FP497" s="101">
        <f t="shared" si="311"/>
        <v>7</v>
      </c>
      <c r="FQ497" s="14">
        <f t="shared" si="312"/>
        <v>4</v>
      </c>
      <c r="FR497" s="101" t="str">
        <f t="shared" si="319"/>
        <v>夏侯渊专属武器-魂珠-2 1级</v>
      </c>
      <c r="FS497" s="101">
        <f t="shared" si="320"/>
        <v>2</v>
      </c>
      <c r="FT497" s="101">
        <f t="shared" si="321"/>
        <v>1</v>
      </c>
      <c r="FU497" s="101" t="str">
        <f t="shared" si="313"/>
        <v>金币</v>
      </c>
      <c r="FV497" s="139">
        <f>IF($FT497&gt;0,IF(INDEX($EI$6:$EI$77,$FO497)&gt;=FV$3,ROUND(INDEX(EK$6:EK$77,$FO497)*INDEX(卡牌消耗!$B$8:$F$8,FQ497)/5,0)*5,""),"")</f>
        <v>395</v>
      </c>
      <c r="FW497" s="101" t="str">
        <f t="shared" si="314"/>
        <v>专属强化石1</v>
      </c>
      <c r="FX497" s="101">
        <f t="shared" si="315"/>
        <v>3</v>
      </c>
      <c r="FY497" s="101" t="str">
        <f t="shared" si="316"/>
        <v>专属强化石2</v>
      </c>
      <c r="FZ497" s="101">
        <f t="shared" si="317"/>
        <v>1</v>
      </c>
      <c r="GA497" s="101">
        <f t="shared" si="322"/>
        <v>0.39</v>
      </c>
      <c r="GB497" s="101">
        <f t="shared" si="323"/>
        <v>1</v>
      </c>
      <c r="GC497" s="101">
        <f t="shared" si="324"/>
        <v>4</v>
      </c>
      <c r="GD497" s="101">
        <f t="shared" si="325"/>
        <v>0</v>
      </c>
      <c r="GE497" s="101">
        <f t="shared" si="326"/>
        <v>1</v>
      </c>
      <c r="GF497" s="101">
        <f t="shared" si="327"/>
        <v>1</v>
      </c>
      <c r="GG497" s="101">
        <f t="shared" si="328"/>
        <v>0.19270000000000001</v>
      </c>
      <c r="GH497" s="101">
        <f t="shared" si="329"/>
        <v>1</v>
      </c>
      <c r="GI497" s="101">
        <f t="shared" si="330"/>
        <v>2</v>
      </c>
      <c r="GJ497" s="101">
        <f t="shared" si="331"/>
        <v>0.77070000000000005</v>
      </c>
      <c r="GK497" s="101">
        <f t="shared" si="332"/>
        <v>1</v>
      </c>
      <c r="GL497" s="101">
        <f t="shared" si="333"/>
        <v>4</v>
      </c>
    </row>
    <row r="498" spans="170:194" ht="16.5" x14ac:dyDescent="0.2">
      <c r="FN498" s="101">
        <v>493</v>
      </c>
      <c r="FO498" s="101">
        <f t="shared" si="318"/>
        <v>11</v>
      </c>
      <c r="FP498" s="101">
        <f t="shared" si="311"/>
        <v>7</v>
      </c>
      <c r="FQ498" s="14">
        <f t="shared" si="312"/>
        <v>4</v>
      </c>
      <c r="FR498" s="101" t="str">
        <f t="shared" si="319"/>
        <v>夏侯渊专属武器-魂珠-2 2级</v>
      </c>
      <c r="FS498" s="101">
        <f t="shared" si="320"/>
        <v>2</v>
      </c>
      <c r="FT498" s="101">
        <f t="shared" si="321"/>
        <v>2</v>
      </c>
      <c r="FU498" s="101" t="str">
        <f t="shared" si="313"/>
        <v>金币</v>
      </c>
      <c r="FV498" s="139">
        <f>IF($FT498&gt;0,IF(INDEX($EI$6:$EI$77,$FO498)&gt;=FV$3,ROUND(INDEX(EK$6:EK$77,$FO498)*INDEX(卡牌消耗!$B$8:$F$8,FQ498)/5,0)*5,""),"")</f>
        <v>295</v>
      </c>
      <c r="FW498" s="101" t="str">
        <f t="shared" si="314"/>
        <v>专属强化石1</v>
      </c>
      <c r="FX498" s="101">
        <f t="shared" si="315"/>
        <v>3</v>
      </c>
      <c r="FY498" s="101" t="str">
        <f t="shared" si="316"/>
        <v>专属强化石2</v>
      </c>
      <c r="FZ498" s="101">
        <f t="shared" si="317"/>
        <v>1</v>
      </c>
      <c r="GA498" s="101">
        <f t="shared" si="322"/>
        <v>0.19</v>
      </c>
      <c r="GB498" s="101">
        <f t="shared" si="323"/>
        <v>1</v>
      </c>
      <c r="GC498" s="101">
        <f t="shared" si="324"/>
        <v>8</v>
      </c>
      <c r="GD498" s="101">
        <f t="shared" si="325"/>
        <v>0</v>
      </c>
      <c r="GE498" s="101">
        <f t="shared" si="326"/>
        <v>1</v>
      </c>
      <c r="GF498" s="101">
        <f t="shared" si="327"/>
        <v>2</v>
      </c>
      <c r="GG498" s="101">
        <f t="shared" si="328"/>
        <v>9.6299999999999997E-2</v>
      </c>
      <c r="GH498" s="101">
        <f t="shared" si="329"/>
        <v>1</v>
      </c>
      <c r="GI498" s="101">
        <f t="shared" si="330"/>
        <v>4</v>
      </c>
      <c r="GJ498" s="101">
        <f t="shared" si="331"/>
        <v>0.38529999999999998</v>
      </c>
      <c r="GK498" s="101">
        <f t="shared" si="332"/>
        <v>1</v>
      </c>
      <c r="GL498" s="101">
        <f t="shared" si="333"/>
        <v>8</v>
      </c>
    </row>
    <row r="499" spans="170:194" ht="16.5" x14ac:dyDescent="0.2">
      <c r="FN499" s="101">
        <v>494</v>
      </c>
      <c r="FO499" s="101">
        <f t="shared" si="318"/>
        <v>12</v>
      </c>
      <c r="FP499" s="101">
        <f t="shared" si="311"/>
        <v>7</v>
      </c>
      <c r="FQ499" s="14">
        <f t="shared" si="312"/>
        <v>4</v>
      </c>
      <c r="FR499" s="101" t="str">
        <f t="shared" si="319"/>
        <v>夏侯渊专属武器-魂珠-2 3级</v>
      </c>
      <c r="FS499" s="101">
        <f t="shared" si="320"/>
        <v>2</v>
      </c>
      <c r="FT499" s="101">
        <f t="shared" si="321"/>
        <v>3</v>
      </c>
      <c r="FU499" s="101" t="str">
        <f t="shared" si="313"/>
        <v>金币</v>
      </c>
      <c r="FV499" s="139">
        <f>IF($FT499&gt;0,IF(INDEX($EI$6:$EI$77,$FO499)&gt;=FV$3,ROUND(INDEX(EK$6:EK$77,$FO499)*INDEX(卡牌消耗!$B$8:$F$8,FQ499)/5,0)*5,""),"")</f>
        <v>655</v>
      </c>
      <c r="FW499" s="101" t="str">
        <f t="shared" si="314"/>
        <v>专属强化石1</v>
      </c>
      <c r="FX499" s="101">
        <f t="shared" si="315"/>
        <v>6</v>
      </c>
      <c r="FY499" s="101" t="str">
        <f t="shared" si="316"/>
        <v>专属强化石2</v>
      </c>
      <c r="FZ499" s="101">
        <f t="shared" si="317"/>
        <v>2</v>
      </c>
      <c r="GA499" s="101">
        <f t="shared" si="322"/>
        <v>0.26</v>
      </c>
      <c r="GB499" s="101">
        <f t="shared" si="323"/>
        <v>1</v>
      </c>
      <c r="GC499" s="101">
        <f t="shared" si="324"/>
        <v>6</v>
      </c>
      <c r="GD499" s="101">
        <f t="shared" si="325"/>
        <v>0</v>
      </c>
      <c r="GE499" s="101">
        <f t="shared" si="326"/>
        <v>1</v>
      </c>
      <c r="GF499" s="101">
        <f t="shared" si="327"/>
        <v>1</v>
      </c>
      <c r="GG499" s="101">
        <f t="shared" si="328"/>
        <v>0.12839999999999999</v>
      </c>
      <c r="GH499" s="101">
        <f t="shared" si="329"/>
        <v>1</v>
      </c>
      <c r="GI499" s="101">
        <f t="shared" si="330"/>
        <v>3</v>
      </c>
      <c r="GJ499" s="101">
        <f t="shared" si="331"/>
        <v>0.51380000000000003</v>
      </c>
      <c r="GK499" s="101">
        <f t="shared" si="332"/>
        <v>1</v>
      </c>
      <c r="GL499" s="101">
        <f t="shared" si="333"/>
        <v>6</v>
      </c>
    </row>
    <row r="500" spans="170:194" ht="16.5" x14ac:dyDescent="0.2">
      <c r="FN500" s="101">
        <v>495</v>
      </c>
      <c r="FO500" s="101">
        <f t="shared" si="318"/>
        <v>13</v>
      </c>
      <c r="FP500" s="101">
        <f t="shared" si="311"/>
        <v>7</v>
      </c>
      <c r="FQ500" s="14">
        <f t="shared" si="312"/>
        <v>4</v>
      </c>
      <c r="FR500" s="101" t="str">
        <f t="shared" si="319"/>
        <v>夏侯渊专属武器-魂珠-2 4级</v>
      </c>
      <c r="FS500" s="101">
        <f t="shared" si="320"/>
        <v>2</v>
      </c>
      <c r="FT500" s="101">
        <f t="shared" si="321"/>
        <v>4</v>
      </c>
      <c r="FU500" s="101" t="str">
        <f t="shared" si="313"/>
        <v>金币</v>
      </c>
      <c r="FV500" s="139">
        <f>IF($FT500&gt;0,IF(INDEX($EI$6:$EI$77,$FO500)&gt;=FV$3,ROUND(INDEX(EK$6:EK$77,$FO500)*INDEX(卡牌消耗!$B$8:$F$8,FQ500)/5,0)*5,""),"")</f>
        <v>625</v>
      </c>
      <c r="FW500" s="101" t="str">
        <f t="shared" si="314"/>
        <v>专属强化石1</v>
      </c>
      <c r="FX500" s="101">
        <f t="shared" si="315"/>
        <v>6</v>
      </c>
      <c r="FY500" s="101" t="str">
        <f t="shared" si="316"/>
        <v>专属强化石2</v>
      </c>
      <c r="FZ500" s="101">
        <f t="shared" si="317"/>
        <v>2</v>
      </c>
      <c r="GA500" s="101">
        <f t="shared" si="322"/>
        <v>0.15</v>
      </c>
      <c r="GB500" s="101">
        <f t="shared" si="323"/>
        <v>1</v>
      </c>
      <c r="GC500" s="101">
        <f t="shared" si="324"/>
        <v>10</v>
      </c>
      <c r="GD500" s="101">
        <f t="shared" si="325"/>
        <v>0</v>
      </c>
      <c r="GE500" s="101">
        <f t="shared" si="326"/>
        <v>1</v>
      </c>
      <c r="GF500" s="101">
        <f t="shared" si="327"/>
        <v>2</v>
      </c>
      <c r="GG500" s="101">
        <f t="shared" si="328"/>
        <v>7.7100000000000002E-2</v>
      </c>
      <c r="GH500" s="101">
        <f t="shared" si="329"/>
        <v>1</v>
      </c>
      <c r="GI500" s="101">
        <f t="shared" si="330"/>
        <v>5</v>
      </c>
      <c r="GJ500" s="101">
        <f t="shared" si="331"/>
        <v>0.30830000000000002</v>
      </c>
      <c r="GK500" s="101">
        <f t="shared" si="332"/>
        <v>1</v>
      </c>
      <c r="GL500" s="101">
        <f t="shared" si="333"/>
        <v>10</v>
      </c>
    </row>
    <row r="501" spans="170:194" ht="16.5" x14ac:dyDescent="0.2">
      <c r="FN501" s="101">
        <v>496</v>
      </c>
      <c r="FO501" s="101">
        <f t="shared" si="318"/>
        <v>14</v>
      </c>
      <c r="FP501" s="101">
        <f t="shared" si="311"/>
        <v>7</v>
      </c>
      <c r="FQ501" s="14">
        <f t="shared" si="312"/>
        <v>4</v>
      </c>
      <c r="FR501" s="101" t="str">
        <f t="shared" si="319"/>
        <v>夏侯渊专属武器-魂珠-2 5级</v>
      </c>
      <c r="FS501" s="101">
        <f t="shared" si="320"/>
        <v>2</v>
      </c>
      <c r="FT501" s="101">
        <f t="shared" si="321"/>
        <v>5</v>
      </c>
      <c r="FU501" s="101" t="str">
        <f t="shared" si="313"/>
        <v>金币</v>
      </c>
      <c r="FV501" s="139">
        <f>IF($FT501&gt;0,IF(INDEX($EI$6:$EI$77,$FO501)&gt;=FV$3,ROUND(INDEX(EK$6:EK$77,$FO501)*INDEX(卡牌消耗!$B$8:$F$8,FQ501)/5,0)*5,""),"")</f>
        <v>955</v>
      </c>
      <c r="FW501" s="101" t="str">
        <f t="shared" si="314"/>
        <v>专属强化石1</v>
      </c>
      <c r="FX501" s="101">
        <f t="shared" si="315"/>
        <v>9</v>
      </c>
      <c r="FY501" s="101" t="str">
        <f t="shared" si="316"/>
        <v>专属强化石2</v>
      </c>
      <c r="FZ501" s="101">
        <f t="shared" si="317"/>
        <v>3</v>
      </c>
      <c r="GA501" s="101">
        <f t="shared" si="322"/>
        <v>0.14000000000000001</v>
      </c>
      <c r="GB501" s="101">
        <f t="shared" si="323"/>
        <v>1</v>
      </c>
      <c r="GC501" s="101">
        <f t="shared" si="324"/>
        <v>10</v>
      </c>
      <c r="GD501" s="101">
        <f t="shared" si="325"/>
        <v>0</v>
      </c>
      <c r="GE501" s="101">
        <f t="shared" si="326"/>
        <v>1</v>
      </c>
      <c r="GF501" s="101">
        <f t="shared" si="327"/>
        <v>2</v>
      </c>
      <c r="GG501" s="101">
        <f t="shared" si="328"/>
        <v>7.22E-2</v>
      </c>
      <c r="GH501" s="101">
        <f t="shared" si="329"/>
        <v>1</v>
      </c>
      <c r="GI501" s="101">
        <f t="shared" si="330"/>
        <v>5</v>
      </c>
      <c r="GJ501" s="101">
        <f t="shared" si="331"/>
        <v>0.28899999999999998</v>
      </c>
      <c r="GK501" s="101">
        <f t="shared" si="332"/>
        <v>1</v>
      </c>
      <c r="GL501" s="101">
        <f t="shared" si="333"/>
        <v>10</v>
      </c>
    </row>
    <row r="502" spans="170:194" ht="16.5" x14ac:dyDescent="0.2">
      <c r="FN502" s="101">
        <v>497</v>
      </c>
      <c r="FO502" s="101">
        <f t="shared" si="318"/>
        <v>15</v>
      </c>
      <c r="FP502" s="101">
        <f t="shared" si="311"/>
        <v>7</v>
      </c>
      <c r="FQ502" s="14">
        <f t="shared" si="312"/>
        <v>4</v>
      </c>
      <c r="FR502" s="101" t="str">
        <f t="shared" si="319"/>
        <v>夏侯渊专属武器-魂珠-2 6级</v>
      </c>
      <c r="FS502" s="101">
        <f t="shared" si="320"/>
        <v>2</v>
      </c>
      <c r="FT502" s="101">
        <f t="shared" si="321"/>
        <v>6</v>
      </c>
      <c r="FU502" s="101" t="str">
        <f t="shared" si="313"/>
        <v>金币</v>
      </c>
      <c r="FV502" s="139">
        <f>IF($FT502&gt;0,IF(INDEX($EI$6:$EI$77,$FO502)&gt;=FV$3,ROUND(INDEX(EK$6:EK$77,$FO502)*INDEX(卡牌消耗!$B$8:$F$8,FQ502)/5,0)*5,""),"")</f>
        <v>1270</v>
      </c>
      <c r="FW502" s="101" t="str">
        <f t="shared" si="314"/>
        <v>专属强化石1</v>
      </c>
      <c r="FX502" s="101">
        <f t="shared" si="315"/>
        <v>12</v>
      </c>
      <c r="FY502" s="101" t="str">
        <f t="shared" si="316"/>
        <v>专属强化石2</v>
      </c>
      <c r="FZ502" s="101">
        <f t="shared" si="317"/>
        <v>4</v>
      </c>
      <c r="GA502" s="101">
        <f t="shared" si="322"/>
        <v>0.12</v>
      </c>
      <c r="GB502" s="101">
        <f t="shared" si="323"/>
        <v>1</v>
      </c>
      <c r="GC502" s="101">
        <f t="shared" si="324"/>
        <v>13</v>
      </c>
      <c r="GD502" s="101">
        <f t="shared" si="325"/>
        <v>0</v>
      </c>
      <c r="GE502" s="101">
        <f t="shared" si="326"/>
        <v>1</v>
      </c>
      <c r="GF502" s="101">
        <f t="shared" si="327"/>
        <v>3</v>
      </c>
      <c r="GG502" s="101">
        <f t="shared" si="328"/>
        <v>5.9299999999999999E-2</v>
      </c>
      <c r="GH502" s="101">
        <f t="shared" si="329"/>
        <v>1</v>
      </c>
      <c r="GI502" s="101">
        <f t="shared" si="330"/>
        <v>6</v>
      </c>
      <c r="GJ502" s="101">
        <f t="shared" si="331"/>
        <v>0.23710000000000001</v>
      </c>
      <c r="GK502" s="101">
        <f t="shared" si="332"/>
        <v>1</v>
      </c>
      <c r="GL502" s="101">
        <f t="shared" si="333"/>
        <v>13</v>
      </c>
    </row>
    <row r="503" spans="170:194" ht="16.5" x14ac:dyDescent="0.2">
      <c r="FN503" s="101">
        <v>498</v>
      </c>
      <c r="FO503" s="101">
        <f t="shared" si="318"/>
        <v>16</v>
      </c>
      <c r="FP503" s="101">
        <f t="shared" si="311"/>
        <v>7</v>
      </c>
      <c r="FQ503" s="14">
        <f t="shared" si="312"/>
        <v>4</v>
      </c>
      <c r="FR503" s="101" t="str">
        <f t="shared" si="319"/>
        <v>夏侯渊专属武器-魂珠-2 7级</v>
      </c>
      <c r="FS503" s="101">
        <f t="shared" si="320"/>
        <v>2</v>
      </c>
      <c r="FT503" s="101">
        <f t="shared" si="321"/>
        <v>7</v>
      </c>
      <c r="FU503" s="101" t="str">
        <f t="shared" si="313"/>
        <v>金币</v>
      </c>
      <c r="FV503" s="139">
        <f>IF($FT503&gt;0,IF(INDEX($EI$6:$EI$77,$FO503)&gt;=FV$3,ROUND(INDEX(EK$6:EK$77,$FO503)*INDEX(卡牌消耗!$B$8:$F$8,FQ503)/5,0)*5,""),"")</f>
        <v>1590</v>
      </c>
      <c r="FW503" s="101" t="str">
        <f t="shared" si="314"/>
        <v>专属强化石1</v>
      </c>
      <c r="FX503" s="101">
        <f t="shared" si="315"/>
        <v>15</v>
      </c>
      <c r="FY503" s="101" t="str">
        <f t="shared" si="316"/>
        <v>专属强化石2</v>
      </c>
      <c r="FZ503" s="101">
        <f t="shared" si="317"/>
        <v>5</v>
      </c>
      <c r="GA503" s="101">
        <f t="shared" si="322"/>
        <v>0.09</v>
      </c>
      <c r="GB503" s="101">
        <f t="shared" si="323"/>
        <v>1</v>
      </c>
      <c r="GC503" s="101">
        <f t="shared" si="324"/>
        <v>16</v>
      </c>
      <c r="GD503" s="101">
        <f t="shared" si="325"/>
        <v>0</v>
      </c>
      <c r="GE503" s="101">
        <f t="shared" si="326"/>
        <v>1</v>
      </c>
      <c r="GF503" s="101">
        <f t="shared" si="327"/>
        <v>4</v>
      </c>
      <c r="GG503" s="101">
        <f t="shared" si="328"/>
        <v>4.5900000000000003E-2</v>
      </c>
      <c r="GH503" s="101">
        <f t="shared" si="329"/>
        <v>1</v>
      </c>
      <c r="GI503" s="101">
        <f t="shared" si="330"/>
        <v>8</v>
      </c>
      <c r="GJ503" s="101">
        <f t="shared" si="331"/>
        <v>0.1835</v>
      </c>
      <c r="GK503" s="101">
        <f t="shared" si="332"/>
        <v>1</v>
      </c>
      <c r="GL503" s="101">
        <f t="shared" si="333"/>
        <v>16</v>
      </c>
    </row>
    <row r="504" spans="170:194" ht="16.5" x14ac:dyDescent="0.2">
      <c r="FN504" s="101">
        <v>499</v>
      </c>
      <c r="FO504" s="101">
        <f t="shared" si="318"/>
        <v>17</v>
      </c>
      <c r="FP504" s="101">
        <f t="shared" si="311"/>
        <v>7</v>
      </c>
      <c r="FQ504" s="14">
        <f t="shared" si="312"/>
        <v>4</v>
      </c>
      <c r="FR504" s="101" t="str">
        <f t="shared" si="319"/>
        <v>夏侯渊专属武器-魂珠-2 8级</v>
      </c>
      <c r="FS504" s="101">
        <f t="shared" si="320"/>
        <v>2</v>
      </c>
      <c r="FT504" s="101">
        <f t="shared" si="321"/>
        <v>8</v>
      </c>
      <c r="FU504" s="101" t="str">
        <f t="shared" si="313"/>
        <v>金币</v>
      </c>
      <c r="FV504" s="139">
        <f>IF($FT504&gt;0,IF(INDEX($EI$6:$EI$77,$FO504)&gt;=FV$3,ROUND(INDEX(EK$6:EK$77,$FO504)*INDEX(卡牌消耗!$B$8:$F$8,FQ504)/5,0)*5,""),"")</f>
        <v>1905</v>
      </c>
      <c r="FW504" s="101" t="str">
        <f t="shared" si="314"/>
        <v>专属强化石1</v>
      </c>
      <c r="FX504" s="101">
        <f t="shared" si="315"/>
        <v>18</v>
      </c>
      <c r="FY504" s="101" t="str">
        <f t="shared" si="316"/>
        <v>专属强化石2</v>
      </c>
      <c r="FZ504" s="101">
        <f t="shared" si="317"/>
        <v>6</v>
      </c>
      <c r="GA504" s="101">
        <f t="shared" si="322"/>
        <v>7.0000000000000007E-2</v>
      </c>
      <c r="GB504" s="101">
        <f t="shared" si="323"/>
        <v>1</v>
      </c>
      <c r="GC504" s="101">
        <f t="shared" si="324"/>
        <v>22</v>
      </c>
      <c r="GD504" s="101">
        <f t="shared" si="325"/>
        <v>0</v>
      </c>
      <c r="GE504" s="101">
        <f t="shared" si="326"/>
        <v>1</v>
      </c>
      <c r="GF504" s="101">
        <f t="shared" si="327"/>
        <v>5</v>
      </c>
      <c r="GG504" s="101">
        <f t="shared" si="328"/>
        <v>3.4000000000000002E-2</v>
      </c>
      <c r="GH504" s="101">
        <f t="shared" si="329"/>
        <v>1</v>
      </c>
      <c r="GI504" s="101">
        <f t="shared" si="330"/>
        <v>10</v>
      </c>
      <c r="GJ504" s="101">
        <f t="shared" si="331"/>
        <v>0.13600000000000001</v>
      </c>
      <c r="GK504" s="101">
        <f t="shared" si="332"/>
        <v>1</v>
      </c>
      <c r="GL504" s="101">
        <f t="shared" si="333"/>
        <v>22</v>
      </c>
    </row>
    <row r="505" spans="170:194" ht="16.5" x14ac:dyDescent="0.2">
      <c r="FN505" s="101">
        <v>500</v>
      </c>
      <c r="FO505" s="101">
        <f t="shared" si="318"/>
        <v>18</v>
      </c>
      <c r="FP505" s="101">
        <f t="shared" si="311"/>
        <v>7</v>
      </c>
      <c r="FQ505" s="14">
        <f t="shared" si="312"/>
        <v>4</v>
      </c>
      <c r="FR505" s="101" t="str">
        <f t="shared" si="319"/>
        <v>夏侯渊专属武器-魂珠-2 9级</v>
      </c>
      <c r="FS505" s="101">
        <f t="shared" si="320"/>
        <v>2</v>
      </c>
      <c r="FT505" s="101">
        <f t="shared" si="321"/>
        <v>9</v>
      </c>
      <c r="FU505" s="101" t="str">
        <f t="shared" si="313"/>
        <v>金币</v>
      </c>
      <c r="FV505" s="139">
        <f>IF($FT505&gt;0,IF(INDEX($EI$6:$EI$77,$FO505)&gt;=FV$3,ROUND(INDEX(EK$6:EK$77,$FO505)*INDEX(卡牌消耗!$B$8:$F$8,FQ505)/5,0)*5,""),"")</f>
        <v>2540</v>
      </c>
      <c r="FW505" s="101" t="str">
        <f t="shared" si="314"/>
        <v>专属强化石1</v>
      </c>
      <c r="FX505" s="101">
        <f t="shared" si="315"/>
        <v>24</v>
      </c>
      <c r="FY505" s="101" t="str">
        <f t="shared" si="316"/>
        <v>专属强化石2</v>
      </c>
      <c r="FZ505" s="101">
        <f t="shared" si="317"/>
        <v>8</v>
      </c>
      <c r="GA505" s="101">
        <f t="shared" si="322"/>
        <v>0.06</v>
      </c>
      <c r="GB505" s="101">
        <f t="shared" si="323"/>
        <v>1</v>
      </c>
      <c r="GC505" s="101">
        <f t="shared" si="324"/>
        <v>27</v>
      </c>
      <c r="GD505" s="101">
        <f t="shared" si="325"/>
        <v>0</v>
      </c>
      <c r="GE505" s="101">
        <f t="shared" si="326"/>
        <v>1</v>
      </c>
      <c r="GF505" s="101">
        <f t="shared" si="327"/>
        <v>6</v>
      </c>
      <c r="GG505" s="101">
        <f t="shared" si="328"/>
        <v>2.8000000000000001E-2</v>
      </c>
      <c r="GH505" s="101">
        <f t="shared" si="329"/>
        <v>1</v>
      </c>
      <c r="GI505" s="101">
        <f t="shared" si="330"/>
        <v>12</v>
      </c>
      <c r="GJ505" s="101">
        <f t="shared" si="331"/>
        <v>0.11210000000000001</v>
      </c>
      <c r="GK505" s="101">
        <f t="shared" si="332"/>
        <v>1</v>
      </c>
      <c r="GL505" s="101">
        <f t="shared" si="333"/>
        <v>27</v>
      </c>
    </row>
    <row r="506" spans="170:194" ht="16.5" x14ac:dyDescent="0.2">
      <c r="FN506" s="101">
        <v>501</v>
      </c>
      <c r="FO506" s="101">
        <f t="shared" si="318"/>
        <v>0</v>
      </c>
      <c r="FP506" s="101">
        <f t="shared" si="311"/>
        <v>7</v>
      </c>
      <c r="FQ506" s="14">
        <f t="shared" si="312"/>
        <v>4</v>
      </c>
      <c r="FR506" s="101" t="str">
        <f t="shared" si="319"/>
        <v>夏侯渊专属武器-魂珠-3 0级</v>
      </c>
      <c r="FS506" s="101">
        <f t="shared" si="320"/>
        <v>3</v>
      </c>
      <c r="FT506" s="101">
        <f t="shared" si="321"/>
        <v>0</v>
      </c>
      <c r="FU506" s="101" t="str">
        <f t="shared" si="313"/>
        <v/>
      </c>
      <c r="FV506" s="139" t="str">
        <f>IF($FT506&gt;0,IF(INDEX($EI$6:$EI$77,$FO506)&gt;=FV$3,ROUND(INDEX(EK$6:EK$77,$FO506)*INDEX(卡牌消耗!$B$8:$F$8,FQ506)/5,0)*5,""),"")</f>
        <v/>
      </c>
      <c r="FW506" s="101" t="str">
        <f t="shared" si="314"/>
        <v/>
      </c>
      <c r="FX506" s="101" t="str">
        <f t="shared" si="315"/>
        <v/>
      </c>
      <c r="FY506" s="101" t="str">
        <f t="shared" si="316"/>
        <v/>
      </c>
      <c r="FZ506" s="101" t="str">
        <f t="shared" si="317"/>
        <v/>
      </c>
      <c r="GA506" s="101" t="str">
        <f t="shared" si="322"/>
        <v/>
      </c>
      <c r="GB506" s="101" t="str">
        <f t="shared" si="323"/>
        <v/>
      </c>
      <c r="GC506" s="101" t="str">
        <f t="shared" si="324"/>
        <v/>
      </c>
      <c r="GD506" s="101" t="str">
        <f t="shared" si="325"/>
        <v/>
      </c>
      <c r="GE506" s="101" t="str">
        <f t="shared" si="326"/>
        <v/>
      </c>
      <c r="GF506" s="101" t="str">
        <f t="shared" si="327"/>
        <v/>
      </c>
      <c r="GG506" s="101" t="str">
        <f t="shared" si="328"/>
        <v/>
      </c>
      <c r="GH506" s="101" t="str">
        <f t="shared" si="329"/>
        <v/>
      </c>
      <c r="GI506" s="101" t="str">
        <f t="shared" si="330"/>
        <v/>
      </c>
      <c r="GJ506" s="101" t="str">
        <f t="shared" si="331"/>
        <v/>
      </c>
      <c r="GK506" s="101" t="str">
        <f t="shared" si="332"/>
        <v/>
      </c>
      <c r="GL506" s="101" t="str">
        <f t="shared" si="333"/>
        <v/>
      </c>
    </row>
    <row r="507" spans="170:194" ht="16.5" x14ac:dyDescent="0.2">
      <c r="FN507" s="101">
        <v>502</v>
      </c>
      <c r="FO507" s="101">
        <f t="shared" si="318"/>
        <v>19</v>
      </c>
      <c r="FP507" s="101">
        <f t="shared" si="311"/>
        <v>7</v>
      </c>
      <c r="FQ507" s="14">
        <f t="shared" si="312"/>
        <v>4</v>
      </c>
      <c r="FR507" s="101" t="str">
        <f t="shared" si="319"/>
        <v>夏侯渊专属武器-魂珠-3 1级</v>
      </c>
      <c r="FS507" s="101">
        <f t="shared" si="320"/>
        <v>3</v>
      </c>
      <c r="FT507" s="101">
        <f t="shared" si="321"/>
        <v>1</v>
      </c>
      <c r="FU507" s="101" t="str">
        <f t="shared" si="313"/>
        <v>金币</v>
      </c>
      <c r="FV507" s="139">
        <f>IF($FT507&gt;0,IF(INDEX($EI$6:$EI$77,$FO507)&gt;=FV$3,ROUND(INDEX(EK$6:EK$77,$FO507)*INDEX(卡牌消耗!$B$8:$F$8,FQ507)/5,0)*5,""),"")</f>
        <v>820</v>
      </c>
      <c r="FW507" s="101" t="str">
        <f t="shared" si="314"/>
        <v>专属强化石1</v>
      </c>
      <c r="FX507" s="101">
        <f t="shared" si="315"/>
        <v>4</v>
      </c>
      <c r="FY507" s="101" t="str">
        <f t="shared" si="316"/>
        <v>专属强化石2</v>
      </c>
      <c r="FZ507" s="101">
        <f t="shared" si="317"/>
        <v>2</v>
      </c>
      <c r="GA507" s="101">
        <f t="shared" si="322"/>
        <v>0.31</v>
      </c>
      <c r="GB507" s="101">
        <f t="shared" si="323"/>
        <v>1</v>
      </c>
      <c r="GC507" s="101">
        <f t="shared" si="324"/>
        <v>5</v>
      </c>
      <c r="GD507" s="101">
        <f t="shared" si="325"/>
        <v>0</v>
      </c>
      <c r="GE507" s="101">
        <f t="shared" si="326"/>
        <v>1</v>
      </c>
      <c r="GF507" s="101">
        <f t="shared" si="327"/>
        <v>1</v>
      </c>
      <c r="GG507" s="101">
        <f t="shared" si="328"/>
        <v>0.15409999999999999</v>
      </c>
      <c r="GH507" s="101">
        <f t="shared" si="329"/>
        <v>1</v>
      </c>
      <c r="GI507" s="101">
        <f t="shared" si="330"/>
        <v>2</v>
      </c>
      <c r="GJ507" s="101">
        <f t="shared" si="331"/>
        <v>0.61650000000000005</v>
      </c>
      <c r="GK507" s="101">
        <f t="shared" si="332"/>
        <v>1</v>
      </c>
      <c r="GL507" s="101">
        <f t="shared" si="333"/>
        <v>5</v>
      </c>
    </row>
    <row r="508" spans="170:194" ht="16.5" x14ac:dyDescent="0.2">
      <c r="FN508" s="101">
        <v>503</v>
      </c>
      <c r="FO508" s="101">
        <f t="shared" si="318"/>
        <v>20</v>
      </c>
      <c r="FP508" s="101">
        <f t="shared" si="311"/>
        <v>7</v>
      </c>
      <c r="FQ508" s="14">
        <f t="shared" si="312"/>
        <v>4</v>
      </c>
      <c r="FR508" s="101" t="str">
        <f t="shared" si="319"/>
        <v>夏侯渊专属武器-魂珠-3 2级</v>
      </c>
      <c r="FS508" s="101">
        <f t="shared" si="320"/>
        <v>3</v>
      </c>
      <c r="FT508" s="101">
        <f t="shared" si="321"/>
        <v>2</v>
      </c>
      <c r="FU508" s="101" t="str">
        <f t="shared" si="313"/>
        <v>金币</v>
      </c>
      <c r="FV508" s="139">
        <f>IF($FT508&gt;0,IF(INDEX($EI$6:$EI$77,$FO508)&gt;=FV$3,ROUND(INDEX(EK$6:EK$77,$FO508)*INDEX(卡牌消耗!$B$8:$F$8,FQ508)/5,0)*5,""),"")</f>
        <v>615</v>
      </c>
      <c r="FW508" s="101" t="str">
        <f t="shared" si="314"/>
        <v>专属强化石1</v>
      </c>
      <c r="FX508" s="101">
        <f t="shared" si="315"/>
        <v>4</v>
      </c>
      <c r="FY508" s="101" t="str">
        <f t="shared" si="316"/>
        <v>专属强化石2</v>
      </c>
      <c r="FZ508" s="101">
        <f t="shared" si="317"/>
        <v>2</v>
      </c>
      <c r="GA508" s="101">
        <f t="shared" si="322"/>
        <v>0.15</v>
      </c>
      <c r="GB508" s="101">
        <f t="shared" si="323"/>
        <v>1</v>
      </c>
      <c r="GC508" s="101">
        <f t="shared" si="324"/>
        <v>10</v>
      </c>
      <c r="GD508" s="101">
        <f t="shared" si="325"/>
        <v>0</v>
      </c>
      <c r="GE508" s="101">
        <f t="shared" si="326"/>
        <v>1</v>
      </c>
      <c r="GF508" s="101">
        <f t="shared" si="327"/>
        <v>2</v>
      </c>
      <c r="GG508" s="101">
        <f t="shared" si="328"/>
        <v>7.7100000000000002E-2</v>
      </c>
      <c r="GH508" s="101">
        <f t="shared" si="329"/>
        <v>1</v>
      </c>
      <c r="GI508" s="101">
        <f t="shared" si="330"/>
        <v>5</v>
      </c>
      <c r="GJ508" s="101">
        <f t="shared" si="331"/>
        <v>0.30830000000000002</v>
      </c>
      <c r="GK508" s="101">
        <f t="shared" si="332"/>
        <v>1</v>
      </c>
      <c r="GL508" s="101">
        <f t="shared" si="333"/>
        <v>10</v>
      </c>
    </row>
    <row r="509" spans="170:194" ht="16.5" x14ac:dyDescent="0.2">
      <c r="FN509" s="101">
        <v>504</v>
      </c>
      <c r="FO509" s="101">
        <f t="shared" si="318"/>
        <v>21</v>
      </c>
      <c r="FP509" s="101">
        <f t="shared" si="311"/>
        <v>7</v>
      </c>
      <c r="FQ509" s="14">
        <f t="shared" si="312"/>
        <v>4</v>
      </c>
      <c r="FR509" s="101" t="str">
        <f t="shared" si="319"/>
        <v>夏侯渊专属武器-魂珠-3 3级</v>
      </c>
      <c r="FS509" s="101">
        <f t="shared" si="320"/>
        <v>3</v>
      </c>
      <c r="FT509" s="101">
        <f t="shared" si="321"/>
        <v>3</v>
      </c>
      <c r="FU509" s="101" t="str">
        <f t="shared" si="313"/>
        <v>金币</v>
      </c>
      <c r="FV509" s="139">
        <f>IF($FT509&gt;0,IF(INDEX($EI$6:$EI$77,$FO509)&gt;=FV$3,ROUND(INDEX(EK$6:EK$77,$FO509)*INDEX(卡牌消耗!$B$8:$F$8,FQ509)/5,0)*5,""),"")</f>
        <v>1025</v>
      </c>
      <c r="FW509" s="101" t="str">
        <f t="shared" si="314"/>
        <v>专属强化石1</v>
      </c>
      <c r="FX509" s="101">
        <f t="shared" si="315"/>
        <v>6</v>
      </c>
      <c r="FY509" s="101" t="str">
        <f t="shared" si="316"/>
        <v>专属强化石2</v>
      </c>
      <c r="FZ509" s="101">
        <f t="shared" si="317"/>
        <v>3</v>
      </c>
      <c r="GA509" s="101">
        <f t="shared" si="322"/>
        <v>0.15</v>
      </c>
      <c r="GB509" s="101">
        <f t="shared" si="323"/>
        <v>1</v>
      </c>
      <c r="GC509" s="101">
        <f t="shared" si="324"/>
        <v>10</v>
      </c>
      <c r="GD509" s="101">
        <f t="shared" si="325"/>
        <v>0</v>
      </c>
      <c r="GE509" s="101">
        <f t="shared" si="326"/>
        <v>1</v>
      </c>
      <c r="GF509" s="101">
        <f t="shared" si="327"/>
        <v>2</v>
      </c>
      <c r="GG509" s="101">
        <f t="shared" si="328"/>
        <v>7.7100000000000002E-2</v>
      </c>
      <c r="GH509" s="101">
        <f t="shared" si="329"/>
        <v>1</v>
      </c>
      <c r="GI509" s="101">
        <f t="shared" si="330"/>
        <v>5</v>
      </c>
      <c r="GJ509" s="101">
        <f t="shared" si="331"/>
        <v>0.30830000000000002</v>
      </c>
      <c r="GK509" s="101">
        <f t="shared" si="332"/>
        <v>1</v>
      </c>
      <c r="GL509" s="101">
        <f t="shared" si="333"/>
        <v>10</v>
      </c>
    </row>
    <row r="510" spans="170:194" ht="16.5" x14ac:dyDescent="0.2">
      <c r="FN510" s="101">
        <v>505</v>
      </c>
      <c r="FO510" s="101">
        <f t="shared" si="318"/>
        <v>22</v>
      </c>
      <c r="FP510" s="101">
        <f t="shared" si="311"/>
        <v>7</v>
      </c>
      <c r="FQ510" s="14">
        <f t="shared" si="312"/>
        <v>4</v>
      </c>
      <c r="FR510" s="101" t="str">
        <f t="shared" si="319"/>
        <v>夏侯渊专属武器-魂珠-3 4级</v>
      </c>
      <c r="FS510" s="101">
        <f t="shared" si="320"/>
        <v>3</v>
      </c>
      <c r="FT510" s="101">
        <f t="shared" si="321"/>
        <v>4</v>
      </c>
      <c r="FU510" s="101" t="str">
        <f t="shared" si="313"/>
        <v>金币</v>
      </c>
      <c r="FV510" s="139">
        <f>IF($FT510&gt;0,IF(INDEX($EI$6:$EI$77,$FO510)&gt;=FV$3,ROUND(INDEX(EK$6:EK$77,$FO510)*INDEX(卡牌消耗!$B$8:$F$8,FQ510)/5,0)*5,""),"")</f>
        <v>985</v>
      </c>
      <c r="FW510" s="101" t="str">
        <f t="shared" si="314"/>
        <v>专属强化石1</v>
      </c>
      <c r="FX510" s="101">
        <f t="shared" si="315"/>
        <v>6</v>
      </c>
      <c r="FY510" s="101" t="str">
        <f t="shared" si="316"/>
        <v>专属强化石2</v>
      </c>
      <c r="FZ510" s="101">
        <f t="shared" si="317"/>
        <v>3</v>
      </c>
      <c r="GA510" s="101">
        <f t="shared" si="322"/>
        <v>0.09</v>
      </c>
      <c r="GB510" s="101">
        <f t="shared" si="323"/>
        <v>1</v>
      </c>
      <c r="GC510" s="101">
        <f t="shared" si="324"/>
        <v>16</v>
      </c>
      <c r="GD510" s="101">
        <f t="shared" si="325"/>
        <v>0</v>
      </c>
      <c r="GE510" s="101">
        <f t="shared" si="326"/>
        <v>1</v>
      </c>
      <c r="GF510" s="101">
        <f t="shared" si="327"/>
        <v>4</v>
      </c>
      <c r="GG510" s="101">
        <f t="shared" si="328"/>
        <v>4.6199999999999998E-2</v>
      </c>
      <c r="GH510" s="101">
        <f t="shared" si="329"/>
        <v>1</v>
      </c>
      <c r="GI510" s="101">
        <f t="shared" si="330"/>
        <v>8</v>
      </c>
      <c r="GJ510" s="101">
        <f t="shared" si="331"/>
        <v>0.185</v>
      </c>
      <c r="GK510" s="101">
        <f t="shared" si="332"/>
        <v>1</v>
      </c>
      <c r="GL510" s="101">
        <f t="shared" si="333"/>
        <v>16</v>
      </c>
    </row>
    <row r="511" spans="170:194" ht="16.5" x14ac:dyDescent="0.2">
      <c r="FN511" s="101">
        <v>506</v>
      </c>
      <c r="FO511" s="101">
        <f t="shared" si="318"/>
        <v>23</v>
      </c>
      <c r="FP511" s="101">
        <f t="shared" si="311"/>
        <v>7</v>
      </c>
      <c r="FQ511" s="14">
        <f t="shared" si="312"/>
        <v>4</v>
      </c>
      <c r="FR511" s="101" t="str">
        <f t="shared" si="319"/>
        <v>夏侯渊专属武器-魂珠-3 5级</v>
      </c>
      <c r="FS511" s="101">
        <f t="shared" si="320"/>
        <v>3</v>
      </c>
      <c r="FT511" s="101">
        <f t="shared" si="321"/>
        <v>5</v>
      </c>
      <c r="FU511" s="101" t="str">
        <f t="shared" si="313"/>
        <v>金币</v>
      </c>
      <c r="FV511" s="139">
        <f>IF($FT511&gt;0,IF(INDEX($EI$6:$EI$77,$FO511)&gt;=FV$3,ROUND(INDEX(EK$6:EK$77,$FO511)*INDEX(卡牌消耗!$B$8:$F$8,FQ511)/5,0)*5,""),"")</f>
        <v>1330</v>
      </c>
      <c r="FW511" s="101" t="str">
        <f t="shared" si="314"/>
        <v>专属强化石1</v>
      </c>
      <c r="FX511" s="101">
        <f t="shared" si="315"/>
        <v>8</v>
      </c>
      <c r="FY511" s="101" t="str">
        <f t="shared" si="316"/>
        <v>专属强化石2</v>
      </c>
      <c r="FZ511" s="101">
        <f t="shared" si="317"/>
        <v>4</v>
      </c>
      <c r="GA511" s="101">
        <f t="shared" si="322"/>
        <v>0.08</v>
      </c>
      <c r="GB511" s="101">
        <f t="shared" si="323"/>
        <v>1</v>
      </c>
      <c r="GC511" s="101">
        <f t="shared" si="324"/>
        <v>19</v>
      </c>
      <c r="GD511" s="101">
        <f t="shared" si="325"/>
        <v>0</v>
      </c>
      <c r="GE511" s="101">
        <f t="shared" si="326"/>
        <v>1</v>
      </c>
      <c r="GF511" s="101">
        <f t="shared" si="327"/>
        <v>5</v>
      </c>
      <c r="GG511" s="101">
        <f t="shared" si="328"/>
        <v>3.85E-2</v>
      </c>
      <c r="GH511" s="101">
        <f t="shared" si="329"/>
        <v>1</v>
      </c>
      <c r="GI511" s="101">
        <f t="shared" si="330"/>
        <v>9</v>
      </c>
      <c r="GJ511" s="101">
        <f t="shared" si="331"/>
        <v>0.15409999999999999</v>
      </c>
      <c r="GK511" s="101">
        <f t="shared" si="332"/>
        <v>1</v>
      </c>
      <c r="GL511" s="101">
        <f t="shared" si="333"/>
        <v>19</v>
      </c>
    </row>
    <row r="512" spans="170:194" ht="16.5" x14ac:dyDescent="0.2">
      <c r="FN512" s="101">
        <v>507</v>
      </c>
      <c r="FO512" s="101">
        <f t="shared" si="318"/>
        <v>24</v>
      </c>
      <c r="FP512" s="101">
        <f t="shared" si="311"/>
        <v>7</v>
      </c>
      <c r="FQ512" s="14">
        <f t="shared" si="312"/>
        <v>4</v>
      </c>
      <c r="FR512" s="101" t="str">
        <f t="shared" si="319"/>
        <v>夏侯渊专属武器-魂珠-3 6级</v>
      </c>
      <c r="FS512" s="101">
        <f t="shared" si="320"/>
        <v>3</v>
      </c>
      <c r="FT512" s="101">
        <f t="shared" si="321"/>
        <v>6</v>
      </c>
      <c r="FU512" s="101" t="str">
        <f t="shared" si="313"/>
        <v>金币</v>
      </c>
      <c r="FV512" s="139">
        <f>IF($FT512&gt;0,IF(INDEX($EI$6:$EI$77,$FO512)&gt;=FV$3,ROUND(INDEX(EK$6:EK$77,$FO512)*INDEX(卡牌消耗!$B$8:$F$8,FQ512)/5,0)*5,""),"")</f>
        <v>1650</v>
      </c>
      <c r="FW512" s="101" t="str">
        <f t="shared" si="314"/>
        <v>专属强化石1</v>
      </c>
      <c r="FX512" s="101">
        <f t="shared" si="315"/>
        <v>10</v>
      </c>
      <c r="FY512" s="101" t="str">
        <f t="shared" si="316"/>
        <v>专属强化石2</v>
      </c>
      <c r="FZ512" s="101">
        <f t="shared" si="317"/>
        <v>5</v>
      </c>
      <c r="GA512" s="101">
        <f t="shared" si="322"/>
        <v>0.06</v>
      </c>
      <c r="GB512" s="101">
        <f t="shared" si="323"/>
        <v>1</v>
      </c>
      <c r="GC512" s="101">
        <f t="shared" si="324"/>
        <v>25</v>
      </c>
      <c r="GD512" s="101">
        <f t="shared" si="325"/>
        <v>0</v>
      </c>
      <c r="GE512" s="101">
        <f t="shared" si="326"/>
        <v>1</v>
      </c>
      <c r="GF512" s="101">
        <f t="shared" si="327"/>
        <v>6</v>
      </c>
      <c r="GG512" s="101">
        <f t="shared" si="328"/>
        <v>2.9600000000000001E-2</v>
      </c>
      <c r="GH512" s="101">
        <f t="shared" si="329"/>
        <v>1</v>
      </c>
      <c r="GI512" s="101">
        <f t="shared" si="330"/>
        <v>12</v>
      </c>
      <c r="GJ512" s="101">
        <f t="shared" si="331"/>
        <v>0.1186</v>
      </c>
      <c r="GK512" s="101">
        <f t="shared" si="332"/>
        <v>1</v>
      </c>
      <c r="GL512" s="101">
        <f t="shared" si="333"/>
        <v>25</v>
      </c>
    </row>
    <row r="513" spans="170:194" ht="16.5" x14ac:dyDescent="0.2">
      <c r="FN513" s="101">
        <v>508</v>
      </c>
      <c r="FO513" s="101">
        <f t="shared" si="318"/>
        <v>25</v>
      </c>
      <c r="FP513" s="101">
        <f t="shared" si="311"/>
        <v>7</v>
      </c>
      <c r="FQ513" s="14">
        <f t="shared" si="312"/>
        <v>4</v>
      </c>
      <c r="FR513" s="101" t="str">
        <f t="shared" si="319"/>
        <v>夏侯渊专属武器-魂珠-3 7级</v>
      </c>
      <c r="FS513" s="101">
        <f t="shared" si="320"/>
        <v>3</v>
      </c>
      <c r="FT513" s="101">
        <f t="shared" si="321"/>
        <v>7</v>
      </c>
      <c r="FU513" s="101" t="str">
        <f t="shared" si="313"/>
        <v>金币</v>
      </c>
      <c r="FV513" s="139">
        <f>IF($FT513&gt;0,IF(INDEX($EI$6:$EI$77,$FO513)&gt;=FV$3,ROUND(INDEX(EK$6:EK$77,$FO513)*INDEX(卡牌消耗!$B$8:$F$8,FQ513)/5,0)*5,""),"")</f>
        <v>1990</v>
      </c>
      <c r="FW513" s="101" t="str">
        <f t="shared" si="314"/>
        <v>专属强化石1</v>
      </c>
      <c r="FX513" s="101">
        <f t="shared" si="315"/>
        <v>12</v>
      </c>
      <c r="FY513" s="101" t="str">
        <f t="shared" si="316"/>
        <v>专属强化石2</v>
      </c>
      <c r="FZ513" s="101">
        <f t="shared" si="317"/>
        <v>6</v>
      </c>
      <c r="GA513" s="101">
        <f t="shared" si="322"/>
        <v>0.04</v>
      </c>
      <c r="GB513" s="101">
        <f t="shared" si="323"/>
        <v>1</v>
      </c>
      <c r="GC513" s="101">
        <f t="shared" si="324"/>
        <v>34</v>
      </c>
      <c r="GD513" s="101">
        <f t="shared" si="325"/>
        <v>0</v>
      </c>
      <c r="GE513" s="101">
        <f t="shared" si="326"/>
        <v>1</v>
      </c>
      <c r="GF513" s="101">
        <f t="shared" si="327"/>
        <v>8</v>
      </c>
      <c r="GG513" s="101">
        <f t="shared" si="328"/>
        <v>2.1999999999999999E-2</v>
      </c>
      <c r="GH513" s="101">
        <f t="shared" si="329"/>
        <v>1</v>
      </c>
      <c r="GI513" s="101">
        <f t="shared" si="330"/>
        <v>16</v>
      </c>
      <c r="GJ513" s="101">
        <f t="shared" si="331"/>
        <v>8.8099999999999998E-2</v>
      </c>
      <c r="GK513" s="101">
        <f t="shared" si="332"/>
        <v>1</v>
      </c>
      <c r="GL513" s="101">
        <f t="shared" si="333"/>
        <v>34</v>
      </c>
    </row>
    <row r="514" spans="170:194" ht="16.5" x14ac:dyDescent="0.2">
      <c r="FN514" s="101">
        <v>509</v>
      </c>
      <c r="FO514" s="101">
        <f t="shared" si="318"/>
        <v>26</v>
      </c>
      <c r="FP514" s="101">
        <f t="shared" si="311"/>
        <v>7</v>
      </c>
      <c r="FQ514" s="14">
        <f t="shared" si="312"/>
        <v>4</v>
      </c>
      <c r="FR514" s="101" t="str">
        <f t="shared" si="319"/>
        <v>夏侯渊专属武器-魂珠-3 8级</v>
      </c>
      <c r="FS514" s="101">
        <f t="shared" si="320"/>
        <v>3</v>
      </c>
      <c r="FT514" s="101">
        <f t="shared" si="321"/>
        <v>8</v>
      </c>
      <c r="FU514" s="101" t="str">
        <f t="shared" si="313"/>
        <v>金币</v>
      </c>
      <c r="FV514" s="139">
        <f>IF($FT514&gt;0,IF(INDEX($EI$6:$EI$77,$FO514)&gt;=FV$3,ROUND(INDEX(EK$6:EK$77,$FO514)*INDEX(卡牌消耗!$B$8:$F$8,FQ514)/5,0)*5,""),"")</f>
        <v>2650</v>
      </c>
      <c r="FW514" s="101" t="str">
        <f t="shared" si="314"/>
        <v>专属强化石1</v>
      </c>
      <c r="FX514" s="101">
        <f t="shared" si="315"/>
        <v>16</v>
      </c>
      <c r="FY514" s="101" t="str">
        <f t="shared" si="316"/>
        <v>专属强化石2</v>
      </c>
      <c r="FZ514" s="101">
        <f t="shared" si="317"/>
        <v>8</v>
      </c>
      <c r="GA514" s="101">
        <f t="shared" si="322"/>
        <v>0.04</v>
      </c>
      <c r="GB514" s="101">
        <f t="shared" si="323"/>
        <v>1</v>
      </c>
      <c r="GC514" s="101">
        <f t="shared" si="324"/>
        <v>41</v>
      </c>
      <c r="GD514" s="101">
        <f t="shared" si="325"/>
        <v>0</v>
      </c>
      <c r="GE514" s="101">
        <f t="shared" si="326"/>
        <v>1</v>
      </c>
      <c r="GF514" s="101">
        <f t="shared" si="327"/>
        <v>10</v>
      </c>
      <c r="GG514" s="101">
        <f t="shared" si="328"/>
        <v>1.8100000000000002E-2</v>
      </c>
      <c r="GH514" s="101">
        <f t="shared" si="329"/>
        <v>1</v>
      </c>
      <c r="GI514" s="101">
        <f t="shared" si="330"/>
        <v>19</v>
      </c>
      <c r="GJ514" s="101">
        <f t="shared" si="331"/>
        <v>7.2499999999999995E-2</v>
      </c>
      <c r="GK514" s="101">
        <f t="shared" si="332"/>
        <v>1</v>
      </c>
      <c r="GL514" s="101">
        <f t="shared" si="333"/>
        <v>41</v>
      </c>
    </row>
    <row r="515" spans="170:194" ht="16.5" x14ac:dyDescent="0.2">
      <c r="FN515" s="101">
        <v>510</v>
      </c>
      <c r="FO515" s="101">
        <f t="shared" si="318"/>
        <v>27</v>
      </c>
      <c r="FP515" s="101">
        <f t="shared" si="311"/>
        <v>7</v>
      </c>
      <c r="FQ515" s="14">
        <f t="shared" si="312"/>
        <v>4</v>
      </c>
      <c r="FR515" s="101" t="str">
        <f t="shared" si="319"/>
        <v>夏侯渊专属武器-魂珠-3 9级</v>
      </c>
      <c r="FS515" s="101">
        <f t="shared" si="320"/>
        <v>3</v>
      </c>
      <c r="FT515" s="101">
        <f t="shared" si="321"/>
        <v>9</v>
      </c>
      <c r="FU515" s="101" t="str">
        <f t="shared" si="313"/>
        <v>金币</v>
      </c>
      <c r="FV515" s="139">
        <f>IF($FT515&gt;0,IF(INDEX($EI$6:$EI$77,$FO515)&gt;=FV$3,ROUND(INDEX(EK$6:EK$77,$FO515)*INDEX(卡牌消耗!$B$8:$F$8,FQ515)/5,0)*5,""),"")</f>
        <v>3310</v>
      </c>
      <c r="FW515" s="101" t="str">
        <f t="shared" si="314"/>
        <v>专属强化石1</v>
      </c>
      <c r="FX515" s="101">
        <f t="shared" si="315"/>
        <v>20</v>
      </c>
      <c r="FY515" s="101" t="str">
        <f t="shared" si="316"/>
        <v>专属强化石2</v>
      </c>
      <c r="FZ515" s="101">
        <f t="shared" si="317"/>
        <v>10</v>
      </c>
      <c r="GA515" s="101">
        <f t="shared" si="322"/>
        <v>0.03</v>
      </c>
      <c r="GB515" s="101">
        <f t="shared" si="323"/>
        <v>1</v>
      </c>
      <c r="GC515" s="101">
        <f t="shared" si="324"/>
        <v>54</v>
      </c>
      <c r="GD515" s="101">
        <f t="shared" si="325"/>
        <v>0</v>
      </c>
      <c r="GE515" s="101">
        <f t="shared" si="326"/>
        <v>1</v>
      </c>
      <c r="GF515" s="101">
        <f t="shared" si="327"/>
        <v>12</v>
      </c>
      <c r="GG515" s="101">
        <f t="shared" si="328"/>
        <v>1.4E-2</v>
      </c>
      <c r="GH515" s="101">
        <f t="shared" si="329"/>
        <v>1</v>
      </c>
      <c r="GI515" s="101">
        <f t="shared" si="330"/>
        <v>25</v>
      </c>
      <c r="GJ515" s="101">
        <f t="shared" si="331"/>
        <v>5.6000000000000001E-2</v>
      </c>
      <c r="GK515" s="101">
        <f t="shared" si="332"/>
        <v>1</v>
      </c>
      <c r="GL515" s="101">
        <f t="shared" si="333"/>
        <v>54</v>
      </c>
    </row>
    <row r="516" spans="170:194" ht="16.5" x14ac:dyDescent="0.2">
      <c r="FN516" s="101">
        <v>511</v>
      </c>
      <c r="FO516" s="101">
        <f t="shared" si="318"/>
        <v>0</v>
      </c>
      <c r="FP516" s="101">
        <f t="shared" si="311"/>
        <v>7</v>
      </c>
      <c r="FQ516" s="14">
        <f t="shared" si="312"/>
        <v>4</v>
      </c>
      <c r="FR516" s="101" t="str">
        <f t="shared" si="319"/>
        <v>夏侯渊专属武器-魂珠-4 0级</v>
      </c>
      <c r="FS516" s="101">
        <f t="shared" si="320"/>
        <v>4</v>
      </c>
      <c r="FT516" s="101">
        <f t="shared" si="321"/>
        <v>0</v>
      </c>
      <c r="FU516" s="101" t="str">
        <f t="shared" si="313"/>
        <v/>
      </c>
      <c r="FV516" s="139" t="str">
        <f>IF($FT516&gt;0,IF(INDEX($EI$6:$EI$77,$FO516)&gt;=FV$3,ROUND(INDEX(EK$6:EK$77,$FO516)*INDEX(卡牌消耗!$B$8:$F$8,FQ516)/5,0)*5,""),"")</f>
        <v/>
      </c>
      <c r="FW516" s="101" t="str">
        <f t="shared" si="314"/>
        <v/>
      </c>
      <c r="FX516" s="101" t="str">
        <f t="shared" si="315"/>
        <v/>
      </c>
      <c r="FY516" s="101" t="str">
        <f t="shared" si="316"/>
        <v/>
      </c>
      <c r="FZ516" s="101" t="str">
        <f t="shared" si="317"/>
        <v/>
      </c>
      <c r="GA516" s="101" t="str">
        <f t="shared" si="322"/>
        <v/>
      </c>
      <c r="GB516" s="101" t="str">
        <f t="shared" si="323"/>
        <v/>
      </c>
      <c r="GC516" s="101" t="str">
        <f t="shared" si="324"/>
        <v/>
      </c>
      <c r="GD516" s="101" t="str">
        <f t="shared" si="325"/>
        <v/>
      </c>
      <c r="GE516" s="101" t="str">
        <f t="shared" si="326"/>
        <v/>
      </c>
      <c r="GF516" s="101" t="str">
        <f t="shared" si="327"/>
        <v/>
      </c>
      <c r="GG516" s="101" t="str">
        <f t="shared" si="328"/>
        <v/>
      </c>
      <c r="GH516" s="101" t="str">
        <f t="shared" si="329"/>
        <v/>
      </c>
      <c r="GI516" s="101" t="str">
        <f t="shared" si="330"/>
        <v/>
      </c>
      <c r="GJ516" s="101" t="str">
        <f t="shared" si="331"/>
        <v/>
      </c>
      <c r="GK516" s="101" t="str">
        <f t="shared" si="332"/>
        <v/>
      </c>
      <c r="GL516" s="101" t="str">
        <f t="shared" si="333"/>
        <v/>
      </c>
    </row>
    <row r="517" spans="170:194" ht="16.5" x14ac:dyDescent="0.2">
      <c r="FN517" s="101">
        <v>512</v>
      </c>
      <c r="FO517" s="101">
        <f t="shared" si="318"/>
        <v>28</v>
      </c>
      <c r="FP517" s="101">
        <f t="shared" si="311"/>
        <v>7</v>
      </c>
      <c r="FQ517" s="14">
        <f t="shared" si="312"/>
        <v>4</v>
      </c>
      <c r="FR517" s="101" t="str">
        <f t="shared" si="319"/>
        <v>夏侯渊专属武器-魂珠-4 1级</v>
      </c>
      <c r="FS517" s="101">
        <f t="shared" si="320"/>
        <v>4</v>
      </c>
      <c r="FT517" s="101">
        <f t="shared" si="321"/>
        <v>1</v>
      </c>
      <c r="FU517" s="101" t="str">
        <f t="shared" si="313"/>
        <v>金币</v>
      </c>
      <c r="FV517" s="139">
        <f>IF($FT517&gt;0,IF(INDEX($EI$6:$EI$77,$FO517)&gt;=FV$3,ROUND(INDEX(EK$6:EK$77,$FO517)*INDEX(卡牌消耗!$B$8:$F$8,FQ517)/5,0)*5,""),"")</f>
        <v>1095</v>
      </c>
      <c r="FW517" s="101" t="str">
        <f t="shared" si="314"/>
        <v>专属强化石2</v>
      </c>
      <c r="FX517" s="101">
        <f t="shared" si="315"/>
        <v>3</v>
      </c>
      <c r="FY517" s="101" t="str">
        <f t="shared" si="316"/>
        <v>专属强化石3</v>
      </c>
      <c r="FZ517" s="101">
        <f t="shared" si="317"/>
        <v>1</v>
      </c>
      <c r="GA517" s="101">
        <f t="shared" si="322"/>
        <v>0.2</v>
      </c>
      <c r="GB517" s="101">
        <f t="shared" si="323"/>
        <v>1</v>
      </c>
      <c r="GC517" s="101">
        <f t="shared" si="324"/>
        <v>7</v>
      </c>
      <c r="GD517" s="101">
        <f t="shared" si="325"/>
        <v>0</v>
      </c>
      <c r="GE517" s="101">
        <f t="shared" si="326"/>
        <v>1</v>
      </c>
      <c r="GF517" s="101">
        <f t="shared" si="327"/>
        <v>2</v>
      </c>
      <c r="GG517" s="101">
        <f t="shared" si="328"/>
        <v>0.1012</v>
      </c>
      <c r="GH517" s="101">
        <f t="shared" si="329"/>
        <v>1</v>
      </c>
      <c r="GI517" s="101">
        <f t="shared" si="330"/>
        <v>3</v>
      </c>
      <c r="GJ517" s="101">
        <f t="shared" si="331"/>
        <v>0.40479999999999999</v>
      </c>
      <c r="GK517" s="101">
        <f t="shared" si="332"/>
        <v>1</v>
      </c>
      <c r="GL517" s="101">
        <f t="shared" si="333"/>
        <v>7</v>
      </c>
    </row>
    <row r="518" spans="170:194" ht="16.5" x14ac:dyDescent="0.2">
      <c r="FN518" s="101">
        <v>513</v>
      </c>
      <c r="FO518" s="101">
        <f t="shared" si="318"/>
        <v>29</v>
      </c>
      <c r="FP518" s="101">
        <f t="shared" si="311"/>
        <v>7</v>
      </c>
      <c r="FQ518" s="14">
        <f t="shared" si="312"/>
        <v>4</v>
      </c>
      <c r="FR518" s="101" t="str">
        <f t="shared" si="319"/>
        <v>夏侯渊专属武器-魂珠-4 2级</v>
      </c>
      <c r="FS518" s="101">
        <f t="shared" si="320"/>
        <v>4</v>
      </c>
      <c r="FT518" s="101">
        <f t="shared" si="321"/>
        <v>2</v>
      </c>
      <c r="FU518" s="101" t="str">
        <f t="shared" si="313"/>
        <v>金币</v>
      </c>
      <c r="FV518" s="139">
        <f>IF($FT518&gt;0,IF(INDEX($EI$6:$EI$77,$FO518)&gt;=FV$3,ROUND(INDEX(EK$6:EK$77,$FO518)*INDEX(卡牌消耗!$B$8:$F$8,FQ518)/5,0)*5,""),"")</f>
        <v>820</v>
      </c>
      <c r="FW518" s="101" t="str">
        <f t="shared" si="314"/>
        <v>专属强化石2</v>
      </c>
      <c r="FX518" s="101">
        <f t="shared" si="315"/>
        <v>3</v>
      </c>
      <c r="FY518" s="101" t="str">
        <f t="shared" si="316"/>
        <v>专属强化石3</v>
      </c>
      <c r="FZ518" s="101">
        <f t="shared" si="317"/>
        <v>1</v>
      </c>
      <c r="GA518" s="101">
        <f t="shared" si="322"/>
        <v>0.1</v>
      </c>
      <c r="GB518" s="101">
        <f t="shared" si="323"/>
        <v>1</v>
      </c>
      <c r="GC518" s="101">
        <f t="shared" si="324"/>
        <v>15</v>
      </c>
      <c r="GD518" s="101">
        <f t="shared" si="325"/>
        <v>0</v>
      </c>
      <c r="GE518" s="101">
        <f t="shared" si="326"/>
        <v>1</v>
      </c>
      <c r="GF518" s="101">
        <f t="shared" si="327"/>
        <v>3</v>
      </c>
      <c r="GG518" s="101">
        <f t="shared" si="328"/>
        <v>5.0599999999999999E-2</v>
      </c>
      <c r="GH518" s="101">
        <f t="shared" si="329"/>
        <v>1</v>
      </c>
      <c r="GI518" s="101">
        <f t="shared" si="330"/>
        <v>7</v>
      </c>
      <c r="GJ518" s="101">
        <f t="shared" si="331"/>
        <v>0.2024</v>
      </c>
      <c r="GK518" s="101">
        <f t="shared" si="332"/>
        <v>1</v>
      </c>
      <c r="GL518" s="101">
        <f t="shared" si="333"/>
        <v>15</v>
      </c>
    </row>
    <row r="519" spans="170:194" ht="16.5" x14ac:dyDescent="0.2">
      <c r="FN519" s="101">
        <v>514</v>
      </c>
      <c r="FO519" s="101">
        <f t="shared" si="318"/>
        <v>30</v>
      </c>
      <c r="FP519" s="101">
        <f t="shared" ref="FP519:FP582" si="334">INT((FN519-1)/80+1)</f>
        <v>7</v>
      </c>
      <c r="FQ519" s="14">
        <f t="shared" ref="FQ519:FQ582" si="335">INDEX($FJ$6:$FJ$26,FP519)</f>
        <v>4</v>
      </c>
      <c r="FR519" s="101" t="str">
        <f t="shared" si="319"/>
        <v>夏侯渊专属武器-魂珠-4 3级</v>
      </c>
      <c r="FS519" s="101">
        <f t="shared" si="320"/>
        <v>4</v>
      </c>
      <c r="FT519" s="101">
        <f t="shared" si="321"/>
        <v>3</v>
      </c>
      <c r="FU519" s="101" t="str">
        <f t="shared" ref="FU519:FU582" si="336">IF($FT519&gt;0,IF(INDEX($EI$6:$EI$77,$FO519)&gt;=FU$3,INDEX(EJ$6:EJ$77,$FO519),""),"")</f>
        <v>金币</v>
      </c>
      <c r="FV519" s="139">
        <f>IF($FT519&gt;0,IF(INDEX($EI$6:$EI$77,$FO519)&gt;=FV$3,ROUND(INDEX(EK$6:EK$77,$FO519)*INDEX(卡牌消耗!$B$8:$F$8,FQ519)/5,0)*5,""),"")</f>
        <v>910</v>
      </c>
      <c r="FW519" s="101" t="str">
        <f t="shared" ref="FW519:FW582" si="337">IF($FT519&gt;0,IF(INDEX($EI$6:$EI$77,$FO519)&gt;=FW$3,INDEX(EL$6:EL$77,$FO519),""),"")</f>
        <v>专属强化石2</v>
      </c>
      <c r="FX519" s="101">
        <f t="shared" ref="FX519:FX582" si="338">IF($FT519&gt;0,IF(INDEX($EI$6:$EI$77,$FO519)&gt;=FX$3,INDEX(EM$6:EM$77,$FO519),""),"")</f>
        <v>3</v>
      </c>
      <c r="FY519" s="101" t="str">
        <f t="shared" ref="FY519:FY582" si="339">IF($FT519&gt;0,IF(INDEX($EI$6:$EI$77,$FO519)&gt;=FY$3,INDEX(EN$6:EN$77,$FO519),""),"")</f>
        <v>专属强化石3</v>
      </c>
      <c r="FZ519" s="101">
        <f t="shared" ref="FZ519:FZ582" si="340">IF($FT519&gt;0,IF(INDEX($EI$6:$EI$77,$FO519)&gt;=FZ$3,INDEX(EO$6:EO$77,$FO519),""),"")</f>
        <v>1</v>
      </c>
      <c r="GA519" s="101">
        <f t="shared" si="322"/>
        <v>7.0000000000000007E-2</v>
      </c>
      <c r="GB519" s="101">
        <f t="shared" si="323"/>
        <v>1</v>
      </c>
      <c r="GC519" s="101">
        <f t="shared" si="324"/>
        <v>22</v>
      </c>
      <c r="GD519" s="101">
        <f t="shared" si="325"/>
        <v>0</v>
      </c>
      <c r="GE519" s="101">
        <f t="shared" si="326"/>
        <v>1</v>
      </c>
      <c r="GF519" s="101">
        <f t="shared" si="327"/>
        <v>5</v>
      </c>
      <c r="GG519" s="101">
        <f t="shared" si="328"/>
        <v>3.3700000000000001E-2</v>
      </c>
      <c r="GH519" s="101">
        <f t="shared" si="329"/>
        <v>1</v>
      </c>
      <c r="GI519" s="101">
        <f t="shared" si="330"/>
        <v>10</v>
      </c>
      <c r="GJ519" s="101">
        <f t="shared" si="331"/>
        <v>0.13489999999999999</v>
      </c>
      <c r="GK519" s="101">
        <f t="shared" si="332"/>
        <v>1</v>
      </c>
      <c r="GL519" s="101">
        <f t="shared" si="333"/>
        <v>22</v>
      </c>
    </row>
    <row r="520" spans="170:194" ht="16.5" x14ac:dyDescent="0.2">
      <c r="FN520" s="101">
        <v>515</v>
      </c>
      <c r="FO520" s="101">
        <f t="shared" si="318"/>
        <v>31</v>
      </c>
      <c r="FP520" s="101">
        <f t="shared" si="334"/>
        <v>7</v>
      </c>
      <c r="FQ520" s="14">
        <f t="shared" si="335"/>
        <v>4</v>
      </c>
      <c r="FR520" s="101" t="str">
        <f t="shared" si="319"/>
        <v>夏侯渊专属武器-魂珠-4 4级</v>
      </c>
      <c r="FS520" s="101">
        <f t="shared" si="320"/>
        <v>4</v>
      </c>
      <c r="FT520" s="101">
        <f t="shared" si="321"/>
        <v>4</v>
      </c>
      <c r="FU520" s="101" t="str">
        <f t="shared" si="336"/>
        <v>金币</v>
      </c>
      <c r="FV520" s="139">
        <f>IF($FT520&gt;0,IF(INDEX($EI$6:$EI$77,$FO520)&gt;=FV$3,ROUND(INDEX(EK$6:EK$77,$FO520)*INDEX(卡牌消耗!$B$8:$F$8,FQ520)/5,0)*5,""),"")</f>
        <v>1750</v>
      </c>
      <c r="FW520" s="101" t="str">
        <f t="shared" si="337"/>
        <v>专属强化石2</v>
      </c>
      <c r="FX520" s="101">
        <f t="shared" si="338"/>
        <v>5</v>
      </c>
      <c r="FY520" s="101" t="str">
        <f t="shared" si="339"/>
        <v>专属强化石3</v>
      </c>
      <c r="FZ520" s="101">
        <f t="shared" si="340"/>
        <v>2</v>
      </c>
      <c r="GA520" s="101">
        <f t="shared" si="322"/>
        <v>0.08</v>
      </c>
      <c r="GB520" s="101">
        <f t="shared" si="323"/>
        <v>1</v>
      </c>
      <c r="GC520" s="101">
        <f t="shared" si="324"/>
        <v>19</v>
      </c>
      <c r="GD520" s="101">
        <f t="shared" si="325"/>
        <v>0</v>
      </c>
      <c r="GE520" s="101">
        <f t="shared" si="326"/>
        <v>1</v>
      </c>
      <c r="GF520" s="101">
        <f t="shared" si="327"/>
        <v>4</v>
      </c>
      <c r="GG520" s="101">
        <f t="shared" si="328"/>
        <v>4.0500000000000001E-2</v>
      </c>
      <c r="GH520" s="101">
        <f t="shared" si="329"/>
        <v>1</v>
      </c>
      <c r="GI520" s="101">
        <f t="shared" si="330"/>
        <v>9</v>
      </c>
      <c r="GJ520" s="101">
        <f t="shared" si="331"/>
        <v>0.16189999999999999</v>
      </c>
      <c r="GK520" s="101">
        <f t="shared" si="332"/>
        <v>1</v>
      </c>
      <c r="GL520" s="101">
        <f t="shared" si="333"/>
        <v>19</v>
      </c>
    </row>
    <row r="521" spans="170:194" ht="16.5" x14ac:dyDescent="0.2">
      <c r="FN521" s="101">
        <v>516</v>
      </c>
      <c r="FO521" s="101">
        <f t="shared" si="318"/>
        <v>32</v>
      </c>
      <c r="FP521" s="101">
        <f t="shared" si="334"/>
        <v>7</v>
      </c>
      <c r="FQ521" s="14">
        <f t="shared" si="335"/>
        <v>4</v>
      </c>
      <c r="FR521" s="101" t="str">
        <f t="shared" si="319"/>
        <v>夏侯渊专属武器-魂珠-4 5级</v>
      </c>
      <c r="FS521" s="101">
        <f t="shared" si="320"/>
        <v>4</v>
      </c>
      <c r="FT521" s="101">
        <f t="shared" si="321"/>
        <v>5</v>
      </c>
      <c r="FU521" s="101" t="str">
        <f t="shared" si="336"/>
        <v>金币</v>
      </c>
      <c r="FV521" s="139">
        <f>IF($FT521&gt;0,IF(INDEX($EI$6:$EI$77,$FO521)&gt;=FV$3,ROUND(INDEX(EK$6:EK$77,$FO521)*INDEX(卡牌消耗!$B$8:$F$8,FQ521)/5,0)*5,""),"")</f>
        <v>1780</v>
      </c>
      <c r="FW521" s="101" t="str">
        <f t="shared" si="337"/>
        <v>专属强化石2</v>
      </c>
      <c r="FX521" s="101">
        <f t="shared" si="338"/>
        <v>5</v>
      </c>
      <c r="FY521" s="101" t="str">
        <f t="shared" si="339"/>
        <v>专属强化石3</v>
      </c>
      <c r="FZ521" s="101">
        <f t="shared" si="340"/>
        <v>2</v>
      </c>
      <c r="GA521" s="101">
        <f t="shared" si="322"/>
        <v>0.05</v>
      </c>
      <c r="GB521" s="101">
        <f t="shared" si="323"/>
        <v>1</v>
      </c>
      <c r="GC521" s="101">
        <f t="shared" si="324"/>
        <v>30</v>
      </c>
      <c r="GD521" s="101">
        <f t="shared" si="325"/>
        <v>0</v>
      </c>
      <c r="GE521" s="101">
        <f t="shared" si="326"/>
        <v>1</v>
      </c>
      <c r="GF521" s="101">
        <f t="shared" si="327"/>
        <v>7</v>
      </c>
      <c r="GG521" s="101">
        <f t="shared" si="328"/>
        <v>2.53E-2</v>
      </c>
      <c r="GH521" s="101">
        <f t="shared" si="329"/>
        <v>1</v>
      </c>
      <c r="GI521" s="101">
        <f t="shared" si="330"/>
        <v>14</v>
      </c>
      <c r="GJ521" s="101">
        <f t="shared" si="331"/>
        <v>0.1012</v>
      </c>
      <c r="GK521" s="101">
        <f t="shared" si="332"/>
        <v>1</v>
      </c>
      <c r="GL521" s="101">
        <f t="shared" si="333"/>
        <v>30</v>
      </c>
    </row>
    <row r="522" spans="170:194" ht="16.5" x14ac:dyDescent="0.2">
      <c r="FN522" s="101">
        <v>517</v>
      </c>
      <c r="FO522" s="101">
        <f t="shared" si="318"/>
        <v>33</v>
      </c>
      <c r="FP522" s="101">
        <f t="shared" si="334"/>
        <v>7</v>
      </c>
      <c r="FQ522" s="14">
        <f t="shared" si="335"/>
        <v>4</v>
      </c>
      <c r="FR522" s="101" t="str">
        <f t="shared" si="319"/>
        <v>夏侯渊专属武器-魂珠-4 6级</v>
      </c>
      <c r="FS522" s="101">
        <f t="shared" si="320"/>
        <v>4</v>
      </c>
      <c r="FT522" s="101">
        <f t="shared" si="321"/>
        <v>6</v>
      </c>
      <c r="FU522" s="101" t="str">
        <f t="shared" si="336"/>
        <v>金币</v>
      </c>
      <c r="FV522" s="139">
        <f>IF($FT522&gt;0,IF(INDEX($EI$6:$EI$77,$FO522)&gt;=FV$3,ROUND(INDEX(EK$6:EK$77,$FO522)*INDEX(卡牌消耗!$B$8:$F$8,FQ522)/5,0)*5,""),"")</f>
        <v>1770</v>
      </c>
      <c r="FW522" s="101" t="str">
        <f t="shared" si="337"/>
        <v>专属强化石2</v>
      </c>
      <c r="FX522" s="101">
        <f t="shared" si="338"/>
        <v>5</v>
      </c>
      <c r="FY522" s="101" t="str">
        <f t="shared" si="339"/>
        <v>专属强化石3</v>
      </c>
      <c r="FZ522" s="101">
        <f t="shared" si="340"/>
        <v>2</v>
      </c>
      <c r="GA522" s="101">
        <f t="shared" si="322"/>
        <v>0.03</v>
      </c>
      <c r="GB522" s="101">
        <f t="shared" si="323"/>
        <v>1</v>
      </c>
      <c r="GC522" s="101">
        <f t="shared" si="324"/>
        <v>48</v>
      </c>
      <c r="GD522" s="101">
        <f t="shared" si="325"/>
        <v>0</v>
      </c>
      <c r="GE522" s="101">
        <f t="shared" si="326"/>
        <v>1</v>
      </c>
      <c r="GF522" s="101">
        <f t="shared" si="327"/>
        <v>11</v>
      </c>
      <c r="GG522" s="101">
        <f t="shared" si="328"/>
        <v>1.5599999999999999E-2</v>
      </c>
      <c r="GH522" s="101">
        <f t="shared" si="329"/>
        <v>1</v>
      </c>
      <c r="GI522" s="101">
        <f t="shared" si="330"/>
        <v>22</v>
      </c>
      <c r="GJ522" s="101">
        <f t="shared" si="331"/>
        <v>6.2300000000000001E-2</v>
      </c>
      <c r="GK522" s="101">
        <f t="shared" si="332"/>
        <v>1</v>
      </c>
      <c r="GL522" s="101">
        <f t="shared" si="333"/>
        <v>48</v>
      </c>
    </row>
    <row r="523" spans="170:194" ht="16.5" x14ac:dyDescent="0.2">
      <c r="FN523" s="101">
        <v>518</v>
      </c>
      <c r="FO523" s="101">
        <f t="shared" si="318"/>
        <v>34</v>
      </c>
      <c r="FP523" s="101">
        <f t="shared" si="334"/>
        <v>7</v>
      </c>
      <c r="FQ523" s="14">
        <f t="shared" si="335"/>
        <v>4</v>
      </c>
      <c r="FR523" s="101" t="str">
        <f t="shared" si="319"/>
        <v>夏侯渊专属武器-魂珠-4 7级</v>
      </c>
      <c r="FS523" s="101">
        <f t="shared" si="320"/>
        <v>4</v>
      </c>
      <c r="FT523" s="101">
        <f t="shared" si="321"/>
        <v>7</v>
      </c>
      <c r="FU523" s="101" t="str">
        <f t="shared" si="336"/>
        <v>金币</v>
      </c>
      <c r="FV523" s="139">
        <f>IF($FT523&gt;0,IF(INDEX($EI$6:$EI$77,$FO523)&gt;=FV$3,ROUND(INDEX(EK$6:EK$77,$FO523)*INDEX(卡牌消耗!$B$8:$F$8,FQ523)/5,0)*5,""),"")</f>
        <v>2660</v>
      </c>
      <c r="FW523" s="101" t="str">
        <f t="shared" si="337"/>
        <v>专属强化石2</v>
      </c>
      <c r="FX523" s="101">
        <f t="shared" si="338"/>
        <v>8</v>
      </c>
      <c r="FY523" s="101" t="str">
        <f t="shared" si="339"/>
        <v>专属强化石3</v>
      </c>
      <c r="FZ523" s="101">
        <f t="shared" si="340"/>
        <v>3</v>
      </c>
      <c r="GA523" s="101">
        <f t="shared" si="322"/>
        <v>0.03</v>
      </c>
      <c r="GB523" s="101">
        <f t="shared" si="323"/>
        <v>1</v>
      </c>
      <c r="GC523" s="101">
        <f t="shared" si="324"/>
        <v>52</v>
      </c>
      <c r="GD523" s="101">
        <f t="shared" si="325"/>
        <v>0</v>
      </c>
      <c r="GE523" s="101">
        <f t="shared" si="326"/>
        <v>1</v>
      </c>
      <c r="GF523" s="101">
        <f t="shared" si="327"/>
        <v>12</v>
      </c>
      <c r="GG523" s="101">
        <f t="shared" si="328"/>
        <v>1.4500000000000001E-2</v>
      </c>
      <c r="GH523" s="101">
        <f t="shared" si="329"/>
        <v>1</v>
      </c>
      <c r="GI523" s="101">
        <f t="shared" si="330"/>
        <v>24</v>
      </c>
      <c r="GJ523" s="101">
        <f t="shared" si="331"/>
        <v>5.7799999999999997E-2</v>
      </c>
      <c r="GK523" s="101">
        <f t="shared" si="332"/>
        <v>1</v>
      </c>
      <c r="GL523" s="101">
        <f t="shared" si="333"/>
        <v>52</v>
      </c>
    </row>
    <row r="524" spans="170:194" ht="16.5" x14ac:dyDescent="0.2">
      <c r="FN524" s="101">
        <v>519</v>
      </c>
      <c r="FO524" s="101">
        <f t="shared" si="318"/>
        <v>35</v>
      </c>
      <c r="FP524" s="101">
        <f t="shared" si="334"/>
        <v>7</v>
      </c>
      <c r="FQ524" s="14">
        <f t="shared" si="335"/>
        <v>4</v>
      </c>
      <c r="FR524" s="101" t="str">
        <f t="shared" si="319"/>
        <v>夏侯渊专属武器-魂珠-4 8级</v>
      </c>
      <c r="FS524" s="101">
        <f t="shared" si="320"/>
        <v>4</v>
      </c>
      <c r="FT524" s="101">
        <f t="shared" si="321"/>
        <v>8</v>
      </c>
      <c r="FU524" s="101" t="str">
        <f t="shared" si="336"/>
        <v>金币</v>
      </c>
      <c r="FV524" s="139">
        <f>IF($FT524&gt;0,IF(INDEX($EI$6:$EI$77,$FO524)&gt;=FV$3,ROUND(INDEX(EK$6:EK$77,$FO524)*INDEX(卡牌消耗!$B$8:$F$8,FQ524)/5,0)*5,""),"")</f>
        <v>3540</v>
      </c>
      <c r="FW524" s="101" t="str">
        <f t="shared" si="337"/>
        <v>专属强化石2</v>
      </c>
      <c r="FX524" s="101">
        <f t="shared" si="338"/>
        <v>11</v>
      </c>
      <c r="FY524" s="101" t="str">
        <f t="shared" si="339"/>
        <v>专属强化石3</v>
      </c>
      <c r="FZ524" s="101">
        <f t="shared" si="340"/>
        <v>4</v>
      </c>
      <c r="GA524" s="101">
        <f t="shared" si="322"/>
        <v>0.02</v>
      </c>
      <c r="GB524" s="101">
        <f t="shared" si="323"/>
        <v>1</v>
      </c>
      <c r="GC524" s="101">
        <f t="shared" si="324"/>
        <v>63</v>
      </c>
      <c r="GD524" s="101">
        <f t="shared" si="325"/>
        <v>0</v>
      </c>
      <c r="GE524" s="101">
        <f t="shared" si="326"/>
        <v>1</v>
      </c>
      <c r="GF524" s="101">
        <f t="shared" si="327"/>
        <v>15</v>
      </c>
      <c r="GG524" s="101">
        <f t="shared" si="328"/>
        <v>1.1900000000000001E-2</v>
      </c>
      <c r="GH524" s="101">
        <f t="shared" si="329"/>
        <v>1</v>
      </c>
      <c r="GI524" s="101">
        <f t="shared" si="330"/>
        <v>29</v>
      </c>
      <c r="GJ524" s="101">
        <f t="shared" si="331"/>
        <v>4.7600000000000003E-2</v>
      </c>
      <c r="GK524" s="101">
        <f t="shared" si="332"/>
        <v>1</v>
      </c>
      <c r="GL524" s="101">
        <f t="shared" si="333"/>
        <v>63</v>
      </c>
    </row>
    <row r="525" spans="170:194" ht="16.5" x14ac:dyDescent="0.2">
      <c r="FN525" s="101">
        <v>520</v>
      </c>
      <c r="FO525" s="101">
        <f t="shared" si="318"/>
        <v>36</v>
      </c>
      <c r="FP525" s="101">
        <f t="shared" si="334"/>
        <v>7</v>
      </c>
      <c r="FQ525" s="14">
        <f t="shared" si="335"/>
        <v>4</v>
      </c>
      <c r="FR525" s="101" t="str">
        <f t="shared" si="319"/>
        <v>夏侯渊专属武器-魂珠-4 9级</v>
      </c>
      <c r="FS525" s="101">
        <f t="shared" si="320"/>
        <v>4</v>
      </c>
      <c r="FT525" s="101">
        <f t="shared" si="321"/>
        <v>9</v>
      </c>
      <c r="FU525" s="101" t="str">
        <f t="shared" si="336"/>
        <v>金币</v>
      </c>
      <c r="FV525" s="139">
        <f>IF($FT525&gt;0,IF(INDEX($EI$6:$EI$77,$FO525)&gt;=FV$3,ROUND(INDEX(EK$6:EK$77,$FO525)*INDEX(卡牌消耗!$B$8:$F$8,FQ525)/5,0)*5,""),"")</f>
        <v>5315</v>
      </c>
      <c r="FW525" s="101" t="str">
        <f t="shared" si="337"/>
        <v>专属强化石2</v>
      </c>
      <c r="FX525" s="101">
        <f t="shared" si="338"/>
        <v>16</v>
      </c>
      <c r="FY525" s="101" t="str">
        <f t="shared" si="339"/>
        <v>专属强化石3</v>
      </c>
      <c r="FZ525" s="101">
        <f t="shared" si="340"/>
        <v>6</v>
      </c>
      <c r="GA525" s="101">
        <f t="shared" si="322"/>
        <v>0.02</v>
      </c>
      <c r="GB525" s="101">
        <f t="shared" si="323"/>
        <v>1</v>
      </c>
      <c r="GC525" s="101">
        <f t="shared" si="324"/>
        <v>68</v>
      </c>
      <c r="GD525" s="101">
        <f t="shared" si="325"/>
        <v>0</v>
      </c>
      <c r="GE525" s="101">
        <f t="shared" si="326"/>
        <v>1</v>
      </c>
      <c r="GF525" s="101">
        <f t="shared" si="327"/>
        <v>16</v>
      </c>
      <c r="GG525" s="101">
        <f t="shared" si="328"/>
        <v>1.0999999999999999E-2</v>
      </c>
      <c r="GH525" s="101">
        <f t="shared" si="329"/>
        <v>1</v>
      </c>
      <c r="GI525" s="101">
        <f t="shared" si="330"/>
        <v>32</v>
      </c>
      <c r="GJ525" s="101">
        <f t="shared" si="331"/>
        <v>4.4200000000000003E-2</v>
      </c>
      <c r="GK525" s="101">
        <f t="shared" si="332"/>
        <v>1</v>
      </c>
      <c r="GL525" s="101">
        <f t="shared" si="333"/>
        <v>68</v>
      </c>
    </row>
    <row r="526" spans="170:194" ht="16.5" x14ac:dyDescent="0.2">
      <c r="FN526" s="101">
        <v>521</v>
      </c>
      <c r="FO526" s="101">
        <f t="shared" si="318"/>
        <v>0</v>
      </c>
      <c r="FP526" s="101">
        <f t="shared" si="334"/>
        <v>7</v>
      </c>
      <c r="FQ526" s="14">
        <f t="shared" si="335"/>
        <v>4</v>
      </c>
      <c r="FR526" s="101" t="str">
        <f t="shared" si="319"/>
        <v>夏侯渊专属武器-魂珠-5 0级</v>
      </c>
      <c r="FS526" s="101">
        <f t="shared" si="320"/>
        <v>5</v>
      </c>
      <c r="FT526" s="101">
        <f t="shared" si="321"/>
        <v>0</v>
      </c>
      <c r="FU526" s="101" t="str">
        <f t="shared" si="336"/>
        <v/>
      </c>
      <c r="FV526" s="139" t="str">
        <f>IF($FT526&gt;0,IF(INDEX($EI$6:$EI$77,$FO526)&gt;=FV$3,ROUND(INDEX(EK$6:EK$77,$FO526)*INDEX(卡牌消耗!$B$8:$F$8,FQ526)/5,0)*5,""),"")</f>
        <v/>
      </c>
      <c r="FW526" s="101" t="str">
        <f t="shared" si="337"/>
        <v/>
      </c>
      <c r="FX526" s="101" t="str">
        <f t="shared" si="338"/>
        <v/>
      </c>
      <c r="FY526" s="101" t="str">
        <f t="shared" si="339"/>
        <v/>
      </c>
      <c r="FZ526" s="101" t="str">
        <f t="shared" si="340"/>
        <v/>
      </c>
      <c r="GA526" s="101" t="str">
        <f t="shared" si="322"/>
        <v/>
      </c>
      <c r="GB526" s="101" t="str">
        <f t="shared" si="323"/>
        <v/>
      </c>
      <c r="GC526" s="101" t="str">
        <f t="shared" si="324"/>
        <v/>
      </c>
      <c r="GD526" s="101" t="str">
        <f t="shared" si="325"/>
        <v/>
      </c>
      <c r="GE526" s="101" t="str">
        <f t="shared" si="326"/>
        <v/>
      </c>
      <c r="GF526" s="101" t="str">
        <f t="shared" si="327"/>
        <v/>
      </c>
      <c r="GG526" s="101" t="str">
        <f t="shared" si="328"/>
        <v/>
      </c>
      <c r="GH526" s="101" t="str">
        <f t="shared" si="329"/>
        <v/>
      </c>
      <c r="GI526" s="101" t="str">
        <f t="shared" si="330"/>
        <v/>
      </c>
      <c r="GJ526" s="101" t="str">
        <f t="shared" si="331"/>
        <v/>
      </c>
      <c r="GK526" s="101" t="str">
        <f t="shared" si="332"/>
        <v/>
      </c>
      <c r="GL526" s="101" t="str">
        <f t="shared" si="333"/>
        <v/>
      </c>
    </row>
    <row r="527" spans="170:194" ht="16.5" x14ac:dyDescent="0.2">
      <c r="FN527" s="101">
        <v>522</v>
      </c>
      <c r="FO527" s="101">
        <f t="shared" si="318"/>
        <v>37</v>
      </c>
      <c r="FP527" s="101">
        <f t="shared" si="334"/>
        <v>7</v>
      </c>
      <c r="FQ527" s="14">
        <f t="shared" si="335"/>
        <v>4</v>
      </c>
      <c r="FR527" s="101" t="str">
        <f t="shared" si="319"/>
        <v>夏侯渊专属武器-魂珠-5 1级</v>
      </c>
      <c r="FS527" s="101">
        <f t="shared" si="320"/>
        <v>5</v>
      </c>
      <c r="FT527" s="101">
        <f t="shared" si="321"/>
        <v>1</v>
      </c>
      <c r="FU527" s="101" t="str">
        <f t="shared" si="336"/>
        <v>金币</v>
      </c>
      <c r="FV527" s="139">
        <f>IF($FT527&gt;0,IF(INDEX($EI$6:$EI$77,$FO527)&gt;=FV$3,ROUND(INDEX(EK$6:EK$77,$FO527)*INDEX(卡牌消耗!$B$8:$F$8,FQ527)/5,0)*5,""),"")</f>
        <v>2245</v>
      </c>
      <c r="FW527" s="101" t="str">
        <f t="shared" si="337"/>
        <v>专属强化石2</v>
      </c>
      <c r="FX527" s="101">
        <f t="shared" si="338"/>
        <v>3</v>
      </c>
      <c r="FY527" s="101" t="str">
        <f t="shared" si="339"/>
        <v>专属强化石3</v>
      </c>
      <c r="FZ527" s="101">
        <f t="shared" si="340"/>
        <v>2</v>
      </c>
      <c r="GA527" s="101">
        <f t="shared" si="322"/>
        <v>0.2</v>
      </c>
      <c r="GB527" s="101">
        <f t="shared" si="323"/>
        <v>1</v>
      </c>
      <c r="GC527" s="101">
        <f t="shared" si="324"/>
        <v>7</v>
      </c>
      <c r="GD527" s="101">
        <f t="shared" si="325"/>
        <v>0</v>
      </c>
      <c r="GE527" s="101">
        <f t="shared" si="326"/>
        <v>1</v>
      </c>
      <c r="GF527" s="101">
        <f t="shared" si="327"/>
        <v>2</v>
      </c>
      <c r="GG527" s="101">
        <f t="shared" si="328"/>
        <v>0.1012</v>
      </c>
      <c r="GH527" s="101">
        <f t="shared" si="329"/>
        <v>1</v>
      </c>
      <c r="GI527" s="101">
        <f t="shared" si="330"/>
        <v>3</v>
      </c>
      <c r="GJ527" s="101">
        <f t="shared" si="331"/>
        <v>0.40479999999999999</v>
      </c>
      <c r="GK527" s="101">
        <f t="shared" si="332"/>
        <v>1</v>
      </c>
      <c r="GL527" s="101">
        <f t="shared" si="333"/>
        <v>7</v>
      </c>
    </row>
    <row r="528" spans="170:194" ht="16.5" x14ac:dyDescent="0.2">
      <c r="FN528" s="101">
        <v>523</v>
      </c>
      <c r="FO528" s="101">
        <f t="shared" si="318"/>
        <v>38</v>
      </c>
      <c r="FP528" s="101">
        <f t="shared" si="334"/>
        <v>7</v>
      </c>
      <c r="FQ528" s="14">
        <f t="shared" si="335"/>
        <v>4</v>
      </c>
      <c r="FR528" s="101" t="str">
        <f t="shared" si="319"/>
        <v>夏侯渊专属武器-魂珠-5 2级</v>
      </c>
      <c r="FS528" s="101">
        <f t="shared" si="320"/>
        <v>5</v>
      </c>
      <c r="FT528" s="101">
        <f t="shared" si="321"/>
        <v>2</v>
      </c>
      <c r="FU528" s="101" t="str">
        <f t="shared" si="336"/>
        <v>金币</v>
      </c>
      <c r="FV528" s="139">
        <f>IF($FT528&gt;0,IF(INDEX($EI$6:$EI$77,$FO528)&gt;=FV$3,ROUND(INDEX(EK$6:EK$77,$FO528)*INDEX(卡牌消耗!$B$8:$F$8,FQ528)/5,0)*5,""),"")</f>
        <v>1685</v>
      </c>
      <c r="FW528" s="101" t="str">
        <f t="shared" si="337"/>
        <v>专属强化石2</v>
      </c>
      <c r="FX528" s="101">
        <f t="shared" si="338"/>
        <v>3</v>
      </c>
      <c r="FY528" s="101" t="str">
        <f t="shared" si="339"/>
        <v>专属强化石3</v>
      </c>
      <c r="FZ528" s="101">
        <f t="shared" si="340"/>
        <v>2</v>
      </c>
      <c r="GA528" s="101">
        <f t="shared" si="322"/>
        <v>0.1</v>
      </c>
      <c r="GB528" s="101">
        <f t="shared" si="323"/>
        <v>1</v>
      </c>
      <c r="GC528" s="101">
        <f t="shared" si="324"/>
        <v>15</v>
      </c>
      <c r="GD528" s="101">
        <f t="shared" si="325"/>
        <v>0</v>
      </c>
      <c r="GE528" s="101">
        <f t="shared" si="326"/>
        <v>1</v>
      </c>
      <c r="GF528" s="101">
        <f t="shared" si="327"/>
        <v>3</v>
      </c>
      <c r="GG528" s="101">
        <f t="shared" si="328"/>
        <v>5.0599999999999999E-2</v>
      </c>
      <c r="GH528" s="101">
        <f t="shared" si="329"/>
        <v>1</v>
      </c>
      <c r="GI528" s="101">
        <f t="shared" si="330"/>
        <v>7</v>
      </c>
      <c r="GJ528" s="101">
        <f t="shared" si="331"/>
        <v>0.2024</v>
      </c>
      <c r="GK528" s="101">
        <f t="shared" si="332"/>
        <v>1</v>
      </c>
      <c r="GL528" s="101">
        <f t="shared" si="333"/>
        <v>15</v>
      </c>
    </row>
    <row r="529" spans="170:194" ht="16.5" x14ac:dyDescent="0.2">
      <c r="FN529" s="101">
        <v>524</v>
      </c>
      <c r="FO529" s="101">
        <f t="shared" si="318"/>
        <v>39</v>
      </c>
      <c r="FP529" s="101">
        <f t="shared" si="334"/>
        <v>7</v>
      </c>
      <c r="FQ529" s="14">
        <f t="shared" si="335"/>
        <v>4</v>
      </c>
      <c r="FR529" s="101" t="str">
        <f t="shared" si="319"/>
        <v>夏侯渊专属武器-魂珠-5 3级</v>
      </c>
      <c r="FS529" s="101">
        <f t="shared" si="320"/>
        <v>5</v>
      </c>
      <c r="FT529" s="101">
        <f t="shared" si="321"/>
        <v>3</v>
      </c>
      <c r="FU529" s="101" t="str">
        <f t="shared" si="336"/>
        <v>金币</v>
      </c>
      <c r="FV529" s="139">
        <f>IF($FT529&gt;0,IF(INDEX($EI$6:$EI$77,$FO529)&gt;=FV$3,ROUND(INDEX(EK$6:EK$77,$FO529)*INDEX(卡牌消耗!$B$8:$F$8,FQ529)/5,0)*5,""),"")</f>
        <v>1870</v>
      </c>
      <c r="FW529" s="101" t="str">
        <f t="shared" si="337"/>
        <v>专属强化石2</v>
      </c>
      <c r="FX529" s="101">
        <f t="shared" si="338"/>
        <v>3</v>
      </c>
      <c r="FY529" s="101" t="str">
        <f t="shared" si="339"/>
        <v>专属强化石3</v>
      </c>
      <c r="FZ529" s="101">
        <f t="shared" si="340"/>
        <v>2</v>
      </c>
      <c r="GA529" s="101">
        <f t="shared" si="322"/>
        <v>7.0000000000000007E-2</v>
      </c>
      <c r="GB529" s="101">
        <f t="shared" si="323"/>
        <v>1</v>
      </c>
      <c r="GC529" s="101">
        <f t="shared" si="324"/>
        <v>22</v>
      </c>
      <c r="GD529" s="101">
        <f t="shared" si="325"/>
        <v>0</v>
      </c>
      <c r="GE529" s="101">
        <f t="shared" si="326"/>
        <v>1</v>
      </c>
      <c r="GF529" s="101">
        <f t="shared" si="327"/>
        <v>5</v>
      </c>
      <c r="GG529" s="101">
        <f t="shared" si="328"/>
        <v>3.3700000000000001E-2</v>
      </c>
      <c r="GH529" s="101">
        <f t="shared" si="329"/>
        <v>1</v>
      </c>
      <c r="GI529" s="101">
        <f t="shared" si="330"/>
        <v>10</v>
      </c>
      <c r="GJ529" s="101">
        <f t="shared" si="331"/>
        <v>0.13489999999999999</v>
      </c>
      <c r="GK529" s="101">
        <f t="shared" si="332"/>
        <v>1</v>
      </c>
      <c r="GL529" s="101">
        <f t="shared" si="333"/>
        <v>22</v>
      </c>
    </row>
    <row r="530" spans="170:194" ht="16.5" x14ac:dyDescent="0.2">
      <c r="FN530" s="101">
        <v>525</v>
      </c>
      <c r="FO530" s="101">
        <f t="shared" si="318"/>
        <v>40</v>
      </c>
      <c r="FP530" s="101">
        <f t="shared" si="334"/>
        <v>7</v>
      </c>
      <c r="FQ530" s="14">
        <f t="shared" si="335"/>
        <v>4</v>
      </c>
      <c r="FR530" s="101" t="str">
        <f t="shared" si="319"/>
        <v>夏侯渊专属武器-魂珠-5 4级</v>
      </c>
      <c r="FS530" s="101">
        <f t="shared" si="320"/>
        <v>5</v>
      </c>
      <c r="FT530" s="101">
        <f t="shared" si="321"/>
        <v>4</v>
      </c>
      <c r="FU530" s="101" t="str">
        <f t="shared" si="336"/>
        <v>金币</v>
      </c>
      <c r="FV530" s="139">
        <f>IF($FT530&gt;0,IF(INDEX($EI$6:$EI$77,$FO530)&gt;=FV$3,ROUND(INDEX(EK$6:EK$77,$FO530)*INDEX(卡牌消耗!$B$8:$F$8,FQ530)/5,0)*5,""),"")</f>
        <v>2695</v>
      </c>
      <c r="FW530" s="101" t="str">
        <f t="shared" si="337"/>
        <v>专属强化石2</v>
      </c>
      <c r="FX530" s="101">
        <f t="shared" si="338"/>
        <v>5</v>
      </c>
      <c r="FY530" s="101" t="str">
        <f t="shared" si="339"/>
        <v>专属强化石3</v>
      </c>
      <c r="FZ530" s="101">
        <f t="shared" si="340"/>
        <v>3</v>
      </c>
      <c r="GA530" s="101">
        <f t="shared" si="322"/>
        <v>0.06</v>
      </c>
      <c r="GB530" s="101">
        <f t="shared" si="323"/>
        <v>1</v>
      </c>
      <c r="GC530" s="101">
        <f t="shared" si="324"/>
        <v>25</v>
      </c>
      <c r="GD530" s="101">
        <f t="shared" si="325"/>
        <v>0</v>
      </c>
      <c r="GE530" s="101">
        <f t="shared" si="326"/>
        <v>1</v>
      </c>
      <c r="GF530" s="101">
        <f t="shared" si="327"/>
        <v>6</v>
      </c>
      <c r="GG530" s="101">
        <f t="shared" si="328"/>
        <v>3.04E-2</v>
      </c>
      <c r="GH530" s="101">
        <f t="shared" si="329"/>
        <v>1</v>
      </c>
      <c r="GI530" s="101">
        <f t="shared" si="330"/>
        <v>12</v>
      </c>
      <c r="GJ530" s="101">
        <f t="shared" si="331"/>
        <v>0.12139999999999999</v>
      </c>
      <c r="GK530" s="101">
        <f t="shared" si="332"/>
        <v>1</v>
      </c>
      <c r="GL530" s="101">
        <f t="shared" si="333"/>
        <v>25</v>
      </c>
    </row>
    <row r="531" spans="170:194" ht="16.5" x14ac:dyDescent="0.2">
      <c r="FN531" s="101">
        <v>526</v>
      </c>
      <c r="FO531" s="101">
        <f t="shared" si="318"/>
        <v>41</v>
      </c>
      <c r="FP531" s="101">
        <f t="shared" si="334"/>
        <v>7</v>
      </c>
      <c r="FQ531" s="14">
        <f t="shared" si="335"/>
        <v>4</v>
      </c>
      <c r="FR531" s="101" t="str">
        <f t="shared" si="319"/>
        <v>夏侯渊专属武器-魂珠-5 5级</v>
      </c>
      <c r="FS531" s="101">
        <f t="shared" si="320"/>
        <v>5</v>
      </c>
      <c r="FT531" s="101">
        <f t="shared" si="321"/>
        <v>5</v>
      </c>
      <c r="FU531" s="101" t="str">
        <f t="shared" si="336"/>
        <v>金币</v>
      </c>
      <c r="FV531" s="139">
        <f>IF($FT531&gt;0,IF(INDEX($EI$6:$EI$77,$FO531)&gt;=FV$3,ROUND(INDEX(EK$6:EK$77,$FO531)*INDEX(卡牌消耗!$B$8:$F$8,FQ531)/5,0)*5,""),"")</f>
        <v>2735</v>
      </c>
      <c r="FW531" s="101" t="str">
        <f t="shared" si="337"/>
        <v>专属强化石2</v>
      </c>
      <c r="FX531" s="101">
        <f t="shared" si="338"/>
        <v>5</v>
      </c>
      <c r="FY531" s="101" t="str">
        <f t="shared" si="339"/>
        <v>专属强化石3</v>
      </c>
      <c r="FZ531" s="101">
        <f t="shared" si="340"/>
        <v>3</v>
      </c>
      <c r="GA531" s="101">
        <f t="shared" si="322"/>
        <v>0.04</v>
      </c>
      <c r="GB531" s="101">
        <f t="shared" si="323"/>
        <v>1</v>
      </c>
      <c r="GC531" s="101">
        <f t="shared" si="324"/>
        <v>40</v>
      </c>
      <c r="GD531" s="101">
        <f t="shared" si="325"/>
        <v>0</v>
      </c>
      <c r="GE531" s="101">
        <f t="shared" si="326"/>
        <v>1</v>
      </c>
      <c r="GF531" s="101">
        <f t="shared" si="327"/>
        <v>9</v>
      </c>
      <c r="GG531" s="101">
        <f t="shared" si="328"/>
        <v>1.9E-2</v>
      </c>
      <c r="GH531" s="101">
        <f t="shared" si="329"/>
        <v>1</v>
      </c>
      <c r="GI531" s="101">
        <f t="shared" si="330"/>
        <v>18</v>
      </c>
      <c r="GJ531" s="101">
        <f t="shared" si="331"/>
        <v>7.5899999999999995E-2</v>
      </c>
      <c r="GK531" s="101">
        <f t="shared" si="332"/>
        <v>1</v>
      </c>
      <c r="GL531" s="101">
        <f t="shared" si="333"/>
        <v>40</v>
      </c>
    </row>
    <row r="532" spans="170:194" ht="16.5" x14ac:dyDescent="0.2">
      <c r="FN532" s="101">
        <v>527</v>
      </c>
      <c r="FO532" s="101">
        <f t="shared" si="318"/>
        <v>42</v>
      </c>
      <c r="FP532" s="101">
        <f t="shared" si="334"/>
        <v>7</v>
      </c>
      <c r="FQ532" s="14">
        <f t="shared" si="335"/>
        <v>4</v>
      </c>
      <c r="FR532" s="101" t="str">
        <f t="shared" si="319"/>
        <v>夏侯渊专属武器-魂珠-5 6级</v>
      </c>
      <c r="FS532" s="101">
        <f t="shared" si="320"/>
        <v>5</v>
      </c>
      <c r="FT532" s="101">
        <f t="shared" si="321"/>
        <v>6</v>
      </c>
      <c r="FU532" s="101" t="str">
        <f t="shared" si="336"/>
        <v>金币</v>
      </c>
      <c r="FV532" s="139">
        <f>IF($FT532&gt;0,IF(INDEX($EI$6:$EI$77,$FO532)&gt;=FV$3,ROUND(INDEX(EK$6:EK$77,$FO532)*INDEX(卡牌消耗!$B$8:$F$8,FQ532)/5,0)*5,""),"")</f>
        <v>4530</v>
      </c>
      <c r="FW532" s="101" t="str">
        <f t="shared" si="337"/>
        <v>专属强化石2</v>
      </c>
      <c r="FX532" s="101">
        <f t="shared" si="338"/>
        <v>8</v>
      </c>
      <c r="FY532" s="101" t="str">
        <f t="shared" si="339"/>
        <v>专属强化石3</v>
      </c>
      <c r="FZ532" s="101">
        <f t="shared" si="340"/>
        <v>5</v>
      </c>
      <c r="GA532" s="101">
        <f t="shared" si="322"/>
        <v>0.04</v>
      </c>
      <c r="GB532" s="101">
        <f t="shared" si="323"/>
        <v>1</v>
      </c>
      <c r="GC532" s="101">
        <f t="shared" si="324"/>
        <v>39</v>
      </c>
      <c r="GD532" s="101">
        <f t="shared" si="325"/>
        <v>0</v>
      </c>
      <c r="GE532" s="101">
        <f t="shared" si="326"/>
        <v>1</v>
      </c>
      <c r="GF532" s="101">
        <f t="shared" si="327"/>
        <v>9</v>
      </c>
      <c r="GG532" s="101">
        <f t="shared" si="328"/>
        <v>1.95E-2</v>
      </c>
      <c r="GH532" s="101">
        <f t="shared" si="329"/>
        <v>1</v>
      </c>
      <c r="GI532" s="101">
        <f t="shared" si="330"/>
        <v>18</v>
      </c>
      <c r="GJ532" s="101">
        <f t="shared" si="331"/>
        <v>7.7799999999999994E-2</v>
      </c>
      <c r="GK532" s="101">
        <f t="shared" si="332"/>
        <v>1</v>
      </c>
      <c r="GL532" s="101">
        <f t="shared" si="333"/>
        <v>39</v>
      </c>
    </row>
    <row r="533" spans="170:194" ht="16.5" x14ac:dyDescent="0.2">
      <c r="FN533" s="101">
        <v>528</v>
      </c>
      <c r="FO533" s="101">
        <f t="shared" si="318"/>
        <v>43</v>
      </c>
      <c r="FP533" s="101">
        <f t="shared" si="334"/>
        <v>7</v>
      </c>
      <c r="FQ533" s="14">
        <f t="shared" si="335"/>
        <v>4</v>
      </c>
      <c r="FR533" s="101" t="str">
        <f t="shared" si="319"/>
        <v>夏侯渊专属武器-魂珠-5 7级</v>
      </c>
      <c r="FS533" s="101">
        <f t="shared" si="320"/>
        <v>5</v>
      </c>
      <c r="FT533" s="101">
        <f t="shared" si="321"/>
        <v>7</v>
      </c>
      <c r="FU533" s="101" t="str">
        <f t="shared" si="336"/>
        <v>金币</v>
      </c>
      <c r="FV533" s="139">
        <f>IF($FT533&gt;0,IF(INDEX($EI$6:$EI$77,$FO533)&gt;=FV$3,ROUND(INDEX(EK$6:EK$77,$FO533)*INDEX(卡牌消耗!$B$8:$F$8,FQ533)/5,0)*5,""),"")</f>
        <v>4540</v>
      </c>
      <c r="FW533" s="101" t="str">
        <f t="shared" si="337"/>
        <v>专属强化石2</v>
      </c>
      <c r="FX533" s="101">
        <f t="shared" si="338"/>
        <v>8</v>
      </c>
      <c r="FY533" s="101" t="str">
        <f t="shared" si="339"/>
        <v>专属强化石3</v>
      </c>
      <c r="FZ533" s="101">
        <f t="shared" si="340"/>
        <v>5</v>
      </c>
      <c r="GA533" s="101">
        <f t="shared" si="322"/>
        <v>0.02</v>
      </c>
      <c r="GB533" s="101">
        <f t="shared" si="323"/>
        <v>1</v>
      </c>
      <c r="GC533" s="101">
        <f t="shared" si="324"/>
        <v>62</v>
      </c>
      <c r="GD533" s="101">
        <f t="shared" si="325"/>
        <v>0</v>
      </c>
      <c r="GE533" s="101">
        <f t="shared" si="326"/>
        <v>1</v>
      </c>
      <c r="GF533" s="101">
        <f t="shared" si="327"/>
        <v>15</v>
      </c>
      <c r="GG533" s="101">
        <f t="shared" si="328"/>
        <v>1.2E-2</v>
      </c>
      <c r="GH533" s="101">
        <f t="shared" si="329"/>
        <v>1</v>
      </c>
      <c r="GI533" s="101">
        <f t="shared" si="330"/>
        <v>29</v>
      </c>
      <c r="GJ533" s="101">
        <f t="shared" si="331"/>
        <v>4.82E-2</v>
      </c>
      <c r="GK533" s="101">
        <f t="shared" si="332"/>
        <v>1</v>
      </c>
      <c r="GL533" s="101">
        <f t="shared" si="333"/>
        <v>62</v>
      </c>
    </row>
    <row r="534" spans="170:194" ht="16.5" x14ac:dyDescent="0.2">
      <c r="FN534" s="101">
        <v>529</v>
      </c>
      <c r="FO534" s="101">
        <f t="shared" ref="FO534:FO597" si="341">IF(FT534&gt;0,(FS534-1)*9+FT534,0)</f>
        <v>44</v>
      </c>
      <c r="FP534" s="101">
        <f t="shared" si="334"/>
        <v>7</v>
      </c>
      <c r="FQ534" s="14">
        <f t="shared" si="335"/>
        <v>4</v>
      </c>
      <c r="FR534" s="101" t="str">
        <f t="shared" ref="FR534:FR597" si="342">INDEX($FI$6:$FI$26,FP534)&amp;"专属武器-魂珠-"&amp;FS534&amp;" "&amp;FT534&amp;"级"</f>
        <v>夏侯渊专属武器-魂珠-5 8级</v>
      </c>
      <c r="FS534" s="101">
        <f t="shared" ref="FS534:FS597" si="343">INT((FN534-(FP534-1)*80-1)/10)+1</f>
        <v>5</v>
      </c>
      <c r="FT534" s="101">
        <f t="shared" ref="FT534:FT597" si="344">FN534-(FP534-1)*80-(FS534-1)*10-1</f>
        <v>8</v>
      </c>
      <c r="FU534" s="101" t="str">
        <f t="shared" si="336"/>
        <v>金币</v>
      </c>
      <c r="FV534" s="139">
        <f>IF($FT534&gt;0,IF(INDEX($EI$6:$EI$77,$FO534)&gt;=FV$3,ROUND(INDEX(EK$6:EK$77,$FO534)*INDEX(卡牌消耗!$B$8:$F$8,FQ534)/5,0)*5,""),"")</f>
        <v>6350</v>
      </c>
      <c r="FW534" s="101" t="str">
        <f t="shared" si="337"/>
        <v>专属强化石2</v>
      </c>
      <c r="FX534" s="101">
        <f t="shared" si="338"/>
        <v>11</v>
      </c>
      <c r="FY534" s="101" t="str">
        <f t="shared" si="339"/>
        <v>专属强化石3</v>
      </c>
      <c r="FZ534" s="101">
        <f t="shared" si="340"/>
        <v>7</v>
      </c>
      <c r="GA534" s="101">
        <f t="shared" ref="GA534:GA597" si="345">IF($FT534&gt;0,INDEX(EP$6:EP$77,$FO534),"")</f>
        <v>0.02</v>
      </c>
      <c r="GB534" s="101">
        <f t="shared" ref="GB534:GB597" si="346">IF($FT534&gt;0,INDEX(EQ$6:EQ$77,$FO534),"")</f>
        <v>1</v>
      </c>
      <c r="GC534" s="101">
        <f t="shared" ref="GC534:GC597" si="347">IF($FT534&gt;0,INDEX(ER$6:ER$77,$FO534),"")</f>
        <v>72</v>
      </c>
      <c r="GD534" s="101">
        <f t="shared" ref="GD534:GD597" si="348">IF($FT534&gt;0,INDEX(EV$6:EV$77,$FO534),"")</f>
        <v>0</v>
      </c>
      <c r="GE534" s="101">
        <f t="shared" ref="GE534:GE597" si="349">IF($FT534&gt;0,INDEX(EW$6:EW$77,$FO534),"")</f>
        <v>1</v>
      </c>
      <c r="GF534" s="101">
        <f t="shared" ref="GF534:GF597" si="350">IF($FT534&gt;0,INDEX(EX$6:EX$77,$FO534),"")</f>
        <v>17</v>
      </c>
      <c r="GG534" s="101">
        <f t="shared" ref="GG534:GG597" si="351">IF($FT534&gt;0,INDEX(EY$6:EY$77,$FO534),"")</f>
        <v>1.04E-2</v>
      </c>
      <c r="GH534" s="101">
        <f t="shared" ref="GH534:GH597" si="352">IF($FT534&gt;0,INDEX(EZ$6:EZ$77,$FO534),"")</f>
        <v>1</v>
      </c>
      <c r="GI534" s="101">
        <f t="shared" ref="GI534:GI597" si="353">IF($FT534&gt;0,INDEX(FA$6:FA$77,$FO534),"")</f>
        <v>34</v>
      </c>
      <c r="GJ534" s="101">
        <f t="shared" ref="GJ534:GJ597" si="354">IF($FT534&gt;0,INDEX(FB$6:FB$77,$FO534),"")</f>
        <v>4.1700000000000001E-2</v>
      </c>
      <c r="GK534" s="101">
        <f t="shared" ref="GK534:GK597" si="355">IF($FT534&gt;0,INDEX(FC$6:FC$77,$FO534),"")</f>
        <v>1</v>
      </c>
      <c r="GL534" s="101">
        <f t="shared" ref="GL534:GL597" si="356">IF($FT534&gt;0,INDEX(FD$6:FD$77,$FO534),"")</f>
        <v>72</v>
      </c>
    </row>
    <row r="535" spans="170:194" ht="16.5" x14ac:dyDescent="0.2">
      <c r="FN535" s="101">
        <v>530</v>
      </c>
      <c r="FO535" s="101">
        <f t="shared" si="341"/>
        <v>45</v>
      </c>
      <c r="FP535" s="101">
        <f t="shared" si="334"/>
        <v>7</v>
      </c>
      <c r="FQ535" s="14">
        <f t="shared" si="335"/>
        <v>4</v>
      </c>
      <c r="FR535" s="101" t="str">
        <f t="shared" si="342"/>
        <v>夏侯渊专属武器-魂珠-5 9级</v>
      </c>
      <c r="FS535" s="101">
        <f t="shared" si="343"/>
        <v>5</v>
      </c>
      <c r="FT535" s="101">
        <f t="shared" si="344"/>
        <v>9</v>
      </c>
      <c r="FU535" s="101" t="str">
        <f t="shared" si="336"/>
        <v>金币</v>
      </c>
      <c r="FV535" s="139">
        <f>IF($FT535&gt;0,IF(INDEX($EI$6:$EI$77,$FO535)&gt;=FV$3,ROUND(INDEX(EK$6:EK$77,$FO535)*INDEX(卡牌消耗!$B$8:$F$8,FQ535)/5,0)*5,""),"")</f>
        <v>8170</v>
      </c>
      <c r="FW535" s="101" t="str">
        <f t="shared" si="337"/>
        <v>专属强化石2</v>
      </c>
      <c r="FX535" s="101">
        <f t="shared" si="338"/>
        <v>14</v>
      </c>
      <c r="FY535" s="101" t="str">
        <f t="shared" si="339"/>
        <v>专属强化石3</v>
      </c>
      <c r="FZ535" s="101">
        <f t="shared" si="340"/>
        <v>9</v>
      </c>
      <c r="GA535" s="101">
        <f t="shared" si="345"/>
        <v>0.02</v>
      </c>
      <c r="GB535" s="101">
        <f t="shared" si="346"/>
        <v>1</v>
      </c>
      <c r="GC535" s="101">
        <f t="shared" si="347"/>
        <v>91</v>
      </c>
      <c r="GD535" s="101">
        <f t="shared" si="348"/>
        <v>0</v>
      </c>
      <c r="GE535" s="101">
        <f t="shared" si="349"/>
        <v>1</v>
      </c>
      <c r="GF535" s="101">
        <f t="shared" si="350"/>
        <v>21</v>
      </c>
      <c r="GG535" s="101">
        <f t="shared" si="351"/>
        <v>8.3000000000000001E-3</v>
      </c>
      <c r="GH535" s="101">
        <f t="shared" si="352"/>
        <v>1</v>
      </c>
      <c r="GI535" s="101">
        <f t="shared" si="353"/>
        <v>42</v>
      </c>
      <c r="GJ535" s="101">
        <f t="shared" si="354"/>
        <v>3.3099999999999997E-2</v>
      </c>
      <c r="GK535" s="101">
        <f t="shared" si="355"/>
        <v>1</v>
      </c>
      <c r="GL535" s="101">
        <f t="shared" si="356"/>
        <v>91</v>
      </c>
    </row>
    <row r="536" spans="170:194" ht="16.5" x14ac:dyDescent="0.2">
      <c r="FN536" s="101">
        <v>531</v>
      </c>
      <c r="FO536" s="101">
        <f t="shared" si="341"/>
        <v>0</v>
      </c>
      <c r="FP536" s="101">
        <f t="shared" si="334"/>
        <v>7</v>
      </c>
      <c r="FQ536" s="14">
        <f t="shared" si="335"/>
        <v>4</v>
      </c>
      <c r="FR536" s="101" t="str">
        <f t="shared" si="342"/>
        <v>夏侯渊专属武器-魂珠-6 0级</v>
      </c>
      <c r="FS536" s="101">
        <f t="shared" si="343"/>
        <v>6</v>
      </c>
      <c r="FT536" s="101">
        <f t="shared" si="344"/>
        <v>0</v>
      </c>
      <c r="FU536" s="101" t="str">
        <f t="shared" si="336"/>
        <v/>
      </c>
      <c r="FV536" s="139" t="str">
        <f>IF($FT536&gt;0,IF(INDEX($EI$6:$EI$77,$FO536)&gt;=FV$3,ROUND(INDEX(EK$6:EK$77,$FO536)*INDEX(卡牌消耗!$B$8:$F$8,FQ536)/5,0)*5,""),"")</f>
        <v/>
      </c>
      <c r="FW536" s="101" t="str">
        <f t="shared" si="337"/>
        <v/>
      </c>
      <c r="FX536" s="101" t="str">
        <f t="shared" si="338"/>
        <v/>
      </c>
      <c r="FY536" s="101" t="str">
        <f t="shared" si="339"/>
        <v/>
      </c>
      <c r="FZ536" s="101" t="str">
        <f t="shared" si="340"/>
        <v/>
      </c>
      <c r="GA536" s="101" t="str">
        <f t="shared" si="345"/>
        <v/>
      </c>
      <c r="GB536" s="101" t="str">
        <f t="shared" si="346"/>
        <v/>
      </c>
      <c r="GC536" s="101" t="str">
        <f t="shared" si="347"/>
        <v/>
      </c>
      <c r="GD536" s="101" t="str">
        <f t="shared" si="348"/>
        <v/>
      </c>
      <c r="GE536" s="101" t="str">
        <f t="shared" si="349"/>
        <v/>
      </c>
      <c r="GF536" s="101" t="str">
        <f t="shared" si="350"/>
        <v/>
      </c>
      <c r="GG536" s="101" t="str">
        <f t="shared" si="351"/>
        <v/>
      </c>
      <c r="GH536" s="101" t="str">
        <f t="shared" si="352"/>
        <v/>
      </c>
      <c r="GI536" s="101" t="str">
        <f t="shared" si="353"/>
        <v/>
      </c>
      <c r="GJ536" s="101" t="str">
        <f t="shared" si="354"/>
        <v/>
      </c>
      <c r="GK536" s="101" t="str">
        <f t="shared" si="355"/>
        <v/>
      </c>
      <c r="GL536" s="101" t="str">
        <f t="shared" si="356"/>
        <v/>
      </c>
    </row>
    <row r="537" spans="170:194" ht="16.5" x14ac:dyDescent="0.2">
      <c r="FN537" s="101">
        <v>532</v>
      </c>
      <c r="FO537" s="101">
        <f t="shared" si="341"/>
        <v>46</v>
      </c>
      <c r="FP537" s="101">
        <f t="shared" si="334"/>
        <v>7</v>
      </c>
      <c r="FQ537" s="14">
        <f t="shared" si="335"/>
        <v>4</v>
      </c>
      <c r="FR537" s="101" t="str">
        <f t="shared" si="342"/>
        <v>夏侯渊专属武器-魂珠-6 1级</v>
      </c>
      <c r="FS537" s="101">
        <f t="shared" si="343"/>
        <v>6</v>
      </c>
      <c r="FT537" s="101">
        <f t="shared" si="344"/>
        <v>1</v>
      </c>
      <c r="FU537" s="101" t="str">
        <f t="shared" si="336"/>
        <v>金币</v>
      </c>
      <c r="FV537" s="139">
        <f>IF($FT537&gt;0,IF(INDEX($EI$6:$EI$77,$FO537)&gt;=FV$3,ROUND(INDEX(EK$6:EK$77,$FO537)*INDEX(卡牌消耗!$B$8:$F$8,FQ537)/5,0)*5,""),"")</f>
        <v>2180</v>
      </c>
      <c r="FW537" s="101" t="str">
        <f t="shared" si="337"/>
        <v>专属强化石3</v>
      </c>
      <c r="FX537" s="101">
        <f t="shared" si="338"/>
        <v>5</v>
      </c>
      <c r="FY537" s="101" t="str">
        <f t="shared" si="339"/>
        <v>专属强化石4</v>
      </c>
      <c r="FZ537" s="101">
        <f t="shared" si="340"/>
        <v>1</v>
      </c>
      <c r="GA537" s="101">
        <f t="shared" si="345"/>
        <v>0.17</v>
      </c>
      <c r="GB537" s="101">
        <f t="shared" si="346"/>
        <v>1</v>
      </c>
      <c r="GC537" s="101">
        <f t="shared" si="347"/>
        <v>9</v>
      </c>
      <c r="GD537" s="101">
        <f t="shared" si="348"/>
        <v>0</v>
      </c>
      <c r="GE537" s="101">
        <f t="shared" si="349"/>
        <v>1</v>
      </c>
      <c r="GF537" s="101">
        <f t="shared" si="350"/>
        <v>2</v>
      </c>
      <c r="GG537" s="101">
        <f t="shared" si="351"/>
        <v>8.2900000000000001E-2</v>
      </c>
      <c r="GH537" s="101">
        <f t="shared" si="352"/>
        <v>1</v>
      </c>
      <c r="GI537" s="101">
        <f t="shared" si="353"/>
        <v>4</v>
      </c>
      <c r="GJ537" s="101">
        <f t="shared" si="354"/>
        <v>0.33139999999999997</v>
      </c>
      <c r="GK537" s="101">
        <f t="shared" si="355"/>
        <v>1</v>
      </c>
      <c r="GL537" s="101">
        <f t="shared" si="356"/>
        <v>9</v>
      </c>
    </row>
    <row r="538" spans="170:194" ht="16.5" x14ac:dyDescent="0.2">
      <c r="FN538" s="101">
        <v>533</v>
      </c>
      <c r="FO538" s="101">
        <f t="shared" si="341"/>
        <v>47</v>
      </c>
      <c r="FP538" s="101">
        <f t="shared" si="334"/>
        <v>7</v>
      </c>
      <c r="FQ538" s="14">
        <f t="shared" si="335"/>
        <v>4</v>
      </c>
      <c r="FR538" s="101" t="str">
        <f t="shared" si="342"/>
        <v>夏侯渊专属武器-魂珠-6 2级</v>
      </c>
      <c r="FS538" s="101">
        <f t="shared" si="343"/>
        <v>6</v>
      </c>
      <c r="FT538" s="101">
        <f t="shared" si="344"/>
        <v>2</v>
      </c>
      <c r="FU538" s="101" t="str">
        <f t="shared" si="336"/>
        <v>金币</v>
      </c>
      <c r="FV538" s="139">
        <f>IF($FT538&gt;0,IF(INDEX($EI$6:$EI$77,$FO538)&gt;=FV$3,ROUND(INDEX(EK$6:EK$77,$FO538)*INDEX(卡牌消耗!$B$8:$F$8,FQ538)/5,0)*5,""),"")</f>
        <v>3270</v>
      </c>
      <c r="FW538" s="101" t="str">
        <f t="shared" si="337"/>
        <v>专属强化石3</v>
      </c>
      <c r="FX538" s="101">
        <f t="shared" si="338"/>
        <v>10</v>
      </c>
      <c r="FY538" s="101" t="str">
        <f t="shared" si="339"/>
        <v>专属强化石4</v>
      </c>
      <c r="FZ538" s="101">
        <f t="shared" si="340"/>
        <v>2</v>
      </c>
      <c r="GA538" s="101">
        <f t="shared" si="345"/>
        <v>0.17</v>
      </c>
      <c r="GB538" s="101">
        <f t="shared" si="346"/>
        <v>1</v>
      </c>
      <c r="GC538" s="101">
        <f t="shared" si="347"/>
        <v>9</v>
      </c>
      <c r="GD538" s="101">
        <f t="shared" si="348"/>
        <v>0</v>
      </c>
      <c r="GE538" s="101">
        <f t="shared" si="349"/>
        <v>1</v>
      </c>
      <c r="GF538" s="101">
        <f t="shared" si="350"/>
        <v>2</v>
      </c>
      <c r="GG538" s="101">
        <f t="shared" si="351"/>
        <v>8.2900000000000001E-2</v>
      </c>
      <c r="GH538" s="101">
        <f t="shared" si="352"/>
        <v>1</v>
      </c>
      <c r="GI538" s="101">
        <f t="shared" si="353"/>
        <v>4</v>
      </c>
      <c r="GJ538" s="101">
        <f t="shared" si="354"/>
        <v>0.33139999999999997</v>
      </c>
      <c r="GK538" s="101">
        <f t="shared" si="355"/>
        <v>1</v>
      </c>
      <c r="GL538" s="101">
        <f t="shared" si="356"/>
        <v>9</v>
      </c>
    </row>
    <row r="539" spans="170:194" ht="16.5" x14ac:dyDescent="0.2">
      <c r="FN539" s="101">
        <v>534</v>
      </c>
      <c r="FO539" s="101">
        <f t="shared" si="341"/>
        <v>48</v>
      </c>
      <c r="FP539" s="101">
        <f t="shared" si="334"/>
        <v>7</v>
      </c>
      <c r="FQ539" s="14">
        <f t="shared" si="335"/>
        <v>4</v>
      </c>
      <c r="FR539" s="101" t="str">
        <f t="shared" si="342"/>
        <v>夏侯渊专属武器-魂珠-6 3级</v>
      </c>
      <c r="FS539" s="101">
        <f t="shared" si="343"/>
        <v>6</v>
      </c>
      <c r="FT539" s="101">
        <f t="shared" si="344"/>
        <v>3</v>
      </c>
      <c r="FU539" s="101" t="str">
        <f t="shared" si="336"/>
        <v>金币</v>
      </c>
      <c r="FV539" s="139">
        <f>IF($FT539&gt;0,IF(INDEX($EI$6:$EI$77,$FO539)&gt;=FV$3,ROUND(INDEX(EK$6:EK$77,$FO539)*INDEX(卡牌消耗!$B$8:$F$8,FQ539)/5,0)*5,""),"")</f>
        <v>3635</v>
      </c>
      <c r="FW539" s="101" t="str">
        <f t="shared" si="337"/>
        <v>专属强化石3</v>
      </c>
      <c r="FX539" s="101">
        <f t="shared" si="338"/>
        <v>10</v>
      </c>
      <c r="FY539" s="101" t="str">
        <f t="shared" si="339"/>
        <v>专属强化石4</v>
      </c>
      <c r="FZ539" s="101">
        <f t="shared" si="340"/>
        <v>2</v>
      </c>
      <c r="GA539" s="101">
        <f t="shared" si="345"/>
        <v>0.11</v>
      </c>
      <c r="GB539" s="101">
        <f t="shared" si="346"/>
        <v>1</v>
      </c>
      <c r="GC539" s="101">
        <f t="shared" si="347"/>
        <v>14</v>
      </c>
      <c r="GD539" s="101">
        <f t="shared" si="348"/>
        <v>0</v>
      </c>
      <c r="GE539" s="101">
        <f t="shared" si="349"/>
        <v>1</v>
      </c>
      <c r="GF539" s="101">
        <f t="shared" si="350"/>
        <v>3</v>
      </c>
      <c r="GG539" s="101">
        <f t="shared" si="351"/>
        <v>5.5199999999999999E-2</v>
      </c>
      <c r="GH539" s="101">
        <f t="shared" si="352"/>
        <v>1</v>
      </c>
      <c r="GI539" s="101">
        <f t="shared" si="353"/>
        <v>6</v>
      </c>
      <c r="GJ539" s="101">
        <f t="shared" si="354"/>
        <v>0.221</v>
      </c>
      <c r="GK539" s="101">
        <f t="shared" si="355"/>
        <v>1</v>
      </c>
      <c r="GL539" s="101">
        <f t="shared" si="356"/>
        <v>14</v>
      </c>
    </row>
    <row r="540" spans="170:194" ht="16.5" x14ac:dyDescent="0.2">
      <c r="FN540" s="101">
        <v>535</v>
      </c>
      <c r="FO540" s="101">
        <f t="shared" si="341"/>
        <v>49</v>
      </c>
      <c r="FP540" s="101">
        <f t="shared" si="334"/>
        <v>7</v>
      </c>
      <c r="FQ540" s="14">
        <f t="shared" si="335"/>
        <v>4</v>
      </c>
      <c r="FR540" s="101" t="str">
        <f t="shared" si="342"/>
        <v>夏侯渊专属武器-魂珠-6 4级</v>
      </c>
      <c r="FS540" s="101">
        <f t="shared" si="343"/>
        <v>6</v>
      </c>
      <c r="FT540" s="101">
        <f t="shared" si="344"/>
        <v>4</v>
      </c>
      <c r="FU540" s="101" t="str">
        <f t="shared" si="336"/>
        <v>金币</v>
      </c>
      <c r="FV540" s="139">
        <f>IF($FT540&gt;0,IF(INDEX($EI$6:$EI$77,$FO540)&gt;=FV$3,ROUND(INDEX(EK$6:EK$77,$FO540)*INDEX(卡牌消耗!$B$8:$F$8,FQ540)/5,0)*5,""),"")</f>
        <v>5235</v>
      </c>
      <c r="FW540" s="101" t="str">
        <f t="shared" si="337"/>
        <v>专属强化石3</v>
      </c>
      <c r="FX540" s="101">
        <f t="shared" si="338"/>
        <v>15</v>
      </c>
      <c r="FY540" s="101" t="str">
        <f t="shared" si="339"/>
        <v>专属强化石4</v>
      </c>
      <c r="FZ540" s="101">
        <f t="shared" si="340"/>
        <v>3</v>
      </c>
      <c r="GA540" s="101">
        <f t="shared" si="345"/>
        <v>0.1</v>
      </c>
      <c r="GB540" s="101">
        <f t="shared" si="346"/>
        <v>1</v>
      </c>
      <c r="GC540" s="101">
        <f t="shared" si="347"/>
        <v>15</v>
      </c>
      <c r="GD540" s="101">
        <f t="shared" si="348"/>
        <v>0</v>
      </c>
      <c r="GE540" s="101">
        <f t="shared" si="349"/>
        <v>1</v>
      </c>
      <c r="GF540" s="101">
        <f t="shared" si="350"/>
        <v>4</v>
      </c>
      <c r="GG540" s="101">
        <f t="shared" si="351"/>
        <v>4.9700000000000001E-2</v>
      </c>
      <c r="GH540" s="101">
        <f t="shared" si="352"/>
        <v>1</v>
      </c>
      <c r="GI540" s="101">
        <f t="shared" si="353"/>
        <v>7</v>
      </c>
      <c r="GJ540" s="101">
        <f t="shared" si="354"/>
        <v>0.19889999999999999</v>
      </c>
      <c r="GK540" s="101">
        <f t="shared" si="355"/>
        <v>1</v>
      </c>
      <c r="GL540" s="101">
        <f t="shared" si="356"/>
        <v>15</v>
      </c>
    </row>
    <row r="541" spans="170:194" ht="16.5" x14ac:dyDescent="0.2">
      <c r="FN541" s="101">
        <v>536</v>
      </c>
      <c r="FO541" s="101">
        <f t="shared" si="341"/>
        <v>50</v>
      </c>
      <c r="FP541" s="101">
        <f t="shared" si="334"/>
        <v>7</v>
      </c>
      <c r="FQ541" s="14">
        <f t="shared" si="335"/>
        <v>4</v>
      </c>
      <c r="FR541" s="101" t="str">
        <f t="shared" si="342"/>
        <v>夏侯渊专属武器-魂珠-6 5级</v>
      </c>
      <c r="FS541" s="101">
        <f t="shared" si="343"/>
        <v>6</v>
      </c>
      <c r="FT541" s="101">
        <f t="shared" si="344"/>
        <v>5</v>
      </c>
      <c r="FU541" s="101" t="str">
        <f t="shared" si="336"/>
        <v>金币</v>
      </c>
      <c r="FV541" s="139">
        <f>IF($FT541&gt;0,IF(INDEX($EI$6:$EI$77,$FO541)&gt;=FV$3,ROUND(INDEX(EK$6:EK$77,$FO541)*INDEX(卡牌消耗!$B$8:$F$8,FQ541)/5,0)*5,""),"")</f>
        <v>5315</v>
      </c>
      <c r="FW541" s="101" t="str">
        <f t="shared" si="337"/>
        <v>专属强化石3</v>
      </c>
      <c r="FX541" s="101">
        <f t="shared" si="338"/>
        <v>15</v>
      </c>
      <c r="FY541" s="101" t="str">
        <f t="shared" si="339"/>
        <v>专属强化石4</v>
      </c>
      <c r="FZ541" s="101">
        <f t="shared" si="340"/>
        <v>3</v>
      </c>
      <c r="GA541" s="101">
        <f t="shared" si="345"/>
        <v>0.06</v>
      </c>
      <c r="GB541" s="101">
        <f t="shared" si="346"/>
        <v>1</v>
      </c>
      <c r="GC541" s="101">
        <f t="shared" si="347"/>
        <v>24</v>
      </c>
      <c r="GD541" s="101">
        <f t="shared" si="348"/>
        <v>0</v>
      </c>
      <c r="GE541" s="101">
        <f t="shared" si="349"/>
        <v>1</v>
      </c>
      <c r="GF541" s="101">
        <f t="shared" si="350"/>
        <v>6</v>
      </c>
      <c r="GG541" s="101">
        <f t="shared" si="351"/>
        <v>3.1099999999999999E-2</v>
      </c>
      <c r="GH541" s="101">
        <f t="shared" si="352"/>
        <v>1</v>
      </c>
      <c r="GI541" s="101">
        <f t="shared" si="353"/>
        <v>11</v>
      </c>
      <c r="GJ541" s="101">
        <f t="shared" si="354"/>
        <v>0.12429999999999999</v>
      </c>
      <c r="GK541" s="101">
        <f t="shared" si="355"/>
        <v>1</v>
      </c>
      <c r="GL541" s="101">
        <f t="shared" si="356"/>
        <v>24</v>
      </c>
    </row>
    <row r="542" spans="170:194" ht="16.5" x14ac:dyDescent="0.2">
      <c r="FN542" s="101">
        <v>537</v>
      </c>
      <c r="FO542" s="101">
        <f t="shared" si="341"/>
        <v>51</v>
      </c>
      <c r="FP542" s="101">
        <f t="shared" si="334"/>
        <v>7</v>
      </c>
      <c r="FQ542" s="14">
        <f t="shared" si="335"/>
        <v>4</v>
      </c>
      <c r="FR542" s="101" t="str">
        <f t="shared" si="342"/>
        <v>夏侯渊专属武器-魂珠-6 6级</v>
      </c>
      <c r="FS542" s="101">
        <f t="shared" si="343"/>
        <v>6</v>
      </c>
      <c r="FT542" s="101">
        <f t="shared" si="344"/>
        <v>6</v>
      </c>
      <c r="FU542" s="101" t="str">
        <f t="shared" si="336"/>
        <v>金币</v>
      </c>
      <c r="FV542" s="139">
        <f>IF($FT542&gt;0,IF(INDEX($EI$6:$EI$77,$FO542)&gt;=FV$3,ROUND(INDEX(EK$6:EK$77,$FO542)*INDEX(卡牌消耗!$B$8:$F$8,FQ542)/5,0)*5,""),"")</f>
        <v>7045</v>
      </c>
      <c r="FW542" s="101" t="str">
        <f t="shared" si="337"/>
        <v>专属强化石3</v>
      </c>
      <c r="FX542" s="101">
        <f t="shared" si="338"/>
        <v>20</v>
      </c>
      <c r="FY542" s="101" t="str">
        <f t="shared" si="339"/>
        <v>专属强化石4</v>
      </c>
      <c r="FZ542" s="101">
        <f t="shared" si="340"/>
        <v>4</v>
      </c>
      <c r="GA542" s="101">
        <f t="shared" si="345"/>
        <v>0.05</v>
      </c>
      <c r="GB542" s="101">
        <f t="shared" si="346"/>
        <v>1</v>
      </c>
      <c r="GC542" s="101">
        <f t="shared" si="347"/>
        <v>29</v>
      </c>
      <c r="GD542" s="101">
        <f t="shared" si="348"/>
        <v>0</v>
      </c>
      <c r="GE542" s="101">
        <f t="shared" si="349"/>
        <v>1</v>
      </c>
      <c r="GF542" s="101">
        <f t="shared" si="350"/>
        <v>7</v>
      </c>
      <c r="GG542" s="101">
        <f t="shared" si="351"/>
        <v>2.5499999999999998E-2</v>
      </c>
      <c r="GH542" s="101">
        <f t="shared" si="352"/>
        <v>1</v>
      </c>
      <c r="GI542" s="101">
        <f t="shared" si="353"/>
        <v>14</v>
      </c>
      <c r="GJ542" s="101">
        <f t="shared" si="354"/>
        <v>0.10199999999999999</v>
      </c>
      <c r="GK542" s="101">
        <f t="shared" si="355"/>
        <v>1</v>
      </c>
      <c r="GL542" s="101">
        <f t="shared" si="356"/>
        <v>29</v>
      </c>
    </row>
    <row r="543" spans="170:194" ht="16.5" x14ac:dyDescent="0.2">
      <c r="FN543" s="101">
        <v>538</v>
      </c>
      <c r="FO543" s="101">
        <f t="shared" si="341"/>
        <v>52</v>
      </c>
      <c r="FP543" s="101">
        <f t="shared" si="334"/>
        <v>7</v>
      </c>
      <c r="FQ543" s="14">
        <f t="shared" si="335"/>
        <v>4</v>
      </c>
      <c r="FR543" s="101" t="str">
        <f t="shared" si="342"/>
        <v>夏侯渊专属武器-魂珠-6 7级</v>
      </c>
      <c r="FS543" s="101">
        <f t="shared" si="343"/>
        <v>6</v>
      </c>
      <c r="FT543" s="101">
        <f t="shared" si="344"/>
        <v>7</v>
      </c>
      <c r="FU543" s="101" t="str">
        <f t="shared" si="336"/>
        <v>金币</v>
      </c>
      <c r="FV543" s="139">
        <f>IF($FT543&gt;0,IF(INDEX($EI$6:$EI$77,$FO543)&gt;=FV$3,ROUND(INDEX(EK$6:EK$77,$FO543)*INDEX(卡牌消耗!$B$8:$F$8,FQ543)/5,0)*5,""),"")</f>
        <v>8830</v>
      </c>
      <c r="FW543" s="101" t="str">
        <f t="shared" si="337"/>
        <v>专属强化石3</v>
      </c>
      <c r="FX543" s="101">
        <f t="shared" si="338"/>
        <v>25</v>
      </c>
      <c r="FY543" s="101" t="str">
        <f t="shared" si="339"/>
        <v>专属强化石4</v>
      </c>
      <c r="FZ543" s="101">
        <f t="shared" si="340"/>
        <v>5</v>
      </c>
      <c r="GA543" s="101">
        <f t="shared" si="345"/>
        <v>0.04</v>
      </c>
      <c r="GB543" s="101">
        <f t="shared" si="346"/>
        <v>1</v>
      </c>
      <c r="GC543" s="101">
        <f t="shared" si="347"/>
        <v>38</v>
      </c>
      <c r="GD543" s="101">
        <f t="shared" si="348"/>
        <v>0</v>
      </c>
      <c r="GE543" s="101">
        <f t="shared" si="349"/>
        <v>1</v>
      </c>
      <c r="GF543" s="101">
        <f t="shared" si="350"/>
        <v>9</v>
      </c>
      <c r="GG543" s="101">
        <f t="shared" si="351"/>
        <v>1.9699999999999999E-2</v>
      </c>
      <c r="GH543" s="101">
        <f t="shared" si="352"/>
        <v>1</v>
      </c>
      <c r="GI543" s="101">
        <f t="shared" si="353"/>
        <v>18</v>
      </c>
      <c r="GJ543" s="101">
        <f t="shared" si="354"/>
        <v>7.8899999999999998E-2</v>
      </c>
      <c r="GK543" s="101">
        <f t="shared" si="355"/>
        <v>1</v>
      </c>
      <c r="GL543" s="101">
        <f t="shared" si="356"/>
        <v>38</v>
      </c>
    </row>
    <row r="544" spans="170:194" ht="16.5" x14ac:dyDescent="0.2">
      <c r="FN544" s="101">
        <v>539</v>
      </c>
      <c r="FO544" s="101">
        <f t="shared" si="341"/>
        <v>53</v>
      </c>
      <c r="FP544" s="101">
        <f t="shared" si="334"/>
        <v>7</v>
      </c>
      <c r="FQ544" s="14">
        <f t="shared" si="335"/>
        <v>4</v>
      </c>
      <c r="FR544" s="101" t="str">
        <f t="shared" si="342"/>
        <v>夏侯渊专属武器-魂珠-6 8级</v>
      </c>
      <c r="FS544" s="101">
        <f t="shared" si="343"/>
        <v>6</v>
      </c>
      <c r="FT544" s="101">
        <f t="shared" si="344"/>
        <v>8</v>
      </c>
      <c r="FU544" s="101" t="str">
        <f t="shared" si="336"/>
        <v>金币</v>
      </c>
      <c r="FV544" s="139">
        <f>IF($FT544&gt;0,IF(INDEX($EI$6:$EI$77,$FO544)&gt;=FV$3,ROUND(INDEX(EK$6:EK$77,$FO544)*INDEX(卡牌消耗!$B$8:$F$8,FQ544)/5,0)*5,""),"")</f>
        <v>12350</v>
      </c>
      <c r="FW544" s="101" t="str">
        <f t="shared" si="337"/>
        <v>专属强化石3</v>
      </c>
      <c r="FX544" s="101">
        <f t="shared" si="338"/>
        <v>35</v>
      </c>
      <c r="FY544" s="101" t="str">
        <f t="shared" si="339"/>
        <v>专属强化石4</v>
      </c>
      <c r="FZ544" s="101">
        <f t="shared" si="340"/>
        <v>7</v>
      </c>
      <c r="GA544" s="101">
        <f t="shared" si="345"/>
        <v>0.03</v>
      </c>
      <c r="GB544" s="101">
        <f t="shared" si="346"/>
        <v>1</v>
      </c>
      <c r="GC544" s="101">
        <f t="shared" si="347"/>
        <v>44</v>
      </c>
      <c r="GD544" s="101">
        <f t="shared" si="348"/>
        <v>0</v>
      </c>
      <c r="GE544" s="101">
        <f t="shared" si="349"/>
        <v>1</v>
      </c>
      <c r="GF544" s="101">
        <f t="shared" si="350"/>
        <v>10</v>
      </c>
      <c r="GG544" s="101">
        <f t="shared" si="351"/>
        <v>1.7100000000000001E-2</v>
      </c>
      <c r="GH544" s="101">
        <f t="shared" si="352"/>
        <v>1</v>
      </c>
      <c r="GI544" s="101">
        <f t="shared" si="353"/>
        <v>21</v>
      </c>
      <c r="GJ544" s="101">
        <f t="shared" si="354"/>
        <v>6.8199999999999997E-2</v>
      </c>
      <c r="GK544" s="101">
        <f t="shared" si="355"/>
        <v>1</v>
      </c>
      <c r="GL544" s="101">
        <f t="shared" si="356"/>
        <v>44</v>
      </c>
    </row>
    <row r="545" spans="170:194" ht="16.5" x14ac:dyDescent="0.2">
      <c r="FN545" s="101">
        <v>540</v>
      </c>
      <c r="FO545" s="101">
        <f t="shared" si="341"/>
        <v>54</v>
      </c>
      <c r="FP545" s="101">
        <f t="shared" si="334"/>
        <v>7</v>
      </c>
      <c r="FQ545" s="14">
        <f t="shared" si="335"/>
        <v>4</v>
      </c>
      <c r="FR545" s="101" t="str">
        <f t="shared" si="342"/>
        <v>夏侯渊专属武器-魂珠-6 9级</v>
      </c>
      <c r="FS545" s="101">
        <f t="shared" si="343"/>
        <v>6</v>
      </c>
      <c r="FT545" s="101">
        <f t="shared" si="344"/>
        <v>9</v>
      </c>
      <c r="FU545" s="101" t="str">
        <f t="shared" si="336"/>
        <v>金币</v>
      </c>
      <c r="FV545" s="139">
        <f>IF($FT545&gt;0,IF(INDEX($EI$6:$EI$77,$FO545)&gt;=FV$3,ROUND(INDEX(EK$6:EK$77,$FO545)*INDEX(卡牌消耗!$B$8:$F$8,FQ545)/5,0)*5,""),"")</f>
        <v>14120</v>
      </c>
      <c r="FW545" s="101" t="str">
        <f t="shared" si="337"/>
        <v>专属强化石3</v>
      </c>
      <c r="FX545" s="101">
        <f t="shared" si="338"/>
        <v>40</v>
      </c>
      <c r="FY545" s="101" t="str">
        <f t="shared" si="339"/>
        <v>专属强化石4</v>
      </c>
      <c r="FZ545" s="101">
        <f t="shared" si="340"/>
        <v>8</v>
      </c>
      <c r="GA545" s="101">
        <f t="shared" si="345"/>
        <v>0.02</v>
      </c>
      <c r="GB545" s="101">
        <f t="shared" si="346"/>
        <v>1</v>
      </c>
      <c r="GC545" s="101">
        <f t="shared" si="347"/>
        <v>62</v>
      </c>
      <c r="GD545" s="101">
        <f t="shared" si="348"/>
        <v>0</v>
      </c>
      <c r="GE545" s="101">
        <f t="shared" si="349"/>
        <v>1</v>
      </c>
      <c r="GF545" s="101">
        <f t="shared" si="350"/>
        <v>15</v>
      </c>
      <c r="GG545" s="101">
        <f t="shared" si="351"/>
        <v>1.21E-2</v>
      </c>
      <c r="GH545" s="101">
        <f t="shared" si="352"/>
        <v>1</v>
      </c>
      <c r="GI545" s="101">
        <f t="shared" si="353"/>
        <v>29</v>
      </c>
      <c r="GJ545" s="101">
        <f t="shared" si="354"/>
        <v>4.82E-2</v>
      </c>
      <c r="GK545" s="101">
        <f t="shared" si="355"/>
        <v>1</v>
      </c>
      <c r="GL545" s="101">
        <f t="shared" si="356"/>
        <v>62</v>
      </c>
    </row>
    <row r="546" spans="170:194" ht="16.5" x14ac:dyDescent="0.2">
      <c r="FN546" s="101">
        <v>541</v>
      </c>
      <c r="FO546" s="101">
        <f t="shared" si="341"/>
        <v>0</v>
      </c>
      <c r="FP546" s="101">
        <f t="shared" si="334"/>
        <v>7</v>
      </c>
      <c r="FQ546" s="14">
        <f t="shared" si="335"/>
        <v>4</v>
      </c>
      <c r="FR546" s="101" t="str">
        <f t="shared" si="342"/>
        <v>夏侯渊专属武器-魂珠-7 0级</v>
      </c>
      <c r="FS546" s="101">
        <f t="shared" si="343"/>
        <v>7</v>
      </c>
      <c r="FT546" s="101">
        <f t="shared" si="344"/>
        <v>0</v>
      </c>
      <c r="FU546" s="101" t="str">
        <f t="shared" si="336"/>
        <v/>
      </c>
      <c r="FV546" s="139" t="str">
        <f>IF($FT546&gt;0,IF(INDEX($EI$6:$EI$77,$FO546)&gt;=FV$3,ROUND(INDEX(EK$6:EK$77,$FO546)*INDEX(卡牌消耗!$B$8:$F$8,FQ546)/5,0)*5,""),"")</f>
        <v/>
      </c>
      <c r="FW546" s="101" t="str">
        <f t="shared" si="337"/>
        <v/>
      </c>
      <c r="FX546" s="101" t="str">
        <f t="shared" si="338"/>
        <v/>
      </c>
      <c r="FY546" s="101" t="str">
        <f t="shared" si="339"/>
        <v/>
      </c>
      <c r="FZ546" s="101" t="str">
        <f t="shared" si="340"/>
        <v/>
      </c>
      <c r="GA546" s="101" t="str">
        <f t="shared" si="345"/>
        <v/>
      </c>
      <c r="GB546" s="101" t="str">
        <f t="shared" si="346"/>
        <v/>
      </c>
      <c r="GC546" s="101" t="str">
        <f t="shared" si="347"/>
        <v/>
      </c>
      <c r="GD546" s="101" t="str">
        <f t="shared" si="348"/>
        <v/>
      </c>
      <c r="GE546" s="101" t="str">
        <f t="shared" si="349"/>
        <v/>
      </c>
      <c r="GF546" s="101" t="str">
        <f t="shared" si="350"/>
        <v/>
      </c>
      <c r="GG546" s="101" t="str">
        <f t="shared" si="351"/>
        <v/>
      </c>
      <c r="GH546" s="101" t="str">
        <f t="shared" si="352"/>
        <v/>
      </c>
      <c r="GI546" s="101" t="str">
        <f t="shared" si="353"/>
        <v/>
      </c>
      <c r="GJ546" s="101" t="str">
        <f t="shared" si="354"/>
        <v/>
      </c>
      <c r="GK546" s="101" t="str">
        <f t="shared" si="355"/>
        <v/>
      </c>
      <c r="GL546" s="101" t="str">
        <f t="shared" si="356"/>
        <v/>
      </c>
    </row>
    <row r="547" spans="170:194" ht="16.5" x14ac:dyDescent="0.2">
      <c r="FN547" s="101">
        <v>542</v>
      </c>
      <c r="FO547" s="101">
        <f t="shared" si="341"/>
        <v>55</v>
      </c>
      <c r="FP547" s="101">
        <f t="shared" si="334"/>
        <v>7</v>
      </c>
      <c r="FQ547" s="14">
        <f t="shared" si="335"/>
        <v>4</v>
      </c>
      <c r="FR547" s="101" t="str">
        <f t="shared" si="342"/>
        <v>夏侯渊专属武器-魂珠-7 1级</v>
      </c>
      <c r="FS547" s="101">
        <f t="shared" si="343"/>
        <v>7</v>
      </c>
      <c r="FT547" s="101">
        <f t="shared" si="344"/>
        <v>1</v>
      </c>
      <c r="FU547" s="101" t="str">
        <f t="shared" si="336"/>
        <v>金币</v>
      </c>
      <c r="FV547" s="139">
        <f>IF($FT547&gt;0,IF(INDEX($EI$6:$EI$77,$FO547)&gt;=FV$3,ROUND(INDEX(EK$6:EK$77,$FO547)*INDEX(卡牌消耗!$B$8:$F$8,FQ547)/5,0)*5,""),"")</f>
        <v>18130</v>
      </c>
      <c r="FW547" s="101" t="str">
        <f t="shared" si="337"/>
        <v>专属强化石3</v>
      </c>
      <c r="FX547" s="101">
        <f t="shared" si="338"/>
        <v>6</v>
      </c>
      <c r="FY547" s="101" t="str">
        <f t="shared" si="339"/>
        <v>专属强化石4</v>
      </c>
      <c r="FZ547" s="101">
        <f t="shared" si="340"/>
        <v>2</v>
      </c>
      <c r="GA547" s="101">
        <f t="shared" si="345"/>
        <v>0.2</v>
      </c>
      <c r="GB547" s="101">
        <f t="shared" si="346"/>
        <v>1</v>
      </c>
      <c r="GC547" s="101">
        <f t="shared" si="347"/>
        <v>8</v>
      </c>
      <c r="GD547" s="101">
        <f t="shared" si="348"/>
        <v>0</v>
      </c>
      <c r="GE547" s="101">
        <f t="shared" si="349"/>
        <v>1</v>
      </c>
      <c r="GF547" s="101">
        <f t="shared" si="350"/>
        <v>2</v>
      </c>
      <c r="GG547" s="101">
        <f t="shared" si="351"/>
        <v>9.9400000000000002E-2</v>
      </c>
      <c r="GH547" s="101">
        <f t="shared" si="352"/>
        <v>1</v>
      </c>
      <c r="GI547" s="101">
        <f t="shared" si="353"/>
        <v>4</v>
      </c>
      <c r="GJ547" s="101">
        <f t="shared" si="354"/>
        <v>0.3977</v>
      </c>
      <c r="GK547" s="101">
        <f t="shared" si="355"/>
        <v>1</v>
      </c>
      <c r="GL547" s="101">
        <f t="shared" si="356"/>
        <v>8</v>
      </c>
    </row>
    <row r="548" spans="170:194" ht="16.5" x14ac:dyDescent="0.2">
      <c r="FN548" s="101">
        <v>543</v>
      </c>
      <c r="FO548" s="101">
        <f t="shared" si="341"/>
        <v>56</v>
      </c>
      <c r="FP548" s="101">
        <f t="shared" si="334"/>
        <v>7</v>
      </c>
      <c r="FQ548" s="14">
        <f t="shared" si="335"/>
        <v>4</v>
      </c>
      <c r="FR548" s="101" t="str">
        <f t="shared" si="342"/>
        <v>夏侯渊专属武器-魂珠-7 2级</v>
      </c>
      <c r="FS548" s="101">
        <f t="shared" si="343"/>
        <v>7</v>
      </c>
      <c r="FT548" s="101">
        <f t="shared" si="344"/>
        <v>2</v>
      </c>
      <c r="FU548" s="101" t="str">
        <f t="shared" si="336"/>
        <v>金币</v>
      </c>
      <c r="FV548" s="139">
        <f>IF($FT548&gt;0,IF(INDEX($EI$6:$EI$77,$FO548)&gt;=FV$3,ROUND(INDEX(EK$6:EK$77,$FO548)*INDEX(卡牌消耗!$B$8:$F$8,FQ548)/5,0)*5,""),"")</f>
        <v>13600</v>
      </c>
      <c r="FW548" s="101" t="str">
        <f t="shared" si="337"/>
        <v>专属强化石3</v>
      </c>
      <c r="FX548" s="101">
        <f t="shared" si="338"/>
        <v>6</v>
      </c>
      <c r="FY548" s="101" t="str">
        <f t="shared" si="339"/>
        <v>专属强化石4</v>
      </c>
      <c r="FZ548" s="101">
        <f t="shared" si="340"/>
        <v>2</v>
      </c>
      <c r="GA548" s="101">
        <f t="shared" si="345"/>
        <v>0.1</v>
      </c>
      <c r="GB548" s="101">
        <f t="shared" si="346"/>
        <v>1</v>
      </c>
      <c r="GC548" s="101">
        <f t="shared" si="347"/>
        <v>15</v>
      </c>
      <c r="GD548" s="101">
        <f t="shared" si="348"/>
        <v>0</v>
      </c>
      <c r="GE548" s="101">
        <f t="shared" si="349"/>
        <v>1</v>
      </c>
      <c r="GF548" s="101">
        <f t="shared" si="350"/>
        <v>4</v>
      </c>
      <c r="GG548" s="101">
        <f t="shared" si="351"/>
        <v>4.9700000000000001E-2</v>
      </c>
      <c r="GH548" s="101">
        <f t="shared" si="352"/>
        <v>1</v>
      </c>
      <c r="GI548" s="101">
        <f t="shared" si="353"/>
        <v>7</v>
      </c>
      <c r="GJ548" s="101">
        <f t="shared" si="354"/>
        <v>0.19889999999999999</v>
      </c>
      <c r="GK548" s="101">
        <f t="shared" si="355"/>
        <v>1</v>
      </c>
      <c r="GL548" s="101">
        <f t="shared" si="356"/>
        <v>15</v>
      </c>
    </row>
    <row r="549" spans="170:194" ht="16.5" x14ac:dyDescent="0.2">
      <c r="FN549" s="101">
        <v>544</v>
      </c>
      <c r="FO549" s="101">
        <f t="shared" si="341"/>
        <v>57</v>
      </c>
      <c r="FP549" s="101">
        <f t="shared" si="334"/>
        <v>7</v>
      </c>
      <c r="FQ549" s="14">
        <f t="shared" si="335"/>
        <v>4</v>
      </c>
      <c r="FR549" s="101" t="str">
        <f t="shared" si="342"/>
        <v>夏侯渊专属武器-魂珠-7 3级</v>
      </c>
      <c r="FS549" s="101">
        <f t="shared" si="343"/>
        <v>7</v>
      </c>
      <c r="FT549" s="101">
        <f t="shared" si="344"/>
        <v>3</v>
      </c>
      <c r="FU549" s="101" t="str">
        <f t="shared" si="336"/>
        <v>金币</v>
      </c>
      <c r="FV549" s="139">
        <f>IF($FT549&gt;0,IF(INDEX($EI$6:$EI$77,$FO549)&gt;=FV$3,ROUND(INDEX(EK$6:EK$77,$FO549)*INDEX(卡牌消耗!$B$8:$F$8,FQ549)/5,0)*5,""),"")</f>
        <v>22665</v>
      </c>
      <c r="FW549" s="101" t="str">
        <f t="shared" si="337"/>
        <v>专属强化石3</v>
      </c>
      <c r="FX549" s="101">
        <f t="shared" si="338"/>
        <v>9</v>
      </c>
      <c r="FY549" s="101" t="str">
        <f t="shared" si="339"/>
        <v>专属强化石4</v>
      </c>
      <c r="FZ549" s="101">
        <f t="shared" si="340"/>
        <v>3</v>
      </c>
      <c r="GA549" s="101">
        <f t="shared" si="345"/>
        <v>0.1</v>
      </c>
      <c r="GB549" s="101">
        <f t="shared" si="346"/>
        <v>1</v>
      </c>
      <c r="GC549" s="101">
        <f t="shared" si="347"/>
        <v>15</v>
      </c>
      <c r="GD549" s="101">
        <f t="shared" si="348"/>
        <v>0</v>
      </c>
      <c r="GE549" s="101">
        <f t="shared" si="349"/>
        <v>1</v>
      </c>
      <c r="GF549" s="101">
        <f t="shared" si="350"/>
        <v>4</v>
      </c>
      <c r="GG549" s="101">
        <f t="shared" si="351"/>
        <v>4.9700000000000001E-2</v>
      </c>
      <c r="GH549" s="101">
        <f t="shared" si="352"/>
        <v>1</v>
      </c>
      <c r="GI549" s="101">
        <f t="shared" si="353"/>
        <v>7</v>
      </c>
      <c r="GJ549" s="101">
        <f t="shared" si="354"/>
        <v>0.19889999999999999</v>
      </c>
      <c r="GK549" s="101">
        <f t="shared" si="355"/>
        <v>1</v>
      </c>
      <c r="GL549" s="101">
        <f t="shared" si="356"/>
        <v>15</v>
      </c>
    </row>
    <row r="550" spans="170:194" ht="16.5" x14ac:dyDescent="0.2">
      <c r="FN550" s="101">
        <v>545</v>
      </c>
      <c r="FO550" s="101">
        <f t="shared" si="341"/>
        <v>58</v>
      </c>
      <c r="FP550" s="101">
        <f t="shared" si="334"/>
        <v>7</v>
      </c>
      <c r="FQ550" s="14">
        <f t="shared" si="335"/>
        <v>4</v>
      </c>
      <c r="FR550" s="101" t="str">
        <f t="shared" si="342"/>
        <v>夏侯渊专属武器-魂珠-7 4级</v>
      </c>
      <c r="FS550" s="101">
        <f t="shared" si="343"/>
        <v>7</v>
      </c>
      <c r="FT550" s="101">
        <f t="shared" si="344"/>
        <v>4</v>
      </c>
      <c r="FU550" s="101" t="str">
        <f t="shared" si="336"/>
        <v>金币</v>
      </c>
      <c r="FV550" s="139">
        <f>IF($FT550&gt;0,IF(INDEX($EI$6:$EI$77,$FO550)&gt;=FV$3,ROUND(INDEX(EK$6:EK$77,$FO550)*INDEX(卡牌消耗!$B$8:$F$8,FQ550)/5,0)*5,""),"")</f>
        <v>29010</v>
      </c>
      <c r="FW550" s="101" t="str">
        <f t="shared" si="337"/>
        <v>专属强化石3</v>
      </c>
      <c r="FX550" s="101">
        <f t="shared" si="338"/>
        <v>12</v>
      </c>
      <c r="FY550" s="101" t="str">
        <f t="shared" si="339"/>
        <v>专属强化石4</v>
      </c>
      <c r="FZ550" s="101">
        <f t="shared" si="340"/>
        <v>4</v>
      </c>
      <c r="GA550" s="101">
        <f t="shared" si="345"/>
        <v>0.08</v>
      </c>
      <c r="GB550" s="101">
        <f t="shared" si="346"/>
        <v>1</v>
      </c>
      <c r="GC550" s="101">
        <f t="shared" si="347"/>
        <v>19</v>
      </c>
      <c r="GD550" s="101">
        <f t="shared" si="348"/>
        <v>0</v>
      </c>
      <c r="GE550" s="101">
        <f t="shared" si="349"/>
        <v>1</v>
      </c>
      <c r="GF550" s="101">
        <f t="shared" si="350"/>
        <v>4</v>
      </c>
      <c r="GG550" s="101">
        <f t="shared" si="351"/>
        <v>3.9800000000000002E-2</v>
      </c>
      <c r="GH550" s="101">
        <f t="shared" si="352"/>
        <v>1</v>
      </c>
      <c r="GI550" s="101">
        <f t="shared" si="353"/>
        <v>9</v>
      </c>
      <c r="GJ550" s="101">
        <f t="shared" si="354"/>
        <v>0.15909999999999999</v>
      </c>
      <c r="GK550" s="101">
        <f t="shared" si="355"/>
        <v>1</v>
      </c>
      <c r="GL550" s="101">
        <f t="shared" si="356"/>
        <v>19</v>
      </c>
    </row>
    <row r="551" spans="170:194" ht="16.5" x14ac:dyDescent="0.2">
      <c r="FN551" s="101">
        <v>546</v>
      </c>
      <c r="FO551" s="101">
        <f t="shared" si="341"/>
        <v>59</v>
      </c>
      <c r="FP551" s="101">
        <f t="shared" si="334"/>
        <v>7</v>
      </c>
      <c r="FQ551" s="14">
        <f t="shared" si="335"/>
        <v>4</v>
      </c>
      <c r="FR551" s="101" t="str">
        <f t="shared" si="342"/>
        <v>夏侯渊专属武器-魂珠-7 5级</v>
      </c>
      <c r="FS551" s="101">
        <f t="shared" si="343"/>
        <v>7</v>
      </c>
      <c r="FT551" s="101">
        <f t="shared" si="344"/>
        <v>5</v>
      </c>
      <c r="FU551" s="101" t="str">
        <f t="shared" si="336"/>
        <v>金币</v>
      </c>
      <c r="FV551" s="139">
        <f>IF($FT551&gt;0,IF(INDEX($EI$6:$EI$77,$FO551)&gt;=FV$3,ROUND(INDEX(EK$6:EK$77,$FO551)*INDEX(卡牌消耗!$B$8:$F$8,FQ551)/5,0)*5,""),"")</f>
        <v>29465</v>
      </c>
      <c r="FW551" s="101" t="str">
        <f t="shared" si="337"/>
        <v>专属强化石3</v>
      </c>
      <c r="FX551" s="101">
        <f t="shared" si="338"/>
        <v>12</v>
      </c>
      <c r="FY551" s="101" t="str">
        <f t="shared" si="339"/>
        <v>专属强化石4</v>
      </c>
      <c r="FZ551" s="101">
        <f t="shared" si="340"/>
        <v>4</v>
      </c>
      <c r="GA551" s="101">
        <f t="shared" si="345"/>
        <v>0.05</v>
      </c>
      <c r="GB551" s="101">
        <f t="shared" si="346"/>
        <v>1</v>
      </c>
      <c r="GC551" s="101">
        <f t="shared" si="347"/>
        <v>30</v>
      </c>
      <c r="GD551" s="101">
        <f t="shared" si="348"/>
        <v>0</v>
      </c>
      <c r="GE551" s="101">
        <f t="shared" si="349"/>
        <v>1</v>
      </c>
      <c r="GF551" s="101">
        <f t="shared" si="350"/>
        <v>7</v>
      </c>
      <c r="GG551" s="101">
        <f t="shared" si="351"/>
        <v>2.4899999999999999E-2</v>
      </c>
      <c r="GH551" s="101">
        <f t="shared" si="352"/>
        <v>1</v>
      </c>
      <c r="GI551" s="101">
        <f t="shared" si="353"/>
        <v>14</v>
      </c>
      <c r="GJ551" s="101">
        <f t="shared" si="354"/>
        <v>9.9400000000000002E-2</v>
      </c>
      <c r="GK551" s="101">
        <f t="shared" si="355"/>
        <v>1</v>
      </c>
      <c r="GL551" s="101">
        <f t="shared" si="356"/>
        <v>30</v>
      </c>
    </row>
    <row r="552" spans="170:194" ht="16.5" x14ac:dyDescent="0.2">
      <c r="FN552" s="101">
        <v>547</v>
      </c>
      <c r="FO552" s="101">
        <f t="shared" si="341"/>
        <v>60</v>
      </c>
      <c r="FP552" s="101">
        <f t="shared" si="334"/>
        <v>7</v>
      </c>
      <c r="FQ552" s="14">
        <f t="shared" si="335"/>
        <v>4</v>
      </c>
      <c r="FR552" s="101" t="str">
        <f t="shared" si="342"/>
        <v>夏侯渊专属武器-魂珠-7 6级</v>
      </c>
      <c r="FS552" s="101">
        <f t="shared" si="343"/>
        <v>7</v>
      </c>
      <c r="FT552" s="101">
        <f t="shared" si="344"/>
        <v>6</v>
      </c>
      <c r="FU552" s="101" t="str">
        <f t="shared" si="336"/>
        <v>金币</v>
      </c>
      <c r="FV552" s="139">
        <f>IF($FT552&gt;0,IF(INDEX($EI$6:$EI$77,$FO552)&gt;=FV$3,ROUND(INDEX(EK$6:EK$77,$FO552)*INDEX(卡牌消耗!$B$8:$F$8,FQ552)/5,0)*5,""),"")</f>
        <v>36610</v>
      </c>
      <c r="FW552" s="101" t="str">
        <f t="shared" si="337"/>
        <v>专属强化石3</v>
      </c>
      <c r="FX552" s="101">
        <f t="shared" si="338"/>
        <v>15</v>
      </c>
      <c r="FY552" s="101" t="str">
        <f t="shared" si="339"/>
        <v>专属强化石4</v>
      </c>
      <c r="FZ552" s="101">
        <f t="shared" si="340"/>
        <v>5</v>
      </c>
      <c r="GA552" s="101">
        <f t="shared" si="345"/>
        <v>0.04</v>
      </c>
      <c r="GB552" s="101">
        <f t="shared" si="346"/>
        <v>1</v>
      </c>
      <c r="GC552" s="101">
        <f t="shared" si="347"/>
        <v>39</v>
      </c>
      <c r="GD552" s="101">
        <f t="shared" si="348"/>
        <v>0</v>
      </c>
      <c r="GE552" s="101">
        <f t="shared" si="349"/>
        <v>1</v>
      </c>
      <c r="GF552" s="101">
        <f t="shared" si="350"/>
        <v>9</v>
      </c>
      <c r="GG552" s="101">
        <f t="shared" si="351"/>
        <v>1.9099999999999999E-2</v>
      </c>
      <c r="GH552" s="101">
        <f t="shared" si="352"/>
        <v>1</v>
      </c>
      <c r="GI552" s="101">
        <f t="shared" si="353"/>
        <v>18</v>
      </c>
      <c r="GJ552" s="101">
        <f t="shared" si="354"/>
        <v>7.6499999999999999E-2</v>
      </c>
      <c r="GK552" s="101">
        <f t="shared" si="355"/>
        <v>1</v>
      </c>
      <c r="GL552" s="101">
        <f t="shared" si="356"/>
        <v>39</v>
      </c>
    </row>
    <row r="553" spans="170:194" ht="16.5" x14ac:dyDescent="0.2">
      <c r="FN553" s="101">
        <v>548</v>
      </c>
      <c r="FO553" s="101">
        <f t="shared" si="341"/>
        <v>61</v>
      </c>
      <c r="FP553" s="101">
        <f t="shared" si="334"/>
        <v>7</v>
      </c>
      <c r="FQ553" s="14">
        <f t="shared" si="335"/>
        <v>4</v>
      </c>
      <c r="FR553" s="101" t="str">
        <f t="shared" si="342"/>
        <v>夏侯渊专属武器-魂珠-7 7级</v>
      </c>
      <c r="FS553" s="101">
        <f t="shared" si="343"/>
        <v>7</v>
      </c>
      <c r="FT553" s="101">
        <f t="shared" si="344"/>
        <v>7</v>
      </c>
      <c r="FU553" s="101" t="str">
        <f t="shared" si="336"/>
        <v>金币</v>
      </c>
      <c r="FV553" s="139">
        <f>IF($FT553&gt;0,IF(INDEX($EI$6:$EI$77,$FO553)&gt;=FV$3,ROUND(INDEX(EK$6:EK$77,$FO553)*INDEX(卡牌消耗!$B$8:$F$8,FQ553)/5,0)*5,""),"")</f>
        <v>51370</v>
      </c>
      <c r="FW553" s="101" t="str">
        <f t="shared" si="337"/>
        <v>专属强化石3</v>
      </c>
      <c r="FX553" s="101">
        <f t="shared" si="338"/>
        <v>21</v>
      </c>
      <c r="FY553" s="101" t="str">
        <f t="shared" si="339"/>
        <v>专属强化石4</v>
      </c>
      <c r="FZ553" s="101">
        <f t="shared" si="340"/>
        <v>7</v>
      </c>
      <c r="GA553" s="101">
        <f t="shared" si="345"/>
        <v>0.03</v>
      </c>
      <c r="GB553" s="101">
        <f t="shared" si="346"/>
        <v>1</v>
      </c>
      <c r="GC553" s="101">
        <f t="shared" si="347"/>
        <v>45</v>
      </c>
      <c r="GD553" s="101">
        <f t="shared" si="348"/>
        <v>0</v>
      </c>
      <c r="GE553" s="101">
        <f t="shared" si="349"/>
        <v>1</v>
      </c>
      <c r="GF553" s="101">
        <f t="shared" si="350"/>
        <v>11</v>
      </c>
      <c r="GG553" s="101">
        <f t="shared" si="351"/>
        <v>1.66E-2</v>
      </c>
      <c r="GH553" s="101">
        <f t="shared" si="352"/>
        <v>1</v>
      </c>
      <c r="GI553" s="101">
        <f t="shared" si="353"/>
        <v>21</v>
      </c>
      <c r="GJ553" s="101">
        <f t="shared" si="354"/>
        <v>6.6299999999999998E-2</v>
      </c>
      <c r="GK553" s="101">
        <f t="shared" si="355"/>
        <v>1</v>
      </c>
      <c r="GL553" s="101">
        <f t="shared" si="356"/>
        <v>45</v>
      </c>
    </row>
    <row r="554" spans="170:194" ht="16.5" x14ac:dyDescent="0.2">
      <c r="FN554" s="101">
        <v>549</v>
      </c>
      <c r="FO554" s="101">
        <f t="shared" si="341"/>
        <v>62</v>
      </c>
      <c r="FP554" s="101">
        <f t="shared" si="334"/>
        <v>7</v>
      </c>
      <c r="FQ554" s="14">
        <f t="shared" si="335"/>
        <v>4</v>
      </c>
      <c r="FR554" s="101" t="str">
        <f t="shared" si="342"/>
        <v>夏侯渊专属武器-魂珠-7 8级</v>
      </c>
      <c r="FS554" s="101">
        <f t="shared" si="343"/>
        <v>7</v>
      </c>
      <c r="FT554" s="101">
        <f t="shared" si="344"/>
        <v>8</v>
      </c>
      <c r="FU554" s="101" t="str">
        <f t="shared" si="336"/>
        <v>金币</v>
      </c>
      <c r="FV554" s="139">
        <f>IF($FT554&gt;0,IF(INDEX($EI$6:$EI$77,$FO554)&gt;=FV$3,ROUND(INDEX(EK$6:EK$77,$FO554)*INDEX(卡牌消耗!$B$8:$F$8,FQ554)/5,0)*5,""),"")</f>
        <v>58660</v>
      </c>
      <c r="FW554" s="101" t="str">
        <f t="shared" si="337"/>
        <v>专属强化石3</v>
      </c>
      <c r="FX554" s="101">
        <f t="shared" si="338"/>
        <v>24</v>
      </c>
      <c r="FY554" s="101" t="str">
        <f t="shared" si="339"/>
        <v>专属强化石4</v>
      </c>
      <c r="FZ554" s="101">
        <f t="shared" si="340"/>
        <v>8</v>
      </c>
      <c r="GA554" s="101">
        <f t="shared" si="345"/>
        <v>0.02</v>
      </c>
      <c r="GB554" s="101">
        <f t="shared" si="346"/>
        <v>1</v>
      </c>
      <c r="GC554" s="101">
        <f t="shared" si="347"/>
        <v>64</v>
      </c>
      <c r="GD554" s="101">
        <f t="shared" si="348"/>
        <v>0</v>
      </c>
      <c r="GE554" s="101">
        <f t="shared" si="349"/>
        <v>1</v>
      </c>
      <c r="GF554" s="101">
        <f t="shared" si="350"/>
        <v>15</v>
      </c>
      <c r="GG554" s="101">
        <f t="shared" si="351"/>
        <v>1.17E-2</v>
      </c>
      <c r="GH554" s="101">
        <f t="shared" si="352"/>
        <v>1</v>
      </c>
      <c r="GI554" s="101">
        <f t="shared" si="353"/>
        <v>30</v>
      </c>
      <c r="GJ554" s="101">
        <f t="shared" si="354"/>
        <v>4.6800000000000001E-2</v>
      </c>
      <c r="GK554" s="101">
        <f t="shared" si="355"/>
        <v>1</v>
      </c>
      <c r="GL554" s="101">
        <f t="shared" si="356"/>
        <v>64</v>
      </c>
    </row>
    <row r="555" spans="170:194" ht="16.5" x14ac:dyDescent="0.2">
      <c r="FN555" s="101">
        <v>550</v>
      </c>
      <c r="FO555" s="101">
        <f t="shared" si="341"/>
        <v>63</v>
      </c>
      <c r="FP555" s="101">
        <f t="shared" si="334"/>
        <v>7</v>
      </c>
      <c r="FQ555" s="14">
        <f t="shared" si="335"/>
        <v>4</v>
      </c>
      <c r="FR555" s="101" t="str">
        <f t="shared" si="342"/>
        <v>夏侯渊专属武器-魂珠-7 9级</v>
      </c>
      <c r="FS555" s="101">
        <f t="shared" si="343"/>
        <v>7</v>
      </c>
      <c r="FT555" s="101">
        <f t="shared" si="344"/>
        <v>9</v>
      </c>
      <c r="FU555" s="101" t="str">
        <f t="shared" si="336"/>
        <v>金币</v>
      </c>
      <c r="FV555" s="139">
        <f>IF($FT555&gt;0,IF(INDEX($EI$6:$EI$77,$FO555)&gt;=FV$3,ROUND(INDEX(EK$6:EK$77,$FO555)*INDEX(卡牌消耗!$B$8:$F$8,FQ555)/5,0)*5,""),"")</f>
        <v>73350</v>
      </c>
      <c r="FW555" s="101" t="str">
        <f t="shared" si="337"/>
        <v>专属强化石3</v>
      </c>
      <c r="FX555" s="101">
        <f t="shared" si="338"/>
        <v>30</v>
      </c>
      <c r="FY555" s="101" t="str">
        <f t="shared" si="339"/>
        <v>专属强化石4</v>
      </c>
      <c r="FZ555" s="101">
        <f t="shared" si="340"/>
        <v>10</v>
      </c>
      <c r="GA555" s="101">
        <f t="shared" si="345"/>
        <v>0.02</v>
      </c>
      <c r="GB555" s="101">
        <f t="shared" si="346"/>
        <v>1</v>
      </c>
      <c r="GC555" s="101">
        <f t="shared" si="347"/>
        <v>83</v>
      </c>
      <c r="GD555" s="101">
        <f t="shared" si="348"/>
        <v>0</v>
      </c>
      <c r="GE555" s="101">
        <f t="shared" si="349"/>
        <v>1</v>
      </c>
      <c r="GF555" s="101">
        <f t="shared" si="350"/>
        <v>19</v>
      </c>
      <c r="GG555" s="101">
        <f t="shared" si="351"/>
        <v>8.9999999999999993E-3</v>
      </c>
      <c r="GH555" s="101">
        <f t="shared" si="352"/>
        <v>1</v>
      </c>
      <c r="GI555" s="101">
        <f t="shared" si="353"/>
        <v>39</v>
      </c>
      <c r="GJ555" s="101">
        <f t="shared" si="354"/>
        <v>3.6200000000000003E-2</v>
      </c>
      <c r="GK555" s="101">
        <f t="shared" si="355"/>
        <v>1</v>
      </c>
      <c r="GL555" s="101">
        <f t="shared" si="356"/>
        <v>83</v>
      </c>
    </row>
    <row r="556" spans="170:194" ht="16.5" x14ac:dyDescent="0.2">
      <c r="FN556" s="101">
        <v>551</v>
      </c>
      <c r="FO556" s="101">
        <f t="shared" si="341"/>
        <v>0</v>
      </c>
      <c r="FP556" s="101">
        <f t="shared" si="334"/>
        <v>7</v>
      </c>
      <c r="FQ556" s="14">
        <f t="shared" si="335"/>
        <v>4</v>
      </c>
      <c r="FR556" s="101" t="str">
        <f t="shared" si="342"/>
        <v>夏侯渊专属武器-魂珠-8 0级</v>
      </c>
      <c r="FS556" s="101">
        <f t="shared" si="343"/>
        <v>8</v>
      </c>
      <c r="FT556" s="101">
        <f t="shared" si="344"/>
        <v>0</v>
      </c>
      <c r="FU556" s="101" t="str">
        <f t="shared" si="336"/>
        <v/>
      </c>
      <c r="FV556" s="139" t="str">
        <f>IF($FT556&gt;0,IF(INDEX($EI$6:$EI$77,$FO556)&gt;=FV$3,ROUND(INDEX(EK$6:EK$77,$FO556)*INDEX(卡牌消耗!$B$8:$F$8,FQ556)/5,0)*5,""),"")</f>
        <v/>
      </c>
      <c r="FW556" s="101" t="str">
        <f t="shared" si="337"/>
        <v/>
      </c>
      <c r="FX556" s="101" t="str">
        <f t="shared" si="338"/>
        <v/>
      </c>
      <c r="FY556" s="101" t="str">
        <f t="shared" si="339"/>
        <v/>
      </c>
      <c r="FZ556" s="101" t="str">
        <f t="shared" si="340"/>
        <v/>
      </c>
      <c r="GA556" s="101" t="str">
        <f t="shared" si="345"/>
        <v/>
      </c>
      <c r="GB556" s="101" t="str">
        <f t="shared" si="346"/>
        <v/>
      </c>
      <c r="GC556" s="101" t="str">
        <f t="shared" si="347"/>
        <v/>
      </c>
      <c r="GD556" s="101" t="str">
        <f t="shared" si="348"/>
        <v/>
      </c>
      <c r="GE556" s="101" t="str">
        <f t="shared" si="349"/>
        <v/>
      </c>
      <c r="GF556" s="101" t="str">
        <f t="shared" si="350"/>
        <v/>
      </c>
      <c r="GG556" s="101" t="str">
        <f t="shared" si="351"/>
        <v/>
      </c>
      <c r="GH556" s="101" t="str">
        <f t="shared" si="352"/>
        <v/>
      </c>
      <c r="GI556" s="101" t="str">
        <f t="shared" si="353"/>
        <v/>
      </c>
      <c r="GJ556" s="101" t="str">
        <f t="shared" si="354"/>
        <v/>
      </c>
      <c r="GK556" s="101" t="str">
        <f t="shared" si="355"/>
        <v/>
      </c>
      <c r="GL556" s="101" t="str">
        <f t="shared" si="356"/>
        <v/>
      </c>
    </row>
    <row r="557" spans="170:194" ht="16.5" x14ac:dyDescent="0.2">
      <c r="FN557" s="101">
        <v>552</v>
      </c>
      <c r="FO557" s="101">
        <f t="shared" si="341"/>
        <v>64</v>
      </c>
      <c r="FP557" s="101">
        <f t="shared" si="334"/>
        <v>7</v>
      </c>
      <c r="FQ557" s="14">
        <f t="shared" si="335"/>
        <v>4</v>
      </c>
      <c r="FR557" s="101" t="str">
        <f t="shared" si="342"/>
        <v>夏侯渊专属武器-魂珠-8 1级</v>
      </c>
      <c r="FS557" s="101">
        <f t="shared" si="343"/>
        <v>8</v>
      </c>
      <c r="FT557" s="101">
        <f t="shared" si="344"/>
        <v>1</v>
      </c>
      <c r="FU557" s="101" t="str">
        <f t="shared" si="336"/>
        <v>金币</v>
      </c>
      <c r="FV557" s="139">
        <f>IF($FT557&gt;0,IF(INDEX($EI$6:$EI$77,$FO557)&gt;=FV$3,ROUND(INDEX(EK$6:EK$77,$FO557)*INDEX(卡牌消耗!$B$8:$F$8,FQ557)/5,0)*5,""),"")</f>
        <v>15455</v>
      </c>
      <c r="FW557" s="101" t="str">
        <f t="shared" si="337"/>
        <v>专属强化石4</v>
      </c>
      <c r="FX557" s="101">
        <f t="shared" si="338"/>
        <v>5</v>
      </c>
      <c r="FY557" s="101" t="str">
        <f t="shared" si="339"/>
        <v/>
      </c>
      <c r="FZ557" s="101" t="str">
        <f t="shared" si="340"/>
        <v/>
      </c>
      <c r="GA557" s="101">
        <f t="shared" si="345"/>
        <v>0.11</v>
      </c>
      <c r="GB557" s="101">
        <f t="shared" si="346"/>
        <v>1</v>
      </c>
      <c r="GC557" s="101">
        <f t="shared" si="347"/>
        <v>13</v>
      </c>
      <c r="GD557" s="101">
        <f t="shared" si="348"/>
        <v>0</v>
      </c>
      <c r="GE557" s="101">
        <f t="shared" si="349"/>
        <v>1</v>
      </c>
      <c r="GF557" s="101">
        <f t="shared" si="350"/>
        <v>3</v>
      </c>
      <c r="GG557" s="101">
        <f t="shared" si="351"/>
        <v>5.6500000000000002E-2</v>
      </c>
      <c r="GH557" s="101">
        <f t="shared" si="352"/>
        <v>1</v>
      </c>
      <c r="GI557" s="101">
        <f t="shared" si="353"/>
        <v>6</v>
      </c>
      <c r="GJ557" s="101">
        <f t="shared" si="354"/>
        <v>0.22600000000000001</v>
      </c>
      <c r="GK557" s="101">
        <f t="shared" si="355"/>
        <v>1</v>
      </c>
      <c r="GL557" s="101">
        <f t="shared" si="356"/>
        <v>13</v>
      </c>
    </row>
    <row r="558" spans="170:194" ht="16.5" x14ac:dyDescent="0.2">
      <c r="FN558" s="101">
        <v>553</v>
      </c>
      <c r="FO558" s="101">
        <f t="shared" si="341"/>
        <v>65</v>
      </c>
      <c r="FP558" s="101">
        <f t="shared" si="334"/>
        <v>7</v>
      </c>
      <c r="FQ558" s="14">
        <f t="shared" si="335"/>
        <v>4</v>
      </c>
      <c r="FR558" s="101" t="str">
        <f t="shared" si="342"/>
        <v>夏侯渊专属武器-魂珠-8 2级</v>
      </c>
      <c r="FS558" s="101">
        <f t="shared" si="343"/>
        <v>8</v>
      </c>
      <c r="FT558" s="101">
        <f t="shared" si="344"/>
        <v>2</v>
      </c>
      <c r="FU558" s="101" t="str">
        <f t="shared" si="336"/>
        <v>金币</v>
      </c>
      <c r="FV558" s="139">
        <f>IF($FT558&gt;0,IF(INDEX($EI$6:$EI$77,$FO558)&gt;=FV$3,ROUND(INDEX(EK$6:EK$77,$FO558)*INDEX(卡牌消耗!$B$8:$F$8,FQ558)/5,0)*5,""),"")</f>
        <v>18545</v>
      </c>
      <c r="FW558" s="101" t="str">
        <f t="shared" si="337"/>
        <v>专属强化石4</v>
      </c>
      <c r="FX558" s="101">
        <f t="shared" si="338"/>
        <v>8</v>
      </c>
      <c r="FY558" s="101" t="str">
        <f t="shared" si="339"/>
        <v/>
      </c>
      <c r="FZ558" s="101" t="str">
        <f t="shared" si="340"/>
        <v/>
      </c>
      <c r="GA558" s="101">
        <f t="shared" si="345"/>
        <v>0.09</v>
      </c>
      <c r="GB558" s="101">
        <f t="shared" si="346"/>
        <v>1</v>
      </c>
      <c r="GC558" s="101">
        <f t="shared" si="347"/>
        <v>17</v>
      </c>
      <c r="GD558" s="101">
        <f t="shared" si="348"/>
        <v>0</v>
      </c>
      <c r="GE558" s="101">
        <f t="shared" si="349"/>
        <v>1</v>
      </c>
      <c r="GF558" s="101">
        <f t="shared" si="350"/>
        <v>4</v>
      </c>
      <c r="GG558" s="101">
        <f t="shared" si="351"/>
        <v>4.5199999999999997E-2</v>
      </c>
      <c r="GH558" s="101">
        <f t="shared" si="352"/>
        <v>1</v>
      </c>
      <c r="GI558" s="101">
        <f t="shared" si="353"/>
        <v>8</v>
      </c>
      <c r="GJ558" s="101">
        <f t="shared" si="354"/>
        <v>0.18079999999999999</v>
      </c>
      <c r="GK558" s="101">
        <f t="shared" si="355"/>
        <v>1</v>
      </c>
      <c r="GL558" s="101">
        <f t="shared" si="356"/>
        <v>17</v>
      </c>
    </row>
    <row r="559" spans="170:194" ht="16.5" x14ac:dyDescent="0.2">
      <c r="FN559" s="101">
        <v>554</v>
      </c>
      <c r="FO559" s="101">
        <f t="shared" si="341"/>
        <v>66</v>
      </c>
      <c r="FP559" s="101">
        <f t="shared" si="334"/>
        <v>7</v>
      </c>
      <c r="FQ559" s="14">
        <f t="shared" si="335"/>
        <v>4</v>
      </c>
      <c r="FR559" s="101" t="str">
        <f t="shared" si="342"/>
        <v>夏侯渊专属武器-魂珠-8 3级</v>
      </c>
      <c r="FS559" s="101">
        <f t="shared" si="343"/>
        <v>8</v>
      </c>
      <c r="FT559" s="101">
        <f t="shared" si="344"/>
        <v>3</v>
      </c>
      <c r="FU559" s="101" t="str">
        <f t="shared" si="336"/>
        <v>金币</v>
      </c>
      <c r="FV559" s="139">
        <f>IF($FT559&gt;0,IF(INDEX($EI$6:$EI$77,$FO559)&gt;=FV$3,ROUND(INDEX(EK$6:EK$77,$FO559)*INDEX(卡牌消耗!$B$8:$F$8,FQ559)/5,0)*5,""),"")</f>
        <v>25755</v>
      </c>
      <c r="FW559" s="101" t="str">
        <f t="shared" si="337"/>
        <v>专属强化石4</v>
      </c>
      <c r="FX559" s="101">
        <f t="shared" si="338"/>
        <v>10</v>
      </c>
      <c r="FY559" s="101" t="str">
        <f t="shared" si="339"/>
        <v/>
      </c>
      <c r="FZ559" s="101" t="str">
        <f t="shared" si="340"/>
        <v/>
      </c>
      <c r="GA559" s="101">
        <f t="shared" si="345"/>
        <v>0.08</v>
      </c>
      <c r="GB559" s="101">
        <f t="shared" si="346"/>
        <v>1</v>
      </c>
      <c r="GC559" s="101">
        <f t="shared" si="347"/>
        <v>20</v>
      </c>
      <c r="GD559" s="101">
        <f t="shared" si="348"/>
        <v>0</v>
      </c>
      <c r="GE559" s="101">
        <f t="shared" si="349"/>
        <v>1</v>
      </c>
      <c r="GF559" s="101">
        <f t="shared" si="350"/>
        <v>5</v>
      </c>
      <c r="GG559" s="101">
        <f t="shared" si="351"/>
        <v>3.7699999999999997E-2</v>
      </c>
      <c r="GH559" s="101">
        <f t="shared" si="352"/>
        <v>1</v>
      </c>
      <c r="GI559" s="101">
        <f t="shared" si="353"/>
        <v>9</v>
      </c>
      <c r="GJ559" s="101">
        <f t="shared" si="354"/>
        <v>0.1507</v>
      </c>
      <c r="GK559" s="101">
        <f t="shared" si="355"/>
        <v>1</v>
      </c>
      <c r="GL559" s="101">
        <f t="shared" si="356"/>
        <v>20</v>
      </c>
    </row>
    <row r="560" spans="170:194" ht="16.5" x14ac:dyDescent="0.2">
      <c r="FN560" s="101">
        <v>555</v>
      </c>
      <c r="FO560" s="101">
        <f t="shared" si="341"/>
        <v>67</v>
      </c>
      <c r="FP560" s="101">
        <f t="shared" si="334"/>
        <v>7</v>
      </c>
      <c r="FQ560" s="14">
        <f t="shared" si="335"/>
        <v>4</v>
      </c>
      <c r="FR560" s="101" t="str">
        <f t="shared" si="342"/>
        <v>夏侯渊专属武器-魂珠-8 4级</v>
      </c>
      <c r="FS560" s="101">
        <f t="shared" si="343"/>
        <v>8</v>
      </c>
      <c r="FT560" s="101">
        <f t="shared" si="344"/>
        <v>4</v>
      </c>
      <c r="FU560" s="101" t="str">
        <f t="shared" si="336"/>
        <v>金币</v>
      </c>
      <c r="FV560" s="139">
        <f>IF($FT560&gt;0,IF(INDEX($EI$6:$EI$77,$FO560)&gt;=FV$3,ROUND(INDEX(EK$6:EK$77,$FO560)*INDEX(卡牌消耗!$B$8:$F$8,FQ560)/5,0)*5,""),"")</f>
        <v>29670</v>
      </c>
      <c r="FW560" s="101" t="str">
        <f t="shared" si="337"/>
        <v>专属强化石4</v>
      </c>
      <c r="FX560" s="101">
        <f t="shared" si="338"/>
        <v>12</v>
      </c>
      <c r="FY560" s="101" t="str">
        <f t="shared" si="339"/>
        <v/>
      </c>
      <c r="FZ560" s="101" t="str">
        <f t="shared" si="340"/>
        <v/>
      </c>
      <c r="GA560" s="101">
        <f t="shared" si="345"/>
        <v>0.05</v>
      </c>
      <c r="GB560" s="101">
        <f t="shared" si="346"/>
        <v>1</v>
      </c>
      <c r="GC560" s="101">
        <f t="shared" si="347"/>
        <v>28</v>
      </c>
      <c r="GD560" s="101">
        <f t="shared" si="348"/>
        <v>0</v>
      </c>
      <c r="GE560" s="101">
        <f t="shared" si="349"/>
        <v>1</v>
      </c>
      <c r="GF560" s="101">
        <f t="shared" si="350"/>
        <v>6</v>
      </c>
      <c r="GG560" s="101">
        <f t="shared" si="351"/>
        <v>2.7099999999999999E-2</v>
      </c>
      <c r="GH560" s="101">
        <f t="shared" si="352"/>
        <v>1</v>
      </c>
      <c r="GI560" s="101">
        <f t="shared" si="353"/>
        <v>13</v>
      </c>
      <c r="GJ560" s="101">
        <f t="shared" si="354"/>
        <v>0.1085</v>
      </c>
      <c r="GK560" s="101">
        <f t="shared" si="355"/>
        <v>1</v>
      </c>
      <c r="GL560" s="101">
        <f t="shared" si="356"/>
        <v>28</v>
      </c>
    </row>
    <row r="561" spans="170:194" ht="16.5" x14ac:dyDescent="0.2">
      <c r="FN561" s="101">
        <v>556</v>
      </c>
      <c r="FO561" s="101">
        <f t="shared" si="341"/>
        <v>68</v>
      </c>
      <c r="FP561" s="101">
        <f t="shared" si="334"/>
        <v>7</v>
      </c>
      <c r="FQ561" s="14">
        <f t="shared" si="335"/>
        <v>4</v>
      </c>
      <c r="FR561" s="101" t="str">
        <f t="shared" si="342"/>
        <v>夏侯渊专属武器-魂珠-8 5级</v>
      </c>
      <c r="FS561" s="101">
        <f t="shared" si="343"/>
        <v>8</v>
      </c>
      <c r="FT561" s="101">
        <f t="shared" si="344"/>
        <v>5</v>
      </c>
      <c r="FU561" s="101" t="str">
        <f t="shared" si="336"/>
        <v>金币</v>
      </c>
      <c r="FV561" s="139">
        <f>IF($FT561&gt;0,IF(INDEX($EI$6:$EI$77,$FO561)&gt;=FV$3,ROUND(INDEX(EK$6:EK$77,$FO561)*INDEX(卡牌消耗!$B$8:$F$8,FQ561)/5,0)*5,""),"")</f>
        <v>37665</v>
      </c>
      <c r="FW561" s="101" t="str">
        <f t="shared" si="337"/>
        <v>专属强化石4</v>
      </c>
      <c r="FX561" s="101">
        <f t="shared" si="338"/>
        <v>15</v>
      </c>
      <c r="FY561" s="101" t="str">
        <f t="shared" si="339"/>
        <v/>
      </c>
      <c r="FZ561" s="101" t="str">
        <f t="shared" si="340"/>
        <v/>
      </c>
      <c r="GA561" s="101">
        <f t="shared" si="345"/>
        <v>0.04</v>
      </c>
      <c r="GB561" s="101">
        <f t="shared" si="346"/>
        <v>1</v>
      </c>
      <c r="GC561" s="101">
        <f t="shared" si="347"/>
        <v>35</v>
      </c>
      <c r="GD561" s="101">
        <f t="shared" si="348"/>
        <v>0</v>
      </c>
      <c r="GE561" s="101">
        <f t="shared" si="349"/>
        <v>1</v>
      </c>
      <c r="GF561" s="101">
        <f t="shared" si="350"/>
        <v>8</v>
      </c>
      <c r="GG561" s="101">
        <f t="shared" si="351"/>
        <v>2.12E-2</v>
      </c>
      <c r="GH561" s="101">
        <f t="shared" si="352"/>
        <v>1</v>
      </c>
      <c r="GI561" s="101">
        <f t="shared" si="353"/>
        <v>17</v>
      </c>
      <c r="GJ561" s="101">
        <f t="shared" si="354"/>
        <v>8.4699999999999998E-2</v>
      </c>
      <c r="GK561" s="101">
        <f t="shared" si="355"/>
        <v>1</v>
      </c>
      <c r="GL561" s="101">
        <f t="shared" si="356"/>
        <v>35</v>
      </c>
    </row>
    <row r="562" spans="170:194" ht="16.5" x14ac:dyDescent="0.2">
      <c r="FN562" s="101">
        <v>557</v>
      </c>
      <c r="FO562" s="101">
        <f t="shared" si="341"/>
        <v>69</v>
      </c>
      <c r="FP562" s="101">
        <f t="shared" si="334"/>
        <v>7</v>
      </c>
      <c r="FQ562" s="14">
        <f t="shared" si="335"/>
        <v>4</v>
      </c>
      <c r="FR562" s="101" t="str">
        <f t="shared" si="342"/>
        <v>夏侯渊专属武器-魂珠-8 6级</v>
      </c>
      <c r="FS562" s="101">
        <f t="shared" si="343"/>
        <v>8</v>
      </c>
      <c r="FT562" s="101">
        <f t="shared" si="344"/>
        <v>6</v>
      </c>
      <c r="FU562" s="101" t="str">
        <f t="shared" si="336"/>
        <v>金币</v>
      </c>
      <c r="FV562" s="139">
        <f>IF($FT562&gt;0,IF(INDEX($EI$6:$EI$77,$FO562)&gt;=FV$3,ROUND(INDEX(EK$6:EK$77,$FO562)*INDEX(卡牌消耗!$B$8:$F$8,FQ562)/5,0)*5,""),"")</f>
        <v>44935</v>
      </c>
      <c r="FW562" s="101" t="str">
        <f t="shared" si="337"/>
        <v>专属强化石4</v>
      </c>
      <c r="FX562" s="101">
        <f t="shared" si="338"/>
        <v>18</v>
      </c>
      <c r="FY562" s="101" t="str">
        <f t="shared" si="339"/>
        <v/>
      </c>
      <c r="FZ562" s="101" t="str">
        <f t="shared" si="340"/>
        <v/>
      </c>
      <c r="GA562" s="101">
        <f t="shared" si="345"/>
        <v>0.03</v>
      </c>
      <c r="GB562" s="101">
        <f t="shared" si="346"/>
        <v>1</v>
      </c>
      <c r="GC562" s="101">
        <f t="shared" si="347"/>
        <v>48</v>
      </c>
      <c r="GD562" s="101">
        <f t="shared" si="348"/>
        <v>0</v>
      </c>
      <c r="GE562" s="101">
        <f t="shared" si="349"/>
        <v>1</v>
      </c>
      <c r="GF562" s="101">
        <f t="shared" si="350"/>
        <v>11</v>
      </c>
      <c r="GG562" s="101">
        <f t="shared" si="351"/>
        <v>1.5599999999999999E-2</v>
      </c>
      <c r="GH562" s="101">
        <f t="shared" si="352"/>
        <v>1</v>
      </c>
      <c r="GI562" s="101">
        <f t="shared" si="353"/>
        <v>22</v>
      </c>
      <c r="GJ562" s="101">
        <f t="shared" si="354"/>
        <v>6.2600000000000003E-2</v>
      </c>
      <c r="GK562" s="101">
        <f t="shared" si="355"/>
        <v>1</v>
      </c>
      <c r="GL562" s="101">
        <f t="shared" si="356"/>
        <v>48</v>
      </c>
    </row>
    <row r="563" spans="170:194" ht="16.5" x14ac:dyDescent="0.2">
      <c r="FN563" s="101">
        <v>558</v>
      </c>
      <c r="FO563" s="101">
        <f t="shared" si="341"/>
        <v>70</v>
      </c>
      <c r="FP563" s="101">
        <f t="shared" si="334"/>
        <v>7</v>
      </c>
      <c r="FQ563" s="14">
        <f t="shared" si="335"/>
        <v>4</v>
      </c>
      <c r="FR563" s="101" t="str">
        <f t="shared" si="342"/>
        <v>夏侯渊专属武器-魂珠-8 7级</v>
      </c>
      <c r="FS563" s="101">
        <f t="shared" si="343"/>
        <v>8</v>
      </c>
      <c r="FT563" s="101">
        <f t="shared" si="344"/>
        <v>7</v>
      </c>
      <c r="FU563" s="101" t="str">
        <f t="shared" si="336"/>
        <v>金币</v>
      </c>
      <c r="FV563" s="139">
        <f>IF($FT563&gt;0,IF(INDEX($EI$6:$EI$77,$FO563)&gt;=FV$3,ROUND(INDEX(EK$6:EK$77,$FO563)*INDEX(卡牌消耗!$B$8:$F$8,FQ563)/5,0)*5,""),"")</f>
        <v>62545</v>
      </c>
      <c r="FW563" s="101" t="str">
        <f t="shared" si="337"/>
        <v>专属强化石4</v>
      </c>
      <c r="FX563" s="101">
        <f t="shared" si="338"/>
        <v>25</v>
      </c>
      <c r="FY563" s="101" t="str">
        <f t="shared" si="339"/>
        <v/>
      </c>
      <c r="FZ563" s="101" t="str">
        <f t="shared" si="340"/>
        <v/>
      </c>
      <c r="GA563" s="101">
        <f t="shared" si="345"/>
        <v>0.03</v>
      </c>
      <c r="GB563" s="101">
        <f t="shared" si="346"/>
        <v>1</v>
      </c>
      <c r="GC563" s="101">
        <f t="shared" si="347"/>
        <v>56</v>
      </c>
      <c r="GD563" s="101">
        <f t="shared" si="348"/>
        <v>0</v>
      </c>
      <c r="GE563" s="101">
        <f t="shared" si="349"/>
        <v>1</v>
      </c>
      <c r="GF563" s="101">
        <f t="shared" si="350"/>
        <v>13</v>
      </c>
      <c r="GG563" s="101">
        <f t="shared" si="351"/>
        <v>1.35E-2</v>
      </c>
      <c r="GH563" s="101">
        <f t="shared" si="352"/>
        <v>1</v>
      </c>
      <c r="GI563" s="101">
        <f t="shared" si="353"/>
        <v>26</v>
      </c>
      <c r="GJ563" s="101">
        <f t="shared" si="354"/>
        <v>5.3800000000000001E-2</v>
      </c>
      <c r="GK563" s="101">
        <f t="shared" si="355"/>
        <v>1</v>
      </c>
      <c r="GL563" s="101">
        <f t="shared" si="356"/>
        <v>56</v>
      </c>
    </row>
    <row r="564" spans="170:194" ht="16.5" x14ac:dyDescent="0.2">
      <c r="FN564" s="101">
        <v>559</v>
      </c>
      <c r="FO564" s="101">
        <f t="shared" si="341"/>
        <v>71</v>
      </c>
      <c r="FP564" s="101">
        <f t="shared" si="334"/>
        <v>7</v>
      </c>
      <c r="FQ564" s="14">
        <f t="shared" si="335"/>
        <v>4</v>
      </c>
      <c r="FR564" s="101" t="str">
        <f t="shared" si="342"/>
        <v>夏侯渊专属武器-魂珠-8 8级</v>
      </c>
      <c r="FS564" s="101">
        <f t="shared" si="343"/>
        <v>8</v>
      </c>
      <c r="FT564" s="101">
        <f t="shared" si="344"/>
        <v>8</v>
      </c>
      <c r="FU564" s="101" t="str">
        <f t="shared" si="336"/>
        <v>金币</v>
      </c>
      <c r="FV564" s="139">
        <f>IF($FT564&gt;0,IF(INDEX($EI$6:$EI$77,$FO564)&gt;=FV$3,ROUND(INDEX(EK$6:EK$77,$FO564)*INDEX(卡牌消耗!$B$8:$F$8,FQ564)/5,0)*5,""),"")</f>
        <v>74990</v>
      </c>
      <c r="FW564" s="101" t="str">
        <f t="shared" si="337"/>
        <v>专属强化石4</v>
      </c>
      <c r="FX564" s="101">
        <f t="shared" si="338"/>
        <v>30</v>
      </c>
      <c r="FY564" s="101" t="str">
        <f t="shared" si="339"/>
        <v/>
      </c>
      <c r="FZ564" s="101" t="str">
        <f t="shared" si="340"/>
        <v/>
      </c>
      <c r="GA564" s="101">
        <f t="shared" si="345"/>
        <v>0.02</v>
      </c>
      <c r="GB564" s="101">
        <f t="shared" si="346"/>
        <v>1</v>
      </c>
      <c r="GC564" s="101">
        <f t="shared" si="347"/>
        <v>75</v>
      </c>
      <c r="GD564" s="101">
        <f t="shared" si="348"/>
        <v>0</v>
      </c>
      <c r="GE564" s="101">
        <f t="shared" si="349"/>
        <v>1</v>
      </c>
      <c r="GF564" s="101">
        <f t="shared" si="350"/>
        <v>18</v>
      </c>
      <c r="GG564" s="101">
        <f t="shared" si="351"/>
        <v>0.01</v>
      </c>
      <c r="GH564" s="101">
        <f t="shared" si="352"/>
        <v>1</v>
      </c>
      <c r="GI564" s="101">
        <f t="shared" si="353"/>
        <v>35</v>
      </c>
      <c r="GJ564" s="101">
        <f t="shared" si="354"/>
        <v>3.9899999999999998E-2</v>
      </c>
      <c r="GK564" s="101">
        <f t="shared" si="355"/>
        <v>1</v>
      </c>
      <c r="GL564" s="101">
        <f t="shared" si="356"/>
        <v>75</v>
      </c>
    </row>
    <row r="565" spans="170:194" ht="16.5" x14ac:dyDescent="0.2">
      <c r="FN565" s="101">
        <v>560</v>
      </c>
      <c r="FO565" s="101">
        <f t="shared" si="341"/>
        <v>72</v>
      </c>
      <c r="FP565" s="101">
        <f t="shared" si="334"/>
        <v>7</v>
      </c>
      <c r="FQ565" s="14">
        <f t="shared" si="335"/>
        <v>4</v>
      </c>
      <c r="FR565" s="101" t="str">
        <f t="shared" si="342"/>
        <v>夏侯渊专属武器-魂珠-8 9级</v>
      </c>
      <c r="FS565" s="101">
        <f t="shared" si="343"/>
        <v>8</v>
      </c>
      <c r="FT565" s="101">
        <f t="shared" si="344"/>
        <v>9</v>
      </c>
      <c r="FU565" s="101" t="str">
        <f t="shared" si="336"/>
        <v>金币</v>
      </c>
      <c r="FV565" s="139">
        <f>IF($FT565&gt;0,IF(INDEX($EI$6:$EI$77,$FO565)&gt;=FV$3,ROUND(INDEX(EK$6:EK$77,$FO565)*INDEX(卡牌消耗!$B$8:$F$8,FQ565)/5,0)*5,""),"")</f>
        <v>75015</v>
      </c>
      <c r="FW565" s="101" t="str">
        <f t="shared" si="337"/>
        <v>专属强化石4</v>
      </c>
      <c r="FX565" s="101">
        <f t="shared" si="338"/>
        <v>30</v>
      </c>
      <c r="FY565" s="101" t="str">
        <f t="shared" si="339"/>
        <v/>
      </c>
      <c r="FZ565" s="101" t="str">
        <f t="shared" si="340"/>
        <v/>
      </c>
      <c r="GA565" s="101">
        <f t="shared" si="345"/>
        <v>0.01</v>
      </c>
      <c r="GB565" s="101">
        <f t="shared" si="346"/>
        <v>1</v>
      </c>
      <c r="GC565" s="101">
        <f t="shared" si="347"/>
        <v>122</v>
      </c>
      <c r="GD565" s="101">
        <f t="shared" si="348"/>
        <v>0</v>
      </c>
      <c r="GE565" s="101">
        <f t="shared" si="349"/>
        <v>1</v>
      </c>
      <c r="GF565" s="101">
        <f t="shared" si="350"/>
        <v>28</v>
      </c>
      <c r="GG565" s="101">
        <f t="shared" si="351"/>
        <v>6.1999999999999998E-3</v>
      </c>
      <c r="GH565" s="101">
        <f t="shared" si="352"/>
        <v>1</v>
      </c>
      <c r="GI565" s="101">
        <f t="shared" si="353"/>
        <v>57</v>
      </c>
      <c r="GJ565" s="101">
        <f t="shared" si="354"/>
        <v>2.47E-2</v>
      </c>
      <c r="GK565" s="101">
        <f t="shared" si="355"/>
        <v>1</v>
      </c>
      <c r="GL565" s="101">
        <f t="shared" si="356"/>
        <v>122</v>
      </c>
    </row>
    <row r="566" spans="170:194" ht="16.5" x14ac:dyDescent="0.2">
      <c r="FN566" s="101">
        <v>561</v>
      </c>
      <c r="FO566" s="101">
        <f t="shared" si="341"/>
        <v>0</v>
      </c>
      <c r="FP566" s="101">
        <f t="shared" si="334"/>
        <v>8</v>
      </c>
      <c r="FQ566" s="14">
        <f t="shared" si="335"/>
        <v>3</v>
      </c>
      <c r="FR566" s="101" t="str">
        <f t="shared" si="342"/>
        <v>徐晃专属武器-魂珠-1 0级</v>
      </c>
      <c r="FS566" s="101">
        <f t="shared" si="343"/>
        <v>1</v>
      </c>
      <c r="FT566" s="101">
        <f t="shared" si="344"/>
        <v>0</v>
      </c>
      <c r="FU566" s="101" t="str">
        <f t="shared" si="336"/>
        <v/>
      </c>
      <c r="FV566" s="139" t="str">
        <f>IF($FT566&gt;0,IF(INDEX($EI$6:$EI$77,$FO566)&gt;=FV$3,ROUND(INDEX(EK$6:EK$77,$FO566)*INDEX(卡牌消耗!$B$8:$F$8,FQ566)/5,0)*5,""),"")</f>
        <v/>
      </c>
      <c r="FW566" s="101" t="str">
        <f t="shared" si="337"/>
        <v/>
      </c>
      <c r="FX566" s="101" t="str">
        <f t="shared" si="338"/>
        <v/>
      </c>
      <c r="FY566" s="101" t="str">
        <f t="shared" si="339"/>
        <v/>
      </c>
      <c r="FZ566" s="101" t="str">
        <f t="shared" si="340"/>
        <v/>
      </c>
      <c r="GA566" s="101" t="str">
        <f t="shared" si="345"/>
        <v/>
      </c>
      <c r="GB566" s="101" t="str">
        <f t="shared" si="346"/>
        <v/>
      </c>
      <c r="GC566" s="101" t="str">
        <f t="shared" si="347"/>
        <v/>
      </c>
      <c r="GD566" s="101" t="str">
        <f t="shared" si="348"/>
        <v/>
      </c>
      <c r="GE566" s="101" t="str">
        <f t="shared" si="349"/>
        <v/>
      </c>
      <c r="GF566" s="101" t="str">
        <f t="shared" si="350"/>
        <v/>
      </c>
      <c r="GG566" s="101" t="str">
        <f t="shared" si="351"/>
        <v/>
      </c>
      <c r="GH566" s="101" t="str">
        <f t="shared" si="352"/>
        <v/>
      </c>
      <c r="GI566" s="101" t="str">
        <f t="shared" si="353"/>
        <v/>
      </c>
      <c r="GJ566" s="101" t="str">
        <f t="shared" si="354"/>
        <v/>
      </c>
      <c r="GK566" s="101" t="str">
        <f t="shared" si="355"/>
        <v/>
      </c>
      <c r="GL566" s="101" t="str">
        <f t="shared" si="356"/>
        <v/>
      </c>
    </row>
    <row r="567" spans="170:194" ht="16.5" x14ac:dyDescent="0.2">
      <c r="FN567" s="101">
        <v>562</v>
      </c>
      <c r="FO567" s="101">
        <f t="shared" si="341"/>
        <v>1</v>
      </c>
      <c r="FP567" s="101">
        <f t="shared" si="334"/>
        <v>8</v>
      </c>
      <c r="FQ567" s="14">
        <f t="shared" si="335"/>
        <v>3</v>
      </c>
      <c r="FR567" s="101" t="str">
        <f t="shared" si="342"/>
        <v>徐晃专属武器-魂珠-1 1级</v>
      </c>
      <c r="FS567" s="101">
        <f t="shared" si="343"/>
        <v>1</v>
      </c>
      <c r="FT567" s="101">
        <f t="shared" si="344"/>
        <v>1</v>
      </c>
      <c r="FU567" s="101" t="str">
        <f t="shared" si="336"/>
        <v>金币</v>
      </c>
      <c r="FV567" s="139">
        <f>IF($FT567&gt;0,IF(INDEX($EI$6:$EI$77,$FO567)&gt;=FV$3,ROUND(INDEX(EK$6:EK$77,$FO567)*INDEX(卡牌消耗!$B$8:$F$8,FQ567)/5,0)*5,""),"")</f>
        <v>95</v>
      </c>
      <c r="FW567" s="101" t="str">
        <f t="shared" si="337"/>
        <v>专属强化石1</v>
      </c>
      <c r="FX567" s="101">
        <f t="shared" si="338"/>
        <v>1</v>
      </c>
      <c r="FY567" s="101" t="str">
        <f t="shared" si="339"/>
        <v/>
      </c>
      <c r="FZ567" s="101" t="str">
        <f t="shared" si="340"/>
        <v/>
      </c>
      <c r="GA567" s="101">
        <f t="shared" si="345"/>
        <v>0.32</v>
      </c>
      <c r="GB567" s="101">
        <f t="shared" si="346"/>
        <v>1</v>
      </c>
      <c r="GC567" s="101">
        <f t="shared" si="347"/>
        <v>5</v>
      </c>
      <c r="GD567" s="101">
        <f t="shared" si="348"/>
        <v>0</v>
      </c>
      <c r="GE567" s="101">
        <f t="shared" si="349"/>
        <v>1</v>
      </c>
      <c r="GF567" s="101">
        <f t="shared" si="350"/>
        <v>1</v>
      </c>
      <c r="GG567" s="101">
        <f t="shared" si="351"/>
        <v>0.1595</v>
      </c>
      <c r="GH567" s="101">
        <f t="shared" si="352"/>
        <v>1</v>
      </c>
      <c r="GI567" s="101">
        <f t="shared" si="353"/>
        <v>2</v>
      </c>
      <c r="GJ567" s="101">
        <f t="shared" si="354"/>
        <v>0.63819999999999999</v>
      </c>
      <c r="GK567" s="101">
        <f t="shared" si="355"/>
        <v>1</v>
      </c>
      <c r="GL567" s="101">
        <f t="shared" si="356"/>
        <v>5</v>
      </c>
    </row>
    <row r="568" spans="170:194" ht="16.5" x14ac:dyDescent="0.2">
      <c r="FN568" s="101">
        <v>563</v>
      </c>
      <c r="FO568" s="101">
        <f t="shared" si="341"/>
        <v>2</v>
      </c>
      <c r="FP568" s="101">
        <f t="shared" si="334"/>
        <v>8</v>
      </c>
      <c r="FQ568" s="14">
        <f t="shared" si="335"/>
        <v>3</v>
      </c>
      <c r="FR568" s="101" t="str">
        <f t="shared" si="342"/>
        <v>徐晃专属武器-魂珠-1 2级</v>
      </c>
      <c r="FS568" s="101">
        <f t="shared" si="343"/>
        <v>1</v>
      </c>
      <c r="FT568" s="101">
        <f t="shared" si="344"/>
        <v>2</v>
      </c>
      <c r="FU568" s="101" t="str">
        <f t="shared" si="336"/>
        <v>金币</v>
      </c>
      <c r="FV568" s="139">
        <f>IF($FT568&gt;0,IF(INDEX($EI$6:$EI$77,$FO568)&gt;=FV$3,ROUND(INDEX(EK$6:EK$77,$FO568)*INDEX(卡牌消耗!$B$8:$F$8,FQ568)/5,0)*5,""),"")</f>
        <v>140</v>
      </c>
      <c r="FW568" s="101" t="str">
        <f t="shared" si="337"/>
        <v>专属强化石1</v>
      </c>
      <c r="FX568" s="101">
        <f t="shared" si="338"/>
        <v>2</v>
      </c>
      <c r="FY568" s="101" t="str">
        <f t="shared" si="339"/>
        <v/>
      </c>
      <c r="FZ568" s="101" t="str">
        <f t="shared" si="340"/>
        <v/>
      </c>
      <c r="GA568" s="101">
        <f t="shared" si="345"/>
        <v>0.32</v>
      </c>
      <c r="GB568" s="101">
        <f t="shared" si="346"/>
        <v>1</v>
      </c>
      <c r="GC568" s="101">
        <f t="shared" si="347"/>
        <v>5</v>
      </c>
      <c r="GD568" s="101">
        <f t="shared" si="348"/>
        <v>0</v>
      </c>
      <c r="GE568" s="101">
        <f t="shared" si="349"/>
        <v>1</v>
      </c>
      <c r="GF568" s="101">
        <f t="shared" si="350"/>
        <v>1</v>
      </c>
      <c r="GG568" s="101">
        <f t="shared" si="351"/>
        <v>0.1595</v>
      </c>
      <c r="GH568" s="101">
        <f t="shared" si="352"/>
        <v>1</v>
      </c>
      <c r="GI568" s="101">
        <f t="shared" si="353"/>
        <v>2</v>
      </c>
      <c r="GJ568" s="101">
        <f t="shared" si="354"/>
        <v>0.63819999999999999</v>
      </c>
      <c r="GK568" s="101">
        <f t="shared" si="355"/>
        <v>1</v>
      </c>
      <c r="GL568" s="101">
        <f t="shared" si="356"/>
        <v>5</v>
      </c>
    </row>
    <row r="569" spans="170:194" ht="16.5" x14ac:dyDescent="0.2">
      <c r="FN569" s="101">
        <v>564</v>
      </c>
      <c r="FO569" s="101">
        <f t="shared" si="341"/>
        <v>3</v>
      </c>
      <c r="FP569" s="101">
        <f t="shared" si="334"/>
        <v>8</v>
      </c>
      <c r="FQ569" s="14">
        <f t="shared" si="335"/>
        <v>3</v>
      </c>
      <c r="FR569" s="101" t="str">
        <f t="shared" si="342"/>
        <v>徐晃专属武器-魂珠-1 3级</v>
      </c>
      <c r="FS569" s="101">
        <f t="shared" si="343"/>
        <v>1</v>
      </c>
      <c r="FT569" s="101">
        <f t="shared" si="344"/>
        <v>3</v>
      </c>
      <c r="FU569" s="101" t="str">
        <f t="shared" si="336"/>
        <v>金币</v>
      </c>
      <c r="FV569" s="139">
        <f>IF($FT569&gt;0,IF(INDEX($EI$6:$EI$77,$FO569)&gt;=FV$3,ROUND(INDEX(EK$6:EK$77,$FO569)*INDEX(卡牌消耗!$B$8:$F$8,FQ569)/5,0)*5,""),"")</f>
        <v>235</v>
      </c>
      <c r="FW569" s="101" t="str">
        <f t="shared" si="337"/>
        <v>专属强化石1</v>
      </c>
      <c r="FX569" s="101">
        <f t="shared" si="338"/>
        <v>3</v>
      </c>
      <c r="FY569" s="101" t="str">
        <f t="shared" si="339"/>
        <v/>
      </c>
      <c r="FZ569" s="101" t="str">
        <f t="shared" si="340"/>
        <v/>
      </c>
      <c r="GA569" s="101">
        <f t="shared" si="345"/>
        <v>0.32</v>
      </c>
      <c r="GB569" s="101">
        <f t="shared" si="346"/>
        <v>1</v>
      </c>
      <c r="GC569" s="101">
        <f t="shared" si="347"/>
        <v>5</v>
      </c>
      <c r="GD569" s="101">
        <f t="shared" si="348"/>
        <v>0</v>
      </c>
      <c r="GE569" s="101">
        <f t="shared" si="349"/>
        <v>1</v>
      </c>
      <c r="GF569" s="101">
        <f t="shared" si="350"/>
        <v>1</v>
      </c>
      <c r="GG569" s="101">
        <f t="shared" si="351"/>
        <v>0.1595</v>
      </c>
      <c r="GH569" s="101">
        <f t="shared" si="352"/>
        <v>1</v>
      </c>
      <c r="GI569" s="101">
        <f t="shared" si="353"/>
        <v>2</v>
      </c>
      <c r="GJ569" s="101">
        <f t="shared" si="354"/>
        <v>0.63819999999999999</v>
      </c>
      <c r="GK569" s="101">
        <f t="shared" si="355"/>
        <v>1</v>
      </c>
      <c r="GL569" s="101">
        <f t="shared" si="356"/>
        <v>5</v>
      </c>
    </row>
    <row r="570" spans="170:194" ht="16.5" x14ac:dyDescent="0.2">
      <c r="FN570" s="101">
        <v>565</v>
      </c>
      <c r="FO570" s="101">
        <f t="shared" si="341"/>
        <v>4</v>
      </c>
      <c r="FP570" s="101">
        <f t="shared" si="334"/>
        <v>8</v>
      </c>
      <c r="FQ570" s="14">
        <f t="shared" si="335"/>
        <v>3</v>
      </c>
      <c r="FR570" s="101" t="str">
        <f t="shared" si="342"/>
        <v>徐晃专属武器-魂珠-1 4级</v>
      </c>
      <c r="FS570" s="101">
        <f t="shared" si="343"/>
        <v>1</v>
      </c>
      <c r="FT570" s="101">
        <f t="shared" si="344"/>
        <v>4</v>
      </c>
      <c r="FU570" s="101" t="str">
        <f t="shared" si="336"/>
        <v>金币</v>
      </c>
      <c r="FV570" s="139">
        <f>IF($FT570&gt;0,IF(INDEX($EI$6:$EI$77,$FO570)&gt;=FV$3,ROUND(INDEX(EK$6:EK$77,$FO570)*INDEX(卡牌消耗!$B$8:$F$8,FQ570)/5,0)*5,""),"")</f>
        <v>305</v>
      </c>
      <c r="FW570" s="101" t="str">
        <f t="shared" si="337"/>
        <v>专属强化石1</v>
      </c>
      <c r="FX570" s="101">
        <f t="shared" si="338"/>
        <v>4</v>
      </c>
      <c r="FY570" s="101" t="str">
        <f t="shared" si="339"/>
        <v/>
      </c>
      <c r="FZ570" s="101" t="str">
        <f t="shared" si="340"/>
        <v/>
      </c>
      <c r="GA570" s="101">
        <f t="shared" si="345"/>
        <v>0.26</v>
      </c>
      <c r="GB570" s="101">
        <f t="shared" si="346"/>
        <v>1</v>
      </c>
      <c r="GC570" s="101">
        <f t="shared" si="347"/>
        <v>6</v>
      </c>
      <c r="GD570" s="101">
        <f t="shared" si="348"/>
        <v>0</v>
      </c>
      <c r="GE570" s="101">
        <f t="shared" si="349"/>
        <v>1</v>
      </c>
      <c r="GF570" s="101">
        <f t="shared" si="350"/>
        <v>1</v>
      </c>
      <c r="GG570" s="101">
        <f t="shared" si="351"/>
        <v>0.12759999999999999</v>
      </c>
      <c r="GH570" s="101">
        <f t="shared" si="352"/>
        <v>1</v>
      </c>
      <c r="GI570" s="101">
        <f t="shared" si="353"/>
        <v>3</v>
      </c>
      <c r="GJ570" s="101">
        <f t="shared" si="354"/>
        <v>0.51060000000000005</v>
      </c>
      <c r="GK570" s="101">
        <f t="shared" si="355"/>
        <v>1</v>
      </c>
      <c r="GL570" s="101">
        <f t="shared" si="356"/>
        <v>6</v>
      </c>
    </row>
    <row r="571" spans="170:194" ht="16.5" x14ac:dyDescent="0.2">
      <c r="FN571" s="101">
        <v>566</v>
      </c>
      <c r="FO571" s="101">
        <f t="shared" si="341"/>
        <v>5</v>
      </c>
      <c r="FP571" s="101">
        <f t="shared" si="334"/>
        <v>8</v>
      </c>
      <c r="FQ571" s="14">
        <f t="shared" si="335"/>
        <v>3</v>
      </c>
      <c r="FR571" s="101" t="str">
        <f t="shared" si="342"/>
        <v>徐晃专属武器-魂珠-1 5级</v>
      </c>
      <c r="FS571" s="101">
        <f t="shared" si="343"/>
        <v>1</v>
      </c>
      <c r="FT571" s="101">
        <f t="shared" si="344"/>
        <v>5</v>
      </c>
      <c r="FU571" s="101" t="str">
        <f t="shared" si="336"/>
        <v>金币</v>
      </c>
      <c r="FV571" s="139">
        <f>IF($FT571&gt;0,IF(INDEX($EI$6:$EI$77,$FO571)&gt;=FV$3,ROUND(INDEX(EK$6:EK$77,$FO571)*INDEX(卡牌消耗!$B$8:$F$8,FQ571)/5,0)*5,""),"")</f>
        <v>385</v>
      </c>
      <c r="FW571" s="101" t="str">
        <f t="shared" si="337"/>
        <v>专属强化石1</v>
      </c>
      <c r="FX571" s="101">
        <f t="shared" si="338"/>
        <v>5</v>
      </c>
      <c r="FY571" s="101" t="str">
        <f t="shared" si="339"/>
        <v/>
      </c>
      <c r="FZ571" s="101" t="str">
        <f t="shared" si="340"/>
        <v/>
      </c>
      <c r="GA571" s="101">
        <f t="shared" si="345"/>
        <v>0.2</v>
      </c>
      <c r="GB571" s="101">
        <f t="shared" si="346"/>
        <v>1</v>
      </c>
      <c r="GC571" s="101">
        <f t="shared" si="347"/>
        <v>8</v>
      </c>
      <c r="GD571" s="101">
        <f t="shared" si="348"/>
        <v>0</v>
      </c>
      <c r="GE571" s="101">
        <f t="shared" si="349"/>
        <v>1</v>
      </c>
      <c r="GF571" s="101">
        <f t="shared" si="350"/>
        <v>2</v>
      </c>
      <c r="GG571" s="101">
        <f t="shared" si="351"/>
        <v>9.9699999999999997E-2</v>
      </c>
      <c r="GH571" s="101">
        <f t="shared" si="352"/>
        <v>1</v>
      </c>
      <c r="GI571" s="101">
        <f t="shared" si="353"/>
        <v>4</v>
      </c>
      <c r="GJ571" s="101">
        <f t="shared" si="354"/>
        <v>0.39889999999999998</v>
      </c>
      <c r="GK571" s="101">
        <f t="shared" si="355"/>
        <v>1</v>
      </c>
      <c r="GL571" s="101">
        <f t="shared" si="356"/>
        <v>8</v>
      </c>
    </row>
    <row r="572" spans="170:194" ht="16.5" x14ac:dyDescent="0.2">
      <c r="FN572" s="101">
        <v>567</v>
      </c>
      <c r="FO572" s="101">
        <f t="shared" si="341"/>
        <v>6</v>
      </c>
      <c r="FP572" s="101">
        <f t="shared" si="334"/>
        <v>8</v>
      </c>
      <c r="FQ572" s="14">
        <f t="shared" si="335"/>
        <v>3</v>
      </c>
      <c r="FR572" s="101" t="str">
        <f t="shared" si="342"/>
        <v>徐晃专属武器-魂珠-1 6级</v>
      </c>
      <c r="FS572" s="101">
        <f t="shared" si="343"/>
        <v>1</v>
      </c>
      <c r="FT572" s="101">
        <f t="shared" si="344"/>
        <v>6</v>
      </c>
      <c r="FU572" s="101" t="str">
        <f t="shared" si="336"/>
        <v>金币</v>
      </c>
      <c r="FV572" s="139">
        <f>IF($FT572&gt;0,IF(INDEX($EI$6:$EI$77,$FO572)&gt;=FV$3,ROUND(INDEX(EK$6:EK$77,$FO572)*INDEX(卡牌消耗!$B$8:$F$8,FQ572)/5,0)*5,""),"")</f>
        <v>460</v>
      </c>
      <c r="FW572" s="101" t="str">
        <f t="shared" si="337"/>
        <v>专属强化石1</v>
      </c>
      <c r="FX572" s="101">
        <f t="shared" si="338"/>
        <v>6</v>
      </c>
      <c r="FY572" s="101" t="str">
        <f t="shared" si="339"/>
        <v/>
      </c>
      <c r="FZ572" s="101" t="str">
        <f t="shared" si="340"/>
        <v/>
      </c>
      <c r="GA572" s="101">
        <f t="shared" si="345"/>
        <v>0.15</v>
      </c>
      <c r="GB572" s="101">
        <f t="shared" si="346"/>
        <v>1</v>
      </c>
      <c r="GC572" s="101">
        <f t="shared" si="347"/>
        <v>10</v>
      </c>
      <c r="GD572" s="101">
        <f t="shared" si="348"/>
        <v>0</v>
      </c>
      <c r="GE572" s="101">
        <f t="shared" si="349"/>
        <v>1</v>
      </c>
      <c r="GF572" s="101">
        <f t="shared" si="350"/>
        <v>2</v>
      </c>
      <c r="GG572" s="101">
        <f t="shared" si="351"/>
        <v>7.3599999999999999E-2</v>
      </c>
      <c r="GH572" s="101">
        <f t="shared" si="352"/>
        <v>1</v>
      </c>
      <c r="GI572" s="101">
        <f t="shared" si="353"/>
        <v>5</v>
      </c>
      <c r="GJ572" s="101">
        <f t="shared" si="354"/>
        <v>0.29459999999999997</v>
      </c>
      <c r="GK572" s="101">
        <f t="shared" si="355"/>
        <v>1</v>
      </c>
      <c r="GL572" s="101">
        <f t="shared" si="356"/>
        <v>10</v>
      </c>
    </row>
    <row r="573" spans="170:194" ht="16.5" x14ac:dyDescent="0.2">
      <c r="FN573" s="101">
        <v>568</v>
      </c>
      <c r="FO573" s="101">
        <f t="shared" si="341"/>
        <v>7</v>
      </c>
      <c r="FP573" s="101">
        <f t="shared" si="334"/>
        <v>8</v>
      </c>
      <c r="FQ573" s="14">
        <f t="shared" si="335"/>
        <v>3</v>
      </c>
      <c r="FR573" s="101" t="str">
        <f t="shared" si="342"/>
        <v>徐晃专属武器-魂珠-1 7级</v>
      </c>
      <c r="FS573" s="101">
        <f t="shared" si="343"/>
        <v>1</v>
      </c>
      <c r="FT573" s="101">
        <f t="shared" si="344"/>
        <v>7</v>
      </c>
      <c r="FU573" s="101" t="str">
        <f t="shared" si="336"/>
        <v>金币</v>
      </c>
      <c r="FV573" s="139">
        <f>IF($FT573&gt;0,IF(INDEX($EI$6:$EI$77,$FO573)&gt;=FV$3,ROUND(INDEX(EK$6:EK$77,$FO573)*INDEX(卡牌消耗!$B$8:$F$8,FQ573)/5,0)*5,""),"")</f>
        <v>535</v>
      </c>
      <c r="FW573" s="101" t="str">
        <f t="shared" si="337"/>
        <v>专属强化石1</v>
      </c>
      <c r="FX573" s="101">
        <f t="shared" si="338"/>
        <v>7</v>
      </c>
      <c r="FY573" s="101" t="str">
        <f t="shared" si="339"/>
        <v/>
      </c>
      <c r="FZ573" s="101" t="str">
        <f t="shared" si="340"/>
        <v/>
      </c>
      <c r="GA573" s="101">
        <f t="shared" si="345"/>
        <v>0.11</v>
      </c>
      <c r="GB573" s="101">
        <f t="shared" si="346"/>
        <v>1</v>
      </c>
      <c r="GC573" s="101">
        <f t="shared" si="347"/>
        <v>14</v>
      </c>
      <c r="GD573" s="101">
        <f t="shared" si="348"/>
        <v>0</v>
      </c>
      <c r="GE573" s="101">
        <f t="shared" si="349"/>
        <v>1</v>
      </c>
      <c r="GF573" s="101">
        <f t="shared" si="350"/>
        <v>3</v>
      </c>
      <c r="GG573" s="101">
        <f t="shared" si="351"/>
        <v>5.3199999999999997E-2</v>
      </c>
      <c r="GH573" s="101">
        <f t="shared" si="352"/>
        <v>1</v>
      </c>
      <c r="GI573" s="101">
        <f t="shared" si="353"/>
        <v>7</v>
      </c>
      <c r="GJ573" s="101">
        <f t="shared" si="354"/>
        <v>0.2127</v>
      </c>
      <c r="GK573" s="101">
        <f t="shared" si="355"/>
        <v>1</v>
      </c>
      <c r="GL573" s="101">
        <f t="shared" si="356"/>
        <v>14</v>
      </c>
    </row>
    <row r="574" spans="170:194" ht="16.5" x14ac:dyDescent="0.2">
      <c r="FN574" s="101">
        <v>569</v>
      </c>
      <c r="FO574" s="101">
        <f t="shared" si="341"/>
        <v>8</v>
      </c>
      <c r="FP574" s="101">
        <f t="shared" si="334"/>
        <v>8</v>
      </c>
      <c r="FQ574" s="14">
        <f t="shared" si="335"/>
        <v>3</v>
      </c>
      <c r="FR574" s="101" t="str">
        <f t="shared" si="342"/>
        <v>徐晃专属武器-魂珠-1 8级</v>
      </c>
      <c r="FS574" s="101">
        <f t="shared" si="343"/>
        <v>1</v>
      </c>
      <c r="FT574" s="101">
        <f t="shared" si="344"/>
        <v>8</v>
      </c>
      <c r="FU574" s="101" t="str">
        <f t="shared" si="336"/>
        <v>金币</v>
      </c>
      <c r="FV574" s="139">
        <f>IF($FT574&gt;0,IF(INDEX($EI$6:$EI$77,$FO574)&gt;=FV$3,ROUND(INDEX(EK$6:EK$77,$FO574)*INDEX(卡牌消耗!$B$8:$F$8,FQ574)/5,0)*5,""),"")</f>
        <v>615</v>
      </c>
      <c r="FW574" s="101" t="str">
        <f t="shared" si="337"/>
        <v>专属强化石1</v>
      </c>
      <c r="FX574" s="101">
        <f t="shared" si="338"/>
        <v>8</v>
      </c>
      <c r="FY574" s="101" t="str">
        <f t="shared" si="339"/>
        <v/>
      </c>
      <c r="FZ574" s="101" t="str">
        <f t="shared" si="340"/>
        <v/>
      </c>
      <c r="GA574" s="101">
        <f t="shared" si="345"/>
        <v>0.08</v>
      </c>
      <c r="GB574" s="101">
        <f t="shared" si="346"/>
        <v>1</v>
      </c>
      <c r="GC574" s="101">
        <f t="shared" si="347"/>
        <v>20</v>
      </c>
      <c r="GD574" s="101">
        <f t="shared" si="348"/>
        <v>0</v>
      </c>
      <c r="GE574" s="101">
        <f t="shared" si="349"/>
        <v>1</v>
      </c>
      <c r="GF574" s="101">
        <f t="shared" si="350"/>
        <v>5</v>
      </c>
      <c r="GG574" s="101">
        <f t="shared" si="351"/>
        <v>3.7499999999999999E-2</v>
      </c>
      <c r="GH574" s="101">
        <f t="shared" si="352"/>
        <v>1</v>
      </c>
      <c r="GI574" s="101">
        <f t="shared" si="353"/>
        <v>9</v>
      </c>
      <c r="GJ574" s="101">
        <f t="shared" si="354"/>
        <v>0.1502</v>
      </c>
      <c r="GK574" s="101">
        <f t="shared" si="355"/>
        <v>1</v>
      </c>
      <c r="GL574" s="101">
        <f t="shared" si="356"/>
        <v>20</v>
      </c>
    </row>
    <row r="575" spans="170:194" ht="16.5" x14ac:dyDescent="0.2">
      <c r="FN575" s="101">
        <v>570</v>
      </c>
      <c r="FO575" s="101">
        <f t="shared" si="341"/>
        <v>9</v>
      </c>
      <c r="FP575" s="101">
        <f t="shared" si="334"/>
        <v>8</v>
      </c>
      <c r="FQ575" s="14">
        <f t="shared" si="335"/>
        <v>3</v>
      </c>
      <c r="FR575" s="101" t="str">
        <f t="shared" si="342"/>
        <v>徐晃专属武器-魂珠-1 9级</v>
      </c>
      <c r="FS575" s="101">
        <f t="shared" si="343"/>
        <v>1</v>
      </c>
      <c r="FT575" s="101">
        <f t="shared" si="344"/>
        <v>9</v>
      </c>
      <c r="FU575" s="101" t="str">
        <f t="shared" si="336"/>
        <v>金币</v>
      </c>
      <c r="FV575" s="139">
        <f>IF($FT575&gt;0,IF(INDEX($EI$6:$EI$77,$FO575)&gt;=FV$3,ROUND(INDEX(EK$6:EK$77,$FO575)*INDEX(卡牌消耗!$B$8:$F$8,FQ575)/5,0)*5,""),"")</f>
        <v>765</v>
      </c>
      <c r="FW575" s="101" t="str">
        <f t="shared" si="337"/>
        <v>专属强化石1</v>
      </c>
      <c r="FX575" s="101">
        <f t="shared" si="338"/>
        <v>10</v>
      </c>
      <c r="FY575" s="101" t="str">
        <f t="shared" si="339"/>
        <v/>
      </c>
      <c r="FZ575" s="101" t="str">
        <f t="shared" si="340"/>
        <v/>
      </c>
      <c r="GA575" s="101">
        <f t="shared" si="345"/>
        <v>0.06</v>
      </c>
      <c r="GB575" s="101">
        <f t="shared" si="346"/>
        <v>1</v>
      </c>
      <c r="GC575" s="101">
        <f t="shared" si="347"/>
        <v>26</v>
      </c>
      <c r="GD575" s="101">
        <f t="shared" si="348"/>
        <v>0</v>
      </c>
      <c r="GE575" s="101">
        <f t="shared" si="349"/>
        <v>1</v>
      </c>
      <c r="GF575" s="101">
        <f t="shared" si="350"/>
        <v>6</v>
      </c>
      <c r="GG575" s="101">
        <f t="shared" si="351"/>
        <v>2.9000000000000001E-2</v>
      </c>
      <c r="GH575" s="101">
        <f t="shared" si="352"/>
        <v>1</v>
      </c>
      <c r="GI575" s="101">
        <f t="shared" si="353"/>
        <v>12</v>
      </c>
      <c r="GJ575" s="101">
        <f t="shared" si="354"/>
        <v>0.11600000000000001</v>
      </c>
      <c r="GK575" s="101">
        <f t="shared" si="355"/>
        <v>1</v>
      </c>
      <c r="GL575" s="101">
        <f t="shared" si="356"/>
        <v>26</v>
      </c>
    </row>
    <row r="576" spans="170:194" ht="16.5" x14ac:dyDescent="0.2">
      <c r="FN576" s="101">
        <v>571</v>
      </c>
      <c r="FO576" s="101">
        <f t="shared" si="341"/>
        <v>0</v>
      </c>
      <c r="FP576" s="101">
        <f t="shared" si="334"/>
        <v>8</v>
      </c>
      <c r="FQ576" s="14">
        <f t="shared" si="335"/>
        <v>3</v>
      </c>
      <c r="FR576" s="101" t="str">
        <f t="shared" si="342"/>
        <v>徐晃专属武器-魂珠-2 0级</v>
      </c>
      <c r="FS576" s="101">
        <f t="shared" si="343"/>
        <v>2</v>
      </c>
      <c r="FT576" s="101">
        <f t="shared" si="344"/>
        <v>0</v>
      </c>
      <c r="FU576" s="101" t="str">
        <f t="shared" si="336"/>
        <v/>
      </c>
      <c r="FV576" s="139" t="str">
        <f>IF($FT576&gt;0,IF(INDEX($EI$6:$EI$77,$FO576)&gt;=FV$3,ROUND(INDEX(EK$6:EK$77,$FO576)*INDEX(卡牌消耗!$B$8:$F$8,FQ576)/5,0)*5,""),"")</f>
        <v/>
      </c>
      <c r="FW576" s="101" t="str">
        <f t="shared" si="337"/>
        <v/>
      </c>
      <c r="FX576" s="101" t="str">
        <f t="shared" si="338"/>
        <v/>
      </c>
      <c r="FY576" s="101" t="str">
        <f t="shared" si="339"/>
        <v/>
      </c>
      <c r="FZ576" s="101" t="str">
        <f t="shared" si="340"/>
        <v/>
      </c>
      <c r="GA576" s="101" t="str">
        <f t="shared" si="345"/>
        <v/>
      </c>
      <c r="GB576" s="101" t="str">
        <f t="shared" si="346"/>
        <v/>
      </c>
      <c r="GC576" s="101" t="str">
        <f t="shared" si="347"/>
        <v/>
      </c>
      <c r="GD576" s="101" t="str">
        <f t="shared" si="348"/>
        <v/>
      </c>
      <c r="GE576" s="101" t="str">
        <f t="shared" si="349"/>
        <v/>
      </c>
      <c r="GF576" s="101" t="str">
        <f t="shared" si="350"/>
        <v/>
      </c>
      <c r="GG576" s="101" t="str">
        <f t="shared" si="351"/>
        <v/>
      </c>
      <c r="GH576" s="101" t="str">
        <f t="shared" si="352"/>
        <v/>
      </c>
      <c r="GI576" s="101" t="str">
        <f t="shared" si="353"/>
        <v/>
      </c>
      <c r="GJ576" s="101" t="str">
        <f t="shared" si="354"/>
        <v/>
      </c>
      <c r="GK576" s="101" t="str">
        <f t="shared" si="355"/>
        <v/>
      </c>
      <c r="GL576" s="101" t="str">
        <f t="shared" si="356"/>
        <v/>
      </c>
    </row>
    <row r="577" spans="170:194" ht="16.5" x14ac:dyDescent="0.2">
      <c r="FN577" s="101">
        <v>572</v>
      </c>
      <c r="FO577" s="101">
        <f t="shared" si="341"/>
        <v>10</v>
      </c>
      <c r="FP577" s="101">
        <f t="shared" si="334"/>
        <v>8</v>
      </c>
      <c r="FQ577" s="14">
        <f t="shared" si="335"/>
        <v>3</v>
      </c>
      <c r="FR577" s="101" t="str">
        <f t="shared" si="342"/>
        <v>徐晃专属武器-魂珠-2 1级</v>
      </c>
      <c r="FS577" s="101">
        <f t="shared" si="343"/>
        <v>2</v>
      </c>
      <c r="FT577" s="101">
        <f t="shared" si="344"/>
        <v>1</v>
      </c>
      <c r="FU577" s="101" t="str">
        <f t="shared" si="336"/>
        <v>金币</v>
      </c>
      <c r="FV577" s="139">
        <f>IF($FT577&gt;0,IF(INDEX($EI$6:$EI$77,$FO577)&gt;=FV$3,ROUND(INDEX(EK$6:EK$77,$FO577)*INDEX(卡牌消耗!$B$8:$F$8,FQ577)/5,0)*5,""),"")</f>
        <v>260</v>
      </c>
      <c r="FW577" s="101" t="str">
        <f t="shared" si="337"/>
        <v>专属强化石1</v>
      </c>
      <c r="FX577" s="101">
        <f t="shared" si="338"/>
        <v>3</v>
      </c>
      <c r="FY577" s="101" t="str">
        <f t="shared" si="339"/>
        <v>专属强化石2</v>
      </c>
      <c r="FZ577" s="101">
        <f t="shared" si="340"/>
        <v>1</v>
      </c>
      <c r="GA577" s="101">
        <f t="shared" si="345"/>
        <v>0.39</v>
      </c>
      <c r="GB577" s="101">
        <f t="shared" si="346"/>
        <v>1</v>
      </c>
      <c r="GC577" s="101">
        <f t="shared" si="347"/>
        <v>4</v>
      </c>
      <c r="GD577" s="101">
        <f t="shared" si="348"/>
        <v>0</v>
      </c>
      <c r="GE577" s="101">
        <f t="shared" si="349"/>
        <v>1</v>
      </c>
      <c r="GF577" s="101">
        <f t="shared" si="350"/>
        <v>1</v>
      </c>
      <c r="GG577" s="101">
        <f t="shared" si="351"/>
        <v>0.19270000000000001</v>
      </c>
      <c r="GH577" s="101">
        <f t="shared" si="352"/>
        <v>1</v>
      </c>
      <c r="GI577" s="101">
        <f t="shared" si="353"/>
        <v>2</v>
      </c>
      <c r="GJ577" s="101">
        <f t="shared" si="354"/>
        <v>0.77070000000000005</v>
      </c>
      <c r="GK577" s="101">
        <f t="shared" si="355"/>
        <v>1</v>
      </c>
      <c r="GL577" s="101">
        <f t="shared" si="356"/>
        <v>4</v>
      </c>
    </row>
    <row r="578" spans="170:194" ht="16.5" x14ac:dyDescent="0.2">
      <c r="FN578" s="101">
        <v>573</v>
      </c>
      <c r="FO578" s="101">
        <f t="shared" si="341"/>
        <v>11</v>
      </c>
      <c r="FP578" s="101">
        <f t="shared" si="334"/>
        <v>8</v>
      </c>
      <c r="FQ578" s="14">
        <f t="shared" si="335"/>
        <v>3</v>
      </c>
      <c r="FR578" s="101" t="str">
        <f t="shared" si="342"/>
        <v>徐晃专属武器-魂珠-2 2级</v>
      </c>
      <c r="FS578" s="101">
        <f t="shared" si="343"/>
        <v>2</v>
      </c>
      <c r="FT578" s="101">
        <f t="shared" si="344"/>
        <v>2</v>
      </c>
      <c r="FU578" s="101" t="str">
        <f t="shared" si="336"/>
        <v>金币</v>
      </c>
      <c r="FV578" s="139">
        <f>IF($FT578&gt;0,IF(INDEX($EI$6:$EI$77,$FO578)&gt;=FV$3,ROUND(INDEX(EK$6:EK$77,$FO578)*INDEX(卡牌消耗!$B$8:$F$8,FQ578)/5,0)*5,""),"")</f>
        <v>195</v>
      </c>
      <c r="FW578" s="101" t="str">
        <f t="shared" si="337"/>
        <v>专属强化石1</v>
      </c>
      <c r="FX578" s="101">
        <f t="shared" si="338"/>
        <v>3</v>
      </c>
      <c r="FY578" s="101" t="str">
        <f t="shared" si="339"/>
        <v>专属强化石2</v>
      </c>
      <c r="FZ578" s="101">
        <f t="shared" si="340"/>
        <v>1</v>
      </c>
      <c r="GA578" s="101">
        <f t="shared" si="345"/>
        <v>0.19</v>
      </c>
      <c r="GB578" s="101">
        <f t="shared" si="346"/>
        <v>1</v>
      </c>
      <c r="GC578" s="101">
        <f t="shared" si="347"/>
        <v>8</v>
      </c>
      <c r="GD578" s="101">
        <f t="shared" si="348"/>
        <v>0</v>
      </c>
      <c r="GE578" s="101">
        <f t="shared" si="349"/>
        <v>1</v>
      </c>
      <c r="GF578" s="101">
        <f t="shared" si="350"/>
        <v>2</v>
      </c>
      <c r="GG578" s="101">
        <f t="shared" si="351"/>
        <v>9.6299999999999997E-2</v>
      </c>
      <c r="GH578" s="101">
        <f t="shared" si="352"/>
        <v>1</v>
      </c>
      <c r="GI578" s="101">
        <f t="shared" si="353"/>
        <v>4</v>
      </c>
      <c r="GJ578" s="101">
        <f t="shared" si="354"/>
        <v>0.38529999999999998</v>
      </c>
      <c r="GK578" s="101">
        <f t="shared" si="355"/>
        <v>1</v>
      </c>
      <c r="GL578" s="101">
        <f t="shared" si="356"/>
        <v>8</v>
      </c>
    </row>
    <row r="579" spans="170:194" ht="16.5" x14ac:dyDescent="0.2">
      <c r="FN579" s="101">
        <v>574</v>
      </c>
      <c r="FO579" s="101">
        <f t="shared" si="341"/>
        <v>12</v>
      </c>
      <c r="FP579" s="101">
        <f t="shared" si="334"/>
        <v>8</v>
      </c>
      <c r="FQ579" s="14">
        <f t="shared" si="335"/>
        <v>3</v>
      </c>
      <c r="FR579" s="101" t="str">
        <f t="shared" si="342"/>
        <v>徐晃专属武器-魂珠-2 3级</v>
      </c>
      <c r="FS579" s="101">
        <f t="shared" si="343"/>
        <v>2</v>
      </c>
      <c r="FT579" s="101">
        <f t="shared" si="344"/>
        <v>3</v>
      </c>
      <c r="FU579" s="101" t="str">
        <f t="shared" si="336"/>
        <v>金币</v>
      </c>
      <c r="FV579" s="139">
        <f>IF($FT579&gt;0,IF(INDEX($EI$6:$EI$77,$FO579)&gt;=FV$3,ROUND(INDEX(EK$6:EK$77,$FO579)*INDEX(卡牌消耗!$B$8:$F$8,FQ579)/5,0)*5,""),"")</f>
        <v>435</v>
      </c>
      <c r="FW579" s="101" t="str">
        <f t="shared" si="337"/>
        <v>专属强化石1</v>
      </c>
      <c r="FX579" s="101">
        <f t="shared" si="338"/>
        <v>6</v>
      </c>
      <c r="FY579" s="101" t="str">
        <f t="shared" si="339"/>
        <v>专属强化石2</v>
      </c>
      <c r="FZ579" s="101">
        <f t="shared" si="340"/>
        <v>2</v>
      </c>
      <c r="GA579" s="101">
        <f t="shared" si="345"/>
        <v>0.26</v>
      </c>
      <c r="GB579" s="101">
        <f t="shared" si="346"/>
        <v>1</v>
      </c>
      <c r="GC579" s="101">
        <f t="shared" si="347"/>
        <v>6</v>
      </c>
      <c r="GD579" s="101">
        <f t="shared" si="348"/>
        <v>0</v>
      </c>
      <c r="GE579" s="101">
        <f t="shared" si="349"/>
        <v>1</v>
      </c>
      <c r="GF579" s="101">
        <f t="shared" si="350"/>
        <v>1</v>
      </c>
      <c r="GG579" s="101">
        <f t="shared" si="351"/>
        <v>0.12839999999999999</v>
      </c>
      <c r="GH579" s="101">
        <f t="shared" si="352"/>
        <v>1</v>
      </c>
      <c r="GI579" s="101">
        <f t="shared" si="353"/>
        <v>3</v>
      </c>
      <c r="GJ579" s="101">
        <f t="shared" si="354"/>
        <v>0.51380000000000003</v>
      </c>
      <c r="GK579" s="101">
        <f t="shared" si="355"/>
        <v>1</v>
      </c>
      <c r="GL579" s="101">
        <f t="shared" si="356"/>
        <v>6</v>
      </c>
    </row>
    <row r="580" spans="170:194" ht="16.5" x14ac:dyDescent="0.2">
      <c r="FN580" s="101">
        <v>575</v>
      </c>
      <c r="FO580" s="101">
        <f t="shared" si="341"/>
        <v>13</v>
      </c>
      <c r="FP580" s="101">
        <f t="shared" si="334"/>
        <v>8</v>
      </c>
      <c r="FQ580" s="14">
        <f t="shared" si="335"/>
        <v>3</v>
      </c>
      <c r="FR580" s="101" t="str">
        <f t="shared" si="342"/>
        <v>徐晃专属武器-魂珠-2 4级</v>
      </c>
      <c r="FS580" s="101">
        <f t="shared" si="343"/>
        <v>2</v>
      </c>
      <c r="FT580" s="101">
        <f t="shared" si="344"/>
        <v>4</v>
      </c>
      <c r="FU580" s="101" t="str">
        <f t="shared" si="336"/>
        <v>金币</v>
      </c>
      <c r="FV580" s="139">
        <f>IF($FT580&gt;0,IF(INDEX($EI$6:$EI$77,$FO580)&gt;=FV$3,ROUND(INDEX(EK$6:EK$77,$FO580)*INDEX(卡牌消耗!$B$8:$F$8,FQ580)/5,0)*5,""),"")</f>
        <v>420</v>
      </c>
      <c r="FW580" s="101" t="str">
        <f t="shared" si="337"/>
        <v>专属强化石1</v>
      </c>
      <c r="FX580" s="101">
        <f t="shared" si="338"/>
        <v>6</v>
      </c>
      <c r="FY580" s="101" t="str">
        <f t="shared" si="339"/>
        <v>专属强化石2</v>
      </c>
      <c r="FZ580" s="101">
        <f t="shared" si="340"/>
        <v>2</v>
      </c>
      <c r="GA580" s="101">
        <f t="shared" si="345"/>
        <v>0.15</v>
      </c>
      <c r="GB580" s="101">
        <f t="shared" si="346"/>
        <v>1</v>
      </c>
      <c r="GC580" s="101">
        <f t="shared" si="347"/>
        <v>10</v>
      </c>
      <c r="GD580" s="101">
        <f t="shared" si="348"/>
        <v>0</v>
      </c>
      <c r="GE580" s="101">
        <f t="shared" si="349"/>
        <v>1</v>
      </c>
      <c r="GF580" s="101">
        <f t="shared" si="350"/>
        <v>2</v>
      </c>
      <c r="GG580" s="101">
        <f t="shared" si="351"/>
        <v>7.7100000000000002E-2</v>
      </c>
      <c r="GH580" s="101">
        <f t="shared" si="352"/>
        <v>1</v>
      </c>
      <c r="GI580" s="101">
        <f t="shared" si="353"/>
        <v>5</v>
      </c>
      <c r="GJ580" s="101">
        <f t="shared" si="354"/>
        <v>0.30830000000000002</v>
      </c>
      <c r="GK580" s="101">
        <f t="shared" si="355"/>
        <v>1</v>
      </c>
      <c r="GL580" s="101">
        <f t="shared" si="356"/>
        <v>10</v>
      </c>
    </row>
    <row r="581" spans="170:194" ht="16.5" x14ac:dyDescent="0.2">
      <c r="FN581" s="101">
        <v>576</v>
      </c>
      <c r="FO581" s="101">
        <f t="shared" si="341"/>
        <v>14</v>
      </c>
      <c r="FP581" s="101">
        <f t="shared" si="334"/>
        <v>8</v>
      </c>
      <c r="FQ581" s="14">
        <f t="shared" si="335"/>
        <v>3</v>
      </c>
      <c r="FR581" s="101" t="str">
        <f t="shared" si="342"/>
        <v>徐晃专属武器-魂珠-2 5级</v>
      </c>
      <c r="FS581" s="101">
        <f t="shared" si="343"/>
        <v>2</v>
      </c>
      <c r="FT581" s="101">
        <f t="shared" si="344"/>
        <v>5</v>
      </c>
      <c r="FU581" s="101" t="str">
        <f t="shared" si="336"/>
        <v>金币</v>
      </c>
      <c r="FV581" s="139">
        <f>IF($FT581&gt;0,IF(INDEX($EI$6:$EI$77,$FO581)&gt;=FV$3,ROUND(INDEX(EK$6:EK$77,$FO581)*INDEX(卡牌消耗!$B$8:$F$8,FQ581)/5,0)*5,""),"")</f>
        <v>635</v>
      </c>
      <c r="FW581" s="101" t="str">
        <f t="shared" si="337"/>
        <v>专属强化石1</v>
      </c>
      <c r="FX581" s="101">
        <f t="shared" si="338"/>
        <v>9</v>
      </c>
      <c r="FY581" s="101" t="str">
        <f t="shared" si="339"/>
        <v>专属强化石2</v>
      </c>
      <c r="FZ581" s="101">
        <f t="shared" si="340"/>
        <v>3</v>
      </c>
      <c r="GA581" s="101">
        <f t="shared" si="345"/>
        <v>0.14000000000000001</v>
      </c>
      <c r="GB581" s="101">
        <f t="shared" si="346"/>
        <v>1</v>
      </c>
      <c r="GC581" s="101">
        <f t="shared" si="347"/>
        <v>10</v>
      </c>
      <c r="GD581" s="101">
        <f t="shared" si="348"/>
        <v>0</v>
      </c>
      <c r="GE581" s="101">
        <f t="shared" si="349"/>
        <v>1</v>
      </c>
      <c r="GF581" s="101">
        <f t="shared" si="350"/>
        <v>2</v>
      </c>
      <c r="GG581" s="101">
        <f t="shared" si="351"/>
        <v>7.22E-2</v>
      </c>
      <c r="GH581" s="101">
        <f t="shared" si="352"/>
        <v>1</v>
      </c>
      <c r="GI581" s="101">
        <f t="shared" si="353"/>
        <v>5</v>
      </c>
      <c r="GJ581" s="101">
        <f t="shared" si="354"/>
        <v>0.28899999999999998</v>
      </c>
      <c r="GK581" s="101">
        <f t="shared" si="355"/>
        <v>1</v>
      </c>
      <c r="GL581" s="101">
        <f t="shared" si="356"/>
        <v>10</v>
      </c>
    </row>
    <row r="582" spans="170:194" ht="16.5" x14ac:dyDescent="0.2">
      <c r="FN582" s="101">
        <v>577</v>
      </c>
      <c r="FO582" s="101">
        <f t="shared" si="341"/>
        <v>15</v>
      </c>
      <c r="FP582" s="101">
        <f t="shared" si="334"/>
        <v>8</v>
      </c>
      <c r="FQ582" s="14">
        <f t="shared" si="335"/>
        <v>3</v>
      </c>
      <c r="FR582" s="101" t="str">
        <f t="shared" si="342"/>
        <v>徐晃专属武器-魂珠-2 6级</v>
      </c>
      <c r="FS582" s="101">
        <f t="shared" si="343"/>
        <v>2</v>
      </c>
      <c r="FT582" s="101">
        <f t="shared" si="344"/>
        <v>6</v>
      </c>
      <c r="FU582" s="101" t="str">
        <f t="shared" si="336"/>
        <v>金币</v>
      </c>
      <c r="FV582" s="139">
        <f>IF($FT582&gt;0,IF(INDEX($EI$6:$EI$77,$FO582)&gt;=FV$3,ROUND(INDEX(EK$6:EK$77,$FO582)*INDEX(卡牌消耗!$B$8:$F$8,FQ582)/5,0)*5,""),"")</f>
        <v>845</v>
      </c>
      <c r="FW582" s="101" t="str">
        <f t="shared" si="337"/>
        <v>专属强化石1</v>
      </c>
      <c r="FX582" s="101">
        <f t="shared" si="338"/>
        <v>12</v>
      </c>
      <c r="FY582" s="101" t="str">
        <f t="shared" si="339"/>
        <v>专属强化石2</v>
      </c>
      <c r="FZ582" s="101">
        <f t="shared" si="340"/>
        <v>4</v>
      </c>
      <c r="GA582" s="101">
        <f t="shared" si="345"/>
        <v>0.12</v>
      </c>
      <c r="GB582" s="101">
        <f t="shared" si="346"/>
        <v>1</v>
      </c>
      <c r="GC582" s="101">
        <f t="shared" si="347"/>
        <v>13</v>
      </c>
      <c r="GD582" s="101">
        <f t="shared" si="348"/>
        <v>0</v>
      </c>
      <c r="GE582" s="101">
        <f t="shared" si="349"/>
        <v>1</v>
      </c>
      <c r="GF582" s="101">
        <f t="shared" si="350"/>
        <v>3</v>
      </c>
      <c r="GG582" s="101">
        <f t="shared" si="351"/>
        <v>5.9299999999999999E-2</v>
      </c>
      <c r="GH582" s="101">
        <f t="shared" si="352"/>
        <v>1</v>
      </c>
      <c r="GI582" s="101">
        <f t="shared" si="353"/>
        <v>6</v>
      </c>
      <c r="GJ582" s="101">
        <f t="shared" si="354"/>
        <v>0.23710000000000001</v>
      </c>
      <c r="GK582" s="101">
        <f t="shared" si="355"/>
        <v>1</v>
      </c>
      <c r="GL582" s="101">
        <f t="shared" si="356"/>
        <v>13</v>
      </c>
    </row>
    <row r="583" spans="170:194" ht="16.5" x14ac:dyDescent="0.2">
      <c r="FN583" s="101">
        <v>578</v>
      </c>
      <c r="FO583" s="101">
        <f t="shared" si="341"/>
        <v>16</v>
      </c>
      <c r="FP583" s="101">
        <f t="shared" ref="FP583:FP646" si="357">INT((FN583-1)/80+1)</f>
        <v>8</v>
      </c>
      <c r="FQ583" s="14">
        <f t="shared" ref="FQ583:FQ646" si="358">INDEX($FJ$6:$FJ$26,FP583)</f>
        <v>3</v>
      </c>
      <c r="FR583" s="101" t="str">
        <f t="shared" si="342"/>
        <v>徐晃专属武器-魂珠-2 7级</v>
      </c>
      <c r="FS583" s="101">
        <f t="shared" si="343"/>
        <v>2</v>
      </c>
      <c r="FT583" s="101">
        <f t="shared" si="344"/>
        <v>7</v>
      </c>
      <c r="FU583" s="101" t="str">
        <f t="shared" ref="FU583:FU646" si="359">IF($FT583&gt;0,IF(INDEX($EI$6:$EI$77,$FO583)&gt;=FU$3,INDEX(EJ$6:EJ$77,$FO583),""),"")</f>
        <v>金币</v>
      </c>
      <c r="FV583" s="139">
        <f>IF($FT583&gt;0,IF(INDEX($EI$6:$EI$77,$FO583)&gt;=FV$3,ROUND(INDEX(EK$6:EK$77,$FO583)*INDEX(卡牌消耗!$B$8:$F$8,FQ583)/5,0)*5,""),"")</f>
        <v>1060</v>
      </c>
      <c r="FW583" s="101" t="str">
        <f t="shared" ref="FW583:FW646" si="360">IF($FT583&gt;0,IF(INDEX($EI$6:$EI$77,$FO583)&gt;=FW$3,INDEX(EL$6:EL$77,$FO583),""),"")</f>
        <v>专属强化石1</v>
      </c>
      <c r="FX583" s="101">
        <f t="shared" ref="FX583:FX646" si="361">IF($FT583&gt;0,IF(INDEX($EI$6:$EI$77,$FO583)&gt;=FX$3,INDEX(EM$6:EM$77,$FO583),""),"")</f>
        <v>15</v>
      </c>
      <c r="FY583" s="101" t="str">
        <f t="shared" ref="FY583:FY646" si="362">IF($FT583&gt;0,IF(INDEX($EI$6:$EI$77,$FO583)&gt;=FY$3,INDEX(EN$6:EN$77,$FO583),""),"")</f>
        <v>专属强化石2</v>
      </c>
      <c r="FZ583" s="101">
        <f t="shared" ref="FZ583:FZ646" si="363">IF($FT583&gt;0,IF(INDEX($EI$6:$EI$77,$FO583)&gt;=FZ$3,INDEX(EO$6:EO$77,$FO583),""),"")</f>
        <v>5</v>
      </c>
      <c r="GA583" s="101">
        <f t="shared" si="345"/>
        <v>0.09</v>
      </c>
      <c r="GB583" s="101">
        <f t="shared" si="346"/>
        <v>1</v>
      </c>
      <c r="GC583" s="101">
        <f t="shared" si="347"/>
        <v>16</v>
      </c>
      <c r="GD583" s="101">
        <f t="shared" si="348"/>
        <v>0</v>
      </c>
      <c r="GE583" s="101">
        <f t="shared" si="349"/>
        <v>1</v>
      </c>
      <c r="GF583" s="101">
        <f t="shared" si="350"/>
        <v>4</v>
      </c>
      <c r="GG583" s="101">
        <f t="shared" si="351"/>
        <v>4.5900000000000003E-2</v>
      </c>
      <c r="GH583" s="101">
        <f t="shared" si="352"/>
        <v>1</v>
      </c>
      <c r="GI583" s="101">
        <f t="shared" si="353"/>
        <v>8</v>
      </c>
      <c r="GJ583" s="101">
        <f t="shared" si="354"/>
        <v>0.1835</v>
      </c>
      <c r="GK583" s="101">
        <f t="shared" si="355"/>
        <v>1</v>
      </c>
      <c r="GL583" s="101">
        <f t="shared" si="356"/>
        <v>16</v>
      </c>
    </row>
    <row r="584" spans="170:194" ht="16.5" x14ac:dyDescent="0.2">
      <c r="FN584" s="101">
        <v>579</v>
      </c>
      <c r="FO584" s="101">
        <f t="shared" si="341"/>
        <v>17</v>
      </c>
      <c r="FP584" s="101">
        <f t="shared" si="357"/>
        <v>8</v>
      </c>
      <c r="FQ584" s="14">
        <f t="shared" si="358"/>
        <v>3</v>
      </c>
      <c r="FR584" s="101" t="str">
        <f t="shared" si="342"/>
        <v>徐晃专属武器-魂珠-2 8级</v>
      </c>
      <c r="FS584" s="101">
        <f t="shared" si="343"/>
        <v>2</v>
      </c>
      <c r="FT584" s="101">
        <f t="shared" si="344"/>
        <v>8</v>
      </c>
      <c r="FU584" s="101" t="str">
        <f t="shared" si="359"/>
        <v>金币</v>
      </c>
      <c r="FV584" s="139">
        <f>IF($FT584&gt;0,IF(INDEX($EI$6:$EI$77,$FO584)&gt;=FV$3,ROUND(INDEX(EK$6:EK$77,$FO584)*INDEX(卡牌消耗!$B$8:$F$8,FQ584)/5,0)*5,""),"")</f>
        <v>1270</v>
      </c>
      <c r="FW584" s="101" t="str">
        <f t="shared" si="360"/>
        <v>专属强化石1</v>
      </c>
      <c r="FX584" s="101">
        <f t="shared" si="361"/>
        <v>18</v>
      </c>
      <c r="FY584" s="101" t="str">
        <f t="shared" si="362"/>
        <v>专属强化石2</v>
      </c>
      <c r="FZ584" s="101">
        <f t="shared" si="363"/>
        <v>6</v>
      </c>
      <c r="GA584" s="101">
        <f t="shared" si="345"/>
        <v>7.0000000000000007E-2</v>
      </c>
      <c r="GB584" s="101">
        <f t="shared" si="346"/>
        <v>1</v>
      </c>
      <c r="GC584" s="101">
        <f t="shared" si="347"/>
        <v>22</v>
      </c>
      <c r="GD584" s="101">
        <f t="shared" si="348"/>
        <v>0</v>
      </c>
      <c r="GE584" s="101">
        <f t="shared" si="349"/>
        <v>1</v>
      </c>
      <c r="GF584" s="101">
        <f t="shared" si="350"/>
        <v>5</v>
      </c>
      <c r="GG584" s="101">
        <f t="shared" si="351"/>
        <v>3.4000000000000002E-2</v>
      </c>
      <c r="GH584" s="101">
        <f t="shared" si="352"/>
        <v>1</v>
      </c>
      <c r="GI584" s="101">
        <f t="shared" si="353"/>
        <v>10</v>
      </c>
      <c r="GJ584" s="101">
        <f t="shared" si="354"/>
        <v>0.13600000000000001</v>
      </c>
      <c r="GK584" s="101">
        <f t="shared" si="355"/>
        <v>1</v>
      </c>
      <c r="GL584" s="101">
        <f t="shared" si="356"/>
        <v>22</v>
      </c>
    </row>
    <row r="585" spans="170:194" ht="16.5" x14ac:dyDescent="0.2">
      <c r="FN585" s="101">
        <v>580</v>
      </c>
      <c r="FO585" s="101">
        <f t="shared" si="341"/>
        <v>18</v>
      </c>
      <c r="FP585" s="101">
        <f t="shared" si="357"/>
        <v>8</v>
      </c>
      <c r="FQ585" s="14">
        <f t="shared" si="358"/>
        <v>3</v>
      </c>
      <c r="FR585" s="101" t="str">
        <f t="shared" si="342"/>
        <v>徐晃专属武器-魂珠-2 9级</v>
      </c>
      <c r="FS585" s="101">
        <f t="shared" si="343"/>
        <v>2</v>
      </c>
      <c r="FT585" s="101">
        <f t="shared" si="344"/>
        <v>9</v>
      </c>
      <c r="FU585" s="101" t="str">
        <f t="shared" si="359"/>
        <v>金币</v>
      </c>
      <c r="FV585" s="139">
        <f>IF($FT585&gt;0,IF(INDEX($EI$6:$EI$77,$FO585)&gt;=FV$3,ROUND(INDEX(EK$6:EK$77,$FO585)*INDEX(卡牌消耗!$B$8:$F$8,FQ585)/5,0)*5,""),"")</f>
        <v>1695</v>
      </c>
      <c r="FW585" s="101" t="str">
        <f t="shared" si="360"/>
        <v>专属强化石1</v>
      </c>
      <c r="FX585" s="101">
        <f t="shared" si="361"/>
        <v>24</v>
      </c>
      <c r="FY585" s="101" t="str">
        <f t="shared" si="362"/>
        <v>专属强化石2</v>
      </c>
      <c r="FZ585" s="101">
        <f t="shared" si="363"/>
        <v>8</v>
      </c>
      <c r="GA585" s="101">
        <f t="shared" si="345"/>
        <v>0.06</v>
      </c>
      <c r="GB585" s="101">
        <f t="shared" si="346"/>
        <v>1</v>
      </c>
      <c r="GC585" s="101">
        <f t="shared" si="347"/>
        <v>27</v>
      </c>
      <c r="GD585" s="101">
        <f t="shared" si="348"/>
        <v>0</v>
      </c>
      <c r="GE585" s="101">
        <f t="shared" si="349"/>
        <v>1</v>
      </c>
      <c r="GF585" s="101">
        <f t="shared" si="350"/>
        <v>6</v>
      </c>
      <c r="GG585" s="101">
        <f t="shared" si="351"/>
        <v>2.8000000000000001E-2</v>
      </c>
      <c r="GH585" s="101">
        <f t="shared" si="352"/>
        <v>1</v>
      </c>
      <c r="GI585" s="101">
        <f t="shared" si="353"/>
        <v>12</v>
      </c>
      <c r="GJ585" s="101">
        <f t="shared" si="354"/>
        <v>0.11210000000000001</v>
      </c>
      <c r="GK585" s="101">
        <f t="shared" si="355"/>
        <v>1</v>
      </c>
      <c r="GL585" s="101">
        <f t="shared" si="356"/>
        <v>27</v>
      </c>
    </row>
    <row r="586" spans="170:194" ht="16.5" x14ac:dyDescent="0.2">
      <c r="FN586" s="101">
        <v>581</v>
      </c>
      <c r="FO586" s="101">
        <f t="shared" si="341"/>
        <v>0</v>
      </c>
      <c r="FP586" s="101">
        <f t="shared" si="357"/>
        <v>8</v>
      </c>
      <c r="FQ586" s="14">
        <f t="shared" si="358"/>
        <v>3</v>
      </c>
      <c r="FR586" s="101" t="str">
        <f t="shared" si="342"/>
        <v>徐晃专属武器-魂珠-3 0级</v>
      </c>
      <c r="FS586" s="101">
        <f t="shared" si="343"/>
        <v>3</v>
      </c>
      <c r="FT586" s="101">
        <f t="shared" si="344"/>
        <v>0</v>
      </c>
      <c r="FU586" s="101" t="str">
        <f t="shared" si="359"/>
        <v/>
      </c>
      <c r="FV586" s="139" t="str">
        <f>IF($FT586&gt;0,IF(INDEX($EI$6:$EI$77,$FO586)&gt;=FV$3,ROUND(INDEX(EK$6:EK$77,$FO586)*INDEX(卡牌消耗!$B$8:$F$8,FQ586)/5,0)*5,""),"")</f>
        <v/>
      </c>
      <c r="FW586" s="101" t="str">
        <f t="shared" si="360"/>
        <v/>
      </c>
      <c r="FX586" s="101" t="str">
        <f t="shared" si="361"/>
        <v/>
      </c>
      <c r="FY586" s="101" t="str">
        <f t="shared" si="362"/>
        <v/>
      </c>
      <c r="FZ586" s="101" t="str">
        <f t="shared" si="363"/>
        <v/>
      </c>
      <c r="GA586" s="101" t="str">
        <f t="shared" si="345"/>
        <v/>
      </c>
      <c r="GB586" s="101" t="str">
        <f t="shared" si="346"/>
        <v/>
      </c>
      <c r="GC586" s="101" t="str">
        <f t="shared" si="347"/>
        <v/>
      </c>
      <c r="GD586" s="101" t="str">
        <f t="shared" si="348"/>
        <v/>
      </c>
      <c r="GE586" s="101" t="str">
        <f t="shared" si="349"/>
        <v/>
      </c>
      <c r="GF586" s="101" t="str">
        <f t="shared" si="350"/>
        <v/>
      </c>
      <c r="GG586" s="101" t="str">
        <f t="shared" si="351"/>
        <v/>
      </c>
      <c r="GH586" s="101" t="str">
        <f t="shared" si="352"/>
        <v/>
      </c>
      <c r="GI586" s="101" t="str">
        <f t="shared" si="353"/>
        <v/>
      </c>
      <c r="GJ586" s="101" t="str">
        <f t="shared" si="354"/>
        <v/>
      </c>
      <c r="GK586" s="101" t="str">
        <f t="shared" si="355"/>
        <v/>
      </c>
      <c r="GL586" s="101" t="str">
        <f t="shared" si="356"/>
        <v/>
      </c>
    </row>
    <row r="587" spans="170:194" ht="16.5" x14ac:dyDescent="0.2">
      <c r="FN587" s="101">
        <v>582</v>
      </c>
      <c r="FO587" s="101">
        <f t="shared" si="341"/>
        <v>19</v>
      </c>
      <c r="FP587" s="101">
        <f t="shared" si="357"/>
        <v>8</v>
      </c>
      <c r="FQ587" s="14">
        <f t="shared" si="358"/>
        <v>3</v>
      </c>
      <c r="FR587" s="101" t="str">
        <f t="shared" si="342"/>
        <v>徐晃专属武器-魂珠-3 1级</v>
      </c>
      <c r="FS587" s="101">
        <f t="shared" si="343"/>
        <v>3</v>
      </c>
      <c r="FT587" s="101">
        <f t="shared" si="344"/>
        <v>1</v>
      </c>
      <c r="FU587" s="101" t="str">
        <f t="shared" si="359"/>
        <v>金币</v>
      </c>
      <c r="FV587" s="139">
        <f>IF($FT587&gt;0,IF(INDEX($EI$6:$EI$77,$FO587)&gt;=FV$3,ROUND(INDEX(EK$6:EK$77,$FO587)*INDEX(卡牌消耗!$B$8:$F$8,FQ587)/5,0)*5,""),"")</f>
        <v>545</v>
      </c>
      <c r="FW587" s="101" t="str">
        <f t="shared" si="360"/>
        <v>专属强化石1</v>
      </c>
      <c r="FX587" s="101">
        <f t="shared" si="361"/>
        <v>4</v>
      </c>
      <c r="FY587" s="101" t="str">
        <f t="shared" si="362"/>
        <v>专属强化石2</v>
      </c>
      <c r="FZ587" s="101">
        <f t="shared" si="363"/>
        <v>2</v>
      </c>
      <c r="GA587" s="101">
        <f t="shared" si="345"/>
        <v>0.31</v>
      </c>
      <c r="GB587" s="101">
        <f t="shared" si="346"/>
        <v>1</v>
      </c>
      <c r="GC587" s="101">
        <f t="shared" si="347"/>
        <v>5</v>
      </c>
      <c r="GD587" s="101">
        <f t="shared" si="348"/>
        <v>0</v>
      </c>
      <c r="GE587" s="101">
        <f t="shared" si="349"/>
        <v>1</v>
      </c>
      <c r="GF587" s="101">
        <f t="shared" si="350"/>
        <v>1</v>
      </c>
      <c r="GG587" s="101">
        <f t="shared" si="351"/>
        <v>0.15409999999999999</v>
      </c>
      <c r="GH587" s="101">
        <f t="shared" si="352"/>
        <v>1</v>
      </c>
      <c r="GI587" s="101">
        <f t="shared" si="353"/>
        <v>2</v>
      </c>
      <c r="GJ587" s="101">
        <f t="shared" si="354"/>
        <v>0.61650000000000005</v>
      </c>
      <c r="GK587" s="101">
        <f t="shared" si="355"/>
        <v>1</v>
      </c>
      <c r="GL587" s="101">
        <f t="shared" si="356"/>
        <v>5</v>
      </c>
    </row>
    <row r="588" spans="170:194" ht="16.5" x14ac:dyDescent="0.2">
      <c r="FN588" s="101">
        <v>583</v>
      </c>
      <c r="FO588" s="101">
        <f t="shared" si="341"/>
        <v>20</v>
      </c>
      <c r="FP588" s="101">
        <f t="shared" si="357"/>
        <v>8</v>
      </c>
      <c r="FQ588" s="14">
        <f t="shared" si="358"/>
        <v>3</v>
      </c>
      <c r="FR588" s="101" t="str">
        <f t="shared" si="342"/>
        <v>徐晃专属武器-魂珠-3 2级</v>
      </c>
      <c r="FS588" s="101">
        <f t="shared" si="343"/>
        <v>3</v>
      </c>
      <c r="FT588" s="101">
        <f t="shared" si="344"/>
        <v>2</v>
      </c>
      <c r="FU588" s="101" t="str">
        <f t="shared" si="359"/>
        <v>金币</v>
      </c>
      <c r="FV588" s="139">
        <f>IF($FT588&gt;0,IF(INDEX($EI$6:$EI$77,$FO588)&gt;=FV$3,ROUND(INDEX(EK$6:EK$77,$FO588)*INDEX(卡牌消耗!$B$8:$F$8,FQ588)/5,0)*5,""),"")</f>
        <v>410</v>
      </c>
      <c r="FW588" s="101" t="str">
        <f t="shared" si="360"/>
        <v>专属强化石1</v>
      </c>
      <c r="FX588" s="101">
        <f t="shared" si="361"/>
        <v>4</v>
      </c>
      <c r="FY588" s="101" t="str">
        <f t="shared" si="362"/>
        <v>专属强化石2</v>
      </c>
      <c r="FZ588" s="101">
        <f t="shared" si="363"/>
        <v>2</v>
      </c>
      <c r="GA588" s="101">
        <f t="shared" si="345"/>
        <v>0.15</v>
      </c>
      <c r="GB588" s="101">
        <f t="shared" si="346"/>
        <v>1</v>
      </c>
      <c r="GC588" s="101">
        <f t="shared" si="347"/>
        <v>10</v>
      </c>
      <c r="GD588" s="101">
        <f t="shared" si="348"/>
        <v>0</v>
      </c>
      <c r="GE588" s="101">
        <f t="shared" si="349"/>
        <v>1</v>
      </c>
      <c r="GF588" s="101">
        <f t="shared" si="350"/>
        <v>2</v>
      </c>
      <c r="GG588" s="101">
        <f t="shared" si="351"/>
        <v>7.7100000000000002E-2</v>
      </c>
      <c r="GH588" s="101">
        <f t="shared" si="352"/>
        <v>1</v>
      </c>
      <c r="GI588" s="101">
        <f t="shared" si="353"/>
        <v>5</v>
      </c>
      <c r="GJ588" s="101">
        <f t="shared" si="354"/>
        <v>0.30830000000000002</v>
      </c>
      <c r="GK588" s="101">
        <f t="shared" si="355"/>
        <v>1</v>
      </c>
      <c r="GL588" s="101">
        <f t="shared" si="356"/>
        <v>10</v>
      </c>
    </row>
    <row r="589" spans="170:194" ht="16.5" x14ac:dyDescent="0.2">
      <c r="FN589" s="101">
        <v>584</v>
      </c>
      <c r="FO589" s="101">
        <f t="shared" si="341"/>
        <v>21</v>
      </c>
      <c r="FP589" s="101">
        <f t="shared" si="357"/>
        <v>8</v>
      </c>
      <c r="FQ589" s="14">
        <f t="shared" si="358"/>
        <v>3</v>
      </c>
      <c r="FR589" s="101" t="str">
        <f t="shared" si="342"/>
        <v>徐晃专属武器-魂珠-3 3级</v>
      </c>
      <c r="FS589" s="101">
        <f t="shared" si="343"/>
        <v>3</v>
      </c>
      <c r="FT589" s="101">
        <f t="shared" si="344"/>
        <v>3</v>
      </c>
      <c r="FU589" s="101" t="str">
        <f t="shared" si="359"/>
        <v>金币</v>
      </c>
      <c r="FV589" s="139">
        <f>IF($FT589&gt;0,IF(INDEX($EI$6:$EI$77,$FO589)&gt;=FV$3,ROUND(INDEX(EK$6:EK$77,$FO589)*INDEX(卡牌消耗!$B$8:$F$8,FQ589)/5,0)*5,""),"")</f>
        <v>680</v>
      </c>
      <c r="FW589" s="101" t="str">
        <f t="shared" si="360"/>
        <v>专属强化石1</v>
      </c>
      <c r="FX589" s="101">
        <f t="shared" si="361"/>
        <v>6</v>
      </c>
      <c r="FY589" s="101" t="str">
        <f t="shared" si="362"/>
        <v>专属强化石2</v>
      </c>
      <c r="FZ589" s="101">
        <f t="shared" si="363"/>
        <v>3</v>
      </c>
      <c r="GA589" s="101">
        <f t="shared" si="345"/>
        <v>0.15</v>
      </c>
      <c r="GB589" s="101">
        <f t="shared" si="346"/>
        <v>1</v>
      </c>
      <c r="GC589" s="101">
        <f t="shared" si="347"/>
        <v>10</v>
      </c>
      <c r="GD589" s="101">
        <f t="shared" si="348"/>
        <v>0</v>
      </c>
      <c r="GE589" s="101">
        <f t="shared" si="349"/>
        <v>1</v>
      </c>
      <c r="GF589" s="101">
        <f t="shared" si="350"/>
        <v>2</v>
      </c>
      <c r="GG589" s="101">
        <f t="shared" si="351"/>
        <v>7.7100000000000002E-2</v>
      </c>
      <c r="GH589" s="101">
        <f t="shared" si="352"/>
        <v>1</v>
      </c>
      <c r="GI589" s="101">
        <f t="shared" si="353"/>
        <v>5</v>
      </c>
      <c r="GJ589" s="101">
        <f t="shared" si="354"/>
        <v>0.30830000000000002</v>
      </c>
      <c r="GK589" s="101">
        <f t="shared" si="355"/>
        <v>1</v>
      </c>
      <c r="GL589" s="101">
        <f t="shared" si="356"/>
        <v>10</v>
      </c>
    </row>
    <row r="590" spans="170:194" ht="16.5" x14ac:dyDescent="0.2">
      <c r="FN590" s="101">
        <v>585</v>
      </c>
      <c r="FO590" s="101">
        <f t="shared" si="341"/>
        <v>22</v>
      </c>
      <c r="FP590" s="101">
        <f t="shared" si="357"/>
        <v>8</v>
      </c>
      <c r="FQ590" s="14">
        <f t="shared" si="358"/>
        <v>3</v>
      </c>
      <c r="FR590" s="101" t="str">
        <f t="shared" si="342"/>
        <v>徐晃专属武器-魂珠-3 4级</v>
      </c>
      <c r="FS590" s="101">
        <f t="shared" si="343"/>
        <v>3</v>
      </c>
      <c r="FT590" s="101">
        <f t="shared" si="344"/>
        <v>4</v>
      </c>
      <c r="FU590" s="101" t="str">
        <f t="shared" si="359"/>
        <v>金币</v>
      </c>
      <c r="FV590" s="139">
        <f>IF($FT590&gt;0,IF(INDEX($EI$6:$EI$77,$FO590)&gt;=FV$3,ROUND(INDEX(EK$6:EK$77,$FO590)*INDEX(卡牌消耗!$B$8:$F$8,FQ590)/5,0)*5,""),"")</f>
        <v>655</v>
      </c>
      <c r="FW590" s="101" t="str">
        <f t="shared" si="360"/>
        <v>专属强化石1</v>
      </c>
      <c r="FX590" s="101">
        <f t="shared" si="361"/>
        <v>6</v>
      </c>
      <c r="FY590" s="101" t="str">
        <f t="shared" si="362"/>
        <v>专属强化石2</v>
      </c>
      <c r="FZ590" s="101">
        <f t="shared" si="363"/>
        <v>3</v>
      </c>
      <c r="GA590" s="101">
        <f t="shared" si="345"/>
        <v>0.09</v>
      </c>
      <c r="GB590" s="101">
        <f t="shared" si="346"/>
        <v>1</v>
      </c>
      <c r="GC590" s="101">
        <f t="shared" si="347"/>
        <v>16</v>
      </c>
      <c r="GD590" s="101">
        <f t="shared" si="348"/>
        <v>0</v>
      </c>
      <c r="GE590" s="101">
        <f t="shared" si="349"/>
        <v>1</v>
      </c>
      <c r="GF590" s="101">
        <f t="shared" si="350"/>
        <v>4</v>
      </c>
      <c r="GG590" s="101">
        <f t="shared" si="351"/>
        <v>4.6199999999999998E-2</v>
      </c>
      <c r="GH590" s="101">
        <f t="shared" si="352"/>
        <v>1</v>
      </c>
      <c r="GI590" s="101">
        <f t="shared" si="353"/>
        <v>8</v>
      </c>
      <c r="GJ590" s="101">
        <f t="shared" si="354"/>
        <v>0.185</v>
      </c>
      <c r="GK590" s="101">
        <f t="shared" si="355"/>
        <v>1</v>
      </c>
      <c r="GL590" s="101">
        <f t="shared" si="356"/>
        <v>16</v>
      </c>
    </row>
    <row r="591" spans="170:194" ht="16.5" x14ac:dyDescent="0.2">
      <c r="FN591" s="101">
        <v>586</v>
      </c>
      <c r="FO591" s="101">
        <f t="shared" si="341"/>
        <v>23</v>
      </c>
      <c r="FP591" s="101">
        <f t="shared" si="357"/>
        <v>8</v>
      </c>
      <c r="FQ591" s="14">
        <f t="shared" si="358"/>
        <v>3</v>
      </c>
      <c r="FR591" s="101" t="str">
        <f t="shared" si="342"/>
        <v>徐晃专属武器-魂珠-3 5级</v>
      </c>
      <c r="FS591" s="101">
        <f t="shared" si="343"/>
        <v>3</v>
      </c>
      <c r="FT591" s="101">
        <f t="shared" si="344"/>
        <v>5</v>
      </c>
      <c r="FU591" s="101" t="str">
        <f t="shared" si="359"/>
        <v>金币</v>
      </c>
      <c r="FV591" s="139">
        <f>IF($FT591&gt;0,IF(INDEX($EI$6:$EI$77,$FO591)&gt;=FV$3,ROUND(INDEX(EK$6:EK$77,$FO591)*INDEX(卡牌消耗!$B$8:$F$8,FQ591)/5,0)*5,""),"")</f>
        <v>885</v>
      </c>
      <c r="FW591" s="101" t="str">
        <f t="shared" si="360"/>
        <v>专属强化石1</v>
      </c>
      <c r="FX591" s="101">
        <f t="shared" si="361"/>
        <v>8</v>
      </c>
      <c r="FY591" s="101" t="str">
        <f t="shared" si="362"/>
        <v>专属强化石2</v>
      </c>
      <c r="FZ591" s="101">
        <f t="shared" si="363"/>
        <v>4</v>
      </c>
      <c r="GA591" s="101">
        <f t="shared" si="345"/>
        <v>0.08</v>
      </c>
      <c r="GB591" s="101">
        <f t="shared" si="346"/>
        <v>1</v>
      </c>
      <c r="GC591" s="101">
        <f t="shared" si="347"/>
        <v>19</v>
      </c>
      <c r="GD591" s="101">
        <f t="shared" si="348"/>
        <v>0</v>
      </c>
      <c r="GE591" s="101">
        <f t="shared" si="349"/>
        <v>1</v>
      </c>
      <c r="GF591" s="101">
        <f t="shared" si="350"/>
        <v>5</v>
      </c>
      <c r="GG591" s="101">
        <f t="shared" si="351"/>
        <v>3.85E-2</v>
      </c>
      <c r="GH591" s="101">
        <f t="shared" si="352"/>
        <v>1</v>
      </c>
      <c r="GI591" s="101">
        <f t="shared" si="353"/>
        <v>9</v>
      </c>
      <c r="GJ591" s="101">
        <f t="shared" si="354"/>
        <v>0.15409999999999999</v>
      </c>
      <c r="GK591" s="101">
        <f t="shared" si="355"/>
        <v>1</v>
      </c>
      <c r="GL591" s="101">
        <f t="shared" si="356"/>
        <v>19</v>
      </c>
    </row>
    <row r="592" spans="170:194" ht="16.5" x14ac:dyDescent="0.2">
      <c r="FN592" s="101">
        <v>587</v>
      </c>
      <c r="FO592" s="101">
        <f t="shared" si="341"/>
        <v>24</v>
      </c>
      <c r="FP592" s="101">
        <f t="shared" si="357"/>
        <v>8</v>
      </c>
      <c r="FQ592" s="14">
        <f t="shared" si="358"/>
        <v>3</v>
      </c>
      <c r="FR592" s="101" t="str">
        <f t="shared" si="342"/>
        <v>徐晃专属武器-魂珠-3 6级</v>
      </c>
      <c r="FS592" s="101">
        <f t="shared" si="343"/>
        <v>3</v>
      </c>
      <c r="FT592" s="101">
        <f t="shared" si="344"/>
        <v>6</v>
      </c>
      <c r="FU592" s="101" t="str">
        <f t="shared" si="359"/>
        <v>金币</v>
      </c>
      <c r="FV592" s="139">
        <f>IF($FT592&gt;0,IF(INDEX($EI$6:$EI$77,$FO592)&gt;=FV$3,ROUND(INDEX(EK$6:EK$77,$FO592)*INDEX(卡牌消耗!$B$8:$F$8,FQ592)/5,0)*5,""),"")</f>
        <v>1100</v>
      </c>
      <c r="FW592" s="101" t="str">
        <f t="shared" si="360"/>
        <v>专属强化石1</v>
      </c>
      <c r="FX592" s="101">
        <f t="shared" si="361"/>
        <v>10</v>
      </c>
      <c r="FY592" s="101" t="str">
        <f t="shared" si="362"/>
        <v>专属强化石2</v>
      </c>
      <c r="FZ592" s="101">
        <f t="shared" si="363"/>
        <v>5</v>
      </c>
      <c r="GA592" s="101">
        <f t="shared" si="345"/>
        <v>0.06</v>
      </c>
      <c r="GB592" s="101">
        <f t="shared" si="346"/>
        <v>1</v>
      </c>
      <c r="GC592" s="101">
        <f t="shared" si="347"/>
        <v>25</v>
      </c>
      <c r="GD592" s="101">
        <f t="shared" si="348"/>
        <v>0</v>
      </c>
      <c r="GE592" s="101">
        <f t="shared" si="349"/>
        <v>1</v>
      </c>
      <c r="GF592" s="101">
        <f t="shared" si="350"/>
        <v>6</v>
      </c>
      <c r="GG592" s="101">
        <f t="shared" si="351"/>
        <v>2.9600000000000001E-2</v>
      </c>
      <c r="GH592" s="101">
        <f t="shared" si="352"/>
        <v>1</v>
      </c>
      <c r="GI592" s="101">
        <f t="shared" si="353"/>
        <v>12</v>
      </c>
      <c r="GJ592" s="101">
        <f t="shared" si="354"/>
        <v>0.1186</v>
      </c>
      <c r="GK592" s="101">
        <f t="shared" si="355"/>
        <v>1</v>
      </c>
      <c r="GL592" s="101">
        <f t="shared" si="356"/>
        <v>25</v>
      </c>
    </row>
    <row r="593" spans="170:194" ht="16.5" x14ac:dyDescent="0.2">
      <c r="FN593" s="101">
        <v>588</v>
      </c>
      <c r="FO593" s="101">
        <f t="shared" si="341"/>
        <v>25</v>
      </c>
      <c r="FP593" s="101">
        <f t="shared" si="357"/>
        <v>8</v>
      </c>
      <c r="FQ593" s="14">
        <f t="shared" si="358"/>
        <v>3</v>
      </c>
      <c r="FR593" s="101" t="str">
        <f t="shared" si="342"/>
        <v>徐晃专属武器-魂珠-3 7级</v>
      </c>
      <c r="FS593" s="101">
        <f t="shared" si="343"/>
        <v>3</v>
      </c>
      <c r="FT593" s="101">
        <f t="shared" si="344"/>
        <v>7</v>
      </c>
      <c r="FU593" s="101" t="str">
        <f t="shared" si="359"/>
        <v>金币</v>
      </c>
      <c r="FV593" s="139">
        <f>IF($FT593&gt;0,IF(INDEX($EI$6:$EI$77,$FO593)&gt;=FV$3,ROUND(INDEX(EK$6:EK$77,$FO593)*INDEX(卡牌消耗!$B$8:$F$8,FQ593)/5,0)*5,""),"")</f>
        <v>1325</v>
      </c>
      <c r="FW593" s="101" t="str">
        <f t="shared" si="360"/>
        <v>专属强化石1</v>
      </c>
      <c r="FX593" s="101">
        <f t="shared" si="361"/>
        <v>12</v>
      </c>
      <c r="FY593" s="101" t="str">
        <f t="shared" si="362"/>
        <v>专属强化石2</v>
      </c>
      <c r="FZ593" s="101">
        <f t="shared" si="363"/>
        <v>6</v>
      </c>
      <c r="GA593" s="101">
        <f t="shared" si="345"/>
        <v>0.04</v>
      </c>
      <c r="GB593" s="101">
        <f t="shared" si="346"/>
        <v>1</v>
      </c>
      <c r="GC593" s="101">
        <f t="shared" si="347"/>
        <v>34</v>
      </c>
      <c r="GD593" s="101">
        <f t="shared" si="348"/>
        <v>0</v>
      </c>
      <c r="GE593" s="101">
        <f t="shared" si="349"/>
        <v>1</v>
      </c>
      <c r="GF593" s="101">
        <f t="shared" si="350"/>
        <v>8</v>
      </c>
      <c r="GG593" s="101">
        <f t="shared" si="351"/>
        <v>2.1999999999999999E-2</v>
      </c>
      <c r="GH593" s="101">
        <f t="shared" si="352"/>
        <v>1</v>
      </c>
      <c r="GI593" s="101">
        <f t="shared" si="353"/>
        <v>16</v>
      </c>
      <c r="GJ593" s="101">
        <f t="shared" si="354"/>
        <v>8.8099999999999998E-2</v>
      </c>
      <c r="GK593" s="101">
        <f t="shared" si="355"/>
        <v>1</v>
      </c>
      <c r="GL593" s="101">
        <f t="shared" si="356"/>
        <v>34</v>
      </c>
    </row>
    <row r="594" spans="170:194" ht="16.5" x14ac:dyDescent="0.2">
      <c r="FN594" s="101">
        <v>589</v>
      </c>
      <c r="FO594" s="101">
        <f t="shared" si="341"/>
        <v>26</v>
      </c>
      <c r="FP594" s="101">
        <f t="shared" si="357"/>
        <v>8</v>
      </c>
      <c r="FQ594" s="14">
        <f t="shared" si="358"/>
        <v>3</v>
      </c>
      <c r="FR594" s="101" t="str">
        <f t="shared" si="342"/>
        <v>徐晃专属武器-魂珠-3 8级</v>
      </c>
      <c r="FS594" s="101">
        <f t="shared" si="343"/>
        <v>3</v>
      </c>
      <c r="FT594" s="101">
        <f t="shared" si="344"/>
        <v>8</v>
      </c>
      <c r="FU594" s="101" t="str">
        <f t="shared" si="359"/>
        <v>金币</v>
      </c>
      <c r="FV594" s="139">
        <f>IF($FT594&gt;0,IF(INDEX($EI$6:$EI$77,$FO594)&gt;=FV$3,ROUND(INDEX(EK$6:EK$77,$FO594)*INDEX(卡牌消耗!$B$8:$F$8,FQ594)/5,0)*5,""),"")</f>
        <v>1765</v>
      </c>
      <c r="FW594" s="101" t="str">
        <f t="shared" si="360"/>
        <v>专属强化石1</v>
      </c>
      <c r="FX594" s="101">
        <f t="shared" si="361"/>
        <v>16</v>
      </c>
      <c r="FY594" s="101" t="str">
        <f t="shared" si="362"/>
        <v>专属强化石2</v>
      </c>
      <c r="FZ594" s="101">
        <f t="shared" si="363"/>
        <v>8</v>
      </c>
      <c r="GA594" s="101">
        <f t="shared" si="345"/>
        <v>0.04</v>
      </c>
      <c r="GB594" s="101">
        <f t="shared" si="346"/>
        <v>1</v>
      </c>
      <c r="GC594" s="101">
        <f t="shared" si="347"/>
        <v>41</v>
      </c>
      <c r="GD594" s="101">
        <f t="shared" si="348"/>
        <v>0</v>
      </c>
      <c r="GE594" s="101">
        <f t="shared" si="349"/>
        <v>1</v>
      </c>
      <c r="GF594" s="101">
        <f t="shared" si="350"/>
        <v>10</v>
      </c>
      <c r="GG594" s="101">
        <f t="shared" si="351"/>
        <v>1.8100000000000002E-2</v>
      </c>
      <c r="GH594" s="101">
        <f t="shared" si="352"/>
        <v>1</v>
      </c>
      <c r="GI594" s="101">
        <f t="shared" si="353"/>
        <v>19</v>
      </c>
      <c r="GJ594" s="101">
        <f t="shared" si="354"/>
        <v>7.2499999999999995E-2</v>
      </c>
      <c r="GK594" s="101">
        <f t="shared" si="355"/>
        <v>1</v>
      </c>
      <c r="GL594" s="101">
        <f t="shared" si="356"/>
        <v>41</v>
      </c>
    </row>
    <row r="595" spans="170:194" ht="16.5" x14ac:dyDescent="0.2">
      <c r="FN595" s="101">
        <v>590</v>
      </c>
      <c r="FO595" s="101">
        <f t="shared" si="341"/>
        <v>27</v>
      </c>
      <c r="FP595" s="101">
        <f t="shared" si="357"/>
        <v>8</v>
      </c>
      <c r="FQ595" s="14">
        <f t="shared" si="358"/>
        <v>3</v>
      </c>
      <c r="FR595" s="101" t="str">
        <f t="shared" si="342"/>
        <v>徐晃专属武器-魂珠-3 9级</v>
      </c>
      <c r="FS595" s="101">
        <f t="shared" si="343"/>
        <v>3</v>
      </c>
      <c r="FT595" s="101">
        <f t="shared" si="344"/>
        <v>9</v>
      </c>
      <c r="FU595" s="101" t="str">
        <f t="shared" si="359"/>
        <v>金币</v>
      </c>
      <c r="FV595" s="139">
        <f>IF($FT595&gt;0,IF(INDEX($EI$6:$EI$77,$FO595)&gt;=FV$3,ROUND(INDEX(EK$6:EK$77,$FO595)*INDEX(卡牌消耗!$B$8:$F$8,FQ595)/5,0)*5,""),"")</f>
        <v>2205</v>
      </c>
      <c r="FW595" s="101" t="str">
        <f t="shared" si="360"/>
        <v>专属强化石1</v>
      </c>
      <c r="FX595" s="101">
        <f t="shared" si="361"/>
        <v>20</v>
      </c>
      <c r="FY595" s="101" t="str">
        <f t="shared" si="362"/>
        <v>专属强化石2</v>
      </c>
      <c r="FZ595" s="101">
        <f t="shared" si="363"/>
        <v>10</v>
      </c>
      <c r="GA595" s="101">
        <f t="shared" si="345"/>
        <v>0.03</v>
      </c>
      <c r="GB595" s="101">
        <f t="shared" si="346"/>
        <v>1</v>
      </c>
      <c r="GC595" s="101">
        <f t="shared" si="347"/>
        <v>54</v>
      </c>
      <c r="GD595" s="101">
        <f t="shared" si="348"/>
        <v>0</v>
      </c>
      <c r="GE595" s="101">
        <f t="shared" si="349"/>
        <v>1</v>
      </c>
      <c r="GF595" s="101">
        <f t="shared" si="350"/>
        <v>12</v>
      </c>
      <c r="GG595" s="101">
        <f t="shared" si="351"/>
        <v>1.4E-2</v>
      </c>
      <c r="GH595" s="101">
        <f t="shared" si="352"/>
        <v>1</v>
      </c>
      <c r="GI595" s="101">
        <f t="shared" si="353"/>
        <v>25</v>
      </c>
      <c r="GJ595" s="101">
        <f t="shared" si="354"/>
        <v>5.6000000000000001E-2</v>
      </c>
      <c r="GK595" s="101">
        <f t="shared" si="355"/>
        <v>1</v>
      </c>
      <c r="GL595" s="101">
        <f t="shared" si="356"/>
        <v>54</v>
      </c>
    </row>
    <row r="596" spans="170:194" ht="16.5" x14ac:dyDescent="0.2">
      <c r="FN596" s="101">
        <v>591</v>
      </c>
      <c r="FO596" s="101">
        <f t="shared" si="341"/>
        <v>0</v>
      </c>
      <c r="FP596" s="101">
        <f t="shared" si="357"/>
        <v>8</v>
      </c>
      <c r="FQ596" s="14">
        <f t="shared" si="358"/>
        <v>3</v>
      </c>
      <c r="FR596" s="101" t="str">
        <f t="shared" si="342"/>
        <v>徐晃专属武器-魂珠-4 0级</v>
      </c>
      <c r="FS596" s="101">
        <f t="shared" si="343"/>
        <v>4</v>
      </c>
      <c r="FT596" s="101">
        <f t="shared" si="344"/>
        <v>0</v>
      </c>
      <c r="FU596" s="101" t="str">
        <f t="shared" si="359"/>
        <v/>
      </c>
      <c r="FV596" s="139" t="str">
        <f>IF($FT596&gt;0,IF(INDEX($EI$6:$EI$77,$FO596)&gt;=FV$3,ROUND(INDEX(EK$6:EK$77,$FO596)*INDEX(卡牌消耗!$B$8:$F$8,FQ596)/5,0)*5,""),"")</f>
        <v/>
      </c>
      <c r="FW596" s="101" t="str">
        <f t="shared" si="360"/>
        <v/>
      </c>
      <c r="FX596" s="101" t="str">
        <f t="shared" si="361"/>
        <v/>
      </c>
      <c r="FY596" s="101" t="str">
        <f t="shared" si="362"/>
        <v/>
      </c>
      <c r="FZ596" s="101" t="str">
        <f t="shared" si="363"/>
        <v/>
      </c>
      <c r="GA596" s="101" t="str">
        <f t="shared" si="345"/>
        <v/>
      </c>
      <c r="GB596" s="101" t="str">
        <f t="shared" si="346"/>
        <v/>
      </c>
      <c r="GC596" s="101" t="str">
        <f t="shared" si="347"/>
        <v/>
      </c>
      <c r="GD596" s="101" t="str">
        <f t="shared" si="348"/>
        <v/>
      </c>
      <c r="GE596" s="101" t="str">
        <f t="shared" si="349"/>
        <v/>
      </c>
      <c r="GF596" s="101" t="str">
        <f t="shared" si="350"/>
        <v/>
      </c>
      <c r="GG596" s="101" t="str">
        <f t="shared" si="351"/>
        <v/>
      </c>
      <c r="GH596" s="101" t="str">
        <f t="shared" si="352"/>
        <v/>
      </c>
      <c r="GI596" s="101" t="str">
        <f t="shared" si="353"/>
        <v/>
      </c>
      <c r="GJ596" s="101" t="str">
        <f t="shared" si="354"/>
        <v/>
      </c>
      <c r="GK596" s="101" t="str">
        <f t="shared" si="355"/>
        <v/>
      </c>
      <c r="GL596" s="101" t="str">
        <f t="shared" si="356"/>
        <v/>
      </c>
    </row>
    <row r="597" spans="170:194" ht="16.5" x14ac:dyDescent="0.2">
      <c r="FN597" s="101">
        <v>592</v>
      </c>
      <c r="FO597" s="101">
        <f t="shared" si="341"/>
        <v>28</v>
      </c>
      <c r="FP597" s="101">
        <f t="shared" si="357"/>
        <v>8</v>
      </c>
      <c r="FQ597" s="14">
        <f t="shared" si="358"/>
        <v>3</v>
      </c>
      <c r="FR597" s="101" t="str">
        <f t="shared" si="342"/>
        <v>徐晃专属武器-魂珠-4 1级</v>
      </c>
      <c r="FS597" s="101">
        <f t="shared" si="343"/>
        <v>4</v>
      </c>
      <c r="FT597" s="101">
        <f t="shared" si="344"/>
        <v>1</v>
      </c>
      <c r="FU597" s="101" t="str">
        <f t="shared" si="359"/>
        <v>金币</v>
      </c>
      <c r="FV597" s="139">
        <f>IF($FT597&gt;0,IF(INDEX($EI$6:$EI$77,$FO597)&gt;=FV$3,ROUND(INDEX(EK$6:EK$77,$FO597)*INDEX(卡牌消耗!$B$8:$F$8,FQ597)/5,0)*5,""),"")</f>
        <v>730</v>
      </c>
      <c r="FW597" s="101" t="str">
        <f t="shared" si="360"/>
        <v>专属强化石2</v>
      </c>
      <c r="FX597" s="101">
        <f t="shared" si="361"/>
        <v>3</v>
      </c>
      <c r="FY597" s="101" t="str">
        <f t="shared" si="362"/>
        <v>专属强化石3</v>
      </c>
      <c r="FZ597" s="101">
        <f t="shared" si="363"/>
        <v>1</v>
      </c>
      <c r="GA597" s="101">
        <f t="shared" si="345"/>
        <v>0.2</v>
      </c>
      <c r="GB597" s="101">
        <f t="shared" si="346"/>
        <v>1</v>
      </c>
      <c r="GC597" s="101">
        <f t="shared" si="347"/>
        <v>7</v>
      </c>
      <c r="GD597" s="101">
        <f t="shared" si="348"/>
        <v>0</v>
      </c>
      <c r="GE597" s="101">
        <f t="shared" si="349"/>
        <v>1</v>
      </c>
      <c r="GF597" s="101">
        <f t="shared" si="350"/>
        <v>2</v>
      </c>
      <c r="GG597" s="101">
        <f t="shared" si="351"/>
        <v>0.1012</v>
      </c>
      <c r="GH597" s="101">
        <f t="shared" si="352"/>
        <v>1</v>
      </c>
      <c r="GI597" s="101">
        <f t="shared" si="353"/>
        <v>3</v>
      </c>
      <c r="GJ597" s="101">
        <f t="shared" si="354"/>
        <v>0.40479999999999999</v>
      </c>
      <c r="GK597" s="101">
        <f t="shared" si="355"/>
        <v>1</v>
      </c>
      <c r="GL597" s="101">
        <f t="shared" si="356"/>
        <v>7</v>
      </c>
    </row>
    <row r="598" spans="170:194" ht="16.5" x14ac:dyDescent="0.2">
      <c r="FN598" s="101">
        <v>593</v>
      </c>
      <c r="FO598" s="101">
        <f t="shared" ref="FO598:FO661" si="364">IF(FT598&gt;0,(FS598-1)*9+FT598,0)</f>
        <v>29</v>
      </c>
      <c r="FP598" s="101">
        <f t="shared" si="357"/>
        <v>8</v>
      </c>
      <c r="FQ598" s="14">
        <f t="shared" si="358"/>
        <v>3</v>
      </c>
      <c r="FR598" s="101" t="str">
        <f t="shared" ref="FR598:FR661" si="365">INDEX($FI$6:$FI$26,FP598)&amp;"专属武器-魂珠-"&amp;FS598&amp;" "&amp;FT598&amp;"级"</f>
        <v>徐晃专属武器-魂珠-4 2级</v>
      </c>
      <c r="FS598" s="101">
        <f t="shared" ref="FS598:FS661" si="366">INT((FN598-(FP598-1)*80-1)/10)+1</f>
        <v>4</v>
      </c>
      <c r="FT598" s="101">
        <f t="shared" ref="FT598:FT661" si="367">FN598-(FP598-1)*80-(FS598-1)*10-1</f>
        <v>2</v>
      </c>
      <c r="FU598" s="101" t="str">
        <f t="shared" si="359"/>
        <v>金币</v>
      </c>
      <c r="FV598" s="139">
        <f>IF($FT598&gt;0,IF(INDEX($EI$6:$EI$77,$FO598)&gt;=FV$3,ROUND(INDEX(EK$6:EK$77,$FO598)*INDEX(卡牌消耗!$B$8:$F$8,FQ598)/5,0)*5,""),"")</f>
        <v>545</v>
      </c>
      <c r="FW598" s="101" t="str">
        <f t="shared" si="360"/>
        <v>专属强化石2</v>
      </c>
      <c r="FX598" s="101">
        <f t="shared" si="361"/>
        <v>3</v>
      </c>
      <c r="FY598" s="101" t="str">
        <f t="shared" si="362"/>
        <v>专属强化石3</v>
      </c>
      <c r="FZ598" s="101">
        <f t="shared" si="363"/>
        <v>1</v>
      </c>
      <c r="GA598" s="101">
        <f t="shared" ref="GA598:GA661" si="368">IF($FT598&gt;0,INDEX(EP$6:EP$77,$FO598),"")</f>
        <v>0.1</v>
      </c>
      <c r="GB598" s="101">
        <f t="shared" ref="GB598:GB661" si="369">IF($FT598&gt;0,INDEX(EQ$6:EQ$77,$FO598),"")</f>
        <v>1</v>
      </c>
      <c r="GC598" s="101">
        <f t="shared" ref="GC598:GC661" si="370">IF($FT598&gt;0,INDEX(ER$6:ER$77,$FO598),"")</f>
        <v>15</v>
      </c>
      <c r="GD598" s="101">
        <f t="shared" ref="GD598:GD661" si="371">IF($FT598&gt;0,INDEX(EV$6:EV$77,$FO598),"")</f>
        <v>0</v>
      </c>
      <c r="GE598" s="101">
        <f t="shared" ref="GE598:GE661" si="372">IF($FT598&gt;0,INDEX(EW$6:EW$77,$FO598),"")</f>
        <v>1</v>
      </c>
      <c r="GF598" s="101">
        <f t="shared" ref="GF598:GF661" si="373">IF($FT598&gt;0,INDEX(EX$6:EX$77,$FO598),"")</f>
        <v>3</v>
      </c>
      <c r="GG598" s="101">
        <f t="shared" ref="GG598:GG661" si="374">IF($FT598&gt;0,INDEX(EY$6:EY$77,$FO598),"")</f>
        <v>5.0599999999999999E-2</v>
      </c>
      <c r="GH598" s="101">
        <f t="shared" ref="GH598:GH661" si="375">IF($FT598&gt;0,INDEX(EZ$6:EZ$77,$FO598),"")</f>
        <v>1</v>
      </c>
      <c r="GI598" s="101">
        <f t="shared" ref="GI598:GI661" si="376">IF($FT598&gt;0,INDEX(FA$6:FA$77,$FO598),"")</f>
        <v>7</v>
      </c>
      <c r="GJ598" s="101">
        <f t="shared" ref="GJ598:GJ661" si="377">IF($FT598&gt;0,INDEX(FB$6:FB$77,$FO598),"")</f>
        <v>0.2024</v>
      </c>
      <c r="GK598" s="101">
        <f t="shared" ref="GK598:GK661" si="378">IF($FT598&gt;0,INDEX(FC$6:FC$77,$FO598),"")</f>
        <v>1</v>
      </c>
      <c r="GL598" s="101">
        <f t="shared" ref="GL598:GL661" si="379">IF($FT598&gt;0,INDEX(FD$6:FD$77,$FO598),"")</f>
        <v>15</v>
      </c>
    </row>
    <row r="599" spans="170:194" ht="16.5" x14ac:dyDescent="0.2">
      <c r="FN599" s="101">
        <v>594</v>
      </c>
      <c r="FO599" s="101">
        <f t="shared" si="364"/>
        <v>30</v>
      </c>
      <c r="FP599" s="101">
        <f t="shared" si="357"/>
        <v>8</v>
      </c>
      <c r="FQ599" s="14">
        <f t="shared" si="358"/>
        <v>3</v>
      </c>
      <c r="FR599" s="101" t="str">
        <f t="shared" si="365"/>
        <v>徐晃专属武器-魂珠-4 3级</v>
      </c>
      <c r="FS599" s="101">
        <f t="shared" si="366"/>
        <v>4</v>
      </c>
      <c r="FT599" s="101">
        <f t="shared" si="367"/>
        <v>3</v>
      </c>
      <c r="FU599" s="101" t="str">
        <f t="shared" si="359"/>
        <v>金币</v>
      </c>
      <c r="FV599" s="139">
        <f>IF($FT599&gt;0,IF(INDEX($EI$6:$EI$77,$FO599)&gt;=FV$3,ROUND(INDEX(EK$6:EK$77,$FO599)*INDEX(卡牌消耗!$B$8:$F$8,FQ599)/5,0)*5,""),"")</f>
        <v>610</v>
      </c>
      <c r="FW599" s="101" t="str">
        <f t="shared" si="360"/>
        <v>专属强化石2</v>
      </c>
      <c r="FX599" s="101">
        <f t="shared" si="361"/>
        <v>3</v>
      </c>
      <c r="FY599" s="101" t="str">
        <f t="shared" si="362"/>
        <v>专属强化石3</v>
      </c>
      <c r="FZ599" s="101">
        <f t="shared" si="363"/>
        <v>1</v>
      </c>
      <c r="GA599" s="101">
        <f t="shared" si="368"/>
        <v>7.0000000000000007E-2</v>
      </c>
      <c r="GB599" s="101">
        <f t="shared" si="369"/>
        <v>1</v>
      </c>
      <c r="GC599" s="101">
        <f t="shared" si="370"/>
        <v>22</v>
      </c>
      <c r="GD599" s="101">
        <f t="shared" si="371"/>
        <v>0</v>
      </c>
      <c r="GE599" s="101">
        <f t="shared" si="372"/>
        <v>1</v>
      </c>
      <c r="GF599" s="101">
        <f t="shared" si="373"/>
        <v>5</v>
      </c>
      <c r="GG599" s="101">
        <f t="shared" si="374"/>
        <v>3.3700000000000001E-2</v>
      </c>
      <c r="GH599" s="101">
        <f t="shared" si="375"/>
        <v>1</v>
      </c>
      <c r="GI599" s="101">
        <f t="shared" si="376"/>
        <v>10</v>
      </c>
      <c r="GJ599" s="101">
        <f t="shared" si="377"/>
        <v>0.13489999999999999</v>
      </c>
      <c r="GK599" s="101">
        <f t="shared" si="378"/>
        <v>1</v>
      </c>
      <c r="GL599" s="101">
        <f t="shared" si="379"/>
        <v>22</v>
      </c>
    </row>
    <row r="600" spans="170:194" ht="16.5" x14ac:dyDescent="0.2">
      <c r="FN600" s="101">
        <v>595</v>
      </c>
      <c r="FO600" s="101">
        <f t="shared" si="364"/>
        <v>31</v>
      </c>
      <c r="FP600" s="101">
        <f t="shared" si="357"/>
        <v>8</v>
      </c>
      <c r="FQ600" s="14">
        <f t="shared" si="358"/>
        <v>3</v>
      </c>
      <c r="FR600" s="101" t="str">
        <f t="shared" si="365"/>
        <v>徐晃专属武器-魂珠-4 4级</v>
      </c>
      <c r="FS600" s="101">
        <f t="shared" si="366"/>
        <v>4</v>
      </c>
      <c r="FT600" s="101">
        <f t="shared" si="367"/>
        <v>4</v>
      </c>
      <c r="FU600" s="101" t="str">
        <f t="shared" si="359"/>
        <v>金币</v>
      </c>
      <c r="FV600" s="139">
        <f>IF($FT600&gt;0,IF(INDEX($EI$6:$EI$77,$FO600)&gt;=FV$3,ROUND(INDEX(EK$6:EK$77,$FO600)*INDEX(卡牌消耗!$B$8:$F$8,FQ600)/5,0)*5,""),"")</f>
        <v>1165</v>
      </c>
      <c r="FW600" s="101" t="str">
        <f t="shared" si="360"/>
        <v>专属强化石2</v>
      </c>
      <c r="FX600" s="101">
        <f t="shared" si="361"/>
        <v>5</v>
      </c>
      <c r="FY600" s="101" t="str">
        <f t="shared" si="362"/>
        <v>专属强化石3</v>
      </c>
      <c r="FZ600" s="101">
        <f t="shared" si="363"/>
        <v>2</v>
      </c>
      <c r="GA600" s="101">
        <f t="shared" si="368"/>
        <v>0.08</v>
      </c>
      <c r="GB600" s="101">
        <f t="shared" si="369"/>
        <v>1</v>
      </c>
      <c r="GC600" s="101">
        <f t="shared" si="370"/>
        <v>19</v>
      </c>
      <c r="GD600" s="101">
        <f t="shared" si="371"/>
        <v>0</v>
      </c>
      <c r="GE600" s="101">
        <f t="shared" si="372"/>
        <v>1</v>
      </c>
      <c r="GF600" s="101">
        <f t="shared" si="373"/>
        <v>4</v>
      </c>
      <c r="GG600" s="101">
        <f t="shared" si="374"/>
        <v>4.0500000000000001E-2</v>
      </c>
      <c r="GH600" s="101">
        <f t="shared" si="375"/>
        <v>1</v>
      </c>
      <c r="GI600" s="101">
        <f t="shared" si="376"/>
        <v>9</v>
      </c>
      <c r="GJ600" s="101">
        <f t="shared" si="377"/>
        <v>0.16189999999999999</v>
      </c>
      <c r="GK600" s="101">
        <f t="shared" si="378"/>
        <v>1</v>
      </c>
      <c r="GL600" s="101">
        <f t="shared" si="379"/>
        <v>19</v>
      </c>
    </row>
    <row r="601" spans="170:194" ht="16.5" x14ac:dyDescent="0.2">
      <c r="FN601" s="101">
        <v>596</v>
      </c>
      <c r="FO601" s="101">
        <f t="shared" si="364"/>
        <v>32</v>
      </c>
      <c r="FP601" s="101">
        <f t="shared" si="357"/>
        <v>8</v>
      </c>
      <c r="FQ601" s="14">
        <f t="shared" si="358"/>
        <v>3</v>
      </c>
      <c r="FR601" s="101" t="str">
        <f t="shared" si="365"/>
        <v>徐晃专属武器-魂珠-4 5级</v>
      </c>
      <c r="FS601" s="101">
        <f t="shared" si="366"/>
        <v>4</v>
      </c>
      <c r="FT601" s="101">
        <f t="shared" si="367"/>
        <v>5</v>
      </c>
      <c r="FU601" s="101" t="str">
        <f t="shared" si="359"/>
        <v>金币</v>
      </c>
      <c r="FV601" s="139">
        <f>IF($FT601&gt;0,IF(INDEX($EI$6:$EI$77,$FO601)&gt;=FV$3,ROUND(INDEX(EK$6:EK$77,$FO601)*INDEX(卡牌消耗!$B$8:$F$8,FQ601)/5,0)*5,""),"")</f>
        <v>1185</v>
      </c>
      <c r="FW601" s="101" t="str">
        <f t="shared" si="360"/>
        <v>专属强化石2</v>
      </c>
      <c r="FX601" s="101">
        <f t="shared" si="361"/>
        <v>5</v>
      </c>
      <c r="FY601" s="101" t="str">
        <f t="shared" si="362"/>
        <v>专属强化石3</v>
      </c>
      <c r="FZ601" s="101">
        <f t="shared" si="363"/>
        <v>2</v>
      </c>
      <c r="GA601" s="101">
        <f t="shared" si="368"/>
        <v>0.05</v>
      </c>
      <c r="GB601" s="101">
        <f t="shared" si="369"/>
        <v>1</v>
      </c>
      <c r="GC601" s="101">
        <f t="shared" si="370"/>
        <v>30</v>
      </c>
      <c r="GD601" s="101">
        <f t="shared" si="371"/>
        <v>0</v>
      </c>
      <c r="GE601" s="101">
        <f t="shared" si="372"/>
        <v>1</v>
      </c>
      <c r="GF601" s="101">
        <f t="shared" si="373"/>
        <v>7</v>
      </c>
      <c r="GG601" s="101">
        <f t="shared" si="374"/>
        <v>2.53E-2</v>
      </c>
      <c r="GH601" s="101">
        <f t="shared" si="375"/>
        <v>1</v>
      </c>
      <c r="GI601" s="101">
        <f t="shared" si="376"/>
        <v>14</v>
      </c>
      <c r="GJ601" s="101">
        <f t="shared" si="377"/>
        <v>0.1012</v>
      </c>
      <c r="GK601" s="101">
        <f t="shared" si="378"/>
        <v>1</v>
      </c>
      <c r="GL601" s="101">
        <f t="shared" si="379"/>
        <v>30</v>
      </c>
    </row>
    <row r="602" spans="170:194" ht="16.5" x14ac:dyDescent="0.2">
      <c r="FN602" s="101">
        <v>597</v>
      </c>
      <c r="FO602" s="101">
        <f t="shared" si="364"/>
        <v>33</v>
      </c>
      <c r="FP602" s="101">
        <f t="shared" si="357"/>
        <v>8</v>
      </c>
      <c r="FQ602" s="14">
        <f t="shared" si="358"/>
        <v>3</v>
      </c>
      <c r="FR602" s="101" t="str">
        <f t="shared" si="365"/>
        <v>徐晃专属武器-魂珠-4 6级</v>
      </c>
      <c r="FS602" s="101">
        <f t="shared" si="366"/>
        <v>4</v>
      </c>
      <c r="FT602" s="101">
        <f t="shared" si="367"/>
        <v>6</v>
      </c>
      <c r="FU602" s="101" t="str">
        <f t="shared" si="359"/>
        <v>金币</v>
      </c>
      <c r="FV602" s="139">
        <f>IF($FT602&gt;0,IF(INDEX($EI$6:$EI$77,$FO602)&gt;=FV$3,ROUND(INDEX(EK$6:EK$77,$FO602)*INDEX(卡牌消耗!$B$8:$F$8,FQ602)/5,0)*5,""),"")</f>
        <v>1180</v>
      </c>
      <c r="FW602" s="101" t="str">
        <f t="shared" si="360"/>
        <v>专属强化石2</v>
      </c>
      <c r="FX602" s="101">
        <f t="shared" si="361"/>
        <v>5</v>
      </c>
      <c r="FY602" s="101" t="str">
        <f t="shared" si="362"/>
        <v>专属强化石3</v>
      </c>
      <c r="FZ602" s="101">
        <f t="shared" si="363"/>
        <v>2</v>
      </c>
      <c r="GA602" s="101">
        <f t="shared" si="368"/>
        <v>0.03</v>
      </c>
      <c r="GB602" s="101">
        <f t="shared" si="369"/>
        <v>1</v>
      </c>
      <c r="GC602" s="101">
        <f t="shared" si="370"/>
        <v>48</v>
      </c>
      <c r="GD602" s="101">
        <f t="shared" si="371"/>
        <v>0</v>
      </c>
      <c r="GE602" s="101">
        <f t="shared" si="372"/>
        <v>1</v>
      </c>
      <c r="GF602" s="101">
        <f t="shared" si="373"/>
        <v>11</v>
      </c>
      <c r="GG602" s="101">
        <f t="shared" si="374"/>
        <v>1.5599999999999999E-2</v>
      </c>
      <c r="GH602" s="101">
        <f t="shared" si="375"/>
        <v>1</v>
      </c>
      <c r="GI602" s="101">
        <f t="shared" si="376"/>
        <v>22</v>
      </c>
      <c r="GJ602" s="101">
        <f t="shared" si="377"/>
        <v>6.2300000000000001E-2</v>
      </c>
      <c r="GK602" s="101">
        <f t="shared" si="378"/>
        <v>1</v>
      </c>
      <c r="GL602" s="101">
        <f t="shared" si="379"/>
        <v>48</v>
      </c>
    </row>
    <row r="603" spans="170:194" ht="16.5" x14ac:dyDescent="0.2">
      <c r="FN603" s="101">
        <v>598</v>
      </c>
      <c r="FO603" s="101">
        <f t="shared" si="364"/>
        <v>34</v>
      </c>
      <c r="FP603" s="101">
        <f t="shared" si="357"/>
        <v>8</v>
      </c>
      <c r="FQ603" s="14">
        <f t="shared" si="358"/>
        <v>3</v>
      </c>
      <c r="FR603" s="101" t="str">
        <f t="shared" si="365"/>
        <v>徐晃专属武器-魂珠-4 7级</v>
      </c>
      <c r="FS603" s="101">
        <f t="shared" si="366"/>
        <v>4</v>
      </c>
      <c r="FT603" s="101">
        <f t="shared" si="367"/>
        <v>7</v>
      </c>
      <c r="FU603" s="101" t="str">
        <f t="shared" si="359"/>
        <v>金币</v>
      </c>
      <c r="FV603" s="139">
        <f>IF($FT603&gt;0,IF(INDEX($EI$6:$EI$77,$FO603)&gt;=FV$3,ROUND(INDEX(EK$6:EK$77,$FO603)*INDEX(卡牌消耗!$B$8:$F$8,FQ603)/5,0)*5,""),"")</f>
        <v>1770</v>
      </c>
      <c r="FW603" s="101" t="str">
        <f t="shared" si="360"/>
        <v>专属强化石2</v>
      </c>
      <c r="FX603" s="101">
        <f t="shared" si="361"/>
        <v>8</v>
      </c>
      <c r="FY603" s="101" t="str">
        <f t="shared" si="362"/>
        <v>专属强化石3</v>
      </c>
      <c r="FZ603" s="101">
        <f t="shared" si="363"/>
        <v>3</v>
      </c>
      <c r="GA603" s="101">
        <f t="shared" si="368"/>
        <v>0.03</v>
      </c>
      <c r="GB603" s="101">
        <f t="shared" si="369"/>
        <v>1</v>
      </c>
      <c r="GC603" s="101">
        <f t="shared" si="370"/>
        <v>52</v>
      </c>
      <c r="GD603" s="101">
        <f t="shared" si="371"/>
        <v>0</v>
      </c>
      <c r="GE603" s="101">
        <f t="shared" si="372"/>
        <v>1</v>
      </c>
      <c r="GF603" s="101">
        <f t="shared" si="373"/>
        <v>12</v>
      </c>
      <c r="GG603" s="101">
        <f t="shared" si="374"/>
        <v>1.4500000000000001E-2</v>
      </c>
      <c r="GH603" s="101">
        <f t="shared" si="375"/>
        <v>1</v>
      </c>
      <c r="GI603" s="101">
        <f t="shared" si="376"/>
        <v>24</v>
      </c>
      <c r="GJ603" s="101">
        <f t="shared" si="377"/>
        <v>5.7799999999999997E-2</v>
      </c>
      <c r="GK603" s="101">
        <f t="shared" si="378"/>
        <v>1</v>
      </c>
      <c r="GL603" s="101">
        <f t="shared" si="379"/>
        <v>52</v>
      </c>
    </row>
    <row r="604" spans="170:194" ht="16.5" x14ac:dyDescent="0.2">
      <c r="FN604" s="101">
        <v>599</v>
      </c>
      <c r="FO604" s="101">
        <f t="shared" si="364"/>
        <v>35</v>
      </c>
      <c r="FP604" s="101">
        <f t="shared" si="357"/>
        <v>8</v>
      </c>
      <c r="FQ604" s="14">
        <f t="shared" si="358"/>
        <v>3</v>
      </c>
      <c r="FR604" s="101" t="str">
        <f t="shared" si="365"/>
        <v>徐晃专属武器-魂珠-4 8级</v>
      </c>
      <c r="FS604" s="101">
        <f t="shared" si="366"/>
        <v>4</v>
      </c>
      <c r="FT604" s="101">
        <f t="shared" si="367"/>
        <v>8</v>
      </c>
      <c r="FU604" s="101" t="str">
        <f t="shared" si="359"/>
        <v>金币</v>
      </c>
      <c r="FV604" s="139">
        <f>IF($FT604&gt;0,IF(INDEX($EI$6:$EI$77,$FO604)&gt;=FV$3,ROUND(INDEX(EK$6:EK$77,$FO604)*INDEX(卡牌消耗!$B$8:$F$8,FQ604)/5,0)*5,""),"")</f>
        <v>2360</v>
      </c>
      <c r="FW604" s="101" t="str">
        <f t="shared" si="360"/>
        <v>专属强化石2</v>
      </c>
      <c r="FX604" s="101">
        <f t="shared" si="361"/>
        <v>11</v>
      </c>
      <c r="FY604" s="101" t="str">
        <f t="shared" si="362"/>
        <v>专属强化石3</v>
      </c>
      <c r="FZ604" s="101">
        <f t="shared" si="363"/>
        <v>4</v>
      </c>
      <c r="GA604" s="101">
        <f t="shared" si="368"/>
        <v>0.02</v>
      </c>
      <c r="GB604" s="101">
        <f t="shared" si="369"/>
        <v>1</v>
      </c>
      <c r="GC604" s="101">
        <f t="shared" si="370"/>
        <v>63</v>
      </c>
      <c r="GD604" s="101">
        <f t="shared" si="371"/>
        <v>0</v>
      </c>
      <c r="GE604" s="101">
        <f t="shared" si="372"/>
        <v>1</v>
      </c>
      <c r="GF604" s="101">
        <f t="shared" si="373"/>
        <v>15</v>
      </c>
      <c r="GG604" s="101">
        <f t="shared" si="374"/>
        <v>1.1900000000000001E-2</v>
      </c>
      <c r="GH604" s="101">
        <f t="shared" si="375"/>
        <v>1</v>
      </c>
      <c r="GI604" s="101">
        <f t="shared" si="376"/>
        <v>29</v>
      </c>
      <c r="GJ604" s="101">
        <f t="shared" si="377"/>
        <v>4.7600000000000003E-2</v>
      </c>
      <c r="GK604" s="101">
        <f t="shared" si="378"/>
        <v>1</v>
      </c>
      <c r="GL604" s="101">
        <f t="shared" si="379"/>
        <v>63</v>
      </c>
    </row>
    <row r="605" spans="170:194" ht="16.5" x14ac:dyDescent="0.2">
      <c r="FN605" s="101">
        <v>600</v>
      </c>
      <c r="FO605" s="101">
        <f t="shared" si="364"/>
        <v>36</v>
      </c>
      <c r="FP605" s="101">
        <f t="shared" si="357"/>
        <v>8</v>
      </c>
      <c r="FQ605" s="14">
        <f t="shared" si="358"/>
        <v>3</v>
      </c>
      <c r="FR605" s="101" t="str">
        <f t="shared" si="365"/>
        <v>徐晃专属武器-魂珠-4 9级</v>
      </c>
      <c r="FS605" s="101">
        <f t="shared" si="366"/>
        <v>4</v>
      </c>
      <c r="FT605" s="101">
        <f t="shared" si="367"/>
        <v>9</v>
      </c>
      <c r="FU605" s="101" t="str">
        <f t="shared" si="359"/>
        <v>金币</v>
      </c>
      <c r="FV605" s="139">
        <f>IF($FT605&gt;0,IF(INDEX($EI$6:$EI$77,$FO605)&gt;=FV$3,ROUND(INDEX(EK$6:EK$77,$FO605)*INDEX(卡牌消耗!$B$8:$F$8,FQ605)/5,0)*5,""),"")</f>
        <v>3540</v>
      </c>
      <c r="FW605" s="101" t="str">
        <f t="shared" si="360"/>
        <v>专属强化石2</v>
      </c>
      <c r="FX605" s="101">
        <f t="shared" si="361"/>
        <v>16</v>
      </c>
      <c r="FY605" s="101" t="str">
        <f t="shared" si="362"/>
        <v>专属强化石3</v>
      </c>
      <c r="FZ605" s="101">
        <f t="shared" si="363"/>
        <v>6</v>
      </c>
      <c r="GA605" s="101">
        <f t="shared" si="368"/>
        <v>0.02</v>
      </c>
      <c r="GB605" s="101">
        <f t="shared" si="369"/>
        <v>1</v>
      </c>
      <c r="GC605" s="101">
        <f t="shared" si="370"/>
        <v>68</v>
      </c>
      <c r="GD605" s="101">
        <f t="shared" si="371"/>
        <v>0</v>
      </c>
      <c r="GE605" s="101">
        <f t="shared" si="372"/>
        <v>1</v>
      </c>
      <c r="GF605" s="101">
        <f t="shared" si="373"/>
        <v>16</v>
      </c>
      <c r="GG605" s="101">
        <f t="shared" si="374"/>
        <v>1.0999999999999999E-2</v>
      </c>
      <c r="GH605" s="101">
        <f t="shared" si="375"/>
        <v>1</v>
      </c>
      <c r="GI605" s="101">
        <f t="shared" si="376"/>
        <v>32</v>
      </c>
      <c r="GJ605" s="101">
        <f t="shared" si="377"/>
        <v>4.4200000000000003E-2</v>
      </c>
      <c r="GK605" s="101">
        <f t="shared" si="378"/>
        <v>1</v>
      </c>
      <c r="GL605" s="101">
        <f t="shared" si="379"/>
        <v>68</v>
      </c>
    </row>
    <row r="606" spans="170:194" ht="16.5" x14ac:dyDescent="0.2">
      <c r="FN606" s="101">
        <v>601</v>
      </c>
      <c r="FO606" s="101">
        <f t="shared" si="364"/>
        <v>0</v>
      </c>
      <c r="FP606" s="101">
        <f t="shared" si="357"/>
        <v>8</v>
      </c>
      <c r="FQ606" s="14">
        <f t="shared" si="358"/>
        <v>3</v>
      </c>
      <c r="FR606" s="101" t="str">
        <f t="shared" si="365"/>
        <v>徐晃专属武器-魂珠-5 0级</v>
      </c>
      <c r="FS606" s="101">
        <f t="shared" si="366"/>
        <v>5</v>
      </c>
      <c r="FT606" s="101">
        <f t="shared" si="367"/>
        <v>0</v>
      </c>
      <c r="FU606" s="101" t="str">
        <f t="shared" si="359"/>
        <v/>
      </c>
      <c r="FV606" s="139" t="str">
        <f>IF($FT606&gt;0,IF(INDEX($EI$6:$EI$77,$FO606)&gt;=FV$3,ROUND(INDEX(EK$6:EK$77,$FO606)*INDEX(卡牌消耗!$B$8:$F$8,FQ606)/5,0)*5,""),"")</f>
        <v/>
      </c>
      <c r="FW606" s="101" t="str">
        <f t="shared" si="360"/>
        <v/>
      </c>
      <c r="FX606" s="101" t="str">
        <f t="shared" si="361"/>
        <v/>
      </c>
      <c r="FY606" s="101" t="str">
        <f t="shared" si="362"/>
        <v/>
      </c>
      <c r="FZ606" s="101" t="str">
        <f t="shared" si="363"/>
        <v/>
      </c>
      <c r="GA606" s="101" t="str">
        <f t="shared" si="368"/>
        <v/>
      </c>
      <c r="GB606" s="101" t="str">
        <f t="shared" si="369"/>
        <v/>
      </c>
      <c r="GC606" s="101" t="str">
        <f t="shared" si="370"/>
        <v/>
      </c>
      <c r="GD606" s="101" t="str">
        <f t="shared" si="371"/>
        <v/>
      </c>
      <c r="GE606" s="101" t="str">
        <f t="shared" si="372"/>
        <v/>
      </c>
      <c r="GF606" s="101" t="str">
        <f t="shared" si="373"/>
        <v/>
      </c>
      <c r="GG606" s="101" t="str">
        <f t="shared" si="374"/>
        <v/>
      </c>
      <c r="GH606" s="101" t="str">
        <f t="shared" si="375"/>
        <v/>
      </c>
      <c r="GI606" s="101" t="str">
        <f t="shared" si="376"/>
        <v/>
      </c>
      <c r="GJ606" s="101" t="str">
        <f t="shared" si="377"/>
        <v/>
      </c>
      <c r="GK606" s="101" t="str">
        <f t="shared" si="378"/>
        <v/>
      </c>
      <c r="GL606" s="101" t="str">
        <f t="shared" si="379"/>
        <v/>
      </c>
    </row>
    <row r="607" spans="170:194" ht="16.5" x14ac:dyDescent="0.2">
      <c r="FN607" s="101">
        <v>602</v>
      </c>
      <c r="FO607" s="101">
        <f t="shared" si="364"/>
        <v>37</v>
      </c>
      <c r="FP607" s="101">
        <f t="shared" si="357"/>
        <v>8</v>
      </c>
      <c r="FQ607" s="14">
        <f t="shared" si="358"/>
        <v>3</v>
      </c>
      <c r="FR607" s="101" t="str">
        <f t="shared" si="365"/>
        <v>徐晃专属武器-魂珠-5 1级</v>
      </c>
      <c r="FS607" s="101">
        <f t="shared" si="366"/>
        <v>5</v>
      </c>
      <c r="FT607" s="101">
        <f t="shared" si="367"/>
        <v>1</v>
      </c>
      <c r="FU607" s="101" t="str">
        <f t="shared" si="359"/>
        <v>金币</v>
      </c>
      <c r="FV607" s="139">
        <f>IF($FT607&gt;0,IF(INDEX($EI$6:$EI$77,$FO607)&gt;=FV$3,ROUND(INDEX(EK$6:EK$77,$FO607)*INDEX(卡牌消耗!$B$8:$F$8,FQ607)/5,0)*5,""),"")</f>
        <v>1495</v>
      </c>
      <c r="FW607" s="101" t="str">
        <f t="shared" si="360"/>
        <v>专属强化石2</v>
      </c>
      <c r="FX607" s="101">
        <f t="shared" si="361"/>
        <v>3</v>
      </c>
      <c r="FY607" s="101" t="str">
        <f t="shared" si="362"/>
        <v>专属强化石3</v>
      </c>
      <c r="FZ607" s="101">
        <f t="shared" si="363"/>
        <v>2</v>
      </c>
      <c r="GA607" s="101">
        <f t="shared" si="368"/>
        <v>0.2</v>
      </c>
      <c r="GB607" s="101">
        <f t="shared" si="369"/>
        <v>1</v>
      </c>
      <c r="GC607" s="101">
        <f t="shared" si="370"/>
        <v>7</v>
      </c>
      <c r="GD607" s="101">
        <f t="shared" si="371"/>
        <v>0</v>
      </c>
      <c r="GE607" s="101">
        <f t="shared" si="372"/>
        <v>1</v>
      </c>
      <c r="GF607" s="101">
        <f t="shared" si="373"/>
        <v>2</v>
      </c>
      <c r="GG607" s="101">
        <f t="shared" si="374"/>
        <v>0.1012</v>
      </c>
      <c r="GH607" s="101">
        <f t="shared" si="375"/>
        <v>1</v>
      </c>
      <c r="GI607" s="101">
        <f t="shared" si="376"/>
        <v>3</v>
      </c>
      <c r="GJ607" s="101">
        <f t="shared" si="377"/>
        <v>0.40479999999999999</v>
      </c>
      <c r="GK607" s="101">
        <f t="shared" si="378"/>
        <v>1</v>
      </c>
      <c r="GL607" s="101">
        <f t="shared" si="379"/>
        <v>7</v>
      </c>
    </row>
    <row r="608" spans="170:194" ht="16.5" x14ac:dyDescent="0.2">
      <c r="FN608" s="101">
        <v>603</v>
      </c>
      <c r="FO608" s="101">
        <f t="shared" si="364"/>
        <v>38</v>
      </c>
      <c r="FP608" s="101">
        <f t="shared" si="357"/>
        <v>8</v>
      </c>
      <c r="FQ608" s="14">
        <f t="shared" si="358"/>
        <v>3</v>
      </c>
      <c r="FR608" s="101" t="str">
        <f t="shared" si="365"/>
        <v>徐晃专属武器-魂珠-5 2级</v>
      </c>
      <c r="FS608" s="101">
        <f t="shared" si="366"/>
        <v>5</v>
      </c>
      <c r="FT608" s="101">
        <f t="shared" si="367"/>
        <v>2</v>
      </c>
      <c r="FU608" s="101" t="str">
        <f t="shared" si="359"/>
        <v>金币</v>
      </c>
      <c r="FV608" s="139">
        <f>IF($FT608&gt;0,IF(INDEX($EI$6:$EI$77,$FO608)&gt;=FV$3,ROUND(INDEX(EK$6:EK$77,$FO608)*INDEX(卡牌消耗!$B$8:$F$8,FQ608)/5,0)*5,""),"")</f>
        <v>1120</v>
      </c>
      <c r="FW608" s="101" t="str">
        <f t="shared" si="360"/>
        <v>专属强化石2</v>
      </c>
      <c r="FX608" s="101">
        <f t="shared" si="361"/>
        <v>3</v>
      </c>
      <c r="FY608" s="101" t="str">
        <f t="shared" si="362"/>
        <v>专属强化石3</v>
      </c>
      <c r="FZ608" s="101">
        <f t="shared" si="363"/>
        <v>2</v>
      </c>
      <c r="GA608" s="101">
        <f t="shared" si="368"/>
        <v>0.1</v>
      </c>
      <c r="GB608" s="101">
        <f t="shared" si="369"/>
        <v>1</v>
      </c>
      <c r="GC608" s="101">
        <f t="shared" si="370"/>
        <v>15</v>
      </c>
      <c r="GD608" s="101">
        <f t="shared" si="371"/>
        <v>0</v>
      </c>
      <c r="GE608" s="101">
        <f t="shared" si="372"/>
        <v>1</v>
      </c>
      <c r="GF608" s="101">
        <f t="shared" si="373"/>
        <v>3</v>
      </c>
      <c r="GG608" s="101">
        <f t="shared" si="374"/>
        <v>5.0599999999999999E-2</v>
      </c>
      <c r="GH608" s="101">
        <f t="shared" si="375"/>
        <v>1</v>
      </c>
      <c r="GI608" s="101">
        <f t="shared" si="376"/>
        <v>7</v>
      </c>
      <c r="GJ608" s="101">
        <f t="shared" si="377"/>
        <v>0.2024</v>
      </c>
      <c r="GK608" s="101">
        <f t="shared" si="378"/>
        <v>1</v>
      </c>
      <c r="GL608" s="101">
        <f t="shared" si="379"/>
        <v>15</v>
      </c>
    </row>
    <row r="609" spans="170:194" ht="16.5" x14ac:dyDescent="0.2">
      <c r="FN609" s="101">
        <v>604</v>
      </c>
      <c r="FO609" s="101">
        <f t="shared" si="364"/>
        <v>39</v>
      </c>
      <c r="FP609" s="101">
        <f t="shared" si="357"/>
        <v>8</v>
      </c>
      <c r="FQ609" s="14">
        <f t="shared" si="358"/>
        <v>3</v>
      </c>
      <c r="FR609" s="101" t="str">
        <f t="shared" si="365"/>
        <v>徐晃专属武器-魂珠-5 3级</v>
      </c>
      <c r="FS609" s="101">
        <f t="shared" si="366"/>
        <v>5</v>
      </c>
      <c r="FT609" s="101">
        <f t="shared" si="367"/>
        <v>3</v>
      </c>
      <c r="FU609" s="101" t="str">
        <f t="shared" si="359"/>
        <v>金币</v>
      </c>
      <c r="FV609" s="139">
        <f>IF($FT609&gt;0,IF(INDEX($EI$6:$EI$77,$FO609)&gt;=FV$3,ROUND(INDEX(EK$6:EK$77,$FO609)*INDEX(卡牌消耗!$B$8:$F$8,FQ609)/5,0)*5,""),"")</f>
        <v>1245</v>
      </c>
      <c r="FW609" s="101" t="str">
        <f t="shared" si="360"/>
        <v>专属强化石2</v>
      </c>
      <c r="FX609" s="101">
        <f t="shared" si="361"/>
        <v>3</v>
      </c>
      <c r="FY609" s="101" t="str">
        <f t="shared" si="362"/>
        <v>专属强化石3</v>
      </c>
      <c r="FZ609" s="101">
        <f t="shared" si="363"/>
        <v>2</v>
      </c>
      <c r="GA609" s="101">
        <f t="shared" si="368"/>
        <v>7.0000000000000007E-2</v>
      </c>
      <c r="GB609" s="101">
        <f t="shared" si="369"/>
        <v>1</v>
      </c>
      <c r="GC609" s="101">
        <f t="shared" si="370"/>
        <v>22</v>
      </c>
      <c r="GD609" s="101">
        <f t="shared" si="371"/>
        <v>0</v>
      </c>
      <c r="GE609" s="101">
        <f t="shared" si="372"/>
        <v>1</v>
      </c>
      <c r="GF609" s="101">
        <f t="shared" si="373"/>
        <v>5</v>
      </c>
      <c r="GG609" s="101">
        <f t="shared" si="374"/>
        <v>3.3700000000000001E-2</v>
      </c>
      <c r="GH609" s="101">
        <f t="shared" si="375"/>
        <v>1</v>
      </c>
      <c r="GI609" s="101">
        <f t="shared" si="376"/>
        <v>10</v>
      </c>
      <c r="GJ609" s="101">
        <f t="shared" si="377"/>
        <v>0.13489999999999999</v>
      </c>
      <c r="GK609" s="101">
        <f t="shared" si="378"/>
        <v>1</v>
      </c>
      <c r="GL609" s="101">
        <f t="shared" si="379"/>
        <v>22</v>
      </c>
    </row>
    <row r="610" spans="170:194" ht="16.5" x14ac:dyDescent="0.2">
      <c r="FN610" s="101">
        <v>605</v>
      </c>
      <c r="FO610" s="101">
        <f t="shared" si="364"/>
        <v>40</v>
      </c>
      <c r="FP610" s="101">
        <f t="shared" si="357"/>
        <v>8</v>
      </c>
      <c r="FQ610" s="14">
        <f t="shared" si="358"/>
        <v>3</v>
      </c>
      <c r="FR610" s="101" t="str">
        <f t="shared" si="365"/>
        <v>徐晃专属武器-魂珠-5 4级</v>
      </c>
      <c r="FS610" s="101">
        <f t="shared" si="366"/>
        <v>5</v>
      </c>
      <c r="FT610" s="101">
        <f t="shared" si="367"/>
        <v>4</v>
      </c>
      <c r="FU610" s="101" t="str">
        <f t="shared" si="359"/>
        <v>金币</v>
      </c>
      <c r="FV610" s="139">
        <f>IF($FT610&gt;0,IF(INDEX($EI$6:$EI$77,$FO610)&gt;=FV$3,ROUND(INDEX(EK$6:EK$77,$FO610)*INDEX(卡牌消耗!$B$8:$F$8,FQ610)/5,0)*5,""),"")</f>
        <v>1795</v>
      </c>
      <c r="FW610" s="101" t="str">
        <f t="shared" si="360"/>
        <v>专属强化石2</v>
      </c>
      <c r="FX610" s="101">
        <f t="shared" si="361"/>
        <v>5</v>
      </c>
      <c r="FY610" s="101" t="str">
        <f t="shared" si="362"/>
        <v>专属强化石3</v>
      </c>
      <c r="FZ610" s="101">
        <f t="shared" si="363"/>
        <v>3</v>
      </c>
      <c r="GA610" s="101">
        <f t="shared" si="368"/>
        <v>0.06</v>
      </c>
      <c r="GB610" s="101">
        <f t="shared" si="369"/>
        <v>1</v>
      </c>
      <c r="GC610" s="101">
        <f t="shared" si="370"/>
        <v>25</v>
      </c>
      <c r="GD610" s="101">
        <f t="shared" si="371"/>
        <v>0</v>
      </c>
      <c r="GE610" s="101">
        <f t="shared" si="372"/>
        <v>1</v>
      </c>
      <c r="GF610" s="101">
        <f t="shared" si="373"/>
        <v>6</v>
      </c>
      <c r="GG610" s="101">
        <f t="shared" si="374"/>
        <v>3.04E-2</v>
      </c>
      <c r="GH610" s="101">
        <f t="shared" si="375"/>
        <v>1</v>
      </c>
      <c r="GI610" s="101">
        <f t="shared" si="376"/>
        <v>12</v>
      </c>
      <c r="GJ610" s="101">
        <f t="shared" si="377"/>
        <v>0.12139999999999999</v>
      </c>
      <c r="GK610" s="101">
        <f t="shared" si="378"/>
        <v>1</v>
      </c>
      <c r="GL610" s="101">
        <f t="shared" si="379"/>
        <v>25</v>
      </c>
    </row>
    <row r="611" spans="170:194" ht="16.5" x14ac:dyDescent="0.2">
      <c r="FN611" s="101">
        <v>606</v>
      </c>
      <c r="FO611" s="101">
        <f t="shared" si="364"/>
        <v>41</v>
      </c>
      <c r="FP611" s="101">
        <f t="shared" si="357"/>
        <v>8</v>
      </c>
      <c r="FQ611" s="14">
        <f t="shared" si="358"/>
        <v>3</v>
      </c>
      <c r="FR611" s="101" t="str">
        <f t="shared" si="365"/>
        <v>徐晃专属武器-魂珠-5 5级</v>
      </c>
      <c r="FS611" s="101">
        <f t="shared" si="366"/>
        <v>5</v>
      </c>
      <c r="FT611" s="101">
        <f t="shared" si="367"/>
        <v>5</v>
      </c>
      <c r="FU611" s="101" t="str">
        <f t="shared" si="359"/>
        <v>金币</v>
      </c>
      <c r="FV611" s="139">
        <f>IF($FT611&gt;0,IF(INDEX($EI$6:$EI$77,$FO611)&gt;=FV$3,ROUND(INDEX(EK$6:EK$77,$FO611)*INDEX(卡牌消耗!$B$8:$F$8,FQ611)/5,0)*5,""),"")</f>
        <v>1825</v>
      </c>
      <c r="FW611" s="101" t="str">
        <f t="shared" si="360"/>
        <v>专属强化石2</v>
      </c>
      <c r="FX611" s="101">
        <f t="shared" si="361"/>
        <v>5</v>
      </c>
      <c r="FY611" s="101" t="str">
        <f t="shared" si="362"/>
        <v>专属强化石3</v>
      </c>
      <c r="FZ611" s="101">
        <f t="shared" si="363"/>
        <v>3</v>
      </c>
      <c r="GA611" s="101">
        <f t="shared" si="368"/>
        <v>0.04</v>
      </c>
      <c r="GB611" s="101">
        <f t="shared" si="369"/>
        <v>1</v>
      </c>
      <c r="GC611" s="101">
        <f t="shared" si="370"/>
        <v>40</v>
      </c>
      <c r="GD611" s="101">
        <f t="shared" si="371"/>
        <v>0</v>
      </c>
      <c r="GE611" s="101">
        <f t="shared" si="372"/>
        <v>1</v>
      </c>
      <c r="GF611" s="101">
        <f t="shared" si="373"/>
        <v>9</v>
      </c>
      <c r="GG611" s="101">
        <f t="shared" si="374"/>
        <v>1.9E-2</v>
      </c>
      <c r="GH611" s="101">
        <f t="shared" si="375"/>
        <v>1</v>
      </c>
      <c r="GI611" s="101">
        <f t="shared" si="376"/>
        <v>18</v>
      </c>
      <c r="GJ611" s="101">
        <f t="shared" si="377"/>
        <v>7.5899999999999995E-2</v>
      </c>
      <c r="GK611" s="101">
        <f t="shared" si="378"/>
        <v>1</v>
      </c>
      <c r="GL611" s="101">
        <f t="shared" si="379"/>
        <v>40</v>
      </c>
    </row>
    <row r="612" spans="170:194" ht="16.5" x14ac:dyDescent="0.2">
      <c r="FN612" s="101">
        <v>607</v>
      </c>
      <c r="FO612" s="101">
        <f t="shared" si="364"/>
        <v>42</v>
      </c>
      <c r="FP612" s="101">
        <f t="shared" si="357"/>
        <v>8</v>
      </c>
      <c r="FQ612" s="14">
        <f t="shared" si="358"/>
        <v>3</v>
      </c>
      <c r="FR612" s="101" t="str">
        <f t="shared" si="365"/>
        <v>徐晃专属武器-魂珠-5 6级</v>
      </c>
      <c r="FS612" s="101">
        <f t="shared" si="366"/>
        <v>5</v>
      </c>
      <c r="FT612" s="101">
        <f t="shared" si="367"/>
        <v>6</v>
      </c>
      <c r="FU612" s="101" t="str">
        <f t="shared" si="359"/>
        <v>金币</v>
      </c>
      <c r="FV612" s="139">
        <f>IF($FT612&gt;0,IF(INDEX($EI$6:$EI$77,$FO612)&gt;=FV$3,ROUND(INDEX(EK$6:EK$77,$FO612)*INDEX(卡牌消耗!$B$8:$F$8,FQ612)/5,0)*5,""),"")</f>
        <v>3020</v>
      </c>
      <c r="FW612" s="101" t="str">
        <f t="shared" si="360"/>
        <v>专属强化石2</v>
      </c>
      <c r="FX612" s="101">
        <f t="shared" si="361"/>
        <v>8</v>
      </c>
      <c r="FY612" s="101" t="str">
        <f t="shared" si="362"/>
        <v>专属强化石3</v>
      </c>
      <c r="FZ612" s="101">
        <f t="shared" si="363"/>
        <v>5</v>
      </c>
      <c r="GA612" s="101">
        <f t="shared" si="368"/>
        <v>0.04</v>
      </c>
      <c r="GB612" s="101">
        <f t="shared" si="369"/>
        <v>1</v>
      </c>
      <c r="GC612" s="101">
        <f t="shared" si="370"/>
        <v>39</v>
      </c>
      <c r="GD612" s="101">
        <f t="shared" si="371"/>
        <v>0</v>
      </c>
      <c r="GE612" s="101">
        <f t="shared" si="372"/>
        <v>1</v>
      </c>
      <c r="GF612" s="101">
        <f t="shared" si="373"/>
        <v>9</v>
      </c>
      <c r="GG612" s="101">
        <f t="shared" si="374"/>
        <v>1.95E-2</v>
      </c>
      <c r="GH612" s="101">
        <f t="shared" si="375"/>
        <v>1</v>
      </c>
      <c r="GI612" s="101">
        <f t="shared" si="376"/>
        <v>18</v>
      </c>
      <c r="GJ612" s="101">
        <f t="shared" si="377"/>
        <v>7.7799999999999994E-2</v>
      </c>
      <c r="GK612" s="101">
        <f t="shared" si="378"/>
        <v>1</v>
      </c>
      <c r="GL612" s="101">
        <f t="shared" si="379"/>
        <v>39</v>
      </c>
    </row>
    <row r="613" spans="170:194" ht="16.5" x14ac:dyDescent="0.2">
      <c r="FN613" s="101">
        <v>608</v>
      </c>
      <c r="FO613" s="101">
        <f t="shared" si="364"/>
        <v>43</v>
      </c>
      <c r="FP613" s="101">
        <f t="shared" si="357"/>
        <v>8</v>
      </c>
      <c r="FQ613" s="14">
        <f t="shared" si="358"/>
        <v>3</v>
      </c>
      <c r="FR613" s="101" t="str">
        <f t="shared" si="365"/>
        <v>徐晃专属武器-魂珠-5 7级</v>
      </c>
      <c r="FS613" s="101">
        <f t="shared" si="366"/>
        <v>5</v>
      </c>
      <c r="FT613" s="101">
        <f t="shared" si="367"/>
        <v>7</v>
      </c>
      <c r="FU613" s="101" t="str">
        <f t="shared" si="359"/>
        <v>金币</v>
      </c>
      <c r="FV613" s="139">
        <f>IF($FT613&gt;0,IF(INDEX($EI$6:$EI$77,$FO613)&gt;=FV$3,ROUND(INDEX(EK$6:EK$77,$FO613)*INDEX(卡牌消耗!$B$8:$F$8,FQ613)/5,0)*5,""),"")</f>
        <v>3025</v>
      </c>
      <c r="FW613" s="101" t="str">
        <f t="shared" si="360"/>
        <v>专属强化石2</v>
      </c>
      <c r="FX613" s="101">
        <f t="shared" si="361"/>
        <v>8</v>
      </c>
      <c r="FY613" s="101" t="str">
        <f t="shared" si="362"/>
        <v>专属强化石3</v>
      </c>
      <c r="FZ613" s="101">
        <f t="shared" si="363"/>
        <v>5</v>
      </c>
      <c r="GA613" s="101">
        <f t="shared" si="368"/>
        <v>0.02</v>
      </c>
      <c r="GB613" s="101">
        <f t="shared" si="369"/>
        <v>1</v>
      </c>
      <c r="GC613" s="101">
        <f t="shared" si="370"/>
        <v>62</v>
      </c>
      <c r="GD613" s="101">
        <f t="shared" si="371"/>
        <v>0</v>
      </c>
      <c r="GE613" s="101">
        <f t="shared" si="372"/>
        <v>1</v>
      </c>
      <c r="GF613" s="101">
        <f t="shared" si="373"/>
        <v>15</v>
      </c>
      <c r="GG613" s="101">
        <f t="shared" si="374"/>
        <v>1.2E-2</v>
      </c>
      <c r="GH613" s="101">
        <f t="shared" si="375"/>
        <v>1</v>
      </c>
      <c r="GI613" s="101">
        <f t="shared" si="376"/>
        <v>29</v>
      </c>
      <c r="GJ613" s="101">
        <f t="shared" si="377"/>
        <v>4.82E-2</v>
      </c>
      <c r="GK613" s="101">
        <f t="shared" si="378"/>
        <v>1</v>
      </c>
      <c r="GL613" s="101">
        <f t="shared" si="379"/>
        <v>62</v>
      </c>
    </row>
    <row r="614" spans="170:194" ht="16.5" x14ac:dyDescent="0.2">
      <c r="FN614" s="101">
        <v>609</v>
      </c>
      <c r="FO614" s="101">
        <f t="shared" si="364"/>
        <v>44</v>
      </c>
      <c r="FP614" s="101">
        <f t="shared" si="357"/>
        <v>8</v>
      </c>
      <c r="FQ614" s="14">
        <f t="shared" si="358"/>
        <v>3</v>
      </c>
      <c r="FR614" s="101" t="str">
        <f t="shared" si="365"/>
        <v>徐晃专属武器-魂珠-5 8级</v>
      </c>
      <c r="FS614" s="101">
        <f t="shared" si="366"/>
        <v>5</v>
      </c>
      <c r="FT614" s="101">
        <f t="shared" si="367"/>
        <v>8</v>
      </c>
      <c r="FU614" s="101" t="str">
        <f t="shared" si="359"/>
        <v>金币</v>
      </c>
      <c r="FV614" s="139">
        <f>IF($FT614&gt;0,IF(INDEX($EI$6:$EI$77,$FO614)&gt;=FV$3,ROUND(INDEX(EK$6:EK$77,$FO614)*INDEX(卡牌消耗!$B$8:$F$8,FQ614)/5,0)*5,""),"")</f>
        <v>4235</v>
      </c>
      <c r="FW614" s="101" t="str">
        <f t="shared" si="360"/>
        <v>专属强化石2</v>
      </c>
      <c r="FX614" s="101">
        <f t="shared" si="361"/>
        <v>11</v>
      </c>
      <c r="FY614" s="101" t="str">
        <f t="shared" si="362"/>
        <v>专属强化石3</v>
      </c>
      <c r="FZ614" s="101">
        <f t="shared" si="363"/>
        <v>7</v>
      </c>
      <c r="GA614" s="101">
        <f t="shared" si="368"/>
        <v>0.02</v>
      </c>
      <c r="GB614" s="101">
        <f t="shared" si="369"/>
        <v>1</v>
      </c>
      <c r="GC614" s="101">
        <f t="shared" si="370"/>
        <v>72</v>
      </c>
      <c r="GD614" s="101">
        <f t="shared" si="371"/>
        <v>0</v>
      </c>
      <c r="GE614" s="101">
        <f t="shared" si="372"/>
        <v>1</v>
      </c>
      <c r="GF614" s="101">
        <f t="shared" si="373"/>
        <v>17</v>
      </c>
      <c r="GG614" s="101">
        <f t="shared" si="374"/>
        <v>1.04E-2</v>
      </c>
      <c r="GH614" s="101">
        <f t="shared" si="375"/>
        <v>1</v>
      </c>
      <c r="GI614" s="101">
        <f t="shared" si="376"/>
        <v>34</v>
      </c>
      <c r="GJ614" s="101">
        <f t="shared" si="377"/>
        <v>4.1700000000000001E-2</v>
      </c>
      <c r="GK614" s="101">
        <f t="shared" si="378"/>
        <v>1</v>
      </c>
      <c r="GL614" s="101">
        <f t="shared" si="379"/>
        <v>72</v>
      </c>
    </row>
    <row r="615" spans="170:194" ht="16.5" x14ac:dyDescent="0.2">
      <c r="FN615" s="101">
        <v>610</v>
      </c>
      <c r="FO615" s="101">
        <f t="shared" si="364"/>
        <v>45</v>
      </c>
      <c r="FP615" s="101">
        <f t="shared" si="357"/>
        <v>8</v>
      </c>
      <c r="FQ615" s="14">
        <f t="shared" si="358"/>
        <v>3</v>
      </c>
      <c r="FR615" s="101" t="str">
        <f t="shared" si="365"/>
        <v>徐晃专属武器-魂珠-5 9级</v>
      </c>
      <c r="FS615" s="101">
        <f t="shared" si="366"/>
        <v>5</v>
      </c>
      <c r="FT615" s="101">
        <f t="shared" si="367"/>
        <v>9</v>
      </c>
      <c r="FU615" s="101" t="str">
        <f t="shared" si="359"/>
        <v>金币</v>
      </c>
      <c r="FV615" s="139">
        <f>IF($FT615&gt;0,IF(INDEX($EI$6:$EI$77,$FO615)&gt;=FV$3,ROUND(INDEX(EK$6:EK$77,$FO615)*INDEX(卡牌消耗!$B$8:$F$8,FQ615)/5,0)*5,""),"")</f>
        <v>5445</v>
      </c>
      <c r="FW615" s="101" t="str">
        <f t="shared" si="360"/>
        <v>专属强化石2</v>
      </c>
      <c r="FX615" s="101">
        <f t="shared" si="361"/>
        <v>14</v>
      </c>
      <c r="FY615" s="101" t="str">
        <f t="shared" si="362"/>
        <v>专属强化石3</v>
      </c>
      <c r="FZ615" s="101">
        <f t="shared" si="363"/>
        <v>9</v>
      </c>
      <c r="GA615" s="101">
        <f t="shared" si="368"/>
        <v>0.02</v>
      </c>
      <c r="GB615" s="101">
        <f t="shared" si="369"/>
        <v>1</v>
      </c>
      <c r="GC615" s="101">
        <f t="shared" si="370"/>
        <v>91</v>
      </c>
      <c r="GD615" s="101">
        <f t="shared" si="371"/>
        <v>0</v>
      </c>
      <c r="GE615" s="101">
        <f t="shared" si="372"/>
        <v>1</v>
      </c>
      <c r="GF615" s="101">
        <f t="shared" si="373"/>
        <v>21</v>
      </c>
      <c r="GG615" s="101">
        <f t="shared" si="374"/>
        <v>8.3000000000000001E-3</v>
      </c>
      <c r="GH615" s="101">
        <f t="shared" si="375"/>
        <v>1</v>
      </c>
      <c r="GI615" s="101">
        <f t="shared" si="376"/>
        <v>42</v>
      </c>
      <c r="GJ615" s="101">
        <f t="shared" si="377"/>
        <v>3.3099999999999997E-2</v>
      </c>
      <c r="GK615" s="101">
        <f t="shared" si="378"/>
        <v>1</v>
      </c>
      <c r="GL615" s="101">
        <f t="shared" si="379"/>
        <v>91</v>
      </c>
    </row>
    <row r="616" spans="170:194" ht="16.5" x14ac:dyDescent="0.2">
      <c r="FN616" s="101">
        <v>611</v>
      </c>
      <c r="FO616" s="101">
        <f t="shared" si="364"/>
        <v>0</v>
      </c>
      <c r="FP616" s="101">
        <f t="shared" si="357"/>
        <v>8</v>
      </c>
      <c r="FQ616" s="14">
        <f t="shared" si="358"/>
        <v>3</v>
      </c>
      <c r="FR616" s="101" t="str">
        <f t="shared" si="365"/>
        <v>徐晃专属武器-魂珠-6 0级</v>
      </c>
      <c r="FS616" s="101">
        <f t="shared" si="366"/>
        <v>6</v>
      </c>
      <c r="FT616" s="101">
        <f t="shared" si="367"/>
        <v>0</v>
      </c>
      <c r="FU616" s="101" t="str">
        <f t="shared" si="359"/>
        <v/>
      </c>
      <c r="FV616" s="139" t="str">
        <f>IF($FT616&gt;0,IF(INDEX($EI$6:$EI$77,$FO616)&gt;=FV$3,ROUND(INDEX(EK$6:EK$77,$FO616)*INDEX(卡牌消耗!$B$8:$F$8,FQ616)/5,0)*5,""),"")</f>
        <v/>
      </c>
      <c r="FW616" s="101" t="str">
        <f t="shared" si="360"/>
        <v/>
      </c>
      <c r="FX616" s="101" t="str">
        <f t="shared" si="361"/>
        <v/>
      </c>
      <c r="FY616" s="101" t="str">
        <f t="shared" si="362"/>
        <v/>
      </c>
      <c r="FZ616" s="101" t="str">
        <f t="shared" si="363"/>
        <v/>
      </c>
      <c r="GA616" s="101" t="str">
        <f t="shared" si="368"/>
        <v/>
      </c>
      <c r="GB616" s="101" t="str">
        <f t="shared" si="369"/>
        <v/>
      </c>
      <c r="GC616" s="101" t="str">
        <f t="shared" si="370"/>
        <v/>
      </c>
      <c r="GD616" s="101" t="str">
        <f t="shared" si="371"/>
        <v/>
      </c>
      <c r="GE616" s="101" t="str">
        <f t="shared" si="372"/>
        <v/>
      </c>
      <c r="GF616" s="101" t="str">
        <f t="shared" si="373"/>
        <v/>
      </c>
      <c r="GG616" s="101" t="str">
        <f t="shared" si="374"/>
        <v/>
      </c>
      <c r="GH616" s="101" t="str">
        <f t="shared" si="375"/>
        <v/>
      </c>
      <c r="GI616" s="101" t="str">
        <f t="shared" si="376"/>
        <v/>
      </c>
      <c r="GJ616" s="101" t="str">
        <f t="shared" si="377"/>
        <v/>
      </c>
      <c r="GK616" s="101" t="str">
        <f t="shared" si="378"/>
        <v/>
      </c>
      <c r="GL616" s="101" t="str">
        <f t="shared" si="379"/>
        <v/>
      </c>
    </row>
    <row r="617" spans="170:194" ht="16.5" x14ac:dyDescent="0.2">
      <c r="FN617" s="101">
        <v>612</v>
      </c>
      <c r="FO617" s="101">
        <f t="shared" si="364"/>
        <v>46</v>
      </c>
      <c r="FP617" s="101">
        <f t="shared" si="357"/>
        <v>8</v>
      </c>
      <c r="FQ617" s="14">
        <f t="shared" si="358"/>
        <v>3</v>
      </c>
      <c r="FR617" s="101" t="str">
        <f t="shared" si="365"/>
        <v>徐晃专属武器-魂珠-6 1级</v>
      </c>
      <c r="FS617" s="101">
        <f t="shared" si="366"/>
        <v>6</v>
      </c>
      <c r="FT617" s="101">
        <f t="shared" si="367"/>
        <v>1</v>
      </c>
      <c r="FU617" s="101" t="str">
        <f t="shared" si="359"/>
        <v>金币</v>
      </c>
      <c r="FV617" s="139">
        <f>IF($FT617&gt;0,IF(INDEX($EI$6:$EI$77,$FO617)&gt;=FV$3,ROUND(INDEX(EK$6:EK$77,$FO617)*INDEX(卡牌消耗!$B$8:$F$8,FQ617)/5,0)*5,""),"")</f>
        <v>1455</v>
      </c>
      <c r="FW617" s="101" t="str">
        <f t="shared" si="360"/>
        <v>专属强化石3</v>
      </c>
      <c r="FX617" s="101">
        <f t="shared" si="361"/>
        <v>5</v>
      </c>
      <c r="FY617" s="101" t="str">
        <f t="shared" si="362"/>
        <v>专属强化石4</v>
      </c>
      <c r="FZ617" s="101">
        <f t="shared" si="363"/>
        <v>1</v>
      </c>
      <c r="GA617" s="101">
        <f t="shared" si="368"/>
        <v>0.17</v>
      </c>
      <c r="GB617" s="101">
        <f t="shared" si="369"/>
        <v>1</v>
      </c>
      <c r="GC617" s="101">
        <f t="shared" si="370"/>
        <v>9</v>
      </c>
      <c r="GD617" s="101">
        <f t="shared" si="371"/>
        <v>0</v>
      </c>
      <c r="GE617" s="101">
        <f t="shared" si="372"/>
        <v>1</v>
      </c>
      <c r="GF617" s="101">
        <f t="shared" si="373"/>
        <v>2</v>
      </c>
      <c r="GG617" s="101">
        <f t="shared" si="374"/>
        <v>8.2900000000000001E-2</v>
      </c>
      <c r="GH617" s="101">
        <f t="shared" si="375"/>
        <v>1</v>
      </c>
      <c r="GI617" s="101">
        <f t="shared" si="376"/>
        <v>4</v>
      </c>
      <c r="GJ617" s="101">
        <f t="shared" si="377"/>
        <v>0.33139999999999997</v>
      </c>
      <c r="GK617" s="101">
        <f t="shared" si="378"/>
        <v>1</v>
      </c>
      <c r="GL617" s="101">
        <f t="shared" si="379"/>
        <v>9</v>
      </c>
    </row>
    <row r="618" spans="170:194" ht="16.5" x14ac:dyDescent="0.2">
      <c r="FN618" s="101">
        <v>613</v>
      </c>
      <c r="FO618" s="101">
        <f t="shared" si="364"/>
        <v>47</v>
      </c>
      <c r="FP618" s="101">
        <f t="shared" si="357"/>
        <v>8</v>
      </c>
      <c r="FQ618" s="14">
        <f t="shared" si="358"/>
        <v>3</v>
      </c>
      <c r="FR618" s="101" t="str">
        <f t="shared" si="365"/>
        <v>徐晃专属武器-魂珠-6 2级</v>
      </c>
      <c r="FS618" s="101">
        <f t="shared" si="366"/>
        <v>6</v>
      </c>
      <c r="FT618" s="101">
        <f t="shared" si="367"/>
        <v>2</v>
      </c>
      <c r="FU618" s="101" t="str">
        <f t="shared" si="359"/>
        <v>金币</v>
      </c>
      <c r="FV618" s="139">
        <f>IF($FT618&gt;0,IF(INDEX($EI$6:$EI$77,$FO618)&gt;=FV$3,ROUND(INDEX(EK$6:EK$77,$FO618)*INDEX(卡牌消耗!$B$8:$F$8,FQ618)/5,0)*5,""),"")</f>
        <v>2180</v>
      </c>
      <c r="FW618" s="101" t="str">
        <f t="shared" si="360"/>
        <v>专属强化石3</v>
      </c>
      <c r="FX618" s="101">
        <f t="shared" si="361"/>
        <v>10</v>
      </c>
      <c r="FY618" s="101" t="str">
        <f t="shared" si="362"/>
        <v>专属强化石4</v>
      </c>
      <c r="FZ618" s="101">
        <f t="shared" si="363"/>
        <v>2</v>
      </c>
      <c r="GA618" s="101">
        <f t="shared" si="368"/>
        <v>0.17</v>
      </c>
      <c r="GB618" s="101">
        <f t="shared" si="369"/>
        <v>1</v>
      </c>
      <c r="GC618" s="101">
        <f t="shared" si="370"/>
        <v>9</v>
      </c>
      <c r="GD618" s="101">
        <f t="shared" si="371"/>
        <v>0</v>
      </c>
      <c r="GE618" s="101">
        <f t="shared" si="372"/>
        <v>1</v>
      </c>
      <c r="GF618" s="101">
        <f t="shared" si="373"/>
        <v>2</v>
      </c>
      <c r="GG618" s="101">
        <f t="shared" si="374"/>
        <v>8.2900000000000001E-2</v>
      </c>
      <c r="GH618" s="101">
        <f t="shared" si="375"/>
        <v>1</v>
      </c>
      <c r="GI618" s="101">
        <f t="shared" si="376"/>
        <v>4</v>
      </c>
      <c r="GJ618" s="101">
        <f t="shared" si="377"/>
        <v>0.33139999999999997</v>
      </c>
      <c r="GK618" s="101">
        <f t="shared" si="378"/>
        <v>1</v>
      </c>
      <c r="GL618" s="101">
        <f t="shared" si="379"/>
        <v>9</v>
      </c>
    </row>
    <row r="619" spans="170:194" ht="16.5" x14ac:dyDescent="0.2">
      <c r="FN619" s="101">
        <v>614</v>
      </c>
      <c r="FO619" s="101">
        <f t="shared" si="364"/>
        <v>48</v>
      </c>
      <c r="FP619" s="101">
        <f t="shared" si="357"/>
        <v>8</v>
      </c>
      <c r="FQ619" s="14">
        <f t="shared" si="358"/>
        <v>3</v>
      </c>
      <c r="FR619" s="101" t="str">
        <f t="shared" si="365"/>
        <v>徐晃专属武器-魂珠-6 3级</v>
      </c>
      <c r="FS619" s="101">
        <f t="shared" si="366"/>
        <v>6</v>
      </c>
      <c r="FT619" s="101">
        <f t="shared" si="367"/>
        <v>3</v>
      </c>
      <c r="FU619" s="101" t="str">
        <f t="shared" si="359"/>
        <v>金币</v>
      </c>
      <c r="FV619" s="139">
        <f>IF($FT619&gt;0,IF(INDEX($EI$6:$EI$77,$FO619)&gt;=FV$3,ROUND(INDEX(EK$6:EK$77,$FO619)*INDEX(卡牌消耗!$B$8:$F$8,FQ619)/5,0)*5,""),"")</f>
        <v>2425</v>
      </c>
      <c r="FW619" s="101" t="str">
        <f t="shared" si="360"/>
        <v>专属强化石3</v>
      </c>
      <c r="FX619" s="101">
        <f t="shared" si="361"/>
        <v>10</v>
      </c>
      <c r="FY619" s="101" t="str">
        <f t="shared" si="362"/>
        <v>专属强化石4</v>
      </c>
      <c r="FZ619" s="101">
        <f t="shared" si="363"/>
        <v>2</v>
      </c>
      <c r="GA619" s="101">
        <f t="shared" si="368"/>
        <v>0.11</v>
      </c>
      <c r="GB619" s="101">
        <f t="shared" si="369"/>
        <v>1</v>
      </c>
      <c r="GC619" s="101">
        <f t="shared" si="370"/>
        <v>14</v>
      </c>
      <c r="GD619" s="101">
        <f t="shared" si="371"/>
        <v>0</v>
      </c>
      <c r="GE619" s="101">
        <f t="shared" si="372"/>
        <v>1</v>
      </c>
      <c r="GF619" s="101">
        <f t="shared" si="373"/>
        <v>3</v>
      </c>
      <c r="GG619" s="101">
        <f t="shared" si="374"/>
        <v>5.5199999999999999E-2</v>
      </c>
      <c r="GH619" s="101">
        <f t="shared" si="375"/>
        <v>1</v>
      </c>
      <c r="GI619" s="101">
        <f t="shared" si="376"/>
        <v>6</v>
      </c>
      <c r="GJ619" s="101">
        <f t="shared" si="377"/>
        <v>0.221</v>
      </c>
      <c r="GK619" s="101">
        <f t="shared" si="378"/>
        <v>1</v>
      </c>
      <c r="GL619" s="101">
        <f t="shared" si="379"/>
        <v>14</v>
      </c>
    </row>
    <row r="620" spans="170:194" ht="16.5" x14ac:dyDescent="0.2">
      <c r="FN620" s="101">
        <v>615</v>
      </c>
      <c r="FO620" s="101">
        <f t="shared" si="364"/>
        <v>49</v>
      </c>
      <c r="FP620" s="101">
        <f t="shared" si="357"/>
        <v>8</v>
      </c>
      <c r="FQ620" s="14">
        <f t="shared" si="358"/>
        <v>3</v>
      </c>
      <c r="FR620" s="101" t="str">
        <f t="shared" si="365"/>
        <v>徐晃专属武器-魂珠-6 4级</v>
      </c>
      <c r="FS620" s="101">
        <f t="shared" si="366"/>
        <v>6</v>
      </c>
      <c r="FT620" s="101">
        <f t="shared" si="367"/>
        <v>4</v>
      </c>
      <c r="FU620" s="101" t="str">
        <f t="shared" si="359"/>
        <v>金币</v>
      </c>
      <c r="FV620" s="139">
        <f>IF($FT620&gt;0,IF(INDEX($EI$6:$EI$77,$FO620)&gt;=FV$3,ROUND(INDEX(EK$6:EK$77,$FO620)*INDEX(卡牌消耗!$B$8:$F$8,FQ620)/5,0)*5,""),"")</f>
        <v>3490</v>
      </c>
      <c r="FW620" s="101" t="str">
        <f t="shared" si="360"/>
        <v>专属强化石3</v>
      </c>
      <c r="FX620" s="101">
        <f t="shared" si="361"/>
        <v>15</v>
      </c>
      <c r="FY620" s="101" t="str">
        <f t="shared" si="362"/>
        <v>专属强化石4</v>
      </c>
      <c r="FZ620" s="101">
        <f t="shared" si="363"/>
        <v>3</v>
      </c>
      <c r="GA620" s="101">
        <f t="shared" si="368"/>
        <v>0.1</v>
      </c>
      <c r="GB620" s="101">
        <f t="shared" si="369"/>
        <v>1</v>
      </c>
      <c r="GC620" s="101">
        <f t="shared" si="370"/>
        <v>15</v>
      </c>
      <c r="GD620" s="101">
        <f t="shared" si="371"/>
        <v>0</v>
      </c>
      <c r="GE620" s="101">
        <f t="shared" si="372"/>
        <v>1</v>
      </c>
      <c r="GF620" s="101">
        <f t="shared" si="373"/>
        <v>4</v>
      </c>
      <c r="GG620" s="101">
        <f t="shared" si="374"/>
        <v>4.9700000000000001E-2</v>
      </c>
      <c r="GH620" s="101">
        <f t="shared" si="375"/>
        <v>1</v>
      </c>
      <c r="GI620" s="101">
        <f t="shared" si="376"/>
        <v>7</v>
      </c>
      <c r="GJ620" s="101">
        <f t="shared" si="377"/>
        <v>0.19889999999999999</v>
      </c>
      <c r="GK620" s="101">
        <f t="shared" si="378"/>
        <v>1</v>
      </c>
      <c r="GL620" s="101">
        <f t="shared" si="379"/>
        <v>15</v>
      </c>
    </row>
    <row r="621" spans="170:194" ht="16.5" x14ac:dyDescent="0.2">
      <c r="FN621" s="101">
        <v>616</v>
      </c>
      <c r="FO621" s="101">
        <f t="shared" si="364"/>
        <v>50</v>
      </c>
      <c r="FP621" s="101">
        <f t="shared" si="357"/>
        <v>8</v>
      </c>
      <c r="FQ621" s="14">
        <f t="shared" si="358"/>
        <v>3</v>
      </c>
      <c r="FR621" s="101" t="str">
        <f t="shared" si="365"/>
        <v>徐晃专属武器-魂珠-6 5级</v>
      </c>
      <c r="FS621" s="101">
        <f t="shared" si="366"/>
        <v>6</v>
      </c>
      <c r="FT621" s="101">
        <f t="shared" si="367"/>
        <v>5</v>
      </c>
      <c r="FU621" s="101" t="str">
        <f t="shared" si="359"/>
        <v>金币</v>
      </c>
      <c r="FV621" s="139">
        <f>IF($FT621&gt;0,IF(INDEX($EI$6:$EI$77,$FO621)&gt;=FV$3,ROUND(INDEX(EK$6:EK$77,$FO621)*INDEX(卡牌消耗!$B$8:$F$8,FQ621)/5,0)*5,""),"")</f>
        <v>3545</v>
      </c>
      <c r="FW621" s="101" t="str">
        <f t="shared" si="360"/>
        <v>专属强化石3</v>
      </c>
      <c r="FX621" s="101">
        <f t="shared" si="361"/>
        <v>15</v>
      </c>
      <c r="FY621" s="101" t="str">
        <f t="shared" si="362"/>
        <v>专属强化石4</v>
      </c>
      <c r="FZ621" s="101">
        <f t="shared" si="363"/>
        <v>3</v>
      </c>
      <c r="GA621" s="101">
        <f t="shared" si="368"/>
        <v>0.06</v>
      </c>
      <c r="GB621" s="101">
        <f t="shared" si="369"/>
        <v>1</v>
      </c>
      <c r="GC621" s="101">
        <f t="shared" si="370"/>
        <v>24</v>
      </c>
      <c r="GD621" s="101">
        <f t="shared" si="371"/>
        <v>0</v>
      </c>
      <c r="GE621" s="101">
        <f t="shared" si="372"/>
        <v>1</v>
      </c>
      <c r="GF621" s="101">
        <f t="shared" si="373"/>
        <v>6</v>
      </c>
      <c r="GG621" s="101">
        <f t="shared" si="374"/>
        <v>3.1099999999999999E-2</v>
      </c>
      <c r="GH621" s="101">
        <f t="shared" si="375"/>
        <v>1</v>
      </c>
      <c r="GI621" s="101">
        <f t="shared" si="376"/>
        <v>11</v>
      </c>
      <c r="GJ621" s="101">
        <f t="shared" si="377"/>
        <v>0.12429999999999999</v>
      </c>
      <c r="GK621" s="101">
        <f t="shared" si="378"/>
        <v>1</v>
      </c>
      <c r="GL621" s="101">
        <f t="shared" si="379"/>
        <v>24</v>
      </c>
    </row>
    <row r="622" spans="170:194" ht="16.5" x14ac:dyDescent="0.2">
      <c r="FN622" s="101">
        <v>617</v>
      </c>
      <c r="FO622" s="101">
        <f t="shared" si="364"/>
        <v>51</v>
      </c>
      <c r="FP622" s="101">
        <f t="shared" si="357"/>
        <v>8</v>
      </c>
      <c r="FQ622" s="14">
        <f t="shared" si="358"/>
        <v>3</v>
      </c>
      <c r="FR622" s="101" t="str">
        <f t="shared" si="365"/>
        <v>徐晃专属武器-魂珠-6 6级</v>
      </c>
      <c r="FS622" s="101">
        <f t="shared" si="366"/>
        <v>6</v>
      </c>
      <c r="FT622" s="101">
        <f t="shared" si="367"/>
        <v>6</v>
      </c>
      <c r="FU622" s="101" t="str">
        <f t="shared" si="359"/>
        <v>金币</v>
      </c>
      <c r="FV622" s="139">
        <f>IF($FT622&gt;0,IF(INDEX($EI$6:$EI$77,$FO622)&gt;=FV$3,ROUND(INDEX(EK$6:EK$77,$FO622)*INDEX(卡牌消耗!$B$8:$F$8,FQ622)/5,0)*5,""),"")</f>
        <v>4700</v>
      </c>
      <c r="FW622" s="101" t="str">
        <f t="shared" si="360"/>
        <v>专属强化石3</v>
      </c>
      <c r="FX622" s="101">
        <f t="shared" si="361"/>
        <v>20</v>
      </c>
      <c r="FY622" s="101" t="str">
        <f t="shared" si="362"/>
        <v>专属强化石4</v>
      </c>
      <c r="FZ622" s="101">
        <f t="shared" si="363"/>
        <v>4</v>
      </c>
      <c r="GA622" s="101">
        <f t="shared" si="368"/>
        <v>0.05</v>
      </c>
      <c r="GB622" s="101">
        <f t="shared" si="369"/>
        <v>1</v>
      </c>
      <c r="GC622" s="101">
        <f t="shared" si="370"/>
        <v>29</v>
      </c>
      <c r="GD622" s="101">
        <f t="shared" si="371"/>
        <v>0</v>
      </c>
      <c r="GE622" s="101">
        <f t="shared" si="372"/>
        <v>1</v>
      </c>
      <c r="GF622" s="101">
        <f t="shared" si="373"/>
        <v>7</v>
      </c>
      <c r="GG622" s="101">
        <f t="shared" si="374"/>
        <v>2.5499999999999998E-2</v>
      </c>
      <c r="GH622" s="101">
        <f t="shared" si="375"/>
        <v>1</v>
      </c>
      <c r="GI622" s="101">
        <f t="shared" si="376"/>
        <v>14</v>
      </c>
      <c r="GJ622" s="101">
        <f t="shared" si="377"/>
        <v>0.10199999999999999</v>
      </c>
      <c r="GK622" s="101">
        <f t="shared" si="378"/>
        <v>1</v>
      </c>
      <c r="GL622" s="101">
        <f t="shared" si="379"/>
        <v>29</v>
      </c>
    </row>
    <row r="623" spans="170:194" ht="16.5" x14ac:dyDescent="0.2">
      <c r="FN623" s="101">
        <v>618</v>
      </c>
      <c r="FO623" s="101">
        <f t="shared" si="364"/>
        <v>52</v>
      </c>
      <c r="FP623" s="101">
        <f t="shared" si="357"/>
        <v>8</v>
      </c>
      <c r="FQ623" s="14">
        <f t="shared" si="358"/>
        <v>3</v>
      </c>
      <c r="FR623" s="101" t="str">
        <f t="shared" si="365"/>
        <v>徐晃专属武器-魂珠-6 7级</v>
      </c>
      <c r="FS623" s="101">
        <f t="shared" si="366"/>
        <v>6</v>
      </c>
      <c r="FT623" s="101">
        <f t="shared" si="367"/>
        <v>7</v>
      </c>
      <c r="FU623" s="101" t="str">
        <f t="shared" si="359"/>
        <v>金币</v>
      </c>
      <c r="FV623" s="139">
        <f>IF($FT623&gt;0,IF(INDEX($EI$6:$EI$77,$FO623)&gt;=FV$3,ROUND(INDEX(EK$6:EK$77,$FO623)*INDEX(卡牌消耗!$B$8:$F$8,FQ623)/5,0)*5,""),"")</f>
        <v>5885</v>
      </c>
      <c r="FW623" s="101" t="str">
        <f t="shared" si="360"/>
        <v>专属强化石3</v>
      </c>
      <c r="FX623" s="101">
        <f t="shared" si="361"/>
        <v>25</v>
      </c>
      <c r="FY623" s="101" t="str">
        <f t="shared" si="362"/>
        <v>专属强化石4</v>
      </c>
      <c r="FZ623" s="101">
        <f t="shared" si="363"/>
        <v>5</v>
      </c>
      <c r="GA623" s="101">
        <f t="shared" si="368"/>
        <v>0.04</v>
      </c>
      <c r="GB623" s="101">
        <f t="shared" si="369"/>
        <v>1</v>
      </c>
      <c r="GC623" s="101">
        <f t="shared" si="370"/>
        <v>38</v>
      </c>
      <c r="GD623" s="101">
        <f t="shared" si="371"/>
        <v>0</v>
      </c>
      <c r="GE623" s="101">
        <f t="shared" si="372"/>
        <v>1</v>
      </c>
      <c r="GF623" s="101">
        <f t="shared" si="373"/>
        <v>9</v>
      </c>
      <c r="GG623" s="101">
        <f t="shared" si="374"/>
        <v>1.9699999999999999E-2</v>
      </c>
      <c r="GH623" s="101">
        <f t="shared" si="375"/>
        <v>1</v>
      </c>
      <c r="GI623" s="101">
        <f t="shared" si="376"/>
        <v>18</v>
      </c>
      <c r="GJ623" s="101">
        <f t="shared" si="377"/>
        <v>7.8899999999999998E-2</v>
      </c>
      <c r="GK623" s="101">
        <f t="shared" si="378"/>
        <v>1</v>
      </c>
      <c r="GL623" s="101">
        <f t="shared" si="379"/>
        <v>38</v>
      </c>
    </row>
    <row r="624" spans="170:194" ht="16.5" x14ac:dyDescent="0.2">
      <c r="FN624" s="101">
        <v>619</v>
      </c>
      <c r="FO624" s="101">
        <f t="shared" si="364"/>
        <v>53</v>
      </c>
      <c r="FP624" s="101">
        <f t="shared" si="357"/>
        <v>8</v>
      </c>
      <c r="FQ624" s="14">
        <f t="shared" si="358"/>
        <v>3</v>
      </c>
      <c r="FR624" s="101" t="str">
        <f t="shared" si="365"/>
        <v>徐晃专属武器-魂珠-6 8级</v>
      </c>
      <c r="FS624" s="101">
        <f t="shared" si="366"/>
        <v>6</v>
      </c>
      <c r="FT624" s="101">
        <f t="shared" si="367"/>
        <v>8</v>
      </c>
      <c r="FU624" s="101" t="str">
        <f t="shared" si="359"/>
        <v>金币</v>
      </c>
      <c r="FV624" s="139">
        <f>IF($FT624&gt;0,IF(INDEX($EI$6:$EI$77,$FO624)&gt;=FV$3,ROUND(INDEX(EK$6:EK$77,$FO624)*INDEX(卡牌消耗!$B$8:$F$8,FQ624)/5,0)*5,""),"")</f>
        <v>8235</v>
      </c>
      <c r="FW624" s="101" t="str">
        <f t="shared" si="360"/>
        <v>专属强化石3</v>
      </c>
      <c r="FX624" s="101">
        <f t="shared" si="361"/>
        <v>35</v>
      </c>
      <c r="FY624" s="101" t="str">
        <f t="shared" si="362"/>
        <v>专属强化石4</v>
      </c>
      <c r="FZ624" s="101">
        <f t="shared" si="363"/>
        <v>7</v>
      </c>
      <c r="GA624" s="101">
        <f t="shared" si="368"/>
        <v>0.03</v>
      </c>
      <c r="GB624" s="101">
        <f t="shared" si="369"/>
        <v>1</v>
      </c>
      <c r="GC624" s="101">
        <f t="shared" si="370"/>
        <v>44</v>
      </c>
      <c r="GD624" s="101">
        <f t="shared" si="371"/>
        <v>0</v>
      </c>
      <c r="GE624" s="101">
        <f t="shared" si="372"/>
        <v>1</v>
      </c>
      <c r="GF624" s="101">
        <f t="shared" si="373"/>
        <v>10</v>
      </c>
      <c r="GG624" s="101">
        <f t="shared" si="374"/>
        <v>1.7100000000000001E-2</v>
      </c>
      <c r="GH624" s="101">
        <f t="shared" si="375"/>
        <v>1</v>
      </c>
      <c r="GI624" s="101">
        <f t="shared" si="376"/>
        <v>21</v>
      </c>
      <c r="GJ624" s="101">
        <f t="shared" si="377"/>
        <v>6.8199999999999997E-2</v>
      </c>
      <c r="GK624" s="101">
        <f t="shared" si="378"/>
        <v>1</v>
      </c>
      <c r="GL624" s="101">
        <f t="shared" si="379"/>
        <v>44</v>
      </c>
    </row>
    <row r="625" spans="170:194" ht="16.5" x14ac:dyDescent="0.2">
      <c r="FN625" s="101">
        <v>620</v>
      </c>
      <c r="FO625" s="101">
        <f t="shared" si="364"/>
        <v>54</v>
      </c>
      <c r="FP625" s="101">
        <f t="shared" si="357"/>
        <v>8</v>
      </c>
      <c r="FQ625" s="14">
        <f t="shared" si="358"/>
        <v>3</v>
      </c>
      <c r="FR625" s="101" t="str">
        <f t="shared" si="365"/>
        <v>徐晃专属武器-魂珠-6 9级</v>
      </c>
      <c r="FS625" s="101">
        <f t="shared" si="366"/>
        <v>6</v>
      </c>
      <c r="FT625" s="101">
        <f t="shared" si="367"/>
        <v>9</v>
      </c>
      <c r="FU625" s="101" t="str">
        <f t="shared" si="359"/>
        <v>金币</v>
      </c>
      <c r="FV625" s="139">
        <f>IF($FT625&gt;0,IF(INDEX($EI$6:$EI$77,$FO625)&gt;=FV$3,ROUND(INDEX(EK$6:EK$77,$FO625)*INDEX(卡牌消耗!$B$8:$F$8,FQ625)/5,0)*5,""),"")</f>
        <v>9410</v>
      </c>
      <c r="FW625" s="101" t="str">
        <f t="shared" si="360"/>
        <v>专属强化石3</v>
      </c>
      <c r="FX625" s="101">
        <f t="shared" si="361"/>
        <v>40</v>
      </c>
      <c r="FY625" s="101" t="str">
        <f t="shared" si="362"/>
        <v>专属强化石4</v>
      </c>
      <c r="FZ625" s="101">
        <f t="shared" si="363"/>
        <v>8</v>
      </c>
      <c r="GA625" s="101">
        <f t="shared" si="368"/>
        <v>0.02</v>
      </c>
      <c r="GB625" s="101">
        <f t="shared" si="369"/>
        <v>1</v>
      </c>
      <c r="GC625" s="101">
        <f t="shared" si="370"/>
        <v>62</v>
      </c>
      <c r="GD625" s="101">
        <f t="shared" si="371"/>
        <v>0</v>
      </c>
      <c r="GE625" s="101">
        <f t="shared" si="372"/>
        <v>1</v>
      </c>
      <c r="GF625" s="101">
        <f t="shared" si="373"/>
        <v>15</v>
      </c>
      <c r="GG625" s="101">
        <f t="shared" si="374"/>
        <v>1.21E-2</v>
      </c>
      <c r="GH625" s="101">
        <f t="shared" si="375"/>
        <v>1</v>
      </c>
      <c r="GI625" s="101">
        <f t="shared" si="376"/>
        <v>29</v>
      </c>
      <c r="GJ625" s="101">
        <f t="shared" si="377"/>
        <v>4.82E-2</v>
      </c>
      <c r="GK625" s="101">
        <f t="shared" si="378"/>
        <v>1</v>
      </c>
      <c r="GL625" s="101">
        <f t="shared" si="379"/>
        <v>62</v>
      </c>
    </row>
    <row r="626" spans="170:194" ht="16.5" x14ac:dyDescent="0.2">
      <c r="FN626" s="101">
        <v>621</v>
      </c>
      <c r="FO626" s="101">
        <f t="shared" si="364"/>
        <v>0</v>
      </c>
      <c r="FP626" s="101">
        <f t="shared" si="357"/>
        <v>8</v>
      </c>
      <c r="FQ626" s="14">
        <f t="shared" si="358"/>
        <v>3</v>
      </c>
      <c r="FR626" s="101" t="str">
        <f t="shared" si="365"/>
        <v>徐晃专属武器-魂珠-7 0级</v>
      </c>
      <c r="FS626" s="101">
        <f t="shared" si="366"/>
        <v>7</v>
      </c>
      <c r="FT626" s="101">
        <f t="shared" si="367"/>
        <v>0</v>
      </c>
      <c r="FU626" s="101" t="str">
        <f t="shared" si="359"/>
        <v/>
      </c>
      <c r="FV626" s="139" t="str">
        <f>IF($FT626&gt;0,IF(INDEX($EI$6:$EI$77,$FO626)&gt;=FV$3,ROUND(INDEX(EK$6:EK$77,$FO626)*INDEX(卡牌消耗!$B$8:$F$8,FQ626)/5,0)*5,""),"")</f>
        <v/>
      </c>
      <c r="FW626" s="101" t="str">
        <f t="shared" si="360"/>
        <v/>
      </c>
      <c r="FX626" s="101" t="str">
        <f t="shared" si="361"/>
        <v/>
      </c>
      <c r="FY626" s="101" t="str">
        <f t="shared" si="362"/>
        <v/>
      </c>
      <c r="FZ626" s="101" t="str">
        <f t="shared" si="363"/>
        <v/>
      </c>
      <c r="GA626" s="101" t="str">
        <f t="shared" si="368"/>
        <v/>
      </c>
      <c r="GB626" s="101" t="str">
        <f t="shared" si="369"/>
        <v/>
      </c>
      <c r="GC626" s="101" t="str">
        <f t="shared" si="370"/>
        <v/>
      </c>
      <c r="GD626" s="101" t="str">
        <f t="shared" si="371"/>
        <v/>
      </c>
      <c r="GE626" s="101" t="str">
        <f t="shared" si="372"/>
        <v/>
      </c>
      <c r="GF626" s="101" t="str">
        <f t="shared" si="373"/>
        <v/>
      </c>
      <c r="GG626" s="101" t="str">
        <f t="shared" si="374"/>
        <v/>
      </c>
      <c r="GH626" s="101" t="str">
        <f t="shared" si="375"/>
        <v/>
      </c>
      <c r="GI626" s="101" t="str">
        <f t="shared" si="376"/>
        <v/>
      </c>
      <c r="GJ626" s="101" t="str">
        <f t="shared" si="377"/>
        <v/>
      </c>
      <c r="GK626" s="101" t="str">
        <f t="shared" si="378"/>
        <v/>
      </c>
      <c r="GL626" s="101" t="str">
        <f t="shared" si="379"/>
        <v/>
      </c>
    </row>
    <row r="627" spans="170:194" ht="16.5" x14ac:dyDescent="0.2">
      <c r="FN627" s="101">
        <v>622</v>
      </c>
      <c r="FO627" s="101">
        <f t="shared" si="364"/>
        <v>55</v>
      </c>
      <c r="FP627" s="101">
        <f t="shared" si="357"/>
        <v>8</v>
      </c>
      <c r="FQ627" s="14">
        <f t="shared" si="358"/>
        <v>3</v>
      </c>
      <c r="FR627" s="101" t="str">
        <f t="shared" si="365"/>
        <v>徐晃专属武器-魂珠-7 1级</v>
      </c>
      <c r="FS627" s="101">
        <f t="shared" si="366"/>
        <v>7</v>
      </c>
      <c r="FT627" s="101">
        <f t="shared" si="367"/>
        <v>1</v>
      </c>
      <c r="FU627" s="101" t="str">
        <f t="shared" si="359"/>
        <v>金币</v>
      </c>
      <c r="FV627" s="139">
        <f>IF($FT627&gt;0,IF(INDEX($EI$6:$EI$77,$FO627)&gt;=FV$3,ROUND(INDEX(EK$6:EK$77,$FO627)*INDEX(卡牌消耗!$B$8:$F$8,FQ627)/5,0)*5,""),"")</f>
        <v>12090</v>
      </c>
      <c r="FW627" s="101" t="str">
        <f t="shared" si="360"/>
        <v>专属强化石3</v>
      </c>
      <c r="FX627" s="101">
        <f t="shared" si="361"/>
        <v>6</v>
      </c>
      <c r="FY627" s="101" t="str">
        <f t="shared" si="362"/>
        <v>专属强化石4</v>
      </c>
      <c r="FZ627" s="101">
        <f t="shared" si="363"/>
        <v>2</v>
      </c>
      <c r="GA627" s="101">
        <f t="shared" si="368"/>
        <v>0.2</v>
      </c>
      <c r="GB627" s="101">
        <f t="shared" si="369"/>
        <v>1</v>
      </c>
      <c r="GC627" s="101">
        <f t="shared" si="370"/>
        <v>8</v>
      </c>
      <c r="GD627" s="101">
        <f t="shared" si="371"/>
        <v>0</v>
      </c>
      <c r="GE627" s="101">
        <f t="shared" si="372"/>
        <v>1</v>
      </c>
      <c r="GF627" s="101">
        <f t="shared" si="373"/>
        <v>2</v>
      </c>
      <c r="GG627" s="101">
        <f t="shared" si="374"/>
        <v>9.9400000000000002E-2</v>
      </c>
      <c r="GH627" s="101">
        <f t="shared" si="375"/>
        <v>1</v>
      </c>
      <c r="GI627" s="101">
        <f t="shared" si="376"/>
        <v>4</v>
      </c>
      <c r="GJ627" s="101">
        <f t="shared" si="377"/>
        <v>0.3977</v>
      </c>
      <c r="GK627" s="101">
        <f t="shared" si="378"/>
        <v>1</v>
      </c>
      <c r="GL627" s="101">
        <f t="shared" si="379"/>
        <v>8</v>
      </c>
    </row>
    <row r="628" spans="170:194" ht="16.5" x14ac:dyDescent="0.2">
      <c r="FN628" s="101">
        <v>623</v>
      </c>
      <c r="FO628" s="101">
        <f t="shared" si="364"/>
        <v>56</v>
      </c>
      <c r="FP628" s="101">
        <f t="shared" si="357"/>
        <v>8</v>
      </c>
      <c r="FQ628" s="14">
        <f t="shared" si="358"/>
        <v>3</v>
      </c>
      <c r="FR628" s="101" t="str">
        <f t="shared" si="365"/>
        <v>徐晃专属武器-魂珠-7 2级</v>
      </c>
      <c r="FS628" s="101">
        <f t="shared" si="366"/>
        <v>7</v>
      </c>
      <c r="FT628" s="101">
        <f t="shared" si="367"/>
        <v>2</v>
      </c>
      <c r="FU628" s="101" t="str">
        <f t="shared" si="359"/>
        <v>金币</v>
      </c>
      <c r="FV628" s="139">
        <f>IF($FT628&gt;0,IF(INDEX($EI$6:$EI$77,$FO628)&gt;=FV$3,ROUND(INDEX(EK$6:EK$77,$FO628)*INDEX(卡牌消耗!$B$8:$F$8,FQ628)/5,0)*5,""),"")</f>
        <v>9065</v>
      </c>
      <c r="FW628" s="101" t="str">
        <f t="shared" si="360"/>
        <v>专属强化石3</v>
      </c>
      <c r="FX628" s="101">
        <f t="shared" si="361"/>
        <v>6</v>
      </c>
      <c r="FY628" s="101" t="str">
        <f t="shared" si="362"/>
        <v>专属强化石4</v>
      </c>
      <c r="FZ628" s="101">
        <f t="shared" si="363"/>
        <v>2</v>
      </c>
      <c r="GA628" s="101">
        <f t="shared" si="368"/>
        <v>0.1</v>
      </c>
      <c r="GB628" s="101">
        <f t="shared" si="369"/>
        <v>1</v>
      </c>
      <c r="GC628" s="101">
        <f t="shared" si="370"/>
        <v>15</v>
      </c>
      <c r="GD628" s="101">
        <f t="shared" si="371"/>
        <v>0</v>
      </c>
      <c r="GE628" s="101">
        <f t="shared" si="372"/>
        <v>1</v>
      </c>
      <c r="GF628" s="101">
        <f t="shared" si="373"/>
        <v>4</v>
      </c>
      <c r="GG628" s="101">
        <f t="shared" si="374"/>
        <v>4.9700000000000001E-2</v>
      </c>
      <c r="GH628" s="101">
        <f t="shared" si="375"/>
        <v>1</v>
      </c>
      <c r="GI628" s="101">
        <f t="shared" si="376"/>
        <v>7</v>
      </c>
      <c r="GJ628" s="101">
        <f t="shared" si="377"/>
        <v>0.19889999999999999</v>
      </c>
      <c r="GK628" s="101">
        <f t="shared" si="378"/>
        <v>1</v>
      </c>
      <c r="GL628" s="101">
        <f t="shared" si="379"/>
        <v>15</v>
      </c>
    </row>
    <row r="629" spans="170:194" ht="16.5" x14ac:dyDescent="0.2">
      <c r="FN629" s="101">
        <v>624</v>
      </c>
      <c r="FO629" s="101">
        <f t="shared" si="364"/>
        <v>57</v>
      </c>
      <c r="FP629" s="101">
        <f t="shared" si="357"/>
        <v>8</v>
      </c>
      <c r="FQ629" s="14">
        <f t="shared" si="358"/>
        <v>3</v>
      </c>
      <c r="FR629" s="101" t="str">
        <f t="shared" si="365"/>
        <v>徐晃专属武器-魂珠-7 3级</v>
      </c>
      <c r="FS629" s="101">
        <f t="shared" si="366"/>
        <v>7</v>
      </c>
      <c r="FT629" s="101">
        <f t="shared" si="367"/>
        <v>3</v>
      </c>
      <c r="FU629" s="101" t="str">
        <f t="shared" si="359"/>
        <v>金币</v>
      </c>
      <c r="FV629" s="139">
        <f>IF($FT629&gt;0,IF(INDEX($EI$6:$EI$77,$FO629)&gt;=FV$3,ROUND(INDEX(EK$6:EK$77,$FO629)*INDEX(卡牌消耗!$B$8:$F$8,FQ629)/5,0)*5,""),"")</f>
        <v>15110</v>
      </c>
      <c r="FW629" s="101" t="str">
        <f t="shared" si="360"/>
        <v>专属强化石3</v>
      </c>
      <c r="FX629" s="101">
        <f t="shared" si="361"/>
        <v>9</v>
      </c>
      <c r="FY629" s="101" t="str">
        <f t="shared" si="362"/>
        <v>专属强化石4</v>
      </c>
      <c r="FZ629" s="101">
        <f t="shared" si="363"/>
        <v>3</v>
      </c>
      <c r="GA629" s="101">
        <f t="shared" si="368"/>
        <v>0.1</v>
      </c>
      <c r="GB629" s="101">
        <f t="shared" si="369"/>
        <v>1</v>
      </c>
      <c r="GC629" s="101">
        <f t="shared" si="370"/>
        <v>15</v>
      </c>
      <c r="GD629" s="101">
        <f t="shared" si="371"/>
        <v>0</v>
      </c>
      <c r="GE629" s="101">
        <f t="shared" si="372"/>
        <v>1</v>
      </c>
      <c r="GF629" s="101">
        <f t="shared" si="373"/>
        <v>4</v>
      </c>
      <c r="GG629" s="101">
        <f t="shared" si="374"/>
        <v>4.9700000000000001E-2</v>
      </c>
      <c r="GH629" s="101">
        <f t="shared" si="375"/>
        <v>1</v>
      </c>
      <c r="GI629" s="101">
        <f t="shared" si="376"/>
        <v>7</v>
      </c>
      <c r="GJ629" s="101">
        <f t="shared" si="377"/>
        <v>0.19889999999999999</v>
      </c>
      <c r="GK629" s="101">
        <f t="shared" si="378"/>
        <v>1</v>
      </c>
      <c r="GL629" s="101">
        <f t="shared" si="379"/>
        <v>15</v>
      </c>
    </row>
    <row r="630" spans="170:194" ht="16.5" x14ac:dyDescent="0.2">
      <c r="FN630" s="101">
        <v>625</v>
      </c>
      <c r="FO630" s="101">
        <f t="shared" si="364"/>
        <v>58</v>
      </c>
      <c r="FP630" s="101">
        <f t="shared" si="357"/>
        <v>8</v>
      </c>
      <c r="FQ630" s="14">
        <f t="shared" si="358"/>
        <v>3</v>
      </c>
      <c r="FR630" s="101" t="str">
        <f t="shared" si="365"/>
        <v>徐晃专属武器-魂珠-7 4级</v>
      </c>
      <c r="FS630" s="101">
        <f t="shared" si="366"/>
        <v>7</v>
      </c>
      <c r="FT630" s="101">
        <f t="shared" si="367"/>
        <v>4</v>
      </c>
      <c r="FU630" s="101" t="str">
        <f t="shared" si="359"/>
        <v>金币</v>
      </c>
      <c r="FV630" s="139">
        <f>IF($FT630&gt;0,IF(INDEX($EI$6:$EI$77,$FO630)&gt;=FV$3,ROUND(INDEX(EK$6:EK$77,$FO630)*INDEX(卡牌消耗!$B$8:$F$8,FQ630)/5,0)*5,""),"")</f>
        <v>19340</v>
      </c>
      <c r="FW630" s="101" t="str">
        <f t="shared" si="360"/>
        <v>专属强化石3</v>
      </c>
      <c r="FX630" s="101">
        <f t="shared" si="361"/>
        <v>12</v>
      </c>
      <c r="FY630" s="101" t="str">
        <f t="shared" si="362"/>
        <v>专属强化石4</v>
      </c>
      <c r="FZ630" s="101">
        <f t="shared" si="363"/>
        <v>4</v>
      </c>
      <c r="GA630" s="101">
        <f t="shared" si="368"/>
        <v>0.08</v>
      </c>
      <c r="GB630" s="101">
        <f t="shared" si="369"/>
        <v>1</v>
      </c>
      <c r="GC630" s="101">
        <f t="shared" si="370"/>
        <v>19</v>
      </c>
      <c r="GD630" s="101">
        <f t="shared" si="371"/>
        <v>0</v>
      </c>
      <c r="GE630" s="101">
        <f t="shared" si="372"/>
        <v>1</v>
      </c>
      <c r="GF630" s="101">
        <f t="shared" si="373"/>
        <v>4</v>
      </c>
      <c r="GG630" s="101">
        <f t="shared" si="374"/>
        <v>3.9800000000000002E-2</v>
      </c>
      <c r="GH630" s="101">
        <f t="shared" si="375"/>
        <v>1</v>
      </c>
      <c r="GI630" s="101">
        <f t="shared" si="376"/>
        <v>9</v>
      </c>
      <c r="GJ630" s="101">
        <f t="shared" si="377"/>
        <v>0.15909999999999999</v>
      </c>
      <c r="GK630" s="101">
        <f t="shared" si="378"/>
        <v>1</v>
      </c>
      <c r="GL630" s="101">
        <f t="shared" si="379"/>
        <v>19</v>
      </c>
    </row>
    <row r="631" spans="170:194" ht="16.5" x14ac:dyDescent="0.2">
      <c r="FN631" s="101">
        <v>626</v>
      </c>
      <c r="FO631" s="101">
        <f t="shared" si="364"/>
        <v>59</v>
      </c>
      <c r="FP631" s="101">
        <f t="shared" si="357"/>
        <v>8</v>
      </c>
      <c r="FQ631" s="14">
        <f t="shared" si="358"/>
        <v>3</v>
      </c>
      <c r="FR631" s="101" t="str">
        <f t="shared" si="365"/>
        <v>徐晃专属武器-魂珠-7 5级</v>
      </c>
      <c r="FS631" s="101">
        <f t="shared" si="366"/>
        <v>7</v>
      </c>
      <c r="FT631" s="101">
        <f t="shared" si="367"/>
        <v>5</v>
      </c>
      <c r="FU631" s="101" t="str">
        <f t="shared" si="359"/>
        <v>金币</v>
      </c>
      <c r="FV631" s="139">
        <f>IF($FT631&gt;0,IF(INDEX($EI$6:$EI$77,$FO631)&gt;=FV$3,ROUND(INDEX(EK$6:EK$77,$FO631)*INDEX(卡牌消耗!$B$8:$F$8,FQ631)/5,0)*5,""),"")</f>
        <v>19640</v>
      </c>
      <c r="FW631" s="101" t="str">
        <f t="shared" si="360"/>
        <v>专属强化石3</v>
      </c>
      <c r="FX631" s="101">
        <f t="shared" si="361"/>
        <v>12</v>
      </c>
      <c r="FY631" s="101" t="str">
        <f t="shared" si="362"/>
        <v>专属强化石4</v>
      </c>
      <c r="FZ631" s="101">
        <f t="shared" si="363"/>
        <v>4</v>
      </c>
      <c r="GA631" s="101">
        <f t="shared" si="368"/>
        <v>0.05</v>
      </c>
      <c r="GB631" s="101">
        <f t="shared" si="369"/>
        <v>1</v>
      </c>
      <c r="GC631" s="101">
        <f t="shared" si="370"/>
        <v>30</v>
      </c>
      <c r="GD631" s="101">
        <f t="shared" si="371"/>
        <v>0</v>
      </c>
      <c r="GE631" s="101">
        <f t="shared" si="372"/>
        <v>1</v>
      </c>
      <c r="GF631" s="101">
        <f t="shared" si="373"/>
        <v>7</v>
      </c>
      <c r="GG631" s="101">
        <f t="shared" si="374"/>
        <v>2.4899999999999999E-2</v>
      </c>
      <c r="GH631" s="101">
        <f t="shared" si="375"/>
        <v>1</v>
      </c>
      <c r="GI631" s="101">
        <f t="shared" si="376"/>
        <v>14</v>
      </c>
      <c r="GJ631" s="101">
        <f t="shared" si="377"/>
        <v>9.9400000000000002E-2</v>
      </c>
      <c r="GK631" s="101">
        <f t="shared" si="378"/>
        <v>1</v>
      </c>
      <c r="GL631" s="101">
        <f t="shared" si="379"/>
        <v>30</v>
      </c>
    </row>
    <row r="632" spans="170:194" ht="16.5" x14ac:dyDescent="0.2">
      <c r="FN632" s="101">
        <v>627</v>
      </c>
      <c r="FO632" s="101">
        <f t="shared" si="364"/>
        <v>60</v>
      </c>
      <c r="FP632" s="101">
        <f t="shared" si="357"/>
        <v>8</v>
      </c>
      <c r="FQ632" s="14">
        <f t="shared" si="358"/>
        <v>3</v>
      </c>
      <c r="FR632" s="101" t="str">
        <f t="shared" si="365"/>
        <v>徐晃专属武器-魂珠-7 6级</v>
      </c>
      <c r="FS632" s="101">
        <f t="shared" si="366"/>
        <v>7</v>
      </c>
      <c r="FT632" s="101">
        <f t="shared" si="367"/>
        <v>6</v>
      </c>
      <c r="FU632" s="101" t="str">
        <f t="shared" si="359"/>
        <v>金币</v>
      </c>
      <c r="FV632" s="139">
        <f>IF($FT632&gt;0,IF(INDEX($EI$6:$EI$77,$FO632)&gt;=FV$3,ROUND(INDEX(EK$6:EK$77,$FO632)*INDEX(卡牌消耗!$B$8:$F$8,FQ632)/5,0)*5,""),"")</f>
        <v>24410</v>
      </c>
      <c r="FW632" s="101" t="str">
        <f t="shared" si="360"/>
        <v>专属强化石3</v>
      </c>
      <c r="FX632" s="101">
        <f t="shared" si="361"/>
        <v>15</v>
      </c>
      <c r="FY632" s="101" t="str">
        <f t="shared" si="362"/>
        <v>专属强化石4</v>
      </c>
      <c r="FZ632" s="101">
        <f t="shared" si="363"/>
        <v>5</v>
      </c>
      <c r="GA632" s="101">
        <f t="shared" si="368"/>
        <v>0.04</v>
      </c>
      <c r="GB632" s="101">
        <f t="shared" si="369"/>
        <v>1</v>
      </c>
      <c r="GC632" s="101">
        <f t="shared" si="370"/>
        <v>39</v>
      </c>
      <c r="GD632" s="101">
        <f t="shared" si="371"/>
        <v>0</v>
      </c>
      <c r="GE632" s="101">
        <f t="shared" si="372"/>
        <v>1</v>
      </c>
      <c r="GF632" s="101">
        <f t="shared" si="373"/>
        <v>9</v>
      </c>
      <c r="GG632" s="101">
        <f t="shared" si="374"/>
        <v>1.9099999999999999E-2</v>
      </c>
      <c r="GH632" s="101">
        <f t="shared" si="375"/>
        <v>1</v>
      </c>
      <c r="GI632" s="101">
        <f t="shared" si="376"/>
        <v>18</v>
      </c>
      <c r="GJ632" s="101">
        <f t="shared" si="377"/>
        <v>7.6499999999999999E-2</v>
      </c>
      <c r="GK632" s="101">
        <f t="shared" si="378"/>
        <v>1</v>
      </c>
      <c r="GL632" s="101">
        <f t="shared" si="379"/>
        <v>39</v>
      </c>
    </row>
    <row r="633" spans="170:194" ht="16.5" x14ac:dyDescent="0.2">
      <c r="FN633" s="101">
        <v>628</v>
      </c>
      <c r="FO633" s="101">
        <f t="shared" si="364"/>
        <v>61</v>
      </c>
      <c r="FP633" s="101">
        <f t="shared" si="357"/>
        <v>8</v>
      </c>
      <c r="FQ633" s="14">
        <f t="shared" si="358"/>
        <v>3</v>
      </c>
      <c r="FR633" s="101" t="str">
        <f t="shared" si="365"/>
        <v>徐晃专属武器-魂珠-7 7级</v>
      </c>
      <c r="FS633" s="101">
        <f t="shared" si="366"/>
        <v>7</v>
      </c>
      <c r="FT633" s="101">
        <f t="shared" si="367"/>
        <v>7</v>
      </c>
      <c r="FU633" s="101" t="str">
        <f t="shared" si="359"/>
        <v>金币</v>
      </c>
      <c r="FV633" s="139">
        <f>IF($FT633&gt;0,IF(INDEX($EI$6:$EI$77,$FO633)&gt;=FV$3,ROUND(INDEX(EK$6:EK$77,$FO633)*INDEX(卡牌消耗!$B$8:$F$8,FQ633)/5,0)*5,""),"")</f>
        <v>34250</v>
      </c>
      <c r="FW633" s="101" t="str">
        <f t="shared" si="360"/>
        <v>专属强化石3</v>
      </c>
      <c r="FX633" s="101">
        <f t="shared" si="361"/>
        <v>21</v>
      </c>
      <c r="FY633" s="101" t="str">
        <f t="shared" si="362"/>
        <v>专属强化石4</v>
      </c>
      <c r="FZ633" s="101">
        <f t="shared" si="363"/>
        <v>7</v>
      </c>
      <c r="GA633" s="101">
        <f t="shared" si="368"/>
        <v>0.03</v>
      </c>
      <c r="GB633" s="101">
        <f t="shared" si="369"/>
        <v>1</v>
      </c>
      <c r="GC633" s="101">
        <f t="shared" si="370"/>
        <v>45</v>
      </c>
      <c r="GD633" s="101">
        <f t="shared" si="371"/>
        <v>0</v>
      </c>
      <c r="GE633" s="101">
        <f t="shared" si="372"/>
        <v>1</v>
      </c>
      <c r="GF633" s="101">
        <f t="shared" si="373"/>
        <v>11</v>
      </c>
      <c r="GG633" s="101">
        <f t="shared" si="374"/>
        <v>1.66E-2</v>
      </c>
      <c r="GH633" s="101">
        <f t="shared" si="375"/>
        <v>1</v>
      </c>
      <c r="GI633" s="101">
        <f t="shared" si="376"/>
        <v>21</v>
      </c>
      <c r="GJ633" s="101">
        <f t="shared" si="377"/>
        <v>6.6299999999999998E-2</v>
      </c>
      <c r="GK633" s="101">
        <f t="shared" si="378"/>
        <v>1</v>
      </c>
      <c r="GL633" s="101">
        <f t="shared" si="379"/>
        <v>45</v>
      </c>
    </row>
    <row r="634" spans="170:194" ht="16.5" x14ac:dyDescent="0.2">
      <c r="FN634" s="101">
        <v>629</v>
      </c>
      <c r="FO634" s="101">
        <f t="shared" si="364"/>
        <v>62</v>
      </c>
      <c r="FP634" s="101">
        <f t="shared" si="357"/>
        <v>8</v>
      </c>
      <c r="FQ634" s="14">
        <f t="shared" si="358"/>
        <v>3</v>
      </c>
      <c r="FR634" s="101" t="str">
        <f t="shared" si="365"/>
        <v>徐晃专属武器-魂珠-7 8级</v>
      </c>
      <c r="FS634" s="101">
        <f t="shared" si="366"/>
        <v>7</v>
      </c>
      <c r="FT634" s="101">
        <f t="shared" si="367"/>
        <v>8</v>
      </c>
      <c r="FU634" s="101" t="str">
        <f t="shared" si="359"/>
        <v>金币</v>
      </c>
      <c r="FV634" s="139">
        <f>IF($FT634&gt;0,IF(INDEX($EI$6:$EI$77,$FO634)&gt;=FV$3,ROUND(INDEX(EK$6:EK$77,$FO634)*INDEX(卡牌消耗!$B$8:$F$8,FQ634)/5,0)*5,""),"")</f>
        <v>39105</v>
      </c>
      <c r="FW634" s="101" t="str">
        <f t="shared" si="360"/>
        <v>专属强化石3</v>
      </c>
      <c r="FX634" s="101">
        <f t="shared" si="361"/>
        <v>24</v>
      </c>
      <c r="FY634" s="101" t="str">
        <f t="shared" si="362"/>
        <v>专属强化石4</v>
      </c>
      <c r="FZ634" s="101">
        <f t="shared" si="363"/>
        <v>8</v>
      </c>
      <c r="GA634" s="101">
        <f t="shared" si="368"/>
        <v>0.02</v>
      </c>
      <c r="GB634" s="101">
        <f t="shared" si="369"/>
        <v>1</v>
      </c>
      <c r="GC634" s="101">
        <f t="shared" si="370"/>
        <v>64</v>
      </c>
      <c r="GD634" s="101">
        <f t="shared" si="371"/>
        <v>0</v>
      </c>
      <c r="GE634" s="101">
        <f t="shared" si="372"/>
        <v>1</v>
      </c>
      <c r="GF634" s="101">
        <f t="shared" si="373"/>
        <v>15</v>
      </c>
      <c r="GG634" s="101">
        <f t="shared" si="374"/>
        <v>1.17E-2</v>
      </c>
      <c r="GH634" s="101">
        <f t="shared" si="375"/>
        <v>1</v>
      </c>
      <c r="GI634" s="101">
        <f t="shared" si="376"/>
        <v>30</v>
      </c>
      <c r="GJ634" s="101">
        <f t="shared" si="377"/>
        <v>4.6800000000000001E-2</v>
      </c>
      <c r="GK634" s="101">
        <f t="shared" si="378"/>
        <v>1</v>
      </c>
      <c r="GL634" s="101">
        <f t="shared" si="379"/>
        <v>64</v>
      </c>
    </row>
    <row r="635" spans="170:194" ht="16.5" x14ac:dyDescent="0.2">
      <c r="FN635" s="101">
        <v>630</v>
      </c>
      <c r="FO635" s="101">
        <f t="shared" si="364"/>
        <v>63</v>
      </c>
      <c r="FP635" s="101">
        <f t="shared" si="357"/>
        <v>8</v>
      </c>
      <c r="FQ635" s="14">
        <f t="shared" si="358"/>
        <v>3</v>
      </c>
      <c r="FR635" s="101" t="str">
        <f t="shared" si="365"/>
        <v>徐晃专属武器-魂珠-7 9级</v>
      </c>
      <c r="FS635" s="101">
        <f t="shared" si="366"/>
        <v>7</v>
      </c>
      <c r="FT635" s="101">
        <f t="shared" si="367"/>
        <v>9</v>
      </c>
      <c r="FU635" s="101" t="str">
        <f t="shared" si="359"/>
        <v>金币</v>
      </c>
      <c r="FV635" s="139">
        <f>IF($FT635&gt;0,IF(INDEX($EI$6:$EI$77,$FO635)&gt;=FV$3,ROUND(INDEX(EK$6:EK$77,$FO635)*INDEX(卡牌消耗!$B$8:$F$8,FQ635)/5,0)*5,""),"")</f>
        <v>48900</v>
      </c>
      <c r="FW635" s="101" t="str">
        <f t="shared" si="360"/>
        <v>专属强化石3</v>
      </c>
      <c r="FX635" s="101">
        <f t="shared" si="361"/>
        <v>30</v>
      </c>
      <c r="FY635" s="101" t="str">
        <f t="shared" si="362"/>
        <v>专属强化石4</v>
      </c>
      <c r="FZ635" s="101">
        <f t="shared" si="363"/>
        <v>10</v>
      </c>
      <c r="GA635" s="101">
        <f t="shared" si="368"/>
        <v>0.02</v>
      </c>
      <c r="GB635" s="101">
        <f t="shared" si="369"/>
        <v>1</v>
      </c>
      <c r="GC635" s="101">
        <f t="shared" si="370"/>
        <v>83</v>
      </c>
      <c r="GD635" s="101">
        <f t="shared" si="371"/>
        <v>0</v>
      </c>
      <c r="GE635" s="101">
        <f t="shared" si="372"/>
        <v>1</v>
      </c>
      <c r="GF635" s="101">
        <f t="shared" si="373"/>
        <v>19</v>
      </c>
      <c r="GG635" s="101">
        <f t="shared" si="374"/>
        <v>8.9999999999999993E-3</v>
      </c>
      <c r="GH635" s="101">
        <f t="shared" si="375"/>
        <v>1</v>
      </c>
      <c r="GI635" s="101">
        <f t="shared" si="376"/>
        <v>39</v>
      </c>
      <c r="GJ635" s="101">
        <f t="shared" si="377"/>
        <v>3.6200000000000003E-2</v>
      </c>
      <c r="GK635" s="101">
        <f t="shared" si="378"/>
        <v>1</v>
      </c>
      <c r="GL635" s="101">
        <f t="shared" si="379"/>
        <v>83</v>
      </c>
    </row>
    <row r="636" spans="170:194" ht="16.5" x14ac:dyDescent="0.2">
      <c r="FN636" s="101">
        <v>631</v>
      </c>
      <c r="FO636" s="101">
        <f t="shared" si="364"/>
        <v>0</v>
      </c>
      <c r="FP636" s="101">
        <f t="shared" si="357"/>
        <v>8</v>
      </c>
      <c r="FQ636" s="14">
        <f t="shared" si="358"/>
        <v>3</v>
      </c>
      <c r="FR636" s="101" t="str">
        <f t="shared" si="365"/>
        <v>徐晃专属武器-魂珠-8 0级</v>
      </c>
      <c r="FS636" s="101">
        <f t="shared" si="366"/>
        <v>8</v>
      </c>
      <c r="FT636" s="101">
        <f t="shared" si="367"/>
        <v>0</v>
      </c>
      <c r="FU636" s="101" t="str">
        <f t="shared" si="359"/>
        <v/>
      </c>
      <c r="FV636" s="139" t="str">
        <f>IF($FT636&gt;0,IF(INDEX($EI$6:$EI$77,$FO636)&gt;=FV$3,ROUND(INDEX(EK$6:EK$77,$FO636)*INDEX(卡牌消耗!$B$8:$F$8,FQ636)/5,0)*5,""),"")</f>
        <v/>
      </c>
      <c r="FW636" s="101" t="str">
        <f t="shared" si="360"/>
        <v/>
      </c>
      <c r="FX636" s="101" t="str">
        <f t="shared" si="361"/>
        <v/>
      </c>
      <c r="FY636" s="101" t="str">
        <f t="shared" si="362"/>
        <v/>
      </c>
      <c r="FZ636" s="101" t="str">
        <f t="shared" si="363"/>
        <v/>
      </c>
      <c r="GA636" s="101" t="str">
        <f t="shared" si="368"/>
        <v/>
      </c>
      <c r="GB636" s="101" t="str">
        <f t="shared" si="369"/>
        <v/>
      </c>
      <c r="GC636" s="101" t="str">
        <f t="shared" si="370"/>
        <v/>
      </c>
      <c r="GD636" s="101" t="str">
        <f t="shared" si="371"/>
        <v/>
      </c>
      <c r="GE636" s="101" t="str">
        <f t="shared" si="372"/>
        <v/>
      </c>
      <c r="GF636" s="101" t="str">
        <f t="shared" si="373"/>
        <v/>
      </c>
      <c r="GG636" s="101" t="str">
        <f t="shared" si="374"/>
        <v/>
      </c>
      <c r="GH636" s="101" t="str">
        <f t="shared" si="375"/>
        <v/>
      </c>
      <c r="GI636" s="101" t="str">
        <f t="shared" si="376"/>
        <v/>
      </c>
      <c r="GJ636" s="101" t="str">
        <f t="shared" si="377"/>
        <v/>
      </c>
      <c r="GK636" s="101" t="str">
        <f t="shared" si="378"/>
        <v/>
      </c>
      <c r="GL636" s="101" t="str">
        <f t="shared" si="379"/>
        <v/>
      </c>
    </row>
    <row r="637" spans="170:194" ht="16.5" x14ac:dyDescent="0.2">
      <c r="FN637" s="101">
        <v>632</v>
      </c>
      <c r="FO637" s="101">
        <f t="shared" si="364"/>
        <v>64</v>
      </c>
      <c r="FP637" s="101">
        <f t="shared" si="357"/>
        <v>8</v>
      </c>
      <c r="FQ637" s="14">
        <f t="shared" si="358"/>
        <v>3</v>
      </c>
      <c r="FR637" s="101" t="str">
        <f t="shared" si="365"/>
        <v>徐晃专属武器-魂珠-8 1级</v>
      </c>
      <c r="FS637" s="101">
        <f t="shared" si="366"/>
        <v>8</v>
      </c>
      <c r="FT637" s="101">
        <f t="shared" si="367"/>
        <v>1</v>
      </c>
      <c r="FU637" s="101" t="str">
        <f t="shared" si="359"/>
        <v>金币</v>
      </c>
      <c r="FV637" s="139">
        <f>IF($FT637&gt;0,IF(INDEX($EI$6:$EI$77,$FO637)&gt;=FV$3,ROUND(INDEX(EK$6:EK$77,$FO637)*INDEX(卡牌消耗!$B$8:$F$8,FQ637)/5,0)*5,""),"")</f>
        <v>10300</v>
      </c>
      <c r="FW637" s="101" t="str">
        <f t="shared" si="360"/>
        <v>专属强化石4</v>
      </c>
      <c r="FX637" s="101">
        <f t="shared" si="361"/>
        <v>5</v>
      </c>
      <c r="FY637" s="101" t="str">
        <f t="shared" si="362"/>
        <v/>
      </c>
      <c r="FZ637" s="101" t="str">
        <f t="shared" si="363"/>
        <v/>
      </c>
      <c r="GA637" s="101">
        <f t="shared" si="368"/>
        <v>0.11</v>
      </c>
      <c r="GB637" s="101">
        <f t="shared" si="369"/>
        <v>1</v>
      </c>
      <c r="GC637" s="101">
        <f t="shared" si="370"/>
        <v>13</v>
      </c>
      <c r="GD637" s="101">
        <f t="shared" si="371"/>
        <v>0</v>
      </c>
      <c r="GE637" s="101">
        <f t="shared" si="372"/>
        <v>1</v>
      </c>
      <c r="GF637" s="101">
        <f t="shared" si="373"/>
        <v>3</v>
      </c>
      <c r="GG637" s="101">
        <f t="shared" si="374"/>
        <v>5.6500000000000002E-2</v>
      </c>
      <c r="GH637" s="101">
        <f t="shared" si="375"/>
        <v>1</v>
      </c>
      <c r="GI637" s="101">
        <f t="shared" si="376"/>
        <v>6</v>
      </c>
      <c r="GJ637" s="101">
        <f t="shared" si="377"/>
        <v>0.22600000000000001</v>
      </c>
      <c r="GK637" s="101">
        <f t="shared" si="378"/>
        <v>1</v>
      </c>
      <c r="GL637" s="101">
        <f t="shared" si="379"/>
        <v>13</v>
      </c>
    </row>
    <row r="638" spans="170:194" ht="16.5" x14ac:dyDescent="0.2">
      <c r="FN638" s="101">
        <v>633</v>
      </c>
      <c r="FO638" s="101">
        <f t="shared" si="364"/>
        <v>65</v>
      </c>
      <c r="FP638" s="101">
        <f t="shared" si="357"/>
        <v>8</v>
      </c>
      <c r="FQ638" s="14">
        <f t="shared" si="358"/>
        <v>3</v>
      </c>
      <c r="FR638" s="101" t="str">
        <f t="shared" si="365"/>
        <v>徐晃专属武器-魂珠-8 2级</v>
      </c>
      <c r="FS638" s="101">
        <f t="shared" si="366"/>
        <v>8</v>
      </c>
      <c r="FT638" s="101">
        <f t="shared" si="367"/>
        <v>2</v>
      </c>
      <c r="FU638" s="101" t="str">
        <f t="shared" si="359"/>
        <v>金币</v>
      </c>
      <c r="FV638" s="139">
        <f>IF($FT638&gt;0,IF(INDEX($EI$6:$EI$77,$FO638)&gt;=FV$3,ROUND(INDEX(EK$6:EK$77,$FO638)*INDEX(卡牌消耗!$B$8:$F$8,FQ638)/5,0)*5,""),"")</f>
        <v>12360</v>
      </c>
      <c r="FW638" s="101" t="str">
        <f t="shared" si="360"/>
        <v>专属强化石4</v>
      </c>
      <c r="FX638" s="101">
        <f t="shared" si="361"/>
        <v>8</v>
      </c>
      <c r="FY638" s="101" t="str">
        <f t="shared" si="362"/>
        <v/>
      </c>
      <c r="FZ638" s="101" t="str">
        <f t="shared" si="363"/>
        <v/>
      </c>
      <c r="GA638" s="101">
        <f t="shared" si="368"/>
        <v>0.09</v>
      </c>
      <c r="GB638" s="101">
        <f t="shared" si="369"/>
        <v>1</v>
      </c>
      <c r="GC638" s="101">
        <f t="shared" si="370"/>
        <v>17</v>
      </c>
      <c r="GD638" s="101">
        <f t="shared" si="371"/>
        <v>0</v>
      </c>
      <c r="GE638" s="101">
        <f t="shared" si="372"/>
        <v>1</v>
      </c>
      <c r="GF638" s="101">
        <f t="shared" si="373"/>
        <v>4</v>
      </c>
      <c r="GG638" s="101">
        <f t="shared" si="374"/>
        <v>4.5199999999999997E-2</v>
      </c>
      <c r="GH638" s="101">
        <f t="shared" si="375"/>
        <v>1</v>
      </c>
      <c r="GI638" s="101">
        <f t="shared" si="376"/>
        <v>8</v>
      </c>
      <c r="GJ638" s="101">
        <f t="shared" si="377"/>
        <v>0.18079999999999999</v>
      </c>
      <c r="GK638" s="101">
        <f t="shared" si="378"/>
        <v>1</v>
      </c>
      <c r="GL638" s="101">
        <f t="shared" si="379"/>
        <v>17</v>
      </c>
    </row>
    <row r="639" spans="170:194" ht="16.5" x14ac:dyDescent="0.2">
      <c r="FN639" s="101">
        <v>634</v>
      </c>
      <c r="FO639" s="101">
        <f t="shared" si="364"/>
        <v>66</v>
      </c>
      <c r="FP639" s="101">
        <f t="shared" si="357"/>
        <v>8</v>
      </c>
      <c r="FQ639" s="14">
        <f t="shared" si="358"/>
        <v>3</v>
      </c>
      <c r="FR639" s="101" t="str">
        <f t="shared" si="365"/>
        <v>徐晃专属武器-魂珠-8 3级</v>
      </c>
      <c r="FS639" s="101">
        <f t="shared" si="366"/>
        <v>8</v>
      </c>
      <c r="FT639" s="101">
        <f t="shared" si="367"/>
        <v>3</v>
      </c>
      <c r="FU639" s="101" t="str">
        <f t="shared" si="359"/>
        <v>金币</v>
      </c>
      <c r="FV639" s="139">
        <f>IF($FT639&gt;0,IF(INDEX($EI$6:$EI$77,$FO639)&gt;=FV$3,ROUND(INDEX(EK$6:EK$77,$FO639)*INDEX(卡牌消耗!$B$8:$F$8,FQ639)/5,0)*5,""),"")</f>
        <v>17170</v>
      </c>
      <c r="FW639" s="101" t="str">
        <f t="shared" si="360"/>
        <v>专属强化石4</v>
      </c>
      <c r="FX639" s="101">
        <f t="shared" si="361"/>
        <v>10</v>
      </c>
      <c r="FY639" s="101" t="str">
        <f t="shared" si="362"/>
        <v/>
      </c>
      <c r="FZ639" s="101" t="str">
        <f t="shared" si="363"/>
        <v/>
      </c>
      <c r="GA639" s="101">
        <f t="shared" si="368"/>
        <v>0.08</v>
      </c>
      <c r="GB639" s="101">
        <f t="shared" si="369"/>
        <v>1</v>
      </c>
      <c r="GC639" s="101">
        <f t="shared" si="370"/>
        <v>20</v>
      </c>
      <c r="GD639" s="101">
        <f t="shared" si="371"/>
        <v>0</v>
      </c>
      <c r="GE639" s="101">
        <f t="shared" si="372"/>
        <v>1</v>
      </c>
      <c r="GF639" s="101">
        <f t="shared" si="373"/>
        <v>5</v>
      </c>
      <c r="GG639" s="101">
        <f t="shared" si="374"/>
        <v>3.7699999999999997E-2</v>
      </c>
      <c r="GH639" s="101">
        <f t="shared" si="375"/>
        <v>1</v>
      </c>
      <c r="GI639" s="101">
        <f t="shared" si="376"/>
        <v>9</v>
      </c>
      <c r="GJ639" s="101">
        <f t="shared" si="377"/>
        <v>0.1507</v>
      </c>
      <c r="GK639" s="101">
        <f t="shared" si="378"/>
        <v>1</v>
      </c>
      <c r="GL639" s="101">
        <f t="shared" si="379"/>
        <v>20</v>
      </c>
    </row>
    <row r="640" spans="170:194" ht="16.5" x14ac:dyDescent="0.2">
      <c r="FN640" s="101">
        <v>635</v>
      </c>
      <c r="FO640" s="101">
        <f t="shared" si="364"/>
        <v>67</v>
      </c>
      <c r="FP640" s="101">
        <f t="shared" si="357"/>
        <v>8</v>
      </c>
      <c r="FQ640" s="14">
        <f t="shared" si="358"/>
        <v>3</v>
      </c>
      <c r="FR640" s="101" t="str">
        <f t="shared" si="365"/>
        <v>徐晃专属武器-魂珠-8 4级</v>
      </c>
      <c r="FS640" s="101">
        <f t="shared" si="366"/>
        <v>8</v>
      </c>
      <c r="FT640" s="101">
        <f t="shared" si="367"/>
        <v>4</v>
      </c>
      <c r="FU640" s="101" t="str">
        <f t="shared" si="359"/>
        <v>金币</v>
      </c>
      <c r="FV640" s="139">
        <f>IF($FT640&gt;0,IF(INDEX($EI$6:$EI$77,$FO640)&gt;=FV$3,ROUND(INDEX(EK$6:EK$77,$FO640)*INDEX(卡牌消耗!$B$8:$F$8,FQ640)/5,0)*5,""),"")</f>
        <v>19780</v>
      </c>
      <c r="FW640" s="101" t="str">
        <f t="shared" si="360"/>
        <v>专属强化石4</v>
      </c>
      <c r="FX640" s="101">
        <f t="shared" si="361"/>
        <v>12</v>
      </c>
      <c r="FY640" s="101" t="str">
        <f t="shared" si="362"/>
        <v/>
      </c>
      <c r="FZ640" s="101" t="str">
        <f t="shared" si="363"/>
        <v/>
      </c>
      <c r="GA640" s="101">
        <f t="shared" si="368"/>
        <v>0.05</v>
      </c>
      <c r="GB640" s="101">
        <f t="shared" si="369"/>
        <v>1</v>
      </c>
      <c r="GC640" s="101">
        <f t="shared" si="370"/>
        <v>28</v>
      </c>
      <c r="GD640" s="101">
        <f t="shared" si="371"/>
        <v>0</v>
      </c>
      <c r="GE640" s="101">
        <f t="shared" si="372"/>
        <v>1</v>
      </c>
      <c r="GF640" s="101">
        <f t="shared" si="373"/>
        <v>6</v>
      </c>
      <c r="GG640" s="101">
        <f t="shared" si="374"/>
        <v>2.7099999999999999E-2</v>
      </c>
      <c r="GH640" s="101">
        <f t="shared" si="375"/>
        <v>1</v>
      </c>
      <c r="GI640" s="101">
        <f t="shared" si="376"/>
        <v>13</v>
      </c>
      <c r="GJ640" s="101">
        <f t="shared" si="377"/>
        <v>0.1085</v>
      </c>
      <c r="GK640" s="101">
        <f t="shared" si="378"/>
        <v>1</v>
      </c>
      <c r="GL640" s="101">
        <f t="shared" si="379"/>
        <v>28</v>
      </c>
    </row>
    <row r="641" spans="170:194" ht="16.5" x14ac:dyDescent="0.2">
      <c r="FN641" s="101">
        <v>636</v>
      </c>
      <c r="FO641" s="101">
        <f t="shared" si="364"/>
        <v>68</v>
      </c>
      <c r="FP641" s="101">
        <f t="shared" si="357"/>
        <v>8</v>
      </c>
      <c r="FQ641" s="14">
        <f t="shared" si="358"/>
        <v>3</v>
      </c>
      <c r="FR641" s="101" t="str">
        <f t="shared" si="365"/>
        <v>徐晃专属武器-魂珠-8 5级</v>
      </c>
      <c r="FS641" s="101">
        <f t="shared" si="366"/>
        <v>8</v>
      </c>
      <c r="FT641" s="101">
        <f t="shared" si="367"/>
        <v>5</v>
      </c>
      <c r="FU641" s="101" t="str">
        <f t="shared" si="359"/>
        <v>金币</v>
      </c>
      <c r="FV641" s="139">
        <f>IF($FT641&gt;0,IF(INDEX($EI$6:$EI$77,$FO641)&gt;=FV$3,ROUND(INDEX(EK$6:EK$77,$FO641)*INDEX(卡牌消耗!$B$8:$F$8,FQ641)/5,0)*5,""),"")</f>
        <v>25110</v>
      </c>
      <c r="FW641" s="101" t="str">
        <f t="shared" si="360"/>
        <v>专属强化石4</v>
      </c>
      <c r="FX641" s="101">
        <f t="shared" si="361"/>
        <v>15</v>
      </c>
      <c r="FY641" s="101" t="str">
        <f t="shared" si="362"/>
        <v/>
      </c>
      <c r="FZ641" s="101" t="str">
        <f t="shared" si="363"/>
        <v/>
      </c>
      <c r="GA641" s="101">
        <f t="shared" si="368"/>
        <v>0.04</v>
      </c>
      <c r="GB641" s="101">
        <f t="shared" si="369"/>
        <v>1</v>
      </c>
      <c r="GC641" s="101">
        <f t="shared" si="370"/>
        <v>35</v>
      </c>
      <c r="GD641" s="101">
        <f t="shared" si="371"/>
        <v>0</v>
      </c>
      <c r="GE641" s="101">
        <f t="shared" si="372"/>
        <v>1</v>
      </c>
      <c r="GF641" s="101">
        <f t="shared" si="373"/>
        <v>8</v>
      </c>
      <c r="GG641" s="101">
        <f t="shared" si="374"/>
        <v>2.12E-2</v>
      </c>
      <c r="GH641" s="101">
        <f t="shared" si="375"/>
        <v>1</v>
      </c>
      <c r="GI641" s="101">
        <f t="shared" si="376"/>
        <v>17</v>
      </c>
      <c r="GJ641" s="101">
        <f t="shared" si="377"/>
        <v>8.4699999999999998E-2</v>
      </c>
      <c r="GK641" s="101">
        <f t="shared" si="378"/>
        <v>1</v>
      </c>
      <c r="GL641" s="101">
        <f t="shared" si="379"/>
        <v>35</v>
      </c>
    </row>
    <row r="642" spans="170:194" ht="16.5" x14ac:dyDescent="0.2">
      <c r="FN642" s="101">
        <v>637</v>
      </c>
      <c r="FO642" s="101">
        <f t="shared" si="364"/>
        <v>69</v>
      </c>
      <c r="FP642" s="101">
        <f t="shared" si="357"/>
        <v>8</v>
      </c>
      <c r="FQ642" s="14">
        <f t="shared" si="358"/>
        <v>3</v>
      </c>
      <c r="FR642" s="101" t="str">
        <f t="shared" si="365"/>
        <v>徐晃专属武器-魂珠-8 6级</v>
      </c>
      <c r="FS642" s="101">
        <f t="shared" si="366"/>
        <v>8</v>
      </c>
      <c r="FT642" s="101">
        <f t="shared" si="367"/>
        <v>6</v>
      </c>
      <c r="FU642" s="101" t="str">
        <f t="shared" si="359"/>
        <v>金币</v>
      </c>
      <c r="FV642" s="139">
        <f>IF($FT642&gt;0,IF(INDEX($EI$6:$EI$77,$FO642)&gt;=FV$3,ROUND(INDEX(EK$6:EK$77,$FO642)*INDEX(卡牌消耗!$B$8:$F$8,FQ642)/5,0)*5,""),"")</f>
        <v>29955</v>
      </c>
      <c r="FW642" s="101" t="str">
        <f t="shared" si="360"/>
        <v>专属强化石4</v>
      </c>
      <c r="FX642" s="101">
        <f t="shared" si="361"/>
        <v>18</v>
      </c>
      <c r="FY642" s="101" t="str">
        <f t="shared" si="362"/>
        <v/>
      </c>
      <c r="FZ642" s="101" t="str">
        <f t="shared" si="363"/>
        <v/>
      </c>
      <c r="GA642" s="101">
        <f t="shared" si="368"/>
        <v>0.03</v>
      </c>
      <c r="GB642" s="101">
        <f t="shared" si="369"/>
        <v>1</v>
      </c>
      <c r="GC642" s="101">
        <f t="shared" si="370"/>
        <v>48</v>
      </c>
      <c r="GD642" s="101">
        <f t="shared" si="371"/>
        <v>0</v>
      </c>
      <c r="GE642" s="101">
        <f t="shared" si="372"/>
        <v>1</v>
      </c>
      <c r="GF642" s="101">
        <f t="shared" si="373"/>
        <v>11</v>
      </c>
      <c r="GG642" s="101">
        <f t="shared" si="374"/>
        <v>1.5599999999999999E-2</v>
      </c>
      <c r="GH642" s="101">
        <f t="shared" si="375"/>
        <v>1</v>
      </c>
      <c r="GI642" s="101">
        <f t="shared" si="376"/>
        <v>22</v>
      </c>
      <c r="GJ642" s="101">
        <f t="shared" si="377"/>
        <v>6.2600000000000003E-2</v>
      </c>
      <c r="GK642" s="101">
        <f t="shared" si="378"/>
        <v>1</v>
      </c>
      <c r="GL642" s="101">
        <f t="shared" si="379"/>
        <v>48</v>
      </c>
    </row>
    <row r="643" spans="170:194" ht="16.5" x14ac:dyDescent="0.2">
      <c r="FN643" s="101">
        <v>638</v>
      </c>
      <c r="FO643" s="101">
        <f t="shared" si="364"/>
        <v>70</v>
      </c>
      <c r="FP643" s="101">
        <f t="shared" si="357"/>
        <v>8</v>
      </c>
      <c r="FQ643" s="14">
        <f t="shared" si="358"/>
        <v>3</v>
      </c>
      <c r="FR643" s="101" t="str">
        <f t="shared" si="365"/>
        <v>徐晃专属武器-魂珠-8 7级</v>
      </c>
      <c r="FS643" s="101">
        <f t="shared" si="366"/>
        <v>8</v>
      </c>
      <c r="FT643" s="101">
        <f t="shared" si="367"/>
        <v>7</v>
      </c>
      <c r="FU643" s="101" t="str">
        <f t="shared" si="359"/>
        <v>金币</v>
      </c>
      <c r="FV643" s="139">
        <f>IF($FT643&gt;0,IF(INDEX($EI$6:$EI$77,$FO643)&gt;=FV$3,ROUND(INDEX(EK$6:EK$77,$FO643)*INDEX(卡牌消耗!$B$8:$F$8,FQ643)/5,0)*5,""),"")</f>
        <v>41700</v>
      </c>
      <c r="FW643" s="101" t="str">
        <f t="shared" si="360"/>
        <v>专属强化石4</v>
      </c>
      <c r="FX643" s="101">
        <f t="shared" si="361"/>
        <v>25</v>
      </c>
      <c r="FY643" s="101" t="str">
        <f t="shared" si="362"/>
        <v/>
      </c>
      <c r="FZ643" s="101" t="str">
        <f t="shared" si="363"/>
        <v/>
      </c>
      <c r="GA643" s="101">
        <f t="shared" si="368"/>
        <v>0.03</v>
      </c>
      <c r="GB643" s="101">
        <f t="shared" si="369"/>
        <v>1</v>
      </c>
      <c r="GC643" s="101">
        <f t="shared" si="370"/>
        <v>56</v>
      </c>
      <c r="GD643" s="101">
        <f t="shared" si="371"/>
        <v>0</v>
      </c>
      <c r="GE643" s="101">
        <f t="shared" si="372"/>
        <v>1</v>
      </c>
      <c r="GF643" s="101">
        <f t="shared" si="373"/>
        <v>13</v>
      </c>
      <c r="GG643" s="101">
        <f t="shared" si="374"/>
        <v>1.35E-2</v>
      </c>
      <c r="GH643" s="101">
        <f t="shared" si="375"/>
        <v>1</v>
      </c>
      <c r="GI643" s="101">
        <f t="shared" si="376"/>
        <v>26</v>
      </c>
      <c r="GJ643" s="101">
        <f t="shared" si="377"/>
        <v>5.3800000000000001E-2</v>
      </c>
      <c r="GK643" s="101">
        <f t="shared" si="378"/>
        <v>1</v>
      </c>
      <c r="GL643" s="101">
        <f t="shared" si="379"/>
        <v>56</v>
      </c>
    </row>
    <row r="644" spans="170:194" ht="16.5" x14ac:dyDescent="0.2">
      <c r="FN644" s="101">
        <v>639</v>
      </c>
      <c r="FO644" s="101">
        <f t="shared" si="364"/>
        <v>71</v>
      </c>
      <c r="FP644" s="101">
        <f t="shared" si="357"/>
        <v>8</v>
      </c>
      <c r="FQ644" s="14">
        <f t="shared" si="358"/>
        <v>3</v>
      </c>
      <c r="FR644" s="101" t="str">
        <f t="shared" si="365"/>
        <v>徐晃专属武器-魂珠-8 8级</v>
      </c>
      <c r="FS644" s="101">
        <f t="shared" si="366"/>
        <v>8</v>
      </c>
      <c r="FT644" s="101">
        <f t="shared" si="367"/>
        <v>8</v>
      </c>
      <c r="FU644" s="101" t="str">
        <f t="shared" si="359"/>
        <v>金币</v>
      </c>
      <c r="FV644" s="139">
        <f>IF($FT644&gt;0,IF(INDEX($EI$6:$EI$77,$FO644)&gt;=FV$3,ROUND(INDEX(EK$6:EK$77,$FO644)*INDEX(卡牌消耗!$B$8:$F$8,FQ644)/5,0)*5,""),"")</f>
        <v>49995</v>
      </c>
      <c r="FW644" s="101" t="str">
        <f t="shared" si="360"/>
        <v>专属强化石4</v>
      </c>
      <c r="FX644" s="101">
        <f t="shared" si="361"/>
        <v>30</v>
      </c>
      <c r="FY644" s="101" t="str">
        <f t="shared" si="362"/>
        <v/>
      </c>
      <c r="FZ644" s="101" t="str">
        <f t="shared" si="363"/>
        <v/>
      </c>
      <c r="GA644" s="101">
        <f t="shared" si="368"/>
        <v>0.02</v>
      </c>
      <c r="GB644" s="101">
        <f t="shared" si="369"/>
        <v>1</v>
      </c>
      <c r="GC644" s="101">
        <f t="shared" si="370"/>
        <v>75</v>
      </c>
      <c r="GD644" s="101">
        <f t="shared" si="371"/>
        <v>0</v>
      </c>
      <c r="GE644" s="101">
        <f t="shared" si="372"/>
        <v>1</v>
      </c>
      <c r="GF644" s="101">
        <f t="shared" si="373"/>
        <v>18</v>
      </c>
      <c r="GG644" s="101">
        <f t="shared" si="374"/>
        <v>0.01</v>
      </c>
      <c r="GH644" s="101">
        <f t="shared" si="375"/>
        <v>1</v>
      </c>
      <c r="GI644" s="101">
        <f t="shared" si="376"/>
        <v>35</v>
      </c>
      <c r="GJ644" s="101">
        <f t="shared" si="377"/>
        <v>3.9899999999999998E-2</v>
      </c>
      <c r="GK644" s="101">
        <f t="shared" si="378"/>
        <v>1</v>
      </c>
      <c r="GL644" s="101">
        <f t="shared" si="379"/>
        <v>75</v>
      </c>
    </row>
    <row r="645" spans="170:194" ht="16.5" x14ac:dyDescent="0.2">
      <c r="FN645" s="101">
        <v>640</v>
      </c>
      <c r="FO645" s="101">
        <f t="shared" si="364"/>
        <v>72</v>
      </c>
      <c r="FP645" s="101">
        <f t="shared" si="357"/>
        <v>8</v>
      </c>
      <c r="FQ645" s="14">
        <f t="shared" si="358"/>
        <v>3</v>
      </c>
      <c r="FR645" s="101" t="str">
        <f t="shared" si="365"/>
        <v>徐晃专属武器-魂珠-8 9级</v>
      </c>
      <c r="FS645" s="101">
        <f t="shared" si="366"/>
        <v>8</v>
      </c>
      <c r="FT645" s="101">
        <f t="shared" si="367"/>
        <v>9</v>
      </c>
      <c r="FU645" s="101" t="str">
        <f t="shared" si="359"/>
        <v>金币</v>
      </c>
      <c r="FV645" s="139">
        <f>IF($FT645&gt;0,IF(INDEX($EI$6:$EI$77,$FO645)&gt;=FV$3,ROUND(INDEX(EK$6:EK$77,$FO645)*INDEX(卡牌消耗!$B$8:$F$8,FQ645)/5,0)*5,""),"")</f>
        <v>50010</v>
      </c>
      <c r="FW645" s="101" t="str">
        <f t="shared" si="360"/>
        <v>专属强化石4</v>
      </c>
      <c r="FX645" s="101">
        <f t="shared" si="361"/>
        <v>30</v>
      </c>
      <c r="FY645" s="101" t="str">
        <f t="shared" si="362"/>
        <v/>
      </c>
      <c r="FZ645" s="101" t="str">
        <f t="shared" si="363"/>
        <v/>
      </c>
      <c r="GA645" s="101">
        <f t="shared" si="368"/>
        <v>0.01</v>
      </c>
      <c r="GB645" s="101">
        <f t="shared" si="369"/>
        <v>1</v>
      </c>
      <c r="GC645" s="101">
        <f t="shared" si="370"/>
        <v>122</v>
      </c>
      <c r="GD645" s="101">
        <f t="shared" si="371"/>
        <v>0</v>
      </c>
      <c r="GE645" s="101">
        <f t="shared" si="372"/>
        <v>1</v>
      </c>
      <c r="GF645" s="101">
        <f t="shared" si="373"/>
        <v>28</v>
      </c>
      <c r="GG645" s="101">
        <f t="shared" si="374"/>
        <v>6.1999999999999998E-3</v>
      </c>
      <c r="GH645" s="101">
        <f t="shared" si="375"/>
        <v>1</v>
      </c>
      <c r="GI645" s="101">
        <f t="shared" si="376"/>
        <v>57</v>
      </c>
      <c r="GJ645" s="101">
        <f t="shared" si="377"/>
        <v>2.47E-2</v>
      </c>
      <c r="GK645" s="101">
        <f t="shared" si="378"/>
        <v>1</v>
      </c>
      <c r="GL645" s="101">
        <f t="shared" si="379"/>
        <v>122</v>
      </c>
    </row>
    <row r="646" spans="170:194" ht="16.5" x14ac:dyDescent="0.2">
      <c r="FN646" s="101">
        <v>641</v>
      </c>
      <c r="FO646" s="101">
        <f t="shared" si="364"/>
        <v>0</v>
      </c>
      <c r="FP646" s="101">
        <f t="shared" si="357"/>
        <v>9</v>
      </c>
      <c r="FQ646" s="14">
        <f t="shared" si="358"/>
        <v>4</v>
      </c>
      <c r="FR646" s="101" t="str">
        <f t="shared" si="365"/>
        <v>张郃专属武器-魂珠-1 0级</v>
      </c>
      <c r="FS646" s="101">
        <f t="shared" si="366"/>
        <v>1</v>
      </c>
      <c r="FT646" s="101">
        <f t="shared" si="367"/>
        <v>0</v>
      </c>
      <c r="FU646" s="101" t="str">
        <f t="shared" si="359"/>
        <v/>
      </c>
      <c r="FV646" s="139" t="str">
        <f>IF($FT646&gt;0,IF(INDEX($EI$6:$EI$77,$FO646)&gt;=FV$3,ROUND(INDEX(EK$6:EK$77,$FO646)*INDEX(卡牌消耗!$B$8:$F$8,FQ646)/5,0)*5,""),"")</f>
        <v/>
      </c>
      <c r="FW646" s="101" t="str">
        <f t="shared" si="360"/>
        <v/>
      </c>
      <c r="FX646" s="101" t="str">
        <f t="shared" si="361"/>
        <v/>
      </c>
      <c r="FY646" s="101" t="str">
        <f t="shared" si="362"/>
        <v/>
      </c>
      <c r="FZ646" s="101" t="str">
        <f t="shared" si="363"/>
        <v/>
      </c>
      <c r="GA646" s="101" t="str">
        <f t="shared" si="368"/>
        <v/>
      </c>
      <c r="GB646" s="101" t="str">
        <f t="shared" si="369"/>
        <v/>
      </c>
      <c r="GC646" s="101" t="str">
        <f t="shared" si="370"/>
        <v/>
      </c>
      <c r="GD646" s="101" t="str">
        <f t="shared" si="371"/>
        <v/>
      </c>
      <c r="GE646" s="101" t="str">
        <f t="shared" si="372"/>
        <v/>
      </c>
      <c r="GF646" s="101" t="str">
        <f t="shared" si="373"/>
        <v/>
      </c>
      <c r="GG646" s="101" t="str">
        <f t="shared" si="374"/>
        <v/>
      </c>
      <c r="GH646" s="101" t="str">
        <f t="shared" si="375"/>
        <v/>
      </c>
      <c r="GI646" s="101" t="str">
        <f t="shared" si="376"/>
        <v/>
      </c>
      <c r="GJ646" s="101" t="str">
        <f t="shared" si="377"/>
        <v/>
      </c>
      <c r="GK646" s="101" t="str">
        <f t="shared" si="378"/>
        <v/>
      </c>
      <c r="GL646" s="101" t="str">
        <f t="shared" si="379"/>
        <v/>
      </c>
    </row>
    <row r="647" spans="170:194" ht="16.5" x14ac:dyDescent="0.2">
      <c r="FN647" s="101">
        <v>642</v>
      </c>
      <c r="FO647" s="101">
        <f t="shared" si="364"/>
        <v>1</v>
      </c>
      <c r="FP647" s="101">
        <f t="shared" ref="FP647:FP710" si="380">INT((FN647-1)/80+1)</f>
        <v>9</v>
      </c>
      <c r="FQ647" s="14">
        <f t="shared" ref="FQ647:FQ710" si="381">INDEX($FJ$6:$FJ$26,FP647)</f>
        <v>4</v>
      </c>
      <c r="FR647" s="101" t="str">
        <f t="shared" si="365"/>
        <v>张郃专属武器-魂珠-1 1级</v>
      </c>
      <c r="FS647" s="101">
        <f t="shared" si="366"/>
        <v>1</v>
      </c>
      <c r="FT647" s="101">
        <f t="shared" si="367"/>
        <v>1</v>
      </c>
      <c r="FU647" s="101" t="str">
        <f t="shared" ref="FU647:FU710" si="382">IF($FT647&gt;0,IF(INDEX($EI$6:$EI$77,$FO647)&gt;=FU$3,INDEX(EJ$6:EJ$77,$FO647),""),"")</f>
        <v>金币</v>
      </c>
      <c r="FV647" s="139">
        <f>IF($FT647&gt;0,IF(INDEX($EI$6:$EI$77,$FO647)&gt;=FV$3,ROUND(INDEX(EK$6:EK$77,$FO647)*INDEX(卡牌消耗!$B$8:$F$8,FQ647)/5,0)*5,""),"")</f>
        <v>145</v>
      </c>
      <c r="FW647" s="101" t="str">
        <f t="shared" ref="FW647:FW710" si="383">IF($FT647&gt;0,IF(INDEX($EI$6:$EI$77,$FO647)&gt;=FW$3,INDEX(EL$6:EL$77,$FO647),""),"")</f>
        <v>专属强化石1</v>
      </c>
      <c r="FX647" s="101">
        <f t="shared" ref="FX647:FX710" si="384">IF($FT647&gt;0,IF(INDEX($EI$6:$EI$77,$FO647)&gt;=FX$3,INDEX(EM$6:EM$77,$FO647),""),"")</f>
        <v>1</v>
      </c>
      <c r="FY647" s="101" t="str">
        <f t="shared" ref="FY647:FY710" si="385">IF($FT647&gt;0,IF(INDEX($EI$6:$EI$77,$FO647)&gt;=FY$3,INDEX(EN$6:EN$77,$FO647),""),"")</f>
        <v/>
      </c>
      <c r="FZ647" s="101" t="str">
        <f t="shared" ref="FZ647:FZ710" si="386">IF($FT647&gt;0,IF(INDEX($EI$6:$EI$77,$FO647)&gt;=FZ$3,INDEX(EO$6:EO$77,$FO647),""),"")</f>
        <v/>
      </c>
      <c r="GA647" s="101">
        <f t="shared" si="368"/>
        <v>0.32</v>
      </c>
      <c r="GB647" s="101">
        <f t="shared" si="369"/>
        <v>1</v>
      </c>
      <c r="GC647" s="101">
        <f t="shared" si="370"/>
        <v>5</v>
      </c>
      <c r="GD647" s="101">
        <f t="shared" si="371"/>
        <v>0</v>
      </c>
      <c r="GE647" s="101">
        <f t="shared" si="372"/>
        <v>1</v>
      </c>
      <c r="GF647" s="101">
        <f t="shared" si="373"/>
        <v>1</v>
      </c>
      <c r="GG647" s="101">
        <f t="shared" si="374"/>
        <v>0.1595</v>
      </c>
      <c r="GH647" s="101">
        <f t="shared" si="375"/>
        <v>1</v>
      </c>
      <c r="GI647" s="101">
        <f t="shared" si="376"/>
        <v>2</v>
      </c>
      <c r="GJ647" s="101">
        <f t="shared" si="377"/>
        <v>0.63819999999999999</v>
      </c>
      <c r="GK647" s="101">
        <f t="shared" si="378"/>
        <v>1</v>
      </c>
      <c r="GL647" s="101">
        <f t="shared" si="379"/>
        <v>5</v>
      </c>
    </row>
    <row r="648" spans="170:194" ht="16.5" x14ac:dyDescent="0.2">
      <c r="FN648" s="101">
        <v>643</v>
      </c>
      <c r="FO648" s="101">
        <f t="shared" si="364"/>
        <v>2</v>
      </c>
      <c r="FP648" s="101">
        <f t="shared" si="380"/>
        <v>9</v>
      </c>
      <c r="FQ648" s="14">
        <f t="shared" si="381"/>
        <v>4</v>
      </c>
      <c r="FR648" s="101" t="str">
        <f t="shared" si="365"/>
        <v>张郃专属武器-魂珠-1 2级</v>
      </c>
      <c r="FS648" s="101">
        <f t="shared" si="366"/>
        <v>1</v>
      </c>
      <c r="FT648" s="101">
        <f t="shared" si="367"/>
        <v>2</v>
      </c>
      <c r="FU648" s="101" t="str">
        <f t="shared" si="382"/>
        <v>金币</v>
      </c>
      <c r="FV648" s="139">
        <f>IF($FT648&gt;0,IF(INDEX($EI$6:$EI$77,$FO648)&gt;=FV$3,ROUND(INDEX(EK$6:EK$77,$FO648)*INDEX(卡牌消耗!$B$8:$F$8,FQ648)/5,0)*5,""),"")</f>
        <v>215</v>
      </c>
      <c r="FW648" s="101" t="str">
        <f t="shared" si="383"/>
        <v>专属强化石1</v>
      </c>
      <c r="FX648" s="101">
        <f t="shared" si="384"/>
        <v>2</v>
      </c>
      <c r="FY648" s="101" t="str">
        <f t="shared" si="385"/>
        <v/>
      </c>
      <c r="FZ648" s="101" t="str">
        <f t="shared" si="386"/>
        <v/>
      </c>
      <c r="GA648" s="101">
        <f t="shared" si="368"/>
        <v>0.32</v>
      </c>
      <c r="GB648" s="101">
        <f t="shared" si="369"/>
        <v>1</v>
      </c>
      <c r="GC648" s="101">
        <f t="shared" si="370"/>
        <v>5</v>
      </c>
      <c r="GD648" s="101">
        <f t="shared" si="371"/>
        <v>0</v>
      </c>
      <c r="GE648" s="101">
        <f t="shared" si="372"/>
        <v>1</v>
      </c>
      <c r="GF648" s="101">
        <f t="shared" si="373"/>
        <v>1</v>
      </c>
      <c r="GG648" s="101">
        <f t="shared" si="374"/>
        <v>0.1595</v>
      </c>
      <c r="GH648" s="101">
        <f t="shared" si="375"/>
        <v>1</v>
      </c>
      <c r="GI648" s="101">
        <f t="shared" si="376"/>
        <v>2</v>
      </c>
      <c r="GJ648" s="101">
        <f t="shared" si="377"/>
        <v>0.63819999999999999</v>
      </c>
      <c r="GK648" s="101">
        <f t="shared" si="378"/>
        <v>1</v>
      </c>
      <c r="GL648" s="101">
        <f t="shared" si="379"/>
        <v>5</v>
      </c>
    </row>
    <row r="649" spans="170:194" ht="16.5" x14ac:dyDescent="0.2">
      <c r="FN649" s="101">
        <v>644</v>
      </c>
      <c r="FO649" s="101">
        <f t="shared" si="364"/>
        <v>3</v>
      </c>
      <c r="FP649" s="101">
        <f t="shared" si="380"/>
        <v>9</v>
      </c>
      <c r="FQ649" s="14">
        <f t="shared" si="381"/>
        <v>4</v>
      </c>
      <c r="FR649" s="101" t="str">
        <f t="shared" si="365"/>
        <v>张郃专属武器-魂珠-1 3级</v>
      </c>
      <c r="FS649" s="101">
        <f t="shared" si="366"/>
        <v>1</v>
      </c>
      <c r="FT649" s="101">
        <f t="shared" si="367"/>
        <v>3</v>
      </c>
      <c r="FU649" s="101" t="str">
        <f t="shared" si="382"/>
        <v>金币</v>
      </c>
      <c r="FV649" s="139">
        <f>IF($FT649&gt;0,IF(INDEX($EI$6:$EI$77,$FO649)&gt;=FV$3,ROUND(INDEX(EK$6:EK$77,$FO649)*INDEX(卡牌消耗!$B$8:$F$8,FQ649)/5,0)*5,""),"")</f>
        <v>355</v>
      </c>
      <c r="FW649" s="101" t="str">
        <f t="shared" si="383"/>
        <v>专属强化石1</v>
      </c>
      <c r="FX649" s="101">
        <f t="shared" si="384"/>
        <v>3</v>
      </c>
      <c r="FY649" s="101" t="str">
        <f t="shared" si="385"/>
        <v/>
      </c>
      <c r="FZ649" s="101" t="str">
        <f t="shared" si="386"/>
        <v/>
      </c>
      <c r="GA649" s="101">
        <f t="shared" si="368"/>
        <v>0.32</v>
      </c>
      <c r="GB649" s="101">
        <f t="shared" si="369"/>
        <v>1</v>
      </c>
      <c r="GC649" s="101">
        <f t="shared" si="370"/>
        <v>5</v>
      </c>
      <c r="GD649" s="101">
        <f t="shared" si="371"/>
        <v>0</v>
      </c>
      <c r="GE649" s="101">
        <f t="shared" si="372"/>
        <v>1</v>
      </c>
      <c r="GF649" s="101">
        <f t="shared" si="373"/>
        <v>1</v>
      </c>
      <c r="GG649" s="101">
        <f t="shared" si="374"/>
        <v>0.1595</v>
      </c>
      <c r="GH649" s="101">
        <f t="shared" si="375"/>
        <v>1</v>
      </c>
      <c r="GI649" s="101">
        <f t="shared" si="376"/>
        <v>2</v>
      </c>
      <c r="GJ649" s="101">
        <f t="shared" si="377"/>
        <v>0.63819999999999999</v>
      </c>
      <c r="GK649" s="101">
        <f t="shared" si="378"/>
        <v>1</v>
      </c>
      <c r="GL649" s="101">
        <f t="shared" si="379"/>
        <v>5</v>
      </c>
    </row>
    <row r="650" spans="170:194" ht="16.5" x14ac:dyDescent="0.2">
      <c r="FN650" s="101">
        <v>645</v>
      </c>
      <c r="FO650" s="101">
        <f t="shared" si="364"/>
        <v>4</v>
      </c>
      <c r="FP650" s="101">
        <f t="shared" si="380"/>
        <v>9</v>
      </c>
      <c r="FQ650" s="14">
        <f t="shared" si="381"/>
        <v>4</v>
      </c>
      <c r="FR650" s="101" t="str">
        <f t="shared" si="365"/>
        <v>张郃专属武器-魂珠-1 4级</v>
      </c>
      <c r="FS650" s="101">
        <f t="shared" si="366"/>
        <v>1</v>
      </c>
      <c r="FT650" s="101">
        <f t="shared" si="367"/>
        <v>4</v>
      </c>
      <c r="FU650" s="101" t="str">
        <f t="shared" si="382"/>
        <v>金币</v>
      </c>
      <c r="FV650" s="139">
        <f>IF($FT650&gt;0,IF(INDEX($EI$6:$EI$77,$FO650)&gt;=FV$3,ROUND(INDEX(EK$6:EK$77,$FO650)*INDEX(卡牌消耗!$B$8:$F$8,FQ650)/5,0)*5,""),"")</f>
        <v>455</v>
      </c>
      <c r="FW650" s="101" t="str">
        <f t="shared" si="383"/>
        <v>专属强化石1</v>
      </c>
      <c r="FX650" s="101">
        <f t="shared" si="384"/>
        <v>4</v>
      </c>
      <c r="FY650" s="101" t="str">
        <f t="shared" si="385"/>
        <v/>
      </c>
      <c r="FZ650" s="101" t="str">
        <f t="shared" si="386"/>
        <v/>
      </c>
      <c r="GA650" s="101">
        <f t="shared" si="368"/>
        <v>0.26</v>
      </c>
      <c r="GB650" s="101">
        <f t="shared" si="369"/>
        <v>1</v>
      </c>
      <c r="GC650" s="101">
        <f t="shared" si="370"/>
        <v>6</v>
      </c>
      <c r="GD650" s="101">
        <f t="shared" si="371"/>
        <v>0</v>
      </c>
      <c r="GE650" s="101">
        <f t="shared" si="372"/>
        <v>1</v>
      </c>
      <c r="GF650" s="101">
        <f t="shared" si="373"/>
        <v>1</v>
      </c>
      <c r="GG650" s="101">
        <f t="shared" si="374"/>
        <v>0.12759999999999999</v>
      </c>
      <c r="GH650" s="101">
        <f t="shared" si="375"/>
        <v>1</v>
      </c>
      <c r="GI650" s="101">
        <f t="shared" si="376"/>
        <v>3</v>
      </c>
      <c r="GJ650" s="101">
        <f t="shared" si="377"/>
        <v>0.51060000000000005</v>
      </c>
      <c r="GK650" s="101">
        <f t="shared" si="378"/>
        <v>1</v>
      </c>
      <c r="GL650" s="101">
        <f t="shared" si="379"/>
        <v>6</v>
      </c>
    </row>
    <row r="651" spans="170:194" ht="16.5" x14ac:dyDescent="0.2">
      <c r="FN651" s="101">
        <v>646</v>
      </c>
      <c r="FO651" s="101">
        <f t="shared" si="364"/>
        <v>5</v>
      </c>
      <c r="FP651" s="101">
        <f t="shared" si="380"/>
        <v>9</v>
      </c>
      <c r="FQ651" s="14">
        <f t="shared" si="381"/>
        <v>4</v>
      </c>
      <c r="FR651" s="101" t="str">
        <f t="shared" si="365"/>
        <v>张郃专属武器-魂珠-1 5级</v>
      </c>
      <c r="FS651" s="101">
        <f t="shared" si="366"/>
        <v>1</v>
      </c>
      <c r="FT651" s="101">
        <f t="shared" si="367"/>
        <v>5</v>
      </c>
      <c r="FU651" s="101" t="str">
        <f t="shared" si="382"/>
        <v>金币</v>
      </c>
      <c r="FV651" s="139">
        <f>IF($FT651&gt;0,IF(INDEX($EI$6:$EI$77,$FO651)&gt;=FV$3,ROUND(INDEX(EK$6:EK$77,$FO651)*INDEX(卡牌消耗!$B$8:$F$8,FQ651)/5,0)*5,""),"")</f>
        <v>580</v>
      </c>
      <c r="FW651" s="101" t="str">
        <f t="shared" si="383"/>
        <v>专属强化石1</v>
      </c>
      <c r="FX651" s="101">
        <f t="shared" si="384"/>
        <v>5</v>
      </c>
      <c r="FY651" s="101" t="str">
        <f t="shared" si="385"/>
        <v/>
      </c>
      <c r="FZ651" s="101" t="str">
        <f t="shared" si="386"/>
        <v/>
      </c>
      <c r="GA651" s="101">
        <f t="shared" si="368"/>
        <v>0.2</v>
      </c>
      <c r="GB651" s="101">
        <f t="shared" si="369"/>
        <v>1</v>
      </c>
      <c r="GC651" s="101">
        <f t="shared" si="370"/>
        <v>8</v>
      </c>
      <c r="GD651" s="101">
        <f t="shared" si="371"/>
        <v>0</v>
      </c>
      <c r="GE651" s="101">
        <f t="shared" si="372"/>
        <v>1</v>
      </c>
      <c r="GF651" s="101">
        <f t="shared" si="373"/>
        <v>2</v>
      </c>
      <c r="GG651" s="101">
        <f t="shared" si="374"/>
        <v>9.9699999999999997E-2</v>
      </c>
      <c r="GH651" s="101">
        <f t="shared" si="375"/>
        <v>1</v>
      </c>
      <c r="GI651" s="101">
        <f t="shared" si="376"/>
        <v>4</v>
      </c>
      <c r="GJ651" s="101">
        <f t="shared" si="377"/>
        <v>0.39889999999999998</v>
      </c>
      <c r="GK651" s="101">
        <f t="shared" si="378"/>
        <v>1</v>
      </c>
      <c r="GL651" s="101">
        <f t="shared" si="379"/>
        <v>8</v>
      </c>
    </row>
    <row r="652" spans="170:194" ht="16.5" x14ac:dyDescent="0.2">
      <c r="FN652" s="101">
        <v>647</v>
      </c>
      <c r="FO652" s="101">
        <f t="shared" si="364"/>
        <v>6</v>
      </c>
      <c r="FP652" s="101">
        <f t="shared" si="380"/>
        <v>9</v>
      </c>
      <c r="FQ652" s="14">
        <f t="shared" si="381"/>
        <v>4</v>
      </c>
      <c r="FR652" s="101" t="str">
        <f t="shared" si="365"/>
        <v>张郃专属武器-魂珠-1 6级</v>
      </c>
      <c r="FS652" s="101">
        <f t="shared" si="366"/>
        <v>1</v>
      </c>
      <c r="FT652" s="101">
        <f t="shared" si="367"/>
        <v>6</v>
      </c>
      <c r="FU652" s="101" t="str">
        <f t="shared" si="382"/>
        <v>金币</v>
      </c>
      <c r="FV652" s="139">
        <f>IF($FT652&gt;0,IF(INDEX($EI$6:$EI$77,$FO652)&gt;=FV$3,ROUND(INDEX(EK$6:EK$77,$FO652)*INDEX(卡牌消耗!$B$8:$F$8,FQ652)/5,0)*5,""),"")</f>
        <v>690</v>
      </c>
      <c r="FW652" s="101" t="str">
        <f t="shared" si="383"/>
        <v>专属强化石1</v>
      </c>
      <c r="FX652" s="101">
        <f t="shared" si="384"/>
        <v>6</v>
      </c>
      <c r="FY652" s="101" t="str">
        <f t="shared" si="385"/>
        <v/>
      </c>
      <c r="FZ652" s="101" t="str">
        <f t="shared" si="386"/>
        <v/>
      </c>
      <c r="GA652" s="101">
        <f t="shared" si="368"/>
        <v>0.15</v>
      </c>
      <c r="GB652" s="101">
        <f t="shared" si="369"/>
        <v>1</v>
      </c>
      <c r="GC652" s="101">
        <f t="shared" si="370"/>
        <v>10</v>
      </c>
      <c r="GD652" s="101">
        <f t="shared" si="371"/>
        <v>0</v>
      </c>
      <c r="GE652" s="101">
        <f t="shared" si="372"/>
        <v>1</v>
      </c>
      <c r="GF652" s="101">
        <f t="shared" si="373"/>
        <v>2</v>
      </c>
      <c r="GG652" s="101">
        <f t="shared" si="374"/>
        <v>7.3599999999999999E-2</v>
      </c>
      <c r="GH652" s="101">
        <f t="shared" si="375"/>
        <v>1</v>
      </c>
      <c r="GI652" s="101">
        <f t="shared" si="376"/>
        <v>5</v>
      </c>
      <c r="GJ652" s="101">
        <f t="shared" si="377"/>
        <v>0.29459999999999997</v>
      </c>
      <c r="GK652" s="101">
        <f t="shared" si="378"/>
        <v>1</v>
      </c>
      <c r="GL652" s="101">
        <f t="shared" si="379"/>
        <v>10</v>
      </c>
    </row>
    <row r="653" spans="170:194" ht="16.5" x14ac:dyDescent="0.2">
      <c r="FN653" s="101">
        <v>648</v>
      </c>
      <c r="FO653" s="101">
        <f t="shared" si="364"/>
        <v>7</v>
      </c>
      <c r="FP653" s="101">
        <f t="shared" si="380"/>
        <v>9</v>
      </c>
      <c r="FQ653" s="14">
        <f t="shared" si="381"/>
        <v>4</v>
      </c>
      <c r="FR653" s="101" t="str">
        <f t="shared" si="365"/>
        <v>张郃专属武器-魂珠-1 7级</v>
      </c>
      <c r="FS653" s="101">
        <f t="shared" si="366"/>
        <v>1</v>
      </c>
      <c r="FT653" s="101">
        <f t="shared" si="367"/>
        <v>7</v>
      </c>
      <c r="FU653" s="101" t="str">
        <f t="shared" si="382"/>
        <v>金币</v>
      </c>
      <c r="FV653" s="139">
        <f>IF($FT653&gt;0,IF(INDEX($EI$6:$EI$77,$FO653)&gt;=FV$3,ROUND(INDEX(EK$6:EK$77,$FO653)*INDEX(卡牌消耗!$B$8:$F$8,FQ653)/5,0)*5,""),"")</f>
        <v>805</v>
      </c>
      <c r="FW653" s="101" t="str">
        <f t="shared" si="383"/>
        <v>专属强化石1</v>
      </c>
      <c r="FX653" s="101">
        <f t="shared" si="384"/>
        <v>7</v>
      </c>
      <c r="FY653" s="101" t="str">
        <f t="shared" si="385"/>
        <v/>
      </c>
      <c r="FZ653" s="101" t="str">
        <f t="shared" si="386"/>
        <v/>
      </c>
      <c r="GA653" s="101">
        <f t="shared" si="368"/>
        <v>0.11</v>
      </c>
      <c r="GB653" s="101">
        <f t="shared" si="369"/>
        <v>1</v>
      </c>
      <c r="GC653" s="101">
        <f t="shared" si="370"/>
        <v>14</v>
      </c>
      <c r="GD653" s="101">
        <f t="shared" si="371"/>
        <v>0</v>
      </c>
      <c r="GE653" s="101">
        <f t="shared" si="372"/>
        <v>1</v>
      </c>
      <c r="GF653" s="101">
        <f t="shared" si="373"/>
        <v>3</v>
      </c>
      <c r="GG653" s="101">
        <f t="shared" si="374"/>
        <v>5.3199999999999997E-2</v>
      </c>
      <c r="GH653" s="101">
        <f t="shared" si="375"/>
        <v>1</v>
      </c>
      <c r="GI653" s="101">
        <f t="shared" si="376"/>
        <v>7</v>
      </c>
      <c r="GJ653" s="101">
        <f t="shared" si="377"/>
        <v>0.2127</v>
      </c>
      <c r="GK653" s="101">
        <f t="shared" si="378"/>
        <v>1</v>
      </c>
      <c r="GL653" s="101">
        <f t="shared" si="379"/>
        <v>14</v>
      </c>
    </row>
    <row r="654" spans="170:194" ht="16.5" x14ac:dyDescent="0.2">
      <c r="FN654" s="101">
        <v>649</v>
      </c>
      <c r="FO654" s="101">
        <f t="shared" si="364"/>
        <v>8</v>
      </c>
      <c r="FP654" s="101">
        <f t="shared" si="380"/>
        <v>9</v>
      </c>
      <c r="FQ654" s="14">
        <f t="shared" si="381"/>
        <v>4</v>
      </c>
      <c r="FR654" s="101" t="str">
        <f t="shared" si="365"/>
        <v>张郃专属武器-魂珠-1 8级</v>
      </c>
      <c r="FS654" s="101">
        <f t="shared" si="366"/>
        <v>1</v>
      </c>
      <c r="FT654" s="101">
        <f t="shared" si="367"/>
        <v>8</v>
      </c>
      <c r="FU654" s="101" t="str">
        <f t="shared" si="382"/>
        <v>金币</v>
      </c>
      <c r="FV654" s="139">
        <f>IF($FT654&gt;0,IF(INDEX($EI$6:$EI$77,$FO654)&gt;=FV$3,ROUND(INDEX(EK$6:EK$77,$FO654)*INDEX(卡牌消耗!$B$8:$F$8,FQ654)/5,0)*5,""),"")</f>
        <v>920</v>
      </c>
      <c r="FW654" s="101" t="str">
        <f t="shared" si="383"/>
        <v>专属强化石1</v>
      </c>
      <c r="FX654" s="101">
        <f t="shared" si="384"/>
        <v>8</v>
      </c>
      <c r="FY654" s="101" t="str">
        <f t="shared" si="385"/>
        <v/>
      </c>
      <c r="FZ654" s="101" t="str">
        <f t="shared" si="386"/>
        <v/>
      </c>
      <c r="GA654" s="101">
        <f t="shared" si="368"/>
        <v>0.08</v>
      </c>
      <c r="GB654" s="101">
        <f t="shared" si="369"/>
        <v>1</v>
      </c>
      <c r="GC654" s="101">
        <f t="shared" si="370"/>
        <v>20</v>
      </c>
      <c r="GD654" s="101">
        <f t="shared" si="371"/>
        <v>0</v>
      </c>
      <c r="GE654" s="101">
        <f t="shared" si="372"/>
        <v>1</v>
      </c>
      <c r="GF654" s="101">
        <f t="shared" si="373"/>
        <v>5</v>
      </c>
      <c r="GG654" s="101">
        <f t="shared" si="374"/>
        <v>3.7499999999999999E-2</v>
      </c>
      <c r="GH654" s="101">
        <f t="shared" si="375"/>
        <v>1</v>
      </c>
      <c r="GI654" s="101">
        <f t="shared" si="376"/>
        <v>9</v>
      </c>
      <c r="GJ654" s="101">
        <f t="shared" si="377"/>
        <v>0.1502</v>
      </c>
      <c r="GK654" s="101">
        <f t="shared" si="378"/>
        <v>1</v>
      </c>
      <c r="GL654" s="101">
        <f t="shared" si="379"/>
        <v>20</v>
      </c>
    </row>
    <row r="655" spans="170:194" ht="16.5" x14ac:dyDescent="0.2">
      <c r="FN655" s="101">
        <v>650</v>
      </c>
      <c r="FO655" s="101">
        <f t="shared" si="364"/>
        <v>9</v>
      </c>
      <c r="FP655" s="101">
        <f t="shared" si="380"/>
        <v>9</v>
      </c>
      <c r="FQ655" s="14">
        <f t="shared" si="381"/>
        <v>4</v>
      </c>
      <c r="FR655" s="101" t="str">
        <f t="shared" si="365"/>
        <v>张郃专属武器-魂珠-1 9级</v>
      </c>
      <c r="FS655" s="101">
        <f t="shared" si="366"/>
        <v>1</v>
      </c>
      <c r="FT655" s="101">
        <f t="shared" si="367"/>
        <v>9</v>
      </c>
      <c r="FU655" s="101" t="str">
        <f t="shared" si="382"/>
        <v>金币</v>
      </c>
      <c r="FV655" s="139">
        <f>IF($FT655&gt;0,IF(INDEX($EI$6:$EI$77,$FO655)&gt;=FV$3,ROUND(INDEX(EK$6:EK$77,$FO655)*INDEX(卡牌消耗!$B$8:$F$8,FQ655)/5,0)*5,""),"")</f>
        <v>1150</v>
      </c>
      <c r="FW655" s="101" t="str">
        <f t="shared" si="383"/>
        <v>专属强化石1</v>
      </c>
      <c r="FX655" s="101">
        <f t="shared" si="384"/>
        <v>10</v>
      </c>
      <c r="FY655" s="101" t="str">
        <f t="shared" si="385"/>
        <v/>
      </c>
      <c r="FZ655" s="101" t="str">
        <f t="shared" si="386"/>
        <v/>
      </c>
      <c r="GA655" s="101">
        <f t="shared" si="368"/>
        <v>0.06</v>
      </c>
      <c r="GB655" s="101">
        <f t="shared" si="369"/>
        <v>1</v>
      </c>
      <c r="GC655" s="101">
        <f t="shared" si="370"/>
        <v>26</v>
      </c>
      <c r="GD655" s="101">
        <f t="shared" si="371"/>
        <v>0</v>
      </c>
      <c r="GE655" s="101">
        <f t="shared" si="372"/>
        <v>1</v>
      </c>
      <c r="GF655" s="101">
        <f t="shared" si="373"/>
        <v>6</v>
      </c>
      <c r="GG655" s="101">
        <f t="shared" si="374"/>
        <v>2.9000000000000001E-2</v>
      </c>
      <c r="GH655" s="101">
        <f t="shared" si="375"/>
        <v>1</v>
      </c>
      <c r="GI655" s="101">
        <f t="shared" si="376"/>
        <v>12</v>
      </c>
      <c r="GJ655" s="101">
        <f t="shared" si="377"/>
        <v>0.11600000000000001</v>
      </c>
      <c r="GK655" s="101">
        <f t="shared" si="378"/>
        <v>1</v>
      </c>
      <c r="GL655" s="101">
        <f t="shared" si="379"/>
        <v>26</v>
      </c>
    </row>
    <row r="656" spans="170:194" ht="16.5" x14ac:dyDescent="0.2">
      <c r="FN656" s="101">
        <v>651</v>
      </c>
      <c r="FO656" s="101">
        <f t="shared" si="364"/>
        <v>0</v>
      </c>
      <c r="FP656" s="101">
        <f t="shared" si="380"/>
        <v>9</v>
      </c>
      <c r="FQ656" s="14">
        <f t="shared" si="381"/>
        <v>4</v>
      </c>
      <c r="FR656" s="101" t="str">
        <f t="shared" si="365"/>
        <v>张郃专属武器-魂珠-2 0级</v>
      </c>
      <c r="FS656" s="101">
        <f t="shared" si="366"/>
        <v>2</v>
      </c>
      <c r="FT656" s="101">
        <f t="shared" si="367"/>
        <v>0</v>
      </c>
      <c r="FU656" s="101" t="str">
        <f t="shared" si="382"/>
        <v/>
      </c>
      <c r="FV656" s="139" t="str">
        <f>IF($FT656&gt;0,IF(INDEX($EI$6:$EI$77,$FO656)&gt;=FV$3,ROUND(INDEX(EK$6:EK$77,$FO656)*INDEX(卡牌消耗!$B$8:$F$8,FQ656)/5,0)*5,""),"")</f>
        <v/>
      </c>
      <c r="FW656" s="101" t="str">
        <f t="shared" si="383"/>
        <v/>
      </c>
      <c r="FX656" s="101" t="str">
        <f t="shared" si="384"/>
        <v/>
      </c>
      <c r="FY656" s="101" t="str">
        <f t="shared" si="385"/>
        <v/>
      </c>
      <c r="FZ656" s="101" t="str">
        <f t="shared" si="386"/>
        <v/>
      </c>
      <c r="GA656" s="101" t="str">
        <f t="shared" si="368"/>
        <v/>
      </c>
      <c r="GB656" s="101" t="str">
        <f t="shared" si="369"/>
        <v/>
      </c>
      <c r="GC656" s="101" t="str">
        <f t="shared" si="370"/>
        <v/>
      </c>
      <c r="GD656" s="101" t="str">
        <f t="shared" si="371"/>
        <v/>
      </c>
      <c r="GE656" s="101" t="str">
        <f t="shared" si="372"/>
        <v/>
      </c>
      <c r="GF656" s="101" t="str">
        <f t="shared" si="373"/>
        <v/>
      </c>
      <c r="GG656" s="101" t="str">
        <f t="shared" si="374"/>
        <v/>
      </c>
      <c r="GH656" s="101" t="str">
        <f t="shared" si="375"/>
        <v/>
      </c>
      <c r="GI656" s="101" t="str">
        <f t="shared" si="376"/>
        <v/>
      </c>
      <c r="GJ656" s="101" t="str">
        <f t="shared" si="377"/>
        <v/>
      </c>
      <c r="GK656" s="101" t="str">
        <f t="shared" si="378"/>
        <v/>
      </c>
      <c r="GL656" s="101" t="str">
        <f t="shared" si="379"/>
        <v/>
      </c>
    </row>
    <row r="657" spans="170:194" ht="16.5" x14ac:dyDescent="0.2">
      <c r="FN657" s="101">
        <v>652</v>
      </c>
      <c r="FO657" s="101">
        <f t="shared" si="364"/>
        <v>10</v>
      </c>
      <c r="FP657" s="101">
        <f t="shared" si="380"/>
        <v>9</v>
      </c>
      <c r="FQ657" s="14">
        <f t="shared" si="381"/>
        <v>4</v>
      </c>
      <c r="FR657" s="101" t="str">
        <f t="shared" si="365"/>
        <v>张郃专属武器-魂珠-2 1级</v>
      </c>
      <c r="FS657" s="101">
        <f t="shared" si="366"/>
        <v>2</v>
      </c>
      <c r="FT657" s="101">
        <f t="shared" si="367"/>
        <v>1</v>
      </c>
      <c r="FU657" s="101" t="str">
        <f t="shared" si="382"/>
        <v>金币</v>
      </c>
      <c r="FV657" s="139">
        <f>IF($FT657&gt;0,IF(INDEX($EI$6:$EI$77,$FO657)&gt;=FV$3,ROUND(INDEX(EK$6:EK$77,$FO657)*INDEX(卡牌消耗!$B$8:$F$8,FQ657)/5,0)*5,""),"")</f>
        <v>395</v>
      </c>
      <c r="FW657" s="101" t="str">
        <f t="shared" si="383"/>
        <v>专属强化石1</v>
      </c>
      <c r="FX657" s="101">
        <f t="shared" si="384"/>
        <v>3</v>
      </c>
      <c r="FY657" s="101" t="str">
        <f t="shared" si="385"/>
        <v>专属强化石2</v>
      </c>
      <c r="FZ657" s="101">
        <f t="shared" si="386"/>
        <v>1</v>
      </c>
      <c r="GA657" s="101">
        <f t="shared" si="368"/>
        <v>0.39</v>
      </c>
      <c r="GB657" s="101">
        <f t="shared" si="369"/>
        <v>1</v>
      </c>
      <c r="GC657" s="101">
        <f t="shared" si="370"/>
        <v>4</v>
      </c>
      <c r="GD657" s="101">
        <f t="shared" si="371"/>
        <v>0</v>
      </c>
      <c r="GE657" s="101">
        <f t="shared" si="372"/>
        <v>1</v>
      </c>
      <c r="GF657" s="101">
        <f t="shared" si="373"/>
        <v>1</v>
      </c>
      <c r="GG657" s="101">
        <f t="shared" si="374"/>
        <v>0.19270000000000001</v>
      </c>
      <c r="GH657" s="101">
        <f t="shared" si="375"/>
        <v>1</v>
      </c>
      <c r="GI657" s="101">
        <f t="shared" si="376"/>
        <v>2</v>
      </c>
      <c r="GJ657" s="101">
        <f t="shared" si="377"/>
        <v>0.77070000000000005</v>
      </c>
      <c r="GK657" s="101">
        <f t="shared" si="378"/>
        <v>1</v>
      </c>
      <c r="GL657" s="101">
        <f t="shared" si="379"/>
        <v>4</v>
      </c>
    </row>
    <row r="658" spans="170:194" ht="16.5" x14ac:dyDescent="0.2">
      <c r="FN658" s="101">
        <v>653</v>
      </c>
      <c r="FO658" s="101">
        <f t="shared" si="364"/>
        <v>11</v>
      </c>
      <c r="FP658" s="101">
        <f t="shared" si="380"/>
        <v>9</v>
      </c>
      <c r="FQ658" s="14">
        <f t="shared" si="381"/>
        <v>4</v>
      </c>
      <c r="FR658" s="101" t="str">
        <f t="shared" si="365"/>
        <v>张郃专属武器-魂珠-2 2级</v>
      </c>
      <c r="FS658" s="101">
        <f t="shared" si="366"/>
        <v>2</v>
      </c>
      <c r="FT658" s="101">
        <f t="shared" si="367"/>
        <v>2</v>
      </c>
      <c r="FU658" s="101" t="str">
        <f t="shared" si="382"/>
        <v>金币</v>
      </c>
      <c r="FV658" s="139">
        <f>IF($FT658&gt;0,IF(INDEX($EI$6:$EI$77,$FO658)&gt;=FV$3,ROUND(INDEX(EK$6:EK$77,$FO658)*INDEX(卡牌消耗!$B$8:$F$8,FQ658)/5,0)*5,""),"")</f>
        <v>295</v>
      </c>
      <c r="FW658" s="101" t="str">
        <f t="shared" si="383"/>
        <v>专属强化石1</v>
      </c>
      <c r="FX658" s="101">
        <f t="shared" si="384"/>
        <v>3</v>
      </c>
      <c r="FY658" s="101" t="str">
        <f t="shared" si="385"/>
        <v>专属强化石2</v>
      </c>
      <c r="FZ658" s="101">
        <f t="shared" si="386"/>
        <v>1</v>
      </c>
      <c r="GA658" s="101">
        <f t="shared" si="368"/>
        <v>0.19</v>
      </c>
      <c r="GB658" s="101">
        <f t="shared" si="369"/>
        <v>1</v>
      </c>
      <c r="GC658" s="101">
        <f t="shared" si="370"/>
        <v>8</v>
      </c>
      <c r="GD658" s="101">
        <f t="shared" si="371"/>
        <v>0</v>
      </c>
      <c r="GE658" s="101">
        <f t="shared" si="372"/>
        <v>1</v>
      </c>
      <c r="GF658" s="101">
        <f t="shared" si="373"/>
        <v>2</v>
      </c>
      <c r="GG658" s="101">
        <f t="shared" si="374"/>
        <v>9.6299999999999997E-2</v>
      </c>
      <c r="GH658" s="101">
        <f t="shared" si="375"/>
        <v>1</v>
      </c>
      <c r="GI658" s="101">
        <f t="shared" si="376"/>
        <v>4</v>
      </c>
      <c r="GJ658" s="101">
        <f t="shared" si="377"/>
        <v>0.38529999999999998</v>
      </c>
      <c r="GK658" s="101">
        <f t="shared" si="378"/>
        <v>1</v>
      </c>
      <c r="GL658" s="101">
        <f t="shared" si="379"/>
        <v>8</v>
      </c>
    </row>
    <row r="659" spans="170:194" ht="16.5" x14ac:dyDescent="0.2">
      <c r="FN659" s="101">
        <v>654</v>
      </c>
      <c r="FO659" s="101">
        <f t="shared" si="364"/>
        <v>12</v>
      </c>
      <c r="FP659" s="101">
        <f t="shared" si="380"/>
        <v>9</v>
      </c>
      <c r="FQ659" s="14">
        <f t="shared" si="381"/>
        <v>4</v>
      </c>
      <c r="FR659" s="101" t="str">
        <f t="shared" si="365"/>
        <v>张郃专属武器-魂珠-2 3级</v>
      </c>
      <c r="FS659" s="101">
        <f t="shared" si="366"/>
        <v>2</v>
      </c>
      <c r="FT659" s="101">
        <f t="shared" si="367"/>
        <v>3</v>
      </c>
      <c r="FU659" s="101" t="str">
        <f t="shared" si="382"/>
        <v>金币</v>
      </c>
      <c r="FV659" s="139">
        <f>IF($FT659&gt;0,IF(INDEX($EI$6:$EI$77,$FO659)&gt;=FV$3,ROUND(INDEX(EK$6:EK$77,$FO659)*INDEX(卡牌消耗!$B$8:$F$8,FQ659)/5,0)*5,""),"")</f>
        <v>655</v>
      </c>
      <c r="FW659" s="101" t="str">
        <f t="shared" si="383"/>
        <v>专属强化石1</v>
      </c>
      <c r="FX659" s="101">
        <f t="shared" si="384"/>
        <v>6</v>
      </c>
      <c r="FY659" s="101" t="str">
        <f t="shared" si="385"/>
        <v>专属强化石2</v>
      </c>
      <c r="FZ659" s="101">
        <f t="shared" si="386"/>
        <v>2</v>
      </c>
      <c r="GA659" s="101">
        <f t="shared" si="368"/>
        <v>0.26</v>
      </c>
      <c r="GB659" s="101">
        <f t="shared" si="369"/>
        <v>1</v>
      </c>
      <c r="GC659" s="101">
        <f t="shared" si="370"/>
        <v>6</v>
      </c>
      <c r="GD659" s="101">
        <f t="shared" si="371"/>
        <v>0</v>
      </c>
      <c r="GE659" s="101">
        <f t="shared" si="372"/>
        <v>1</v>
      </c>
      <c r="GF659" s="101">
        <f t="shared" si="373"/>
        <v>1</v>
      </c>
      <c r="GG659" s="101">
        <f t="shared" si="374"/>
        <v>0.12839999999999999</v>
      </c>
      <c r="GH659" s="101">
        <f t="shared" si="375"/>
        <v>1</v>
      </c>
      <c r="GI659" s="101">
        <f t="shared" si="376"/>
        <v>3</v>
      </c>
      <c r="GJ659" s="101">
        <f t="shared" si="377"/>
        <v>0.51380000000000003</v>
      </c>
      <c r="GK659" s="101">
        <f t="shared" si="378"/>
        <v>1</v>
      </c>
      <c r="GL659" s="101">
        <f t="shared" si="379"/>
        <v>6</v>
      </c>
    </row>
    <row r="660" spans="170:194" ht="16.5" x14ac:dyDescent="0.2">
      <c r="FN660" s="101">
        <v>655</v>
      </c>
      <c r="FO660" s="101">
        <f t="shared" si="364"/>
        <v>13</v>
      </c>
      <c r="FP660" s="101">
        <f t="shared" si="380"/>
        <v>9</v>
      </c>
      <c r="FQ660" s="14">
        <f t="shared" si="381"/>
        <v>4</v>
      </c>
      <c r="FR660" s="101" t="str">
        <f t="shared" si="365"/>
        <v>张郃专属武器-魂珠-2 4级</v>
      </c>
      <c r="FS660" s="101">
        <f t="shared" si="366"/>
        <v>2</v>
      </c>
      <c r="FT660" s="101">
        <f t="shared" si="367"/>
        <v>4</v>
      </c>
      <c r="FU660" s="101" t="str">
        <f t="shared" si="382"/>
        <v>金币</v>
      </c>
      <c r="FV660" s="139">
        <f>IF($FT660&gt;0,IF(INDEX($EI$6:$EI$77,$FO660)&gt;=FV$3,ROUND(INDEX(EK$6:EK$77,$FO660)*INDEX(卡牌消耗!$B$8:$F$8,FQ660)/5,0)*5,""),"")</f>
        <v>625</v>
      </c>
      <c r="FW660" s="101" t="str">
        <f t="shared" si="383"/>
        <v>专属强化石1</v>
      </c>
      <c r="FX660" s="101">
        <f t="shared" si="384"/>
        <v>6</v>
      </c>
      <c r="FY660" s="101" t="str">
        <f t="shared" si="385"/>
        <v>专属强化石2</v>
      </c>
      <c r="FZ660" s="101">
        <f t="shared" si="386"/>
        <v>2</v>
      </c>
      <c r="GA660" s="101">
        <f t="shared" si="368"/>
        <v>0.15</v>
      </c>
      <c r="GB660" s="101">
        <f t="shared" si="369"/>
        <v>1</v>
      </c>
      <c r="GC660" s="101">
        <f t="shared" si="370"/>
        <v>10</v>
      </c>
      <c r="GD660" s="101">
        <f t="shared" si="371"/>
        <v>0</v>
      </c>
      <c r="GE660" s="101">
        <f t="shared" si="372"/>
        <v>1</v>
      </c>
      <c r="GF660" s="101">
        <f t="shared" si="373"/>
        <v>2</v>
      </c>
      <c r="GG660" s="101">
        <f t="shared" si="374"/>
        <v>7.7100000000000002E-2</v>
      </c>
      <c r="GH660" s="101">
        <f t="shared" si="375"/>
        <v>1</v>
      </c>
      <c r="GI660" s="101">
        <f t="shared" si="376"/>
        <v>5</v>
      </c>
      <c r="GJ660" s="101">
        <f t="shared" si="377"/>
        <v>0.30830000000000002</v>
      </c>
      <c r="GK660" s="101">
        <f t="shared" si="378"/>
        <v>1</v>
      </c>
      <c r="GL660" s="101">
        <f t="shared" si="379"/>
        <v>10</v>
      </c>
    </row>
    <row r="661" spans="170:194" ht="16.5" x14ac:dyDescent="0.2">
      <c r="FN661" s="101">
        <v>656</v>
      </c>
      <c r="FO661" s="101">
        <f t="shared" si="364"/>
        <v>14</v>
      </c>
      <c r="FP661" s="101">
        <f t="shared" si="380"/>
        <v>9</v>
      </c>
      <c r="FQ661" s="14">
        <f t="shared" si="381"/>
        <v>4</v>
      </c>
      <c r="FR661" s="101" t="str">
        <f t="shared" si="365"/>
        <v>张郃专属武器-魂珠-2 5级</v>
      </c>
      <c r="FS661" s="101">
        <f t="shared" si="366"/>
        <v>2</v>
      </c>
      <c r="FT661" s="101">
        <f t="shared" si="367"/>
        <v>5</v>
      </c>
      <c r="FU661" s="101" t="str">
        <f t="shared" si="382"/>
        <v>金币</v>
      </c>
      <c r="FV661" s="139">
        <f>IF($FT661&gt;0,IF(INDEX($EI$6:$EI$77,$FO661)&gt;=FV$3,ROUND(INDEX(EK$6:EK$77,$FO661)*INDEX(卡牌消耗!$B$8:$F$8,FQ661)/5,0)*5,""),"")</f>
        <v>955</v>
      </c>
      <c r="FW661" s="101" t="str">
        <f t="shared" si="383"/>
        <v>专属强化石1</v>
      </c>
      <c r="FX661" s="101">
        <f t="shared" si="384"/>
        <v>9</v>
      </c>
      <c r="FY661" s="101" t="str">
        <f t="shared" si="385"/>
        <v>专属强化石2</v>
      </c>
      <c r="FZ661" s="101">
        <f t="shared" si="386"/>
        <v>3</v>
      </c>
      <c r="GA661" s="101">
        <f t="shared" si="368"/>
        <v>0.14000000000000001</v>
      </c>
      <c r="GB661" s="101">
        <f t="shared" si="369"/>
        <v>1</v>
      </c>
      <c r="GC661" s="101">
        <f t="shared" si="370"/>
        <v>10</v>
      </c>
      <c r="GD661" s="101">
        <f t="shared" si="371"/>
        <v>0</v>
      </c>
      <c r="GE661" s="101">
        <f t="shared" si="372"/>
        <v>1</v>
      </c>
      <c r="GF661" s="101">
        <f t="shared" si="373"/>
        <v>2</v>
      </c>
      <c r="GG661" s="101">
        <f t="shared" si="374"/>
        <v>7.22E-2</v>
      </c>
      <c r="GH661" s="101">
        <f t="shared" si="375"/>
        <v>1</v>
      </c>
      <c r="GI661" s="101">
        <f t="shared" si="376"/>
        <v>5</v>
      </c>
      <c r="GJ661" s="101">
        <f t="shared" si="377"/>
        <v>0.28899999999999998</v>
      </c>
      <c r="GK661" s="101">
        <f t="shared" si="378"/>
        <v>1</v>
      </c>
      <c r="GL661" s="101">
        <f t="shared" si="379"/>
        <v>10</v>
      </c>
    </row>
    <row r="662" spans="170:194" ht="16.5" x14ac:dyDescent="0.2">
      <c r="FN662" s="101">
        <v>657</v>
      </c>
      <c r="FO662" s="101">
        <f t="shared" ref="FO662:FO725" si="387">IF(FT662&gt;0,(FS662-1)*9+FT662,0)</f>
        <v>15</v>
      </c>
      <c r="FP662" s="101">
        <f t="shared" si="380"/>
        <v>9</v>
      </c>
      <c r="FQ662" s="14">
        <f t="shared" si="381"/>
        <v>4</v>
      </c>
      <c r="FR662" s="101" t="str">
        <f t="shared" ref="FR662:FR725" si="388">INDEX($FI$6:$FI$26,FP662)&amp;"专属武器-魂珠-"&amp;FS662&amp;" "&amp;FT662&amp;"级"</f>
        <v>张郃专属武器-魂珠-2 6级</v>
      </c>
      <c r="FS662" s="101">
        <f t="shared" ref="FS662:FS725" si="389">INT((FN662-(FP662-1)*80-1)/10)+1</f>
        <v>2</v>
      </c>
      <c r="FT662" s="101">
        <f t="shared" ref="FT662:FT725" si="390">FN662-(FP662-1)*80-(FS662-1)*10-1</f>
        <v>6</v>
      </c>
      <c r="FU662" s="101" t="str">
        <f t="shared" si="382"/>
        <v>金币</v>
      </c>
      <c r="FV662" s="139">
        <f>IF($FT662&gt;0,IF(INDEX($EI$6:$EI$77,$FO662)&gt;=FV$3,ROUND(INDEX(EK$6:EK$77,$FO662)*INDEX(卡牌消耗!$B$8:$F$8,FQ662)/5,0)*5,""),"")</f>
        <v>1270</v>
      </c>
      <c r="FW662" s="101" t="str">
        <f t="shared" si="383"/>
        <v>专属强化石1</v>
      </c>
      <c r="FX662" s="101">
        <f t="shared" si="384"/>
        <v>12</v>
      </c>
      <c r="FY662" s="101" t="str">
        <f t="shared" si="385"/>
        <v>专属强化石2</v>
      </c>
      <c r="FZ662" s="101">
        <f t="shared" si="386"/>
        <v>4</v>
      </c>
      <c r="GA662" s="101">
        <f t="shared" ref="GA662:GA725" si="391">IF($FT662&gt;0,INDEX(EP$6:EP$77,$FO662),"")</f>
        <v>0.12</v>
      </c>
      <c r="GB662" s="101">
        <f t="shared" ref="GB662:GB725" si="392">IF($FT662&gt;0,INDEX(EQ$6:EQ$77,$FO662),"")</f>
        <v>1</v>
      </c>
      <c r="GC662" s="101">
        <f t="shared" ref="GC662:GC725" si="393">IF($FT662&gt;0,INDEX(ER$6:ER$77,$FO662),"")</f>
        <v>13</v>
      </c>
      <c r="GD662" s="101">
        <f t="shared" ref="GD662:GD725" si="394">IF($FT662&gt;0,INDEX(EV$6:EV$77,$FO662),"")</f>
        <v>0</v>
      </c>
      <c r="GE662" s="101">
        <f t="shared" ref="GE662:GE725" si="395">IF($FT662&gt;0,INDEX(EW$6:EW$77,$FO662),"")</f>
        <v>1</v>
      </c>
      <c r="GF662" s="101">
        <f t="shared" ref="GF662:GF725" si="396">IF($FT662&gt;0,INDEX(EX$6:EX$77,$FO662),"")</f>
        <v>3</v>
      </c>
      <c r="GG662" s="101">
        <f t="shared" ref="GG662:GG725" si="397">IF($FT662&gt;0,INDEX(EY$6:EY$77,$FO662),"")</f>
        <v>5.9299999999999999E-2</v>
      </c>
      <c r="GH662" s="101">
        <f t="shared" ref="GH662:GH725" si="398">IF($FT662&gt;0,INDEX(EZ$6:EZ$77,$FO662),"")</f>
        <v>1</v>
      </c>
      <c r="GI662" s="101">
        <f t="shared" ref="GI662:GI725" si="399">IF($FT662&gt;0,INDEX(FA$6:FA$77,$FO662),"")</f>
        <v>6</v>
      </c>
      <c r="GJ662" s="101">
        <f t="shared" ref="GJ662:GJ725" si="400">IF($FT662&gt;0,INDEX(FB$6:FB$77,$FO662),"")</f>
        <v>0.23710000000000001</v>
      </c>
      <c r="GK662" s="101">
        <f t="shared" ref="GK662:GK725" si="401">IF($FT662&gt;0,INDEX(FC$6:FC$77,$FO662),"")</f>
        <v>1</v>
      </c>
      <c r="GL662" s="101">
        <f t="shared" ref="GL662:GL725" si="402">IF($FT662&gt;0,INDEX(FD$6:FD$77,$FO662),"")</f>
        <v>13</v>
      </c>
    </row>
    <row r="663" spans="170:194" ht="16.5" x14ac:dyDescent="0.2">
      <c r="FN663" s="101">
        <v>658</v>
      </c>
      <c r="FO663" s="101">
        <f t="shared" si="387"/>
        <v>16</v>
      </c>
      <c r="FP663" s="101">
        <f t="shared" si="380"/>
        <v>9</v>
      </c>
      <c r="FQ663" s="14">
        <f t="shared" si="381"/>
        <v>4</v>
      </c>
      <c r="FR663" s="101" t="str">
        <f t="shared" si="388"/>
        <v>张郃专属武器-魂珠-2 7级</v>
      </c>
      <c r="FS663" s="101">
        <f t="shared" si="389"/>
        <v>2</v>
      </c>
      <c r="FT663" s="101">
        <f t="shared" si="390"/>
        <v>7</v>
      </c>
      <c r="FU663" s="101" t="str">
        <f t="shared" si="382"/>
        <v>金币</v>
      </c>
      <c r="FV663" s="139">
        <f>IF($FT663&gt;0,IF(INDEX($EI$6:$EI$77,$FO663)&gt;=FV$3,ROUND(INDEX(EK$6:EK$77,$FO663)*INDEX(卡牌消耗!$B$8:$F$8,FQ663)/5,0)*5,""),"")</f>
        <v>1590</v>
      </c>
      <c r="FW663" s="101" t="str">
        <f t="shared" si="383"/>
        <v>专属强化石1</v>
      </c>
      <c r="FX663" s="101">
        <f t="shared" si="384"/>
        <v>15</v>
      </c>
      <c r="FY663" s="101" t="str">
        <f t="shared" si="385"/>
        <v>专属强化石2</v>
      </c>
      <c r="FZ663" s="101">
        <f t="shared" si="386"/>
        <v>5</v>
      </c>
      <c r="GA663" s="101">
        <f t="shared" si="391"/>
        <v>0.09</v>
      </c>
      <c r="GB663" s="101">
        <f t="shared" si="392"/>
        <v>1</v>
      </c>
      <c r="GC663" s="101">
        <f t="shared" si="393"/>
        <v>16</v>
      </c>
      <c r="GD663" s="101">
        <f t="shared" si="394"/>
        <v>0</v>
      </c>
      <c r="GE663" s="101">
        <f t="shared" si="395"/>
        <v>1</v>
      </c>
      <c r="GF663" s="101">
        <f t="shared" si="396"/>
        <v>4</v>
      </c>
      <c r="GG663" s="101">
        <f t="shared" si="397"/>
        <v>4.5900000000000003E-2</v>
      </c>
      <c r="GH663" s="101">
        <f t="shared" si="398"/>
        <v>1</v>
      </c>
      <c r="GI663" s="101">
        <f t="shared" si="399"/>
        <v>8</v>
      </c>
      <c r="GJ663" s="101">
        <f t="shared" si="400"/>
        <v>0.1835</v>
      </c>
      <c r="GK663" s="101">
        <f t="shared" si="401"/>
        <v>1</v>
      </c>
      <c r="GL663" s="101">
        <f t="shared" si="402"/>
        <v>16</v>
      </c>
    </row>
    <row r="664" spans="170:194" ht="16.5" x14ac:dyDescent="0.2">
      <c r="FN664" s="101">
        <v>659</v>
      </c>
      <c r="FO664" s="101">
        <f t="shared" si="387"/>
        <v>17</v>
      </c>
      <c r="FP664" s="101">
        <f t="shared" si="380"/>
        <v>9</v>
      </c>
      <c r="FQ664" s="14">
        <f t="shared" si="381"/>
        <v>4</v>
      </c>
      <c r="FR664" s="101" t="str">
        <f t="shared" si="388"/>
        <v>张郃专属武器-魂珠-2 8级</v>
      </c>
      <c r="FS664" s="101">
        <f t="shared" si="389"/>
        <v>2</v>
      </c>
      <c r="FT664" s="101">
        <f t="shared" si="390"/>
        <v>8</v>
      </c>
      <c r="FU664" s="101" t="str">
        <f t="shared" si="382"/>
        <v>金币</v>
      </c>
      <c r="FV664" s="139">
        <f>IF($FT664&gt;0,IF(INDEX($EI$6:$EI$77,$FO664)&gt;=FV$3,ROUND(INDEX(EK$6:EK$77,$FO664)*INDEX(卡牌消耗!$B$8:$F$8,FQ664)/5,0)*5,""),"")</f>
        <v>1905</v>
      </c>
      <c r="FW664" s="101" t="str">
        <f t="shared" si="383"/>
        <v>专属强化石1</v>
      </c>
      <c r="FX664" s="101">
        <f t="shared" si="384"/>
        <v>18</v>
      </c>
      <c r="FY664" s="101" t="str">
        <f t="shared" si="385"/>
        <v>专属强化石2</v>
      </c>
      <c r="FZ664" s="101">
        <f t="shared" si="386"/>
        <v>6</v>
      </c>
      <c r="GA664" s="101">
        <f t="shared" si="391"/>
        <v>7.0000000000000007E-2</v>
      </c>
      <c r="GB664" s="101">
        <f t="shared" si="392"/>
        <v>1</v>
      </c>
      <c r="GC664" s="101">
        <f t="shared" si="393"/>
        <v>22</v>
      </c>
      <c r="GD664" s="101">
        <f t="shared" si="394"/>
        <v>0</v>
      </c>
      <c r="GE664" s="101">
        <f t="shared" si="395"/>
        <v>1</v>
      </c>
      <c r="GF664" s="101">
        <f t="shared" si="396"/>
        <v>5</v>
      </c>
      <c r="GG664" s="101">
        <f t="shared" si="397"/>
        <v>3.4000000000000002E-2</v>
      </c>
      <c r="GH664" s="101">
        <f t="shared" si="398"/>
        <v>1</v>
      </c>
      <c r="GI664" s="101">
        <f t="shared" si="399"/>
        <v>10</v>
      </c>
      <c r="GJ664" s="101">
        <f t="shared" si="400"/>
        <v>0.13600000000000001</v>
      </c>
      <c r="GK664" s="101">
        <f t="shared" si="401"/>
        <v>1</v>
      </c>
      <c r="GL664" s="101">
        <f t="shared" si="402"/>
        <v>22</v>
      </c>
    </row>
    <row r="665" spans="170:194" ht="16.5" x14ac:dyDescent="0.2">
      <c r="FN665" s="101">
        <v>660</v>
      </c>
      <c r="FO665" s="101">
        <f t="shared" si="387"/>
        <v>18</v>
      </c>
      <c r="FP665" s="101">
        <f t="shared" si="380"/>
        <v>9</v>
      </c>
      <c r="FQ665" s="14">
        <f t="shared" si="381"/>
        <v>4</v>
      </c>
      <c r="FR665" s="101" t="str">
        <f t="shared" si="388"/>
        <v>张郃专属武器-魂珠-2 9级</v>
      </c>
      <c r="FS665" s="101">
        <f t="shared" si="389"/>
        <v>2</v>
      </c>
      <c r="FT665" s="101">
        <f t="shared" si="390"/>
        <v>9</v>
      </c>
      <c r="FU665" s="101" t="str">
        <f t="shared" si="382"/>
        <v>金币</v>
      </c>
      <c r="FV665" s="139">
        <f>IF($FT665&gt;0,IF(INDEX($EI$6:$EI$77,$FO665)&gt;=FV$3,ROUND(INDEX(EK$6:EK$77,$FO665)*INDEX(卡牌消耗!$B$8:$F$8,FQ665)/5,0)*5,""),"")</f>
        <v>2540</v>
      </c>
      <c r="FW665" s="101" t="str">
        <f t="shared" si="383"/>
        <v>专属强化石1</v>
      </c>
      <c r="FX665" s="101">
        <f t="shared" si="384"/>
        <v>24</v>
      </c>
      <c r="FY665" s="101" t="str">
        <f t="shared" si="385"/>
        <v>专属强化石2</v>
      </c>
      <c r="FZ665" s="101">
        <f t="shared" si="386"/>
        <v>8</v>
      </c>
      <c r="GA665" s="101">
        <f t="shared" si="391"/>
        <v>0.06</v>
      </c>
      <c r="GB665" s="101">
        <f t="shared" si="392"/>
        <v>1</v>
      </c>
      <c r="GC665" s="101">
        <f t="shared" si="393"/>
        <v>27</v>
      </c>
      <c r="GD665" s="101">
        <f t="shared" si="394"/>
        <v>0</v>
      </c>
      <c r="GE665" s="101">
        <f t="shared" si="395"/>
        <v>1</v>
      </c>
      <c r="GF665" s="101">
        <f t="shared" si="396"/>
        <v>6</v>
      </c>
      <c r="GG665" s="101">
        <f t="shared" si="397"/>
        <v>2.8000000000000001E-2</v>
      </c>
      <c r="GH665" s="101">
        <f t="shared" si="398"/>
        <v>1</v>
      </c>
      <c r="GI665" s="101">
        <f t="shared" si="399"/>
        <v>12</v>
      </c>
      <c r="GJ665" s="101">
        <f t="shared" si="400"/>
        <v>0.11210000000000001</v>
      </c>
      <c r="GK665" s="101">
        <f t="shared" si="401"/>
        <v>1</v>
      </c>
      <c r="GL665" s="101">
        <f t="shared" si="402"/>
        <v>27</v>
      </c>
    </row>
    <row r="666" spans="170:194" ht="16.5" x14ac:dyDescent="0.2">
      <c r="FN666" s="101">
        <v>661</v>
      </c>
      <c r="FO666" s="101">
        <f t="shared" si="387"/>
        <v>0</v>
      </c>
      <c r="FP666" s="101">
        <f t="shared" si="380"/>
        <v>9</v>
      </c>
      <c r="FQ666" s="14">
        <f t="shared" si="381"/>
        <v>4</v>
      </c>
      <c r="FR666" s="101" t="str">
        <f t="shared" si="388"/>
        <v>张郃专属武器-魂珠-3 0级</v>
      </c>
      <c r="FS666" s="101">
        <f t="shared" si="389"/>
        <v>3</v>
      </c>
      <c r="FT666" s="101">
        <f t="shared" si="390"/>
        <v>0</v>
      </c>
      <c r="FU666" s="101" t="str">
        <f t="shared" si="382"/>
        <v/>
      </c>
      <c r="FV666" s="139" t="str">
        <f>IF($FT666&gt;0,IF(INDEX($EI$6:$EI$77,$FO666)&gt;=FV$3,ROUND(INDEX(EK$6:EK$77,$FO666)*INDEX(卡牌消耗!$B$8:$F$8,FQ666)/5,0)*5,""),"")</f>
        <v/>
      </c>
      <c r="FW666" s="101" t="str">
        <f t="shared" si="383"/>
        <v/>
      </c>
      <c r="FX666" s="101" t="str">
        <f t="shared" si="384"/>
        <v/>
      </c>
      <c r="FY666" s="101" t="str">
        <f t="shared" si="385"/>
        <v/>
      </c>
      <c r="FZ666" s="101" t="str">
        <f t="shared" si="386"/>
        <v/>
      </c>
      <c r="GA666" s="101" t="str">
        <f t="shared" si="391"/>
        <v/>
      </c>
      <c r="GB666" s="101" t="str">
        <f t="shared" si="392"/>
        <v/>
      </c>
      <c r="GC666" s="101" t="str">
        <f t="shared" si="393"/>
        <v/>
      </c>
      <c r="GD666" s="101" t="str">
        <f t="shared" si="394"/>
        <v/>
      </c>
      <c r="GE666" s="101" t="str">
        <f t="shared" si="395"/>
        <v/>
      </c>
      <c r="GF666" s="101" t="str">
        <f t="shared" si="396"/>
        <v/>
      </c>
      <c r="GG666" s="101" t="str">
        <f t="shared" si="397"/>
        <v/>
      </c>
      <c r="GH666" s="101" t="str">
        <f t="shared" si="398"/>
        <v/>
      </c>
      <c r="GI666" s="101" t="str">
        <f t="shared" si="399"/>
        <v/>
      </c>
      <c r="GJ666" s="101" t="str">
        <f t="shared" si="400"/>
        <v/>
      </c>
      <c r="GK666" s="101" t="str">
        <f t="shared" si="401"/>
        <v/>
      </c>
      <c r="GL666" s="101" t="str">
        <f t="shared" si="402"/>
        <v/>
      </c>
    </row>
    <row r="667" spans="170:194" ht="16.5" x14ac:dyDescent="0.2">
      <c r="FN667" s="101">
        <v>662</v>
      </c>
      <c r="FO667" s="101">
        <f t="shared" si="387"/>
        <v>19</v>
      </c>
      <c r="FP667" s="101">
        <f t="shared" si="380"/>
        <v>9</v>
      </c>
      <c r="FQ667" s="14">
        <f t="shared" si="381"/>
        <v>4</v>
      </c>
      <c r="FR667" s="101" t="str">
        <f t="shared" si="388"/>
        <v>张郃专属武器-魂珠-3 1级</v>
      </c>
      <c r="FS667" s="101">
        <f t="shared" si="389"/>
        <v>3</v>
      </c>
      <c r="FT667" s="101">
        <f t="shared" si="390"/>
        <v>1</v>
      </c>
      <c r="FU667" s="101" t="str">
        <f t="shared" si="382"/>
        <v>金币</v>
      </c>
      <c r="FV667" s="139">
        <f>IF($FT667&gt;0,IF(INDEX($EI$6:$EI$77,$FO667)&gt;=FV$3,ROUND(INDEX(EK$6:EK$77,$FO667)*INDEX(卡牌消耗!$B$8:$F$8,FQ667)/5,0)*5,""),"")</f>
        <v>820</v>
      </c>
      <c r="FW667" s="101" t="str">
        <f t="shared" si="383"/>
        <v>专属强化石1</v>
      </c>
      <c r="FX667" s="101">
        <f t="shared" si="384"/>
        <v>4</v>
      </c>
      <c r="FY667" s="101" t="str">
        <f t="shared" si="385"/>
        <v>专属强化石2</v>
      </c>
      <c r="FZ667" s="101">
        <f t="shared" si="386"/>
        <v>2</v>
      </c>
      <c r="GA667" s="101">
        <f t="shared" si="391"/>
        <v>0.31</v>
      </c>
      <c r="GB667" s="101">
        <f t="shared" si="392"/>
        <v>1</v>
      </c>
      <c r="GC667" s="101">
        <f t="shared" si="393"/>
        <v>5</v>
      </c>
      <c r="GD667" s="101">
        <f t="shared" si="394"/>
        <v>0</v>
      </c>
      <c r="GE667" s="101">
        <f t="shared" si="395"/>
        <v>1</v>
      </c>
      <c r="GF667" s="101">
        <f t="shared" si="396"/>
        <v>1</v>
      </c>
      <c r="GG667" s="101">
        <f t="shared" si="397"/>
        <v>0.15409999999999999</v>
      </c>
      <c r="GH667" s="101">
        <f t="shared" si="398"/>
        <v>1</v>
      </c>
      <c r="GI667" s="101">
        <f t="shared" si="399"/>
        <v>2</v>
      </c>
      <c r="GJ667" s="101">
        <f t="shared" si="400"/>
        <v>0.61650000000000005</v>
      </c>
      <c r="GK667" s="101">
        <f t="shared" si="401"/>
        <v>1</v>
      </c>
      <c r="GL667" s="101">
        <f t="shared" si="402"/>
        <v>5</v>
      </c>
    </row>
    <row r="668" spans="170:194" ht="16.5" x14ac:dyDescent="0.2">
      <c r="FN668" s="101">
        <v>663</v>
      </c>
      <c r="FO668" s="101">
        <f t="shared" si="387"/>
        <v>20</v>
      </c>
      <c r="FP668" s="101">
        <f t="shared" si="380"/>
        <v>9</v>
      </c>
      <c r="FQ668" s="14">
        <f t="shared" si="381"/>
        <v>4</v>
      </c>
      <c r="FR668" s="101" t="str">
        <f t="shared" si="388"/>
        <v>张郃专属武器-魂珠-3 2级</v>
      </c>
      <c r="FS668" s="101">
        <f t="shared" si="389"/>
        <v>3</v>
      </c>
      <c r="FT668" s="101">
        <f t="shared" si="390"/>
        <v>2</v>
      </c>
      <c r="FU668" s="101" t="str">
        <f t="shared" si="382"/>
        <v>金币</v>
      </c>
      <c r="FV668" s="139">
        <f>IF($FT668&gt;0,IF(INDEX($EI$6:$EI$77,$FO668)&gt;=FV$3,ROUND(INDEX(EK$6:EK$77,$FO668)*INDEX(卡牌消耗!$B$8:$F$8,FQ668)/5,0)*5,""),"")</f>
        <v>615</v>
      </c>
      <c r="FW668" s="101" t="str">
        <f t="shared" si="383"/>
        <v>专属强化石1</v>
      </c>
      <c r="FX668" s="101">
        <f t="shared" si="384"/>
        <v>4</v>
      </c>
      <c r="FY668" s="101" t="str">
        <f t="shared" si="385"/>
        <v>专属强化石2</v>
      </c>
      <c r="FZ668" s="101">
        <f t="shared" si="386"/>
        <v>2</v>
      </c>
      <c r="GA668" s="101">
        <f t="shared" si="391"/>
        <v>0.15</v>
      </c>
      <c r="GB668" s="101">
        <f t="shared" si="392"/>
        <v>1</v>
      </c>
      <c r="GC668" s="101">
        <f t="shared" si="393"/>
        <v>10</v>
      </c>
      <c r="GD668" s="101">
        <f t="shared" si="394"/>
        <v>0</v>
      </c>
      <c r="GE668" s="101">
        <f t="shared" si="395"/>
        <v>1</v>
      </c>
      <c r="GF668" s="101">
        <f t="shared" si="396"/>
        <v>2</v>
      </c>
      <c r="GG668" s="101">
        <f t="shared" si="397"/>
        <v>7.7100000000000002E-2</v>
      </c>
      <c r="GH668" s="101">
        <f t="shared" si="398"/>
        <v>1</v>
      </c>
      <c r="GI668" s="101">
        <f t="shared" si="399"/>
        <v>5</v>
      </c>
      <c r="GJ668" s="101">
        <f t="shared" si="400"/>
        <v>0.30830000000000002</v>
      </c>
      <c r="GK668" s="101">
        <f t="shared" si="401"/>
        <v>1</v>
      </c>
      <c r="GL668" s="101">
        <f t="shared" si="402"/>
        <v>10</v>
      </c>
    </row>
    <row r="669" spans="170:194" ht="16.5" x14ac:dyDescent="0.2">
      <c r="FN669" s="101">
        <v>664</v>
      </c>
      <c r="FO669" s="101">
        <f t="shared" si="387"/>
        <v>21</v>
      </c>
      <c r="FP669" s="101">
        <f t="shared" si="380"/>
        <v>9</v>
      </c>
      <c r="FQ669" s="14">
        <f t="shared" si="381"/>
        <v>4</v>
      </c>
      <c r="FR669" s="101" t="str">
        <f t="shared" si="388"/>
        <v>张郃专属武器-魂珠-3 3级</v>
      </c>
      <c r="FS669" s="101">
        <f t="shared" si="389"/>
        <v>3</v>
      </c>
      <c r="FT669" s="101">
        <f t="shared" si="390"/>
        <v>3</v>
      </c>
      <c r="FU669" s="101" t="str">
        <f t="shared" si="382"/>
        <v>金币</v>
      </c>
      <c r="FV669" s="139">
        <f>IF($FT669&gt;0,IF(INDEX($EI$6:$EI$77,$FO669)&gt;=FV$3,ROUND(INDEX(EK$6:EK$77,$FO669)*INDEX(卡牌消耗!$B$8:$F$8,FQ669)/5,0)*5,""),"")</f>
        <v>1025</v>
      </c>
      <c r="FW669" s="101" t="str">
        <f t="shared" si="383"/>
        <v>专属强化石1</v>
      </c>
      <c r="FX669" s="101">
        <f t="shared" si="384"/>
        <v>6</v>
      </c>
      <c r="FY669" s="101" t="str">
        <f t="shared" si="385"/>
        <v>专属强化石2</v>
      </c>
      <c r="FZ669" s="101">
        <f t="shared" si="386"/>
        <v>3</v>
      </c>
      <c r="GA669" s="101">
        <f t="shared" si="391"/>
        <v>0.15</v>
      </c>
      <c r="GB669" s="101">
        <f t="shared" si="392"/>
        <v>1</v>
      </c>
      <c r="GC669" s="101">
        <f t="shared" si="393"/>
        <v>10</v>
      </c>
      <c r="GD669" s="101">
        <f t="shared" si="394"/>
        <v>0</v>
      </c>
      <c r="GE669" s="101">
        <f t="shared" si="395"/>
        <v>1</v>
      </c>
      <c r="GF669" s="101">
        <f t="shared" si="396"/>
        <v>2</v>
      </c>
      <c r="GG669" s="101">
        <f t="shared" si="397"/>
        <v>7.7100000000000002E-2</v>
      </c>
      <c r="GH669" s="101">
        <f t="shared" si="398"/>
        <v>1</v>
      </c>
      <c r="GI669" s="101">
        <f t="shared" si="399"/>
        <v>5</v>
      </c>
      <c r="GJ669" s="101">
        <f t="shared" si="400"/>
        <v>0.30830000000000002</v>
      </c>
      <c r="GK669" s="101">
        <f t="shared" si="401"/>
        <v>1</v>
      </c>
      <c r="GL669" s="101">
        <f t="shared" si="402"/>
        <v>10</v>
      </c>
    </row>
    <row r="670" spans="170:194" ht="16.5" x14ac:dyDescent="0.2">
      <c r="FN670" s="101">
        <v>665</v>
      </c>
      <c r="FO670" s="101">
        <f t="shared" si="387"/>
        <v>22</v>
      </c>
      <c r="FP670" s="101">
        <f t="shared" si="380"/>
        <v>9</v>
      </c>
      <c r="FQ670" s="14">
        <f t="shared" si="381"/>
        <v>4</v>
      </c>
      <c r="FR670" s="101" t="str">
        <f t="shared" si="388"/>
        <v>张郃专属武器-魂珠-3 4级</v>
      </c>
      <c r="FS670" s="101">
        <f t="shared" si="389"/>
        <v>3</v>
      </c>
      <c r="FT670" s="101">
        <f t="shared" si="390"/>
        <v>4</v>
      </c>
      <c r="FU670" s="101" t="str">
        <f t="shared" si="382"/>
        <v>金币</v>
      </c>
      <c r="FV670" s="139">
        <f>IF($FT670&gt;0,IF(INDEX($EI$6:$EI$77,$FO670)&gt;=FV$3,ROUND(INDEX(EK$6:EK$77,$FO670)*INDEX(卡牌消耗!$B$8:$F$8,FQ670)/5,0)*5,""),"")</f>
        <v>985</v>
      </c>
      <c r="FW670" s="101" t="str">
        <f t="shared" si="383"/>
        <v>专属强化石1</v>
      </c>
      <c r="FX670" s="101">
        <f t="shared" si="384"/>
        <v>6</v>
      </c>
      <c r="FY670" s="101" t="str">
        <f t="shared" si="385"/>
        <v>专属强化石2</v>
      </c>
      <c r="FZ670" s="101">
        <f t="shared" si="386"/>
        <v>3</v>
      </c>
      <c r="GA670" s="101">
        <f t="shared" si="391"/>
        <v>0.09</v>
      </c>
      <c r="GB670" s="101">
        <f t="shared" si="392"/>
        <v>1</v>
      </c>
      <c r="GC670" s="101">
        <f t="shared" si="393"/>
        <v>16</v>
      </c>
      <c r="GD670" s="101">
        <f t="shared" si="394"/>
        <v>0</v>
      </c>
      <c r="GE670" s="101">
        <f t="shared" si="395"/>
        <v>1</v>
      </c>
      <c r="GF670" s="101">
        <f t="shared" si="396"/>
        <v>4</v>
      </c>
      <c r="GG670" s="101">
        <f t="shared" si="397"/>
        <v>4.6199999999999998E-2</v>
      </c>
      <c r="GH670" s="101">
        <f t="shared" si="398"/>
        <v>1</v>
      </c>
      <c r="GI670" s="101">
        <f t="shared" si="399"/>
        <v>8</v>
      </c>
      <c r="GJ670" s="101">
        <f t="shared" si="400"/>
        <v>0.185</v>
      </c>
      <c r="GK670" s="101">
        <f t="shared" si="401"/>
        <v>1</v>
      </c>
      <c r="GL670" s="101">
        <f t="shared" si="402"/>
        <v>16</v>
      </c>
    </row>
    <row r="671" spans="170:194" ht="16.5" x14ac:dyDescent="0.2">
      <c r="FN671" s="101">
        <v>666</v>
      </c>
      <c r="FO671" s="101">
        <f t="shared" si="387"/>
        <v>23</v>
      </c>
      <c r="FP671" s="101">
        <f t="shared" si="380"/>
        <v>9</v>
      </c>
      <c r="FQ671" s="14">
        <f t="shared" si="381"/>
        <v>4</v>
      </c>
      <c r="FR671" s="101" t="str">
        <f t="shared" si="388"/>
        <v>张郃专属武器-魂珠-3 5级</v>
      </c>
      <c r="FS671" s="101">
        <f t="shared" si="389"/>
        <v>3</v>
      </c>
      <c r="FT671" s="101">
        <f t="shared" si="390"/>
        <v>5</v>
      </c>
      <c r="FU671" s="101" t="str">
        <f t="shared" si="382"/>
        <v>金币</v>
      </c>
      <c r="FV671" s="139">
        <f>IF($FT671&gt;0,IF(INDEX($EI$6:$EI$77,$FO671)&gt;=FV$3,ROUND(INDEX(EK$6:EK$77,$FO671)*INDEX(卡牌消耗!$B$8:$F$8,FQ671)/5,0)*5,""),"")</f>
        <v>1330</v>
      </c>
      <c r="FW671" s="101" t="str">
        <f t="shared" si="383"/>
        <v>专属强化石1</v>
      </c>
      <c r="FX671" s="101">
        <f t="shared" si="384"/>
        <v>8</v>
      </c>
      <c r="FY671" s="101" t="str">
        <f t="shared" si="385"/>
        <v>专属强化石2</v>
      </c>
      <c r="FZ671" s="101">
        <f t="shared" si="386"/>
        <v>4</v>
      </c>
      <c r="GA671" s="101">
        <f t="shared" si="391"/>
        <v>0.08</v>
      </c>
      <c r="GB671" s="101">
        <f t="shared" si="392"/>
        <v>1</v>
      </c>
      <c r="GC671" s="101">
        <f t="shared" si="393"/>
        <v>19</v>
      </c>
      <c r="GD671" s="101">
        <f t="shared" si="394"/>
        <v>0</v>
      </c>
      <c r="GE671" s="101">
        <f t="shared" si="395"/>
        <v>1</v>
      </c>
      <c r="GF671" s="101">
        <f t="shared" si="396"/>
        <v>5</v>
      </c>
      <c r="GG671" s="101">
        <f t="shared" si="397"/>
        <v>3.85E-2</v>
      </c>
      <c r="GH671" s="101">
        <f t="shared" si="398"/>
        <v>1</v>
      </c>
      <c r="GI671" s="101">
        <f t="shared" si="399"/>
        <v>9</v>
      </c>
      <c r="GJ671" s="101">
        <f t="shared" si="400"/>
        <v>0.15409999999999999</v>
      </c>
      <c r="GK671" s="101">
        <f t="shared" si="401"/>
        <v>1</v>
      </c>
      <c r="GL671" s="101">
        <f t="shared" si="402"/>
        <v>19</v>
      </c>
    </row>
    <row r="672" spans="170:194" ht="16.5" x14ac:dyDescent="0.2">
      <c r="FN672" s="101">
        <v>667</v>
      </c>
      <c r="FO672" s="101">
        <f t="shared" si="387"/>
        <v>24</v>
      </c>
      <c r="FP672" s="101">
        <f t="shared" si="380"/>
        <v>9</v>
      </c>
      <c r="FQ672" s="14">
        <f t="shared" si="381"/>
        <v>4</v>
      </c>
      <c r="FR672" s="101" t="str">
        <f t="shared" si="388"/>
        <v>张郃专属武器-魂珠-3 6级</v>
      </c>
      <c r="FS672" s="101">
        <f t="shared" si="389"/>
        <v>3</v>
      </c>
      <c r="FT672" s="101">
        <f t="shared" si="390"/>
        <v>6</v>
      </c>
      <c r="FU672" s="101" t="str">
        <f t="shared" si="382"/>
        <v>金币</v>
      </c>
      <c r="FV672" s="139">
        <f>IF($FT672&gt;0,IF(INDEX($EI$6:$EI$77,$FO672)&gt;=FV$3,ROUND(INDEX(EK$6:EK$77,$FO672)*INDEX(卡牌消耗!$B$8:$F$8,FQ672)/5,0)*5,""),"")</f>
        <v>1650</v>
      </c>
      <c r="FW672" s="101" t="str">
        <f t="shared" si="383"/>
        <v>专属强化石1</v>
      </c>
      <c r="FX672" s="101">
        <f t="shared" si="384"/>
        <v>10</v>
      </c>
      <c r="FY672" s="101" t="str">
        <f t="shared" si="385"/>
        <v>专属强化石2</v>
      </c>
      <c r="FZ672" s="101">
        <f t="shared" si="386"/>
        <v>5</v>
      </c>
      <c r="GA672" s="101">
        <f t="shared" si="391"/>
        <v>0.06</v>
      </c>
      <c r="GB672" s="101">
        <f t="shared" si="392"/>
        <v>1</v>
      </c>
      <c r="GC672" s="101">
        <f t="shared" si="393"/>
        <v>25</v>
      </c>
      <c r="GD672" s="101">
        <f t="shared" si="394"/>
        <v>0</v>
      </c>
      <c r="GE672" s="101">
        <f t="shared" si="395"/>
        <v>1</v>
      </c>
      <c r="GF672" s="101">
        <f t="shared" si="396"/>
        <v>6</v>
      </c>
      <c r="GG672" s="101">
        <f t="shared" si="397"/>
        <v>2.9600000000000001E-2</v>
      </c>
      <c r="GH672" s="101">
        <f t="shared" si="398"/>
        <v>1</v>
      </c>
      <c r="GI672" s="101">
        <f t="shared" si="399"/>
        <v>12</v>
      </c>
      <c r="GJ672" s="101">
        <f t="shared" si="400"/>
        <v>0.1186</v>
      </c>
      <c r="GK672" s="101">
        <f t="shared" si="401"/>
        <v>1</v>
      </c>
      <c r="GL672" s="101">
        <f t="shared" si="402"/>
        <v>25</v>
      </c>
    </row>
    <row r="673" spans="170:194" ht="16.5" x14ac:dyDescent="0.2">
      <c r="FN673" s="101">
        <v>668</v>
      </c>
      <c r="FO673" s="101">
        <f t="shared" si="387"/>
        <v>25</v>
      </c>
      <c r="FP673" s="101">
        <f t="shared" si="380"/>
        <v>9</v>
      </c>
      <c r="FQ673" s="14">
        <f t="shared" si="381"/>
        <v>4</v>
      </c>
      <c r="FR673" s="101" t="str">
        <f t="shared" si="388"/>
        <v>张郃专属武器-魂珠-3 7级</v>
      </c>
      <c r="FS673" s="101">
        <f t="shared" si="389"/>
        <v>3</v>
      </c>
      <c r="FT673" s="101">
        <f t="shared" si="390"/>
        <v>7</v>
      </c>
      <c r="FU673" s="101" t="str">
        <f t="shared" si="382"/>
        <v>金币</v>
      </c>
      <c r="FV673" s="139">
        <f>IF($FT673&gt;0,IF(INDEX($EI$6:$EI$77,$FO673)&gt;=FV$3,ROUND(INDEX(EK$6:EK$77,$FO673)*INDEX(卡牌消耗!$B$8:$F$8,FQ673)/5,0)*5,""),"")</f>
        <v>1990</v>
      </c>
      <c r="FW673" s="101" t="str">
        <f t="shared" si="383"/>
        <v>专属强化石1</v>
      </c>
      <c r="FX673" s="101">
        <f t="shared" si="384"/>
        <v>12</v>
      </c>
      <c r="FY673" s="101" t="str">
        <f t="shared" si="385"/>
        <v>专属强化石2</v>
      </c>
      <c r="FZ673" s="101">
        <f t="shared" si="386"/>
        <v>6</v>
      </c>
      <c r="GA673" s="101">
        <f t="shared" si="391"/>
        <v>0.04</v>
      </c>
      <c r="GB673" s="101">
        <f t="shared" si="392"/>
        <v>1</v>
      </c>
      <c r="GC673" s="101">
        <f t="shared" si="393"/>
        <v>34</v>
      </c>
      <c r="GD673" s="101">
        <f t="shared" si="394"/>
        <v>0</v>
      </c>
      <c r="GE673" s="101">
        <f t="shared" si="395"/>
        <v>1</v>
      </c>
      <c r="GF673" s="101">
        <f t="shared" si="396"/>
        <v>8</v>
      </c>
      <c r="GG673" s="101">
        <f t="shared" si="397"/>
        <v>2.1999999999999999E-2</v>
      </c>
      <c r="GH673" s="101">
        <f t="shared" si="398"/>
        <v>1</v>
      </c>
      <c r="GI673" s="101">
        <f t="shared" si="399"/>
        <v>16</v>
      </c>
      <c r="GJ673" s="101">
        <f t="shared" si="400"/>
        <v>8.8099999999999998E-2</v>
      </c>
      <c r="GK673" s="101">
        <f t="shared" si="401"/>
        <v>1</v>
      </c>
      <c r="GL673" s="101">
        <f t="shared" si="402"/>
        <v>34</v>
      </c>
    </row>
    <row r="674" spans="170:194" ht="16.5" x14ac:dyDescent="0.2">
      <c r="FN674" s="101">
        <v>669</v>
      </c>
      <c r="FO674" s="101">
        <f t="shared" si="387"/>
        <v>26</v>
      </c>
      <c r="FP674" s="101">
        <f t="shared" si="380"/>
        <v>9</v>
      </c>
      <c r="FQ674" s="14">
        <f t="shared" si="381"/>
        <v>4</v>
      </c>
      <c r="FR674" s="101" t="str">
        <f t="shared" si="388"/>
        <v>张郃专属武器-魂珠-3 8级</v>
      </c>
      <c r="FS674" s="101">
        <f t="shared" si="389"/>
        <v>3</v>
      </c>
      <c r="FT674" s="101">
        <f t="shared" si="390"/>
        <v>8</v>
      </c>
      <c r="FU674" s="101" t="str">
        <f t="shared" si="382"/>
        <v>金币</v>
      </c>
      <c r="FV674" s="139">
        <f>IF($FT674&gt;0,IF(INDEX($EI$6:$EI$77,$FO674)&gt;=FV$3,ROUND(INDEX(EK$6:EK$77,$FO674)*INDEX(卡牌消耗!$B$8:$F$8,FQ674)/5,0)*5,""),"")</f>
        <v>2650</v>
      </c>
      <c r="FW674" s="101" t="str">
        <f t="shared" si="383"/>
        <v>专属强化石1</v>
      </c>
      <c r="FX674" s="101">
        <f t="shared" si="384"/>
        <v>16</v>
      </c>
      <c r="FY674" s="101" t="str">
        <f t="shared" si="385"/>
        <v>专属强化石2</v>
      </c>
      <c r="FZ674" s="101">
        <f t="shared" si="386"/>
        <v>8</v>
      </c>
      <c r="GA674" s="101">
        <f t="shared" si="391"/>
        <v>0.04</v>
      </c>
      <c r="GB674" s="101">
        <f t="shared" si="392"/>
        <v>1</v>
      </c>
      <c r="GC674" s="101">
        <f t="shared" si="393"/>
        <v>41</v>
      </c>
      <c r="GD674" s="101">
        <f t="shared" si="394"/>
        <v>0</v>
      </c>
      <c r="GE674" s="101">
        <f t="shared" si="395"/>
        <v>1</v>
      </c>
      <c r="GF674" s="101">
        <f t="shared" si="396"/>
        <v>10</v>
      </c>
      <c r="GG674" s="101">
        <f t="shared" si="397"/>
        <v>1.8100000000000002E-2</v>
      </c>
      <c r="GH674" s="101">
        <f t="shared" si="398"/>
        <v>1</v>
      </c>
      <c r="GI674" s="101">
        <f t="shared" si="399"/>
        <v>19</v>
      </c>
      <c r="GJ674" s="101">
        <f t="shared" si="400"/>
        <v>7.2499999999999995E-2</v>
      </c>
      <c r="GK674" s="101">
        <f t="shared" si="401"/>
        <v>1</v>
      </c>
      <c r="GL674" s="101">
        <f t="shared" si="402"/>
        <v>41</v>
      </c>
    </row>
    <row r="675" spans="170:194" ht="16.5" x14ac:dyDescent="0.2">
      <c r="FN675" s="101">
        <v>670</v>
      </c>
      <c r="FO675" s="101">
        <f t="shared" si="387"/>
        <v>27</v>
      </c>
      <c r="FP675" s="101">
        <f t="shared" si="380"/>
        <v>9</v>
      </c>
      <c r="FQ675" s="14">
        <f t="shared" si="381"/>
        <v>4</v>
      </c>
      <c r="FR675" s="101" t="str">
        <f t="shared" si="388"/>
        <v>张郃专属武器-魂珠-3 9级</v>
      </c>
      <c r="FS675" s="101">
        <f t="shared" si="389"/>
        <v>3</v>
      </c>
      <c r="FT675" s="101">
        <f t="shared" si="390"/>
        <v>9</v>
      </c>
      <c r="FU675" s="101" t="str">
        <f t="shared" si="382"/>
        <v>金币</v>
      </c>
      <c r="FV675" s="139">
        <f>IF($FT675&gt;0,IF(INDEX($EI$6:$EI$77,$FO675)&gt;=FV$3,ROUND(INDEX(EK$6:EK$77,$FO675)*INDEX(卡牌消耗!$B$8:$F$8,FQ675)/5,0)*5,""),"")</f>
        <v>3310</v>
      </c>
      <c r="FW675" s="101" t="str">
        <f t="shared" si="383"/>
        <v>专属强化石1</v>
      </c>
      <c r="FX675" s="101">
        <f t="shared" si="384"/>
        <v>20</v>
      </c>
      <c r="FY675" s="101" t="str">
        <f t="shared" si="385"/>
        <v>专属强化石2</v>
      </c>
      <c r="FZ675" s="101">
        <f t="shared" si="386"/>
        <v>10</v>
      </c>
      <c r="GA675" s="101">
        <f t="shared" si="391"/>
        <v>0.03</v>
      </c>
      <c r="GB675" s="101">
        <f t="shared" si="392"/>
        <v>1</v>
      </c>
      <c r="GC675" s="101">
        <f t="shared" si="393"/>
        <v>54</v>
      </c>
      <c r="GD675" s="101">
        <f t="shared" si="394"/>
        <v>0</v>
      </c>
      <c r="GE675" s="101">
        <f t="shared" si="395"/>
        <v>1</v>
      </c>
      <c r="GF675" s="101">
        <f t="shared" si="396"/>
        <v>12</v>
      </c>
      <c r="GG675" s="101">
        <f t="shared" si="397"/>
        <v>1.4E-2</v>
      </c>
      <c r="GH675" s="101">
        <f t="shared" si="398"/>
        <v>1</v>
      </c>
      <c r="GI675" s="101">
        <f t="shared" si="399"/>
        <v>25</v>
      </c>
      <c r="GJ675" s="101">
        <f t="shared" si="400"/>
        <v>5.6000000000000001E-2</v>
      </c>
      <c r="GK675" s="101">
        <f t="shared" si="401"/>
        <v>1</v>
      </c>
      <c r="GL675" s="101">
        <f t="shared" si="402"/>
        <v>54</v>
      </c>
    </row>
    <row r="676" spans="170:194" ht="16.5" x14ac:dyDescent="0.2">
      <c r="FN676" s="101">
        <v>671</v>
      </c>
      <c r="FO676" s="101">
        <f t="shared" si="387"/>
        <v>0</v>
      </c>
      <c r="FP676" s="101">
        <f t="shared" si="380"/>
        <v>9</v>
      </c>
      <c r="FQ676" s="14">
        <f t="shared" si="381"/>
        <v>4</v>
      </c>
      <c r="FR676" s="101" t="str">
        <f t="shared" si="388"/>
        <v>张郃专属武器-魂珠-4 0级</v>
      </c>
      <c r="FS676" s="101">
        <f t="shared" si="389"/>
        <v>4</v>
      </c>
      <c r="FT676" s="101">
        <f t="shared" si="390"/>
        <v>0</v>
      </c>
      <c r="FU676" s="101" t="str">
        <f t="shared" si="382"/>
        <v/>
      </c>
      <c r="FV676" s="139" t="str">
        <f>IF($FT676&gt;0,IF(INDEX($EI$6:$EI$77,$FO676)&gt;=FV$3,ROUND(INDEX(EK$6:EK$77,$FO676)*INDEX(卡牌消耗!$B$8:$F$8,FQ676)/5,0)*5,""),"")</f>
        <v/>
      </c>
      <c r="FW676" s="101" t="str">
        <f t="shared" si="383"/>
        <v/>
      </c>
      <c r="FX676" s="101" t="str">
        <f t="shared" si="384"/>
        <v/>
      </c>
      <c r="FY676" s="101" t="str">
        <f t="shared" si="385"/>
        <v/>
      </c>
      <c r="FZ676" s="101" t="str">
        <f t="shared" si="386"/>
        <v/>
      </c>
      <c r="GA676" s="101" t="str">
        <f t="shared" si="391"/>
        <v/>
      </c>
      <c r="GB676" s="101" t="str">
        <f t="shared" si="392"/>
        <v/>
      </c>
      <c r="GC676" s="101" t="str">
        <f t="shared" si="393"/>
        <v/>
      </c>
      <c r="GD676" s="101" t="str">
        <f t="shared" si="394"/>
        <v/>
      </c>
      <c r="GE676" s="101" t="str">
        <f t="shared" si="395"/>
        <v/>
      </c>
      <c r="GF676" s="101" t="str">
        <f t="shared" si="396"/>
        <v/>
      </c>
      <c r="GG676" s="101" t="str">
        <f t="shared" si="397"/>
        <v/>
      </c>
      <c r="GH676" s="101" t="str">
        <f t="shared" si="398"/>
        <v/>
      </c>
      <c r="GI676" s="101" t="str">
        <f t="shared" si="399"/>
        <v/>
      </c>
      <c r="GJ676" s="101" t="str">
        <f t="shared" si="400"/>
        <v/>
      </c>
      <c r="GK676" s="101" t="str">
        <f t="shared" si="401"/>
        <v/>
      </c>
      <c r="GL676" s="101" t="str">
        <f t="shared" si="402"/>
        <v/>
      </c>
    </row>
    <row r="677" spans="170:194" ht="16.5" x14ac:dyDescent="0.2">
      <c r="FN677" s="101">
        <v>672</v>
      </c>
      <c r="FO677" s="101">
        <f t="shared" si="387"/>
        <v>28</v>
      </c>
      <c r="FP677" s="101">
        <f t="shared" si="380"/>
        <v>9</v>
      </c>
      <c r="FQ677" s="14">
        <f t="shared" si="381"/>
        <v>4</v>
      </c>
      <c r="FR677" s="101" t="str">
        <f t="shared" si="388"/>
        <v>张郃专属武器-魂珠-4 1级</v>
      </c>
      <c r="FS677" s="101">
        <f t="shared" si="389"/>
        <v>4</v>
      </c>
      <c r="FT677" s="101">
        <f t="shared" si="390"/>
        <v>1</v>
      </c>
      <c r="FU677" s="101" t="str">
        <f t="shared" si="382"/>
        <v>金币</v>
      </c>
      <c r="FV677" s="139">
        <f>IF($FT677&gt;0,IF(INDEX($EI$6:$EI$77,$FO677)&gt;=FV$3,ROUND(INDEX(EK$6:EK$77,$FO677)*INDEX(卡牌消耗!$B$8:$F$8,FQ677)/5,0)*5,""),"")</f>
        <v>1095</v>
      </c>
      <c r="FW677" s="101" t="str">
        <f t="shared" si="383"/>
        <v>专属强化石2</v>
      </c>
      <c r="FX677" s="101">
        <f t="shared" si="384"/>
        <v>3</v>
      </c>
      <c r="FY677" s="101" t="str">
        <f t="shared" si="385"/>
        <v>专属强化石3</v>
      </c>
      <c r="FZ677" s="101">
        <f t="shared" si="386"/>
        <v>1</v>
      </c>
      <c r="GA677" s="101">
        <f t="shared" si="391"/>
        <v>0.2</v>
      </c>
      <c r="GB677" s="101">
        <f t="shared" si="392"/>
        <v>1</v>
      </c>
      <c r="GC677" s="101">
        <f t="shared" si="393"/>
        <v>7</v>
      </c>
      <c r="GD677" s="101">
        <f t="shared" si="394"/>
        <v>0</v>
      </c>
      <c r="GE677" s="101">
        <f t="shared" si="395"/>
        <v>1</v>
      </c>
      <c r="GF677" s="101">
        <f t="shared" si="396"/>
        <v>2</v>
      </c>
      <c r="GG677" s="101">
        <f t="shared" si="397"/>
        <v>0.1012</v>
      </c>
      <c r="GH677" s="101">
        <f t="shared" si="398"/>
        <v>1</v>
      </c>
      <c r="GI677" s="101">
        <f t="shared" si="399"/>
        <v>3</v>
      </c>
      <c r="GJ677" s="101">
        <f t="shared" si="400"/>
        <v>0.40479999999999999</v>
      </c>
      <c r="GK677" s="101">
        <f t="shared" si="401"/>
        <v>1</v>
      </c>
      <c r="GL677" s="101">
        <f t="shared" si="402"/>
        <v>7</v>
      </c>
    </row>
    <row r="678" spans="170:194" ht="16.5" x14ac:dyDescent="0.2">
      <c r="FN678" s="101">
        <v>673</v>
      </c>
      <c r="FO678" s="101">
        <f t="shared" si="387"/>
        <v>29</v>
      </c>
      <c r="FP678" s="101">
        <f t="shared" si="380"/>
        <v>9</v>
      </c>
      <c r="FQ678" s="14">
        <f t="shared" si="381"/>
        <v>4</v>
      </c>
      <c r="FR678" s="101" t="str">
        <f t="shared" si="388"/>
        <v>张郃专属武器-魂珠-4 2级</v>
      </c>
      <c r="FS678" s="101">
        <f t="shared" si="389"/>
        <v>4</v>
      </c>
      <c r="FT678" s="101">
        <f t="shared" si="390"/>
        <v>2</v>
      </c>
      <c r="FU678" s="101" t="str">
        <f t="shared" si="382"/>
        <v>金币</v>
      </c>
      <c r="FV678" s="139">
        <f>IF($FT678&gt;0,IF(INDEX($EI$6:$EI$77,$FO678)&gt;=FV$3,ROUND(INDEX(EK$6:EK$77,$FO678)*INDEX(卡牌消耗!$B$8:$F$8,FQ678)/5,0)*5,""),"")</f>
        <v>820</v>
      </c>
      <c r="FW678" s="101" t="str">
        <f t="shared" si="383"/>
        <v>专属强化石2</v>
      </c>
      <c r="FX678" s="101">
        <f t="shared" si="384"/>
        <v>3</v>
      </c>
      <c r="FY678" s="101" t="str">
        <f t="shared" si="385"/>
        <v>专属强化石3</v>
      </c>
      <c r="FZ678" s="101">
        <f t="shared" si="386"/>
        <v>1</v>
      </c>
      <c r="GA678" s="101">
        <f t="shared" si="391"/>
        <v>0.1</v>
      </c>
      <c r="GB678" s="101">
        <f t="shared" si="392"/>
        <v>1</v>
      </c>
      <c r="GC678" s="101">
        <f t="shared" si="393"/>
        <v>15</v>
      </c>
      <c r="GD678" s="101">
        <f t="shared" si="394"/>
        <v>0</v>
      </c>
      <c r="GE678" s="101">
        <f t="shared" si="395"/>
        <v>1</v>
      </c>
      <c r="GF678" s="101">
        <f t="shared" si="396"/>
        <v>3</v>
      </c>
      <c r="GG678" s="101">
        <f t="shared" si="397"/>
        <v>5.0599999999999999E-2</v>
      </c>
      <c r="GH678" s="101">
        <f t="shared" si="398"/>
        <v>1</v>
      </c>
      <c r="GI678" s="101">
        <f t="shared" si="399"/>
        <v>7</v>
      </c>
      <c r="GJ678" s="101">
        <f t="shared" si="400"/>
        <v>0.2024</v>
      </c>
      <c r="GK678" s="101">
        <f t="shared" si="401"/>
        <v>1</v>
      </c>
      <c r="GL678" s="101">
        <f t="shared" si="402"/>
        <v>15</v>
      </c>
    </row>
    <row r="679" spans="170:194" ht="16.5" x14ac:dyDescent="0.2">
      <c r="FN679" s="101">
        <v>674</v>
      </c>
      <c r="FO679" s="101">
        <f t="shared" si="387"/>
        <v>30</v>
      </c>
      <c r="FP679" s="101">
        <f t="shared" si="380"/>
        <v>9</v>
      </c>
      <c r="FQ679" s="14">
        <f t="shared" si="381"/>
        <v>4</v>
      </c>
      <c r="FR679" s="101" t="str">
        <f t="shared" si="388"/>
        <v>张郃专属武器-魂珠-4 3级</v>
      </c>
      <c r="FS679" s="101">
        <f t="shared" si="389"/>
        <v>4</v>
      </c>
      <c r="FT679" s="101">
        <f t="shared" si="390"/>
        <v>3</v>
      </c>
      <c r="FU679" s="101" t="str">
        <f t="shared" si="382"/>
        <v>金币</v>
      </c>
      <c r="FV679" s="139">
        <f>IF($FT679&gt;0,IF(INDEX($EI$6:$EI$77,$FO679)&gt;=FV$3,ROUND(INDEX(EK$6:EK$77,$FO679)*INDEX(卡牌消耗!$B$8:$F$8,FQ679)/5,0)*5,""),"")</f>
        <v>910</v>
      </c>
      <c r="FW679" s="101" t="str">
        <f t="shared" si="383"/>
        <v>专属强化石2</v>
      </c>
      <c r="FX679" s="101">
        <f t="shared" si="384"/>
        <v>3</v>
      </c>
      <c r="FY679" s="101" t="str">
        <f t="shared" si="385"/>
        <v>专属强化石3</v>
      </c>
      <c r="FZ679" s="101">
        <f t="shared" si="386"/>
        <v>1</v>
      </c>
      <c r="GA679" s="101">
        <f t="shared" si="391"/>
        <v>7.0000000000000007E-2</v>
      </c>
      <c r="GB679" s="101">
        <f t="shared" si="392"/>
        <v>1</v>
      </c>
      <c r="GC679" s="101">
        <f t="shared" si="393"/>
        <v>22</v>
      </c>
      <c r="GD679" s="101">
        <f t="shared" si="394"/>
        <v>0</v>
      </c>
      <c r="GE679" s="101">
        <f t="shared" si="395"/>
        <v>1</v>
      </c>
      <c r="GF679" s="101">
        <f t="shared" si="396"/>
        <v>5</v>
      </c>
      <c r="GG679" s="101">
        <f t="shared" si="397"/>
        <v>3.3700000000000001E-2</v>
      </c>
      <c r="GH679" s="101">
        <f t="shared" si="398"/>
        <v>1</v>
      </c>
      <c r="GI679" s="101">
        <f t="shared" si="399"/>
        <v>10</v>
      </c>
      <c r="GJ679" s="101">
        <f t="shared" si="400"/>
        <v>0.13489999999999999</v>
      </c>
      <c r="GK679" s="101">
        <f t="shared" si="401"/>
        <v>1</v>
      </c>
      <c r="GL679" s="101">
        <f t="shared" si="402"/>
        <v>22</v>
      </c>
    </row>
    <row r="680" spans="170:194" ht="16.5" x14ac:dyDescent="0.2">
      <c r="FN680" s="101">
        <v>675</v>
      </c>
      <c r="FO680" s="101">
        <f t="shared" si="387"/>
        <v>31</v>
      </c>
      <c r="FP680" s="101">
        <f t="shared" si="380"/>
        <v>9</v>
      </c>
      <c r="FQ680" s="14">
        <f t="shared" si="381"/>
        <v>4</v>
      </c>
      <c r="FR680" s="101" t="str">
        <f t="shared" si="388"/>
        <v>张郃专属武器-魂珠-4 4级</v>
      </c>
      <c r="FS680" s="101">
        <f t="shared" si="389"/>
        <v>4</v>
      </c>
      <c r="FT680" s="101">
        <f t="shared" si="390"/>
        <v>4</v>
      </c>
      <c r="FU680" s="101" t="str">
        <f t="shared" si="382"/>
        <v>金币</v>
      </c>
      <c r="FV680" s="139">
        <f>IF($FT680&gt;0,IF(INDEX($EI$6:$EI$77,$FO680)&gt;=FV$3,ROUND(INDEX(EK$6:EK$77,$FO680)*INDEX(卡牌消耗!$B$8:$F$8,FQ680)/5,0)*5,""),"")</f>
        <v>1750</v>
      </c>
      <c r="FW680" s="101" t="str">
        <f t="shared" si="383"/>
        <v>专属强化石2</v>
      </c>
      <c r="FX680" s="101">
        <f t="shared" si="384"/>
        <v>5</v>
      </c>
      <c r="FY680" s="101" t="str">
        <f t="shared" si="385"/>
        <v>专属强化石3</v>
      </c>
      <c r="FZ680" s="101">
        <f t="shared" si="386"/>
        <v>2</v>
      </c>
      <c r="GA680" s="101">
        <f t="shared" si="391"/>
        <v>0.08</v>
      </c>
      <c r="GB680" s="101">
        <f t="shared" si="392"/>
        <v>1</v>
      </c>
      <c r="GC680" s="101">
        <f t="shared" si="393"/>
        <v>19</v>
      </c>
      <c r="GD680" s="101">
        <f t="shared" si="394"/>
        <v>0</v>
      </c>
      <c r="GE680" s="101">
        <f t="shared" si="395"/>
        <v>1</v>
      </c>
      <c r="GF680" s="101">
        <f t="shared" si="396"/>
        <v>4</v>
      </c>
      <c r="GG680" s="101">
        <f t="shared" si="397"/>
        <v>4.0500000000000001E-2</v>
      </c>
      <c r="GH680" s="101">
        <f t="shared" si="398"/>
        <v>1</v>
      </c>
      <c r="GI680" s="101">
        <f t="shared" si="399"/>
        <v>9</v>
      </c>
      <c r="GJ680" s="101">
        <f t="shared" si="400"/>
        <v>0.16189999999999999</v>
      </c>
      <c r="GK680" s="101">
        <f t="shared" si="401"/>
        <v>1</v>
      </c>
      <c r="GL680" s="101">
        <f t="shared" si="402"/>
        <v>19</v>
      </c>
    </row>
    <row r="681" spans="170:194" ht="16.5" x14ac:dyDescent="0.2">
      <c r="FN681" s="101">
        <v>676</v>
      </c>
      <c r="FO681" s="101">
        <f t="shared" si="387"/>
        <v>32</v>
      </c>
      <c r="FP681" s="101">
        <f t="shared" si="380"/>
        <v>9</v>
      </c>
      <c r="FQ681" s="14">
        <f t="shared" si="381"/>
        <v>4</v>
      </c>
      <c r="FR681" s="101" t="str">
        <f t="shared" si="388"/>
        <v>张郃专属武器-魂珠-4 5级</v>
      </c>
      <c r="FS681" s="101">
        <f t="shared" si="389"/>
        <v>4</v>
      </c>
      <c r="FT681" s="101">
        <f t="shared" si="390"/>
        <v>5</v>
      </c>
      <c r="FU681" s="101" t="str">
        <f t="shared" si="382"/>
        <v>金币</v>
      </c>
      <c r="FV681" s="139">
        <f>IF($FT681&gt;0,IF(INDEX($EI$6:$EI$77,$FO681)&gt;=FV$3,ROUND(INDEX(EK$6:EK$77,$FO681)*INDEX(卡牌消耗!$B$8:$F$8,FQ681)/5,0)*5,""),"")</f>
        <v>1780</v>
      </c>
      <c r="FW681" s="101" t="str">
        <f t="shared" si="383"/>
        <v>专属强化石2</v>
      </c>
      <c r="FX681" s="101">
        <f t="shared" si="384"/>
        <v>5</v>
      </c>
      <c r="FY681" s="101" t="str">
        <f t="shared" si="385"/>
        <v>专属强化石3</v>
      </c>
      <c r="FZ681" s="101">
        <f t="shared" si="386"/>
        <v>2</v>
      </c>
      <c r="GA681" s="101">
        <f t="shared" si="391"/>
        <v>0.05</v>
      </c>
      <c r="GB681" s="101">
        <f t="shared" si="392"/>
        <v>1</v>
      </c>
      <c r="GC681" s="101">
        <f t="shared" si="393"/>
        <v>30</v>
      </c>
      <c r="GD681" s="101">
        <f t="shared" si="394"/>
        <v>0</v>
      </c>
      <c r="GE681" s="101">
        <f t="shared" si="395"/>
        <v>1</v>
      </c>
      <c r="GF681" s="101">
        <f t="shared" si="396"/>
        <v>7</v>
      </c>
      <c r="GG681" s="101">
        <f t="shared" si="397"/>
        <v>2.53E-2</v>
      </c>
      <c r="GH681" s="101">
        <f t="shared" si="398"/>
        <v>1</v>
      </c>
      <c r="GI681" s="101">
        <f t="shared" si="399"/>
        <v>14</v>
      </c>
      <c r="GJ681" s="101">
        <f t="shared" si="400"/>
        <v>0.1012</v>
      </c>
      <c r="GK681" s="101">
        <f t="shared" si="401"/>
        <v>1</v>
      </c>
      <c r="GL681" s="101">
        <f t="shared" si="402"/>
        <v>30</v>
      </c>
    </row>
    <row r="682" spans="170:194" ht="16.5" x14ac:dyDescent="0.2">
      <c r="FN682" s="101">
        <v>677</v>
      </c>
      <c r="FO682" s="101">
        <f t="shared" si="387"/>
        <v>33</v>
      </c>
      <c r="FP682" s="101">
        <f t="shared" si="380"/>
        <v>9</v>
      </c>
      <c r="FQ682" s="14">
        <f t="shared" si="381"/>
        <v>4</v>
      </c>
      <c r="FR682" s="101" t="str">
        <f t="shared" si="388"/>
        <v>张郃专属武器-魂珠-4 6级</v>
      </c>
      <c r="FS682" s="101">
        <f t="shared" si="389"/>
        <v>4</v>
      </c>
      <c r="FT682" s="101">
        <f t="shared" si="390"/>
        <v>6</v>
      </c>
      <c r="FU682" s="101" t="str">
        <f t="shared" si="382"/>
        <v>金币</v>
      </c>
      <c r="FV682" s="139">
        <f>IF($FT682&gt;0,IF(INDEX($EI$6:$EI$77,$FO682)&gt;=FV$3,ROUND(INDEX(EK$6:EK$77,$FO682)*INDEX(卡牌消耗!$B$8:$F$8,FQ682)/5,0)*5,""),"")</f>
        <v>1770</v>
      </c>
      <c r="FW682" s="101" t="str">
        <f t="shared" si="383"/>
        <v>专属强化石2</v>
      </c>
      <c r="FX682" s="101">
        <f t="shared" si="384"/>
        <v>5</v>
      </c>
      <c r="FY682" s="101" t="str">
        <f t="shared" si="385"/>
        <v>专属强化石3</v>
      </c>
      <c r="FZ682" s="101">
        <f t="shared" si="386"/>
        <v>2</v>
      </c>
      <c r="GA682" s="101">
        <f t="shared" si="391"/>
        <v>0.03</v>
      </c>
      <c r="GB682" s="101">
        <f t="shared" si="392"/>
        <v>1</v>
      </c>
      <c r="GC682" s="101">
        <f t="shared" si="393"/>
        <v>48</v>
      </c>
      <c r="GD682" s="101">
        <f t="shared" si="394"/>
        <v>0</v>
      </c>
      <c r="GE682" s="101">
        <f t="shared" si="395"/>
        <v>1</v>
      </c>
      <c r="GF682" s="101">
        <f t="shared" si="396"/>
        <v>11</v>
      </c>
      <c r="GG682" s="101">
        <f t="shared" si="397"/>
        <v>1.5599999999999999E-2</v>
      </c>
      <c r="GH682" s="101">
        <f t="shared" si="398"/>
        <v>1</v>
      </c>
      <c r="GI682" s="101">
        <f t="shared" si="399"/>
        <v>22</v>
      </c>
      <c r="GJ682" s="101">
        <f t="shared" si="400"/>
        <v>6.2300000000000001E-2</v>
      </c>
      <c r="GK682" s="101">
        <f t="shared" si="401"/>
        <v>1</v>
      </c>
      <c r="GL682" s="101">
        <f t="shared" si="402"/>
        <v>48</v>
      </c>
    </row>
    <row r="683" spans="170:194" ht="16.5" x14ac:dyDescent="0.2">
      <c r="FN683" s="101">
        <v>678</v>
      </c>
      <c r="FO683" s="101">
        <f t="shared" si="387"/>
        <v>34</v>
      </c>
      <c r="FP683" s="101">
        <f t="shared" si="380"/>
        <v>9</v>
      </c>
      <c r="FQ683" s="14">
        <f t="shared" si="381"/>
        <v>4</v>
      </c>
      <c r="FR683" s="101" t="str">
        <f t="shared" si="388"/>
        <v>张郃专属武器-魂珠-4 7级</v>
      </c>
      <c r="FS683" s="101">
        <f t="shared" si="389"/>
        <v>4</v>
      </c>
      <c r="FT683" s="101">
        <f t="shared" si="390"/>
        <v>7</v>
      </c>
      <c r="FU683" s="101" t="str">
        <f t="shared" si="382"/>
        <v>金币</v>
      </c>
      <c r="FV683" s="139">
        <f>IF($FT683&gt;0,IF(INDEX($EI$6:$EI$77,$FO683)&gt;=FV$3,ROUND(INDEX(EK$6:EK$77,$FO683)*INDEX(卡牌消耗!$B$8:$F$8,FQ683)/5,0)*5,""),"")</f>
        <v>2660</v>
      </c>
      <c r="FW683" s="101" t="str">
        <f t="shared" si="383"/>
        <v>专属强化石2</v>
      </c>
      <c r="FX683" s="101">
        <f t="shared" si="384"/>
        <v>8</v>
      </c>
      <c r="FY683" s="101" t="str">
        <f t="shared" si="385"/>
        <v>专属强化石3</v>
      </c>
      <c r="FZ683" s="101">
        <f t="shared" si="386"/>
        <v>3</v>
      </c>
      <c r="GA683" s="101">
        <f t="shared" si="391"/>
        <v>0.03</v>
      </c>
      <c r="GB683" s="101">
        <f t="shared" si="392"/>
        <v>1</v>
      </c>
      <c r="GC683" s="101">
        <f t="shared" si="393"/>
        <v>52</v>
      </c>
      <c r="GD683" s="101">
        <f t="shared" si="394"/>
        <v>0</v>
      </c>
      <c r="GE683" s="101">
        <f t="shared" si="395"/>
        <v>1</v>
      </c>
      <c r="GF683" s="101">
        <f t="shared" si="396"/>
        <v>12</v>
      </c>
      <c r="GG683" s="101">
        <f t="shared" si="397"/>
        <v>1.4500000000000001E-2</v>
      </c>
      <c r="GH683" s="101">
        <f t="shared" si="398"/>
        <v>1</v>
      </c>
      <c r="GI683" s="101">
        <f t="shared" si="399"/>
        <v>24</v>
      </c>
      <c r="GJ683" s="101">
        <f t="shared" si="400"/>
        <v>5.7799999999999997E-2</v>
      </c>
      <c r="GK683" s="101">
        <f t="shared" si="401"/>
        <v>1</v>
      </c>
      <c r="GL683" s="101">
        <f t="shared" si="402"/>
        <v>52</v>
      </c>
    </row>
    <row r="684" spans="170:194" ht="16.5" x14ac:dyDescent="0.2">
      <c r="FN684" s="101">
        <v>679</v>
      </c>
      <c r="FO684" s="101">
        <f t="shared" si="387"/>
        <v>35</v>
      </c>
      <c r="FP684" s="101">
        <f t="shared" si="380"/>
        <v>9</v>
      </c>
      <c r="FQ684" s="14">
        <f t="shared" si="381"/>
        <v>4</v>
      </c>
      <c r="FR684" s="101" t="str">
        <f t="shared" si="388"/>
        <v>张郃专属武器-魂珠-4 8级</v>
      </c>
      <c r="FS684" s="101">
        <f t="shared" si="389"/>
        <v>4</v>
      </c>
      <c r="FT684" s="101">
        <f t="shared" si="390"/>
        <v>8</v>
      </c>
      <c r="FU684" s="101" t="str">
        <f t="shared" si="382"/>
        <v>金币</v>
      </c>
      <c r="FV684" s="139">
        <f>IF($FT684&gt;0,IF(INDEX($EI$6:$EI$77,$FO684)&gt;=FV$3,ROUND(INDEX(EK$6:EK$77,$FO684)*INDEX(卡牌消耗!$B$8:$F$8,FQ684)/5,0)*5,""),"")</f>
        <v>3540</v>
      </c>
      <c r="FW684" s="101" t="str">
        <f t="shared" si="383"/>
        <v>专属强化石2</v>
      </c>
      <c r="FX684" s="101">
        <f t="shared" si="384"/>
        <v>11</v>
      </c>
      <c r="FY684" s="101" t="str">
        <f t="shared" si="385"/>
        <v>专属强化石3</v>
      </c>
      <c r="FZ684" s="101">
        <f t="shared" si="386"/>
        <v>4</v>
      </c>
      <c r="GA684" s="101">
        <f t="shared" si="391"/>
        <v>0.02</v>
      </c>
      <c r="GB684" s="101">
        <f t="shared" si="392"/>
        <v>1</v>
      </c>
      <c r="GC684" s="101">
        <f t="shared" si="393"/>
        <v>63</v>
      </c>
      <c r="GD684" s="101">
        <f t="shared" si="394"/>
        <v>0</v>
      </c>
      <c r="GE684" s="101">
        <f t="shared" si="395"/>
        <v>1</v>
      </c>
      <c r="GF684" s="101">
        <f t="shared" si="396"/>
        <v>15</v>
      </c>
      <c r="GG684" s="101">
        <f t="shared" si="397"/>
        <v>1.1900000000000001E-2</v>
      </c>
      <c r="GH684" s="101">
        <f t="shared" si="398"/>
        <v>1</v>
      </c>
      <c r="GI684" s="101">
        <f t="shared" si="399"/>
        <v>29</v>
      </c>
      <c r="GJ684" s="101">
        <f t="shared" si="400"/>
        <v>4.7600000000000003E-2</v>
      </c>
      <c r="GK684" s="101">
        <f t="shared" si="401"/>
        <v>1</v>
      </c>
      <c r="GL684" s="101">
        <f t="shared" si="402"/>
        <v>63</v>
      </c>
    </row>
    <row r="685" spans="170:194" ht="16.5" x14ac:dyDescent="0.2">
      <c r="FN685" s="101">
        <v>680</v>
      </c>
      <c r="FO685" s="101">
        <f t="shared" si="387"/>
        <v>36</v>
      </c>
      <c r="FP685" s="101">
        <f t="shared" si="380"/>
        <v>9</v>
      </c>
      <c r="FQ685" s="14">
        <f t="shared" si="381"/>
        <v>4</v>
      </c>
      <c r="FR685" s="101" t="str">
        <f t="shared" si="388"/>
        <v>张郃专属武器-魂珠-4 9级</v>
      </c>
      <c r="FS685" s="101">
        <f t="shared" si="389"/>
        <v>4</v>
      </c>
      <c r="FT685" s="101">
        <f t="shared" si="390"/>
        <v>9</v>
      </c>
      <c r="FU685" s="101" t="str">
        <f t="shared" si="382"/>
        <v>金币</v>
      </c>
      <c r="FV685" s="139">
        <f>IF($FT685&gt;0,IF(INDEX($EI$6:$EI$77,$FO685)&gt;=FV$3,ROUND(INDEX(EK$6:EK$77,$FO685)*INDEX(卡牌消耗!$B$8:$F$8,FQ685)/5,0)*5,""),"")</f>
        <v>5315</v>
      </c>
      <c r="FW685" s="101" t="str">
        <f t="shared" si="383"/>
        <v>专属强化石2</v>
      </c>
      <c r="FX685" s="101">
        <f t="shared" si="384"/>
        <v>16</v>
      </c>
      <c r="FY685" s="101" t="str">
        <f t="shared" si="385"/>
        <v>专属强化石3</v>
      </c>
      <c r="FZ685" s="101">
        <f t="shared" si="386"/>
        <v>6</v>
      </c>
      <c r="GA685" s="101">
        <f t="shared" si="391"/>
        <v>0.02</v>
      </c>
      <c r="GB685" s="101">
        <f t="shared" si="392"/>
        <v>1</v>
      </c>
      <c r="GC685" s="101">
        <f t="shared" si="393"/>
        <v>68</v>
      </c>
      <c r="GD685" s="101">
        <f t="shared" si="394"/>
        <v>0</v>
      </c>
      <c r="GE685" s="101">
        <f t="shared" si="395"/>
        <v>1</v>
      </c>
      <c r="GF685" s="101">
        <f t="shared" si="396"/>
        <v>16</v>
      </c>
      <c r="GG685" s="101">
        <f t="shared" si="397"/>
        <v>1.0999999999999999E-2</v>
      </c>
      <c r="GH685" s="101">
        <f t="shared" si="398"/>
        <v>1</v>
      </c>
      <c r="GI685" s="101">
        <f t="shared" si="399"/>
        <v>32</v>
      </c>
      <c r="GJ685" s="101">
        <f t="shared" si="400"/>
        <v>4.4200000000000003E-2</v>
      </c>
      <c r="GK685" s="101">
        <f t="shared" si="401"/>
        <v>1</v>
      </c>
      <c r="GL685" s="101">
        <f t="shared" si="402"/>
        <v>68</v>
      </c>
    </row>
    <row r="686" spans="170:194" ht="16.5" x14ac:dyDescent="0.2">
      <c r="FN686" s="101">
        <v>681</v>
      </c>
      <c r="FO686" s="101">
        <f t="shared" si="387"/>
        <v>0</v>
      </c>
      <c r="FP686" s="101">
        <f t="shared" si="380"/>
        <v>9</v>
      </c>
      <c r="FQ686" s="14">
        <f t="shared" si="381"/>
        <v>4</v>
      </c>
      <c r="FR686" s="101" t="str">
        <f t="shared" si="388"/>
        <v>张郃专属武器-魂珠-5 0级</v>
      </c>
      <c r="FS686" s="101">
        <f t="shared" si="389"/>
        <v>5</v>
      </c>
      <c r="FT686" s="101">
        <f t="shared" si="390"/>
        <v>0</v>
      </c>
      <c r="FU686" s="101" t="str">
        <f t="shared" si="382"/>
        <v/>
      </c>
      <c r="FV686" s="139" t="str">
        <f>IF($FT686&gt;0,IF(INDEX($EI$6:$EI$77,$FO686)&gt;=FV$3,ROUND(INDEX(EK$6:EK$77,$FO686)*INDEX(卡牌消耗!$B$8:$F$8,FQ686)/5,0)*5,""),"")</f>
        <v/>
      </c>
      <c r="FW686" s="101" t="str">
        <f t="shared" si="383"/>
        <v/>
      </c>
      <c r="FX686" s="101" t="str">
        <f t="shared" si="384"/>
        <v/>
      </c>
      <c r="FY686" s="101" t="str">
        <f t="shared" si="385"/>
        <v/>
      </c>
      <c r="FZ686" s="101" t="str">
        <f t="shared" si="386"/>
        <v/>
      </c>
      <c r="GA686" s="101" t="str">
        <f t="shared" si="391"/>
        <v/>
      </c>
      <c r="GB686" s="101" t="str">
        <f t="shared" si="392"/>
        <v/>
      </c>
      <c r="GC686" s="101" t="str">
        <f t="shared" si="393"/>
        <v/>
      </c>
      <c r="GD686" s="101" t="str">
        <f t="shared" si="394"/>
        <v/>
      </c>
      <c r="GE686" s="101" t="str">
        <f t="shared" si="395"/>
        <v/>
      </c>
      <c r="GF686" s="101" t="str">
        <f t="shared" si="396"/>
        <v/>
      </c>
      <c r="GG686" s="101" t="str">
        <f t="shared" si="397"/>
        <v/>
      </c>
      <c r="GH686" s="101" t="str">
        <f t="shared" si="398"/>
        <v/>
      </c>
      <c r="GI686" s="101" t="str">
        <f t="shared" si="399"/>
        <v/>
      </c>
      <c r="GJ686" s="101" t="str">
        <f t="shared" si="400"/>
        <v/>
      </c>
      <c r="GK686" s="101" t="str">
        <f t="shared" si="401"/>
        <v/>
      </c>
      <c r="GL686" s="101" t="str">
        <f t="shared" si="402"/>
        <v/>
      </c>
    </row>
    <row r="687" spans="170:194" ht="16.5" x14ac:dyDescent="0.2">
      <c r="FN687" s="101">
        <v>682</v>
      </c>
      <c r="FO687" s="101">
        <f t="shared" si="387"/>
        <v>37</v>
      </c>
      <c r="FP687" s="101">
        <f t="shared" si="380"/>
        <v>9</v>
      </c>
      <c r="FQ687" s="14">
        <f t="shared" si="381"/>
        <v>4</v>
      </c>
      <c r="FR687" s="101" t="str">
        <f t="shared" si="388"/>
        <v>张郃专属武器-魂珠-5 1级</v>
      </c>
      <c r="FS687" s="101">
        <f t="shared" si="389"/>
        <v>5</v>
      </c>
      <c r="FT687" s="101">
        <f t="shared" si="390"/>
        <v>1</v>
      </c>
      <c r="FU687" s="101" t="str">
        <f t="shared" si="382"/>
        <v>金币</v>
      </c>
      <c r="FV687" s="139">
        <f>IF($FT687&gt;0,IF(INDEX($EI$6:$EI$77,$FO687)&gt;=FV$3,ROUND(INDEX(EK$6:EK$77,$FO687)*INDEX(卡牌消耗!$B$8:$F$8,FQ687)/5,0)*5,""),"")</f>
        <v>2245</v>
      </c>
      <c r="FW687" s="101" t="str">
        <f t="shared" si="383"/>
        <v>专属强化石2</v>
      </c>
      <c r="FX687" s="101">
        <f t="shared" si="384"/>
        <v>3</v>
      </c>
      <c r="FY687" s="101" t="str">
        <f t="shared" si="385"/>
        <v>专属强化石3</v>
      </c>
      <c r="FZ687" s="101">
        <f t="shared" si="386"/>
        <v>2</v>
      </c>
      <c r="GA687" s="101">
        <f t="shared" si="391"/>
        <v>0.2</v>
      </c>
      <c r="GB687" s="101">
        <f t="shared" si="392"/>
        <v>1</v>
      </c>
      <c r="GC687" s="101">
        <f t="shared" si="393"/>
        <v>7</v>
      </c>
      <c r="GD687" s="101">
        <f t="shared" si="394"/>
        <v>0</v>
      </c>
      <c r="GE687" s="101">
        <f t="shared" si="395"/>
        <v>1</v>
      </c>
      <c r="GF687" s="101">
        <f t="shared" si="396"/>
        <v>2</v>
      </c>
      <c r="GG687" s="101">
        <f t="shared" si="397"/>
        <v>0.1012</v>
      </c>
      <c r="GH687" s="101">
        <f t="shared" si="398"/>
        <v>1</v>
      </c>
      <c r="GI687" s="101">
        <f t="shared" si="399"/>
        <v>3</v>
      </c>
      <c r="GJ687" s="101">
        <f t="shared" si="400"/>
        <v>0.40479999999999999</v>
      </c>
      <c r="GK687" s="101">
        <f t="shared" si="401"/>
        <v>1</v>
      </c>
      <c r="GL687" s="101">
        <f t="shared" si="402"/>
        <v>7</v>
      </c>
    </row>
    <row r="688" spans="170:194" ht="16.5" x14ac:dyDescent="0.2">
      <c r="FN688" s="101">
        <v>683</v>
      </c>
      <c r="FO688" s="101">
        <f t="shared" si="387"/>
        <v>38</v>
      </c>
      <c r="FP688" s="101">
        <f t="shared" si="380"/>
        <v>9</v>
      </c>
      <c r="FQ688" s="14">
        <f t="shared" si="381"/>
        <v>4</v>
      </c>
      <c r="FR688" s="101" t="str">
        <f t="shared" si="388"/>
        <v>张郃专属武器-魂珠-5 2级</v>
      </c>
      <c r="FS688" s="101">
        <f t="shared" si="389"/>
        <v>5</v>
      </c>
      <c r="FT688" s="101">
        <f t="shared" si="390"/>
        <v>2</v>
      </c>
      <c r="FU688" s="101" t="str">
        <f t="shared" si="382"/>
        <v>金币</v>
      </c>
      <c r="FV688" s="139">
        <f>IF($FT688&gt;0,IF(INDEX($EI$6:$EI$77,$FO688)&gt;=FV$3,ROUND(INDEX(EK$6:EK$77,$FO688)*INDEX(卡牌消耗!$B$8:$F$8,FQ688)/5,0)*5,""),"")</f>
        <v>1685</v>
      </c>
      <c r="FW688" s="101" t="str">
        <f t="shared" si="383"/>
        <v>专属强化石2</v>
      </c>
      <c r="FX688" s="101">
        <f t="shared" si="384"/>
        <v>3</v>
      </c>
      <c r="FY688" s="101" t="str">
        <f t="shared" si="385"/>
        <v>专属强化石3</v>
      </c>
      <c r="FZ688" s="101">
        <f t="shared" si="386"/>
        <v>2</v>
      </c>
      <c r="GA688" s="101">
        <f t="shared" si="391"/>
        <v>0.1</v>
      </c>
      <c r="GB688" s="101">
        <f t="shared" si="392"/>
        <v>1</v>
      </c>
      <c r="GC688" s="101">
        <f t="shared" si="393"/>
        <v>15</v>
      </c>
      <c r="GD688" s="101">
        <f t="shared" si="394"/>
        <v>0</v>
      </c>
      <c r="GE688" s="101">
        <f t="shared" si="395"/>
        <v>1</v>
      </c>
      <c r="GF688" s="101">
        <f t="shared" si="396"/>
        <v>3</v>
      </c>
      <c r="GG688" s="101">
        <f t="shared" si="397"/>
        <v>5.0599999999999999E-2</v>
      </c>
      <c r="GH688" s="101">
        <f t="shared" si="398"/>
        <v>1</v>
      </c>
      <c r="GI688" s="101">
        <f t="shared" si="399"/>
        <v>7</v>
      </c>
      <c r="GJ688" s="101">
        <f t="shared" si="400"/>
        <v>0.2024</v>
      </c>
      <c r="GK688" s="101">
        <f t="shared" si="401"/>
        <v>1</v>
      </c>
      <c r="GL688" s="101">
        <f t="shared" si="402"/>
        <v>15</v>
      </c>
    </row>
    <row r="689" spans="170:194" ht="16.5" x14ac:dyDescent="0.2">
      <c r="FN689" s="101">
        <v>684</v>
      </c>
      <c r="FO689" s="101">
        <f t="shared" si="387"/>
        <v>39</v>
      </c>
      <c r="FP689" s="101">
        <f t="shared" si="380"/>
        <v>9</v>
      </c>
      <c r="FQ689" s="14">
        <f t="shared" si="381"/>
        <v>4</v>
      </c>
      <c r="FR689" s="101" t="str">
        <f t="shared" si="388"/>
        <v>张郃专属武器-魂珠-5 3级</v>
      </c>
      <c r="FS689" s="101">
        <f t="shared" si="389"/>
        <v>5</v>
      </c>
      <c r="FT689" s="101">
        <f t="shared" si="390"/>
        <v>3</v>
      </c>
      <c r="FU689" s="101" t="str">
        <f t="shared" si="382"/>
        <v>金币</v>
      </c>
      <c r="FV689" s="139">
        <f>IF($FT689&gt;0,IF(INDEX($EI$6:$EI$77,$FO689)&gt;=FV$3,ROUND(INDEX(EK$6:EK$77,$FO689)*INDEX(卡牌消耗!$B$8:$F$8,FQ689)/5,0)*5,""),"")</f>
        <v>1870</v>
      </c>
      <c r="FW689" s="101" t="str">
        <f t="shared" si="383"/>
        <v>专属强化石2</v>
      </c>
      <c r="FX689" s="101">
        <f t="shared" si="384"/>
        <v>3</v>
      </c>
      <c r="FY689" s="101" t="str">
        <f t="shared" si="385"/>
        <v>专属强化石3</v>
      </c>
      <c r="FZ689" s="101">
        <f t="shared" si="386"/>
        <v>2</v>
      </c>
      <c r="GA689" s="101">
        <f t="shared" si="391"/>
        <v>7.0000000000000007E-2</v>
      </c>
      <c r="GB689" s="101">
        <f t="shared" si="392"/>
        <v>1</v>
      </c>
      <c r="GC689" s="101">
        <f t="shared" si="393"/>
        <v>22</v>
      </c>
      <c r="GD689" s="101">
        <f t="shared" si="394"/>
        <v>0</v>
      </c>
      <c r="GE689" s="101">
        <f t="shared" si="395"/>
        <v>1</v>
      </c>
      <c r="GF689" s="101">
        <f t="shared" si="396"/>
        <v>5</v>
      </c>
      <c r="GG689" s="101">
        <f t="shared" si="397"/>
        <v>3.3700000000000001E-2</v>
      </c>
      <c r="GH689" s="101">
        <f t="shared" si="398"/>
        <v>1</v>
      </c>
      <c r="GI689" s="101">
        <f t="shared" si="399"/>
        <v>10</v>
      </c>
      <c r="GJ689" s="101">
        <f t="shared" si="400"/>
        <v>0.13489999999999999</v>
      </c>
      <c r="GK689" s="101">
        <f t="shared" si="401"/>
        <v>1</v>
      </c>
      <c r="GL689" s="101">
        <f t="shared" si="402"/>
        <v>22</v>
      </c>
    </row>
    <row r="690" spans="170:194" ht="16.5" x14ac:dyDescent="0.2">
      <c r="FN690" s="101">
        <v>685</v>
      </c>
      <c r="FO690" s="101">
        <f t="shared" si="387"/>
        <v>40</v>
      </c>
      <c r="FP690" s="101">
        <f t="shared" si="380"/>
        <v>9</v>
      </c>
      <c r="FQ690" s="14">
        <f t="shared" si="381"/>
        <v>4</v>
      </c>
      <c r="FR690" s="101" t="str">
        <f t="shared" si="388"/>
        <v>张郃专属武器-魂珠-5 4级</v>
      </c>
      <c r="FS690" s="101">
        <f t="shared" si="389"/>
        <v>5</v>
      </c>
      <c r="FT690" s="101">
        <f t="shared" si="390"/>
        <v>4</v>
      </c>
      <c r="FU690" s="101" t="str">
        <f t="shared" si="382"/>
        <v>金币</v>
      </c>
      <c r="FV690" s="139">
        <f>IF($FT690&gt;0,IF(INDEX($EI$6:$EI$77,$FO690)&gt;=FV$3,ROUND(INDEX(EK$6:EK$77,$FO690)*INDEX(卡牌消耗!$B$8:$F$8,FQ690)/5,0)*5,""),"")</f>
        <v>2695</v>
      </c>
      <c r="FW690" s="101" t="str">
        <f t="shared" si="383"/>
        <v>专属强化石2</v>
      </c>
      <c r="FX690" s="101">
        <f t="shared" si="384"/>
        <v>5</v>
      </c>
      <c r="FY690" s="101" t="str">
        <f t="shared" si="385"/>
        <v>专属强化石3</v>
      </c>
      <c r="FZ690" s="101">
        <f t="shared" si="386"/>
        <v>3</v>
      </c>
      <c r="GA690" s="101">
        <f t="shared" si="391"/>
        <v>0.06</v>
      </c>
      <c r="GB690" s="101">
        <f t="shared" si="392"/>
        <v>1</v>
      </c>
      <c r="GC690" s="101">
        <f t="shared" si="393"/>
        <v>25</v>
      </c>
      <c r="GD690" s="101">
        <f t="shared" si="394"/>
        <v>0</v>
      </c>
      <c r="GE690" s="101">
        <f t="shared" si="395"/>
        <v>1</v>
      </c>
      <c r="GF690" s="101">
        <f t="shared" si="396"/>
        <v>6</v>
      </c>
      <c r="GG690" s="101">
        <f t="shared" si="397"/>
        <v>3.04E-2</v>
      </c>
      <c r="GH690" s="101">
        <f t="shared" si="398"/>
        <v>1</v>
      </c>
      <c r="GI690" s="101">
        <f t="shared" si="399"/>
        <v>12</v>
      </c>
      <c r="GJ690" s="101">
        <f t="shared" si="400"/>
        <v>0.12139999999999999</v>
      </c>
      <c r="GK690" s="101">
        <f t="shared" si="401"/>
        <v>1</v>
      </c>
      <c r="GL690" s="101">
        <f t="shared" si="402"/>
        <v>25</v>
      </c>
    </row>
    <row r="691" spans="170:194" ht="16.5" x14ac:dyDescent="0.2">
      <c r="FN691" s="101">
        <v>686</v>
      </c>
      <c r="FO691" s="101">
        <f t="shared" si="387"/>
        <v>41</v>
      </c>
      <c r="FP691" s="101">
        <f t="shared" si="380"/>
        <v>9</v>
      </c>
      <c r="FQ691" s="14">
        <f t="shared" si="381"/>
        <v>4</v>
      </c>
      <c r="FR691" s="101" t="str">
        <f t="shared" si="388"/>
        <v>张郃专属武器-魂珠-5 5级</v>
      </c>
      <c r="FS691" s="101">
        <f t="shared" si="389"/>
        <v>5</v>
      </c>
      <c r="FT691" s="101">
        <f t="shared" si="390"/>
        <v>5</v>
      </c>
      <c r="FU691" s="101" t="str">
        <f t="shared" si="382"/>
        <v>金币</v>
      </c>
      <c r="FV691" s="139">
        <f>IF($FT691&gt;0,IF(INDEX($EI$6:$EI$77,$FO691)&gt;=FV$3,ROUND(INDEX(EK$6:EK$77,$FO691)*INDEX(卡牌消耗!$B$8:$F$8,FQ691)/5,0)*5,""),"")</f>
        <v>2735</v>
      </c>
      <c r="FW691" s="101" t="str">
        <f t="shared" si="383"/>
        <v>专属强化石2</v>
      </c>
      <c r="FX691" s="101">
        <f t="shared" si="384"/>
        <v>5</v>
      </c>
      <c r="FY691" s="101" t="str">
        <f t="shared" si="385"/>
        <v>专属强化石3</v>
      </c>
      <c r="FZ691" s="101">
        <f t="shared" si="386"/>
        <v>3</v>
      </c>
      <c r="GA691" s="101">
        <f t="shared" si="391"/>
        <v>0.04</v>
      </c>
      <c r="GB691" s="101">
        <f t="shared" si="392"/>
        <v>1</v>
      </c>
      <c r="GC691" s="101">
        <f t="shared" si="393"/>
        <v>40</v>
      </c>
      <c r="GD691" s="101">
        <f t="shared" si="394"/>
        <v>0</v>
      </c>
      <c r="GE691" s="101">
        <f t="shared" si="395"/>
        <v>1</v>
      </c>
      <c r="GF691" s="101">
        <f t="shared" si="396"/>
        <v>9</v>
      </c>
      <c r="GG691" s="101">
        <f t="shared" si="397"/>
        <v>1.9E-2</v>
      </c>
      <c r="GH691" s="101">
        <f t="shared" si="398"/>
        <v>1</v>
      </c>
      <c r="GI691" s="101">
        <f t="shared" si="399"/>
        <v>18</v>
      </c>
      <c r="GJ691" s="101">
        <f t="shared" si="400"/>
        <v>7.5899999999999995E-2</v>
      </c>
      <c r="GK691" s="101">
        <f t="shared" si="401"/>
        <v>1</v>
      </c>
      <c r="GL691" s="101">
        <f t="shared" si="402"/>
        <v>40</v>
      </c>
    </row>
    <row r="692" spans="170:194" ht="16.5" x14ac:dyDescent="0.2">
      <c r="FN692" s="101">
        <v>687</v>
      </c>
      <c r="FO692" s="101">
        <f t="shared" si="387"/>
        <v>42</v>
      </c>
      <c r="FP692" s="101">
        <f t="shared" si="380"/>
        <v>9</v>
      </c>
      <c r="FQ692" s="14">
        <f t="shared" si="381"/>
        <v>4</v>
      </c>
      <c r="FR692" s="101" t="str">
        <f t="shared" si="388"/>
        <v>张郃专属武器-魂珠-5 6级</v>
      </c>
      <c r="FS692" s="101">
        <f t="shared" si="389"/>
        <v>5</v>
      </c>
      <c r="FT692" s="101">
        <f t="shared" si="390"/>
        <v>6</v>
      </c>
      <c r="FU692" s="101" t="str">
        <f t="shared" si="382"/>
        <v>金币</v>
      </c>
      <c r="FV692" s="139">
        <f>IF($FT692&gt;0,IF(INDEX($EI$6:$EI$77,$FO692)&gt;=FV$3,ROUND(INDEX(EK$6:EK$77,$FO692)*INDEX(卡牌消耗!$B$8:$F$8,FQ692)/5,0)*5,""),"")</f>
        <v>4530</v>
      </c>
      <c r="FW692" s="101" t="str">
        <f t="shared" si="383"/>
        <v>专属强化石2</v>
      </c>
      <c r="FX692" s="101">
        <f t="shared" si="384"/>
        <v>8</v>
      </c>
      <c r="FY692" s="101" t="str">
        <f t="shared" si="385"/>
        <v>专属强化石3</v>
      </c>
      <c r="FZ692" s="101">
        <f t="shared" si="386"/>
        <v>5</v>
      </c>
      <c r="GA692" s="101">
        <f t="shared" si="391"/>
        <v>0.04</v>
      </c>
      <c r="GB692" s="101">
        <f t="shared" si="392"/>
        <v>1</v>
      </c>
      <c r="GC692" s="101">
        <f t="shared" si="393"/>
        <v>39</v>
      </c>
      <c r="GD692" s="101">
        <f t="shared" si="394"/>
        <v>0</v>
      </c>
      <c r="GE692" s="101">
        <f t="shared" si="395"/>
        <v>1</v>
      </c>
      <c r="GF692" s="101">
        <f t="shared" si="396"/>
        <v>9</v>
      </c>
      <c r="GG692" s="101">
        <f t="shared" si="397"/>
        <v>1.95E-2</v>
      </c>
      <c r="GH692" s="101">
        <f t="shared" si="398"/>
        <v>1</v>
      </c>
      <c r="GI692" s="101">
        <f t="shared" si="399"/>
        <v>18</v>
      </c>
      <c r="GJ692" s="101">
        <f t="shared" si="400"/>
        <v>7.7799999999999994E-2</v>
      </c>
      <c r="GK692" s="101">
        <f t="shared" si="401"/>
        <v>1</v>
      </c>
      <c r="GL692" s="101">
        <f t="shared" si="402"/>
        <v>39</v>
      </c>
    </row>
    <row r="693" spans="170:194" ht="16.5" x14ac:dyDescent="0.2">
      <c r="FN693" s="101">
        <v>688</v>
      </c>
      <c r="FO693" s="101">
        <f t="shared" si="387"/>
        <v>43</v>
      </c>
      <c r="FP693" s="101">
        <f t="shared" si="380"/>
        <v>9</v>
      </c>
      <c r="FQ693" s="14">
        <f t="shared" si="381"/>
        <v>4</v>
      </c>
      <c r="FR693" s="101" t="str">
        <f t="shared" si="388"/>
        <v>张郃专属武器-魂珠-5 7级</v>
      </c>
      <c r="FS693" s="101">
        <f t="shared" si="389"/>
        <v>5</v>
      </c>
      <c r="FT693" s="101">
        <f t="shared" si="390"/>
        <v>7</v>
      </c>
      <c r="FU693" s="101" t="str">
        <f t="shared" si="382"/>
        <v>金币</v>
      </c>
      <c r="FV693" s="139">
        <f>IF($FT693&gt;0,IF(INDEX($EI$6:$EI$77,$FO693)&gt;=FV$3,ROUND(INDEX(EK$6:EK$77,$FO693)*INDEX(卡牌消耗!$B$8:$F$8,FQ693)/5,0)*5,""),"")</f>
        <v>4540</v>
      </c>
      <c r="FW693" s="101" t="str">
        <f t="shared" si="383"/>
        <v>专属强化石2</v>
      </c>
      <c r="FX693" s="101">
        <f t="shared" si="384"/>
        <v>8</v>
      </c>
      <c r="FY693" s="101" t="str">
        <f t="shared" si="385"/>
        <v>专属强化石3</v>
      </c>
      <c r="FZ693" s="101">
        <f t="shared" si="386"/>
        <v>5</v>
      </c>
      <c r="GA693" s="101">
        <f t="shared" si="391"/>
        <v>0.02</v>
      </c>
      <c r="GB693" s="101">
        <f t="shared" si="392"/>
        <v>1</v>
      </c>
      <c r="GC693" s="101">
        <f t="shared" si="393"/>
        <v>62</v>
      </c>
      <c r="GD693" s="101">
        <f t="shared" si="394"/>
        <v>0</v>
      </c>
      <c r="GE693" s="101">
        <f t="shared" si="395"/>
        <v>1</v>
      </c>
      <c r="GF693" s="101">
        <f t="shared" si="396"/>
        <v>15</v>
      </c>
      <c r="GG693" s="101">
        <f t="shared" si="397"/>
        <v>1.2E-2</v>
      </c>
      <c r="GH693" s="101">
        <f t="shared" si="398"/>
        <v>1</v>
      </c>
      <c r="GI693" s="101">
        <f t="shared" si="399"/>
        <v>29</v>
      </c>
      <c r="GJ693" s="101">
        <f t="shared" si="400"/>
        <v>4.82E-2</v>
      </c>
      <c r="GK693" s="101">
        <f t="shared" si="401"/>
        <v>1</v>
      </c>
      <c r="GL693" s="101">
        <f t="shared" si="402"/>
        <v>62</v>
      </c>
    </row>
    <row r="694" spans="170:194" ht="16.5" x14ac:dyDescent="0.2">
      <c r="FN694" s="101">
        <v>689</v>
      </c>
      <c r="FO694" s="101">
        <f t="shared" si="387"/>
        <v>44</v>
      </c>
      <c r="FP694" s="101">
        <f t="shared" si="380"/>
        <v>9</v>
      </c>
      <c r="FQ694" s="14">
        <f t="shared" si="381"/>
        <v>4</v>
      </c>
      <c r="FR694" s="101" t="str">
        <f t="shared" si="388"/>
        <v>张郃专属武器-魂珠-5 8级</v>
      </c>
      <c r="FS694" s="101">
        <f t="shared" si="389"/>
        <v>5</v>
      </c>
      <c r="FT694" s="101">
        <f t="shared" si="390"/>
        <v>8</v>
      </c>
      <c r="FU694" s="101" t="str">
        <f t="shared" si="382"/>
        <v>金币</v>
      </c>
      <c r="FV694" s="139">
        <f>IF($FT694&gt;0,IF(INDEX($EI$6:$EI$77,$FO694)&gt;=FV$3,ROUND(INDEX(EK$6:EK$77,$FO694)*INDEX(卡牌消耗!$B$8:$F$8,FQ694)/5,0)*5,""),"")</f>
        <v>6350</v>
      </c>
      <c r="FW694" s="101" t="str">
        <f t="shared" si="383"/>
        <v>专属强化石2</v>
      </c>
      <c r="FX694" s="101">
        <f t="shared" si="384"/>
        <v>11</v>
      </c>
      <c r="FY694" s="101" t="str">
        <f t="shared" si="385"/>
        <v>专属强化石3</v>
      </c>
      <c r="FZ694" s="101">
        <f t="shared" si="386"/>
        <v>7</v>
      </c>
      <c r="GA694" s="101">
        <f t="shared" si="391"/>
        <v>0.02</v>
      </c>
      <c r="GB694" s="101">
        <f t="shared" si="392"/>
        <v>1</v>
      </c>
      <c r="GC694" s="101">
        <f t="shared" si="393"/>
        <v>72</v>
      </c>
      <c r="GD694" s="101">
        <f t="shared" si="394"/>
        <v>0</v>
      </c>
      <c r="GE694" s="101">
        <f t="shared" si="395"/>
        <v>1</v>
      </c>
      <c r="GF694" s="101">
        <f t="shared" si="396"/>
        <v>17</v>
      </c>
      <c r="GG694" s="101">
        <f t="shared" si="397"/>
        <v>1.04E-2</v>
      </c>
      <c r="GH694" s="101">
        <f t="shared" si="398"/>
        <v>1</v>
      </c>
      <c r="GI694" s="101">
        <f t="shared" si="399"/>
        <v>34</v>
      </c>
      <c r="GJ694" s="101">
        <f t="shared" si="400"/>
        <v>4.1700000000000001E-2</v>
      </c>
      <c r="GK694" s="101">
        <f t="shared" si="401"/>
        <v>1</v>
      </c>
      <c r="GL694" s="101">
        <f t="shared" si="402"/>
        <v>72</v>
      </c>
    </row>
    <row r="695" spans="170:194" ht="16.5" x14ac:dyDescent="0.2">
      <c r="FN695" s="101">
        <v>690</v>
      </c>
      <c r="FO695" s="101">
        <f t="shared" si="387"/>
        <v>45</v>
      </c>
      <c r="FP695" s="101">
        <f t="shared" si="380"/>
        <v>9</v>
      </c>
      <c r="FQ695" s="14">
        <f t="shared" si="381"/>
        <v>4</v>
      </c>
      <c r="FR695" s="101" t="str">
        <f t="shared" si="388"/>
        <v>张郃专属武器-魂珠-5 9级</v>
      </c>
      <c r="FS695" s="101">
        <f t="shared" si="389"/>
        <v>5</v>
      </c>
      <c r="FT695" s="101">
        <f t="shared" si="390"/>
        <v>9</v>
      </c>
      <c r="FU695" s="101" t="str">
        <f t="shared" si="382"/>
        <v>金币</v>
      </c>
      <c r="FV695" s="139">
        <f>IF($FT695&gt;0,IF(INDEX($EI$6:$EI$77,$FO695)&gt;=FV$3,ROUND(INDEX(EK$6:EK$77,$FO695)*INDEX(卡牌消耗!$B$8:$F$8,FQ695)/5,0)*5,""),"")</f>
        <v>8170</v>
      </c>
      <c r="FW695" s="101" t="str">
        <f t="shared" si="383"/>
        <v>专属强化石2</v>
      </c>
      <c r="FX695" s="101">
        <f t="shared" si="384"/>
        <v>14</v>
      </c>
      <c r="FY695" s="101" t="str">
        <f t="shared" si="385"/>
        <v>专属强化石3</v>
      </c>
      <c r="FZ695" s="101">
        <f t="shared" si="386"/>
        <v>9</v>
      </c>
      <c r="GA695" s="101">
        <f t="shared" si="391"/>
        <v>0.02</v>
      </c>
      <c r="GB695" s="101">
        <f t="shared" si="392"/>
        <v>1</v>
      </c>
      <c r="GC695" s="101">
        <f t="shared" si="393"/>
        <v>91</v>
      </c>
      <c r="GD695" s="101">
        <f t="shared" si="394"/>
        <v>0</v>
      </c>
      <c r="GE695" s="101">
        <f t="shared" si="395"/>
        <v>1</v>
      </c>
      <c r="GF695" s="101">
        <f t="shared" si="396"/>
        <v>21</v>
      </c>
      <c r="GG695" s="101">
        <f t="shared" si="397"/>
        <v>8.3000000000000001E-3</v>
      </c>
      <c r="GH695" s="101">
        <f t="shared" si="398"/>
        <v>1</v>
      </c>
      <c r="GI695" s="101">
        <f t="shared" si="399"/>
        <v>42</v>
      </c>
      <c r="GJ695" s="101">
        <f t="shared" si="400"/>
        <v>3.3099999999999997E-2</v>
      </c>
      <c r="GK695" s="101">
        <f t="shared" si="401"/>
        <v>1</v>
      </c>
      <c r="GL695" s="101">
        <f t="shared" si="402"/>
        <v>91</v>
      </c>
    </row>
    <row r="696" spans="170:194" ht="16.5" x14ac:dyDescent="0.2">
      <c r="FN696" s="101">
        <v>691</v>
      </c>
      <c r="FO696" s="101">
        <f t="shared" si="387"/>
        <v>0</v>
      </c>
      <c r="FP696" s="101">
        <f t="shared" si="380"/>
        <v>9</v>
      </c>
      <c r="FQ696" s="14">
        <f t="shared" si="381"/>
        <v>4</v>
      </c>
      <c r="FR696" s="101" t="str">
        <f t="shared" si="388"/>
        <v>张郃专属武器-魂珠-6 0级</v>
      </c>
      <c r="FS696" s="101">
        <f t="shared" si="389"/>
        <v>6</v>
      </c>
      <c r="FT696" s="101">
        <f t="shared" si="390"/>
        <v>0</v>
      </c>
      <c r="FU696" s="101" t="str">
        <f t="shared" si="382"/>
        <v/>
      </c>
      <c r="FV696" s="139" t="str">
        <f>IF($FT696&gt;0,IF(INDEX($EI$6:$EI$77,$FO696)&gt;=FV$3,ROUND(INDEX(EK$6:EK$77,$FO696)*INDEX(卡牌消耗!$B$8:$F$8,FQ696)/5,0)*5,""),"")</f>
        <v/>
      </c>
      <c r="FW696" s="101" t="str">
        <f t="shared" si="383"/>
        <v/>
      </c>
      <c r="FX696" s="101" t="str">
        <f t="shared" si="384"/>
        <v/>
      </c>
      <c r="FY696" s="101" t="str">
        <f t="shared" si="385"/>
        <v/>
      </c>
      <c r="FZ696" s="101" t="str">
        <f t="shared" si="386"/>
        <v/>
      </c>
      <c r="GA696" s="101" t="str">
        <f t="shared" si="391"/>
        <v/>
      </c>
      <c r="GB696" s="101" t="str">
        <f t="shared" si="392"/>
        <v/>
      </c>
      <c r="GC696" s="101" t="str">
        <f t="shared" si="393"/>
        <v/>
      </c>
      <c r="GD696" s="101" t="str">
        <f t="shared" si="394"/>
        <v/>
      </c>
      <c r="GE696" s="101" t="str">
        <f t="shared" si="395"/>
        <v/>
      </c>
      <c r="GF696" s="101" t="str">
        <f t="shared" si="396"/>
        <v/>
      </c>
      <c r="GG696" s="101" t="str">
        <f t="shared" si="397"/>
        <v/>
      </c>
      <c r="GH696" s="101" t="str">
        <f t="shared" si="398"/>
        <v/>
      </c>
      <c r="GI696" s="101" t="str">
        <f t="shared" si="399"/>
        <v/>
      </c>
      <c r="GJ696" s="101" t="str">
        <f t="shared" si="400"/>
        <v/>
      </c>
      <c r="GK696" s="101" t="str">
        <f t="shared" si="401"/>
        <v/>
      </c>
      <c r="GL696" s="101" t="str">
        <f t="shared" si="402"/>
        <v/>
      </c>
    </row>
    <row r="697" spans="170:194" ht="16.5" x14ac:dyDescent="0.2">
      <c r="FN697" s="101">
        <v>692</v>
      </c>
      <c r="FO697" s="101">
        <f t="shared" si="387"/>
        <v>46</v>
      </c>
      <c r="FP697" s="101">
        <f t="shared" si="380"/>
        <v>9</v>
      </c>
      <c r="FQ697" s="14">
        <f t="shared" si="381"/>
        <v>4</v>
      </c>
      <c r="FR697" s="101" t="str">
        <f t="shared" si="388"/>
        <v>张郃专属武器-魂珠-6 1级</v>
      </c>
      <c r="FS697" s="101">
        <f t="shared" si="389"/>
        <v>6</v>
      </c>
      <c r="FT697" s="101">
        <f t="shared" si="390"/>
        <v>1</v>
      </c>
      <c r="FU697" s="101" t="str">
        <f t="shared" si="382"/>
        <v>金币</v>
      </c>
      <c r="FV697" s="139">
        <f>IF($FT697&gt;0,IF(INDEX($EI$6:$EI$77,$FO697)&gt;=FV$3,ROUND(INDEX(EK$6:EK$77,$FO697)*INDEX(卡牌消耗!$B$8:$F$8,FQ697)/5,0)*5,""),"")</f>
        <v>2180</v>
      </c>
      <c r="FW697" s="101" t="str">
        <f t="shared" si="383"/>
        <v>专属强化石3</v>
      </c>
      <c r="FX697" s="101">
        <f t="shared" si="384"/>
        <v>5</v>
      </c>
      <c r="FY697" s="101" t="str">
        <f t="shared" si="385"/>
        <v>专属强化石4</v>
      </c>
      <c r="FZ697" s="101">
        <f t="shared" si="386"/>
        <v>1</v>
      </c>
      <c r="GA697" s="101">
        <f t="shared" si="391"/>
        <v>0.17</v>
      </c>
      <c r="GB697" s="101">
        <f t="shared" si="392"/>
        <v>1</v>
      </c>
      <c r="GC697" s="101">
        <f t="shared" si="393"/>
        <v>9</v>
      </c>
      <c r="GD697" s="101">
        <f t="shared" si="394"/>
        <v>0</v>
      </c>
      <c r="GE697" s="101">
        <f t="shared" si="395"/>
        <v>1</v>
      </c>
      <c r="GF697" s="101">
        <f t="shared" si="396"/>
        <v>2</v>
      </c>
      <c r="GG697" s="101">
        <f t="shared" si="397"/>
        <v>8.2900000000000001E-2</v>
      </c>
      <c r="GH697" s="101">
        <f t="shared" si="398"/>
        <v>1</v>
      </c>
      <c r="GI697" s="101">
        <f t="shared" si="399"/>
        <v>4</v>
      </c>
      <c r="GJ697" s="101">
        <f t="shared" si="400"/>
        <v>0.33139999999999997</v>
      </c>
      <c r="GK697" s="101">
        <f t="shared" si="401"/>
        <v>1</v>
      </c>
      <c r="GL697" s="101">
        <f t="shared" si="402"/>
        <v>9</v>
      </c>
    </row>
    <row r="698" spans="170:194" ht="16.5" x14ac:dyDescent="0.2">
      <c r="FN698" s="101">
        <v>693</v>
      </c>
      <c r="FO698" s="101">
        <f t="shared" si="387"/>
        <v>47</v>
      </c>
      <c r="FP698" s="101">
        <f t="shared" si="380"/>
        <v>9</v>
      </c>
      <c r="FQ698" s="14">
        <f t="shared" si="381"/>
        <v>4</v>
      </c>
      <c r="FR698" s="101" t="str">
        <f t="shared" si="388"/>
        <v>张郃专属武器-魂珠-6 2级</v>
      </c>
      <c r="FS698" s="101">
        <f t="shared" si="389"/>
        <v>6</v>
      </c>
      <c r="FT698" s="101">
        <f t="shared" si="390"/>
        <v>2</v>
      </c>
      <c r="FU698" s="101" t="str">
        <f t="shared" si="382"/>
        <v>金币</v>
      </c>
      <c r="FV698" s="139">
        <f>IF($FT698&gt;0,IF(INDEX($EI$6:$EI$77,$FO698)&gt;=FV$3,ROUND(INDEX(EK$6:EK$77,$FO698)*INDEX(卡牌消耗!$B$8:$F$8,FQ698)/5,0)*5,""),"")</f>
        <v>3270</v>
      </c>
      <c r="FW698" s="101" t="str">
        <f t="shared" si="383"/>
        <v>专属强化石3</v>
      </c>
      <c r="FX698" s="101">
        <f t="shared" si="384"/>
        <v>10</v>
      </c>
      <c r="FY698" s="101" t="str">
        <f t="shared" si="385"/>
        <v>专属强化石4</v>
      </c>
      <c r="FZ698" s="101">
        <f t="shared" si="386"/>
        <v>2</v>
      </c>
      <c r="GA698" s="101">
        <f t="shared" si="391"/>
        <v>0.17</v>
      </c>
      <c r="GB698" s="101">
        <f t="shared" si="392"/>
        <v>1</v>
      </c>
      <c r="GC698" s="101">
        <f t="shared" si="393"/>
        <v>9</v>
      </c>
      <c r="GD698" s="101">
        <f t="shared" si="394"/>
        <v>0</v>
      </c>
      <c r="GE698" s="101">
        <f t="shared" si="395"/>
        <v>1</v>
      </c>
      <c r="GF698" s="101">
        <f t="shared" si="396"/>
        <v>2</v>
      </c>
      <c r="GG698" s="101">
        <f t="shared" si="397"/>
        <v>8.2900000000000001E-2</v>
      </c>
      <c r="GH698" s="101">
        <f t="shared" si="398"/>
        <v>1</v>
      </c>
      <c r="GI698" s="101">
        <f t="shared" si="399"/>
        <v>4</v>
      </c>
      <c r="GJ698" s="101">
        <f t="shared" si="400"/>
        <v>0.33139999999999997</v>
      </c>
      <c r="GK698" s="101">
        <f t="shared" si="401"/>
        <v>1</v>
      </c>
      <c r="GL698" s="101">
        <f t="shared" si="402"/>
        <v>9</v>
      </c>
    </row>
    <row r="699" spans="170:194" ht="16.5" x14ac:dyDescent="0.2">
      <c r="FN699" s="101">
        <v>694</v>
      </c>
      <c r="FO699" s="101">
        <f t="shared" si="387"/>
        <v>48</v>
      </c>
      <c r="FP699" s="101">
        <f t="shared" si="380"/>
        <v>9</v>
      </c>
      <c r="FQ699" s="14">
        <f t="shared" si="381"/>
        <v>4</v>
      </c>
      <c r="FR699" s="101" t="str">
        <f t="shared" si="388"/>
        <v>张郃专属武器-魂珠-6 3级</v>
      </c>
      <c r="FS699" s="101">
        <f t="shared" si="389"/>
        <v>6</v>
      </c>
      <c r="FT699" s="101">
        <f t="shared" si="390"/>
        <v>3</v>
      </c>
      <c r="FU699" s="101" t="str">
        <f t="shared" si="382"/>
        <v>金币</v>
      </c>
      <c r="FV699" s="139">
        <f>IF($FT699&gt;0,IF(INDEX($EI$6:$EI$77,$FO699)&gt;=FV$3,ROUND(INDEX(EK$6:EK$77,$FO699)*INDEX(卡牌消耗!$B$8:$F$8,FQ699)/5,0)*5,""),"")</f>
        <v>3635</v>
      </c>
      <c r="FW699" s="101" t="str">
        <f t="shared" si="383"/>
        <v>专属强化石3</v>
      </c>
      <c r="FX699" s="101">
        <f t="shared" si="384"/>
        <v>10</v>
      </c>
      <c r="FY699" s="101" t="str">
        <f t="shared" si="385"/>
        <v>专属强化石4</v>
      </c>
      <c r="FZ699" s="101">
        <f t="shared" si="386"/>
        <v>2</v>
      </c>
      <c r="GA699" s="101">
        <f t="shared" si="391"/>
        <v>0.11</v>
      </c>
      <c r="GB699" s="101">
        <f t="shared" si="392"/>
        <v>1</v>
      </c>
      <c r="GC699" s="101">
        <f t="shared" si="393"/>
        <v>14</v>
      </c>
      <c r="GD699" s="101">
        <f t="shared" si="394"/>
        <v>0</v>
      </c>
      <c r="GE699" s="101">
        <f t="shared" si="395"/>
        <v>1</v>
      </c>
      <c r="GF699" s="101">
        <f t="shared" si="396"/>
        <v>3</v>
      </c>
      <c r="GG699" s="101">
        <f t="shared" si="397"/>
        <v>5.5199999999999999E-2</v>
      </c>
      <c r="GH699" s="101">
        <f t="shared" si="398"/>
        <v>1</v>
      </c>
      <c r="GI699" s="101">
        <f t="shared" si="399"/>
        <v>6</v>
      </c>
      <c r="GJ699" s="101">
        <f t="shared" si="400"/>
        <v>0.221</v>
      </c>
      <c r="GK699" s="101">
        <f t="shared" si="401"/>
        <v>1</v>
      </c>
      <c r="GL699" s="101">
        <f t="shared" si="402"/>
        <v>14</v>
      </c>
    </row>
    <row r="700" spans="170:194" ht="16.5" x14ac:dyDescent="0.2">
      <c r="FN700" s="101">
        <v>695</v>
      </c>
      <c r="FO700" s="101">
        <f t="shared" si="387"/>
        <v>49</v>
      </c>
      <c r="FP700" s="101">
        <f t="shared" si="380"/>
        <v>9</v>
      </c>
      <c r="FQ700" s="14">
        <f t="shared" si="381"/>
        <v>4</v>
      </c>
      <c r="FR700" s="101" t="str">
        <f t="shared" si="388"/>
        <v>张郃专属武器-魂珠-6 4级</v>
      </c>
      <c r="FS700" s="101">
        <f t="shared" si="389"/>
        <v>6</v>
      </c>
      <c r="FT700" s="101">
        <f t="shared" si="390"/>
        <v>4</v>
      </c>
      <c r="FU700" s="101" t="str">
        <f t="shared" si="382"/>
        <v>金币</v>
      </c>
      <c r="FV700" s="139">
        <f>IF($FT700&gt;0,IF(INDEX($EI$6:$EI$77,$FO700)&gt;=FV$3,ROUND(INDEX(EK$6:EK$77,$FO700)*INDEX(卡牌消耗!$B$8:$F$8,FQ700)/5,0)*5,""),"")</f>
        <v>5235</v>
      </c>
      <c r="FW700" s="101" t="str">
        <f t="shared" si="383"/>
        <v>专属强化石3</v>
      </c>
      <c r="FX700" s="101">
        <f t="shared" si="384"/>
        <v>15</v>
      </c>
      <c r="FY700" s="101" t="str">
        <f t="shared" si="385"/>
        <v>专属强化石4</v>
      </c>
      <c r="FZ700" s="101">
        <f t="shared" si="386"/>
        <v>3</v>
      </c>
      <c r="GA700" s="101">
        <f t="shared" si="391"/>
        <v>0.1</v>
      </c>
      <c r="GB700" s="101">
        <f t="shared" si="392"/>
        <v>1</v>
      </c>
      <c r="GC700" s="101">
        <f t="shared" si="393"/>
        <v>15</v>
      </c>
      <c r="GD700" s="101">
        <f t="shared" si="394"/>
        <v>0</v>
      </c>
      <c r="GE700" s="101">
        <f t="shared" si="395"/>
        <v>1</v>
      </c>
      <c r="GF700" s="101">
        <f t="shared" si="396"/>
        <v>4</v>
      </c>
      <c r="GG700" s="101">
        <f t="shared" si="397"/>
        <v>4.9700000000000001E-2</v>
      </c>
      <c r="GH700" s="101">
        <f t="shared" si="398"/>
        <v>1</v>
      </c>
      <c r="GI700" s="101">
        <f t="shared" si="399"/>
        <v>7</v>
      </c>
      <c r="GJ700" s="101">
        <f t="shared" si="400"/>
        <v>0.19889999999999999</v>
      </c>
      <c r="GK700" s="101">
        <f t="shared" si="401"/>
        <v>1</v>
      </c>
      <c r="GL700" s="101">
        <f t="shared" si="402"/>
        <v>15</v>
      </c>
    </row>
    <row r="701" spans="170:194" ht="16.5" x14ac:dyDescent="0.2">
      <c r="FN701" s="101">
        <v>696</v>
      </c>
      <c r="FO701" s="101">
        <f t="shared" si="387"/>
        <v>50</v>
      </c>
      <c r="FP701" s="101">
        <f t="shared" si="380"/>
        <v>9</v>
      </c>
      <c r="FQ701" s="14">
        <f t="shared" si="381"/>
        <v>4</v>
      </c>
      <c r="FR701" s="101" t="str">
        <f t="shared" si="388"/>
        <v>张郃专属武器-魂珠-6 5级</v>
      </c>
      <c r="FS701" s="101">
        <f t="shared" si="389"/>
        <v>6</v>
      </c>
      <c r="FT701" s="101">
        <f t="shared" si="390"/>
        <v>5</v>
      </c>
      <c r="FU701" s="101" t="str">
        <f t="shared" si="382"/>
        <v>金币</v>
      </c>
      <c r="FV701" s="139">
        <f>IF($FT701&gt;0,IF(INDEX($EI$6:$EI$77,$FO701)&gt;=FV$3,ROUND(INDEX(EK$6:EK$77,$FO701)*INDEX(卡牌消耗!$B$8:$F$8,FQ701)/5,0)*5,""),"")</f>
        <v>5315</v>
      </c>
      <c r="FW701" s="101" t="str">
        <f t="shared" si="383"/>
        <v>专属强化石3</v>
      </c>
      <c r="FX701" s="101">
        <f t="shared" si="384"/>
        <v>15</v>
      </c>
      <c r="FY701" s="101" t="str">
        <f t="shared" si="385"/>
        <v>专属强化石4</v>
      </c>
      <c r="FZ701" s="101">
        <f t="shared" si="386"/>
        <v>3</v>
      </c>
      <c r="GA701" s="101">
        <f t="shared" si="391"/>
        <v>0.06</v>
      </c>
      <c r="GB701" s="101">
        <f t="shared" si="392"/>
        <v>1</v>
      </c>
      <c r="GC701" s="101">
        <f t="shared" si="393"/>
        <v>24</v>
      </c>
      <c r="GD701" s="101">
        <f t="shared" si="394"/>
        <v>0</v>
      </c>
      <c r="GE701" s="101">
        <f t="shared" si="395"/>
        <v>1</v>
      </c>
      <c r="GF701" s="101">
        <f t="shared" si="396"/>
        <v>6</v>
      </c>
      <c r="GG701" s="101">
        <f t="shared" si="397"/>
        <v>3.1099999999999999E-2</v>
      </c>
      <c r="GH701" s="101">
        <f t="shared" si="398"/>
        <v>1</v>
      </c>
      <c r="GI701" s="101">
        <f t="shared" si="399"/>
        <v>11</v>
      </c>
      <c r="GJ701" s="101">
        <f t="shared" si="400"/>
        <v>0.12429999999999999</v>
      </c>
      <c r="GK701" s="101">
        <f t="shared" si="401"/>
        <v>1</v>
      </c>
      <c r="GL701" s="101">
        <f t="shared" si="402"/>
        <v>24</v>
      </c>
    </row>
    <row r="702" spans="170:194" ht="16.5" x14ac:dyDescent="0.2">
      <c r="FN702" s="101">
        <v>697</v>
      </c>
      <c r="FO702" s="101">
        <f t="shared" si="387"/>
        <v>51</v>
      </c>
      <c r="FP702" s="101">
        <f t="shared" si="380"/>
        <v>9</v>
      </c>
      <c r="FQ702" s="14">
        <f t="shared" si="381"/>
        <v>4</v>
      </c>
      <c r="FR702" s="101" t="str">
        <f t="shared" si="388"/>
        <v>张郃专属武器-魂珠-6 6级</v>
      </c>
      <c r="FS702" s="101">
        <f t="shared" si="389"/>
        <v>6</v>
      </c>
      <c r="FT702" s="101">
        <f t="shared" si="390"/>
        <v>6</v>
      </c>
      <c r="FU702" s="101" t="str">
        <f t="shared" si="382"/>
        <v>金币</v>
      </c>
      <c r="FV702" s="139">
        <f>IF($FT702&gt;0,IF(INDEX($EI$6:$EI$77,$FO702)&gt;=FV$3,ROUND(INDEX(EK$6:EK$77,$FO702)*INDEX(卡牌消耗!$B$8:$F$8,FQ702)/5,0)*5,""),"")</f>
        <v>7045</v>
      </c>
      <c r="FW702" s="101" t="str">
        <f t="shared" si="383"/>
        <v>专属强化石3</v>
      </c>
      <c r="FX702" s="101">
        <f t="shared" si="384"/>
        <v>20</v>
      </c>
      <c r="FY702" s="101" t="str">
        <f t="shared" si="385"/>
        <v>专属强化石4</v>
      </c>
      <c r="FZ702" s="101">
        <f t="shared" si="386"/>
        <v>4</v>
      </c>
      <c r="GA702" s="101">
        <f t="shared" si="391"/>
        <v>0.05</v>
      </c>
      <c r="GB702" s="101">
        <f t="shared" si="392"/>
        <v>1</v>
      </c>
      <c r="GC702" s="101">
        <f t="shared" si="393"/>
        <v>29</v>
      </c>
      <c r="GD702" s="101">
        <f t="shared" si="394"/>
        <v>0</v>
      </c>
      <c r="GE702" s="101">
        <f t="shared" si="395"/>
        <v>1</v>
      </c>
      <c r="GF702" s="101">
        <f t="shared" si="396"/>
        <v>7</v>
      </c>
      <c r="GG702" s="101">
        <f t="shared" si="397"/>
        <v>2.5499999999999998E-2</v>
      </c>
      <c r="GH702" s="101">
        <f t="shared" si="398"/>
        <v>1</v>
      </c>
      <c r="GI702" s="101">
        <f t="shared" si="399"/>
        <v>14</v>
      </c>
      <c r="GJ702" s="101">
        <f t="shared" si="400"/>
        <v>0.10199999999999999</v>
      </c>
      <c r="GK702" s="101">
        <f t="shared" si="401"/>
        <v>1</v>
      </c>
      <c r="GL702" s="101">
        <f t="shared" si="402"/>
        <v>29</v>
      </c>
    </row>
    <row r="703" spans="170:194" ht="16.5" x14ac:dyDescent="0.2">
      <c r="FN703" s="101">
        <v>698</v>
      </c>
      <c r="FO703" s="101">
        <f t="shared" si="387"/>
        <v>52</v>
      </c>
      <c r="FP703" s="101">
        <f t="shared" si="380"/>
        <v>9</v>
      </c>
      <c r="FQ703" s="14">
        <f t="shared" si="381"/>
        <v>4</v>
      </c>
      <c r="FR703" s="101" t="str">
        <f t="shared" si="388"/>
        <v>张郃专属武器-魂珠-6 7级</v>
      </c>
      <c r="FS703" s="101">
        <f t="shared" si="389"/>
        <v>6</v>
      </c>
      <c r="FT703" s="101">
        <f t="shared" si="390"/>
        <v>7</v>
      </c>
      <c r="FU703" s="101" t="str">
        <f t="shared" si="382"/>
        <v>金币</v>
      </c>
      <c r="FV703" s="139">
        <f>IF($FT703&gt;0,IF(INDEX($EI$6:$EI$77,$FO703)&gt;=FV$3,ROUND(INDEX(EK$6:EK$77,$FO703)*INDEX(卡牌消耗!$B$8:$F$8,FQ703)/5,0)*5,""),"")</f>
        <v>8830</v>
      </c>
      <c r="FW703" s="101" t="str">
        <f t="shared" si="383"/>
        <v>专属强化石3</v>
      </c>
      <c r="FX703" s="101">
        <f t="shared" si="384"/>
        <v>25</v>
      </c>
      <c r="FY703" s="101" t="str">
        <f t="shared" si="385"/>
        <v>专属强化石4</v>
      </c>
      <c r="FZ703" s="101">
        <f t="shared" si="386"/>
        <v>5</v>
      </c>
      <c r="GA703" s="101">
        <f t="shared" si="391"/>
        <v>0.04</v>
      </c>
      <c r="GB703" s="101">
        <f t="shared" si="392"/>
        <v>1</v>
      </c>
      <c r="GC703" s="101">
        <f t="shared" si="393"/>
        <v>38</v>
      </c>
      <c r="GD703" s="101">
        <f t="shared" si="394"/>
        <v>0</v>
      </c>
      <c r="GE703" s="101">
        <f t="shared" si="395"/>
        <v>1</v>
      </c>
      <c r="GF703" s="101">
        <f t="shared" si="396"/>
        <v>9</v>
      </c>
      <c r="GG703" s="101">
        <f t="shared" si="397"/>
        <v>1.9699999999999999E-2</v>
      </c>
      <c r="GH703" s="101">
        <f t="shared" si="398"/>
        <v>1</v>
      </c>
      <c r="GI703" s="101">
        <f t="shared" si="399"/>
        <v>18</v>
      </c>
      <c r="GJ703" s="101">
        <f t="shared" si="400"/>
        <v>7.8899999999999998E-2</v>
      </c>
      <c r="GK703" s="101">
        <f t="shared" si="401"/>
        <v>1</v>
      </c>
      <c r="GL703" s="101">
        <f t="shared" si="402"/>
        <v>38</v>
      </c>
    </row>
    <row r="704" spans="170:194" ht="16.5" x14ac:dyDescent="0.2">
      <c r="FN704" s="101">
        <v>699</v>
      </c>
      <c r="FO704" s="101">
        <f t="shared" si="387"/>
        <v>53</v>
      </c>
      <c r="FP704" s="101">
        <f t="shared" si="380"/>
        <v>9</v>
      </c>
      <c r="FQ704" s="14">
        <f t="shared" si="381"/>
        <v>4</v>
      </c>
      <c r="FR704" s="101" t="str">
        <f t="shared" si="388"/>
        <v>张郃专属武器-魂珠-6 8级</v>
      </c>
      <c r="FS704" s="101">
        <f t="shared" si="389"/>
        <v>6</v>
      </c>
      <c r="FT704" s="101">
        <f t="shared" si="390"/>
        <v>8</v>
      </c>
      <c r="FU704" s="101" t="str">
        <f t="shared" si="382"/>
        <v>金币</v>
      </c>
      <c r="FV704" s="139">
        <f>IF($FT704&gt;0,IF(INDEX($EI$6:$EI$77,$FO704)&gt;=FV$3,ROUND(INDEX(EK$6:EK$77,$FO704)*INDEX(卡牌消耗!$B$8:$F$8,FQ704)/5,0)*5,""),"")</f>
        <v>12350</v>
      </c>
      <c r="FW704" s="101" t="str">
        <f t="shared" si="383"/>
        <v>专属强化石3</v>
      </c>
      <c r="FX704" s="101">
        <f t="shared" si="384"/>
        <v>35</v>
      </c>
      <c r="FY704" s="101" t="str">
        <f t="shared" si="385"/>
        <v>专属强化石4</v>
      </c>
      <c r="FZ704" s="101">
        <f t="shared" si="386"/>
        <v>7</v>
      </c>
      <c r="GA704" s="101">
        <f t="shared" si="391"/>
        <v>0.03</v>
      </c>
      <c r="GB704" s="101">
        <f t="shared" si="392"/>
        <v>1</v>
      </c>
      <c r="GC704" s="101">
        <f t="shared" si="393"/>
        <v>44</v>
      </c>
      <c r="GD704" s="101">
        <f t="shared" si="394"/>
        <v>0</v>
      </c>
      <c r="GE704" s="101">
        <f t="shared" si="395"/>
        <v>1</v>
      </c>
      <c r="GF704" s="101">
        <f t="shared" si="396"/>
        <v>10</v>
      </c>
      <c r="GG704" s="101">
        <f t="shared" si="397"/>
        <v>1.7100000000000001E-2</v>
      </c>
      <c r="GH704" s="101">
        <f t="shared" si="398"/>
        <v>1</v>
      </c>
      <c r="GI704" s="101">
        <f t="shared" si="399"/>
        <v>21</v>
      </c>
      <c r="GJ704" s="101">
        <f t="shared" si="400"/>
        <v>6.8199999999999997E-2</v>
      </c>
      <c r="GK704" s="101">
        <f t="shared" si="401"/>
        <v>1</v>
      </c>
      <c r="GL704" s="101">
        <f t="shared" si="402"/>
        <v>44</v>
      </c>
    </row>
    <row r="705" spans="170:194" ht="16.5" x14ac:dyDescent="0.2">
      <c r="FN705" s="101">
        <v>700</v>
      </c>
      <c r="FO705" s="101">
        <f t="shared" si="387"/>
        <v>54</v>
      </c>
      <c r="FP705" s="101">
        <f t="shared" si="380"/>
        <v>9</v>
      </c>
      <c r="FQ705" s="14">
        <f t="shared" si="381"/>
        <v>4</v>
      </c>
      <c r="FR705" s="101" t="str">
        <f t="shared" si="388"/>
        <v>张郃专属武器-魂珠-6 9级</v>
      </c>
      <c r="FS705" s="101">
        <f t="shared" si="389"/>
        <v>6</v>
      </c>
      <c r="FT705" s="101">
        <f t="shared" si="390"/>
        <v>9</v>
      </c>
      <c r="FU705" s="101" t="str">
        <f t="shared" si="382"/>
        <v>金币</v>
      </c>
      <c r="FV705" s="139">
        <f>IF($FT705&gt;0,IF(INDEX($EI$6:$EI$77,$FO705)&gt;=FV$3,ROUND(INDEX(EK$6:EK$77,$FO705)*INDEX(卡牌消耗!$B$8:$F$8,FQ705)/5,0)*5,""),"")</f>
        <v>14120</v>
      </c>
      <c r="FW705" s="101" t="str">
        <f t="shared" si="383"/>
        <v>专属强化石3</v>
      </c>
      <c r="FX705" s="101">
        <f t="shared" si="384"/>
        <v>40</v>
      </c>
      <c r="FY705" s="101" t="str">
        <f t="shared" si="385"/>
        <v>专属强化石4</v>
      </c>
      <c r="FZ705" s="101">
        <f t="shared" si="386"/>
        <v>8</v>
      </c>
      <c r="GA705" s="101">
        <f t="shared" si="391"/>
        <v>0.02</v>
      </c>
      <c r="GB705" s="101">
        <f t="shared" si="392"/>
        <v>1</v>
      </c>
      <c r="GC705" s="101">
        <f t="shared" si="393"/>
        <v>62</v>
      </c>
      <c r="GD705" s="101">
        <f t="shared" si="394"/>
        <v>0</v>
      </c>
      <c r="GE705" s="101">
        <f t="shared" si="395"/>
        <v>1</v>
      </c>
      <c r="GF705" s="101">
        <f t="shared" si="396"/>
        <v>15</v>
      </c>
      <c r="GG705" s="101">
        <f t="shared" si="397"/>
        <v>1.21E-2</v>
      </c>
      <c r="GH705" s="101">
        <f t="shared" si="398"/>
        <v>1</v>
      </c>
      <c r="GI705" s="101">
        <f t="shared" si="399"/>
        <v>29</v>
      </c>
      <c r="GJ705" s="101">
        <f t="shared" si="400"/>
        <v>4.82E-2</v>
      </c>
      <c r="GK705" s="101">
        <f t="shared" si="401"/>
        <v>1</v>
      </c>
      <c r="GL705" s="101">
        <f t="shared" si="402"/>
        <v>62</v>
      </c>
    </row>
    <row r="706" spans="170:194" ht="16.5" x14ac:dyDescent="0.2">
      <c r="FN706" s="101">
        <v>701</v>
      </c>
      <c r="FO706" s="101">
        <f t="shared" si="387"/>
        <v>0</v>
      </c>
      <c r="FP706" s="101">
        <f t="shared" si="380"/>
        <v>9</v>
      </c>
      <c r="FQ706" s="14">
        <f t="shared" si="381"/>
        <v>4</v>
      </c>
      <c r="FR706" s="101" t="str">
        <f t="shared" si="388"/>
        <v>张郃专属武器-魂珠-7 0级</v>
      </c>
      <c r="FS706" s="101">
        <f t="shared" si="389"/>
        <v>7</v>
      </c>
      <c r="FT706" s="101">
        <f t="shared" si="390"/>
        <v>0</v>
      </c>
      <c r="FU706" s="101" t="str">
        <f t="shared" si="382"/>
        <v/>
      </c>
      <c r="FV706" s="139" t="str">
        <f>IF($FT706&gt;0,IF(INDEX($EI$6:$EI$77,$FO706)&gt;=FV$3,ROUND(INDEX(EK$6:EK$77,$FO706)*INDEX(卡牌消耗!$B$8:$F$8,FQ706)/5,0)*5,""),"")</f>
        <v/>
      </c>
      <c r="FW706" s="101" t="str">
        <f t="shared" si="383"/>
        <v/>
      </c>
      <c r="FX706" s="101" t="str">
        <f t="shared" si="384"/>
        <v/>
      </c>
      <c r="FY706" s="101" t="str">
        <f t="shared" si="385"/>
        <v/>
      </c>
      <c r="FZ706" s="101" t="str">
        <f t="shared" si="386"/>
        <v/>
      </c>
      <c r="GA706" s="101" t="str">
        <f t="shared" si="391"/>
        <v/>
      </c>
      <c r="GB706" s="101" t="str">
        <f t="shared" si="392"/>
        <v/>
      </c>
      <c r="GC706" s="101" t="str">
        <f t="shared" si="393"/>
        <v/>
      </c>
      <c r="GD706" s="101" t="str">
        <f t="shared" si="394"/>
        <v/>
      </c>
      <c r="GE706" s="101" t="str">
        <f t="shared" si="395"/>
        <v/>
      </c>
      <c r="GF706" s="101" t="str">
        <f t="shared" si="396"/>
        <v/>
      </c>
      <c r="GG706" s="101" t="str">
        <f t="shared" si="397"/>
        <v/>
      </c>
      <c r="GH706" s="101" t="str">
        <f t="shared" si="398"/>
        <v/>
      </c>
      <c r="GI706" s="101" t="str">
        <f t="shared" si="399"/>
        <v/>
      </c>
      <c r="GJ706" s="101" t="str">
        <f t="shared" si="400"/>
        <v/>
      </c>
      <c r="GK706" s="101" t="str">
        <f t="shared" si="401"/>
        <v/>
      </c>
      <c r="GL706" s="101" t="str">
        <f t="shared" si="402"/>
        <v/>
      </c>
    </row>
    <row r="707" spans="170:194" ht="16.5" x14ac:dyDescent="0.2">
      <c r="FN707" s="101">
        <v>702</v>
      </c>
      <c r="FO707" s="101">
        <f t="shared" si="387"/>
        <v>55</v>
      </c>
      <c r="FP707" s="101">
        <f t="shared" si="380"/>
        <v>9</v>
      </c>
      <c r="FQ707" s="14">
        <f t="shared" si="381"/>
        <v>4</v>
      </c>
      <c r="FR707" s="101" t="str">
        <f t="shared" si="388"/>
        <v>张郃专属武器-魂珠-7 1级</v>
      </c>
      <c r="FS707" s="101">
        <f t="shared" si="389"/>
        <v>7</v>
      </c>
      <c r="FT707" s="101">
        <f t="shared" si="390"/>
        <v>1</v>
      </c>
      <c r="FU707" s="101" t="str">
        <f t="shared" si="382"/>
        <v>金币</v>
      </c>
      <c r="FV707" s="139">
        <f>IF($FT707&gt;0,IF(INDEX($EI$6:$EI$77,$FO707)&gt;=FV$3,ROUND(INDEX(EK$6:EK$77,$FO707)*INDEX(卡牌消耗!$B$8:$F$8,FQ707)/5,0)*5,""),"")</f>
        <v>18130</v>
      </c>
      <c r="FW707" s="101" t="str">
        <f t="shared" si="383"/>
        <v>专属强化石3</v>
      </c>
      <c r="FX707" s="101">
        <f t="shared" si="384"/>
        <v>6</v>
      </c>
      <c r="FY707" s="101" t="str">
        <f t="shared" si="385"/>
        <v>专属强化石4</v>
      </c>
      <c r="FZ707" s="101">
        <f t="shared" si="386"/>
        <v>2</v>
      </c>
      <c r="GA707" s="101">
        <f t="shared" si="391"/>
        <v>0.2</v>
      </c>
      <c r="GB707" s="101">
        <f t="shared" si="392"/>
        <v>1</v>
      </c>
      <c r="GC707" s="101">
        <f t="shared" si="393"/>
        <v>8</v>
      </c>
      <c r="GD707" s="101">
        <f t="shared" si="394"/>
        <v>0</v>
      </c>
      <c r="GE707" s="101">
        <f t="shared" si="395"/>
        <v>1</v>
      </c>
      <c r="GF707" s="101">
        <f t="shared" si="396"/>
        <v>2</v>
      </c>
      <c r="GG707" s="101">
        <f t="shared" si="397"/>
        <v>9.9400000000000002E-2</v>
      </c>
      <c r="GH707" s="101">
        <f t="shared" si="398"/>
        <v>1</v>
      </c>
      <c r="GI707" s="101">
        <f t="shared" si="399"/>
        <v>4</v>
      </c>
      <c r="GJ707" s="101">
        <f t="shared" si="400"/>
        <v>0.3977</v>
      </c>
      <c r="GK707" s="101">
        <f t="shared" si="401"/>
        <v>1</v>
      </c>
      <c r="GL707" s="101">
        <f t="shared" si="402"/>
        <v>8</v>
      </c>
    </row>
    <row r="708" spans="170:194" ht="16.5" x14ac:dyDescent="0.2">
      <c r="FN708" s="101">
        <v>703</v>
      </c>
      <c r="FO708" s="101">
        <f t="shared" si="387"/>
        <v>56</v>
      </c>
      <c r="FP708" s="101">
        <f t="shared" si="380"/>
        <v>9</v>
      </c>
      <c r="FQ708" s="14">
        <f t="shared" si="381"/>
        <v>4</v>
      </c>
      <c r="FR708" s="101" t="str">
        <f t="shared" si="388"/>
        <v>张郃专属武器-魂珠-7 2级</v>
      </c>
      <c r="FS708" s="101">
        <f t="shared" si="389"/>
        <v>7</v>
      </c>
      <c r="FT708" s="101">
        <f t="shared" si="390"/>
        <v>2</v>
      </c>
      <c r="FU708" s="101" t="str">
        <f t="shared" si="382"/>
        <v>金币</v>
      </c>
      <c r="FV708" s="139">
        <f>IF($FT708&gt;0,IF(INDEX($EI$6:$EI$77,$FO708)&gt;=FV$3,ROUND(INDEX(EK$6:EK$77,$FO708)*INDEX(卡牌消耗!$B$8:$F$8,FQ708)/5,0)*5,""),"")</f>
        <v>13600</v>
      </c>
      <c r="FW708" s="101" t="str">
        <f t="shared" si="383"/>
        <v>专属强化石3</v>
      </c>
      <c r="FX708" s="101">
        <f t="shared" si="384"/>
        <v>6</v>
      </c>
      <c r="FY708" s="101" t="str">
        <f t="shared" si="385"/>
        <v>专属强化石4</v>
      </c>
      <c r="FZ708" s="101">
        <f t="shared" si="386"/>
        <v>2</v>
      </c>
      <c r="GA708" s="101">
        <f t="shared" si="391"/>
        <v>0.1</v>
      </c>
      <c r="GB708" s="101">
        <f t="shared" si="392"/>
        <v>1</v>
      </c>
      <c r="GC708" s="101">
        <f t="shared" si="393"/>
        <v>15</v>
      </c>
      <c r="GD708" s="101">
        <f t="shared" si="394"/>
        <v>0</v>
      </c>
      <c r="GE708" s="101">
        <f t="shared" si="395"/>
        <v>1</v>
      </c>
      <c r="GF708" s="101">
        <f t="shared" si="396"/>
        <v>4</v>
      </c>
      <c r="GG708" s="101">
        <f t="shared" si="397"/>
        <v>4.9700000000000001E-2</v>
      </c>
      <c r="GH708" s="101">
        <f t="shared" si="398"/>
        <v>1</v>
      </c>
      <c r="GI708" s="101">
        <f t="shared" si="399"/>
        <v>7</v>
      </c>
      <c r="GJ708" s="101">
        <f t="shared" si="400"/>
        <v>0.19889999999999999</v>
      </c>
      <c r="GK708" s="101">
        <f t="shared" si="401"/>
        <v>1</v>
      </c>
      <c r="GL708" s="101">
        <f t="shared" si="402"/>
        <v>15</v>
      </c>
    </row>
    <row r="709" spans="170:194" ht="16.5" x14ac:dyDescent="0.2">
      <c r="FN709" s="101">
        <v>704</v>
      </c>
      <c r="FO709" s="101">
        <f t="shared" si="387"/>
        <v>57</v>
      </c>
      <c r="FP709" s="101">
        <f t="shared" si="380"/>
        <v>9</v>
      </c>
      <c r="FQ709" s="14">
        <f t="shared" si="381"/>
        <v>4</v>
      </c>
      <c r="FR709" s="101" t="str">
        <f t="shared" si="388"/>
        <v>张郃专属武器-魂珠-7 3级</v>
      </c>
      <c r="FS709" s="101">
        <f t="shared" si="389"/>
        <v>7</v>
      </c>
      <c r="FT709" s="101">
        <f t="shared" si="390"/>
        <v>3</v>
      </c>
      <c r="FU709" s="101" t="str">
        <f t="shared" si="382"/>
        <v>金币</v>
      </c>
      <c r="FV709" s="139">
        <f>IF($FT709&gt;0,IF(INDEX($EI$6:$EI$77,$FO709)&gt;=FV$3,ROUND(INDEX(EK$6:EK$77,$FO709)*INDEX(卡牌消耗!$B$8:$F$8,FQ709)/5,0)*5,""),"")</f>
        <v>22665</v>
      </c>
      <c r="FW709" s="101" t="str">
        <f t="shared" si="383"/>
        <v>专属强化石3</v>
      </c>
      <c r="FX709" s="101">
        <f t="shared" si="384"/>
        <v>9</v>
      </c>
      <c r="FY709" s="101" t="str">
        <f t="shared" si="385"/>
        <v>专属强化石4</v>
      </c>
      <c r="FZ709" s="101">
        <f t="shared" si="386"/>
        <v>3</v>
      </c>
      <c r="GA709" s="101">
        <f t="shared" si="391"/>
        <v>0.1</v>
      </c>
      <c r="GB709" s="101">
        <f t="shared" si="392"/>
        <v>1</v>
      </c>
      <c r="GC709" s="101">
        <f t="shared" si="393"/>
        <v>15</v>
      </c>
      <c r="GD709" s="101">
        <f t="shared" si="394"/>
        <v>0</v>
      </c>
      <c r="GE709" s="101">
        <f t="shared" si="395"/>
        <v>1</v>
      </c>
      <c r="GF709" s="101">
        <f t="shared" si="396"/>
        <v>4</v>
      </c>
      <c r="GG709" s="101">
        <f t="shared" si="397"/>
        <v>4.9700000000000001E-2</v>
      </c>
      <c r="GH709" s="101">
        <f t="shared" si="398"/>
        <v>1</v>
      </c>
      <c r="GI709" s="101">
        <f t="shared" si="399"/>
        <v>7</v>
      </c>
      <c r="GJ709" s="101">
        <f t="shared" si="400"/>
        <v>0.19889999999999999</v>
      </c>
      <c r="GK709" s="101">
        <f t="shared" si="401"/>
        <v>1</v>
      </c>
      <c r="GL709" s="101">
        <f t="shared" si="402"/>
        <v>15</v>
      </c>
    </row>
    <row r="710" spans="170:194" ht="16.5" x14ac:dyDescent="0.2">
      <c r="FN710" s="101">
        <v>705</v>
      </c>
      <c r="FO710" s="101">
        <f t="shared" si="387"/>
        <v>58</v>
      </c>
      <c r="FP710" s="101">
        <f t="shared" si="380"/>
        <v>9</v>
      </c>
      <c r="FQ710" s="14">
        <f t="shared" si="381"/>
        <v>4</v>
      </c>
      <c r="FR710" s="101" t="str">
        <f t="shared" si="388"/>
        <v>张郃专属武器-魂珠-7 4级</v>
      </c>
      <c r="FS710" s="101">
        <f t="shared" si="389"/>
        <v>7</v>
      </c>
      <c r="FT710" s="101">
        <f t="shared" si="390"/>
        <v>4</v>
      </c>
      <c r="FU710" s="101" t="str">
        <f t="shared" si="382"/>
        <v>金币</v>
      </c>
      <c r="FV710" s="139">
        <f>IF($FT710&gt;0,IF(INDEX($EI$6:$EI$77,$FO710)&gt;=FV$3,ROUND(INDEX(EK$6:EK$77,$FO710)*INDEX(卡牌消耗!$B$8:$F$8,FQ710)/5,0)*5,""),"")</f>
        <v>29010</v>
      </c>
      <c r="FW710" s="101" t="str">
        <f t="shared" si="383"/>
        <v>专属强化石3</v>
      </c>
      <c r="FX710" s="101">
        <f t="shared" si="384"/>
        <v>12</v>
      </c>
      <c r="FY710" s="101" t="str">
        <f t="shared" si="385"/>
        <v>专属强化石4</v>
      </c>
      <c r="FZ710" s="101">
        <f t="shared" si="386"/>
        <v>4</v>
      </c>
      <c r="GA710" s="101">
        <f t="shared" si="391"/>
        <v>0.08</v>
      </c>
      <c r="GB710" s="101">
        <f t="shared" si="392"/>
        <v>1</v>
      </c>
      <c r="GC710" s="101">
        <f t="shared" si="393"/>
        <v>19</v>
      </c>
      <c r="GD710" s="101">
        <f t="shared" si="394"/>
        <v>0</v>
      </c>
      <c r="GE710" s="101">
        <f t="shared" si="395"/>
        <v>1</v>
      </c>
      <c r="GF710" s="101">
        <f t="shared" si="396"/>
        <v>4</v>
      </c>
      <c r="GG710" s="101">
        <f t="shared" si="397"/>
        <v>3.9800000000000002E-2</v>
      </c>
      <c r="GH710" s="101">
        <f t="shared" si="398"/>
        <v>1</v>
      </c>
      <c r="GI710" s="101">
        <f t="shared" si="399"/>
        <v>9</v>
      </c>
      <c r="GJ710" s="101">
        <f t="shared" si="400"/>
        <v>0.15909999999999999</v>
      </c>
      <c r="GK710" s="101">
        <f t="shared" si="401"/>
        <v>1</v>
      </c>
      <c r="GL710" s="101">
        <f t="shared" si="402"/>
        <v>19</v>
      </c>
    </row>
    <row r="711" spans="170:194" ht="16.5" x14ac:dyDescent="0.2">
      <c r="FN711" s="101">
        <v>706</v>
      </c>
      <c r="FO711" s="101">
        <f t="shared" si="387"/>
        <v>59</v>
      </c>
      <c r="FP711" s="101">
        <f t="shared" ref="FP711:FP774" si="403">INT((FN711-1)/80+1)</f>
        <v>9</v>
      </c>
      <c r="FQ711" s="14">
        <f t="shared" ref="FQ711:FQ774" si="404">INDEX($FJ$6:$FJ$26,FP711)</f>
        <v>4</v>
      </c>
      <c r="FR711" s="101" t="str">
        <f t="shared" si="388"/>
        <v>张郃专属武器-魂珠-7 5级</v>
      </c>
      <c r="FS711" s="101">
        <f t="shared" si="389"/>
        <v>7</v>
      </c>
      <c r="FT711" s="101">
        <f t="shared" si="390"/>
        <v>5</v>
      </c>
      <c r="FU711" s="101" t="str">
        <f t="shared" ref="FU711:FU774" si="405">IF($FT711&gt;0,IF(INDEX($EI$6:$EI$77,$FO711)&gt;=FU$3,INDEX(EJ$6:EJ$77,$FO711),""),"")</f>
        <v>金币</v>
      </c>
      <c r="FV711" s="139">
        <f>IF($FT711&gt;0,IF(INDEX($EI$6:$EI$77,$FO711)&gt;=FV$3,ROUND(INDEX(EK$6:EK$77,$FO711)*INDEX(卡牌消耗!$B$8:$F$8,FQ711)/5,0)*5,""),"")</f>
        <v>29465</v>
      </c>
      <c r="FW711" s="101" t="str">
        <f t="shared" ref="FW711:FW774" si="406">IF($FT711&gt;0,IF(INDEX($EI$6:$EI$77,$FO711)&gt;=FW$3,INDEX(EL$6:EL$77,$FO711),""),"")</f>
        <v>专属强化石3</v>
      </c>
      <c r="FX711" s="101">
        <f t="shared" ref="FX711:FX774" si="407">IF($FT711&gt;0,IF(INDEX($EI$6:$EI$77,$FO711)&gt;=FX$3,INDEX(EM$6:EM$77,$FO711),""),"")</f>
        <v>12</v>
      </c>
      <c r="FY711" s="101" t="str">
        <f t="shared" ref="FY711:FY774" si="408">IF($FT711&gt;0,IF(INDEX($EI$6:$EI$77,$FO711)&gt;=FY$3,INDEX(EN$6:EN$77,$FO711),""),"")</f>
        <v>专属强化石4</v>
      </c>
      <c r="FZ711" s="101">
        <f t="shared" ref="FZ711:FZ774" si="409">IF($FT711&gt;0,IF(INDEX($EI$6:$EI$77,$FO711)&gt;=FZ$3,INDEX(EO$6:EO$77,$FO711),""),"")</f>
        <v>4</v>
      </c>
      <c r="GA711" s="101">
        <f t="shared" si="391"/>
        <v>0.05</v>
      </c>
      <c r="GB711" s="101">
        <f t="shared" si="392"/>
        <v>1</v>
      </c>
      <c r="GC711" s="101">
        <f t="shared" si="393"/>
        <v>30</v>
      </c>
      <c r="GD711" s="101">
        <f t="shared" si="394"/>
        <v>0</v>
      </c>
      <c r="GE711" s="101">
        <f t="shared" si="395"/>
        <v>1</v>
      </c>
      <c r="GF711" s="101">
        <f t="shared" si="396"/>
        <v>7</v>
      </c>
      <c r="GG711" s="101">
        <f t="shared" si="397"/>
        <v>2.4899999999999999E-2</v>
      </c>
      <c r="GH711" s="101">
        <f t="shared" si="398"/>
        <v>1</v>
      </c>
      <c r="GI711" s="101">
        <f t="shared" si="399"/>
        <v>14</v>
      </c>
      <c r="GJ711" s="101">
        <f t="shared" si="400"/>
        <v>9.9400000000000002E-2</v>
      </c>
      <c r="GK711" s="101">
        <f t="shared" si="401"/>
        <v>1</v>
      </c>
      <c r="GL711" s="101">
        <f t="shared" si="402"/>
        <v>30</v>
      </c>
    </row>
    <row r="712" spans="170:194" ht="16.5" x14ac:dyDescent="0.2">
      <c r="FN712" s="101">
        <v>707</v>
      </c>
      <c r="FO712" s="101">
        <f t="shared" si="387"/>
        <v>60</v>
      </c>
      <c r="FP712" s="101">
        <f t="shared" si="403"/>
        <v>9</v>
      </c>
      <c r="FQ712" s="14">
        <f t="shared" si="404"/>
        <v>4</v>
      </c>
      <c r="FR712" s="101" t="str">
        <f t="shared" si="388"/>
        <v>张郃专属武器-魂珠-7 6级</v>
      </c>
      <c r="FS712" s="101">
        <f t="shared" si="389"/>
        <v>7</v>
      </c>
      <c r="FT712" s="101">
        <f t="shared" si="390"/>
        <v>6</v>
      </c>
      <c r="FU712" s="101" t="str">
        <f t="shared" si="405"/>
        <v>金币</v>
      </c>
      <c r="FV712" s="139">
        <f>IF($FT712&gt;0,IF(INDEX($EI$6:$EI$77,$FO712)&gt;=FV$3,ROUND(INDEX(EK$6:EK$77,$FO712)*INDEX(卡牌消耗!$B$8:$F$8,FQ712)/5,0)*5,""),"")</f>
        <v>36610</v>
      </c>
      <c r="FW712" s="101" t="str">
        <f t="shared" si="406"/>
        <v>专属强化石3</v>
      </c>
      <c r="FX712" s="101">
        <f t="shared" si="407"/>
        <v>15</v>
      </c>
      <c r="FY712" s="101" t="str">
        <f t="shared" si="408"/>
        <v>专属强化石4</v>
      </c>
      <c r="FZ712" s="101">
        <f t="shared" si="409"/>
        <v>5</v>
      </c>
      <c r="GA712" s="101">
        <f t="shared" si="391"/>
        <v>0.04</v>
      </c>
      <c r="GB712" s="101">
        <f t="shared" si="392"/>
        <v>1</v>
      </c>
      <c r="GC712" s="101">
        <f t="shared" si="393"/>
        <v>39</v>
      </c>
      <c r="GD712" s="101">
        <f t="shared" si="394"/>
        <v>0</v>
      </c>
      <c r="GE712" s="101">
        <f t="shared" si="395"/>
        <v>1</v>
      </c>
      <c r="GF712" s="101">
        <f t="shared" si="396"/>
        <v>9</v>
      </c>
      <c r="GG712" s="101">
        <f t="shared" si="397"/>
        <v>1.9099999999999999E-2</v>
      </c>
      <c r="GH712" s="101">
        <f t="shared" si="398"/>
        <v>1</v>
      </c>
      <c r="GI712" s="101">
        <f t="shared" si="399"/>
        <v>18</v>
      </c>
      <c r="GJ712" s="101">
        <f t="shared" si="400"/>
        <v>7.6499999999999999E-2</v>
      </c>
      <c r="GK712" s="101">
        <f t="shared" si="401"/>
        <v>1</v>
      </c>
      <c r="GL712" s="101">
        <f t="shared" si="402"/>
        <v>39</v>
      </c>
    </row>
    <row r="713" spans="170:194" ht="16.5" x14ac:dyDescent="0.2">
      <c r="FN713" s="101">
        <v>708</v>
      </c>
      <c r="FO713" s="101">
        <f t="shared" si="387"/>
        <v>61</v>
      </c>
      <c r="FP713" s="101">
        <f t="shared" si="403"/>
        <v>9</v>
      </c>
      <c r="FQ713" s="14">
        <f t="shared" si="404"/>
        <v>4</v>
      </c>
      <c r="FR713" s="101" t="str">
        <f t="shared" si="388"/>
        <v>张郃专属武器-魂珠-7 7级</v>
      </c>
      <c r="FS713" s="101">
        <f t="shared" si="389"/>
        <v>7</v>
      </c>
      <c r="FT713" s="101">
        <f t="shared" si="390"/>
        <v>7</v>
      </c>
      <c r="FU713" s="101" t="str">
        <f t="shared" si="405"/>
        <v>金币</v>
      </c>
      <c r="FV713" s="139">
        <f>IF($FT713&gt;0,IF(INDEX($EI$6:$EI$77,$FO713)&gt;=FV$3,ROUND(INDEX(EK$6:EK$77,$FO713)*INDEX(卡牌消耗!$B$8:$F$8,FQ713)/5,0)*5,""),"")</f>
        <v>51370</v>
      </c>
      <c r="FW713" s="101" t="str">
        <f t="shared" si="406"/>
        <v>专属强化石3</v>
      </c>
      <c r="FX713" s="101">
        <f t="shared" si="407"/>
        <v>21</v>
      </c>
      <c r="FY713" s="101" t="str">
        <f t="shared" si="408"/>
        <v>专属强化石4</v>
      </c>
      <c r="FZ713" s="101">
        <f t="shared" si="409"/>
        <v>7</v>
      </c>
      <c r="GA713" s="101">
        <f t="shared" si="391"/>
        <v>0.03</v>
      </c>
      <c r="GB713" s="101">
        <f t="shared" si="392"/>
        <v>1</v>
      </c>
      <c r="GC713" s="101">
        <f t="shared" si="393"/>
        <v>45</v>
      </c>
      <c r="GD713" s="101">
        <f t="shared" si="394"/>
        <v>0</v>
      </c>
      <c r="GE713" s="101">
        <f t="shared" si="395"/>
        <v>1</v>
      </c>
      <c r="GF713" s="101">
        <f t="shared" si="396"/>
        <v>11</v>
      </c>
      <c r="GG713" s="101">
        <f t="shared" si="397"/>
        <v>1.66E-2</v>
      </c>
      <c r="GH713" s="101">
        <f t="shared" si="398"/>
        <v>1</v>
      </c>
      <c r="GI713" s="101">
        <f t="shared" si="399"/>
        <v>21</v>
      </c>
      <c r="GJ713" s="101">
        <f t="shared" si="400"/>
        <v>6.6299999999999998E-2</v>
      </c>
      <c r="GK713" s="101">
        <f t="shared" si="401"/>
        <v>1</v>
      </c>
      <c r="GL713" s="101">
        <f t="shared" si="402"/>
        <v>45</v>
      </c>
    </row>
    <row r="714" spans="170:194" ht="16.5" x14ac:dyDescent="0.2">
      <c r="FN714" s="101">
        <v>709</v>
      </c>
      <c r="FO714" s="101">
        <f t="shared" si="387"/>
        <v>62</v>
      </c>
      <c r="FP714" s="101">
        <f t="shared" si="403"/>
        <v>9</v>
      </c>
      <c r="FQ714" s="14">
        <f t="shared" si="404"/>
        <v>4</v>
      </c>
      <c r="FR714" s="101" t="str">
        <f t="shared" si="388"/>
        <v>张郃专属武器-魂珠-7 8级</v>
      </c>
      <c r="FS714" s="101">
        <f t="shared" si="389"/>
        <v>7</v>
      </c>
      <c r="FT714" s="101">
        <f t="shared" si="390"/>
        <v>8</v>
      </c>
      <c r="FU714" s="101" t="str">
        <f t="shared" si="405"/>
        <v>金币</v>
      </c>
      <c r="FV714" s="139">
        <f>IF($FT714&gt;0,IF(INDEX($EI$6:$EI$77,$FO714)&gt;=FV$3,ROUND(INDEX(EK$6:EK$77,$FO714)*INDEX(卡牌消耗!$B$8:$F$8,FQ714)/5,0)*5,""),"")</f>
        <v>58660</v>
      </c>
      <c r="FW714" s="101" t="str">
        <f t="shared" si="406"/>
        <v>专属强化石3</v>
      </c>
      <c r="FX714" s="101">
        <f t="shared" si="407"/>
        <v>24</v>
      </c>
      <c r="FY714" s="101" t="str">
        <f t="shared" si="408"/>
        <v>专属强化石4</v>
      </c>
      <c r="FZ714" s="101">
        <f t="shared" si="409"/>
        <v>8</v>
      </c>
      <c r="GA714" s="101">
        <f t="shared" si="391"/>
        <v>0.02</v>
      </c>
      <c r="GB714" s="101">
        <f t="shared" si="392"/>
        <v>1</v>
      </c>
      <c r="GC714" s="101">
        <f t="shared" si="393"/>
        <v>64</v>
      </c>
      <c r="GD714" s="101">
        <f t="shared" si="394"/>
        <v>0</v>
      </c>
      <c r="GE714" s="101">
        <f t="shared" si="395"/>
        <v>1</v>
      </c>
      <c r="GF714" s="101">
        <f t="shared" si="396"/>
        <v>15</v>
      </c>
      <c r="GG714" s="101">
        <f t="shared" si="397"/>
        <v>1.17E-2</v>
      </c>
      <c r="GH714" s="101">
        <f t="shared" si="398"/>
        <v>1</v>
      </c>
      <c r="GI714" s="101">
        <f t="shared" si="399"/>
        <v>30</v>
      </c>
      <c r="GJ714" s="101">
        <f t="shared" si="400"/>
        <v>4.6800000000000001E-2</v>
      </c>
      <c r="GK714" s="101">
        <f t="shared" si="401"/>
        <v>1</v>
      </c>
      <c r="GL714" s="101">
        <f t="shared" si="402"/>
        <v>64</v>
      </c>
    </row>
    <row r="715" spans="170:194" ht="16.5" x14ac:dyDescent="0.2">
      <c r="FN715" s="101">
        <v>710</v>
      </c>
      <c r="FO715" s="101">
        <f t="shared" si="387"/>
        <v>63</v>
      </c>
      <c r="FP715" s="101">
        <f t="shared" si="403"/>
        <v>9</v>
      </c>
      <c r="FQ715" s="14">
        <f t="shared" si="404"/>
        <v>4</v>
      </c>
      <c r="FR715" s="101" t="str">
        <f t="shared" si="388"/>
        <v>张郃专属武器-魂珠-7 9级</v>
      </c>
      <c r="FS715" s="101">
        <f t="shared" si="389"/>
        <v>7</v>
      </c>
      <c r="FT715" s="101">
        <f t="shared" si="390"/>
        <v>9</v>
      </c>
      <c r="FU715" s="101" t="str">
        <f t="shared" si="405"/>
        <v>金币</v>
      </c>
      <c r="FV715" s="139">
        <f>IF($FT715&gt;0,IF(INDEX($EI$6:$EI$77,$FO715)&gt;=FV$3,ROUND(INDEX(EK$6:EK$77,$FO715)*INDEX(卡牌消耗!$B$8:$F$8,FQ715)/5,0)*5,""),"")</f>
        <v>73350</v>
      </c>
      <c r="FW715" s="101" t="str">
        <f t="shared" si="406"/>
        <v>专属强化石3</v>
      </c>
      <c r="FX715" s="101">
        <f t="shared" si="407"/>
        <v>30</v>
      </c>
      <c r="FY715" s="101" t="str">
        <f t="shared" si="408"/>
        <v>专属强化石4</v>
      </c>
      <c r="FZ715" s="101">
        <f t="shared" si="409"/>
        <v>10</v>
      </c>
      <c r="GA715" s="101">
        <f t="shared" si="391"/>
        <v>0.02</v>
      </c>
      <c r="GB715" s="101">
        <f t="shared" si="392"/>
        <v>1</v>
      </c>
      <c r="GC715" s="101">
        <f t="shared" si="393"/>
        <v>83</v>
      </c>
      <c r="GD715" s="101">
        <f t="shared" si="394"/>
        <v>0</v>
      </c>
      <c r="GE715" s="101">
        <f t="shared" si="395"/>
        <v>1</v>
      </c>
      <c r="GF715" s="101">
        <f t="shared" si="396"/>
        <v>19</v>
      </c>
      <c r="GG715" s="101">
        <f t="shared" si="397"/>
        <v>8.9999999999999993E-3</v>
      </c>
      <c r="GH715" s="101">
        <f t="shared" si="398"/>
        <v>1</v>
      </c>
      <c r="GI715" s="101">
        <f t="shared" si="399"/>
        <v>39</v>
      </c>
      <c r="GJ715" s="101">
        <f t="shared" si="400"/>
        <v>3.6200000000000003E-2</v>
      </c>
      <c r="GK715" s="101">
        <f t="shared" si="401"/>
        <v>1</v>
      </c>
      <c r="GL715" s="101">
        <f t="shared" si="402"/>
        <v>83</v>
      </c>
    </row>
    <row r="716" spans="170:194" ht="16.5" x14ac:dyDescent="0.2">
      <c r="FN716" s="101">
        <v>711</v>
      </c>
      <c r="FO716" s="101">
        <f t="shared" si="387"/>
        <v>0</v>
      </c>
      <c r="FP716" s="101">
        <f t="shared" si="403"/>
        <v>9</v>
      </c>
      <c r="FQ716" s="14">
        <f t="shared" si="404"/>
        <v>4</v>
      </c>
      <c r="FR716" s="101" t="str">
        <f t="shared" si="388"/>
        <v>张郃专属武器-魂珠-8 0级</v>
      </c>
      <c r="FS716" s="101">
        <f t="shared" si="389"/>
        <v>8</v>
      </c>
      <c r="FT716" s="101">
        <f t="shared" si="390"/>
        <v>0</v>
      </c>
      <c r="FU716" s="101" t="str">
        <f t="shared" si="405"/>
        <v/>
      </c>
      <c r="FV716" s="139" t="str">
        <f>IF($FT716&gt;0,IF(INDEX($EI$6:$EI$77,$FO716)&gt;=FV$3,ROUND(INDEX(EK$6:EK$77,$FO716)*INDEX(卡牌消耗!$B$8:$F$8,FQ716)/5,0)*5,""),"")</f>
        <v/>
      </c>
      <c r="FW716" s="101" t="str">
        <f t="shared" si="406"/>
        <v/>
      </c>
      <c r="FX716" s="101" t="str">
        <f t="shared" si="407"/>
        <v/>
      </c>
      <c r="FY716" s="101" t="str">
        <f t="shared" si="408"/>
        <v/>
      </c>
      <c r="FZ716" s="101" t="str">
        <f t="shared" si="409"/>
        <v/>
      </c>
      <c r="GA716" s="101" t="str">
        <f t="shared" si="391"/>
        <v/>
      </c>
      <c r="GB716" s="101" t="str">
        <f t="shared" si="392"/>
        <v/>
      </c>
      <c r="GC716" s="101" t="str">
        <f t="shared" si="393"/>
        <v/>
      </c>
      <c r="GD716" s="101" t="str">
        <f t="shared" si="394"/>
        <v/>
      </c>
      <c r="GE716" s="101" t="str">
        <f t="shared" si="395"/>
        <v/>
      </c>
      <c r="GF716" s="101" t="str">
        <f t="shared" si="396"/>
        <v/>
      </c>
      <c r="GG716" s="101" t="str">
        <f t="shared" si="397"/>
        <v/>
      </c>
      <c r="GH716" s="101" t="str">
        <f t="shared" si="398"/>
        <v/>
      </c>
      <c r="GI716" s="101" t="str">
        <f t="shared" si="399"/>
        <v/>
      </c>
      <c r="GJ716" s="101" t="str">
        <f t="shared" si="400"/>
        <v/>
      </c>
      <c r="GK716" s="101" t="str">
        <f t="shared" si="401"/>
        <v/>
      </c>
      <c r="GL716" s="101" t="str">
        <f t="shared" si="402"/>
        <v/>
      </c>
    </row>
    <row r="717" spans="170:194" ht="16.5" x14ac:dyDescent="0.2">
      <c r="FN717" s="101">
        <v>712</v>
      </c>
      <c r="FO717" s="101">
        <f t="shared" si="387"/>
        <v>64</v>
      </c>
      <c r="FP717" s="101">
        <f t="shared" si="403"/>
        <v>9</v>
      </c>
      <c r="FQ717" s="14">
        <f t="shared" si="404"/>
        <v>4</v>
      </c>
      <c r="FR717" s="101" t="str">
        <f t="shared" si="388"/>
        <v>张郃专属武器-魂珠-8 1级</v>
      </c>
      <c r="FS717" s="101">
        <f t="shared" si="389"/>
        <v>8</v>
      </c>
      <c r="FT717" s="101">
        <f t="shared" si="390"/>
        <v>1</v>
      </c>
      <c r="FU717" s="101" t="str">
        <f t="shared" si="405"/>
        <v>金币</v>
      </c>
      <c r="FV717" s="139">
        <f>IF($FT717&gt;0,IF(INDEX($EI$6:$EI$77,$FO717)&gt;=FV$3,ROUND(INDEX(EK$6:EK$77,$FO717)*INDEX(卡牌消耗!$B$8:$F$8,FQ717)/5,0)*5,""),"")</f>
        <v>15455</v>
      </c>
      <c r="FW717" s="101" t="str">
        <f t="shared" si="406"/>
        <v>专属强化石4</v>
      </c>
      <c r="FX717" s="101">
        <f t="shared" si="407"/>
        <v>5</v>
      </c>
      <c r="FY717" s="101" t="str">
        <f t="shared" si="408"/>
        <v/>
      </c>
      <c r="FZ717" s="101" t="str">
        <f t="shared" si="409"/>
        <v/>
      </c>
      <c r="GA717" s="101">
        <f t="shared" si="391"/>
        <v>0.11</v>
      </c>
      <c r="GB717" s="101">
        <f t="shared" si="392"/>
        <v>1</v>
      </c>
      <c r="GC717" s="101">
        <f t="shared" si="393"/>
        <v>13</v>
      </c>
      <c r="GD717" s="101">
        <f t="shared" si="394"/>
        <v>0</v>
      </c>
      <c r="GE717" s="101">
        <f t="shared" si="395"/>
        <v>1</v>
      </c>
      <c r="GF717" s="101">
        <f t="shared" si="396"/>
        <v>3</v>
      </c>
      <c r="GG717" s="101">
        <f t="shared" si="397"/>
        <v>5.6500000000000002E-2</v>
      </c>
      <c r="GH717" s="101">
        <f t="shared" si="398"/>
        <v>1</v>
      </c>
      <c r="GI717" s="101">
        <f t="shared" si="399"/>
        <v>6</v>
      </c>
      <c r="GJ717" s="101">
        <f t="shared" si="400"/>
        <v>0.22600000000000001</v>
      </c>
      <c r="GK717" s="101">
        <f t="shared" si="401"/>
        <v>1</v>
      </c>
      <c r="GL717" s="101">
        <f t="shared" si="402"/>
        <v>13</v>
      </c>
    </row>
    <row r="718" spans="170:194" ht="16.5" x14ac:dyDescent="0.2">
      <c r="FN718" s="101">
        <v>713</v>
      </c>
      <c r="FO718" s="101">
        <f t="shared" si="387"/>
        <v>65</v>
      </c>
      <c r="FP718" s="101">
        <f t="shared" si="403"/>
        <v>9</v>
      </c>
      <c r="FQ718" s="14">
        <f t="shared" si="404"/>
        <v>4</v>
      </c>
      <c r="FR718" s="101" t="str">
        <f t="shared" si="388"/>
        <v>张郃专属武器-魂珠-8 2级</v>
      </c>
      <c r="FS718" s="101">
        <f t="shared" si="389"/>
        <v>8</v>
      </c>
      <c r="FT718" s="101">
        <f t="shared" si="390"/>
        <v>2</v>
      </c>
      <c r="FU718" s="101" t="str">
        <f t="shared" si="405"/>
        <v>金币</v>
      </c>
      <c r="FV718" s="139">
        <f>IF($FT718&gt;0,IF(INDEX($EI$6:$EI$77,$FO718)&gt;=FV$3,ROUND(INDEX(EK$6:EK$77,$FO718)*INDEX(卡牌消耗!$B$8:$F$8,FQ718)/5,0)*5,""),"")</f>
        <v>18545</v>
      </c>
      <c r="FW718" s="101" t="str">
        <f t="shared" si="406"/>
        <v>专属强化石4</v>
      </c>
      <c r="FX718" s="101">
        <f t="shared" si="407"/>
        <v>8</v>
      </c>
      <c r="FY718" s="101" t="str">
        <f t="shared" si="408"/>
        <v/>
      </c>
      <c r="FZ718" s="101" t="str">
        <f t="shared" si="409"/>
        <v/>
      </c>
      <c r="GA718" s="101">
        <f t="shared" si="391"/>
        <v>0.09</v>
      </c>
      <c r="GB718" s="101">
        <f t="shared" si="392"/>
        <v>1</v>
      </c>
      <c r="GC718" s="101">
        <f t="shared" si="393"/>
        <v>17</v>
      </c>
      <c r="GD718" s="101">
        <f t="shared" si="394"/>
        <v>0</v>
      </c>
      <c r="GE718" s="101">
        <f t="shared" si="395"/>
        <v>1</v>
      </c>
      <c r="GF718" s="101">
        <f t="shared" si="396"/>
        <v>4</v>
      </c>
      <c r="GG718" s="101">
        <f t="shared" si="397"/>
        <v>4.5199999999999997E-2</v>
      </c>
      <c r="GH718" s="101">
        <f t="shared" si="398"/>
        <v>1</v>
      </c>
      <c r="GI718" s="101">
        <f t="shared" si="399"/>
        <v>8</v>
      </c>
      <c r="GJ718" s="101">
        <f t="shared" si="400"/>
        <v>0.18079999999999999</v>
      </c>
      <c r="GK718" s="101">
        <f t="shared" si="401"/>
        <v>1</v>
      </c>
      <c r="GL718" s="101">
        <f t="shared" si="402"/>
        <v>17</v>
      </c>
    </row>
    <row r="719" spans="170:194" ht="16.5" x14ac:dyDescent="0.2">
      <c r="FN719" s="101">
        <v>714</v>
      </c>
      <c r="FO719" s="101">
        <f t="shared" si="387"/>
        <v>66</v>
      </c>
      <c r="FP719" s="101">
        <f t="shared" si="403"/>
        <v>9</v>
      </c>
      <c r="FQ719" s="14">
        <f t="shared" si="404"/>
        <v>4</v>
      </c>
      <c r="FR719" s="101" t="str">
        <f t="shared" si="388"/>
        <v>张郃专属武器-魂珠-8 3级</v>
      </c>
      <c r="FS719" s="101">
        <f t="shared" si="389"/>
        <v>8</v>
      </c>
      <c r="FT719" s="101">
        <f t="shared" si="390"/>
        <v>3</v>
      </c>
      <c r="FU719" s="101" t="str">
        <f t="shared" si="405"/>
        <v>金币</v>
      </c>
      <c r="FV719" s="139">
        <f>IF($FT719&gt;0,IF(INDEX($EI$6:$EI$77,$FO719)&gt;=FV$3,ROUND(INDEX(EK$6:EK$77,$FO719)*INDEX(卡牌消耗!$B$8:$F$8,FQ719)/5,0)*5,""),"")</f>
        <v>25755</v>
      </c>
      <c r="FW719" s="101" t="str">
        <f t="shared" si="406"/>
        <v>专属强化石4</v>
      </c>
      <c r="FX719" s="101">
        <f t="shared" si="407"/>
        <v>10</v>
      </c>
      <c r="FY719" s="101" t="str">
        <f t="shared" si="408"/>
        <v/>
      </c>
      <c r="FZ719" s="101" t="str">
        <f t="shared" si="409"/>
        <v/>
      </c>
      <c r="GA719" s="101">
        <f t="shared" si="391"/>
        <v>0.08</v>
      </c>
      <c r="GB719" s="101">
        <f t="shared" si="392"/>
        <v>1</v>
      </c>
      <c r="GC719" s="101">
        <f t="shared" si="393"/>
        <v>20</v>
      </c>
      <c r="GD719" s="101">
        <f t="shared" si="394"/>
        <v>0</v>
      </c>
      <c r="GE719" s="101">
        <f t="shared" si="395"/>
        <v>1</v>
      </c>
      <c r="GF719" s="101">
        <f t="shared" si="396"/>
        <v>5</v>
      </c>
      <c r="GG719" s="101">
        <f t="shared" si="397"/>
        <v>3.7699999999999997E-2</v>
      </c>
      <c r="GH719" s="101">
        <f t="shared" si="398"/>
        <v>1</v>
      </c>
      <c r="GI719" s="101">
        <f t="shared" si="399"/>
        <v>9</v>
      </c>
      <c r="GJ719" s="101">
        <f t="shared" si="400"/>
        <v>0.1507</v>
      </c>
      <c r="GK719" s="101">
        <f t="shared" si="401"/>
        <v>1</v>
      </c>
      <c r="GL719" s="101">
        <f t="shared" si="402"/>
        <v>20</v>
      </c>
    </row>
    <row r="720" spans="170:194" ht="16.5" x14ac:dyDescent="0.2">
      <c r="FN720" s="101">
        <v>715</v>
      </c>
      <c r="FO720" s="101">
        <f t="shared" si="387"/>
        <v>67</v>
      </c>
      <c r="FP720" s="101">
        <f t="shared" si="403"/>
        <v>9</v>
      </c>
      <c r="FQ720" s="14">
        <f t="shared" si="404"/>
        <v>4</v>
      </c>
      <c r="FR720" s="101" t="str">
        <f t="shared" si="388"/>
        <v>张郃专属武器-魂珠-8 4级</v>
      </c>
      <c r="FS720" s="101">
        <f t="shared" si="389"/>
        <v>8</v>
      </c>
      <c r="FT720" s="101">
        <f t="shared" si="390"/>
        <v>4</v>
      </c>
      <c r="FU720" s="101" t="str">
        <f t="shared" si="405"/>
        <v>金币</v>
      </c>
      <c r="FV720" s="139">
        <f>IF($FT720&gt;0,IF(INDEX($EI$6:$EI$77,$FO720)&gt;=FV$3,ROUND(INDEX(EK$6:EK$77,$FO720)*INDEX(卡牌消耗!$B$8:$F$8,FQ720)/5,0)*5,""),"")</f>
        <v>29670</v>
      </c>
      <c r="FW720" s="101" t="str">
        <f t="shared" si="406"/>
        <v>专属强化石4</v>
      </c>
      <c r="FX720" s="101">
        <f t="shared" si="407"/>
        <v>12</v>
      </c>
      <c r="FY720" s="101" t="str">
        <f t="shared" si="408"/>
        <v/>
      </c>
      <c r="FZ720" s="101" t="str">
        <f t="shared" si="409"/>
        <v/>
      </c>
      <c r="GA720" s="101">
        <f t="shared" si="391"/>
        <v>0.05</v>
      </c>
      <c r="GB720" s="101">
        <f t="shared" si="392"/>
        <v>1</v>
      </c>
      <c r="GC720" s="101">
        <f t="shared" si="393"/>
        <v>28</v>
      </c>
      <c r="GD720" s="101">
        <f t="shared" si="394"/>
        <v>0</v>
      </c>
      <c r="GE720" s="101">
        <f t="shared" si="395"/>
        <v>1</v>
      </c>
      <c r="GF720" s="101">
        <f t="shared" si="396"/>
        <v>6</v>
      </c>
      <c r="GG720" s="101">
        <f t="shared" si="397"/>
        <v>2.7099999999999999E-2</v>
      </c>
      <c r="GH720" s="101">
        <f t="shared" si="398"/>
        <v>1</v>
      </c>
      <c r="GI720" s="101">
        <f t="shared" si="399"/>
        <v>13</v>
      </c>
      <c r="GJ720" s="101">
        <f t="shared" si="400"/>
        <v>0.1085</v>
      </c>
      <c r="GK720" s="101">
        <f t="shared" si="401"/>
        <v>1</v>
      </c>
      <c r="GL720" s="101">
        <f t="shared" si="402"/>
        <v>28</v>
      </c>
    </row>
    <row r="721" spans="170:194" ht="16.5" x14ac:dyDescent="0.2">
      <c r="FN721" s="101">
        <v>716</v>
      </c>
      <c r="FO721" s="101">
        <f t="shared" si="387"/>
        <v>68</v>
      </c>
      <c r="FP721" s="101">
        <f t="shared" si="403"/>
        <v>9</v>
      </c>
      <c r="FQ721" s="14">
        <f t="shared" si="404"/>
        <v>4</v>
      </c>
      <c r="FR721" s="101" t="str">
        <f t="shared" si="388"/>
        <v>张郃专属武器-魂珠-8 5级</v>
      </c>
      <c r="FS721" s="101">
        <f t="shared" si="389"/>
        <v>8</v>
      </c>
      <c r="FT721" s="101">
        <f t="shared" si="390"/>
        <v>5</v>
      </c>
      <c r="FU721" s="101" t="str">
        <f t="shared" si="405"/>
        <v>金币</v>
      </c>
      <c r="FV721" s="139">
        <f>IF($FT721&gt;0,IF(INDEX($EI$6:$EI$77,$FO721)&gt;=FV$3,ROUND(INDEX(EK$6:EK$77,$FO721)*INDEX(卡牌消耗!$B$8:$F$8,FQ721)/5,0)*5,""),"")</f>
        <v>37665</v>
      </c>
      <c r="FW721" s="101" t="str">
        <f t="shared" si="406"/>
        <v>专属强化石4</v>
      </c>
      <c r="FX721" s="101">
        <f t="shared" si="407"/>
        <v>15</v>
      </c>
      <c r="FY721" s="101" t="str">
        <f t="shared" si="408"/>
        <v/>
      </c>
      <c r="FZ721" s="101" t="str">
        <f t="shared" si="409"/>
        <v/>
      </c>
      <c r="GA721" s="101">
        <f t="shared" si="391"/>
        <v>0.04</v>
      </c>
      <c r="GB721" s="101">
        <f t="shared" si="392"/>
        <v>1</v>
      </c>
      <c r="GC721" s="101">
        <f t="shared" si="393"/>
        <v>35</v>
      </c>
      <c r="GD721" s="101">
        <f t="shared" si="394"/>
        <v>0</v>
      </c>
      <c r="GE721" s="101">
        <f t="shared" si="395"/>
        <v>1</v>
      </c>
      <c r="GF721" s="101">
        <f t="shared" si="396"/>
        <v>8</v>
      </c>
      <c r="GG721" s="101">
        <f t="shared" si="397"/>
        <v>2.12E-2</v>
      </c>
      <c r="GH721" s="101">
        <f t="shared" si="398"/>
        <v>1</v>
      </c>
      <c r="GI721" s="101">
        <f t="shared" si="399"/>
        <v>17</v>
      </c>
      <c r="GJ721" s="101">
        <f t="shared" si="400"/>
        <v>8.4699999999999998E-2</v>
      </c>
      <c r="GK721" s="101">
        <f t="shared" si="401"/>
        <v>1</v>
      </c>
      <c r="GL721" s="101">
        <f t="shared" si="402"/>
        <v>35</v>
      </c>
    </row>
    <row r="722" spans="170:194" ht="16.5" x14ac:dyDescent="0.2">
      <c r="FN722" s="101">
        <v>717</v>
      </c>
      <c r="FO722" s="101">
        <f t="shared" si="387"/>
        <v>69</v>
      </c>
      <c r="FP722" s="101">
        <f t="shared" si="403"/>
        <v>9</v>
      </c>
      <c r="FQ722" s="14">
        <f t="shared" si="404"/>
        <v>4</v>
      </c>
      <c r="FR722" s="101" t="str">
        <f t="shared" si="388"/>
        <v>张郃专属武器-魂珠-8 6级</v>
      </c>
      <c r="FS722" s="101">
        <f t="shared" si="389"/>
        <v>8</v>
      </c>
      <c r="FT722" s="101">
        <f t="shared" si="390"/>
        <v>6</v>
      </c>
      <c r="FU722" s="101" t="str">
        <f t="shared" si="405"/>
        <v>金币</v>
      </c>
      <c r="FV722" s="139">
        <f>IF($FT722&gt;0,IF(INDEX($EI$6:$EI$77,$FO722)&gt;=FV$3,ROUND(INDEX(EK$6:EK$77,$FO722)*INDEX(卡牌消耗!$B$8:$F$8,FQ722)/5,0)*5,""),"")</f>
        <v>44935</v>
      </c>
      <c r="FW722" s="101" t="str">
        <f t="shared" si="406"/>
        <v>专属强化石4</v>
      </c>
      <c r="FX722" s="101">
        <f t="shared" si="407"/>
        <v>18</v>
      </c>
      <c r="FY722" s="101" t="str">
        <f t="shared" si="408"/>
        <v/>
      </c>
      <c r="FZ722" s="101" t="str">
        <f t="shared" si="409"/>
        <v/>
      </c>
      <c r="GA722" s="101">
        <f t="shared" si="391"/>
        <v>0.03</v>
      </c>
      <c r="GB722" s="101">
        <f t="shared" si="392"/>
        <v>1</v>
      </c>
      <c r="GC722" s="101">
        <f t="shared" si="393"/>
        <v>48</v>
      </c>
      <c r="GD722" s="101">
        <f t="shared" si="394"/>
        <v>0</v>
      </c>
      <c r="GE722" s="101">
        <f t="shared" si="395"/>
        <v>1</v>
      </c>
      <c r="GF722" s="101">
        <f t="shared" si="396"/>
        <v>11</v>
      </c>
      <c r="GG722" s="101">
        <f t="shared" si="397"/>
        <v>1.5599999999999999E-2</v>
      </c>
      <c r="GH722" s="101">
        <f t="shared" si="398"/>
        <v>1</v>
      </c>
      <c r="GI722" s="101">
        <f t="shared" si="399"/>
        <v>22</v>
      </c>
      <c r="GJ722" s="101">
        <f t="shared" si="400"/>
        <v>6.2600000000000003E-2</v>
      </c>
      <c r="GK722" s="101">
        <f t="shared" si="401"/>
        <v>1</v>
      </c>
      <c r="GL722" s="101">
        <f t="shared" si="402"/>
        <v>48</v>
      </c>
    </row>
    <row r="723" spans="170:194" ht="16.5" x14ac:dyDescent="0.2">
      <c r="FN723" s="101">
        <v>718</v>
      </c>
      <c r="FO723" s="101">
        <f t="shared" si="387"/>
        <v>70</v>
      </c>
      <c r="FP723" s="101">
        <f t="shared" si="403"/>
        <v>9</v>
      </c>
      <c r="FQ723" s="14">
        <f t="shared" si="404"/>
        <v>4</v>
      </c>
      <c r="FR723" s="101" t="str">
        <f t="shared" si="388"/>
        <v>张郃专属武器-魂珠-8 7级</v>
      </c>
      <c r="FS723" s="101">
        <f t="shared" si="389"/>
        <v>8</v>
      </c>
      <c r="FT723" s="101">
        <f t="shared" si="390"/>
        <v>7</v>
      </c>
      <c r="FU723" s="101" t="str">
        <f t="shared" si="405"/>
        <v>金币</v>
      </c>
      <c r="FV723" s="139">
        <f>IF($FT723&gt;0,IF(INDEX($EI$6:$EI$77,$FO723)&gt;=FV$3,ROUND(INDEX(EK$6:EK$77,$FO723)*INDEX(卡牌消耗!$B$8:$F$8,FQ723)/5,0)*5,""),"")</f>
        <v>62545</v>
      </c>
      <c r="FW723" s="101" t="str">
        <f t="shared" si="406"/>
        <v>专属强化石4</v>
      </c>
      <c r="FX723" s="101">
        <f t="shared" si="407"/>
        <v>25</v>
      </c>
      <c r="FY723" s="101" t="str">
        <f t="shared" si="408"/>
        <v/>
      </c>
      <c r="FZ723" s="101" t="str">
        <f t="shared" si="409"/>
        <v/>
      </c>
      <c r="GA723" s="101">
        <f t="shared" si="391"/>
        <v>0.03</v>
      </c>
      <c r="GB723" s="101">
        <f t="shared" si="392"/>
        <v>1</v>
      </c>
      <c r="GC723" s="101">
        <f t="shared" si="393"/>
        <v>56</v>
      </c>
      <c r="GD723" s="101">
        <f t="shared" si="394"/>
        <v>0</v>
      </c>
      <c r="GE723" s="101">
        <f t="shared" si="395"/>
        <v>1</v>
      </c>
      <c r="GF723" s="101">
        <f t="shared" si="396"/>
        <v>13</v>
      </c>
      <c r="GG723" s="101">
        <f t="shared" si="397"/>
        <v>1.35E-2</v>
      </c>
      <c r="GH723" s="101">
        <f t="shared" si="398"/>
        <v>1</v>
      </c>
      <c r="GI723" s="101">
        <f t="shared" si="399"/>
        <v>26</v>
      </c>
      <c r="GJ723" s="101">
        <f t="shared" si="400"/>
        <v>5.3800000000000001E-2</v>
      </c>
      <c r="GK723" s="101">
        <f t="shared" si="401"/>
        <v>1</v>
      </c>
      <c r="GL723" s="101">
        <f t="shared" si="402"/>
        <v>56</v>
      </c>
    </row>
    <row r="724" spans="170:194" ht="16.5" x14ac:dyDescent="0.2">
      <c r="FN724" s="101">
        <v>719</v>
      </c>
      <c r="FO724" s="101">
        <f t="shared" si="387"/>
        <v>71</v>
      </c>
      <c r="FP724" s="101">
        <f t="shared" si="403"/>
        <v>9</v>
      </c>
      <c r="FQ724" s="14">
        <f t="shared" si="404"/>
        <v>4</v>
      </c>
      <c r="FR724" s="101" t="str">
        <f t="shared" si="388"/>
        <v>张郃专属武器-魂珠-8 8级</v>
      </c>
      <c r="FS724" s="101">
        <f t="shared" si="389"/>
        <v>8</v>
      </c>
      <c r="FT724" s="101">
        <f t="shared" si="390"/>
        <v>8</v>
      </c>
      <c r="FU724" s="101" t="str">
        <f t="shared" si="405"/>
        <v>金币</v>
      </c>
      <c r="FV724" s="139">
        <f>IF($FT724&gt;0,IF(INDEX($EI$6:$EI$77,$FO724)&gt;=FV$3,ROUND(INDEX(EK$6:EK$77,$FO724)*INDEX(卡牌消耗!$B$8:$F$8,FQ724)/5,0)*5,""),"")</f>
        <v>74990</v>
      </c>
      <c r="FW724" s="101" t="str">
        <f t="shared" si="406"/>
        <v>专属强化石4</v>
      </c>
      <c r="FX724" s="101">
        <f t="shared" si="407"/>
        <v>30</v>
      </c>
      <c r="FY724" s="101" t="str">
        <f t="shared" si="408"/>
        <v/>
      </c>
      <c r="FZ724" s="101" t="str">
        <f t="shared" si="409"/>
        <v/>
      </c>
      <c r="GA724" s="101">
        <f t="shared" si="391"/>
        <v>0.02</v>
      </c>
      <c r="GB724" s="101">
        <f t="shared" si="392"/>
        <v>1</v>
      </c>
      <c r="GC724" s="101">
        <f t="shared" si="393"/>
        <v>75</v>
      </c>
      <c r="GD724" s="101">
        <f t="shared" si="394"/>
        <v>0</v>
      </c>
      <c r="GE724" s="101">
        <f t="shared" si="395"/>
        <v>1</v>
      </c>
      <c r="GF724" s="101">
        <f t="shared" si="396"/>
        <v>18</v>
      </c>
      <c r="GG724" s="101">
        <f t="shared" si="397"/>
        <v>0.01</v>
      </c>
      <c r="GH724" s="101">
        <f t="shared" si="398"/>
        <v>1</v>
      </c>
      <c r="GI724" s="101">
        <f t="shared" si="399"/>
        <v>35</v>
      </c>
      <c r="GJ724" s="101">
        <f t="shared" si="400"/>
        <v>3.9899999999999998E-2</v>
      </c>
      <c r="GK724" s="101">
        <f t="shared" si="401"/>
        <v>1</v>
      </c>
      <c r="GL724" s="101">
        <f t="shared" si="402"/>
        <v>75</v>
      </c>
    </row>
    <row r="725" spans="170:194" ht="16.5" x14ac:dyDescent="0.2">
      <c r="FN725" s="101">
        <v>720</v>
      </c>
      <c r="FO725" s="101">
        <f t="shared" si="387"/>
        <v>72</v>
      </c>
      <c r="FP725" s="101">
        <f t="shared" si="403"/>
        <v>9</v>
      </c>
      <c r="FQ725" s="14">
        <f t="shared" si="404"/>
        <v>4</v>
      </c>
      <c r="FR725" s="101" t="str">
        <f t="shared" si="388"/>
        <v>张郃专属武器-魂珠-8 9级</v>
      </c>
      <c r="FS725" s="101">
        <f t="shared" si="389"/>
        <v>8</v>
      </c>
      <c r="FT725" s="101">
        <f t="shared" si="390"/>
        <v>9</v>
      </c>
      <c r="FU725" s="101" t="str">
        <f t="shared" si="405"/>
        <v>金币</v>
      </c>
      <c r="FV725" s="139">
        <f>IF($FT725&gt;0,IF(INDEX($EI$6:$EI$77,$FO725)&gt;=FV$3,ROUND(INDEX(EK$6:EK$77,$FO725)*INDEX(卡牌消耗!$B$8:$F$8,FQ725)/5,0)*5,""),"")</f>
        <v>75015</v>
      </c>
      <c r="FW725" s="101" t="str">
        <f t="shared" si="406"/>
        <v>专属强化石4</v>
      </c>
      <c r="FX725" s="101">
        <f t="shared" si="407"/>
        <v>30</v>
      </c>
      <c r="FY725" s="101" t="str">
        <f t="shared" si="408"/>
        <v/>
      </c>
      <c r="FZ725" s="101" t="str">
        <f t="shared" si="409"/>
        <v/>
      </c>
      <c r="GA725" s="101">
        <f t="shared" si="391"/>
        <v>0.01</v>
      </c>
      <c r="GB725" s="101">
        <f t="shared" si="392"/>
        <v>1</v>
      </c>
      <c r="GC725" s="101">
        <f t="shared" si="393"/>
        <v>122</v>
      </c>
      <c r="GD725" s="101">
        <f t="shared" si="394"/>
        <v>0</v>
      </c>
      <c r="GE725" s="101">
        <f t="shared" si="395"/>
        <v>1</v>
      </c>
      <c r="GF725" s="101">
        <f t="shared" si="396"/>
        <v>28</v>
      </c>
      <c r="GG725" s="101">
        <f t="shared" si="397"/>
        <v>6.1999999999999998E-3</v>
      </c>
      <c r="GH725" s="101">
        <f t="shared" si="398"/>
        <v>1</v>
      </c>
      <c r="GI725" s="101">
        <f t="shared" si="399"/>
        <v>57</v>
      </c>
      <c r="GJ725" s="101">
        <f t="shared" si="400"/>
        <v>2.47E-2</v>
      </c>
      <c r="GK725" s="101">
        <f t="shared" si="401"/>
        <v>1</v>
      </c>
      <c r="GL725" s="101">
        <f t="shared" si="402"/>
        <v>122</v>
      </c>
    </row>
    <row r="726" spans="170:194" ht="16.5" x14ac:dyDescent="0.2">
      <c r="FN726" s="101">
        <v>721</v>
      </c>
      <c r="FO726" s="101">
        <f t="shared" ref="FO726:FO789" si="410">IF(FT726&gt;0,(FS726-1)*9+FT726,0)</f>
        <v>0</v>
      </c>
      <c r="FP726" s="101">
        <f t="shared" si="403"/>
        <v>10</v>
      </c>
      <c r="FQ726" s="14">
        <f t="shared" si="404"/>
        <v>4</v>
      </c>
      <c r="FR726" s="101" t="str">
        <f t="shared" ref="FR726:FR789" si="411">INDEX($FI$6:$FI$26,FP726)&amp;"专属武器-魂珠-"&amp;FS726&amp;" "&amp;FT726&amp;"级"</f>
        <v>张飞专属武器-魂珠-1 0级</v>
      </c>
      <c r="FS726" s="101">
        <f t="shared" ref="FS726:FS789" si="412">INT((FN726-(FP726-1)*80-1)/10)+1</f>
        <v>1</v>
      </c>
      <c r="FT726" s="101">
        <f t="shared" ref="FT726:FT789" si="413">FN726-(FP726-1)*80-(FS726-1)*10-1</f>
        <v>0</v>
      </c>
      <c r="FU726" s="101" t="str">
        <f t="shared" si="405"/>
        <v/>
      </c>
      <c r="FV726" s="139" t="str">
        <f>IF($FT726&gt;0,IF(INDEX($EI$6:$EI$77,$FO726)&gt;=FV$3,ROUND(INDEX(EK$6:EK$77,$FO726)*INDEX(卡牌消耗!$B$8:$F$8,FQ726)/5,0)*5,""),"")</f>
        <v/>
      </c>
      <c r="FW726" s="101" t="str">
        <f t="shared" si="406"/>
        <v/>
      </c>
      <c r="FX726" s="101" t="str">
        <f t="shared" si="407"/>
        <v/>
      </c>
      <c r="FY726" s="101" t="str">
        <f t="shared" si="408"/>
        <v/>
      </c>
      <c r="FZ726" s="101" t="str">
        <f t="shared" si="409"/>
        <v/>
      </c>
      <c r="GA726" s="101" t="str">
        <f t="shared" ref="GA726:GA789" si="414">IF($FT726&gt;0,INDEX(EP$6:EP$77,$FO726),"")</f>
        <v/>
      </c>
      <c r="GB726" s="101" t="str">
        <f t="shared" ref="GB726:GB789" si="415">IF($FT726&gt;0,INDEX(EQ$6:EQ$77,$FO726),"")</f>
        <v/>
      </c>
      <c r="GC726" s="101" t="str">
        <f t="shared" ref="GC726:GC789" si="416">IF($FT726&gt;0,INDEX(ER$6:ER$77,$FO726),"")</f>
        <v/>
      </c>
      <c r="GD726" s="101" t="str">
        <f t="shared" ref="GD726:GD789" si="417">IF($FT726&gt;0,INDEX(EV$6:EV$77,$FO726),"")</f>
        <v/>
      </c>
      <c r="GE726" s="101" t="str">
        <f t="shared" ref="GE726:GE789" si="418">IF($FT726&gt;0,INDEX(EW$6:EW$77,$FO726),"")</f>
        <v/>
      </c>
      <c r="GF726" s="101" t="str">
        <f t="shared" ref="GF726:GF789" si="419">IF($FT726&gt;0,INDEX(EX$6:EX$77,$FO726),"")</f>
        <v/>
      </c>
      <c r="GG726" s="101" t="str">
        <f t="shared" ref="GG726:GG789" si="420">IF($FT726&gt;0,INDEX(EY$6:EY$77,$FO726),"")</f>
        <v/>
      </c>
      <c r="GH726" s="101" t="str">
        <f t="shared" ref="GH726:GH789" si="421">IF($FT726&gt;0,INDEX(EZ$6:EZ$77,$FO726),"")</f>
        <v/>
      </c>
      <c r="GI726" s="101" t="str">
        <f t="shared" ref="GI726:GI789" si="422">IF($FT726&gt;0,INDEX(FA$6:FA$77,$FO726),"")</f>
        <v/>
      </c>
      <c r="GJ726" s="101" t="str">
        <f t="shared" ref="GJ726:GJ789" si="423">IF($FT726&gt;0,INDEX(FB$6:FB$77,$FO726),"")</f>
        <v/>
      </c>
      <c r="GK726" s="101" t="str">
        <f t="shared" ref="GK726:GK789" si="424">IF($FT726&gt;0,INDEX(FC$6:FC$77,$FO726),"")</f>
        <v/>
      </c>
      <c r="GL726" s="101" t="str">
        <f t="shared" ref="GL726:GL789" si="425">IF($FT726&gt;0,INDEX(FD$6:FD$77,$FO726),"")</f>
        <v/>
      </c>
    </row>
    <row r="727" spans="170:194" ht="16.5" x14ac:dyDescent="0.2">
      <c r="FN727" s="101">
        <v>722</v>
      </c>
      <c r="FO727" s="101">
        <f t="shared" si="410"/>
        <v>1</v>
      </c>
      <c r="FP727" s="101">
        <f t="shared" si="403"/>
        <v>10</v>
      </c>
      <c r="FQ727" s="14">
        <f t="shared" si="404"/>
        <v>4</v>
      </c>
      <c r="FR727" s="101" t="str">
        <f t="shared" si="411"/>
        <v>张飞专属武器-魂珠-1 1级</v>
      </c>
      <c r="FS727" s="101">
        <f t="shared" si="412"/>
        <v>1</v>
      </c>
      <c r="FT727" s="101">
        <f t="shared" si="413"/>
        <v>1</v>
      </c>
      <c r="FU727" s="101" t="str">
        <f t="shared" si="405"/>
        <v>金币</v>
      </c>
      <c r="FV727" s="139">
        <f>IF($FT727&gt;0,IF(INDEX($EI$6:$EI$77,$FO727)&gt;=FV$3,ROUND(INDEX(EK$6:EK$77,$FO727)*INDEX(卡牌消耗!$B$8:$F$8,FQ727)/5,0)*5,""),"")</f>
        <v>145</v>
      </c>
      <c r="FW727" s="101" t="str">
        <f t="shared" si="406"/>
        <v>专属强化石1</v>
      </c>
      <c r="FX727" s="101">
        <f t="shared" si="407"/>
        <v>1</v>
      </c>
      <c r="FY727" s="101" t="str">
        <f t="shared" si="408"/>
        <v/>
      </c>
      <c r="FZ727" s="101" t="str">
        <f t="shared" si="409"/>
        <v/>
      </c>
      <c r="GA727" s="101">
        <f t="shared" si="414"/>
        <v>0.32</v>
      </c>
      <c r="GB727" s="101">
        <f t="shared" si="415"/>
        <v>1</v>
      </c>
      <c r="GC727" s="101">
        <f t="shared" si="416"/>
        <v>5</v>
      </c>
      <c r="GD727" s="101">
        <f t="shared" si="417"/>
        <v>0</v>
      </c>
      <c r="GE727" s="101">
        <f t="shared" si="418"/>
        <v>1</v>
      </c>
      <c r="GF727" s="101">
        <f t="shared" si="419"/>
        <v>1</v>
      </c>
      <c r="GG727" s="101">
        <f t="shared" si="420"/>
        <v>0.1595</v>
      </c>
      <c r="GH727" s="101">
        <f t="shared" si="421"/>
        <v>1</v>
      </c>
      <c r="GI727" s="101">
        <f t="shared" si="422"/>
        <v>2</v>
      </c>
      <c r="GJ727" s="101">
        <f t="shared" si="423"/>
        <v>0.63819999999999999</v>
      </c>
      <c r="GK727" s="101">
        <f t="shared" si="424"/>
        <v>1</v>
      </c>
      <c r="GL727" s="101">
        <f t="shared" si="425"/>
        <v>5</v>
      </c>
    </row>
    <row r="728" spans="170:194" ht="16.5" x14ac:dyDescent="0.2">
      <c r="FN728" s="101">
        <v>723</v>
      </c>
      <c r="FO728" s="101">
        <f t="shared" si="410"/>
        <v>2</v>
      </c>
      <c r="FP728" s="101">
        <f t="shared" si="403"/>
        <v>10</v>
      </c>
      <c r="FQ728" s="14">
        <f t="shared" si="404"/>
        <v>4</v>
      </c>
      <c r="FR728" s="101" t="str">
        <f t="shared" si="411"/>
        <v>张飞专属武器-魂珠-1 2级</v>
      </c>
      <c r="FS728" s="101">
        <f t="shared" si="412"/>
        <v>1</v>
      </c>
      <c r="FT728" s="101">
        <f t="shared" si="413"/>
        <v>2</v>
      </c>
      <c r="FU728" s="101" t="str">
        <f t="shared" si="405"/>
        <v>金币</v>
      </c>
      <c r="FV728" s="139">
        <f>IF($FT728&gt;0,IF(INDEX($EI$6:$EI$77,$FO728)&gt;=FV$3,ROUND(INDEX(EK$6:EK$77,$FO728)*INDEX(卡牌消耗!$B$8:$F$8,FQ728)/5,0)*5,""),"")</f>
        <v>215</v>
      </c>
      <c r="FW728" s="101" t="str">
        <f t="shared" si="406"/>
        <v>专属强化石1</v>
      </c>
      <c r="FX728" s="101">
        <f t="shared" si="407"/>
        <v>2</v>
      </c>
      <c r="FY728" s="101" t="str">
        <f t="shared" si="408"/>
        <v/>
      </c>
      <c r="FZ728" s="101" t="str">
        <f t="shared" si="409"/>
        <v/>
      </c>
      <c r="GA728" s="101">
        <f t="shared" si="414"/>
        <v>0.32</v>
      </c>
      <c r="GB728" s="101">
        <f t="shared" si="415"/>
        <v>1</v>
      </c>
      <c r="GC728" s="101">
        <f t="shared" si="416"/>
        <v>5</v>
      </c>
      <c r="GD728" s="101">
        <f t="shared" si="417"/>
        <v>0</v>
      </c>
      <c r="GE728" s="101">
        <f t="shared" si="418"/>
        <v>1</v>
      </c>
      <c r="GF728" s="101">
        <f t="shared" si="419"/>
        <v>1</v>
      </c>
      <c r="GG728" s="101">
        <f t="shared" si="420"/>
        <v>0.1595</v>
      </c>
      <c r="GH728" s="101">
        <f t="shared" si="421"/>
        <v>1</v>
      </c>
      <c r="GI728" s="101">
        <f t="shared" si="422"/>
        <v>2</v>
      </c>
      <c r="GJ728" s="101">
        <f t="shared" si="423"/>
        <v>0.63819999999999999</v>
      </c>
      <c r="GK728" s="101">
        <f t="shared" si="424"/>
        <v>1</v>
      </c>
      <c r="GL728" s="101">
        <f t="shared" si="425"/>
        <v>5</v>
      </c>
    </row>
    <row r="729" spans="170:194" ht="16.5" x14ac:dyDescent="0.2">
      <c r="FN729" s="101">
        <v>724</v>
      </c>
      <c r="FO729" s="101">
        <f t="shared" si="410"/>
        <v>3</v>
      </c>
      <c r="FP729" s="101">
        <f t="shared" si="403"/>
        <v>10</v>
      </c>
      <c r="FQ729" s="14">
        <f t="shared" si="404"/>
        <v>4</v>
      </c>
      <c r="FR729" s="101" t="str">
        <f t="shared" si="411"/>
        <v>张飞专属武器-魂珠-1 3级</v>
      </c>
      <c r="FS729" s="101">
        <f t="shared" si="412"/>
        <v>1</v>
      </c>
      <c r="FT729" s="101">
        <f t="shared" si="413"/>
        <v>3</v>
      </c>
      <c r="FU729" s="101" t="str">
        <f t="shared" si="405"/>
        <v>金币</v>
      </c>
      <c r="FV729" s="139">
        <f>IF($FT729&gt;0,IF(INDEX($EI$6:$EI$77,$FO729)&gt;=FV$3,ROUND(INDEX(EK$6:EK$77,$FO729)*INDEX(卡牌消耗!$B$8:$F$8,FQ729)/5,0)*5,""),"")</f>
        <v>355</v>
      </c>
      <c r="FW729" s="101" t="str">
        <f t="shared" si="406"/>
        <v>专属强化石1</v>
      </c>
      <c r="FX729" s="101">
        <f t="shared" si="407"/>
        <v>3</v>
      </c>
      <c r="FY729" s="101" t="str">
        <f t="shared" si="408"/>
        <v/>
      </c>
      <c r="FZ729" s="101" t="str">
        <f t="shared" si="409"/>
        <v/>
      </c>
      <c r="GA729" s="101">
        <f t="shared" si="414"/>
        <v>0.32</v>
      </c>
      <c r="GB729" s="101">
        <f t="shared" si="415"/>
        <v>1</v>
      </c>
      <c r="GC729" s="101">
        <f t="shared" si="416"/>
        <v>5</v>
      </c>
      <c r="GD729" s="101">
        <f t="shared" si="417"/>
        <v>0</v>
      </c>
      <c r="GE729" s="101">
        <f t="shared" si="418"/>
        <v>1</v>
      </c>
      <c r="GF729" s="101">
        <f t="shared" si="419"/>
        <v>1</v>
      </c>
      <c r="GG729" s="101">
        <f t="shared" si="420"/>
        <v>0.1595</v>
      </c>
      <c r="GH729" s="101">
        <f t="shared" si="421"/>
        <v>1</v>
      </c>
      <c r="GI729" s="101">
        <f t="shared" si="422"/>
        <v>2</v>
      </c>
      <c r="GJ729" s="101">
        <f t="shared" si="423"/>
        <v>0.63819999999999999</v>
      </c>
      <c r="GK729" s="101">
        <f t="shared" si="424"/>
        <v>1</v>
      </c>
      <c r="GL729" s="101">
        <f t="shared" si="425"/>
        <v>5</v>
      </c>
    </row>
    <row r="730" spans="170:194" ht="16.5" x14ac:dyDescent="0.2">
      <c r="FN730" s="101">
        <v>725</v>
      </c>
      <c r="FO730" s="101">
        <f t="shared" si="410"/>
        <v>4</v>
      </c>
      <c r="FP730" s="101">
        <f t="shared" si="403"/>
        <v>10</v>
      </c>
      <c r="FQ730" s="14">
        <f t="shared" si="404"/>
        <v>4</v>
      </c>
      <c r="FR730" s="101" t="str">
        <f t="shared" si="411"/>
        <v>张飞专属武器-魂珠-1 4级</v>
      </c>
      <c r="FS730" s="101">
        <f t="shared" si="412"/>
        <v>1</v>
      </c>
      <c r="FT730" s="101">
        <f t="shared" si="413"/>
        <v>4</v>
      </c>
      <c r="FU730" s="101" t="str">
        <f t="shared" si="405"/>
        <v>金币</v>
      </c>
      <c r="FV730" s="139">
        <f>IF($FT730&gt;0,IF(INDEX($EI$6:$EI$77,$FO730)&gt;=FV$3,ROUND(INDEX(EK$6:EK$77,$FO730)*INDEX(卡牌消耗!$B$8:$F$8,FQ730)/5,0)*5,""),"")</f>
        <v>455</v>
      </c>
      <c r="FW730" s="101" t="str">
        <f t="shared" si="406"/>
        <v>专属强化石1</v>
      </c>
      <c r="FX730" s="101">
        <f t="shared" si="407"/>
        <v>4</v>
      </c>
      <c r="FY730" s="101" t="str">
        <f t="shared" si="408"/>
        <v/>
      </c>
      <c r="FZ730" s="101" t="str">
        <f t="shared" si="409"/>
        <v/>
      </c>
      <c r="GA730" s="101">
        <f t="shared" si="414"/>
        <v>0.26</v>
      </c>
      <c r="GB730" s="101">
        <f t="shared" si="415"/>
        <v>1</v>
      </c>
      <c r="GC730" s="101">
        <f t="shared" si="416"/>
        <v>6</v>
      </c>
      <c r="GD730" s="101">
        <f t="shared" si="417"/>
        <v>0</v>
      </c>
      <c r="GE730" s="101">
        <f t="shared" si="418"/>
        <v>1</v>
      </c>
      <c r="GF730" s="101">
        <f t="shared" si="419"/>
        <v>1</v>
      </c>
      <c r="GG730" s="101">
        <f t="shared" si="420"/>
        <v>0.12759999999999999</v>
      </c>
      <c r="GH730" s="101">
        <f t="shared" si="421"/>
        <v>1</v>
      </c>
      <c r="GI730" s="101">
        <f t="shared" si="422"/>
        <v>3</v>
      </c>
      <c r="GJ730" s="101">
        <f t="shared" si="423"/>
        <v>0.51060000000000005</v>
      </c>
      <c r="GK730" s="101">
        <f t="shared" si="424"/>
        <v>1</v>
      </c>
      <c r="GL730" s="101">
        <f t="shared" si="425"/>
        <v>6</v>
      </c>
    </row>
    <row r="731" spans="170:194" ht="16.5" x14ac:dyDescent="0.2">
      <c r="FN731" s="101">
        <v>726</v>
      </c>
      <c r="FO731" s="101">
        <f t="shared" si="410"/>
        <v>5</v>
      </c>
      <c r="FP731" s="101">
        <f t="shared" si="403"/>
        <v>10</v>
      </c>
      <c r="FQ731" s="14">
        <f t="shared" si="404"/>
        <v>4</v>
      </c>
      <c r="FR731" s="101" t="str">
        <f t="shared" si="411"/>
        <v>张飞专属武器-魂珠-1 5级</v>
      </c>
      <c r="FS731" s="101">
        <f t="shared" si="412"/>
        <v>1</v>
      </c>
      <c r="FT731" s="101">
        <f t="shared" si="413"/>
        <v>5</v>
      </c>
      <c r="FU731" s="101" t="str">
        <f t="shared" si="405"/>
        <v>金币</v>
      </c>
      <c r="FV731" s="139">
        <f>IF($FT731&gt;0,IF(INDEX($EI$6:$EI$77,$FO731)&gt;=FV$3,ROUND(INDEX(EK$6:EK$77,$FO731)*INDEX(卡牌消耗!$B$8:$F$8,FQ731)/5,0)*5,""),"")</f>
        <v>580</v>
      </c>
      <c r="FW731" s="101" t="str">
        <f t="shared" si="406"/>
        <v>专属强化石1</v>
      </c>
      <c r="FX731" s="101">
        <f t="shared" si="407"/>
        <v>5</v>
      </c>
      <c r="FY731" s="101" t="str">
        <f t="shared" si="408"/>
        <v/>
      </c>
      <c r="FZ731" s="101" t="str">
        <f t="shared" si="409"/>
        <v/>
      </c>
      <c r="GA731" s="101">
        <f t="shared" si="414"/>
        <v>0.2</v>
      </c>
      <c r="GB731" s="101">
        <f t="shared" si="415"/>
        <v>1</v>
      </c>
      <c r="GC731" s="101">
        <f t="shared" si="416"/>
        <v>8</v>
      </c>
      <c r="GD731" s="101">
        <f t="shared" si="417"/>
        <v>0</v>
      </c>
      <c r="GE731" s="101">
        <f t="shared" si="418"/>
        <v>1</v>
      </c>
      <c r="GF731" s="101">
        <f t="shared" si="419"/>
        <v>2</v>
      </c>
      <c r="GG731" s="101">
        <f t="shared" si="420"/>
        <v>9.9699999999999997E-2</v>
      </c>
      <c r="GH731" s="101">
        <f t="shared" si="421"/>
        <v>1</v>
      </c>
      <c r="GI731" s="101">
        <f t="shared" si="422"/>
        <v>4</v>
      </c>
      <c r="GJ731" s="101">
        <f t="shared" si="423"/>
        <v>0.39889999999999998</v>
      </c>
      <c r="GK731" s="101">
        <f t="shared" si="424"/>
        <v>1</v>
      </c>
      <c r="GL731" s="101">
        <f t="shared" si="425"/>
        <v>8</v>
      </c>
    </row>
    <row r="732" spans="170:194" ht="16.5" x14ac:dyDescent="0.2">
      <c r="FN732" s="101">
        <v>727</v>
      </c>
      <c r="FO732" s="101">
        <f t="shared" si="410"/>
        <v>6</v>
      </c>
      <c r="FP732" s="101">
        <f t="shared" si="403"/>
        <v>10</v>
      </c>
      <c r="FQ732" s="14">
        <f t="shared" si="404"/>
        <v>4</v>
      </c>
      <c r="FR732" s="101" t="str">
        <f t="shared" si="411"/>
        <v>张飞专属武器-魂珠-1 6级</v>
      </c>
      <c r="FS732" s="101">
        <f t="shared" si="412"/>
        <v>1</v>
      </c>
      <c r="FT732" s="101">
        <f t="shared" si="413"/>
        <v>6</v>
      </c>
      <c r="FU732" s="101" t="str">
        <f t="shared" si="405"/>
        <v>金币</v>
      </c>
      <c r="FV732" s="139">
        <f>IF($FT732&gt;0,IF(INDEX($EI$6:$EI$77,$FO732)&gt;=FV$3,ROUND(INDEX(EK$6:EK$77,$FO732)*INDEX(卡牌消耗!$B$8:$F$8,FQ732)/5,0)*5,""),"")</f>
        <v>690</v>
      </c>
      <c r="FW732" s="101" t="str">
        <f t="shared" si="406"/>
        <v>专属强化石1</v>
      </c>
      <c r="FX732" s="101">
        <f t="shared" si="407"/>
        <v>6</v>
      </c>
      <c r="FY732" s="101" t="str">
        <f t="shared" si="408"/>
        <v/>
      </c>
      <c r="FZ732" s="101" t="str">
        <f t="shared" si="409"/>
        <v/>
      </c>
      <c r="GA732" s="101">
        <f t="shared" si="414"/>
        <v>0.15</v>
      </c>
      <c r="GB732" s="101">
        <f t="shared" si="415"/>
        <v>1</v>
      </c>
      <c r="GC732" s="101">
        <f t="shared" si="416"/>
        <v>10</v>
      </c>
      <c r="GD732" s="101">
        <f t="shared" si="417"/>
        <v>0</v>
      </c>
      <c r="GE732" s="101">
        <f t="shared" si="418"/>
        <v>1</v>
      </c>
      <c r="GF732" s="101">
        <f t="shared" si="419"/>
        <v>2</v>
      </c>
      <c r="GG732" s="101">
        <f t="shared" si="420"/>
        <v>7.3599999999999999E-2</v>
      </c>
      <c r="GH732" s="101">
        <f t="shared" si="421"/>
        <v>1</v>
      </c>
      <c r="GI732" s="101">
        <f t="shared" si="422"/>
        <v>5</v>
      </c>
      <c r="GJ732" s="101">
        <f t="shared" si="423"/>
        <v>0.29459999999999997</v>
      </c>
      <c r="GK732" s="101">
        <f t="shared" si="424"/>
        <v>1</v>
      </c>
      <c r="GL732" s="101">
        <f t="shared" si="425"/>
        <v>10</v>
      </c>
    </row>
    <row r="733" spans="170:194" ht="16.5" x14ac:dyDescent="0.2">
      <c r="FN733" s="101">
        <v>728</v>
      </c>
      <c r="FO733" s="101">
        <f t="shared" si="410"/>
        <v>7</v>
      </c>
      <c r="FP733" s="101">
        <f t="shared" si="403"/>
        <v>10</v>
      </c>
      <c r="FQ733" s="14">
        <f t="shared" si="404"/>
        <v>4</v>
      </c>
      <c r="FR733" s="101" t="str">
        <f t="shared" si="411"/>
        <v>张飞专属武器-魂珠-1 7级</v>
      </c>
      <c r="FS733" s="101">
        <f t="shared" si="412"/>
        <v>1</v>
      </c>
      <c r="FT733" s="101">
        <f t="shared" si="413"/>
        <v>7</v>
      </c>
      <c r="FU733" s="101" t="str">
        <f t="shared" si="405"/>
        <v>金币</v>
      </c>
      <c r="FV733" s="139">
        <f>IF($FT733&gt;0,IF(INDEX($EI$6:$EI$77,$FO733)&gt;=FV$3,ROUND(INDEX(EK$6:EK$77,$FO733)*INDEX(卡牌消耗!$B$8:$F$8,FQ733)/5,0)*5,""),"")</f>
        <v>805</v>
      </c>
      <c r="FW733" s="101" t="str">
        <f t="shared" si="406"/>
        <v>专属强化石1</v>
      </c>
      <c r="FX733" s="101">
        <f t="shared" si="407"/>
        <v>7</v>
      </c>
      <c r="FY733" s="101" t="str">
        <f t="shared" si="408"/>
        <v/>
      </c>
      <c r="FZ733" s="101" t="str">
        <f t="shared" si="409"/>
        <v/>
      </c>
      <c r="GA733" s="101">
        <f t="shared" si="414"/>
        <v>0.11</v>
      </c>
      <c r="GB733" s="101">
        <f t="shared" si="415"/>
        <v>1</v>
      </c>
      <c r="GC733" s="101">
        <f t="shared" si="416"/>
        <v>14</v>
      </c>
      <c r="GD733" s="101">
        <f t="shared" si="417"/>
        <v>0</v>
      </c>
      <c r="GE733" s="101">
        <f t="shared" si="418"/>
        <v>1</v>
      </c>
      <c r="GF733" s="101">
        <f t="shared" si="419"/>
        <v>3</v>
      </c>
      <c r="GG733" s="101">
        <f t="shared" si="420"/>
        <v>5.3199999999999997E-2</v>
      </c>
      <c r="GH733" s="101">
        <f t="shared" si="421"/>
        <v>1</v>
      </c>
      <c r="GI733" s="101">
        <f t="shared" si="422"/>
        <v>7</v>
      </c>
      <c r="GJ733" s="101">
        <f t="shared" si="423"/>
        <v>0.2127</v>
      </c>
      <c r="GK733" s="101">
        <f t="shared" si="424"/>
        <v>1</v>
      </c>
      <c r="GL733" s="101">
        <f t="shared" si="425"/>
        <v>14</v>
      </c>
    </row>
    <row r="734" spans="170:194" ht="16.5" x14ac:dyDescent="0.2">
      <c r="FN734" s="101">
        <v>729</v>
      </c>
      <c r="FO734" s="101">
        <f t="shared" si="410"/>
        <v>8</v>
      </c>
      <c r="FP734" s="101">
        <f t="shared" si="403"/>
        <v>10</v>
      </c>
      <c r="FQ734" s="14">
        <f t="shared" si="404"/>
        <v>4</v>
      </c>
      <c r="FR734" s="101" t="str">
        <f t="shared" si="411"/>
        <v>张飞专属武器-魂珠-1 8级</v>
      </c>
      <c r="FS734" s="101">
        <f t="shared" si="412"/>
        <v>1</v>
      </c>
      <c r="FT734" s="101">
        <f t="shared" si="413"/>
        <v>8</v>
      </c>
      <c r="FU734" s="101" t="str">
        <f t="shared" si="405"/>
        <v>金币</v>
      </c>
      <c r="FV734" s="139">
        <f>IF($FT734&gt;0,IF(INDEX($EI$6:$EI$77,$FO734)&gt;=FV$3,ROUND(INDEX(EK$6:EK$77,$FO734)*INDEX(卡牌消耗!$B$8:$F$8,FQ734)/5,0)*5,""),"")</f>
        <v>920</v>
      </c>
      <c r="FW734" s="101" t="str">
        <f t="shared" si="406"/>
        <v>专属强化石1</v>
      </c>
      <c r="FX734" s="101">
        <f t="shared" si="407"/>
        <v>8</v>
      </c>
      <c r="FY734" s="101" t="str">
        <f t="shared" si="408"/>
        <v/>
      </c>
      <c r="FZ734" s="101" t="str">
        <f t="shared" si="409"/>
        <v/>
      </c>
      <c r="GA734" s="101">
        <f t="shared" si="414"/>
        <v>0.08</v>
      </c>
      <c r="GB734" s="101">
        <f t="shared" si="415"/>
        <v>1</v>
      </c>
      <c r="GC734" s="101">
        <f t="shared" si="416"/>
        <v>20</v>
      </c>
      <c r="GD734" s="101">
        <f t="shared" si="417"/>
        <v>0</v>
      </c>
      <c r="GE734" s="101">
        <f t="shared" si="418"/>
        <v>1</v>
      </c>
      <c r="GF734" s="101">
        <f t="shared" si="419"/>
        <v>5</v>
      </c>
      <c r="GG734" s="101">
        <f t="shared" si="420"/>
        <v>3.7499999999999999E-2</v>
      </c>
      <c r="GH734" s="101">
        <f t="shared" si="421"/>
        <v>1</v>
      </c>
      <c r="GI734" s="101">
        <f t="shared" si="422"/>
        <v>9</v>
      </c>
      <c r="GJ734" s="101">
        <f t="shared" si="423"/>
        <v>0.1502</v>
      </c>
      <c r="GK734" s="101">
        <f t="shared" si="424"/>
        <v>1</v>
      </c>
      <c r="GL734" s="101">
        <f t="shared" si="425"/>
        <v>20</v>
      </c>
    </row>
    <row r="735" spans="170:194" ht="16.5" x14ac:dyDescent="0.2">
      <c r="FN735" s="101">
        <v>730</v>
      </c>
      <c r="FO735" s="101">
        <f t="shared" si="410"/>
        <v>9</v>
      </c>
      <c r="FP735" s="101">
        <f t="shared" si="403"/>
        <v>10</v>
      </c>
      <c r="FQ735" s="14">
        <f t="shared" si="404"/>
        <v>4</v>
      </c>
      <c r="FR735" s="101" t="str">
        <f t="shared" si="411"/>
        <v>张飞专属武器-魂珠-1 9级</v>
      </c>
      <c r="FS735" s="101">
        <f t="shared" si="412"/>
        <v>1</v>
      </c>
      <c r="FT735" s="101">
        <f t="shared" si="413"/>
        <v>9</v>
      </c>
      <c r="FU735" s="101" t="str">
        <f t="shared" si="405"/>
        <v>金币</v>
      </c>
      <c r="FV735" s="139">
        <f>IF($FT735&gt;0,IF(INDEX($EI$6:$EI$77,$FO735)&gt;=FV$3,ROUND(INDEX(EK$6:EK$77,$FO735)*INDEX(卡牌消耗!$B$8:$F$8,FQ735)/5,0)*5,""),"")</f>
        <v>1150</v>
      </c>
      <c r="FW735" s="101" t="str">
        <f t="shared" si="406"/>
        <v>专属强化石1</v>
      </c>
      <c r="FX735" s="101">
        <f t="shared" si="407"/>
        <v>10</v>
      </c>
      <c r="FY735" s="101" t="str">
        <f t="shared" si="408"/>
        <v/>
      </c>
      <c r="FZ735" s="101" t="str">
        <f t="shared" si="409"/>
        <v/>
      </c>
      <c r="GA735" s="101">
        <f t="shared" si="414"/>
        <v>0.06</v>
      </c>
      <c r="GB735" s="101">
        <f t="shared" si="415"/>
        <v>1</v>
      </c>
      <c r="GC735" s="101">
        <f t="shared" si="416"/>
        <v>26</v>
      </c>
      <c r="GD735" s="101">
        <f t="shared" si="417"/>
        <v>0</v>
      </c>
      <c r="GE735" s="101">
        <f t="shared" si="418"/>
        <v>1</v>
      </c>
      <c r="GF735" s="101">
        <f t="shared" si="419"/>
        <v>6</v>
      </c>
      <c r="GG735" s="101">
        <f t="shared" si="420"/>
        <v>2.9000000000000001E-2</v>
      </c>
      <c r="GH735" s="101">
        <f t="shared" si="421"/>
        <v>1</v>
      </c>
      <c r="GI735" s="101">
        <f t="shared" si="422"/>
        <v>12</v>
      </c>
      <c r="GJ735" s="101">
        <f t="shared" si="423"/>
        <v>0.11600000000000001</v>
      </c>
      <c r="GK735" s="101">
        <f t="shared" si="424"/>
        <v>1</v>
      </c>
      <c r="GL735" s="101">
        <f t="shared" si="425"/>
        <v>26</v>
      </c>
    </row>
    <row r="736" spans="170:194" ht="16.5" x14ac:dyDescent="0.2">
      <c r="FN736" s="101">
        <v>731</v>
      </c>
      <c r="FO736" s="101">
        <f t="shared" si="410"/>
        <v>0</v>
      </c>
      <c r="FP736" s="101">
        <f t="shared" si="403"/>
        <v>10</v>
      </c>
      <c r="FQ736" s="14">
        <f t="shared" si="404"/>
        <v>4</v>
      </c>
      <c r="FR736" s="101" t="str">
        <f t="shared" si="411"/>
        <v>张飞专属武器-魂珠-2 0级</v>
      </c>
      <c r="FS736" s="101">
        <f t="shared" si="412"/>
        <v>2</v>
      </c>
      <c r="FT736" s="101">
        <f t="shared" si="413"/>
        <v>0</v>
      </c>
      <c r="FU736" s="101" t="str">
        <f t="shared" si="405"/>
        <v/>
      </c>
      <c r="FV736" s="139" t="str">
        <f>IF($FT736&gt;0,IF(INDEX($EI$6:$EI$77,$FO736)&gt;=FV$3,ROUND(INDEX(EK$6:EK$77,$FO736)*INDEX(卡牌消耗!$B$8:$F$8,FQ736)/5,0)*5,""),"")</f>
        <v/>
      </c>
      <c r="FW736" s="101" t="str">
        <f t="shared" si="406"/>
        <v/>
      </c>
      <c r="FX736" s="101" t="str">
        <f t="shared" si="407"/>
        <v/>
      </c>
      <c r="FY736" s="101" t="str">
        <f t="shared" si="408"/>
        <v/>
      </c>
      <c r="FZ736" s="101" t="str">
        <f t="shared" si="409"/>
        <v/>
      </c>
      <c r="GA736" s="101" t="str">
        <f t="shared" si="414"/>
        <v/>
      </c>
      <c r="GB736" s="101" t="str">
        <f t="shared" si="415"/>
        <v/>
      </c>
      <c r="GC736" s="101" t="str">
        <f t="shared" si="416"/>
        <v/>
      </c>
      <c r="GD736" s="101" t="str">
        <f t="shared" si="417"/>
        <v/>
      </c>
      <c r="GE736" s="101" t="str">
        <f t="shared" si="418"/>
        <v/>
      </c>
      <c r="GF736" s="101" t="str">
        <f t="shared" si="419"/>
        <v/>
      </c>
      <c r="GG736" s="101" t="str">
        <f t="shared" si="420"/>
        <v/>
      </c>
      <c r="GH736" s="101" t="str">
        <f t="shared" si="421"/>
        <v/>
      </c>
      <c r="GI736" s="101" t="str">
        <f t="shared" si="422"/>
        <v/>
      </c>
      <c r="GJ736" s="101" t="str">
        <f t="shared" si="423"/>
        <v/>
      </c>
      <c r="GK736" s="101" t="str">
        <f t="shared" si="424"/>
        <v/>
      </c>
      <c r="GL736" s="101" t="str">
        <f t="shared" si="425"/>
        <v/>
      </c>
    </row>
    <row r="737" spans="170:194" ht="16.5" x14ac:dyDescent="0.2">
      <c r="FN737" s="101">
        <v>732</v>
      </c>
      <c r="FO737" s="101">
        <f t="shared" si="410"/>
        <v>10</v>
      </c>
      <c r="FP737" s="101">
        <f t="shared" si="403"/>
        <v>10</v>
      </c>
      <c r="FQ737" s="14">
        <f t="shared" si="404"/>
        <v>4</v>
      </c>
      <c r="FR737" s="101" t="str">
        <f t="shared" si="411"/>
        <v>张飞专属武器-魂珠-2 1级</v>
      </c>
      <c r="FS737" s="101">
        <f t="shared" si="412"/>
        <v>2</v>
      </c>
      <c r="FT737" s="101">
        <f t="shared" si="413"/>
        <v>1</v>
      </c>
      <c r="FU737" s="101" t="str">
        <f t="shared" si="405"/>
        <v>金币</v>
      </c>
      <c r="FV737" s="139">
        <f>IF($FT737&gt;0,IF(INDEX($EI$6:$EI$77,$FO737)&gt;=FV$3,ROUND(INDEX(EK$6:EK$77,$FO737)*INDEX(卡牌消耗!$B$8:$F$8,FQ737)/5,0)*5,""),"")</f>
        <v>395</v>
      </c>
      <c r="FW737" s="101" t="str">
        <f t="shared" si="406"/>
        <v>专属强化石1</v>
      </c>
      <c r="FX737" s="101">
        <f t="shared" si="407"/>
        <v>3</v>
      </c>
      <c r="FY737" s="101" t="str">
        <f t="shared" si="408"/>
        <v>专属强化石2</v>
      </c>
      <c r="FZ737" s="101">
        <f t="shared" si="409"/>
        <v>1</v>
      </c>
      <c r="GA737" s="101">
        <f t="shared" si="414"/>
        <v>0.39</v>
      </c>
      <c r="GB737" s="101">
        <f t="shared" si="415"/>
        <v>1</v>
      </c>
      <c r="GC737" s="101">
        <f t="shared" si="416"/>
        <v>4</v>
      </c>
      <c r="GD737" s="101">
        <f t="shared" si="417"/>
        <v>0</v>
      </c>
      <c r="GE737" s="101">
        <f t="shared" si="418"/>
        <v>1</v>
      </c>
      <c r="GF737" s="101">
        <f t="shared" si="419"/>
        <v>1</v>
      </c>
      <c r="GG737" s="101">
        <f t="shared" si="420"/>
        <v>0.19270000000000001</v>
      </c>
      <c r="GH737" s="101">
        <f t="shared" si="421"/>
        <v>1</v>
      </c>
      <c r="GI737" s="101">
        <f t="shared" si="422"/>
        <v>2</v>
      </c>
      <c r="GJ737" s="101">
        <f t="shared" si="423"/>
        <v>0.77070000000000005</v>
      </c>
      <c r="GK737" s="101">
        <f t="shared" si="424"/>
        <v>1</v>
      </c>
      <c r="GL737" s="101">
        <f t="shared" si="425"/>
        <v>4</v>
      </c>
    </row>
    <row r="738" spans="170:194" ht="16.5" x14ac:dyDescent="0.2">
      <c r="FN738" s="101">
        <v>733</v>
      </c>
      <c r="FO738" s="101">
        <f t="shared" si="410"/>
        <v>11</v>
      </c>
      <c r="FP738" s="101">
        <f t="shared" si="403"/>
        <v>10</v>
      </c>
      <c r="FQ738" s="14">
        <f t="shared" si="404"/>
        <v>4</v>
      </c>
      <c r="FR738" s="101" t="str">
        <f t="shared" si="411"/>
        <v>张飞专属武器-魂珠-2 2级</v>
      </c>
      <c r="FS738" s="101">
        <f t="shared" si="412"/>
        <v>2</v>
      </c>
      <c r="FT738" s="101">
        <f t="shared" si="413"/>
        <v>2</v>
      </c>
      <c r="FU738" s="101" t="str">
        <f t="shared" si="405"/>
        <v>金币</v>
      </c>
      <c r="FV738" s="139">
        <f>IF($FT738&gt;0,IF(INDEX($EI$6:$EI$77,$FO738)&gt;=FV$3,ROUND(INDEX(EK$6:EK$77,$FO738)*INDEX(卡牌消耗!$B$8:$F$8,FQ738)/5,0)*5,""),"")</f>
        <v>295</v>
      </c>
      <c r="FW738" s="101" t="str">
        <f t="shared" si="406"/>
        <v>专属强化石1</v>
      </c>
      <c r="FX738" s="101">
        <f t="shared" si="407"/>
        <v>3</v>
      </c>
      <c r="FY738" s="101" t="str">
        <f t="shared" si="408"/>
        <v>专属强化石2</v>
      </c>
      <c r="FZ738" s="101">
        <f t="shared" si="409"/>
        <v>1</v>
      </c>
      <c r="GA738" s="101">
        <f t="shared" si="414"/>
        <v>0.19</v>
      </c>
      <c r="GB738" s="101">
        <f t="shared" si="415"/>
        <v>1</v>
      </c>
      <c r="GC738" s="101">
        <f t="shared" si="416"/>
        <v>8</v>
      </c>
      <c r="GD738" s="101">
        <f t="shared" si="417"/>
        <v>0</v>
      </c>
      <c r="GE738" s="101">
        <f t="shared" si="418"/>
        <v>1</v>
      </c>
      <c r="GF738" s="101">
        <f t="shared" si="419"/>
        <v>2</v>
      </c>
      <c r="GG738" s="101">
        <f t="shared" si="420"/>
        <v>9.6299999999999997E-2</v>
      </c>
      <c r="GH738" s="101">
        <f t="shared" si="421"/>
        <v>1</v>
      </c>
      <c r="GI738" s="101">
        <f t="shared" si="422"/>
        <v>4</v>
      </c>
      <c r="GJ738" s="101">
        <f t="shared" si="423"/>
        <v>0.38529999999999998</v>
      </c>
      <c r="GK738" s="101">
        <f t="shared" si="424"/>
        <v>1</v>
      </c>
      <c r="GL738" s="101">
        <f t="shared" si="425"/>
        <v>8</v>
      </c>
    </row>
    <row r="739" spans="170:194" ht="16.5" x14ac:dyDescent="0.2">
      <c r="FN739" s="101">
        <v>734</v>
      </c>
      <c r="FO739" s="101">
        <f t="shared" si="410"/>
        <v>12</v>
      </c>
      <c r="FP739" s="101">
        <f t="shared" si="403"/>
        <v>10</v>
      </c>
      <c r="FQ739" s="14">
        <f t="shared" si="404"/>
        <v>4</v>
      </c>
      <c r="FR739" s="101" t="str">
        <f t="shared" si="411"/>
        <v>张飞专属武器-魂珠-2 3级</v>
      </c>
      <c r="FS739" s="101">
        <f t="shared" si="412"/>
        <v>2</v>
      </c>
      <c r="FT739" s="101">
        <f t="shared" si="413"/>
        <v>3</v>
      </c>
      <c r="FU739" s="101" t="str">
        <f t="shared" si="405"/>
        <v>金币</v>
      </c>
      <c r="FV739" s="139">
        <f>IF($FT739&gt;0,IF(INDEX($EI$6:$EI$77,$FO739)&gt;=FV$3,ROUND(INDEX(EK$6:EK$77,$FO739)*INDEX(卡牌消耗!$B$8:$F$8,FQ739)/5,0)*5,""),"")</f>
        <v>655</v>
      </c>
      <c r="FW739" s="101" t="str">
        <f t="shared" si="406"/>
        <v>专属强化石1</v>
      </c>
      <c r="FX739" s="101">
        <f t="shared" si="407"/>
        <v>6</v>
      </c>
      <c r="FY739" s="101" t="str">
        <f t="shared" si="408"/>
        <v>专属强化石2</v>
      </c>
      <c r="FZ739" s="101">
        <f t="shared" si="409"/>
        <v>2</v>
      </c>
      <c r="GA739" s="101">
        <f t="shared" si="414"/>
        <v>0.26</v>
      </c>
      <c r="GB739" s="101">
        <f t="shared" si="415"/>
        <v>1</v>
      </c>
      <c r="GC739" s="101">
        <f t="shared" si="416"/>
        <v>6</v>
      </c>
      <c r="GD739" s="101">
        <f t="shared" si="417"/>
        <v>0</v>
      </c>
      <c r="GE739" s="101">
        <f t="shared" si="418"/>
        <v>1</v>
      </c>
      <c r="GF739" s="101">
        <f t="shared" si="419"/>
        <v>1</v>
      </c>
      <c r="GG739" s="101">
        <f t="shared" si="420"/>
        <v>0.12839999999999999</v>
      </c>
      <c r="GH739" s="101">
        <f t="shared" si="421"/>
        <v>1</v>
      </c>
      <c r="GI739" s="101">
        <f t="shared" si="422"/>
        <v>3</v>
      </c>
      <c r="GJ739" s="101">
        <f t="shared" si="423"/>
        <v>0.51380000000000003</v>
      </c>
      <c r="GK739" s="101">
        <f t="shared" si="424"/>
        <v>1</v>
      </c>
      <c r="GL739" s="101">
        <f t="shared" si="425"/>
        <v>6</v>
      </c>
    </row>
    <row r="740" spans="170:194" ht="16.5" x14ac:dyDescent="0.2">
      <c r="FN740" s="101">
        <v>735</v>
      </c>
      <c r="FO740" s="101">
        <f t="shared" si="410"/>
        <v>13</v>
      </c>
      <c r="FP740" s="101">
        <f t="shared" si="403"/>
        <v>10</v>
      </c>
      <c r="FQ740" s="14">
        <f t="shared" si="404"/>
        <v>4</v>
      </c>
      <c r="FR740" s="101" t="str">
        <f t="shared" si="411"/>
        <v>张飞专属武器-魂珠-2 4级</v>
      </c>
      <c r="FS740" s="101">
        <f t="shared" si="412"/>
        <v>2</v>
      </c>
      <c r="FT740" s="101">
        <f t="shared" si="413"/>
        <v>4</v>
      </c>
      <c r="FU740" s="101" t="str">
        <f t="shared" si="405"/>
        <v>金币</v>
      </c>
      <c r="FV740" s="139">
        <f>IF($FT740&gt;0,IF(INDEX($EI$6:$EI$77,$FO740)&gt;=FV$3,ROUND(INDEX(EK$6:EK$77,$FO740)*INDEX(卡牌消耗!$B$8:$F$8,FQ740)/5,0)*5,""),"")</f>
        <v>625</v>
      </c>
      <c r="FW740" s="101" t="str">
        <f t="shared" si="406"/>
        <v>专属强化石1</v>
      </c>
      <c r="FX740" s="101">
        <f t="shared" si="407"/>
        <v>6</v>
      </c>
      <c r="FY740" s="101" t="str">
        <f t="shared" si="408"/>
        <v>专属强化石2</v>
      </c>
      <c r="FZ740" s="101">
        <f t="shared" si="409"/>
        <v>2</v>
      </c>
      <c r="GA740" s="101">
        <f t="shared" si="414"/>
        <v>0.15</v>
      </c>
      <c r="GB740" s="101">
        <f t="shared" si="415"/>
        <v>1</v>
      </c>
      <c r="GC740" s="101">
        <f t="shared" si="416"/>
        <v>10</v>
      </c>
      <c r="GD740" s="101">
        <f t="shared" si="417"/>
        <v>0</v>
      </c>
      <c r="GE740" s="101">
        <f t="shared" si="418"/>
        <v>1</v>
      </c>
      <c r="GF740" s="101">
        <f t="shared" si="419"/>
        <v>2</v>
      </c>
      <c r="GG740" s="101">
        <f t="shared" si="420"/>
        <v>7.7100000000000002E-2</v>
      </c>
      <c r="GH740" s="101">
        <f t="shared" si="421"/>
        <v>1</v>
      </c>
      <c r="GI740" s="101">
        <f t="shared" si="422"/>
        <v>5</v>
      </c>
      <c r="GJ740" s="101">
        <f t="shared" si="423"/>
        <v>0.30830000000000002</v>
      </c>
      <c r="GK740" s="101">
        <f t="shared" si="424"/>
        <v>1</v>
      </c>
      <c r="GL740" s="101">
        <f t="shared" si="425"/>
        <v>10</v>
      </c>
    </row>
    <row r="741" spans="170:194" ht="16.5" x14ac:dyDescent="0.2">
      <c r="FN741" s="101">
        <v>736</v>
      </c>
      <c r="FO741" s="101">
        <f t="shared" si="410"/>
        <v>14</v>
      </c>
      <c r="FP741" s="101">
        <f t="shared" si="403"/>
        <v>10</v>
      </c>
      <c r="FQ741" s="14">
        <f t="shared" si="404"/>
        <v>4</v>
      </c>
      <c r="FR741" s="101" t="str">
        <f t="shared" si="411"/>
        <v>张飞专属武器-魂珠-2 5级</v>
      </c>
      <c r="FS741" s="101">
        <f t="shared" si="412"/>
        <v>2</v>
      </c>
      <c r="FT741" s="101">
        <f t="shared" si="413"/>
        <v>5</v>
      </c>
      <c r="FU741" s="101" t="str">
        <f t="shared" si="405"/>
        <v>金币</v>
      </c>
      <c r="FV741" s="139">
        <f>IF($FT741&gt;0,IF(INDEX($EI$6:$EI$77,$FO741)&gt;=FV$3,ROUND(INDEX(EK$6:EK$77,$FO741)*INDEX(卡牌消耗!$B$8:$F$8,FQ741)/5,0)*5,""),"")</f>
        <v>955</v>
      </c>
      <c r="FW741" s="101" t="str">
        <f t="shared" si="406"/>
        <v>专属强化石1</v>
      </c>
      <c r="FX741" s="101">
        <f t="shared" si="407"/>
        <v>9</v>
      </c>
      <c r="FY741" s="101" t="str">
        <f t="shared" si="408"/>
        <v>专属强化石2</v>
      </c>
      <c r="FZ741" s="101">
        <f t="shared" si="409"/>
        <v>3</v>
      </c>
      <c r="GA741" s="101">
        <f t="shared" si="414"/>
        <v>0.14000000000000001</v>
      </c>
      <c r="GB741" s="101">
        <f t="shared" si="415"/>
        <v>1</v>
      </c>
      <c r="GC741" s="101">
        <f t="shared" si="416"/>
        <v>10</v>
      </c>
      <c r="GD741" s="101">
        <f t="shared" si="417"/>
        <v>0</v>
      </c>
      <c r="GE741" s="101">
        <f t="shared" si="418"/>
        <v>1</v>
      </c>
      <c r="GF741" s="101">
        <f t="shared" si="419"/>
        <v>2</v>
      </c>
      <c r="GG741" s="101">
        <f t="shared" si="420"/>
        <v>7.22E-2</v>
      </c>
      <c r="GH741" s="101">
        <f t="shared" si="421"/>
        <v>1</v>
      </c>
      <c r="GI741" s="101">
        <f t="shared" si="422"/>
        <v>5</v>
      </c>
      <c r="GJ741" s="101">
        <f t="shared" si="423"/>
        <v>0.28899999999999998</v>
      </c>
      <c r="GK741" s="101">
        <f t="shared" si="424"/>
        <v>1</v>
      </c>
      <c r="GL741" s="101">
        <f t="shared" si="425"/>
        <v>10</v>
      </c>
    </row>
    <row r="742" spans="170:194" ht="16.5" x14ac:dyDescent="0.2">
      <c r="FN742" s="101">
        <v>737</v>
      </c>
      <c r="FO742" s="101">
        <f t="shared" si="410"/>
        <v>15</v>
      </c>
      <c r="FP742" s="101">
        <f t="shared" si="403"/>
        <v>10</v>
      </c>
      <c r="FQ742" s="14">
        <f t="shared" si="404"/>
        <v>4</v>
      </c>
      <c r="FR742" s="101" t="str">
        <f t="shared" si="411"/>
        <v>张飞专属武器-魂珠-2 6级</v>
      </c>
      <c r="FS742" s="101">
        <f t="shared" si="412"/>
        <v>2</v>
      </c>
      <c r="FT742" s="101">
        <f t="shared" si="413"/>
        <v>6</v>
      </c>
      <c r="FU742" s="101" t="str">
        <f t="shared" si="405"/>
        <v>金币</v>
      </c>
      <c r="FV742" s="139">
        <f>IF($FT742&gt;0,IF(INDEX($EI$6:$EI$77,$FO742)&gt;=FV$3,ROUND(INDEX(EK$6:EK$77,$FO742)*INDEX(卡牌消耗!$B$8:$F$8,FQ742)/5,0)*5,""),"")</f>
        <v>1270</v>
      </c>
      <c r="FW742" s="101" t="str">
        <f t="shared" si="406"/>
        <v>专属强化石1</v>
      </c>
      <c r="FX742" s="101">
        <f t="shared" si="407"/>
        <v>12</v>
      </c>
      <c r="FY742" s="101" t="str">
        <f t="shared" si="408"/>
        <v>专属强化石2</v>
      </c>
      <c r="FZ742" s="101">
        <f t="shared" si="409"/>
        <v>4</v>
      </c>
      <c r="GA742" s="101">
        <f t="shared" si="414"/>
        <v>0.12</v>
      </c>
      <c r="GB742" s="101">
        <f t="shared" si="415"/>
        <v>1</v>
      </c>
      <c r="GC742" s="101">
        <f t="shared" si="416"/>
        <v>13</v>
      </c>
      <c r="GD742" s="101">
        <f t="shared" si="417"/>
        <v>0</v>
      </c>
      <c r="GE742" s="101">
        <f t="shared" si="418"/>
        <v>1</v>
      </c>
      <c r="GF742" s="101">
        <f t="shared" si="419"/>
        <v>3</v>
      </c>
      <c r="GG742" s="101">
        <f t="shared" si="420"/>
        <v>5.9299999999999999E-2</v>
      </c>
      <c r="GH742" s="101">
        <f t="shared" si="421"/>
        <v>1</v>
      </c>
      <c r="GI742" s="101">
        <f t="shared" si="422"/>
        <v>6</v>
      </c>
      <c r="GJ742" s="101">
        <f t="shared" si="423"/>
        <v>0.23710000000000001</v>
      </c>
      <c r="GK742" s="101">
        <f t="shared" si="424"/>
        <v>1</v>
      </c>
      <c r="GL742" s="101">
        <f t="shared" si="425"/>
        <v>13</v>
      </c>
    </row>
    <row r="743" spans="170:194" ht="16.5" x14ac:dyDescent="0.2">
      <c r="FN743" s="101">
        <v>738</v>
      </c>
      <c r="FO743" s="101">
        <f t="shared" si="410"/>
        <v>16</v>
      </c>
      <c r="FP743" s="101">
        <f t="shared" si="403"/>
        <v>10</v>
      </c>
      <c r="FQ743" s="14">
        <f t="shared" si="404"/>
        <v>4</v>
      </c>
      <c r="FR743" s="101" t="str">
        <f t="shared" si="411"/>
        <v>张飞专属武器-魂珠-2 7级</v>
      </c>
      <c r="FS743" s="101">
        <f t="shared" si="412"/>
        <v>2</v>
      </c>
      <c r="FT743" s="101">
        <f t="shared" si="413"/>
        <v>7</v>
      </c>
      <c r="FU743" s="101" t="str">
        <f t="shared" si="405"/>
        <v>金币</v>
      </c>
      <c r="FV743" s="139">
        <f>IF($FT743&gt;0,IF(INDEX($EI$6:$EI$77,$FO743)&gt;=FV$3,ROUND(INDEX(EK$6:EK$77,$FO743)*INDEX(卡牌消耗!$B$8:$F$8,FQ743)/5,0)*5,""),"")</f>
        <v>1590</v>
      </c>
      <c r="FW743" s="101" t="str">
        <f t="shared" si="406"/>
        <v>专属强化石1</v>
      </c>
      <c r="FX743" s="101">
        <f t="shared" si="407"/>
        <v>15</v>
      </c>
      <c r="FY743" s="101" t="str">
        <f t="shared" si="408"/>
        <v>专属强化石2</v>
      </c>
      <c r="FZ743" s="101">
        <f t="shared" si="409"/>
        <v>5</v>
      </c>
      <c r="GA743" s="101">
        <f t="shared" si="414"/>
        <v>0.09</v>
      </c>
      <c r="GB743" s="101">
        <f t="shared" si="415"/>
        <v>1</v>
      </c>
      <c r="GC743" s="101">
        <f t="shared" si="416"/>
        <v>16</v>
      </c>
      <c r="GD743" s="101">
        <f t="shared" si="417"/>
        <v>0</v>
      </c>
      <c r="GE743" s="101">
        <f t="shared" si="418"/>
        <v>1</v>
      </c>
      <c r="GF743" s="101">
        <f t="shared" si="419"/>
        <v>4</v>
      </c>
      <c r="GG743" s="101">
        <f t="shared" si="420"/>
        <v>4.5900000000000003E-2</v>
      </c>
      <c r="GH743" s="101">
        <f t="shared" si="421"/>
        <v>1</v>
      </c>
      <c r="GI743" s="101">
        <f t="shared" si="422"/>
        <v>8</v>
      </c>
      <c r="GJ743" s="101">
        <f t="shared" si="423"/>
        <v>0.1835</v>
      </c>
      <c r="GK743" s="101">
        <f t="shared" si="424"/>
        <v>1</v>
      </c>
      <c r="GL743" s="101">
        <f t="shared" si="425"/>
        <v>16</v>
      </c>
    </row>
    <row r="744" spans="170:194" ht="16.5" x14ac:dyDescent="0.2">
      <c r="FN744" s="101">
        <v>739</v>
      </c>
      <c r="FO744" s="101">
        <f t="shared" si="410"/>
        <v>17</v>
      </c>
      <c r="FP744" s="101">
        <f t="shared" si="403"/>
        <v>10</v>
      </c>
      <c r="FQ744" s="14">
        <f t="shared" si="404"/>
        <v>4</v>
      </c>
      <c r="FR744" s="101" t="str">
        <f t="shared" si="411"/>
        <v>张飞专属武器-魂珠-2 8级</v>
      </c>
      <c r="FS744" s="101">
        <f t="shared" si="412"/>
        <v>2</v>
      </c>
      <c r="FT744" s="101">
        <f t="shared" si="413"/>
        <v>8</v>
      </c>
      <c r="FU744" s="101" t="str">
        <f t="shared" si="405"/>
        <v>金币</v>
      </c>
      <c r="FV744" s="139">
        <f>IF($FT744&gt;0,IF(INDEX($EI$6:$EI$77,$FO744)&gt;=FV$3,ROUND(INDEX(EK$6:EK$77,$FO744)*INDEX(卡牌消耗!$B$8:$F$8,FQ744)/5,0)*5,""),"")</f>
        <v>1905</v>
      </c>
      <c r="FW744" s="101" t="str">
        <f t="shared" si="406"/>
        <v>专属强化石1</v>
      </c>
      <c r="FX744" s="101">
        <f t="shared" si="407"/>
        <v>18</v>
      </c>
      <c r="FY744" s="101" t="str">
        <f t="shared" si="408"/>
        <v>专属强化石2</v>
      </c>
      <c r="FZ744" s="101">
        <f t="shared" si="409"/>
        <v>6</v>
      </c>
      <c r="GA744" s="101">
        <f t="shared" si="414"/>
        <v>7.0000000000000007E-2</v>
      </c>
      <c r="GB744" s="101">
        <f t="shared" si="415"/>
        <v>1</v>
      </c>
      <c r="GC744" s="101">
        <f t="shared" si="416"/>
        <v>22</v>
      </c>
      <c r="GD744" s="101">
        <f t="shared" si="417"/>
        <v>0</v>
      </c>
      <c r="GE744" s="101">
        <f t="shared" si="418"/>
        <v>1</v>
      </c>
      <c r="GF744" s="101">
        <f t="shared" si="419"/>
        <v>5</v>
      </c>
      <c r="GG744" s="101">
        <f t="shared" si="420"/>
        <v>3.4000000000000002E-2</v>
      </c>
      <c r="GH744" s="101">
        <f t="shared" si="421"/>
        <v>1</v>
      </c>
      <c r="GI744" s="101">
        <f t="shared" si="422"/>
        <v>10</v>
      </c>
      <c r="GJ744" s="101">
        <f t="shared" si="423"/>
        <v>0.13600000000000001</v>
      </c>
      <c r="GK744" s="101">
        <f t="shared" si="424"/>
        <v>1</v>
      </c>
      <c r="GL744" s="101">
        <f t="shared" si="425"/>
        <v>22</v>
      </c>
    </row>
    <row r="745" spans="170:194" ht="16.5" x14ac:dyDescent="0.2">
      <c r="FN745" s="101">
        <v>740</v>
      </c>
      <c r="FO745" s="101">
        <f t="shared" si="410"/>
        <v>18</v>
      </c>
      <c r="FP745" s="101">
        <f t="shared" si="403"/>
        <v>10</v>
      </c>
      <c r="FQ745" s="14">
        <f t="shared" si="404"/>
        <v>4</v>
      </c>
      <c r="FR745" s="101" t="str">
        <f t="shared" si="411"/>
        <v>张飞专属武器-魂珠-2 9级</v>
      </c>
      <c r="FS745" s="101">
        <f t="shared" si="412"/>
        <v>2</v>
      </c>
      <c r="FT745" s="101">
        <f t="shared" si="413"/>
        <v>9</v>
      </c>
      <c r="FU745" s="101" t="str">
        <f t="shared" si="405"/>
        <v>金币</v>
      </c>
      <c r="FV745" s="139">
        <f>IF($FT745&gt;0,IF(INDEX($EI$6:$EI$77,$FO745)&gt;=FV$3,ROUND(INDEX(EK$6:EK$77,$FO745)*INDEX(卡牌消耗!$B$8:$F$8,FQ745)/5,0)*5,""),"")</f>
        <v>2540</v>
      </c>
      <c r="FW745" s="101" t="str">
        <f t="shared" si="406"/>
        <v>专属强化石1</v>
      </c>
      <c r="FX745" s="101">
        <f t="shared" si="407"/>
        <v>24</v>
      </c>
      <c r="FY745" s="101" t="str">
        <f t="shared" si="408"/>
        <v>专属强化石2</v>
      </c>
      <c r="FZ745" s="101">
        <f t="shared" si="409"/>
        <v>8</v>
      </c>
      <c r="GA745" s="101">
        <f t="shared" si="414"/>
        <v>0.06</v>
      </c>
      <c r="GB745" s="101">
        <f t="shared" si="415"/>
        <v>1</v>
      </c>
      <c r="GC745" s="101">
        <f t="shared" si="416"/>
        <v>27</v>
      </c>
      <c r="GD745" s="101">
        <f t="shared" si="417"/>
        <v>0</v>
      </c>
      <c r="GE745" s="101">
        <f t="shared" si="418"/>
        <v>1</v>
      </c>
      <c r="GF745" s="101">
        <f t="shared" si="419"/>
        <v>6</v>
      </c>
      <c r="GG745" s="101">
        <f t="shared" si="420"/>
        <v>2.8000000000000001E-2</v>
      </c>
      <c r="GH745" s="101">
        <f t="shared" si="421"/>
        <v>1</v>
      </c>
      <c r="GI745" s="101">
        <f t="shared" si="422"/>
        <v>12</v>
      </c>
      <c r="GJ745" s="101">
        <f t="shared" si="423"/>
        <v>0.11210000000000001</v>
      </c>
      <c r="GK745" s="101">
        <f t="shared" si="424"/>
        <v>1</v>
      </c>
      <c r="GL745" s="101">
        <f t="shared" si="425"/>
        <v>27</v>
      </c>
    </row>
    <row r="746" spans="170:194" ht="16.5" x14ac:dyDescent="0.2">
      <c r="FN746" s="101">
        <v>741</v>
      </c>
      <c r="FO746" s="101">
        <f t="shared" si="410"/>
        <v>0</v>
      </c>
      <c r="FP746" s="101">
        <f t="shared" si="403"/>
        <v>10</v>
      </c>
      <c r="FQ746" s="14">
        <f t="shared" si="404"/>
        <v>4</v>
      </c>
      <c r="FR746" s="101" t="str">
        <f t="shared" si="411"/>
        <v>张飞专属武器-魂珠-3 0级</v>
      </c>
      <c r="FS746" s="101">
        <f t="shared" si="412"/>
        <v>3</v>
      </c>
      <c r="FT746" s="101">
        <f t="shared" si="413"/>
        <v>0</v>
      </c>
      <c r="FU746" s="101" t="str">
        <f t="shared" si="405"/>
        <v/>
      </c>
      <c r="FV746" s="139" t="str">
        <f>IF($FT746&gt;0,IF(INDEX($EI$6:$EI$77,$FO746)&gt;=FV$3,ROUND(INDEX(EK$6:EK$77,$FO746)*INDEX(卡牌消耗!$B$8:$F$8,FQ746)/5,0)*5,""),"")</f>
        <v/>
      </c>
      <c r="FW746" s="101" t="str">
        <f t="shared" si="406"/>
        <v/>
      </c>
      <c r="FX746" s="101" t="str">
        <f t="shared" si="407"/>
        <v/>
      </c>
      <c r="FY746" s="101" t="str">
        <f t="shared" si="408"/>
        <v/>
      </c>
      <c r="FZ746" s="101" t="str">
        <f t="shared" si="409"/>
        <v/>
      </c>
      <c r="GA746" s="101" t="str">
        <f t="shared" si="414"/>
        <v/>
      </c>
      <c r="GB746" s="101" t="str">
        <f t="shared" si="415"/>
        <v/>
      </c>
      <c r="GC746" s="101" t="str">
        <f t="shared" si="416"/>
        <v/>
      </c>
      <c r="GD746" s="101" t="str">
        <f t="shared" si="417"/>
        <v/>
      </c>
      <c r="GE746" s="101" t="str">
        <f t="shared" si="418"/>
        <v/>
      </c>
      <c r="GF746" s="101" t="str">
        <f t="shared" si="419"/>
        <v/>
      </c>
      <c r="GG746" s="101" t="str">
        <f t="shared" si="420"/>
        <v/>
      </c>
      <c r="GH746" s="101" t="str">
        <f t="shared" si="421"/>
        <v/>
      </c>
      <c r="GI746" s="101" t="str">
        <f t="shared" si="422"/>
        <v/>
      </c>
      <c r="GJ746" s="101" t="str">
        <f t="shared" si="423"/>
        <v/>
      </c>
      <c r="GK746" s="101" t="str">
        <f t="shared" si="424"/>
        <v/>
      </c>
      <c r="GL746" s="101" t="str">
        <f t="shared" si="425"/>
        <v/>
      </c>
    </row>
    <row r="747" spans="170:194" ht="16.5" x14ac:dyDescent="0.2">
      <c r="FN747" s="101">
        <v>742</v>
      </c>
      <c r="FO747" s="101">
        <f t="shared" si="410"/>
        <v>19</v>
      </c>
      <c r="FP747" s="101">
        <f t="shared" si="403"/>
        <v>10</v>
      </c>
      <c r="FQ747" s="14">
        <f t="shared" si="404"/>
        <v>4</v>
      </c>
      <c r="FR747" s="101" t="str">
        <f t="shared" si="411"/>
        <v>张飞专属武器-魂珠-3 1级</v>
      </c>
      <c r="FS747" s="101">
        <f t="shared" si="412"/>
        <v>3</v>
      </c>
      <c r="FT747" s="101">
        <f t="shared" si="413"/>
        <v>1</v>
      </c>
      <c r="FU747" s="101" t="str">
        <f t="shared" si="405"/>
        <v>金币</v>
      </c>
      <c r="FV747" s="139">
        <f>IF($FT747&gt;0,IF(INDEX($EI$6:$EI$77,$FO747)&gt;=FV$3,ROUND(INDEX(EK$6:EK$77,$FO747)*INDEX(卡牌消耗!$B$8:$F$8,FQ747)/5,0)*5,""),"")</f>
        <v>820</v>
      </c>
      <c r="FW747" s="101" t="str">
        <f t="shared" si="406"/>
        <v>专属强化石1</v>
      </c>
      <c r="FX747" s="101">
        <f t="shared" si="407"/>
        <v>4</v>
      </c>
      <c r="FY747" s="101" t="str">
        <f t="shared" si="408"/>
        <v>专属强化石2</v>
      </c>
      <c r="FZ747" s="101">
        <f t="shared" si="409"/>
        <v>2</v>
      </c>
      <c r="GA747" s="101">
        <f t="shared" si="414"/>
        <v>0.31</v>
      </c>
      <c r="GB747" s="101">
        <f t="shared" si="415"/>
        <v>1</v>
      </c>
      <c r="GC747" s="101">
        <f t="shared" si="416"/>
        <v>5</v>
      </c>
      <c r="GD747" s="101">
        <f t="shared" si="417"/>
        <v>0</v>
      </c>
      <c r="GE747" s="101">
        <f t="shared" si="418"/>
        <v>1</v>
      </c>
      <c r="GF747" s="101">
        <f t="shared" si="419"/>
        <v>1</v>
      </c>
      <c r="GG747" s="101">
        <f t="shared" si="420"/>
        <v>0.15409999999999999</v>
      </c>
      <c r="GH747" s="101">
        <f t="shared" si="421"/>
        <v>1</v>
      </c>
      <c r="GI747" s="101">
        <f t="shared" si="422"/>
        <v>2</v>
      </c>
      <c r="GJ747" s="101">
        <f t="shared" si="423"/>
        <v>0.61650000000000005</v>
      </c>
      <c r="GK747" s="101">
        <f t="shared" si="424"/>
        <v>1</v>
      </c>
      <c r="GL747" s="101">
        <f t="shared" si="425"/>
        <v>5</v>
      </c>
    </row>
    <row r="748" spans="170:194" ht="16.5" x14ac:dyDescent="0.2">
      <c r="FN748" s="101">
        <v>743</v>
      </c>
      <c r="FO748" s="101">
        <f t="shared" si="410"/>
        <v>20</v>
      </c>
      <c r="FP748" s="101">
        <f t="shared" si="403"/>
        <v>10</v>
      </c>
      <c r="FQ748" s="14">
        <f t="shared" si="404"/>
        <v>4</v>
      </c>
      <c r="FR748" s="101" t="str">
        <f t="shared" si="411"/>
        <v>张飞专属武器-魂珠-3 2级</v>
      </c>
      <c r="FS748" s="101">
        <f t="shared" si="412"/>
        <v>3</v>
      </c>
      <c r="FT748" s="101">
        <f t="shared" si="413"/>
        <v>2</v>
      </c>
      <c r="FU748" s="101" t="str">
        <f t="shared" si="405"/>
        <v>金币</v>
      </c>
      <c r="FV748" s="139">
        <f>IF($FT748&gt;0,IF(INDEX($EI$6:$EI$77,$FO748)&gt;=FV$3,ROUND(INDEX(EK$6:EK$77,$FO748)*INDEX(卡牌消耗!$B$8:$F$8,FQ748)/5,0)*5,""),"")</f>
        <v>615</v>
      </c>
      <c r="FW748" s="101" t="str">
        <f t="shared" si="406"/>
        <v>专属强化石1</v>
      </c>
      <c r="FX748" s="101">
        <f t="shared" si="407"/>
        <v>4</v>
      </c>
      <c r="FY748" s="101" t="str">
        <f t="shared" si="408"/>
        <v>专属强化石2</v>
      </c>
      <c r="FZ748" s="101">
        <f t="shared" si="409"/>
        <v>2</v>
      </c>
      <c r="GA748" s="101">
        <f t="shared" si="414"/>
        <v>0.15</v>
      </c>
      <c r="GB748" s="101">
        <f t="shared" si="415"/>
        <v>1</v>
      </c>
      <c r="GC748" s="101">
        <f t="shared" si="416"/>
        <v>10</v>
      </c>
      <c r="GD748" s="101">
        <f t="shared" si="417"/>
        <v>0</v>
      </c>
      <c r="GE748" s="101">
        <f t="shared" si="418"/>
        <v>1</v>
      </c>
      <c r="GF748" s="101">
        <f t="shared" si="419"/>
        <v>2</v>
      </c>
      <c r="GG748" s="101">
        <f t="shared" si="420"/>
        <v>7.7100000000000002E-2</v>
      </c>
      <c r="GH748" s="101">
        <f t="shared" si="421"/>
        <v>1</v>
      </c>
      <c r="GI748" s="101">
        <f t="shared" si="422"/>
        <v>5</v>
      </c>
      <c r="GJ748" s="101">
        <f t="shared" si="423"/>
        <v>0.30830000000000002</v>
      </c>
      <c r="GK748" s="101">
        <f t="shared" si="424"/>
        <v>1</v>
      </c>
      <c r="GL748" s="101">
        <f t="shared" si="425"/>
        <v>10</v>
      </c>
    </row>
    <row r="749" spans="170:194" ht="16.5" x14ac:dyDescent="0.2">
      <c r="FN749" s="101">
        <v>744</v>
      </c>
      <c r="FO749" s="101">
        <f t="shared" si="410"/>
        <v>21</v>
      </c>
      <c r="FP749" s="101">
        <f t="shared" si="403"/>
        <v>10</v>
      </c>
      <c r="FQ749" s="14">
        <f t="shared" si="404"/>
        <v>4</v>
      </c>
      <c r="FR749" s="101" t="str">
        <f t="shared" si="411"/>
        <v>张飞专属武器-魂珠-3 3级</v>
      </c>
      <c r="FS749" s="101">
        <f t="shared" si="412"/>
        <v>3</v>
      </c>
      <c r="FT749" s="101">
        <f t="shared" si="413"/>
        <v>3</v>
      </c>
      <c r="FU749" s="101" t="str">
        <f t="shared" si="405"/>
        <v>金币</v>
      </c>
      <c r="FV749" s="139">
        <f>IF($FT749&gt;0,IF(INDEX($EI$6:$EI$77,$FO749)&gt;=FV$3,ROUND(INDEX(EK$6:EK$77,$FO749)*INDEX(卡牌消耗!$B$8:$F$8,FQ749)/5,0)*5,""),"")</f>
        <v>1025</v>
      </c>
      <c r="FW749" s="101" t="str">
        <f t="shared" si="406"/>
        <v>专属强化石1</v>
      </c>
      <c r="FX749" s="101">
        <f t="shared" si="407"/>
        <v>6</v>
      </c>
      <c r="FY749" s="101" t="str">
        <f t="shared" si="408"/>
        <v>专属强化石2</v>
      </c>
      <c r="FZ749" s="101">
        <f t="shared" si="409"/>
        <v>3</v>
      </c>
      <c r="GA749" s="101">
        <f t="shared" si="414"/>
        <v>0.15</v>
      </c>
      <c r="GB749" s="101">
        <f t="shared" si="415"/>
        <v>1</v>
      </c>
      <c r="GC749" s="101">
        <f t="shared" si="416"/>
        <v>10</v>
      </c>
      <c r="GD749" s="101">
        <f t="shared" si="417"/>
        <v>0</v>
      </c>
      <c r="GE749" s="101">
        <f t="shared" si="418"/>
        <v>1</v>
      </c>
      <c r="GF749" s="101">
        <f t="shared" si="419"/>
        <v>2</v>
      </c>
      <c r="GG749" s="101">
        <f t="shared" si="420"/>
        <v>7.7100000000000002E-2</v>
      </c>
      <c r="GH749" s="101">
        <f t="shared" si="421"/>
        <v>1</v>
      </c>
      <c r="GI749" s="101">
        <f t="shared" si="422"/>
        <v>5</v>
      </c>
      <c r="GJ749" s="101">
        <f t="shared" si="423"/>
        <v>0.30830000000000002</v>
      </c>
      <c r="GK749" s="101">
        <f t="shared" si="424"/>
        <v>1</v>
      </c>
      <c r="GL749" s="101">
        <f t="shared" si="425"/>
        <v>10</v>
      </c>
    </row>
    <row r="750" spans="170:194" ht="16.5" x14ac:dyDescent="0.2">
      <c r="FN750" s="101">
        <v>745</v>
      </c>
      <c r="FO750" s="101">
        <f t="shared" si="410"/>
        <v>22</v>
      </c>
      <c r="FP750" s="101">
        <f t="shared" si="403"/>
        <v>10</v>
      </c>
      <c r="FQ750" s="14">
        <f t="shared" si="404"/>
        <v>4</v>
      </c>
      <c r="FR750" s="101" t="str">
        <f t="shared" si="411"/>
        <v>张飞专属武器-魂珠-3 4级</v>
      </c>
      <c r="FS750" s="101">
        <f t="shared" si="412"/>
        <v>3</v>
      </c>
      <c r="FT750" s="101">
        <f t="shared" si="413"/>
        <v>4</v>
      </c>
      <c r="FU750" s="101" t="str">
        <f t="shared" si="405"/>
        <v>金币</v>
      </c>
      <c r="FV750" s="139">
        <f>IF($FT750&gt;0,IF(INDEX($EI$6:$EI$77,$FO750)&gt;=FV$3,ROUND(INDEX(EK$6:EK$77,$FO750)*INDEX(卡牌消耗!$B$8:$F$8,FQ750)/5,0)*5,""),"")</f>
        <v>985</v>
      </c>
      <c r="FW750" s="101" t="str">
        <f t="shared" si="406"/>
        <v>专属强化石1</v>
      </c>
      <c r="FX750" s="101">
        <f t="shared" si="407"/>
        <v>6</v>
      </c>
      <c r="FY750" s="101" t="str">
        <f t="shared" si="408"/>
        <v>专属强化石2</v>
      </c>
      <c r="FZ750" s="101">
        <f t="shared" si="409"/>
        <v>3</v>
      </c>
      <c r="GA750" s="101">
        <f t="shared" si="414"/>
        <v>0.09</v>
      </c>
      <c r="GB750" s="101">
        <f t="shared" si="415"/>
        <v>1</v>
      </c>
      <c r="GC750" s="101">
        <f t="shared" si="416"/>
        <v>16</v>
      </c>
      <c r="GD750" s="101">
        <f t="shared" si="417"/>
        <v>0</v>
      </c>
      <c r="GE750" s="101">
        <f t="shared" si="418"/>
        <v>1</v>
      </c>
      <c r="GF750" s="101">
        <f t="shared" si="419"/>
        <v>4</v>
      </c>
      <c r="GG750" s="101">
        <f t="shared" si="420"/>
        <v>4.6199999999999998E-2</v>
      </c>
      <c r="GH750" s="101">
        <f t="shared" si="421"/>
        <v>1</v>
      </c>
      <c r="GI750" s="101">
        <f t="shared" si="422"/>
        <v>8</v>
      </c>
      <c r="GJ750" s="101">
        <f t="shared" si="423"/>
        <v>0.185</v>
      </c>
      <c r="GK750" s="101">
        <f t="shared" si="424"/>
        <v>1</v>
      </c>
      <c r="GL750" s="101">
        <f t="shared" si="425"/>
        <v>16</v>
      </c>
    </row>
    <row r="751" spans="170:194" ht="16.5" x14ac:dyDescent="0.2">
      <c r="FN751" s="101">
        <v>746</v>
      </c>
      <c r="FO751" s="101">
        <f t="shared" si="410"/>
        <v>23</v>
      </c>
      <c r="FP751" s="101">
        <f t="shared" si="403"/>
        <v>10</v>
      </c>
      <c r="FQ751" s="14">
        <f t="shared" si="404"/>
        <v>4</v>
      </c>
      <c r="FR751" s="101" t="str">
        <f t="shared" si="411"/>
        <v>张飞专属武器-魂珠-3 5级</v>
      </c>
      <c r="FS751" s="101">
        <f t="shared" si="412"/>
        <v>3</v>
      </c>
      <c r="FT751" s="101">
        <f t="shared" si="413"/>
        <v>5</v>
      </c>
      <c r="FU751" s="101" t="str">
        <f t="shared" si="405"/>
        <v>金币</v>
      </c>
      <c r="FV751" s="139">
        <f>IF($FT751&gt;0,IF(INDEX($EI$6:$EI$77,$FO751)&gt;=FV$3,ROUND(INDEX(EK$6:EK$77,$FO751)*INDEX(卡牌消耗!$B$8:$F$8,FQ751)/5,0)*5,""),"")</f>
        <v>1330</v>
      </c>
      <c r="FW751" s="101" t="str">
        <f t="shared" si="406"/>
        <v>专属强化石1</v>
      </c>
      <c r="FX751" s="101">
        <f t="shared" si="407"/>
        <v>8</v>
      </c>
      <c r="FY751" s="101" t="str">
        <f t="shared" si="408"/>
        <v>专属强化石2</v>
      </c>
      <c r="FZ751" s="101">
        <f t="shared" si="409"/>
        <v>4</v>
      </c>
      <c r="GA751" s="101">
        <f t="shared" si="414"/>
        <v>0.08</v>
      </c>
      <c r="GB751" s="101">
        <f t="shared" si="415"/>
        <v>1</v>
      </c>
      <c r="GC751" s="101">
        <f t="shared" si="416"/>
        <v>19</v>
      </c>
      <c r="GD751" s="101">
        <f t="shared" si="417"/>
        <v>0</v>
      </c>
      <c r="GE751" s="101">
        <f t="shared" si="418"/>
        <v>1</v>
      </c>
      <c r="GF751" s="101">
        <f t="shared" si="419"/>
        <v>5</v>
      </c>
      <c r="GG751" s="101">
        <f t="shared" si="420"/>
        <v>3.85E-2</v>
      </c>
      <c r="GH751" s="101">
        <f t="shared" si="421"/>
        <v>1</v>
      </c>
      <c r="GI751" s="101">
        <f t="shared" si="422"/>
        <v>9</v>
      </c>
      <c r="GJ751" s="101">
        <f t="shared" si="423"/>
        <v>0.15409999999999999</v>
      </c>
      <c r="GK751" s="101">
        <f t="shared" si="424"/>
        <v>1</v>
      </c>
      <c r="GL751" s="101">
        <f t="shared" si="425"/>
        <v>19</v>
      </c>
    </row>
    <row r="752" spans="170:194" ht="16.5" x14ac:dyDescent="0.2">
      <c r="FN752" s="101">
        <v>747</v>
      </c>
      <c r="FO752" s="101">
        <f t="shared" si="410"/>
        <v>24</v>
      </c>
      <c r="FP752" s="101">
        <f t="shared" si="403"/>
        <v>10</v>
      </c>
      <c r="FQ752" s="14">
        <f t="shared" si="404"/>
        <v>4</v>
      </c>
      <c r="FR752" s="101" t="str">
        <f t="shared" si="411"/>
        <v>张飞专属武器-魂珠-3 6级</v>
      </c>
      <c r="FS752" s="101">
        <f t="shared" si="412"/>
        <v>3</v>
      </c>
      <c r="FT752" s="101">
        <f t="shared" si="413"/>
        <v>6</v>
      </c>
      <c r="FU752" s="101" t="str">
        <f t="shared" si="405"/>
        <v>金币</v>
      </c>
      <c r="FV752" s="139">
        <f>IF($FT752&gt;0,IF(INDEX($EI$6:$EI$77,$FO752)&gt;=FV$3,ROUND(INDEX(EK$6:EK$77,$FO752)*INDEX(卡牌消耗!$B$8:$F$8,FQ752)/5,0)*5,""),"")</f>
        <v>1650</v>
      </c>
      <c r="FW752" s="101" t="str">
        <f t="shared" si="406"/>
        <v>专属强化石1</v>
      </c>
      <c r="FX752" s="101">
        <f t="shared" si="407"/>
        <v>10</v>
      </c>
      <c r="FY752" s="101" t="str">
        <f t="shared" si="408"/>
        <v>专属强化石2</v>
      </c>
      <c r="FZ752" s="101">
        <f t="shared" si="409"/>
        <v>5</v>
      </c>
      <c r="GA752" s="101">
        <f t="shared" si="414"/>
        <v>0.06</v>
      </c>
      <c r="GB752" s="101">
        <f t="shared" si="415"/>
        <v>1</v>
      </c>
      <c r="GC752" s="101">
        <f t="shared" si="416"/>
        <v>25</v>
      </c>
      <c r="GD752" s="101">
        <f t="shared" si="417"/>
        <v>0</v>
      </c>
      <c r="GE752" s="101">
        <f t="shared" si="418"/>
        <v>1</v>
      </c>
      <c r="GF752" s="101">
        <f t="shared" si="419"/>
        <v>6</v>
      </c>
      <c r="GG752" s="101">
        <f t="shared" si="420"/>
        <v>2.9600000000000001E-2</v>
      </c>
      <c r="GH752" s="101">
        <f t="shared" si="421"/>
        <v>1</v>
      </c>
      <c r="GI752" s="101">
        <f t="shared" si="422"/>
        <v>12</v>
      </c>
      <c r="GJ752" s="101">
        <f t="shared" si="423"/>
        <v>0.1186</v>
      </c>
      <c r="GK752" s="101">
        <f t="shared" si="424"/>
        <v>1</v>
      </c>
      <c r="GL752" s="101">
        <f t="shared" si="425"/>
        <v>25</v>
      </c>
    </row>
    <row r="753" spans="170:194" ht="16.5" x14ac:dyDescent="0.2">
      <c r="FN753" s="101">
        <v>748</v>
      </c>
      <c r="FO753" s="101">
        <f t="shared" si="410"/>
        <v>25</v>
      </c>
      <c r="FP753" s="101">
        <f t="shared" si="403"/>
        <v>10</v>
      </c>
      <c r="FQ753" s="14">
        <f t="shared" si="404"/>
        <v>4</v>
      </c>
      <c r="FR753" s="101" t="str">
        <f t="shared" si="411"/>
        <v>张飞专属武器-魂珠-3 7级</v>
      </c>
      <c r="FS753" s="101">
        <f t="shared" si="412"/>
        <v>3</v>
      </c>
      <c r="FT753" s="101">
        <f t="shared" si="413"/>
        <v>7</v>
      </c>
      <c r="FU753" s="101" t="str">
        <f t="shared" si="405"/>
        <v>金币</v>
      </c>
      <c r="FV753" s="139">
        <f>IF($FT753&gt;0,IF(INDEX($EI$6:$EI$77,$FO753)&gt;=FV$3,ROUND(INDEX(EK$6:EK$77,$FO753)*INDEX(卡牌消耗!$B$8:$F$8,FQ753)/5,0)*5,""),"")</f>
        <v>1990</v>
      </c>
      <c r="FW753" s="101" t="str">
        <f t="shared" si="406"/>
        <v>专属强化石1</v>
      </c>
      <c r="FX753" s="101">
        <f t="shared" si="407"/>
        <v>12</v>
      </c>
      <c r="FY753" s="101" t="str">
        <f t="shared" si="408"/>
        <v>专属强化石2</v>
      </c>
      <c r="FZ753" s="101">
        <f t="shared" si="409"/>
        <v>6</v>
      </c>
      <c r="GA753" s="101">
        <f t="shared" si="414"/>
        <v>0.04</v>
      </c>
      <c r="GB753" s="101">
        <f t="shared" si="415"/>
        <v>1</v>
      </c>
      <c r="GC753" s="101">
        <f t="shared" si="416"/>
        <v>34</v>
      </c>
      <c r="GD753" s="101">
        <f t="shared" si="417"/>
        <v>0</v>
      </c>
      <c r="GE753" s="101">
        <f t="shared" si="418"/>
        <v>1</v>
      </c>
      <c r="GF753" s="101">
        <f t="shared" si="419"/>
        <v>8</v>
      </c>
      <c r="GG753" s="101">
        <f t="shared" si="420"/>
        <v>2.1999999999999999E-2</v>
      </c>
      <c r="GH753" s="101">
        <f t="shared" si="421"/>
        <v>1</v>
      </c>
      <c r="GI753" s="101">
        <f t="shared" si="422"/>
        <v>16</v>
      </c>
      <c r="GJ753" s="101">
        <f t="shared" si="423"/>
        <v>8.8099999999999998E-2</v>
      </c>
      <c r="GK753" s="101">
        <f t="shared" si="424"/>
        <v>1</v>
      </c>
      <c r="GL753" s="101">
        <f t="shared" si="425"/>
        <v>34</v>
      </c>
    </row>
    <row r="754" spans="170:194" ht="16.5" x14ac:dyDescent="0.2">
      <c r="FN754" s="101">
        <v>749</v>
      </c>
      <c r="FO754" s="101">
        <f t="shared" si="410"/>
        <v>26</v>
      </c>
      <c r="FP754" s="101">
        <f t="shared" si="403"/>
        <v>10</v>
      </c>
      <c r="FQ754" s="14">
        <f t="shared" si="404"/>
        <v>4</v>
      </c>
      <c r="FR754" s="101" t="str">
        <f t="shared" si="411"/>
        <v>张飞专属武器-魂珠-3 8级</v>
      </c>
      <c r="FS754" s="101">
        <f t="shared" si="412"/>
        <v>3</v>
      </c>
      <c r="FT754" s="101">
        <f t="shared" si="413"/>
        <v>8</v>
      </c>
      <c r="FU754" s="101" t="str">
        <f t="shared" si="405"/>
        <v>金币</v>
      </c>
      <c r="FV754" s="139">
        <f>IF($FT754&gt;0,IF(INDEX($EI$6:$EI$77,$FO754)&gt;=FV$3,ROUND(INDEX(EK$6:EK$77,$FO754)*INDEX(卡牌消耗!$B$8:$F$8,FQ754)/5,0)*5,""),"")</f>
        <v>2650</v>
      </c>
      <c r="FW754" s="101" t="str">
        <f t="shared" si="406"/>
        <v>专属强化石1</v>
      </c>
      <c r="FX754" s="101">
        <f t="shared" si="407"/>
        <v>16</v>
      </c>
      <c r="FY754" s="101" t="str">
        <f t="shared" si="408"/>
        <v>专属强化石2</v>
      </c>
      <c r="FZ754" s="101">
        <f t="shared" si="409"/>
        <v>8</v>
      </c>
      <c r="GA754" s="101">
        <f t="shared" si="414"/>
        <v>0.04</v>
      </c>
      <c r="GB754" s="101">
        <f t="shared" si="415"/>
        <v>1</v>
      </c>
      <c r="GC754" s="101">
        <f t="shared" si="416"/>
        <v>41</v>
      </c>
      <c r="GD754" s="101">
        <f t="shared" si="417"/>
        <v>0</v>
      </c>
      <c r="GE754" s="101">
        <f t="shared" si="418"/>
        <v>1</v>
      </c>
      <c r="GF754" s="101">
        <f t="shared" si="419"/>
        <v>10</v>
      </c>
      <c r="GG754" s="101">
        <f t="shared" si="420"/>
        <v>1.8100000000000002E-2</v>
      </c>
      <c r="GH754" s="101">
        <f t="shared" si="421"/>
        <v>1</v>
      </c>
      <c r="GI754" s="101">
        <f t="shared" si="422"/>
        <v>19</v>
      </c>
      <c r="GJ754" s="101">
        <f t="shared" si="423"/>
        <v>7.2499999999999995E-2</v>
      </c>
      <c r="GK754" s="101">
        <f t="shared" si="424"/>
        <v>1</v>
      </c>
      <c r="GL754" s="101">
        <f t="shared" si="425"/>
        <v>41</v>
      </c>
    </row>
    <row r="755" spans="170:194" ht="16.5" x14ac:dyDescent="0.2">
      <c r="FN755" s="101">
        <v>750</v>
      </c>
      <c r="FO755" s="101">
        <f t="shared" si="410"/>
        <v>27</v>
      </c>
      <c r="FP755" s="101">
        <f t="shared" si="403"/>
        <v>10</v>
      </c>
      <c r="FQ755" s="14">
        <f t="shared" si="404"/>
        <v>4</v>
      </c>
      <c r="FR755" s="101" t="str">
        <f t="shared" si="411"/>
        <v>张飞专属武器-魂珠-3 9级</v>
      </c>
      <c r="FS755" s="101">
        <f t="shared" si="412"/>
        <v>3</v>
      </c>
      <c r="FT755" s="101">
        <f t="shared" si="413"/>
        <v>9</v>
      </c>
      <c r="FU755" s="101" t="str">
        <f t="shared" si="405"/>
        <v>金币</v>
      </c>
      <c r="FV755" s="139">
        <f>IF($FT755&gt;0,IF(INDEX($EI$6:$EI$77,$FO755)&gt;=FV$3,ROUND(INDEX(EK$6:EK$77,$FO755)*INDEX(卡牌消耗!$B$8:$F$8,FQ755)/5,0)*5,""),"")</f>
        <v>3310</v>
      </c>
      <c r="FW755" s="101" t="str">
        <f t="shared" si="406"/>
        <v>专属强化石1</v>
      </c>
      <c r="FX755" s="101">
        <f t="shared" si="407"/>
        <v>20</v>
      </c>
      <c r="FY755" s="101" t="str">
        <f t="shared" si="408"/>
        <v>专属强化石2</v>
      </c>
      <c r="FZ755" s="101">
        <f t="shared" si="409"/>
        <v>10</v>
      </c>
      <c r="GA755" s="101">
        <f t="shared" si="414"/>
        <v>0.03</v>
      </c>
      <c r="GB755" s="101">
        <f t="shared" si="415"/>
        <v>1</v>
      </c>
      <c r="GC755" s="101">
        <f t="shared" si="416"/>
        <v>54</v>
      </c>
      <c r="GD755" s="101">
        <f t="shared" si="417"/>
        <v>0</v>
      </c>
      <c r="GE755" s="101">
        <f t="shared" si="418"/>
        <v>1</v>
      </c>
      <c r="GF755" s="101">
        <f t="shared" si="419"/>
        <v>12</v>
      </c>
      <c r="GG755" s="101">
        <f t="shared" si="420"/>
        <v>1.4E-2</v>
      </c>
      <c r="GH755" s="101">
        <f t="shared" si="421"/>
        <v>1</v>
      </c>
      <c r="GI755" s="101">
        <f t="shared" si="422"/>
        <v>25</v>
      </c>
      <c r="GJ755" s="101">
        <f t="shared" si="423"/>
        <v>5.6000000000000001E-2</v>
      </c>
      <c r="GK755" s="101">
        <f t="shared" si="424"/>
        <v>1</v>
      </c>
      <c r="GL755" s="101">
        <f t="shared" si="425"/>
        <v>54</v>
      </c>
    </row>
    <row r="756" spans="170:194" ht="16.5" x14ac:dyDescent="0.2">
      <c r="FN756" s="101">
        <v>751</v>
      </c>
      <c r="FO756" s="101">
        <f t="shared" si="410"/>
        <v>0</v>
      </c>
      <c r="FP756" s="101">
        <f t="shared" si="403"/>
        <v>10</v>
      </c>
      <c r="FQ756" s="14">
        <f t="shared" si="404"/>
        <v>4</v>
      </c>
      <c r="FR756" s="101" t="str">
        <f t="shared" si="411"/>
        <v>张飞专属武器-魂珠-4 0级</v>
      </c>
      <c r="FS756" s="101">
        <f t="shared" si="412"/>
        <v>4</v>
      </c>
      <c r="FT756" s="101">
        <f t="shared" si="413"/>
        <v>0</v>
      </c>
      <c r="FU756" s="101" t="str">
        <f t="shared" si="405"/>
        <v/>
      </c>
      <c r="FV756" s="139" t="str">
        <f>IF($FT756&gt;0,IF(INDEX($EI$6:$EI$77,$FO756)&gt;=FV$3,ROUND(INDEX(EK$6:EK$77,$FO756)*INDEX(卡牌消耗!$B$8:$F$8,FQ756)/5,0)*5,""),"")</f>
        <v/>
      </c>
      <c r="FW756" s="101" t="str">
        <f t="shared" si="406"/>
        <v/>
      </c>
      <c r="FX756" s="101" t="str">
        <f t="shared" si="407"/>
        <v/>
      </c>
      <c r="FY756" s="101" t="str">
        <f t="shared" si="408"/>
        <v/>
      </c>
      <c r="FZ756" s="101" t="str">
        <f t="shared" si="409"/>
        <v/>
      </c>
      <c r="GA756" s="101" t="str">
        <f t="shared" si="414"/>
        <v/>
      </c>
      <c r="GB756" s="101" t="str">
        <f t="shared" si="415"/>
        <v/>
      </c>
      <c r="GC756" s="101" t="str">
        <f t="shared" si="416"/>
        <v/>
      </c>
      <c r="GD756" s="101" t="str">
        <f t="shared" si="417"/>
        <v/>
      </c>
      <c r="GE756" s="101" t="str">
        <f t="shared" si="418"/>
        <v/>
      </c>
      <c r="GF756" s="101" t="str">
        <f t="shared" si="419"/>
        <v/>
      </c>
      <c r="GG756" s="101" t="str">
        <f t="shared" si="420"/>
        <v/>
      </c>
      <c r="GH756" s="101" t="str">
        <f t="shared" si="421"/>
        <v/>
      </c>
      <c r="GI756" s="101" t="str">
        <f t="shared" si="422"/>
        <v/>
      </c>
      <c r="GJ756" s="101" t="str">
        <f t="shared" si="423"/>
        <v/>
      </c>
      <c r="GK756" s="101" t="str">
        <f t="shared" si="424"/>
        <v/>
      </c>
      <c r="GL756" s="101" t="str">
        <f t="shared" si="425"/>
        <v/>
      </c>
    </row>
    <row r="757" spans="170:194" ht="16.5" x14ac:dyDescent="0.2">
      <c r="FN757" s="101">
        <v>752</v>
      </c>
      <c r="FO757" s="101">
        <f t="shared" si="410"/>
        <v>28</v>
      </c>
      <c r="FP757" s="101">
        <f t="shared" si="403"/>
        <v>10</v>
      </c>
      <c r="FQ757" s="14">
        <f t="shared" si="404"/>
        <v>4</v>
      </c>
      <c r="FR757" s="101" t="str">
        <f t="shared" si="411"/>
        <v>张飞专属武器-魂珠-4 1级</v>
      </c>
      <c r="FS757" s="101">
        <f t="shared" si="412"/>
        <v>4</v>
      </c>
      <c r="FT757" s="101">
        <f t="shared" si="413"/>
        <v>1</v>
      </c>
      <c r="FU757" s="101" t="str">
        <f t="shared" si="405"/>
        <v>金币</v>
      </c>
      <c r="FV757" s="139">
        <f>IF($FT757&gt;0,IF(INDEX($EI$6:$EI$77,$FO757)&gt;=FV$3,ROUND(INDEX(EK$6:EK$77,$FO757)*INDEX(卡牌消耗!$B$8:$F$8,FQ757)/5,0)*5,""),"")</f>
        <v>1095</v>
      </c>
      <c r="FW757" s="101" t="str">
        <f t="shared" si="406"/>
        <v>专属强化石2</v>
      </c>
      <c r="FX757" s="101">
        <f t="shared" si="407"/>
        <v>3</v>
      </c>
      <c r="FY757" s="101" t="str">
        <f t="shared" si="408"/>
        <v>专属强化石3</v>
      </c>
      <c r="FZ757" s="101">
        <f t="shared" si="409"/>
        <v>1</v>
      </c>
      <c r="GA757" s="101">
        <f t="shared" si="414"/>
        <v>0.2</v>
      </c>
      <c r="GB757" s="101">
        <f t="shared" si="415"/>
        <v>1</v>
      </c>
      <c r="GC757" s="101">
        <f t="shared" si="416"/>
        <v>7</v>
      </c>
      <c r="GD757" s="101">
        <f t="shared" si="417"/>
        <v>0</v>
      </c>
      <c r="GE757" s="101">
        <f t="shared" si="418"/>
        <v>1</v>
      </c>
      <c r="GF757" s="101">
        <f t="shared" si="419"/>
        <v>2</v>
      </c>
      <c r="GG757" s="101">
        <f t="shared" si="420"/>
        <v>0.1012</v>
      </c>
      <c r="GH757" s="101">
        <f t="shared" si="421"/>
        <v>1</v>
      </c>
      <c r="GI757" s="101">
        <f t="shared" si="422"/>
        <v>3</v>
      </c>
      <c r="GJ757" s="101">
        <f t="shared" si="423"/>
        <v>0.40479999999999999</v>
      </c>
      <c r="GK757" s="101">
        <f t="shared" si="424"/>
        <v>1</v>
      </c>
      <c r="GL757" s="101">
        <f t="shared" si="425"/>
        <v>7</v>
      </c>
    </row>
    <row r="758" spans="170:194" ht="16.5" x14ac:dyDescent="0.2">
      <c r="FN758" s="101">
        <v>753</v>
      </c>
      <c r="FO758" s="101">
        <f t="shared" si="410"/>
        <v>29</v>
      </c>
      <c r="FP758" s="101">
        <f t="shared" si="403"/>
        <v>10</v>
      </c>
      <c r="FQ758" s="14">
        <f t="shared" si="404"/>
        <v>4</v>
      </c>
      <c r="FR758" s="101" t="str">
        <f t="shared" si="411"/>
        <v>张飞专属武器-魂珠-4 2级</v>
      </c>
      <c r="FS758" s="101">
        <f t="shared" si="412"/>
        <v>4</v>
      </c>
      <c r="FT758" s="101">
        <f t="shared" si="413"/>
        <v>2</v>
      </c>
      <c r="FU758" s="101" t="str">
        <f t="shared" si="405"/>
        <v>金币</v>
      </c>
      <c r="FV758" s="139">
        <f>IF($FT758&gt;0,IF(INDEX($EI$6:$EI$77,$FO758)&gt;=FV$3,ROUND(INDEX(EK$6:EK$77,$FO758)*INDEX(卡牌消耗!$B$8:$F$8,FQ758)/5,0)*5,""),"")</f>
        <v>820</v>
      </c>
      <c r="FW758" s="101" t="str">
        <f t="shared" si="406"/>
        <v>专属强化石2</v>
      </c>
      <c r="FX758" s="101">
        <f t="shared" si="407"/>
        <v>3</v>
      </c>
      <c r="FY758" s="101" t="str">
        <f t="shared" si="408"/>
        <v>专属强化石3</v>
      </c>
      <c r="FZ758" s="101">
        <f t="shared" si="409"/>
        <v>1</v>
      </c>
      <c r="GA758" s="101">
        <f t="shared" si="414"/>
        <v>0.1</v>
      </c>
      <c r="GB758" s="101">
        <f t="shared" si="415"/>
        <v>1</v>
      </c>
      <c r="GC758" s="101">
        <f t="shared" si="416"/>
        <v>15</v>
      </c>
      <c r="GD758" s="101">
        <f t="shared" si="417"/>
        <v>0</v>
      </c>
      <c r="GE758" s="101">
        <f t="shared" si="418"/>
        <v>1</v>
      </c>
      <c r="GF758" s="101">
        <f t="shared" si="419"/>
        <v>3</v>
      </c>
      <c r="GG758" s="101">
        <f t="shared" si="420"/>
        <v>5.0599999999999999E-2</v>
      </c>
      <c r="GH758" s="101">
        <f t="shared" si="421"/>
        <v>1</v>
      </c>
      <c r="GI758" s="101">
        <f t="shared" si="422"/>
        <v>7</v>
      </c>
      <c r="GJ758" s="101">
        <f t="shared" si="423"/>
        <v>0.2024</v>
      </c>
      <c r="GK758" s="101">
        <f t="shared" si="424"/>
        <v>1</v>
      </c>
      <c r="GL758" s="101">
        <f t="shared" si="425"/>
        <v>15</v>
      </c>
    </row>
    <row r="759" spans="170:194" ht="16.5" x14ac:dyDescent="0.2">
      <c r="FN759" s="101">
        <v>754</v>
      </c>
      <c r="FO759" s="101">
        <f t="shared" si="410"/>
        <v>30</v>
      </c>
      <c r="FP759" s="101">
        <f t="shared" si="403"/>
        <v>10</v>
      </c>
      <c r="FQ759" s="14">
        <f t="shared" si="404"/>
        <v>4</v>
      </c>
      <c r="FR759" s="101" t="str">
        <f t="shared" si="411"/>
        <v>张飞专属武器-魂珠-4 3级</v>
      </c>
      <c r="FS759" s="101">
        <f t="shared" si="412"/>
        <v>4</v>
      </c>
      <c r="FT759" s="101">
        <f t="shared" si="413"/>
        <v>3</v>
      </c>
      <c r="FU759" s="101" t="str">
        <f t="shared" si="405"/>
        <v>金币</v>
      </c>
      <c r="FV759" s="139">
        <f>IF($FT759&gt;0,IF(INDEX($EI$6:$EI$77,$FO759)&gt;=FV$3,ROUND(INDEX(EK$6:EK$77,$FO759)*INDEX(卡牌消耗!$B$8:$F$8,FQ759)/5,0)*5,""),"")</f>
        <v>910</v>
      </c>
      <c r="FW759" s="101" t="str">
        <f t="shared" si="406"/>
        <v>专属强化石2</v>
      </c>
      <c r="FX759" s="101">
        <f t="shared" si="407"/>
        <v>3</v>
      </c>
      <c r="FY759" s="101" t="str">
        <f t="shared" si="408"/>
        <v>专属强化石3</v>
      </c>
      <c r="FZ759" s="101">
        <f t="shared" si="409"/>
        <v>1</v>
      </c>
      <c r="GA759" s="101">
        <f t="shared" si="414"/>
        <v>7.0000000000000007E-2</v>
      </c>
      <c r="GB759" s="101">
        <f t="shared" si="415"/>
        <v>1</v>
      </c>
      <c r="GC759" s="101">
        <f t="shared" si="416"/>
        <v>22</v>
      </c>
      <c r="GD759" s="101">
        <f t="shared" si="417"/>
        <v>0</v>
      </c>
      <c r="GE759" s="101">
        <f t="shared" si="418"/>
        <v>1</v>
      </c>
      <c r="GF759" s="101">
        <f t="shared" si="419"/>
        <v>5</v>
      </c>
      <c r="GG759" s="101">
        <f t="shared" si="420"/>
        <v>3.3700000000000001E-2</v>
      </c>
      <c r="GH759" s="101">
        <f t="shared" si="421"/>
        <v>1</v>
      </c>
      <c r="GI759" s="101">
        <f t="shared" si="422"/>
        <v>10</v>
      </c>
      <c r="GJ759" s="101">
        <f t="shared" si="423"/>
        <v>0.13489999999999999</v>
      </c>
      <c r="GK759" s="101">
        <f t="shared" si="424"/>
        <v>1</v>
      </c>
      <c r="GL759" s="101">
        <f t="shared" si="425"/>
        <v>22</v>
      </c>
    </row>
    <row r="760" spans="170:194" ht="16.5" x14ac:dyDescent="0.2">
      <c r="FN760" s="101">
        <v>755</v>
      </c>
      <c r="FO760" s="101">
        <f t="shared" si="410"/>
        <v>31</v>
      </c>
      <c r="FP760" s="101">
        <f t="shared" si="403"/>
        <v>10</v>
      </c>
      <c r="FQ760" s="14">
        <f t="shared" si="404"/>
        <v>4</v>
      </c>
      <c r="FR760" s="101" t="str">
        <f t="shared" si="411"/>
        <v>张飞专属武器-魂珠-4 4级</v>
      </c>
      <c r="FS760" s="101">
        <f t="shared" si="412"/>
        <v>4</v>
      </c>
      <c r="FT760" s="101">
        <f t="shared" si="413"/>
        <v>4</v>
      </c>
      <c r="FU760" s="101" t="str">
        <f t="shared" si="405"/>
        <v>金币</v>
      </c>
      <c r="FV760" s="139">
        <f>IF($FT760&gt;0,IF(INDEX($EI$6:$EI$77,$FO760)&gt;=FV$3,ROUND(INDEX(EK$6:EK$77,$FO760)*INDEX(卡牌消耗!$B$8:$F$8,FQ760)/5,0)*5,""),"")</f>
        <v>1750</v>
      </c>
      <c r="FW760" s="101" t="str">
        <f t="shared" si="406"/>
        <v>专属强化石2</v>
      </c>
      <c r="FX760" s="101">
        <f t="shared" si="407"/>
        <v>5</v>
      </c>
      <c r="FY760" s="101" t="str">
        <f t="shared" si="408"/>
        <v>专属强化石3</v>
      </c>
      <c r="FZ760" s="101">
        <f t="shared" si="409"/>
        <v>2</v>
      </c>
      <c r="GA760" s="101">
        <f t="shared" si="414"/>
        <v>0.08</v>
      </c>
      <c r="GB760" s="101">
        <f t="shared" si="415"/>
        <v>1</v>
      </c>
      <c r="GC760" s="101">
        <f t="shared" si="416"/>
        <v>19</v>
      </c>
      <c r="GD760" s="101">
        <f t="shared" si="417"/>
        <v>0</v>
      </c>
      <c r="GE760" s="101">
        <f t="shared" si="418"/>
        <v>1</v>
      </c>
      <c r="GF760" s="101">
        <f t="shared" si="419"/>
        <v>4</v>
      </c>
      <c r="GG760" s="101">
        <f t="shared" si="420"/>
        <v>4.0500000000000001E-2</v>
      </c>
      <c r="GH760" s="101">
        <f t="shared" si="421"/>
        <v>1</v>
      </c>
      <c r="GI760" s="101">
        <f t="shared" si="422"/>
        <v>9</v>
      </c>
      <c r="GJ760" s="101">
        <f t="shared" si="423"/>
        <v>0.16189999999999999</v>
      </c>
      <c r="GK760" s="101">
        <f t="shared" si="424"/>
        <v>1</v>
      </c>
      <c r="GL760" s="101">
        <f t="shared" si="425"/>
        <v>19</v>
      </c>
    </row>
    <row r="761" spans="170:194" ht="16.5" x14ac:dyDescent="0.2">
      <c r="FN761" s="101">
        <v>756</v>
      </c>
      <c r="FO761" s="101">
        <f t="shared" si="410"/>
        <v>32</v>
      </c>
      <c r="FP761" s="101">
        <f t="shared" si="403"/>
        <v>10</v>
      </c>
      <c r="FQ761" s="14">
        <f t="shared" si="404"/>
        <v>4</v>
      </c>
      <c r="FR761" s="101" t="str">
        <f t="shared" si="411"/>
        <v>张飞专属武器-魂珠-4 5级</v>
      </c>
      <c r="FS761" s="101">
        <f t="shared" si="412"/>
        <v>4</v>
      </c>
      <c r="FT761" s="101">
        <f t="shared" si="413"/>
        <v>5</v>
      </c>
      <c r="FU761" s="101" t="str">
        <f t="shared" si="405"/>
        <v>金币</v>
      </c>
      <c r="FV761" s="139">
        <f>IF($FT761&gt;0,IF(INDEX($EI$6:$EI$77,$FO761)&gt;=FV$3,ROUND(INDEX(EK$6:EK$77,$FO761)*INDEX(卡牌消耗!$B$8:$F$8,FQ761)/5,0)*5,""),"")</f>
        <v>1780</v>
      </c>
      <c r="FW761" s="101" t="str">
        <f t="shared" si="406"/>
        <v>专属强化石2</v>
      </c>
      <c r="FX761" s="101">
        <f t="shared" si="407"/>
        <v>5</v>
      </c>
      <c r="FY761" s="101" t="str">
        <f t="shared" si="408"/>
        <v>专属强化石3</v>
      </c>
      <c r="FZ761" s="101">
        <f t="shared" si="409"/>
        <v>2</v>
      </c>
      <c r="GA761" s="101">
        <f t="shared" si="414"/>
        <v>0.05</v>
      </c>
      <c r="GB761" s="101">
        <f t="shared" si="415"/>
        <v>1</v>
      </c>
      <c r="GC761" s="101">
        <f t="shared" si="416"/>
        <v>30</v>
      </c>
      <c r="GD761" s="101">
        <f t="shared" si="417"/>
        <v>0</v>
      </c>
      <c r="GE761" s="101">
        <f t="shared" si="418"/>
        <v>1</v>
      </c>
      <c r="GF761" s="101">
        <f t="shared" si="419"/>
        <v>7</v>
      </c>
      <c r="GG761" s="101">
        <f t="shared" si="420"/>
        <v>2.53E-2</v>
      </c>
      <c r="GH761" s="101">
        <f t="shared" si="421"/>
        <v>1</v>
      </c>
      <c r="GI761" s="101">
        <f t="shared" si="422"/>
        <v>14</v>
      </c>
      <c r="GJ761" s="101">
        <f t="shared" si="423"/>
        <v>0.1012</v>
      </c>
      <c r="GK761" s="101">
        <f t="shared" si="424"/>
        <v>1</v>
      </c>
      <c r="GL761" s="101">
        <f t="shared" si="425"/>
        <v>30</v>
      </c>
    </row>
    <row r="762" spans="170:194" ht="16.5" x14ac:dyDescent="0.2">
      <c r="FN762" s="101">
        <v>757</v>
      </c>
      <c r="FO762" s="101">
        <f t="shared" si="410"/>
        <v>33</v>
      </c>
      <c r="FP762" s="101">
        <f t="shared" si="403"/>
        <v>10</v>
      </c>
      <c r="FQ762" s="14">
        <f t="shared" si="404"/>
        <v>4</v>
      </c>
      <c r="FR762" s="101" t="str">
        <f t="shared" si="411"/>
        <v>张飞专属武器-魂珠-4 6级</v>
      </c>
      <c r="FS762" s="101">
        <f t="shared" si="412"/>
        <v>4</v>
      </c>
      <c r="FT762" s="101">
        <f t="shared" si="413"/>
        <v>6</v>
      </c>
      <c r="FU762" s="101" t="str">
        <f t="shared" si="405"/>
        <v>金币</v>
      </c>
      <c r="FV762" s="139">
        <f>IF($FT762&gt;0,IF(INDEX($EI$6:$EI$77,$FO762)&gt;=FV$3,ROUND(INDEX(EK$6:EK$77,$FO762)*INDEX(卡牌消耗!$B$8:$F$8,FQ762)/5,0)*5,""),"")</f>
        <v>1770</v>
      </c>
      <c r="FW762" s="101" t="str">
        <f t="shared" si="406"/>
        <v>专属强化石2</v>
      </c>
      <c r="FX762" s="101">
        <f t="shared" si="407"/>
        <v>5</v>
      </c>
      <c r="FY762" s="101" t="str">
        <f t="shared" si="408"/>
        <v>专属强化石3</v>
      </c>
      <c r="FZ762" s="101">
        <f t="shared" si="409"/>
        <v>2</v>
      </c>
      <c r="GA762" s="101">
        <f t="shared" si="414"/>
        <v>0.03</v>
      </c>
      <c r="GB762" s="101">
        <f t="shared" si="415"/>
        <v>1</v>
      </c>
      <c r="GC762" s="101">
        <f t="shared" si="416"/>
        <v>48</v>
      </c>
      <c r="GD762" s="101">
        <f t="shared" si="417"/>
        <v>0</v>
      </c>
      <c r="GE762" s="101">
        <f t="shared" si="418"/>
        <v>1</v>
      </c>
      <c r="GF762" s="101">
        <f t="shared" si="419"/>
        <v>11</v>
      </c>
      <c r="GG762" s="101">
        <f t="shared" si="420"/>
        <v>1.5599999999999999E-2</v>
      </c>
      <c r="GH762" s="101">
        <f t="shared" si="421"/>
        <v>1</v>
      </c>
      <c r="GI762" s="101">
        <f t="shared" si="422"/>
        <v>22</v>
      </c>
      <c r="GJ762" s="101">
        <f t="shared" si="423"/>
        <v>6.2300000000000001E-2</v>
      </c>
      <c r="GK762" s="101">
        <f t="shared" si="424"/>
        <v>1</v>
      </c>
      <c r="GL762" s="101">
        <f t="shared" si="425"/>
        <v>48</v>
      </c>
    </row>
    <row r="763" spans="170:194" ht="16.5" x14ac:dyDescent="0.2">
      <c r="FN763" s="101">
        <v>758</v>
      </c>
      <c r="FO763" s="101">
        <f t="shared" si="410"/>
        <v>34</v>
      </c>
      <c r="FP763" s="101">
        <f t="shared" si="403"/>
        <v>10</v>
      </c>
      <c r="FQ763" s="14">
        <f t="shared" si="404"/>
        <v>4</v>
      </c>
      <c r="FR763" s="101" t="str">
        <f t="shared" si="411"/>
        <v>张飞专属武器-魂珠-4 7级</v>
      </c>
      <c r="FS763" s="101">
        <f t="shared" si="412"/>
        <v>4</v>
      </c>
      <c r="FT763" s="101">
        <f t="shared" si="413"/>
        <v>7</v>
      </c>
      <c r="FU763" s="101" t="str">
        <f t="shared" si="405"/>
        <v>金币</v>
      </c>
      <c r="FV763" s="139">
        <f>IF($FT763&gt;0,IF(INDEX($EI$6:$EI$77,$FO763)&gt;=FV$3,ROUND(INDEX(EK$6:EK$77,$FO763)*INDEX(卡牌消耗!$B$8:$F$8,FQ763)/5,0)*5,""),"")</f>
        <v>2660</v>
      </c>
      <c r="FW763" s="101" t="str">
        <f t="shared" si="406"/>
        <v>专属强化石2</v>
      </c>
      <c r="FX763" s="101">
        <f t="shared" si="407"/>
        <v>8</v>
      </c>
      <c r="FY763" s="101" t="str">
        <f t="shared" si="408"/>
        <v>专属强化石3</v>
      </c>
      <c r="FZ763" s="101">
        <f t="shared" si="409"/>
        <v>3</v>
      </c>
      <c r="GA763" s="101">
        <f t="shared" si="414"/>
        <v>0.03</v>
      </c>
      <c r="GB763" s="101">
        <f t="shared" si="415"/>
        <v>1</v>
      </c>
      <c r="GC763" s="101">
        <f t="shared" si="416"/>
        <v>52</v>
      </c>
      <c r="GD763" s="101">
        <f t="shared" si="417"/>
        <v>0</v>
      </c>
      <c r="GE763" s="101">
        <f t="shared" si="418"/>
        <v>1</v>
      </c>
      <c r="GF763" s="101">
        <f t="shared" si="419"/>
        <v>12</v>
      </c>
      <c r="GG763" s="101">
        <f t="shared" si="420"/>
        <v>1.4500000000000001E-2</v>
      </c>
      <c r="GH763" s="101">
        <f t="shared" si="421"/>
        <v>1</v>
      </c>
      <c r="GI763" s="101">
        <f t="shared" si="422"/>
        <v>24</v>
      </c>
      <c r="GJ763" s="101">
        <f t="shared" si="423"/>
        <v>5.7799999999999997E-2</v>
      </c>
      <c r="GK763" s="101">
        <f t="shared" si="424"/>
        <v>1</v>
      </c>
      <c r="GL763" s="101">
        <f t="shared" si="425"/>
        <v>52</v>
      </c>
    </row>
    <row r="764" spans="170:194" ht="16.5" x14ac:dyDescent="0.2">
      <c r="FN764" s="101">
        <v>759</v>
      </c>
      <c r="FO764" s="101">
        <f t="shared" si="410"/>
        <v>35</v>
      </c>
      <c r="FP764" s="101">
        <f t="shared" si="403"/>
        <v>10</v>
      </c>
      <c r="FQ764" s="14">
        <f t="shared" si="404"/>
        <v>4</v>
      </c>
      <c r="FR764" s="101" t="str">
        <f t="shared" si="411"/>
        <v>张飞专属武器-魂珠-4 8级</v>
      </c>
      <c r="FS764" s="101">
        <f t="shared" si="412"/>
        <v>4</v>
      </c>
      <c r="FT764" s="101">
        <f t="shared" si="413"/>
        <v>8</v>
      </c>
      <c r="FU764" s="101" t="str">
        <f t="shared" si="405"/>
        <v>金币</v>
      </c>
      <c r="FV764" s="139">
        <f>IF($FT764&gt;0,IF(INDEX($EI$6:$EI$77,$FO764)&gt;=FV$3,ROUND(INDEX(EK$6:EK$77,$FO764)*INDEX(卡牌消耗!$B$8:$F$8,FQ764)/5,0)*5,""),"")</f>
        <v>3540</v>
      </c>
      <c r="FW764" s="101" t="str">
        <f t="shared" si="406"/>
        <v>专属强化石2</v>
      </c>
      <c r="FX764" s="101">
        <f t="shared" si="407"/>
        <v>11</v>
      </c>
      <c r="FY764" s="101" t="str">
        <f t="shared" si="408"/>
        <v>专属强化石3</v>
      </c>
      <c r="FZ764" s="101">
        <f t="shared" si="409"/>
        <v>4</v>
      </c>
      <c r="GA764" s="101">
        <f t="shared" si="414"/>
        <v>0.02</v>
      </c>
      <c r="GB764" s="101">
        <f t="shared" si="415"/>
        <v>1</v>
      </c>
      <c r="GC764" s="101">
        <f t="shared" si="416"/>
        <v>63</v>
      </c>
      <c r="GD764" s="101">
        <f t="shared" si="417"/>
        <v>0</v>
      </c>
      <c r="GE764" s="101">
        <f t="shared" si="418"/>
        <v>1</v>
      </c>
      <c r="GF764" s="101">
        <f t="shared" si="419"/>
        <v>15</v>
      </c>
      <c r="GG764" s="101">
        <f t="shared" si="420"/>
        <v>1.1900000000000001E-2</v>
      </c>
      <c r="GH764" s="101">
        <f t="shared" si="421"/>
        <v>1</v>
      </c>
      <c r="GI764" s="101">
        <f t="shared" si="422"/>
        <v>29</v>
      </c>
      <c r="GJ764" s="101">
        <f t="shared" si="423"/>
        <v>4.7600000000000003E-2</v>
      </c>
      <c r="GK764" s="101">
        <f t="shared" si="424"/>
        <v>1</v>
      </c>
      <c r="GL764" s="101">
        <f t="shared" si="425"/>
        <v>63</v>
      </c>
    </row>
    <row r="765" spans="170:194" ht="16.5" x14ac:dyDescent="0.2">
      <c r="FN765" s="101">
        <v>760</v>
      </c>
      <c r="FO765" s="101">
        <f t="shared" si="410"/>
        <v>36</v>
      </c>
      <c r="FP765" s="101">
        <f t="shared" si="403"/>
        <v>10</v>
      </c>
      <c r="FQ765" s="14">
        <f t="shared" si="404"/>
        <v>4</v>
      </c>
      <c r="FR765" s="101" t="str">
        <f t="shared" si="411"/>
        <v>张飞专属武器-魂珠-4 9级</v>
      </c>
      <c r="FS765" s="101">
        <f t="shared" si="412"/>
        <v>4</v>
      </c>
      <c r="FT765" s="101">
        <f t="shared" si="413"/>
        <v>9</v>
      </c>
      <c r="FU765" s="101" t="str">
        <f t="shared" si="405"/>
        <v>金币</v>
      </c>
      <c r="FV765" s="139">
        <f>IF($FT765&gt;0,IF(INDEX($EI$6:$EI$77,$FO765)&gt;=FV$3,ROUND(INDEX(EK$6:EK$77,$FO765)*INDEX(卡牌消耗!$B$8:$F$8,FQ765)/5,0)*5,""),"")</f>
        <v>5315</v>
      </c>
      <c r="FW765" s="101" t="str">
        <f t="shared" si="406"/>
        <v>专属强化石2</v>
      </c>
      <c r="FX765" s="101">
        <f t="shared" si="407"/>
        <v>16</v>
      </c>
      <c r="FY765" s="101" t="str">
        <f t="shared" si="408"/>
        <v>专属强化石3</v>
      </c>
      <c r="FZ765" s="101">
        <f t="shared" si="409"/>
        <v>6</v>
      </c>
      <c r="GA765" s="101">
        <f t="shared" si="414"/>
        <v>0.02</v>
      </c>
      <c r="GB765" s="101">
        <f t="shared" si="415"/>
        <v>1</v>
      </c>
      <c r="GC765" s="101">
        <f t="shared" si="416"/>
        <v>68</v>
      </c>
      <c r="GD765" s="101">
        <f t="shared" si="417"/>
        <v>0</v>
      </c>
      <c r="GE765" s="101">
        <f t="shared" si="418"/>
        <v>1</v>
      </c>
      <c r="GF765" s="101">
        <f t="shared" si="419"/>
        <v>16</v>
      </c>
      <c r="GG765" s="101">
        <f t="shared" si="420"/>
        <v>1.0999999999999999E-2</v>
      </c>
      <c r="GH765" s="101">
        <f t="shared" si="421"/>
        <v>1</v>
      </c>
      <c r="GI765" s="101">
        <f t="shared" si="422"/>
        <v>32</v>
      </c>
      <c r="GJ765" s="101">
        <f t="shared" si="423"/>
        <v>4.4200000000000003E-2</v>
      </c>
      <c r="GK765" s="101">
        <f t="shared" si="424"/>
        <v>1</v>
      </c>
      <c r="GL765" s="101">
        <f t="shared" si="425"/>
        <v>68</v>
      </c>
    </row>
    <row r="766" spans="170:194" ht="16.5" x14ac:dyDescent="0.2">
      <c r="FN766" s="101">
        <v>761</v>
      </c>
      <c r="FO766" s="101">
        <f t="shared" si="410"/>
        <v>0</v>
      </c>
      <c r="FP766" s="101">
        <f t="shared" si="403"/>
        <v>10</v>
      </c>
      <c r="FQ766" s="14">
        <f t="shared" si="404"/>
        <v>4</v>
      </c>
      <c r="FR766" s="101" t="str">
        <f t="shared" si="411"/>
        <v>张飞专属武器-魂珠-5 0级</v>
      </c>
      <c r="FS766" s="101">
        <f t="shared" si="412"/>
        <v>5</v>
      </c>
      <c r="FT766" s="101">
        <f t="shared" si="413"/>
        <v>0</v>
      </c>
      <c r="FU766" s="101" t="str">
        <f t="shared" si="405"/>
        <v/>
      </c>
      <c r="FV766" s="139" t="str">
        <f>IF($FT766&gt;0,IF(INDEX($EI$6:$EI$77,$FO766)&gt;=FV$3,ROUND(INDEX(EK$6:EK$77,$FO766)*INDEX(卡牌消耗!$B$8:$F$8,FQ766)/5,0)*5,""),"")</f>
        <v/>
      </c>
      <c r="FW766" s="101" t="str">
        <f t="shared" si="406"/>
        <v/>
      </c>
      <c r="FX766" s="101" t="str">
        <f t="shared" si="407"/>
        <v/>
      </c>
      <c r="FY766" s="101" t="str">
        <f t="shared" si="408"/>
        <v/>
      </c>
      <c r="FZ766" s="101" t="str">
        <f t="shared" si="409"/>
        <v/>
      </c>
      <c r="GA766" s="101" t="str">
        <f t="shared" si="414"/>
        <v/>
      </c>
      <c r="GB766" s="101" t="str">
        <f t="shared" si="415"/>
        <v/>
      </c>
      <c r="GC766" s="101" t="str">
        <f t="shared" si="416"/>
        <v/>
      </c>
      <c r="GD766" s="101" t="str">
        <f t="shared" si="417"/>
        <v/>
      </c>
      <c r="GE766" s="101" t="str">
        <f t="shared" si="418"/>
        <v/>
      </c>
      <c r="GF766" s="101" t="str">
        <f t="shared" si="419"/>
        <v/>
      </c>
      <c r="GG766" s="101" t="str">
        <f t="shared" si="420"/>
        <v/>
      </c>
      <c r="GH766" s="101" t="str">
        <f t="shared" si="421"/>
        <v/>
      </c>
      <c r="GI766" s="101" t="str">
        <f t="shared" si="422"/>
        <v/>
      </c>
      <c r="GJ766" s="101" t="str">
        <f t="shared" si="423"/>
        <v/>
      </c>
      <c r="GK766" s="101" t="str">
        <f t="shared" si="424"/>
        <v/>
      </c>
      <c r="GL766" s="101" t="str">
        <f t="shared" si="425"/>
        <v/>
      </c>
    </row>
    <row r="767" spans="170:194" ht="16.5" x14ac:dyDescent="0.2">
      <c r="FN767" s="101">
        <v>762</v>
      </c>
      <c r="FO767" s="101">
        <f t="shared" si="410"/>
        <v>37</v>
      </c>
      <c r="FP767" s="101">
        <f t="shared" si="403"/>
        <v>10</v>
      </c>
      <c r="FQ767" s="14">
        <f t="shared" si="404"/>
        <v>4</v>
      </c>
      <c r="FR767" s="101" t="str">
        <f t="shared" si="411"/>
        <v>张飞专属武器-魂珠-5 1级</v>
      </c>
      <c r="FS767" s="101">
        <f t="shared" si="412"/>
        <v>5</v>
      </c>
      <c r="FT767" s="101">
        <f t="shared" si="413"/>
        <v>1</v>
      </c>
      <c r="FU767" s="101" t="str">
        <f t="shared" si="405"/>
        <v>金币</v>
      </c>
      <c r="FV767" s="139">
        <f>IF($FT767&gt;0,IF(INDEX($EI$6:$EI$77,$FO767)&gt;=FV$3,ROUND(INDEX(EK$6:EK$77,$FO767)*INDEX(卡牌消耗!$B$8:$F$8,FQ767)/5,0)*5,""),"")</f>
        <v>2245</v>
      </c>
      <c r="FW767" s="101" t="str">
        <f t="shared" si="406"/>
        <v>专属强化石2</v>
      </c>
      <c r="FX767" s="101">
        <f t="shared" si="407"/>
        <v>3</v>
      </c>
      <c r="FY767" s="101" t="str">
        <f t="shared" si="408"/>
        <v>专属强化石3</v>
      </c>
      <c r="FZ767" s="101">
        <f t="shared" si="409"/>
        <v>2</v>
      </c>
      <c r="GA767" s="101">
        <f t="shared" si="414"/>
        <v>0.2</v>
      </c>
      <c r="GB767" s="101">
        <f t="shared" si="415"/>
        <v>1</v>
      </c>
      <c r="GC767" s="101">
        <f t="shared" si="416"/>
        <v>7</v>
      </c>
      <c r="GD767" s="101">
        <f t="shared" si="417"/>
        <v>0</v>
      </c>
      <c r="GE767" s="101">
        <f t="shared" si="418"/>
        <v>1</v>
      </c>
      <c r="GF767" s="101">
        <f t="shared" si="419"/>
        <v>2</v>
      </c>
      <c r="GG767" s="101">
        <f t="shared" si="420"/>
        <v>0.1012</v>
      </c>
      <c r="GH767" s="101">
        <f t="shared" si="421"/>
        <v>1</v>
      </c>
      <c r="GI767" s="101">
        <f t="shared" si="422"/>
        <v>3</v>
      </c>
      <c r="GJ767" s="101">
        <f t="shared" si="423"/>
        <v>0.40479999999999999</v>
      </c>
      <c r="GK767" s="101">
        <f t="shared" si="424"/>
        <v>1</v>
      </c>
      <c r="GL767" s="101">
        <f t="shared" si="425"/>
        <v>7</v>
      </c>
    </row>
    <row r="768" spans="170:194" ht="16.5" x14ac:dyDescent="0.2">
      <c r="FN768" s="101">
        <v>763</v>
      </c>
      <c r="FO768" s="101">
        <f t="shared" si="410"/>
        <v>38</v>
      </c>
      <c r="FP768" s="101">
        <f t="shared" si="403"/>
        <v>10</v>
      </c>
      <c r="FQ768" s="14">
        <f t="shared" si="404"/>
        <v>4</v>
      </c>
      <c r="FR768" s="101" t="str">
        <f t="shared" si="411"/>
        <v>张飞专属武器-魂珠-5 2级</v>
      </c>
      <c r="FS768" s="101">
        <f t="shared" si="412"/>
        <v>5</v>
      </c>
      <c r="FT768" s="101">
        <f t="shared" si="413"/>
        <v>2</v>
      </c>
      <c r="FU768" s="101" t="str">
        <f t="shared" si="405"/>
        <v>金币</v>
      </c>
      <c r="FV768" s="139">
        <f>IF($FT768&gt;0,IF(INDEX($EI$6:$EI$77,$FO768)&gt;=FV$3,ROUND(INDEX(EK$6:EK$77,$FO768)*INDEX(卡牌消耗!$B$8:$F$8,FQ768)/5,0)*5,""),"")</f>
        <v>1685</v>
      </c>
      <c r="FW768" s="101" t="str">
        <f t="shared" si="406"/>
        <v>专属强化石2</v>
      </c>
      <c r="FX768" s="101">
        <f t="shared" si="407"/>
        <v>3</v>
      </c>
      <c r="FY768" s="101" t="str">
        <f t="shared" si="408"/>
        <v>专属强化石3</v>
      </c>
      <c r="FZ768" s="101">
        <f t="shared" si="409"/>
        <v>2</v>
      </c>
      <c r="GA768" s="101">
        <f t="shared" si="414"/>
        <v>0.1</v>
      </c>
      <c r="GB768" s="101">
        <f t="shared" si="415"/>
        <v>1</v>
      </c>
      <c r="GC768" s="101">
        <f t="shared" si="416"/>
        <v>15</v>
      </c>
      <c r="GD768" s="101">
        <f t="shared" si="417"/>
        <v>0</v>
      </c>
      <c r="GE768" s="101">
        <f t="shared" si="418"/>
        <v>1</v>
      </c>
      <c r="GF768" s="101">
        <f t="shared" si="419"/>
        <v>3</v>
      </c>
      <c r="GG768" s="101">
        <f t="shared" si="420"/>
        <v>5.0599999999999999E-2</v>
      </c>
      <c r="GH768" s="101">
        <f t="shared" si="421"/>
        <v>1</v>
      </c>
      <c r="GI768" s="101">
        <f t="shared" si="422"/>
        <v>7</v>
      </c>
      <c r="GJ768" s="101">
        <f t="shared" si="423"/>
        <v>0.2024</v>
      </c>
      <c r="GK768" s="101">
        <f t="shared" si="424"/>
        <v>1</v>
      </c>
      <c r="GL768" s="101">
        <f t="shared" si="425"/>
        <v>15</v>
      </c>
    </row>
    <row r="769" spans="170:194" ht="16.5" x14ac:dyDescent="0.2">
      <c r="FN769" s="101">
        <v>764</v>
      </c>
      <c r="FO769" s="101">
        <f t="shared" si="410"/>
        <v>39</v>
      </c>
      <c r="FP769" s="101">
        <f t="shared" si="403"/>
        <v>10</v>
      </c>
      <c r="FQ769" s="14">
        <f t="shared" si="404"/>
        <v>4</v>
      </c>
      <c r="FR769" s="101" t="str">
        <f t="shared" si="411"/>
        <v>张飞专属武器-魂珠-5 3级</v>
      </c>
      <c r="FS769" s="101">
        <f t="shared" si="412"/>
        <v>5</v>
      </c>
      <c r="FT769" s="101">
        <f t="shared" si="413"/>
        <v>3</v>
      </c>
      <c r="FU769" s="101" t="str">
        <f t="shared" si="405"/>
        <v>金币</v>
      </c>
      <c r="FV769" s="139">
        <f>IF($FT769&gt;0,IF(INDEX($EI$6:$EI$77,$FO769)&gt;=FV$3,ROUND(INDEX(EK$6:EK$77,$FO769)*INDEX(卡牌消耗!$B$8:$F$8,FQ769)/5,0)*5,""),"")</f>
        <v>1870</v>
      </c>
      <c r="FW769" s="101" t="str">
        <f t="shared" si="406"/>
        <v>专属强化石2</v>
      </c>
      <c r="FX769" s="101">
        <f t="shared" si="407"/>
        <v>3</v>
      </c>
      <c r="FY769" s="101" t="str">
        <f t="shared" si="408"/>
        <v>专属强化石3</v>
      </c>
      <c r="FZ769" s="101">
        <f t="shared" si="409"/>
        <v>2</v>
      </c>
      <c r="GA769" s="101">
        <f t="shared" si="414"/>
        <v>7.0000000000000007E-2</v>
      </c>
      <c r="GB769" s="101">
        <f t="shared" si="415"/>
        <v>1</v>
      </c>
      <c r="GC769" s="101">
        <f t="shared" si="416"/>
        <v>22</v>
      </c>
      <c r="GD769" s="101">
        <f t="shared" si="417"/>
        <v>0</v>
      </c>
      <c r="GE769" s="101">
        <f t="shared" si="418"/>
        <v>1</v>
      </c>
      <c r="GF769" s="101">
        <f t="shared" si="419"/>
        <v>5</v>
      </c>
      <c r="GG769" s="101">
        <f t="shared" si="420"/>
        <v>3.3700000000000001E-2</v>
      </c>
      <c r="GH769" s="101">
        <f t="shared" si="421"/>
        <v>1</v>
      </c>
      <c r="GI769" s="101">
        <f t="shared" si="422"/>
        <v>10</v>
      </c>
      <c r="GJ769" s="101">
        <f t="shared" si="423"/>
        <v>0.13489999999999999</v>
      </c>
      <c r="GK769" s="101">
        <f t="shared" si="424"/>
        <v>1</v>
      </c>
      <c r="GL769" s="101">
        <f t="shared" si="425"/>
        <v>22</v>
      </c>
    </row>
    <row r="770" spans="170:194" ht="16.5" x14ac:dyDescent="0.2">
      <c r="FN770" s="101">
        <v>765</v>
      </c>
      <c r="FO770" s="101">
        <f t="shared" si="410"/>
        <v>40</v>
      </c>
      <c r="FP770" s="101">
        <f t="shared" si="403"/>
        <v>10</v>
      </c>
      <c r="FQ770" s="14">
        <f t="shared" si="404"/>
        <v>4</v>
      </c>
      <c r="FR770" s="101" t="str">
        <f t="shared" si="411"/>
        <v>张飞专属武器-魂珠-5 4级</v>
      </c>
      <c r="FS770" s="101">
        <f t="shared" si="412"/>
        <v>5</v>
      </c>
      <c r="FT770" s="101">
        <f t="shared" si="413"/>
        <v>4</v>
      </c>
      <c r="FU770" s="101" t="str">
        <f t="shared" si="405"/>
        <v>金币</v>
      </c>
      <c r="FV770" s="139">
        <f>IF($FT770&gt;0,IF(INDEX($EI$6:$EI$77,$FO770)&gt;=FV$3,ROUND(INDEX(EK$6:EK$77,$FO770)*INDEX(卡牌消耗!$B$8:$F$8,FQ770)/5,0)*5,""),"")</f>
        <v>2695</v>
      </c>
      <c r="FW770" s="101" t="str">
        <f t="shared" si="406"/>
        <v>专属强化石2</v>
      </c>
      <c r="FX770" s="101">
        <f t="shared" si="407"/>
        <v>5</v>
      </c>
      <c r="FY770" s="101" t="str">
        <f t="shared" si="408"/>
        <v>专属强化石3</v>
      </c>
      <c r="FZ770" s="101">
        <f t="shared" si="409"/>
        <v>3</v>
      </c>
      <c r="GA770" s="101">
        <f t="shared" si="414"/>
        <v>0.06</v>
      </c>
      <c r="GB770" s="101">
        <f t="shared" si="415"/>
        <v>1</v>
      </c>
      <c r="GC770" s="101">
        <f t="shared" si="416"/>
        <v>25</v>
      </c>
      <c r="GD770" s="101">
        <f t="shared" si="417"/>
        <v>0</v>
      </c>
      <c r="GE770" s="101">
        <f t="shared" si="418"/>
        <v>1</v>
      </c>
      <c r="GF770" s="101">
        <f t="shared" si="419"/>
        <v>6</v>
      </c>
      <c r="GG770" s="101">
        <f t="shared" si="420"/>
        <v>3.04E-2</v>
      </c>
      <c r="GH770" s="101">
        <f t="shared" si="421"/>
        <v>1</v>
      </c>
      <c r="GI770" s="101">
        <f t="shared" si="422"/>
        <v>12</v>
      </c>
      <c r="GJ770" s="101">
        <f t="shared" si="423"/>
        <v>0.12139999999999999</v>
      </c>
      <c r="GK770" s="101">
        <f t="shared" si="424"/>
        <v>1</v>
      </c>
      <c r="GL770" s="101">
        <f t="shared" si="425"/>
        <v>25</v>
      </c>
    </row>
    <row r="771" spans="170:194" ht="16.5" x14ac:dyDescent="0.2">
      <c r="FN771" s="101">
        <v>766</v>
      </c>
      <c r="FO771" s="101">
        <f t="shared" si="410"/>
        <v>41</v>
      </c>
      <c r="FP771" s="101">
        <f t="shared" si="403"/>
        <v>10</v>
      </c>
      <c r="FQ771" s="14">
        <f t="shared" si="404"/>
        <v>4</v>
      </c>
      <c r="FR771" s="101" t="str">
        <f t="shared" si="411"/>
        <v>张飞专属武器-魂珠-5 5级</v>
      </c>
      <c r="FS771" s="101">
        <f t="shared" si="412"/>
        <v>5</v>
      </c>
      <c r="FT771" s="101">
        <f t="shared" si="413"/>
        <v>5</v>
      </c>
      <c r="FU771" s="101" t="str">
        <f t="shared" si="405"/>
        <v>金币</v>
      </c>
      <c r="FV771" s="139">
        <f>IF($FT771&gt;0,IF(INDEX($EI$6:$EI$77,$FO771)&gt;=FV$3,ROUND(INDEX(EK$6:EK$77,$FO771)*INDEX(卡牌消耗!$B$8:$F$8,FQ771)/5,0)*5,""),"")</f>
        <v>2735</v>
      </c>
      <c r="FW771" s="101" t="str">
        <f t="shared" si="406"/>
        <v>专属强化石2</v>
      </c>
      <c r="FX771" s="101">
        <f t="shared" si="407"/>
        <v>5</v>
      </c>
      <c r="FY771" s="101" t="str">
        <f t="shared" si="408"/>
        <v>专属强化石3</v>
      </c>
      <c r="FZ771" s="101">
        <f t="shared" si="409"/>
        <v>3</v>
      </c>
      <c r="GA771" s="101">
        <f t="shared" si="414"/>
        <v>0.04</v>
      </c>
      <c r="GB771" s="101">
        <f t="shared" si="415"/>
        <v>1</v>
      </c>
      <c r="GC771" s="101">
        <f t="shared" si="416"/>
        <v>40</v>
      </c>
      <c r="GD771" s="101">
        <f t="shared" si="417"/>
        <v>0</v>
      </c>
      <c r="GE771" s="101">
        <f t="shared" si="418"/>
        <v>1</v>
      </c>
      <c r="GF771" s="101">
        <f t="shared" si="419"/>
        <v>9</v>
      </c>
      <c r="GG771" s="101">
        <f t="shared" si="420"/>
        <v>1.9E-2</v>
      </c>
      <c r="GH771" s="101">
        <f t="shared" si="421"/>
        <v>1</v>
      </c>
      <c r="GI771" s="101">
        <f t="shared" si="422"/>
        <v>18</v>
      </c>
      <c r="GJ771" s="101">
        <f t="shared" si="423"/>
        <v>7.5899999999999995E-2</v>
      </c>
      <c r="GK771" s="101">
        <f t="shared" si="424"/>
        <v>1</v>
      </c>
      <c r="GL771" s="101">
        <f t="shared" si="425"/>
        <v>40</v>
      </c>
    </row>
    <row r="772" spans="170:194" ht="16.5" x14ac:dyDescent="0.2">
      <c r="FN772" s="101">
        <v>767</v>
      </c>
      <c r="FO772" s="101">
        <f t="shared" si="410"/>
        <v>42</v>
      </c>
      <c r="FP772" s="101">
        <f t="shared" si="403"/>
        <v>10</v>
      </c>
      <c r="FQ772" s="14">
        <f t="shared" si="404"/>
        <v>4</v>
      </c>
      <c r="FR772" s="101" t="str">
        <f t="shared" si="411"/>
        <v>张飞专属武器-魂珠-5 6级</v>
      </c>
      <c r="FS772" s="101">
        <f t="shared" si="412"/>
        <v>5</v>
      </c>
      <c r="FT772" s="101">
        <f t="shared" si="413"/>
        <v>6</v>
      </c>
      <c r="FU772" s="101" t="str">
        <f t="shared" si="405"/>
        <v>金币</v>
      </c>
      <c r="FV772" s="139">
        <f>IF($FT772&gt;0,IF(INDEX($EI$6:$EI$77,$FO772)&gt;=FV$3,ROUND(INDEX(EK$6:EK$77,$FO772)*INDEX(卡牌消耗!$B$8:$F$8,FQ772)/5,0)*5,""),"")</f>
        <v>4530</v>
      </c>
      <c r="FW772" s="101" t="str">
        <f t="shared" si="406"/>
        <v>专属强化石2</v>
      </c>
      <c r="FX772" s="101">
        <f t="shared" si="407"/>
        <v>8</v>
      </c>
      <c r="FY772" s="101" t="str">
        <f t="shared" si="408"/>
        <v>专属强化石3</v>
      </c>
      <c r="FZ772" s="101">
        <f t="shared" si="409"/>
        <v>5</v>
      </c>
      <c r="GA772" s="101">
        <f t="shared" si="414"/>
        <v>0.04</v>
      </c>
      <c r="GB772" s="101">
        <f t="shared" si="415"/>
        <v>1</v>
      </c>
      <c r="GC772" s="101">
        <f t="shared" si="416"/>
        <v>39</v>
      </c>
      <c r="GD772" s="101">
        <f t="shared" si="417"/>
        <v>0</v>
      </c>
      <c r="GE772" s="101">
        <f t="shared" si="418"/>
        <v>1</v>
      </c>
      <c r="GF772" s="101">
        <f t="shared" si="419"/>
        <v>9</v>
      </c>
      <c r="GG772" s="101">
        <f t="shared" si="420"/>
        <v>1.95E-2</v>
      </c>
      <c r="GH772" s="101">
        <f t="shared" si="421"/>
        <v>1</v>
      </c>
      <c r="GI772" s="101">
        <f t="shared" si="422"/>
        <v>18</v>
      </c>
      <c r="GJ772" s="101">
        <f t="shared" si="423"/>
        <v>7.7799999999999994E-2</v>
      </c>
      <c r="GK772" s="101">
        <f t="shared" si="424"/>
        <v>1</v>
      </c>
      <c r="GL772" s="101">
        <f t="shared" si="425"/>
        <v>39</v>
      </c>
    </row>
    <row r="773" spans="170:194" ht="16.5" x14ac:dyDescent="0.2">
      <c r="FN773" s="101">
        <v>768</v>
      </c>
      <c r="FO773" s="101">
        <f t="shared" si="410"/>
        <v>43</v>
      </c>
      <c r="FP773" s="101">
        <f t="shared" si="403"/>
        <v>10</v>
      </c>
      <c r="FQ773" s="14">
        <f t="shared" si="404"/>
        <v>4</v>
      </c>
      <c r="FR773" s="101" t="str">
        <f t="shared" si="411"/>
        <v>张飞专属武器-魂珠-5 7级</v>
      </c>
      <c r="FS773" s="101">
        <f t="shared" si="412"/>
        <v>5</v>
      </c>
      <c r="FT773" s="101">
        <f t="shared" si="413"/>
        <v>7</v>
      </c>
      <c r="FU773" s="101" t="str">
        <f t="shared" si="405"/>
        <v>金币</v>
      </c>
      <c r="FV773" s="139">
        <f>IF($FT773&gt;0,IF(INDEX($EI$6:$EI$77,$FO773)&gt;=FV$3,ROUND(INDEX(EK$6:EK$77,$FO773)*INDEX(卡牌消耗!$B$8:$F$8,FQ773)/5,0)*5,""),"")</f>
        <v>4540</v>
      </c>
      <c r="FW773" s="101" t="str">
        <f t="shared" si="406"/>
        <v>专属强化石2</v>
      </c>
      <c r="FX773" s="101">
        <f t="shared" si="407"/>
        <v>8</v>
      </c>
      <c r="FY773" s="101" t="str">
        <f t="shared" si="408"/>
        <v>专属强化石3</v>
      </c>
      <c r="FZ773" s="101">
        <f t="shared" si="409"/>
        <v>5</v>
      </c>
      <c r="GA773" s="101">
        <f t="shared" si="414"/>
        <v>0.02</v>
      </c>
      <c r="GB773" s="101">
        <f t="shared" si="415"/>
        <v>1</v>
      </c>
      <c r="GC773" s="101">
        <f t="shared" si="416"/>
        <v>62</v>
      </c>
      <c r="GD773" s="101">
        <f t="shared" si="417"/>
        <v>0</v>
      </c>
      <c r="GE773" s="101">
        <f t="shared" si="418"/>
        <v>1</v>
      </c>
      <c r="GF773" s="101">
        <f t="shared" si="419"/>
        <v>15</v>
      </c>
      <c r="GG773" s="101">
        <f t="shared" si="420"/>
        <v>1.2E-2</v>
      </c>
      <c r="GH773" s="101">
        <f t="shared" si="421"/>
        <v>1</v>
      </c>
      <c r="GI773" s="101">
        <f t="shared" si="422"/>
        <v>29</v>
      </c>
      <c r="GJ773" s="101">
        <f t="shared" si="423"/>
        <v>4.82E-2</v>
      </c>
      <c r="GK773" s="101">
        <f t="shared" si="424"/>
        <v>1</v>
      </c>
      <c r="GL773" s="101">
        <f t="shared" si="425"/>
        <v>62</v>
      </c>
    </row>
    <row r="774" spans="170:194" ht="16.5" x14ac:dyDescent="0.2">
      <c r="FN774" s="101">
        <v>769</v>
      </c>
      <c r="FO774" s="101">
        <f t="shared" si="410"/>
        <v>44</v>
      </c>
      <c r="FP774" s="101">
        <f t="shared" si="403"/>
        <v>10</v>
      </c>
      <c r="FQ774" s="14">
        <f t="shared" si="404"/>
        <v>4</v>
      </c>
      <c r="FR774" s="101" t="str">
        <f t="shared" si="411"/>
        <v>张飞专属武器-魂珠-5 8级</v>
      </c>
      <c r="FS774" s="101">
        <f t="shared" si="412"/>
        <v>5</v>
      </c>
      <c r="FT774" s="101">
        <f t="shared" si="413"/>
        <v>8</v>
      </c>
      <c r="FU774" s="101" t="str">
        <f t="shared" si="405"/>
        <v>金币</v>
      </c>
      <c r="FV774" s="139">
        <f>IF($FT774&gt;0,IF(INDEX($EI$6:$EI$77,$FO774)&gt;=FV$3,ROUND(INDEX(EK$6:EK$77,$FO774)*INDEX(卡牌消耗!$B$8:$F$8,FQ774)/5,0)*5,""),"")</f>
        <v>6350</v>
      </c>
      <c r="FW774" s="101" t="str">
        <f t="shared" si="406"/>
        <v>专属强化石2</v>
      </c>
      <c r="FX774" s="101">
        <f t="shared" si="407"/>
        <v>11</v>
      </c>
      <c r="FY774" s="101" t="str">
        <f t="shared" si="408"/>
        <v>专属强化石3</v>
      </c>
      <c r="FZ774" s="101">
        <f t="shared" si="409"/>
        <v>7</v>
      </c>
      <c r="GA774" s="101">
        <f t="shared" si="414"/>
        <v>0.02</v>
      </c>
      <c r="GB774" s="101">
        <f t="shared" si="415"/>
        <v>1</v>
      </c>
      <c r="GC774" s="101">
        <f t="shared" si="416"/>
        <v>72</v>
      </c>
      <c r="GD774" s="101">
        <f t="shared" si="417"/>
        <v>0</v>
      </c>
      <c r="GE774" s="101">
        <f t="shared" si="418"/>
        <v>1</v>
      </c>
      <c r="GF774" s="101">
        <f t="shared" si="419"/>
        <v>17</v>
      </c>
      <c r="GG774" s="101">
        <f t="shared" si="420"/>
        <v>1.04E-2</v>
      </c>
      <c r="GH774" s="101">
        <f t="shared" si="421"/>
        <v>1</v>
      </c>
      <c r="GI774" s="101">
        <f t="shared" si="422"/>
        <v>34</v>
      </c>
      <c r="GJ774" s="101">
        <f t="shared" si="423"/>
        <v>4.1700000000000001E-2</v>
      </c>
      <c r="GK774" s="101">
        <f t="shared" si="424"/>
        <v>1</v>
      </c>
      <c r="GL774" s="101">
        <f t="shared" si="425"/>
        <v>72</v>
      </c>
    </row>
    <row r="775" spans="170:194" ht="16.5" x14ac:dyDescent="0.2">
      <c r="FN775" s="101">
        <v>770</v>
      </c>
      <c r="FO775" s="101">
        <f t="shared" si="410"/>
        <v>45</v>
      </c>
      <c r="FP775" s="101">
        <f t="shared" ref="FP775:FP838" si="426">INT((FN775-1)/80+1)</f>
        <v>10</v>
      </c>
      <c r="FQ775" s="14">
        <f t="shared" ref="FQ775:FQ838" si="427">INDEX($FJ$6:$FJ$26,FP775)</f>
        <v>4</v>
      </c>
      <c r="FR775" s="101" t="str">
        <f t="shared" si="411"/>
        <v>张飞专属武器-魂珠-5 9级</v>
      </c>
      <c r="FS775" s="101">
        <f t="shared" si="412"/>
        <v>5</v>
      </c>
      <c r="FT775" s="101">
        <f t="shared" si="413"/>
        <v>9</v>
      </c>
      <c r="FU775" s="101" t="str">
        <f t="shared" ref="FU775:FU838" si="428">IF($FT775&gt;0,IF(INDEX($EI$6:$EI$77,$FO775)&gt;=FU$3,INDEX(EJ$6:EJ$77,$FO775),""),"")</f>
        <v>金币</v>
      </c>
      <c r="FV775" s="139">
        <f>IF($FT775&gt;0,IF(INDEX($EI$6:$EI$77,$FO775)&gt;=FV$3,ROUND(INDEX(EK$6:EK$77,$FO775)*INDEX(卡牌消耗!$B$8:$F$8,FQ775)/5,0)*5,""),"")</f>
        <v>8170</v>
      </c>
      <c r="FW775" s="101" t="str">
        <f t="shared" ref="FW775:FW838" si="429">IF($FT775&gt;0,IF(INDEX($EI$6:$EI$77,$FO775)&gt;=FW$3,INDEX(EL$6:EL$77,$FO775),""),"")</f>
        <v>专属强化石2</v>
      </c>
      <c r="FX775" s="101">
        <f t="shared" ref="FX775:FX838" si="430">IF($FT775&gt;0,IF(INDEX($EI$6:$EI$77,$FO775)&gt;=FX$3,INDEX(EM$6:EM$77,$FO775),""),"")</f>
        <v>14</v>
      </c>
      <c r="FY775" s="101" t="str">
        <f t="shared" ref="FY775:FY838" si="431">IF($FT775&gt;0,IF(INDEX($EI$6:$EI$77,$FO775)&gt;=FY$3,INDEX(EN$6:EN$77,$FO775),""),"")</f>
        <v>专属强化石3</v>
      </c>
      <c r="FZ775" s="101">
        <f t="shared" ref="FZ775:FZ838" si="432">IF($FT775&gt;0,IF(INDEX($EI$6:$EI$77,$FO775)&gt;=FZ$3,INDEX(EO$6:EO$77,$FO775),""),"")</f>
        <v>9</v>
      </c>
      <c r="GA775" s="101">
        <f t="shared" si="414"/>
        <v>0.02</v>
      </c>
      <c r="GB775" s="101">
        <f t="shared" si="415"/>
        <v>1</v>
      </c>
      <c r="GC775" s="101">
        <f t="shared" si="416"/>
        <v>91</v>
      </c>
      <c r="GD775" s="101">
        <f t="shared" si="417"/>
        <v>0</v>
      </c>
      <c r="GE775" s="101">
        <f t="shared" si="418"/>
        <v>1</v>
      </c>
      <c r="GF775" s="101">
        <f t="shared" si="419"/>
        <v>21</v>
      </c>
      <c r="GG775" s="101">
        <f t="shared" si="420"/>
        <v>8.3000000000000001E-3</v>
      </c>
      <c r="GH775" s="101">
        <f t="shared" si="421"/>
        <v>1</v>
      </c>
      <c r="GI775" s="101">
        <f t="shared" si="422"/>
        <v>42</v>
      </c>
      <c r="GJ775" s="101">
        <f t="shared" si="423"/>
        <v>3.3099999999999997E-2</v>
      </c>
      <c r="GK775" s="101">
        <f t="shared" si="424"/>
        <v>1</v>
      </c>
      <c r="GL775" s="101">
        <f t="shared" si="425"/>
        <v>91</v>
      </c>
    </row>
    <row r="776" spans="170:194" ht="16.5" x14ac:dyDescent="0.2">
      <c r="FN776" s="101">
        <v>771</v>
      </c>
      <c r="FO776" s="101">
        <f t="shared" si="410"/>
        <v>0</v>
      </c>
      <c r="FP776" s="101">
        <f t="shared" si="426"/>
        <v>10</v>
      </c>
      <c r="FQ776" s="14">
        <f t="shared" si="427"/>
        <v>4</v>
      </c>
      <c r="FR776" s="101" t="str">
        <f t="shared" si="411"/>
        <v>张飞专属武器-魂珠-6 0级</v>
      </c>
      <c r="FS776" s="101">
        <f t="shared" si="412"/>
        <v>6</v>
      </c>
      <c r="FT776" s="101">
        <f t="shared" si="413"/>
        <v>0</v>
      </c>
      <c r="FU776" s="101" t="str">
        <f t="shared" si="428"/>
        <v/>
      </c>
      <c r="FV776" s="139" t="str">
        <f>IF($FT776&gt;0,IF(INDEX($EI$6:$EI$77,$FO776)&gt;=FV$3,ROUND(INDEX(EK$6:EK$77,$FO776)*INDEX(卡牌消耗!$B$8:$F$8,FQ776)/5,0)*5,""),"")</f>
        <v/>
      </c>
      <c r="FW776" s="101" t="str">
        <f t="shared" si="429"/>
        <v/>
      </c>
      <c r="FX776" s="101" t="str">
        <f t="shared" si="430"/>
        <v/>
      </c>
      <c r="FY776" s="101" t="str">
        <f t="shared" si="431"/>
        <v/>
      </c>
      <c r="FZ776" s="101" t="str">
        <f t="shared" si="432"/>
        <v/>
      </c>
      <c r="GA776" s="101" t="str">
        <f t="shared" si="414"/>
        <v/>
      </c>
      <c r="GB776" s="101" t="str">
        <f t="shared" si="415"/>
        <v/>
      </c>
      <c r="GC776" s="101" t="str">
        <f t="shared" si="416"/>
        <v/>
      </c>
      <c r="GD776" s="101" t="str">
        <f t="shared" si="417"/>
        <v/>
      </c>
      <c r="GE776" s="101" t="str">
        <f t="shared" si="418"/>
        <v/>
      </c>
      <c r="GF776" s="101" t="str">
        <f t="shared" si="419"/>
        <v/>
      </c>
      <c r="GG776" s="101" t="str">
        <f t="shared" si="420"/>
        <v/>
      </c>
      <c r="GH776" s="101" t="str">
        <f t="shared" si="421"/>
        <v/>
      </c>
      <c r="GI776" s="101" t="str">
        <f t="shared" si="422"/>
        <v/>
      </c>
      <c r="GJ776" s="101" t="str">
        <f t="shared" si="423"/>
        <v/>
      </c>
      <c r="GK776" s="101" t="str">
        <f t="shared" si="424"/>
        <v/>
      </c>
      <c r="GL776" s="101" t="str">
        <f t="shared" si="425"/>
        <v/>
      </c>
    </row>
    <row r="777" spans="170:194" ht="16.5" x14ac:dyDescent="0.2">
      <c r="FN777" s="101">
        <v>772</v>
      </c>
      <c r="FO777" s="101">
        <f t="shared" si="410"/>
        <v>46</v>
      </c>
      <c r="FP777" s="101">
        <f t="shared" si="426"/>
        <v>10</v>
      </c>
      <c r="FQ777" s="14">
        <f t="shared" si="427"/>
        <v>4</v>
      </c>
      <c r="FR777" s="101" t="str">
        <f t="shared" si="411"/>
        <v>张飞专属武器-魂珠-6 1级</v>
      </c>
      <c r="FS777" s="101">
        <f t="shared" si="412"/>
        <v>6</v>
      </c>
      <c r="FT777" s="101">
        <f t="shared" si="413"/>
        <v>1</v>
      </c>
      <c r="FU777" s="101" t="str">
        <f t="shared" si="428"/>
        <v>金币</v>
      </c>
      <c r="FV777" s="139">
        <f>IF($FT777&gt;0,IF(INDEX($EI$6:$EI$77,$FO777)&gt;=FV$3,ROUND(INDEX(EK$6:EK$77,$FO777)*INDEX(卡牌消耗!$B$8:$F$8,FQ777)/5,0)*5,""),"")</f>
        <v>2180</v>
      </c>
      <c r="FW777" s="101" t="str">
        <f t="shared" si="429"/>
        <v>专属强化石3</v>
      </c>
      <c r="FX777" s="101">
        <f t="shared" si="430"/>
        <v>5</v>
      </c>
      <c r="FY777" s="101" t="str">
        <f t="shared" si="431"/>
        <v>专属强化石4</v>
      </c>
      <c r="FZ777" s="101">
        <f t="shared" si="432"/>
        <v>1</v>
      </c>
      <c r="GA777" s="101">
        <f t="shared" si="414"/>
        <v>0.17</v>
      </c>
      <c r="GB777" s="101">
        <f t="shared" si="415"/>
        <v>1</v>
      </c>
      <c r="GC777" s="101">
        <f t="shared" si="416"/>
        <v>9</v>
      </c>
      <c r="GD777" s="101">
        <f t="shared" si="417"/>
        <v>0</v>
      </c>
      <c r="GE777" s="101">
        <f t="shared" si="418"/>
        <v>1</v>
      </c>
      <c r="GF777" s="101">
        <f t="shared" si="419"/>
        <v>2</v>
      </c>
      <c r="GG777" s="101">
        <f t="shared" si="420"/>
        <v>8.2900000000000001E-2</v>
      </c>
      <c r="GH777" s="101">
        <f t="shared" si="421"/>
        <v>1</v>
      </c>
      <c r="GI777" s="101">
        <f t="shared" si="422"/>
        <v>4</v>
      </c>
      <c r="GJ777" s="101">
        <f t="shared" si="423"/>
        <v>0.33139999999999997</v>
      </c>
      <c r="GK777" s="101">
        <f t="shared" si="424"/>
        <v>1</v>
      </c>
      <c r="GL777" s="101">
        <f t="shared" si="425"/>
        <v>9</v>
      </c>
    </row>
    <row r="778" spans="170:194" ht="16.5" x14ac:dyDescent="0.2">
      <c r="FN778" s="101">
        <v>773</v>
      </c>
      <c r="FO778" s="101">
        <f t="shared" si="410"/>
        <v>47</v>
      </c>
      <c r="FP778" s="101">
        <f t="shared" si="426"/>
        <v>10</v>
      </c>
      <c r="FQ778" s="14">
        <f t="shared" si="427"/>
        <v>4</v>
      </c>
      <c r="FR778" s="101" t="str">
        <f t="shared" si="411"/>
        <v>张飞专属武器-魂珠-6 2级</v>
      </c>
      <c r="FS778" s="101">
        <f t="shared" si="412"/>
        <v>6</v>
      </c>
      <c r="FT778" s="101">
        <f t="shared" si="413"/>
        <v>2</v>
      </c>
      <c r="FU778" s="101" t="str">
        <f t="shared" si="428"/>
        <v>金币</v>
      </c>
      <c r="FV778" s="139">
        <f>IF($FT778&gt;0,IF(INDEX($EI$6:$EI$77,$FO778)&gt;=FV$3,ROUND(INDEX(EK$6:EK$77,$FO778)*INDEX(卡牌消耗!$B$8:$F$8,FQ778)/5,0)*5,""),"")</f>
        <v>3270</v>
      </c>
      <c r="FW778" s="101" t="str">
        <f t="shared" si="429"/>
        <v>专属强化石3</v>
      </c>
      <c r="FX778" s="101">
        <f t="shared" si="430"/>
        <v>10</v>
      </c>
      <c r="FY778" s="101" t="str">
        <f t="shared" si="431"/>
        <v>专属强化石4</v>
      </c>
      <c r="FZ778" s="101">
        <f t="shared" si="432"/>
        <v>2</v>
      </c>
      <c r="GA778" s="101">
        <f t="shared" si="414"/>
        <v>0.17</v>
      </c>
      <c r="GB778" s="101">
        <f t="shared" si="415"/>
        <v>1</v>
      </c>
      <c r="GC778" s="101">
        <f t="shared" si="416"/>
        <v>9</v>
      </c>
      <c r="GD778" s="101">
        <f t="shared" si="417"/>
        <v>0</v>
      </c>
      <c r="GE778" s="101">
        <f t="shared" si="418"/>
        <v>1</v>
      </c>
      <c r="GF778" s="101">
        <f t="shared" si="419"/>
        <v>2</v>
      </c>
      <c r="GG778" s="101">
        <f t="shared" si="420"/>
        <v>8.2900000000000001E-2</v>
      </c>
      <c r="GH778" s="101">
        <f t="shared" si="421"/>
        <v>1</v>
      </c>
      <c r="GI778" s="101">
        <f t="shared" si="422"/>
        <v>4</v>
      </c>
      <c r="GJ778" s="101">
        <f t="shared" si="423"/>
        <v>0.33139999999999997</v>
      </c>
      <c r="GK778" s="101">
        <f t="shared" si="424"/>
        <v>1</v>
      </c>
      <c r="GL778" s="101">
        <f t="shared" si="425"/>
        <v>9</v>
      </c>
    </row>
    <row r="779" spans="170:194" ht="16.5" x14ac:dyDescent="0.2">
      <c r="FN779" s="101">
        <v>774</v>
      </c>
      <c r="FO779" s="101">
        <f t="shared" si="410"/>
        <v>48</v>
      </c>
      <c r="FP779" s="101">
        <f t="shared" si="426"/>
        <v>10</v>
      </c>
      <c r="FQ779" s="14">
        <f t="shared" si="427"/>
        <v>4</v>
      </c>
      <c r="FR779" s="101" t="str">
        <f t="shared" si="411"/>
        <v>张飞专属武器-魂珠-6 3级</v>
      </c>
      <c r="FS779" s="101">
        <f t="shared" si="412"/>
        <v>6</v>
      </c>
      <c r="FT779" s="101">
        <f t="shared" si="413"/>
        <v>3</v>
      </c>
      <c r="FU779" s="101" t="str">
        <f t="shared" si="428"/>
        <v>金币</v>
      </c>
      <c r="FV779" s="139">
        <f>IF($FT779&gt;0,IF(INDEX($EI$6:$EI$77,$FO779)&gt;=FV$3,ROUND(INDEX(EK$6:EK$77,$FO779)*INDEX(卡牌消耗!$B$8:$F$8,FQ779)/5,0)*5,""),"")</f>
        <v>3635</v>
      </c>
      <c r="FW779" s="101" t="str">
        <f t="shared" si="429"/>
        <v>专属强化石3</v>
      </c>
      <c r="FX779" s="101">
        <f t="shared" si="430"/>
        <v>10</v>
      </c>
      <c r="FY779" s="101" t="str">
        <f t="shared" si="431"/>
        <v>专属强化石4</v>
      </c>
      <c r="FZ779" s="101">
        <f t="shared" si="432"/>
        <v>2</v>
      </c>
      <c r="GA779" s="101">
        <f t="shared" si="414"/>
        <v>0.11</v>
      </c>
      <c r="GB779" s="101">
        <f t="shared" si="415"/>
        <v>1</v>
      </c>
      <c r="GC779" s="101">
        <f t="shared" si="416"/>
        <v>14</v>
      </c>
      <c r="GD779" s="101">
        <f t="shared" si="417"/>
        <v>0</v>
      </c>
      <c r="GE779" s="101">
        <f t="shared" si="418"/>
        <v>1</v>
      </c>
      <c r="GF779" s="101">
        <f t="shared" si="419"/>
        <v>3</v>
      </c>
      <c r="GG779" s="101">
        <f t="shared" si="420"/>
        <v>5.5199999999999999E-2</v>
      </c>
      <c r="GH779" s="101">
        <f t="shared" si="421"/>
        <v>1</v>
      </c>
      <c r="GI779" s="101">
        <f t="shared" si="422"/>
        <v>6</v>
      </c>
      <c r="GJ779" s="101">
        <f t="shared" si="423"/>
        <v>0.221</v>
      </c>
      <c r="GK779" s="101">
        <f t="shared" si="424"/>
        <v>1</v>
      </c>
      <c r="GL779" s="101">
        <f t="shared" si="425"/>
        <v>14</v>
      </c>
    </row>
    <row r="780" spans="170:194" ht="16.5" x14ac:dyDescent="0.2">
      <c r="FN780" s="101">
        <v>775</v>
      </c>
      <c r="FO780" s="101">
        <f t="shared" si="410"/>
        <v>49</v>
      </c>
      <c r="FP780" s="101">
        <f t="shared" si="426"/>
        <v>10</v>
      </c>
      <c r="FQ780" s="14">
        <f t="shared" si="427"/>
        <v>4</v>
      </c>
      <c r="FR780" s="101" t="str">
        <f t="shared" si="411"/>
        <v>张飞专属武器-魂珠-6 4级</v>
      </c>
      <c r="FS780" s="101">
        <f t="shared" si="412"/>
        <v>6</v>
      </c>
      <c r="FT780" s="101">
        <f t="shared" si="413"/>
        <v>4</v>
      </c>
      <c r="FU780" s="101" t="str">
        <f t="shared" si="428"/>
        <v>金币</v>
      </c>
      <c r="FV780" s="139">
        <f>IF($FT780&gt;0,IF(INDEX($EI$6:$EI$77,$FO780)&gt;=FV$3,ROUND(INDEX(EK$6:EK$77,$FO780)*INDEX(卡牌消耗!$B$8:$F$8,FQ780)/5,0)*5,""),"")</f>
        <v>5235</v>
      </c>
      <c r="FW780" s="101" t="str">
        <f t="shared" si="429"/>
        <v>专属强化石3</v>
      </c>
      <c r="FX780" s="101">
        <f t="shared" si="430"/>
        <v>15</v>
      </c>
      <c r="FY780" s="101" t="str">
        <f t="shared" si="431"/>
        <v>专属强化石4</v>
      </c>
      <c r="FZ780" s="101">
        <f t="shared" si="432"/>
        <v>3</v>
      </c>
      <c r="GA780" s="101">
        <f t="shared" si="414"/>
        <v>0.1</v>
      </c>
      <c r="GB780" s="101">
        <f t="shared" si="415"/>
        <v>1</v>
      </c>
      <c r="GC780" s="101">
        <f t="shared" si="416"/>
        <v>15</v>
      </c>
      <c r="GD780" s="101">
        <f t="shared" si="417"/>
        <v>0</v>
      </c>
      <c r="GE780" s="101">
        <f t="shared" si="418"/>
        <v>1</v>
      </c>
      <c r="GF780" s="101">
        <f t="shared" si="419"/>
        <v>4</v>
      </c>
      <c r="GG780" s="101">
        <f t="shared" si="420"/>
        <v>4.9700000000000001E-2</v>
      </c>
      <c r="GH780" s="101">
        <f t="shared" si="421"/>
        <v>1</v>
      </c>
      <c r="GI780" s="101">
        <f t="shared" si="422"/>
        <v>7</v>
      </c>
      <c r="GJ780" s="101">
        <f t="shared" si="423"/>
        <v>0.19889999999999999</v>
      </c>
      <c r="GK780" s="101">
        <f t="shared" si="424"/>
        <v>1</v>
      </c>
      <c r="GL780" s="101">
        <f t="shared" si="425"/>
        <v>15</v>
      </c>
    </row>
    <row r="781" spans="170:194" ht="16.5" x14ac:dyDescent="0.2">
      <c r="FN781" s="101">
        <v>776</v>
      </c>
      <c r="FO781" s="101">
        <f t="shared" si="410"/>
        <v>50</v>
      </c>
      <c r="FP781" s="101">
        <f t="shared" si="426"/>
        <v>10</v>
      </c>
      <c r="FQ781" s="14">
        <f t="shared" si="427"/>
        <v>4</v>
      </c>
      <c r="FR781" s="101" t="str">
        <f t="shared" si="411"/>
        <v>张飞专属武器-魂珠-6 5级</v>
      </c>
      <c r="FS781" s="101">
        <f t="shared" si="412"/>
        <v>6</v>
      </c>
      <c r="FT781" s="101">
        <f t="shared" si="413"/>
        <v>5</v>
      </c>
      <c r="FU781" s="101" t="str">
        <f t="shared" si="428"/>
        <v>金币</v>
      </c>
      <c r="FV781" s="139">
        <f>IF($FT781&gt;0,IF(INDEX($EI$6:$EI$77,$FO781)&gt;=FV$3,ROUND(INDEX(EK$6:EK$77,$FO781)*INDEX(卡牌消耗!$B$8:$F$8,FQ781)/5,0)*5,""),"")</f>
        <v>5315</v>
      </c>
      <c r="FW781" s="101" t="str">
        <f t="shared" si="429"/>
        <v>专属强化石3</v>
      </c>
      <c r="FX781" s="101">
        <f t="shared" si="430"/>
        <v>15</v>
      </c>
      <c r="FY781" s="101" t="str">
        <f t="shared" si="431"/>
        <v>专属强化石4</v>
      </c>
      <c r="FZ781" s="101">
        <f t="shared" si="432"/>
        <v>3</v>
      </c>
      <c r="GA781" s="101">
        <f t="shared" si="414"/>
        <v>0.06</v>
      </c>
      <c r="GB781" s="101">
        <f t="shared" si="415"/>
        <v>1</v>
      </c>
      <c r="GC781" s="101">
        <f t="shared" si="416"/>
        <v>24</v>
      </c>
      <c r="GD781" s="101">
        <f t="shared" si="417"/>
        <v>0</v>
      </c>
      <c r="GE781" s="101">
        <f t="shared" si="418"/>
        <v>1</v>
      </c>
      <c r="GF781" s="101">
        <f t="shared" si="419"/>
        <v>6</v>
      </c>
      <c r="GG781" s="101">
        <f t="shared" si="420"/>
        <v>3.1099999999999999E-2</v>
      </c>
      <c r="GH781" s="101">
        <f t="shared" si="421"/>
        <v>1</v>
      </c>
      <c r="GI781" s="101">
        <f t="shared" si="422"/>
        <v>11</v>
      </c>
      <c r="GJ781" s="101">
        <f t="shared" si="423"/>
        <v>0.12429999999999999</v>
      </c>
      <c r="GK781" s="101">
        <f t="shared" si="424"/>
        <v>1</v>
      </c>
      <c r="GL781" s="101">
        <f t="shared" si="425"/>
        <v>24</v>
      </c>
    </row>
    <row r="782" spans="170:194" ht="16.5" x14ac:dyDescent="0.2">
      <c r="FN782" s="101">
        <v>777</v>
      </c>
      <c r="FO782" s="101">
        <f t="shared" si="410"/>
        <v>51</v>
      </c>
      <c r="FP782" s="101">
        <f t="shared" si="426"/>
        <v>10</v>
      </c>
      <c r="FQ782" s="14">
        <f t="shared" si="427"/>
        <v>4</v>
      </c>
      <c r="FR782" s="101" t="str">
        <f t="shared" si="411"/>
        <v>张飞专属武器-魂珠-6 6级</v>
      </c>
      <c r="FS782" s="101">
        <f t="shared" si="412"/>
        <v>6</v>
      </c>
      <c r="FT782" s="101">
        <f t="shared" si="413"/>
        <v>6</v>
      </c>
      <c r="FU782" s="101" t="str">
        <f t="shared" si="428"/>
        <v>金币</v>
      </c>
      <c r="FV782" s="139">
        <f>IF($FT782&gt;0,IF(INDEX($EI$6:$EI$77,$FO782)&gt;=FV$3,ROUND(INDEX(EK$6:EK$77,$FO782)*INDEX(卡牌消耗!$B$8:$F$8,FQ782)/5,0)*5,""),"")</f>
        <v>7045</v>
      </c>
      <c r="FW782" s="101" t="str">
        <f t="shared" si="429"/>
        <v>专属强化石3</v>
      </c>
      <c r="FX782" s="101">
        <f t="shared" si="430"/>
        <v>20</v>
      </c>
      <c r="FY782" s="101" t="str">
        <f t="shared" si="431"/>
        <v>专属强化石4</v>
      </c>
      <c r="FZ782" s="101">
        <f t="shared" si="432"/>
        <v>4</v>
      </c>
      <c r="GA782" s="101">
        <f t="shared" si="414"/>
        <v>0.05</v>
      </c>
      <c r="GB782" s="101">
        <f t="shared" si="415"/>
        <v>1</v>
      </c>
      <c r="GC782" s="101">
        <f t="shared" si="416"/>
        <v>29</v>
      </c>
      <c r="GD782" s="101">
        <f t="shared" si="417"/>
        <v>0</v>
      </c>
      <c r="GE782" s="101">
        <f t="shared" si="418"/>
        <v>1</v>
      </c>
      <c r="GF782" s="101">
        <f t="shared" si="419"/>
        <v>7</v>
      </c>
      <c r="GG782" s="101">
        <f t="shared" si="420"/>
        <v>2.5499999999999998E-2</v>
      </c>
      <c r="GH782" s="101">
        <f t="shared" si="421"/>
        <v>1</v>
      </c>
      <c r="GI782" s="101">
        <f t="shared" si="422"/>
        <v>14</v>
      </c>
      <c r="GJ782" s="101">
        <f t="shared" si="423"/>
        <v>0.10199999999999999</v>
      </c>
      <c r="GK782" s="101">
        <f t="shared" si="424"/>
        <v>1</v>
      </c>
      <c r="GL782" s="101">
        <f t="shared" si="425"/>
        <v>29</v>
      </c>
    </row>
    <row r="783" spans="170:194" ht="16.5" x14ac:dyDescent="0.2">
      <c r="FN783" s="101">
        <v>778</v>
      </c>
      <c r="FO783" s="101">
        <f t="shared" si="410"/>
        <v>52</v>
      </c>
      <c r="FP783" s="101">
        <f t="shared" si="426"/>
        <v>10</v>
      </c>
      <c r="FQ783" s="14">
        <f t="shared" si="427"/>
        <v>4</v>
      </c>
      <c r="FR783" s="101" t="str">
        <f t="shared" si="411"/>
        <v>张飞专属武器-魂珠-6 7级</v>
      </c>
      <c r="FS783" s="101">
        <f t="shared" si="412"/>
        <v>6</v>
      </c>
      <c r="FT783" s="101">
        <f t="shared" si="413"/>
        <v>7</v>
      </c>
      <c r="FU783" s="101" t="str">
        <f t="shared" si="428"/>
        <v>金币</v>
      </c>
      <c r="FV783" s="139">
        <f>IF($FT783&gt;0,IF(INDEX($EI$6:$EI$77,$FO783)&gt;=FV$3,ROUND(INDEX(EK$6:EK$77,$FO783)*INDEX(卡牌消耗!$B$8:$F$8,FQ783)/5,0)*5,""),"")</f>
        <v>8830</v>
      </c>
      <c r="FW783" s="101" t="str">
        <f t="shared" si="429"/>
        <v>专属强化石3</v>
      </c>
      <c r="FX783" s="101">
        <f t="shared" si="430"/>
        <v>25</v>
      </c>
      <c r="FY783" s="101" t="str">
        <f t="shared" si="431"/>
        <v>专属强化石4</v>
      </c>
      <c r="FZ783" s="101">
        <f t="shared" si="432"/>
        <v>5</v>
      </c>
      <c r="GA783" s="101">
        <f t="shared" si="414"/>
        <v>0.04</v>
      </c>
      <c r="GB783" s="101">
        <f t="shared" si="415"/>
        <v>1</v>
      </c>
      <c r="GC783" s="101">
        <f t="shared" si="416"/>
        <v>38</v>
      </c>
      <c r="GD783" s="101">
        <f t="shared" si="417"/>
        <v>0</v>
      </c>
      <c r="GE783" s="101">
        <f t="shared" si="418"/>
        <v>1</v>
      </c>
      <c r="GF783" s="101">
        <f t="shared" si="419"/>
        <v>9</v>
      </c>
      <c r="GG783" s="101">
        <f t="shared" si="420"/>
        <v>1.9699999999999999E-2</v>
      </c>
      <c r="GH783" s="101">
        <f t="shared" si="421"/>
        <v>1</v>
      </c>
      <c r="GI783" s="101">
        <f t="shared" si="422"/>
        <v>18</v>
      </c>
      <c r="GJ783" s="101">
        <f t="shared" si="423"/>
        <v>7.8899999999999998E-2</v>
      </c>
      <c r="GK783" s="101">
        <f t="shared" si="424"/>
        <v>1</v>
      </c>
      <c r="GL783" s="101">
        <f t="shared" si="425"/>
        <v>38</v>
      </c>
    </row>
    <row r="784" spans="170:194" ht="16.5" x14ac:dyDescent="0.2">
      <c r="FN784" s="101">
        <v>779</v>
      </c>
      <c r="FO784" s="101">
        <f t="shared" si="410"/>
        <v>53</v>
      </c>
      <c r="FP784" s="101">
        <f t="shared" si="426"/>
        <v>10</v>
      </c>
      <c r="FQ784" s="14">
        <f t="shared" si="427"/>
        <v>4</v>
      </c>
      <c r="FR784" s="101" t="str">
        <f t="shared" si="411"/>
        <v>张飞专属武器-魂珠-6 8级</v>
      </c>
      <c r="FS784" s="101">
        <f t="shared" si="412"/>
        <v>6</v>
      </c>
      <c r="FT784" s="101">
        <f t="shared" si="413"/>
        <v>8</v>
      </c>
      <c r="FU784" s="101" t="str">
        <f t="shared" si="428"/>
        <v>金币</v>
      </c>
      <c r="FV784" s="139">
        <f>IF($FT784&gt;0,IF(INDEX($EI$6:$EI$77,$FO784)&gt;=FV$3,ROUND(INDEX(EK$6:EK$77,$FO784)*INDEX(卡牌消耗!$B$8:$F$8,FQ784)/5,0)*5,""),"")</f>
        <v>12350</v>
      </c>
      <c r="FW784" s="101" t="str">
        <f t="shared" si="429"/>
        <v>专属强化石3</v>
      </c>
      <c r="FX784" s="101">
        <f t="shared" si="430"/>
        <v>35</v>
      </c>
      <c r="FY784" s="101" t="str">
        <f t="shared" si="431"/>
        <v>专属强化石4</v>
      </c>
      <c r="FZ784" s="101">
        <f t="shared" si="432"/>
        <v>7</v>
      </c>
      <c r="GA784" s="101">
        <f t="shared" si="414"/>
        <v>0.03</v>
      </c>
      <c r="GB784" s="101">
        <f t="shared" si="415"/>
        <v>1</v>
      </c>
      <c r="GC784" s="101">
        <f t="shared" si="416"/>
        <v>44</v>
      </c>
      <c r="GD784" s="101">
        <f t="shared" si="417"/>
        <v>0</v>
      </c>
      <c r="GE784" s="101">
        <f t="shared" si="418"/>
        <v>1</v>
      </c>
      <c r="GF784" s="101">
        <f t="shared" si="419"/>
        <v>10</v>
      </c>
      <c r="GG784" s="101">
        <f t="shared" si="420"/>
        <v>1.7100000000000001E-2</v>
      </c>
      <c r="GH784" s="101">
        <f t="shared" si="421"/>
        <v>1</v>
      </c>
      <c r="GI784" s="101">
        <f t="shared" si="422"/>
        <v>21</v>
      </c>
      <c r="GJ784" s="101">
        <f t="shared" si="423"/>
        <v>6.8199999999999997E-2</v>
      </c>
      <c r="GK784" s="101">
        <f t="shared" si="424"/>
        <v>1</v>
      </c>
      <c r="GL784" s="101">
        <f t="shared" si="425"/>
        <v>44</v>
      </c>
    </row>
    <row r="785" spans="170:194" ht="16.5" x14ac:dyDescent="0.2">
      <c r="FN785" s="101">
        <v>780</v>
      </c>
      <c r="FO785" s="101">
        <f t="shared" si="410"/>
        <v>54</v>
      </c>
      <c r="FP785" s="101">
        <f t="shared" si="426"/>
        <v>10</v>
      </c>
      <c r="FQ785" s="14">
        <f t="shared" si="427"/>
        <v>4</v>
      </c>
      <c r="FR785" s="101" t="str">
        <f t="shared" si="411"/>
        <v>张飞专属武器-魂珠-6 9级</v>
      </c>
      <c r="FS785" s="101">
        <f t="shared" si="412"/>
        <v>6</v>
      </c>
      <c r="FT785" s="101">
        <f t="shared" si="413"/>
        <v>9</v>
      </c>
      <c r="FU785" s="101" t="str">
        <f t="shared" si="428"/>
        <v>金币</v>
      </c>
      <c r="FV785" s="139">
        <f>IF($FT785&gt;0,IF(INDEX($EI$6:$EI$77,$FO785)&gt;=FV$3,ROUND(INDEX(EK$6:EK$77,$FO785)*INDEX(卡牌消耗!$B$8:$F$8,FQ785)/5,0)*5,""),"")</f>
        <v>14120</v>
      </c>
      <c r="FW785" s="101" t="str">
        <f t="shared" si="429"/>
        <v>专属强化石3</v>
      </c>
      <c r="FX785" s="101">
        <f t="shared" si="430"/>
        <v>40</v>
      </c>
      <c r="FY785" s="101" t="str">
        <f t="shared" si="431"/>
        <v>专属强化石4</v>
      </c>
      <c r="FZ785" s="101">
        <f t="shared" si="432"/>
        <v>8</v>
      </c>
      <c r="GA785" s="101">
        <f t="shared" si="414"/>
        <v>0.02</v>
      </c>
      <c r="GB785" s="101">
        <f t="shared" si="415"/>
        <v>1</v>
      </c>
      <c r="GC785" s="101">
        <f t="shared" si="416"/>
        <v>62</v>
      </c>
      <c r="GD785" s="101">
        <f t="shared" si="417"/>
        <v>0</v>
      </c>
      <c r="GE785" s="101">
        <f t="shared" si="418"/>
        <v>1</v>
      </c>
      <c r="GF785" s="101">
        <f t="shared" si="419"/>
        <v>15</v>
      </c>
      <c r="GG785" s="101">
        <f t="shared" si="420"/>
        <v>1.21E-2</v>
      </c>
      <c r="GH785" s="101">
        <f t="shared" si="421"/>
        <v>1</v>
      </c>
      <c r="GI785" s="101">
        <f t="shared" si="422"/>
        <v>29</v>
      </c>
      <c r="GJ785" s="101">
        <f t="shared" si="423"/>
        <v>4.82E-2</v>
      </c>
      <c r="GK785" s="101">
        <f t="shared" si="424"/>
        <v>1</v>
      </c>
      <c r="GL785" s="101">
        <f t="shared" si="425"/>
        <v>62</v>
      </c>
    </row>
    <row r="786" spans="170:194" ht="16.5" x14ac:dyDescent="0.2">
      <c r="FN786" s="101">
        <v>781</v>
      </c>
      <c r="FO786" s="101">
        <f t="shared" si="410"/>
        <v>0</v>
      </c>
      <c r="FP786" s="101">
        <f t="shared" si="426"/>
        <v>10</v>
      </c>
      <c r="FQ786" s="14">
        <f t="shared" si="427"/>
        <v>4</v>
      </c>
      <c r="FR786" s="101" t="str">
        <f t="shared" si="411"/>
        <v>张飞专属武器-魂珠-7 0级</v>
      </c>
      <c r="FS786" s="101">
        <f t="shared" si="412"/>
        <v>7</v>
      </c>
      <c r="FT786" s="101">
        <f t="shared" si="413"/>
        <v>0</v>
      </c>
      <c r="FU786" s="101" t="str">
        <f t="shared" si="428"/>
        <v/>
      </c>
      <c r="FV786" s="139" t="str">
        <f>IF($FT786&gt;0,IF(INDEX($EI$6:$EI$77,$FO786)&gt;=FV$3,ROUND(INDEX(EK$6:EK$77,$FO786)*INDEX(卡牌消耗!$B$8:$F$8,FQ786)/5,0)*5,""),"")</f>
        <v/>
      </c>
      <c r="FW786" s="101" t="str">
        <f t="shared" si="429"/>
        <v/>
      </c>
      <c r="FX786" s="101" t="str">
        <f t="shared" si="430"/>
        <v/>
      </c>
      <c r="FY786" s="101" t="str">
        <f t="shared" si="431"/>
        <v/>
      </c>
      <c r="FZ786" s="101" t="str">
        <f t="shared" si="432"/>
        <v/>
      </c>
      <c r="GA786" s="101" t="str">
        <f t="shared" si="414"/>
        <v/>
      </c>
      <c r="GB786" s="101" t="str">
        <f t="shared" si="415"/>
        <v/>
      </c>
      <c r="GC786" s="101" t="str">
        <f t="shared" si="416"/>
        <v/>
      </c>
      <c r="GD786" s="101" t="str">
        <f t="shared" si="417"/>
        <v/>
      </c>
      <c r="GE786" s="101" t="str">
        <f t="shared" si="418"/>
        <v/>
      </c>
      <c r="GF786" s="101" t="str">
        <f t="shared" si="419"/>
        <v/>
      </c>
      <c r="GG786" s="101" t="str">
        <f t="shared" si="420"/>
        <v/>
      </c>
      <c r="GH786" s="101" t="str">
        <f t="shared" si="421"/>
        <v/>
      </c>
      <c r="GI786" s="101" t="str">
        <f t="shared" si="422"/>
        <v/>
      </c>
      <c r="GJ786" s="101" t="str">
        <f t="shared" si="423"/>
        <v/>
      </c>
      <c r="GK786" s="101" t="str">
        <f t="shared" si="424"/>
        <v/>
      </c>
      <c r="GL786" s="101" t="str">
        <f t="shared" si="425"/>
        <v/>
      </c>
    </row>
    <row r="787" spans="170:194" ht="16.5" x14ac:dyDescent="0.2">
      <c r="FN787" s="101">
        <v>782</v>
      </c>
      <c r="FO787" s="101">
        <f t="shared" si="410"/>
        <v>55</v>
      </c>
      <c r="FP787" s="101">
        <f t="shared" si="426"/>
        <v>10</v>
      </c>
      <c r="FQ787" s="14">
        <f t="shared" si="427"/>
        <v>4</v>
      </c>
      <c r="FR787" s="101" t="str">
        <f t="shared" si="411"/>
        <v>张飞专属武器-魂珠-7 1级</v>
      </c>
      <c r="FS787" s="101">
        <f t="shared" si="412"/>
        <v>7</v>
      </c>
      <c r="FT787" s="101">
        <f t="shared" si="413"/>
        <v>1</v>
      </c>
      <c r="FU787" s="101" t="str">
        <f t="shared" si="428"/>
        <v>金币</v>
      </c>
      <c r="FV787" s="139">
        <f>IF($FT787&gt;0,IF(INDEX($EI$6:$EI$77,$FO787)&gt;=FV$3,ROUND(INDEX(EK$6:EK$77,$FO787)*INDEX(卡牌消耗!$B$8:$F$8,FQ787)/5,0)*5,""),"")</f>
        <v>18130</v>
      </c>
      <c r="FW787" s="101" t="str">
        <f t="shared" si="429"/>
        <v>专属强化石3</v>
      </c>
      <c r="FX787" s="101">
        <f t="shared" si="430"/>
        <v>6</v>
      </c>
      <c r="FY787" s="101" t="str">
        <f t="shared" si="431"/>
        <v>专属强化石4</v>
      </c>
      <c r="FZ787" s="101">
        <f t="shared" si="432"/>
        <v>2</v>
      </c>
      <c r="GA787" s="101">
        <f t="shared" si="414"/>
        <v>0.2</v>
      </c>
      <c r="GB787" s="101">
        <f t="shared" si="415"/>
        <v>1</v>
      </c>
      <c r="GC787" s="101">
        <f t="shared" si="416"/>
        <v>8</v>
      </c>
      <c r="GD787" s="101">
        <f t="shared" si="417"/>
        <v>0</v>
      </c>
      <c r="GE787" s="101">
        <f t="shared" si="418"/>
        <v>1</v>
      </c>
      <c r="GF787" s="101">
        <f t="shared" si="419"/>
        <v>2</v>
      </c>
      <c r="GG787" s="101">
        <f t="shared" si="420"/>
        <v>9.9400000000000002E-2</v>
      </c>
      <c r="GH787" s="101">
        <f t="shared" si="421"/>
        <v>1</v>
      </c>
      <c r="GI787" s="101">
        <f t="shared" si="422"/>
        <v>4</v>
      </c>
      <c r="GJ787" s="101">
        <f t="shared" si="423"/>
        <v>0.3977</v>
      </c>
      <c r="GK787" s="101">
        <f t="shared" si="424"/>
        <v>1</v>
      </c>
      <c r="GL787" s="101">
        <f t="shared" si="425"/>
        <v>8</v>
      </c>
    </row>
    <row r="788" spans="170:194" ht="16.5" x14ac:dyDescent="0.2">
      <c r="FN788" s="101">
        <v>783</v>
      </c>
      <c r="FO788" s="101">
        <f t="shared" si="410"/>
        <v>56</v>
      </c>
      <c r="FP788" s="101">
        <f t="shared" si="426"/>
        <v>10</v>
      </c>
      <c r="FQ788" s="14">
        <f t="shared" si="427"/>
        <v>4</v>
      </c>
      <c r="FR788" s="101" t="str">
        <f t="shared" si="411"/>
        <v>张飞专属武器-魂珠-7 2级</v>
      </c>
      <c r="FS788" s="101">
        <f t="shared" si="412"/>
        <v>7</v>
      </c>
      <c r="FT788" s="101">
        <f t="shared" si="413"/>
        <v>2</v>
      </c>
      <c r="FU788" s="101" t="str">
        <f t="shared" si="428"/>
        <v>金币</v>
      </c>
      <c r="FV788" s="139">
        <f>IF($FT788&gt;0,IF(INDEX($EI$6:$EI$77,$FO788)&gt;=FV$3,ROUND(INDEX(EK$6:EK$77,$FO788)*INDEX(卡牌消耗!$B$8:$F$8,FQ788)/5,0)*5,""),"")</f>
        <v>13600</v>
      </c>
      <c r="FW788" s="101" t="str">
        <f t="shared" si="429"/>
        <v>专属强化石3</v>
      </c>
      <c r="FX788" s="101">
        <f t="shared" si="430"/>
        <v>6</v>
      </c>
      <c r="FY788" s="101" t="str">
        <f t="shared" si="431"/>
        <v>专属强化石4</v>
      </c>
      <c r="FZ788" s="101">
        <f t="shared" si="432"/>
        <v>2</v>
      </c>
      <c r="GA788" s="101">
        <f t="shared" si="414"/>
        <v>0.1</v>
      </c>
      <c r="GB788" s="101">
        <f t="shared" si="415"/>
        <v>1</v>
      </c>
      <c r="GC788" s="101">
        <f t="shared" si="416"/>
        <v>15</v>
      </c>
      <c r="GD788" s="101">
        <f t="shared" si="417"/>
        <v>0</v>
      </c>
      <c r="GE788" s="101">
        <f t="shared" si="418"/>
        <v>1</v>
      </c>
      <c r="GF788" s="101">
        <f t="shared" si="419"/>
        <v>4</v>
      </c>
      <c r="GG788" s="101">
        <f t="shared" si="420"/>
        <v>4.9700000000000001E-2</v>
      </c>
      <c r="GH788" s="101">
        <f t="shared" si="421"/>
        <v>1</v>
      </c>
      <c r="GI788" s="101">
        <f t="shared" si="422"/>
        <v>7</v>
      </c>
      <c r="GJ788" s="101">
        <f t="shared" si="423"/>
        <v>0.19889999999999999</v>
      </c>
      <c r="GK788" s="101">
        <f t="shared" si="424"/>
        <v>1</v>
      </c>
      <c r="GL788" s="101">
        <f t="shared" si="425"/>
        <v>15</v>
      </c>
    </row>
    <row r="789" spans="170:194" ht="16.5" x14ac:dyDescent="0.2">
      <c r="FN789" s="101">
        <v>784</v>
      </c>
      <c r="FO789" s="101">
        <f t="shared" si="410"/>
        <v>57</v>
      </c>
      <c r="FP789" s="101">
        <f t="shared" si="426"/>
        <v>10</v>
      </c>
      <c r="FQ789" s="14">
        <f t="shared" si="427"/>
        <v>4</v>
      </c>
      <c r="FR789" s="101" t="str">
        <f t="shared" si="411"/>
        <v>张飞专属武器-魂珠-7 3级</v>
      </c>
      <c r="FS789" s="101">
        <f t="shared" si="412"/>
        <v>7</v>
      </c>
      <c r="FT789" s="101">
        <f t="shared" si="413"/>
        <v>3</v>
      </c>
      <c r="FU789" s="101" t="str">
        <f t="shared" si="428"/>
        <v>金币</v>
      </c>
      <c r="FV789" s="139">
        <f>IF($FT789&gt;0,IF(INDEX($EI$6:$EI$77,$FO789)&gt;=FV$3,ROUND(INDEX(EK$6:EK$77,$FO789)*INDEX(卡牌消耗!$B$8:$F$8,FQ789)/5,0)*5,""),"")</f>
        <v>22665</v>
      </c>
      <c r="FW789" s="101" t="str">
        <f t="shared" si="429"/>
        <v>专属强化石3</v>
      </c>
      <c r="FX789" s="101">
        <f t="shared" si="430"/>
        <v>9</v>
      </c>
      <c r="FY789" s="101" t="str">
        <f t="shared" si="431"/>
        <v>专属强化石4</v>
      </c>
      <c r="FZ789" s="101">
        <f t="shared" si="432"/>
        <v>3</v>
      </c>
      <c r="GA789" s="101">
        <f t="shared" si="414"/>
        <v>0.1</v>
      </c>
      <c r="GB789" s="101">
        <f t="shared" si="415"/>
        <v>1</v>
      </c>
      <c r="GC789" s="101">
        <f t="shared" si="416"/>
        <v>15</v>
      </c>
      <c r="GD789" s="101">
        <f t="shared" si="417"/>
        <v>0</v>
      </c>
      <c r="GE789" s="101">
        <f t="shared" si="418"/>
        <v>1</v>
      </c>
      <c r="GF789" s="101">
        <f t="shared" si="419"/>
        <v>4</v>
      </c>
      <c r="GG789" s="101">
        <f t="shared" si="420"/>
        <v>4.9700000000000001E-2</v>
      </c>
      <c r="GH789" s="101">
        <f t="shared" si="421"/>
        <v>1</v>
      </c>
      <c r="GI789" s="101">
        <f t="shared" si="422"/>
        <v>7</v>
      </c>
      <c r="GJ789" s="101">
        <f t="shared" si="423"/>
        <v>0.19889999999999999</v>
      </c>
      <c r="GK789" s="101">
        <f t="shared" si="424"/>
        <v>1</v>
      </c>
      <c r="GL789" s="101">
        <f t="shared" si="425"/>
        <v>15</v>
      </c>
    </row>
    <row r="790" spans="170:194" ht="16.5" x14ac:dyDescent="0.2">
      <c r="FN790" s="101">
        <v>785</v>
      </c>
      <c r="FO790" s="101">
        <f t="shared" ref="FO790:FO853" si="433">IF(FT790&gt;0,(FS790-1)*9+FT790,0)</f>
        <v>58</v>
      </c>
      <c r="FP790" s="101">
        <f t="shared" si="426"/>
        <v>10</v>
      </c>
      <c r="FQ790" s="14">
        <f t="shared" si="427"/>
        <v>4</v>
      </c>
      <c r="FR790" s="101" t="str">
        <f t="shared" ref="FR790:FR853" si="434">INDEX($FI$6:$FI$26,FP790)&amp;"专属武器-魂珠-"&amp;FS790&amp;" "&amp;FT790&amp;"级"</f>
        <v>张飞专属武器-魂珠-7 4级</v>
      </c>
      <c r="FS790" s="101">
        <f t="shared" ref="FS790:FS853" si="435">INT((FN790-(FP790-1)*80-1)/10)+1</f>
        <v>7</v>
      </c>
      <c r="FT790" s="101">
        <f t="shared" ref="FT790:FT853" si="436">FN790-(FP790-1)*80-(FS790-1)*10-1</f>
        <v>4</v>
      </c>
      <c r="FU790" s="101" t="str">
        <f t="shared" si="428"/>
        <v>金币</v>
      </c>
      <c r="FV790" s="139">
        <f>IF($FT790&gt;0,IF(INDEX($EI$6:$EI$77,$FO790)&gt;=FV$3,ROUND(INDEX(EK$6:EK$77,$FO790)*INDEX(卡牌消耗!$B$8:$F$8,FQ790)/5,0)*5,""),"")</f>
        <v>29010</v>
      </c>
      <c r="FW790" s="101" t="str">
        <f t="shared" si="429"/>
        <v>专属强化石3</v>
      </c>
      <c r="FX790" s="101">
        <f t="shared" si="430"/>
        <v>12</v>
      </c>
      <c r="FY790" s="101" t="str">
        <f t="shared" si="431"/>
        <v>专属强化石4</v>
      </c>
      <c r="FZ790" s="101">
        <f t="shared" si="432"/>
        <v>4</v>
      </c>
      <c r="GA790" s="101">
        <f t="shared" ref="GA790:GA853" si="437">IF($FT790&gt;0,INDEX(EP$6:EP$77,$FO790),"")</f>
        <v>0.08</v>
      </c>
      <c r="GB790" s="101">
        <f t="shared" ref="GB790:GB853" si="438">IF($FT790&gt;0,INDEX(EQ$6:EQ$77,$FO790),"")</f>
        <v>1</v>
      </c>
      <c r="GC790" s="101">
        <f t="shared" ref="GC790:GC853" si="439">IF($FT790&gt;0,INDEX(ER$6:ER$77,$FO790),"")</f>
        <v>19</v>
      </c>
      <c r="GD790" s="101">
        <f t="shared" ref="GD790:GD853" si="440">IF($FT790&gt;0,INDEX(EV$6:EV$77,$FO790),"")</f>
        <v>0</v>
      </c>
      <c r="GE790" s="101">
        <f t="shared" ref="GE790:GE853" si="441">IF($FT790&gt;0,INDEX(EW$6:EW$77,$FO790),"")</f>
        <v>1</v>
      </c>
      <c r="GF790" s="101">
        <f t="shared" ref="GF790:GF853" si="442">IF($FT790&gt;0,INDEX(EX$6:EX$77,$FO790),"")</f>
        <v>4</v>
      </c>
      <c r="GG790" s="101">
        <f t="shared" ref="GG790:GG853" si="443">IF($FT790&gt;0,INDEX(EY$6:EY$77,$FO790),"")</f>
        <v>3.9800000000000002E-2</v>
      </c>
      <c r="GH790" s="101">
        <f t="shared" ref="GH790:GH853" si="444">IF($FT790&gt;0,INDEX(EZ$6:EZ$77,$FO790),"")</f>
        <v>1</v>
      </c>
      <c r="GI790" s="101">
        <f t="shared" ref="GI790:GI853" si="445">IF($FT790&gt;0,INDEX(FA$6:FA$77,$FO790),"")</f>
        <v>9</v>
      </c>
      <c r="GJ790" s="101">
        <f t="shared" ref="GJ790:GJ853" si="446">IF($FT790&gt;0,INDEX(FB$6:FB$77,$FO790),"")</f>
        <v>0.15909999999999999</v>
      </c>
      <c r="GK790" s="101">
        <f t="shared" ref="GK790:GK853" si="447">IF($FT790&gt;0,INDEX(FC$6:FC$77,$FO790),"")</f>
        <v>1</v>
      </c>
      <c r="GL790" s="101">
        <f t="shared" ref="GL790:GL853" si="448">IF($FT790&gt;0,INDEX(FD$6:FD$77,$FO790),"")</f>
        <v>19</v>
      </c>
    </row>
    <row r="791" spans="170:194" ht="16.5" x14ac:dyDescent="0.2">
      <c r="FN791" s="101">
        <v>786</v>
      </c>
      <c r="FO791" s="101">
        <f t="shared" si="433"/>
        <v>59</v>
      </c>
      <c r="FP791" s="101">
        <f t="shared" si="426"/>
        <v>10</v>
      </c>
      <c r="FQ791" s="14">
        <f t="shared" si="427"/>
        <v>4</v>
      </c>
      <c r="FR791" s="101" t="str">
        <f t="shared" si="434"/>
        <v>张飞专属武器-魂珠-7 5级</v>
      </c>
      <c r="FS791" s="101">
        <f t="shared" si="435"/>
        <v>7</v>
      </c>
      <c r="FT791" s="101">
        <f t="shared" si="436"/>
        <v>5</v>
      </c>
      <c r="FU791" s="101" t="str">
        <f t="shared" si="428"/>
        <v>金币</v>
      </c>
      <c r="FV791" s="139">
        <f>IF($FT791&gt;0,IF(INDEX($EI$6:$EI$77,$FO791)&gt;=FV$3,ROUND(INDEX(EK$6:EK$77,$FO791)*INDEX(卡牌消耗!$B$8:$F$8,FQ791)/5,0)*5,""),"")</f>
        <v>29465</v>
      </c>
      <c r="FW791" s="101" t="str">
        <f t="shared" si="429"/>
        <v>专属强化石3</v>
      </c>
      <c r="FX791" s="101">
        <f t="shared" si="430"/>
        <v>12</v>
      </c>
      <c r="FY791" s="101" t="str">
        <f t="shared" si="431"/>
        <v>专属强化石4</v>
      </c>
      <c r="FZ791" s="101">
        <f t="shared" si="432"/>
        <v>4</v>
      </c>
      <c r="GA791" s="101">
        <f t="shared" si="437"/>
        <v>0.05</v>
      </c>
      <c r="GB791" s="101">
        <f t="shared" si="438"/>
        <v>1</v>
      </c>
      <c r="GC791" s="101">
        <f t="shared" si="439"/>
        <v>30</v>
      </c>
      <c r="GD791" s="101">
        <f t="shared" si="440"/>
        <v>0</v>
      </c>
      <c r="GE791" s="101">
        <f t="shared" si="441"/>
        <v>1</v>
      </c>
      <c r="GF791" s="101">
        <f t="shared" si="442"/>
        <v>7</v>
      </c>
      <c r="GG791" s="101">
        <f t="shared" si="443"/>
        <v>2.4899999999999999E-2</v>
      </c>
      <c r="GH791" s="101">
        <f t="shared" si="444"/>
        <v>1</v>
      </c>
      <c r="GI791" s="101">
        <f t="shared" si="445"/>
        <v>14</v>
      </c>
      <c r="GJ791" s="101">
        <f t="shared" si="446"/>
        <v>9.9400000000000002E-2</v>
      </c>
      <c r="GK791" s="101">
        <f t="shared" si="447"/>
        <v>1</v>
      </c>
      <c r="GL791" s="101">
        <f t="shared" si="448"/>
        <v>30</v>
      </c>
    </row>
    <row r="792" spans="170:194" ht="16.5" x14ac:dyDescent="0.2">
      <c r="FN792" s="101">
        <v>787</v>
      </c>
      <c r="FO792" s="101">
        <f t="shared" si="433"/>
        <v>60</v>
      </c>
      <c r="FP792" s="101">
        <f t="shared" si="426"/>
        <v>10</v>
      </c>
      <c r="FQ792" s="14">
        <f t="shared" si="427"/>
        <v>4</v>
      </c>
      <c r="FR792" s="101" t="str">
        <f t="shared" si="434"/>
        <v>张飞专属武器-魂珠-7 6级</v>
      </c>
      <c r="FS792" s="101">
        <f t="shared" si="435"/>
        <v>7</v>
      </c>
      <c r="FT792" s="101">
        <f t="shared" si="436"/>
        <v>6</v>
      </c>
      <c r="FU792" s="101" t="str">
        <f t="shared" si="428"/>
        <v>金币</v>
      </c>
      <c r="FV792" s="139">
        <f>IF($FT792&gt;0,IF(INDEX($EI$6:$EI$77,$FO792)&gt;=FV$3,ROUND(INDEX(EK$6:EK$77,$FO792)*INDEX(卡牌消耗!$B$8:$F$8,FQ792)/5,0)*5,""),"")</f>
        <v>36610</v>
      </c>
      <c r="FW792" s="101" t="str">
        <f t="shared" si="429"/>
        <v>专属强化石3</v>
      </c>
      <c r="FX792" s="101">
        <f t="shared" si="430"/>
        <v>15</v>
      </c>
      <c r="FY792" s="101" t="str">
        <f t="shared" si="431"/>
        <v>专属强化石4</v>
      </c>
      <c r="FZ792" s="101">
        <f t="shared" si="432"/>
        <v>5</v>
      </c>
      <c r="GA792" s="101">
        <f t="shared" si="437"/>
        <v>0.04</v>
      </c>
      <c r="GB792" s="101">
        <f t="shared" si="438"/>
        <v>1</v>
      </c>
      <c r="GC792" s="101">
        <f t="shared" si="439"/>
        <v>39</v>
      </c>
      <c r="GD792" s="101">
        <f t="shared" si="440"/>
        <v>0</v>
      </c>
      <c r="GE792" s="101">
        <f t="shared" si="441"/>
        <v>1</v>
      </c>
      <c r="GF792" s="101">
        <f t="shared" si="442"/>
        <v>9</v>
      </c>
      <c r="GG792" s="101">
        <f t="shared" si="443"/>
        <v>1.9099999999999999E-2</v>
      </c>
      <c r="GH792" s="101">
        <f t="shared" si="444"/>
        <v>1</v>
      </c>
      <c r="GI792" s="101">
        <f t="shared" si="445"/>
        <v>18</v>
      </c>
      <c r="GJ792" s="101">
        <f t="shared" si="446"/>
        <v>7.6499999999999999E-2</v>
      </c>
      <c r="GK792" s="101">
        <f t="shared" si="447"/>
        <v>1</v>
      </c>
      <c r="GL792" s="101">
        <f t="shared" si="448"/>
        <v>39</v>
      </c>
    </row>
    <row r="793" spans="170:194" ht="16.5" x14ac:dyDescent="0.2">
      <c r="FN793" s="101">
        <v>788</v>
      </c>
      <c r="FO793" s="101">
        <f t="shared" si="433"/>
        <v>61</v>
      </c>
      <c r="FP793" s="101">
        <f t="shared" si="426"/>
        <v>10</v>
      </c>
      <c r="FQ793" s="14">
        <f t="shared" si="427"/>
        <v>4</v>
      </c>
      <c r="FR793" s="101" t="str">
        <f t="shared" si="434"/>
        <v>张飞专属武器-魂珠-7 7级</v>
      </c>
      <c r="FS793" s="101">
        <f t="shared" si="435"/>
        <v>7</v>
      </c>
      <c r="FT793" s="101">
        <f t="shared" si="436"/>
        <v>7</v>
      </c>
      <c r="FU793" s="101" t="str">
        <f t="shared" si="428"/>
        <v>金币</v>
      </c>
      <c r="FV793" s="139">
        <f>IF($FT793&gt;0,IF(INDEX($EI$6:$EI$77,$FO793)&gt;=FV$3,ROUND(INDEX(EK$6:EK$77,$FO793)*INDEX(卡牌消耗!$B$8:$F$8,FQ793)/5,0)*5,""),"")</f>
        <v>51370</v>
      </c>
      <c r="FW793" s="101" t="str">
        <f t="shared" si="429"/>
        <v>专属强化石3</v>
      </c>
      <c r="FX793" s="101">
        <f t="shared" si="430"/>
        <v>21</v>
      </c>
      <c r="FY793" s="101" t="str">
        <f t="shared" si="431"/>
        <v>专属强化石4</v>
      </c>
      <c r="FZ793" s="101">
        <f t="shared" si="432"/>
        <v>7</v>
      </c>
      <c r="GA793" s="101">
        <f t="shared" si="437"/>
        <v>0.03</v>
      </c>
      <c r="GB793" s="101">
        <f t="shared" si="438"/>
        <v>1</v>
      </c>
      <c r="GC793" s="101">
        <f t="shared" si="439"/>
        <v>45</v>
      </c>
      <c r="GD793" s="101">
        <f t="shared" si="440"/>
        <v>0</v>
      </c>
      <c r="GE793" s="101">
        <f t="shared" si="441"/>
        <v>1</v>
      </c>
      <c r="GF793" s="101">
        <f t="shared" si="442"/>
        <v>11</v>
      </c>
      <c r="GG793" s="101">
        <f t="shared" si="443"/>
        <v>1.66E-2</v>
      </c>
      <c r="GH793" s="101">
        <f t="shared" si="444"/>
        <v>1</v>
      </c>
      <c r="GI793" s="101">
        <f t="shared" si="445"/>
        <v>21</v>
      </c>
      <c r="GJ793" s="101">
        <f t="shared" si="446"/>
        <v>6.6299999999999998E-2</v>
      </c>
      <c r="GK793" s="101">
        <f t="shared" si="447"/>
        <v>1</v>
      </c>
      <c r="GL793" s="101">
        <f t="shared" si="448"/>
        <v>45</v>
      </c>
    </row>
    <row r="794" spans="170:194" ht="16.5" x14ac:dyDescent="0.2">
      <c r="FN794" s="101">
        <v>789</v>
      </c>
      <c r="FO794" s="101">
        <f t="shared" si="433"/>
        <v>62</v>
      </c>
      <c r="FP794" s="101">
        <f t="shared" si="426"/>
        <v>10</v>
      </c>
      <c r="FQ794" s="14">
        <f t="shared" si="427"/>
        <v>4</v>
      </c>
      <c r="FR794" s="101" t="str">
        <f t="shared" si="434"/>
        <v>张飞专属武器-魂珠-7 8级</v>
      </c>
      <c r="FS794" s="101">
        <f t="shared" si="435"/>
        <v>7</v>
      </c>
      <c r="FT794" s="101">
        <f t="shared" si="436"/>
        <v>8</v>
      </c>
      <c r="FU794" s="101" t="str">
        <f t="shared" si="428"/>
        <v>金币</v>
      </c>
      <c r="FV794" s="139">
        <f>IF($FT794&gt;0,IF(INDEX($EI$6:$EI$77,$FO794)&gt;=FV$3,ROUND(INDEX(EK$6:EK$77,$FO794)*INDEX(卡牌消耗!$B$8:$F$8,FQ794)/5,0)*5,""),"")</f>
        <v>58660</v>
      </c>
      <c r="FW794" s="101" t="str">
        <f t="shared" si="429"/>
        <v>专属强化石3</v>
      </c>
      <c r="FX794" s="101">
        <f t="shared" si="430"/>
        <v>24</v>
      </c>
      <c r="FY794" s="101" t="str">
        <f t="shared" si="431"/>
        <v>专属强化石4</v>
      </c>
      <c r="FZ794" s="101">
        <f t="shared" si="432"/>
        <v>8</v>
      </c>
      <c r="GA794" s="101">
        <f t="shared" si="437"/>
        <v>0.02</v>
      </c>
      <c r="GB794" s="101">
        <f t="shared" si="438"/>
        <v>1</v>
      </c>
      <c r="GC794" s="101">
        <f t="shared" si="439"/>
        <v>64</v>
      </c>
      <c r="GD794" s="101">
        <f t="shared" si="440"/>
        <v>0</v>
      </c>
      <c r="GE794" s="101">
        <f t="shared" si="441"/>
        <v>1</v>
      </c>
      <c r="GF794" s="101">
        <f t="shared" si="442"/>
        <v>15</v>
      </c>
      <c r="GG794" s="101">
        <f t="shared" si="443"/>
        <v>1.17E-2</v>
      </c>
      <c r="GH794" s="101">
        <f t="shared" si="444"/>
        <v>1</v>
      </c>
      <c r="GI794" s="101">
        <f t="shared" si="445"/>
        <v>30</v>
      </c>
      <c r="GJ794" s="101">
        <f t="shared" si="446"/>
        <v>4.6800000000000001E-2</v>
      </c>
      <c r="GK794" s="101">
        <f t="shared" si="447"/>
        <v>1</v>
      </c>
      <c r="GL794" s="101">
        <f t="shared" si="448"/>
        <v>64</v>
      </c>
    </row>
    <row r="795" spans="170:194" ht="16.5" x14ac:dyDescent="0.2">
      <c r="FN795" s="101">
        <v>790</v>
      </c>
      <c r="FO795" s="101">
        <f t="shared" si="433"/>
        <v>63</v>
      </c>
      <c r="FP795" s="101">
        <f t="shared" si="426"/>
        <v>10</v>
      </c>
      <c r="FQ795" s="14">
        <f t="shared" si="427"/>
        <v>4</v>
      </c>
      <c r="FR795" s="101" t="str">
        <f t="shared" si="434"/>
        <v>张飞专属武器-魂珠-7 9级</v>
      </c>
      <c r="FS795" s="101">
        <f t="shared" si="435"/>
        <v>7</v>
      </c>
      <c r="FT795" s="101">
        <f t="shared" si="436"/>
        <v>9</v>
      </c>
      <c r="FU795" s="101" t="str">
        <f t="shared" si="428"/>
        <v>金币</v>
      </c>
      <c r="FV795" s="139">
        <f>IF($FT795&gt;0,IF(INDEX($EI$6:$EI$77,$FO795)&gt;=FV$3,ROUND(INDEX(EK$6:EK$77,$FO795)*INDEX(卡牌消耗!$B$8:$F$8,FQ795)/5,0)*5,""),"")</f>
        <v>73350</v>
      </c>
      <c r="FW795" s="101" t="str">
        <f t="shared" si="429"/>
        <v>专属强化石3</v>
      </c>
      <c r="FX795" s="101">
        <f t="shared" si="430"/>
        <v>30</v>
      </c>
      <c r="FY795" s="101" t="str">
        <f t="shared" si="431"/>
        <v>专属强化石4</v>
      </c>
      <c r="FZ795" s="101">
        <f t="shared" si="432"/>
        <v>10</v>
      </c>
      <c r="GA795" s="101">
        <f t="shared" si="437"/>
        <v>0.02</v>
      </c>
      <c r="GB795" s="101">
        <f t="shared" si="438"/>
        <v>1</v>
      </c>
      <c r="GC795" s="101">
        <f t="shared" si="439"/>
        <v>83</v>
      </c>
      <c r="GD795" s="101">
        <f t="shared" si="440"/>
        <v>0</v>
      </c>
      <c r="GE795" s="101">
        <f t="shared" si="441"/>
        <v>1</v>
      </c>
      <c r="GF795" s="101">
        <f t="shared" si="442"/>
        <v>19</v>
      </c>
      <c r="GG795" s="101">
        <f t="shared" si="443"/>
        <v>8.9999999999999993E-3</v>
      </c>
      <c r="GH795" s="101">
        <f t="shared" si="444"/>
        <v>1</v>
      </c>
      <c r="GI795" s="101">
        <f t="shared" si="445"/>
        <v>39</v>
      </c>
      <c r="GJ795" s="101">
        <f t="shared" si="446"/>
        <v>3.6200000000000003E-2</v>
      </c>
      <c r="GK795" s="101">
        <f t="shared" si="447"/>
        <v>1</v>
      </c>
      <c r="GL795" s="101">
        <f t="shared" si="448"/>
        <v>83</v>
      </c>
    </row>
    <row r="796" spans="170:194" ht="16.5" x14ac:dyDescent="0.2">
      <c r="FN796" s="101">
        <v>791</v>
      </c>
      <c r="FO796" s="101">
        <f t="shared" si="433"/>
        <v>0</v>
      </c>
      <c r="FP796" s="101">
        <f t="shared" si="426"/>
        <v>10</v>
      </c>
      <c r="FQ796" s="14">
        <f t="shared" si="427"/>
        <v>4</v>
      </c>
      <c r="FR796" s="101" t="str">
        <f t="shared" si="434"/>
        <v>张飞专属武器-魂珠-8 0级</v>
      </c>
      <c r="FS796" s="101">
        <f t="shared" si="435"/>
        <v>8</v>
      </c>
      <c r="FT796" s="101">
        <f t="shared" si="436"/>
        <v>0</v>
      </c>
      <c r="FU796" s="101" t="str">
        <f t="shared" si="428"/>
        <v/>
      </c>
      <c r="FV796" s="139" t="str">
        <f>IF($FT796&gt;0,IF(INDEX($EI$6:$EI$77,$FO796)&gt;=FV$3,ROUND(INDEX(EK$6:EK$77,$FO796)*INDEX(卡牌消耗!$B$8:$F$8,FQ796)/5,0)*5,""),"")</f>
        <v/>
      </c>
      <c r="FW796" s="101" t="str">
        <f t="shared" si="429"/>
        <v/>
      </c>
      <c r="FX796" s="101" t="str">
        <f t="shared" si="430"/>
        <v/>
      </c>
      <c r="FY796" s="101" t="str">
        <f t="shared" si="431"/>
        <v/>
      </c>
      <c r="FZ796" s="101" t="str">
        <f t="shared" si="432"/>
        <v/>
      </c>
      <c r="GA796" s="101" t="str">
        <f t="shared" si="437"/>
        <v/>
      </c>
      <c r="GB796" s="101" t="str">
        <f t="shared" si="438"/>
        <v/>
      </c>
      <c r="GC796" s="101" t="str">
        <f t="shared" si="439"/>
        <v/>
      </c>
      <c r="GD796" s="101" t="str">
        <f t="shared" si="440"/>
        <v/>
      </c>
      <c r="GE796" s="101" t="str">
        <f t="shared" si="441"/>
        <v/>
      </c>
      <c r="GF796" s="101" t="str">
        <f t="shared" si="442"/>
        <v/>
      </c>
      <c r="GG796" s="101" t="str">
        <f t="shared" si="443"/>
        <v/>
      </c>
      <c r="GH796" s="101" t="str">
        <f t="shared" si="444"/>
        <v/>
      </c>
      <c r="GI796" s="101" t="str">
        <f t="shared" si="445"/>
        <v/>
      </c>
      <c r="GJ796" s="101" t="str">
        <f t="shared" si="446"/>
        <v/>
      </c>
      <c r="GK796" s="101" t="str">
        <f t="shared" si="447"/>
        <v/>
      </c>
      <c r="GL796" s="101" t="str">
        <f t="shared" si="448"/>
        <v/>
      </c>
    </row>
    <row r="797" spans="170:194" ht="16.5" x14ac:dyDescent="0.2">
      <c r="FN797" s="101">
        <v>792</v>
      </c>
      <c r="FO797" s="101">
        <f t="shared" si="433"/>
        <v>64</v>
      </c>
      <c r="FP797" s="101">
        <f t="shared" si="426"/>
        <v>10</v>
      </c>
      <c r="FQ797" s="14">
        <f t="shared" si="427"/>
        <v>4</v>
      </c>
      <c r="FR797" s="101" t="str">
        <f t="shared" si="434"/>
        <v>张飞专属武器-魂珠-8 1级</v>
      </c>
      <c r="FS797" s="101">
        <f t="shared" si="435"/>
        <v>8</v>
      </c>
      <c r="FT797" s="101">
        <f t="shared" si="436"/>
        <v>1</v>
      </c>
      <c r="FU797" s="101" t="str">
        <f t="shared" si="428"/>
        <v>金币</v>
      </c>
      <c r="FV797" s="139">
        <f>IF($FT797&gt;0,IF(INDEX($EI$6:$EI$77,$FO797)&gt;=FV$3,ROUND(INDEX(EK$6:EK$77,$FO797)*INDEX(卡牌消耗!$B$8:$F$8,FQ797)/5,0)*5,""),"")</f>
        <v>15455</v>
      </c>
      <c r="FW797" s="101" t="str">
        <f t="shared" si="429"/>
        <v>专属强化石4</v>
      </c>
      <c r="FX797" s="101">
        <f t="shared" si="430"/>
        <v>5</v>
      </c>
      <c r="FY797" s="101" t="str">
        <f t="shared" si="431"/>
        <v/>
      </c>
      <c r="FZ797" s="101" t="str">
        <f t="shared" si="432"/>
        <v/>
      </c>
      <c r="GA797" s="101">
        <f t="shared" si="437"/>
        <v>0.11</v>
      </c>
      <c r="GB797" s="101">
        <f t="shared" si="438"/>
        <v>1</v>
      </c>
      <c r="GC797" s="101">
        <f t="shared" si="439"/>
        <v>13</v>
      </c>
      <c r="GD797" s="101">
        <f t="shared" si="440"/>
        <v>0</v>
      </c>
      <c r="GE797" s="101">
        <f t="shared" si="441"/>
        <v>1</v>
      </c>
      <c r="GF797" s="101">
        <f t="shared" si="442"/>
        <v>3</v>
      </c>
      <c r="GG797" s="101">
        <f t="shared" si="443"/>
        <v>5.6500000000000002E-2</v>
      </c>
      <c r="GH797" s="101">
        <f t="shared" si="444"/>
        <v>1</v>
      </c>
      <c r="GI797" s="101">
        <f t="shared" si="445"/>
        <v>6</v>
      </c>
      <c r="GJ797" s="101">
        <f t="shared" si="446"/>
        <v>0.22600000000000001</v>
      </c>
      <c r="GK797" s="101">
        <f t="shared" si="447"/>
        <v>1</v>
      </c>
      <c r="GL797" s="101">
        <f t="shared" si="448"/>
        <v>13</v>
      </c>
    </row>
    <row r="798" spans="170:194" ht="16.5" x14ac:dyDescent="0.2">
      <c r="FN798" s="101">
        <v>793</v>
      </c>
      <c r="FO798" s="101">
        <f t="shared" si="433"/>
        <v>65</v>
      </c>
      <c r="FP798" s="101">
        <f t="shared" si="426"/>
        <v>10</v>
      </c>
      <c r="FQ798" s="14">
        <f t="shared" si="427"/>
        <v>4</v>
      </c>
      <c r="FR798" s="101" t="str">
        <f t="shared" si="434"/>
        <v>张飞专属武器-魂珠-8 2级</v>
      </c>
      <c r="FS798" s="101">
        <f t="shared" si="435"/>
        <v>8</v>
      </c>
      <c r="FT798" s="101">
        <f t="shared" si="436"/>
        <v>2</v>
      </c>
      <c r="FU798" s="101" t="str">
        <f t="shared" si="428"/>
        <v>金币</v>
      </c>
      <c r="FV798" s="139">
        <f>IF($FT798&gt;0,IF(INDEX($EI$6:$EI$77,$FO798)&gt;=FV$3,ROUND(INDEX(EK$6:EK$77,$FO798)*INDEX(卡牌消耗!$B$8:$F$8,FQ798)/5,0)*5,""),"")</f>
        <v>18545</v>
      </c>
      <c r="FW798" s="101" t="str">
        <f t="shared" si="429"/>
        <v>专属强化石4</v>
      </c>
      <c r="FX798" s="101">
        <f t="shared" si="430"/>
        <v>8</v>
      </c>
      <c r="FY798" s="101" t="str">
        <f t="shared" si="431"/>
        <v/>
      </c>
      <c r="FZ798" s="101" t="str">
        <f t="shared" si="432"/>
        <v/>
      </c>
      <c r="GA798" s="101">
        <f t="shared" si="437"/>
        <v>0.09</v>
      </c>
      <c r="GB798" s="101">
        <f t="shared" si="438"/>
        <v>1</v>
      </c>
      <c r="GC798" s="101">
        <f t="shared" si="439"/>
        <v>17</v>
      </c>
      <c r="GD798" s="101">
        <f t="shared" si="440"/>
        <v>0</v>
      </c>
      <c r="GE798" s="101">
        <f t="shared" si="441"/>
        <v>1</v>
      </c>
      <c r="GF798" s="101">
        <f t="shared" si="442"/>
        <v>4</v>
      </c>
      <c r="GG798" s="101">
        <f t="shared" si="443"/>
        <v>4.5199999999999997E-2</v>
      </c>
      <c r="GH798" s="101">
        <f t="shared" si="444"/>
        <v>1</v>
      </c>
      <c r="GI798" s="101">
        <f t="shared" si="445"/>
        <v>8</v>
      </c>
      <c r="GJ798" s="101">
        <f t="shared" si="446"/>
        <v>0.18079999999999999</v>
      </c>
      <c r="GK798" s="101">
        <f t="shared" si="447"/>
        <v>1</v>
      </c>
      <c r="GL798" s="101">
        <f t="shared" si="448"/>
        <v>17</v>
      </c>
    </row>
    <row r="799" spans="170:194" ht="16.5" x14ac:dyDescent="0.2">
      <c r="FN799" s="101">
        <v>794</v>
      </c>
      <c r="FO799" s="101">
        <f t="shared" si="433"/>
        <v>66</v>
      </c>
      <c r="FP799" s="101">
        <f t="shared" si="426"/>
        <v>10</v>
      </c>
      <c r="FQ799" s="14">
        <f t="shared" si="427"/>
        <v>4</v>
      </c>
      <c r="FR799" s="101" t="str">
        <f t="shared" si="434"/>
        <v>张飞专属武器-魂珠-8 3级</v>
      </c>
      <c r="FS799" s="101">
        <f t="shared" si="435"/>
        <v>8</v>
      </c>
      <c r="FT799" s="101">
        <f t="shared" si="436"/>
        <v>3</v>
      </c>
      <c r="FU799" s="101" t="str">
        <f t="shared" si="428"/>
        <v>金币</v>
      </c>
      <c r="FV799" s="139">
        <f>IF($FT799&gt;0,IF(INDEX($EI$6:$EI$77,$FO799)&gt;=FV$3,ROUND(INDEX(EK$6:EK$77,$FO799)*INDEX(卡牌消耗!$B$8:$F$8,FQ799)/5,0)*5,""),"")</f>
        <v>25755</v>
      </c>
      <c r="FW799" s="101" t="str">
        <f t="shared" si="429"/>
        <v>专属强化石4</v>
      </c>
      <c r="FX799" s="101">
        <f t="shared" si="430"/>
        <v>10</v>
      </c>
      <c r="FY799" s="101" t="str">
        <f t="shared" si="431"/>
        <v/>
      </c>
      <c r="FZ799" s="101" t="str">
        <f t="shared" si="432"/>
        <v/>
      </c>
      <c r="GA799" s="101">
        <f t="shared" si="437"/>
        <v>0.08</v>
      </c>
      <c r="GB799" s="101">
        <f t="shared" si="438"/>
        <v>1</v>
      </c>
      <c r="GC799" s="101">
        <f t="shared" si="439"/>
        <v>20</v>
      </c>
      <c r="GD799" s="101">
        <f t="shared" si="440"/>
        <v>0</v>
      </c>
      <c r="GE799" s="101">
        <f t="shared" si="441"/>
        <v>1</v>
      </c>
      <c r="GF799" s="101">
        <f t="shared" si="442"/>
        <v>5</v>
      </c>
      <c r="GG799" s="101">
        <f t="shared" si="443"/>
        <v>3.7699999999999997E-2</v>
      </c>
      <c r="GH799" s="101">
        <f t="shared" si="444"/>
        <v>1</v>
      </c>
      <c r="GI799" s="101">
        <f t="shared" si="445"/>
        <v>9</v>
      </c>
      <c r="GJ799" s="101">
        <f t="shared" si="446"/>
        <v>0.1507</v>
      </c>
      <c r="GK799" s="101">
        <f t="shared" si="447"/>
        <v>1</v>
      </c>
      <c r="GL799" s="101">
        <f t="shared" si="448"/>
        <v>20</v>
      </c>
    </row>
    <row r="800" spans="170:194" ht="16.5" x14ac:dyDescent="0.2">
      <c r="FN800" s="101">
        <v>795</v>
      </c>
      <c r="FO800" s="101">
        <f t="shared" si="433"/>
        <v>67</v>
      </c>
      <c r="FP800" s="101">
        <f t="shared" si="426"/>
        <v>10</v>
      </c>
      <c r="FQ800" s="14">
        <f t="shared" si="427"/>
        <v>4</v>
      </c>
      <c r="FR800" s="101" t="str">
        <f t="shared" si="434"/>
        <v>张飞专属武器-魂珠-8 4级</v>
      </c>
      <c r="FS800" s="101">
        <f t="shared" si="435"/>
        <v>8</v>
      </c>
      <c r="FT800" s="101">
        <f t="shared" si="436"/>
        <v>4</v>
      </c>
      <c r="FU800" s="101" t="str">
        <f t="shared" si="428"/>
        <v>金币</v>
      </c>
      <c r="FV800" s="139">
        <f>IF($FT800&gt;0,IF(INDEX($EI$6:$EI$77,$FO800)&gt;=FV$3,ROUND(INDEX(EK$6:EK$77,$FO800)*INDEX(卡牌消耗!$B$8:$F$8,FQ800)/5,0)*5,""),"")</f>
        <v>29670</v>
      </c>
      <c r="FW800" s="101" t="str">
        <f t="shared" si="429"/>
        <v>专属强化石4</v>
      </c>
      <c r="FX800" s="101">
        <f t="shared" si="430"/>
        <v>12</v>
      </c>
      <c r="FY800" s="101" t="str">
        <f t="shared" si="431"/>
        <v/>
      </c>
      <c r="FZ800" s="101" t="str">
        <f t="shared" si="432"/>
        <v/>
      </c>
      <c r="GA800" s="101">
        <f t="shared" si="437"/>
        <v>0.05</v>
      </c>
      <c r="GB800" s="101">
        <f t="shared" si="438"/>
        <v>1</v>
      </c>
      <c r="GC800" s="101">
        <f t="shared" si="439"/>
        <v>28</v>
      </c>
      <c r="GD800" s="101">
        <f t="shared" si="440"/>
        <v>0</v>
      </c>
      <c r="GE800" s="101">
        <f t="shared" si="441"/>
        <v>1</v>
      </c>
      <c r="GF800" s="101">
        <f t="shared" si="442"/>
        <v>6</v>
      </c>
      <c r="GG800" s="101">
        <f t="shared" si="443"/>
        <v>2.7099999999999999E-2</v>
      </c>
      <c r="GH800" s="101">
        <f t="shared" si="444"/>
        <v>1</v>
      </c>
      <c r="GI800" s="101">
        <f t="shared" si="445"/>
        <v>13</v>
      </c>
      <c r="GJ800" s="101">
        <f t="shared" si="446"/>
        <v>0.1085</v>
      </c>
      <c r="GK800" s="101">
        <f t="shared" si="447"/>
        <v>1</v>
      </c>
      <c r="GL800" s="101">
        <f t="shared" si="448"/>
        <v>28</v>
      </c>
    </row>
    <row r="801" spans="170:194" ht="16.5" x14ac:dyDescent="0.2">
      <c r="FN801" s="101">
        <v>796</v>
      </c>
      <c r="FO801" s="101">
        <f t="shared" si="433"/>
        <v>68</v>
      </c>
      <c r="FP801" s="101">
        <f t="shared" si="426"/>
        <v>10</v>
      </c>
      <c r="FQ801" s="14">
        <f t="shared" si="427"/>
        <v>4</v>
      </c>
      <c r="FR801" s="101" t="str">
        <f t="shared" si="434"/>
        <v>张飞专属武器-魂珠-8 5级</v>
      </c>
      <c r="FS801" s="101">
        <f t="shared" si="435"/>
        <v>8</v>
      </c>
      <c r="FT801" s="101">
        <f t="shared" si="436"/>
        <v>5</v>
      </c>
      <c r="FU801" s="101" t="str">
        <f t="shared" si="428"/>
        <v>金币</v>
      </c>
      <c r="FV801" s="139">
        <f>IF($FT801&gt;0,IF(INDEX($EI$6:$EI$77,$FO801)&gt;=FV$3,ROUND(INDEX(EK$6:EK$77,$FO801)*INDEX(卡牌消耗!$B$8:$F$8,FQ801)/5,0)*5,""),"")</f>
        <v>37665</v>
      </c>
      <c r="FW801" s="101" t="str">
        <f t="shared" si="429"/>
        <v>专属强化石4</v>
      </c>
      <c r="FX801" s="101">
        <f t="shared" si="430"/>
        <v>15</v>
      </c>
      <c r="FY801" s="101" t="str">
        <f t="shared" si="431"/>
        <v/>
      </c>
      <c r="FZ801" s="101" t="str">
        <f t="shared" si="432"/>
        <v/>
      </c>
      <c r="GA801" s="101">
        <f t="shared" si="437"/>
        <v>0.04</v>
      </c>
      <c r="GB801" s="101">
        <f t="shared" si="438"/>
        <v>1</v>
      </c>
      <c r="GC801" s="101">
        <f t="shared" si="439"/>
        <v>35</v>
      </c>
      <c r="GD801" s="101">
        <f t="shared" si="440"/>
        <v>0</v>
      </c>
      <c r="GE801" s="101">
        <f t="shared" si="441"/>
        <v>1</v>
      </c>
      <c r="GF801" s="101">
        <f t="shared" si="442"/>
        <v>8</v>
      </c>
      <c r="GG801" s="101">
        <f t="shared" si="443"/>
        <v>2.12E-2</v>
      </c>
      <c r="GH801" s="101">
        <f t="shared" si="444"/>
        <v>1</v>
      </c>
      <c r="GI801" s="101">
        <f t="shared" si="445"/>
        <v>17</v>
      </c>
      <c r="GJ801" s="101">
        <f t="shared" si="446"/>
        <v>8.4699999999999998E-2</v>
      </c>
      <c r="GK801" s="101">
        <f t="shared" si="447"/>
        <v>1</v>
      </c>
      <c r="GL801" s="101">
        <f t="shared" si="448"/>
        <v>35</v>
      </c>
    </row>
    <row r="802" spans="170:194" ht="16.5" x14ac:dyDescent="0.2">
      <c r="FN802" s="101">
        <v>797</v>
      </c>
      <c r="FO802" s="101">
        <f t="shared" si="433"/>
        <v>69</v>
      </c>
      <c r="FP802" s="101">
        <f t="shared" si="426"/>
        <v>10</v>
      </c>
      <c r="FQ802" s="14">
        <f t="shared" si="427"/>
        <v>4</v>
      </c>
      <c r="FR802" s="101" t="str">
        <f t="shared" si="434"/>
        <v>张飞专属武器-魂珠-8 6级</v>
      </c>
      <c r="FS802" s="101">
        <f t="shared" si="435"/>
        <v>8</v>
      </c>
      <c r="FT802" s="101">
        <f t="shared" si="436"/>
        <v>6</v>
      </c>
      <c r="FU802" s="101" t="str">
        <f t="shared" si="428"/>
        <v>金币</v>
      </c>
      <c r="FV802" s="139">
        <f>IF($FT802&gt;0,IF(INDEX($EI$6:$EI$77,$FO802)&gt;=FV$3,ROUND(INDEX(EK$6:EK$77,$FO802)*INDEX(卡牌消耗!$B$8:$F$8,FQ802)/5,0)*5,""),"")</f>
        <v>44935</v>
      </c>
      <c r="FW802" s="101" t="str">
        <f t="shared" si="429"/>
        <v>专属强化石4</v>
      </c>
      <c r="FX802" s="101">
        <f t="shared" si="430"/>
        <v>18</v>
      </c>
      <c r="FY802" s="101" t="str">
        <f t="shared" si="431"/>
        <v/>
      </c>
      <c r="FZ802" s="101" t="str">
        <f t="shared" si="432"/>
        <v/>
      </c>
      <c r="GA802" s="101">
        <f t="shared" si="437"/>
        <v>0.03</v>
      </c>
      <c r="GB802" s="101">
        <f t="shared" si="438"/>
        <v>1</v>
      </c>
      <c r="GC802" s="101">
        <f t="shared" si="439"/>
        <v>48</v>
      </c>
      <c r="GD802" s="101">
        <f t="shared" si="440"/>
        <v>0</v>
      </c>
      <c r="GE802" s="101">
        <f t="shared" si="441"/>
        <v>1</v>
      </c>
      <c r="GF802" s="101">
        <f t="shared" si="442"/>
        <v>11</v>
      </c>
      <c r="GG802" s="101">
        <f t="shared" si="443"/>
        <v>1.5599999999999999E-2</v>
      </c>
      <c r="GH802" s="101">
        <f t="shared" si="444"/>
        <v>1</v>
      </c>
      <c r="GI802" s="101">
        <f t="shared" si="445"/>
        <v>22</v>
      </c>
      <c r="GJ802" s="101">
        <f t="shared" si="446"/>
        <v>6.2600000000000003E-2</v>
      </c>
      <c r="GK802" s="101">
        <f t="shared" si="447"/>
        <v>1</v>
      </c>
      <c r="GL802" s="101">
        <f t="shared" si="448"/>
        <v>48</v>
      </c>
    </row>
    <row r="803" spans="170:194" ht="16.5" x14ac:dyDescent="0.2">
      <c r="FN803" s="101">
        <v>798</v>
      </c>
      <c r="FO803" s="101">
        <f t="shared" si="433"/>
        <v>70</v>
      </c>
      <c r="FP803" s="101">
        <f t="shared" si="426"/>
        <v>10</v>
      </c>
      <c r="FQ803" s="14">
        <f t="shared" si="427"/>
        <v>4</v>
      </c>
      <c r="FR803" s="101" t="str">
        <f t="shared" si="434"/>
        <v>张飞专属武器-魂珠-8 7级</v>
      </c>
      <c r="FS803" s="101">
        <f t="shared" si="435"/>
        <v>8</v>
      </c>
      <c r="FT803" s="101">
        <f t="shared" si="436"/>
        <v>7</v>
      </c>
      <c r="FU803" s="101" t="str">
        <f t="shared" si="428"/>
        <v>金币</v>
      </c>
      <c r="FV803" s="139">
        <f>IF($FT803&gt;0,IF(INDEX($EI$6:$EI$77,$FO803)&gt;=FV$3,ROUND(INDEX(EK$6:EK$77,$FO803)*INDEX(卡牌消耗!$B$8:$F$8,FQ803)/5,0)*5,""),"")</f>
        <v>62545</v>
      </c>
      <c r="FW803" s="101" t="str">
        <f t="shared" si="429"/>
        <v>专属强化石4</v>
      </c>
      <c r="FX803" s="101">
        <f t="shared" si="430"/>
        <v>25</v>
      </c>
      <c r="FY803" s="101" t="str">
        <f t="shared" si="431"/>
        <v/>
      </c>
      <c r="FZ803" s="101" t="str">
        <f t="shared" si="432"/>
        <v/>
      </c>
      <c r="GA803" s="101">
        <f t="shared" si="437"/>
        <v>0.03</v>
      </c>
      <c r="GB803" s="101">
        <f t="shared" si="438"/>
        <v>1</v>
      </c>
      <c r="GC803" s="101">
        <f t="shared" si="439"/>
        <v>56</v>
      </c>
      <c r="GD803" s="101">
        <f t="shared" si="440"/>
        <v>0</v>
      </c>
      <c r="GE803" s="101">
        <f t="shared" si="441"/>
        <v>1</v>
      </c>
      <c r="GF803" s="101">
        <f t="shared" si="442"/>
        <v>13</v>
      </c>
      <c r="GG803" s="101">
        <f t="shared" si="443"/>
        <v>1.35E-2</v>
      </c>
      <c r="GH803" s="101">
        <f t="shared" si="444"/>
        <v>1</v>
      </c>
      <c r="GI803" s="101">
        <f t="shared" si="445"/>
        <v>26</v>
      </c>
      <c r="GJ803" s="101">
        <f t="shared" si="446"/>
        <v>5.3800000000000001E-2</v>
      </c>
      <c r="GK803" s="101">
        <f t="shared" si="447"/>
        <v>1</v>
      </c>
      <c r="GL803" s="101">
        <f t="shared" si="448"/>
        <v>56</v>
      </c>
    </row>
    <row r="804" spans="170:194" ht="16.5" x14ac:dyDescent="0.2">
      <c r="FN804" s="101">
        <v>799</v>
      </c>
      <c r="FO804" s="101">
        <f t="shared" si="433"/>
        <v>71</v>
      </c>
      <c r="FP804" s="101">
        <f t="shared" si="426"/>
        <v>10</v>
      </c>
      <c r="FQ804" s="14">
        <f t="shared" si="427"/>
        <v>4</v>
      </c>
      <c r="FR804" s="101" t="str">
        <f t="shared" si="434"/>
        <v>张飞专属武器-魂珠-8 8级</v>
      </c>
      <c r="FS804" s="101">
        <f t="shared" si="435"/>
        <v>8</v>
      </c>
      <c r="FT804" s="101">
        <f t="shared" si="436"/>
        <v>8</v>
      </c>
      <c r="FU804" s="101" t="str">
        <f t="shared" si="428"/>
        <v>金币</v>
      </c>
      <c r="FV804" s="139">
        <f>IF($FT804&gt;0,IF(INDEX($EI$6:$EI$77,$FO804)&gt;=FV$3,ROUND(INDEX(EK$6:EK$77,$FO804)*INDEX(卡牌消耗!$B$8:$F$8,FQ804)/5,0)*5,""),"")</f>
        <v>74990</v>
      </c>
      <c r="FW804" s="101" t="str">
        <f t="shared" si="429"/>
        <v>专属强化石4</v>
      </c>
      <c r="FX804" s="101">
        <f t="shared" si="430"/>
        <v>30</v>
      </c>
      <c r="FY804" s="101" t="str">
        <f t="shared" si="431"/>
        <v/>
      </c>
      <c r="FZ804" s="101" t="str">
        <f t="shared" si="432"/>
        <v/>
      </c>
      <c r="GA804" s="101">
        <f t="shared" si="437"/>
        <v>0.02</v>
      </c>
      <c r="GB804" s="101">
        <f t="shared" si="438"/>
        <v>1</v>
      </c>
      <c r="GC804" s="101">
        <f t="shared" si="439"/>
        <v>75</v>
      </c>
      <c r="GD804" s="101">
        <f t="shared" si="440"/>
        <v>0</v>
      </c>
      <c r="GE804" s="101">
        <f t="shared" si="441"/>
        <v>1</v>
      </c>
      <c r="GF804" s="101">
        <f t="shared" si="442"/>
        <v>18</v>
      </c>
      <c r="GG804" s="101">
        <f t="shared" si="443"/>
        <v>0.01</v>
      </c>
      <c r="GH804" s="101">
        <f t="shared" si="444"/>
        <v>1</v>
      </c>
      <c r="GI804" s="101">
        <f t="shared" si="445"/>
        <v>35</v>
      </c>
      <c r="GJ804" s="101">
        <f t="shared" si="446"/>
        <v>3.9899999999999998E-2</v>
      </c>
      <c r="GK804" s="101">
        <f t="shared" si="447"/>
        <v>1</v>
      </c>
      <c r="GL804" s="101">
        <f t="shared" si="448"/>
        <v>75</v>
      </c>
    </row>
    <row r="805" spans="170:194" ht="16.5" x14ac:dyDescent="0.2">
      <c r="FN805" s="101">
        <v>800</v>
      </c>
      <c r="FO805" s="101">
        <f t="shared" si="433"/>
        <v>72</v>
      </c>
      <c r="FP805" s="101">
        <f t="shared" si="426"/>
        <v>10</v>
      </c>
      <c r="FQ805" s="14">
        <f t="shared" si="427"/>
        <v>4</v>
      </c>
      <c r="FR805" s="101" t="str">
        <f t="shared" si="434"/>
        <v>张飞专属武器-魂珠-8 9级</v>
      </c>
      <c r="FS805" s="101">
        <f t="shared" si="435"/>
        <v>8</v>
      </c>
      <c r="FT805" s="101">
        <f t="shared" si="436"/>
        <v>9</v>
      </c>
      <c r="FU805" s="101" t="str">
        <f t="shared" si="428"/>
        <v>金币</v>
      </c>
      <c r="FV805" s="139">
        <f>IF($FT805&gt;0,IF(INDEX($EI$6:$EI$77,$FO805)&gt;=FV$3,ROUND(INDEX(EK$6:EK$77,$FO805)*INDEX(卡牌消耗!$B$8:$F$8,FQ805)/5,0)*5,""),"")</f>
        <v>75015</v>
      </c>
      <c r="FW805" s="101" t="str">
        <f t="shared" si="429"/>
        <v>专属强化石4</v>
      </c>
      <c r="FX805" s="101">
        <f t="shared" si="430"/>
        <v>30</v>
      </c>
      <c r="FY805" s="101" t="str">
        <f t="shared" si="431"/>
        <v/>
      </c>
      <c r="FZ805" s="101" t="str">
        <f t="shared" si="432"/>
        <v/>
      </c>
      <c r="GA805" s="101">
        <f t="shared" si="437"/>
        <v>0.01</v>
      </c>
      <c r="GB805" s="101">
        <f t="shared" si="438"/>
        <v>1</v>
      </c>
      <c r="GC805" s="101">
        <f t="shared" si="439"/>
        <v>122</v>
      </c>
      <c r="GD805" s="101">
        <f t="shared" si="440"/>
        <v>0</v>
      </c>
      <c r="GE805" s="101">
        <f t="shared" si="441"/>
        <v>1</v>
      </c>
      <c r="GF805" s="101">
        <f t="shared" si="442"/>
        <v>28</v>
      </c>
      <c r="GG805" s="101">
        <f t="shared" si="443"/>
        <v>6.1999999999999998E-3</v>
      </c>
      <c r="GH805" s="101">
        <f t="shared" si="444"/>
        <v>1</v>
      </c>
      <c r="GI805" s="101">
        <f t="shared" si="445"/>
        <v>57</v>
      </c>
      <c r="GJ805" s="101">
        <f t="shared" si="446"/>
        <v>2.47E-2</v>
      </c>
      <c r="GK805" s="101">
        <f t="shared" si="447"/>
        <v>1</v>
      </c>
      <c r="GL805" s="101">
        <f t="shared" si="448"/>
        <v>122</v>
      </c>
    </row>
    <row r="806" spans="170:194" ht="16.5" x14ac:dyDescent="0.2">
      <c r="FN806" s="101">
        <v>801</v>
      </c>
      <c r="FO806" s="101">
        <f t="shared" si="433"/>
        <v>0</v>
      </c>
      <c r="FP806" s="101">
        <f t="shared" si="426"/>
        <v>11</v>
      </c>
      <c r="FQ806" s="14">
        <f t="shared" si="427"/>
        <v>5</v>
      </c>
      <c r="FR806" s="101" t="str">
        <f t="shared" si="434"/>
        <v>夏侯惇专属武器-魂珠-1 0级</v>
      </c>
      <c r="FS806" s="101">
        <f t="shared" si="435"/>
        <v>1</v>
      </c>
      <c r="FT806" s="101">
        <f t="shared" si="436"/>
        <v>0</v>
      </c>
      <c r="FU806" s="101" t="str">
        <f t="shared" si="428"/>
        <v/>
      </c>
      <c r="FV806" s="139" t="str">
        <f>IF($FT806&gt;0,IF(INDEX($EI$6:$EI$77,$FO806)&gt;=FV$3,ROUND(INDEX(EK$6:EK$77,$FO806)*INDEX(卡牌消耗!$B$8:$F$8,FQ806)/5,0)*5,""),"")</f>
        <v/>
      </c>
      <c r="FW806" s="101" t="str">
        <f t="shared" si="429"/>
        <v/>
      </c>
      <c r="FX806" s="101" t="str">
        <f t="shared" si="430"/>
        <v/>
      </c>
      <c r="FY806" s="101" t="str">
        <f t="shared" si="431"/>
        <v/>
      </c>
      <c r="FZ806" s="101" t="str">
        <f t="shared" si="432"/>
        <v/>
      </c>
      <c r="GA806" s="101" t="str">
        <f t="shared" si="437"/>
        <v/>
      </c>
      <c r="GB806" s="101" t="str">
        <f t="shared" si="438"/>
        <v/>
      </c>
      <c r="GC806" s="101" t="str">
        <f t="shared" si="439"/>
        <v/>
      </c>
      <c r="GD806" s="101" t="str">
        <f t="shared" si="440"/>
        <v/>
      </c>
      <c r="GE806" s="101" t="str">
        <f t="shared" si="441"/>
        <v/>
      </c>
      <c r="GF806" s="101" t="str">
        <f t="shared" si="442"/>
        <v/>
      </c>
      <c r="GG806" s="101" t="str">
        <f t="shared" si="443"/>
        <v/>
      </c>
      <c r="GH806" s="101" t="str">
        <f t="shared" si="444"/>
        <v/>
      </c>
      <c r="GI806" s="101" t="str">
        <f t="shared" si="445"/>
        <v/>
      </c>
      <c r="GJ806" s="101" t="str">
        <f t="shared" si="446"/>
        <v/>
      </c>
      <c r="GK806" s="101" t="str">
        <f t="shared" si="447"/>
        <v/>
      </c>
      <c r="GL806" s="101" t="str">
        <f t="shared" si="448"/>
        <v/>
      </c>
    </row>
    <row r="807" spans="170:194" ht="16.5" x14ac:dyDescent="0.2">
      <c r="FN807" s="101">
        <v>802</v>
      </c>
      <c r="FO807" s="101">
        <f t="shared" si="433"/>
        <v>1</v>
      </c>
      <c r="FP807" s="101">
        <f t="shared" si="426"/>
        <v>11</v>
      </c>
      <c r="FQ807" s="14">
        <f t="shared" si="427"/>
        <v>5</v>
      </c>
      <c r="FR807" s="101" t="str">
        <f t="shared" si="434"/>
        <v>夏侯惇专属武器-魂珠-1 1级</v>
      </c>
      <c r="FS807" s="101">
        <f t="shared" si="435"/>
        <v>1</v>
      </c>
      <c r="FT807" s="101">
        <f t="shared" si="436"/>
        <v>1</v>
      </c>
      <c r="FU807" s="101" t="str">
        <f t="shared" si="428"/>
        <v>金币</v>
      </c>
      <c r="FV807" s="139">
        <f>IF($FT807&gt;0,IF(INDEX($EI$6:$EI$77,$FO807)&gt;=FV$3,ROUND(INDEX(EK$6:EK$77,$FO807)*INDEX(卡牌消耗!$B$8:$F$8,FQ807)/5,0)*5,""),"")</f>
        <v>190</v>
      </c>
      <c r="FW807" s="101" t="str">
        <f t="shared" si="429"/>
        <v>专属强化石1</v>
      </c>
      <c r="FX807" s="101">
        <f t="shared" si="430"/>
        <v>1</v>
      </c>
      <c r="FY807" s="101" t="str">
        <f t="shared" si="431"/>
        <v/>
      </c>
      <c r="FZ807" s="101" t="str">
        <f t="shared" si="432"/>
        <v/>
      </c>
      <c r="GA807" s="101">
        <f t="shared" si="437"/>
        <v>0.32</v>
      </c>
      <c r="GB807" s="101">
        <f t="shared" si="438"/>
        <v>1</v>
      </c>
      <c r="GC807" s="101">
        <f t="shared" si="439"/>
        <v>5</v>
      </c>
      <c r="GD807" s="101">
        <f t="shared" si="440"/>
        <v>0</v>
      </c>
      <c r="GE807" s="101">
        <f t="shared" si="441"/>
        <v>1</v>
      </c>
      <c r="GF807" s="101">
        <f t="shared" si="442"/>
        <v>1</v>
      </c>
      <c r="GG807" s="101">
        <f t="shared" si="443"/>
        <v>0.1595</v>
      </c>
      <c r="GH807" s="101">
        <f t="shared" si="444"/>
        <v>1</v>
      </c>
      <c r="GI807" s="101">
        <f t="shared" si="445"/>
        <v>2</v>
      </c>
      <c r="GJ807" s="101">
        <f t="shared" si="446"/>
        <v>0.63819999999999999</v>
      </c>
      <c r="GK807" s="101">
        <f t="shared" si="447"/>
        <v>1</v>
      </c>
      <c r="GL807" s="101">
        <f t="shared" si="448"/>
        <v>5</v>
      </c>
    </row>
    <row r="808" spans="170:194" ht="16.5" x14ac:dyDescent="0.2">
      <c r="FN808" s="101">
        <v>803</v>
      </c>
      <c r="FO808" s="101">
        <f t="shared" si="433"/>
        <v>2</v>
      </c>
      <c r="FP808" s="101">
        <f t="shared" si="426"/>
        <v>11</v>
      </c>
      <c r="FQ808" s="14">
        <f t="shared" si="427"/>
        <v>5</v>
      </c>
      <c r="FR808" s="101" t="str">
        <f t="shared" si="434"/>
        <v>夏侯惇专属武器-魂珠-1 2级</v>
      </c>
      <c r="FS808" s="101">
        <f t="shared" si="435"/>
        <v>1</v>
      </c>
      <c r="FT808" s="101">
        <f t="shared" si="436"/>
        <v>2</v>
      </c>
      <c r="FU808" s="101" t="str">
        <f t="shared" si="428"/>
        <v>金币</v>
      </c>
      <c r="FV808" s="139">
        <f>IF($FT808&gt;0,IF(INDEX($EI$6:$EI$77,$FO808)&gt;=FV$3,ROUND(INDEX(EK$6:EK$77,$FO808)*INDEX(卡牌消耗!$B$8:$F$8,FQ808)/5,0)*5,""),"")</f>
        <v>285</v>
      </c>
      <c r="FW808" s="101" t="str">
        <f t="shared" si="429"/>
        <v>专属强化石1</v>
      </c>
      <c r="FX808" s="101">
        <f t="shared" si="430"/>
        <v>2</v>
      </c>
      <c r="FY808" s="101" t="str">
        <f t="shared" si="431"/>
        <v/>
      </c>
      <c r="FZ808" s="101" t="str">
        <f t="shared" si="432"/>
        <v/>
      </c>
      <c r="GA808" s="101">
        <f t="shared" si="437"/>
        <v>0.32</v>
      </c>
      <c r="GB808" s="101">
        <f t="shared" si="438"/>
        <v>1</v>
      </c>
      <c r="GC808" s="101">
        <f t="shared" si="439"/>
        <v>5</v>
      </c>
      <c r="GD808" s="101">
        <f t="shared" si="440"/>
        <v>0</v>
      </c>
      <c r="GE808" s="101">
        <f t="shared" si="441"/>
        <v>1</v>
      </c>
      <c r="GF808" s="101">
        <f t="shared" si="442"/>
        <v>1</v>
      </c>
      <c r="GG808" s="101">
        <f t="shared" si="443"/>
        <v>0.1595</v>
      </c>
      <c r="GH808" s="101">
        <f t="shared" si="444"/>
        <v>1</v>
      </c>
      <c r="GI808" s="101">
        <f t="shared" si="445"/>
        <v>2</v>
      </c>
      <c r="GJ808" s="101">
        <f t="shared" si="446"/>
        <v>0.63819999999999999</v>
      </c>
      <c r="GK808" s="101">
        <f t="shared" si="447"/>
        <v>1</v>
      </c>
      <c r="GL808" s="101">
        <f t="shared" si="448"/>
        <v>5</v>
      </c>
    </row>
    <row r="809" spans="170:194" ht="16.5" x14ac:dyDescent="0.2">
      <c r="FN809" s="101">
        <v>804</v>
      </c>
      <c r="FO809" s="101">
        <f t="shared" si="433"/>
        <v>3</v>
      </c>
      <c r="FP809" s="101">
        <f t="shared" si="426"/>
        <v>11</v>
      </c>
      <c r="FQ809" s="14">
        <f t="shared" si="427"/>
        <v>5</v>
      </c>
      <c r="FR809" s="101" t="str">
        <f t="shared" si="434"/>
        <v>夏侯惇专属武器-魂珠-1 3级</v>
      </c>
      <c r="FS809" s="101">
        <f t="shared" si="435"/>
        <v>1</v>
      </c>
      <c r="FT809" s="101">
        <f t="shared" si="436"/>
        <v>3</v>
      </c>
      <c r="FU809" s="101" t="str">
        <f t="shared" si="428"/>
        <v>金币</v>
      </c>
      <c r="FV809" s="139">
        <f>IF($FT809&gt;0,IF(INDEX($EI$6:$EI$77,$FO809)&gt;=FV$3,ROUND(INDEX(EK$6:EK$77,$FO809)*INDEX(卡牌消耗!$B$8:$F$8,FQ809)/5,0)*5,""),"")</f>
        <v>475</v>
      </c>
      <c r="FW809" s="101" t="str">
        <f t="shared" si="429"/>
        <v>专属强化石1</v>
      </c>
      <c r="FX809" s="101">
        <f t="shared" si="430"/>
        <v>3</v>
      </c>
      <c r="FY809" s="101" t="str">
        <f t="shared" si="431"/>
        <v/>
      </c>
      <c r="FZ809" s="101" t="str">
        <f t="shared" si="432"/>
        <v/>
      </c>
      <c r="GA809" s="101">
        <f t="shared" si="437"/>
        <v>0.32</v>
      </c>
      <c r="GB809" s="101">
        <f t="shared" si="438"/>
        <v>1</v>
      </c>
      <c r="GC809" s="101">
        <f t="shared" si="439"/>
        <v>5</v>
      </c>
      <c r="GD809" s="101">
        <f t="shared" si="440"/>
        <v>0</v>
      </c>
      <c r="GE809" s="101">
        <f t="shared" si="441"/>
        <v>1</v>
      </c>
      <c r="GF809" s="101">
        <f t="shared" si="442"/>
        <v>1</v>
      </c>
      <c r="GG809" s="101">
        <f t="shared" si="443"/>
        <v>0.1595</v>
      </c>
      <c r="GH809" s="101">
        <f t="shared" si="444"/>
        <v>1</v>
      </c>
      <c r="GI809" s="101">
        <f t="shared" si="445"/>
        <v>2</v>
      </c>
      <c r="GJ809" s="101">
        <f t="shared" si="446"/>
        <v>0.63819999999999999</v>
      </c>
      <c r="GK809" s="101">
        <f t="shared" si="447"/>
        <v>1</v>
      </c>
      <c r="GL809" s="101">
        <f t="shared" si="448"/>
        <v>5</v>
      </c>
    </row>
    <row r="810" spans="170:194" ht="16.5" x14ac:dyDescent="0.2">
      <c r="FN810" s="101">
        <v>805</v>
      </c>
      <c r="FO810" s="101">
        <f t="shared" si="433"/>
        <v>4</v>
      </c>
      <c r="FP810" s="101">
        <f t="shared" si="426"/>
        <v>11</v>
      </c>
      <c r="FQ810" s="14">
        <f t="shared" si="427"/>
        <v>5</v>
      </c>
      <c r="FR810" s="101" t="str">
        <f t="shared" si="434"/>
        <v>夏侯惇专属武器-魂珠-1 4级</v>
      </c>
      <c r="FS810" s="101">
        <f t="shared" si="435"/>
        <v>1</v>
      </c>
      <c r="FT810" s="101">
        <f t="shared" si="436"/>
        <v>4</v>
      </c>
      <c r="FU810" s="101" t="str">
        <f t="shared" si="428"/>
        <v>金币</v>
      </c>
      <c r="FV810" s="139">
        <f>IF($FT810&gt;0,IF(INDEX($EI$6:$EI$77,$FO810)&gt;=FV$3,ROUND(INDEX(EK$6:EK$77,$FO810)*INDEX(卡牌消耗!$B$8:$F$8,FQ810)/5,0)*5,""),"")</f>
        <v>605</v>
      </c>
      <c r="FW810" s="101" t="str">
        <f t="shared" si="429"/>
        <v>专属强化石1</v>
      </c>
      <c r="FX810" s="101">
        <f t="shared" si="430"/>
        <v>4</v>
      </c>
      <c r="FY810" s="101" t="str">
        <f t="shared" si="431"/>
        <v/>
      </c>
      <c r="FZ810" s="101" t="str">
        <f t="shared" si="432"/>
        <v/>
      </c>
      <c r="GA810" s="101">
        <f t="shared" si="437"/>
        <v>0.26</v>
      </c>
      <c r="GB810" s="101">
        <f t="shared" si="438"/>
        <v>1</v>
      </c>
      <c r="GC810" s="101">
        <f t="shared" si="439"/>
        <v>6</v>
      </c>
      <c r="GD810" s="101">
        <f t="shared" si="440"/>
        <v>0</v>
      </c>
      <c r="GE810" s="101">
        <f t="shared" si="441"/>
        <v>1</v>
      </c>
      <c r="GF810" s="101">
        <f t="shared" si="442"/>
        <v>1</v>
      </c>
      <c r="GG810" s="101">
        <f t="shared" si="443"/>
        <v>0.12759999999999999</v>
      </c>
      <c r="GH810" s="101">
        <f t="shared" si="444"/>
        <v>1</v>
      </c>
      <c r="GI810" s="101">
        <f t="shared" si="445"/>
        <v>3</v>
      </c>
      <c r="GJ810" s="101">
        <f t="shared" si="446"/>
        <v>0.51060000000000005</v>
      </c>
      <c r="GK810" s="101">
        <f t="shared" si="447"/>
        <v>1</v>
      </c>
      <c r="GL810" s="101">
        <f t="shared" si="448"/>
        <v>6</v>
      </c>
    </row>
    <row r="811" spans="170:194" ht="16.5" x14ac:dyDescent="0.2">
      <c r="FN811" s="101">
        <v>806</v>
      </c>
      <c r="FO811" s="101">
        <f t="shared" si="433"/>
        <v>5</v>
      </c>
      <c r="FP811" s="101">
        <f t="shared" si="426"/>
        <v>11</v>
      </c>
      <c r="FQ811" s="14">
        <f t="shared" si="427"/>
        <v>5</v>
      </c>
      <c r="FR811" s="101" t="str">
        <f t="shared" si="434"/>
        <v>夏侯惇专属武器-魂珠-1 5级</v>
      </c>
      <c r="FS811" s="101">
        <f t="shared" si="435"/>
        <v>1</v>
      </c>
      <c r="FT811" s="101">
        <f t="shared" si="436"/>
        <v>5</v>
      </c>
      <c r="FU811" s="101" t="str">
        <f t="shared" si="428"/>
        <v>金币</v>
      </c>
      <c r="FV811" s="139">
        <f>IF($FT811&gt;0,IF(INDEX($EI$6:$EI$77,$FO811)&gt;=FV$3,ROUND(INDEX(EK$6:EK$77,$FO811)*INDEX(卡牌消耗!$B$8:$F$8,FQ811)/5,0)*5,""),"")</f>
        <v>770</v>
      </c>
      <c r="FW811" s="101" t="str">
        <f t="shared" si="429"/>
        <v>专属强化石1</v>
      </c>
      <c r="FX811" s="101">
        <f t="shared" si="430"/>
        <v>5</v>
      </c>
      <c r="FY811" s="101" t="str">
        <f t="shared" si="431"/>
        <v/>
      </c>
      <c r="FZ811" s="101" t="str">
        <f t="shared" si="432"/>
        <v/>
      </c>
      <c r="GA811" s="101">
        <f t="shared" si="437"/>
        <v>0.2</v>
      </c>
      <c r="GB811" s="101">
        <f t="shared" si="438"/>
        <v>1</v>
      </c>
      <c r="GC811" s="101">
        <f t="shared" si="439"/>
        <v>8</v>
      </c>
      <c r="GD811" s="101">
        <f t="shared" si="440"/>
        <v>0</v>
      </c>
      <c r="GE811" s="101">
        <f t="shared" si="441"/>
        <v>1</v>
      </c>
      <c r="GF811" s="101">
        <f t="shared" si="442"/>
        <v>2</v>
      </c>
      <c r="GG811" s="101">
        <f t="shared" si="443"/>
        <v>9.9699999999999997E-2</v>
      </c>
      <c r="GH811" s="101">
        <f t="shared" si="444"/>
        <v>1</v>
      </c>
      <c r="GI811" s="101">
        <f t="shared" si="445"/>
        <v>4</v>
      </c>
      <c r="GJ811" s="101">
        <f t="shared" si="446"/>
        <v>0.39889999999999998</v>
      </c>
      <c r="GK811" s="101">
        <f t="shared" si="447"/>
        <v>1</v>
      </c>
      <c r="GL811" s="101">
        <f t="shared" si="448"/>
        <v>8</v>
      </c>
    </row>
    <row r="812" spans="170:194" ht="16.5" x14ac:dyDescent="0.2">
      <c r="FN812" s="101">
        <v>807</v>
      </c>
      <c r="FO812" s="101">
        <f t="shared" si="433"/>
        <v>6</v>
      </c>
      <c r="FP812" s="101">
        <f t="shared" si="426"/>
        <v>11</v>
      </c>
      <c r="FQ812" s="14">
        <f t="shared" si="427"/>
        <v>5</v>
      </c>
      <c r="FR812" s="101" t="str">
        <f t="shared" si="434"/>
        <v>夏侯惇专属武器-魂珠-1 6级</v>
      </c>
      <c r="FS812" s="101">
        <f t="shared" si="435"/>
        <v>1</v>
      </c>
      <c r="FT812" s="101">
        <f t="shared" si="436"/>
        <v>6</v>
      </c>
      <c r="FU812" s="101" t="str">
        <f t="shared" si="428"/>
        <v>金币</v>
      </c>
      <c r="FV812" s="139">
        <f>IF($FT812&gt;0,IF(INDEX($EI$6:$EI$77,$FO812)&gt;=FV$3,ROUND(INDEX(EK$6:EK$77,$FO812)*INDEX(卡牌消耗!$B$8:$F$8,FQ812)/5,0)*5,""),"")</f>
        <v>920</v>
      </c>
      <c r="FW812" s="101" t="str">
        <f t="shared" si="429"/>
        <v>专属强化石1</v>
      </c>
      <c r="FX812" s="101">
        <f t="shared" si="430"/>
        <v>6</v>
      </c>
      <c r="FY812" s="101" t="str">
        <f t="shared" si="431"/>
        <v/>
      </c>
      <c r="FZ812" s="101" t="str">
        <f t="shared" si="432"/>
        <v/>
      </c>
      <c r="GA812" s="101">
        <f t="shared" si="437"/>
        <v>0.15</v>
      </c>
      <c r="GB812" s="101">
        <f t="shared" si="438"/>
        <v>1</v>
      </c>
      <c r="GC812" s="101">
        <f t="shared" si="439"/>
        <v>10</v>
      </c>
      <c r="GD812" s="101">
        <f t="shared" si="440"/>
        <v>0</v>
      </c>
      <c r="GE812" s="101">
        <f t="shared" si="441"/>
        <v>1</v>
      </c>
      <c r="GF812" s="101">
        <f t="shared" si="442"/>
        <v>2</v>
      </c>
      <c r="GG812" s="101">
        <f t="shared" si="443"/>
        <v>7.3599999999999999E-2</v>
      </c>
      <c r="GH812" s="101">
        <f t="shared" si="444"/>
        <v>1</v>
      </c>
      <c r="GI812" s="101">
        <f t="shared" si="445"/>
        <v>5</v>
      </c>
      <c r="GJ812" s="101">
        <f t="shared" si="446"/>
        <v>0.29459999999999997</v>
      </c>
      <c r="GK812" s="101">
        <f t="shared" si="447"/>
        <v>1</v>
      </c>
      <c r="GL812" s="101">
        <f t="shared" si="448"/>
        <v>10</v>
      </c>
    </row>
    <row r="813" spans="170:194" ht="16.5" x14ac:dyDescent="0.2">
      <c r="FN813" s="101">
        <v>808</v>
      </c>
      <c r="FO813" s="101">
        <f t="shared" si="433"/>
        <v>7</v>
      </c>
      <c r="FP813" s="101">
        <f t="shared" si="426"/>
        <v>11</v>
      </c>
      <c r="FQ813" s="14">
        <f t="shared" si="427"/>
        <v>5</v>
      </c>
      <c r="FR813" s="101" t="str">
        <f t="shared" si="434"/>
        <v>夏侯惇专属武器-魂珠-1 7级</v>
      </c>
      <c r="FS813" s="101">
        <f t="shared" si="435"/>
        <v>1</v>
      </c>
      <c r="FT813" s="101">
        <f t="shared" si="436"/>
        <v>7</v>
      </c>
      <c r="FU813" s="101" t="str">
        <f t="shared" si="428"/>
        <v>金币</v>
      </c>
      <c r="FV813" s="139">
        <f>IF($FT813&gt;0,IF(INDEX($EI$6:$EI$77,$FO813)&gt;=FV$3,ROUND(INDEX(EK$6:EK$77,$FO813)*INDEX(卡牌消耗!$B$8:$F$8,FQ813)/5,0)*5,""),"")</f>
        <v>1070</v>
      </c>
      <c r="FW813" s="101" t="str">
        <f t="shared" si="429"/>
        <v>专属强化石1</v>
      </c>
      <c r="FX813" s="101">
        <f t="shared" si="430"/>
        <v>7</v>
      </c>
      <c r="FY813" s="101" t="str">
        <f t="shared" si="431"/>
        <v/>
      </c>
      <c r="FZ813" s="101" t="str">
        <f t="shared" si="432"/>
        <v/>
      </c>
      <c r="GA813" s="101">
        <f t="shared" si="437"/>
        <v>0.11</v>
      </c>
      <c r="GB813" s="101">
        <f t="shared" si="438"/>
        <v>1</v>
      </c>
      <c r="GC813" s="101">
        <f t="shared" si="439"/>
        <v>14</v>
      </c>
      <c r="GD813" s="101">
        <f t="shared" si="440"/>
        <v>0</v>
      </c>
      <c r="GE813" s="101">
        <f t="shared" si="441"/>
        <v>1</v>
      </c>
      <c r="GF813" s="101">
        <f t="shared" si="442"/>
        <v>3</v>
      </c>
      <c r="GG813" s="101">
        <f t="shared" si="443"/>
        <v>5.3199999999999997E-2</v>
      </c>
      <c r="GH813" s="101">
        <f t="shared" si="444"/>
        <v>1</v>
      </c>
      <c r="GI813" s="101">
        <f t="shared" si="445"/>
        <v>7</v>
      </c>
      <c r="GJ813" s="101">
        <f t="shared" si="446"/>
        <v>0.2127</v>
      </c>
      <c r="GK813" s="101">
        <f t="shared" si="447"/>
        <v>1</v>
      </c>
      <c r="GL813" s="101">
        <f t="shared" si="448"/>
        <v>14</v>
      </c>
    </row>
    <row r="814" spans="170:194" ht="16.5" x14ac:dyDescent="0.2">
      <c r="FN814" s="101">
        <v>809</v>
      </c>
      <c r="FO814" s="101">
        <f t="shared" si="433"/>
        <v>8</v>
      </c>
      <c r="FP814" s="101">
        <f t="shared" si="426"/>
        <v>11</v>
      </c>
      <c r="FQ814" s="14">
        <f t="shared" si="427"/>
        <v>5</v>
      </c>
      <c r="FR814" s="101" t="str">
        <f t="shared" si="434"/>
        <v>夏侯惇专属武器-魂珠-1 8级</v>
      </c>
      <c r="FS814" s="101">
        <f t="shared" si="435"/>
        <v>1</v>
      </c>
      <c r="FT814" s="101">
        <f t="shared" si="436"/>
        <v>8</v>
      </c>
      <c r="FU814" s="101" t="str">
        <f t="shared" si="428"/>
        <v>金币</v>
      </c>
      <c r="FV814" s="139">
        <f>IF($FT814&gt;0,IF(INDEX($EI$6:$EI$77,$FO814)&gt;=FV$3,ROUND(INDEX(EK$6:EK$77,$FO814)*INDEX(卡牌消耗!$B$8:$F$8,FQ814)/5,0)*5,""),"")</f>
        <v>1225</v>
      </c>
      <c r="FW814" s="101" t="str">
        <f t="shared" si="429"/>
        <v>专属强化石1</v>
      </c>
      <c r="FX814" s="101">
        <f t="shared" si="430"/>
        <v>8</v>
      </c>
      <c r="FY814" s="101" t="str">
        <f t="shared" si="431"/>
        <v/>
      </c>
      <c r="FZ814" s="101" t="str">
        <f t="shared" si="432"/>
        <v/>
      </c>
      <c r="GA814" s="101">
        <f t="shared" si="437"/>
        <v>0.08</v>
      </c>
      <c r="GB814" s="101">
        <f t="shared" si="438"/>
        <v>1</v>
      </c>
      <c r="GC814" s="101">
        <f t="shared" si="439"/>
        <v>20</v>
      </c>
      <c r="GD814" s="101">
        <f t="shared" si="440"/>
        <v>0</v>
      </c>
      <c r="GE814" s="101">
        <f t="shared" si="441"/>
        <v>1</v>
      </c>
      <c r="GF814" s="101">
        <f t="shared" si="442"/>
        <v>5</v>
      </c>
      <c r="GG814" s="101">
        <f t="shared" si="443"/>
        <v>3.7499999999999999E-2</v>
      </c>
      <c r="GH814" s="101">
        <f t="shared" si="444"/>
        <v>1</v>
      </c>
      <c r="GI814" s="101">
        <f t="shared" si="445"/>
        <v>9</v>
      </c>
      <c r="GJ814" s="101">
        <f t="shared" si="446"/>
        <v>0.1502</v>
      </c>
      <c r="GK814" s="101">
        <f t="shared" si="447"/>
        <v>1</v>
      </c>
      <c r="GL814" s="101">
        <f t="shared" si="448"/>
        <v>20</v>
      </c>
    </row>
    <row r="815" spans="170:194" ht="16.5" x14ac:dyDescent="0.2">
      <c r="FN815" s="101">
        <v>810</v>
      </c>
      <c r="FO815" s="101">
        <f t="shared" si="433"/>
        <v>9</v>
      </c>
      <c r="FP815" s="101">
        <f t="shared" si="426"/>
        <v>11</v>
      </c>
      <c r="FQ815" s="14">
        <f t="shared" si="427"/>
        <v>5</v>
      </c>
      <c r="FR815" s="101" t="str">
        <f t="shared" si="434"/>
        <v>夏侯惇专属武器-魂珠-1 9级</v>
      </c>
      <c r="FS815" s="101">
        <f t="shared" si="435"/>
        <v>1</v>
      </c>
      <c r="FT815" s="101">
        <f t="shared" si="436"/>
        <v>9</v>
      </c>
      <c r="FU815" s="101" t="str">
        <f t="shared" si="428"/>
        <v>金币</v>
      </c>
      <c r="FV815" s="139">
        <f>IF($FT815&gt;0,IF(INDEX($EI$6:$EI$77,$FO815)&gt;=FV$3,ROUND(INDEX(EK$6:EK$77,$FO815)*INDEX(卡牌消耗!$B$8:$F$8,FQ815)/5,0)*5,""),"")</f>
        <v>1530</v>
      </c>
      <c r="FW815" s="101" t="str">
        <f t="shared" si="429"/>
        <v>专属强化石1</v>
      </c>
      <c r="FX815" s="101">
        <f t="shared" si="430"/>
        <v>10</v>
      </c>
      <c r="FY815" s="101" t="str">
        <f t="shared" si="431"/>
        <v/>
      </c>
      <c r="FZ815" s="101" t="str">
        <f t="shared" si="432"/>
        <v/>
      </c>
      <c r="GA815" s="101">
        <f t="shared" si="437"/>
        <v>0.06</v>
      </c>
      <c r="GB815" s="101">
        <f t="shared" si="438"/>
        <v>1</v>
      </c>
      <c r="GC815" s="101">
        <f t="shared" si="439"/>
        <v>26</v>
      </c>
      <c r="GD815" s="101">
        <f t="shared" si="440"/>
        <v>0</v>
      </c>
      <c r="GE815" s="101">
        <f t="shared" si="441"/>
        <v>1</v>
      </c>
      <c r="GF815" s="101">
        <f t="shared" si="442"/>
        <v>6</v>
      </c>
      <c r="GG815" s="101">
        <f t="shared" si="443"/>
        <v>2.9000000000000001E-2</v>
      </c>
      <c r="GH815" s="101">
        <f t="shared" si="444"/>
        <v>1</v>
      </c>
      <c r="GI815" s="101">
        <f t="shared" si="445"/>
        <v>12</v>
      </c>
      <c r="GJ815" s="101">
        <f t="shared" si="446"/>
        <v>0.11600000000000001</v>
      </c>
      <c r="GK815" s="101">
        <f t="shared" si="447"/>
        <v>1</v>
      </c>
      <c r="GL815" s="101">
        <f t="shared" si="448"/>
        <v>26</v>
      </c>
    </row>
    <row r="816" spans="170:194" ht="16.5" x14ac:dyDescent="0.2">
      <c r="FN816" s="101">
        <v>811</v>
      </c>
      <c r="FO816" s="101">
        <f t="shared" si="433"/>
        <v>0</v>
      </c>
      <c r="FP816" s="101">
        <f t="shared" si="426"/>
        <v>11</v>
      </c>
      <c r="FQ816" s="14">
        <f t="shared" si="427"/>
        <v>5</v>
      </c>
      <c r="FR816" s="101" t="str">
        <f t="shared" si="434"/>
        <v>夏侯惇专属武器-魂珠-2 0级</v>
      </c>
      <c r="FS816" s="101">
        <f t="shared" si="435"/>
        <v>2</v>
      </c>
      <c r="FT816" s="101">
        <f t="shared" si="436"/>
        <v>0</v>
      </c>
      <c r="FU816" s="101" t="str">
        <f t="shared" si="428"/>
        <v/>
      </c>
      <c r="FV816" s="139" t="str">
        <f>IF($FT816&gt;0,IF(INDEX($EI$6:$EI$77,$FO816)&gt;=FV$3,ROUND(INDEX(EK$6:EK$77,$FO816)*INDEX(卡牌消耗!$B$8:$F$8,FQ816)/5,0)*5,""),"")</f>
        <v/>
      </c>
      <c r="FW816" s="101" t="str">
        <f t="shared" si="429"/>
        <v/>
      </c>
      <c r="FX816" s="101" t="str">
        <f t="shared" si="430"/>
        <v/>
      </c>
      <c r="FY816" s="101" t="str">
        <f t="shared" si="431"/>
        <v/>
      </c>
      <c r="FZ816" s="101" t="str">
        <f t="shared" si="432"/>
        <v/>
      </c>
      <c r="GA816" s="101" t="str">
        <f t="shared" si="437"/>
        <v/>
      </c>
      <c r="GB816" s="101" t="str">
        <f t="shared" si="438"/>
        <v/>
      </c>
      <c r="GC816" s="101" t="str">
        <f t="shared" si="439"/>
        <v/>
      </c>
      <c r="GD816" s="101" t="str">
        <f t="shared" si="440"/>
        <v/>
      </c>
      <c r="GE816" s="101" t="str">
        <f t="shared" si="441"/>
        <v/>
      </c>
      <c r="GF816" s="101" t="str">
        <f t="shared" si="442"/>
        <v/>
      </c>
      <c r="GG816" s="101" t="str">
        <f t="shared" si="443"/>
        <v/>
      </c>
      <c r="GH816" s="101" t="str">
        <f t="shared" si="444"/>
        <v/>
      </c>
      <c r="GI816" s="101" t="str">
        <f t="shared" si="445"/>
        <v/>
      </c>
      <c r="GJ816" s="101" t="str">
        <f t="shared" si="446"/>
        <v/>
      </c>
      <c r="GK816" s="101" t="str">
        <f t="shared" si="447"/>
        <v/>
      </c>
      <c r="GL816" s="101" t="str">
        <f t="shared" si="448"/>
        <v/>
      </c>
    </row>
    <row r="817" spans="170:194" ht="16.5" x14ac:dyDescent="0.2">
      <c r="FN817" s="101">
        <v>812</v>
      </c>
      <c r="FO817" s="101">
        <f t="shared" si="433"/>
        <v>10</v>
      </c>
      <c r="FP817" s="101">
        <f t="shared" si="426"/>
        <v>11</v>
      </c>
      <c r="FQ817" s="14">
        <f t="shared" si="427"/>
        <v>5</v>
      </c>
      <c r="FR817" s="101" t="str">
        <f t="shared" si="434"/>
        <v>夏侯惇专属武器-魂珠-2 1级</v>
      </c>
      <c r="FS817" s="101">
        <f t="shared" si="435"/>
        <v>2</v>
      </c>
      <c r="FT817" s="101">
        <f t="shared" si="436"/>
        <v>1</v>
      </c>
      <c r="FU817" s="101" t="str">
        <f t="shared" si="428"/>
        <v>金币</v>
      </c>
      <c r="FV817" s="139">
        <f>IF($FT817&gt;0,IF(INDEX($EI$6:$EI$77,$FO817)&gt;=FV$3,ROUND(INDEX(EK$6:EK$77,$FO817)*INDEX(卡牌消耗!$B$8:$F$8,FQ817)/5,0)*5,""),"")</f>
        <v>525</v>
      </c>
      <c r="FW817" s="101" t="str">
        <f t="shared" si="429"/>
        <v>专属强化石1</v>
      </c>
      <c r="FX817" s="101">
        <f t="shared" si="430"/>
        <v>3</v>
      </c>
      <c r="FY817" s="101" t="str">
        <f t="shared" si="431"/>
        <v>专属强化石2</v>
      </c>
      <c r="FZ817" s="101">
        <f t="shared" si="432"/>
        <v>1</v>
      </c>
      <c r="GA817" s="101">
        <f t="shared" si="437"/>
        <v>0.39</v>
      </c>
      <c r="GB817" s="101">
        <f t="shared" si="438"/>
        <v>1</v>
      </c>
      <c r="GC817" s="101">
        <f t="shared" si="439"/>
        <v>4</v>
      </c>
      <c r="GD817" s="101">
        <f t="shared" si="440"/>
        <v>0</v>
      </c>
      <c r="GE817" s="101">
        <f t="shared" si="441"/>
        <v>1</v>
      </c>
      <c r="GF817" s="101">
        <f t="shared" si="442"/>
        <v>1</v>
      </c>
      <c r="GG817" s="101">
        <f t="shared" si="443"/>
        <v>0.19270000000000001</v>
      </c>
      <c r="GH817" s="101">
        <f t="shared" si="444"/>
        <v>1</v>
      </c>
      <c r="GI817" s="101">
        <f t="shared" si="445"/>
        <v>2</v>
      </c>
      <c r="GJ817" s="101">
        <f t="shared" si="446"/>
        <v>0.77070000000000005</v>
      </c>
      <c r="GK817" s="101">
        <f t="shared" si="447"/>
        <v>1</v>
      </c>
      <c r="GL817" s="101">
        <f t="shared" si="448"/>
        <v>4</v>
      </c>
    </row>
    <row r="818" spans="170:194" ht="16.5" x14ac:dyDescent="0.2">
      <c r="FN818" s="101">
        <v>813</v>
      </c>
      <c r="FO818" s="101">
        <f t="shared" si="433"/>
        <v>11</v>
      </c>
      <c r="FP818" s="101">
        <f t="shared" si="426"/>
        <v>11</v>
      </c>
      <c r="FQ818" s="14">
        <f t="shared" si="427"/>
        <v>5</v>
      </c>
      <c r="FR818" s="101" t="str">
        <f t="shared" si="434"/>
        <v>夏侯惇专属武器-魂珠-2 2级</v>
      </c>
      <c r="FS818" s="101">
        <f t="shared" si="435"/>
        <v>2</v>
      </c>
      <c r="FT818" s="101">
        <f t="shared" si="436"/>
        <v>2</v>
      </c>
      <c r="FU818" s="101" t="str">
        <f t="shared" si="428"/>
        <v>金币</v>
      </c>
      <c r="FV818" s="139">
        <f>IF($FT818&gt;0,IF(INDEX($EI$6:$EI$77,$FO818)&gt;=FV$3,ROUND(INDEX(EK$6:EK$77,$FO818)*INDEX(卡牌消耗!$B$8:$F$8,FQ818)/5,0)*5,""),"")</f>
        <v>390</v>
      </c>
      <c r="FW818" s="101" t="str">
        <f t="shared" si="429"/>
        <v>专属强化石1</v>
      </c>
      <c r="FX818" s="101">
        <f t="shared" si="430"/>
        <v>3</v>
      </c>
      <c r="FY818" s="101" t="str">
        <f t="shared" si="431"/>
        <v>专属强化石2</v>
      </c>
      <c r="FZ818" s="101">
        <f t="shared" si="432"/>
        <v>1</v>
      </c>
      <c r="GA818" s="101">
        <f t="shared" si="437"/>
        <v>0.19</v>
      </c>
      <c r="GB818" s="101">
        <f t="shared" si="438"/>
        <v>1</v>
      </c>
      <c r="GC818" s="101">
        <f t="shared" si="439"/>
        <v>8</v>
      </c>
      <c r="GD818" s="101">
        <f t="shared" si="440"/>
        <v>0</v>
      </c>
      <c r="GE818" s="101">
        <f t="shared" si="441"/>
        <v>1</v>
      </c>
      <c r="GF818" s="101">
        <f t="shared" si="442"/>
        <v>2</v>
      </c>
      <c r="GG818" s="101">
        <f t="shared" si="443"/>
        <v>9.6299999999999997E-2</v>
      </c>
      <c r="GH818" s="101">
        <f t="shared" si="444"/>
        <v>1</v>
      </c>
      <c r="GI818" s="101">
        <f t="shared" si="445"/>
        <v>4</v>
      </c>
      <c r="GJ818" s="101">
        <f t="shared" si="446"/>
        <v>0.38529999999999998</v>
      </c>
      <c r="GK818" s="101">
        <f t="shared" si="447"/>
        <v>1</v>
      </c>
      <c r="GL818" s="101">
        <f t="shared" si="448"/>
        <v>8</v>
      </c>
    </row>
    <row r="819" spans="170:194" ht="16.5" x14ac:dyDescent="0.2">
      <c r="FN819" s="101">
        <v>814</v>
      </c>
      <c r="FO819" s="101">
        <f t="shared" si="433"/>
        <v>12</v>
      </c>
      <c r="FP819" s="101">
        <f t="shared" si="426"/>
        <v>11</v>
      </c>
      <c r="FQ819" s="14">
        <f t="shared" si="427"/>
        <v>5</v>
      </c>
      <c r="FR819" s="101" t="str">
        <f t="shared" si="434"/>
        <v>夏侯惇专属武器-魂珠-2 3级</v>
      </c>
      <c r="FS819" s="101">
        <f t="shared" si="435"/>
        <v>2</v>
      </c>
      <c r="FT819" s="101">
        <f t="shared" si="436"/>
        <v>3</v>
      </c>
      <c r="FU819" s="101" t="str">
        <f t="shared" si="428"/>
        <v>金币</v>
      </c>
      <c r="FV819" s="139">
        <f>IF($FT819&gt;0,IF(INDEX($EI$6:$EI$77,$FO819)&gt;=FV$3,ROUND(INDEX(EK$6:EK$77,$FO819)*INDEX(卡牌消耗!$B$8:$F$8,FQ819)/5,0)*5,""),"")</f>
        <v>870</v>
      </c>
      <c r="FW819" s="101" t="str">
        <f t="shared" si="429"/>
        <v>专属强化石1</v>
      </c>
      <c r="FX819" s="101">
        <f t="shared" si="430"/>
        <v>6</v>
      </c>
      <c r="FY819" s="101" t="str">
        <f t="shared" si="431"/>
        <v>专属强化石2</v>
      </c>
      <c r="FZ819" s="101">
        <f t="shared" si="432"/>
        <v>2</v>
      </c>
      <c r="GA819" s="101">
        <f t="shared" si="437"/>
        <v>0.26</v>
      </c>
      <c r="GB819" s="101">
        <f t="shared" si="438"/>
        <v>1</v>
      </c>
      <c r="GC819" s="101">
        <f t="shared" si="439"/>
        <v>6</v>
      </c>
      <c r="GD819" s="101">
        <f t="shared" si="440"/>
        <v>0</v>
      </c>
      <c r="GE819" s="101">
        <f t="shared" si="441"/>
        <v>1</v>
      </c>
      <c r="GF819" s="101">
        <f t="shared" si="442"/>
        <v>1</v>
      </c>
      <c r="GG819" s="101">
        <f t="shared" si="443"/>
        <v>0.12839999999999999</v>
      </c>
      <c r="GH819" s="101">
        <f t="shared" si="444"/>
        <v>1</v>
      </c>
      <c r="GI819" s="101">
        <f t="shared" si="445"/>
        <v>3</v>
      </c>
      <c r="GJ819" s="101">
        <f t="shared" si="446"/>
        <v>0.51380000000000003</v>
      </c>
      <c r="GK819" s="101">
        <f t="shared" si="447"/>
        <v>1</v>
      </c>
      <c r="GL819" s="101">
        <f t="shared" si="448"/>
        <v>6</v>
      </c>
    </row>
    <row r="820" spans="170:194" ht="16.5" x14ac:dyDescent="0.2">
      <c r="FN820" s="101">
        <v>815</v>
      </c>
      <c r="FO820" s="101">
        <f t="shared" si="433"/>
        <v>13</v>
      </c>
      <c r="FP820" s="101">
        <f t="shared" si="426"/>
        <v>11</v>
      </c>
      <c r="FQ820" s="14">
        <f t="shared" si="427"/>
        <v>5</v>
      </c>
      <c r="FR820" s="101" t="str">
        <f t="shared" si="434"/>
        <v>夏侯惇专属武器-魂珠-2 4级</v>
      </c>
      <c r="FS820" s="101">
        <f t="shared" si="435"/>
        <v>2</v>
      </c>
      <c r="FT820" s="101">
        <f t="shared" si="436"/>
        <v>4</v>
      </c>
      <c r="FU820" s="101" t="str">
        <f t="shared" si="428"/>
        <v>金币</v>
      </c>
      <c r="FV820" s="139">
        <f>IF($FT820&gt;0,IF(INDEX($EI$6:$EI$77,$FO820)&gt;=FV$3,ROUND(INDEX(EK$6:EK$77,$FO820)*INDEX(卡牌消耗!$B$8:$F$8,FQ820)/5,0)*5,""),"")</f>
        <v>835</v>
      </c>
      <c r="FW820" s="101" t="str">
        <f t="shared" si="429"/>
        <v>专属强化石1</v>
      </c>
      <c r="FX820" s="101">
        <f t="shared" si="430"/>
        <v>6</v>
      </c>
      <c r="FY820" s="101" t="str">
        <f t="shared" si="431"/>
        <v>专属强化石2</v>
      </c>
      <c r="FZ820" s="101">
        <f t="shared" si="432"/>
        <v>2</v>
      </c>
      <c r="GA820" s="101">
        <f t="shared" si="437"/>
        <v>0.15</v>
      </c>
      <c r="GB820" s="101">
        <f t="shared" si="438"/>
        <v>1</v>
      </c>
      <c r="GC820" s="101">
        <f t="shared" si="439"/>
        <v>10</v>
      </c>
      <c r="GD820" s="101">
        <f t="shared" si="440"/>
        <v>0</v>
      </c>
      <c r="GE820" s="101">
        <f t="shared" si="441"/>
        <v>1</v>
      </c>
      <c r="GF820" s="101">
        <f t="shared" si="442"/>
        <v>2</v>
      </c>
      <c r="GG820" s="101">
        <f t="shared" si="443"/>
        <v>7.7100000000000002E-2</v>
      </c>
      <c r="GH820" s="101">
        <f t="shared" si="444"/>
        <v>1</v>
      </c>
      <c r="GI820" s="101">
        <f t="shared" si="445"/>
        <v>5</v>
      </c>
      <c r="GJ820" s="101">
        <f t="shared" si="446"/>
        <v>0.30830000000000002</v>
      </c>
      <c r="GK820" s="101">
        <f t="shared" si="447"/>
        <v>1</v>
      </c>
      <c r="GL820" s="101">
        <f t="shared" si="448"/>
        <v>10</v>
      </c>
    </row>
    <row r="821" spans="170:194" ht="16.5" x14ac:dyDescent="0.2">
      <c r="FN821" s="101">
        <v>816</v>
      </c>
      <c r="FO821" s="101">
        <f t="shared" si="433"/>
        <v>14</v>
      </c>
      <c r="FP821" s="101">
        <f t="shared" si="426"/>
        <v>11</v>
      </c>
      <c r="FQ821" s="14">
        <f t="shared" si="427"/>
        <v>5</v>
      </c>
      <c r="FR821" s="101" t="str">
        <f t="shared" si="434"/>
        <v>夏侯惇专属武器-魂珠-2 5级</v>
      </c>
      <c r="FS821" s="101">
        <f t="shared" si="435"/>
        <v>2</v>
      </c>
      <c r="FT821" s="101">
        <f t="shared" si="436"/>
        <v>5</v>
      </c>
      <c r="FU821" s="101" t="str">
        <f t="shared" si="428"/>
        <v>金币</v>
      </c>
      <c r="FV821" s="139">
        <f>IF($FT821&gt;0,IF(INDEX($EI$6:$EI$77,$FO821)&gt;=FV$3,ROUND(INDEX(EK$6:EK$77,$FO821)*INDEX(卡牌消耗!$B$8:$F$8,FQ821)/5,0)*5,""),"")</f>
        <v>1275</v>
      </c>
      <c r="FW821" s="101" t="str">
        <f t="shared" si="429"/>
        <v>专属强化石1</v>
      </c>
      <c r="FX821" s="101">
        <f t="shared" si="430"/>
        <v>9</v>
      </c>
      <c r="FY821" s="101" t="str">
        <f t="shared" si="431"/>
        <v>专属强化石2</v>
      </c>
      <c r="FZ821" s="101">
        <f t="shared" si="432"/>
        <v>3</v>
      </c>
      <c r="GA821" s="101">
        <f t="shared" si="437"/>
        <v>0.14000000000000001</v>
      </c>
      <c r="GB821" s="101">
        <f t="shared" si="438"/>
        <v>1</v>
      </c>
      <c r="GC821" s="101">
        <f t="shared" si="439"/>
        <v>10</v>
      </c>
      <c r="GD821" s="101">
        <f t="shared" si="440"/>
        <v>0</v>
      </c>
      <c r="GE821" s="101">
        <f t="shared" si="441"/>
        <v>1</v>
      </c>
      <c r="GF821" s="101">
        <f t="shared" si="442"/>
        <v>2</v>
      </c>
      <c r="GG821" s="101">
        <f t="shared" si="443"/>
        <v>7.22E-2</v>
      </c>
      <c r="GH821" s="101">
        <f t="shared" si="444"/>
        <v>1</v>
      </c>
      <c r="GI821" s="101">
        <f t="shared" si="445"/>
        <v>5</v>
      </c>
      <c r="GJ821" s="101">
        <f t="shared" si="446"/>
        <v>0.28899999999999998</v>
      </c>
      <c r="GK821" s="101">
        <f t="shared" si="447"/>
        <v>1</v>
      </c>
      <c r="GL821" s="101">
        <f t="shared" si="448"/>
        <v>10</v>
      </c>
    </row>
    <row r="822" spans="170:194" ht="16.5" x14ac:dyDescent="0.2">
      <c r="FN822" s="101">
        <v>817</v>
      </c>
      <c r="FO822" s="101">
        <f t="shared" si="433"/>
        <v>15</v>
      </c>
      <c r="FP822" s="101">
        <f t="shared" si="426"/>
        <v>11</v>
      </c>
      <c r="FQ822" s="14">
        <f t="shared" si="427"/>
        <v>5</v>
      </c>
      <c r="FR822" s="101" t="str">
        <f t="shared" si="434"/>
        <v>夏侯惇专属武器-魂珠-2 6级</v>
      </c>
      <c r="FS822" s="101">
        <f t="shared" si="435"/>
        <v>2</v>
      </c>
      <c r="FT822" s="101">
        <f t="shared" si="436"/>
        <v>6</v>
      </c>
      <c r="FU822" s="101" t="str">
        <f t="shared" si="428"/>
        <v>金币</v>
      </c>
      <c r="FV822" s="139">
        <f>IF($FT822&gt;0,IF(INDEX($EI$6:$EI$77,$FO822)&gt;=FV$3,ROUND(INDEX(EK$6:EK$77,$FO822)*INDEX(卡牌消耗!$B$8:$F$8,FQ822)/5,0)*5,""),"")</f>
        <v>1690</v>
      </c>
      <c r="FW822" s="101" t="str">
        <f t="shared" si="429"/>
        <v>专属强化石1</v>
      </c>
      <c r="FX822" s="101">
        <f t="shared" si="430"/>
        <v>12</v>
      </c>
      <c r="FY822" s="101" t="str">
        <f t="shared" si="431"/>
        <v>专属强化石2</v>
      </c>
      <c r="FZ822" s="101">
        <f t="shared" si="432"/>
        <v>4</v>
      </c>
      <c r="GA822" s="101">
        <f t="shared" si="437"/>
        <v>0.12</v>
      </c>
      <c r="GB822" s="101">
        <f t="shared" si="438"/>
        <v>1</v>
      </c>
      <c r="GC822" s="101">
        <f t="shared" si="439"/>
        <v>13</v>
      </c>
      <c r="GD822" s="101">
        <f t="shared" si="440"/>
        <v>0</v>
      </c>
      <c r="GE822" s="101">
        <f t="shared" si="441"/>
        <v>1</v>
      </c>
      <c r="GF822" s="101">
        <f t="shared" si="442"/>
        <v>3</v>
      </c>
      <c r="GG822" s="101">
        <f t="shared" si="443"/>
        <v>5.9299999999999999E-2</v>
      </c>
      <c r="GH822" s="101">
        <f t="shared" si="444"/>
        <v>1</v>
      </c>
      <c r="GI822" s="101">
        <f t="shared" si="445"/>
        <v>6</v>
      </c>
      <c r="GJ822" s="101">
        <f t="shared" si="446"/>
        <v>0.23710000000000001</v>
      </c>
      <c r="GK822" s="101">
        <f t="shared" si="447"/>
        <v>1</v>
      </c>
      <c r="GL822" s="101">
        <f t="shared" si="448"/>
        <v>13</v>
      </c>
    </row>
    <row r="823" spans="170:194" ht="16.5" x14ac:dyDescent="0.2">
      <c r="FN823" s="101">
        <v>818</v>
      </c>
      <c r="FO823" s="101">
        <f t="shared" si="433"/>
        <v>16</v>
      </c>
      <c r="FP823" s="101">
        <f t="shared" si="426"/>
        <v>11</v>
      </c>
      <c r="FQ823" s="14">
        <f t="shared" si="427"/>
        <v>5</v>
      </c>
      <c r="FR823" s="101" t="str">
        <f t="shared" si="434"/>
        <v>夏侯惇专属武器-魂珠-2 7级</v>
      </c>
      <c r="FS823" s="101">
        <f t="shared" si="435"/>
        <v>2</v>
      </c>
      <c r="FT823" s="101">
        <f t="shared" si="436"/>
        <v>7</v>
      </c>
      <c r="FU823" s="101" t="str">
        <f t="shared" si="428"/>
        <v>金币</v>
      </c>
      <c r="FV823" s="139">
        <f>IF($FT823&gt;0,IF(INDEX($EI$6:$EI$77,$FO823)&gt;=FV$3,ROUND(INDEX(EK$6:EK$77,$FO823)*INDEX(卡牌消耗!$B$8:$F$8,FQ823)/5,0)*5,""),"")</f>
        <v>2120</v>
      </c>
      <c r="FW823" s="101" t="str">
        <f t="shared" si="429"/>
        <v>专属强化石1</v>
      </c>
      <c r="FX823" s="101">
        <f t="shared" si="430"/>
        <v>15</v>
      </c>
      <c r="FY823" s="101" t="str">
        <f t="shared" si="431"/>
        <v>专属强化石2</v>
      </c>
      <c r="FZ823" s="101">
        <f t="shared" si="432"/>
        <v>5</v>
      </c>
      <c r="GA823" s="101">
        <f t="shared" si="437"/>
        <v>0.09</v>
      </c>
      <c r="GB823" s="101">
        <f t="shared" si="438"/>
        <v>1</v>
      </c>
      <c r="GC823" s="101">
        <f t="shared" si="439"/>
        <v>16</v>
      </c>
      <c r="GD823" s="101">
        <f t="shared" si="440"/>
        <v>0</v>
      </c>
      <c r="GE823" s="101">
        <f t="shared" si="441"/>
        <v>1</v>
      </c>
      <c r="GF823" s="101">
        <f t="shared" si="442"/>
        <v>4</v>
      </c>
      <c r="GG823" s="101">
        <f t="shared" si="443"/>
        <v>4.5900000000000003E-2</v>
      </c>
      <c r="GH823" s="101">
        <f t="shared" si="444"/>
        <v>1</v>
      </c>
      <c r="GI823" s="101">
        <f t="shared" si="445"/>
        <v>8</v>
      </c>
      <c r="GJ823" s="101">
        <f t="shared" si="446"/>
        <v>0.1835</v>
      </c>
      <c r="GK823" s="101">
        <f t="shared" si="447"/>
        <v>1</v>
      </c>
      <c r="GL823" s="101">
        <f t="shared" si="448"/>
        <v>16</v>
      </c>
    </row>
    <row r="824" spans="170:194" ht="16.5" x14ac:dyDescent="0.2">
      <c r="FN824" s="101">
        <v>819</v>
      </c>
      <c r="FO824" s="101">
        <f t="shared" si="433"/>
        <v>17</v>
      </c>
      <c r="FP824" s="101">
        <f t="shared" si="426"/>
        <v>11</v>
      </c>
      <c r="FQ824" s="14">
        <f t="shared" si="427"/>
        <v>5</v>
      </c>
      <c r="FR824" s="101" t="str">
        <f t="shared" si="434"/>
        <v>夏侯惇专属武器-魂珠-2 8级</v>
      </c>
      <c r="FS824" s="101">
        <f t="shared" si="435"/>
        <v>2</v>
      </c>
      <c r="FT824" s="101">
        <f t="shared" si="436"/>
        <v>8</v>
      </c>
      <c r="FU824" s="101" t="str">
        <f t="shared" si="428"/>
        <v>金币</v>
      </c>
      <c r="FV824" s="139">
        <f>IF($FT824&gt;0,IF(INDEX($EI$6:$EI$77,$FO824)&gt;=FV$3,ROUND(INDEX(EK$6:EK$77,$FO824)*INDEX(卡牌消耗!$B$8:$F$8,FQ824)/5,0)*5,""),"")</f>
        <v>2540</v>
      </c>
      <c r="FW824" s="101" t="str">
        <f t="shared" si="429"/>
        <v>专属强化石1</v>
      </c>
      <c r="FX824" s="101">
        <f t="shared" si="430"/>
        <v>18</v>
      </c>
      <c r="FY824" s="101" t="str">
        <f t="shared" si="431"/>
        <v>专属强化石2</v>
      </c>
      <c r="FZ824" s="101">
        <f t="shared" si="432"/>
        <v>6</v>
      </c>
      <c r="GA824" s="101">
        <f t="shared" si="437"/>
        <v>7.0000000000000007E-2</v>
      </c>
      <c r="GB824" s="101">
        <f t="shared" si="438"/>
        <v>1</v>
      </c>
      <c r="GC824" s="101">
        <f t="shared" si="439"/>
        <v>22</v>
      </c>
      <c r="GD824" s="101">
        <f t="shared" si="440"/>
        <v>0</v>
      </c>
      <c r="GE824" s="101">
        <f t="shared" si="441"/>
        <v>1</v>
      </c>
      <c r="GF824" s="101">
        <f t="shared" si="442"/>
        <v>5</v>
      </c>
      <c r="GG824" s="101">
        <f t="shared" si="443"/>
        <v>3.4000000000000002E-2</v>
      </c>
      <c r="GH824" s="101">
        <f t="shared" si="444"/>
        <v>1</v>
      </c>
      <c r="GI824" s="101">
        <f t="shared" si="445"/>
        <v>10</v>
      </c>
      <c r="GJ824" s="101">
        <f t="shared" si="446"/>
        <v>0.13600000000000001</v>
      </c>
      <c r="GK824" s="101">
        <f t="shared" si="447"/>
        <v>1</v>
      </c>
      <c r="GL824" s="101">
        <f t="shared" si="448"/>
        <v>22</v>
      </c>
    </row>
    <row r="825" spans="170:194" ht="16.5" x14ac:dyDescent="0.2">
      <c r="FN825" s="101">
        <v>820</v>
      </c>
      <c r="FO825" s="101">
        <f t="shared" si="433"/>
        <v>18</v>
      </c>
      <c r="FP825" s="101">
        <f t="shared" si="426"/>
        <v>11</v>
      </c>
      <c r="FQ825" s="14">
        <f t="shared" si="427"/>
        <v>5</v>
      </c>
      <c r="FR825" s="101" t="str">
        <f t="shared" si="434"/>
        <v>夏侯惇专属武器-魂珠-2 9级</v>
      </c>
      <c r="FS825" s="101">
        <f t="shared" si="435"/>
        <v>2</v>
      </c>
      <c r="FT825" s="101">
        <f t="shared" si="436"/>
        <v>9</v>
      </c>
      <c r="FU825" s="101" t="str">
        <f t="shared" si="428"/>
        <v>金币</v>
      </c>
      <c r="FV825" s="139">
        <f>IF($FT825&gt;0,IF(INDEX($EI$6:$EI$77,$FO825)&gt;=FV$3,ROUND(INDEX(EK$6:EK$77,$FO825)*INDEX(卡牌消耗!$B$8:$F$8,FQ825)/5,0)*5,""),"")</f>
        <v>3385</v>
      </c>
      <c r="FW825" s="101" t="str">
        <f t="shared" si="429"/>
        <v>专属强化石1</v>
      </c>
      <c r="FX825" s="101">
        <f t="shared" si="430"/>
        <v>24</v>
      </c>
      <c r="FY825" s="101" t="str">
        <f t="shared" si="431"/>
        <v>专属强化石2</v>
      </c>
      <c r="FZ825" s="101">
        <f t="shared" si="432"/>
        <v>8</v>
      </c>
      <c r="GA825" s="101">
        <f t="shared" si="437"/>
        <v>0.06</v>
      </c>
      <c r="GB825" s="101">
        <f t="shared" si="438"/>
        <v>1</v>
      </c>
      <c r="GC825" s="101">
        <f t="shared" si="439"/>
        <v>27</v>
      </c>
      <c r="GD825" s="101">
        <f t="shared" si="440"/>
        <v>0</v>
      </c>
      <c r="GE825" s="101">
        <f t="shared" si="441"/>
        <v>1</v>
      </c>
      <c r="GF825" s="101">
        <f t="shared" si="442"/>
        <v>6</v>
      </c>
      <c r="GG825" s="101">
        <f t="shared" si="443"/>
        <v>2.8000000000000001E-2</v>
      </c>
      <c r="GH825" s="101">
        <f t="shared" si="444"/>
        <v>1</v>
      </c>
      <c r="GI825" s="101">
        <f t="shared" si="445"/>
        <v>12</v>
      </c>
      <c r="GJ825" s="101">
        <f t="shared" si="446"/>
        <v>0.11210000000000001</v>
      </c>
      <c r="GK825" s="101">
        <f t="shared" si="447"/>
        <v>1</v>
      </c>
      <c r="GL825" s="101">
        <f t="shared" si="448"/>
        <v>27</v>
      </c>
    </row>
    <row r="826" spans="170:194" ht="16.5" x14ac:dyDescent="0.2">
      <c r="FN826" s="101">
        <v>821</v>
      </c>
      <c r="FO826" s="101">
        <f t="shared" si="433"/>
        <v>0</v>
      </c>
      <c r="FP826" s="101">
        <f t="shared" si="426"/>
        <v>11</v>
      </c>
      <c r="FQ826" s="14">
        <f t="shared" si="427"/>
        <v>5</v>
      </c>
      <c r="FR826" s="101" t="str">
        <f t="shared" si="434"/>
        <v>夏侯惇专属武器-魂珠-3 0级</v>
      </c>
      <c r="FS826" s="101">
        <f t="shared" si="435"/>
        <v>3</v>
      </c>
      <c r="FT826" s="101">
        <f t="shared" si="436"/>
        <v>0</v>
      </c>
      <c r="FU826" s="101" t="str">
        <f t="shared" si="428"/>
        <v/>
      </c>
      <c r="FV826" s="139" t="str">
        <f>IF($FT826&gt;0,IF(INDEX($EI$6:$EI$77,$FO826)&gt;=FV$3,ROUND(INDEX(EK$6:EK$77,$FO826)*INDEX(卡牌消耗!$B$8:$F$8,FQ826)/5,0)*5,""),"")</f>
        <v/>
      </c>
      <c r="FW826" s="101" t="str">
        <f t="shared" si="429"/>
        <v/>
      </c>
      <c r="FX826" s="101" t="str">
        <f t="shared" si="430"/>
        <v/>
      </c>
      <c r="FY826" s="101" t="str">
        <f t="shared" si="431"/>
        <v/>
      </c>
      <c r="FZ826" s="101" t="str">
        <f t="shared" si="432"/>
        <v/>
      </c>
      <c r="GA826" s="101" t="str">
        <f t="shared" si="437"/>
        <v/>
      </c>
      <c r="GB826" s="101" t="str">
        <f t="shared" si="438"/>
        <v/>
      </c>
      <c r="GC826" s="101" t="str">
        <f t="shared" si="439"/>
        <v/>
      </c>
      <c r="GD826" s="101" t="str">
        <f t="shared" si="440"/>
        <v/>
      </c>
      <c r="GE826" s="101" t="str">
        <f t="shared" si="441"/>
        <v/>
      </c>
      <c r="GF826" s="101" t="str">
        <f t="shared" si="442"/>
        <v/>
      </c>
      <c r="GG826" s="101" t="str">
        <f t="shared" si="443"/>
        <v/>
      </c>
      <c r="GH826" s="101" t="str">
        <f t="shared" si="444"/>
        <v/>
      </c>
      <c r="GI826" s="101" t="str">
        <f t="shared" si="445"/>
        <v/>
      </c>
      <c r="GJ826" s="101" t="str">
        <f t="shared" si="446"/>
        <v/>
      </c>
      <c r="GK826" s="101" t="str">
        <f t="shared" si="447"/>
        <v/>
      </c>
      <c r="GL826" s="101" t="str">
        <f t="shared" si="448"/>
        <v/>
      </c>
    </row>
    <row r="827" spans="170:194" ht="16.5" x14ac:dyDescent="0.2">
      <c r="FN827" s="101">
        <v>822</v>
      </c>
      <c r="FO827" s="101">
        <f t="shared" si="433"/>
        <v>19</v>
      </c>
      <c r="FP827" s="101">
        <f t="shared" si="426"/>
        <v>11</v>
      </c>
      <c r="FQ827" s="14">
        <f t="shared" si="427"/>
        <v>5</v>
      </c>
      <c r="FR827" s="101" t="str">
        <f t="shared" si="434"/>
        <v>夏侯惇专属武器-魂珠-3 1级</v>
      </c>
      <c r="FS827" s="101">
        <f t="shared" si="435"/>
        <v>3</v>
      </c>
      <c r="FT827" s="101">
        <f t="shared" si="436"/>
        <v>1</v>
      </c>
      <c r="FU827" s="101" t="str">
        <f t="shared" si="428"/>
        <v>金币</v>
      </c>
      <c r="FV827" s="139">
        <f>IF($FT827&gt;0,IF(INDEX($EI$6:$EI$77,$FO827)&gt;=FV$3,ROUND(INDEX(EK$6:EK$77,$FO827)*INDEX(卡牌消耗!$B$8:$F$8,FQ827)/5,0)*5,""),"")</f>
        <v>1090</v>
      </c>
      <c r="FW827" s="101" t="str">
        <f t="shared" si="429"/>
        <v>专属强化石1</v>
      </c>
      <c r="FX827" s="101">
        <f t="shared" si="430"/>
        <v>4</v>
      </c>
      <c r="FY827" s="101" t="str">
        <f t="shared" si="431"/>
        <v>专属强化石2</v>
      </c>
      <c r="FZ827" s="101">
        <f t="shared" si="432"/>
        <v>2</v>
      </c>
      <c r="GA827" s="101">
        <f t="shared" si="437"/>
        <v>0.31</v>
      </c>
      <c r="GB827" s="101">
        <f t="shared" si="438"/>
        <v>1</v>
      </c>
      <c r="GC827" s="101">
        <f t="shared" si="439"/>
        <v>5</v>
      </c>
      <c r="GD827" s="101">
        <f t="shared" si="440"/>
        <v>0</v>
      </c>
      <c r="GE827" s="101">
        <f t="shared" si="441"/>
        <v>1</v>
      </c>
      <c r="GF827" s="101">
        <f t="shared" si="442"/>
        <v>1</v>
      </c>
      <c r="GG827" s="101">
        <f t="shared" si="443"/>
        <v>0.15409999999999999</v>
      </c>
      <c r="GH827" s="101">
        <f t="shared" si="444"/>
        <v>1</v>
      </c>
      <c r="GI827" s="101">
        <f t="shared" si="445"/>
        <v>2</v>
      </c>
      <c r="GJ827" s="101">
        <f t="shared" si="446"/>
        <v>0.61650000000000005</v>
      </c>
      <c r="GK827" s="101">
        <f t="shared" si="447"/>
        <v>1</v>
      </c>
      <c r="GL827" s="101">
        <f t="shared" si="448"/>
        <v>5</v>
      </c>
    </row>
    <row r="828" spans="170:194" ht="16.5" x14ac:dyDescent="0.2">
      <c r="FN828" s="101">
        <v>823</v>
      </c>
      <c r="FO828" s="101">
        <f t="shared" si="433"/>
        <v>20</v>
      </c>
      <c r="FP828" s="101">
        <f t="shared" si="426"/>
        <v>11</v>
      </c>
      <c r="FQ828" s="14">
        <f t="shared" si="427"/>
        <v>5</v>
      </c>
      <c r="FR828" s="101" t="str">
        <f t="shared" si="434"/>
        <v>夏侯惇专属武器-魂珠-3 2级</v>
      </c>
      <c r="FS828" s="101">
        <f t="shared" si="435"/>
        <v>3</v>
      </c>
      <c r="FT828" s="101">
        <f t="shared" si="436"/>
        <v>2</v>
      </c>
      <c r="FU828" s="101" t="str">
        <f t="shared" si="428"/>
        <v>金币</v>
      </c>
      <c r="FV828" s="139">
        <f>IF($FT828&gt;0,IF(INDEX($EI$6:$EI$77,$FO828)&gt;=FV$3,ROUND(INDEX(EK$6:EK$77,$FO828)*INDEX(卡牌消耗!$B$8:$F$8,FQ828)/5,0)*5,""),"")</f>
        <v>820</v>
      </c>
      <c r="FW828" s="101" t="str">
        <f t="shared" si="429"/>
        <v>专属强化石1</v>
      </c>
      <c r="FX828" s="101">
        <f t="shared" si="430"/>
        <v>4</v>
      </c>
      <c r="FY828" s="101" t="str">
        <f t="shared" si="431"/>
        <v>专属强化石2</v>
      </c>
      <c r="FZ828" s="101">
        <f t="shared" si="432"/>
        <v>2</v>
      </c>
      <c r="GA828" s="101">
        <f t="shared" si="437"/>
        <v>0.15</v>
      </c>
      <c r="GB828" s="101">
        <f t="shared" si="438"/>
        <v>1</v>
      </c>
      <c r="GC828" s="101">
        <f t="shared" si="439"/>
        <v>10</v>
      </c>
      <c r="GD828" s="101">
        <f t="shared" si="440"/>
        <v>0</v>
      </c>
      <c r="GE828" s="101">
        <f t="shared" si="441"/>
        <v>1</v>
      </c>
      <c r="GF828" s="101">
        <f t="shared" si="442"/>
        <v>2</v>
      </c>
      <c r="GG828" s="101">
        <f t="shared" si="443"/>
        <v>7.7100000000000002E-2</v>
      </c>
      <c r="GH828" s="101">
        <f t="shared" si="444"/>
        <v>1</v>
      </c>
      <c r="GI828" s="101">
        <f t="shared" si="445"/>
        <v>5</v>
      </c>
      <c r="GJ828" s="101">
        <f t="shared" si="446"/>
        <v>0.30830000000000002</v>
      </c>
      <c r="GK828" s="101">
        <f t="shared" si="447"/>
        <v>1</v>
      </c>
      <c r="GL828" s="101">
        <f t="shared" si="448"/>
        <v>10</v>
      </c>
    </row>
    <row r="829" spans="170:194" ht="16.5" x14ac:dyDescent="0.2">
      <c r="FN829" s="101">
        <v>824</v>
      </c>
      <c r="FO829" s="101">
        <f t="shared" si="433"/>
        <v>21</v>
      </c>
      <c r="FP829" s="101">
        <f t="shared" si="426"/>
        <v>11</v>
      </c>
      <c r="FQ829" s="14">
        <f t="shared" si="427"/>
        <v>5</v>
      </c>
      <c r="FR829" s="101" t="str">
        <f t="shared" si="434"/>
        <v>夏侯惇专属武器-魂珠-3 3级</v>
      </c>
      <c r="FS829" s="101">
        <f t="shared" si="435"/>
        <v>3</v>
      </c>
      <c r="FT829" s="101">
        <f t="shared" si="436"/>
        <v>3</v>
      </c>
      <c r="FU829" s="101" t="str">
        <f t="shared" si="428"/>
        <v>金币</v>
      </c>
      <c r="FV829" s="139">
        <f>IF($FT829&gt;0,IF(INDEX($EI$6:$EI$77,$FO829)&gt;=FV$3,ROUND(INDEX(EK$6:EK$77,$FO829)*INDEX(卡牌消耗!$B$8:$F$8,FQ829)/5,0)*5,""),"")</f>
        <v>1365</v>
      </c>
      <c r="FW829" s="101" t="str">
        <f t="shared" si="429"/>
        <v>专属强化石1</v>
      </c>
      <c r="FX829" s="101">
        <f t="shared" si="430"/>
        <v>6</v>
      </c>
      <c r="FY829" s="101" t="str">
        <f t="shared" si="431"/>
        <v>专属强化石2</v>
      </c>
      <c r="FZ829" s="101">
        <f t="shared" si="432"/>
        <v>3</v>
      </c>
      <c r="GA829" s="101">
        <f t="shared" si="437"/>
        <v>0.15</v>
      </c>
      <c r="GB829" s="101">
        <f t="shared" si="438"/>
        <v>1</v>
      </c>
      <c r="GC829" s="101">
        <f t="shared" si="439"/>
        <v>10</v>
      </c>
      <c r="GD829" s="101">
        <f t="shared" si="440"/>
        <v>0</v>
      </c>
      <c r="GE829" s="101">
        <f t="shared" si="441"/>
        <v>1</v>
      </c>
      <c r="GF829" s="101">
        <f t="shared" si="442"/>
        <v>2</v>
      </c>
      <c r="GG829" s="101">
        <f t="shared" si="443"/>
        <v>7.7100000000000002E-2</v>
      </c>
      <c r="GH829" s="101">
        <f t="shared" si="444"/>
        <v>1</v>
      </c>
      <c r="GI829" s="101">
        <f t="shared" si="445"/>
        <v>5</v>
      </c>
      <c r="GJ829" s="101">
        <f t="shared" si="446"/>
        <v>0.30830000000000002</v>
      </c>
      <c r="GK829" s="101">
        <f t="shared" si="447"/>
        <v>1</v>
      </c>
      <c r="GL829" s="101">
        <f t="shared" si="448"/>
        <v>10</v>
      </c>
    </row>
    <row r="830" spans="170:194" ht="16.5" x14ac:dyDescent="0.2">
      <c r="FN830" s="101">
        <v>825</v>
      </c>
      <c r="FO830" s="101">
        <f t="shared" si="433"/>
        <v>22</v>
      </c>
      <c r="FP830" s="101">
        <f t="shared" si="426"/>
        <v>11</v>
      </c>
      <c r="FQ830" s="14">
        <f t="shared" si="427"/>
        <v>5</v>
      </c>
      <c r="FR830" s="101" t="str">
        <f t="shared" si="434"/>
        <v>夏侯惇专属武器-魂珠-3 4级</v>
      </c>
      <c r="FS830" s="101">
        <f t="shared" si="435"/>
        <v>3</v>
      </c>
      <c r="FT830" s="101">
        <f t="shared" si="436"/>
        <v>4</v>
      </c>
      <c r="FU830" s="101" t="str">
        <f t="shared" si="428"/>
        <v>金币</v>
      </c>
      <c r="FV830" s="139">
        <f>IF($FT830&gt;0,IF(INDEX($EI$6:$EI$77,$FO830)&gt;=FV$3,ROUND(INDEX(EK$6:EK$77,$FO830)*INDEX(卡牌消耗!$B$8:$F$8,FQ830)/5,0)*5,""),"")</f>
        <v>1310</v>
      </c>
      <c r="FW830" s="101" t="str">
        <f t="shared" si="429"/>
        <v>专属强化石1</v>
      </c>
      <c r="FX830" s="101">
        <f t="shared" si="430"/>
        <v>6</v>
      </c>
      <c r="FY830" s="101" t="str">
        <f t="shared" si="431"/>
        <v>专属强化石2</v>
      </c>
      <c r="FZ830" s="101">
        <f t="shared" si="432"/>
        <v>3</v>
      </c>
      <c r="GA830" s="101">
        <f t="shared" si="437"/>
        <v>0.09</v>
      </c>
      <c r="GB830" s="101">
        <f t="shared" si="438"/>
        <v>1</v>
      </c>
      <c r="GC830" s="101">
        <f t="shared" si="439"/>
        <v>16</v>
      </c>
      <c r="GD830" s="101">
        <f t="shared" si="440"/>
        <v>0</v>
      </c>
      <c r="GE830" s="101">
        <f t="shared" si="441"/>
        <v>1</v>
      </c>
      <c r="GF830" s="101">
        <f t="shared" si="442"/>
        <v>4</v>
      </c>
      <c r="GG830" s="101">
        <f t="shared" si="443"/>
        <v>4.6199999999999998E-2</v>
      </c>
      <c r="GH830" s="101">
        <f t="shared" si="444"/>
        <v>1</v>
      </c>
      <c r="GI830" s="101">
        <f t="shared" si="445"/>
        <v>8</v>
      </c>
      <c r="GJ830" s="101">
        <f t="shared" si="446"/>
        <v>0.185</v>
      </c>
      <c r="GK830" s="101">
        <f t="shared" si="447"/>
        <v>1</v>
      </c>
      <c r="GL830" s="101">
        <f t="shared" si="448"/>
        <v>16</v>
      </c>
    </row>
    <row r="831" spans="170:194" ht="16.5" x14ac:dyDescent="0.2">
      <c r="FN831" s="101">
        <v>826</v>
      </c>
      <c r="FO831" s="101">
        <f t="shared" si="433"/>
        <v>23</v>
      </c>
      <c r="FP831" s="101">
        <f t="shared" si="426"/>
        <v>11</v>
      </c>
      <c r="FQ831" s="14">
        <f t="shared" si="427"/>
        <v>5</v>
      </c>
      <c r="FR831" s="101" t="str">
        <f t="shared" si="434"/>
        <v>夏侯惇专属武器-魂珠-3 5级</v>
      </c>
      <c r="FS831" s="101">
        <f t="shared" si="435"/>
        <v>3</v>
      </c>
      <c r="FT831" s="101">
        <f t="shared" si="436"/>
        <v>5</v>
      </c>
      <c r="FU831" s="101" t="str">
        <f t="shared" si="428"/>
        <v>金币</v>
      </c>
      <c r="FV831" s="139">
        <f>IF($FT831&gt;0,IF(INDEX($EI$6:$EI$77,$FO831)&gt;=FV$3,ROUND(INDEX(EK$6:EK$77,$FO831)*INDEX(卡牌消耗!$B$8:$F$8,FQ831)/5,0)*5,""),"")</f>
        <v>1770</v>
      </c>
      <c r="FW831" s="101" t="str">
        <f t="shared" si="429"/>
        <v>专属强化石1</v>
      </c>
      <c r="FX831" s="101">
        <f t="shared" si="430"/>
        <v>8</v>
      </c>
      <c r="FY831" s="101" t="str">
        <f t="shared" si="431"/>
        <v>专属强化石2</v>
      </c>
      <c r="FZ831" s="101">
        <f t="shared" si="432"/>
        <v>4</v>
      </c>
      <c r="GA831" s="101">
        <f t="shared" si="437"/>
        <v>0.08</v>
      </c>
      <c r="GB831" s="101">
        <f t="shared" si="438"/>
        <v>1</v>
      </c>
      <c r="GC831" s="101">
        <f t="shared" si="439"/>
        <v>19</v>
      </c>
      <c r="GD831" s="101">
        <f t="shared" si="440"/>
        <v>0</v>
      </c>
      <c r="GE831" s="101">
        <f t="shared" si="441"/>
        <v>1</v>
      </c>
      <c r="GF831" s="101">
        <f t="shared" si="442"/>
        <v>5</v>
      </c>
      <c r="GG831" s="101">
        <f t="shared" si="443"/>
        <v>3.85E-2</v>
      </c>
      <c r="GH831" s="101">
        <f t="shared" si="444"/>
        <v>1</v>
      </c>
      <c r="GI831" s="101">
        <f t="shared" si="445"/>
        <v>9</v>
      </c>
      <c r="GJ831" s="101">
        <f t="shared" si="446"/>
        <v>0.15409999999999999</v>
      </c>
      <c r="GK831" s="101">
        <f t="shared" si="447"/>
        <v>1</v>
      </c>
      <c r="GL831" s="101">
        <f t="shared" si="448"/>
        <v>19</v>
      </c>
    </row>
    <row r="832" spans="170:194" ht="16.5" x14ac:dyDescent="0.2">
      <c r="FN832" s="101">
        <v>827</v>
      </c>
      <c r="FO832" s="101">
        <f t="shared" si="433"/>
        <v>24</v>
      </c>
      <c r="FP832" s="101">
        <f t="shared" si="426"/>
        <v>11</v>
      </c>
      <c r="FQ832" s="14">
        <f t="shared" si="427"/>
        <v>5</v>
      </c>
      <c r="FR832" s="101" t="str">
        <f t="shared" si="434"/>
        <v>夏侯惇专属武器-魂珠-3 6级</v>
      </c>
      <c r="FS832" s="101">
        <f t="shared" si="435"/>
        <v>3</v>
      </c>
      <c r="FT832" s="101">
        <f t="shared" si="436"/>
        <v>6</v>
      </c>
      <c r="FU832" s="101" t="str">
        <f t="shared" si="428"/>
        <v>金币</v>
      </c>
      <c r="FV832" s="139">
        <f>IF($FT832&gt;0,IF(INDEX($EI$6:$EI$77,$FO832)&gt;=FV$3,ROUND(INDEX(EK$6:EK$77,$FO832)*INDEX(卡牌消耗!$B$8:$F$8,FQ832)/5,0)*5,""),"")</f>
        <v>2200</v>
      </c>
      <c r="FW832" s="101" t="str">
        <f t="shared" si="429"/>
        <v>专属强化石1</v>
      </c>
      <c r="FX832" s="101">
        <f t="shared" si="430"/>
        <v>10</v>
      </c>
      <c r="FY832" s="101" t="str">
        <f t="shared" si="431"/>
        <v>专属强化石2</v>
      </c>
      <c r="FZ832" s="101">
        <f t="shared" si="432"/>
        <v>5</v>
      </c>
      <c r="GA832" s="101">
        <f t="shared" si="437"/>
        <v>0.06</v>
      </c>
      <c r="GB832" s="101">
        <f t="shared" si="438"/>
        <v>1</v>
      </c>
      <c r="GC832" s="101">
        <f t="shared" si="439"/>
        <v>25</v>
      </c>
      <c r="GD832" s="101">
        <f t="shared" si="440"/>
        <v>0</v>
      </c>
      <c r="GE832" s="101">
        <f t="shared" si="441"/>
        <v>1</v>
      </c>
      <c r="GF832" s="101">
        <f t="shared" si="442"/>
        <v>6</v>
      </c>
      <c r="GG832" s="101">
        <f t="shared" si="443"/>
        <v>2.9600000000000001E-2</v>
      </c>
      <c r="GH832" s="101">
        <f t="shared" si="444"/>
        <v>1</v>
      </c>
      <c r="GI832" s="101">
        <f t="shared" si="445"/>
        <v>12</v>
      </c>
      <c r="GJ832" s="101">
        <f t="shared" si="446"/>
        <v>0.1186</v>
      </c>
      <c r="GK832" s="101">
        <f t="shared" si="447"/>
        <v>1</v>
      </c>
      <c r="GL832" s="101">
        <f t="shared" si="448"/>
        <v>25</v>
      </c>
    </row>
    <row r="833" spans="170:194" ht="16.5" x14ac:dyDescent="0.2">
      <c r="FN833" s="101">
        <v>828</v>
      </c>
      <c r="FO833" s="101">
        <f t="shared" si="433"/>
        <v>25</v>
      </c>
      <c r="FP833" s="101">
        <f t="shared" si="426"/>
        <v>11</v>
      </c>
      <c r="FQ833" s="14">
        <f t="shared" si="427"/>
        <v>5</v>
      </c>
      <c r="FR833" s="101" t="str">
        <f t="shared" si="434"/>
        <v>夏侯惇专属武器-魂珠-3 7级</v>
      </c>
      <c r="FS833" s="101">
        <f t="shared" si="435"/>
        <v>3</v>
      </c>
      <c r="FT833" s="101">
        <f t="shared" si="436"/>
        <v>7</v>
      </c>
      <c r="FU833" s="101" t="str">
        <f t="shared" si="428"/>
        <v>金币</v>
      </c>
      <c r="FV833" s="139">
        <f>IF($FT833&gt;0,IF(INDEX($EI$6:$EI$77,$FO833)&gt;=FV$3,ROUND(INDEX(EK$6:EK$77,$FO833)*INDEX(卡牌消耗!$B$8:$F$8,FQ833)/5,0)*5,""),"")</f>
        <v>2650</v>
      </c>
      <c r="FW833" s="101" t="str">
        <f t="shared" si="429"/>
        <v>专属强化石1</v>
      </c>
      <c r="FX833" s="101">
        <f t="shared" si="430"/>
        <v>12</v>
      </c>
      <c r="FY833" s="101" t="str">
        <f t="shared" si="431"/>
        <v>专属强化石2</v>
      </c>
      <c r="FZ833" s="101">
        <f t="shared" si="432"/>
        <v>6</v>
      </c>
      <c r="GA833" s="101">
        <f t="shared" si="437"/>
        <v>0.04</v>
      </c>
      <c r="GB833" s="101">
        <f t="shared" si="438"/>
        <v>1</v>
      </c>
      <c r="GC833" s="101">
        <f t="shared" si="439"/>
        <v>34</v>
      </c>
      <c r="GD833" s="101">
        <f t="shared" si="440"/>
        <v>0</v>
      </c>
      <c r="GE833" s="101">
        <f t="shared" si="441"/>
        <v>1</v>
      </c>
      <c r="GF833" s="101">
        <f t="shared" si="442"/>
        <v>8</v>
      </c>
      <c r="GG833" s="101">
        <f t="shared" si="443"/>
        <v>2.1999999999999999E-2</v>
      </c>
      <c r="GH833" s="101">
        <f t="shared" si="444"/>
        <v>1</v>
      </c>
      <c r="GI833" s="101">
        <f t="shared" si="445"/>
        <v>16</v>
      </c>
      <c r="GJ833" s="101">
        <f t="shared" si="446"/>
        <v>8.8099999999999998E-2</v>
      </c>
      <c r="GK833" s="101">
        <f t="shared" si="447"/>
        <v>1</v>
      </c>
      <c r="GL833" s="101">
        <f t="shared" si="448"/>
        <v>34</v>
      </c>
    </row>
    <row r="834" spans="170:194" ht="16.5" x14ac:dyDescent="0.2">
      <c r="FN834" s="101">
        <v>829</v>
      </c>
      <c r="FO834" s="101">
        <f t="shared" si="433"/>
        <v>26</v>
      </c>
      <c r="FP834" s="101">
        <f t="shared" si="426"/>
        <v>11</v>
      </c>
      <c r="FQ834" s="14">
        <f t="shared" si="427"/>
        <v>5</v>
      </c>
      <c r="FR834" s="101" t="str">
        <f t="shared" si="434"/>
        <v>夏侯惇专属武器-魂珠-3 8级</v>
      </c>
      <c r="FS834" s="101">
        <f t="shared" si="435"/>
        <v>3</v>
      </c>
      <c r="FT834" s="101">
        <f t="shared" si="436"/>
        <v>8</v>
      </c>
      <c r="FU834" s="101" t="str">
        <f t="shared" si="428"/>
        <v>金币</v>
      </c>
      <c r="FV834" s="139">
        <f>IF($FT834&gt;0,IF(INDEX($EI$6:$EI$77,$FO834)&gt;=FV$3,ROUND(INDEX(EK$6:EK$77,$FO834)*INDEX(卡牌消耗!$B$8:$F$8,FQ834)/5,0)*5,""),"")</f>
        <v>3530</v>
      </c>
      <c r="FW834" s="101" t="str">
        <f t="shared" si="429"/>
        <v>专属强化石1</v>
      </c>
      <c r="FX834" s="101">
        <f t="shared" si="430"/>
        <v>16</v>
      </c>
      <c r="FY834" s="101" t="str">
        <f t="shared" si="431"/>
        <v>专属强化石2</v>
      </c>
      <c r="FZ834" s="101">
        <f t="shared" si="432"/>
        <v>8</v>
      </c>
      <c r="GA834" s="101">
        <f t="shared" si="437"/>
        <v>0.04</v>
      </c>
      <c r="GB834" s="101">
        <f t="shared" si="438"/>
        <v>1</v>
      </c>
      <c r="GC834" s="101">
        <f t="shared" si="439"/>
        <v>41</v>
      </c>
      <c r="GD834" s="101">
        <f t="shared" si="440"/>
        <v>0</v>
      </c>
      <c r="GE834" s="101">
        <f t="shared" si="441"/>
        <v>1</v>
      </c>
      <c r="GF834" s="101">
        <f t="shared" si="442"/>
        <v>10</v>
      </c>
      <c r="GG834" s="101">
        <f t="shared" si="443"/>
        <v>1.8100000000000002E-2</v>
      </c>
      <c r="GH834" s="101">
        <f t="shared" si="444"/>
        <v>1</v>
      </c>
      <c r="GI834" s="101">
        <f t="shared" si="445"/>
        <v>19</v>
      </c>
      <c r="GJ834" s="101">
        <f t="shared" si="446"/>
        <v>7.2499999999999995E-2</v>
      </c>
      <c r="GK834" s="101">
        <f t="shared" si="447"/>
        <v>1</v>
      </c>
      <c r="GL834" s="101">
        <f t="shared" si="448"/>
        <v>41</v>
      </c>
    </row>
    <row r="835" spans="170:194" ht="16.5" x14ac:dyDescent="0.2">
      <c r="FN835" s="101">
        <v>830</v>
      </c>
      <c r="FO835" s="101">
        <f t="shared" si="433"/>
        <v>27</v>
      </c>
      <c r="FP835" s="101">
        <f t="shared" si="426"/>
        <v>11</v>
      </c>
      <c r="FQ835" s="14">
        <f t="shared" si="427"/>
        <v>5</v>
      </c>
      <c r="FR835" s="101" t="str">
        <f t="shared" si="434"/>
        <v>夏侯惇专属武器-魂珠-3 9级</v>
      </c>
      <c r="FS835" s="101">
        <f t="shared" si="435"/>
        <v>3</v>
      </c>
      <c r="FT835" s="101">
        <f t="shared" si="436"/>
        <v>9</v>
      </c>
      <c r="FU835" s="101" t="str">
        <f t="shared" si="428"/>
        <v>金币</v>
      </c>
      <c r="FV835" s="139">
        <f>IF($FT835&gt;0,IF(INDEX($EI$6:$EI$77,$FO835)&gt;=FV$3,ROUND(INDEX(EK$6:EK$77,$FO835)*INDEX(卡牌消耗!$B$8:$F$8,FQ835)/5,0)*5,""),"")</f>
        <v>4415</v>
      </c>
      <c r="FW835" s="101" t="str">
        <f t="shared" si="429"/>
        <v>专属强化石1</v>
      </c>
      <c r="FX835" s="101">
        <f t="shared" si="430"/>
        <v>20</v>
      </c>
      <c r="FY835" s="101" t="str">
        <f t="shared" si="431"/>
        <v>专属强化石2</v>
      </c>
      <c r="FZ835" s="101">
        <f t="shared" si="432"/>
        <v>10</v>
      </c>
      <c r="GA835" s="101">
        <f t="shared" si="437"/>
        <v>0.03</v>
      </c>
      <c r="GB835" s="101">
        <f t="shared" si="438"/>
        <v>1</v>
      </c>
      <c r="GC835" s="101">
        <f t="shared" si="439"/>
        <v>54</v>
      </c>
      <c r="GD835" s="101">
        <f t="shared" si="440"/>
        <v>0</v>
      </c>
      <c r="GE835" s="101">
        <f t="shared" si="441"/>
        <v>1</v>
      </c>
      <c r="GF835" s="101">
        <f t="shared" si="442"/>
        <v>12</v>
      </c>
      <c r="GG835" s="101">
        <f t="shared" si="443"/>
        <v>1.4E-2</v>
      </c>
      <c r="GH835" s="101">
        <f t="shared" si="444"/>
        <v>1</v>
      </c>
      <c r="GI835" s="101">
        <f t="shared" si="445"/>
        <v>25</v>
      </c>
      <c r="GJ835" s="101">
        <f t="shared" si="446"/>
        <v>5.6000000000000001E-2</v>
      </c>
      <c r="GK835" s="101">
        <f t="shared" si="447"/>
        <v>1</v>
      </c>
      <c r="GL835" s="101">
        <f t="shared" si="448"/>
        <v>54</v>
      </c>
    </row>
    <row r="836" spans="170:194" ht="16.5" x14ac:dyDescent="0.2">
      <c r="FN836" s="101">
        <v>831</v>
      </c>
      <c r="FO836" s="101">
        <f t="shared" si="433"/>
        <v>0</v>
      </c>
      <c r="FP836" s="101">
        <f t="shared" si="426"/>
        <v>11</v>
      </c>
      <c r="FQ836" s="14">
        <f t="shared" si="427"/>
        <v>5</v>
      </c>
      <c r="FR836" s="101" t="str">
        <f t="shared" si="434"/>
        <v>夏侯惇专属武器-魂珠-4 0级</v>
      </c>
      <c r="FS836" s="101">
        <f t="shared" si="435"/>
        <v>4</v>
      </c>
      <c r="FT836" s="101">
        <f t="shared" si="436"/>
        <v>0</v>
      </c>
      <c r="FU836" s="101" t="str">
        <f t="shared" si="428"/>
        <v/>
      </c>
      <c r="FV836" s="139" t="str">
        <f>IF($FT836&gt;0,IF(INDEX($EI$6:$EI$77,$FO836)&gt;=FV$3,ROUND(INDEX(EK$6:EK$77,$FO836)*INDEX(卡牌消耗!$B$8:$F$8,FQ836)/5,0)*5,""),"")</f>
        <v/>
      </c>
      <c r="FW836" s="101" t="str">
        <f t="shared" si="429"/>
        <v/>
      </c>
      <c r="FX836" s="101" t="str">
        <f t="shared" si="430"/>
        <v/>
      </c>
      <c r="FY836" s="101" t="str">
        <f t="shared" si="431"/>
        <v/>
      </c>
      <c r="FZ836" s="101" t="str">
        <f t="shared" si="432"/>
        <v/>
      </c>
      <c r="GA836" s="101" t="str">
        <f t="shared" si="437"/>
        <v/>
      </c>
      <c r="GB836" s="101" t="str">
        <f t="shared" si="438"/>
        <v/>
      </c>
      <c r="GC836" s="101" t="str">
        <f t="shared" si="439"/>
        <v/>
      </c>
      <c r="GD836" s="101" t="str">
        <f t="shared" si="440"/>
        <v/>
      </c>
      <c r="GE836" s="101" t="str">
        <f t="shared" si="441"/>
        <v/>
      </c>
      <c r="GF836" s="101" t="str">
        <f t="shared" si="442"/>
        <v/>
      </c>
      <c r="GG836" s="101" t="str">
        <f t="shared" si="443"/>
        <v/>
      </c>
      <c r="GH836" s="101" t="str">
        <f t="shared" si="444"/>
        <v/>
      </c>
      <c r="GI836" s="101" t="str">
        <f t="shared" si="445"/>
        <v/>
      </c>
      <c r="GJ836" s="101" t="str">
        <f t="shared" si="446"/>
        <v/>
      </c>
      <c r="GK836" s="101" t="str">
        <f t="shared" si="447"/>
        <v/>
      </c>
      <c r="GL836" s="101" t="str">
        <f t="shared" si="448"/>
        <v/>
      </c>
    </row>
    <row r="837" spans="170:194" ht="16.5" x14ac:dyDescent="0.2">
      <c r="FN837" s="101">
        <v>832</v>
      </c>
      <c r="FO837" s="101">
        <f t="shared" si="433"/>
        <v>28</v>
      </c>
      <c r="FP837" s="101">
        <f t="shared" si="426"/>
        <v>11</v>
      </c>
      <c r="FQ837" s="14">
        <f t="shared" si="427"/>
        <v>5</v>
      </c>
      <c r="FR837" s="101" t="str">
        <f t="shared" si="434"/>
        <v>夏侯惇专属武器-魂珠-4 1级</v>
      </c>
      <c r="FS837" s="101">
        <f t="shared" si="435"/>
        <v>4</v>
      </c>
      <c r="FT837" s="101">
        <f t="shared" si="436"/>
        <v>1</v>
      </c>
      <c r="FU837" s="101" t="str">
        <f t="shared" si="428"/>
        <v>金币</v>
      </c>
      <c r="FV837" s="139">
        <f>IF($FT837&gt;0,IF(INDEX($EI$6:$EI$77,$FO837)&gt;=FV$3,ROUND(INDEX(EK$6:EK$77,$FO837)*INDEX(卡牌消耗!$B$8:$F$8,FQ837)/5,0)*5,""),"")</f>
        <v>1460</v>
      </c>
      <c r="FW837" s="101" t="str">
        <f t="shared" si="429"/>
        <v>专属强化石2</v>
      </c>
      <c r="FX837" s="101">
        <f t="shared" si="430"/>
        <v>3</v>
      </c>
      <c r="FY837" s="101" t="str">
        <f t="shared" si="431"/>
        <v>专属强化石3</v>
      </c>
      <c r="FZ837" s="101">
        <f t="shared" si="432"/>
        <v>1</v>
      </c>
      <c r="GA837" s="101">
        <f t="shared" si="437"/>
        <v>0.2</v>
      </c>
      <c r="GB837" s="101">
        <f t="shared" si="438"/>
        <v>1</v>
      </c>
      <c r="GC837" s="101">
        <f t="shared" si="439"/>
        <v>7</v>
      </c>
      <c r="GD837" s="101">
        <f t="shared" si="440"/>
        <v>0</v>
      </c>
      <c r="GE837" s="101">
        <f t="shared" si="441"/>
        <v>1</v>
      </c>
      <c r="GF837" s="101">
        <f t="shared" si="442"/>
        <v>2</v>
      </c>
      <c r="GG837" s="101">
        <f t="shared" si="443"/>
        <v>0.1012</v>
      </c>
      <c r="GH837" s="101">
        <f t="shared" si="444"/>
        <v>1</v>
      </c>
      <c r="GI837" s="101">
        <f t="shared" si="445"/>
        <v>3</v>
      </c>
      <c r="GJ837" s="101">
        <f t="shared" si="446"/>
        <v>0.40479999999999999</v>
      </c>
      <c r="GK837" s="101">
        <f t="shared" si="447"/>
        <v>1</v>
      </c>
      <c r="GL837" s="101">
        <f t="shared" si="448"/>
        <v>7</v>
      </c>
    </row>
    <row r="838" spans="170:194" ht="16.5" x14ac:dyDescent="0.2">
      <c r="FN838" s="101">
        <v>833</v>
      </c>
      <c r="FO838" s="101">
        <f t="shared" si="433"/>
        <v>29</v>
      </c>
      <c r="FP838" s="101">
        <f t="shared" si="426"/>
        <v>11</v>
      </c>
      <c r="FQ838" s="14">
        <f t="shared" si="427"/>
        <v>5</v>
      </c>
      <c r="FR838" s="101" t="str">
        <f t="shared" si="434"/>
        <v>夏侯惇专属武器-魂珠-4 2级</v>
      </c>
      <c r="FS838" s="101">
        <f t="shared" si="435"/>
        <v>4</v>
      </c>
      <c r="FT838" s="101">
        <f t="shared" si="436"/>
        <v>2</v>
      </c>
      <c r="FU838" s="101" t="str">
        <f t="shared" si="428"/>
        <v>金币</v>
      </c>
      <c r="FV838" s="139">
        <f>IF($FT838&gt;0,IF(INDEX($EI$6:$EI$77,$FO838)&gt;=FV$3,ROUND(INDEX(EK$6:EK$77,$FO838)*INDEX(卡牌消耗!$B$8:$F$8,FQ838)/5,0)*5,""),"")</f>
        <v>1095</v>
      </c>
      <c r="FW838" s="101" t="str">
        <f t="shared" si="429"/>
        <v>专属强化石2</v>
      </c>
      <c r="FX838" s="101">
        <f t="shared" si="430"/>
        <v>3</v>
      </c>
      <c r="FY838" s="101" t="str">
        <f t="shared" si="431"/>
        <v>专属强化石3</v>
      </c>
      <c r="FZ838" s="101">
        <f t="shared" si="432"/>
        <v>1</v>
      </c>
      <c r="GA838" s="101">
        <f t="shared" si="437"/>
        <v>0.1</v>
      </c>
      <c r="GB838" s="101">
        <f t="shared" si="438"/>
        <v>1</v>
      </c>
      <c r="GC838" s="101">
        <f t="shared" si="439"/>
        <v>15</v>
      </c>
      <c r="GD838" s="101">
        <f t="shared" si="440"/>
        <v>0</v>
      </c>
      <c r="GE838" s="101">
        <f t="shared" si="441"/>
        <v>1</v>
      </c>
      <c r="GF838" s="101">
        <f t="shared" si="442"/>
        <v>3</v>
      </c>
      <c r="GG838" s="101">
        <f t="shared" si="443"/>
        <v>5.0599999999999999E-2</v>
      </c>
      <c r="GH838" s="101">
        <f t="shared" si="444"/>
        <v>1</v>
      </c>
      <c r="GI838" s="101">
        <f t="shared" si="445"/>
        <v>7</v>
      </c>
      <c r="GJ838" s="101">
        <f t="shared" si="446"/>
        <v>0.2024</v>
      </c>
      <c r="GK838" s="101">
        <f t="shared" si="447"/>
        <v>1</v>
      </c>
      <c r="GL838" s="101">
        <f t="shared" si="448"/>
        <v>15</v>
      </c>
    </row>
    <row r="839" spans="170:194" ht="16.5" x14ac:dyDescent="0.2">
      <c r="FN839" s="101">
        <v>834</v>
      </c>
      <c r="FO839" s="101">
        <f t="shared" si="433"/>
        <v>30</v>
      </c>
      <c r="FP839" s="101">
        <f t="shared" ref="FP839:FP902" si="449">INT((FN839-1)/80+1)</f>
        <v>11</v>
      </c>
      <c r="FQ839" s="14">
        <f t="shared" ref="FQ839:FQ902" si="450">INDEX($FJ$6:$FJ$26,FP839)</f>
        <v>5</v>
      </c>
      <c r="FR839" s="101" t="str">
        <f t="shared" si="434"/>
        <v>夏侯惇专属武器-魂珠-4 3级</v>
      </c>
      <c r="FS839" s="101">
        <f t="shared" si="435"/>
        <v>4</v>
      </c>
      <c r="FT839" s="101">
        <f t="shared" si="436"/>
        <v>3</v>
      </c>
      <c r="FU839" s="101" t="str">
        <f t="shared" ref="FU839:FU902" si="451">IF($FT839&gt;0,IF(INDEX($EI$6:$EI$77,$FO839)&gt;=FU$3,INDEX(EJ$6:EJ$77,$FO839),""),"")</f>
        <v>金币</v>
      </c>
      <c r="FV839" s="139">
        <f>IF($FT839&gt;0,IF(INDEX($EI$6:$EI$77,$FO839)&gt;=FV$3,ROUND(INDEX(EK$6:EK$77,$FO839)*INDEX(卡牌消耗!$B$8:$F$8,FQ839)/5,0)*5,""),"")</f>
        <v>1215</v>
      </c>
      <c r="FW839" s="101" t="str">
        <f t="shared" ref="FW839:FW902" si="452">IF($FT839&gt;0,IF(INDEX($EI$6:$EI$77,$FO839)&gt;=FW$3,INDEX(EL$6:EL$77,$FO839),""),"")</f>
        <v>专属强化石2</v>
      </c>
      <c r="FX839" s="101">
        <f t="shared" ref="FX839:FX902" si="453">IF($FT839&gt;0,IF(INDEX($EI$6:$EI$77,$FO839)&gt;=FX$3,INDEX(EM$6:EM$77,$FO839),""),"")</f>
        <v>3</v>
      </c>
      <c r="FY839" s="101" t="str">
        <f t="shared" ref="FY839:FY902" si="454">IF($FT839&gt;0,IF(INDEX($EI$6:$EI$77,$FO839)&gt;=FY$3,INDEX(EN$6:EN$77,$FO839),""),"")</f>
        <v>专属强化石3</v>
      </c>
      <c r="FZ839" s="101">
        <f t="shared" ref="FZ839:FZ902" si="455">IF($FT839&gt;0,IF(INDEX($EI$6:$EI$77,$FO839)&gt;=FZ$3,INDEX(EO$6:EO$77,$FO839),""),"")</f>
        <v>1</v>
      </c>
      <c r="GA839" s="101">
        <f t="shared" si="437"/>
        <v>7.0000000000000007E-2</v>
      </c>
      <c r="GB839" s="101">
        <f t="shared" si="438"/>
        <v>1</v>
      </c>
      <c r="GC839" s="101">
        <f t="shared" si="439"/>
        <v>22</v>
      </c>
      <c r="GD839" s="101">
        <f t="shared" si="440"/>
        <v>0</v>
      </c>
      <c r="GE839" s="101">
        <f t="shared" si="441"/>
        <v>1</v>
      </c>
      <c r="GF839" s="101">
        <f t="shared" si="442"/>
        <v>5</v>
      </c>
      <c r="GG839" s="101">
        <f t="shared" si="443"/>
        <v>3.3700000000000001E-2</v>
      </c>
      <c r="GH839" s="101">
        <f t="shared" si="444"/>
        <v>1</v>
      </c>
      <c r="GI839" s="101">
        <f t="shared" si="445"/>
        <v>10</v>
      </c>
      <c r="GJ839" s="101">
        <f t="shared" si="446"/>
        <v>0.13489999999999999</v>
      </c>
      <c r="GK839" s="101">
        <f t="shared" si="447"/>
        <v>1</v>
      </c>
      <c r="GL839" s="101">
        <f t="shared" si="448"/>
        <v>22</v>
      </c>
    </row>
    <row r="840" spans="170:194" ht="16.5" x14ac:dyDescent="0.2">
      <c r="FN840" s="101">
        <v>835</v>
      </c>
      <c r="FO840" s="101">
        <f t="shared" si="433"/>
        <v>31</v>
      </c>
      <c r="FP840" s="101">
        <f t="shared" si="449"/>
        <v>11</v>
      </c>
      <c r="FQ840" s="14">
        <f t="shared" si="450"/>
        <v>5</v>
      </c>
      <c r="FR840" s="101" t="str">
        <f t="shared" si="434"/>
        <v>夏侯惇专属武器-魂珠-4 4级</v>
      </c>
      <c r="FS840" s="101">
        <f t="shared" si="435"/>
        <v>4</v>
      </c>
      <c r="FT840" s="101">
        <f t="shared" si="436"/>
        <v>4</v>
      </c>
      <c r="FU840" s="101" t="str">
        <f t="shared" si="451"/>
        <v>金币</v>
      </c>
      <c r="FV840" s="139">
        <f>IF($FT840&gt;0,IF(INDEX($EI$6:$EI$77,$FO840)&gt;=FV$3,ROUND(INDEX(EK$6:EK$77,$FO840)*INDEX(卡牌消耗!$B$8:$F$8,FQ840)/5,0)*5,""),"")</f>
        <v>2335</v>
      </c>
      <c r="FW840" s="101" t="str">
        <f t="shared" si="452"/>
        <v>专属强化石2</v>
      </c>
      <c r="FX840" s="101">
        <f t="shared" si="453"/>
        <v>5</v>
      </c>
      <c r="FY840" s="101" t="str">
        <f t="shared" si="454"/>
        <v>专属强化石3</v>
      </c>
      <c r="FZ840" s="101">
        <f t="shared" si="455"/>
        <v>2</v>
      </c>
      <c r="GA840" s="101">
        <f t="shared" si="437"/>
        <v>0.08</v>
      </c>
      <c r="GB840" s="101">
        <f t="shared" si="438"/>
        <v>1</v>
      </c>
      <c r="GC840" s="101">
        <f t="shared" si="439"/>
        <v>19</v>
      </c>
      <c r="GD840" s="101">
        <f t="shared" si="440"/>
        <v>0</v>
      </c>
      <c r="GE840" s="101">
        <f t="shared" si="441"/>
        <v>1</v>
      </c>
      <c r="GF840" s="101">
        <f t="shared" si="442"/>
        <v>4</v>
      </c>
      <c r="GG840" s="101">
        <f t="shared" si="443"/>
        <v>4.0500000000000001E-2</v>
      </c>
      <c r="GH840" s="101">
        <f t="shared" si="444"/>
        <v>1</v>
      </c>
      <c r="GI840" s="101">
        <f t="shared" si="445"/>
        <v>9</v>
      </c>
      <c r="GJ840" s="101">
        <f t="shared" si="446"/>
        <v>0.16189999999999999</v>
      </c>
      <c r="GK840" s="101">
        <f t="shared" si="447"/>
        <v>1</v>
      </c>
      <c r="GL840" s="101">
        <f t="shared" si="448"/>
        <v>19</v>
      </c>
    </row>
    <row r="841" spans="170:194" ht="16.5" x14ac:dyDescent="0.2">
      <c r="FN841" s="101">
        <v>836</v>
      </c>
      <c r="FO841" s="101">
        <f t="shared" si="433"/>
        <v>32</v>
      </c>
      <c r="FP841" s="101">
        <f t="shared" si="449"/>
        <v>11</v>
      </c>
      <c r="FQ841" s="14">
        <f t="shared" si="450"/>
        <v>5</v>
      </c>
      <c r="FR841" s="101" t="str">
        <f t="shared" si="434"/>
        <v>夏侯惇专属武器-魂珠-4 5级</v>
      </c>
      <c r="FS841" s="101">
        <f t="shared" si="435"/>
        <v>4</v>
      </c>
      <c r="FT841" s="101">
        <f t="shared" si="436"/>
        <v>5</v>
      </c>
      <c r="FU841" s="101" t="str">
        <f t="shared" si="451"/>
        <v>金币</v>
      </c>
      <c r="FV841" s="139">
        <f>IF($FT841&gt;0,IF(INDEX($EI$6:$EI$77,$FO841)&gt;=FV$3,ROUND(INDEX(EK$6:EK$77,$FO841)*INDEX(卡牌消耗!$B$8:$F$8,FQ841)/5,0)*5,""),"")</f>
        <v>2370</v>
      </c>
      <c r="FW841" s="101" t="str">
        <f t="shared" si="452"/>
        <v>专属强化石2</v>
      </c>
      <c r="FX841" s="101">
        <f t="shared" si="453"/>
        <v>5</v>
      </c>
      <c r="FY841" s="101" t="str">
        <f t="shared" si="454"/>
        <v>专属强化石3</v>
      </c>
      <c r="FZ841" s="101">
        <f t="shared" si="455"/>
        <v>2</v>
      </c>
      <c r="GA841" s="101">
        <f t="shared" si="437"/>
        <v>0.05</v>
      </c>
      <c r="GB841" s="101">
        <f t="shared" si="438"/>
        <v>1</v>
      </c>
      <c r="GC841" s="101">
        <f t="shared" si="439"/>
        <v>30</v>
      </c>
      <c r="GD841" s="101">
        <f t="shared" si="440"/>
        <v>0</v>
      </c>
      <c r="GE841" s="101">
        <f t="shared" si="441"/>
        <v>1</v>
      </c>
      <c r="GF841" s="101">
        <f t="shared" si="442"/>
        <v>7</v>
      </c>
      <c r="GG841" s="101">
        <f t="shared" si="443"/>
        <v>2.53E-2</v>
      </c>
      <c r="GH841" s="101">
        <f t="shared" si="444"/>
        <v>1</v>
      </c>
      <c r="GI841" s="101">
        <f t="shared" si="445"/>
        <v>14</v>
      </c>
      <c r="GJ841" s="101">
        <f t="shared" si="446"/>
        <v>0.1012</v>
      </c>
      <c r="GK841" s="101">
        <f t="shared" si="447"/>
        <v>1</v>
      </c>
      <c r="GL841" s="101">
        <f t="shared" si="448"/>
        <v>30</v>
      </c>
    </row>
    <row r="842" spans="170:194" ht="16.5" x14ac:dyDescent="0.2">
      <c r="FN842" s="101">
        <v>837</v>
      </c>
      <c r="FO842" s="101">
        <f t="shared" si="433"/>
        <v>33</v>
      </c>
      <c r="FP842" s="101">
        <f t="shared" si="449"/>
        <v>11</v>
      </c>
      <c r="FQ842" s="14">
        <f t="shared" si="450"/>
        <v>5</v>
      </c>
      <c r="FR842" s="101" t="str">
        <f t="shared" si="434"/>
        <v>夏侯惇专属武器-魂珠-4 6级</v>
      </c>
      <c r="FS842" s="101">
        <f t="shared" si="435"/>
        <v>4</v>
      </c>
      <c r="FT842" s="101">
        <f t="shared" si="436"/>
        <v>6</v>
      </c>
      <c r="FU842" s="101" t="str">
        <f t="shared" si="451"/>
        <v>金币</v>
      </c>
      <c r="FV842" s="139">
        <f>IF($FT842&gt;0,IF(INDEX($EI$6:$EI$77,$FO842)&gt;=FV$3,ROUND(INDEX(EK$6:EK$77,$FO842)*INDEX(卡牌消耗!$B$8:$F$8,FQ842)/5,0)*5,""),"")</f>
        <v>2360</v>
      </c>
      <c r="FW842" s="101" t="str">
        <f t="shared" si="452"/>
        <v>专属强化石2</v>
      </c>
      <c r="FX842" s="101">
        <f t="shared" si="453"/>
        <v>5</v>
      </c>
      <c r="FY842" s="101" t="str">
        <f t="shared" si="454"/>
        <v>专属强化石3</v>
      </c>
      <c r="FZ842" s="101">
        <f t="shared" si="455"/>
        <v>2</v>
      </c>
      <c r="GA842" s="101">
        <f t="shared" si="437"/>
        <v>0.03</v>
      </c>
      <c r="GB842" s="101">
        <f t="shared" si="438"/>
        <v>1</v>
      </c>
      <c r="GC842" s="101">
        <f t="shared" si="439"/>
        <v>48</v>
      </c>
      <c r="GD842" s="101">
        <f t="shared" si="440"/>
        <v>0</v>
      </c>
      <c r="GE842" s="101">
        <f t="shared" si="441"/>
        <v>1</v>
      </c>
      <c r="GF842" s="101">
        <f t="shared" si="442"/>
        <v>11</v>
      </c>
      <c r="GG842" s="101">
        <f t="shared" si="443"/>
        <v>1.5599999999999999E-2</v>
      </c>
      <c r="GH842" s="101">
        <f t="shared" si="444"/>
        <v>1</v>
      </c>
      <c r="GI842" s="101">
        <f t="shared" si="445"/>
        <v>22</v>
      </c>
      <c r="GJ842" s="101">
        <f t="shared" si="446"/>
        <v>6.2300000000000001E-2</v>
      </c>
      <c r="GK842" s="101">
        <f t="shared" si="447"/>
        <v>1</v>
      </c>
      <c r="GL842" s="101">
        <f t="shared" si="448"/>
        <v>48</v>
      </c>
    </row>
    <row r="843" spans="170:194" ht="16.5" x14ac:dyDescent="0.2">
      <c r="FN843" s="101">
        <v>838</v>
      </c>
      <c r="FO843" s="101">
        <f t="shared" si="433"/>
        <v>34</v>
      </c>
      <c r="FP843" s="101">
        <f t="shared" si="449"/>
        <v>11</v>
      </c>
      <c r="FQ843" s="14">
        <f t="shared" si="450"/>
        <v>5</v>
      </c>
      <c r="FR843" s="101" t="str">
        <f t="shared" si="434"/>
        <v>夏侯惇专属武器-魂珠-4 7级</v>
      </c>
      <c r="FS843" s="101">
        <f t="shared" si="435"/>
        <v>4</v>
      </c>
      <c r="FT843" s="101">
        <f t="shared" si="436"/>
        <v>7</v>
      </c>
      <c r="FU843" s="101" t="str">
        <f t="shared" si="451"/>
        <v>金币</v>
      </c>
      <c r="FV843" s="139">
        <f>IF($FT843&gt;0,IF(INDEX($EI$6:$EI$77,$FO843)&gt;=FV$3,ROUND(INDEX(EK$6:EK$77,$FO843)*INDEX(卡牌消耗!$B$8:$F$8,FQ843)/5,0)*5,""),"")</f>
        <v>3545</v>
      </c>
      <c r="FW843" s="101" t="str">
        <f t="shared" si="452"/>
        <v>专属强化石2</v>
      </c>
      <c r="FX843" s="101">
        <f t="shared" si="453"/>
        <v>8</v>
      </c>
      <c r="FY843" s="101" t="str">
        <f t="shared" si="454"/>
        <v>专属强化石3</v>
      </c>
      <c r="FZ843" s="101">
        <f t="shared" si="455"/>
        <v>3</v>
      </c>
      <c r="GA843" s="101">
        <f t="shared" si="437"/>
        <v>0.03</v>
      </c>
      <c r="GB843" s="101">
        <f t="shared" si="438"/>
        <v>1</v>
      </c>
      <c r="GC843" s="101">
        <f t="shared" si="439"/>
        <v>52</v>
      </c>
      <c r="GD843" s="101">
        <f t="shared" si="440"/>
        <v>0</v>
      </c>
      <c r="GE843" s="101">
        <f t="shared" si="441"/>
        <v>1</v>
      </c>
      <c r="GF843" s="101">
        <f t="shared" si="442"/>
        <v>12</v>
      </c>
      <c r="GG843" s="101">
        <f t="shared" si="443"/>
        <v>1.4500000000000001E-2</v>
      </c>
      <c r="GH843" s="101">
        <f t="shared" si="444"/>
        <v>1</v>
      </c>
      <c r="GI843" s="101">
        <f t="shared" si="445"/>
        <v>24</v>
      </c>
      <c r="GJ843" s="101">
        <f t="shared" si="446"/>
        <v>5.7799999999999997E-2</v>
      </c>
      <c r="GK843" s="101">
        <f t="shared" si="447"/>
        <v>1</v>
      </c>
      <c r="GL843" s="101">
        <f t="shared" si="448"/>
        <v>52</v>
      </c>
    </row>
    <row r="844" spans="170:194" ht="16.5" x14ac:dyDescent="0.2">
      <c r="FN844" s="101">
        <v>839</v>
      </c>
      <c r="FO844" s="101">
        <f t="shared" si="433"/>
        <v>35</v>
      </c>
      <c r="FP844" s="101">
        <f t="shared" si="449"/>
        <v>11</v>
      </c>
      <c r="FQ844" s="14">
        <f t="shared" si="450"/>
        <v>5</v>
      </c>
      <c r="FR844" s="101" t="str">
        <f t="shared" si="434"/>
        <v>夏侯惇专属武器-魂珠-4 8级</v>
      </c>
      <c r="FS844" s="101">
        <f t="shared" si="435"/>
        <v>4</v>
      </c>
      <c r="FT844" s="101">
        <f t="shared" si="436"/>
        <v>8</v>
      </c>
      <c r="FU844" s="101" t="str">
        <f t="shared" si="451"/>
        <v>金币</v>
      </c>
      <c r="FV844" s="139">
        <f>IF($FT844&gt;0,IF(INDEX($EI$6:$EI$77,$FO844)&gt;=FV$3,ROUND(INDEX(EK$6:EK$77,$FO844)*INDEX(卡牌消耗!$B$8:$F$8,FQ844)/5,0)*5,""),"")</f>
        <v>4720</v>
      </c>
      <c r="FW844" s="101" t="str">
        <f t="shared" si="452"/>
        <v>专属强化石2</v>
      </c>
      <c r="FX844" s="101">
        <f t="shared" si="453"/>
        <v>11</v>
      </c>
      <c r="FY844" s="101" t="str">
        <f t="shared" si="454"/>
        <v>专属强化石3</v>
      </c>
      <c r="FZ844" s="101">
        <f t="shared" si="455"/>
        <v>4</v>
      </c>
      <c r="GA844" s="101">
        <f t="shared" si="437"/>
        <v>0.02</v>
      </c>
      <c r="GB844" s="101">
        <f t="shared" si="438"/>
        <v>1</v>
      </c>
      <c r="GC844" s="101">
        <f t="shared" si="439"/>
        <v>63</v>
      </c>
      <c r="GD844" s="101">
        <f t="shared" si="440"/>
        <v>0</v>
      </c>
      <c r="GE844" s="101">
        <f t="shared" si="441"/>
        <v>1</v>
      </c>
      <c r="GF844" s="101">
        <f t="shared" si="442"/>
        <v>15</v>
      </c>
      <c r="GG844" s="101">
        <f t="shared" si="443"/>
        <v>1.1900000000000001E-2</v>
      </c>
      <c r="GH844" s="101">
        <f t="shared" si="444"/>
        <v>1</v>
      </c>
      <c r="GI844" s="101">
        <f t="shared" si="445"/>
        <v>29</v>
      </c>
      <c r="GJ844" s="101">
        <f t="shared" si="446"/>
        <v>4.7600000000000003E-2</v>
      </c>
      <c r="GK844" s="101">
        <f t="shared" si="447"/>
        <v>1</v>
      </c>
      <c r="GL844" s="101">
        <f t="shared" si="448"/>
        <v>63</v>
      </c>
    </row>
    <row r="845" spans="170:194" ht="16.5" x14ac:dyDescent="0.2">
      <c r="FN845" s="101">
        <v>840</v>
      </c>
      <c r="FO845" s="101">
        <f t="shared" si="433"/>
        <v>36</v>
      </c>
      <c r="FP845" s="101">
        <f t="shared" si="449"/>
        <v>11</v>
      </c>
      <c r="FQ845" s="14">
        <f t="shared" si="450"/>
        <v>5</v>
      </c>
      <c r="FR845" s="101" t="str">
        <f t="shared" si="434"/>
        <v>夏侯惇专属武器-魂珠-4 9级</v>
      </c>
      <c r="FS845" s="101">
        <f t="shared" si="435"/>
        <v>4</v>
      </c>
      <c r="FT845" s="101">
        <f t="shared" si="436"/>
        <v>9</v>
      </c>
      <c r="FU845" s="101" t="str">
        <f t="shared" si="451"/>
        <v>金币</v>
      </c>
      <c r="FV845" s="139">
        <f>IF($FT845&gt;0,IF(INDEX($EI$6:$EI$77,$FO845)&gt;=FV$3,ROUND(INDEX(EK$6:EK$77,$FO845)*INDEX(卡牌消耗!$B$8:$F$8,FQ845)/5,0)*5,""),"")</f>
        <v>7085</v>
      </c>
      <c r="FW845" s="101" t="str">
        <f t="shared" si="452"/>
        <v>专属强化石2</v>
      </c>
      <c r="FX845" s="101">
        <f t="shared" si="453"/>
        <v>16</v>
      </c>
      <c r="FY845" s="101" t="str">
        <f t="shared" si="454"/>
        <v>专属强化石3</v>
      </c>
      <c r="FZ845" s="101">
        <f t="shared" si="455"/>
        <v>6</v>
      </c>
      <c r="GA845" s="101">
        <f t="shared" si="437"/>
        <v>0.02</v>
      </c>
      <c r="GB845" s="101">
        <f t="shared" si="438"/>
        <v>1</v>
      </c>
      <c r="GC845" s="101">
        <f t="shared" si="439"/>
        <v>68</v>
      </c>
      <c r="GD845" s="101">
        <f t="shared" si="440"/>
        <v>0</v>
      </c>
      <c r="GE845" s="101">
        <f t="shared" si="441"/>
        <v>1</v>
      </c>
      <c r="GF845" s="101">
        <f t="shared" si="442"/>
        <v>16</v>
      </c>
      <c r="GG845" s="101">
        <f t="shared" si="443"/>
        <v>1.0999999999999999E-2</v>
      </c>
      <c r="GH845" s="101">
        <f t="shared" si="444"/>
        <v>1</v>
      </c>
      <c r="GI845" s="101">
        <f t="shared" si="445"/>
        <v>32</v>
      </c>
      <c r="GJ845" s="101">
        <f t="shared" si="446"/>
        <v>4.4200000000000003E-2</v>
      </c>
      <c r="GK845" s="101">
        <f t="shared" si="447"/>
        <v>1</v>
      </c>
      <c r="GL845" s="101">
        <f t="shared" si="448"/>
        <v>68</v>
      </c>
    </row>
    <row r="846" spans="170:194" ht="16.5" x14ac:dyDescent="0.2">
      <c r="FN846" s="101">
        <v>841</v>
      </c>
      <c r="FO846" s="101">
        <f t="shared" si="433"/>
        <v>0</v>
      </c>
      <c r="FP846" s="101">
        <f t="shared" si="449"/>
        <v>11</v>
      </c>
      <c r="FQ846" s="14">
        <f t="shared" si="450"/>
        <v>5</v>
      </c>
      <c r="FR846" s="101" t="str">
        <f t="shared" si="434"/>
        <v>夏侯惇专属武器-魂珠-5 0级</v>
      </c>
      <c r="FS846" s="101">
        <f t="shared" si="435"/>
        <v>5</v>
      </c>
      <c r="FT846" s="101">
        <f t="shared" si="436"/>
        <v>0</v>
      </c>
      <c r="FU846" s="101" t="str">
        <f t="shared" si="451"/>
        <v/>
      </c>
      <c r="FV846" s="139" t="str">
        <f>IF($FT846&gt;0,IF(INDEX($EI$6:$EI$77,$FO846)&gt;=FV$3,ROUND(INDEX(EK$6:EK$77,$FO846)*INDEX(卡牌消耗!$B$8:$F$8,FQ846)/5,0)*5,""),"")</f>
        <v/>
      </c>
      <c r="FW846" s="101" t="str">
        <f t="shared" si="452"/>
        <v/>
      </c>
      <c r="FX846" s="101" t="str">
        <f t="shared" si="453"/>
        <v/>
      </c>
      <c r="FY846" s="101" t="str">
        <f t="shared" si="454"/>
        <v/>
      </c>
      <c r="FZ846" s="101" t="str">
        <f t="shared" si="455"/>
        <v/>
      </c>
      <c r="GA846" s="101" t="str">
        <f t="shared" si="437"/>
        <v/>
      </c>
      <c r="GB846" s="101" t="str">
        <f t="shared" si="438"/>
        <v/>
      </c>
      <c r="GC846" s="101" t="str">
        <f t="shared" si="439"/>
        <v/>
      </c>
      <c r="GD846" s="101" t="str">
        <f t="shared" si="440"/>
        <v/>
      </c>
      <c r="GE846" s="101" t="str">
        <f t="shared" si="441"/>
        <v/>
      </c>
      <c r="GF846" s="101" t="str">
        <f t="shared" si="442"/>
        <v/>
      </c>
      <c r="GG846" s="101" t="str">
        <f t="shared" si="443"/>
        <v/>
      </c>
      <c r="GH846" s="101" t="str">
        <f t="shared" si="444"/>
        <v/>
      </c>
      <c r="GI846" s="101" t="str">
        <f t="shared" si="445"/>
        <v/>
      </c>
      <c r="GJ846" s="101" t="str">
        <f t="shared" si="446"/>
        <v/>
      </c>
      <c r="GK846" s="101" t="str">
        <f t="shared" si="447"/>
        <v/>
      </c>
      <c r="GL846" s="101" t="str">
        <f t="shared" si="448"/>
        <v/>
      </c>
    </row>
    <row r="847" spans="170:194" ht="16.5" x14ac:dyDescent="0.2">
      <c r="FN847" s="101">
        <v>842</v>
      </c>
      <c r="FO847" s="101">
        <f t="shared" si="433"/>
        <v>37</v>
      </c>
      <c r="FP847" s="101">
        <f t="shared" si="449"/>
        <v>11</v>
      </c>
      <c r="FQ847" s="14">
        <f t="shared" si="450"/>
        <v>5</v>
      </c>
      <c r="FR847" s="101" t="str">
        <f t="shared" si="434"/>
        <v>夏侯惇专属武器-魂珠-5 1级</v>
      </c>
      <c r="FS847" s="101">
        <f t="shared" si="435"/>
        <v>5</v>
      </c>
      <c r="FT847" s="101">
        <f t="shared" si="436"/>
        <v>1</v>
      </c>
      <c r="FU847" s="101" t="str">
        <f t="shared" si="451"/>
        <v>金币</v>
      </c>
      <c r="FV847" s="139">
        <f>IF($FT847&gt;0,IF(INDEX($EI$6:$EI$77,$FO847)&gt;=FV$3,ROUND(INDEX(EK$6:EK$77,$FO847)*INDEX(卡牌消耗!$B$8:$F$8,FQ847)/5,0)*5,""),"")</f>
        <v>2990</v>
      </c>
      <c r="FW847" s="101" t="str">
        <f t="shared" si="452"/>
        <v>专属强化石2</v>
      </c>
      <c r="FX847" s="101">
        <f t="shared" si="453"/>
        <v>3</v>
      </c>
      <c r="FY847" s="101" t="str">
        <f t="shared" si="454"/>
        <v>专属强化石3</v>
      </c>
      <c r="FZ847" s="101">
        <f t="shared" si="455"/>
        <v>2</v>
      </c>
      <c r="GA847" s="101">
        <f t="shared" si="437"/>
        <v>0.2</v>
      </c>
      <c r="GB847" s="101">
        <f t="shared" si="438"/>
        <v>1</v>
      </c>
      <c r="GC847" s="101">
        <f t="shared" si="439"/>
        <v>7</v>
      </c>
      <c r="GD847" s="101">
        <f t="shared" si="440"/>
        <v>0</v>
      </c>
      <c r="GE847" s="101">
        <f t="shared" si="441"/>
        <v>1</v>
      </c>
      <c r="GF847" s="101">
        <f t="shared" si="442"/>
        <v>2</v>
      </c>
      <c r="GG847" s="101">
        <f t="shared" si="443"/>
        <v>0.1012</v>
      </c>
      <c r="GH847" s="101">
        <f t="shared" si="444"/>
        <v>1</v>
      </c>
      <c r="GI847" s="101">
        <f t="shared" si="445"/>
        <v>3</v>
      </c>
      <c r="GJ847" s="101">
        <f t="shared" si="446"/>
        <v>0.40479999999999999</v>
      </c>
      <c r="GK847" s="101">
        <f t="shared" si="447"/>
        <v>1</v>
      </c>
      <c r="GL847" s="101">
        <f t="shared" si="448"/>
        <v>7</v>
      </c>
    </row>
    <row r="848" spans="170:194" ht="16.5" x14ac:dyDescent="0.2">
      <c r="FN848" s="101">
        <v>843</v>
      </c>
      <c r="FO848" s="101">
        <f t="shared" si="433"/>
        <v>38</v>
      </c>
      <c r="FP848" s="101">
        <f t="shared" si="449"/>
        <v>11</v>
      </c>
      <c r="FQ848" s="14">
        <f t="shared" si="450"/>
        <v>5</v>
      </c>
      <c r="FR848" s="101" t="str">
        <f t="shared" si="434"/>
        <v>夏侯惇专属武器-魂珠-5 2级</v>
      </c>
      <c r="FS848" s="101">
        <f t="shared" si="435"/>
        <v>5</v>
      </c>
      <c r="FT848" s="101">
        <f t="shared" si="436"/>
        <v>2</v>
      </c>
      <c r="FU848" s="101" t="str">
        <f t="shared" si="451"/>
        <v>金币</v>
      </c>
      <c r="FV848" s="139">
        <f>IF($FT848&gt;0,IF(INDEX($EI$6:$EI$77,$FO848)&gt;=FV$3,ROUND(INDEX(EK$6:EK$77,$FO848)*INDEX(卡牌消耗!$B$8:$F$8,FQ848)/5,0)*5,""),"")</f>
        <v>2245</v>
      </c>
      <c r="FW848" s="101" t="str">
        <f t="shared" si="452"/>
        <v>专属强化石2</v>
      </c>
      <c r="FX848" s="101">
        <f t="shared" si="453"/>
        <v>3</v>
      </c>
      <c r="FY848" s="101" t="str">
        <f t="shared" si="454"/>
        <v>专属强化石3</v>
      </c>
      <c r="FZ848" s="101">
        <f t="shared" si="455"/>
        <v>2</v>
      </c>
      <c r="GA848" s="101">
        <f t="shared" si="437"/>
        <v>0.1</v>
      </c>
      <c r="GB848" s="101">
        <f t="shared" si="438"/>
        <v>1</v>
      </c>
      <c r="GC848" s="101">
        <f t="shared" si="439"/>
        <v>15</v>
      </c>
      <c r="GD848" s="101">
        <f t="shared" si="440"/>
        <v>0</v>
      </c>
      <c r="GE848" s="101">
        <f t="shared" si="441"/>
        <v>1</v>
      </c>
      <c r="GF848" s="101">
        <f t="shared" si="442"/>
        <v>3</v>
      </c>
      <c r="GG848" s="101">
        <f t="shared" si="443"/>
        <v>5.0599999999999999E-2</v>
      </c>
      <c r="GH848" s="101">
        <f t="shared" si="444"/>
        <v>1</v>
      </c>
      <c r="GI848" s="101">
        <f t="shared" si="445"/>
        <v>7</v>
      </c>
      <c r="GJ848" s="101">
        <f t="shared" si="446"/>
        <v>0.2024</v>
      </c>
      <c r="GK848" s="101">
        <f t="shared" si="447"/>
        <v>1</v>
      </c>
      <c r="GL848" s="101">
        <f t="shared" si="448"/>
        <v>15</v>
      </c>
    </row>
    <row r="849" spans="170:194" ht="16.5" x14ac:dyDescent="0.2">
      <c r="FN849" s="101">
        <v>844</v>
      </c>
      <c r="FO849" s="101">
        <f t="shared" si="433"/>
        <v>39</v>
      </c>
      <c r="FP849" s="101">
        <f t="shared" si="449"/>
        <v>11</v>
      </c>
      <c r="FQ849" s="14">
        <f t="shared" si="450"/>
        <v>5</v>
      </c>
      <c r="FR849" s="101" t="str">
        <f t="shared" si="434"/>
        <v>夏侯惇专属武器-魂珠-5 3级</v>
      </c>
      <c r="FS849" s="101">
        <f t="shared" si="435"/>
        <v>5</v>
      </c>
      <c r="FT849" s="101">
        <f t="shared" si="436"/>
        <v>3</v>
      </c>
      <c r="FU849" s="101" t="str">
        <f t="shared" si="451"/>
        <v>金币</v>
      </c>
      <c r="FV849" s="139">
        <f>IF($FT849&gt;0,IF(INDEX($EI$6:$EI$77,$FO849)&gt;=FV$3,ROUND(INDEX(EK$6:EK$77,$FO849)*INDEX(卡牌消耗!$B$8:$F$8,FQ849)/5,0)*5,""),"")</f>
        <v>2490</v>
      </c>
      <c r="FW849" s="101" t="str">
        <f t="shared" si="452"/>
        <v>专属强化石2</v>
      </c>
      <c r="FX849" s="101">
        <f t="shared" si="453"/>
        <v>3</v>
      </c>
      <c r="FY849" s="101" t="str">
        <f t="shared" si="454"/>
        <v>专属强化石3</v>
      </c>
      <c r="FZ849" s="101">
        <f t="shared" si="455"/>
        <v>2</v>
      </c>
      <c r="GA849" s="101">
        <f t="shared" si="437"/>
        <v>7.0000000000000007E-2</v>
      </c>
      <c r="GB849" s="101">
        <f t="shared" si="438"/>
        <v>1</v>
      </c>
      <c r="GC849" s="101">
        <f t="shared" si="439"/>
        <v>22</v>
      </c>
      <c r="GD849" s="101">
        <f t="shared" si="440"/>
        <v>0</v>
      </c>
      <c r="GE849" s="101">
        <f t="shared" si="441"/>
        <v>1</v>
      </c>
      <c r="GF849" s="101">
        <f t="shared" si="442"/>
        <v>5</v>
      </c>
      <c r="GG849" s="101">
        <f t="shared" si="443"/>
        <v>3.3700000000000001E-2</v>
      </c>
      <c r="GH849" s="101">
        <f t="shared" si="444"/>
        <v>1</v>
      </c>
      <c r="GI849" s="101">
        <f t="shared" si="445"/>
        <v>10</v>
      </c>
      <c r="GJ849" s="101">
        <f t="shared" si="446"/>
        <v>0.13489999999999999</v>
      </c>
      <c r="GK849" s="101">
        <f t="shared" si="447"/>
        <v>1</v>
      </c>
      <c r="GL849" s="101">
        <f t="shared" si="448"/>
        <v>22</v>
      </c>
    </row>
    <row r="850" spans="170:194" ht="16.5" x14ac:dyDescent="0.2">
      <c r="FN850" s="101">
        <v>845</v>
      </c>
      <c r="FO850" s="101">
        <f t="shared" si="433"/>
        <v>40</v>
      </c>
      <c r="FP850" s="101">
        <f t="shared" si="449"/>
        <v>11</v>
      </c>
      <c r="FQ850" s="14">
        <f t="shared" si="450"/>
        <v>5</v>
      </c>
      <c r="FR850" s="101" t="str">
        <f t="shared" si="434"/>
        <v>夏侯惇专属武器-魂珠-5 4级</v>
      </c>
      <c r="FS850" s="101">
        <f t="shared" si="435"/>
        <v>5</v>
      </c>
      <c r="FT850" s="101">
        <f t="shared" si="436"/>
        <v>4</v>
      </c>
      <c r="FU850" s="101" t="str">
        <f t="shared" si="451"/>
        <v>金币</v>
      </c>
      <c r="FV850" s="139">
        <f>IF($FT850&gt;0,IF(INDEX($EI$6:$EI$77,$FO850)&gt;=FV$3,ROUND(INDEX(EK$6:EK$77,$FO850)*INDEX(卡牌消耗!$B$8:$F$8,FQ850)/5,0)*5,""),"")</f>
        <v>3590</v>
      </c>
      <c r="FW850" s="101" t="str">
        <f t="shared" si="452"/>
        <v>专属强化石2</v>
      </c>
      <c r="FX850" s="101">
        <f t="shared" si="453"/>
        <v>5</v>
      </c>
      <c r="FY850" s="101" t="str">
        <f t="shared" si="454"/>
        <v>专属强化石3</v>
      </c>
      <c r="FZ850" s="101">
        <f t="shared" si="455"/>
        <v>3</v>
      </c>
      <c r="GA850" s="101">
        <f t="shared" si="437"/>
        <v>0.06</v>
      </c>
      <c r="GB850" s="101">
        <f t="shared" si="438"/>
        <v>1</v>
      </c>
      <c r="GC850" s="101">
        <f t="shared" si="439"/>
        <v>25</v>
      </c>
      <c r="GD850" s="101">
        <f t="shared" si="440"/>
        <v>0</v>
      </c>
      <c r="GE850" s="101">
        <f t="shared" si="441"/>
        <v>1</v>
      </c>
      <c r="GF850" s="101">
        <f t="shared" si="442"/>
        <v>6</v>
      </c>
      <c r="GG850" s="101">
        <f t="shared" si="443"/>
        <v>3.04E-2</v>
      </c>
      <c r="GH850" s="101">
        <f t="shared" si="444"/>
        <v>1</v>
      </c>
      <c r="GI850" s="101">
        <f t="shared" si="445"/>
        <v>12</v>
      </c>
      <c r="GJ850" s="101">
        <f t="shared" si="446"/>
        <v>0.12139999999999999</v>
      </c>
      <c r="GK850" s="101">
        <f t="shared" si="447"/>
        <v>1</v>
      </c>
      <c r="GL850" s="101">
        <f t="shared" si="448"/>
        <v>25</v>
      </c>
    </row>
    <row r="851" spans="170:194" ht="16.5" x14ac:dyDescent="0.2">
      <c r="FN851" s="101">
        <v>846</v>
      </c>
      <c r="FO851" s="101">
        <f t="shared" si="433"/>
        <v>41</v>
      </c>
      <c r="FP851" s="101">
        <f t="shared" si="449"/>
        <v>11</v>
      </c>
      <c r="FQ851" s="14">
        <f t="shared" si="450"/>
        <v>5</v>
      </c>
      <c r="FR851" s="101" t="str">
        <f t="shared" si="434"/>
        <v>夏侯惇专属武器-魂珠-5 5级</v>
      </c>
      <c r="FS851" s="101">
        <f t="shared" si="435"/>
        <v>5</v>
      </c>
      <c r="FT851" s="101">
        <f t="shared" si="436"/>
        <v>5</v>
      </c>
      <c r="FU851" s="101" t="str">
        <f t="shared" si="451"/>
        <v>金币</v>
      </c>
      <c r="FV851" s="139">
        <f>IF($FT851&gt;0,IF(INDEX($EI$6:$EI$77,$FO851)&gt;=FV$3,ROUND(INDEX(EK$6:EK$77,$FO851)*INDEX(卡牌消耗!$B$8:$F$8,FQ851)/5,0)*5,""),"")</f>
        <v>3645</v>
      </c>
      <c r="FW851" s="101" t="str">
        <f t="shared" si="452"/>
        <v>专属强化石2</v>
      </c>
      <c r="FX851" s="101">
        <f t="shared" si="453"/>
        <v>5</v>
      </c>
      <c r="FY851" s="101" t="str">
        <f t="shared" si="454"/>
        <v>专属强化石3</v>
      </c>
      <c r="FZ851" s="101">
        <f t="shared" si="455"/>
        <v>3</v>
      </c>
      <c r="GA851" s="101">
        <f t="shared" si="437"/>
        <v>0.04</v>
      </c>
      <c r="GB851" s="101">
        <f t="shared" si="438"/>
        <v>1</v>
      </c>
      <c r="GC851" s="101">
        <f t="shared" si="439"/>
        <v>40</v>
      </c>
      <c r="GD851" s="101">
        <f t="shared" si="440"/>
        <v>0</v>
      </c>
      <c r="GE851" s="101">
        <f t="shared" si="441"/>
        <v>1</v>
      </c>
      <c r="GF851" s="101">
        <f t="shared" si="442"/>
        <v>9</v>
      </c>
      <c r="GG851" s="101">
        <f t="shared" si="443"/>
        <v>1.9E-2</v>
      </c>
      <c r="GH851" s="101">
        <f t="shared" si="444"/>
        <v>1</v>
      </c>
      <c r="GI851" s="101">
        <f t="shared" si="445"/>
        <v>18</v>
      </c>
      <c r="GJ851" s="101">
        <f t="shared" si="446"/>
        <v>7.5899999999999995E-2</v>
      </c>
      <c r="GK851" s="101">
        <f t="shared" si="447"/>
        <v>1</v>
      </c>
      <c r="GL851" s="101">
        <f t="shared" si="448"/>
        <v>40</v>
      </c>
    </row>
    <row r="852" spans="170:194" ht="16.5" x14ac:dyDescent="0.2">
      <c r="FN852" s="101">
        <v>847</v>
      </c>
      <c r="FO852" s="101">
        <f t="shared" si="433"/>
        <v>42</v>
      </c>
      <c r="FP852" s="101">
        <f t="shared" si="449"/>
        <v>11</v>
      </c>
      <c r="FQ852" s="14">
        <f t="shared" si="450"/>
        <v>5</v>
      </c>
      <c r="FR852" s="101" t="str">
        <f t="shared" si="434"/>
        <v>夏侯惇专属武器-魂珠-5 6级</v>
      </c>
      <c r="FS852" s="101">
        <f t="shared" si="435"/>
        <v>5</v>
      </c>
      <c r="FT852" s="101">
        <f t="shared" si="436"/>
        <v>6</v>
      </c>
      <c r="FU852" s="101" t="str">
        <f t="shared" si="451"/>
        <v>金币</v>
      </c>
      <c r="FV852" s="139">
        <f>IF($FT852&gt;0,IF(INDEX($EI$6:$EI$77,$FO852)&gt;=FV$3,ROUND(INDEX(EK$6:EK$77,$FO852)*INDEX(卡牌消耗!$B$8:$F$8,FQ852)/5,0)*5,""),"")</f>
        <v>6040</v>
      </c>
      <c r="FW852" s="101" t="str">
        <f t="shared" si="452"/>
        <v>专属强化石2</v>
      </c>
      <c r="FX852" s="101">
        <f t="shared" si="453"/>
        <v>8</v>
      </c>
      <c r="FY852" s="101" t="str">
        <f t="shared" si="454"/>
        <v>专属强化石3</v>
      </c>
      <c r="FZ852" s="101">
        <f t="shared" si="455"/>
        <v>5</v>
      </c>
      <c r="GA852" s="101">
        <f t="shared" si="437"/>
        <v>0.04</v>
      </c>
      <c r="GB852" s="101">
        <f t="shared" si="438"/>
        <v>1</v>
      </c>
      <c r="GC852" s="101">
        <f t="shared" si="439"/>
        <v>39</v>
      </c>
      <c r="GD852" s="101">
        <f t="shared" si="440"/>
        <v>0</v>
      </c>
      <c r="GE852" s="101">
        <f t="shared" si="441"/>
        <v>1</v>
      </c>
      <c r="GF852" s="101">
        <f t="shared" si="442"/>
        <v>9</v>
      </c>
      <c r="GG852" s="101">
        <f t="shared" si="443"/>
        <v>1.95E-2</v>
      </c>
      <c r="GH852" s="101">
        <f t="shared" si="444"/>
        <v>1</v>
      </c>
      <c r="GI852" s="101">
        <f t="shared" si="445"/>
        <v>18</v>
      </c>
      <c r="GJ852" s="101">
        <f t="shared" si="446"/>
        <v>7.7799999999999994E-2</v>
      </c>
      <c r="GK852" s="101">
        <f t="shared" si="447"/>
        <v>1</v>
      </c>
      <c r="GL852" s="101">
        <f t="shared" si="448"/>
        <v>39</v>
      </c>
    </row>
    <row r="853" spans="170:194" ht="16.5" x14ac:dyDescent="0.2">
      <c r="FN853" s="101">
        <v>848</v>
      </c>
      <c r="FO853" s="101">
        <f t="shared" si="433"/>
        <v>43</v>
      </c>
      <c r="FP853" s="101">
        <f t="shared" si="449"/>
        <v>11</v>
      </c>
      <c r="FQ853" s="14">
        <f t="shared" si="450"/>
        <v>5</v>
      </c>
      <c r="FR853" s="101" t="str">
        <f t="shared" si="434"/>
        <v>夏侯惇专属武器-魂珠-5 7级</v>
      </c>
      <c r="FS853" s="101">
        <f t="shared" si="435"/>
        <v>5</v>
      </c>
      <c r="FT853" s="101">
        <f t="shared" si="436"/>
        <v>7</v>
      </c>
      <c r="FU853" s="101" t="str">
        <f t="shared" si="451"/>
        <v>金币</v>
      </c>
      <c r="FV853" s="139">
        <f>IF($FT853&gt;0,IF(INDEX($EI$6:$EI$77,$FO853)&gt;=FV$3,ROUND(INDEX(EK$6:EK$77,$FO853)*INDEX(卡牌消耗!$B$8:$F$8,FQ853)/5,0)*5,""),"")</f>
        <v>6055</v>
      </c>
      <c r="FW853" s="101" t="str">
        <f t="shared" si="452"/>
        <v>专属强化石2</v>
      </c>
      <c r="FX853" s="101">
        <f t="shared" si="453"/>
        <v>8</v>
      </c>
      <c r="FY853" s="101" t="str">
        <f t="shared" si="454"/>
        <v>专属强化石3</v>
      </c>
      <c r="FZ853" s="101">
        <f t="shared" si="455"/>
        <v>5</v>
      </c>
      <c r="GA853" s="101">
        <f t="shared" si="437"/>
        <v>0.02</v>
      </c>
      <c r="GB853" s="101">
        <f t="shared" si="438"/>
        <v>1</v>
      </c>
      <c r="GC853" s="101">
        <f t="shared" si="439"/>
        <v>62</v>
      </c>
      <c r="GD853" s="101">
        <f t="shared" si="440"/>
        <v>0</v>
      </c>
      <c r="GE853" s="101">
        <f t="shared" si="441"/>
        <v>1</v>
      </c>
      <c r="GF853" s="101">
        <f t="shared" si="442"/>
        <v>15</v>
      </c>
      <c r="GG853" s="101">
        <f t="shared" si="443"/>
        <v>1.2E-2</v>
      </c>
      <c r="GH853" s="101">
        <f t="shared" si="444"/>
        <v>1</v>
      </c>
      <c r="GI853" s="101">
        <f t="shared" si="445"/>
        <v>29</v>
      </c>
      <c r="GJ853" s="101">
        <f t="shared" si="446"/>
        <v>4.82E-2</v>
      </c>
      <c r="GK853" s="101">
        <f t="shared" si="447"/>
        <v>1</v>
      </c>
      <c r="GL853" s="101">
        <f t="shared" si="448"/>
        <v>62</v>
      </c>
    </row>
    <row r="854" spans="170:194" ht="16.5" x14ac:dyDescent="0.2">
      <c r="FN854" s="101">
        <v>849</v>
      </c>
      <c r="FO854" s="101">
        <f t="shared" ref="FO854:FO917" si="456">IF(FT854&gt;0,(FS854-1)*9+FT854,0)</f>
        <v>44</v>
      </c>
      <c r="FP854" s="101">
        <f t="shared" si="449"/>
        <v>11</v>
      </c>
      <c r="FQ854" s="14">
        <f t="shared" si="450"/>
        <v>5</v>
      </c>
      <c r="FR854" s="101" t="str">
        <f t="shared" ref="FR854:FR917" si="457">INDEX($FI$6:$FI$26,FP854)&amp;"专属武器-魂珠-"&amp;FS854&amp;" "&amp;FT854&amp;"级"</f>
        <v>夏侯惇专属武器-魂珠-5 8级</v>
      </c>
      <c r="FS854" s="101">
        <f t="shared" ref="FS854:FS917" si="458">INT((FN854-(FP854-1)*80-1)/10)+1</f>
        <v>5</v>
      </c>
      <c r="FT854" s="101">
        <f t="shared" ref="FT854:FT917" si="459">FN854-(FP854-1)*80-(FS854-1)*10-1</f>
        <v>8</v>
      </c>
      <c r="FU854" s="101" t="str">
        <f t="shared" si="451"/>
        <v>金币</v>
      </c>
      <c r="FV854" s="139">
        <f>IF($FT854&gt;0,IF(INDEX($EI$6:$EI$77,$FO854)&gt;=FV$3,ROUND(INDEX(EK$6:EK$77,$FO854)*INDEX(卡牌消耗!$B$8:$F$8,FQ854)/5,0)*5,""),"")</f>
        <v>8470</v>
      </c>
      <c r="FW854" s="101" t="str">
        <f t="shared" si="452"/>
        <v>专属强化石2</v>
      </c>
      <c r="FX854" s="101">
        <f t="shared" si="453"/>
        <v>11</v>
      </c>
      <c r="FY854" s="101" t="str">
        <f t="shared" si="454"/>
        <v>专属强化石3</v>
      </c>
      <c r="FZ854" s="101">
        <f t="shared" si="455"/>
        <v>7</v>
      </c>
      <c r="GA854" s="101">
        <f t="shared" ref="GA854:GA917" si="460">IF($FT854&gt;0,INDEX(EP$6:EP$77,$FO854),"")</f>
        <v>0.02</v>
      </c>
      <c r="GB854" s="101">
        <f t="shared" ref="GB854:GB917" si="461">IF($FT854&gt;0,INDEX(EQ$6:EQ$77,$FO854),"")</f>
        <v>1</v>
      </c>
      <c r="GC854" s="101">
        <f t="shared" ref="GC854:GC917" si="462">IF($FT854&gt;0,INDEX(ER$6:ER$77,$FO854),"")</f>
        <v>72</v>
      </c>
      <c r="GD854" s="101">
        <f t="shared" ref="GD854:GD917" si="463">IF($FT854&gt;0,INDEX(EV$6:EV$77,$FO854),"")</f>
        <v>0</v>
      </c>
      <c r="GE854" s="101">
        <f t="shared" ref="GE854:GE917" si="464">IF($FT854&gt;0,INDEX(EW$6:EW$77,$FO854),"")</f>
        <v>1</v>
      </c>
      <c r="GF854" s="101">
        <f t="shared" ref="GF854:GF917" si="465">IF($FT854&gt;0,INDEX(EX$6:EX$77,$FO854),"")</f>
        <v>17</v>
      </c>
      <c r="GG854" s="101">
        <f t="shared" ref="GG854:GG917" si="466">IF($FT854&gt;0,INDEX(EY$6:EY$77,$FO854),"")</f>
        <v>1.04E-2</v>
      </c>
      <c r="GH854" s="101">
        <f t="shared" ref="GH854:GH917" si="467">IF($FT854&gt;0,INDEX(EZ$6:EZ$77,$FO854),"")</f>
        <v>1</v>
      </c>
      <c r="GI854" s="101">
        <f t="shared" ref="GI854:GI917" si="468">IF($FT854&gt;0,INDEX(FA$6:FA$77,$FO854),"")</f>
        <v>34</v>
      </c>
      <c r="GJ854" s="101">
        <f t="shared" ref="GJ854:GJ917" si="469">IF($FT854&gt;0,INDEX(FB$6:FB$77,$FO854),"")</f>
        <v>4.1700000000000001E-2</v>
      </c>
      <c r="GK854" s="101">
        <f t="shared" ref="GK854:GK917" si="470">IF($FT854&gt;0,INDEX(FC$6:FC$77,$FO854),"")</f>
        <v>1</v>
      </c>
      <c r="GL854" s="101">
        <f t="shared" ref="GL854:GL917" si="471">IF($FT854&gt;0,INDEX(FD$6:FD$77,$FO854),"")</f>
        <v>72</v>
      </c>
    </row>
    <row r="855" spans="170:194" ht="16.5" x14ac:dyDescent="0.2">
      <c r="FN855" s="101">
        <v>850</v>
      </c>
      <c r="FO855" s="101">
        <f t="shared" si="456"/>
        <v>45</v>
      </c>
      <c r="FP855" s="101">
        <f t="shared" si="449"/>
        <v>11</v>
      </c>
      <c r="FQ855" s="14">
        <f t="shared" si="450"/>
        <v>5</v>
      </c>
      <c r="FR855" s="101" t="str">
        <f t="shared" si="457"/>
        <v>夏侯惇专属武器-魂珠-5 9级</v>
      </c>
      <c r="FS855" s="101">
        <f t="shared" si="458"/>
        <v>5</v>
      </c>
      <c r="FT855" s="101">
        <f t="shared" si="459"/>
        <v>9</v>
      </c>
      <c r="FU855" s="101" t="str">
        <f t="shared" si="451"/>
        <v>金币</v>
      </c>
      <c r="FV855" s="139">
        <f>IF($FT855&gt;0,IF(INDEX($EI$6:$EI$77,$FO855)&gt;=FV$3,ROUND(INDEX(EK$6:EK$77,$FO855)*INDEX(卡牌消耗!$B$8:$F$8,FQ855)/5,0)*5,""),"")</f>
        <v>10890</v>
      </c>
      <c r="FW855" s="101" t="str">
        <f t="shared" si="452"/>
        <v>专属强化石2</v>
      </c>
      <c r="FX855" s="101">
        <f t="shared" si="453"/>
        <v>14</v>
      </c>
      <c r="FY855" s="101" t="str">
        <f t="shared" si="454"/>
        <v>专属强化石3</v>
      </c>
      <c r="FZ855" s="101">
        <f t="shared" si="455"/>
        <v>9</v>
      </c>
      <c r="GA855" s="101">
        <f t="shared" si="460"/>
        <v>0.02</v>
      </c>
      <c r="GB855" s="101">
        <f t="shared" si="461"/>
        <v>1</v>
      </c>
      <c r="GC855" s="101">
        <f t="shared" si="462"/>
        <v>91</v>
      </c>
      <c r="GD855" s="101">
        <f t="shared" si="463"/>
        <v>0</v>
      </c>
      <c r="GE855" s="101">
        <f t="shared" si="464"/>
        <v>1</v>
      </c>
      <c r="GF855" s="101">
        <f t="shared" si="465"/>
        <v>21</v>
      </c>
      <c r="GG855" s="101">
        <f t="shared" si="466"/>
        <v>8.3000000000000001E-3</v>
      </c>
      <c r="GH855" s="101">
        <f t="shared" si="467"/>
        <v>1</v>
      </c>
      <c r="GI855" s="101">
        <f t="shared" si="468"/>
        <v>42</v>
      </c>
      <c r="GJ855" s="101">
        <f t="shared" si="469"/>
        <v>3.3099999999999997E-2</v>
      </c>
      <c r="GK855" s="101">
        <f t="shared" si="470"/>
        <v>1</v>
      </c>
      <c r="GL855" s="101">
        <f t="shared" si="471"/>
        <v>91</v>
      </c>
    </row>
    <row r="856" spans="170:194" ht="16.5" x14ac:dyDescent="0.2">
      <c r="FN856" s="101">
        <v>851</v>
      </c>
      <c r="FO856" s="101">
        <f t="shared" si="456"/>
        <v>0</v>
      </c>
      <c r="FP856" s="101">
        <f t="shared" si="449"/>
        <v>11</v>
      </c>
      <c r="FQ856" s="14">
        <f t="shared" si="450"/>
        <v>5</v>
      </c>
      <c r="FR856" s="101" t="str">
        <f t="shared" si="457"/>
        <v>夏侯惇专属武器-魂珠-6 0级</v>
      </c>
      <c r="FS856" s="101">
        <f t="shared" si="458"/>
        <v>6</v>
      </c>
      <c r="FT856" s="101">
        <f t="shared" si="459"/>
        <v>0</v>
      </c>
      <c r="FU856" s="101" t="str">
        <f t="shared" si="451"/>
        <v/>
      </c>
      <c r="FV856" s="139" t="str">
        <f>IF($FT856&gt;0,IF(INDEX($EI$6:$EI$77,$FO856)&gt;=FV$3,ROUND(INDEX(EK$6:EK$77,$FO856)*INDEX(卡牌消耗!$B$8:$F$8,FQ856)/5,0)*5,""),"")</f>
        <v/>
      </c>
      <c r="FW856" s="101" t="str">
        <f t="shared" si="452"/>
        <v/>
      </c>
      <c r="FX856" s="101" t="str">
        <f t="shared" si="453"/>
        <v/>
      </c>
      <c r="FY856" s="101" t="str">
        <f t="shared" si="454"/>
        <v/>
      </c>
      <c r="FZ856" s="101" t="str">
        <f t="shared" si="455"/>
        <v/>
      </c>
      <c r="GA856" s="101" t="str">
        <f t="shared" si="460"/>
        <v/>
      </c>
      <c r="GB856" s="101" t="str">
        <f t="shared" si="461"/>
        <v/>
      </c>
      <c r="GC856" s="101" t="str">
        <f t="shared" si="462"/>
        <v/>
      </c>
      <c r="GD856" s="101" t="str">
        <f t="shared" si="463"/>
        <v/>
      </c>
      <c r="GE856" s="101" t="str">
        <f t="shared" si="464"/>
        <v/>
      </c>
      <c r="GF856" s="101" t="str">
        <f t="shared" si="465"/>
        <v/>
      </c>
      <c r="GG856" s="101" t="str">
        <f t="shared" si="466"/>
        <v/>
      </c>
      <c r="GH856" s="101" t="str">
        <f t="shared" si="467"/>
        <v/>
      </c>
      <c r="GI856" s="101" t="str">
        <f t="shared" si="468"/>
        <v/>
      </c>
      <c r="GJ856" s="101" t="str">
        <f t="shared" si="469"/>
        <v/>
      </c>
      <c r="GK856" s="101" t="str">
        <f t="shared" si="470"/>
        <v/>
      </c>
      <c r="GL856" s="101" t="str">
        <f t="shared" si="471"/>
        <v/>
      </c>
    </row>
    <row r="857" spans="170:194" ht="16.5" x14ac:dyDescent="0.2">
      <c r="FN857" s="101">
        <v>852</v>
      </c>
      <c r="FO857" s="101">
        <f t="shared" si="456"/>
        <v>46</v>
      </c>
      <c r="FP857" s="101">
        <f t="shared" si="449"/>
        <v>11</v>
      </c>
      <c r="FQ857" s="14">
        <f t="shared" si="450"/>
        <v>5</v>
      </c>
      <c r="FR857" s="101" t="str">
        <f t="shared" si="457"/>
        <v>夏侯惇专属武器-魂珠-6 1级</v>
      </c>
      <c r="FS857" s="101">
        <f t="shared" si="458"/>
        <v>6</v>
      </c>
      <c r="FT857" s="101">
        <f t="shared" si="459"/>
        <v>1</v>
      </c>
      <c r="FU857" s="101" t="str">
        <f t="shared" si="451"/>
        <v>金币</v>
      </c>
      <c r="FV857" s="139">
        <f>IF($FT857&gt;0,IF(INDEX($EI$6:$EI$77,$FO857)&gt;=FV$3,ROUND(INDEX(EK$6:EK$77,$FO857)*INDEX(卡牌消耗!$B$8:$F$8,FQ857)/5,0)*5,""),"")</f>
        <v>2910</v>
      </c>
      <c r="FW857" s="101" t="str">
        <f t="shared" si="452"/>
        <v>专属强化石3</v>
      </c>
      <c r="FX857" s="101">
        <f t="shared" si="453"/>
        <v>5</v>
      </c>
      <c r="FY857" s="101" t="str">
        <f t="shared" si="454"/>
        <v>专属强化石4</v>
      </c>
      <c r="FZ857" s="101">
        <f t="shared" si="455"/>
        <v>1</v>
      </c>
      <c r="GA857" s="101">
        <f t="shared" si="460"/>
        <v>0.17</v>
      </c>
      <c r="GB857" s="101">
        <f t="shared" si="461"/>
        <v>1</v>
      </c>
      <c r="GC857" s="101">
        <f t="shared" si="462"/>
        <v>9</v>
      </c>
      <c r="GD857" s="101">
        <f t="shared" si="463"/>
        <v>0</v>
      </c>
      <c r="GE857" s="101">
        <f t="shared" si="464"/>
        <v>1</v>
      </c>
      <c r="GF857" s="101">
        <f t="shared" si="465"/>
        <v>2</v>
      </c>
      <c r="GG857" s="101">
        <f t="shared" si="466"/>
        <v>8.2900000000000001E-2</v>
      </c>
      <c r="GH857" s="101">
        <f t="shared" si="467"/>
        <v>1</v>
      </c>
      <c r="GI857" s="101">
        <f t="shared" si="468"/>
        <v>4</v>
      </c>
      <c r="GJ857" s="101">
        <f t="shared" si="469"/>
        <v>0.33139999999999997</v>
      </c>
      <c r="GK857" s="101">
        <f t="shared" si="470"/>
        <v>1</v>
      </c>
      <c r="GL857" s="101">
        <f t="shared" si="471"/>
        <v>9</v>
      </c>
    </row>
    <row r="858" spans="170:194" ht="16.5" x14ac:dyDescent="0.2">
      <c r="FN858" s="101">
        <v>853</v>
      </c>
      <c r="FO858" s="101">
        <f t="shared" si="456"/>
        <v>47</v>
      </c>
      <c r="FP858" s="101">
        <f t="shared" si="449"/>
        <v>11</v>
      </c>
      <c r="FQ858" s="14">
        <f t="shared" si="450"/>
        <v>5</v>
      </c>
      <c r="FR858" s="101" t="str">
        <f t="shared" si="457"/>
        <v>夏侯惇专属武器-魂珠-6 2级</v>
      </c>
      <c r="FS858" s="101">
        <f t="shared" si="458"/>
        <v>6</v>
      </c>
      <c r="FT858" s="101">
        <f t="shared" si="459"/>
        <v>2</v>
      </c>
      <c r="FU858" s="101" t="str">
        <f t="shared" si="451"/>
        <v>金币</v>
      </c>
      <c r="FV858" s="139">
        <f>IF($FT858&gt;0,IF(INDEX($EI$6:$EI$77,$FO858)&gt;=FV$3,ROUND(INDEX(EK$6:EK$77,$FO858)*INDEX(卡牌消耗!$B$8:$F$8,FQ858)/5,0)*5,""),"")</f>
        <v>4360</v>
      </c>
      <c r="FW858" s="101" t="str">
        <f t="shared" si="452"/>
        <v>专属强化石3</v>
      </c>
      <c r="FX858" s="101">
        <f t="shared" si="453"/>
        <v>10</v>
      </c>
      <c r="FY858" s="101" t="str">
        <f t="shared" si="454"/>
        <v>专属强化石4</v>
      </c>
      <c r="FZ858" s="101">
        <f t="shared" si="455"/>
        <v>2</v>
      </c>
      <c r="GA858" s="101">
        <f t="shared" si="460"/>
        <v>0.17</v>
      </c>
      <c r="GB858" s="101">
        <f t="shared" si="461"/>
        <v>1</v>
      </c>
      <c r="GC858" s="101">
        <f t="shared" si="462"/>
        <v>9</v>
      </c>
      <c r="GD858" s="101">
        <f t="shared" si="463"/>
        <v>0</v>
      </c>
      <c r="GE858" s="101">
        <f t="shared" si="464"/>
        <v>1</v>
      </c>
      <c r="GF858" s="101">
        <f t="shared" si="465"/>
        <v>2</v>
      </c>
      <c r="GG858" s="101">
        <f t="shared" si="466"/>
        <v>8.2900000000000001E-2</v>
      </c>
      <c r="GH858" s="101">
        <f t="shared" si="467"/>
        <v>1</v>
      </c>
      <c r="GI858" s="101">
        <f t="shared" si="468"/>
        <v>4</v>
      </c>
      <c r="GJ858" s="101">
        <f t="shared" si="469"/>
        <v>0.33139999999999997</v>
      </c>
      <c r="GK858" s="101">
        <f t="shared" si="470"/>
        <v>1</v>
      </c>
      <c r="GL858" s="101">
        <f t="shared" si="471"/>
        <v>9</v>
      </c>
    </row>
    <row r="859" spans="170:194" ht="16.5" x14ac:dyDescent="0.2">
      <c r="FN859" s="101">
        <v>854</v>
      </c>
      <c r="FO859" s="101">
        <f t="shared" si="456"/>
        <v>48</v>
      </c>
      <c r="FP859" s="101">
        <f t="shared" si="449"/>
        <v>11</v>
      </c>
      <c r="FQ859" s="14">
        <f t="shared" si="450"/>
        <v>5</v>
      </c>
      <c r="FR859" s="101" t="str">
        <f t="shared" si="457"/>
        <v>夏侯惇专属武器-魂珠-6 3级</v>
      </c>
      <c r="FS859" s="101">
        <f t="shared" si="458"/>
        <v>6</v>
      </c>
      <c r="FT859" s="101">
        <f t="shared" si="459"/>
        <v>3</v>
      </c>
      <c r="FU859" s="101" t="str">
        <f t="shared" si="451"/>
        <v>金币</v>
      </c>
      <c r="FV859" s="139">
        <f>IF($FT859&gt;0,IF(INDEX($EI$6:$EI$77,$FO859)&gt;=FV$3,ROUND(INDEX(EK$6:EK$77,$FO859)*INDEX(卡牌消耗!$B$8:$F$8,FQ859)/5,0)*5,""),"")</f>
        <v>4845</v>
      </c>
      <c r="FW859" s="101" t="str">
        <f t="shared" si="452"/>
        <v>专属强化石3</v>
      </c>
      <c r="FX859" s="101">
        <f t="shared" si="453"/>
        <v>10</v>
      </c>
      <c r="FY859" s="101" t="str">
        <f t="shared" si="454"/>
        <v>专属强化石4</v>
      </c>
      <c r="FZ859" s="101">
        <f t="shared" si="455"/>
        <v>2</v>
      </c>
      <c r="GA859" s="101">
        <f t="shared" si="460"/>
        <v>0.11</v>
      </c>
      <c r="GB859" s="101">
        <f t="shared" si="461"/>
        <v>1</v>
      </c>
      <c r="GC859" s="101">
        <f t="shared" si="462"/>
        <v>14</v>
      </c>
      <c r="GD859" s="101">
        <f t="shared" si="463"/>
        <v>0</v>
      </c>
      <c r="GE859" s="101">
        <f t="shared" si="464"/>
        <v>1</v>
      </c>
      <c r="GF859" s="101">
        <f t="shared" si="465"/>
        <v>3</v>
      </c>
      <c r="GG859" s="101">
        <f t="shared" si="466"/>
        <v>5.5199999999999999E-2</v>
      </c>
      <c r="GH859" s="101">
        <f t="shared" si="467"/>
        <v>1</v>
      </c>
      <c r="GI859" s="101">
        <f t="shared" si="468"/>
        <v>6</v>
      </c>
      <c r="GJ859" s="101">
        <f t="shared" si="469"/>
        <v>0.221</v>
      </c>
      <c r="GK859" s="101">
        <f t="shared" si="470"/>
        <v>1</v>
      </c>
      <c r="GL859" s="101">
        <f t="shared" si="471"/>
        <v>14</v>
      </c>
    </row>
    <row r="860" spans="170:194" ht="16.5" x14ac:dyDescent="0.2">
      <c r="FN860" s="101">
        <v>855</v>
      </c>
      <c r="FO860" s="101">
        <f t="shared" si="456"/>
        <v>49</v>
      </c>
      <c r="FP860" s="101">
        <f t="shared" si="449"/>
        <v>11</v>
      </c>
      <c r="FQ860" s="14">
        <f t="shared" si="450"/>
        <v>5</v>
      </c>
      <c r="FR860" s="101" t="str">
        <f t="shared" si="457"/>
        <v>夏侯惇专属武器-魂珠-6 4级</v>
      </c>
      <c r="FS860" s="101">
        <f t="shared" si="458"/>
        <v>6</v>
      </c>
      <c r="FT860" s="101">
        <f t="shared" si="459"/>
        <v>4</v>
      </c>
      <c r="FU860" s="101" t="str">
        <f t="shared" si="451"/>
        <v>金币</v>
      </c>
      <c r="FV860" s="139">
        <f>IF($FT860&gt;0,IF(INDEX($EI$6:$EI$77,$FO860)&gt;=FV$3,ROUND(INDEX(EK$6:EK$77,$FO860)*INDEX(卡牌消耗!$B$8:$F$8,FQ860)/5,0)*5,""),"")</f>
        <v>6980</v>
      </c>
      <c r="FW860" s="101" t="str">
        <f t="shared" si="452"/>
        <v>专属强化石3</v>
      </c>
      <c r="FX860" s="101">
        <f t="shared" si="453"/>
        <v>15</v>
      </c>
      <c r="FY860" s="101" t="str">
        <f t="shared" si="454"/>
        <v>专属强化石4</v>
      </c>
      <c r="FZ860" s="101">
        <f t="shared" si="455"/>
        <v>3</v>
      </c>
      <c r="GA860" s="101">
        <f t="shared" si="460"/>
        <v>0.1</v>
      </c>
      <c r="GB860" s="101">
        <f t="shared" si="461"/>
        <v>1</v>
      </c>
      <c r="GC860" s="101">
        <f t="shared" si="462"/>
        <v>15</v>
      </c>
      <c r="GD860" s="101">
        <f t="shared" si="463"/>
        <v>0</v>
      </c>
      <c r="GE860" s="101">
        <f t="shared" si="464"/>
        <v>1</v>
      </c>
      <c r="GF860" s="101">
        <f t="shared" si="465"/>
        <v>4</v>
      </c>
      <c r="GG860" s="101">
        <f t="shared" si="466"/>
        <v>4.9700000000000001E-2</v>
      </c>
      <c r="GH860" s="101">
        <f t="shared" si="467"/>
        <v>1</v>
      </c>
      <c r="GI860" s="101">
        <f t="shared" si="468"/>
        <v>7</v>
      </c>
      <c r="GJ860" s="101">
        <f t="shared" si="469"/>
        <v>0.19889999999999999</v>
      </c>
      <c r="GK860" s="101">
        <f t="shared" si="470"/>
        <v>1</v>
      </c>
      <c r="GL860" s="101">
        <f t="shared" si="471"/>
        <v>15</v>
      </c>
    </row>
    <row r="861" spans="170:194" ht="16.5" x14ac:dyDescent="0.2">
      <c r="FN861" s="101">
        <v>856</v>
      </c>
      <c r="FO861" s="101">
        <f t="shared" si="456"/>
        <v>50</v>
      </c>
      <c r="FP861" s="101">
        <f t="shared" si="449"/>
        <v>11</v>
      </c>
      <c r="FQ861" s="14">
        <f t="shared" si="450"/>
        <v>5</v>
      </c>
      <c r="FR861" s="101" t="str">
        <f t="shared" si="457"/>
        <v>夏侯惇专属武器-魂珠-6 5级</v>
      </c>
      <c r="FS861" s="101">
        <f t="shared" si="458"/>
        <v>6</v>
      </c>
      <c r="FT861" s="101">
        <f t="shared" si="459"/>
        <v>5</v>
      </c>
      <c r="FU861" s="101" t="str">
        <f t="shared" si="451"/>
        <v>金币</v>
      </c>
      <c r="FV861" s="139">
        <f>IF($FT861&gt;0,IF(INDEX($EI$6:$EI$77,$FO861)&gt;=FV$3,ROUND(INDEX(EK$6:EK$77,$FO861)*INDEX(卡牌消耗!$B$8:$F$8,FQ861)/5,0)*5,""),"")</f>
        <v>7090</v>
      </c>
      <c r="FW861" s="101" t="str">
        <f t="shared" si="452"/>
        <v>专属强化石3</v>
      </c>
      <c r="FX861" s="101">
        <f t="shared" si="453"/>
        <v>15</v>
      </c>
      <c r="FY861" s="101" t="str">
        <f t="shared" si="454"/>
        <v>专属强化石4</v>
      </c>
      <c r="FZ861" s="101">
        <f t="shared" si="455"/>
        <v>3</v>
      </c>
      <c r="GA861" s="101">
        <f t="shared" si="460"/>
        <v>0.06</v>
      </c>
      <c r="GB861" s="101">
        <f t="shared" si="461"/>
        <v>1</v>
      </c>
      <c r="GC861" s="101">
        <f t="shared" si="462"/>
        <v>24</v>
      </c>
      <c r="GD861" s="101">
        <f t="shared" si="463"/>
        <v>0</v>
      </c>
      <c r="GE861" s="101">
        <f t="shared" si="464"/>
        <v>1</v>
      </c>
      <c r="GF861" s="101">
        <f t="shared" si="465"/>
        <v>6</v>
      </c>
      <c r="GG861" s="101">
        <f t="shared" si="466"/>
        <v>3.1099999999999999E-2</v>
      </c>
      <c r="GH861" s="101">
        <f t="shared" si="467"/>
        <v>1</v>
      </c>
      <c r="GI861" s="101">
        <f t="shared" si="468"/>
        <v>11</v>
      </c>
      <c r="GJ861" s="101">
        <f t="shared" si="469"/>
        <v>0.12429999999999999</v>
      </c>
      <c r="GK861" s="101">
        <f t="shared" si="470"/>
        <v>1</v>
      </c>
      <c r="GL861" s="101">
        <f t="shared" si="471"/>
        <v>24</v>
      </c>
    </row>
    <row r="862" spans="170:194" ht="16.5" x14ac:dyDescent="0.2">
      <c r="FN862" s="101">
        <v>857</v>
      </c>
      <c r="FO862" s="101">
        <f t="shared" si="456"/>
        <v>51</v>
      </c>
      <c r="FP862" s="101">
        <f t="shared" si="449"/>
        <v>11</v>
      </c>
      <c r="FQ862" s="14">
        <f t="shared" si="450"/>
        <v>5</v>
      </c>
      <c r="FR862" s="101" t="str">
        <f t="shared" si="457"/>
        <v>夏侯惇专属武器-魂珠-6 6级</v>
      </c>
      <c r="FS862" s="101">
        <f t="shared" si="458"/>
        <v>6</v>
      </c>
      <c r="FT862" s="101">
        <f t="shared" si="459"/>
        <v>6</v>
      </c>
      <c r="FU862" s="101" t="str">
        <f t="shared" si="451"/>
        <v>金币</v>
      </c>
      <c r="FV862" s="139">
        <f>IF($FT862&gt;0,IF(INDEX($EI$6:$EI$77,$FO862)&gt;=FV$3,ROUND(INDEX(EK$6:EK$77,$FO862)*INDEX(卡牌消耗!$B$8:$F$8,FQ862)/5,0)*5,""),"")</f>
        <v>9395</v>
      </c>
      <c r="FW862" s="101" t="str">
        <f t="shared" si="452"/>
        <v>专属强化石3</v>
      </c>
      <c r="FX862" s="101">
        <f t="shared" si="453"/>
        <v>20</v>
      </c>
      <c r="FY862" s="101" t="str">
        <f t="shared" si="454"/>
        <v>专属强化石4</v>
      </c>
      <c r="FZ862" s="101">
        <f t="shared" si="455"/>
        <v>4</v>
      </c>
      <c r="GA862" s="101">
        <f t="shared" si="460"/>
        <v>0.05</v>
      </c>
      <c r="GB862" s="101">
        <f t="shared" si="461"/>
        <v>1</v>
      </c>
      <c r="GC862" s="101">
        <f t="shared" si="462"/>
        <v>29</v>
      </c>
      <c r="GD862" s="101">
        <f t="shared" si="463"/>
        <v>0</v>
      </c>
      <c r="GE862" s="101">
        <f t="shared" si="464"/>
        <v>1</v>
      </c>
      <c r="GF862" s="101">
        <f t="shared" si="465"/>
        <v>7</v>
      </c>
      <c r="GG862" s="101">
        <f t="shared" si="466"/>
        <v>2.5499999999999998E-2</v>
      </c>
      <c r="GH862" s="101">
        <f t="shared" si="467"/>
        <v>1</v>
      </c>
      <c r="GI862" s="101">
        <f t="shared" si="468"/>
        <v>14</v>
      </c>
      <c r="GJ862" s="101">
        <f t="shared" si="469"/>
        <v>0.10199999999999999</v>
      </c>
      <c r="GK862" s="101">
        <f t="shared" si="470"/>
        <v>1</v>
      </c>
      <c r="GL862" s="101">
        <f t="shared" si="471"/>
        <v>29</v>
      </c>
    </row>
    <row r="863" spans="170:194" ht="16.5" x14ac:dyDescent="0.2">
      <c r="FN863" s="101">
        <v>858</v>
      </c>
      <c r="FO863" s="101">
        <f t="shared" si="456"/>
        <v>52</v>
      </c>
      <c r="FP863" s="101">
        <f t="shared" si="449"/>
        <v>11</v>
      </c>
      <c r="FQ863" s="14">
        <f t="shared" si="450"/>
        <v>5</v>
      </c>
      <c r="FR863" s="101" t="str">
        <f t="shared" si="457"/>
        <v>夏侯惇专属武器-魂珠-6 7级</v>
      </c>
      <c r="FS863" s="101">
        <f t="shared" si="458"/>
        <v>6</v>
      </c>
      <c r="FT863" s="101">
        <f t="shared" si="459"/>
        <v>7</v>
      </c>
      <c r="FU863" s="101" t="str">
        <f t="shared" si="451"/>
        <v>金币</v>
      </c>
      <c r="FV863" s="139">
        <f>IF($FT863&gt;0,IF(INDEX($EI$6:$EI$77,$FO863)&gt;=FV$3,ROUND(INDEX(EK$6:EK$77,$FO863)*INDEX(卡牌消耗!$B$8:$F$8,FQ863)/5,0)*5,""),"")</f>
        <v>11770</v>
      </c>
      <c r="FW863" s="101" t="str">
        <f t="shared" si="452"/>
        <v>专属强化石3</v>
      </c>
      <c r="FX863" s="101">
        <f t="shared" si="453"/>
        <v>25</v>
      </c>
      <c r="FY863" s="101" t="str">
        <f t="shared" si="454"/>
        <v>专属强化石4</v>
      </c>
      <c r="FZ863" s="101">
        <f t="shared" si="455"/>
        <v>5</v>
      </c>
      <c r="GA863" s="101">
        <f t="shared" si="460"/>
        <v>0.04</v>
      </c>
      <c r="GB863" s="101">
        <f t="shared" si="461"/>
        <v>1</v>
      </c>
      <c r="GC863" s="101">
        <f t="shared" si="462"/>
        <v>38</v>
      </c>
      <c r="GD863" s="101">
        <f t="shared" si="463"/>
        <v>0</v>
      </c>
      <c r="GE863" s="101">
        <f t="shared" si="464"/>
        <v>1</v>
      </c>
      <c r="GF863" s="101">
        <f t="shared" si="465"/>
        <v>9</v>
      </c>
      <c r="GG863" s="101">
        <f t="shared" si="466"/>
        <v>1.9699999999999999E-2</v>
      </c>
      <c r="GH863" s="101">
        <f t="shared" si="467"/>
        <v>1</v>
      </c>
      <c r="GI863" s="101">
        <f t="shared" si="468"/>
        <v>18</v>
      </c>
      <c r="GJ863" s="101">
        <f t="shared" si="469"/>
        <v>7.8899999999999998E-2</v>
      </c>
      <c r="GK863" s="101">
        <f t="shared" si="470"/>
        <v>1</v>
      </c>
      <c r="GL863" s="101">
        <f t="shared" si="471"/>
        <v>38</v>
      </c>
    </row>
    <row r="864" spans="170:194" ht="16.5" x14ac:dyDescent="0.2">
      <c r="FN864" s="101">
        <v>859</v>
      </c>
      <c r="FO864" s="101">
        <f t="shared" si="456"/>
        <v>53</v>
      </c>
      <c r="FP864" s="101">
        <f t="shared" si="449"/>
        <v>11</v>
      </c>
      <c r="FQ864" s="14">
        <f t="shared" si="450"/>
        <v>5</v>
      </c>
      <c r="FR864" s="101" t="str">
        <f t="shared" si="457"/>
        <v>夏侯惇专属武器-魂珠-6 8级</v>
      </c>
      <c r="FS864" s="101">
        <f t="shared" si="458"/>
        <v>6</v>
      </c>
      <c r="FT864" s="101">
        <f t="shared" si="459"/>
        <v>8</v>
      </c>
      <c r="FU864" s="101" t="str">
        <f t="shared" si="451"/>
        <v>金币</v>
      </c>
      <c r="FV864" s="139">
        <f>IF($FT864&gt;0,IF(INDEX($EI$6:$EI$77,$FO864)&gt;=FV$3,ROUND(INDEX(EK$6:EK$77,$FO864)*INDEX(卡牌消耗!$B$8:$F$8,FQ864)/5,0)*5,""),"")</f>
        <v>16465</v>
      </c>
      <c r="FW864" s="101" t="str">
        <f t="shared" si="452"/>
        <v>专属强化石3</v>
      </c>
      <c r="FX864" s="101">
        <f t="shared" si="453"/>
        <v>35</v>
      </c>
      <c r="FY864" s="101" t="str">
        <f t="shared" si="454"/>
        <v>专属强化石4</v>
      </c>
      <c r="FZ864" s="101">
        <f t="shared" si="455"/>
        <v>7</v>
      </c>
      <c r="GA864" s="101">
        <f t="shared" si="460"/>
        <v>0.03</v>
      </c>
      <c r="GB864" s="101">
        <f t="shared" si="461"/>
        <v>1</v>
      </c>
      <c r="GC864" s="101">
        <f t="shared" si="462"/>
        <v>44</v>
      </c>
      <c r="GD864" s="101">
        <f t="shared" si="463"/>
        <v>0</v>
      </c>
      <c r="GE864" s="101">
        <f t="shared" si="464"/>
        <v>1</v>
      </c>
      <c r="GF864" s="101">
        <f t="shared" si="465"/>
        <v>10</v>
      </c>
      <c r="GG864" s="101">
        <f t="shared" si="466"/>
        <v>1.7100000000000001E-2</v>
      </c>
      <c r="GH864" s="101">
        <f t="shared" si="467"/>
        <v>1</v>
      </c>
      <c r="GI864" s="101">
        <f t="shared" si="468"/>
        <v>21</v>
      </c>
      <c r="GJ864" s="101">
        <f t="shared" si="469"/>
        <v>6.8199999999999997E-2</v>
      </c>
      <c r="GK864" s="101">
        <f t="shared" si="470"/>
        <v>1</v>
      </c>
      <c r="GL864" s="101">
        <f t="shared" si="471"/>
        <v>44</v>
      </c>
    </row>
    <row r="865" spans="170:194" ht="16.5" x14ac:dyDescent="0.2">
      <c r="FN865" s="101">
        <v>860</v>
      </c>
      <c r="FO865" s="101">
        <f t="shared" si="456"/>
        <v>54</v>
      </c>
      <c r="FP865" s="101">
        <f t="shared" si="449"/>
        <v>11</v>
      </c>
      <c r="FQ865" s="14">
        <f t="shared" si="450"/>
        <v>5</v>
      </c>
      <c r="FR865" s="101" t="str">
        <f t="shared" si="457"/>
        <v>夏侯惇专属武器-魂珠-6 9级</v>
      </c>
      <c r="FS865" s="101">
        <f t="shared" si="458"/>
        <v>6</v>
      </c>
      <c r="FT865" s="101">
        <f t="shared" si="459"/>
        <v>9</v>
      </c>
      <c r="FU865" s="101" t="str">
        <f t="shared" si="451"/>
        <v>金币</v>
      </c>
      <c r="FV865" s="139">
        <f>IF($FT865&gt;0,IF(INDEX($EI$6:$EI$77,$FO865)&gt;=FV$3,ROUND(INDEX(EK$6:EK$77,$FO865)*INDEX(卡牌消耗!$B$8:$F$8,FQ865)/5,0)*5,""),"")</f>
        <v>18825</v>
      </c>
      <c r="FW865" s="101" t="str">
        <f t="shared" si="452"/>
        <v>专属强化石3</v>
      </c>
      <c r="FX865" s="101">
        <f t="shared" si="453"/>
        <v>40</v>
      </c>
      <c r="FY865" s="101" t="str">
        <f t="shared" si="454"/>
        <v>专属强化石4</v>
      </c>
      <c r="FZ865" s="101">
        <f t="shared" si="455"/>
        <v>8</v>
      </c>
      <c r="GA865" s="101">
        <f t="shared" si="460"/>
        <v>0.02</v>
      </c>
      <c r="GB865" s="101">
        <f t="shared" si="461"/>
        <v>1</v>
      </c>
      <c r="GC865" s="101">
        <f t="shared" si="462"/>
        <v>62</v>
      </c>
      <c r="GD865" s="101">
        <f t="shared" si="463"/>
        <v>0</v>
      </c>
      <c r="GE865" s="101">
        <f t="shared" si="464"/>
        <v>1</v>
      </c>
      <c r="GF865" s="101">
        <f t="shared" si="465"/>
        <v>15</v>
      </c>
      <c r="GG865" s="101">
        <f t="shared" si="466"/>
        <v>1.21E-2</v>
      </c>
      <c r="GH865" s="101">
        <f t="shared" si="467"/>
        <v>1</v>
      </c>
      <c r="GI865" s="101">
        <f t="shared" si="468"/>
        <v>29</v>
      </c>
      <c r="GJ865" s="101">
        <f t="shared" si="469"/>
        <v>4.82E-2</v>
      </c>
      <c r="GK865" s="101">
        <f t="shared" si="470"/>
        <v>1</v>
      </c>
      <c r="GL865" s="101">
        <f t="shared" si="471"/>
        <v>62</v>
      </c>
    </row>
    <row r="866" spans="170:194" ht="16.5" x14ac:dyDescent="0.2">
      <c r="FN866" s="101">
        <v>861</v>
      </c>
      <c r="FO866" s="101">
        <f t="shared" si="456"/>
        <v>0</v>
      </c>
      <c r="FP866" s="101">
        <f t="shared" si="449"/>
        <v>11</v>
      </c>
      <c r="FQ866" s="14">
        <f t="shared" si="450"/>
        <v>5</v>
      </c>
      <c r="FR866" s="101" t="str">
        <f t="shared" si="457"/>
        <v>夏侯惇专属武器-魂珠-7 0级</v>
      </c>
      <c r="FS866" s="101">
        <f t="shared" si="458"/>
        <v>7</v>
      </c>
      <c r="FT866" s="101">
        <f t="shared" si="459"/>
        <v>0</v>
      </c>
      <c r="FU866" s="101" t="str">
        <f t="shared" si="451"/>
        <v/>
      </c>
      <c r="FV866" s="139" t="str">
        <f>IF($FT866&gt;0,IF(INDEX($EI$6:$EI$77,$FO866)&gt;=FV$3,ROUND(INDEX(EK$6:EK$77,$FO866)*INDEX(卡牌消耗!$B$8:$F$8,FQ866)/5,0)*5,""),"")</f>
        <v/>
      </c>
      <c r="FW866" s="101" t="str">
        <f t="shared" si="452"/>
        <v/>
      </c>
      <c r="FX866" s="101" t="str">
        <f t="shared" si="453"/>
        <v/>
      </c>
      <c r="FY866" s="101" t="str">
        <f t="shared" si="454"/>
        <v/>
      </c>
      <c r="FZ866" s="101" t="str">
        <f t="shared" si="455"/>
        <v/>
      </c>
      <c r="GA866" s="101" t="str">
        <f t="shared" si="460"/>
        <v/>
      </c>
      <c r="GB866" s="101" t="str">
        <f t="shared" si="461"/>
        <v/>
      </c>
      <c r="GC866" s="101" t="str">
        <f t="shared" si="462"/>
        <v/>
      </c>
      <c r="GD866" s="101" t="str">
        <f t="shared" si="463"/>
        <v/>
      </c>
      <c r="GE866" s="101" t="str">
        <f t="shared" si="464"/>
        <v/>
      </c>
      <c r="GF866" s="101" t="str">
        <f t="shared" si="465"/>
        <v/>
      </c>
      <c r="GG866" s="101" t="str">
        <f t="shared" si="466"/>
        <v/>
      </c>
      <c r="GH866" s="101" t="str">
        <f t="shared" si="467"/>
        <v/>
      </c>
      <c r="GI866" s="101" t="str">
        <f t="shared" si="468"/>
        <v/>
      </c>
      <c r="GJ866" s="101" t="str">
        <f t="shared" si="469"/>
        <v/>
      </c>
      <c r="GK866" s="101" t="str">
        <f t="shared" si="470"/>
        <v/>
      </c>
      <c r="GL866" s="101" t="str">
        <f t="shared" si="471"/>
        <v/>
      </c>
    </row>
    <row r="867" spans="170:194" ht="16.5" x14ac:dyDescent="0.2">
      <c r="FN867" s="101">
        <v>862</v>
      </c>
      <c r="FO867" s="101">
        <f t="shared" si="456"/>
        <v>55</v>
      </c>
      <c r="FP867" s="101">
        <f t="shared" si="449"/>
        <v>11</v>
      </c>
      <c r="FQ867" s="14">
        <f t="shared" si="450"/>
        <v>5</v>
      </c>
      <c r="FR867" s="101" t="str">
        <f t="shared" si="457"/>
        <v>夏侯惇专属武器-魂珠-7 1级</v>
      </c>
      <c r="FS867" s="101">
        <f t="shared" si="458"/>
        <v>7</v>
      </c>
      <c r="FT867" s="101">
        <f t="shared" si="459"/>
        <v>1</v>
      </c>
      <c r="FU867" s="101" t="str">
        <f t="shared" si="451"/>
        <v>金币</v>
      </c>
      <c r="FV867" s="139">
        <f>IF($FT867&gt;0,IF(INDEX($EI$6:$EI$77,$FO867)&gt;=FV$3,ROUND(INDEX(EK$6:EK$77,$FO867)*INDEX(卡牌消耗!$B$8:$F$8,FQ867)/5,0)*5,""),"")</f>
        <v>24175</v>
      </c>
      <c r="FW867" s="101" t="str">
        <f t="shared" si="452"/>
        <v>专属强化石3</v>
      </c>
      <c r="FX867" s="101">
        <f t="shared" si="453"/>
        <v>6</v>
      </c>
      <c r="FY867" s="101" t="str">
        <f t="shared" si="454"/>
        <v>专属强化石4</v>
      </c>
      <c r="FZ867" s="101">
        <f t="shared" si="455"/>
        <v>2</v>
      </c>
      <c r="GA867" s="101">
        <f t="shared" si="460"/>
        <v>0.2</v>
      </c>
      <c r="GB867" s="101">
        <f t="shared" si="461"/>
        <v>1</v>
      </c>
      <c r="GC867" s="101">
        <f t="shared" si="462"/>
        <v>8</v>
      </c>
      <c r="GD867" s="101">
        <f t="shared" si="463"/>
        <v>0</v>
      </c>
      <c r="GE867" s="101">
        <f t="shared" si="464"/>
        <v>1</v>
      </c>
      <c r="GF867" s="101">
        <f t="shared" si="465"/>
        <v>2</v>
      </c>
      <c r="GG867" s="101">
        <f t="shared" si="466"/>
        <v>9.9400000000000002E-2</v>
      </c>
      <c r="GH867" s="101">
        <f t="shared" si="467"/>
        <v>1</v>
      </c>
      <c r="GI867" s="101">
        <f t="shared" si="468"/>
        <v>4</v>
      </c>
      <c r="GJ867" s="101">
        <f t="shared" si="469"/>
        <v>0.3977</v>
      </c>
      <c r="GK867" s="101">
        <f t="shared" si="470"/>
        <v>1</v>
      </c>
      <c r="GL867" s="101">
        <f t="shared" si="471"/>
        <v>8</v>
      </c>
    </row>
    <row r="868" spans="170:194" ht="16.5" x14ac:dyDescent="0.2">
      <c r="FN868" s="101">
        <v>863</v>
      </c>
      <c r="FO868" s="101">
        <f t="shared" si="456"/>
        <v>56</v>
      </c>
      <c r="FP868" s="101">
        <f t="shared" si="449"/>
        <v>11</v>
      </c>
      <c r="FQ868" s="14">
        <f t="shared" si="450"/>
        <v>5</v>
      </c>
      <c r="FR868" s="101" t="str">
        <f t="shared" si="457"/>
        <v>夏侯惇专属武器-魂珠-7 2级</v>
      </c>
      <c r="FS868" s="101">
        <f t="shared" si="458"/>
        <v>7</v>
      </c>
      <c r="FT868" s="101">
        <f t="shared" si="459"/>
        <v>2</v>
      </c>
      <c r="FU868" s="101" t="str">
        <f t="shared" si="451"/>
        <v>金币</v>
      </c>
      <c r="FV868" s="139">
        <f>IF($FT868&gt;0,IF(INDEX($EI$6:$EI$77,$FO868)&gt;=FV$3,ROUND(INDEX(EK$6:EK$77,$FO868)*INDEX(卡牌消耗!$B$8:$F$8,FQ868)/5,0)*5,""),"")</f>
        <v>18130</v>
      </c>
      <c r="FW868" s="101" t="str">
        <f t="shared" si="452"/>
        <v>专属强化石3</v>
      </c>
      <c r="FX868" s="101">
        <f t="shared" si="453"/>
        <v>6</v>
      </c>
      <c r="FY868" s="101" t="str">
        <f t="shared" si="454"/>
        <v>专属强化石4</v>
      </c>
      <c r="FZ868" s="101">
        <f t="shared" si="455"/>
        <v>2</v>
      </c>
      <c r="GA868" s="101">
        <f t="shared" si="460"/>
        <v>0.1</v>
      </c>
      <c r="GB868" s="101">
        <f t="shared" si="461"/>
        <v>1</v>
      </c>
      <c r="GC868" s="101">
        <f t="shared" si="462"/>
        <v>15</v>
      </c>
      <c r="GD868" s="101">
        <f t="shared" si="463"/>
        <v>0</v>
      </c>
      <c r="GE868" s="101">
        <f t="shared" si="464"/>
        <v>1</v>
      </c>
      <c r="GF868" s="101">
        <f t="shared" si="465"/>
        <v>4</v>
      </c>
      <c r="GG868" s="101">
        <f t="shared" si="466"/>
        <v>4.9700000000000001E-2</v>
      </c>
      <c r="GH868" s="101">
        <f t="shared" si="467"/>
        <v>1</v>
      </c>
      <c r="GI868" s="101">
        <f t="shared" si="468"/>
        <v>7</v>
      </c>
      <c r="GJ868" s="101">
        <f t="shared" si="469"/>
        <v>0.19889999999999999</v>
      </c>
      <c r="GK868" s="101">
        <f t="shared" si="470"/>
        <v>1</v>
      </c>
      <c r="GL868" s="101">
        <f t="shared" si="471"/>
        <v>15</v>
      </c>
    </row>
    <row r="869" spans="170:194" ht="16.5" x14ac:dyDescent="0.2">
      <c r="FN869" s="101">
        <v>864</v>
      </c>
      <c r="FO869" s="101">
        <f t="shared" si="456"/>
        <v>57</v>
      </c>
      <c r="FP869" s="101">
        <f t="shared" si="449"/>
        <v>11</v>
      </c>
      <c r="FQ869" s="14">
        <f t="shared" si="450"/>
        <v>5</v>
      </c>
      <c r="FR869" s="101" t="str">
        <f t="shared" si="457"/>
        <v>夏侯惇专属武器-魂珠-7 3级</v>
      </c>
      <c r="FS869" s="101">
        <f t="shared" si="458"/>
        <v>7</v>
      </c>
      <c r="FT869" s="101">
        <f t="shared" si="459"/>
        <v>3</v>
      </c>
      <c r="FU869" s="101" t="str">
        <f t="shared" si="451"/>
        <v>金币</v>
      </c>
      <c r="FV869" s="139">
        <f>IF($FT869&gt;0,IF(INDEX($EI$6:$EI$77,$FO869)&gt;=FV$3,ROUND(INDEX(EK$6:EK$77,$FO869)*INDEX(卡牌消耗!$B$8:$F$8,FQ869)/5,0)*5,""),"")</f>
        <v>30220</v>
      </c>
      <c r="FW869" s="101" t="str">
        <f t="shared" si="452"/>
        <v>专属强化石3</v>
      </c>
      <c r="FX869" s="101">
        <f t="shared" si="453"/>
        <v>9</v>
      </c>
      <c r="FY869" s="101" t="str">
        <f t="shared" si="454"/>
        <v>专属强化石4</v>
      </c>
      <c r="FZ869" s="101">
        <f t="shared" si="455"/>
        <v>3</v>
      </c>
      <c r="GA869" s="101">
        <f t="shared" si="460"/>
        <v>0.1</v>
      </c>
      <c r="GB869" s="101">
        <f t="shared" si="461"/>
        <v>1</v>
      </c>
      <c r="GC869" s="101">
        <f t="shared" si="462"/>
        <v>15</v>
      </c>
      <c r="GD869" s="101">
        <f t="shared" si="463"/>
        <v>0</v>
      </c>
      <c r="GE869" s="101">
        <f t="shared" si="464"/>
        <v>1</v>
      </c>
      <c r="GF869" s="101">
        <f t="shared" si="465"/>
        <v>4</v>
      </c>
      <c r="GG869" s="101">
        <f t="shared" si="466"/>
        <v>4.9700000000000001E-2</v>
      </c>
      <c r="GH869" s="101">
        <f t="shared" si="467"/>
        <v>1</v>
      </c>
      <c r="GI869" s="101">
        <f t="shared" si="468"/>
        <v>7</v>
      </c>
      <c r="GJ869" s="101">
        <f t="shared" si="469"/>
        <v>0.19889999999999999</v>
      </c>
      <c r="GK869" s="101">
        <f t="shared" si="470"/>
        <v>1</v>
      </c>
      <c r="GL869" s="101">
        <f t="shared" si="471"/>
        <v>15</v>
      </c>
    </row>
    <row r="870" spans="170:194" ht="16.5" x14ac:dyDescent="0.2">
      <c r="FN870" s="101">
        <v>865</v>
      </c>
      <c r="FO870" s="101">
        <f t="shared" si="456"/>
        <v>58</v>
      </c>
      <c r="FP870" s="101">
        <f t="shared" si="449"/>
        <v>11</v>
      </c>
      <c r="FQ870" s="14">
        <f t="shared" si="450"/>
        <v>5</v>
      </c>
      <c r="FR870" s="101" t="str">
        <f t="shared" si="457"/>
        <v>夏侯惇专属武器-魂珠-7 4级</v>
      </c>
      <c r="FS870" s="101">
        <f t="shared" si="458"/>
        <v>7</v>
      </c>
      <c r="FT870" s="101">
        <f t="shared" si="459"/>
        <v>4</v>
      </c>
      <c r="FU870" s="101" t="str">
        <f t="shared" si="451"/>
        <v>金币</v>
      </c>
      <c r="FV870" s="139">
        <f>IF($FT870&gt;0,IF(INDEX($EI$6:$EI$77,$FO870)&gt;=FV$3,ROUND(INDEX(EK$6:EK$77,$FO870)*INDEX(卡牌消耗!$B$8:$F$8,FQ870)/5,0)*5,""),"")</f>
        <v>38680</v>
      </c>
      <c r="FW870" s="101" t="str">
        <f t="shared" si="452"/>
        <v>专属强化石3</v>
      </c>
      <c r="FX870" s="101">
        <f t="shared" si="453"/>
        <v>12</v>
      </c>
      <c r="FY870" s="101" t="str">
        <f t="shared" si="454"/>
        <v>专属强化石4</v>
      </c>
      <c r="FZ870" s="101">
        <f t="shared" si="455"/>
        <v>4</v>
      </c>
      <c r="GA870" s="101">
        <f t="shared" si="460"/>
        <v>0.08</v>
      </c>
      <c r="GB870" s="101">
        <f t="shared" si="461"/>
        <v>1</v>
      </c>
      <c r="GC870" s="101">
        <f t="shared" si="462"/>
        <v>19</v>
      </c>
      <c r="GD870" s="101">
        <f t="shared" si="463"/>
        <v>0</v>
      </c>
      <c r="GE870" s="101">
        <f t="shared" si="464"/>
        <v>1</v>
      </c>
      <c r="GF870" s="101">
        <f t="shared" si="465"/>
        <v>4</v>
      </c>
      <c r="GG870" s="101">
        <f t="shared" si="466"/>
        <v>3.9800000000000002E-2</v>
      </c>
      <c r="GH870" s="101">
        <f t="shared" si="467"/>
        <v>1</v>
      </c>
      <c r="GI870" s="101">
        <f t="shared" si="468"/>
        <v>9</v>
      </c>
      <c r="GJ870" s="101">
        <f t="shared" si="469"/>
        <v>0.15909999999999999</v>
      </c>
      <c r="GK870" s="101">
        <f t="shared" si="470"/>
        <v>1</v>
      </c>
      <c r="GL870" s="101">
        <f t="shared" si="471"/>
        <v>19</v>
      </c>
    </row>
    <row r="871" spans="170:194" ht="16.5" x14ac:dyDescent="0.2">
      <c r="FN871" s="101">
        <v>866</v>
      </c>
      <c r="FO871" s="101">
        <f t="shared" si="456"/>
        <v>59</v>
      </c>
      <c r="FP871" s="101">
        <f t="shared" si="449"/>
        <v>11</v>
      </c>
      <c r="FQ871" s="14">
        <f t="shared" si="450"/>
        <v>5</v>
      </c>
      <c r="FR871" s="101" t="str">
        <f t="shared" si="457"/>
        <v>夏侯惇专属武器-魂珠-7 5级</v>
      </c>
      <c r="FS871" s="101">
        <f t="shared" si="458"/>
        <v>7</v>
      </c>
      <c r="FT871" s="101">
        <f t="shared" si="459"/>
        <v>5</v>
      </c>
      <c r="FU871" s="101" t="str">
        <f t="shared" si="451"/>
        <v>金币</v>
      </c>
      <c r="FV871" s="139">
        <f>IF($FT871&gt;0,IF(INDEX($EI$6:$EI$77,$FO871)&gt;=FV$3,ROUND(INDEX(EK$6:EK$77,$FO871)*INDEX(卡牌消耗!$B$8:$F$8,FQ871)/5,0)*5,""),"")</f>
        <v>39285</v>
      </c>
      <c r="FW871" s="101" t="str">
        <f t="shared" si="452"/>
        <v>专属强化石3</v>
      </c>
      <c r="FX871" s="101">
        <f t="shared" si="453"/>
        <v>12</v>
      </c>
      <c r="FY871" s="101" t="str">
        <f t="shared" si="454"/>
        <v>专属强化石4</v>
      </c>
      <c r="FZ871" s="101">
        <f t="shared" si="455"/>
        <v>4</v>
      </c>
      <c r="GA871" s="101">
        <f t="shared" si="460"/>
        <v>0.05</v>
      </c>
      <c r="GB871" s="101">
        <f t="shared" si="461"/>
        <v>1</v>
      </c>
      <c r="GC871" s="101">
        <f t="shared" si="462"/>
        <v>30</v>
      </c>
      <c r="GD871" s="101">
        <f t="shared" si="463"/>
        <v>0</v>
      </c>
      <c r="GE871" s="101">
        <f t="shared" si="464"/>
        <v>1</v>
      </c>
      <c r="GF871" s="101">
        <f t="shared" si="465"/>
        <v>7</v>
      </c>
      <c r="GG871" s="101">
        <f t="shared" si="466"/>
        <v>2.4899999999999999E-2</v>
      </c>
      <c r="GH871" s="101">
        <f t="shared" si="467"/>
        <v>1</v>
      </c>
      <c r="GI871" s="101">
        <f t="shared" si="468"/>
        <v>14</v>
      </c>
      <c r="GJ871" s="101">
        <f t="shared" si="469"/>
        <v>9.9400000000000002E-2</v>
      </c>
      <c r="GK871" s="101">
        <f t="shared" si="470"/>
        <v>1</v>
      </c>
      <c r="GL871" s="101">
        <f t="shared" si="471"/>
        <v>30</v>
      </c>
    </row>
    <row r="872" spans="170:194" ht="16.5" x14ac:dyDescent="0.2">
      <c r="FN872" s="101">
        <v>867</v>
      </c>
      <c r="FO872" s="101">
        <f t="shared" si="456"/>
        <v>60</v>
      </c>
      <c r="FP872" s="101">
        <f t="shared" si="449"/>
        <v>11</v>
      </c>
      <c r="FQ872" s="14">
        <f t="shared" si="450"/>
        <v>5</v>
      </c>
      <c r="FR872" s="101" t="str">
        <f t="shared" si="457"/>
        <v>夏侯惇专属武器-魂珠-7 6级</v>
      </c>
      <c r="FS872" s="101">
        <f t="shared" si="458"/>
        <v>7</v>
      </c>
      <c r="FT872" s="101">
        <f t="shared" si="459"/>
        <v>6</v>
      </c>
      <c r="FU872" s="101" t="str">
        <f t="shared" si="451"/>
        <v>金币</v>
      </c>
      <c r="FV872" s="139">
        <f>IF($FT872&gt;0,IF(INDEX($EI$6:$EI$77,$FO872)&gt;=FV$3,ROUND(INDEX(EK$6:EK$77,$FO872)*INDEX(卡牌消耗!$B$8:$F$8,FQ872)/5,0)*5,""),"")</f>
        <v>48815</v>
      </c>
      <c r="FW872" s="101" t="str">
        <f t="shared" si="452"/>
        <v>专属强化石3</v>
      </c>
      <c r="FX872" s="101">
        <f t="shared" si="453"/>
        <v>15</v>
      </c>
      <c r="FY872" s="101" t="str">
        <f t="shared" si="454"/>
        <v>专属强化石4</v>
      </c>
      <c r="FZ872" s="101">
        <f t="shared" si="455"/>
        <v>5</v>
      </c>
      <c r="GA872" s="101">
        <f t="shared" si="460"/>
        <v>0.04</v>
      </c>
      <c r="GB872" s="101">
        <f t="shared" si="461"/>
        <v>1</v>
      </c>
      <c r="GC872" s="101">
        <f t="shared" si="462"/>
        <v>39</v>
      </c>
      <c r="GD872" s="101">
        <f t="shared" si="463"/>
        <v>0</v>
      </c>
      <c r="GE872" s="101">
        <f t="shared" si="464"/>
        <v>1</v>
      </c>
      <c r="GF872" s="101">
        <f t="shared" si="465"/>
        <v>9</v>
      </c>
      <c r="GG872" s="101">
        <f t="shared" si="466"/>
        <v>1.9099999999999999E-2</v>
      </c>
      <c r="GH872" s="101">
        <f t="shared" si="467"/>
        <v>1</v>
      </c>
      <c r="GI872" s="101">
        <f t="shared" si="468"/>
        <v>18</v>
      </c>
      <c r="GJ872" s="101">
        <f t="shared" si="469"/>
        <v>7.6499999999999999E-2</v>
      </c>
      <c r="GK872" s="101">
        <f t="shared" si="470"/>
        <v>1</v>
      </c>
      <c r="GL872" s="101">
        <f t="shared" si="471"/>
        <v>39</v>
      </c>
    </row>
    <row r="873" spans="170:194" ht="16.5" x14ac:dyDescent="0.2">
      <c r="FN873" s="101">
        <v>868</v>
      </c>
      <c r="FO873" s="101">
        <f t="shared" si="456"/>
        <v>61</v>
      </c>
      <c r="FP873" s="101">
        <f t="shared" si="449"/>
        <v>11</v>
      </c>
      <c r="FQ873" s="14">
        <f t="shared" si="450"/>
        <v>5</v>
      </c>
      <c r="FR873" s="101" t="str">
        <f t="shared" si="457"/>
        <v>夏侯惇专属武器-魂珠-7 7级</v>
      </c>
      <c r="FS873" s="101">
        <f t="shared" si="458"/>
        <v>7</v>
      </c>
      <c r="FT873" s="101">
        <f t="shared" si="459"/>
        <v>7</v>
      </c>
      <c r="FU873" s="101" t="str">
        <f t="shared" si="451"/>
        <v>金币</v>
      </c>
      <c r="FV873" s="139">
        <f>IF($FT873&gt;0,IF(INDEX($EI$6:$EI$77,$FO873)&gt;=FV$3,ROUND(INDEX(EK$6:EK$77,$FO873)*INDEX(卡牌消耗!$B$8:$F$8,FQ873)/5,0)*5,""),"")</f>
        <v>68495</v>
      </c>
      <c r="FW873" s="101" t="str">
        <f t="shared" si="452"/>
        <v>专属强化石3</v>
      </c>
      <c r="FX873" s="101">
        <f t="shared" si="453"/>
        <v>21</v>
      </c>
      <c r="FY873" s="101" t="str">
        <f t="shared" si="454"/>
        <v>专属强化石4</v>
      </c>
      <c r="FZ873" s="101">
        <f t="shared" si="455"/>
        <v>7</v>
      </c>
      <c r="GA873" s="101">
        <f t="shared" si="460"/>
        <v>0.03</v>
      </c>
      <c r="GB873" s="101">
        <f t="shared" si="461"/>
        <v>1</v>
      </c>
      <c r="GC873" s="101">
        <f t="shared" si="462"/>
        <v>45</v>
      </c>
      <c r="GD873" s="101">
        <f t="shared" si="463"/>
        <v>0</v>
      </c>
      <c r="GE873" s="101">
        <f t="shared" si="464"/>
        <v>1</v>
      </c>
      <c r="GF873" s="101">
        <f t="shared" si="465"/>
        <v>11</v>
      </c>
      <c r="GG873" s="101">
        <f t="shared" si="466"/>
        <v>1.66E-2</v>
      </c>
      <c r="GH873" s="101">
        <f t="shared" si="467"/>
        <v>1</v>
      </c>
      <c r="GI873" s="101">
        <f t="shared" si="468"/>
        <v>21</v>
      </c>
      <c r="GJ873" s="101">
        <f t="shared" si="469"/>
        <v>6.6299999999999998E-2</v>
      </c>
      <c r="GK873" s="101">
        <f t="shared" si="470"/>
        <v>1</v>
      </c>
      <c r="GL873" s="101">
        <f t="shared" si="471"/>
        <v>45</v>
      </c>
    </row>
    <row r="874" spans="170:194" ht="16.5" x14ac:dyDescent="0.2">
      <c r="FN874" s="101">
        <v>869</v>
      </c>
      <c r="FO874" s="101">
        <f t="shared" si="456"/>
        <v>62</v>
      </c>
      <c r="FP874" s="101">
        <f t="shared" si="449"/>
        <v>11</v>
      </c>
      <c r="FQ874" s="14">
        <f t="shared" si="450"/>
        <v>5</v>
      </c>
      <c r="FR874" s="101" t="str">
        <f t="shared" si="457"/>
        <v>夏侯惇专属武器-魂珠-7 8级</v>
      </c>
      <c r="FS874" s="101">
        <f t="shared" si="458"/>
        <v>7</v>
      </c>
      <c r="FT874" s="101">
        <f t="shared" si="459"/>
        <v>8</v>
      </c>
      <c r="FU874" s="101" t="str">
        <f t="shared" si="451"/>
        <v>金币</v>
      </c>
      <c r="FV874" s="139">
        <f>IF($FT874&gt;0,IF(INDEX($EI$6:$EI$77,$FO874)&gt;=FV$3,ROUND(INDEX(EK$6:EK$77,$FO874)*INDEX(卡牌消耗!$B$8:$F$8,FQ874)/5,0)*5,""),"")</f>
        <v>78215</v>
      </c>
      <c r="FW874" s="101" t="str">
        <f t="shared" si="452"/>
        <v>专属强化石3</v>
      </c>
      <c r="FX874" s="101">
        <f t="shared" si="453"/>
        <v>24</v>
      </c>
      <c r="FY874" s="101" t="str">
        <f t="shared" si="454"/>
        <v>专属强化石4</v>
      </c>
      <c r="FZ874" s="101">
        <f t="shared" si="455"/>
        <v>8</v>
      </c>
      <c r="GA874" s="101">
        <f t="shared" si="460"/>
        <v>0.02</v>
      </c>
      <c r="GB874" s="101">
        <f t="shared" si="461"/>
        <v>1</v>
      </c>
      <c r="GC874" s="101">
        <f t="shared" si="462"/>
        <v>64</v>
      </c>
      <c r="GD874" s="101">
        <f t="shared" si="463"/>
        <v>0</v>
      </c>
      <c r="GE874" s="101">
        <f t="shared" si="464"/>
        <v>1</v>
      </c>
      <c r="GF874" s="101">
        <f t="shared" si="465"/>
        <v>15</v>
      </c>
      <c r="GG874" s="101">
        <f t="shared" si="466"/>
        <v>1.17E-2</v>
      </c>
      <c r="GH874" s="101">
        <f t="shared" si="467"/>
        <v>1</v>
      </c>
      <c r="GI874" s="101">
        <f t="shared" si="468"/>
        <v>30</v>
      </c>
      <c r="GJ874" s="101">
        <f t="shared" si="469"/>
        <v>4.6800000000000001E-2</v>
      </c>
      <c r="GK874" s="101">
        <f t="shared" si="470"/>
        <v>1</v>
      </c>
      <c r="GL874" s="101">
        <f t="shared" si="471"/>
        <v>64</v>
      </c>
    </row>
    <row r="875" spans="170:194" ht="16.5" x14ac:dyDescent="0.2">
      <c r="FN875" s="101">
        <v>870</v>
      </c>
      <c r="FO875" s="101">
        <f t="shared" si="456"/>
        <v>63</v>
      </c>
      <c r="FP875" s="101">
        <f t="shared" si="449"/>
        <v>11</v>
      </c>
      <c r="FQ875" s="14">
        <f t="shared" si="450"/>
        <v>5</v>
      </c>
      <c r="FR875" s="101" t="str">
        <f t="shared" si="457"/>
        <v>夏侯惇专属武器-魂珠-7 9级</v>
      </c>
      <c r="FS875" s="101">
        <f t="shared" si="458"/>
        <v>7</v>
      </c>
      <c r="FT875" s="101">
        <f t="shared" si="459"/>
        <v>9</v>
      </c>
      <c r="FU875" s="101" t="str">
        <f t="shared" si="451"/>
        <v>金币</v>
      </c>
      <c r="FV875" s="139">
        <f>IF($FT875&gt;0,IF(INDEX($EI$6:$EI$77,$FO875)&gt;=FV$3,ROUND(INDEX(EK$6:EK$77,$FO875)*INDEX(卡牌消耗!$B$8:$F$8,FQ875)/5,0)*5,""),"")</f>
        <v>97800</v>
      </c>
      <c r="FW875" s="101" t="str">
        <f t="shared" si="452"/>
        <v>专属强化石3</v>
      </c>
      <c r="FX875" s="101">
        <f t="shared" si="453"/>
        <v>30</v>
      </c>
      <c r="FY875" s="101" t="str">
        <f t="shared" si="454"/>
        <v>专属强化石4</v>
      </c>
      <c r="FZ875" s="101">
        <f t="shared" si="455"/>
        <v>10</v>
      </c>
      <c r="GA875" s="101">
        <f t="shared" si="460"/>
        <v>0.02</v>
      </c>
      <c r="GB875" s="101">
        <f t="shared" si="461"/>
        <v>1</v>
      </c>
      <c r="GC875" s="101">
        <f t="shared" si="462"/>
        <v>83</v>
      </c>
      <c r="GD875" s="101">
        <f t="shared" si="463"/>
        <v>0</v>
      </c>
      <c r="GE875" s="101">
        <f t="shared" si="464"/>
        <v>1</v>
      </c>
      <c r="GF875" s="101">
        <f t="shared" si="465"/>
        <v>19</v>
      </c>
      <c r="GG875" s="101">
        <f t="shared" si="466"/>
        <v>8.9999999999999993E-3</v>
      </c>
      <c r="GH875" s="101">
        <f t="shared" si="467"/>
        <v>1</v>
      </c>
      <c r="GI875" s="101">
        <f t="shared" si="468"/>
        <v>39</v>
      </c>
      <c r="GJ875" s="101">
        <f t="shared" si="469"/>
        <v>3.6200000000000003E-2</v>
      </c>
      <c r="GK875" s="101">
        <f t="shared" si="470"/>
        <v>1</v>
      </c>
      <c r="GL875" s="101">
        <f t="shared" si="471"/>
        <v>83</v>
      </c>
    </row>
    <row r="876" spans="170:194" ht="16.5" x14ac:dyDescent="0.2">
      <c r="FN876" s="101">
        <v>871</v>
      </c>
      <c r="FO876" s="101">
        <f t="shared" si="456"/>
        <v>0</v>
      </c>
      <c r="FP876" s="101">
        <f t="shared" si="449"/>
        <v>11</v>
      </c>
      <c r="FQ876" s="14">
        <f t="shared" si="450"/>
        <v>5</v>
      </c>
      <c r="FR876" s="101" t="str">
        <f t="shared" si="457"/>
        <v>夏侯惇专属武器-魂珠-8 0级</v>
      </c>
      <c r="FS876" s="101">
        <f t="shared" si="458"/>
        <v>8</v>
      </c>
      <c r="FT876" s="101">
        <f t="shared" si="459"/>
        <v>0</v>
      </c>
      <c r="FU876" s="101" t="str">
        <f t="shared" si="451"/>
        <v/>
      </c>
      <c r="FV876" s="139" t="str">
        <f>IF($FT876&gt;0,IF(INDEX($EI$6:$EI$77,$FO876)&gt;=FV$3,ROUND(INDEX(EK$6:EK$77,$FO876)*INDEX(卡牌消耗!$B$8:$F$8,FQ876)/5,0)*5,""),"")</f>
        <v/>
      </c>
      <c r="FW876" s="101" t="str">
        <f t="shared" si="452"/>
        <v/>
      </c>
      <c r="FX876" s="101" t="str">
        <f t="shared" si="453"/>
        <v/>
      </c>
      <c r="FY876" s="101" t="str">
        <f t="shared" si="454"/>
        <v/>
      </c>
      <c r="FZ876" s="101" t="str">
        <f t="shared" si="455"/>
        <v/>
      </c>
      <c r="GA876" s="101" t="str">
        <f t="shared" si="460"/>
        <v/>
      </c>
      <c r="GB876" s="101" t="str">
        <f t="shared" si="461"/>
        <v/>
      </c>
      <c r="GC876" s="101" t="str">
        <f t="shared" si="462"/>
        <v/>
      </c>
      <c r="GD876" s="101" t="str">
        <f t="shared" si="463"/>
        <v/>
      </c>
      <c r="GE876" s="101" t="str">
        <f t="shared" si="464"/>
        <v/>
      </c>
      <c r="GF876" s="101" t="str">
        <f t="shared" si="465"/>
        <v/>
      </c>
      <c r="GG876" s="101" t="str">
        <f t="shared" si="466"/>
        <v/>
      </c>
      <c r="GH876" s="101" t="str">
        <f t="shared" si="467"/>
        <v/>
      </c>
      <c r="GI876" s="101" t="str">
        <f t="shared" si="468"/>
        <v/>
      </c>
      <c r="GJ876" s="101" t="str">
        <f t="shared" si="469"/>
        <v/>
      </c>
      <c r="GK876" s="101" t="str">
        <f t="shared" si="470"/>
        <v/>
      </c>
      <c r="GL876" s="101" t="str">
        <f t="shared" si="471"/>
        <v/>
      </c>
    </row>
    <row r="877" spans="170:194" ht="16.5" x14ac:dyDescent="0.2">
      <c r="FN877" s="101">
        <v>872</v>
      </c>
      <c r="FO877" s="101">
        <f t="shared" si="456"/>
        <v>64</v>
      </c>
      <c r="FP877" s="101">
        <f t="shared" si="449"/>
        <v>11</v>
      </c>
      <c r="FQ877" s="14">
        <f t="shared" si="450"/>
        <v>5</v>
      </c>
      <c r="FR877" s="101" t="str">
        <f t="shared" si="457"/>
        <v>夏侯惇专属武器-魂珠-8 1级</v>
      </c>
      <c r="FS877" s="101">
        <f t="shared" si="458"/>
        <v>8</v>
      </c>
      <c r="FT877" s="101">
        <f t="shared" si="459"/>
        <v>1</v>
      </c>
      <c r="FU877" s="101" t="str">
        <f t="shared" si="451"/>
        <v>金币</v>
      </c>
      <c r="FV877" s="139">
        <f>IF($FT877&gt;0,IF(INDEX($EI$6:$EI$77,$FO877)&gt;=FV$3,ROUND(INDEX(EK$6:EK$77,$FO877)*INDEX(卡牌消耗!$B$8:$F$8,FQ877)/5,0)*5,""),"")</f>
        <v>20605</v>
      </c>
      <c r="FW877" s="101" t="str">
        <f t="shared" si="452"/>
        <v>专属强化石4</v>
      </c>
      <c r="FX877" s="101">
        <f t="shared" si="453"/>
        <v>5</v>
      </c>
      <c r="FY877" s="101" t="str">
        <f t="shared" si="454"/>
        <v/>
      </c>
      <c r="FZ877" s="101" t="str">
        <f t="shared" si="455"/>
        <v/>
      </c>
      <c r="GA877" s="101">
        <f t="shared" si="460"/>
        <v>0.11</v>
      </c>
      <c r="GB877" s="101">
        <f t="shared" si="461"/>
        <v>1</v>
      </c>
      <c r="GC877" s="101">
        <f t="shared" si="462"/>
        <v>13</v>
      </c>
      <c r="GD877" s="101">
        <f t="shared" si="463"/>
        <v>0</v>
      </c>
      <c r="GE877" s="101">
        <f t="shared" si="464"/>
        <v>1</v>
      </c>
      <c r="GF877" s="101">
        <f t="shared" si="465"/>
        <v>3</v>
      </c>
      <c r="GG877" s="101">
        <f t="shared" si="466"/>
        <v>5.6500000000000002E-2</v>
      </c>
      <c r="GH877" s="101">
        <f t="shared" si="467"/>
        <v>1</v>
      </c>
      <c r="GI877" s="101">
        <f t="shared" si="468"/>
        <v>6</v>
      </c>
      <c r="GJ877" s="101">
        <f t="shared" si="469"/>
        <v>0.22600000000000001</v>
      </c>
      <c r="GK877" s="101">
        <f t="shared" si="470"/>
        <v>1</v>
      </c>
      <c r="GL877" s="101">
        <f t="shared" si="471"/>
        <v>13</v>
      </c>
    </row>
    <row r="878" spans="170:194" ht="16.5" x14ac:dyDescent="0.2">
      <c r="FN878" s="101">
        <v>873</v>
      </c>
      <c r="FO878" s="101">
        <f t="shared" si="456"/>
        <v>65</v>
      </c>
      <c r="FP878" s="101">
        <f t="shared" si="449"/>
        <v>11</v>
      </c>
      <c r="FQ878" s="14">
        <f t="shared" si="450"/>
        <v>5</v>
      </c>
      <c r="FR878" s="101" t="str">
        <f t="shared" si="457"/>
        <v>夏侯惇专属武器-魂珠-8 2级</v>
      </c>
      <c r="FS878" s="101">
        <f t="shared" si="458"/>
        <v>8</v>
      </c>
      <c r="FT878" s="101">
        <f t="shared" si="459"/>
        <v>2</v>
      </c>
      <c r="FU878" s="101" t="str">
        <f t="shared" si="451"/>
        <v>金币</v>
      </c>
      <c r="FV878" s="139">
        <f>IF($FT878&gt;0,IF(INDEX($EI$6:$EI$77,$FO878)&gt;=FV$3,ROUND(INDEX(EK$6:EK$77,$FO878)*INDEX(卡牌消耗!$B$8:$F$8,FQ878)/5,0)*5,""),"")</f>
        <v>24725</v>
      </c>
      <c r="FW878" s="101" t="str">
        <f t="shared" si="452"/>
        <v>专属强化石4</v>
      </c>
      <c r="FX878" s="101">
        <f t="shared" si="453"/>
        <v>8</v>
      </c>
      <c r="FY878" s="101" t="str">
        <f t="shared" si="454"/>
        <v/>
      </c>
      <c r="FZ878" s="101" t="str">
        <f t="shared" si="455"/>
        <v/>
      </c>
      <c r="GA878" s="101">
        <f t="shared" si="460"/>
        <v>0.09</v>
      </c>
      <c r="GB878" s="101">
        <f t="shared" si="461"/>
        <v>1</v>
      </c>
      <c r="GC878" s="101">
        <f t="shared" si="462"/>
        <v>17</v>
      </c>
      <c r="GD878" s="101">
        <f t="shared" si="463"/>
        <v>0</v>
      </c>
      <c r="GE878" s="101">
        <f t="shared" si="464"/>
        <v>1</v>
      </c>
      <c r="GF878" s="101">
        <f t="shared" si="465"/>
        <v>4</v>
      </c>
      <c r="GG878" s="101">
        <f t="shared" si="466"/>
        <v>4.5199999999999997E-2</v>
      </c>
      <c r="GH878" s="101">
        <f t="shared" si="467"/>
        <v>1</v>
      </c>
      <c r="GI878" s="101">
        <f t="shared" si="468"/>
        <v>8</v>
      </c>
      <c r="GJ878" s="101">
        <f t="shared" si="469"/>
        <v>0.18079999999999999</v>
      </c>
      <c r="GK878" s="101">
        <f t="shared" si="470"/>
        <v>1</v>
      </c>
      <c r="GL878" s="101">
        <f t="shared" si="471"/>
        <v>17</v>
      </c>
    </row>
    <row r="879" spans="170:194" ht="16.5" x14ac:dyDescent="0.2">
      <c r="FN879" s="101">
        <v>874</v>
      </c>
      <c r="FO879" s="101">
        <f t="shared" si="456"/>
        <v>66</v>
      </c>
      <c r="FP879" s="101">
        <f t="shared" si="449"/>
        <v>11</v>
      </c>
      <c r="FQ879" s="14">
        <f t="shared" si="450"/>
        <v>5</v>
      </c>
      <c r="FR879" s="101" t="str">
        <f t="shared" si="457"/>
        <v>夏侯惇专属武器-魂珠-8 3级</v>
      </c>
      <c r="FS879" s="101">
        <f t="shared" si="458"/>
        <v>8</v>
      </c>
      <c r="FT879" s="101">
        <f t="shared" si="459"/>
        <v>3</v>
      </c>
      <c r="FU879" s="101" t="str">
        <f t="shared" si="451"/>
        <v>金币</v>
      </c>
      <c r="FV879" s="139">
        <f>IF($FT879&gt;0,IF(INDEX($EI$6:$EI$77,$FO879)&gt;=FV$3,ROUND(INDEX(EK$6:EK$77,$FO879)*INDEX(卡牌消耗!$B$8:$F$8,FQ879)/5,0)*5,""),"")</f>
        <v>34340</v>
      </c>
      <c r="FW879" s="101" t="str">
        <f t="shared" si="452"/>
        <v>专属强化石4</v>
      </c>
      <c r="FX879" s="101">
        <f t="shared" si="453"/>
        <v>10</v>
      </c>
      <c r="FY879" s="101" t="str">
        <f t="shared" si="454"/>
        <v/>
      </c>
      <c r="FZ879" s="101" t="str">
        <f t="shared" si="455"/>
        <v/>
      </c>
      <c r="GA879" s="101">
        <f t="shared" si="460"/>
        <v>0.08</v>
      </c>
      <c r="GB879" s="101">
        <f t="shared" si="461"/>
        <v>1</v>
      </c>
      <c r="GC879" s="101">
        <f t="shared" si="462"/>
        <v>20</v>
      </c>
      <c r="GD879" s="101">
        <f t="shared" si="463"/>
        <v>0</v>
      </c>
      <c r="GE879" s="101">
        <f t="shared" si="464"/>
        <v>1</v>
      </c>
      <c r="GF879" s="101">
        <f t="shared" si="465"/>
        <v>5</v>
      </c>
      <c r="GG879" s="101">
        <f t="shared" si="466"/>
        <v>3.7699999999999997E-2</v>
      </c>
      <c r="GH879" s="101">
        <f t="shared" si="467"/>
        <v>1</v>
      </c>
      <c r="GI879" s="101">
        <f t="shared" si="468"/>
        <v>9</v>
      </c>
      <c r="GJ879" s="101">
        <f t="shared" si="469"/>
        <v>0.1507</v>
      </c>
      <c r="GK879" s="101">
        <f t="shared" si="470"/>
        <v>1</v>
      </c>
      <c r="GL879" s="101">
        <f t="shared" si="471"/>
        <v>20</v>
      </c>
    </row>
    <row r="880" spans="170:194" ht="16.5" x14ac:dyDescent="0.2">
      <c r="FN880" s="101">
        <v>875</v>
      </c>
      <c r="FO880" s="101">
        <f t="shared" si="456"/>
        <v>67</v>
      </c>
      <c r="FP880" s="101">
        <f t="shared" si="449"/>
        <v>11</v>
      </c>
      <c r="FQ880" s="14">
        <f t="shared" si="450"/>
        <v>5</v>
      </c>
      <c r="FR880" s="101" t="str">
        <f t="shared" si="457"/>
        <v>夏侯惇专属武器-魂珠-8 4级</v>
      </c>
      <c r="FS880" s="101">
        <f t="shared" si="458"/>
        <v>8</v>
      </c>
      <c r="FT880" s="101">
        <f t="shared" si="459"/>
        <v>4</v>
      </c>
      <c r="FU880" s="101" t="str">
        <f t="shared" si="451"/>
        <v>金币</v>
      </c>
      <c r="FV880" s="139">
        <f>IF($FT880&gt;0,IF(INDEX($EI$6:$EI$77,$FO880)&gt;=FV$3,ROUND(INDEX(EK$6:EK$77,$FO880)*INDEX(卡牌消耗!$B$8:$F$8,FQ880)/5,0)*5,""),"")</f>
        <v>39560</v>
      </c>
      <c r="FW880" s="101" t="str">
        <f t="shared" si="452"/>
        <v>专属强化石4</v>
      </c>
      <c r="FX880" s="101">
        <f t="shared" si="453"/>
        <v>12</v>
      </c>
      <c r="FY880" s="101" t="str">
        <f t="shared" si="454"/>
        <v/>
      </c>
      <c r="FZ880" s="101" t="str">
        <f t="shared" si="455"/>
        <v/>
      </c>
      <c r="GA880" s="101">
        <f t="shared" si="460"/>
        <v>0.05</v>
      </c>
      <c r="GB880" s="101">
        <f t="shared" si="461"/>
        <v>1</v>
      </c>
      <c r="GC880" s="101">
        <f t="shared" si="462"/>
        <v>28</v>
      </c>
      <c r="GD880" s="101">
        <f t="shared" si="463"/>
        <v>0</v>
      </c>
      <c r="GE880" s="101">
        <f t="shared" si="464"/>
        <v>1</v>
      </c>
      <c r="GF880" s="101">
        <f t="shared" si="465"/>
        <v>6</v>
      </c>
      <c r="GG880" s="101">
        <f t="shared" si="466"/>
        <v>2.7099999999999999E-2</v>
      </c>
      <c r="GH880" s="101">
        <f t="shared" si="467"/>
        <v>1</v>
      </c>
      <c r="GI880" s="101">
        <f t="shared" si="468"/>
        <v>13</v>
      </c>
      <c r="GJ880" s="101">
        <f t="shared" si="469"/>
        <v>0.1085</v>
      </c>
      <c r="GK880" s="101">
        <f t="shared" si="470"/>
        <v>1</v>
      </c>
      <c r="GL880" s="101">
        <f t="shared" si="471"/>
        <v>28</v>
      </c>
    </row>
    <row r="881" spans="170:194" ht="16.5" x14ac:dyDescent="0.2">
      <c r="FN881" s="101">
        <v>876</v>
      </c>
      <c r="FO881" s="101">
        <f t="shared" si="456"/>
        <v>68</v>
      </c>
      <c r="FP881" s="101">
        <f t="shared" si="449"/>
        <v>11</v>
      </c>
      <c r="FQ881" s="14">
        <f t="shared" si="450"/>
        <v>5</v>
      </c>
      <c r="FR881" s="101" t="str">
        <f t="shared" si="457"/>
        <v>夏侯惇专属武器-魂珠-8 5级</v>
      </c>
      <c r="FS881" s="101">
        <f t="shared" si="458"/>
        <v>8</v>
      </c>
      <c r="FT881" s="101">
        <f t="shared" si="459"/>
        <v>5</v>
      </c>
      <c r="FU881" s="101" t="str">
        <f t="shared" si="451"/>
        <v>金币</v>
      </c>
      <c r="FV881" s="139">
        <f>IF($FT881&gt;0,IF(INDEX($EI$6:$EI$77,$FO881)&gt;=FV$3,ROUND(INDEX(EK$6:EK$77,$FO881)*INDEX(卡牌消耗!$B$8:$F$8,FQ881)/5,0)*5,""),"")</f>
        <v>50220</v>
      </c>
      <c r="FW881" s="101" t="str">
        <f t="shared" si="452"/>
        <v>专属强化石4</v>
      </c>
      <c r="FX881" s="101">
        <f t="shared" si="453"/>
        <v>15</v>
      </c>
      <c r="FY881" s="101" t="str">
        <f t="shared" si="454"/>
        <v/>
      </c>
      <c r="FZ881" s="101" t="str">
        <f t="shared" si="455"/>
        <v/>
      </c>
      <c r="GA881" s="101">
        <f t="shared" si="460"/>
        <v>0.04</v>
      </c>
      <c r="GB881" s="101">
        <f t="shared" si="461"/>
        <v>1</v>
      </c>
      <c r="GC881" s="101">
        <f t="shared" si="462"/>
        <v>35</v>
      </c>
      <c r="GD881" s="101">
        <f t="shared" si="463"/>
        <v>0</v>
      </c>
      <c r="GE881" s="101">
        <f t="shared" si="464"/>
        <v>1</v>
      </c>
      <c r="GF881" s="101">
        <f t="shared" si="465"/>
        <v>8</v>
      </c>
      <c r="GG881" s="101">
        <f t="shared" si="466"/>
        <v>2.12E-2</v>
      </c>
      <c r="GH881" s="101">
        <f t="shared" si="467"/>
        <v>1</v>
      </c>
      <c r="GI881" s="101">
        <f t="shared" si="468"/>
        <v>17</v>
      </c>
      <c r="GJ881" s="101">
        <f t="shared" si="469"/>
        <v>8.4699999999999998E-2</v>
      </c>
      <c r="GK881" s="101">
        <f t="shared" si="470"/>
        <v>1</v>
      </c>
      <c r="GL881" s="101">
        <f t="shared" si="471"/>
        <v>35</v>
      </c>
    </row>
    <row r="882" spans="170:194" ht="16.5" x14ac:dyDescent="0.2">
      <c r="FN882" s="101">
        <v>877</v>
      </c>
      <c r="FO882" s="101">
        <f t="shared" si="456"/>
        <v>69</v>
      </c>
      <c r="FP882" s="101">
        <f t="shared" si="449"/>
        <v>11</v>
      </c>
      <c r="FQ882" s="14">
        <f t="shared" si="450"/>
        <v>5</v>
      </c>
      <c r="FR882" s="101" t="str">
        <f t="shared" si="457"/>
        <v>夏侯惇专属武器-魂珠-8 6级</v>
      </c>
      <c r="FS882" s="101">
        <f t="shared" si="458"/>
        <v>8</v>
      </c>
      <c r="FT882" s="101">
        <f t="shared" si="459"/>
        <v>6</v>
      </c>
      <c r="FU882" s="101" t="str">
        <f t="shared" si="451"/>
        <v>金币</v>
      </c>
      <c r="FV882" s="139">
        <f>IF($FT882&gt;0,IF(INDEX($EI$6:$EI$77,$FO882)&gt;=FV$3,ROUND(INDEX(EK$6:EK$77,$FO882)*INDEX(卡牌消耗!$B$8:$F$8,FQ882)/5,0)*5,""),"")</f>
        <v>59910</v>
      </c>
      <c r="FW882" s="101" t="str">
        <f t="shared" si="452"/>
        <v>专属强化石4</v>
      </c>
      <c r="FX882" s="101">
        <f t="shared" si="453"/>
        <v>18</v>
      </c>
      <c r="FY882" s="101" t="str">
        <f t="shared" si="454"/>
        <v/>
      </c>
      <c r="FZ882" s="101" t="str">
        <f t="shared" si="455"/>
        <v/>
      </c>
      <c r="GA882" s="101">
        <f t="shared" si="460"/>
        <v>0.03</v>
      </c>
      <c r="GB882" s="101">
        <f t="shared" si="461"/>
        <v>1</v>
      </c>
      <c r="GC882" s="101">
        <f t="shared" si="462"/>
        <v>48</v>
      </c>
      <c r="GD882" s="101">
        <f t="shared" si="463"/>
        <v>0</v>
      </c>
      <c r="GE882" s="101">
        <f t="shared" si="464"/>
        <v>1</v>
      </c>
      <c r="GF882" s="101">
        <f t="shared" si="465"/>
        <v>11</v>
      </c>
      <c r="GG882" s="101">
        <f t="shared" si="466"/>
        <v>1.5599999999999999E-2</v>
      </c>
      <c r="GH882" s="101">
        <f t="shared" si="467"/>
        <v>1</v>
      </c>
      <c r="GI882" s="101">
        <f t="shared" si="468"/>
        <v>22</v>
      </c>
      <c r="GJ882" s="101">
        <f t="shared" si="469"/>
        <v>6.2600000000000003E-2</v>
      </c>
      <c r="GK882" s="101">
        <f t="shared" si="470"/>
        <v>1</v>
      </c>
      <c r="GL882" s="101">
        <f t="shared" si="471"/>
        <v>48</v>
      </c>
    </row>
    <row r="883" spans="170:194" ht="16.5" x14ac:dyDescent="0.2">
      <c r="FN883" s="101">
        <v>878</v>
      </c>
      <c r="FO883" s="101">
        <f t="shared" si="456"/>
        <v>70</v>
      </c>
      <c r="FP883" s="101">
        <f t="shared" si="449"/>
        <v>11</v>
      </c>
      <c r="FQ883" s="14">
        <f t="shared" si="450"/>
        <v>5</v>
      </c>
      <c r="FR883" s="101" t="str">
        <f t="shared" si="457"/>
        <v>夏侯惇专属武器-魂珠-8 7级</v>
      </c>
      <c r="FS883" s="101">
        <f t="shared" si="458"/>
        <v>8</v>
      </c>
      <c r="FT883" s="101">
        <f t="shared" si="459"/>
        <v>7</v>
      </c>
      <c r="FU883" s="101" t="str">
        <f t="shared" si="451"/>
        <v>金币</v>
      </c>
      <c r="FV883" s="139">
        <f>IF($FT883&gt;0,IF(INDEX($EI$6:$EI$77,$FO883)&gt;=FV$3,ROUND(INDEX(EK$6:EK$77,$FO883)*INDEX(卡牌消耗!$B$8:$F$8,FQ883)/5,0)*5,""),"")</f>
        <v>83395</v>
      </c>
      <c r="FW883" s="101" t="str">
        <f t="shared" si="452"/>
        <v>专属强化石4</v>
      </c>
      <c r="FX883" s="101">
        <f t="shared" si="453"/>
        <v>25</v>
      </c>
      <c r="FY883" s="101" t="str">
        <f t="shared" si="454"/>
        <v/>
      </c>
      <c r="FZ883" s="101" t="str">
        <f t="shared" si="455"/>
        <v/>
      </c>
      <c r="GA883" s="101">
        <f t="shared" si="460"/>
        <v>0.03</v>
      </c>
      <c r="GB883" s="101">
        <f t="shared" si="461"/>
        <v>1</v>
      </c>
      <c r="GC883" s="101">
        <f t="shared" si="462"/>
        <v>56</v>
      </c>
      <c r="GD883" s="101">
        <f t="shared" si="463"/>
        <v>0</v>
      </c>
      <c r="GE883" s="101">
        <f t="shared" si="464"/>
        <v>1</v>
      </c>
      <c r="GF883" s="101">
        <f t="shared" si="465"/>
        <v>13</v>
      </c>
      <c r="GG883" s="101">
        <f t="shared" si="466"/>
        <v>1.35E-2</v>
      </c>
      <c r="GH883" s="101">
        <f t="shared" si="467"/>
        <v>1</v>
      </c>
      <c r="GI883" s="101">
        <f t="shared" si="468"/>
        <v>26</v>
      </c>
      <c r="GJ883" s="101">
        <f t="shared" si="469"/>
        <v>5.3800000000000001E-2</v>
      </c>
      <c r="GK883" s="101">
        <f t="shared" si="470"/>
        <v>1</v>
      </c>
      <c r="GL883" s="101">
        <f t="shared" si="471"/>
        <v>56</v>
      </c>
    </row>
    <row r="884" spans="170:194" ht="16.5" x14ac:dyDescent="0.2">
      <c r="FN884" s="101">
        <v>879</v>
      </c>
      <c r="FO884" s="101">
        <f t="shared" si="456"/>
        <v>71</v>
      </c>
      <c r="FP884" s="101">
        <f t="shared" si="449"/>
        <v>11</v>
      </c>
      <c r="FQ884" s="14">
        <f t="shared" si="450"/>
        <v>5</v>
      </c>
      <c r="FR884" s="101" t="str">
        <f t="shared" si="457"/>
        <v>夏侯惇专属武器-魂珠-8 8级</v>
      </c>
      <c r="FS884" s="101">
        <f t="shared" si="458"/>
        <v>8</v>
      </c>
      <c r="FT884" s="101">
        <f t="shared" si="459"/>
        <v>8</v>
      </c>
      <c r="FU884" s="101" t="str">
        <f t="shared" si="451"/>
        <v>金币</v>
      </c>
      <c r="FV884" s="139">
        <f>IF($FT884&gt;0,IF(INDEX($EI$6:$EI$77,$FO884)&gt;=FV$3,ROUND(INDEX(EK$6:EK$77,$FO884)*INDEX(卡牌消耗!$B$8:$F$8,FQ884)/5,0)*5,""),"")</f>
        <v>99990</v>
      </c>
      <c r="FW884" s="101" t="str">
        <f t="shared" si="452"/>
        <v>专属强化石4</v>
      </c>
      <c r="FX884" s="101">
        <f t="shared" si="453"/>
        <v>30</v>
      </c>
      <c r="FY884" s="101" t="str">
        <f t="shared" si="454"/>
        <v/>
      </c>
      <c r="FZ884" s="101" t="str">
        <f t="shared" si="455"/>
        <v/>
      </c>
      <c r="GA884" s="101">
        <f t="shared" si="460"/>
        <v>0.02</v>
      </c>
      <c r="GB884" s="101">
        <f t="shared" si="461"/>
        <v>1</v>
      </c>
      <c r="GC884" s="101">
        <f t="shared" si="462"/>
        <v>75</v>
      </c>
      <c r="GD884" s="101">
        <f t="shared" si="463"/>
        <v>0</v>
      </c>
      <c r="GE884" s="101">
        <f t="shared" si="464"/>
        <v>1</v>
      </c>
      <c r="GF884" s="101">
        <f t="shared" si="465"/>
        <v>18</v>
      </c>
      <c r="GG884" s="101">
        <f t="shared" si="466"/>
        <v>0.01</v>
      </c>
      <c r="GH884" s="101">
        <f t="shared" si="467"/>
        <v>1</v>
      </c>
      <c r="GI884" s="101">
        <f t="shared" si="468"/>
        <v>35</v>
      </c>
      <c r="GJ884" s="101">
        <f t="shared" si="469"/>
        <v>3.9899999999999998E-2</v>
      </c>
      <c r="GK884" s="101">
        <f t="shared" si="470"/>
        <v>1</v>
      </c>
      <c r="GL884" s="101">
        <f t="shared" si="471"/>
        <v>75</v>
      </c>
    </row>
    <row r="885" spans="170:194" ht="16.5" x14ac:dyDescent="0.2">
      <c r="FN885" s="101">
        <v>880</v>
      </c>
      <c r="FO885" s="101">
        <f t="shared" si="456"/>
        <v>72</v>
      </c>
      <c r="FP885" s="101">
        <f t="shared" si="449"/>
        <v>11</v>
      </c>
      <c r="FQ885" s="14">
        <f t="shared" si="450"/>
        <v>5</v>
      </c>
      <c r="FR885" s="101" t="str">
        <f t="shared" si="457"/>
        <v>夏侯惇专属武器-魂珠-8 9级</v>
      </c>
      <c r="FS885" s="101">
        <f t="shared" si="458"/>
        <v>8</v>
      </c>
      <c r="FT885" s="101">
        <f t="shared" si="459"/>
        <v>9</v>
      </c>
      <c r="FU885" s="101" t="str">
        <f t="shared" si="451"/>
        <v>金币</v>
      </c>
      <c r="FV885" s="139">
        <f>IF($FT885&gt;0,IF(INDEX($EI$6:$EI$77,$FO885)&gt;=FV$3,ROUND(INDEX(EK$6:EK$77,$FO885)*INDEX(卡牌消耗!$B$8:$F$8,FQ885)/5,0)*5,""),"")</f>
        <v>100020</v>
      </c>
      <c r="FW885" s="101" t="str">
        <f t="shared" si="452"/>
        <v>专属强化石4</v>
      </c>
      <c r="FX885" s="101">
        <f t="shared" si="453"/>
        <v>30</v>
      </c>
      <c r="FY885" s="101" t="str">
        <f t="shared" si="454"/>
        <v/>
      </c>
      <c r="FZ885" s="101" t="str">
        <f t="shared" si="455"/>
        <v/>
      </c>
      <c r="GA885" s="101">
        <f t="shared" si="460"/>
        <v>0.01</v>
      </c>
      <c r="GB885" s="101">
        <f t="shared" si="461"/>
        <v>1</v>
      </c>
      <c r="GC885" s="101">
        <f t="shared" si="462"/>
        <v>122</v>
      </c>
      <c r="GD885" s="101">
        <f t="shared" si="463"/>
        <v>0</v>
      </c>
      <c r="GE885" s="101">
        <f t="shared" si="464"/>
        <v>1</v>
      </c>
      <c r="GF885" s="101">
        <f t="shared" si="465"/>
        <v>28</v>
      </c>
      <c r="GG885" s="101">
        <f t="shared" si="466"/>
        <v>6.1999999999999998E-3</v>
      </c>
      <c r="GH885" s="101">
        <f t="shared" si="467"/>
        <v>1</v>
      </c>
      <c r="GI885" s="101">
        <f t="shared" si="468"/>
        <v>57</v>
      </c>
      <c r="GJ885" s="101">
        <f t="shared" si="469"/>
        <v>2.47E-2</v>
      </c>
      <c r="GK885" s="101">
        <f t="shared" si="470"/>
        <v>1</v>
      </c>
      <c r="GL885" s="101">
        <f t="shared" si="471"/>
        <v>122</v>
      </c>
    </row>
    <row r="886" spans="170:194" ht="16.5" x14ac:dyDescent="0.2">
      <c r="FN886" s="101">
        <v>881</v>
      </c>
      <c r="FO886" s="101">
        <f t="shared" si="456"/>
        <v>0</v>
      </c>
      <c r="FP886" s="101">
        <f t="shared" si="449"/>
        <v>12</v>
      </c>
      <c r="FQ886" s="14">
        <f t="shared" si="450"/>
        <v>3</v>
      </c>
      <c r="FR886" s="101" t="str">
        <f t="shared" si="457"/>
        <v>石灵明专属武器-魂珠-1 0级</v>
      </c>
      <c r="FS886" s="101">
        <f t="shared" si="458"/>
        <v>1</v>
      </c>
      <c r="FT886" s="101">
        <f t="shared" si="459"/>
        <v>0</v>
      </c>
      <c r="FU886" s="101" t="str">
        <f t="shared" si="451"/>
        <v/>
      </c>
      <c r="FV886" s="139" t="str">
        <f>IF($FT886&gt;0,IF(INDEX($EI$6:$EI$77,$FO886)&gt;=FV$3,ROUND(INDEX(EK$6:EK$77,$FO886)*INDEX(卡牌消耗!$B$8:$F$8,FQ886)/5,0)*5,""),"")</f>
        <v/>
      </c>
      <c r="FW886" s="101" t="str">
        <f t="shared" si="452"/>
        <v/>
      </c>
      <c r="FX886" s="101" t="str">
        <f t="shared" si="453"/>
        <v/>
      </c>
      <c r="FY886" s="101" t="str">
        <f t="shared" si="454"/>
        <v/>
      </c>
      <c r="FZ886" s="101" t="str">
        <f t="shared" si="455"/>
        <v/>
      </c>
      <c r="GA886" s="101" t="str">
        <f t="shared" si="460"/>
        <v/>
      </c>
      <c r="GB886" s="101" t="str">
        <f t="shared" si="461"/>
        <v/>
      </c>
      <c r="GC886" s="101" t="str">
        <f t="shared" si="462"/>
        <v/>
      </c>
      <c r="GD886" s="101" t="str">
        <f t="shared" si="463"/>
        <v/>
      </c>
      <c r="GE886" s="101" t="str">
        <f t="shared" si="464"/>
        <v/>
      </c>
      <c r="GF886" s="101" t="str">
        <f t="shared" si="465"/>
        <v/>
      </c>
      <c r="GG886" s="101" t="str">
        <f t="shared" si="466"/>
        <v/>
      </c>
      <c r="GH886" s="101" t="str">
        <f t="shared" si="467"/>
        <v/>
      </c>
      <c r="GI886" s="101" t="str">
        <f t="shared" si="468"/>
        <v/>
      </c>
      <c r="GJ886" s="101" t="str">
        <f t="shared" si="469"/>
        <v/>
      </c>
      <c r="GK886" s="101" t="str">
        <f t="shared" si="470"/>
        <v/>
      </c>
      <c r="GL886" s="101" t="str">
        <f t="shared" si="471"/>
        <v/>
      </c>
    </row>
    <row r="887" spans="170:194" ht="16.5" x14ac:dyDescent="0.2">
      <c r="FN887" s="101">
        <v>882</v>
      </c>
      <c r="FO887" s="101">
        <f t="shared" si="456"/>
        <v>1</v>
      </c>
      <c r="FP887" s="101">
        <f t="shared" si="449"/>
        <v>12</v>
      </c>
      <c r="FQ887" s="14">
        <f t="shared" si="450"/>
        <v>3</v>
      </c>
      <c r="FR887" s="101" t="str">
        <f t="shared" si="457"/>
        <v>石灵明专属武器-魂珠-1 1级</v>
      </c>
      <c r="FS887" s="101">
        <f t="shared" si="458"/>
        <v>1</v>
      </c>
      <c r="FT887" s="101">
        <f t="shared" si="459"/>
        <v>1</v>
      </c>
      <c r="FU887" s="101" t="str">
        <f t="shared" si="451"/>
        <v>金币</v>
      </c>
      <c r="FV887" s="139">
        <f>IF($FT887&gt;0,IF(INDEX($EI$6:$EI$77,$FO887)&gt;=FV$3,ROUND(INDEX(EK$6:EK$77,$FO887)*INDEX(卡牌消耗!$B$8:$F$8,FQ887)/5,0)*5,""),"")</f>
        <v>95</v>
      </c>
      <c r="FW887" s="101" t="str">
        <f t="shared" si="452"/>
        <v>专属强化石1</v>
      </c>
      <c r="FX887" s="101">
        <f t="shared" si="453"/>
        <v>1</v>
      </c>
      <c r="FY887" s="101" t="str">
        <f t="shared" si="454"/>
        <v/>
      </c>
      <c r="FZ887" s="101" t="str">
        <f t="shared" si="455"/>
        <v/>
      </c>
      <c r="GA887" s="101">
        <f t="shared" si="460"/>
        <v>0.32</v>
      </c>
      <c r="GB887" s="101">
        <f t="shared" si="461"/>
        <v>1</v>
      </c>
      <c r="GC887" s="101">
        <f t="shared" si="462"/>
        <v>5</v>
      </c>
      <c r="GD887" s="101">
        <f t="shared" si="463"/>
        <v>0</v>
      </c>
      <c r="GE887" s="101">
        <f t="shared" si="464"/>
        <v>1</v>
      </c>
      <c r="GF887" s="101">
        <f t="shared" si="465"/>
        <v>1</v>
      </c>
      <c r="GG887" s="101">
        <f t="shared" si="466"/>
        <v>0.1595</v>
      </c>
      <c r="GH887" s="101">
        <f t="shared" si="467"/>
        <v>1</v>
      </c>
      <c r="GI887" s="101">
        <f t="shared" si="468"/>
        <v>2</v>
      </c>
      <c r="GJ887" s="101">
        <f t="shared" si="469"/>
        <v>0.63819999999999999</v>
      </c>
      <c r="GK887" s="101">
        <f t="shared" si="470"/>
        <v>1</v>
      </c>
      <c r="GL887" s="101">
        <f t="shared" si="471"/>
        <v>5</v>
      </c>
    </row>
    <row r="888" spans="170:194" ht="16.5" x14ac:dyDescent="0.2">
      <c r="FN888" s="101">
        <v>883</v>
      </c>
      <c r="FO888" s="101">
        <f t="shared" si="456"/>
        <v>2</v>
      </c>
      <c r="FP888" s="101">
        <f t="shared" si="449"/>
        <v>12</v>
      </c>
      <c r="FQ888" s="14">
        <f t="shared" si="450"/>
        <v>3</v>
      </c>
      <c r="FR888" s="101" t="str">
        <f t="shared" si="457"/>
        <v>石灵明专属武器-魂珠-1 2级</v>
      </c>
      <c r="FS888" s="101">
        <f t="shared" si="458"/>
        <v>1</v>
      </c>
      <c r="FT888" s="101">
        <f t="shared" si="459"/>
        <v>2</v>
      </c>
      <c r="FU888" s="101" t="str">
        <f t="shared" si="451"/>
        <v>金币</v>
      </c>
      <c r="FV888" s="139">
        <f>IF($FT888&gt;0,IF(INDEX($EI$6:$EI$77,$FO888)&gt;=FV$3,ROUND(INDEX(EK$6:EK$77,$FO888)*INDEX(卡牌消耗!$B$8:$F$8,FQ888)/5,0)*5,""),"")</f>
        <v>140</v>
      </c>
      <c r="FW888" s="101" t="str">
        <f t="shared" si="452"/>
        <v>专属强化石1</v>
      </c>
      <c r="FX888" s="101">
        <f t="shared" si="453"/>
        <v>2</v>
      </c>
      <c r="FY888" s="101" t="str">
        <f t="shared" si="454"/>
        <v/>
      </c>
      <c r="FZ888" s="101" t="str">
        <f t="shared" si="455"/>
        <v/>
      </c>
      <c r="GA888" s="101">
        <f t="shared" si="460"/>
        <v>0.32</v>
      </c>
      <c r="GB888" s="101">
        <f t="shared" si="461"/>
        <v>1</v>
      </c>
      <c r="GC888" s="101">
        <f t="shared" si="462"/>
        <v>5</v>
      </c>
      <c r="GD888" s="101">
        <f t="shared" si="463"/>
        <v>0</v>
      </c>
      <c r="GE888" s="101">
        <f t="shared" si="464"/>
        <v>1</v>
      </c>
      <c r="GF888" s="101">
        <f t="shared" si="465"/>
        <v>1</v>
      </c>
      <c r="GG888" s="101">
        <f t="shared" si="466"/>
        <v>0.1595</v>
      </c>
      <c r="GH888" s="101">
        <f t="shared" si="467"/>
        <v>1</v>
      </c>
      <c r="GI888" s="101">
        <f t="shared" si="468"/>
        <v>2</v>
      </c>
      <c r="GJ888" s="101">
        <f t="shared" si="469"/>
        <v>0.63819999999999999</v>
      </c>
      <c r="GK888" s="101">
        <f t="shared" si="470"/>
        <v>1</v>
      </c>
      <c r="GL888" s="101">
        <f t="shared" si="471"/>
        <v>5</v>
      </c>
    </row>
    <row r="889" spans="170:194" ht="16.5" x14ac:dyDescent="0.2">
      <c r="FN889" s="101">
        <v>884</v>
      </c>
      <c r="FO889" s="101">
        <f t="shared" si="456"/>
        <v>3</v>
      </c>
      <c r="FP889" s="101">
        <f t="shared" si="449"/>
        <v>12</v>
      </c>
      <c r="FQ889" s="14">
        <f t="shared" si="450"/>
        <v>3</v>
      </c>
      <c r="FR889" s="101" t="str">
        <f t="shared" si="457"/>
        <v>石灵明专属武器-魂珠-1 3级</v>
      </c>
      <c r="FS889" s="101">
        <f t="shared" si="458"/>
        <v>1</v>
      </c>
      <c r="FT889" s="101">
        <f t="shared" si="459"/>
        <v>3</v>
      </c>
      <c r="FU889" s="101" t="str">
        <f t="shared" si="451"/>
        <v>金币</v>
      </c>
      <c r="FV889" s="139">
        <f>IF($FT889&gt;0,IF(INDEX($EI$6:$EI$77,$FO889)&gt;=FV$3,ROUND(INDEX(EK$6:EK$77,$FO889)*INDEX(卡牌消耗!$B$8:$F$8,FQ889)/5,0)*5,""),"")</f>
        <v>235</v>
      </c>
      <c r="FW889" s="101" t="str">
        <f t="shared" si="452"/>
        <v>专属强化石1</v>
      </c>
      <c r="FX889" s="101">
        <f t="shared" si="453"/>
        <v>3</v>
      </c>
      <c r="FY889" s="101" t="str">
        <f t="shared" si="454"/>
        <v/>
      </c>
      <c r="FZ889" s="101" t="str">
        <f t="shared" si="455"/>
        <v/>
      </c>
      <c r="GA889" s="101">
        <f t="shared" si="460"/>
        <v>0.32</v>
      </c>
      <c r="GB889" s="101">
        <f t="shared" si="461"/>
        <v>1</v>
      </c>
      <c r="GC889" s="101">
        <f t="shared" si="462"/>
        <v>5</v>
      </c>
      <c r="GD889" s="101">
        <f t="shared" si="463"/>
        <v>0</v>
      </c>
      <c r="GE889" s="101">
        <f t="shared" si="464"/>
        <v>1</v>
      </c>
      <c r="GF889" s="101">
        <f t="shared" si="465"/>
        <v>1</v>
      </c>
      <c r="GG889" s="101">
        <f t="shared" si="466"/>
        <v>0.1595</v>
      </c>
      <c r="GH889" s="101">
        <f t="shared" si="467"/>
        <v>1</v>
      </c>
      <c r="GI889" s="101">
        <f t="shared" si="468"/>
        <v>2</v>
      </c>
      <c r="GJ889" s="101">
        <f t="shared" si="469"/>
        <v>0.63819999999999999</v>
      </c>
      <c r="GK889" s="101">
        <f t="shared" si="470"/>
        <v>1</v>
      </c>
      <c r="GL889" s="101">
        <f t="shared" si="471"/>
        <v>5</v>
      </c>
    </row>
    <row r="890" spans="170:194" ht="16.5" x14ac:dyDescent="0.2">
      <c r="FN890" s="101">
        <v>885</v>
      </c>
      <c r="FO890" s="101">
        <f t="shared" si="456"/>
        <v>4</v>
      </c>
      <c r="FP890" s="101">
        <f t="shared" si="449"/>
        <v>12</v>
      </c>
      <c r="FQ890" s="14">
        <f t="shared" si="450"/>
        <v>3</v>
      </c>
      <c r="FR890" s="101" t="str">
        <f t="shared" si="457"/>
        <v>石灵明专属武器-魂珠-1 4级</v>
      </c>
      <c r="FS890" s="101">
        <f t="shared" si="458"/>
        <v>1</v>
      </c>
      <c r="FT890" s="101">
        <f t="shared" si="459"/>
        <v>4</v>
      </c>
      <c r="FU890" s="101" t="str">
        <f t="shared" si="451"/>
        <v>金币</v>
      </c>
      <c r="FV890" s="139">
        <f>IF($FT890&gt;0,IF(INDEX($EI$6:$EI$77,$FO890)&gt;=FV$3,ROUND(INDEX(EK$6:EK$77,$FO890)*INDEX(卡牌消耗!$B$8:$F$8,FQ890)/5,0)*5,""),"")</f>
        <v>305</v>
      </c>
      <c r="FW890" s="101" t="str">
        <f t="shared" si="452"/>
        <v>专属强化石1</v>
      </c>
      <c r="FX890" s="101">
        <f t="shared" si="453"/>
        <v>4</v>
      </c>
      <c r="FY890" s="101" t="str">
        <f t="shared" si="454"/>
        <v/>
      </c>
      <c r="FZ890" s="101" t="str">
        <f t="shared" si="455"/>
        <v/>
      </c>
      <c r="GA890" s="101">
        <f t="shared" si="460"/>
        <v>0.26</v>
      </c>
      <c r="GB890" s="101">
        <f t="shared" si="461"/>
        <v>1</v>
      </c>
      <c r="GC890" s="101">
        <f t="shared" si="462"/>
        <v>6</v>
      </c>
      <c r="GD890" s="101">
        <f t="shared" si="463"/>
        <v>0</v>
      </c>
      <c r="GE890" s="101">
        <f t="shared" si="464"/>
        <v>1</v>
      </c>
      <c r="GF890" s="101">
        <f t="shared" si="465"/>
        <v>1</v>
      </c>
      <c r="GG890" s="101">
        <f t="shared" si="466"/>
        <v>0.12759999999999999</v>
      </c>
      <c r="GH890" s="101">
        <f t="shared" si="467"/>
        <v>1</v>
      </c>
      <c r="GI890" s="101">
        <f t="shared" si="468"/>
        <v>3</v>
      </c>
      <c r="GJ890" s="101">
        <f t="shared" si="469"/>
        <v>0.51060000000000005</v>
      </c>
      <c r="GK890" s="101">
        <f t="shared" si="470"/>
        <v>1</v>
      </c>
      <c r="GL890" s="101">
        <f t="shared" si="471"/>
        <v>6</v>
      </c>
    </row>
    <row r="891" spans="170:194" ht="16.5" x14ac:dyDescent="0.2">
      <c r="FN891" s="101">
        <v>886</v>
      </c>
      <c r="FO891" s="101">
        <f t="shared" si="456"/>
        <v>5</v>
      </c>
      <c r="FP891" s="101">
        <f t="shared" si="449"/>
        <v>12</v>
      </c>
      <c r="FQ891" s="14">
        <f t="shared" si="450"/>
        <v>3</v>
      </c>
      <c r="FR891" s="101" t="str">
        <f t="shared" si="457"/>
        <v>石灵明专属武器-魂珠-1 5级</v>
      </c>
      <c r="FS891" s="101">
        <f t="shared" si="458"/>
        <v>1</v>
      </c>
      <c r="FT891" s="101">
        <f t="shared" si="459"/>
        <v>5</v>
      </c>
      <c r="FU891" s="101" t="str">
        <f t="shared" si="451"/>
        <v>金币</v>
      </c>
      <c r="FV891" s="139">
        <f>IF($FT891&gt;0,IF(INDEX($EI$6:$EI$77,$FO891)&gt;=FV$3,ROUND(INDEX(EK$6:EK$77,$FO891)*INDEX(卡牌消耗!$B$8:$F$8,FQ891)/5,0)*5,""),"")</f>
        <v>385</v>
      </c>
      <c r="FW891" s="101" t="str">
        <f t="shared" si="452"/>
        <v>专属强化石1</v>
      </c>
      <c r="FX891" s="101">
        <f t="shared" si="453"/>
        <v>5</v>
      </c>
      <c r="FY891" s="101" t="str">
        <f t="shared" si="454"/>
        <v/>
      </c>
      <c r="FZ891" s="101" t="str">
        <f t="shared" si="455"/>
        <v/>
      </c>
      <c r="GA891" s="101">
        <f t="shared" si="460"/>
        <v>0.2</v>
      </c>
      <c r="GB891" s="101">
        <f t="shared" si="461"/>
        <v>1</v>
      </c>
      <c r="GC891" s="101">
        <f t="shared" si="462"/>
        <v>8</v>
      </c>
      <c r="GD891" s="101">
        <f t="shared" si="463"/>
        <v>0</v>
      </c>
      <c r="GE891" s="101">
        <f t="shared" si="464"/>
        <v>1</v>
      </c>
      <c r="GF891" s="101">
        <f t="shared" si="465"/>
        <v>2</v>
      </c>
      <c r="GG891" s="101">
        <f t="shared" si="466"/>
        <v>9.9699999999999997E-2</v>
      </c>
      <c r="GH891" s="101">
        <f t="shared" si="467"/>
        <v>1</v>
      </c>
      <c r="GI891" s="101">
        <f t="shared" si="468"/>
        <v>4</v>
      </c>
      <c r="GJ891" s="101">
        <f t="shared" si="469"/>
        <v>0.39889999999999998</v>
      </c>
      <c r="GK891" s="101">
        <f t="shared" si="470"/>
        <v>1</v>
      </c>
      <c r="GL891" s="101">
        <f t="shared" si="471"/>
        <v>8</v>
      </c>
    </row>
    <row r="892" spans="170:194" ht="16.5" x14ac:dyDescent="0.2">
      <c r="FN892" s="101">
        <v>887</v>
      </c>
      <c r="FO892" s="101">
        <f t="shared" si="456"/>
        <v>6</v>
      </c>
      <c r="FP892" s="101">
        <f t="shared" si="449"/>
        <v>12</v>
      </c>
      <c r="FQ892" s="14">
        <f t="shared" si="450"/>
        <v>3</v>
      </c>
      <c r="FR892" s="101" t="str">
        <f t="shared" si="457"/>
        <v>石灵明专属武器-魂珠-1 6级</v>
      </c>
      <c r="FS892" s="101">
        <f t="shared" si="458"/>
        <v>1</v>
      </c>
      <c r="FT892" s="101">
        <f t="shared" si="459"/>
        <v>6</v>
      </c>
      <c r="FU892" s="101" t="str">
        <f t="shared" si="451"/>
        <v>金币</v>
      </c>
      <c r="FV892" s="139">
        <f>IF($FT892&gt;0,IF(INDEX($EI$6:$EI$77,$FO892)&gt;=FV$3,ROUND(INDEX(EK$6:EK$77,$FO892)*INDEX(卡牌消耗!$B$8:$F$8,FQ892)/5,0)*5,""),"")</f>
        <v>460</v>
      </c>
      <c r="FW892" s="101" t="str">
        <f t="shared" si="452"/>
        <v>专属强化石1</v>
      </c>
      <c r="FX892" s="101">
        <f t="shared" si="453"/>
        <v>6</v>
      </c>
      <c r="FY892" s="101" t="str">
        <f t="shared" si="454"/>
        <v/>
      </c>
      <c r="FZ892" s="101" t="str">
        <f t="shared" si="455"/>
        <v/>
      </c>
      <c r="GA892" s="101">
        <f t="shared" si="460"/>
        <v>0.15</v>
      </c>
      <c r="GB892" s="101">
        <f t="shared" si="461"/>
        <v>1</v>
      </c>
      <c r="GC892" s="101">
        <f t="shared" si="462"/>
        <v>10</v>
      </c>
      <c r="GD892" s="101">
        <f t="shared" si="463"/>
        <v>0</v>
      </c>
      <c r="GE892" s="101">
        <f t="shared" si="464"/>
        <v>1</v>
      </c>
      <c r="GF892" s="101">
        <f t="shared" si="465"/>
        <v>2</v>
      </c>
      <c r="GG892" s="101">
        <f t="shared" si="466"/>
        <v>7.3599999999999999E-2</v>
      </c>
      <c r="GH892" s="101">
        <f t="shared" si="467"/>
        <v>1</v>
      </c>
      <c r="GI892" s="101">
        <f t="shared" si="468"/>
        <v>5</v>
      </c>
      <c r="GJ892" s="101">
        <f t="shared" si="469"/>
        <v>0.29459999999999997</v>
      </c>
      <c r="GK892" s="101">
        <f t="shared" si="470"/>
        <v>1</v>
      </c>
      <c r="GL892" s="101">
        <f t="shared" si="471"/>
        <v>10</v>
      </c>
    </row>
    <row r="893" spans="170:194" ht="16.5" x14ac:dyDescent="0.2">
      <c r="FN893" s="101">
        <v>888</v>
      </c>
      <c r="FO893" s="101">
        <f t="shared" si="456"/>
        <v>7</v>
      </c>
      <c r="FP893" s="101">
        <f t="shared" si="449"/>
        <v>12</v>
      </c>
      <c r="FQ893" s="14">
        <f t="shared" si="450"/>
        <v>3</v>
      </c>
      <c r="FR893" s="101" t="str">
        <f t="shared" si="457"/>
        <v>石灵明专属武器-魂珠-1 7级</v>
      </c>
      <c r="FS893" s="101">
        <f t="shared" si="458"/>
        <v>1</v>
      </c>
      <c r="FT893" s="101">
        <f t="shared" si="459"/>
        <v>7</v>
      </c>
      <c r="FU893" s="101" t="str">
        <f t="shared" si="451"/>
        <v>金币</v>
      </c>
      <c r="FV893" s="139">
        <f>IF($FT893&gt;0,IF(INDEX($EI$6:$EI$77,$FO893)&gt;=FV$3,ROUND(INDEX(EK$6:EK$77,$FO893)*INDEX(卡牌消耗!$B$8:$F$8,FQ893)/5,0)*5,""),"")</f>
        <v>535</v>
      </c>
      <c r="FW893" s="101" t="str">
        <f t="shared" si="452"/>
        <v>专属强化石1</v>
      </c>
      <c r="FX893" s="101">
        <f t="shared" si="453"/>
        <v>7</v>
      </c>
      <c r="FY893" s="101" t="str">
        <f t="shared" si="454"/>
        <v/>
      </c>
      <c r="FZ893" s="101" t="str">
        <f t="shared" si="455"/>
        <v/>
      </c>
      <c r="GA893" s="101">
        <f t="shared" si="460"/>
        <v>0.11</v>
      </c>
      <c r="GB893" s="101">
        <f t="shared" si="461"/>
        <v>1</v>
      </c>
      <c r="GC893" s="101">
        <f t="shared" si="462"/>
        <v>14</v>
      </c>
      <c r="GD893" s="101">
        <f t="shared" si="463"/>
        <v>0</v>
      </c>
      <c r="GE893" s="101">
        <f t="shared" si="464"/>
        <v>1</v>
      </c>
      <c r="GF893" s="101">
        <f t="shared" si="465"/>
        <v>3</v>
      </c>
      <c r="GG893" s="101">
        <f t="shared" si="466"/>
        <v>5.3199999999999997E-2</v>
      </c>
      <c r="GH893" s="101">
        <f t="shared" si="467"/>
        <v>1</v>
      </c>
      <c r="GI893" s="101">
        <f t="shared" si="468"/>
        <v>7</v>
      </c>
      <c r="GJ893" s="101">
        <f t="shared" si="469"/>
        <v>0.2127</v>
      </c>
      <c r="GK893" s="101">
        <f t="shared" si="470"/>
        <v>1</v>
      </c>
      <c r="GL893" s="101">
        <f t="shared" si="471"/>
        <v>14</v>
      </c>
    </row>
    <row r="894" spans="170:194" ht="16.5" x14ac:dyDescent="0.2">
      <c r="FN894" s="101">
        <v>889</v>
      </c>
      <c r="FO894" s="101">
        <f t="shared" si="456"/>
        <v>8</v>
      </c>
      <c r="FP894" s="101">
        <f t="shared" si="449"/>
        <v>12</v>
      </c>
      <c r="FQ894" s="14">
        <f t="shared" si="450"/>
        <v>3</v>
      </c>
      <c r="FR894" s="101" t="str">
        <f t="shared" si="457"/>
        <v>石灵明专属武器-魂珠-1 8级</v>
      </c>
      <c r="FS894" s="101">
        <f t="shared" si="458"/>
        <v>1</v>
      </c>
      <c r="FT894" s="101">
        <f t="shared" si="459"/>
        <v>8</v>
      </c>
      <c r="FU894" s="101" t="str">
        <f t="shared" si="451"/>
        <v>金币</v>
      </c>
      <c r="FV894" s="139">
        <f>IF($FT894&gt;0,IF(INDEX($EI$6:$EI$77,$FO894)&gt;=FV$3,ROUND(INDEX(EK$6:EK$77,$FO894)*INDEX(卡牌消耗!$B$8:$F$8,FQ894)/5,0)*5,""),"")</f>
        <v>615</v>
      </c>
      <c r="FW894" s="101" t="str">
        <f t="shared" si="452"/>
        <v>专属强化石1</v>
      </c>
      <c r="FX894" s="101">
        <f t="shared" si="453"/>
        <v>8</v>
      </c>
      <c r="FY894" s="101" t="str">
        <f t="shared" si="454"/>
        <v/>
      </c>
      <c r="FZ894" s="101" t="str">
        <f t="shared" si="455"/>
        <v/>
      </c>
      <c r="GA894" s="101">
        <f t="shared" si="460"/>
        <v>0.08</v>
      </c>
      <c r="GB894" s="101">
        <f t="shared" si="461"/>
        <v>1</v>
      </c>
      <c r="GC894" s="101">
        <f t="shared" si="462"/>
        <v>20</v>
      </c>
      <c r="GD894" s="101">
        <f t="shared" si="463"/>
        <v>0</v>
      </c>
      <c r="GE894" s="101">
        <f t="shared" si="464"/>
        <v>1</v>
      </c>
      <c r="GF894" s="101">
        <f t="shared" si="465"/>
        <v>5</v>
      </c>
      <c r="GG894" s="101">
        <f t="shared" si="466"/>
        <v>3.7499999999999999E-2</v>
      </c>
      <c r="GH894" s="101">
        <f t="shared" si="467"/>
        <v>1</v>
      </c>
      <c r="GI894" s="101">
        <f t="shared" si="468"/>
        <v>9</v>
      </c>
      <c r="GJ894" s="101">
        <f t="shared" si="469"/>
        <v>0.1502</v>
      </c>
      <c r="GK894" s="101">
        <f t="shared" si="470"/>
        <v>1</v>
      </c>
      <c r="GL894" s="101">
        <f t="shared" si="471"/>
        <v>20</v>
      </c>
    </row>
    <row r="895" spans="170:194" ht="16.5" x14ac:dyDescent="0.2">
      <c r="FN895" s="101">
        <v>890</v>
      </c>
      <c r="FO895" s="101">
        <f t="shared" si="456"/>
        <v>9</v>
      </c>
      <c r="FP895" s="101">
        <f t="shared" si="449"/>
        <v>12</v>
      </c>
      <c r="FQ895" s="14">
        <f t="shared" si="450"/>
        <v>3</v>
      </c>
      <c r="FR895" s="101" t="str">
        <f t="shared" si="457"/>
        <v>石灵明专属武器-魂珠-1 9级</v>
      </c>
      <c r="FS895" s="101">
        <f t="shared" si="458"/>
        <v>1</v>
      </c>
      <c r="FT895" s="101">
        <f t="shared" si="459"/>
        <v>9</v>
      </c>
      <c r="FU895" s="101" t="str">
        <f t="shared" si="451"/>
        <v>金币</v>
      </c>
      <c r="FV895" s="139">
        <f>IF($FT895&gt;0,IF(INDEX($EI$6:$EI$77,$FO895)&gt;=FV$3,ROUND(INDEX(EK$6:EK$77,$FO895)*INDEX(卡牌消耗!$B$8:$F$8,FQ895)/5,0)*5,""),"")</f>
        <v>765</v>
      </c>
      <c r="FW895" s="101" t="str">
        <f t="shared" si="452"/>
        <v>专属强化石1</v>
      </c>
      <c r="FX895" s="101">
        <f t="shared" si="453"/>
        <v>10</v>
      </c>
      <c r="FY895" s="101" t="str">
        <f t="shared" si="454"/>
        <v/>
      </c>
      <c r="FZ895" s="101" t="str">
        <f t="shared" si="455"/>
        <v/>
      </c>
      <c r="GA895" s="101">
        <f t="shared" si="460"/>
        <v>0.06</v>
      </c>
      <c r="GB895" s="101">
        <f t="shared" si="461"/>
        <v>1</v>
      </c>
      <c r="GC895" s="101">
        <f t="shared" si="462"/>
        <v>26</v>
      </c>
      <c r="GD895" s="101">
        <f t="shared" si="463"/>
        <v>0</v>
      </c>
      <c r="GE895" s="101">
        <f t="shared" si="464"/>
        <v>1</v>
      </c>
      <c r="GF895" s="101">
        <f t="shared" si="465"/>
        <v>6</v>
      </c>
      <c r="GG895" s="101">
        <f t="shared" si="466"/>
        <v>2.9000000000000001E-2</v>
      </c>
      <c r="GH895" s="101">
        <f t="shared" si="467"/>
        <v>1</v>
      </c>
      <c r="GI895" s="101">
        <f t="shared" si="468"/>
        <v>12</v>
      </c>
      <c r="GJ895" s="101">
        <f t="shared" si="469"/>
        <v>0.11600000000000001</v>
      </c>
      <c r="GK895" s="101">
        <f t="shared" si="470"/>
        <v>1</v>
      </c>
      <c r="GL895" s="101">
        <f t="shared" si="471"/>
        <v>26</v>
      </c>
    </row>
    <row r="896" spans="170:194" ht="16.5" x14ac:dyDescent="0.2">
      <c r="FN896" s="101">
        <v>891</v>
      </c>
      <c r="FO896" s="101">
        <f t="shared" si="456"/>
        <v>0</v>
      </c>
      <c r="FP896" s="101">
        <f t="shared" si="449"/>
        <v>12</v>
      </c>
      <c r="FQ896" s="14">
        <f t="shared" si="450"/>
        <v>3</v>
      </c>
      <c r="FR896" s="101" t="str">
        <f t="shared" si="457"/>
        <v>石灵明专属武器-魂珠-2 0级</v>
      </c>
      <c r="FS896" s="101">
        <f t="shared" si="458"/>
        <v>2</v>
      </c>
      <c r="FT896" s="101">
        <f t="shared" si="459"/>
        <v>0</v>
      </c>
      <c r="FU896" s="101" t="str">
        <f t="shared" si="451"/>
        <v/>
      </c>
      <c r="FV896" s="139" t="str">
        <f>IF($FT896&gt;0,IF(INDEX($EI$6:$EI$77,$FO896)&gt;=FV$3,ROUND(INDEX(EK$6:EK$77,$FO896)*INDEX(卡牌消耗!$B$8:$F$8,FQ896)/5,0)*5,""),"")</f>
        <v/>
      </c>
      <c r="FW896" s="101" t="str">
        <f t="shared" si="452"/>
        <v/>
      </c>
      <c r="FX896" s="101" t="str">
        <f t="shared" si="453"/>
        <v/>
      </c>
      <c r="FY896" s="101" t="str">
        <f t="shared" si="454"/>
        <v/>
      </c>
      <c r="FZ896" s="101" t="str">
        <f t="shared" si="455"/>
        <v/>
      </c>
      <c r="GA896" s="101" t="str">
        <f t="shared" si="460"/>
        <v/>
      </c>
      <c r="GB896" s="101" t="str">
        <f t="shared" si="461"/>
        <v/>
      </c>
      <c r="GC896" s="101" t="str">
        <f t="shared" si="462"/>
        <v/>
      </c>
      <c r="GD896" s="101" t="str">
        <f t="shared" si="463"/>
        <v/>
      </c>
      <c r="GE896" s="101" t="str">
        <f t="shared" si="464"/>
        <v/>
      </c>
      <c r="GF896" s="101" t="str">
        <f t="shared" si="465"/>
        <v/>
      </c>
      <c r="GG896" s="101" t="str">
        <f t="shared" si="466"/>
        <v/>
      </c>
      <c r="GH896" s="101" t="str">
        <f t="shared" si="467"/>
        <v/>
      </c>
      <c r="GI896" s="101" t="str">
        <f t="shared" si="468"/>
        <v/>
      </c>
      <c r="GJ896" s="101" t="str">
        <f t="shared" si="469"/>
        <v/>
      </c>
      <c r="GK896" s="101" t="str">
        <f t="shared" si="470"/>
        <v/>
      </c>
      <c r="GL896" s="101" t="str">
        <f t="shared" si="471"/>
        <v/>
      </c>
    </row>
    <row r="897" spans="170:194" ht="16.5" x14ac:dyDescent="0.2">
      <c r="FN897" s="101">
        <v>892</v>
      </c>
      <c r="FO897" s="101">
        <f t="shared" si="456"/>
        <v>10</v>
      </c>
      <c r="FP897" s="101">
        <f t="shared" si="449"/>
        <v>12</v>
      </c>
      <c r="FQ897" s="14">
        <f t="shared" si="450"/>
        <v>3</v>
      </c>
      <c r="FR897" s="101" t="str">
        <f t="shared" si="457"/>
        <v>石灵明专属武器-魂珠-2 1级</v>
      </c>
      <c r="FS897" s="101">
        <f t="shared" si="458"/>
        <v>2</v>
      </c>
      <c r="FT897" s="101">
        <f t="shared" si="459"/>
        <v>1</v>
      </c>
      <c r="FU897" s="101" t="str">
        <f t="shared" si="451"/>
        <v>金币</v>
      </c>
      <c r="FV897" s="139">
        <f>IF($FT897&gt;0,IF(INDEX($EI$6:$EI$77,$FO897)&gt;=FV$3,ROUND(INDEX(EK$6:EK$77,$FO897)*INDEX(卡牌消耗!$B$8:$F$8,FQ897)/5,0)*5,""),"")</f>
        <v>260</v>
      </c>
      <c r="FW897" s="101" t="str">
        <f t="shared" si="452"/>
        <v>专属强化石1</v>
      </c>
      <c r="FX897" s="101">
        <f t="shared" si="453"/>
        <v>3</v>
      </c>
      <c r="FY897" s="101" t="str">
        <f t="shared" si="454"/>
        <v>专属强化石2</v>
      </c>
      <c r="FZ897" s="101">
        <f t="shared" si="455"/>
        <v>1</v>
      </c>
      <c r="GA897" s="101">
        <f t="shared" si="460"/>
        <v>0.39</v>
      </c>
      <c r="GB897" s="101">
        <f t="shared" si="461"/>
        <v>1</v>
      </c>
      <c r="GC897" s="101">
        <f t="shared" si="462"/>
        <v>4</v>
      </c>
      <c r="GD897" s="101">
        <f t="shared" si="463"/>
        <v>0</v>
      </c>
      <c r="GE897" s="101">
        <f t="shared" si="464"/>
        <v>1</v>
      </c>
      <c r="GF897" s="101">
        <f t="shared" si="465"/>
        <v>1</v>
      </c>
      <c r="GG897" s="101">
        <f t="shared" si="466"/>
        <v>0.19270000000000001</v>
      </c>
      <c r="GH897" s="101">
        <f t="shared" si="467"/>
        <v>1</v>
      </c>
      <c r="GI897" s="101">
        <f t="shared" si="468"/>
        <v>2</v>
      </c>
      <c r="GJ897" s="101">
        <f t="shared" si="469"/>
        <v>0.77070000000000005</v>
      </c>
      <c r="GK897" s="101">
        <f t="shared" si="470"/>
        <v>1</v>
      </c>
      <c r="GL897" s="101">
        <f t="shared" si="471"/>
        <v>4</v>
      </c>
    </row>
    <row r="898" spans="170:194" ht="16.5" x14ac:dyDescent="0.2">
      <c r="FN898" s="101">
        <v>893</v>
      </c>
      <c r="FO898" s="101">
        <f t="shared" si="456"/>
        <v>11</v>
      </c>
      <c r="FP898" s="101">
        <f t="shared" si="449"/>
        <v>12</v>
      </c>
      <c r="FQ898" s="14">
        <f t="shared" si="450"/>
        <v>3</v>
      </c>
      <c r="FR898" s="101" t="str">
        <f t="shared" si="457"/>
        <v>石灵明专属武器-魂珠-2 2级</v>
      </c>
      <c r="FS898" s="101">
        <f t="shared" si="458"/>
        <v>2</v>
      </c>
      <c r="FT898" s="101">
        <f t="shared" si="459"/>
        <v>2</v>
      </c>
      <c r="FU898" s="101" t="str">
        <f t="shared" si="451"/>
        <v>金币</v>
      </c>
      <c r="FV898" s="139">
        <f>IF($FT898&gt;0,IF(INDEX($EI$6:$EI$77,$FO898)&gt;=FV$3,ROUND(INDEX(EK$6:EK$77,$FO898)*INDEX(卡牌消耗!$B$8:$F$8,FQ898)/5,0)*5,""),"")</f>
        <v>195</v>
      </c>
      <c r="FW898" s="101" t="str">
        <f t="shared" si="452"/>
        <v>专属强化石1</v>
      </c>
      <c r="FX898" s="101">
        <f t="shared" si="453"/>
        <v>3</v>
      </c>
      <c r="FY898" s="101" t="str">
        <f t="shared" si="454"/>
        <v>专属强化石2</v>
      </c>
      <c r="FZ898" s="101">
        <f t="shared" si="455"/>
        <v>1</v>
      </c>
      <c r="GA898" s="101">
        <f t="shared" si="460"/>
        <v>0.19</v>
      </c>
      <c r="GB898" s="101">
        <f t="shared" si="461"/>
        <v>1</v>
      </c>
      <c r="GC898" s="101">
        <f t="shared" si="462"/>
        <v>8</v>
      </c>
      <c r="GD898" s="101">
        <f t="shared" si="463"/>
        <v>0</v>
      </c>
      <c r="GE898" s="101">
        <f t="shared" si="464"/>
        <v>1</v>
      </c>
      <c r="GF898" s="101">
        <f t="shared" si="465"/>
        <v>2</v>
      </c>
      <c r="GG898" s="101">
        <f t="shared" si="466"/>
        <v>9.6299999999999997E-2</v>
      </c>
      <c r="GH898" s="101">
        <f t="shared" si="467"/>
        <v>1</v>
      </c>
      <c r="GI898" s="101">
        <f t="shared" si="468"/>
        <v>4</v>
      </c>
      <c r="GJ898" s="101">
        <f t="shared" si="469"/>
        <v>0.38529999999999998</v>
      </c>
      <c r="GK898" s="101">
        <f t="shared" si="470"/>
        <v>1</v>
      </c>
      <c r="GL898" s="101">
        <f t="shared" si="471"/>
        <v>8</v>
      </c>
    </row>
    <row r="899" spans="170:194" ht="16.5" x14ac:dyDescent="0.2">
      <c r="FN899" s="101">
        <v>894</v>
      </c>
      <c r="FO899" s="101">
        <f t="shared" si="456"/>
        <v>12</v>
      </c>
      <c r="FP899" s="101">
        <f t="shared" si="449"/>
        <v>12</v>
      </c>
      <c r="FQ899" s="14">
        <f t="shared" si="450"/>
        <v>3</v>
      </c>
      <c r="FR899" s="101" t="str">
        <f t="shared" si="457"/>
        <v>石灵明专属武器-魂珠-2 3级</v>
      </c>
      <c r="FS899" s="101">
        <f t="shared" si="458"/>
        <v>2</v>
      </c>
      <c r="FT899" s="101">
        <f t="shared" si="459"/>
        <v>3</v>
      </c>
      <c r="FU899" s="101" t="str">
        <f t="shared" si="451"/>
        <v>金币</v>
      </c>
      <c r="FV899" s="139">
        <f>IF($FT899&gt;0,IF(INDEX($EI$6:$EI$77,$FO899)&gt;=FV$3,ROUND(INDEX(EK$6:EK$77,$FO899)*INDEX(卡牌消耗!$B$8:$F$8,FQ899)/5,0)*5,""),"")</f>
        <v>435</v>
      </c>
      <c r="FW899" s="101" t="str">
        <f t="shared" si="452"/>
        <v>专属强化石1</v>
      </c>
      <c r="FX899" s="101">
        <f t="shared" si="453"/>
        <v>6</v>
      </c>
      <c r="FY899" s="101" t="str">
        <f t="shared" si="454"/>
        <v>专属强化石2</v>
      </c>
      <c r="FZ899" s="101">
        <f t="shared" si="455"/>
        <v>2</v>
      </c>
      <c r="GA899" s="101">
        <f t="shared" si="460"/>
        <v>0.26</v>
      </c>
      <c r="GB899" s="101">
        <f t="shared" si="461"/>
        <v>1</v>
      </c>
      <c r="GC899" s="101">
        <f t="shared" si="462"/>
        <v>6</v>
      </c>
      <c r="GD899" s="101">
        <f t="shared" si="463"/>
        <v>0</v>
      </c>
      <c r="GE899" s="101">
        <f t="shared" si="464"/>
        <v>1</v>
      </c>
      <c r="GF899" s="101">
        <f t="shared" si="465"/>
        <v>1</v>
      </c>
      <c r="GG899" s="101">
        <f t="shared" si="466"/>
        <v>0.12839999999999999</v>
      </c>
      <c r="GH899" s="101">
        <f t="shared" si="467"/>
        <v>1</v>
      </c>
      <c r="GI899" s="101">
        <f t="shared" si="468"/>
        <v>3</v>
      </c>
      <c r="GJ899" s="101">
        <f t="shared" si="469"/>
        <v>0.51380000000000003</v>
      </c>
      <c r="GK899" s="101">
        <f t="shared" si="470"/>
        <v>1</v>
      </c>
      <c r="GL899" s="101">
        <f t="shared" si="471"/>
        <v>6</v>
      </c>
    </row>
    <row r="900" spans="170:194" ht="16.5" x14ac:dyDescent="0.2">
      <c r="FN900" s="101">
        <v>895</v>
      </c>
      <c r="FO900" s="101">
        <f t="shared" si="456"/>
        <v>13</v>
      </c>
      <c r="FP900" s="101">
        <f t="shared" si="449"/>
        <v>12</v>
      </c>
      <c r="FQ900" s="14">
        <f t="shared" si="450"/>
        <v>3</v>
      </c>
      <c r="FR900" s="101" t="str">
        <f t="shared" si="457"/>
        <v>石灵明专属武器-魂珠-2 4级</v>
      </c>
      <c r="FS900" s="101">
        <f t="shared" si="458"/>
        <v>2</v>
      </c>
      <c r="FT900" s="101">
        <f t="shared" si="459"/>
        <v>4</v>
      </c>
      <c r="FU900" s="101" t="str">
        <f t="shared" si="451"/>
        <v>金币</v>
      </c>
      <c r="FV900" s="139">
        <f>IF($FT900&gt;0,IF(INDEX($EI$6:$EI$77,$FO900)&gt;=FV$3,ROUND(INDEX(EK$6:EK$77,$FO900)*INDEX(卡牌消耗!$B$8:$F$8,FQ900)/5,0)*5,""),"")</f>
        <v>420</v>
      </c>
      <c r="FW900" s="101" t="str">
        <f t="shared" si="452"/>
        <v>专属强化石1</v>
      </c>
      <c r="FX900" s="101">
        <f t="shared" si="453"/>
        <v>6</v>
      </c>
      <c r="FY900" s="101" t="str">
        <f t="shared" si="454"/>
        <v>专属强化石2</v>
      </c>
      <c r="FZ900" s="101">
        <f t="shared" si="455"/>
        <v>2</v>
      </c>
      <c r="GA900" s="101">
        <f t="shared" si="460"/>
        <v>0.15</v>
      </c>
      <c r="GB900" s="101">
        <f t="shared" si="461"/>
        <v>1</v>
      </c>
      <c r="GC900" s="101">
        <f t="shared" si="462"/>
        <v>10</v>
      </c>
      <c r="GD900" s="101">
        <f t="shared" si="463"/>
        <v>0</v>
      </c>
      <c r="GE900" s="101">
        <f t="shared" si="464"/>
        <v>1</v>
      </c>
      <c r="GF900" s="101">
        <f t="shared" si="465"/>
        <v>2</v>
      </c>
      <c r="GG900" s="101">
        <f t="shared" si="466"/>
        <v>7.7100000000000002E-2</v>
      </c>
      <c r="GH900" s="101">
        <f t="shared" si="467"/>
        <v>1</v>
      </c>
      <c r="GI900" s="101">
        <f t="shared" si="468"/>
        <v>5</v>
      </c>
      <c r="GJ900" s="101">
        <f t="shared" si="469"/>
        <v>0.30830000000000002</v>
      </c>
      <c r="GK900" s="101">
        <f t="shared" si="470"/>
        <v>1</v>
      </c>
      <c r="GL900" s="101">
        <f t="shared" si="471"/>
        <v>10</v>
      </c>
    </row>
    <row r="901" spans="170:194" ht="16.5" x14ac:dyDescent="0.2">
      <c r="FN901" s="101">
        <v>896</v>
      </c>
      <c r="FO901" s="101">
        <f t="shared" si="456"/>
        <v>14</v>
      </c>
      <c r="FP901" s="101">
        <f t="shared" si="449"/>
        <v>12</v>
      </c>
      <c r="FQ901" s="14">
        <f t="shared" si="450"/>
        <v>3</v>
      </c>
      <c r="FR901" s="101" t="str">
        <f t="shared" si="457"/>
        <v>石灵明专属武器-魂珠-2 5级</v>
      </c>
      <c r="FS901" s="101">
        <f t="shared" si="458"/>
        <v>2</v>
      </c>
      <c r="FT901" s="101">
        <f t="shared" si="459"/>
        <v>5</v>
      </c>
      <c r="FU901" s="101" t="str">
        <f t="shared" si="451"/>
        <v>金币</v>
      </c>
      <c r="FV901" s="139">
        <f>IF($FT901&gt;0,IF(INDEX($EI$6:$EI$77,$FO901)&gt;=FV$3,ROUND(INDEX(EK$6:EK$77,$FO901)*INDEX(卡牌消耗!$B$8:$F$8,FQ901)/5,0)*5,""),"")</f>
        <v>635</v>
      </c>
      <c r="FW901" s="101" t="str">
        <f t="shared" si="452"/>
        <v>专属强化石1</v>
      </c>
      <c r="FX901" s="101">
        <f t="shared" si="453"/>
        <v>9</v>
      </c>
      <c r="FY901" s="101" t="str">
        <f t="shared" si="454"/>
        <v>专属强化石2</v>
      </c>
      <c r="FZ901" s="101">
        <f t="shared" si="455"/>
        <v>3</v>
      </c>
      <c r="GA901" s="101">
        <f t="shared" si="460"/>
        <v>0.14000000000000001</v>
      </c>
      <c r="GB901" s="101">
        <f t="shared" si="461"/>
        <v>1</v>
      </c>
      <c r="GC901" s="101">
        <f t="shared" si="462"/>
        <v>10</v>
      </c>
      <c r="GD901" s="101">
        <f t="shared" si="463"/>
        <v>0</v>
      </c>
      <c r="GE901" s="101">
        <f t="shared" si="464"/>
        <v>1</v>
      </c>
      <c r="GF901" s="101">
        <f t="shared" si="465"/>
        <v>2</v>
      </c>
      <c r="GG901" s="101">
        <f t="shared" si="466"/>
        <v>7.22E-2</v>
      </c>
      <c r="GH901" s="101">
        <f t="shared" si="467"/>
        <v>1</v>
      </c>
      <c r="GI901" s="101">
        <f t="shared" si="468"/>
        <v>5</v>
      </c>
      <c r="GJ901" s="101">
        <f t="shared" si="469"/>
        <v>0.28899999999999998</v>
      </c>
      <c r="GK901" s="101">
        <f t="shared" si="470"/>
        <v>1</v>
      </c>
      <c r="GL901" s="101">
        <f t="shared" si="471"/>
        <v>10</v>
      </c>
    </row>
    <row r="902" spans="170:194" ht="16.5" x14ac:dyDescent="0.2">
      <c r="FN902" s="101">
        <v>897</v>
      </c>
      <c r="FO902" s="101">
        <f t="shared" si="456"/>
        <v>15</v>
      </c>
      <c r="FP902" s="101">
        <f t="shared" si="449"/>
        <v>12</v>
      </c>
      <c r="FQ902" s="14">
        <f t="shared" si="450"/>
        <v>3</v>
      </c>
      <c r="FR902" s="101" t="str">
        <f t="shared" si="457"/>
        <v>石灵明专属武器-魂珠-2 6级</v>
      </c>
      <c r="FS902" s="101">
        <f t="shared" si="458"/>
        <v>2</v>
      </c>
      <c r="FT902" s="101">
        <f t="shared" si="459"/>
        <v>6</v>
      </c>
      <c r="FU902" s="101" t="str">
        <f t="shared" si="451"/>
        <v>金币</v>
      </c>
      <c r="FV902" s="139">
        <f>IF($FT902&gt;0,IF(INDEX($EI$6:$EI$77,$FO902)&gt;=FV$3,ROUND(INDEX(EK$6:EK$77,$FO902)*INDEX(卡牌消耗!$B$8:$F$8,FQ902)/5,0)*5,""),"")</f>
        <v>845</v>
      </c>
      <c r="FW902" s="101" t="str">
        <f t="shared" si="452"/>
        <v>专属强化石1</v>
      </c>
      <c r="FX902" s="101">
        <f t="shared" si="453"/>
        <v>12</v>
      </c>
      <c r="FY902" s="101" t="str">
        <f t="shared" si="454"/>
        <v>专属强化石2</v>
      </c>
      <c r="FZ902" s="101">
        <f t="shared" si="455"/>
        <v>4</v>
      </c>
      <c r="GA902" s="101">
        <f t="shared" si="460"/>
        <v>0.12</v>
      </c>
      <c r="GB902" s="101">
        <f t="shared" si="461"/>
        <v>1</v>
      </c>
      <c r="GC902" s="101">
        <f t="shared" si="462"/>
        <v>13</v>
      </c>
      <c r="GD902" s="101">
        <f t="shared" si="463"/>
        <v>0</v>
      </c>
      <c r="GE902" s="101">
        <f t="shared" si="464"/>
        <v>1</v>
      </c>
      <c r="GF902" s="101">
        <f t="shared" si="465"/>
        <v>3</v>
      </c>
      <c r="GG902" s="101">
        <f t="shared" si="466"/>
        <v>5.9299999999999999E-2</v>
      </c>
      <c r="GH902" s="101">
        <f t="shared" si="467"/>
        <v>1</v>
      </c>
      <c r="GI902" s="101">
        <f t="shared" si="468"/>
        <v>6</v>
      </c>
      <c r="GJ902" s="101">
        <f t="shared" si="469"/>
        <v>0.23710000000000001</v>
      </c>
      <c r="GK902" s="101">
        <f t="shared" si="470"/>
        <v>1</v>
      </c>
      <c r="GL902" s="101">
        <f t="shared" si="471"/>
        <v>13</v>
      </c>
    </row>
    <row r="903" spans="170:194" ht="16.5" x14ac:dyDescent="0.2">
      <c r="FN903" s="101">
        <v>898</v>
      </c>
      <c r="FO903" s="101">
        <f t="shared" si="456"/>
        <v>16</v>
      </c>
      <c r="FP903" s="101">
        <f t="shared" ref="FP903:FP966" si="472">INT((FN903-1)/80+1)</f>
        <v>12</v>
      </c>
      <c r="FQ903" s="14">
        <f t="shared" ref="FQ903:FQ966" si="473">INDEX($FJ$6:$FJ$26,FP903)</f>
        <v>3</v>
      </c>
      <c r="FR903" s="101" t="str">
        <f t="shared" si="457"/>
        <v>石灵明专属武器-魂珠-2 7级</v>
      </c>
      <c r="FS903" s="101">
        <f t="shared" si="458"/>
        <v>2</v>
      </c>
      <c r="FT903" s="101">
        <f t="shared" si="459"/>
        <v>7</v>
      </c>
      <c r="FU903" s="101" t="str">
        <f t="shared" ref="FU903:FU966" si="474">IF($FT903&gt;0,IF(INDEX($EI$6:$EI$77,$FO903)&gt;=FU$3,INDEX(EJ$6:EJ$77,$FO903),""),"")</f>
        <v>金币</v>
      </c>
      <c r="FV903" s="139">
        <f>IF($FT903&gt;0,IF(INDEX($EI$6:$EI$77,$FO903)&gt;=FV$3,ROUND(INDEX(EK$6:EK$77,$FO903)*INDEX(卡牌消耗!$B$8:$F$8,FQ903)/5,0)*5,""),"")</f>
        <v>1060</v>
      </c>
      <c r="FW903" s="101" t="str">
        <f t="shared" ref="FW903:FW966" si="475">IF($FT903&gt;0,IF(INDEX($EI$6:$EI$77,$FO903)&gt;=FW$3,INDEX(EL$6:EL$77,$FO903),""),"")</f>
        <v>专属强化石1</v>
      </c>
      <c r="FX903" s="101">
        <f t="shared" ref="FX903:FX966" si="476">IF($FT903&gt;0,IF(INDEX($EI$6:$EI$77,$FO903)&gt;=FX$3,INDEX(EM$6:EM$77,$FO903),""),"")</f>
        <v>15</v>
      </c>
      <c r="FY903" s="101" t="str">
        <f t="shared" ref="FY903:FY966" si="477">IF($FT903&gt;0,IF(INDEX($EI$6:$EI$77,$FO903)&gt;=FY$3,INDEX(EN$6:EN$77,$FO903),""),"")</f>
        <v>专属强化石2</v>
      </c>
      <c r="FZ903" s="101">
        <f t="shared" ref="FZ903:FZ966" si="478">IF($FT903&gt;0,IF(INDEX($EI$6:$EI$77,$FO903)&gt;=FZ$3,INDEX(EO$6:EO$77,$FO903),""),"")</f>
        <v>5</v>
      </c>
      <c r="GA903" s="101">
        <f t="shared" si="460"/>
        <v>0.09</v>
      </c>
      <c r="GB903" s="101">
        <f t="shared" si="461"/>
        <v>1</v>
      </c>
      <c r="GC903" s="101">
        <f t="shared" si="462"/>
        <v>16</v>
      </c>
      <c r="GD903" s="101">
        <f t="shared" si="463"/>
        <v>0</v>
      </c>
      <c r="GE903" s="101">
        <f t="shared" si="464"/>
        <v>1</v>
      </c>
      <c r="GF903" s="101">
        <f t="shared" si="465"/>
        <v>4</v>
      </c>
      <c r="GG903" s="101">
        <f t="shared" si="466"/>
        <v>4.5900000000000003E-2</v>
      </c>
      <c r="GH903" s="101">
        <f t="shared" si="467"/>
        <v>1</v>
      </c>
      <c r="GI903" s="101">
        <f t="shared" si="468"/>
        <v>8</v>
      </c>
      <c r="GJ903" s="101">
        <f t="shared" si="469"/>
        <v>0.1835</v>
      </c>
      <c r="GK903" s="101">
        <f t="shared" si="470"/>
        <v>1</v>
      </c>
      <c r="GL903" s="101">
        <f t="shared" si="471"/>
        <v>16</v>
      </c>
    </row>
    <row r="904" spans="170:194" ht="16.5" x14ac:dyDescent="0.2">
      <c r="FN904" s="101">
        <v>899</v>
      </c>
      <c r="FO904" s="101">
        <f t="shared" si="456"/>
        <v>17</v>
      </c>
      <c r="FP904" s="101">
        <f t="shared" si="472"/>
        <v>12</v>
      </c>
      <c r="FQ904" s="14">
        <f t="shared" si="473"/>
        <v>3</v>
      </c>
      <c r="FR904" s="101" t="str">
        <f t="shared" si="457"/>
        <v>石灵明专属武器-魂珠-2 8级</v>
      </c>
      <c r="FS904" s="101">
        <f t="shared" si="458"/>
        <v>2</v>
      </c>
      <c r="FT904" s="101">
        <f t="shared" si="459"/>
        <v>8</v>
      </c>
      <c r="FU904" s="101" t="str">
        <f t="shared" si="474"/>
        <v>金币</v>
      </c>
      <c r="FV904" s="139">
        <f>IF($FT904&gt;0,IF(INDEX($EI$6:$EI$77,$FO904)&gt;=FV$3,ROUND(INDEX(EK$6:EK$77,$FO904)*INDEX(卡牌消耗!$B$8:$F$8,FQ904)/5,0)*5,""),"")</f>
        <v>1270</v>
      </c>
      <c r="FW904" s="101" t="str">
        <f t="shared" si="475"/>
        <v>专属强化石1</v>
      </c>
      <c r="FX904" s="101">
        <f t="shared" si="476"/>
        <v>18</v>
      </c>
      <c r="FY904" s="101" t="str">
        <f t="shared" si="477"/>
        <v>专属强化石2</v>
      </c>
      <c r="FZ904" s="101">
        <f t="shared" si="478"/>
        <v>6</v>
      </c>
      <c r="GA904" s="101">
        <f t="shared" si="460"/>
        <v>7.0000000000000007E-2</v>
      </c>
      <c r="GB904" s="101">
        <f t="shared" si="461"/>
        <v>1</v>
      </c>
      <c r="GC904" s="101">
        <f t="shared" si="462"/>
        <v>22</v>
      </c>
      <c r="GD904" s="101">
        <f t="shared" si="463"/>
        <v>0</v>
      </c>
      <c r="GE904" s="101">
        <f t="shared" si="464"/>
        <v>1</v>
      </c>
      <c r="GF904" s="101">
        <f t="shared" si="465"/>
        <v>5</v>
      </c>
      <c r="GG904" s="101">
        <f t="shared" si="466"/>
        <v>3.4000000000000002E-2</v>
      </c>
      <c r="GH904" s="101">
        <f t="shared" si="467"/>
        <v>1</v>
      </c>
      <c r="GI904" s="101">
        <f t="shared" si="468"/>
        <v>10</v>
      </c>
      <c r="GJ904" s="101">
        <f t="shared" si="469"/>
        <v>0.13600000000000001</v>
      </c>
      <c r="GK904" s="101">
        <f t="shared" si="470"/>
        <v>1</v>
      </c>
      <c r="GL904" s="101">
        <f t="shared" si="471"/>
        <v>22</v>
      </c>
    </row>
    <row r="905" spans="170:194" ht="16.5" x14ac:dyDescent="0.2">
      <c r="FN905" s="101">
        <v>900</v>
      </c>
      <c r="FO905" s="101">
        <f t="shared" si="456"/>
        <v>18</v>
      </c>
      <c r="FP905" s="101">
        <f t="shared" si="472"/>
        <v>12</v>
      </c>
      <c r="FQ905" s="14">
        <f t="shared" si="473"/>
        <v>3</v>
      </c>
      <c r="FR905" s="101" t="str">
        <f t="shared" si="457"/>
        <v>石灵明专属武器-魂珠-2 9级</v>
      </c>
      <c r="FS905" s="101">
        <f t="shared" si="458"/>
        <v>2</v>
      </c>
      <c r="FT905" s="101">
        <f t="shared" si="459"/>
        <v>9</v>
      </c>
      <c r="FU905" s="101" t="str">
        <f t="shared" si="474"/>
        <v>金币</v>
      </c>
      <c r="FV905" s="139">
        <f>IF($FT905&gt;0,IF(INDEX($EI$6:$EI$77,$FO905)&gt;=FV$3,ROUND(INDEX(EK$6:EK$77,$FO905)*INDEX(卡牌消耗!$B$8:$F$8,FQ905)/5,0)*5,""),"")</f>
        <v>1695</v>
      </c>
      <c r="FW905" s="101" t="str">
        <f t="shared" si="475"/>
        <v>专属强化石1</v>
      </c>
      <c r="FX905" s="101">
        <f t="shared" si="476"/>
        <v>24</v>
      </c>
      <c r="FY905" s="101" t="str">
        <f t="shared" si="477"/>
        <v>专属强化石2</v>
      </c>
      <c r="FZ905" s="101">
        <f t="shared" si="478"/>
        <v>8</v>
      </c>
      <c r="GA905" s="101">
        <f t="shared" si="460"/>
        <v>0.06</v>
      </c>
      <c r="GB905" s="101">
        <f t="shared" si="461"/>
        <v>1</v>
      </c>
      <c r="GC905" s="101">
        <f t="shared" si="462"/>
        <v>27</v>
      </c>
      <c r="GD905" s="101">
        <f t="shared" si="463"/>
        <v>0</v>
      </c>
      <c r="GE905" s="101">
        <f t="shared" si="464"/>
        <v>1</v>
      </c>
      <c r="GF905" s="101">
        <f t="shared" si="465"/>
        <v>6</v>
      </c>
      <c r="GG905" s="101">
        <f t="shared" si="466"/>
        <v>2.8000000000000001E-2</v>
      </c>
      <c r="GH905" s="101">
        <f t="shared" si="467"/>
        <v>1</v>
      </c>
      <c r="GI905" s="101">
        <f t="shared" si="468"/>
        <v>12</v>
      </c>
      <c r="GJ905" s="101">
        <f t="shared" si="469"/>
        <v>0.11210000000000001</v>
      </c>
      <c r="GK905" s="101">
        <f t="shared" si="470"/>
        <v>1</v>
      </c>
      <c r="GL905" s="101">
        <f t="shared" si="471"/>
        <v>27</v>
      </c>
    </row>
    <row r="906" spans="170:194" ht="16.5" x14ac:dyDescent="0.2">
      <c r="FN906" s="101">
        <v>901</v>
      </c>
      <c r="FO906" s="101">
        <f t="shared" si="456"/>
        <v>0</v>
      </c>
      <c r="FP906" s="101">
        <f t="shared" si="472"/>
        <v>12</v>
      </c>
      <c r="FQ906" s="14">
        <f t="shared" si="473"/>
        <v>3</v>
      </c>
      <c r="FR906" s="101" t="str">
        <f t="shared" si="457"/>
        <v>石灵明专属武器-魂珠-3 0级</v>
      </c>
      <c r="FS906" s="101">
        <f t="shared" si="458"/>
        <v>3</v>
      </c>
      <c r="FT906" s="101">
        <f t="shared" si="459"/>
        <v>0</v>
      </c>
      <c r="FU906" s="101" t="str">
        <f t="shared" si="474"/>
        <v/>
      </c>
      <c r="FV906" s="139" t="str">
        <f>IF($FT906&gt;0,IF(INDEX($EI$6:$EI$77,$FO906)&gt;=FV$3,ROUND(INDEX(EK$6:EK$77,$FO906)*INDEX(卡牌消耗!$B$8:$F$8,FQ906)/5,0)*5,""),"")</f>
        <v/>
      </c>
      <c r="FW906" s="101" t="str">
        <f t="shared" si="475"/>
        <v/>
      </c>
      <c r="FX906" s="101" t="str">
        <f t="shared" si="476"/>
        <v/>
      </c>
      <c r="FY906" s="101" t="str">
        <f t="shared" si="477"/>
        <v/>
      </c>
      <c r="FZ906" s="101" t="str">
        <f t="shared" si="478"/>
        <v/>
      </c>
      <c r="GA906" s="101" t="str">
        <f t="shared" si="460"/>
        <v/>
      </c>
      <c r="GB906" s="101" t="str">
        <f t="shared" si="461"/>
        <v/>
      </c>
      <c r="GC906" s="101" t="str">
        <f t="shared" si="462"/>
        <v/>
      </c>
      <c r="GD906" s="101" t="str">
        <f t="shared" si="463"/>
        <v/>
      </c>
      <c r="GE906" s="101" t="str">
        <f t="shared" si="464"/>
        <v/>
      </c>
      <c r="GF906" s="101" t="str">
        <f t="shared" si="465"/>
        <v/>
      </c>
      <c r="GG906" s="101" t="str">
        <f t="shared" si="466"/>
        <v/>
      </c>
      <c r="GH906" s="101" t="str">
        <f t="shared" si="467"/>
        <v/>
      </c>
      <c r="GI906" s="101" t="str">
        <f t="shared" si="468"/>
        <v/>
      </c>
      <c r="GJ906" s="101" t="str">
        <f t="shared" si="469"/>
        <v/>
      </c>
      <c r="GK906" s="101" t="str">
        <f t="shared" si="470"/>
        <v/>
      </c>
      <c r="GL906" s="101" t="str">
        <f t="shared" si="471"/>
        <v/>
      </c>
    </row>
    <row r="907" spans="170:194" ht="16.5" x14ac:dyDescent="0.2">
      <c r="FN907" s="101">
        <v>902</v>
      </c>
      <c r="FO907" s="101">
        <f t="shared" si="456"/>
        <v>19</v>
      </c>
      <c r="FP907" s="101">
        <f t="shared" si="472"/>
        <v>12</v>
      </c>
      <c r="FQ907" s="14">
        <f t="shared" si="473"/>
        <v>3</v>
      </c>
      <c r="FR907" s="101" t="str">
        <f t="shared" si="457"/>
        <v>石灵明专属武器-魂珠-3 1级</v>
      </c>
      <c r="FS907" s="101">
        <f t="shared" si="458"/>
        <v>3</v>
      </c>
      <c r="FT907" s="101">
        <f t="shared" si="459"/>
        <v>1</v>
      </c>
      <c r="FU907" s="101" t="str">
        <f t="shared" si="474"/>
        <v>金币</v>
      </c>
      <c r="FV907" s="139">
        <f>IF($FT907&gt;0,IF(INDEX($EI$6:$EI$77,$FO907)&gt;=FV$3,ROUND(INDEX(EK$6:EK$77,$FO907)*INDEX(卡牌消耗!$B$8:$F$8,FQ907)/5,0)*5,""),"")</f>
        <v>545</v>
      </c>
      <c r="FW907" s="101" t="str">
        <f t="shared" si="475"/>
        <v>专属强化石1</v>
      </c>
      <c r="FX907" s="101">
        <f t="shared" si="476"/>
        <v>4</v>
      </c>
      <c r="FY907" s="101" t="str">
        <f t="shared" si="477"/>
        <v>专属强化石2</v>
      </c>
      <c r="FZ907" s="101">
        <f t="shared" si="478"/>
        <v>2</v>
      </c>
      <c r="GA907" s="101">
        <f t="shared" si="460"/>
        <v>0.31</v>
      </c>
      <c r="GB907" s="101">
        <f t="shared" si="461"/>
        <v>1</v>
      </c>
      <c r="GC907" s="101">
        <f t="shared" si="462"/>
        <v>5</v>
      </c>
      <c r="GD907" s="101">
        <f t="shared" si="463"/>
        <v>0</v>
      </c>
      <c r="GE907" s="101">
        <f t="shared" si="464"/>
        <v>1</v>
      </c>
      <c r="GF907" s="101">
        <f t="shared" si="465"/>
        <v>1</v>
      </c>
      <c r="GG907" s="101">
        <f t="shared" si="466"/>
        <v>0.15409999999999999</v>
      </c>
      <c r="GH907" s="101">
        <f t="shared" si="467"/>
        <v>1</v>
      </c>
      <c r="GI907" s="101">
        <f t="shared" si="468"/>
        <v>2</v>
      </c>
      <c r="GJ907" s="101">
        <f t="shared" si="469"/>
        <v>0.61650000000000005</v>
      </c>
      <c r="GK907" s="101">
        <f t="shared" si="470"/>
        <v>1</v>
      </c>
      <c r="GL907" s="101">
        <f t="shared" si="471"/>
        <v>5</v>
      </c>
    </row>
    <row r="908" spans="170:194" ht="16.5" x14ac:dyDescent="0.2">
      <c r="FN908" s="101">
        <v>903</v>
      </c>
      <c r="FO908" s="101">
        <f t="shared" si="456"/>
        <v>20</v>
      </c>
      <c r="FP908" s="101">
        <f t="shared" si="472"/>
        <v>12</v>
      </c>
      <c r="FQ908" s="14">
        <f t="shared" si="473"/>
        <v>3</v>
      </c>
      <c r="FR908" s="101" t="str">
        <f t="shared" si="457"/>
        <v>石灵明专属武器-魂珠-3 2级</v>
      </c>
      <c r="FS908" s="101">
        <f t="shared" si="458"/>
        <v>3</v>
      </c>
      <c r="FT908" s="101">
        <f t="shared" si="459"/>
        <v>2</v>
      </c>
      <c r="FU908" s="101" t="str">
        <f t="shared" si="474"/>
        <v>金币</v>
      </c>
      <c r="FV908" s="139">
        <f>IF($FT908&gt;0,IF(INDEX($EI$6:$EI$77,$FO908)&gt;=FV$3,ROUND(INDEX(EK$6:EK$77,$FO908)*INDEX(卡牌消耗!$B$8:$F$8,FQ908)/5,0)*5,""),"")</f>
        <v>410</v>
      </c>
      <c r="FW908" s="101" t="str">
        <f t="shared" si="475"/>
        <v>专属强化石1</v>
      </c>
      <c r="FX908" s="101">
        <f t="shared" si="476"/>
        <v>4</v>
      </c>
      <c r="FY908" s="101" t="str">
        <f t="shared" si="477"/>
        <v>专属强化石2</v>
      </c>
      <c r="FZ908" s="101">
        <f t="shared" si="478"/>
        <v>2</v>
      </c>
      <c r="GA908" s="101">
        <f t="shared" si="460"/>
        <v>0.15</v>
      </c>
      <c r="GB908" s="101">
        <f t="shared" si="461"/>
        <v>1</v>
      </c>
      <c r="GC908" s="101">
        <f t="shared" si="462"/>
        <v>10</v>
      </c>
      <c r="GD908" s="101">
        <f t="shared" si="463"/>
        <v>0</v>
      </c>
      <c r="GE908" s="101">
        <f t="shared" si="464"/>
        <v>1</v>
      </c>
      <c r="GF908" s="101">
        <f t="shared" si="465"/>
        <v>2</v>
      </c>
      <c r="GG908" s="101">
        <f t="shared" si="466"/>
        <v>7.7100000000000002E-2</v>
      </c>
      <c r="GH908" s="101">
        <f t="shared" si="467"/>
        <v>1</v>
      </c>
      <c r="GI908" s="101">
        <f t="shared" si="468"/>
        <v>5</v>
      </c>
      <c r="GJ908" s="101">
        <f t="shared" si="469"/>
        <v>0.30830000000000002</v>
      </c>
      <c r="GK908" s="101">
        <f t="shared" si="470"/>
        <v>1</v>
      </c>
      <c r="GL908" s="101">
        <f t="shared" si="471"/>
        <v>10</v>
      </c>
    </row>
    <row r="909" spans="170:194" ht="16.5" x14ac:dyDescent="0.2">
      <c r="FN909" s="101">
        <v>904</v>
      </c>
      <c r="FO909" s="101">
        <f t="shared" si="456"/>
        <v>21</v>
      </c>
      <c r="FP909" s="101">
        <f t="shared" si="472"/>
        <v>12</v>
      </c>
      <c r="FQ909" s="14">
        <f t="shared" si="473"/>
        <v>3</v>
      </c>
      <c r="FR909" s="101" t="str">
        <f t="shared" si="457"/>
        <v>石灵明专属武器-魂珠-3 3级</v>
      </c>
      <c r="FS909" s="101">
        <f t="shared" si="458"/>
        <v>3</v>
      </c>
      <c r="FT909" s="101">
        <f t="shared" si="459"/>
        <v>3</v>
      </c>
      <c r="FU909" s="101" t="str">
        <f t="shared" si="474"/>
        <v>金币</v>
      </c>
      <c r="FV909" s="139">
        <f>IF($FT909&gt;0,IF(INDEX($EI$6:$EI$77,$FO909)&gt;=FV$3,ROUND(INDEX(EK$6:EK$77,$FO909)*INDEX(卡牌消耗!$B$8:$F$8,FQ909)/5,0)*5,""),"")</f>
        <v>680</v>
      </c>
      <c r="FW909" s="101" t="str">
        <f t="shared" si="475"/>
        <v>专属强化石1</v>
      </c>
      <c r="FX909" s="101">
        <f t="shared" si="476"/>
        <v>6</v>
      </c>
      <c r="FY909" s="101" t="str">
        <f t="shared" si="477"/>
        <v>专属强化石2</v>
      </c>
      <c r="FZ909" s="101">
        <f t="shared" si="478"/>
        <v>3</v>
      </c>
      <c r="GA909" s="101">
        <f t="shared" si="460"/>
        <v>0.15</v>
      </c>
      <c r="GB909" s="101">
        <f t="shared" si="461"/>
        <v>1</v>
      </c>
      <c r="GC909" s="101">
        <f t="shared" si="462"/>
        <v>10</v>
      </c>
      <c r="GD909" s="101">
        <f t="shared" si="463"/>
        <v>0</v>
      </c>
      <c r="GE909" s="101">
        <f t="shared" si="464"/>
        <v>1</v>
      </c>
      <c r="GF909" s="101">
        <f t="shared" si="465"/>
        <v>2</v>
      </c>
      <c r="GG909" s="101">
        <f t="shared" si="466"/>
        <v>7.7100000000000002E-2</v>
      </c>
      <c r="GH909" s="101">
        <f t="shared" si="467"/>
        <v>1</v>
      </c>
      <c r="GI909" s="101">
        <f t="shared" si="468"/>
        <v>5</v>
      </c>
      <c r="GJ909" s="101">
        <f t="shared" si="469"/>
        <v>0.30830000000000002</v>
      </c>
      <c r="GK909" s="101">
        <f t="shared" si="470"/>
        <v>1</v>
      </c>
      <c r="GL909" s="101">
        <f t="shared" si="471"/>
        <v>10</v>
      </c>
    </row>
    <row r="910" spans="170:194" ht="16.5" x14ac:dyDescent="0.2">
      <c r="FN910" s="101">
        <v>905</v>
      </c>
      <c r="FO910" s="101">
        <f t="shared" si="456"/>
        <v>22</v>
      </c>
      <c r="FP910" s="101">
        <f t="shared" si="472"/>
        <v>12</v>
      </c>
      <c r="FQ910" s="14">
        <f t="shared" si="473"/>
        <v>3</v>
      </c>
      <c r="FR910" s="101" t="str">
        <f t="shared" si="457"/>
        <v>石灵明专属武器-魂珠-3 4级</v>
      </c>
      <c r="FS910" s="101">
        <f t="shared" si="458"/>
        <v>3</v>
      </c>
      <c r="FT910" s="101">
        <f t="shared" si="459"/>
        <v>4</v>
      </c>
      <c r="FU910" s="101" t="str">
        <f t="shared" si="474"/>
        <v>金币</v>
      </c>
      <c r="FV910" s="139">
        <f>IF($FT910&gt;0,IF(INDEX($EI$6:$EI$77,$FO910)&gt;=FV$3,ROUND(INDEX(EK$6:EK$77,$FO910)*INDEX(卡牌消耗!$B$8:$F$8,FQ910)/5,0)*5,""),"")</f>
        <v>655</v>
      </c>
      <c r="FW910" s="101" t="str">
        <f t="shared" si="475"/>
        <v>专属强化石1</v>
      </c>
      <c r="FX910" s="101">
        <f t="shared" si="476"/>
        <v>6</v>
      </c>
      <c r="FY910" s="101" t="str">
        <f t="shared" si="477"/>
        <v>专属强化石2</v>
      </c>
      <c r="FZ910" s="101">
        <f t="shared" si="478"/>
        <v>3</v>
      </c>
      <c r="GA910" s="101">
        <f t="shared" si="460"/>
        <v>0.09</v>
      </c>
      <c r="GB910" s="101">
        <f t="shared" si="461"/>
        <v>1</v>
      </c>
      <c r="GC910" s="101">
        <f t="shared" si="462"/>
        <v>16</v>
      </c>
      <c r="GD910" s="101">
        <f t="shared" si="463"/>
        <v>0</v>
      </c>
      <c r="GE910" s="101">
        <f t="shared" si="464"/>
        <v>1</v>
      </c>
      <c r="GF910" s="101">
        <f t="shared" si="465"/>
        <v>4</v>
      </c>
      <c r="GG910" s="101">
        <f t="shared" si="466"/>
        <v>4.6199999999999998E-2</v>
      </c>
      <c r="GH910" s="101">
        <f t="shared" si="467"/>
        <v>1</v>
      </c>
      <c r="GI910" s="101">
        <f t="shared" si="468"/>
        <v>8</v>
      </c>
      <c r="GJ910" s="101">
        <f t="shared" si="469"/>
        <v>0.185</v>
      </c>
      <c r="GK910" s="101">
        <f t="shared" si="470"/>
        <v>1</v>
      </c>
      <c r="GL910" s="101">
        <f t="shared" si="471"/>
        <v>16</v>
      </c>
    </row>
    <row r="911" spans="170:194" ht="16.5" x14ac:dyDescent="0.2">
      <c r="FN911" s="101">
        <v>906</v>
      </c>
      <c r="FO911" s="101">
        <f t="shared" si="456"/>
        <v>23</v>
      </c>
      <c r="FP911" s="101">
        <f t="shared" si="472"/>
        <v>12</v>
      </c>
      <c r="FQ911" s="14">
        <f t="shared" si="473"/>
        <v>3</v>
      </c>
      <c r="FR911" s="101" t="str">
        <f t="shared" si="457"/>
        <v>石灵明专属武器-魂珠-3 5级</v>
      </c>
      <c r="FS911" s="101">
        <f t="shared" si="458"/>
        <v>3</v>
      </c>
      <c r="FT911" s="101">
        <f t="shared" si="459"/>
        <v>5</v>
      </c>
      <c r="FU911" s="101" t="str">
        <f t="shared" si="474"/>
        <v>金币</v>
      </c>
      <c r="FV911" s="139">
        <f>IF($FT911&gt;0,IF(INDEX($EI$6:$EI$77,$FO911)&gt;=FV$3,ROUND(INDEX(EK$6:EK$77,$FO911)*INDEX(卡牌消耗!$B$8:$F$8,FQ911)/5,0)*5,""),"")</f>
        <v>885</v>
      </c>
      <c r="FW911" s="101" t="str">
        <f t="shared" si="475"/>
        <v>专属强化石1</v>
      </c>
      <c r="FX911" s="101">
        <f t="shared" si="476"/>
        <v>8</v>
      </c>
      <c r="FY911" s="101" t="str">
        <f t="shared" si="477"/>
        <v>专属强化石2</v>
      </c>
      <c r="FZ911" s="101">
        <f t="shared" si="478"/>
        <v>4</v>
      </c>
      <c r="GA911" s="101">
        <f t="shared" si="460"/>
        <v>0.08</v>
      </c>
      <c r="GB911" s="101">
        <f t="shared" si="461"/>
        <v>1</v>
      </c>
      <c r="GC911" s="101">
        <f t="shared" si="462"/>
        <v>19</v>
      </c>
      <c r="GD911" s="101">
        <f t="shared" si="463"/>
        <v>0</v>
      </c>
      <c r="GE911" s="101">
        <f t="shared" si="464"/>
        <v>1</v>
      </c>
      <c r="GF911" s="101">
        <f t="shared" si="465"/>
        <v>5</v>
      </c>
      <c r="GG911" s="101">
        <f t="shared" si="466"/>
        <v>3.85E-2</v>
      </c>
      <c r="GH911" s="101">
        <f t="shared" si="467"/>
        <v>1</v>
      </c>
      <c r="GI911" s="101">
        <f t="shared" si="468"/>
        <v>9</v>
      </c>
      <c r="GJ911" s="101">
        <f t="shared" si="469"/>
        <v>0.15409999999999999</v>
      </c>
      <c r="GK911" s="101">
        <f t="shared" si="470"/>
        <v>1</v>
      </c>
      <c r="GL911" s="101">
        <f t="shared" si="471"/>
        <v>19</v>
      </c>
    </row>
    <row r="912" spans="170:194" ht="16.5" x14ac:dyDescent="0.2">
      <c r="FN912" s="101">
        <v>907</v>
      </c>
      <c r="FO912" s="101">
        <f t="shared" si="456"/>
        <v>24</v>
      </c>
      <c r="FP912" s="101">
        <f t="shared" si="472"/>
        <v>12</v>
      </c>
      <c r="FQ912" s="14">
        <f t="shared" si="473"/>
        <v>3</v>
      </c>
      <c r="FR912" s="101" t="str">
        <f t="shared" si="457"/>
        <v>石灵明专属武器-魂珠-3 6级</v>
      </c>
      <c r="FS912" s="101">
        <f t="shared" si="458"/>
        <v>3</v>
      </c>
      <c r="FT912" s="101">
        <f t="shared" si="459"/>
        <v>6</v>
      </c>
      <c r="FU912" s="101" t="str">
        <f t="shared" si="474"/>
        <v>金币</v>
      </c>
      <c r="FV912" s="139">
        <f>IF($FT912&gt;0,IF(INDEX($EI$6:$EI$77,$FO912)&gt;=FV$3,ROUND(INDEX(EK$6:EK$77,$FO912)*INDEX(卡牌消耗!$B$8:$F$8,FQ912)/5,0)*5,""),"")</f>
        <v>1100</v>
      </c>
      <c r="FW912" s="101" t="str">
        <f t="shared" si="475"/>
        <v>专属强化石1</v>
      </c>
      <c r="FX912" s="101">
        <f t="shared" si="476"/>
        <v>10</v>
      </c>
      <c r="FY912" s="101" t="str">
        <f t="shared" si="477"/>
        <v>专属强化石2</v>
      </c>
      <c r="FZ912" s="101">
        <f t="shared" si="478"/>
        <v>5</v>
      </c>
      <c r="GA912" s="101">
        <f t="shared" si="460"/>
        <v>0.06</v>
      </c>
      <c r="GB912" s="101">
        <f t="shared" si="461"/>
        <v>1</v>
      </c>
      <c r="GC912" s="101">
        <f t="shared" si="462"/>
        <v>25</v>
      </c>
      <c r="GD912" s="101">
        <f t="shared" si="463"/>
        <v>0</v>
      </c>
      <c r="GE912" s="101">
        <f t="shared" si="464"/>
        <v>1</v>
      </c>
      <c r="GF912" s="101">
        <f t="shared" si="465"/>
        <v>6</v>
      </c>
      <c r="GG912" s="101">
        <f t="shared" si="466"/>
        <v>2.9600000000000001E-2</v>
      </c>
      <c r="GH912" s="101">
        <f t="shared" si="467"/>
        <v>1</v>
      </c>
      <c r="GI912" s="101">
        <f t="shared" si="468"/>
        <v>12</v>
      </c>
      <c r="GJ912" s="101">
        <f t="shared" si="469"/>
        <v>0.1186</v>
      </c>
      <c r="GK912" s="101">
        <f t="shared" si="470"/>
        <v>1</v>
      </c>
      <c r="GL912" s="101">
        <f t="shared" si="471"/>
        <v>25</v>
      </c>
    </row>
    <row r="913" spans="170:194" ht="16.5" x14ac:dyDescent="0.2">
      <c r="FN913" s="101">
        <v>908</v>
      </c>
      <c r="FO913" s="101">
        <f t="shared" si="456"/>
        <v>25</v>
      </c>
      <c r="FP913" s="101">
        <f t="shared" si="472"/>
        <v>12</v>
      </c>
      <c r="FQ913" s="14">
        <f t="shared" si="473"/>
        <v>3</v>
      </c>
      <c r="FR913" s="101" t="str">
        <f t="shared" si="457"/>
        <v>石灵明专属武器-魂珠-3 7级</v>
      </c>
      <c r="FS913" s="101">
        <f t="shared" si="458"/>
        <v>3</v>
      </c>
      <c r="FT913" s="101">
        <f t="shared" si="459"/>
        <v>7</v>
      </c>
      <c r="FU913" s="101" t="str">
        <f t="shared" si="474"/>
        <v>金币</v>
      </c>
      <c r="FV913" s="139">
        <f>IF($FT913&gt;0,IF(INDEX($EI$6:$EI$77,$FO913)&gt;=FV$3,ROUND(INDEX(EK$6:EK$77,$FO913)*INDEX(卡牌消耗!$B$8:$F$8,FQ913)/5,0)*5,""),"")</f>
        <v>1325</v>
      </c>
      <c r="FW913" s="101" t="str">
        <f t="shared" si="475"/>
        <v>专属强化石1</v>
      </c>
      <c r="FX913" s="101">
        <f t="shared" si="476"/>
        <v>12</v>
      </c>
      <c r="FY913" s="101" t="str">
        <f t="shared" si="477"/>
        <v>专属强化石2</v>
      </c>
      <c r="FZ913" s="101">
        <f t="shared" si="478"/>
        <v>6</v>
      </c>
      <c r="GA913" s="101">
        <f t="shared" si="460"/>
        <v>0.04</v>
      </c>
      <c r="GB913" s="101">
        <f t="shared" si="461"/>
        <v>1</v>
      </c>
      <c r="GC913" s="101">
        <f t="shared" si="462"/>
        <v>34</v>
      </c>
      <c r="GD913" s="101">
        <f t="shared" si="463"/>
        <v>0</v>
      </c>
      <c r="GE913" s="101">
        <f t="shared" si="464"/>
        <v>1</v>
      </c>
      <c r="GF913" s="101">
        <f t="shared" si="465"/>
        <v>8</v>
      </c>
      <c r="GG913" s="101">
        <f t="shared" si="466"/>
        <v>2.1999999999999999E-2</v>
      </c>
      <c r="GH913" s="101">
        <f t="shared" si="467"/>
        <v>1</v>
      </c>
      <c r="GI913" s="101">
        <f t="shared" si="468"/>
        <v>16</v>
      </c>
      <c r="GJ913" s="101">
        <f t="shared" si="469"/>
        <v>8.8099999999999998E-2</v>
      </c>
      <c r="GK913" s="101">
        <f t="shared" si="470"/>
        <v>1</v>
      </c>
      <c r="GL913" s="101">
        <f t="shared" si="471"/>
        <v>34</v>
      </c>
    </row>
    <row r="914" spans="170:194" ht="16.5" x14ac:dyDescent="0.2">
      <c r="FN914" s="101">
        <v>909</v>
      </c>
      <c r="FO914" s="101">
        <f t="shared" si="456"/>
        <v>26</v>
      </c>
      <c r="FP914" s="101">
        <f t="shared" si="472"/>
        <v>12</v>
      </c>
      <c r="FQ914" s="14">
        <f t="shared" si="473"/>
        <v>3</v>
      </c>
      <c r="FR914" s="101" t="str">
        <f t="shared" si="457"/>
        <v>石灵明专属武器-魂珠-3 8级</v>
      </c>
      <c r="FS914" s="101">
        <f t="shared" si="458"/>
        <v>3</v>
      </c>
      <c r="FT914" s="101">
        <f t="shared" si="459"/>
        <v>8</v>
      </c>
      <c r="FU914" s="101" t="str">
        <f t="shared" si="474"/>
        <v>金币</v>
      </c>
      <c r="FV914" s="139">
        <f>IF($FT914&gt;0,IF(INDEX($EI$6:$EI$77,$FO914)&gt;=FV$3,ROUND(INDEX(EK$6:EK$77,$FO914)*INDEX(卡牌消耗!$B$8:$F$8,FQ914)/5,0)*5,""),"")</f>
        <v>1765</v>
      </c>
      <c r="FW914" s="101" t="str">
        <f t="shared" si="475"/>
        <v>专属强化石1</v>
      </c>
      <c r="FX914" s="101">
        <f t="shared" si="476"/>
        <v>16</v>
      </c>
      <c r="FY914" s="101" t="str">
        <f t="shared" si="477"/>
        <v>专属强化石2</v>
      </c>
      <c r="FZ914" s="101">
        <f t="shared" si="478"/>
        <v>8</v>
      </c>
      <c r="GA914" s="101">
        <f t="shared" si="460"/>
        <v>0.04</v>
      </c>
      <c r="GB914" s="101">
        <f t="shared" si="461"/>
        <v>1</v>
      </c>
      <c r="GC914" s="101">
        <f t="shared" si="462"/>
        <v>41</v>
      </c>
      <c r="GD914" s="101">
        <f t="shared" si="463"/>
        <v>0</v>
      </c>
      <c r="GE914" s="101">
        <f t="shared" si="464"/>
        <v>1</v>
      </c>
      <c r="GF914" s="101">
        <f t="shared" si="465"/>
        <v>10</v>
      </c>
      <c r="GG914" s="101">
        <f t="shared" si="466"/>
        <v>1.8100000000000002E-2</v>
      </c>
      <c r="GH914" s="101">
        <f t="shared" si="467"/>
        <v>1</v>
      </c>
      <c r="GI914" s="101">
        <f t="shared" si="468"/>
        <v>19</v>
      </c>
      <c r="GJ914" s="101">
        <f t="shared" si="469"/>
        <v>7.2499999999999995E-2</v>
      </c>
      <c r="GK914" s="101">
        <f t="shared" si="470"/>
        <v>1</v>
      </c>
      <c r="GL914" s="101">
        <f t="shared" si="471"/>
        <v>41</v>
      </c>
    </row>
    <row r="915" spans="170:194" ht="16.5" x14ac:dyDescent="0.2">
      <c r="FN915" s="101">
        <v>910</v>
      </c>
      <c r="FO915" s="101">
        <f t="shared" si="456"/>
        <v>27</v>
      </c>
      <c r="FP915" s="101">
        <f t="shared" si="472"/>
        <v>12</v>
      </c>
      <c r="FQ915" s="14">
        <f t="shared" si="473"/>
        <v>3</v>
      </c>
      <c r="FR915" s="101" t="str">
        <f t="shared" si="457"/>
        <v>石灵明专属武器-魂珠-3 9级</v>
      </c>
      <c r="FS915" s="101">
        <f t="shared" si="458"/>
        <v>3</v>
      </c>
      <c r="FT915" s="101">
        <f t="shared" si="459"/>
        <v>9</v>
      </c>
      <c r="FU915" s="101" t="str">
        <f t="shared" si="474"/>
        <v>金币</v>
      </c>
      <c r="FV915" s="139">
        <f>IF($FT915&gt;0,IF(INDEX($EI$6:$EI$77,$FO915)&gt;=FV$3,ROUND(INDEX(EK$6:EK$77,$FO915)*INDEX(卡牌消耗!$B$8:$F$8,FQ915)/5,0)*5,""),"")</f>
        <v>2205</v>
      </c>
      <c r="FW915" s="101" t="str">
        <f t="shared" si="475"/>
        <v>专属强化石1</v>
      </c>
      <c r="FX915" s="101">
        <f t="shared" si="476"/>
        <v>20</v>
      </c>
      <c r="FY915" s="101" t="str">
        <f t="shared" si="477"/>
        <v>专属强化石2</v>
      </c>
      <c r="FZ915" s="101">
        <f t="shared" si="478"/>
        <v>10</v>
      </c>
      <c r="GA915" s="101">
        <f t="shared" si="460"/>
        <v>0.03</v>
      </c>
      <c r="GB915" s="101">
        <f t="shared" si="461"/>
        <v>1</v>
      </c>
      <c r="GC915" s="101">
        <f t="shared" si="462"/>
        <v>54</v>
      </c>
      <c r="GD915" s="101">
        <f t="shared" si="463"/>
        <v>0</v>
      </c>
      <c r="GE915" s="101">
        <f t="shared" si="464"/>
        <v>1</v>
      </c>
      <c r="GF915" s="101">
        <f t="shared" si="465"/>
        <v>12</v>
      </c>
      <c r="GG915" s="101">
        <f t="shared" si="466"/>
        <v>1.4E-2</v>
      </c>
      <c r="GH915" s="101">
        <f t="shared" si="467"/>
        <v>1</v>
      </c>
      <c r="GI915" s="101">
        <f t="shared" si="468"/>
        <v>25</v>
      </c>
      <c r="GJ915" s="101">
        <f t="shared" si="469"/>
        <v>5.6000000000000001E-2</v>
      </c>
      <c r="GK915" s="101">
        <f t="shared" si="470"/>
        <v>1</v>
      </c>
      <c r="GL915" s="101">
        <f t="shared" si="471"/>
        <v>54</v>
      </c>
    </row>
    <row r="916" spans="170:194" ht="16.5" x14ac:dyDescent="0.2">
      <c r="FN916" s="101">
        <v>911</v>
      </c>
      <c r="FO916" s="101">
        <f t="shared" si="456"/>
        <v>0</v>
      </c>
      <c r="FP916" s="101">
        <f t="shared" si="472"/>
        <v>12</v>
      </c>
      <c r="FQ916" s="14">
        <f t="shared" si="473"/>
        <v>3</v>
      </c>
      <c r="FR916" s="101" t="str">
        <f t="shared" si="457"/>
        <v>石灵明专属武器-魂珠-4 0级</v>
      </c>
      <c r="FS916" s="101">
        <f t="shared" si="458"/>
        <v>4</v>
      </c>
      <c r="FT916" s="101">
        <f t="shared" si="459"/>
        <v>0</v>
      </c>
      <c r="FU916" s="101" t="str">
        <f t="shared" si="474"/>
        <v/>
      </c>
      <c r="FV916" s="139" t="str">
        <f>IF($FT916&gt;0,IF(INDEX($EI$6:$EI$77,$FO916)&gt;=FV$3,ROUND(INDEX(EK$6:EK$77,$FO916)*INDEX(卡牌消耗!$B$8:$F$8,FQ916)/5,0)*5,""),"")</f>
        <v/>
      </c>
      <c r="FW916" s="101" t="str">
        <f t="shared" si="475"/>
        <v/>
      </c>
      <c r="FX916" s="101" t="str">
        <f t="shared" si="476"/>
        <v/>
      </c>
      <c r="FY916" s="101" t="str">
        <f t="shared" si="477"/>
        <v/>
      </c>
      <c r="FZ916" s="101" t="str">
        <f t="shared" si="478"/>
        <v/>
      </c>
      <c r="GA916" s="101" t="str">
        <f t="shared" si="460"/>
        <v/>
      </c>
      <c r="GB916" s="101" t="str">
        <f t="shared" si="461"/>
        <v/>
      </c>
      <c r="GC916" s="101" t="str">
        <f t="shared" si="462"/>
        <v/>
      </c>
      <c r="GD916" s="101" t="str">
        <f t="shared" si="463"/>
        <v/>
      </c>
      <c r="GE916" s="101" t="str">
        <f t="shared" si="464"/>
        <v/>
      </c>
      <c r="GF916" s="101" t="str">
        <f t="shared" si="465"/>
        <v/>
      </c>
      <c r="GG916" s="101" t="str">
        <f t="shared" si="466"/>
        <v/>
      </c>
      <c r="GH916" s="101" t="str">
        <f t="shared" si="467"/>
        <v/>
      </c>
      <c r="GI916" s="101" t="str">
        <f t="shared" si="468"/>
        <v/>
      </c>
      <c r="GJ916" s="101" t="str">
        <f t="shared" si="469"/>
        <v/>
      </c>
      <c r="GK916" s="101" t="str">
        <f t="shared" si="470"/>
        <v/>
      </c>
      <c r="GL916" s="101" t="str">
        <f t="shared" si="471"/>
        <v/>
      </c>
    </row>
    <row r="917" spans="170:194" ht="16.5" x14ac:dyDescent="0.2">
      <c r="FN917" s="101">
        <v>912</v>
      </c>
      <c r="FO917" s="101">
        <f t="shared" si="456"/>
        <v>28</v>
      </c>
      <c r="FP917" s="101">
        <f t="shared" si="472"/>
        <v>12</v>
      </c>
      <c r="FQ917" s="14">
        <f t="shared" si="473"/>
        <v>3</v>
      </c>
      <c r="FR917" s="101" t="str">
        <f t="shared" si="457"/>
        <v>石灵明专属武器-魂珠-4 1级</v>
      </c>
      <c r="FS917" s="101">
        <f t="shared" si="458"/>
        <v>4</v>
      </c>
      <c r="FT917" s="101">
        <f t="shared" si="459"/>
        <v>1</v>
      </c>
      <c r="FU917" s="101" t="str">
        <f t="shared" si="474"/>
        <v>金币</v>
      </c>
      <c r="FV917" s="139">
        <f>IF($FT917&gt;0,IF(INDEX($EI$6:$EI$77,$FO917)&gt;=FV$3,ROUND(INDEX(EK$6:EK$77,$FO917)*INDEX(卡牌消耗!$B$8:$F$8,FQ917)/5,0)*5,""),"")</f>
        <v>730</v>
      </c>
      <c r="FW917" s="101" t="str">
        <f t="shared" si="475"/>
        <v>专属强化石2</v>
      </c>
      <c r="FX917" s="101">
        <f t="shared" si="476"/>
        <v>3</v>
      </c>
      <c r="FY917" s="101" t="str">
        <f t="shared" si="477"/>
        <v>专属强化石3</v>
      </c>
      <c r="FZ917" s="101">
        <f t="shared" si="478"/>
        <v>1</v>
      </c>
      <c r="GA917" s="101">
        <f t="shared" si="460"/>
        <v>0.2</v>
      </c>
      <c r="GB917" s="101">
        <f t="shared" si="461"/>
        <v>1</v>
      </c>
      <c r="GC917" s="101">
        <f t="shared" si="462"/>
        <v>7</v>
      </c>
      <c r="GD917" s="101">
        <f t="shared" si="463"/>
        <v>0</v>
      </c>
      <c r="GE917" s="101">
        <f t="shared" si="464"/>
        <v>1</v>
      </c>
      <c r="GF917" s="101">
        <f t="shared" si="465"/>
        <v>2</v>
      </c>
      <c r="GG917" s="101">
        <f t="shared" si="466"/>
        <v>0.1012</v>
      </c>
      <c r="GH917" s="101">
        <f t="shared" si="467"/>
        <v>1</v>
      </c>
      <c r="GI917" s="101">
        <f t="shared" si="468"/>
        <v>3</v>
      </c>
      <c r="GJ917" s="101">
        <f t="shared" si="469"/>
        <v>0.40479999999999999</v>
      </c>
      <c r="GK917" s="101">
        <f t="shared" si="470"/>
        <v>1</v>
      </c>
      <c r="GL917" s="101">
        <f t="shared" si="471"/>
        <v>7</v>
      </c>
    </row>
    <row r="918" spans="170:194" ht="16.5" x14ac:dyDescent="0.2">
      <c r="FN918" s="101">
        <v>913</v>
      </c>
      <c r="FO918" s="101">
        <f t="shared" ref="FO918:FO981" si="479">IF(FT918&gt;0,(FS918-1)*9+FT918,0)</f>
        <v>29</v>
      </c>
      <c r="FP918" s="101">
        <f t="shared" si="472"/>
        <v>12</v>
      </c>
      <c r="FQ918" s="14">
        <f t="shared" si="473"/>
        <v>3</v>
      </c>
      <c r="FR918" s="101" t="str">
        <f t="shared" ref="FR918:FR981" si="480">INDEX($FI$6:$FI$26,FP918)&amp;"专属武器-魂珠-"&amp;FS918&amp;" "&amp;FT918&amp;"级"</f>
        <v>石灵明专属武器-魂珠-4 2级</v>
      </c>
      <c r="FS918" s="101">
        <f t="shared" ref="FS918:FS981" si="481">INT((FN918-(FP918-1)*80-1)/10)+1</f>
        <v>4</v>
      </c>
      <c r="FT918" s="101">
        <f t="shared" ref="FT918:FT981" si="482">FN918-(FP918-1)*80-(FS918-1)*10-1</f>
        <v>2</v>
      </c>
      <c r="FU918" s="101" t="str">
        <f t="shared" si="474"/>
        <v>金币</v>
      </c>
      <c r="FV918" s="139">
        <f>IF($FT918&gt;0,IF(INDEX($EI$6:$EI$77,$FO918)&gt;=FV$3,ROUND(INDEX(EK$6:EK$77,$FO918)*INDEX(卡牌消耗!$B$8:$F$8,FQ918)/5,0)*5,""),"")</f>
        <v>545</v>
      </c>
      <c r="FW918" s="101" t="str">
        <f t="shared" si="475"/>
        <v>专属强化石2</v>
      </c>
      <c r="FX918" s="101">
        <f t="shared" si="476"/>
        <v>3</v>
      </c>
      <c r="FY918" s="101" t="str">
        <f t="shared" si="477"/>
        <v>专属强化石3</v>
      </c>
      <c r="FZ918" s="101">
        <f t="shared" si="478"/>
        <v>1</v>
      </c>
      <c r="GA918" s="101">
        <f t="shared" ref="GA918:GA981" si="483">IF($FT918&gt;0,INDEX(EP$6:EP$77,$FO918),"")</f>
        <v>0.1</v>
      </c>
      <c r="GB918" s="101">
        <f t="shared" ref="GB918:GB981" si="484">IF($FT918&gt;0,INDEX(EQ$6:EQ$77,$FO918),"")</f>
        <v>1</v>
      </c>
      <c r="GC918" s="101">
        <f t="shared" ref="GC918:GC981" si="485">IF($FT918&gt;0,INDEX(ER$6:ER$77,$FO918),"")</f>
        <v>15</v>
      </c>
      <c r="GD918" s="101">
        <f t="shared" ref="GD918:GD981" si="486">IF($FT918&gt;0,INDEX(EV$6:EV$77,$FO918),"")</f>
        <v>0</v>
      </c>
      <c r="GE918" s="101">
        <f t="shared" ref="GE918:GE981" si="487">IF($FT918&gt;0,INDEX(EW$6:EW$77,$FO918),"")</f>
        <v>1</v>
      </c>
      <c r="GF918" s="101">
        <f t="shared" ref="GF918:GF981" si="488">IF($FT918&gt;0,INDEX(EX$6:EX$77,$FO918),"")</f>
        <v>3</v>
      </c>
      <c r="GG918" s="101">
        <f t="shared" ref="GG918:GG981" si="489">IF($FT918&gt;0,INDEX(EY$6:EY$77,$FO918),"")</f>
        <v>5.0599999999999999E-2</v>
      </c>
      <c r="GH918" s="101">
        <f t="shared" ref="GH918:GH981" si="490">IF($FT918&gt;0,INDEX(EZ$6:EZ$77,$FO918),"")</f>
        <v>1</v>
      </c>
      <c r="GI918" s="101">
        <f t="shared" ref="GI918:GI981" si="491">IF($FT918&gt;0,INDEX(FA$6:FA$77,$FO918),"")</f>
        <v>7</v>
      </c>
      <c r="GJ918" s="101">
        <f t="shared" ref="GJ918:GJ981" si="492">IF($FT918&gt;0,INDEX(FB$6:FB$77,$FO918),"")</f>
        <v>0.2024</v>
      </c>
      <c r="GK918" s="101">
        <f t="shared" ref="GK918:GK981" si="493">IF($FT918&gt;0,INDEX(FC$6:FC$77,$FO918),"")</f>
        <v>1</v>
      </c>
      <c r="GL918" s="101">
        <f t="shared" ref="GL918:GL981" si="494">IF($FT918&gt;0,INDEX(FD$6:FD$77,$FO918),"")</f>
        <v>15</v>
      </c>
    </row>
    <row r="919" spans="170:194" ht="16.5" x14ac:dyDescent="0.2">
      <c r="FN919" s="101">
        <v>914</v>
      </c>
      <c r="FO919" s="101">
        <f t="shared" si="479"/>
        <v>30</v>
      </c>
      <c r="FP919" s="101">
        <f t="shared" si="472"/>
        <v>12</v>
      </c>
      <c r="FQ919" s="14">
        <f t="shared" si="473"/>
        <v>3</v>
      </c>
      <c r="FR919" s="101" t="str">
        <f t="shared" si="480"/>
        <v>石灵明专属武器-魂珠-4 3级</v>
      </c>
      <c r="FS919" s="101">
        <f t="shared" si="481"/>
        <v>4</v>
      </c>
      <c r="FT919" s="101">
        <f t="shared" si="482"/>
        <v>3</v>
      </c>
      <c r="FU919" s="101" t="str">
        <f t="shared" si="474"/>
        <v>金币</v>
      </c>
      <c r="FV919" s="139">
        <f>IF($FT919&gt;0,IF(INDEX($EI$6:$EI$77,$FO919)&gt;=FV$3,ROUND(INDEX(EK$6:EK$77,$FO919)*INDEX(卡牌消耗!$B$8:$F$8,FQ919)/5,0)*5,""),"")</f>
        <v>610</v>
      </c>
      <c r="FW919" s="101" t="str">
        <f t="shared" si="475"/>
        <v>专属强化石2</v>
      </c>
      <c r="FX919" s="101">
        <f t="shared" si="476"/>
        <v>3</v>
      </c>
      <c r="FY919" s="101" t="str">
        <f t="shared" si="477"/>
        <v>专属强化石3</v>
      </c>
      <c r="FZ919" s="101">
        <f t="shared" si="478"/>
        <v>1</v>
      </c>
      <c r="GA919" s="101">
        <f t="shared" si="483"/>
        <v>7.0000000000000007E-2</v>
      </c>
      <c r="GB919" s="101">
        <f t="shared" si="484"/>
        <v>1</v>
      </c>
      <c r="GC919" s="101">
        <f t="shared" si="485"/>
        <v>22</v>
      </c>
      <c r="GD919" s="101">
        <f t="shared" si="486"/>
        <v>0</v>
      </c>
      <c r="GE919" s="101">
        <f t="shared" si="487"/>
        <v>1</v>
      </c>
      <c r="GF919" s="101">
        <f t="shared" si="488"/>
        <v>5</v>
      </c>
      <c r="GG919" s="101">
        <f t="shared" si="489"/>
        <v>3.3700000000000001E-2</v>
      </c>
      <c r="GH919" s="101">
        <f t="shared" si="490"/>
        <v>1</v>
      </c>
      <c r="GI919" s="101">
        <f t="shared" si="491"/>
        <v>10</v>
      </c>
      <c r="GJ919" s="101">
        <f t="shared" si="492"/>
        <v>0.13489999999999999</v>
      </c>
      <c r="GK919" s="101">
        <f t="shared" si="493"/>
        <v>1</v>
      </c>
      <c r="GL919" s="101">
        <f t="shared" si="494"/>
        <v>22</v>
      </c>
    </row>
    <row r="920" spans="170:194" ht="16.5" x14ac:dyDescent="0.2">
      <c r="FN920" s="101">
        <v>915</v>
      </c>
      <c r="FO920" s="101">
        <f t="shared" si="479"/>
        <v>31</v>
      </c>
      <c r="FP920" s="101">
        <f t="shared" si="472"/>
        <v>12</v>
      </c>
      <c r="FQ920" s="14">
        <f t="shared" si="473"/>
        <v>3</v>
      </c>
      <c r="FR920" s="101" t="str">
        <f t="shared" si="480"/>
        <v>石灵明专属武器-魂珠-4 4级</v>
      </c>
      <c r="FS920" s="101">
        <f t="shared" si="481"/>
        <v>4</v>
      </c>
      <c r="FT920" s="101">
        <f t="shared" si="482"/>
        <v>4</v>
      </c>
      <c r="FU920" s="101" t="str">
        <f t="shared" si="474"/>
        <v>金币</v>
      </c>
      <c r="FV920" s="139">
        <f>IF($FT920&gt;0,IF(INDEX($EI$6:$EI$77,$FO920)&gt;=FV$3,ROUND(INDEX(EK$6:EK$77,$FO920)*INDEX(卡牌消耗!$B$8:$F$8,FQ920)/5,0)*5,""),"")</f>
        <v>1165</v>
      </c>
      <c r="FW920" s="101" t="str">
        <f t="shared" si="475"/>
        <v>专属强化石2</v>
      </c>
      <c r="FX920" s="101">
        <f t="shared" si="476"/>
        <v>5</v>
      </c>
      <c r="FY920" s="101" t="str">
        <f t="shared" si="477"/>
        <v>专属强化石3</v>
      </c>
      <c r="FZ920" s="101">
        <f t="shared" si="478"/>
        <v>2</v>
      </c>
      <c r="GA920" s="101">
        <f t="shared" si="483"/>
        <v>0.08</v>
      </c>
      <c r="GB920" s="101">
        <f t="shared" si="484"/>
        <v>1</v>
      </c>
      <c r="GC920" s="101">
        <f t="shared" si="485"/>
        <v>19</v>
      </c>
      <c r="GD920" s="101">
        <f t="shared" si="486"/>
        <v>0</v>
      </c>
      <c r="GE920" s="101">
        <f t="shared" si="487"/>
        <v>1</v>
      </c>
      <c r="GF920" s="101">
        <f t="shared" si="488"/>
        <v>4</v>
      </c>
      <c r="GG920" s="101">
        <f t="shared" si="489"/>
        <v>4.0500000000000001E-2</v>
      </c>
      <c r="GH920" s="101">
        <f t="shared" si="490"/>
        <v>1</v>
      </c>
      <c r="GI920" s="101">
        <f t="shared" si="491"/>
        <v>9</v>
      </c>
      <c r="GJ920" s="101">
        <f t="shared" si="492"/>
        <v>0.16189999999999999</v>
      </c>
      <c r="GK920" s="101">
        <f t="shared" si="493"/>
        <v>1</v>
      </c>
      <c r="GL920" s="101">
        <f t="shared" si="494"/>
        <v>19</v>
      </c>
    </row>
    <row r="921" spans="170:194" ht="16.5" x14ac:dyDescent="0.2">
      <c r="FN921" s="101">
        <v>916</v>
      </c>
      <c r="FO921" s="101">
        <f t="shared" si="479"/>
        <v>32</v>
      </c>
      <c r="FP921" s="101">
        <f t="shared" si="472"/>
        <v>12</v>
      </c>
      <c r="FQ921" s="14">
        <f t="shared" si="473"/>
        <v>3</v>
      </c>
      <c r="FR921" s="101" t="str">
        <f t="shared" si="480"/>
        <v>石灵明专属武器-魂珠-4 5级</v>
      </c>
      <c r="FS921" s="101">
        <f t="shared" si="481"/>
        <v>4</v>
      </c>
      <c r="FT921" s="101">
        <f t="shared" si="482"/>
        <v>5</v>
      </c>
      <c r="FU921" s="101" t="str">
        <f t="shared" si="474"/>
        <v>金币</v>
      </c>
      <c r="FV921" s="139">
        <f>IF($FT921&gt;0,IF(INDEX($EI$6:$EI$77,$FO921)&gt;=FV$3,ROUND(INDEX(EK$6:EK$77,$FO921)*INDEX(卡牌消耗!$B$8:$F$8,FQ921)/5,0)*5,""),"")</f>
        <v>1185</v>
      </c>
      <c r="FW921" s="101" t="str">
        <f t="shared" si="475"/>
        <v>专属强化石2</v>
      </c>
      <c r="FX921" s="101">
        <f t="shared" si="476"/>
        <v>5</v>
      </c>
      <c r="FY921" s="101" t="str">
        <f t="shared" si="477"/>
        <v>专属强化石3</v>
      </c>
      <c r="FZ921" s="101">
        <f t="shared" si="478"/>
        <v>2</v>
      </c>
      <c r="GA921" s="101">
        <f t="shared" si="483"/>
        <v>0.05</v>
      </c>
      <c r="GB921" s="101">
        <f t="shared" si="484"/>
        <v>1</v>
      </c>
      <c r="GC921" s="101">
        <f t="shared" si="485"/>
        <v>30</v>
      </c>
      <c r="GD921" s="101">
        <f t="shared" si="486"/>
        <v>0</v>
      </c>
      <c r="GE921" s="101">
        <f t="shared" si="487"/>
        <v>1</v>
      </c>
      <c r="GF921" s="101">
        <f t="shared" si="488"/>
        <v>7</v>
      </c>
      <c r="GG921" s="101">
        <f t="shared" si="489"/>
        <v>2.53E-2</v>
      </c>
      <c r="GH921" s="101">
        <f t="shared" si="490"/>
        <v>1</v>
      </c>
      <c r="GI921" s="101">
        <f t="shared" si="491"/>
        <v>14</v>
      </c>
      <c r="GJ921" s="101">
        <f t="shared" si="492"/>
        <v>0.1012</v>
      </c>
      <c r="GK921" s="101">
        <f t="shared" si="493"/>
        <v>1</v>
      </c>
      <c r="GL921" s="101">
        <f t="shared" si="494"/>
        <v>30</v>
      </c>
    </row>
    <row r="922" spans="170:194" ht="16.5" x14ac:dyDescent="0.2">
      <c r="FN922" s="101">
        <v>917</v>
      </c>
      <c r="FO922" s="101">
        <f t="shared" si="479"/>
        <v>33</v>
      </c>
      <c r="FP922" s="101">
        <f t="shared" si="472"/>
        <v>12</v>
      </c>
      <c r="FQ922" s="14">
        <f t="shared" si="473"/>
        <v>3</v>
      </c>
      <c r="FR922" s="101" t="str">
        <f t="shared" si="480"/>
        <v>石灵明专属武器-魂珠-4 6级</v>
      </c>
      <c r="FS922" s="101">
        <f t="shared" si="481"/>
        <v>4</v>
      </c>
      <c r="FT922" s="101">
        <f t="shared" si="482"/>
        <v>6</v>
      </c>
      <c r="FU922" s="101" t="str">
        <f t="shared" si="474"/>
        <v>金币</v>
      </c>
      <c r="FV922" s="139">
        <f>IF($FT922&gt;0,IF(INDEX($EI$6:$EI$77,$FO922)&gt;=FV$3,ROUND(INDEX(EK$6:EK$77,$FO922)*INDEX(卡牌消耗!$B$8:$F$8,FQ922)/5,0)*5,""),"")</f>
        <v>1180</v>
      </c>
      <c r="FW922" s="101" t="str">
        <f t="shared" si="475"/>
        <v>专属强化石2</v>
      </c>
      <c r="FX922" s="101">
        <f t="shared" si="476"/>
        <v>5</v>
      </c>
      <c r="FY922" s="101" t="str">
        <f t="shared" si="477"/>
        <v>专属强化石3</v>
      </c>
      <c r="FZ922" s="101">
        <f t="shared" si="478"/>
        <v>2</v>
      </c>
      <c r="GA922" s="101">
        <f t="shared" si="483"/>
        <v>0.03</v>
      </c>
      <c r="GB922" s="101">
        <f t="shared" si="484"/>
        <v>1</v>
      </c>
      <c r="GC922" s="101">
        <f t="shared" si="485"/>
        <v>48</v>
      </c>
      <c r="GD922" s="101">
        <f t="shared" si="486"/>
        <v>0</v>
      </c>
      <c r="GE922" s="101">
        <f t="shared" si="487"/>
        <v>1</v>
      </c>
      <c r="GF922" s="101">
        <f t="shared" si="488"/>
        <v>11</v>
      </c>
      <c r="GG922" s="101">
        <f t="shared" si="489"/>
        <v>1.5599999999999999E-2</v>
      </c>
      <c r="GH922" s="101">
        <f t="shared" si="490"/>
        <v>1</v>
      </c>
      <c r="GI922" s="101">
        <f t="shared" si="491"/>
        <v>22</v>
      </c>
      <c r="GJ922" s="101">
        <f t="shared" si="492"/>
        <v>6.2300000000000001E-2</v>
      </c>
      <c r="GK922" s="101">
        <f t="shared" si="493"/>
        <v>1</v>
      </c>
      <c r="GL922" s="101">
        <f t="shared" si="494"/>
        <v>48</v>
      </c>
    </row>
    <row r="923" spans="170:194" ht="16.5" x14ac:dyDescent="0.2">
      <c r="FN923" s="101">
        <v>918</v>
      </c>
      <c r="FO923" s="101">
        <f t="shared" si="479"/>
        <v>34</v>
      </c>
      <c r="FP923" s="101">
        <f t="shared" si="472"/>
        <v>12</v>
      </c>
      <c r="FQ923" s="14">
        <f t="shared" si="473"/>
        <v>3</v>
      </c>
      <c r="FR923" s="101" t="str">
        <f t="shared" si="480"/>
        <v>石灵明专属武器-魂珠-4 7级</v>
      </c>
      <c r="FS923" s="101">
        <f t="shared" si="481"/>
        <v>4</v>
      </c>
      <c r="FT923" s="101">
        <f t="shared" si="482"/>
        <v>7</v>
      </c>
      <c r="FU923" s="101" t="str">
        <f t="shared" si="474"/>
        <v>金币</v>
      </c>
      <c r="FV923" s="139">
        <f>IF($FT923&gt;0,IF(INDEX($EI$6:$EI$77,$FO923)&gt;=FV$3,ROUND(INDEX(EK$6:EK$77,$FO923)*INDEX(卡牌消耗!$B$8:$F$8,FQ923)/5,0)*5,""),"")</f>
        <v>1770</v>
      </c>
      <c r="FW923" s="101" t="str">
        <f t="shared" si="475"/>
        <v>专属强化石2</v>
      </c>
      <c r="FX923" s="101">
        <f t="shared" si="476"/>
        <v>8</v>
      </c>
      <c r="FY923" s="101" t="str">
        <f t="shared" si="477"/>
        <v>专属强化石3</v>
      </c>
      <c r="FZ923" s="101">
        <f t="shared" si="478"/>
        <v>3</v>
      </c>
      <c r="GA923" s="101">
        <f t="shared" si="483"/>
        <v>0.03</v>
      </c>
      <c r="GB923" s="101">
        <f t="shared" si="484"/>
        <v>1</v>
      </c>
      <c r="GC923" s="101">
        <f t="shared" si="485"/>
        <v>52</v>
      </c>
      <c r="GD923" s="101">
        <f t="shared" si="486"/>
        <v>0</v>
      </c>
      <c r="GE923" s="101">
        <f t="shared" si="487"/>
        <v>1</v>
      </c>
      <c r="GF923" s="101">
        <f t="shared" si="488"/>
        <v>12</v>
      </c>
      <c r="GG923" s="101">
        <f t="shared" si="489"/>
        <v>1.4500000000000001E-2</v>
      </c>
      <c r="GH923" s="101">
        <f t="shared" si="490"/>
        <v>1</v>
      </c>
      <c r="GI923" s="101">
        <f t="shared" si="491"/>
        <v>24</v>
      </c>
      <c r="GJ923" s="101">
        <f t="shared" si="492"/>
        <v>5.7799999999999997E-2</v>
      </c>
      <c r="GK923" s="101">
        <f t="shared" si="493"/>
        <v>1</v>
      </c>
      <c r="GL923" s="101">
        <f t="shared" si="494"/>
        <v>52</v>
      </c>
    </row>
    <row r="924" spans="170:194" ht="16.5" x14ac:dyDescent="0.2">
      <c r="FN924" s="101">
        <v>919</v>
      </c>
      <c r="FO924" s="101">
        <f t="shared" si="479"/>
        <v>35</v>
      </c>
      <c r="FP924" s="101">
        <f t="shared" si="472"/>
        <v>12</v>
      </c>
      <c r="FQ924" s="14">
        <f t="shared" si="473"/>
        <v>3</v>
      </c>
      <c r="FR924" s="101" t="str">
        <f t="shared" si="480"/>
        <v>石灵明专属武器-魂珠-4 8级</v>
      </c>
      <c r="FS924" s="101">
        <f t="shared" si="481"/>
        <v>4</v>
      </c>
      <c r="FT924" s="101">
        <f t="shared" si="482"/>
        <v>8</v>
      </c>
      <c r="FU924" s="101" t="str">
        <f t="shared" si="474"/>
        <v>金币</v>
      </c>
      <c r="FV924" s="139">
        <f>IF($FT924&gt;0,IF(INDEX($EI$6:$EI$77,$FO924)&gt;=FV$3,ROUND(INDEX(EK$6:EK$77,$FO924)*INDEX(卡牌消耗!$B$8:$F$8,FQ924)/5,0)*5,""),"")</f>
        <v>2360</v>
      </c>
      <c r="FW924" s="101" t="str">
        <f t="shared" si="475"/>
        <v>专属强化石2</v>
      </c>
      <c r="FX924" s="101">
        <f t="shared" si="476"/>
        <v>11</v>
      </c>
      <c r="FY924" s="101" t="str">
        <f t="shared" si="477"/>
        <v>专属强化石3</v>
      </c>
      <c r="FZ924" s="101">
        <f t="shared" si="478"/>
        <v>4</v>
      </c>
      <c r="GA924" s="101">
        <f t="shared" si="483"/>
        <v>0.02</v>
      </c>
      <c r="GB924" s="101">
        <f t="shared" si="484"/>
        <v>1</v>
      </c>
      <c r="GC924" s="101">
        <f t="shared" si="485"/>
        <v>63</v>
      </c>
      <c r="GD924" s="101">
        <f t="shared" si="486"/>
        <v>0</v>
      </c>
      <c r="GE924" s="101">
        <f t="shared" si="487"/>
        <v>1</v>
      </c>
      <c r="GF924" s="101">
        <f t="shared" si="488"/>
        <v>15</v>
      </c>
      <c r="GG924" s="101">
        <f t="shared" si="489"/>
        <v>1.1900000000000001E-2</v>
      </c>
      <c r="GH924" s="101">
        <f t="shared" si="490"/>
        <v>1</v>
      </c>
      <c r="GI924" s="101">
        <f t="shared" si="491"/>
        <v>29</v>
      </c>
      <c r="GJ924" s="101">
        <f t="shared" si="492"/>
        <v>4.7600000000000003E-2</v>
      </c>
      <c r="GK924" s="101">
        <f t="shared" si="493"/>
        <v>1</v>
      </c>
      <c r="GL924" s="101">
        <f t="shared" si="494"/>
        <v>63</v>
      </c>
    </row>
    <row r="925" spans="170:194" ht="16.5" x14ac:dyDescent="0.2">
      <c r="FN925" s="101">
        <v>920</v>
      </c>
      <c r="FO925" s="101">
        <f t="shared" si="479"/>
        <v>36</v>
      </c>
      <c r="FP925" s="101">
        <f t="shared" si="472"/>
        <v>12</v>
      </c>
      <c r="FQ925" s="14">
        <f t="shared" si="473"/>
        <v>3</v>
      </c>
      <c r="FR925" s="101" t="str">
        <f t="shared" si="480"/>
        <v>石灵明专属武器-魂珠-4 9级</v>
      </c>
      <c r="FS925" s="101">
        <f t="shared" si="481"/>
        <v>4</v>
      </c>
      <c r="FT925" s="101">
        <f t="shared" si="482"/>
        <v>9</v>
      </c>
      <c r="FU925" s="101" t="str">
        <f t="shared" si="474"/>
        <v>金币</v>
      </c>
      <c r="FV925" s="139">
        <f>IF($FT925&gt;0,IF(INDEX($EI$6:$EI$77,$FO925)&gt;=FV$3,ROUND(INDEX(EK$6:EK$77,$FO925)*INDEX(卡牌消耗!$B$8:$F$8,FQ925)/5,0)*5,""),"")</f>
        <v>3540</v>
      </c>
      <c r="FW925" s="101" t="str">
        <f t="shared" si="475"/>
        <v>专属强化石2</v>
      </c>
      <c r="FX925" s="101">
        <f t="shared" si="476"/>
        <v>16</v>
      </c>
      <c r="FY925" s="101" t="str">
        <f t="shared" si="477"/>
        <v>专属强化石3</v>
      </c>
      <c r="FZ925" s="101">
        <f t="shared" si="478"/>
        <v>6</v>
      </c>
      <c r="GA925" s="101">
        <f t="shared" si="483"/>
        <v>0.02</v>
      </c>
      <c r="GB925" s="101">
        <f t="shared" si="484"/>
        <v>1</v>
      </c>
      <c r="GC925" s="101">
        <f t="shared" si="485"/>
        <v>68</v>
      </c>
      <c r="GD925" s="101">
        <f t="shared" si="486"/>
        <v>0</v>
      </c>
      <c r="GE925" s="101">
        <f t="shared" si="487"/>
        <v>1</v>
      </c>
      <c r="GF925" s="101">
        <f t="shared" si="488"/>
        <v>16</v>
      </c>
      <c r="GG925" s="101">
        <f t="shared" si="489"/>
        <v>1.0999999999999999E-2</v>
      </c>
      <c r="GH925" s="101">
        <f t="shared" si="490"/>
        <v>1</v>
      </c>
      <c r="GI925" s="101">
        <f t="shared" si="491"/>
        <v>32</v>
      </c>
      <c r="GJ925" s="101">
        <f t="shared" si="492"/>
        <v>4.4200000000000003E-2</v>
      </c>
      <c r="GK925" s="101">
        <f t="shared" si="493"/>
        <v>1</v>
      </c>
      <c r="GL925" s="101">
        <f t="shared" si="494"/>
        <v>68</v>
      </c>
    </row>
    <row r="926" spans="170:194" ht="16.5" x14ac:dyDescent="0.2">
      <c r="FN926" s="101">
        <v>921</v>
      </c>
      <c r="FO926" s="101">
        <f t="shared" si="479"/>
        <v>0</v>
      </c>
      <c r="FP926" s="101">
        <f t="shared" si="472"/>
        <v>12</v>
      </c>
      <c r="FQ926" s="14">
        <f t="shared" si="473"/>
        <v>3</v>
      </c>
      <c r="FR926" s="101" t="str">
        <f t="shared" si="480"/>
        <v>石灵明专属武器-魂珠-5 0级</v>
      </c>
      <c r="FS926" s="101">
        <f t="shared" si="481"/>
        <v>5</v>
      </c>
      <c r="FT926" s="101">
        <f t="shared" si="482"/>
        <v>0</v>
      </c>
      <c r="FU926" s="101" t="str">
        <f t="shared" si="474"/>
        <v/>
      </c>
      <c r="FV926" s="139" t="str">
        <f>IF($FT926&gt;0,IF(INDEX($EI$6:$EI$77,$FO926)&gt;=FV$3,ROUND(INDEX(EK$6:EK$77,$FO926)*INDEX(卡牌消耗!$B$8:$F$8,FQ926)/5,0)*5,""),"")</f>
        <v/>
      </c>
      <c r="FW926" s="101" t="str">
        <f t="shared" si="475"/>
        <v/>
      </c>
      <c r="FX926" s="101" t="str">
        <f t="shared" si="476"/>
        <v/>
      </c>
      <c r="FY926" s="101" t="str">
        <f t="shared" si="477"/>
        <v/>
      </c>
      <c r="FZ926" s="101" t="str">
        <f t="shared" si="478"/>
        <v/>
      </c>
      <c r="GA926" s="101" t="str">
        <f t="shared" si="483"/>
        <v/>
      </c>
      <c r="GB926" s="101" t="str">
        <f t="shared" si="484"/>
        <v/>
      </c>
      <c r="GC926" s="101" t="str">
        <f t="shared" si="485"/>
        <v/>
      </c>
      <c r="GD926" s="101" t="str">
        <f t="shared" si="486"/>
        <v/>
      </c>
      <c r="GE926" s="101" t="str">
        <f t="shared" si="487"/>
        <v/>
      </c>
      <c r="GF926" s="101" t="str">
        <f t="shared" si="488"/>
        <v/>
      </c>
      <c r="GG926" s="101" t="str">
        <f t="shared" si="489"/>
        <v/>
      </c>
      <c r="GH926" s="101" t="str">
        <f t="shared" si="490"/>
        <v/>
      </c>
      <c r="GI926" s="101" t="str">
        <f t="shared" si="491"/>
        <v/>
      </c>
      <c r="GJ926" s="101" t="str">
        <f t="shared" si="492"/>
        <v/>
      </c>
      <c r="GK926" s="101" t="str">
        <f t="shared" si="493"/>
        <v/>
      </c>
      <c r="GL926" s="101" t="str">
        <f t="shared" si="494"/>
        <v/>
      </c>
    </row>
    <row r="927" spans="170:194" ht="16.5" x14ac:dyDescent="0.2">
      <c r="FN927" s="101">
        <v>922</v>
      </c>
      <c r="FO927" s="101">
        <f t="shared" si="479"/>
        <v>37</v>
      </c>
      <c r="FP927" s="101">
        <f t="shared" si="472"/>
        <v>12</v>
      </c>
      <c r="FQ927" s="14">
        <f t="shared" si="473"/>
        <v>3</v>
      </c>
      <c r="FR927" s="101" t="str">
        <f t="shared" si="480"/>
        <v>石灵明专属武器-魂珠-5 1级</v>
      </c>
      <c r="FS927" s="101">
        <f t="shared" si="481"/>
        <v>5</v>
      </c>
      <c r="FT927" s="101">
        <f t="shared" si="482"/>
        <v>1</v>
      </c>
      <c r="FU927" s="101" t="str">
        <f t="shared" si="474"/>
        <v>金币</v>
      </c>
      <c r="FV927" s="139">
        <f>IF($FT927&gt;0,IF(INDEX($EI$6:$EI$77,$FO927)&gt;=FV$3,ROUND(INDEX(EK$6:EK$77,$FO927)*INDEX(卡牌消耗!$B$8:$F$8,FQ927)/5,0)*5,""),"")</f>
        <v>1495</v>
      </c>
      <c r="FW927" s="101" t="str">
        <f t="shared" si="475"/>
        <v>专属强化石2</v>
      </c>
      <c r="FX927" s="101">
        <f t="shared" si="476"/>
        <v>3</v>
      </c>
      <c r="FY927" s="101" t="str">
        <f t="shared" si="477"/>
        <v>专属强化石3</v>
      </c>
      <c r="FZ927" s="101">
        <f t="shared" si="478"/>
        <v>2</v>
      </c>
      <c r="GA927" s="101">
        <f t="shared" si="483"/>
        <v>0.2</v>
      </c>
      <c r="GB927" s="101">
        <f t="shared" si="484"/>
        <v>1</v>
      </c>
      <c r="GC927" s="101">
        <f t="shared" si="485"/>
        <v>7</v>
      </c>
      <c r="GD927" s="101">
        <f t="shared" si="486"/>
        <v>0</v>
      </c>
      <c r="GE927" s="101">
        <f t="shared" si="487"/>
        <v>1</v>
      </c>
      <c r="GF927" s="101">
        <f t="shared" si="488"/>
        <v>2</v>
      </c>
      <c r="GG927" s="101">
        <f t="shared" si="489"/>
        <v>0.1012</v>
      </c>
      <c r="GH927" s="101">
        <f t="shared" si="490"/>
        <v>1</v>
      </c>
      <c r="GI927" s="101">
        <f t="shared" si="491"/>
        <v>3</v>
      </c>
      <c r="GJ927" s="101">
        <f t="shared" si="492"/>
        <v>0.40479999999999999</v>
      </c>
      <c r="GK927" s="101">
        <f t="shared" si="493"/>
        <v>1</v>
      </c>
      <c r="GL927" s="101">
        <f t="shared" si="494"/>
        <v>7</v>
      </c>
    </row>
    <row r="928" spans="170:194" ht="16.5" x14ac:dyDescent="0.2">
      <c r="FN928" s="101">
        <v>923</v>
      </c>
      <c r="FO928" s="101">
        <f t="shared" si="479"/>
        <v>38</v>
      </c>
      <c r="FP928" s="101">
        <f t="shared" si="472"/>
        <v>12</v>
      </c>
      <c r="FQ928" s="14">
        <f t="shared" si="473"/>
        <v>3</v>
      </c>
      <c r="FR928" s="101" t="str">
        <f t="shared" si="480"/>
        <v>石灵明专属武器-魂珠-5 2级</v>
      </c>
      <c r="FS928" s="101">
        <f t="shared" si="481"/>
        <v>5</v>
      </c>
      <c r="FT928" s="101">
        <f t="shared" si="482"/>
        <v>2</v>
      </c>
      <c r="FU928" s="101" t="str">
        <f t="shared" si="474"/>
        <v>金币</v>
      </c>
      <c r="FV928" s="139">
        <f>IF($FT928&gt;0,IF(INDEX($EI$6:$EI$77,$FO928)&gt;=FV$3,ROUND(INDEX(EK$6:EK$77,$FO928)*INDEX(卡牌消耗!$B$8:$F$8,FQ928)/5,0)*5,""),"")</f>
        <v>1120</v>
      </c>
      <c r="FW928" s="101" t="str">
        <f t="shared" si="475"/>
        <v>专属强化石2</v>
      </c>
      <c r="FX928" s="101">
        <f t="shared" si="476"/>
        <v>3</v>
      </c>
      <c r="FY928" s="101" t="str">
        <f t="shared" si="477"/>
        <v>专属强化石3</v>
      </c>
      <c r="FZ928" s="101">
        <f t="shared" si="478"/>
        <v>2</v>
      </c>
      <c r="GA928" s="101">
        <f t="shared" si="483"/>
        <v>0.1</v>
      </c>
      <c r="GB928" s="101">
        <f t="shared" si="484"/>
        <v>1</v>
      </c>
      <c r="GC928" s="101">
        <f t="shared" si="485"/>
        <v>15</v>
      </c>
      <c r="GD928" s="101">
        <f t="shared" si="486"/>
        <v>0</v>
      </c>
      <c r="GE928" s="101">
        <f t="shared" si="487"/>
        <v>1</v>
      </c>
      <c r="GF928" s="101">
        <f t="shared" si="488"/>
        <v>3</v>
      </c>
      <c r="GG928" s="101">
        <f t="shared" si="489"/>
        <v>5.0599999999999999E-2</v>
      </c>
      <c r="GH928" s="101">
        <f t="shared" si="490"/>
        <v>1</v>
      </c>
      <c r="GI928" s="101">
        <f t="shared" si="491"/>
        <v>7</v>
      </c>
      <c r="GJ928" s="101">
        <f t="shared" si="492"/>
        <v>0.2024</v>
      </c>
      <c r="GK928" s="101">
        <f t="shared" si="493"/>
        <v>1</v>
      </c>
      <c r="GL928" s="101">
        <f t="shared" si="494"/>
        <v>15</v>
      </c>
    </row>
    <row r="929" spans="170:194" ht="16.5" x14ac:dyDescent="0.2">
      <c r="FN929" s="101">
        <v>924</v>
      </c>
      <c r="FO929" s="101">
        <f t="shared" si="479"/>
        <v>39</v>
      </c>
      <c r="FP929" s="101">
        <f t="shared" si="472"/>
        <v>12</v>
      </c>
      <c r="FQ929" s="14">
        <f t="shared" si="473"/>
        <v>3</v>
      </c>
      <c r="FR929" s="101" t="str">
        <f t="shared" si="480"/>
        <v>石灵明专属武器-魂珠-5 3级</v>
      </c>
      <c r="FS929" s="101">
        <f t="shared" si="481"/>
        <v>5</v>
      </c>
      <c r="FT929" s="101">
        <f t="shared" si="482"/>
        <v>3</v>
      </c>
      <c r="FU929" s="101" t="str">
        <f t="shared" si="474"/>
        <v>金币</v>
      </c>
      <c r="FV929" s="139">
        <f>IF($FT929&gt;0,IF(INDEX($EI$6:$EI$77,$FO929)&gt;=FV$3,ROUND(INDEX(EK$6:EK$77,$FO929)*INDEX(卡牌消耗!$B$8:$F$8,FQ929)/5,0)*5,""),"")</f>
        <v>1245</v>
      </c>
      <c r="FW929" s="101" t="str">
        <f t="shared" si="475"/>
        <v>专属强化石2</v>
      </c>
      <c r="FX929" s="101">
        <f t="shared" si="476"/>
        <v>3</v>
      </c>
      <c r="FY929" s="101" t="str">
        <f t="shared" si="477"/>
        <v>专属强化石3</v>
      </c>
      <c r="FZ929" s="101">
        <f t="shared" si="478"/>
        <v>2</v>
      </c>
      <c r="GA929" s="101">
        <f t="shared" si="483"/>
        <v>7.0000000000000007E-2</v>
      </c>
      <c r="GB929" s="101">
        <f t="shared" si="484"/>
        <v>1</v>
      </c>
      <c r="GC929" s="101">
        <f t="shared" si="485"/>
        <v>22</v>
      </c>
      <c r="GD929" s="101">
        <f t="shared" si="486"/>
        <v>0</v>
      </c>
      <c r="GE929" s="101">
        <f t="shared" si="487"/>
        <v>1</v>
      </c>
      <c r="GF929" s="101">
        <f t="shared" si="488"/>
        <v>5</v>
      </c>
      <c r="GG929" s="101">
        <f t="shared" si="489"/>
        <v>3.3700000000000001E-2</v>
      </c>
      <c r="GH929" s="101">
        <f t="shared" si="490"/>
        <v>1</v>
      </c>
      <c r="GI929" s="101">
        <f t="shared" si="491"/>
        <v>10</v>
      </c>
      <c r="GJ929" s="101">
        <f t="shared" si="492"/>
        <v>0.13489999999999999</v>
      </c>
      <c r="GK929" s="101">
        <f t="shared" si="493"/>
        <v>1</v>
      </c>
      <c r="GL929" s="101">
        <f t="shared" si="494"/>
        <v>22</v>
      </c>
    </row>
    <row r="930" spans="170:194" ht="16.5" x14ac:dyDescent="0.2">
      <c r="FN930" s="101">
        <v>925</v>
      </c>
      <c r="FO930" s="101">
        <f t="shared" si="479"/>
        <v>40</v>
      </c>
      <c r="FP930" s="101">
        <f t="shared" si="472"/>
        <v>12</v>
      </c>
      <c r="FQ930" s="14">
        <f t="shared" si="473"/>
        <v>3</v>
      </c>
      <c r="FR930" s="101" t="str">
        <f t="shared" si="480"/>
        <v>石灵明专属武器-魂珠-5 4级</v>
      </c>
      <c r="FS930" s="101">
        <f t="shared" si="481"/>
        <v>5</v>
      </c>
      <c r="FT930" s="101">
        <f t="shared" si="482"/>
        <v>4</v>
      </c>
      <c r="FU930" s="101" t="str">
        <f t="shared" si="474"/>
        <v>金币</v>
      </c>
      <c r="FV930" s="139">
        <f>IF($FT930&gt;0,IF(INDEX($EI$6:$EI$77,$FO930)&gt;=FV$3,ROUND(INDEX(EK$6:EK$77,$FO930)*INDEX(卡牌消耗!$B$8:$F$8,FQ930)/5,0)*5,""),"")</f>
        <v>1795</v>
      </c>
      <c r="FW930" s="101" t="str">
        <f t="shared" si="475"/>
        <v>专属强化石2</v>
      </c>
      <c r="FX930" s="101">
        <f t="shared" si="476"/>
        <v>5</v>
      </c>
      <c r="FY930" s="101" t="str">
        <f t="shared" si="477"/>
        <v>专属强化石3</v>
      </c>
      <c r="FZ930" s="101">
        <f t="shared" si="478"/>
        <v>3</v>
      </c>
      <c r="GA930" s="101">
        <f t="shared" si="483"/>
        <v>0.06</v>
      </c>
      <c r="GB930" s="101">
        <f t="shared" si="484"/>
        <v>1</v>
      </c>
      <c r="GC930" s="101">
        <f t="shared" si="485"/>
        <v>25</v>
      </c>
      <c r="GD930" s="101">
        <f t="shared" si="486"/>
        <v>0</v>
      </c>
      <c r="GE930" s="101">
        <f t="shared" si="487"/>
        <v>1</v>
      </c>
      <c r="GF930" s="101">
        <f t="shared" si="488"/>
        <v>6</v>
      </c>
      <c r="GG930" s="101">
        <f t="shared" si="489"/>
        <v>3.04E-2</v>
      </c>
      <c r="GH930" s="101">
        <f t="shared" si="490"/>
        <v>1</v>
      </c>
      <c r="GI930" s="101">
        <f t="shared" si="491"/>
        <v>12</v>
      </c>
      <c r="GJ930" s="101">
        <f t="shared" si="492"/>
        <v>0.12139999999999999</v>
      </c>
      <c r="GK930" s="101">
        <f t="shared" si="493"/>
        <v>1</v>
      </c>
      <c r="GL930" s="101">
        <f t="shared" si="494"/>
        <v>25</v>
      </c>
    </row>
    <row r="931" spans="170:194" ht="16.5" x14ac:dyDescent="0.2">
      <c r="FN931" s="101">
        <v>926</v>
      </c>
      <c r="FO931" s="101">
        <f t="shared" si="479"/>
        <v>41</v>
      </c>
      <c r="FP931" s="101">
        <f t="shared" si="472"/>
        <v>12</v>
      </c>
      <c r="FQ931" s="14">
        <f t="shared" si="473"/>
        <v>3</v>
      </c>
      <c r="FR931" s="101" t="str">
        <f t="shared" si="480"/>
        <v>石灵明专属武器-魂珠-5 5级</v>
      </c>
      <c r="FS931" s="101">
        <f t="shared" si="481"/>
        <v>5</v>
      </c>
      <c r="FT931" s="101">
        <f t="shared" si="482"/>
        <v>5</v>
      </c>
      <c r="FU931" s="101" t="str">
        <f t="shared" si="474"/>
        <v>金币</v>
      </c>
      <c r="FV931" s="139">
        <f>IF($FT931&gt;0,IF(INDEX($EI$6:$EI$77,$FO931)&gt;=FV$3,ROUND(INDEX(EK$6:EK$77,$FO931)*INDEX(卡牌消耗!$B$8:$F$8,FQ931)/5,0)*5,""),"")</f>
        <v>1825</v>
      </c>
      <c r="FW931" s="101" t="str">
        <f t="shared" si="475"/>
        <v>专属强化石2</v>
      </c>
      <c r="FX931" s="101">
        <f t="shared" si="476"/>
        <v>5</v>
      </c>
      <c r="FY931" s="101" t="str">
        <f t="shared" si="477"/>
        <v>专属强化石3</v>
      </c>
      <c r="FZ931" s="101">
        <f t="shared" si="478"/>
        <v>3</v>
      </c>
      <c r="GA931" s="101">
        <f t="shared" si="483"/>
        <v>0.04</v>
      </c>
      <c r="GB931" s="101">
        <f t="shared" si="484"/>
        <v>1</v>
      </c>
      <c r="GC931" s="101">
        <f t="shared" si="485"/>
        <v>40</v>
      </c>
      <c r="GD931" s="101">
        <f t="shared" si="486"/>
        <v>0</v>
      </c>
      <c r="GE931" s="101">
        <f t="shared" si="487"/>
        <v>1</v>
      </c>
      <c r="GF931" s="101">
        <f t="shared" si="488"/>
        <v>9</v>
      </c>
      <c r="GG931" s="101">
        <f t="shared" si="489"/>
        <v>1.9E-2</v>
      </c>
      <c r="GH931" s="101">
        <f t="shared" si="490"/>
        <v>1</v>
      </c>
      <c r="GI931" s="101">
        <f t="shared" si="491"/>
        <v>18</v>
      </c>
      <c r="GJ931" s="101">
        <f t="shared" si="492"/>
        <v>7.5899999999999995E-2</v>
      </c>
      <c r="GK931" s="101">
        <f t="shared" si="493"/>
        <v>1</v>
      </c>
      <c r="GL931" s="101">
        <f t="shared" si="494"/>
        <v>40</v>
      </c>
    </row>
    <row r="932" spans="170:194" ht="16.5" x14ac:dyDescent="0.2">
      <c r="FN932" s="101">
        <v>927</v>
      </c>
      <c r="FO932" s="101">
        <f t="shared" si="479"/>
        <v>42</v>
      </c>
      <c r="FP932" s="101">
        <f t="shared" si="472"/>
        <v>12</v>
      </c>
      <c r="FQ932" s="14">
        <f t="shared" si="473"/>
        <v>3</v>
      </c>
      <c r="FR932" s="101" t="str">
        <f t="shared" si="480"/>
        <v>石灵明专属武器-魂珠-5 6级</v>
      </c>
      <c r="FS932" s="101">
        <f t="shared" si="481"/>
        <v>5</v>
      </c>
      <c r="FT932" s="101">
        <f t="shared" si="482"/>
        <v>6</v>
      </c>
      <c r="FU932" s="101" t="str">
        <f t="shared" si="474"/>
        <v>金币</v>
      </c>
      <c r="FV932" s="139">
        <f>IF($FT932&gt;0,IF(INDEX($EI$6:$EI$77,$FO932)&gt;=FV$3,ROUND(INDEX(EK$6:EK$77,$FO932)*INDEX(卡牌消耗!$B$8:$F$8,FQ932)/5,0)*5,""),"")</f>
        <v>3020</v>
      </c>
      <c r="FW932" s="101" t="str">
        <f t="shared" si="475"/>
        <v>专属强化石2</v>
      </c>
      <c r="FX932" s="101">
        <f t="shared" si="476"/>
        <v>8</v>
      </c>
      <c r="FY932" s="101" t="str">
        <f t="shared" si="477"/>
        <v>专属强化石3</v>
      </c>
      <c r="FZ932" s="101">
        <f t="shared" si="478"/>
        <v>5</v>
      </c>
      <c r="GA932" s="101">
        <f t="shared" si="483"/>
        <v>0.04</v>
      </c>
      <c r="GB932" s="101">
        <f t="shared" si="484"/>
        <v>1</v>
      </c>
      <c r="GC932" s="101">
        <f t="shared" si="485"/>
        <v>39</v>
      </c>
      <c r="GD932" s="101">
        <f t="shared" si="486"/>
        <v>0</v>
      </c>
      <c r="GE932" s="101">
        <f t="shared" si="487"/>
        <v>1</v>
      </c>
      <c r="GF932" s="101">
        <f t="shared" si="488"/>
        <v>9</v>
      </c>
      <c r="GG932" s="101">
        <f t="shared" si="489"/>
        <v>1.95E-2</v>
      </c>
      <c r="GH932" s="101">
        <f t="shared" si="490"/>
        <v>1</v>
      </c>
      <c r="GI932" s="101">
        <f t="shared" si="491"/>
        <v>18</v>
      </c>
      <c r="GJ932" s="101">
        <f t="shared" si="492"/>
        <v>7.7799999999999994E-2</v>
      </c>
      <c r="GK932" s="101">
        <f t="shared" si="493"/>
        <v>1</v>
      </c>
      <c r="GL932" s="101">
        <f t="shared" si="494"/>
        <v>39</v>
      </c>
    </row>
    <row r="933" spans="170:194" ht="16.5" x14ac:dyDescent="0.2">
      <c r="FN933" s="101">
        <v>928</v>
      </c>
      <c r="FO933" s="101">
        <f t="shared" si="479"/>
        <v>43</v>
      </c>
      <c r="FP933" s="101">
        <f t="shared" si="472"/>
        <v>12</v>
      </c>
      <c r="FQ933" s="14">
        <f t="shared" si="473"/>
        <v>3</v>
      </c>
      <c r="FR933" s="101" t="str">
        <f t="shared" si="480"/>
        <v>石灵明专属武器-魂珠-5 7级</v>
      </c>
      <c r="FS933" s="101">
        <f t="shared" si="481"/>
        <v>5</v>
      </c>
      <c r="FT933" s="101">
        <f t="shared" si="482"/>
        <v>7</v>
      </c>
      <c r="FU933" s="101" t="str">
        <f t="shared" si="474"/>
        <v>金币</v>
      </c>
      <c r="FV933" s="139">
        <f>IF($FT933&gt;0,IF(INDEX($EI$6:$EI$77,$FO933)&gt;=FV$3,ROUND(INDEX(EK$6:EK$77,$FO933)*INDEX(卡牌消耗!$B$8:$F$8,FQ933)/5,0)*5,""),"")</f>
        <v>3025</v>
      </c>
      <c r="FW933" s="101" t="str">
        <f t="shared" si="475"/>
        <v>专属强化石2</v>
      </c>
      <c r="FX933" s="101">
        <f t="shared" si="476"/>
        <v>8</v>
      </c>
      <c r="FY933" s="101" t="str">
        <f t="shared" si="477"/>
        <v>专属强化石3</v>
      </c>
      <c r="FZ933" s="101">
        <f t="shared" si="478"/>
        <v>5</v>
      </c>
      <c r="GA933" s="101">
        <f t="shared" si="483"/>
        <v>0.02</v>
      </c>
      <c r="GB933" s="101">
        <f t="shared" si="484"/>
        <v>1</v>
      </c>
      <c r="GC933" s="101">
        <f t="shared" si="485"/>
        <v>62</v>
      </c>
      <c r="GD933" s="101">
        <f t="shared" si="486"/>
        <v>0</v>
      </c>
      <c r="GE933" s="101">
        <f t="shared" si="487"/>
        <v>1</v>
      </c>
      <c r="GF933" s="101">
        <f t="shared" si="488"/>
        <v>15</v>
      </c>
      <c r="GG933" s="101">
        <f t="shared" si="489"/>
        <v>1.2E-2</v>
      </c>
      <c r="GH933" s="101">
        <f t="shared" si="490"/>
        <v>1</v>
      </c>
      <c r="GI933" s="101">
        <f t="shared" si="491"/>
        <v>29</v>
      </c>
      <c r="GJ933" s="101">
        <f t="shared" si="492"/>
        <v>4.82E-2</v>
      </c>
      <c r="GK933" s="101">
        <f t="shared" si="493"/>
        <v>1</v>
      </c>
      <c r="GL933" s="101">
        <f t="shared" si="494"/>
        <v>62</v>
      </c>
    </row>
    <row r="934" spans="170:194" ht="16.5" x14ac:dyDescent="0.2">
      <c r="FN934" s="101">
        <v>929</v>
      </c>
      <c r="FO934" s="101">
        <f t="shared" si="479"/>
        <v>44</v>
      </c>
      <c r="FP934" s="101">
        <f t="shared" si="472"/>
        <v>12</v>
      </c>
      <c r="FQ934" s="14">
        <f t="shared" si="473"/>
        <v>3</v>
      </c>
      <c r="FR934" s="101" t="str">
        <f t="shared" si="480"/>
        <v>石灵明专属武器-魂珠-5 8级</v>
      </c>
      <c r="FS934" s="101">
        <f t="shared" si="481"/>
        <v>5</v>
      </c>
      <c r="FT934" s="101">
        <f t="shared" si="482"/>
        <v>8</v>
      </c>
      <c r="FU934" s="101" t="str">
        <f t="shared" si="474"/>
        <v>金币</v>
      </c>
      <c r="FV934" s="139">
        <f>IF($FT934&gt;0,IF(INDEX($EI$6:$EI$77,$FO934)&gt;=FV$3,ROUND(INDEX(EK$6:EK$77,$FO934)*INDEX(卡牌消耗!$B$8:$F$8,FQ934)/5,0)*5,""),"")</f>
        <v>4235</v>
      </c>
      <c r="FW934" s="101" t="str">
        <f t="shared" si="475"/>
        <v>专属强化石2</v>
      </c>
      <c r="FX934" s="101">
        <f t="shared" si="476"/>
        <v>11</v>
      </c>
      <c r="FY934" s="101" t="str">
        <f t="shared" si="477"/>
        <v>专属强化石3</v>
      </c>
      <c r="FZ934" s="101">
        <f t="shared" si="478"/>
        <v>7</v>
      </c>
      <c r="GA934" s="101">
        <f t="shared" si="483"/>
        <v>0.02</v>
      </c>
      <c r="GB934" s="101">
        <f t="shared" si="484"/>
        <v>1</v>
      </c>
      <c r="GC934" s="101">
        <f t="shared" si="485"/>
        <v>72</v>
      </c>
      <c r="GD934" s="101">
        <f t="shared" si="486"/>
        <v>0</v>
      </c>
      <c r="GE934" s="101">
        <f t="shared" si="487"/>
        <v>1</v>
      </c>
      <c r="GF934" s="101">
        <f t="shared" si="488"/>
        <v>17</v>
      </c>
      <c r="GG934" s="101">
        <f t="shared" si="489"/>
        <v>1.04E-2</v>
      </c>
      <c r="GH934" s="101">
        <f t="shared" si="490"/>
        <v>1</v>
      </c>
      <c r="GI934" s="101">
        <f t="shared" si="491"/>
        <v>34</v>
      </c>
      <c r="GJ934" s="101">
        <f t="shared" si="492"/>
        <v>4.1700000000000001E-2</v>
      </c>
      <c r="GK934" s="101">
        <f t="shared" si="493"/>
        <v>1</v>
      </c>
      <c r="GL934" s="101">
        <f t="shared" si="494"/>
        <v>72</v>
      </c>
    </row>
    <row r="935" spans="170:194" ht="16.5" x14ac:dyDescent="0.2">
      <c r="FN935" s="101">
        <v>930</v>
      </c>
      <c r="FO935" s="101">
        <f t="shared" si="479"/>
        <v>45</v>
      </c>
      <c r="FP935" s="101">
        <f t="shared" si="472"/>
        <v>12</v>
      </c>
      <c r="FQ935" s="14">
        <f t="shared" si="473"/>
        <v>3</v>
      </c>
      <c r="FR935" s="101" t="str">
        <f t="shared" si="480"/>
        <v>石灵明专属武器-魂珠-5 9级</v>
      </c>
      <c r="FS935" s="101">
        <f t="shared" si="481"/>
        <v>5</v>
      </c>
      <c r="FT935" s="101">
        <f t="shared" si="482"/>
        <v>9</v>
      </c>
      <c r="FU935" s="101" t="str">
        <f t="shared" si="474"/>
        <v>金币</v>
      </c>
      <c r="FV935" s="139">
        <f>IF($FT935&gt;0,IF(INDEX($EI$6:$EI$77,$FO935)&gt;=FV$3,ROUND(INDEX(EK$6:EK$77,$FO935)*INDEX(卡牌消耗!$B$8:$F$8,FQ935)/5,0)*5,""),"")</f>
        <v>5445</v>
      </c>
      <c r="FW935" s="101" t="str">
        <f t="shared" si="475"/>
        <v>专属强化石2</v>
      </c>
      <c r="FX935" s="101">
        <f t="shared" si="476"/>
        <v>14</v>
      </c>
      <c r="FY935" s="101" t="str">
        <f t="shared" si="477"/>
        <v>专属强化石3</v>
      </c>
      <c r="FZ935" s="101">
        <f t="shared" si="478"/>
        <v>9</v>
      </c>
      <c r="GA935" s="101">
        <f t="shared" si="483"/>
        <v>0.02</v>
      </c>
      <c r="GB935" s="101">
        <f t="shared" si="484"/>
        <v>1</v>
      </c>
      <c r="GC935" s="101">
        <f t="shared" si="485"/>
        <v>91</v>
      </c>
      <c r="GD935" s="101">
        <f t="shared" si="486"/>
        <v>0</v>
      </c>
      <c r="GE935" s="101">
        <f t="shared" si="487"/>
        <v>1</v>
      </c>
      <c r="GF935" s="101">
        <f t="shared" si="488"/>
        <v>21</v>
      </c>
      <c r="GG935" s="101">
        <f t="shared" si="489"/>
        <v>8.3000000000000001E-3</v>
      </c>
      <c r="GH935" s="101">
        <f t="shared" si="490"/>
        <v>1</v>
      </c>
      <c r="GI935" s="101">
        <f t="shared" si="491"/>
        <v>42</v>
      </c>
      <c r="GJ935" s="101">
        <f t="shared" si="492"/>
        <v>3.3099999999999997E-2</v>
      </c>
      <c r="GK935" s="101">
        <f t="shared" si="493"/>
        <v>1</v>
      </c>
      <c r="GL935" s="101">
        <f t="shared" si="494"/>
        <v>91</v>
      </c>
    </row>
    <row r="936" spans="170:194" ht="16.5" x14ac:dyDescent="0.2">
      <c r="FN936" s="101">
        <v>931</v>
      </c>
      <c r="FO936" s="101">
        <f t="shared" si="479"/>
        <v>0</v>
      </c>
      <c r="FP936" s="101">
        <f t="shared" si="472"/>
        <v>12</v>
      </c>
      <c r="FQ936" s="14">
        <f t="shared" si="473"/>
        <v>3</v>
      </c>
      <c r="FR936" s="101" t="str">
        <f t="shared" si="480"/>
        <v>石灵明专属武器-魂珠-6 0级</v>
      </c>
      <c r="FS936" s="101">
        <f t="shared" si="481"/>
        <v>6</v>
      </c>
      <c r="FT936" s="101">
        <f t="shared" si="482"/>
        <v>0</v>
      </c>
      <c r="FU936" s="101" t="str">
        <f t="shared" si="474"/>
        <v/>
      </c>
      <c r="FV936" s="139" t="str">
        <f>IF($FT936&gt;0,IF(INDEX($EI$6:$EI$77,$FO936)&gt;=FV$3,ROUND(INDEX(EK$6:EK$77,$FO936)*INDEX(卡牌消耗!$B$8:$F$8,FQ936)/5,0)*5,""),"")</f>
        <v/>
      </c>
      <c r="FW936" s="101" t="str">
        <f t="shared" si="475"/>
        <v/>
      </c>
      <c r="FX936" s="101" t="str">
        <f t="shared" si="476"/>
        <v/>
      </c>
      <c r="FY936" s="101" t="str">
        <f t="shared" si="477"/>
        <v/>
      </c>
      <c r="FZ936" s="101" t="str">
        <f t="shared" si="478"/>
        <v/>
      </c>
      <c r="GA936" s="101" t="str">
        <f t="shared" si="483"/>
        <v/>
      </c>
      <c r="GB936" s="101" t="str">
        <f t="shared" si="484"/>
        <v/>
      </c>
      <c r="GC936" s="101" t="str">
        <f t="shared" si="485"/>
        <v/>
      </c>
      <c r="GD936" s="101" t="str">
        <f t="shared" si="486"/>
        <v/>
      </c>
      <c r="GE936" s="101" t="str">
        <f t="shared" si="487"/>
        <v/>
      </c>
      <c r="GF936" s="101" t="str">
        <f t="shared" si="488"/>
        <v/>
      </c>
      <c r="GG936" s="101" t="str">
        <f t="shared" si="489"/>
        <v/>
      </c>
      <c r="GH936" s="101" t="str">
        <f t="shared" si="490"/>
        <v/>
      </c>
      <c r="GI936" s="101" t="str">
        <f t="shared" si="491"/>
        <v/>
      </c>
      <c r="GJ936" s="101" t="str">
        <f t="shared" si="492"/>
        <v/>
      </c>
      <c r="GK936" s="101" t="str">
        <f t="shared" si="493"/>
        <v/>
      </c>
      <c r="GL936" s="101" t="str">
        <f t="shared" si="494"/>
        <v/>
      </c>
    </row>
    <row r="937" spans="170:194" ht="16.5" x14ac:dyDescent="0.2">
      <c r="FN937" s="101">
        <v>932</v>
      </c>
      <c r="FO937" s="101">
        <f t="shared" si="479"/>
        <v>46</v>
      </c>
      <c r="FP937" s="101">
        <f t="shared" si="472"/>
        <v>12</v>
      </c>
      <c r="FQ937" s="14">
        <f t="shared" si="473"/>
        <v>3</v>
      </c>
      <c r="FR937" s="101" t="str">
        <f t="shared" si="480"/>
        <v>石灵明专属武器-魂珠-6 1级</v>
      </c>
      <c r="FS937" s="101">
        <f t="shared" si="481"/>
        <v>6</v>
      </c>
      <c r="FT937" s="101">
        <f t="shared" si="482"/>
        <v>1</v>
      </c>
      <c r="FU937" s="101" t="str">
        <f t="shared" si="474"/>
        <v>金币</v>
      </c>
      <c r="FV937" s="139">
        <f>IF($FT937&gt;0,IF(INDEX($EI$6:$EI$77,$FO937)&gt;=FV$3,ROUND(INDEX(EK$6:EK$77,$FO937)*INDEX(卡牌消耗!$B$8:$F$8,FQ937)/5,0)*5,""),"")</f>
        <v>1455</v>
      </c>
      <c r="FW937" s="101" t="str">
        <f t="shared" si="475"/>
        <v>专属强化石3</v>
      </c>
      <c r="FX937" s="101">
        <f t="shared" si="476"/>
        <v>5</v>
      </c>
      <c r="FY937" s="101" t="str">
        <f t="shared" si="477"/>
        <v>专属强化石4</v>
      </c>
      <c r="FZ937" s="101">
        <f t="shared" si="478"/>
        <v>1</v>
      </c>
      <c r="GA937" s="101">
        <f t="shared" si="483"/>
        <v>0.17</v>
      </c>
      <c r="GB937" s="101">
        <f t="shared" si="484"/>
        <v>1</v>
      </c>
      <c r="GC937" s="101">
        <f t="shared" si="485"/>
        <v>9</v>
      </c>
      <c r="GD937" s="101">
        <f t="shared" si="486"/>
        <v>0</v>
      </c>
      <c r="GE937" s="101">
        <f t="shared" si="487"/>
        <v>1</v>
      </c>
      <c r="GF937" s="101">
        <f t="shared" si="488"/>
        <v>2</v>
      </c>
      <c r="GG937" s="101">
        <f t="shared" si="489"/>
        <v>8.2900000000000001E-2</v>
      </c>
      <c r="GH937" s="101">
        <f t="shared" si="490"/>
        <v>1</v>
      </c>
      <c r="GI937" s="101">
        <f t="shared" si="491"/>
        <v>4</v>
      </c>
      <c r="GJ937" s="101">
        <f t="shared" si="492"/>
        <v>0.33139999999999997</v>
      </c>
      <c r="GK937" s="101">
        <f t="shared" si="493"/>
        <v>1</v>
      </c>
      <c r="GL937" s="101">
        <f t="shared" si="494"/>
        <v>9</v>
      </c>
    </row>
    <row r="938" spans="170:194" ht="16.5" x14ac:dyDescent="0.2">
      <c r="FN938" s="101">
        <v>933</v>
      </c>
      <c r="FO938" s="101">
        <f t="shared" si="479"/>
        <v>47</v>
      </c>
      <c r="FP938" s="101">
        <f t="shared" si="472"/>
        <v>12</v>
      </c>
      <c r="FQ938" s="14">
        <f t="shared" si="473"/>
        <v>3</v>
      </c>
      <c r="FR938" s="101" t="str">
        <f t="shared" si="480"/>
        <v>石灵明专属武器-魂珠-6 2级</v>
      </c>
      <c r="FS938" s="101">
        <f t="shared" si="481"/>
        <v>6</v>
      </c>
      <c r="FT938" s="101">
        <f t="shared" si="482"/>
        <v>2</v>
      </c>
      <c r="FU938" s="101" t="str">
        <f t="shared" si="474"/>
        <v>金币</v>
      </c>
      <c r="FV938" s="139">
        <f>IF($FT938&gt;0,IF(INDEX($EI$6:$EI$77,$FO938)&gt;=FV$3,ROUND(INDEX(EK$6:EK$77,$FO938)*INDEX(卡牌消耗!$B$8:$F$8,FQ938)/5,0)*5,""),"")</f>
        <v>2180</v>
      </c>
      <c r="FW938" s="101" t="str">
        <f t="shared" si="475"/>
        <v>专属强化石3</v>
      </c>
      <c r="FX938" s="101">
        <f t="shared" si="476"/>
        <v>10</v>
      </c>
      <c r="FY938" s="101" t="str">
        <f t="shared" si="477"/>
        <v>专属强化石4</v>
      </c>
      <c r="FZ938" s="101">
        <f t="shared" si="478"/>
        <v>2</v>
      </c>
      <c r="GA938" s="101">
        <f t="shared" si="483"/>
        <v>0.17</v>
      </c>
      <c r="GB938" s="101">
        <f t="shared" si="484"/>
        <v>1</v>
      </c>
      <c r="GC938" s="101">
        <f t="shared" si="485"/>
        <v>9</v>
      </c>
      <c r="GD938" s="101">
        <f t="shared" si="486"/>
        <v>0</v>
      </c>
      <c r="GE938" s="101">
        <f t="shared" si="487"/>
        <v>1</v>
      </c>
      <c r="GF938" s="101">
        <f t="shared" si="488"/>
        <v>2</v>
      </c>
      <c r="GG938" s="101">
        <f t="shared" si="489"/>
        <v>8.2900000000000001E-2</v>
      </c>
      <c r="GH938" s="101">
        <f t="shared" si="490"/>
        <v>1</v>
      </c>
      <c r="GI938" s="101">
        <f t="shared" si="491"/>
        <v>4</v>
      </c>
      <c r="GJ938" s="101">
        <f t="shared" si="492"/>
        <v>0.33139999999999997</v>
      </c>
      <c r="GK938" s="101">
        <f t="shared" si="493"/>
        <v>1</v>
      </c>
      <c r="GL938" s="101">
        <f t="shared" si="494"/>
        <v>9</v>
      </c>
    </row>
    <row r="939" spans="170:194" ht="16.5" x14ac:dyDescent="0.2">
      <c r="FN939" s="101">
        <v>934</v>
      </c>
      <c r="FO939" s="101">
        <f t="shared" si="479"/>
        <v>48</v>
      </c>
      <c r="FP939" s="101">
        <f t="shared" si="472"/>
        <v>12</v>
      </c>
      <c r="FQ939" s="14">
        <f t="shared" si="473"/>
        <v>3</v>
      </c>
      <c r="FR939" s="101" t="str">
        <f t="shared" si="480"/>
        <v>石灵明专属武器-魂珠-6 3级</v>
      </c>
      <c r="FS939" s="101">
        <f t="shared" si="481"/>
        <v>6</v>
      </c>
      <c r="FT939" s="101">
        <f t="shared" si="482"/>
        <v>3</v>
      </c>
      <c r="FU939" s="101" t="str">
        <f t="shared" si="474"/>
        <v>金币</v>
      </c>
      <c r="FV939" s="139">
        <f>IF($FT939&gt;0,IF(INDEX($EI$6:$EI$77,$FO939)&gt;=FV$3,ROUND(INDEX(EK$6:EK$77,$FO939)*INDEX(卡牌消耗!$B$8:$F$8,FQ939)/5,0)*5,""),"")</f>
        <v>2425</v>
      </c>
      <c r="FW939" s="101" t="str">
        <f t="shared" si="475"/>
        <v>专属强化石3</v>
      </c>
      <c r="FX939" s="101">
        <f t="shared" si="476"/>
        <v>10</v>
      </c>
      <c r="FY939" s="101" t="str">
        <f t="shared" si="477"/>
        <v>专属强化石4</v>
      </c>
      <c r="FZ939" s="101">
        <f t="shared" si="478"/>
        <v>2</v>
      </c>
      <c r="GA939" s="101">
        <f t="shared" si="483"/>
        <v>0.11</v>
      </c>
      <c r="GB939" s="101">
        <f t="shared" si="484"/>
        <v>1</v>
      </c>
      <c r="GC939" s="101">
        <f t="shared" si="485"/>
        <v>14</v>
      </c>
      <c r="GD939" s="101">
        <f t="shared" si="486"/>
        <v>0</v>
      </c>
      <c r="GE939" s="101">
        <f t="shared" si="487"/>
        <v>1</v>
      </c>
      <c r="GF939" s="101">
        <f t="shared" si="488"/>
        <v>3</v>
      </c>
      <c r="GG939" s="101">
        <f t="shared" si="489"/>
        <v>5.5199999999999999E-2</v>
      </c>
      <c r="GH939" s="101">
        <f t="shared" si="490"/>
        <v>1</v>
      </c>
      <c r="GI939" s="101">
        <f t="shared" si="491"/>
        <v>6</v>
      </c>
      <c r="GJ939" s="101">
        <f t="shared" si="492"/>
        <v>0.221</v>
      </c>
      <c r="GK939" s="101">
        <f t="shared" si="493"/>
        <v>1</v>
      </c>
      <c r="GL939" s="101">
        <f t="shared" si="494"/>
        <v>14</v>
      </c>
    </row>
    <row r="940" spans="170:194" ht="16.5" x14ac:dyDescent="0.2">
      <c r="FN940" s="101">
        <v>935</v>
      </c>
      <c r="FO940" s="101">
        <f t="shared" si="479"/>
        <v>49</v>
      </c>
      <c r="FP940" s="101">
        <f t="shared" si="472"/>
        <v>12</v>
      </c>
      <c r="FQ940" s="14">
        <f t="shared" si="473"/>
        <v>3</v>
      </c>
      <c r="FR940" s="101" t="str">
        <f t="shared" si="480"/>
        <v>石灵明专属武器-魂珠-6 4级</v>
      </c>
      <c r="FS940" s="101">
        <f t="shared" si="481"/>
        <v>6</v>
      </c>
      <c r="FT940" s="101">
        <f t="shared" si="482"/>
        <v>4</v>
      </c>
      <c r="FU940" s="101" t="str">
        <f t="shared" si="474"/>
        <v>金币</v>
      </c>
      <c r="FV940" s="139">
        <f>IF($FT940&gt;0,IF(INDEX($EI$6:$EI$77,$FO940)&gt;=FV$3,ROUND(INDEX(EK$6:EK$77,$FO940)*INDEX(卡牌消耗!$B$8:$F$8,FQ940)/5,0)*5,""),"")</f>
        <v>3490</v>
      </c>
      <c r="FW940" s="101" t="str">
        <f t="shared" si="475"/>
        <v>专属强化石3</v>
      </c>
      <c r="FX940" s="101">
        <f t="shared" si="476"/>
        <v>15</v>
      </c>
      <c r="FY940" s="101" t="str">
        <f t="shared" si="477"/>
        <v>专属强化石4</v>
      </c>
      <c r="FZ940" s="101">
        <f t="shared" si="478"/>
        <v>3</v>
      </c>
      <c r="GA940" s="101">
        <f t="shared" si="483"/>
        <v>0.1</v>
      </c>
      <c r="GB940" s="101">
        <f t="shared" si="484"/>
        <v>1</v>
      </c>
      <c r="GC940" s="101">
        <f t="shared" si="485"/>
        <v>15</v>
      </c>
      <c r="GD940" s="101">
        <f t="shared" si="486"/>
        <v>0</v>
      </c>
      <c r="GE940" s="101">
        <f t="shared" si="487"/>
        <v>1</v>
      </c>
      <c r="GF940" s="101">
        <f t="shared" si="488"/>
        <v>4</v>
      </c>
      <c r="GG940" s="101">
        <f t="shared" si="489"/>
        <v>4.9700000000000001E-2</v>
      </c>
      <c r="GH940" s="101">
        <f t="shared" si="490"/>
        <v>1</v>
      </c>
      <c r="GI940" s="101">
        <f t="shared" si="491"/>
        <v>7</v>
      </c>
      <c r="GJ940" s="101">
        <f t="shared" si="492"/>
        <v>0.19889999999999999</v>
      </c>
      <c r="GK940" s="101">
        <f t="shared" si="493"/>
        <v>1</v>
      </c>
      <c r="GL940" s="101">
        <f t="shared" si="494"/>
        <v>15</v>
      </c>
    </row>
    <row r="941" spans="170:194" ht="16.5" x14ac:dyDescent="0.2">
      <c r="FN941" s="101">
        <v>936</v>
      </c>
      <c r="FO941" s="101">
        <f t="shared" si="479"/>
        <v>50</v>
      </c>
      <c r="FP941" s="101">
        <f t="shared" si="472"/>
        <v>12</v>
      </c>
      <c r="FQ941" s="14">
        <f t="shared" si="473"/>
        <v>3</v>
      </c>
      <c r="FR941" s="101" t="str">
        <f t="shared" si="480"/>
        <v>石灵明专属武器-魂珠-6 5级</v>
      </c>
      <c r="FS941" s="101">
        <f t="shared" si="481"/>
        <v>6</v>
      </c>
      <c r="FT941" s="101">
        <f t="shared" si="482"/>
        <v>5</v>
      </c>
      <c r="FU941" s="101" t="str">
        <f t="shared" si="474"/>
        <v>金币</v>
      </c>
      <c r="FV941" s="139">
        <f>IF($FT941&gt;0,IF(INDEX($EI$6:$EI$77,$FO941)&gt;=FV$3,ROUND(INDEX(EK$6:EK$77,$FO941)*INDEX(卡牌消耗!$B$8:$F$8,FQ941)/5,0)*5,""),"")</f>
        <v>3545</v>
      </c>
      <c r="FW941" s="101" t="str">
        <f t="shared" si="475"/>
        <v>专属强化石3</v>
      </c>
      <c r="FX941" s="101">
        <f t="shared" si="476"/>
        <v>15</v>
      </c>
      <c r="FY941" s="101" t="str">
        <f t="shared" si="477"/>
        <v>专属强化石4</v>
      </c>
      <c r="FZ941" s="101">
        <f t="shared" si="478"/>
        <v>3</v>
      </c>
      <c r="GA941" s="101">
        <f t="shared" si="483"/>
        <v>0.06</v>
      </c>
      <c r="GB941" s="101">
        <f t="shared" si="484"/>
        <v>1</v>
      </c>
      <c r="GC941" s="101">
        <f t="shared" si="485"/>
        <v>24</v>
      </c>
      <c r="GD941" s="101">
        <f t="shared" si="486"/>
        <v>0</v>
      </c>
      <c r="GE941" s="101">
        <f t="shared" si="487"/>
        <v>1</v>
      </c>
      <c r="GF941" s="101">
        <f t="shared" si="488"/>
        <v>6</v>
      </c>
      <c r="GG941" s="101">
        <f t="shared" si="489"/>
        <v>3.1099999999999999E-2</v>
      </c>
      <c r="GH941" s="101">
        <f t="shared" si="490"/>
        <v>1</v>
      </c>
      <c r="GI941" s="101">
        <f t="shared" si="491"/>
        <v>11</v>
      </c>
      <c r="GJ941" s="101">
        <f t="shared" si="492"/>
        <v>0.12429999999999999</v>
      </c>
      <c r="GK941" s="101">
        <f t="shared" si="493"/>
        <v>1</v>
      </c>
      <c r="GL941" s="101">
        <f t="shared" si="494"/>
        <v>24</v>
      </c>
    </row>
    <row r="942" spans="170:194" ht="16.5" x14ac:dyDescent="0.2">
      <c r="FN942" s="101">
        <v>937</v>
      </c>
      <c r="FO942" s="101">
        <f t="shared" si="479"/>
        <v>51</v>
      </c>
      <c r="FP942" s="101">
        <f t="shared" si="472"/>
        <v>12</v>
      </c>
      <c r="FQ942" s="14">
        <f t="shared" si="473"/>
        <v>3</v>
      </c>
      <c r="FR942" s="101" t="str">
        <f t="shared" si="480"/>
        <v>石灵明专属武器-魂珠-6 6级</v>
      </c>
      <c r="FS942" s="101">
        <f t="shared" si="481"/>
        <v>6</v>
      </c>
      <c r="FT942" s="101">
        <f t="shared" si="482"/>
        <v>6</v>
      </c>
      <c r="FU942" s="101" t="str">
        <f t="shared" si="474"/>
        <v>金币</v>
      </c>
      <c r="FV942" s="139">
        <f>IF($FT942&gt;0,IF(INDEX($EI$6:$EI$77,$FO942)&gt;=FV$3,ROUND(INDEX(EK$6:EK$77,$FO942)*INDEX(卡牌消耗!$B$8:$F$8,FQ942)/5,0)*5,""),"")</f>
        <v>4700</v>
      </c>
      <c r="FW942" s="101" t="str">
        <f t="shared" si="475"/>
        <v>专属强化石3</v>
      </c>
      <c r="FX942" s="101">
        <f t="shared" si="476"/>
        <v>20</v>
      </c>
      <c r="FY942" s="101" t="str">
        <f t="shared" si="477"/>
        <v>专属强化石4</v>
      </c>
      <c r="FZ942" s="101">
        <f t="shared" si="478"/>
        <v>4</v>
      </c>
      <c r="GA942" s="101">
        <f t="shared" si="483"/>
        <v>0.05</v>
      </c>
      <c r="GB942" s="101">
        <f t="shared" si="484"/>
        <v>1</v>
      </c>
      <c r="GC942" s="101">
        <f t="shared" si="485"/>
        <v>29</v>
      </c>
      <c r="GD942" s="101">
        <f t="shared" si="486"/>
        <v>0</v>
      </c>
      <c r="GE942" s="101">
        <f t="shared" si="487"/>
        <v>1</v>
      </c>
      <c r="GF942" s="101">
        <f t="shared" si="488"/>
        <v>7</v>
      </c>
      <c r="GG942" s="101">
        <f t="shared" si="489"/>
        <v>2.5499999999999998E-2</v>
      </c>
      <c r="GH942" s="101">
        <f t="shared" si="490"/>
        <v>1</v>
      </c>
      <c r="GI942" s="101">
        <f t="shared" si="491"/>
        <v>14</v>
      </c>
      <c r="GJ942" s="101">
        <f t="shared" si="492"/>
        <v>0.10199999999999999</v>
      </c>
      <c r="GK942" s="101">
        <f t="shared" si="493"/>
        <v>1</v>
      </c>
      <c r="GL942" s="101">
        <f t="shared" si="494"/>
        <v>29</v>
      </c>
    </row>
    <row r="943" spans="170:194" ht="16.5" x14ac:dyDescent="0.2">
      <c r="FN943" s="101">
        <v>938</v>
      </c>
      <c r="FO943" s="101">
        <f t="shared" si="479"/>
        <v>52</v>
      </c>
      <c r="FP943" s="101">
        <f t="shared" si="472"/>
        <v>12</v>
      </c>
      <c r="FQ943" s="14">
        <f t="shared" si="473"/>
        <v>3</v>
      </c>
      <c r="FR943" s="101" t="str">
        <f t="shared" si="480"/>
        <v>石灵明专属武器-魂珠-6 7级</v>
      </c>
      <c r="FS943" s="101">
        <f t="shared" si="481"/>
        <v>6</v>
      </c>
      <c r="FT943" s="101">
        <f t="shared" si="482"/>
        <v>7</v>
      </c>
      <c r="FU943" s="101" t="str">
        <f t="shared" si="474"/>
        <v>金币</v>
      </c>
      <c r="FV943" s="139">
        <f>IF($FT943&gt;0,IF(INDEX($EI$6:$EI$77,$FO943)&gt;=FV$3,ROUND(INDEX(EK$6:EK$77,$FO943)*INDEX(卡牌消耗!$B$8:$F$8,FQ943)/5,0)*5,""),"")</f>
        <v>5885</v>
      </c>
      <c r="FW943" s="101" t="str">
        <f t="shared" si="475"/>
        <v>专属强化石3</v>
      </c>
      <c r="FX943" s="101">
        <f t="shared" si="476"/>
        <v>25</v>
      </c>
      <c r="FY943" s="101" t="str">
        <f t="shared" si="477"/>
        <v>专属强化石4</v>
      </c>
      <c r="FZ943" s="101">
        <f t="shared" si="478"/>
        <v>5</v>
      </c>
      <c r="GA943" s="101">
        <f t="shared" si="483"/>
        <v>0.04</v>
      </c>
      <c r="GB943" s="101">
        <f t="shared" si="484"/>
        <v>1</v>
      </c>
      <c r="GC943" s="101">
        <f t="shared" si="485"/>
        <v>38</v>
      </c>
      <c r="GD943" s="101">
        <f t="shared" si="486"/>
        <v>0</v>
      </c>
      <c r="GE943" s="101">
        <f t="shared" si="487"/>
        <v>1</v>
      </c>
      <c r="GF943" s="101">
        <f t="shared" si="488"/>
        <v>9</v>
      </c>
      <c r="GG943" s="101">
        <f t="shared" si="489"/>
        <v>1.9699999999999999E-2</v>
      </c>
      <c r="GH943" s="101">
        <f t="shared" si="490"/>
        <v>1</v>
      </c>
      <c r="GI943" s="101">
        <f t="shared" si="491"/>
        <v>18</v>
      </c>
      <c r="GJ943" s="101">
        <f t="shared" si="492"/>
        <v>7.8899999999999998E-2</v>
      </c>
      <c r="GK943" s="101">
        <f t="shared" si="493"/>
        <v>1</v>
      </c>
      <c r="GL943" s="101">
        <f t="shared" si="494"/>
        <v>38</v>
      </c>
    </row>
    <row r="944" spans="170:194" ht="16.5" x14ac:dyDescent="0.2">
      <c r="FN944" s="101">
        <v>939</v>
      </c>
      <c r="FO944" s="101">
        <f t="shared" si="479"/>
        <v>53</v>
      </c>
      <c r="FP944" s="101">
        <f t="shared" si="472"/>
        <v>12</v>
      </c>
      <c r="FQ944" s="14">
        <f t="shared" si="473"/>
        <v>3</v>
      </c>
      <c r="FR944" s="101" t="str">
        <f t="shared" si="480"/>
        <v>石灵明专属武器-魂珠-6 8级</v>
      </c>
      <c r="FS944" s="101">
        <f t="shared" si="481"/>
        <v>6</v>
      </c>
      <c r="FT944" s="101">
        <f t="shared" si="482"/>
        <v>8</v>
      </c>
      <c r="FU944" s="101" t="str">
        <f t="shared" si="474"/>
        <v>金币</v>
      </c>
      <c r="FV944" s="139">
        <f>IF($FT944&gt;0,IF(INDEX($EI$6:$EI$77,$FO944)&gt;=FV$3,ROUND(INDEX(EK$6:EK$77,$FO944)*INDEX(卡牌消耗!$B$8:$F$8,FQ944)/5,0)*5,""),"")</f>
        <v>8235</v>
      </c>
      <c r="FW944" s="101" t="str">
        <f t="shared" si="475"/>
        <v>专属强化石3</v>
      </c>
      <c r="FX944" s="101">
        <f t="shared" si="476"/>
        <v>35</v>
      </c>
      <c r="FY944" s="101" t="str">
        <f t="shared" si="477"/>
        <v>专属强化石4</v>
      </c>
      <c r="FZ944" s="101">
        <f t="shared" si="478"/>
        <v>7</v>
      </c>
      <c r="GA944" s="101">
        <f t="shared" si="483"/>
        <v>0.03</v>
      </c>
      <c r="GB944" s="101">
        <f t="shared" si="484"/>
        <v>1</v>
      </c>
      <c r="GC944" s="101">
        <f t="shared" si="485"/>
        <v>44</v>
      </c>
      <c r="GD944" s="101">
        <f t="shared" si="486"/>
        <v>0</v>
      </c>
      <c r="GE944" s="101">
        <f t="shared" si="487"/>
        <v>1</v>
      </c>
      <c r="GF944" s="101">
        <f t="shared" si="488"/>
        <v>10</v>
      </c>
      <c r="GG944" s="101">
        <f t="shared" si="489"/>
        <v>1.7100000000000001E-2</v>
      </c>
      <c r="GH944" s="101">
        <f t="shared" si="490"/>
        <v>1</v>
      </c>
      <c r="GI944" s="101">
        <f t="shared" si="491"/>
        <v>21</v>
      </c>
      <c r="GJ944" s="101">
        <f t="shared" si="492"/>
        <v>6.8199999999999997E-2</v>
      </c>
      <c r="GK944" s="101">
        <f t="shared" si="493"/>
        <v>1</v>
      </c>
      <c r="GL944" s="101">
        <f t="shared" si="494"/>
        <v>44</v>
      </c>
    </row>
    <row r="945" spans="170:194" ht="16.5" x14ac:dyDescent="0.2">
      <c r="FN945" s="101">
        <v>940</v>
      </c>
      <c r="FO945" s="101">
        <f t="shared" si="479"/>
        <v>54</v>
      </c>
      <c r="FP945" s="101">
        <f t="shared" si="472"/>
        <v>12</v>
      </c>
      <c r="FQ945" s="14">
        <f t="shared" si="473"/>
        <v>3</v>
      </c>
      <c r="FR945" s="101" t="str">
        <f t="shared" si="480"/>
        <v>石灵明专属武器-魂珠-6 9级</v>
      </c>
      <c r="FS945" s="101">
        <f t="shared" si="481"/>
        <v>6</v>
      </c>
      <c r="FT945" s="101">
        <f t="shared" si="482"/>
        <v>9</v>
      </c>
      <c r="FU945" s="101" t="str">
        <f t="shared" si="474"/>
        <v>金币</v>
      </c>
      <c r="FV945" s="139">
        <f>IF($FT945&gt;0,IF(INDEX($EI$6:$EI$77,$FO945)&gt;=FV$3,ROUND(INDEX(EK$6:EK$77,$FO945)*INDEX(卡牌消耗!$B$8:$F$8,FQ945)/5,0)*5,""),"")</f>
        <v>9410</v>
      </c>
      <c r="FW945" s="101" t="str">
        <f t="shared" si="475"/>
        <v>专属强化石3</v>
      </c>
      <c r="FX945" s="101">
        <f t="shared" si="476"/>
        <v>40</v>
      </c>
      <c r="FY945" s="101" t="str">
        <f t="shared" si="477"/>
        <v>专属强化石4</v>
      </c>
      <c r="FZ945" s="101">
        <f t="shared" si="478"/>
        <v>8</v>
      </c>
      <c r="GA945" s="101">
        <f t="shared" si="483"/>
        <v>0.02</v>
      </c>
      <c r="GB945" s="101">
        <f t="shared" si="484"/>
        <v>1</v>
      </c>
      <c r="GC945" s="101">
        <f t="shared" si="485"/>
        <v>62</v>
      </c>
      <c r="GD945" s="101">
        <f t="shared" si="486"/>
        <v>0</v>
      </c>
      <c r="GE945" s="101">
        <f t="shared" si="487"/>
        <v>1</v>
      </c>
      <c r="GF945" s="101">
        <f t="shared" si="488"/>
        <v>15</v>
      </c>
      <c r="GG945" s="101">
        <f t="shared" si="489"/>
        <v>1.21E-2</v>
      </c>
      <c r="GH945" s="101">
        <f t="shared" si="490"/>
        <v>1</v>
      </c>
      <c r="GI945" s="101">
        <f t="shared" si="491"/>
        <v>29</v>
      </c>
      <c r="GJ945" s="101">
        <f t="shared" si="492"/>
        <v>4.82E-2</v>
      </c>
      <c r="GK945" s="101">
        <f t="shared" si="493"/>
        <v>1</v>
      </c>
      <c r="GL945" s="101">
        <f t="shared" si="494"/>
        <v>62</v>
      </c>
    </row>
    <row r="946" spans="170:194" ht="16.5" x14ac:dyDescent="0.2">
      <c r="FN946" s="101">
        <v>941</v>
      </c>
      <c r="FO946" s="101">
        <f t="shared" si="479"/>
        <v>0</v>
      </c>
      <c r="FP946" s="101">
        <f t="shared" si="472"/>
        <v>12</v>
      </c>
      <c r="FQ946" s="14">
        <f t="shared" si="473"/>
        <v>3</v>
      </c>
      <c r="FR946" s="101" t="str">
        <f t="shared" si="480"/>
        <v>石灵明专属武器-魂珠-7 0级</v>
      </c>
      <c r="FS946" s="101">
        <f t="shared" si="481"/>
        <v>7</v>
      </c>
      <c r="FT946" s="101">
        <f t="shared" si="482"/>
        <v>0</v>
      </c>
      <c r="FU946" s="101" t="str">
        <f t="shared" si="474"/>
        <v/>
      </c>
      <c r="FV946" s="139" t="str">
        <f>IF($FT946&gt;0,IF(INDEX($EI$6:$EI$77,$FO946)&gt;=FV$3,ROUND(INDEX(EK$6:EK$77,$FO946)*INDEX(卡牌消耗!$B$8:$F$8,FQ946)/5,0)*5,""),"")</f>
        <v/>
      </c>
      <c r="FW946" s="101" t="str">
        <f t="shared" si="475"/>
        <v/>
      </c>
      <c r="FX946" s="101" t="str">
        <f t="shared" si="476"/>
        <v/>
      </c>
      <c r="FY946" s="101" t="str">
        <f t="shared" si="477"/>
        <v/>
      </c>
      <c r="FZ946" s="101" t="str">
        <f t="shared" si="478"/>
        <v/>
      </c>
      <c r="GA946" s="101" t="str">
        <f t="shared" si="483"/>
        <v/>
      </c>
      <c r="GB946" s="101" t="str">
        <f t="shared" si="484"/>
        <v/>
      </c>
      <c r="GC946" s="101" t="str">
        <f t="shared" si="485"/>
        <v/>
      </c>
      <c r="GD946" s="101" t="str">
        <f t="shared" si="486"/>
        <v/>
      </c>
      <c r="GE946" s="101" t="str">
        <f t="shared" si="487"/>
        <v/>
      </c>
      <c r="GF946" s="101" t="str">
        <f t="shared" si="488"/>
        <v/>
      </c>
      <c r="GG946" s="101" t="str">
        <f t="shared" si="489"/>
        <v/>
      </c>
      <c r="GH946" s="101" t="str">
        <f t="shared" si="490"/>
        <v/>
      </c>
      <c r="GI946" s="101" t="str">
        <f t="shared" si="491"/>
        <v/>
      </c>
      <c r="GJ946" s="101" t="str">
        <f t="shared" si="492"/>
        <v/>
      </c>
      <c r="GK946" s="101" t="str">
        <f t="shared" si="493"/>
        <v/>
      </c>
      <c r="GL946" s="101" t="str">
        <f t="shared" si="494"/>
        <v/>
      </c>
    </row>
    <row r="947" spans="170:194" ht="16.5" x14ac:dyDescent="0.2">
      <c r="FN947" s="101">
        <v>942</v>
      </c>
      <c r="FO947" s="101">
        <f t="shared" si="479"/>
        <v>55</v>
      </c>
      <c r="FP947" s="101">
        <f t="shared" si="472"/>
        <v>12</v>
      </c>
      <c r="FQ947" s="14">
        <f t="shared" si="473"/>
        <v>3</v>
      </c>
      <c r="FR947" s="101" t="str">
        <f t="shared" si="480"/>
        <v>石灵明专属武器-魂珠-7 1级</v>
      </c>
      <c r="FS947" s="101">
        <f t="shared" si="481"/>
        <v>7</v>
      </c>
      <c r="FT947" s="101">
        <f t="shared" si="482"/>
        <v>1</v>
      </c>
      <c r="FU947" s="101" t="str">
        <f t="shared" si="474"/>
        <v>金币</v>
      </c>
      <c r="FV947" s="139">
        <f>IF($FT947&gt;0,IF(INDEX($EI$6:$EI$77,$FO947)&gt;=FV$3,ROUND(INDEX(EK$6:EK$77,$FO947)*INDEX(卡牌消耗!$B$8:$F$8,FQ947)/5,0)*5,""),"")</f>
        <v>12090</v>
      </c>
      <c r="FW947" s="101" t="str">
        <f t="shared" si="475"/>
        <v>专属强化石3</v>
      </c>
      <c r="FX947" s="101">
        <f t="shared" si="476"/>
        <v>6</v>
      </c>
      <c r="FY947" s="101" t="str">
        <f t="shared" si="477"/>
        <v>专属强化石4</v>
      </c>
      <c r="FZ947" s="101">
        <f t="shared" si="478"/>
        <v>2</v>
      </c>
      <c r="GA947" s="101">
        <f t="shared" si="483"/>
        <v>0.2</v>
      </c>
      <c r="GB947" s="101">
        <f t="shared" si="484"/>
        <v>1</v>
      </c>
      <c r="GC947" s="101">
        <f t="shared" si="485"/>
        <v>8</v>
      </c>
      <c r="GD947" s="101">
        <f t="shared" si="486"/>
        <v>0</v>
      </c>
      <c r="GE947" s="101">
        <f t="shared" si="487"/>
        <v>1</v>
      </c>
      <c r="GF947" s="101">
        <f t="shared" si="488"/>
        <v>2</v>
      </c>
      <c r="GG947" s="101">
        <f t="shared" si="489"/>
        <v>9.9400000000000002E-2</v>
      </c>
      <c r="GH947" s="101">
        <f t="shared" si="490"/>
        <v>1</v>
      </c>
      <c r="GI947" s="101">
        <f t="shared" si="491"/>
        <v>4</v>
      </c>
      <c r="GJ947" s="101">
        <f t="shared" si="492"/>
        <v>0.3977</v>
      </c>
      <c r="GK947" s="101">
        <f t="shared" si="493"/>
        <v>1</v>
      </c>
      <c r="GL947" s="101">
        <f t="shared" si="494"/>
        <v>8</v>
      </c>
    </row>
    <row r="948" spans="170:194" ht="16.5" x14ac:dyDescent="0.2">
      <c r="FN948" s="101">
        <v>943</v>
      </c>
      <c r="FO948" s="101">
        <f t="shared" si="479"/>
        <v>56</v>
      </c>
      <c r="FP948" s="101">
        <f t="shared" si="472"/>
        <v>12</v>
      </c>
      <c r="FQ948" s="14">
        <f t="shared" si="473"/>
        <v>3</v>
      </c>
      <c r="FR948" s="101" t="str">
        <f t="shared" si="480"/>
        <v>石灵明专属武器-魂珠-7 2级</v>
      </c>
      <c r="FS948" s="101">
        <f t="shared" si="481"/>
        <v>7</v>
      </c>
      <c r="FT948" s="101">
        <f t="shared" si="482"/>
        <v>2</v>
      </c>
      <c r="FU948" s="101" t="str">
        <f t="shared" si="474"/>
        <v>金币</v>
      </c>
      <c r="FV948" s="139">
        <f>IF($FT948&gt;0,IF(INDEX($EI$6:$EI$77,$FO948)&gt;=FV$3,ROUND(INDEX(EK$6:EK$77,$FO948)*INDEX(卡牌消耗!$B$8:$F$8,FQ948)/5,0)*5,""),"")</f>
        <v>9065</v>
      </c>
      <c r="FW948" s="101" t="str">
        <f t="shared" si="475"/>
        <v>专属强化石3</v>
      </c>
      <c r="FX948" s="101">
        <f t="shared" si="476"/>
        <v>6</v>
      </c>
      <c r="FY948" s="101" t="str">
        <f t="shared" si="477"/>
        <v>专属强化石4</v>
      </c>
      <c r="FZ948" s="101">
        <f t="shared" si="478"/>
        <v>2</v>
      </c>
      <c r="GA948" s="101">
        <f t="shared" si="483"/>
        <v>0.1</v>
      </c>
      <c r="GB948" s="101">
        <f t="shared" si="484"/>
        <v>1</v>
      </c>
      <c r="GC948" s="101">
        <f t="shared" si="485"/>
        <v>15</v>
      </c>
      <c r="GD948" s="101">
        <f t="shared" si="486"/>
        <v>0</v>
      </c>
      <c r="GE948" s="101">
        <f t="shared" si="487"/>
        <v>1</v>
      </c>
      <c r="GF948" s="101">
        <f t="shared" si="488"/>
        <v>4</v>
      </c>
      <c r="GG948" s="101">
        <f t="shared" si="489"/>
        <v>4.9700000000000001E-2</v>
      </c>
      <c r="GH948" s="101">
        <f t="shared" si="490"/>
        <v>1</v>
      </c>
      <c r="GI948" s="101">
        <f t="shared" si="491"/>
        <v>7</v>
      </c>
      <c r="GJ948" s="101">
        <f t="shared" si="492"/>
        <v>0.19889999999999999</v>
      </c>
      <c r="GK948" s="101">
        <f t="shared" si="493"/>
        <v>1</v>
      </c>
      <c r="GL948" s="101">
        <f t="shared" si="494"/>
        <v>15</v>
      </c>
    </row>
    <row r="949" spans="170:194" ht="16.5" x14ac:dyDescent="0.2">
      <c r="FN949" s="101">
        <v>944</v>
      </c>
      <c r="FO949" s="101">
        <f t="shared" si="479"/>
        <v>57</v>
      </c>
      <c r="FP949" s="101">
        <f t="shared" si="472"/>
        <v>12</v>
      </c>
      <c r="FQ949" s="14">
        <f t="shared" si="473"/>
        <v>3</v>
      </c>
      <c r="FR949" s="101" t="str">
        <f t="shared" si="480"/>
        <v>石灵明专属武器-魂珠-7 3级</v>
      </c>
      <c r="FS949" s="101">
        <f t="shared" si="481"/>
        <v>7</v>
      </c>
      <c r="FT949" s="101">
        <f t="shared" si="482"/>
        <v>3</v>
      </c>
      <c r="FU949" s="101" t="str">
        <f t="shared" si="474"/>
        <v>金币</v>
      </c>
      <c r="FV949" s="139">
        <f>IF($FT949&gt;0,IF(INDEX($EI$6:$EI$77,$FO949)&gt;=FV$3,ROUND(INDEX(EK$6:EK$77,$FO949)*INDEX(卡牌消耗!$B$8:$F$8,FQ949)/5,0)*5,""),"")</f>
        <v>15110</v>
      </c>
      <c r="FW949" s="101" t="str">
        <f t="shared" si="475"/>
        <v>专属强化石3</v>
      </c>
      <c r="FX949" s="101">
        <f t="shared" si="476"/>
        <v>9</v>
      </c>
      <c r="FY949" s="101" t="str">
        <f t="shared" si="477"/>
        <v>专属强化石4</v>
      </c>
      <c r="FZ949" s="101">
        <f t="shared" si="478"/>
        <v>3</v>
      </c>
      <c r="GA949" s="101">
        <f t="shared" si="483"/>
        <v>0.1</v>
      </c>
      <c r="GB949" s="101">
        <f t="shared" si="484"/>
        <v>1</v>
      </c>
      <c r="GC949" s="101">
        <f t="shared" si="485"/>
        <v>15</v>
      </c>
      <c r="GD949" s="101">
        <f t="shared" si="486"/>
        <v>0</v>
      </c>
      <c r="GE949" s="101">
        <f t="shared" si="487"/>
        <v>1</v>
      </c>
      <c r="GF949" s="101">
        <f t="shared" si="488"/>
        <v>4</v>
      </c>
      <c r="GG949" s="101">
        <f t="shared" si="489"/>
        <v>4.9700000000000001E-2</v>
      </c>
      <c r="GH949" s="101">
        <f t="shared" si="490"/>
        <v>1</v>
      </c>
      <c r="GI949" s="101">
        <f t="shared" si="491"/>
        <v>7</v>
      </c>
      <c r="GJ949" s="101">
        <f t="shared" si="492"/>
        <v>0.19889999999999999</v>
      </c>
      <c r="GK949" s="101">
        <f t="shared" si="493"/>
        <v>1</v>
      </c>
      <c r="GL949" s="101">
        <f t="shared" si="494"/>
        <v>15</v>
      </c>
    </row>
    <row r="950" spans="170:194" ht="16.5" x14ac:dyDescent="0.2">
      <c r="FN950" s="101">
        <v>945</v>
      </c>
      <c r="FO950" s="101">
        <f t="shared" si="479"/>
        <v>58</v>
      </c>
      <c r="FP950" s="101">
        <f t="shared" si="472"/>
        <v>12</v>
      </c>
      <c r="FQ950" s="14">
        <f t="shared" si="473"/>
        <v>3</v>
      </c>
      <c r="FR950" s="101" t="str">
        <f t="shared" si="480"/>
        <v>石灵明专属武器-魂珠-7 4级</v>
      </c>
      <c r="FS950" s="101">
        <f t="shared" si="481"/>
        <v>7</v>
      </c>
      <c r="FT950" s="101">
        <f t="shared" si="482"/>
        <v>4</v>
      </c>
      <c r="FU950" s="101" t="str">
        <f t="shared" si="474"/>
        <v>金币</v>
      </c>
      <c r="FV950" s="139">
        <f>IF($FT950&gt;0,IF(INDEX($EI$6:$EI$77,$FO950)&gt;=FV$3,ROUND(INDEX(EK$6:EK$77,$FO950)*INDEX(卡牌消耗!$B$8:$F$8,FQ950)/5,0)*5,""),"")</f>
        <v>19340</v>
      </c>
      <c r="FW950" s="101" t="str">
        <f t="shared" si="475"/>
        <v>专属强化石3</v>
      </c>
      <c r="FX950" s="101">
        <f t="shared" si="476"/>
        <v>12</v>
      </c>
      <c r="FY950" s="101" t="str">
        <f t="shared" si="477"/>
        <v>专属强化石4</v>
      </c>
      <c r="FZ950" s="101">
        <f t="shared" si="478"/>
        <v>4</v>
      </c>
      <c r="GA950" s="101">
        <f t="shared" si="483"/>
        <v>0.08</v>
      </c>
      <c r="GB950" s="101">
        <f t="shared" si="484"/>
        <v>1</v>
      </c>
      <c r="GC950" s="101">
        <f t="shared" si="485"/>
        <v>19</v>
      </c>
      <c r="GD950" s="101">
        <f t="shared" si="486"/>
        <v>0</v>
      </c>
      <c r="GE950" s="101">
        <f t="shared" si="487"/>
        <v>1</v>
      </c>
      <c r="GF950" s="101">
        <f t="shared" si="488"/>
        <v>4</v>
      </c>
      <c r="GG950" s="101">
        <f t="shared" si="489"/>
        <v>3.9800000000000002E-2</v>
      </c>
      <c r="GH950" s="101">
        <f t="shared" si="490"/>
        <v>1</v>
      </c>
      <c r="GI950" s="101">
        <f t="shared" si="491"/>
        <v>9</v>
      </c>
      <c r="GJ950" s="101">
        <f t="shared" si="492"/>
        <v>0.15909999999999999</v>
      </c>
      <c r="GK950" s="101">
        <f t="shared" si="493"/>
        <v>1</v>
      </c>
      <c r="GL950" s="101">
        <f t="shared" si="494"/>
        <v>19</v>
      </c>
    </row>
    <row r="951" spans="170:194" ht="16.5" x14ac:dyDescent="0.2">
      <c r="FN951" s="101">
        <v>946</v>
      </c>
      <c r="FO951" s="101">
        <f t="shared" si="479"/>
        <v>59</v>
      </c>
      <c r="FP951" s="101">
        <f t="shared" si="472"/>
        <v>12</v>
      </c>
      <c r="FQ951" s="14">
        <f t="shared" si="473"/>
        <v>3</v>
      </c>
      <c r="FR951" s="101" t="str">
        <f t="shared" si="480"/>
        <v>石灵明专属武器-魂珠-7 5级</v>
      </c>
      <c r="FS951" s="101">
        <f t="shared" si="481"/>
        <v>7</v>
      </c>
      <c r="FT951" s="101">
        <f t="shared" si="482"/>
        <v>5</v>
      </c>
      <c r="FU951" s="101" t="str">
        <f t="shared" si="474"/>
        <v>金币</v>
      </c>
      <c r="FV951" s="139">
        <f>IF($FT951&gt;0,IF(INDEX($EI$6:$EI$77,$FO951)&gt;=FV$3,ROUND(INDEX(EK$6:EK$77,$FO951)*INDEX(卡牌消耗!$B$8:$F$8,FQ951)/5,0)*5,""),"")</f>
        <v>19640</v>
      </c>
      <c r="FW951" s="101" t="str">
        <f t="shared" si="475"/>
        <v>专属强化石3</v>
      </c>
      <c r="FX951" s="101">
        <f t="shared" si="476"/>
        <v>12</v>
      </c>
      <c r="FY951" s="101" t="str">
        <f t="shared" si="477"/>
        <v>专属强化石4</v>
      </c>
      <c r="FZ951" s="101">
        <f t="shared" si="478"/>
        <v>4</v>
      </c>
      <c r="GA951" s="101">
        <f t="shared" si="483"/>
        <v>0.05</v>
      </c>
      <c r="GB951" s="101">
        <f t="shared" si="484"/>
        <v>1</v>
      </c>
      <c r="GC951" s="101">
        <f t="shared" si="485"/>
        <v>30</v>
      </c>
      <c r="GD951" s="101">
        <f t="shared" si="486"/>
        <v>0</v>
      </c>
      <c r="GE951" s="101">
        <f t="shared" si="487"/>
        <v>1</v>
      </c>
      <c r="GF951" s="101">
        <f t="shared" si="488"/>
        <v>7</v>
      </c>
      <c r="GG951" s="101">
        <f t="shared" si="489"/>
        <v>2.4899999999999999E-2</v>
      </c>
      <c r="GH951" s="101">
        <f t="shared" si="490"/>
        <v>1</v>
      </c>
      <c r="GI951" s="101">
        <f t="shared" si="491"/>
        <v>14</v>
      </c>
      <c r="GJ951" s="101">
        <f t="shared" si="492"/>
        <v>9.9400000000000002E-2</v>
      </c>
      <c r="GK951" s="101">
        <f t="shared" si="493"/>
        <v>1</v>
      </c>
      <c r="GL951" s="101">
        <f t="shared" si="494"/>
        <v>30</v>
      </c>
    </row>
    <row r="952" spans="170:194" ht="16.5" x14ac:dyDescent="0.2">
      <c r="FN952" s="101">
        <v>947</v>
      </c>
      <c r="FO952" s="101">
        <f t="shared" si="479"/>
        <v>60</v>
      </c>
      <c r="FP952" s="101">
        <f t="shared" si="472"/>
        <v>12</v>
      </c>
      <c r="FQ952" s="14">
        <f t="shared" si="473"/>
        <v>3</v>
      </c>
      <c r="FR952" s="101" t="str">
        <f t="shared" si="480"/>
        <v>石灵明专属武器-魂珠-7 6级</v>
      </c>
      <c r="FS952" s="101">
        <f t="shared" si="481"/>
        <v>7</v>
      </c>
      <c r="FT952" s="101">
        <f t="shared" si="482"/>
        <v>6</v>
      </c>
      <c r="FU952" s="101" t="str">
        <f t="shared" si="474"/>
        <v>金币</v>
      </c>
      <c r="FV952" s="139">
        <f>IF($FT952&gt;0,IF(INDEX($EI$6:$EI$77,$FO952)&gt;=FV$3,ROUND(INDEX(EK$6:EK$77,$FO952)*INDEX(卡牌消耗!$B$8:$F$8,FQ952)/5,0)*5,""),"")</f>
        <v>24410</v>
      </c>
      <c r="FW952" s="101" t="str">
        <f t="shared" si="475"/>
        <v>专属强化石3</v>
      </c>
      <c r="FX952" s="101">
        <f t="shared" si="476"/>
        <v>15</v>
      </c>
      <c r="FY952" s="101" t="str">
        <f t="shared" si="477"/>
        <v>专属强化石4</v>
      </c>
      <c r="FZ952" s="101">
        <f t="shared" si="478"/>
        <v>5</v>
      </c>
      <c r="GA952" s="101">
        <f t="shared" si="483"/>
        <v>0.04</v>
      </c>
      <c r="GB952" s="101">
        <f t="shared" si="484"/>
        <v>1</v>
      </c>
      <c r="GC952" s="101">
        <f t="shared" si="485"/>
        <v>39</v>
      </c>
      <c r="GD952" s="101">
        <f t="shared" si="486"/>
        <v>0</v>
      </c>
      <c r="GE952" s="101">
        <f t="shared" si="487"/>
        <v>1</v>
      </c>
      <c r="GF952" s="101">
        <f t="shared" si="488"/>
        <v>9</v>
      </c>
      <c r="GG952" s="101">
        <f t="shared" si="489"/>
        <v>1.9099999999999999E-2</v>
      </c>
      <c r="GH952" s="101">
        <f t="shared" si="490"/>
        <v>1</v>
      </c>
      <c r="GI952" s="101">
        <f t="shared" si="491"/>
        <v>18</v>
      </c>
      <c r="GJ952" s="101">
        <f t="shared" si="492"/>
        <v>7.6499999999999999E-2</v>
      </c>
      <c r="GK952" s="101">
        <f t="shared" si="493"/>
        <v>1</v>
      </c>
      <c r="GL952" s="101">
        <f t="shared" si="494"/>
        <v>39</v>
      </c>
    </row>
    <row r="953" spans="170:194" ht="16.5" x14ac:dyDescent="0.2">
      <c r="FN953" s="101">
        <v>948</v>
      </c>
      <c r="FO953" s="101">
        <f t="shared" si="479"/>
        <v>61</v>
      </c>
      <c r="FP953" s="101">
        <f t="shared" si="472"/>
        <v>12</v>
      </c>
      <c r="FQ953" s="14">
        <f t="shared" si="473"/>
        <v>3</v>
      </c>
      <c r="FR953" s="101" t="str">
        <f t="shared" si="480"/>
        <v>石灵明专属武器-魂珠-7 7级</v>
      </c>
      <c r="FS953" s="101">
        <f t="shared" si="481"/>
        <v>7</v>
      </c>
      <c r="FT953" s="101">
        <f t="shared" si="482"/>
        <v>7</v>
      </c>
      <c r="FU953" s="101" t="str">
        <f t="shared" si="474"/>
        <v>金币</v>
      </c>
      <c r="FV953" s="139">
        <f>IF($FT953&gt;0,IF(INDEX($EI$6:$EI$77,$FO953)&gt;=FV$3,ROUND(INDEX(EK$6:EK$77,$FO953)*INDEX(卡牌消耗!$B$8:$F$8,FQ953)/5,0)*5,""),"")</f>
        <v>34250</v>
      </c>
      <c r="FW953" s="101" t="str">
        <f t="shared" si="475"/>
        <v>专属强化石3</v>
      </c>
      <c r="FX953" s="101">
        <f t="shared" si="476"/>
        <v>21</v>
      </c>
      <c r="FY953" s="101" t="str">
        <f t="shared" si="477"/>
        <v>专属强化石4</v>
      </c>
      <c r="FZ953" s="101">
        <f t="shared" si="478"/>
        <v>7</v>
      </c>
      <c r="GA953" s="101">
        <f t="shared" si="483"/>
        <v>0.03</v>
      </c>
      <c r="GB953" s="101">
        <f t="shared" si="484"/>
        <v>1</v>
      </c>
      <c r="GC953" s="101">
        <f t="shared" si="485"/>
        <v>45</v>
      </c>
      <c r="GD953" s="101">
        <f t="shared" si="486"/>
        <v>0</v>
      </c>
      <c r="GE953" s="101">
        <f t="shared" si="487"/>
        <v>1</v>
      </c>
      <c r="GF953" s="101">
        <f t="shared" si="488"/>
        <v>11</v>
      </c>
      <c r="GG953" s="101">
        <f t="shared" si="489"/>
        <v>1.66E-2</v>
      </c>
      <c r="GH953" s="101">
        <f t="shared" si="490"/>
        <v>1</v>
      </c>
      <c r="GI953" s="101">
        <f t="shared" si="491"/>
        <v>21</v>
      </c>
      <c r="GJ953" s="101">
        <f t="shared" si="492"/>
        <v>6.6299999999999998E-2</v>
      </c>
      <c r="GK953" s="101">
        <f t="shared" si="493"/>
        <v>1</v>
      </c>
      <c r="GL953" s="101">
        <f t="shared" si="494"/>
        <v>45</v>
      </c>
    </row>
    <row r="954" spans="170:194" ht="16.5" x14ac:dyDescent="0.2">
      <c r="FN954" s="101">
        <v>949</v>
      </c>
      <c r="FO954" s="101">
        <f t="shared" si="479"/>
        <v>62</v>
      </c>
      <c r="FP954" s="101">
        <f t="shared" si="472"/>
        <v>12</v>
      </c>
      <c r="FQ954" s="14">
        <f t="shared" si="473"/>
        <v>3</v>
      </c>
      <c r="FR954" s="101" t="str">
        <f t="shared" si="480"/>
        <v>石灵明专属武器-魂珠-7 8级</v>
      </c>
      <c r="FS954" s="101">
        <f t="shared" si="481"/>
        <v>7</v>
      </c>
      <c r="FT954" s="101">
        <f t="shared" si="482"/>
        <v>8</v>
      </c>
      <c r="FU954" s="101" t="str">
        <f t="shared" si="474"/>
        <v>金币</v>
      </c>
      <c r="FV954" s="139">
        <f>IF($FT954&gt;0,IF(INDEX($EI$6:$EI$77,$FO954)&gt;=FV$3,ROUND(INDEX(EK$6:EK$77,$FO954)*INDEX(卡牌消耗!$B$8:$F$8,FQ954)/5,0)*5,""),"")</f>
        <v>39105</v>
      </c>
      <c r="FW954" s="101" t="str">
        <f t="shared" si="475"/>
        <v>专属强化石3</v>
      </c>
      <c r="FX954" s="101">
        <f t="shared" si="476"/>
        <v>24</v>
      </c>
      <c r="FY954" s="101" t="str">
        <f t="shared" si="477"/>
        <v>专属强化石4</v>
      </c>
      <c r="FZ954" s="101">
        <f t="shared" si="478"/>
        <v>8</v>
      </c>
      <c r="GA954" s="101">
        <f t="shared" si="483"/>
        <v>0.02</v>
      </c>
      <c r="GB954" s="101">
        <f t="shared" si="484"/>
        <v>1</v>
      </c>
      <c r="GC954" s="101">
        <f t="shared" si="485"/>
        <v>64</v>
      </c>
      <c r="GD954" s="101">
        <f t="shared" si="486"/>
        <v>0</v>
      </c>
      <c r="GE954" s="101">
        <f t="shared" si="487"/>
        <v>1</v>
      </c>
      <c r="GF954" s="101">
        <f t="shared" si="488"/>
        <v>15</v>
      </c>
      <c r="GG954" s="101">
        <f t="shared" si="489"/>
        <v>1.17E-2</v>
      </c>
      <c r="GH954" s="101">
        <f t="shared" si="490"/>
        <v>1</v>
      </c>
      <c r="GI954" s="101">
        <f t="shared" si="491"/>
        <v>30</v>
      </c>
      <c r="GJ954" s="101">
        <f t="shared" si="492"/>
        <v>4.6800000000000001E-2</v>
      </c>
      <c r="GK954" s="101">
        <f t="shared" si="493"/>
        <v>1</v>
      </c>
      <c r="GL954" s="101">
        <f t="shared" si="494"/>
        <v>64</v>
      </c>
    </row>
    <row r="955" spans="170:194" ht="16.5" x14ac:dyDescent="0.2">
      <c r="FN955" s="101">
        <v>950</v>
      </c>
      <c r="FO955" s="101">
        <f t="shared" si="479"/>
        <v>63</v>
      </c>
      <c r="FP955" s="101">
        <f t="shared" si="472"/>
        <v>12</v>
      </c>
      <c r="FQ955" s="14">
        <f t="shared" si="473"/>
        <v>3</v>
      </c>
      <c r="FR955" s="101" t="str">
        <f t="shared" si="480"/>
        <v>石灵明专属武器-魂珠-7 9级</v>
      </c>
      <c r="FS955" s="101">
        <f t="shared" si="481"/>
        <v>7</v>
      </c>
      <c r="FT955" s="101">
        <f t="shared" si="482"/>
        <v>9</v>
      </c>
      <c r="FU955" s="101" t="str">
        <f t="shared" si="474"/>
        <v>金币</v>
      </c>
      <c r="FV955" s="139">
        <f>IF($FT955&gt;0,IF(INDEX($EI$6:$EI$77,$FO955)&gt;=FV$3,ROUND(INDEX(EK$6:EK$77,$FO955)*INDEX(卡牌消耗!$B$8:$F$8,FQ955)/5,0)*5,""),"")</f>
        <v>48900</v>
      </c>
      <c r="FW955" s="101" t="str">
        <f t="shared" si="475"/>
        <v>专属强化石3</v>
      </c>
      <c r="FX955" s="101">
        <f t="shared" si="476"/>
        <v>30</v>
      </c>
      <c r="FY955" s="101" t="str">
        <f t="shared" si="477"/>
        <v>专属强化石4</v>
      </c>
      <c r="FZ955" s="101">
        <f t="shared" si="478"/>
        <v>10</v>
      </c>
      <c r="GA955" s="101">
        <f t="shared" si="483"/>
        <v>0.02</v>
      </c>
      <c r="GB955" s="101">
        <f t="shared" si="484"/>
        <v>1</v>
      </c>
      <c r="GC955" s="101">
        <f t="shared" si="485"/>
        <v>83</v>
      </c>
      <c r="GD955" s="101">
        <f t="shared" si="486"/>
        <v>0</v>
      </c>
      <c r="GE955" s="101">
        <f t="shared" si="487"/>
        <v>1</v>
      </c>
      <c r="GF955" s="101">
        <f t="shared" si="488"/>
        <v>19</v>
      </c>
      <c r="GG955" s="101">
        <f t="shared" si="489"/>
        <v>8.9999999999999993E-3</v>
      </c>
      <c r="GH955" s="101">
        <f t="shared" si="490"/>
        <v>1</v>
      </c>
      <c r="GI955" s="101">
        <f t="shared" si="491"/>
        <v>39</v>
      </c>
      <c r="GJ955" s="101">
        <f t="shared" si="492"/>
        <v>3.6200000000000003E-2</v>
      </c>
      <c r="GK955" s="101">
        <f t="shared" si="493"/>
        <v>1</v>
      </c>
      <c r="GL955" s="101">
        <f t="shared" si="494"/>
        <v>83</v>
      </c>
    </row>
    <row r="956" spans="170:194" ht="16.5" x14ac:dyDescent="0.2">
      <c r="FN956" s="101">
        <v>951</v>
      </c>
      <c r="FO956" s="101">
        <f t="shared" si="479"/>
        <v>0</v>
      </c>
      <c r="FP956" s="101">
        <f t="shared" si="472"/>
        <v>12</v>
      </c>
      <c r="FQ956" s="14">
        <f t="shared" si="473"/>
        <v>3</v>
      </c>
      <c r="FR956" s="101" t="str">
        <f t="shared" si="480"/>
        <v>石灵明专属武器-魂珠-8 0级</v>
      </c>
      <c r="FS956" s="101">
        <f t="shared" si="481"/>
        <v>8</v>
      </c>
      <c r="FT956" s="101">
        <f t="shared" si="482"/>
        <v>0</v>
      </c>
      <c r="FU956" s="101" t="str">
        <f t="shared" si="474"/>
        <v/>
      </c>
      <c r="FV956" s="139" t="str">
        <f>IF($FT956&gt;0,IF(INDEX($EI$6:$EI$77,$FO956)&gt;=FV$3,ROUND(INDEX(EK$6:EK$77,$FO956)*INDEX(卡牌消耗!$B$8:$F$8,FQ956)/5,0)*5,""),"")</f>
        <v/>
      </c>
      <c r="FW956" s="101" t="str">
        <f t="shared" si="475"/>
        <v/>
      </c>
      <c r="FX956" s="101" t="str">
        <f t="shared" si="476"/>
        <v/>
      </c>
      <c r="FY956" s="101" t="str">
        <f t="shared" si="477"/>
        <v/>
      </c>
      <c r="FZ956" s="101" t="str">
        <f t="shared" si="478"/>
        <v/>
      </c>
      <c r="GA956" s="101" t="str">
        <f t="shared" si="483"/>
        <v/>
      </c>
      <c r="GB956" s="101" t="str">
        <f t="shared" si="484"/>
        <v/>
      </c>
      <c r="GC956" s="101" t="str">
        <f t="shared" si="485"/>
        <v/>
      </c>
      <c r="GD956" s="101" t="str">
        <f t="shared" si="486"/>
        <v/>
      </c>
      <c r="GE956" s="101" t="str">
        <f t="shared" si="487"/>
        <v/>
      </c>
      <c r="GF956" s="101" t="str">
        <f t="shared" si="488"/>
        <v/>
      </c>
      <c r="GG956" s="101" t="str">
        <f t="shared" si="489"/>
        <v/>
      </c>
      <c r="GH956" s="101" t="str">
        <f t="shared" si="490"/>
        <v/>
      </c>
      <c r="GI956" s="101" t="str">
        <f t="shared" si="491"/>
        <v/>
      </c>
      <c r="GJ956" s="101" t="str">
        <f t="shared" si="492"/>
        <v/>
      </c>
      <c r="GK956" s="101" t="str">
        <f t="shared" si="493"/>
        <v/>
      </c>
      <c r="GL956" s="101" t="str">
        <f t="shared" si="494"/>
        <v/>
      </c>
    </row>
    <row r="957" spans="170:194" ht="16.5" x14ac:dyDescent="0.2">
      <c r="FN957" s="101">
        <v>952</v>
      </c>
      <c r="FO957" s="101">
        <f t="shared" si="479"/>
        <v>64</v>
      </c>
      <c r="FP957" s="101">
        <f t="shared" si="472"/>
        <v>12</v>
      </c>
      <c r="FQ957" s="14">
        <f t="shared" si="473"/>
        <v>3</v>
      </c>
      <c r="FR957" s="101" t="str">
        <f t="shared" si="480"/>
        <v>石灵明专属武器-魂珠-8 1级</v>
      </c>
      <c r="FS957" s="101">
        <f t="shared" si="481"/>
        <v>8</v>
      </c>
      <c r="FT957" s="101">
        <f t="shared" si="482"/>
        <v>1</v>
      </c>
      <c r="FU957" s="101" t="str">
        <f t="shared" si="474"/>
        <v>金币</v>
      </c>
      <c r="FV957" s="139">
        <f>IF($FT957&gt;0,IF(INDEX($EI$6:$EI$77,$FO957)&gt;=FV$3,ROUND(INDEX(EK$6:EK$77,$FO957)*INDEX(卡牌消耗!$B$8:$F$8,FQ957)/5,0)*5,""),"")</f>
        <v>10300</v>
      </c>
      <c r="FW957" s="101" t="str">
        <f t="shared" si="475"/>
        <v>专属强化石4</v>
      </c>
      <c r="FX957" s="101">
        <f t="shared" si="476"/>
        <v>5</v>
      </c>
      <c r="FY957" s="101" t="str">
        <f t="shared" si="477"/>
        <v/>
      </c>
      <c r="FZ957" s="101" t="str">
        <f t="shared" si="478"/>
        <v/>
      </c>
      <c r="GA957" s="101">
        <f t="shared" si="483"/>
        <v>0.11</v>
      </c>
      <c r="GB957" s="101">
        <f t="shared" si="484"/>
        <v>1</v>
      </c>
      <c r="GC957" s="101">
        <f t="shared" si="485"/>
        <v>13</v>
      </c>
      <c r="GD957" s="101">
        <f t="shared" si="486"/>
        <v>0</v>
      </c>
      <c r="GE957" s="101">
        <f t="shared" si="487"/>
        <v>1</v>
      </c>
      <c r="GF957" s="101">
        <f t="shared" si="488"/>
        <v>3</v>
      </c>
      <c r="GG957" s="101">
        <f t="shared" si="489"/>
        <v>5.6500000000000002E-2</v>
      </c>
      <c r="GH957" s="101">
        <f t="shared" si="490"/>
        <v>1</v>
      </c>
      <c r="GI957" s="101">
        <f t="shared" si="491"/>
        <v>6</v>
      </c>
      <c r="GJ957" s="101">
        <f t="shared" si="492"/>
        <v>0.22600000000000001</v>
      </c>
      <c r="GK957" s="101">
        <f t="shared" si="493"/>
        <v>1</v>
      </c>
      <c r="GL957" s="101">
        <f t="shared" si="494"/>
        <v>13</v>
      </c>
    </row>
    <row r="958" spans="170:194" ht="16.5" x14ac:dyDescent="0.2">
      <c r="FN958" s="101">
        <v>953</v>
      </c>
      <c r="FO958" s="101">
        <f t="shared" si="479"/>
        <v>65</v>
      </c>
      <c r="FP958" s="101">
        <f t="shared" si="472"/>
        <v>12</v>
      </c>
      <c r="FQ958" s="14">
        <f t="shared" si="473"/>
        <v>3</v>
      </c>
      <c r="FR958" s="101" t="str">
        <f t="shared" si="480"/>
        <v>石灵明专属武器-魂珠-8 2级</v>
      </c>
      <c r="FS958" s="101">
        <f t="shared" si="481"/>
        <v>8</v>
      </c>
      <c r="FT958" s="101">
        <f t="shared" si="482"/>
        <v>2</v>
      </c>
      <c r="FU958" s="101" t="str">
        <f t="shared" si="474"/>
        <v>金币</v>
      </c>
      <c r="FV958" s="139">
        <f>IF($FT958&gt;0,IF(INDEX($EI$6:$EI$77,$FO958)&gt;=FV$3,ROUND(INDEX(EK$6:EK$77,$FO958)*INDEX(卡牌消耗!$B$8:$F$8,FQ958)/5,0)*5,""),"")</f>
        <v>12360</v>
      </c>
      <c r="FW958" s="101" t="str">
        <f t="shared" si="475"/>
        <v>专属强化石4</v>
      </c>
      <c r="FX958" s="101">
        <f t="shared" si="476"/>
        <v>8</v>
      </c>
      <c r="FY958" s="101" t="str">
        <f t="shared" si="477"/>
        <v/>
      </c>
      <c r="FZ958" s="101" t="str">
        <f t="shared" si="478"/>
        <v/>
      </c>
      <c r="GA958" s="101">
        <f t="shared" si="483"/>
        <v>0.09</v>
      </c>
      <c r="GB958" s="101">
        <f t="shared" si="484"/>
        <v>1</v>
      </c>
      <c r="GC958" s="101">
        <f t="shared" si="485"/>
        <v>17</v>
      </c>
      <c r="GD958" s="101">
        <f t="shared" si="486"/>
        <v>0</v>
      </c>
      <c r="GE958" s="101">
        <f t="shared" si="487"/>
        <v>1</v>
      </c>
      <c r="GF958" s="101">
        <f t="shared" si="488"/>
        <v>4</v>
      </c>
      <c r="GG958" s="101">
        <f t="shared" si="489"/>
        <v>4.5199999999999997E-2</v>
      </c>
      <c r="GH958" s="101">
        <f t="shared" si="490"/>
        <v>1</v>
      </c>
      <c r="GI958" s="101">
        <f t="shared" si="491"/>
        <v>8</v>
      </c>
      <c r="GJ958" s="101">
        <f t="shared" si="492"/>
        <v>0.18079999999999999</v>
      </c>
      <c r="GK958" s="101">
        <f t="shared" si="493"/>
        <v>1</v>
      </c>
      <c r="GL958" s="101">
        <f t="shared" si="494"/>
        <v>17</v>
      </c>
    </row>
    <row r="959" spans="170:194" ht="16.5" x14ac:dyDescent="0.2">
      <c r="FN959" s="101">
        <v>954</v>
      </c>
      <c r="FO959" s="101">
        <f t="shared" si="479"/>
        <v>66</v>
      </c>
      <c r="FP959" s="101">
        <f t="shared" si="472"/>
        <v>12</v>
      </c>
      <c r="FQ959" s="14">
        <f t="shared" si="473"/>
        <v>3</v>
      </c>
      <c r="FR959" s="101" t="str">
        <f t="shared" si="480"/>
        <v>石灵明专属武器-魂珠-8 3级</v>
      </c>
      <c r="FS959" s="101">
        <f t="shared" si="481"/>
        <v>8</v>
      </c>
      <c r="FT959" s="101">
        <f t="shared" si="482"/>
        <v>3</v>
      </c>
      <c r="FU959" s="101" t="str">
        <f t="shared" si="474"/>
        <v>金币</v>
      </c>
      <c r="FV959" s="139">
        <f>IF($FT959&gt;0,IF(INDEX($EI$6:$EI$77,$FO959)&gt;=FV$3,ROUND(INDEX(EK$6:EK$77,$FO959)*INDEX(卡牌消耗!$B$8:$F$8,FQ959)/5,0)*5,""),"")</f>
        <v>17170</v>
      </c>
      <c r="FW959" s="101" t="str">
        <f t="shared" si="475"/>
        <v>专属强化石4</v>
      </c>
      <c r="FX959" s="101">
        <f t="shared" si="476"/>
        <v>10</v>
      </c>
      <c r="FY959" s="101" t="str">
        <f t="shared" si="477"/>
        <v/>
      </c>
      <c r="FZ959" s="101" t="str">
        <f t="shared" si="478"/>
        <v/>
      </c>
      <c r="GA959" s="101">
        <f t="shared" si="483"/>
        <v>0.08</v>
      </c>
      <c r="GB959" s="101">
        <f t="shared" si="484"/>
        <v>1</v>
      </c>
      <c r="GC959" s="101">
        <f t="shared" si="485"/>
        <v>20</v>
      </c>
      <c r="GD959" s="101">
        <f t="shared" si="486"/>
        <v>0</v>
      </c>
      <c r="GE959" s="101">
        <f t="shared" si="487"/>
        <v>1</v>
      </c>
      <c r="GF959" s="101">
        <f t="shared" si="488"/>
        <v>5</v>
      </c>
      <c r="GG959" s="101">
        <f t="shared" si="489"/>
        <v>3.7699999999999997E-2</v>
      </c>
      <c r="GH959" s="101">
        <f t="shared" si="490"/>
        <v>1</v>
      </c>
      <c r="GI959" s="101">
        <f t="shared" si="491"/>
        <v>9</v>
      </c>
      <c r="GJ959" s="101">
        <f t="shared" si="492"/>
        <v>0.1507</v>
      </c>
      <c r="GK959" s="101">
        <f t="shared" si="493"/>
        <v>1</v>
      </c>
      <c r="GL959" s="101">
        <f t="shared" si="494"/>
        <v>20</v>
      </c>
    </row>
    <row r="960" spans="170:194" ht="16.5" x14ac:dyDescent="0.2">
      <c r="FN960" s="101">
        <v>955</v>
      </c>
      <c r="FO960" s="101">
        <f t="shared" si="479"/>
        <v>67</v>
      </c>
      <c r="FP960" s="101">
        <f t="shared" si="472"/>
        <v>12</v>
      </c>
      <c r="FQ960" s="14">
        <f t="shared" si="473"/>
        <v>3</v>
      </c>
      <c r="FR960" s="101" t="str">
        <f t="shared" si="480"/>
        <v>石灵明专属武器-魂珠-8 4级</v>
      </c>
      <c r="FS960" s="101">
        <f t="shared" si="481"/>
        <v>8</v>
      </c>
      <c r="FT960" s="101">
        <f t="shared" si="482"/>
        <v>4</v>
      </c>
      <c r="FU960" s="101" t="str">
        <f t="shared" si="474"/>
        <v>金币</v>
      </c>
      <c r="FV960" s="139">
        <f>IF($FT960&gt;0,IF(INDEX($EI$6:$EI$77,$FO960)&gt;=FV$3,ROUND(INDEX(EK$6:EK$77,$FO960)*INDEX(卡牌消耗!$B$8:$F$8,FQ960)/5,0)*5,""),"")</f>
        <v>19780</v>
      </c>
      <c r="FW960" s="101" t="str">
        <f t="shared" si="475"/>
        <v>专属强化石4</v>
      </c>
      <c r="FX960" s="101">
        <f t="shared" si="476"/>
        <v>12</v>
      </c>
      <c r="FY960" s="101" t="str">
        <f t="shared" si="477"/>
        <v/>
      </c>
      <c r="FZ960" s="101" t="str">
        <f t="shared" si="478"/>
        <v/>
      </c>
      <c r="GA960" s="101">
        <f t="shared" si="483"/>
        <v>0.05</v>
      </c>
      <c r="GB960" s="101">
        <f t="shared" si="484"/>
        <v>1</v>
      </c>
      <c r="GC960" s="101">
        <f t="shared" si="485"/>
        <v>28</v>
      </c>
      <c r="GD960" s="101">
        <f t="shared" si="486"/>
        <v>0</v>
      </c>
      <c r="GE960" s="101">
        <f t="shared" si="487"/>
        <v>1</v>
      </c>
      <c r="GF960" s="101">
        <f t="shared" si="488"/>
        <v>6</v>
      </c>
      <c r="GG960" s="101">
        <f t="shared" si="489"/>
        <v>2.7099999999999999E-2</v>
      </c>
      <c r="GH960" s="101">
        <f t="shared" si="490"/>
        <v>1</v>
      </c>
      <c r="GI960" s="101">
        <f t="shared" si="491"/>
        <v>13</v>
      </c>
      <c r="GJ960" s="101">
        <f t="shared" si="492"/>
        <v>0.1085</v>
      </c>
      <c r="GK960" s="101">
        <f t="shared" si="493"/>
        <v>1</v>
      </c>
      <c r="GL960" s="101">
        <f t="shared" si="494"/>
        <v>28</v>
      </c>
    </row>
    <row r="961" spans="170:194" ht="16.5" x14ac:dyDescent="0.2">
      <c r="FN961" s="101">
        <v>956</v>
      </c>
      <c r="FO961" s="101">
        <f t="shared" si="479"/>
        <v>68</v>
      </c>
      <c r="FP961" s="101">
        <f t="shared" si="472"/>
        <v>12</v>
      </c>
      <c r="FQ961" s="14">
        <f t="shared" si="473"/>
        <v>3</v>
      </c>
      <c r="FR961" s="101" t="str">
        <f t="shared" si="480"/>
        <v>石灵明专属武器-魂珠-8 5级</v>
      </c>
      <c r="FS961" s="101">
        <f t="shared" si="481"/>
        <v>8</v>
      </c>
      <c r="FT961" s="101">
        <f t="shared" si="482"/>
        <v>5</v>
      </c>
      <c r="FU961" s="101" t="str">
        <f t="shared" si="474"/>
        <v>金币</v>
      </c>
      <c r="FV961" s="139">
        <f>IF($FT961&gt;0,IF(INDEX($EI$6:$EI$77,$FO961)&gt;=FV$3,ROUND(INDEX(EK$6:EK$77,$FO961)*INDEX(卡牌消耗!$B$8:$F$8,FQ961)/5,0)*5,""),"")</f>
        <v>25110</v>
      </c>
      <c r="FW961" s="101" t="str">
        <f t="shared" si="475"/>
        <v>专属强化石4</v>
      </c>
      <c r="FX961" s="101">
        <f t="shared" si="476"/>
        <v>15</v>
      </c>
      <c r="FY961" s="101" t="str">
        <f t="shared" si="477"/>
        <v/>
      </c>
      <c r="FZ961" s="101" t="str">
        <f t="shared" si="478"/>
        <v/>
      </c>
      <c r="GA961" s="101">
        <f t="shared" si="483"/>
        <v>0.04</v>
      </c>
      <c r="GB961" s="101">
        <f t="shared" si="484"/>
        <v>1</v>
      </c>
      <c r="GC961" s="101">
        <f t="shared" si="485"/>
        <v>35</v>
      </c>
      <c r="GD961" s="101">
        <f t="shared" si="486"/>
        <v>0</v>
      </c>
      <c r="GE961" s="101">
        <f t="shared" si="487"/>
        <v>1</v>
      </c>
      <c r="GF961" s="101">
        <f t="shared" si="488"/>
        <v>8</v>
      </c>
      <c r="GG961" s="101">
        <f t="shared" si="489"/>
        <v>2.12E-2</v>
      </c>
      <c r="GH961" s="101">
        <f t="shared" si="490"/>
        <v>1</v>
      </c>
      <c r="GI961" s="101">
        <f t="shared" si="491"/>
        <v>17</v>
      </c>
      <c r="GJ961" s="101">
        <f t="shared" si="492"/>
        <v>8.4699999999999998E-2</v>
      </c>
      <c r="GK961" s="101">
        <f t="shared" si="493"/>
        <v>1</v>
      </c>
      <c r="GL961" s="101">
        <f t="shared" si="494"/>
        <v>35</v>
      </c>
    </row>
    <row r="962" spans="170:194" ht="16.5" x14ac:dyDescent="0.2">
      <c r="FN962" s="101">
        <v>957</v>
      </c>
      <c r="FO962" s="101">
        <f t="shared" si="479"/>
        <v>69</v>
      </c>
      <c r="FP962" s="101">
        <f t="shared" si="472"/>
        <v>12</v>
      </c>
      <c r="FQ962" s="14">
        <f t="shared" si="473"/>
        <v>3</v>
      </c>
      <c r="FR962" s="101" t="str">
        <f t="shared" si="480"/>
        <v>石灵明专属武器-魂珠-8 6级</v>
      </c>
      <c r="FS962" s="101">
        <f t="shared" si="481"/>
        <v>8</v>
      </c>
      <c r="FT962" s="101">
        <f t="shared" si="482"/>
        <v>6</v>
      </c>
      <c r="FU962" s="101" t="str">
        <f t="shared" si="474"/>
        <v>金币</v>
      </c>
      <c r="FV962" s="139">
        <f>IF($FT962&gt;0,IF(INDEX($EI$6:$EI$77,$FO962)&gt;=FV$3,ROUND(INDEX(EK$6:EK$77,$FO962)*INDEX(卡牌消耗!$B$8:$F$8,FQ962)/5,0)*5,""),"")</f>
        <v>29955</v>
      </c>
      <c r="FW962" s="101" t="str">
        <f t="shared" si="475"/>
        <v>专属强化石4</v>
      </c>
      <c r="FX962" s="101">
        <f t="shared" si="476"/>
        <v>18</v>
      </c>
      <c r="FY962" s="101" t="str">
        <f t="shared" si="477"/>
        <v/>
      </c>
      <c r="FZ962" s="101" t="str">
        <f t="shared" si="478"/>
        <v/>
      </c>
      <c r="GA962" s="101">
        <f t="shared" si="483"/>
        <v>0.03</v>
      </c>
      <c r="GB962" s="101">
        <f t="shared" si="484"/>
        <v>1</v>
      </c>
      <c r="GC962" s="101">
        <f t="shared" si="485"/>
        <v>48</v>
      </c>
      <c r="GD962" s="101">
        <f t="shared" si="486"/>
        <v>0</v>
      </c>
      <c r="GE962" s="101">
        <f t="shared" si="487"/>
        <v>1</v>
      </c>
      <c r="GF962" s="101">
        <f t="shared" si="488"/>
        <v>11</v>
      </c>
      <c r="GG962" s="101">
        <f t="shared" si="489"/>
        <v>1.5599999999999999E-2</v>
      </c>
      <c r="GH962" s="101">
        <f t="shared" si="490"/>
        <v>1</v>
      </c>
      <c r="GI962" s="101">
        <f t="shared" si="491"/>
        <v>22</v>
      </c>
      <c r="GJ962" s="101">
        <f t="shared" si="492"/>
        <v>6.2600000000000003E-2</v>
      </c>
      <c r="GK962" s="101">
        <f t="shared" si="493"/>
        <v>1</v>
      </c>
      <c r="GL962" s="101">
        <f t="shared" si="494"/>
        <v>48</v>
      </c>
    </row>
    <row r="963" spans="170:194" ht="16.5" x14ac:dyDescent="0.2">
      <c r="FN963" s="101">
        <v>958</v>
      </c>
      <c r="FO963" s="101">
        <f t="shared" si="479"/>
        <v>70</v>
      </c>
      <c r="FP963" s="101">
        <f t="shared" si="472"/>
        <v>12</v>
      </c>
      <c r="FQ963" s="14">
        <f t="shared" si="473"/>
        <v>3</v>
      </c>
      <c r="FR963" s="101" t="str">
        <f t="shared" si="480"/>
        <v>石灵明专属武器-魂珠-8 7级</v>
      </c>
      <c r="FS963" s="101">
        <f t="shared" si="481"/>
        <v>8</v>
      </c>
      <c r="FT963" s="101">
        <f t="shared" si="482"/>
        <v>7</v>
      </c>
      <c r="FU963" s="101" t="str">
        <f t="shared" si="474"/>
        <v>金币</v>
      </c>
      <c r="FV963" s="139">
        <f>IF($FT963&gt;0,IF(INDEX($EI$6:$EI$77,$FO963)&gt;=FV$3,ROUND(INDEX(EK$6:EK$77,$FO963)*INDEX(卡牌消耗!$B$8:$F$8,FQ963)/5,0)*5,""),"")</f>
        <v>41700</v>
      </c>
      <c r="FW963" s="101" t="str">
        <f t="shared" si="475"/>
        <v>专属强化石4</v>
      </c>
      <c r="FX963" s="101">
        <f t="shared" si="476"/>
        <v>25</v>
      </c>
      <c r="FY963" s="101" t="str">
        <f t="shared" si="477"/>
        <v/>
      </c>
      <c r="FZ963" s="101" t="str">
        <f t="shared" si="478"/>
        <v/>
      </c>
      <c r="GA963" s="101">
        <f t="shared" si="483"/>
        <v>0.03</v>
      </c>
      <c r="GB963" s="101">
        <f t="shared" si="484"/>
        <v>1</v>
      </c>
      <c r="GC963" s="101">
        <f t="shared" si="485"/>
        <v>56</v>
      </c>
      <c r="GD963" s="101">
        <f t="shared" si="486"/>
        <v>0</v>
      </c>
      <c r="GE963" s="101">
        <f t="shared" si="487"/>
        <v>1</v>
      </c>
      <c r="GF963" s="101">
        <f t="shared" si="488"/>
        <v>13</v>
      </c>
      <c r="GG963" s="101">
        <f t="shared" si="489"/>
        <v>1.35E-2</v>
      </c>
      <c r="GH963" s="101">
        <f t="shared" si="490"/>
        <v>1</v>
      </c>
      <c r="GI963" s="101">
        <f t="shared" si="491"/>
        <v>26</v>
      </c>
      <c r="GJ963" s="101">
        <f t="shared" si="492"/>
        <v>5.3800000000000001E-2</v>
      </c>
      <c r="GK963" s="101">
        <f t="shared" si="493"/>
        <v>1</v>
      </c>
      <c r="GL963" s="101">
        <f t="shared" si="494"/>
        <v>56</v>
      </c>
    </row>
    <row r="964" spans="170:194" ht="16.5" x14ac:dyDescent="0.2">
      <c r="FN964" s="101">
        <v>959</v>
      </c>
      <c r="FO964" s="101">
        <f t="shared" si="479"/>
        <v>71</v>
      </c>
      <c r="FP964" s="101">
        <f t="shared" si="472"/>
        <v>12</v>
      </c>
      <c r="FQ964" s="14">
        <f t="shared" si="473"/>
        <v>3</v>
      </c>
      <c r="FR964" s="101" t="str">
        <f t="shared" si="480"/>
        <v>石灵明专属武器-魂珠-8 8级</v>
      </c>
      <c r="FS964" s="101">
        <f t="shared" si="481"/>
        <v>8</v>
      </c>
      <c r="FT964" s="101">
        <f t="shared" si="482"/>
        <v>8</v>
      </c>
      <c r="FU964" s="101" t="str">
        <f t="shared" si="474"/>
        <v>金币</v>
      </c>
      <c r="FV964" s="139">
        <f>IF($FT964&gt;0,IF(INDEX($EI$6:$EI$77,$FO964)&gt;=FV$3,ROUND(INDEX(EK$6:EK$77,$FO964)*INDEX(卡牌消耗!$B$8:$F$8,FQ964)/5,0)*5,""),"")</f>
        <v>49995</v>
      </c>
      <c r="FW964" s="101" t="str">
        <f t="shared" si="475"/>
        <v>专属强化石4</v>
      </c>
      <c r="FX964" s="101">
        <f t="shared" si="476"/>
        <v>30</v>
      </c>
      <c r="FY964" s="101" t="str">
        <f t="shared" si="477"/>
        <v/>
      </c>
      <c r="FZ964" s="101" t="str">
        <f t="shared" si="478"/>
        <v/>
      </c>
      <c r="GA964" s="101">
        <f t="shared" si="483"/>
        <v>0.02</v>
      </c>
      <c r="GB964" s="101">
        <f t="shared" si="484"/>
        <v>1</v>
      </c>
      <c r="GC964" s="101">
        <f t="shared" si="485"/>
        <v>75</v>
      </c>
      <c r="GD964" s="101">
        <f t="shared" si="486"/>
        <v>0</v>
      </c>
      <c r="GE964" s="101">
        <f t="shared" si="487"/>
        <v>1</v>
      </c>
      <c r="GF964" s="101">
        <f t="shared" si="488"/>
        <v>18</v>
      </c>
      <c r="GG964" s="101">
        <f t="shared" si="489"/>
        <v>0.01</v>
      </c>
      <c r="GH964" s="101">
        <f t="shared" si="490"/>
        <v>1</v>
      </c>
      <c r="GI964" s="101">
        <f t="shared" si="491"/>
        <v>35</v>
      </c>
      <c r="GJ964" s="101">
        <f t="shared" si="492"/>
        <v>3.9899999999999998E-2</v>
      </c>
      <c r="GK964" s="101">
        <f t="shared" si="493"/>
        <v>1</v>
      </c>
      <c r="GL964" s="101">
        <f t="shared" si="494"/>
        <v>75</v>
      </c>
    </row>
    <row r="965" spans="170:194" ht="16.5" x14ac:dyDescent="0.2">
      <c r="FN965" s="101">
        <v>960</v>
      </c>
      <c r="FO965" s="101">
        <f t="shared" si="479"/>
        <v>72</v>
      </c>
      <c r="FP965" s="101">
        <f t="shared" si="472"/>
        <v>12</v>
      </c>
      <c r="FQ965" s="14">
        <f t="shared" si="473"/>
        <v>3</v>
      </c>
      <c r="FR965" s="101" t="str">
        <f t="shared" si="480"/>
        <v>石灵明专属武器-魂珠-8 9级</v>
      </c>
      <c r="FS965" s="101">
        <f t="shared" si="481"/>
        <v>8</v>
      </c>
      <c r="FT965" s="101">
        <f t="shared" si="482"/>
        <v>9</v>
      </c>
      <c r="FU965" s="101" t="str">
        <f t="shared" si="474"/>
        <v>金币</v>
      </c>
      <c r="FV965" s="139">
        <f>IF($FT965&gt;0,IF(INDEX($EI$6:$EI$77,$FO965)&gt;=FV$3,ROUND(INDEX(EK$6:EK$77,$FO965)*INDEX(卡牌消耗!$B$8:$F$8,FQ965)/5,0)*5,""),"")</f>
        <v>50010</v>
      </c>
      <c r="FW965" s="101" t="str">
        <f t="shared" si="475"/>
        <v>专属强化石4</v>
      </c>
      <c r="FX965" s="101">
        <f t="shared" si="476"/>
        <v>30</v>
      </c>
      <c r="FY965" s="101" t="str">
        <f t="shared" si="477"/>
        <v/>
      </c>
      <c r="FZ965" s="101" t="str">
        <f t="shared" si="478"/>
        <v/>
      </c>
      <c r="GA965" s="101">
        <f t="shared" si="483"/>
        <v>0.01</v>
      </c>
      <c r="GB965" s="101">
        <f t="shared" si="484"/>
        <v>1</v>
      </c>
      <c r="GC965" s="101">
        <f t="shared" si="485"/>
        <v>122</v>
      </c>
      <c r="GD965" s="101">
        <f t="shared" si="486"/>
        <v>0</v>
      </c>
      <c r="GE965" s="101">
        <f t="shared" si="487"/>
        <v>1</v>
      </c>
      <c r="GF965" s="101">
        <f t="shared" si="488"/>
        <v>28</v>
      </c>
      <c r="GG965" s="101">
        <f t="shared" si="489"/>
        <v>6.1999999999999998E-3</v>
      </c>
      <c r="GH965" s="101">
        <f t="shared" si="490"/>
        <v>1</v>
      </c>
      <c r="GI965" s="101">
        <f t="shared" si="491"/>
        <v>57</v>
      </c>
      <c r="GJ965" s="101">
        <f t="shared" si="492"/>
        <v>2.47E-2</v>
      </c>
      <c r="GK965" s="101">
        <f t="shared" si="493"/>
        <v>1</v>
      </c>
      <c r="GL965" s="101">
        <f t="shared" si="494"/>
        <v>122</v>
      </c>
    </row>
    <row r="966" spans="170:194" ht="16.5" x14ac:dyDescent="0.2">
      <c r="FN966" s="101">
        <v>961</v>
      </c>
      <c r="FO966" s="101">
        <f t="shared" si="479"/>
        <v>0</v>
      </c>
      <c r="FP966" s="101">
        <f t="shared" si="472"/>
        <v>13</v>
      </c>
      <c r="FQ966" s="14">
        <f t="shared" si="473"/>
        <v>4</v>
      </c>
      <c r="FR966" s="101" t="str">
        <f t="shared" si="480"/>
        <v>西方龙专属武器-魂珠-1 0级</v>
      </c>
      <c r="FS966" s="101">
        <f t="shared" si="481"/>
        <v>1</v>
      </c>
      <c r="FT966" s="101">
        <f t="shared" si="482"/>
        <v>0</v>
      </c>
      <c r="FU966" s="101" t="str">
        <f t="shared" si="474"/>
        <v/>
      </c>
      <c r="FV966" s="139" t="str">
        <f>IF($FT966&gt;0,IF(INDEX($EI$6:$EI$77,$FO966)&gt;=FV$3,ROUND(INDEX(EK$6:EK$77,$FO966)*INDEX(卡牌消耗!$B$8:$F$8,FQ966)/5,0)*5,""),"")</f>
        <v/>
      </c>
      <c r="FW966" s="101" t="str">
        <f t="shared" si="475"/>
        <v/>
      </c>
      <c r="FX966" s="101" t="str">
        <f t="shared" si="476"/>
        <v/>
      </c>
      <c r="FY966" s="101" t="str">
        <f t="shared" si="477"/>
        <v/>
      </c>
      <c r="FZ966" s="101" t="str">
        <f t="shared" si="478"/>
        <v/>
      </c>
      <c r="GA966" s="101" t="str">
        <f t="shared" si="483"/>
        <v/>
      </c>
      <c r="GB966" s="101" t="str">
        <f t="shared" si="484"/>
        <v/>
      </c>
      <c r="GC966" s="101" t="str">
        <f t="shared" si="485"/>
        <v/>
      </c>
      <c r="GD966" s="101" t="str">
        <f t="shared" si="486"/>
        <v/>
      </c>
      <c r="GE966" s="101" t="str">
        <f t="shared" si="487"/>
        <v/>
      </c>
      <c r="GF966" s="101" t="str">
        <f t="shared" si="488"/>
        <v/>
      </c>
      <c r="GG966" s="101" t="str">
        <f t="shared" si="489"/>
        <v/>
      </c>
      <c r="GH966" s="101" t="str">
        <f t="shared" si="490"/>
        <v/>
      </c>
      <c r="GI966" s="101" t="str">
        <f t="shared" si="491"/>
        <v/>
      </c>
      <c r="GJ966" s="101" t="str">
        <f t="shared" si="492"/>
        <v/>
      </c>
      <c r="GK966" s="101" t="str">
        <f t="shared" si="493"/>
        <v/>
      </c>
      <c r="GL966" s="101" t="str">
        <f t="shared" si="494"/>
        <v/>
      </c>
    </row>
    <row r="967" spans="170:194" ht="16.5" x14ac:dyDescent="0.2">
      <c r="FN967" s="101">
        <v>962</v>
      </c>
      <c r="FO967" s="101">
        <f t="shared" si="479"/>
        <v>1</v>
      </c>
      <c r="FP967" s="101">
        <f t="shared" ref="FP967:FP1030" si="495">INT((FN967-1)/80+1)</f>
        <v>13</v>
      </c>
      <c r="FQ967" s="14">
        <f t="shared" ref="FQ967:FQ1030" si="496">INDEX($FJ$6:$FJ$26,FP967)</f>
        <v>4</v>
      </c>
      <c r="FR967" s="101" t="str">
        <f t="shared" si="480"/>
        <v>西方龙专属武器-魂珠-1 1级</v>
      </c>
      <c r="FS967" s="101">
        <f t="shared" si="481"/>
        <v>1</v>
      </c>
      <c r="FT967" s="101">
        <f t="shared" si="482"/>
        <v>1</v>
      </c>
      <c r="FU967" s="101" t="str">
        <f t="shared" ref="FU967:FU1030" si="497">IF($FT967&gt;0,IF(INDEX($EI$6:$EI$77,$FO967)&gt;=FU$3,INDEX(EJ$6:EJ$77,$FO967),""),"")</f>
        <v>金币</v>
      </c>
      <c r="FV967" s="139">
        <f>IF($FT967&gt;0,IF(INDEX($EI$6:$EI$77,$FO967)&gt;=FV$3,ROUND(INDEX(EK$6:EK$77,$FO967)*INDEX(卡牌消耗!$B$8:$F$8,FQ967)/5,0)*5,""),"")</f>
        <v>145</v>
      </c>
      <c r="FW967" s="101" t="str">
        <f t="shared" ref="FW967:FW1030" si="498">IF($FT967&gt;0,IF(INDEX($EI$6:$EI$77,$FO967)&gt;=FW$3,INDEX(EL$6:EL$77,$FO967),""),"")</f>
        <v>专属强化石1</v>
      </c>
      <c r="FX967" s="101">
        <f t="shared" ref="FX967:FX1030" si="499">IF($FT967&gt;0,IF(INDEX($EI$6:$EI$77,$FO967)&gt;=FX$3,INDEX(EM$6:EM$77,$FO967),""),"")</f>
        <v>1</v>
      </c>
      <c r="FY967" s="101" t="str">
        <f t="shared" ref="FY967:FY1030" si="500">IF($FT967&gt;0,IF(INDEX($EI$6:$EI$77,$FO967)&gt;=FY$3,INDEX(EN$6:EN$77,$FO967),""),"")</f>
        <v/>
      </c>
      <c r="FZ967" s="101" t="str">
        <f t="shared" ref="FZ967:FZ1030" si="501">IF($FT967&gt;0,IF(INDEX($EI$6:$EI$77,$FO967)&gt;=FZ$3,INDEX(EO$6:EO$77,$FO967),""),"")</f>
        <v/>
      </c>
      <c r="GA967" s="101">
        <f t="shared" si="483"/>
        <v>0.32</v>
      </c>
      <c r="GB967" s="101">
        <f t="shared" si="484"/>
        <v>1</v>
      </c>
      <c r="GC967" s="101">
        <f t="shared" si="485"/>
        <v>5</v>
      </c>
      <c r="GD967" s="101">
        <f t="shared" si="486"/>
        <v>0</v>
      </c>
      <c r="GE967" s="101">
        <f t="shared" si="487"/>
        <v>1</v>
      </c>
      <c r="GF967" s="101">
        <f t="shared" si="488"/>
        <v>1</v>
      </c>
      <c r="GG967" s="101">
        <f t="shared" si="489"/>
        <v>0.1595</v>
      </c>
      <c r="GH967" s="101">
        <f t="shared" si="490"/>
        <v>1</v>
      </c>
      <c r="GI967" s="101">
        <f t="shared" si="491"/>
        <v>2</v>
      </c>
      <c r="GJ967" s="101">
        <f t="shared" si="492"/>
        <v>0.63819999999999999</v>
      </c>
      <c r="GK967" s="101">
        <f t="shared" si="493"/>
        <v>1</v>
      </c>
      <c r="GL967" s="101">
        <f t="shared" si="494"/>
        <v>5</v>
      </c>
    </row>
    <row r="968" spans="170:194" ht="16.5" x14ac:dyDescent="0.2">
      <c r="FN968" s="101">
        <v>963</v>
      </c>
      <c r="FO968" s="101">
        <f t="shared" si="479"/>
        <v>2</v>
      </c>
      <c r="FP968" s="101">
        <f t="shared" si="495"/>
        <v>13</v>
      </c>
      <c r="FQ968" s="14">
        <f t="shared" si="496"/>
        <v>4</v>
      </c>
      <c r="FR968" s="101" t="str">
        <f t="shared" si="480"/>
        <v>西方龙专属武器-魂珠-1 2级</v>
      </c>
      <c r="FS968" s="101">
        <f t="shared" si="481"/>
        <v>1</v>
      </c>
      <c r="FT968" s="101">
        <f t="shared" si="482"/>
        <v>2</v>
      </c>
      <c r="FU968" s="101" t="str">
        <f t="shared" si="497"/>
        <v>金币</v>
      </c>
      <c r="FV968" s="139">
        <f>IF($FT968&gt;0,IF(INDEX($EI$6:$EI$77,$FO968)&gt;=FV$3,ROUND(INDEX(EK$6:EK$77,$FO968)*INDEX(卡牌消耗!$B$8:$F$8,FQ968)/5,0)*5,""),"")</f>
        <v>215</v>
      </c>
      <c r="FW968" s="101" t="str">
        <f t="shared" si="498"/>
        <v>专属强化石1</v>
      </c>
      <c r="FX968" s="101">
        <f t="shared" si="499"/>
        <v>2</v>
      </c>
      <c r="FY968" s="101" t="str">
        <f t="shared" si="500"/>
        <v/>
      </c>
      <c r="FZ968" s="101" t="str">
        <f t="shared" si="501"/>
        <v/>
      </c>
      <c r="GA968" s="101">
        <f t="shared" si="483"/>
        <v>0.32</v>
      </c>
      <c r="GB968" s="101">
        <f t="shared" si="484"/>
        <v>1</v>
      </c>
      <c r="GC968" s="101">
        <f t="shared" si="485"/>
        <v>5</v>
      </c>
      <c r="GD968" s="101">
        <f t="shared" si="486"/>
        <v>0</v>
      </c>
      <c r="GE968" s="101">
        <f t="shared" si="487"/>
        <v>1</v>
      </c>
      <c r="GF968" s="101">
        <f t="shared" si="488"/>
        <v>1</v>
      </c>
      <c r="GG968" s="101">
        <f t="shared" si="489"/>
        <v>0.1595</v>
      </c>
      <c r="GH968" s="101">
        <f t="shared" si="490"/>
        <v>1</v>
      </c>
      <c r="GI968" s="101">
        <f t="shared" si="491"/>
        <v>2</v>
      </c>
      <c r="GJ968" s="101">
        <f t="shared" si="492"/>
        <v>0.63819999999999999</v>
      </c>
      <c r="GK968" s="101">
        <f t="shared" si="493"/>
        <v>1</v>
      </c>
      <c r="GL968" s="101">
        <f t="shared" si="494"/>
        <v>5</v>
      </c>
    </row>
    <row r="969" spans="170:194" ht="16.5" x14ac:dyDescent="0.2">
      <c r="FN969" s="101">
        <v>964</v>
      </c>
      <c r="FO969" s="101">
        <f t="shared" si="479"/>
        <v>3</v>
      </c>
      <c r="FP969" s="101">
        <f t="shared" si="495"/>
        <v>13</v>
      </c>
      <c r="FQ969" s="14">
        <f t="shared" si="496"/>
        <v>4</v>
      </c>
      <c r="FR969" s="101" t="str">
        <f t="shared" si="480"/>
        <v>西方龙专属武器-魂珠-1 3级</v>
      </c>
      <c r="FS969" s="101">
        <f t="shared" si="481"/>
        <v>1</v>
      </c>
      <c r="FT969" s="101">
        <f t="shared" si="482"/>
        <v>3</v>
      </c>
      <c r="FU969" s="101" t="str">
        <f t="shared" si="497"/>
        <v>金币</v>
      </c>
      <c r="FV969" s="139">
        <f>IF($FT969&gt;0,IF(INDEX($EI$6:$EI$77,$FO969)&gt;=FV$3,ROUND(INDEX(EK$6:EK$77,$FO969)*INDEX(卡牌消耗!$B$8:$F$8,FQ969)/5,0)*5,""),"")</f>
        <v>355</v>
      </c>
      <c r="FW969" s="101" t="str">
        <f t="shared" si="498"/>
        <v>专属强化石1</v>
      </c>
      <c r="FX969" s="101">
        <f t="shared" si="499"/>
        <v>3</v>
      </c>
      <c r="FY969" s="101" t="str">
        <f t="shared" si="500"/>
        <v/>
      </c>
      <c r="FZ969" s="101" t="str">
        <f t="shared" si="501"/>
        <v/>
      </c>
      <c r="GA969" s="101">
        <f t="shared" si="483"/>
        <v>0.32</v>
      </c>
      <c r="GB969" s="101">
        <f t="shared" si="484"/>
        <v>1</v>
      </c>
      <c r="GC969" s="101">
        <f t="shared" si="485"/>
        <v>5</v>
      </c>
      <c r="GD969" s="101">
        <f t="shared" si="486"/>
        <v>0</v>
      </c>
      <c r="GE969" s="101">
        <f t="shared" si="487"/>
        <v>1</v>
      </c>
      <c r="GF969" s="101">
        <f t="shared" si="488"/>
        <v>1</v>
      </c>
      <c r="GG969" s="101">
        <f t="shared" si="489"/>
        <v>0.1595</v>
      </c>
      <c r="GH969" s="101">
        <f t="shared" si="490"/>
        <v>1</v>
      </c>
      <c r="GI969" s="101">
        <f t="shared" si="491"/>
        <v>2</v>
      </c>
      <c r="GJ969" s="101">
        <f t="shared" si="492"/>
        <v>0.63819999999999999</v>
      </c>
      <c r="GK969" s="101">
        <f t="shared" si="493"/>
        <v>1</v>
      </c>
      <c r="GL969" s="101">
        <f t="shared" si="494"/>
        <v>5</v>
      </c>
    </row>
    <row r="970" spans="170:194" ht="16.5" x14ac:dyDescent="0.2">
      <c r="FN970" s="101">
        <v>965</v>
      </c>
      <c r="FO970" s="101">
        <f t="shared" si="479"/>
        <v>4</v>
      </c>
      <c r="FP970" s="101">
        <f t="shared" si="495"/>
        <v>13</v>
      </c>
      <c r="FQ970" s="14">
        <f t="shared" si="496"/>
        <v>4</v>
      </c>
      <c r="FR970" s="101" t="str">
        <f t="shared" si="480"/>
        <v>西方龙专属武器-魂珠-1 4级</v>
      </c>
      <c r="FS970" s="101">
        <f t="shared" si="481"/>
        <v>1</v>
      </c>
      <c r="FT970" s="101">
        <f t="shared" si="482"/>
        <v>4</v>
      </c>
      <c r="FU970" s="101" t="str">
        <f t="shared" si="497"/>
        <v>金币</v>
      </c>
      <c r="FV970" s="139">
        <f>IF($FT970&gt;0,IF(INDEX($EI$6:$EI$77,$FO970)&gt;=FV$3,ROUND(INDEX(EK$6:EK$77,$FO970)*INDEX(卡牌消耗!$B$8:$F$8,FQ970)/5,0)*5,""),"")</f>
        <v>455</v>
      </c>
      <c r="FW970" s="101" t="str">
        <f t="shared" si="498"/>
        <v>专属强化石1</v>
      </c>
      <c r="FX970" s="101">
        <f t="shared" si="499"/>
        <v>4</v>
      </c>
      <c r="FY970" s="101" t="str">
        <f t="shared" si="500"/>
        <v/>
      </c>
      <c r="FZ970" s="101" t="str">
        <f t="shared" si="501"/>
        <v/>
      </c>
      <c r="GA970" s="101">
        <f t="shared" si="483"/>
        <v>0.26</v>
      </c>
      <c r="GB970" s="101">
        <f t="shared" si="484"/>
        <v>1</v>
      </c>
      <c r="GC970" s="101">
        <f t="shared" si="485"/>
        <v>6</v>
      </c>
      <c r="GD970" s="101">
        <f t="shared" si="486"/>
        <v>0</v>
      </c>
      <c r="GE970" s="101">
        <f t="shared" si="487"/>
        <v>1</v>
      </c>
      <c r="GF970" s="101">
        <f t="shared" si="488"/>
        <v>1</v>
      </c>
      <c r="GG970" s="101">
        <f t="shared" si="489"/>
        <v>0.12759999999999999</v>
      </c>
      <c r="GH970" s="101">
        <f t="shared" si="490"/>
        <v>1</v>
      </c>
      <c r="GI970" s="101">
        <f t="shared" si="491"/>
        <v>3</v>
      </c>
      <c r="GJ970" s="101">
        <f t="shared" si="492"/>
        <v>0.51060000000000005</v>
      </c>
      <c r="GK970" s="101">
        <f t="shared" si="493"/>
        <v>1</v>
      </c>
      <c r="GL970" s="101">
        <f t="shared" si="494"/>
        <v>6</v>
      </c>
    </row>
    <row r="971" spans="170:194" ht="16.5" x14ac:dyDescent="0.2">
      <c r="FN971" s="101">
        <v>966</v>
      </c>
      <c r="FO971" s="101">
        <f t="shared" si="479"/>
        <v>5</v>
      </c>
      <c r="FP971" s="101">
        <f t="shared" si="495"/>
        <v>13</v>
      </c>
      <c r="FQ971" s="14">
        <f t="shared" si="496"/>
        <v>4</v>
      </c>
      <c r="FR971" s="101" t="str">
        <f t="shared" si="480"/>
        <v>西方龙专属武器-魂珠-1 5级</v>
      </c>
      <c r="FS971" s="101">
        <f t="shared" si="481"/>
        <v>1</v>
      </c>
      <c r="FT971" s="101">
        <f t="shared" si="482"/>
        <v>5</v>
      </c>
      <c r="FU971" s="101" t="str">
        <f t="shared" si="497"/>
        <v>金币</v>
      </c>
      <c r="FV971" s="139">
        <f>IF($FT971&gt;0,IF(INDEX($EI$6:$EI$77,$FO971)&gt;=FV$3,ROUND(INDEX(EK$6:EK$77,$FO971)*INDEX(卡牌消耗!$B$8:$F$8,FQ971)/5,0)*5,""),"")</f>
        <v>580</v>
      </c>
      <c r="FW971" s="101" t="str">
        <f t="shared" si="498"/>
        <v>专属强化石1</v>
      </c>
      <c r="FX971" s="101">
        <f t="shared" si="499"/>
        <v>5</v>
      </c>
      <c r="FY971" s="101" t="str">
        <f t="shared" si="500"/>
        <v/>
      </c>
      <c r="FZ971" s="101" t="str">
        <f t="shared" si="501"/>
        <v/>
      </c>
      <c r="GA971" s="101">
        <f t="shared" si="483"/>
        <v>0.2</v>
      </c>
      <c r="GB971" s="101">
        <f t="shared" si="484"/>
        <v>1</v>
      </c>
      <c r="GC971" s="101">
        <f t="shared" si="485"/>
        <v>8</v>
      </c>
      <c r="GD971" s="101">
        <f t="shared" si="486"/>
        <v>0</v>
      </c>
      <c r="GE971" s="101">
        <f t="shared" si="487"/>
        <v>1</v>
      </c>
      <c r="GF971" s="101">
        <f t="shared" si="488"/>
        <v>2</v>
      </c>
      <c r="GG971" s="101">
        <f t="shared" si="489"/>
        <v>9.9699999999999997E-2</v>
      </c>
      <c r="GH971" s="101">
        <f t="shared" si="490"/>
        <v>1</v>
      </c>
      <c r="GI971" s="101">
        <f t="shared" si="491"/>
        <v>4</v>
      </c>
      <c r="GJ971" s="101">
        <f t="shared" si="492"/>
        <v>0.39889999999999998</v>
      </c>
      <c r="GK971" s="101">
        <f t="shared" si="493"/>
        <v>1</v>
      </c>
      <c r="GL971" s="101">
        <f t="shared" si="494"/>
        <v>8</v>
      </c>
    </row>
    <row r="972" spans="170:194" ht="16.5" x14ac:dyDescent="0.2">
      <c r="FN972" s="101">
        <v>967</v>
      </c>
      <c r="FO972" s="101">
        <f t="shared" si="479"/>
        <v>6</v>
      </c>
      <c r="FP972" s="101">
        <f t="shared" si="495"/>
        <v>13</v>
      </c>
      <c r="FQ972" s="14">
        <f t="shared" si="496"/>
        <v>4</v>
      </c>
      <c r="FR972" s="101" t="str">
        <f t="shared" si="480"/>
        <v>西方龙专属武器-魂珠-1 6级</v>
      </c>
      <c r="FS972" s="101">
        <f t="shared" si="481"/>
        <v>1</v>
      </c>
      <c r="FT972" s="101">
        <f t="shared" si="482"/>
        <v>6</v>
      </c>
      <c r="FU972" s="101" t="str">
        <f t="shared" si="497"/>
        <v>金币</v>
      </c>
      <c r="FV972" s="139">
        <f>IF($FT972&gt;0,IF(INDEX($EI$6:$EI$77,$FO972)&gt;=FV$3,ROUND(INDEX(EK$6:EK$77,$FO972)*INDEX(卡牌消耗!$B$8:$F$8,FQ972)/5,0)*5,""),"")</f>
        <v>690</v>
      </c>
      <c r="FW972" s="101" t="str">
        <f t="shared" si="498"/>
        <v>专属强化石1</v>
      </c>
      <c r="FX972" s="101">
        <f t="shared" si="499"/>
        <v>6</v>
      </c>
      <c r="FY972" s="101" t="str">
        <f t="shared" si="500"/>
        <v/>
      </c>
      <c r="FZ972" s="101" t="str">
        <f t="shared" si="501"/>
        <v/>
      </c>
      <c r="GA972" s="101">
        <f t="shared" si="483"/>
        <v>0.15</v>
      </c>
      <c r="GB972" s="101">
        <f t="shared" si="484"/>
        <v>1</v>
      </c>
      <c r="GC972" s="101">
        <f t="shared" si="485"/>
        <v>10</v>
      </c>
      <c r="GD972" s="101">
        <f t="shared" si="486"/>
        <v>0</v>
      </c>
      <c r="GE972" s="101">
        <f t="shared" si="487"/>
        <v>1</v>
      </c>
      <c r="GF972" s="101">
        <f t="shared" si="488"/>
        <v>2</v>
      </c>
      <c r="GG972" s="101">
        <f t="shared" si="489"/>
        <v>7.3599999999999999E-2</v>
      </c>
      <c r="GH972" s="101">
        <f t="shared" si="490"/>
        <v>1</v>
      </c>
      <c r="GI972" s="101">
        <f t="shared" si="491"/>
        <v>5</v>
      </c>
      <c r="GJ972" s="101">
        <f t="shared" si="492"/>
        <v>0.29459999999999997</v>
      </c>
      <c r="GK972" s="101">
        <f t="shared" si="493"/>
        <v>1</v>
      </c>
      <c r="GL972" s="101">
        <f t="shared" si="494"/>
        <v>10</v>
      </c>
    </row>
    <row r="973" spans="170:194" ht="16.5" x14ac:dyDescent="0.2">
      <c r="FN973" s="101">
        <v>968</v>
      </c>
      <c r="FO973" s="101">
        <f t="shared" si="479"/>
        <v>7</v>
      </c>
      <c r="FP973" s="101">
        <f t="shared" si="495"/>
        <v>13</v>
      </c>
      <c r="FQ973" s="14">
        <f t="shared" si="496"/>
        <v>4</v>
      </c>
      <c r="FR973" s="101" t="str">
        <f t="shared" si="480"/>
        <v>西方龙专属武器-魂珠-1 7级</v>
      </c>
      <c r="FS973" s="101">
        <f t="shared" si="481"/>
        <v>1</v>
      </c>
      <c r="FT973" s="101">
        <f t="shared" si="482"/>
        <v>7</v>
      </c>
      <c r="FU973" s="101" t="str">
        <f t="shared" si="497"/>
        <v>金币</v>
      </c>
      <c r="FV973" s="139">
        <f>IF($FT973&gt;0,IF(INDEX($EI$6:$EI$77,$FO973)&gt;=FV$3,ROUND(INDEX(EK$6:EK$77,$FO973)*INDEX(卡牌消耗!$B$8:$F$8,FQ973)/5,0)*5,""),"")</f>
        <v>805</v>
      </c>
      <c r="FW973" s="101" t="str">
        <f t="shared" si="498"/>
        <v>专属强化石1</v>
      </c>
      <c r="FX973" s="101">
        <f t="shared" si="499"/>
        <v>7</v>
      </c>
      <c r="FY973" s="101" t="str">
        <f t="shared" si="500"/>
        <v/>
      </c>
      <c r="FZ973" s="101" t="str">
        <f t="shared" si="501"/>
        <v/>
      </c>
      <c r="GA973" s="101">
        <f t="shared" si="483"/>
        <v>0.11</v>
      </c>
      <c r="GB973" s="101">
        <f t="shared" si="484"/>
        <v>1</v>
      </c>
      <c r="GC973" s="101">
        <f t="shared" si="485"/>
        <v>14</v>
      </c>
      <c r="GD973" s="101">
        <f t="shared" si="486"/>
        <v>0</v>
      </c>
      <c r="GE973" s="101">
        <f t="shared" si="487"/>
        <v>1</v>
      </c>
      <c r="GF973" s="101">
        <f t="shared" si="488"/>
        <v>3</v>
      </c>
      <c r="GG973" s="101">
        <f t="shared" si="489"/>
        <v>5.3199999999999997E-2</v>
      </c>
      <c r="GH973" s="101">
        <f t="shared" si="490"/>
        <v>1</v>
      </c>
      <c r="GI973" s="101">
        <f t="shared" si="491"/>
        <v>7</v>
      </c>
      <c r="GJ973" s="101">
        <f t="shared" si="492"/>
        <v>0.2127</v>
      </c>
      <c r="GK973" s="101">
        <f t="shared" si="493"/>
        <v>1</v>
      </c>
      <c r="GL973" s="101">
        <f t="shared" si="494"/>
        <v>14</v>
      </c>
    </row>
    <row r="974" spans="170:194" ht="16.5" x14ac:dyDescent="0.2">
      <c r="FN974" s="101">
        <v>969</v>
      </c>
      <c r="FO974" s="101">
        <f t="shared" si="479"/>
        <v>8</v>
      </c>
      <c r="FP974" s="101">
        <f t="shared" si="495"/>
        <v>13</v>
      </c>
      <c r="FQ974" s="14">
        <f t="shared" si="496"/>
        <v>4</v>
      </c>
      <c r="FR974" s="101" t="str">
        <f t="shared" si="480"/>
        <v>西方龙专属武器-魂珠-1 8级</v>
      </c>
      <c r="FS974" s="101">
        <f t="shared" si="481"/>
        <v>1</v>
      </c>
      <c r="FT974" s="101">
        <f t="shared" si="482"/>
        <v>8</v>
      </c>
      <c r="FU974" s="101" t="str">
        <f t="shared" si="497"/>
        <v>金币</v>
      </c>
      <c r="FV974" s="139">
        <f>IF($FT974&gt;0,IF(INDEX($EI$6:$EI$77,$FO974)&gt;=FV$3,ROUND(INDEX(EK$6:EK$77,$FO974)*INDEX(卡牌消耗!$B$8:$F$8,FQ974)/5,0)*5,""),"")</f>
        <v>920</v>
      </c>
      <c r="FW974" s="101" t="str">
        <f t="shared" si="498"/>
        <v>专属强化石1</v>
      </c>
      <c r="FX974" s="101">
        <f t="shared" si="499"/>
        <v>8</v>
      </c>
      <c r="FY974" s="101" t="str">
        <f t="shared" si="500"/>
        <v/>
      </c>
      <c r="FZ974" s="101" t="str">
        <f t="shared" si="501"/>
        <v/>
      </c>
      <c r="GA974" s="101">
        <f t="shared" si="483"/>
        <v>0.08</v>
      </c>
      <c r="GB974" s="101">
        <f t="shared" si="484"/>
        <v>1</v>
      </c>
      <c r="GC974" s="101">
        <f t="shared" si="485"/>
        <v>20</v>
      </c>
      <c r="GD974" s="101">
        <f t="shared" si="486"/>
        <v>0</v>
      </c>
      <c r="GE974" s="101">
        <f t="shared" si="487"/>
        <v>1</v>
      </c>
      <c r="GF974" s="101">
        <f t="shared" si="488"/>
        <v>5</v>
      </c>
      <c r="GG974" s="101">
        <f t="shared" si="489"/>
        <v>3.7499999999999999E-2</v>
      </c>
      <c r="GH974" s="101">
        <f t="shared" si="490"/>
        <v>1</v>
      </c>
      <c r="GI974" s="101">
        <f t="shared" si="491"/>
        <v>9</v>
      </c>
      <c r="GJ974" s="101">
        <f t="shared" si="492"/>
        <v>0.1502</v>
      </c>
      <c r="GK974" s="101">
        <f t="shared" si="493"/>
        <v>1</v>
      </c>
      <c r="GL974" s="101">
        <f t="shared" si="494"/>
        <v>20</v>
      </c>
    </row>
    <row r="975" spans="170:194" ht="16.5" x14ac:dyDescent="0.2">
      <c r="FN975" s="101">
        <v>970</v>
      </c>
      <c r="FO975" s="101">
        <f t="shared" si="479"/>
        <v>9</v>
      </c>
      <c r="FP975" s="101">
        <f t="shared" si="495"/>
        <v>13</v>
      </c>
      <c r="FQ975" s="14">
        <f t="shared" si="496"/>
        <v>4</v>
      </c>
      <c r="FR975" s="101" t="str">
        <f t="shared" si="480"/>
        <v>西方龙专属武器-魂珠-1 9级</v>
      </c>
      <c r="FS975" s="101">
        <f t="shared" si="481"/>
        <v>1</v>
      </c>
      <c r="FT975" s="101">
        <f t="shared" si="482"/>
        <v>9</v>
      </c>
      <c r="FU975" s="101" t="str">
        <f t="shared" si="497"/>
        <v>金币</v>
      </c>
      <c r="FV975" s="139">
        <f>IF($FT975&gt;0,IF(INDEX($EI$6:$EI$77,$FO975)&gt;=FV$3,ROUND(INDEX(EK$6:EK$77,$FO975)*INDEX(卡牌消耗!$B$8:$F$8,FQ975)/5,0)*5,""),"")</f>
        <v>1150</v>
      </c>
      <c r="FW975" s="101" t="str">
        <f t="shared" si="498"/>
        <v>专属强化石1</v>
      </c>
      <c r="FX975" s="101">
        <f t="shared" si="499"/>
        <v>10</v>
      </c>
      <c r="FY975" s="101" t="str">
        <f t="shared" si="500"/>
        <v/>
      </c>
      <c r="FZ975" s="101" t="str">
        <f t="shared" si="501"/>
        <v/>
      </c>
      <c r="GA975" s="101">
        <f t="shared" si="483"/>
        <v>0.06</v>
      </c>
      <c r="GB975" s="101">
        <f t="shared" si="484"/>
        <v>1</v>
      </c>
      <c r="GC975" s="101">
        <f t="shared" si="485"/>
        <v>26</v>
      </c>
      <c r="GD975" s="101">
        <f t="shared" si="486"/>
        <v>0</v>
      </c>
      <c r="GE975" s="101">
        <f t="shared" si="487"/>
        <v>1</v>
      </c>
      <c r="GF975" s="101">
        <f t="shared" si="488"/>
        <v>6</v>
      </c>
      <c r="GG975" s="101">
        <f t="shared" si="489"/>
        <v>2.9000000000000001E-2</v>
      </c>
      <c r="GH975" s="101">
        <f t="shared" si="490"/>
        <v>1</v>
      </c>
      <c r="GI975" s="101">
        <f t="shared" si="491"/>
        <v>12</v>
      </c>
      <c r="GJ975" s="101">
        <f t="shared" si="492"/>
        <v>0.11600000000000001</v>
      </c>
      <c r="GK975" s="101">
        <f t="shared" si="493"/>
        <v>1</v>
      </c>
      <c r="GL975" s="101">
        <f t="shared" si="494"/>
        <v>26</v>
      </c>
    </row>
    <row r="976" spans="170:194" ht="16.5" x14ac:dyDescent="0.2">
      <c r="FN976" s="101">
        <v>971</v>
      </c>
      <c r="FO976" s="101">
        <f t="shared" si="479"/>
        <v>0</v>
      </c>
      <c r="FP976" s="101">
        <f t="shared" si="495"/>
        <v>13</v>
      </c>
      <c r="FQ976" s="14">
        <f t="shared" si="496"/>
        <v>4</v>
      </c>
      <c r="FR976" s="101" t="str">
        <f t="shared" si="480"/>
        <v>西方龙专属武器-魂珠-2 0级</v>
      </c>
      <c r="FS976" s="101">
        <f t="shared" si="481"/>
        <v>2</v>
      </c>
      <c r="FT976" s="101">
        <f t="shared" si="482"/>
        <v>0</v>
      </c>
      <c r="FU976" s="101" t="str">
        <f t="shared" si="497"/>
        <v/>
      </c>
      <c r="FV976" s="139" t="str">
        <f>IF($FT976&gt;0,IF(INDEX($EI$6:$EI$77,$FO976)&gt;=FV$3,ROUND(INDEX(EK$6:EK$77,$FO976)*INDEX(卡牌消耗!$B$8:$F$8,FQ976)/5,0)*5,""),"")</f>
        <v/>
      </c>
      <c r="FW976" s="101" t="str">
        <f t="shared" si="498"/>
        <v/>
      </c>
      <c r="FX976" s="101" t="str">
        <f t="shared" si="499"/>
        <v/>
      </c>
      <c r="FY976" s="101" t="str">
        <f t="shared" si="500"/>
        <v/>
      </c>
      <c r="FZ976" s="101" t="str">
        <f t="shared" si="501"/>
        <v/>
      </c>
      <c r="GA976" s="101" t="str">
        <f t="shared" si="483"/>
        <v/>
      </c>
      <c r="GB976" s="101" t="str">
        <f t="shared" si="484"/>
        <v/>
      </c>
      <c r="GC976" s="101" t="str">
        <f t="shared" si="485"/>
        <v/>
      </c>
      <c r="GD976" s="101" t="str">
        <f t="shared" si="486"/>
        <v/>
      </c>
      <c r="GE976" s="101" t="str">
        <f t="shared" si="487"/>
        <v/>
      </c>
      <c r="GF976" s="101" t="str">
        <f t="shared" si="488"/>
        <v/>
      </c>
      <c r="GG976" s="101" t="str">
        <f t="shared" si="489"/>
        <v/>
      </c>
      <c r="GH976" s="101" t="str">
        <f t="shared" si="490"/>
        <v/>
      </c>
      <c r="GI976" s="101" t="str">
        <f t="shared" si="491"/>
        <v/>
      </c>
      <c r="GJ976" s="101" t="str">
        <f t="shared" si="492"/>
        <v/>
      </c>
      <c r="GK976" s="101" t="str">
        <f t="shared" si="493"/>
        <v/>
      </c>
      <c r="GL976" s="101" t="str">
        <f t="shared" si="494"/>
        <v/>
      </c>
    </row>
    <row r="977" spans="170:194" ht="16.5" x14ac:dyDescent="0.2">
      <c r="FN977" s="101">
        <v>972</v>
      </c>
      <c r="FO977" s="101">
        <f t="shared" si="479"/>
        <v>10</v>
      </c>
      <c r="FP977" s="101">
        <f t="shared" si="495"/>
        <v>13</v>
      </c>
      <c r="FQ977" s="14">
        <f t="shared" si="496"/>
        <v>4</v>
      </c>
      <c r="FR977" s="101" t="str">
        <f t="shared" si="480"/>
        <v>西方龙专属武器-魂珠-2 1级</v>
      </c>
      <c r="FS977" s="101">
        <f t="shared" si="481"/>
        <v>2</v>
      </c>
      <c r="FT977" s="101">
        <f t="shared" si="482"/>
        <v>1</v>
      </c>
      <c r="FU977" s="101" t="str">
        <f t="shared" si="497"/>
        <v>金币</v>
      </c>
      <c r="FV977" s="139">
        <f>IF($FT977&gt;0,IF(INDEX($EI$6:$EI$77,$FO977)&gt;=FV$3,ROUND(INDEX(EK$6:EK$77,$FO977)*INDEX(卡牌消耗!$B$8:$F$8,FQ977)/5,0)*5,""),"")</f>
        <v>395</v>
      </c>
      <c r="FW977" s="101" t="str">
        <f t="shared" si="498"/>
        <v>专属强化石1</v>
      </c>
      <c r="FX977" s="101">
        <f t="shared" si="499"/>
        <v>3</v>
      </c>
      <c r="FY977" s="101" t="str">
        <f t="shared" si="500"/>
        <v>专属强化石2</v>
      </c>
      <c r="FZ977" s="101">
        <f t="shared" si="501"/>
        <v>1</v>
      </c>
      <c r="GA977" s="101">
        <f t="shared" si="483"/>
        <v>0.39</v>
      </c>
      <c r="GB977" s="101">
        <f t="shared" si="484"/>
        <v>1</v>
      </c>
      <c r="GC977" s="101">
        <f t="shared" si="485"/>
        <v>4</v>
      </c>
      <c r="GD977" s="101">
        <f t="shared" si="486"/>
        <v>0</v>
      </c>
      <c r="GE977" s="101">
        <f t="shared" si="487"/>
        <v>1</v>
      </c>
      <c r="GF977" s="101">
        <f t="shared" si="488"/>
        <v>1</v>
      </c>
      <c r="GG977" s="101">
        <f t="shared" si="489"/>
        <v>0.19270000000000001</v>
      </c>
      <c r="GH977" s="101">
        <f t="shared" si="490"/>
        <v>1</v>
      </c>
      <c r="GI977" s="101">
        <f t="shared" si="491"/>
        <v>2</v>
      </c>
      <c r="GJ977" s="101">
        <f t="shared" si="492"/>
        <v>0.77070000000000005</v>
      </c>
      <c r="GK977" s="101">
        <f t="shared" si="493"/>
        <v>1</v>
      </c>
      <c r="GL977" s="101">
        <f t="shared" si="494"/>
        <v>4</v>
      </c>
    </row>
    <row r="978" spans="170:194" ht="16.5" x14ac:dyDescent="0.2">
      <c r="FN978" s="101">
        <v>973</v>
      </c>
      <c r="FO978" s="101">
        <f t="shared" si="479"/>
        <v>11</v>
      </c>
      <c r="FP978" s="101">
        <f t="shared" si="495"/>
        <v>13</v>
      </c>
      <c r="FQ978" s="14">
        <f t="shared" si="496"/>
        <v>4</v>
      </c>
      <c r="FR978" s="101" t="str">
        <f t="shared" si="480"/>
        <v>西方龙专属武器-魂珠-2 2级</v>
      </c>
      <c r="FS978" s="101">
        <f t="shared" si="481"/>
        <v>2</v>
      </c>
      <c r="FT978" s="101">
        <f t="shared" si="482"/>
        <v>2</v>
      </c>
      <c r="FU978" s="101" t="str">
        <f t="shared" si="497"/>
        <v>金币</v>
      </c>
      <c r="FV978" s="139">
        <f>IF($FT978&gt;0,IF(INDEX($EI$6:$EI$77,$FO978)&gt;=FV$3,ROUND(INDEX(EK$6:EK$77,$FO978)*INDEX(卡牌消耗!$B$8:$F$8,FQ978)/5,0)*5,""),"")</f>
        <v>295</v>
      </c>
      <c r="FW978" s="101" t="str">
        <f t="shared" si="498"/>
        <v>专属强化石1</v>
      </c>
      <c r="FX978" s="101">
        <f t="shared" si="499"/>
        <v>3</v>
      </c>
      <c r="FY978" s="101" t="str">
        <f t="shared" si="500"/>
        <v>专属强化石2</v>
      </c>
      <c r="FZ978" s="101">
        <f t="shared" si="501"/>
        <v>1</v>
      </c>
      <c r="GA978" s="101">
        <f t="shared" si="483"/>
        <v>0.19</v>
      </c>
      <c r="GB978" s="101">
        <f t="shared" si="484"/>
        <v>1</v>
      </c>
      <c r="GC978" s="101">
        <f t="shared" si="485"/>
        <v>8</v>
      </c>
      <c r="GD978" s="101">
        <f t="shared" si="486"/>
        <v>0</v>
      </c>
      <c r="GE978" s="101">
        <f t="shared" si="487"/>
        <v>1</v>
      </c>
      <c r="GF978" s="101">
        <f t="shared" si="488"/>
        <v>2</v>
      </c>
      <c r="GG978" s="101">
        <f t="shared" si="489"/>
        <v>9.6299999999999997E-2</v>
      </c>
      <c r="GH978" s="101">
        <f t="shared" si="490"/>
        <v>1</v>
      </c>
      <c r="GI978" s="101">
        <f t="shared" si="491"/>
        <v>4</v>
      </c>
      <c r="GJ978" s="101">
        <f t="shared" si="492"/>
        <v>0.38529999999999998</v>
      </c>
      <c r="GK978" s="101">
        <f t="shared" si="493"/>
        <v>1</v>
      </c>
      <c r="GL978" s="101">
        <f t="shared" si="494"/>
        <v>8</v>
      </c>
    </row>
    <row r="979" spans="170:194" ht="16.5" x14ac:dyDescent="0.2">
      <c r="FN979" s="101">
        <v>974</v>
      </c>
      <c r="FO979" s="101">
        <f t="shared" si="479"/>
        <v>12</v>
      </c>
      <c r="FP979" s="101">
        <f t="shared" si="495"/>
        <v>13</v>
      </c>
      <c r="FQ979" s="14">
        <f t="shared" si="496"/>
        <v>4</v>
      </c>
      <c r="FR979" s="101" t="str">
        <f t="shared" si="480"/>
        <v>西方龙专属武器-魂珠-2 3级</v>
      </c>
      <c r="FS979" s="101">
        <f t="shared" si="481"/>
        <v>2</v>
      </c>
      <c r="FT979" s="101">
        <f t="shared" si="482"/>
        <v>3</v>
      </c>
      <c r="FU979" s="101" t="str">
        <f t="shared" si="497"/>
        <v>金币</v>
      </c>
      <c r="FV979" s="139">
        <f>IF($FT979&gt;0,IF(INDEX($EI$6:$EI$77,$FO979)&gt;=FV$3,ROUND(INDEX(EK$6:EK$77,$FO979)*INDEX(卡牌消耗!$B$8:$F$8,FQ979)/5,0)*5,""),"")</f>
        <v>655</v>
      </c>
      <c r="FW979" s="101" t="str">
        <f t="shared" si="498"/>
        <v>专属强化石1</v>
      </c>
      <c r="FX979" s="101">
        <f t="shared" si="499"/>
        <v>6</v>
      </c>
      <c r="FY979" s="101" t="str">
        <f t="shared" si="500"/>
        <v>专属强化石2</v>
      </c>
      <c r="FZ979" s="101">
        <f t="shared" si="501"/>
        <v>2</v>
      </c>
      <c r="GA979" s="101">
        <f t="shared" si="483"/>
        <v>0.26</v>
      </c>
      <c r="GB979" s="101">
        <f t="shared" si="484"/>
        <v>1</v>
      </c>
      <c r="GC979" s="101">
        <f t="shared" si="485"/>
        <v>6</v>
      </c>
      <c r="GD979" s="101">
        <f t="shared" si="486"/>
        <v>0</v>
      </c>
      <c r="GE979" s="101">
        <f t="shared" si="487"/>
        <v>1</v>
      </c>
      <c r="GF979" s="101">
        <f t="shared" si="488"/>
        <v>1</v>
      </c>
      <c r="GG979" s="101">
        <f t="shared" si="489"/>
        <v>0.12839999999999999</v>
      </c>
      <c r="GH979" s="101">
        <f t="shared" si="490"/>
        <v>1</v>
      </c>
      <c r="GI979" s="101">
        <f t="shared" si="491"/>
        <v>3</v>
      </c>
      <c r="GJ979" s="101">
        <f t="shared" si="492"/>
        <v>0.51380000000000003</v>
      </c>
      <c r="GK979" s="101">
        <f t="shared" si="493"/>
        <v>1</v>
      </c>
      <c r="GL979" s="101">
        <f t="shared" si="494"/>
        <v>6</v>
      </c>
    </row>
    <row r="980" spans="170:194" ht="16.5" x14ac:dyDescent="0.2">
      <c r="FN980" s="101">
        <v>975</v>
      </c>
      <c r="FO980" s="101">
        <f t="shared" si="479"/>
        <v>13</v>
      </c>
      <c r="FP980" s="101">
        <f t="shared" si="495"/>
        <v>13</v>
      </c>
      <c r="FQ980" s="14">
        <f t="shared" si="496"/>
        <v>4</v>
      </c>
      <c r="FR980" s="101" t="str">
        <f t="shared" si="480"/>
        <v>西方龙专属武器-魂珠-2 4级</v>
      </c>
      <c r="FS980" s="101">
        <f t="shared" si="481"/>
        <v>2</v>
      </c>
      <c r="FT980" s="101">
        <f t="shared" si="482"/>
        <v>4</v>
      </c>
      <c r="FU980" s="101" t="str">
        <f t="shared" si="497"/>
        <v>金币</v>
      </c>
      <c r="FV980" s="139">
        <f>IF($FT980&gt;0,IF(INDEX($EI$6:$EI$77,$FO980)&gt;=FV$3,ROUND(INDEX(EK$6:EK$77,$FO980)*INDEX(卡牌消耗!$B$8:$F$8,FQ980)/5,0)*5,""),"")</f>
        <v>625</v>
      </c>
      <c r="FW980" s="101" t="str">
        <f t="shared" si="498"/>
        <v>专属强化石1</v>
      </c>
      <c r="FX980" s="101">
        <f t="shared" si="499"/>
        <v>6</v>
      </c>
      <c r="FY980" s="101" t="str">
        <f t="shared" si="500"/>
        <v>专属强化石2</v>
      </c>
      <c r="FZ980" s="101">
        <f t="shared" si="501"/>
        <v>2</v>
      </c>
      <c r="GA980" s="101">
        <f t="shared" si="483"/>
        <v>0.15</v>
      </c>
      <c r="GB980" s="101">
        <f t="shared" si="484"/>
        <v>1</v>
      </c>
      <c r="GC980" s="101">
        <f t="shared" si="485"/>
        <v>10</v>
      </c>
      <c r="GD980" s="101">
        <f t="shared" si="486"/>
        <v>0</v>
      </c>
      <c r="GE980" s="101">
        <f t="shared" si="487"/>
        <v>1</v>
      </c>
      <c r="GF980" s="101">
        <f t="shared" si="488"/>
        <v>2</v>
      </c>
      <c r="GG980" s="101">
        <f t="shared" si="489"/>
        <v>7.7100000000000002E-2</v>
      </c>
      <c r="GH980" s="101">
        <f t="shared" si="490"/>
        <v>1</v>
      </c>
      <c r="GI980" s="101">
        <f t="shared" si="491"/>
        <v>5</v>
      </c>
      <c r="GJ980" s="101">
        <f t="shared" si="492"/>
        <v>0.30830000000000002</v>
      </c>
      <c r="GK980" s="101">
        <f t="shared" si="493"/>
        <v>1</v>
      </c>
      <c r="GL980" s="101">
        <f t="shared" si="494"/>
        <v>10</v>
      </c>
    </row>
    <row r="981" spans="170:194" ht="16.5" x14ac:dyDescent="0.2">
      <c r="FN981" s="101">
        <v>976</v>
      </c>
      <c r="FO981" s="101">
        <f t="shared" si="479"/>
        <v>14</v>
      </c>
      <c r="FP981" s="101">
        <f t="shared" si="495"/>
        <v>13</v>
      </c>
      <c r="FQ981" s="14">
        <f t="shared" si="496"/>
        <v>4</v>
      </c>
      <c r="FR981" s="101" t="str">
        <f t="shared" si="480"/>
        <v>西方龙专属武器-魂珠-2 5级</v>
      </c>
      <c r="FS981" s="101">
        <f t="shared" si="481"/>
        <v>2</v>
      </c>
      <c r="FT981" s="101">
        <f t="shared" si="482"/>
        <v>5</v>
      </c>
      <c r="FU981" s="101" t="str">
        <f t="shared" si="497"/>
        <v>金币</v>
      </c>
      <c r="FV981" s="139">
        <f>IF($FT981&gt;0,IF(INDEX($EI$6:$EI$77,$FO981)&gt;=FV$3,ROUND(INDEX(EK$6:EK$77,$FO981)*INDEX(卡牌消耗!$B$8:$F$8,FQ981)/5,0)*5,""),"")</f>
        <v>955</v>
      </c>
      <c r="FW981" s="101" t="str">
        <f t="shared" si="498"/>
        <v>专属强化石1</v>
      </c>
      <c r="FX981" s="101">
        <f t="shared" si="499"/>
        <v>9</v>
      </c>
      <c r="FY981" s="101" t="str">
        <f t="shared" si="500"/>
        <v>专属强化石2</v>
      </c>
      <c r="FZ981" s="101">
        <f t="shared" si="501"/>
        <v>3</v>
      </c>
      <c r="GA981" s="101">
        <f t="shared" si="483"/>
        <v>0.14000000000000001</v>
      </c>
      <c r="GB981" s="101">
        <f t="shared" si="484"/>
        <v>1</v>
      </c>
      <c r="GC981" s="101">
        <f t="shared" si="485"/>
        <v>10</v>
      </c>
      <c r="GD981" s="101">
        <f t="shared" si="486"/>
        <v>0</v>
      </c>
      <c r="GE981" s="101">
        <f t="shared" si="487"/>
        <v>1</v>
      </c>
      <c r="GF981" s="101">
        <f t="shared" si="488"/>
        <v>2</v>
      </c>
      <c r="GG981" s="101">
        <f t="shared" si="489"/>
        <v>7.22E-2</v>
      </c>
      <c r="GH981" s="101">
        <f t="shared" si="490"/>
        <v>1</v>
      </c>
      <c r="GI981" s="101">
        <f t="shared" si="491"/>
        <v>5</v>
      </c>
      <c r="GJ981" s="101">
        <f t="shared" si="492"/>
        <v>0.28899999999999998</v>
      </c>
      <c r="GK981" s="101">
        <f t="shared" si="493"/>
        <v>1</v>
      </c>
      <c r="GL981" s="101">
        <f t="shared" si="494"/>
        <v>10</v>
      </c>
    </row>
    <row r="982" spans="170:194" ht="16.5" x14ac:dyDescent="0.2">
      <c r="FN982" s="101">
        <v>977</v>
      </c>
      <c r="FO982" s="101">
        <f t="shared" ref="FO982:FO1045" si="502">IF(FT982&gt;0,(FS982-1)*9+FT982,0)</f>
        <v>15</v>
      </c>
      <c r="FP982" s="101">
        <f t="shared" si="495"/>
        <v>13</v>
      </c>
      <c r="FQ982" s="14">
        <f t="shared" si="496"/>
        <v>4</v>
      </c>
      <c r="FR982" s="101" t="str">
        <f t="shared" ref="FR982:FR1045" si="503">INDEX($FI$6:$FI$26,FP982)&amp;"专属武器-魂珠-"&amp;FS982&amp;" "&amp;FT982&amp;"级"</f>
        <v>西方龙专属武器-魂珠-2 6级</v>
      </c>
      <c r="FS982" s="101">
        <f t="shared" ref="FS982:FS1045" si="504">INT((FN982-(FP982-1)*80-1)/10)+1</f>
        <v>2</v>
      </c>
      <c r="FT982" s="101">
        <f t="shared" ref="FT982:FT1045" si="505">FN982-(FP982-1)*80-(FS982-1)*10-1</f>
        <v>6</v>
      </c>
      <c r="FU982" s="101" t="str">
        <f t="shared" si="497"/>
        <v>金币</v>
      </c>
      <c r="FV982" s="139">
        <f>IF($FT982&gt;0,IF(INDEX($EI$6:$EI$77,$FO982)&gt;=FV$3,ROUND(INDEX(EK$6:EK$77,$FO982)*INDEX(卡牌消耗!$B$8:$F$8,FQ982)/5,0)*5,""),"")</f>
        <v>1270</v>
      </c>
      <c r="FW982" s="101" t="str">
        <f t="shared" si="498"/>
        <v>专属强化石1</v>
      </c>
      <c r="FX982" s="101">
        <f t="shared" si="499"/>
        <v>12</v>
      </c>
      <c r="FY982" s="101" t="str">
        <f t="shared" si="500"/>
        <v>专属强化石2</v>
      </c>
      <c r="FZ982" s="101">
        <f t="shared" si="501"/>
        <v>4</v>
      </c>
      <c r="GA982" s="101">
        <f t="shared" ref="GA982:GA1045" si="506">IF($FT982&gt;0,INDEX(EP$6:EP$77,$FO982),"")</f>
        <v>0.12</v>
      </c>
      <c r="GB982" s="101">
        <f t="shared" ref="GB982:GB1045" si="507">IF($FT982&gt;0,INDEX(EQ$6:EQ$77,$FO982),"")</f>
        <v>1</v>
      </c>
      <c r="GC982" s="101">
        <f t="shared" ref="GC982:GC1045" si="508">IF($FT982&gt;0,INDEX(ER$6:ER$77,$FO982),"")</f>
        <v>13</v>
      </c>
      <c r="GD982" s="101">
        <f t="shared" ref="GD982:GD1045" si="509">IF($FT982&gt;0,INDEX(EV$6:EV$77,$FO982),"")</f>
        <v>0</v>
      </c>
      <c r="GE982" s="101">
        <f t="shared" ref="GE982:GE1045" si="510">IF($FT982&gt;0,INDEX(EW$6:EW$77,$FO982),"")</f>
        <v>1</v>
      </c>
      <c r="GF982" s="101">
        <f t="shared" ref="GF982:GF1045" si="511">IF($FT982&gt;0,INDEX(EX$6:EX$77,$FO982),"")</f>
        <v>3</v>
      </c>
      <c r="GG982" s="101">
        <f t="shared" ref="GG982:GG1045" si="512">IF($FT982&gt;0,INDEX(EY$6:EY$77,$FO982),"")</f>
        <v>5.9299999999999999E-2</v>
      </c>
      <c r="GH982" s="101">
        <f t="shared" ref="GH982:GH1045" si="513">IF($FT982&gt;0,INDEX(EZ$6:EZ$77,$FO982),"")</f>
        <v>1</v>
      </c>
      <c r="GI982" s="101">
        <f t="shared" ref="GI982:GI1045" si="514">IF($FT982&gt;0,INDEX(FA$6:FA$77,$FO982),"")</f>
        <v>6</v>
      </c>
      <c r="GJ982" s="101">
        <f t="shared" ref="GJ982:GJ1045" si="515">IF($FT982&gt;0,INDEX(FB$6:FB$77,$FO982),"")</f>
        <v>0.23710000000000001</v>
      </c>
      <c r="GK982" s="101">
        <f t="shared" ref="GK982:GK1045" si="516">IF($FT982&gt;0,INDEX(FC$6:FC$77,$FO982),"")</f>
        <v>1</v>
      </c>
      <c r="GL982" s="101">
        <f t="shared" ref="GL982:GL1045" si="517">IF($FT982&gt;0,INDEX(FD$6:FD$77,$FO982),"")</f>
        <v>13</v>
      </c>
    </row>
    <row r="983" spans="170:194" ht="16.5" x14ac:dyDescent="0.2">
      <c r="FN983" s="101">
        <v>978</v>
      </c>
      <c r="FO983" s="101">
        <f t="shared" si="502"/>
        <v>16</v>
      </c>
      <c r="FP983" s="101">
        <f t="shared" si="495"/>
        <v>13</v>
      </c>
      <c r="FQ983" s="14">
        <f t="shared" si="496"/>
        <v>4</v>
      </c>
      <c r="FR983" s="101" t="str">
        <f t="shared" si="503"/>
        <v>西方龙专属武器-魂珠-2 7级</v>
      </c>
      <c r="FS983" s="101">
        <f t="shared" si="504"/>
        <v>2</v>
      </c>
      <c r="FT983" s="101">
        <f t="shared" si="505"/>
        <v>7</v>
      </c>
      <c r="FU983" s="101" t="str">
        <f t="shared" si="497"/>
        <v>金币</v>
      </c>
      <c r="FV983" s="139">
        <f>IF($FT983&gt;0,IF(INDEX($EI$6:$EI$77,$FO983)&gt;=FV$3,ROUND(INDEX(EK$6:EK$77,$FO983)*INDEX(卡牌消耗!$B$8:$F$8,FQ983)/5,0)*5,""),"")</f>
        <v>1590</v>
      </c>
      <c r="FW983" s="101" t="str">
        <f t="shared" si="498"/>
        <v>专属强化石1</v>
      </c>
      <c r="FX983" s="101">
        <f t="shared" si="499"/>
        <v>15</v>
      </c>
      <c r="FY983" s="101" t="str">
        <f t="shared" si="500"/>
        <v>专属强化石2</v>
      </c>
      <c r="FZ983" s="101">
        <f t="shared" si="501"/>
        <v>5</v>
      </c>
      <c r="GA983" s="101">
        <f t="shared" si="506"/>
        <v>0.09</v>
      </c>
      <c r="GB983" s="101">
        <f t="shared" si="507"/>
        <v>1</v>
      </c>
      <c r="GC983" s="101">
        <f t="shared" si="508"/>
        <v>16</v>
      </c>
      <c r="GD983" s="101">
        <f t="shared" si="509"/>
        <v>0</v>
      </c>
      <c r="GE983" s="101">
        <f t="shared" si="510"/>
        <v>1</v>
      </c>
      <c r="GF983" s="101">
        <f t="shared" si="511"/>
        <v>4</v>
      </c>
      <c r="GG983" s="101">
        <f t="shared" si="512"/>
        <v>4.5900000000000003E-2</v>
      </c>
      <c r="GH983" s="101">
        <f t="shared" si="513"/>
        <v>1</v>
      </c>
      <c r="GI983" s="101">
        <f t="shared" si="514"/>
        <v>8</v>
      </c>
      <c r="GJ983" s="101">
        <f t="shared" si="515"/>
        <v>0.1835</v>
      </c>
      <c r="GK983" s="101">
        <f t="shared" si="516"/>
        <v>1</v>
      </c>
      <c r="GL983" s="101">
        <f t="shared" si="517"/>
        <v>16</v>
      </c>
    </row>
    <row r="984" spans="170:194" ht="16.5" x14ac:dyDescent="0.2">
      <c r="FN984" s="101">
        <v>979</v>
      </c>
      <c r="FO984" s="101">
        <f t="shared" si="502"/>
        <v>17</v>
      </c>
      <c r="FP984" s="101">
        <f t="shared" si="495"/>
        <v>13</v>
      </c>
      <c r="FQ984" s="14">
        <f t="shared" si="496"/>
        <v>4</v>
      </c>
      <c r="FR984" s="101" t="str">
        <f t="shared" si="503"/>
        <v>西方龙专属武器-魂珠-2 8级</v>
      </c>
      <c r="FS984" s="101">
        <f t="shared" si="504"/>
        <v>2</v>
      </c>
      <c r="FT984" s="101">
        <f t="shared" si="505"/>
        <v>8</v>
      </c>
      <c r="FU984" s="101" t="str">
        <f t="shared" si="497"/>
        <v>金币</v>
      </c>
      <c r="FV984" s="139">
        <f>IF($FT984&gt;0,IF(INDEX($EI$6:$EI$77,$FO984)&gt;=FV$3,ROUND(INDEX(EK$6:EK$77,$FO984)*INDEX(卡牌消耗!$B$8:$F$8,FQ984)/5,0)*5,""),"")</f>
        <v>1905</v>
      </c>
      <c r="FW984" s="101" t="str">
        <f t="shared" si="498"/>
        <v>专属强化石1</v>
      </c>
      <c r="FX984" s="101">
        <f t="shared" si="499"/>
        <v>18</v>
      </c>
      <c r="FY984" s="101" t="str">
        <f t="shared" si="500"/>
        <v>专属强化石2</v>
      </c>
      <c r="FZ984" s="101">
        <f t="shared" si="501"/>
        <v>6</v>
      </c>
      <c r="GA984" s="101">
        <f t="shared" si="506"/>
        <v>7.0000000000000007E-2</v>
      </c>
      <c r="GB984" s="101">
        <f t="shared" si="507"/>
        <v>1</v>
      </c>
      <c r="GC984" s="101">
        <f t="shared" si="508"/>
        <v>22</v>
      </c>
      <c r="GD984" s="101">
        <f t="shared" si="509"/>
        <v>0</v>
      </c>
      <c r="GE984" s="101">
        <f t="shared" si="510"/>
        <v>1</v>
      </c>
      <c r="GF984" s="101">
        <f t="shared" si="511"/>
        <v>5</v>
      </c>
      <c r="GG984" s="101">
        <f t="shared" si="512"/>
        <v>3.4000000000000002E-2</v>
      </c>
      <c r="GH984" s="101">
        <f t="shared" si="513"/>
        <v>1</v>
      </c>
      <c r="GI984" s="101">
        <f t="shared" si="514"/>
        <v>10</v>
      </c>
      <c r="GJ984" s="101">
        <f t="shared" si="515"/>
        <v>0.13600000000000001</v>
      </c>
      <c r="GK984" s="101">
        <f t="shared" si="516"/>
        <v>1</v>
      </c>
      <c r="GL984" s="101">
        <f t="shared" si="517"/>
        <v>22</v>
      </c>
    </row>
    <row r="985" spans="170:194" ht="16.5" x14ac:dyDescent="0.2">
      <c r="FN985" s="101">
        <v>980</v>
      </c>
      <c r="FO985" s="101">
        <f t="shared" si="502"/>
        <v>18</v>
      </c>
      <c r="FP985" s="101">
        <f t="shared" si="495"/>
        <v>13</v>
      </c>
      <c r="FQ985" s="14">
        <f t="shared" si="496"/>
        <v>4</v>
      </c>
      <c r="FR985" s="101" t="str">
        <f t="shared" si="503"/>
        <v>西方龙专属武器-魂珠-2 9级</v>
      </c>
      <c r="FS985" s="101">
        <f t="shared" si="504"/>
        <v>2</v>
      </c>
      <c r="FT985" s="101">
        <f t="shared" si="505"/>
        <v>9</v>
      </c>
      <c r="FU985" s="101" t="str">
        <f t="shared" si="497"/>
        <v>金币</v>
      </c>
      <c r="FV985" s="139">
        <f>IF($FT985&gt;0,IF(INDEX($EI$6:$EI$77,$FO985)&gt;=FV$3,ROUND(INDEX(EK$6:EK$77,$FO985)*INDEX(卡牌消耗!$B$8:$F$8,FQ985)/5,0)*5,""),"")</f>
        <v>2540</v>
      </c>
      <c r="FW985" s="101" t="str">
        <f t="shared" si="498"/>
        <v>专属强化石1</v>
      </c>
      <c r="FX985" s="101">
        <f t="shared" si="499"/>
        <v>24</v>
      </c>
      <c r="FY985" s="101" t="str">
        <f t="shared" si="500"/>
        <v>专属强化石2</v>
      </c>
      <c r="FZ985" s="101">
        <f t="shared" si="501"/>
        <v>8</v>
      </c>
      <c r="GA985" s="101">
        <f t="shared" si="506"/>
        <v>0.06</v>
      </c>
      <c r="GB985" s="101">
        <f t="shared" si="507"/>
        <v>1</v>
      </c>
      <c r="GC985" s="101">
        <f t="shared" si="508"/>
        <v>27</v>
      </c>
      <c r="GD985" s="101">
        <f t="shared" si="509"/>
        <v>0</v>
      </c>
      <c r="GE985" s="101">
        <f t="shared" si="510"/>
        <v>1</v>
      </c>
      <c r="GF985" s="101">
        <f t="shared" si="511"/>
        <v>6</v>
      </c>
      <c r="GG985" s="101">
        <f t="shared" si="512"/>
        <v>2.8000000000000001E-2</v>
      </c>
      <c r="GH985" s="101">
        <f t="shared" si="513"/>
        <v>1</v>
      </c>
      <c r="GI985" s="101">
        <f t="shared" si="514"/>
        <v>12</v>
      </c>
      <c r="GJ985" s="101">
        <f t="shared" si="515"/>
        <v>0.11210000000000001</v>
      </c>
      <c r="GK985" s="101">
        <f t="shared" si="516"/>
        <v>1</v>
      </c>
      <c r="GL985" s="101">
        <f t="shared" si="517"/>
        <v>27</v>
      </c>
    </row>
    <row r="986" spans="170:194" ht="16.5" x14ac:dyDescent="0.2">
      <c r="FN986" s="101">
        <v>981</v>
      </c>
      <c r="FO986" s="101">
        <f t="shared" si="502"/>
        <v>0</v>
      </c>
      <c r="FP986" s="101">
        <f t="shared" si="495"/>
        <v>13</v>
      </c>
      <c r="FQ986" s="14">
        <f t="shared" si="496"/>
        <v>4</v>
      </c>
      <c r="FR986" s="101" t="str">
        <f t="shared" si="503"/>
        <v>西方龙专属武器-魂珠-3 0级</v>
      </c>
      <c r="FS986" s="101">
        <f t="shared" si="504"/>
        <v>3</v>
      </c>
      <c r="FT986" s="101">
        <f t="shared" si="505"/>
        <v>0</v>
      </c>
      <c r="FU986" s="101" t="str">
        <f t="shared" si="497"/>
        <v/>
      </c>
      <c r="FV986" s="139" t="str">
        <f>IF($FT986&gt;0,IF(INDEX($EI$6:$EI$77,$FO986)&gt;=FV$3,ROUND(INDEX(EK$6:EK$77,$FO986)*INDEX(卡牌消耗!$B$8:$F$8,FQ986)/5,0)*5,""),"")</f>
        <v/>
      </c>
      <c r="FW986" s="101" t="str">
        <f t="shared" si="498"/>
        <v/>
      </c>
      <c r="FX986" s="101" t="str">
        <f t="shared" si="499"/>
        <v/>
      </c>
      <c r="FY986" s="101" t="str">
        <f t="shared" si="500"/>
        <v/>
      </c>
      <c r="FZ986" s="101" t="str">
        <f t="shared" si="501"/>
        <v/>
      </c>
      <c r="GA986" s="101" t="str">
        <f t="shared" si="506"/>
        <v/>
      </c>
      <c r="GB986" s="101" t="str">
        <f t="shared" si="507"/>
        <v/>
      </c>
      <c r="GC986" s="101" t="str">
        <f t="shared" si="508"/>
        <v/>
      </c>
      <c r="GD986" s="101" t="str">
        <f t="shared" si="509"/>
        <v/>
      </c>
      <c r="GE986" s="101" t="str">
        <f t="shared" si="510"/>
        <v/>
      </c>
      <c r="GF986" s="101" t="str">
        <f t="shared" si="511"/>
        <v/>
      </c>
      <c r="GG986" s="101" t="str">
        <f t="shared" si="512"/>
        <v/>
      </c>
      <c r="GH986" s="101" t="str">
        <f t="shared" si="513"/>
        <v/>
      </c>
      <c r="GI986" s="101" t="str">
        <f t="shared" si="514"/>
        <v/>
      </c>
      <c r="GJ986" s="101" t="str">
        <f t="shared" si="515"/>
        <v/>
      </c>
      <c r="GK986" s="101" t="str">
        <f t="shared" si="516"/>
        <v/>
      </c>
      <c r="GL986" s="101" t="str">
        <f t="shared" si="517"/>
        <v/>
      </c>
    </row>
    <row r="987" spans="170:194" ht="16.5" x14ac:dyDescent="0.2">
      <c r="FN987" s="101">
        <v>982</v>
      </c>
      <c r="FO987" s="101">
        <f t="shared" si="502"/>
        <v>19</v>
      </c>
      <c r="FP987" s="101">
        <f t="shared" si="495"/>
        <v>13</v>
      </c>
      <c r="FQ987" s="14">
        <f t="shared" si="496"/>
        <v>4</v>
      </c>
      <c r="FR987" s="101" t="str">
        <f t="shared" si="503"/>
        <v>西方龙专属武器-魂珠-3 1级</v>
      </c>
      <c r="FS987" s="101">
        <f t="shared" si="504"/>
        <v>3</v>
      </c>
      <c r="FT987" s="101">
        <f t="shared" si="505"/>
        <v>1</v>
      </c>
      <c r="FU987" s="101" t="str">
        <f t="shared" si="497"/>
        <v>金币</v>
      </c>
      <c r="FV987" s="139">
        <f>IF($FT987&gt;0,IF(INDEX($EI$6:$EI$77,$FO987)&gt;=FV$3,ROUND(INDEX(EK$6:EK$77,$FO987)*INDEX(卡牌消耗!$B$8:$F$8,FQ987)/5,0)*5,""),"")</f>
        <v>820</v>
      </c>
      <c r="FW987" s="101" t="str">
        <f t="shared" si="498"/>
        <v>专属强化石1</v>
      </c>
      <c r="FX987" s="101">
        <f t="shared" si="499"/>
        <v>4</v>
      </c>
      <c r="FY987" s="101" t="str">
        <f t="shared" si="500"/>
        <v>专属强化石2</v>
      </c>
      <c r="FZ987" s="101">
        <f t="shared" si="501"/>
        <v>2</v>
      </c>
      <c r="GA987" s="101">
        <f t="shared" si="506"/>
        <v>0.31</v>
      </c>
      <c r="GB987" s="101">
        <f t="shared" si="507"/>
        <v>1</v>
      </c>
      <c r="GC987" s="101">
        <f t="shared" si="508"/>
        <v>5</v>
      </c>
      <c r="GD987" s="101">
        <f t="shared" si="509"/>
        <v>0</v>
      </c>
      <c r="GE987" s="101">
        <f t="shared" si="510"/>
        <v>1</v>
      </c>
      <c r="GF987" s="101">
        <f t="shared" si="511"/>
        <v>1</v>
      </c>
      <c r="GG987" s="101">
        <f t="shared" si="512"/>
        <v>0.15409999999999999</v>
      </c>
      <c r="GH987" s="101">
        <f t="shared" si="513"/>
        <v>1</v>
      </c>
      <c r="GI987" s="101">
        <f t="shared" si="514"/>
        <v>2</v>
      </c>
      <c r="GJ987" s="101">
        <f t="shared" si="515"/>
        <v>0.61650000000000005</v>
      </c>
      <c r="GK987" s="101">
        <f t="shared" si="516"/>
        <v>1</v>
      </c>
      <c r="GL987" s="101">
        <f t="shared" si="517"/>
        <v>5</v>
      </c>
    </row>
    <row r="988" spans="170:194" ht="16.5" x14ac:dyDescent="0.2">
      <c r="FN988" s="101">
        <v>983</v>
      </c>
      <c r="FO988" s="101">
        <f t="shared" si="502"/>
        <v>20</v>
      </c>
      <c r="FP988" s="101">
        <f t="shared" si="495"/>
        <v>13</v>
      </c>
      <c r="FQ988" s="14">
        <f t="shared" si="496"/>
        <v>4</v>
      </c>
      <c r="FR988" s="101" t="str">
        <f t="shared" si="503"/>
        <v>西方龙专属武器-魂珠-3 2级</v>
      </c>
      <c r="FS988" s="101">
        <f t="shared" si="504"/>
        <v>3</v>
      </c>
      <c r="FT988" s="101">
        <f t="shared" si="505"/>
        <v>2</v>
      </c>
      <c r="FU988" s="101" t="str">
        <f t="shared" si="497"/>
        <v>金币</v>
      </c>
      <c r="FV988" s="139">
        <f>IF($FT988&gt;0,IF(INDEX($EI$6:$EI$77,$FO988)&gt;=FV$3,ROUND(INDEX(EK$6:EK$77,$FO988)*INDEX(卡牌消耗!$B$8:$F$8,FQ988)/5,0)*5,""),"")</f>
        <v>615</v>
      </c>
      <c r="FW988" s="101" t="str">
        <f t="shared" si="498"/>
        <v>专属强化石1</v>
      </c>
      <c r="FX988" s="101">
        <f t="shared" si="499"/>
        <v>4</v>
      </c>
      <c r="FY988" s="101" t="str">
        <f t="shared" si="500"/>
        <v>专属强化石2</v>
      </c>
      <c r="FZ988" s="101">
        <f t="shared" si="501"/>
        <v>2</v>
      </c>
      <c r="GA988" s="101">
        <f t="shared" si="506"/>
        <v>0.15</v>
      </c>
      <c r="GB988" s="101">
        <f t="shared" si="507"/>
        <v>1</v>
      </c>
      <c r="GC988" s="101">
        <f t="shared" si="508"/>
        <v>10</v>
      </c>
      <c r="GD988" s="101">
        <f t="shared" si="509"/>
        <v>0</v>
      </c>
      <c r="GE988" s="101">
        <f t="shared" si="510"/>
        <v>1</v>
      </c>
      <c r="GF988" s="101">
        <f t="shared" si="511"/>
        <v>2</v>
      </c>
      <c r="GG988" s="101">
        <f t="shared" si="512"/>
        <v>7.7100000000000002E-2</v>
      </c>
      <c r="GH988" s="101">
        <f t="shared" si="513"/>
        <v>1</v>
      </c>
      <c r="GI988" s="101">
        <f t="shared" si="514"/>
        <v>5</v>
      </c>
      <c r="GJ988" s="101">
        <f t="shared" si="515"/>
        <v>0.30830000000000002</v>
      </c>
      <c r="GK988" s="101">
        <f t="shared" si="516"/>
        <v>1</v>
      </c>
      <c r="GL988" s="101">
        <f t="shared" si="517"/>
        <v>10</v>
      </c>
    </row>
    <row r="989" spans="170:194" ht="16.5" x14ac:dyDescent="0.2">
      <c r="FN989" s="101">
        <v>984</v>
      </c>
      <c r="FO989" s="101">
        <f t="shared" si="502"/>
        <v>21</v>
      </c>
      <c r="FP989" s="101">
        <f t="shared" si="495"/>
        <v>13</v>
      </c>
      <c r="FQ989" s="14">
        <f t="shared" si="496"/>
        <v>4</v>
      </c>
      <c r="FR989" s="101" t="str">
        <f t="shared" si="503"/>
        <v>西方龙专属武器-魂珠-3 3级</v>
      </c>
      <c r="FS989" s="101">
        <f t="shared" si="504"/>
        <v>3</v>
      </c>
      <c r="FT989" s="101">
        <f t="shared" si="505"/>
        <v>3</v>
      </c>
      <c r="FU989" s="101" t="str">
        <f t="shared" si="497"/>
        <v>金币</v>
      </c>
      <c r="FV989" s="139">
        <f>IF($FT989&gt;0,IF(INDEX($EI$6:$EI$77,$FO989)&gt;=FV$3,ROUND(INDEX(EK$6:EK$77,$FO989)*INDEX(卡牌消耗!$B$8:$F$8,FQ989)/5,0)*5,""),"")</f>
        <v>1025</v>
      </c>
      <c r="FW989" s="101" t="str">
        <f t="shared" si="498"/>
        <v>专属强化石1</v>
      </c>
      <c r="FX989" s="101">
        <f t="shared" si="499"/>
        <v>6</v>
      </c>
      <c r="FY989" s="101" t="str">
        <f t="shared" si="500"/>
        <v>专属强化石2</v>
      </c>
      <c r="FZ989" s="101">
        <f t="shared" si="501"/>
        <v>3</v>
      </c>
      <c r="GA989" s="101">
        <f t="shared" si="506"/>
        <v>0.15</v>
      </c>
      <c r="GB989" s="101">
        <f t="shared" si="507"/>
        <v>1</v>
      </c>
      <c r="GC989" s="101">
        <f t="shared" si="508"/>
        <v>10</v>
      </c>
      <c r="GD989" s="101">
        <f t="shared" si="509"/>
        <v>0</v>
      </c>
      <c r="GE989" s="101">
        <f t="shared" si="510"/>
        <v>1</v>
      </c>
      <c r="GF989" s="101">
        <f t="shared" si="511"/>
        <v>2</v>
      </c>
      <c r="GG989" s="101">
        <f t="shared" si="512"/>
        <v>7.7100000000000002E-2</v>
      </c>
      <c r="GH989" s="101">
        <f t="shared" si="513"/>
        <v>1</v>
      </c>
      <c r="GI989" s="101">
        <f t="shared" si="514"/>
        <v>5</v>
      </c>
      <c r="GJ989" s="101">
        <f t="shared" si="515"/>
        <v>0.30830000000000002</v>
      </c>
      <c r="GK989" s="101">
        <f t="shared" si="516"/>
        <v>1</v>
      </c>
      <c r="GL989" s="101">
        <f t="shared" si="517"/>
        <v>10</v>
      </c>
    </row>
    <row r="990" spans="170:194" ht="16.5" x14ac:dyDescent="0.2">
      <c r="FN990" s="101">
        <v>985</v>
      </c>
      <c r="FO990" s="101">
        <f t="shared" si="502"/>
        <v>22</v>
      </c>
      <c r="FP990" s="101">
        <f t="shared" si="495"/>
        <v>13</v>
      </c>
      <c r="FQ990" s="14">
        <f t="shared" si="496"/>
        <v>4</v>
      </c>
      <c r="FR990" s="101" t="str">
        <f t="shared" si="503"/>
        <v>西方龙专属武器-魂珠-3 4级</v>
      </c>
      <c r="FS990" s="101">
        <f t="shared" si="504"/>
        <v>3</v>
      </c>
      <c r="FT990" s="101">
        <f t="shared" si="505"/>
        <v>4</v>
      </c>
      <c r="FU990" s="101" t="str">
        <f t="shared" si="497"/>
        <v>金币</v>
      </c>
      <c r="FV990" s="139">
        <f>IF($FT990&gt;0,IF(INDEX($EI$6:$EI$77,$FO990)&gt;=FV$3,ROUND(INDEX(EK$6:EK$77,$FO990)*INDEX(卡牌消耗!$B$8:$F$8,FQ990)/5,0)*5,""),"")</f>
        <v>985</v>
      </c>
      <c r="FW990" s="101" t="str">
        <f t="shared" si="498"/>
        <v>专属强化石1</v>
      </c>
      <c r="FX990" s="101">
        <f t="shared" si="499"/>
        <v>6</v>
      </c>
      <c r="FY990" s="101" t="str">
        <f t="shared" si="500"/>
        <v>专属强化石2</v>
      </c>
      <c r="FZ990" s="101">
        <f t="shared" si="501"/>
        <v>3</v>
      </c>
      <c r="GA990" s="101">
        <f t="shared" si="506"/>
        <v>0.09</v>
      </c>
      <c r="GB990" s="101">
        <f t="shared" si="507"/>
        <v>1</v>
      </c>
      <c r="GC990" s="101">
        <f t="shared" si="508"/>
        <v>16</v>
      </c>
      <c r="GD990" s="101">
        <f t="shared" si="509"/>
        <v>0</v>
      </c>
      <c r="GE990" s="101">
        <f t="shared" si="510"/>
        <v>1</v>
      </c>
      <c r="GF990" s="101">
        <f t="shared" si="511"/>
        <v>4</v>
      </c>
      <c r="GG990" s="101">
        <f t="shared" si="512"/>
        <v>4.6199999999999998E-2</v>
      </c>
      <c r="GH990" s="101">
        <f t="shared" si="513"/>
        <v>1</v>
      </c>
      <c r="GI990" s="101">
        <f t="shared" si="514"/>
        <v>8</v>
      </c>
      <c r="GJ990" s="101">
        <f t="shared" si="515"/>
        <v>0.185</v>
      </c>
      <c r="GK990" s="101">
        <f t="shared" si="516"/>
        <v>1</v>
      </c>
      <c r="GL990" s="101">
        <f t="shared" si="517"/>
        <v>16</v>
      </c>
    </row>
    <row r="991" spans="170:194" ht="16.5" x14ac:dyDescent="0.2">
      <c r="FN991" s="101">
        <v>986</v>
      </c>
      <c r="FO991" s="101">
        <f t="shared" si="502"/>
        <v>23</v>
      </c>
      <c r="FP991" s="101">
        <f t="shared" si="495"/>
        <v>13</v>
      </c>
      <c r="FQ991" s="14">
        <f t="shared" si="496"/>
        <v>4</v>
      </c>
      <c r="FR991" s="101" t="str">
        <f t="shared" si="503"/>
        <v>西方龙专属武器-魂珠-3 5级</v>
      </c>
      <c r="FS991" s="101">
        <f t="shared" si="504"/>
        <v>3</v>
      </c>
      <c r="FT991" s="101">
        <f t="shared" si="505"/>
        <v>5</v>
      </c>
      <c r="FU991" s="101" t="str">
        <f t="shared" si="497"/>
        <v>金币</v>
      </c>
      <c r="FV991" s="139">
        <f>IF($FT991&gt;0,IF(INDEX($EI$6:$EI$77,$FO991)&gt;=FV$3,ROUND(INDEX(EK$6:EK$77,$FO991)*INDEX(卡牌消耗!$B$8:$F$8,FQ991)/5,0)*5,""),"")</f>
        <v>1330</v>
      </c>
      <c r="FW991" s="101" t="str">
        <f t="shared" si="498"/>
        <v>专属强化石1</v>
      </c>
      <c r="FX991" s="101">
        <f t="shared" si="499"/>
        <v>8</v>
      </c>
      <c r="FY991" s="101" t="str">
        <f t="shared" si="500"/>
        <v>专属强化石2</v>
      </c>
      <c r="FZ991" s="101">
        <f t="shared" si="501"/>
        <v>4</v>
      </c>
      <c r="GA991" s="101">
        <f t="shared" si="506"/>
        <v>0.08</v>
      </c>
      <c r="GB991" s="101">
        <f t="shared" si="507"/>
        <v>1</v>
      </c>
      <c r="GC991" s="101">
        <f t="shared" si="508"/>
        <v>19</v>
      </c>
      <c r="GD991" s="101">
        <f t="shared" si="509"/>
        <v>0</v>
      </c>
      <c r="GE991" s="101">
        <f t="shared" si="510"/>
        <v>1</v>
      </c>
      <c r="GF991" s="101">
        <f t="shared" si="511"/>
        <v>5</v>
      </c>
      <c r="GG991" s="101">
        <f t="shared" si="512"/>
        <v>3.85E-2</v>
      </c>
      <c r="GH991" s="101">
        <f t="shared" si="513"/>
        <v>1</v>
      </c>
      <c r="GI991" s="101">
        <f t="shared" si="514"/>
        <v>9</v>
      </c>
      <c r="GJ991" s="101">
        <f t="shared" si="515"/>
        <v>0.15409999999999999</v>
      </c>
      <c r="GK991" s="101">
        <f t="shared" si="516"/>
        <v>1</v>
      </c>
      <c r="GL991" s="101">
        <f t="shared" si="517"/>
        <v>19</v>
      </c>
    </row>
    <row r="992" spans="170:194" ht="16.5" x14ac:dyDescent="0.2">
      <c r="FN992" s="101">
        <v>987</v>
      </c>
      <c r="FO992" s="101">
        <f t="shared" si="502"/>
        <v>24</v>
      </c>
      <c r="FP992" s="101">
        <f t="shared" si="495"/>
        <v>13</v>
      </c>
      <c r="FQ992" s="14">
        <f t="shared" si="496"/>
        <v>4</v>
      </c>
      <c r="FR992" s="101" t="str">
        <f t="shared" si="503"/>
        <v>西方龙专属武器-魂珠-3 6级</v>
      </c>
      <c r="FS992" s="101">
        <f t="shared" si="504"/>
        <v>3</v>
      </c>
      <c r="FT992" s="101">
        <f t="shared" si="505"/>
        <v>6</v>
      </c>
      <c r="FU992" s="101" t="str">
        <f t="shared" si="497"/>
        <v>金币</v>
      </c>
      <c r="FV992" s="139">
        <f>IF($FT992&gt;0,IF(INDEX($EI$6:$EI$77,$FO992)&gt;=FV$3,ROUND(INDEX(EK$6:EK$77,$FO992)*INDEX(卡牌消耗!$B$8:$F$8,FQ992)/5,0)*5,""),"")</f>
        <v>1650</v>
      </c>
      <c r="FW992" s="101" t="str">
        <f t="shared" si="498"/>
        <v>专属强化石1</v>
      </c>
      <c r="FX992" s="101">
        <f t="shared" si="499"/>
        <v>10</v>
      </c>
      <c r="FY992" s="101" t="str">
        <f t="shared" si="500"/>
        <v>专属强化石2</v>
      </c>
      <c r="FZ992" s="101">
        <f t="shared" si="501"/>
        <v>5</v>
      </c>
      <c r="GA992" s="101">
        <f t="shared" si="506"/>
        <v>0.06</v>
      </c>
      <c r="GB992" s="101">
        <f t="shared" si="507"/>
        <v>1</v>
      </c>
      <c r="GC992" s="101">
        <f t="shared" si="508"/>
        <v>25</v>
      </c>
      <c r="GD992" s="101">
        <f t="shared" si="509"/>
        <v>0</v>
      </c>
      <c r="GE992" s="101">
        <f t="shared" si="510"/>
        <v>1</v>
      </c>
      <c r="GF992" s="101">
        <f t="shared" si="511"/>
        <v>6</v>
      </c>
      <c r="GG992" s="101">
        <f t="shared" si="512"/>
        <v>2.9600000000000001E-2</v>
      </c>
      <c r="GH992" s="101">
        <f t="shared" si="513"/>
        <v>1</v>
      </c>
      <c r="GI992" s="101">
        <f t="shared" si="514"/>
        <v>12</v>
      </c>
      <c r="GJ992" s="101">
        <f t="shared" si="515"/>
        <v>0.1186</v>
      </c>
      <c r="GK992" s="101">
        <f t="shared" si="516"/>
        <v>1</v>
      </c>
      <c r="GL992" s="101">
        <f t="shared" si="517"/>
        <v>25</v>
      </c>
    </row>
    <row r="993" spans="170:194" ht="16.5" x14ac:dyDescent="0.2">
      <c r="FN993" s="101">
        <v>988</v>
      </c>
      <c r="FO993" s="101">
        <f t="shared" si="502"/>
        <v>25</v>
      </c>
      <c r="FP993" s="101">
        <f t="shared" si="495"/>
        <v>13</v>
      </c>
      <c r="FQ993" s="14">
        <f t="shared" si="496"/>
        <v>4</v>
      </c>
      <c r="FR993" s="101" t="str">
        <f t="shared" si="503"/>
        <v>西方龙专属武器-魂珠-3 7级</v>
      </c>
      <c r="FS993" s="101">
        <f t="shared" si="504"/>
        <v>3</v>
      </c>
      <c r="FT993" s="101">
        <f t="shared" si="505"/>
        <v>7</v>
      </c>
      <c r="FU993" s="101" t="str">
        <f t="shared" si="497"/>
        <v>金币</v>
      </c>
      <c r="FV993" s="139">
        <f>IF($FT993&gt;0,IF(INDEX($EI$6:$EI$77,$FO993)&gt;=FV$3,ROUND(INDEX(EK$6:EK$77,$FO993)*INDEX(卡牌消耗!$B$8:$F$8,FQ993)/5,0)*5,""),"")</f>
        <v>1990</v>
      </c>
      <c r="FW993" s="101" t="str">
        <f t="shared" si="498"/>
        <v>专属强化石1</v>
      </c>
      <c r="FX993" s="101">
        <f t="shared" si="499"/>
        <v>12</v>
      </c>
      <c r="FY993" s="101" t="str">
        <f t="shared" si="500"/>
        <v>专属强化石2</v>
      </c>
      <c r="FZ993" s="101">
        <f t="shared" si="501"/>
        <v>6</v>
      </c>
      <c r="GA993" s="101">
        <f t="shared" si="506"/>
        <v>0.04</v>
      </c>
      <c r="GB993" s="101">
        <f t="shared" si="507"/>
        <v>1</v>
      </c>
      <c r="GC993" s="101">
        <f t="shared" si="508"/>
        <v>34</v>
      </c>
      <c r="GD993" s="101">
        <f t="shared" si="509"/>
        <v>0</v>
      </c>
      <c r="GE993" s="101">
        <f t="shared" si="510"/>
        <v>1</v>
      </c>
      <c r="GF993" s="101">
        <f t="shared" si="511"/>
        <v>8</v>
      </c>
      <c r="GG993" s="101">
        <f t="shared" si="512"/>
        <v>2.1999999999999999E-2</v>
      </c>
      <c r="GH993" s="101">
        <f t="shared" si="513"/>
        <v>1</v>
      </c>
      <c r="GI993" s="101">
        <f t="shared" si="514"/>
        <v>16</v>
      </c>
      <c r="GJ993" s="101">
        <f t="shared" si="515"/>
        <v>8.8099999999999998E-2</v>
      </c>
      <c r="GK993" s="101">
        <f t="shared" si="516"/>
        <v>1</v>
      </c>
      <c r="GL993" s="101">
        <f t="shared" si="517"/>
        <v>34</v>
      </c>
    </row>
    <row r="994" spans="170:194" ht="16.5" x14ac:dyDescent="0.2">
      <c r="FN994" s="101">
        <v>989</v>
      </c>
      <c r="FO994" s="101">
        <f t="shared" si="502"/>
        <v>26</v>
      </c>
      <c r="FP994" s="101">
        <f t="shared" si="495"/>
        <v>13</v>
      </c>
      <c r="FQ994" s="14">
        <f t="shared" si="496"/>
        <v>4</v>
      </c>
      <c r="FR994" s="101" t="str">
        <f t="shared" si="503"/>
        <v>西方龙专属武器-魂珠-3 8级</v>
      </c>
      <c r="FS994" s="101">
        <f t="shared" si="504"/>
        <v>3</v>
      </c>
      <c r="FT994" s="101">
        <f t="shared" si="505"/>
        <v>8</v>
      </c>
      <c r="FU994" s="101" t="str">
        <f t="shared" si="497"/>
        <v>金币</v>
      </c>
      <c r="FV994" s="139">
        <f>IF($FT994&gt;0,IF(INDEX($EI$6:$EI$77,$FO994)&gt;=FV$3,ROUND(INDEX(EK$6:EK$77,$FO994)*INDEX(卡牌消耗!$B$8:$F$8,FQ994)/5,0)*5,""),"")</f>
        <v>2650</v>
      </c>
      <c r="FW994" s="101" t="str">
        <f t="shared" si="498"/>
        <v>专属强化石1</v>
      </c>
      <c r="FX994" s="101">
        <f t="shared" si="499"/>
        <v>16</v>
      </c>
      <c r="FY994" s="101" t="str">
        <f t="shared" si="500"/>
        <v>专属强化石2</v>
      </c>
      <c r="FZ994" s="101">
        <f t="shared" si="501"/>
        <v>8</v>
      </c>
      <c r="GA994" s="101">
        <f t="shared" si="506"/>
        <v>0.04</v>
      </c>
      <c r="GB994" s="101">
        <f t="shared" si="507"/>
        <v>1</v>
      </c>
      <c r="GC994" s="101">
        <f t="shared" si="508"/>
        <v>41</v>
      </c>
      <c r="GD994" s="101">
        <f t="shared" si="509"/>
        <v>0</v>
      </c>
      <c r="GE994" s="101">
        <f t="shared" si="510"/>
        <v>1</v>
      </c>
      <c r="GF994" s="101">
        <f t="shared" si="511"/>
        <v>10</v>
      </c>
      <c r="GG994" s="101">
        <f t="shared" si="512"/>
        <v>1.8100000000000002E-2</v>
      </c>
      <c r="GH994" s="101">
        <f t="shared" si="513"/>
        <v>1</v>
      </c>
      <c r="GI994" s="101">
        <f t="shared" si="514"/>
        <v>19</v>
      </c>
      <c r="GJ994" s="101">
        <f t="shared" si="515"/>
        <v>7.2499999999999995E-2</v>
      </c>
      <c r="GK994" s="101">
        <f t="shared" si="516"/>
        <v>1</v>
      </c>
      <c r="GL994" s="101">
        <f t="shared" si="517"/>
        <v>41</v>
      </c>
    </row>
    <row r="995" spans="170:194" ht="16.5" x14ac:dyDescent="0.2">
      <c r="FN995" s="101">
        <v>990</v>
      </c>
      <c r="FO995" s="101">
        <f t="shared" si="502"/>
        <v>27</v>
      </c>
      <c r="FP995" s="101">
        <f t="shared" si="495"/>
        <v>13</v>
      </c>
      <c r="FQ995" s="14">
        <f t="shared" si="496"/>
        <v>4</v>
      </c>
      <c r="FR995" s="101" t="str">
        <f t="shared" si="503"/>
        <v>西方龙专属武器-魂珠-3 9级</v>
      </c>
      <c r="FS995" s="101">
        <f t="shared" si="504"/>
        <v>3</v>
      </c>
      <c r="FT995" s="101">
        <f t="shared" si="505"/>
        <v>9</v>
      </c>
      <c r="FU995" s="101" t="str">
        <f t="shared" si="497"/>
        <v>金币</v>
      </c>
      <c r="FV995" s="139">
        <f>IF($FT995&gt;0,IF(INDEX($EI$6:$EI$77,$FO995)&gt;=FV$3,ROUND(INDEX(EK$6:EK$77,$FO995)*INDEX(卡牌消耗!$B$8:$F$8,FQ995)/5,0)*5,""),"")</f>
        <v>3310</v>
      </c>
      <c r="FW995" s="101" t="str">
        <f t="shared" si="498"/>
        <v>专属强化石1</v>
      </c>
      <c r="FX995" s="101">
        <f t="shared" si="499"/>
        <v>20</v>
      </c>
      <c r="FY995" s="101" t="str">
        <f t="shared" si="500"/>
        <v>专属强化石2</v>
      </c>
      <c r="FZ995" s="101">
        <f t="shared" si="501"/>
        <v>10</v>
      </c>
      <c r="GA995" s="101">
        <f t="shared" si="506"/>
        <v>0.03</v>
      </c>
      <c r="GB995" s="101">
        <f t="shared" si="507"/>
        <v>1</v>
      </c>
      <c r="GC995" s="101">
        <f t="shared" si="508"/>
        <v>54</v>
      </c>
      <c r="GD995" s="101">
        <f t="shared" si="509"/>
        <v>0</v>
      </c>
      <c r="GE995" s="101">
        <f t="shared" si="510"/>
        <v>1</v>
      </c>
      <c r="GF995" s="101">
        <f t="shared" si="511"/>
        <v>12</v>
      </c>
      <c r="GG995" s="101">
        <f t="shared" si="512"/>
        <v>1.4E-2</v>
      </c>
      <c r="GH995" s="101">
        <f t="shared" si="513"/>
        <v>1</v>
      </c>
      <c r="GI995" s="101">
        <f t="shared" si="514"/>
        <v>25</v>
      </c>
      <c r="GJ995" s="101">
        <f t="shared" si="515"/>
        <v>5.6000000000000001E-2</v>
      </c>
      <c r="GK995" s="101">
        <f t="shared" si="516"/>
        <v>1</v>
      </c>
      <c r="GL995" s="101">
        <f t="shared" si="517"/>
        <v>54</v>
      </c>
    </row>
    <row r="996" spans="170:194" ht="16.5" x14ac:dyDescent="0.2">
      <c r="FN996" s="101">
        <v>991</v>
      </c>
      <c r="FO996" s="101">
        <f t="shared" si="502"/>
        <v>0</v>
      </c>
      <c r="FP996" s="101">
        <f t="shared" si="495"/>
        <v>13</v>
      </c>
      <c r="FQ996" s="14">
        <f t="shared" si="496"/>
        <v>4</v>
      </c>
      <c r="FR996" s="101" t="str">
        <f t="shared" si="503"/>
        <v>西方龙专属武器-魂珠-4 0级</v>
      </c>
      <c r="FS996" s="101">
        <f t="shared" si="504"/>
        <v>4</v>
      </c>
      <c r="FT996" s="101">
        <f t="shared" si="505"/>
        <v>0</v>
      </c>
      <c r="FU996" s="101" t="str">
        <f t="shared" si="497"/>
        <v/>
      </c>
      <c r="FV996" s="139" t="str">
        <f>IF($FT996&gt;0,IF(INDEX($EI$6:$EI$77,$FO996)&gt;=FV$3,ROUND(INDEX(EK$6:EK$77,$FO996)*INDEX(卡牌消耗!$B$8:$F$8,FQ996)/5,0)*5,""),"")</f>
        <v/>
      </c>
      <c r="FW996" s="101" t="str">
        <f t="shared" si="498"/>
        <v/>
      </c>
      <c r="FX996" s="101" t="str">
        <f t="shared" si="499"/>
        <v/>
      </c>
      <c r="FY996" s="101" t="str">
        <f t="shared" si="500"/>
        <v/>
      </c>
      <c r="FZ996" s="101" t="str">
        <f t="shared" si="501"/>
        <v/>
      </c>
      <c r="GA996" s="101" t="str">
        <f t="shared" si="506"/>
        <v/>
      </c>
      <c r="GB996" s="101" t="str">
        <f t="shared" si="507"/>
        <v/>
      </c>
      <c r="GC996" s="101" t="str">
        <f t="shared" si="508"/>
        <v/>
      </c>
      <c r="GD996" s="101" t="str">
        <f t="shared" si="509"/>
        <v/>
      </c>
      <c r="GE996" s="101" t="str">
        <f t="shared" si="510"/>
        <v/>
      </c>
      <c r="GF996" s="101" t="str">
        <f t="shared" si="511"/>
        <v/>
      </c>
      <c r="GG996" s="101" t="str">
        <f t="shared" si="512"/>
        <v/>
      </c>
      <c r="GH996" s="101" t="str">
        <f t="shared" si="513"/>
        <v/>
      </c>
      <c r="GI996" s="101" t="str">
        <f t="shared" si="514"/>
        <v/>
      </c>
      <c r="GJ996" s="101" t="str">
        <f t="shared" si="515"/>
        <v/>
      </c>
      <c r="GK996" s="101" t="str">
        <f t="shared" si="516"/>
        <v/>
      </c>
      <c r="GL996" s="101" t="str">
        <f t="shared" si="517"/>
        <v/>
      </c>
    </row>
    <row r="997" spans="170:194" ht="16.5" x14ac:dyDescent="0.2">
      <c r="FN997" s="101">
        <v>992</v>
      </c>
      <c r="FO997" s="101">
        <f t="shared" si="502"/>
        <v>28</v>
      </c>
      <c r="FP997" s="101">
        <f t="shared" si="495"/>
        <v>13</v>
      </c>
      <c r="FQ997" s="14">
        <f t="shared" si="496"/>
        <v>4</v>
      </c>
      <c r="FR997" s="101" t="str">
        <f t="shared" si="503"/>
        <v>西方龙专属武器-魂珠-4 1级</v>
      </c>
      <c r="FS997" s="101">
        <f t="shared" si="504"/>
        <v>4</v>
      </c>
      <c r="FT997" s="101">
        <f t="shared" si="505"/>
        <v>1</v>
      </c>
      <c r="FU997" s="101" t="str">
        <f t="shared" si="497"/>
        <v>金币</v>
      </c>
      <c r="FV997" s="139">
        <f>IF($FT997&gt;0,IF(INDEX($EI$6:$EI$77,$FO997)&gt;=FV$3,ROUND(INDEX(EK$6:EK$77,$FO997)*INDEX(卡牌消耗!$B$8:$F$8,FQ997)/5,0)*5,""),"")</f>
        <v>1095</v>
      </c>
      <c r="FW997" s="101" t="str">
        <f t="shared" si="498"/>
        <v>专属强化石2</v>
      </c>
      <c r="FX997" s="101">
        <f t="shared" si="499"/>
        <v>3</v>
      </c>
      <c r="FY997" s="101" t="str">
        <f t="shared" si="500"/>
        <v>专属强化石3</v>
      </c>
      <c r="FZ997" s="101">
        <f t="shared" si="501"/>
        <v>1</v>
      </c>
      <c r="GA997" s="101">
        <f t="shared" si="506"/>
        <v>0.2</v>
      </c>
      <c r="GB997" s="101">
        <f t="shared" si="507"/>
        <v>1</v>
      </c>
      <c r="GC997" s="101">
        <f t="shared" si="508"/>
        <v>7</v>
      </c>
      <c r="GD997" s="101">
        <f t="shared" si="509"/>
        <v>0</v>
      </c>
      <c r="GE997" s="101">
        <f t="shared" si="510"/>
        <v>1</v>
      </c>
      <c r="GF997" s="101">
        <f t="shared" si="511"/>
        <v>2</v>
      </c>
      <c r="GG997" s="101">
        <f t="shared" si="512"/>
        <v>0.1012</v>
      </c>
      <c r="GH997" s="101">
        <f t="shared" si="513"/>
        <v>1</v>
      </c>
      <c r="GI997" s="101">
        <f t="shared" si="514"/>
        <v>3</v>
      </c>
      <c r="GJ997" s="101">
        <f t="shared" si="515"/>
        <v>0.40479999999999999</v>
      </c>
      <c r="GK997" s="101">
        <f t="shared" si="516"/>
        <v>1</v>
      </c>
      <c r="GL997" s="101">
        <f t="shared" si="517"/>
        <v>7</v>
      </c>
    </row>
    <row r="998" spans="170:194" ht="16.5" x14ac:dyDescent="0.2">
      <c r="FN998" s="101">
        <v>993</v>
      </c>
      <c r="FO998" s="101">
        <f t="shared" si="502"/>
        <v>29</v>
      </c>
      <c r="FP998" s="101">
        <f t="shared" si="495"/>
        <v>13</v>
      </c>
      <c r="FQ998" s="14">
        <f t="shared" si="496"/>
        <v>4</v>
      </c>
      <c r="FR998" s="101" t="str">
        <f t="shared" si="503"/>
        <v>西方龙专属武器-魂珠-4 2级</v>
      </c>
      <c r="FS998" s="101">
        <f t="shared" si="504"/>
        <v>4</v>
      </c>
      <c r="FT998" s="101">
        <f t="shared" si="505"/>
        <v>2</v>
      </c>
      <c r="FU998" s="101" t="str">
        <f t="shared" si="497"/>
        <v>金币</v>
      </c>
      <c r="FV998" s="139">
        <f>IF($FT998&gt;0,IF(INDEX($EI$6:$EI$77,$FO998)&gt;=FV$3,ROUND(INDEX(EK$6:EK$77,$FO998)*INDEX(卡牌消耗!$B$8:$F$8,FQ998)/5,0)*5,""),"")</f>
        <v>820</v>
      </c>
      <c r="FW998" s="101" t="str">
        <f t="shared" si="498"/>
        <v>专属强化石2</v>
      </c>
      <c r="FX998" s="101">
        <f t="shared" si="499"/>
        <v>3</v>
      </c>
      <c r="FY998" s="101" t="str">
        <f t="shared" si="500"/>
        <v>专属强化石3</v>
      </c>
      <c r="FZ998" s="101">
        <f t="shared" si="501"/>
        <v>1</v>
      </c>
      <c r="GA998" s="101">
        <f t="shared" si="506"/>
        <v>0.1</v>
      </c>
      <c r="GB998" s="101">
        <f t="shared" si="507"/>
        <v>1</v>
      </c>
      <c r="GC998" s="101">
        <f t="shared" si="508"/>
        <v>15</v>
      </c>
      <c r="GD998" s="101">
        <f t="shared" si="509"/>
        <v>0</v>
      </c>
      <c r="GE998" s="101">
        <f t="shared" si="510"/>
        <v>1</v>
      </c>
      <c r="GF998" s="101">
        <f t="shared" si="511"/>
        <v>3</v>
      </c>
      <c r="GG998" s="101">
        <f t="shared" si="512"/>
        <v>5.0599999999999999E-2</v>
      </c>
      <c r="GH998" s="101">
        <f t="shared" si="513"/>
        <v>1</v>
      </c>
      <c r="GI998" s="101">
        <f t="shared" si="514"/>
        <v>7</v>
      </c>
      <c r="GJ998" s="101">
        <f t="shared" si="515"/>
        <v>0.2024</v>
      </c>
      <c r="GK998" s="101">
        <f t="shared" si="516"/>
        <v>1</v>
      </c>
      <c r="GL998" s="101">
        <f t="shared" si="517"/>
        <v>15</v>
      </c>
    </row>
    <row r="999" spans="170:194" ht="16.5" x14ac:dyDescent="0.2">
      <c r="FN999" s="101">
        <v>994</v>
      </c>
      <c r="FO999" s="101">
        <f t="shared" si="502"/>
        <v>30</v>
      </c>
      <c r="FP999" s="101">
        <f t="shared" si="495"/>
        <v>13</v>
      </c>
      <c r="FQ999" s="14">
        <f t="shared" si="496"/>
        <v>4</v>
      </c>
      <c r="FR999" s="101" t="str">
        <f t="shared" si="503"/>
        <v>西方龙专属武器-魂珠-4 3级</v>
      </c>
      <c r="FS999" s="101">
        <f t="shared" si="504"/>
        <v>4</v>
      </c>
      <c r="FT999" s="101">
        <f t="shared" si="505"/>
        <v>3</v>
      </c>
      <c r="FU999" s="101" t="str">
        <f t="shared" si="497"/>
        <v>金币</v>
      </c>
      <c r="FV999" s="139">
        <f>IF($FT999&gt;0,IF(INDEX($EI$6:$EI$77,$FO999)&gt;=FV$3,ROUND(INDEX(EK$6:EK$77,$FO999)*INDEX(卡牌消耗!$B$8:$F$8,FQ999)/5,0)*5,""),"")</f>
        <v>910</v>
      </c>
      <c r="FW999" s="101" t="str">
        <f t="shared" si="498"/>
        <v>专属强化石2</v>
      </c>
      <c r="FX999" s="101">
        <f t="shared" si="499"/>
        <v>3</v>
      </c>
      <c r="FY999" s="101" t="str">
        <f t="shared" si="500"/>
        <v>专属强化石3</v>
      </c>
      <c r="FZ999" s="101">
        <f t="shared" si="501"/>
        <v>1</v>
      </c>
      <c r="GA999" s="101">
        <f t="shared" si="506"/>
        <v>7.0000000000000007E-2</v>
      </c>
      <c r="GB999" s="101">
        <f t="shared" si="507"/>
        <v>1</v>
      </c>
      <c r="GC999" s="101">
        <f t="shared" si="508"/>
        <v>22</v>
      </c>
      <c r="GD999" s="101">
        <f t="shared" si="509"/>
        <v>0</v>
      </c>
      <c r="GE999" s="101">
        <f t="shared" si="510"/>
        <v>1</v>
      </c>
      <c r="GF999" s="101">
        <f t="shared" si="511"/>
        <v>5</v>
      </c>
      <c r="GG999" s="101">
        <f t="shared" si="512"/>
        <v>3.3700000000000001E-2</v>
      </c>
      <c r="GH999" s="101">
        <f t="shared" si="513"/>
        <v>1</v>
      </c>
      <c r="GI999" s="101">
        <f t="shared" si="514"/>
        <v>10</v>
      </c>
      <c r="GJ999" s="101">
        <f t="shared" si="515"/>
        <v>0.13489999999999999</v>
      </c>
      <c r="GK999" s="101">
        <f t="shared" si="516"/>
        <v>1</v>
      </c>
      <c r="GL999" s="101">
        <f t="shared" si="517"/>
        <v>22</v>
      </c>
    </row>
    <row r="1000" spans="170:194" ht="16.5" x14ac:dyDescent="0.2">
      <c r="FN1000" s="101">
        <v>995</v>
      </c>
      <c r="FO1000" s="101">
        <f t="shared" si="502"/>
        <v>31</v>
      </c>
      <c r="FP1000" s="101">
        <f t="shared" si="495"/>
        <v>13</v>
      </c>
      <c r="FQ1000" s="14">
        <f t="shared" si="496"/>
        <v>4</v>
      </c>
      <c r="FR1000" s="101" t="str">
        <f t="shared" si="503"/>
        <v>西方龙专属武器-魂珠-4 4级</v>
      </c>
      <c r="FS1000" s="101">
        <f t="shared" si="504"/>
        <v>4</v>
      </c>
      <c r="FT1000" s="101">
        <f t="shared" si="505"/>
        <v>4</v>
      </c>
      <c r="FU1000" s="101" t="str">
        <f t="shared" si="497"/>
        <v>金币</v>
      </c>
      <c r="FV1000" s="139">
        <f>IF($FT1000&gt;0,IF(INDEX($EI$6:$EI$77,$FO1000)&gt;=FV$3,ROUND(INDEX(EK$6:EK$77,$FO1000)*INDEX(卡牌消耗!$B$8:$F$8,FQ1000)/5,0)*5,""),"")</f>
        <v>1750</v>
      </c>
      <c r="FW1000" s="101" t="str">
        <f t="shared" si="498"/>
        <v>专属强化石2</v>
      </c>
      <c r="FX1000" s="101">
        <f t="shared" si="499"/>
        <v>5</v>
      </c>
      <c r="FY1000" s="101" t="str">
        <f t="shared" si="500"/>
        <v>专属强化石3</v>
      </c>
      <c r="FZ1000" s="101">
        <f t="shared" si="501"/>
        <v>2</v>
      </c>
      <c r="GA1000" s="101">
        <f t="shared" si="506"/>
        <v>0.08</v>
      </c>
      <c r="GB1000" s="101">
        <f t="shared" si="507"/>
        <v>1</v>
      </c>
      <c r="GC1000" s="101">
        <f t="shared" si="508"/>
        <v>19</v>
      </c>
      <c r="GD1000" s="101">
        <f t="shared" si="509"/>
        <v>0</v>
      </c>
      <c r="GE1000" s="101">
        <f t="shared" si="510"/>
        <v>1</v>
      </c>
      <c r="GF1000" s="101">
        <f t="shared" si="511"/>
        <v>4</v>
      </c>
      <c r="GG1000" s="101">
        <f t="shared" si="512"/>
        <v>4.0500000000000001E-2</v>
      </c>
      <c r="GH1000" s="101">
        <f t="shared" si="513"/>
        <v>1</v>
      </c>
      <c r="GI1000" s="101">
        <f t="shared" si="514"/>
        <v>9</v>
      </c>
      <c r="GJ1000" s="101">
        <f t="shared" si="515"/>
        <v>0.16189999999999999</v>
      </c>
      <c r="GK1000" s="101">
        <f t="shared" si="516"/>
        <v>1</v>
      </c>
      <c r="GL1000" s="101">
        <f t="shared" si="517"/>
        <v>19</v>
      </c>
    </row>
    <row r="1001" spans="170:194" ht="16.5" x14ac:dyDescent="0.2">
      <c r="FN1001" s="101">
        <v>996</v>
      </c>
      <c r="FO1001" s="101">
        <f t="shared" si="502"/>
        <v>32</v>
      </c>
      <c r="FP1001" s="101">
        <f t="shared" si="495"/>
        <v>13</v>
      </c>
      <c r="FQ1001" s="14">
        <f t="shared" si="496"/>
        <v>4</v>
      </c>
      <c r="FR1001" s="101" t="str">
        <f t="shared" si="503"/>
        <v>西方龙专属武器-魂珠-4 5级</v>
      </c>
      <c r="FS1001" s="101">
        <f t="shared" si="504"/>
        <v>4</v>
      </c>
      <c r="FT1001" s="101">
        <f t="shared" si="505"/>
        <v>5</v>
      </c>
      <c r="FU1001" s="101" t="str">
        <f t="shared" si="497"/>
        <v>金币</v>
      </c>
      <c r="FV1001" s="139">
        <f>IF($FT1001&gt;0,IF(INDEX($EI$6:$EI$77,$FO1001)&gt;=FV$3,ROUND(INDEX(EK$6:EK$77,$FO1001)*INDEX(卡牌消耗!$B$8:$F$8,FQ1001)/5,0)*5,""),"")</f>
        <v>1780</v>
      </c>
      <c r="FW1001" s="101" t="str">
        <f t="shared" si="498"/>
        <v>专属强化石2</v>
      </c>
      <c r="FX1001" s="101">
        <f t="shared" si="499"/>
        <v>5</v>
      </c>
      <c r="FY1001" s="101" t="str">
        <f t="shared" si="500"/>
        <v>专属强化石3</v>
      </c>
      <c r="FZ1001" s="101">
        <f t="shared" si="501"/>
        <v>2</v>
      </c>
      <c r="GA1001" s="101">
        <f t="shared" si="506"/>
        <v>0.05</v>
      </c>
      <c r="GB1001" s="101">
        <f t="shared" si="507"/>
        <v>1</v>
      </c>
      <c r="GC1001" s="101">
        <f t="shared" si="508"/>
        <v>30</v>
      </c>
      <c r="GD1001" s="101">
        <f t="shared" si="509"/>
        <v>0</v>
      </c>
      <c r="GE1001" s="101">
        <f t="shared" si="510"/>
        <v>1</v>
      </c>
      <c r="GF1001" s="101">
        <f t="shared" si="511"/>
        <v>7</v>
      </c>
      <c r="GG1001" s="101">
        <f t="shared" si="512"/>
        <v>2.53E-2</v>
      </c>
      <c r="GH1001" s="101">
        <f t="shared" si="513"/>
        <v>1</v>
      </c>
      <c r="GI1001" s="101">
        <f t="shared" si="514"/>
        <v>14</v>
      </c>
      <c r="GJ1001" s="101">
        <f t="shared" si="515"/>
        <v>0.1012</v>
      </c>
      <c r="GK1001" s="101">
        <f t="shared" si="516"/>
        <v>1</v>
      </c>
      <c r="GL1001" s="101">
        <f t="shared" si="517"/>
        <v>30</v>
      </c>
    </row>
    <row r="1002" spans="170:194" ht="16.5" x14ac:dyDescent="0.2">
      <c r="FN1002" s="101">
        <v>997</v>
      </c>
      <c r="FO1002" s="101">
        <f t="shared" si="502"/>
        <v>33</v>
      </c>
      <c r="FP1002" s="101">
        <f t="shared" si="495"/>
        <v>13</v>
      </c>
      <c r="FQ1002" s="14">
        <f t="shared" si="496"/>
        <v>4</v>
      </c>
      <c r="FR1002" s="101" t="str">
        <f t="shared" si="503"/>
        <v>西方龙专属武器-魂珠-4 6级</v>
      </c>
      <c r="FS1002" s="101">
        <f t="shared" si="504"/>
        <v>4</v>
      </c>
      <c r="FT1002" s="101">
        <f t="shared" si="505"/>
        <v>6</v>
      </c>
      <c r="FU1002" s="101" t="str">
        <f t="shared" si="497"/>
        <v>金币</v>
      </c>
      <c r="FV1002" s="139">
        <f>IF($FT1002&gt;0,IF(INDEX($EI$6:$EI$77,$FO1002)&gt;=FV$3,ROUND(INDEX(EK$6:EK$77,$FO1002)*INDEX(卡牌消耗!$B$8:$F$8,FQ1002)/5,0)*5,""),"")</f>
        <v>1770</v>
      </c>
      <c r="FW1002" s="101" t="str">
        <f t="shared" si="498"/>
        <v>专属强化石2</v>
      </c>
      <c r="FX1002" s="101">
        <f t="shared" si="499"/>
        <v>5</v>
      </c>
      <c r="FY1002" s="101" t="str">
        <f t="shared" si="500"/>
        <v>专属强化石3</v>
      </c>
      <c r="FZ1002" s="101">
        <f t="shared" si="501"/>
        <v>2</v>
      </c>
      <c r="GA1002" s="101">
        <f t="shared" si="506"/>
        <v>0.03</v>
      </c>
      <c r="GB1002" s="101">
        <f t="shared" si="507"/>
        <v>1</v>
      </c>
      <c r="GC1002" s="101">
        <f t="shared" si="508"/>
        <v>48</v>
      </c>
      <c r="GD1002" s="101">
        <f t="shared" si="509"/>
        <v>0</v>
      </c>
      <c r="GE1002" s="101">
        <f t="shared" si="510"/>
        <v>1</v>
      </c>
      <c r="GF1002" s="101">
        <f t="shared" si="511"/>
        <v>11</v>
      </c>
      <c r="GG1002" s="101">
        <f t="shared" si="512"/>
        <v>1.5599999999999999E-2</v>
      </c>
      <c r="GH1002" s="101">
        <f t="shared" si="513"/>
        <v>1</v>
      </c>
      <c r="GI1002" s="101">
        <f t="shared" si="514"/>
        <v>22</v>
      </c>
      <c r="GJ1002" s="101">
        <f t="shared" si="515"/>
        <v>6.2300000000000001E-2</v>
      </c>
      <c r="GK1002" s="101">
        <f t="shared" si="516"/>
        <v>1</v>
      </c>
      <c r="GL1002" s="101">
        <f t="shared" si="517"/>
        <v>48</v>
      </c>
    </row>
    <row r="1003" spans="170:194" ht="16.5" x14ac:dyDescent="0.2">
      <c r="FN1003" s="101">
        <v>998</v>
      </c>
      <c r="FO1003" s="101">
        <f t="shared" si="502"/>
        <v>34</v>
      </c>
      <c r="FP1003" s="101">
        <f t="shared" si="495"/>
        <v>13</v>
      </c>
      <c r="FQ1003" s="14">
        <f t="shared" si="496"/>
        <v>4</v>
      </c>
      <c r="FR1003" s="101" t="str">
        <f t="shared" si="503"/>
        <v>西方龙专属武器-魂珠-4 7级</v>
      </c>
      <c r="FS1003" s="101">
        <f t="shared" si="504"/>
        <v>4</v>
      </c>
      <c r="FT1003" s="101">
        <f t="shared" si="505"/>
        <v>7</v>
      </c>
      <c r="FU1003" s="101" t="str">
        <f t="shared" si="497"/>
        <v>金币</v>
      </c>
      <c r="FV1003" s="139">
        <f>IF($FT1003&gt;0,IF(INDEX($EI$6:$EI$77,$FO1003)&gt;=FV$3,ROUND(INDEX(EK$6:EK$77,$FO1003)*INDEX(卡牌消耗!$B$8:$F$8,FQ1003)/5,0)*5,""),"")</f>
        <v>2660</v>
      </c>
      <c r="FW1003" s="101" t="str">
        <f t="shared" si="498"/>
        <v>专属强化石2</v>
      </c>
      <c r="FX1003" s="101">
        <f t="shared" si="499"/>
        <v>8</v>
      </c>
      <c r="FY1003" s="101" t="str">
        <f t="shared" si="500"/>
        <v>专属强化石3</v>
      </c>
      <c r="FZ1003" s="101">
        <f t="shared" si="501"/>
        <v>3</v>
      </c>
      <c r="GA1003" s="101">
        <f t="shared" si="506"/>
        <v>0.03</v>
      </c>
      <c r="GB1003" s="101">
        <f t="shared" si="507"/>
        <v>1</v>
      </c>
      <c r="GC1003" s="101">
        <f t="shared" si="508"/>
        <v>52</v>
      </c>
      <c r="GD1003" s="101">
        <f t="shared" si="509"/>
        <v>0</v>
      </c>
      <c r="GE1003" s="101">
        <f t="shared" si="510"/>
        <v>1</v>
      </c>
      <c r="GF1003" s="101">
        <f t="shared" si="511"/>
        <v>12</v>
      </c>
      <c r="GG1003" s="101">
        <f t="shared" si="512"/>
        <v>1.4500000000000001E-2</v>
      </c>
      <c r="GH1003" s="101">
        <f t="shared" si="513"/>
        <v>1</v>
      </c>
      <c r="GI1003" s="101">
        <f t="shared" si="514"/>
        <v>24</v>
      </c>
      <c r="GJ1003" s="101">
        <f t="shared" si="515"/>
        <v>5.7799999999999997E-2</v>
      </c>
      <c r="GK1003" s="101">
        <f t="shared" si="516"/>
        <v>1</v>
      </c>
      <c r="GL1003" s="101">
        <f t="shared" si="517"/>
        <v>52</v>
      </c>
    </row>
    <row r="1004" spans="170:194" ht="16.5" x14ac:dyDescent="0.2">
      <c r="FN1004" s="101">
        <v>999</v>
      </c>
      <c r="FO1004" s="101">
        <f t="shared" si="502"/>
        <v>35</v>
      </c>
      <c r="FP1004" s="101">
        <f t="shared" si="495"/>
        <v>13</v>
      </c>
      <c r="FQ1004" s="14">
        <f t="shared" si="496"/>
        <v>4</v>
      </c>
      <c r="FR1004" s="101" t="str">
        <f t="shared" si="503"/>
        <v>西方龙专属武器-魂珠-4 8级</v>
      </c>
      <c r="FS1004" s="101">
        <f t="shared" si="504"/>
        <v>4</v>
      </c>
      <c r="FT1004" s="101">
        <f t="shared" si="505"/>
        <v>8</v>
      </c>
      <c r="FU1004" s="101" t="str">
        <f t="shared" si="497"/>
        <v>金币</v>
      </c>
      <c r="FV1004" s="139">
        <f>IF($FT1004&gt;0,IF(INDEX($EI$6:$EI$77,$FO1004)&gt;=FV$3,ROUND(INDEX(EK$6:EK$77,$FO1004)*INDEX(卡牌消耗!$B$8:$F$8,FQ1004)/5,0)*5,""),"")</f>
        <v>3540</v>
      </c>
      <c r="FW1004" s="101" t="str">
        <f t="shared" si="498"/>
        <v>专属强化石2</v>
      </c>
      <c r="FX1004" s="101">
        <f t="shared" si="499"/>
        <v>11</v>
      </c>
      <c r="FY1004" s="101" t="str">
        <f t="shared" si="500"/>
        <v>专属强化石3</v>
      </c>
      <c r="FZ1004" s="101">
        <f t="shared" si="501"/>
        <v>4</v>
      </c>
      <c r="GA1004" s="101">
        <f t="shared" si="506"/>
        <v>0.02</v>
      </c>
      <c r="GB1004" s="101">
        <f t="shared" si="507"/>
        <v>1</v>
      </c>
      <c r="GC1004" s="101">
        <f t="shared" si="508"/>
        <v>63</v>
      </c>
      <c r="GD1004" s="101">
        <f t="shared" si="509"/>
        <v>0</v>
      </c>
      <c r="GE1004" s="101">
        <f t="shared" si="510"/>
        <v>1</v>
      </c>
      <c r="GF1004" s="101">
        <f t="shared" si="511"/>
        <v>15</v>
      </c>
      <c r="GG1004" s="101">
        <f t="shared" si="512"/>
        <v>1.1900000000000001E-2</v>
      </c>
      <c r="GH1004" s="101">
        <f t="shared" si="513"/>
        <v>1</v>
      </c>
      <c r="GI1004" s="101">
        <f t="shared" si="514"/>
        <v>29</v>
      </c>
      <c r="GJ1004" s="101">
        <f t="shared" si="515"/>
        <v>4.7600000000000003E-2</v>
      </c>
      <c r="GK1004" s="101">
        <f t="shared" si="516"/>
        <v>1</v>
      </c>
      <c r="GL1004" s="101">
        <f t="shared" si="517"/>
        <v>63</v>
      </c>
    </row>
    <row r="1005" spans="170:194" ht="16.5" x14ac:dyDescent="0.2">
      <c r="FN1005" s="101">
        <v>1000</v>
      </c>
      <c r="FO1005" s="101">
        <f t="shared" si="502"/>
        <v>36</v>
      </c>
      <c r="FP1005" s="101">
        <f t="shared" si="495"/>
        <v>13</v>
      </c>
      <c r="FQ1005" s="14">
        <f t="shared" si="496"/>
        <v>4</v>
      </c>
      <c r="FR1005" s="101" t="str">
        <f t="shared" si="503"/>
        <v>西方龙专属武器-魂珠-4 9级</v>
      </c>
      <c r="FS1005" s="101">
        <f t="shared" si="504"/>
        <v>4</v>
      </c>
      <c r="FT1005" s="101">
        <f t="shared" si="505"/>
        <v>9</v>
      </c>
      <c r="FU1005" s="101" t="str">
        <f t="shared" si="497"/>
        <v>金币</v>
      </c>
      <c r="FV1005" s="139">
        <f>IF($FT1005&gt;0,IF(INDEX($EI$6:$EI$77,$FO1005)&gt;=FV$3,ROUND(INDEX(EK$6:EK$77,$FO1005)*INDEX(卡牌消耗!$B$8:$F$8,FQ1005)/5,0)*5,""),"")</f>
        <v>5315</v>
      </c>
      <c r="FW1005" s="101" t="str">
        <f t="shared" si="498"/>
        <v>专属强化石2</v>
      </c>
      <c r="FX1005" s="101">
        <f t="shared" si="499"/>
        <v>16</v>
      </c>
      <c r="FY1005" s="101" t="str">
        <f t="shared" si="500"/>
        <v>专属强化石3</v>
      </c>
      <c r="FZ1005" s="101">
        <f t="shared" si="501"/>
        <v>6</v>
      </c>
      <c r="GA1005" s="101">
        <f t="shared" si="506"/>
        <v>0.02</v>
      </c>
      <c r="GB1005" s="101">
        <f t="shared" si="507"/>
        <v>1</v>
      </c>
      <c r="GC1005" s="101">
        <f t="shared" si="508"/>
        <v>68</v>
      </c>
      <c r="GD1005" s="101">
        <f t="shared" si="509"/>
        <v>0</v>
      </c>
      <c r="GE1005" s="101">
        <f t="shared" si="510"/>
        <v>1</v>
      </c>
      <c r="GF1005" s="101">
        <f t="shared" si="511"/>
        <v>16</v>
      </c>
      <c r="GG1005" s="101">
        <f t="shared" si="512"/>
        <v>1.0999999999999999E-2</v>
      </c>
      <c r="GH1005" s="101">
        <f t="shared" si="513"/>
        <v>1</v>
      </c>
      <c r="GI1005" s="101">
        <f t="shared" si="514"/>
        <v>32</v>
      </c>
      <c r="GJ1005" s="101">
        <f t="shared" si="515"/>
        <v>4.4200000000000003E-2</v>
      </c>
      <c r="GK1005" s="101">
        <f t="shared" si="516"/>
        <v>1</v>
      </c>
      <c r="GL1005" s="101">
        <f t="shared" si="517"/>
        <v>68</v>
      </c>
    </row>
    <row r="1006" spans="170:194" ht="16.5" x14ac:dyDescent="0.2">
      <c r="FN1006" s="101">
        <v>1001</v>
      </c>
      <c r="FO1006" s="101">
        <f t="shared" si="502"/>
        <v>0</v>
      </c>
      <c r="FP1006" s="101">
        <f t="shared" si="495"/>
        <v>13</v>
      </c>
      <c r="FQ1006" s="14">
        <f t="shared" si="496"/>
        <v>4</v>
      </c>
      <c r="FR1006" s="101" t="str">
        <f t="shared" si="503"/>
        <v>西方龙专属武器-魂珠-5 0级</v>
      </c>
      <c r="FS1006" s="101">
        <f t="shared" si="504"/>
        <v>5</v>
      </c>
      <c r="FT1006" s="101">
        <f t="shared" si="505"/>
        <v>0</v>
      </c>
      <c r="FU1006" s="101" t="str">
        <f t="shared" si="497"/>
        <v/>
      </c>
      <c r="FV1006" s="139" t="str">
        <f>IF($FT1006&gt;0,IF(INDEX($EI$6:$EI$77,$FO1006)&gt;=FV$3,ROUND(INDEX(EK$6:EK$77,$FO1006)*INDEX(卡牌消耗!$B$8:$F$8,FQ1006)/5,0)*5,""),"")</f>
        <v/>
      </c>
      <c r="FW1006" s="101" t="str">
        <f t="shared" si="498"/>
        <v/>
      </c>
      <c r="FX1006" s="101" t="str">
        <f t="shared" si="499"/>
        <v/>
      </c>
      <c r="FY1006" s="101" t="str">
        <f t="shared" si="500"/>
        <v/>
      </c>
      <c r="FZ1006" s="101" t="str">
        <f t="shared" si="501"/>
        <v/>
      </c>
      <c r="GA1006" s="101" t="str">
        <f t="shared" si="506"/>
        <v/>
      </c>
      <c r="GB1006" s="101" t="str">
        <f t="shared" si="507"/>
        <v/>
      </c>
      <c r="GC1006" s="101" t="str">
        <f t="shared" si="508"/>
        <v/>
      </c>
      <c r="GD1006" s="101" t="str">
        <f t="shared" si="509"/>
        <v/>
      </c>
      <c r="GE1006" s="101" t="str">
        <f t="shared" si="510"/>
        <v/>
      </c>
      <c r="GF1006" s="101" t="str">
        <f t="shared" si="511"/>
        <v/>
      </c>
      <c r="GG1006" s="101" t="str">
        <f t="shared" si="512"/>
        <v/>
      </c>
      <c r="GH1006" s="101" t="str">
        <f t="shared" si="513"/>
        <v/>
      </c>
      <c r="GI1006" s="101" t="str">
        <f t="shared" si="514"/>
        <v/>
      </c>
      <c r="GJ1006" s="101" t="str">
        <f t="shared" si="515"/>
        <v/>
      </c>
      <c r="GK1006" s="101" t="str">
        <f t="shared" si="516"/>
        <v/>
      </c>
      <c r="GL1006" s="101" t="str">
        <f t="shared" si="517"/>
        <v/>
      </c>
    </row>
    <row r="1007" spans="170:194" ht="16.5" x14ac:dyDescent="0.2">
      <c r="FN1007" s="101">
        <v>1002</v>
      </c>
      <c r="FO1007" s="101">
        <f t="shared" si="502"/>
        <v>37</v>
      </c>
      <c r="FP1007" s="101">
        <f t="shared" si="495"/>
        <v>13</v>
      </c>
      <c r="FQ1007" s="14">
        <f t="shared" si="496"/>
        <v>4</v>
      </c>
      <c r="FR1007" s="101" t="str">
        <f t="shared" si="503"/>
        <v>西方龙专属武器-魂珠-5 1级</v>
      </c>
      <c r="FS1007" s="101">
        <f t="shared" si="504"/>
        <v>5</v>
      </c>
      <c r="FT1007" s="101">
        <f t="shared" si="505"/>
        <v>1</v>
      </c>
      <c r="FU1007" s="101" t="str">
        <f t="shared" si="497"/>
        <v>金币</v>
      </c>
      <c r="FV1007" s="139">
        <f>IF($FT1007&gt;0,IF(INDEX($EI$6:$EI$77,$FO1007)&gt;=FV$3,ROUND(INDEX(EK$6:EK$77,$FO1007)*INDEX(卡牌消耗!$B$8:$F$8,FQ1007)/5,0)*5,""),"")</f>
        <v>2245</v>
      </c>
      <c r="FW1007" s="101" t="str">
        <f t="shared" si="498"/>
        <v>专属强化石2</v>
      </c>
      <c r="FX1007" s="101">
        <f t="shared" si="499"/>
        <v>3</v>
      </c>
      <c r="FY1007" s="101" t="str">
        <f t="shared" si="500"/>
        <v>专属强化石3</v>
      </c>
      <c r="FZ1007" s="101">
        <f t="shared" si="501"/>
        <v>2</v>
      </c>
      <c r="GA1007" s="101">
        <f t="shared" si="506"/>
        <v>0.2</v>
      </c>
      <c r="GB1007" s="101">
        <f t="shared" si="507"/>
        <v>1</v>
      </c>
      <c r="GC1007" s="101">
        <f t="shared" si="508"/>
        <v>7</v>
      </c>
      <c r="GD1007" s="101">
        <f t="shared" si="509"/>
        <v>0</v>
      </c>
      <c r="GE1007" s="101">
        <f t="shared" si="510"/>
        <v>1</v>
      </c>
      <c r="GF1007" s="101">
        <f t="shared" si="511"/>
        <v>2</v>
      </c>
      <c r="GG1007" s="101">
        <f t="shared" si="512"/>
        <v>0.1012</v>
      </c>
      <c r="GH1007" s="101">
        <f t="shared" si="513"/>
        <v>1</v>
      </c>
      <c r="GI1007" s="101">
        <f t="shared" si="514"/>
        <v>3</v>
      </c>
      <c r="GJ1007" s="101">
        <f t="shared" si="515"/>
        <v>0.40479999999999999</v>
      </c>
      <c r="GK1007" s="101">
        <f t="shared" si="516"/>
        <v>1</v>
      </c>
      <c r="GL1007" s="101">
        <f t="shared" si="517"/>
        <v>7</v>
      </c>
    </row>
    <row r="1008" spans="170:194" ht="16.5" x14ac:dyDescent="0.2">
      <c r="FN1008" s="101">
        <v>1003</v>
      </c>
      <c r="FO1008" s="101">
        <f t="shared" si="502"/>
        <v>38</v>
      </c>
      <c r="FP1008" s="101">
        <f t="shared" si="495"/>
        <v>13</v>
      </c>
      <c r="FQ1008" s="14">
        <f t="shared" si="496"/>
        <v>4</v>
      </c>
      <c r="FR1008" s="101" t="str">
        <f t="shared" si="503"/>
        <v>西方龙专属武器-魂珠-5 2级</v>
      </c>
      <c r="FS1008" s="101">
        <f t="shared" si="504"/>
        <v>5</v>
      </c>
      <c r="FT1008" s="101">
        <f t="shared" si="505"/>
        <v>2</v>
      </c>
      <c r="FU1008" s="101" t="str">
        <f t="shared" si="497"/>
        <v>金币</v>
      </c>
      <c r="FV1008" s="139">
        <f>IF($FT1008&gt;0,IF(INDEX($EI$6:$EI$77,$FO1008)&gt;=FV$3,ROUND(INDEX(EK$6:EK$77,$FO1008)*INDEX(卡牌消耗!$B$8:$F$8,FQ1008)/5,0)*5,""),"")</f>
        <v>1685</v>
      </c>
      <c r="FW1008" s="101" t="str">
        <f t="shared" si="498"/>
        <v>专属强化石2</v>
      </c>
      <c r="FX1008" s="101">
        <f t="shared" si="499"/>
        <v>3</v>
      </c>
      <c r="FY1008" s="101" t="str">
        <f t="shared" si="500"/>
        <v>专属强化石3</v>
      </c>
      <c r="FZ1008" s="101">
        <f t="shared" si="501"/>
        <v>2</v>
      </c>
      <c r="GA1008" s="101">
        <f t="shared" si="506"/>
        <v>0.1</v>
      </c>
      <c r="GB1008" s="101">
        <f t="shared" si="507"/>
        <v>1</v>
      </c>
      <c r="GC1008" s="101">
        <f t="shared" si="508"/>
        <v>15</v>
      </c>
      <c r="GD1008" s="101">
        <f t="shared" si="509"/>
        <v>0</v>
      </c>
      <c r="GE1008" s="101">
        <f t="shared" si="510"/>
        <v>1</v>
      </c>
      <c r="GF1008" s="101">
        <f t="shared" si="511"/>
        <v>3</v>
      </c>
      <c r="GG1008" s="101">
        <f t="shared" si="512"/>
        <v>5.0599999999999999E-2</v>
      </c>
      <c r="GH1008" s="101">
        <f t="shared" si="513"/>
        <v>1</v>
      </c>
      <c r="GI1008" s="101">
        <f t="shared" si="514"/>
        <v>7</v>
      </c>
      <c r="GJ1008" s="101">
        <f t="shared" si="515"/>
        <v>0.2024</v>
      </c>
      <c r="GK1008" s="101">
        <f t="shared" si="516"/>
        <v>1</v>
      </c>
      <c r="GL1008" s="101">
        <f t="shared" si="517"/>
        <v>15</v>
      </c>
    </row>
    <row r="1009" spans="170:194" ht="16.5" x14ac:dyDescent="0.2">
      <c r="FN1009" s="101">
        <v>1004</v>
      </c>
      <c r="FO1009" s="101">
        <f t="shared" si="502"/>
        <v>39</v>
      </c>
      <c r="FP1009" s="101">
        <f t="shared" si="495"/>
        <v>13</v>
      </c>
      <c r="FQ1009" s="14">
        <f t="shared" si="496"/>
        <v>4</v>
      </c>
      <c r="FR1009" s="101" t="str">
        <f t="shared" si="503"/>
        <v>西方龙专属武器-魂珠-5 3级</v>
      </c>
      <c r="FS1009" s="101">
        <f t="shared" si="504"/>
        <v>5</v>
      </c>
      <c r="FT1009" s="101">
        <f t="shared" si="505"/>
        <v>3</v>
      </c>
      <c r="FU1009" s="101" t="str">
        <f t="shared" si="497"/>
        <v>金币</v>
      </c>
      <c r="FV1009" s="139">
        <f>IF($FT1009&gt;0,IF(INDEX($EI$6:$EI$77,$FO1009)&gt;=FV$3,ROUND(INDEX(EK$6:EK$77,$FO1009)*INDEX(卡牌消耗!$B$8:$F$8,FQ1009)/5,0)*5,""),"")</f>
        <v>1870</v>
      </c>
      <c r="FW1009" s="101" t="str">
        <f t="shared" si="498"/>
        <v>专属强化石2</v>
      </c>
      <c r="FX1009" s="101">
        <f t="shared" si="499"/>
        <v>3</v>
      </c>
      <c r="FY1009" s="101" t="str">
        <f t="shared" si="500"/>
        <v>专属强化石3</v>
      </c>
      <c r="FZ1009" s="101">
        <f t="shared" si="501"/>
        <v>2</v>
      </c>
      <c r="GA1009" s="101">
        <f t="shared" si="506"/>
        <v>7.0000000000000007E-2</v>
      </c>
      <c r="GB1009" s="101">
        <f t="shared" si="507"/>
        <v>1</v>
      </c>
      <c r="GC1009" s="101">
        <f t="shared" si="508"/>
        <v>22</v>
      </c>
      <c r="GD1009" s="101">
        <f t="shared" si="509"/>
        <v>0</v>
      </c>
      <c r="GE1009" s="101">
        <f t="shared" si="510"/>
        <v>1</v>
      </c>
      <c r="GF1009" s="101">
        <f t="shared" si="511"/>
        <v>5</v>
      </c>
      <c r="GG1009" s="101">
        <f t="shared" si="512"/>
        <v>3.3700000000000001E-2</v>
      </c>
      <c r="GH1009" s="101">
        <f t="shared" si="513"/>
        <v>1</v>
      </c>
      <c r="GI1009" s="101">
        <f t="shared" si="514"/>
        <v>10</v>
      </c>
      <c r="GJ1009" s="101">
        <f t="shared" si="515"/>
        <v>0.13489999999999999</v>
      </c>
      <c r="GK1009" s="101">
        <f t="shared" si="516"/>
        <v>1</v>
      </c>
      <c r="GL1009" s="101">
        <f t="shared" si="517"/>
        <v>22</v>
      </c>
    </row>
    <row r="1010" spans="170:194" ht="16.5" x14ac:dyDescent="0.2">
      <c r="FN1010" s="101">
        <v>1005</v>
      </c>
      <c r="FO1010" s="101">
        <f t="shared" si="502"/>
        <v>40</v>
      </c>
      <c r="FP1010" s="101">
        <f t="shared" si="495"/>
        <v>13</v>
      </c>
      <c r="FQ1010" s="14">
        <f t="shared" si="496"/>
        <v>4</v>
      </c>
      <c r="FR1010" s="101" t="str">
        <f t="shared" si="503"/>
        <v>西方龙专属武器-魂珠-5 4级</v>
      </c>
      <c r="FS1010" s="101">
        <f t="shared" si="504"/>
        <v>5</v>
      </c>
      <c r="FT1010" s="101">
        <f t="shared" si="505"/>
        <v>4</v>
      </c>
      <c r="FU1010" s="101" t="str">
        <f t="shared" si="497"/>
        <v>金币</v>
      </c>
      <c r="FV1010" s="139">
        <f>IF($FT1010&gt;0,IF(INDEX($EI$6:$EI$77,$FO1010)&gt;=FV$3,ROUND(INDEX(EK$6:EK$77,$FO1010)*INDEX(卡牌消耗!$B$8:$F$8,FQ1010)/5,0)*5,""),"")</f>
        <v>2695</v>
      </c>
      <c r="FW1010" s="101" t="str">
        <f t="shared" si="498"/>
        <v>专属强化石2</v>
      </c>
      <c r="FX1010" s="101">
        <f t="shared" si="499"/>
        <v>5</v>
      </c>
      <c r="FY1010" s="101" t="str">
        <f t="shared" si="500"/>
        <v>专属强化石3</v>
      </c>
      <c r="FZ1010" s="101">
        <f t="shared" si="501"/>
        <v>3</v>
      </c>
      <c r="GA1010" s="101">
        <f t="shared" si="506"/>
        <v>0.06</v>
      </c>
      <c r="GB1010" s="101">
        <f t="shared" si="507"/>
        <v>1</v>
      </c>
      <c r="GC1010" s="101">
        <f t="shared" si="508"/>
        <v>25</v>
      </c>
      <c r="GD1010" s="101">
        <f t="shared" si="509"/>
        <v>0</v>
      </c>
      <c r="GE1010" s="101">
        <f t="shared" si="510"/>
        <v>1</v>
      </c>
      <c r="GF1010" s="101">
        <f t="shared" si="511"/>
        <v>6</v>
      </c>
      <c r="GG1010" s="101">
        <f t="shared" si="512"/>
        <v>3.04E-2</v>
      </c>
      <c r="GH1010" s="101">
        <f t="shared" si="513"/>
        <v>1</v>
      </c>
      <c r="GI1010" s="101">
        <f t="shared" si="514"/>
        <v>12</v>
      </c>
      <c r="GJ1010" s="101">
        <f t="shared" si="515"/>
        <v>0.12139999999999999</v>
      </c>
      <c r="GK1010" s="101">
        <f t="shared" si="516"/>
        <v>1</v>
      </c>
      <c r="GL1010" s="101">
        <f t="shared" si="517"/>
        <v>25</v>
      </c>
    </row>
    <row r="1011" spans="170:194" ht="16.5" x14ac:dyDescent="0.2">
      <c r="FN1011" s="101">
        <v>1006</v>
      </c>
      <c r="FO1011" s="101">
        <f t="shared" si="502"/>
        <v>41</v>
      </c>
      <c r="FP1011" s="101">
        <f t="shared" si="495"/>
        <v>13</v>
      </c>
      <c r="FQ1011" s="14">
        <f t="shared" si="496"/>
        <v>4</v>
      </c>
      <c r="FR1011" s="101" t="str">
        <f t="shared" si="503"/>
        <v>西方龙专属武器-魂珠-5 5级</v>
      </c>
      <c r="FS1011" s="101">
        <f t="shared" si="504"/>
        <v>5</v>
      </c>
      <c r="FT1011" s="101">
        <f t="shared" si="505"/>
        <v>5</v>
      </c>
      <c r="FU1011" s="101" t="str">
        <f t="shared" si="497"/>
        <v>金币</v>
      </c>
      <c r="FV1011" s="139">
        <f>IF($FT1011&gt;0,IF(INDEX($EI$6:$EI$77,$FO1011)&gt;=FV$3,ROUND(INDEX(EK$6:EK$77,$FO1011)*INDEX(卡牌消耗!$B$8:$F$8,FQ1011)/5,0)*5,""),"")</f>
        <v>2735</v>
      </c>
      <c r="FW1011" s="101" t="str">
        <f t="shared" si="498"/>
        <v>专属强化石2</v>
      </c>
      <c r="FX1011" s="101">
        <f t="shared" si="499"/>
        <v>5</v>
      </c>
      <c r="FY1011" s="101" t="str">
        <f t="shared" si="500"/>
        <v>专属强化石3</v>
      </c>
      <c r="FZ1011" s="101">
        <f t="shared" si="501"/>
        <v>3</v>
      </c>
      <c r="GA1011" s="101">
        <f t="shared" si="506"/>
        <v>0.04</v>
      </c>
      <c r="GB1011" s="101">
        <f t="shared" si="507"/>
        <v>1</v>
      </c>
      <c r="GC1011" s="101">
        <f t="shared" si="508"/>
        <v>40</v>
      </c>
      <c r="GD1011" s="101">
        <f t="shared" si="509"/>
        <v>0</v>
      </c>
      <c r="GE1011" s="101">
        <f t="shared" si="510"/>
        <v>1</v>
      </c>
      <c r="GF1011" s="101">
        <f t="shared" si="511"/>
        <v>9</v>
      </c>
      <c r="GG1011" s="101">
        <f t="shared" si="512"/>
        <v>1.9E-2</v>
      </c>
      <c r="GH1011" s="101">
        <f t="shared" si="513"/>
        <v>1</v>
      </c>
      <c r="GI1011" s="101">
        <f t="shared" si="514"/>
        <v>18</v>
      </c>
      <c r="GJ1011" s="101">
        <f t="shared" si="515"/>
        <v>7.5899999999999995E-2</v>
      </c>
      <c r="GK1011" s="101">
        <f t="shared" si="516"/>
        <v>1</v>
      </c>
      <c r="GL1011" s="101">
        <f t="shared" si="517"/>
        <v>40</v>
      </c>
    </row>
    <row r="1012" spans="170:194" ht="16.5" x14ac:dyDescent="0.2">
      <c r="FN1012" s="101">
        <v>1007</v>
      </c>
      <c r="FO1012" s="101">
        <f t="shared" si="502"/>
        <v>42</v>
      </c>
      <c r="FP1012" s="101">
        <f t="shared" si="495"/>
        <v>13</v>
      </c>
      <c r="FQ1012" s="14">
        <f t="shared" si="496"/>
        <v>4</v>
      </c>
      <c r="FR1012" s="101" t="str">
        <f t="shared" si="503"/>
        <v>西方龙专属武器-魂珠-5 6级</v>
      </c>
      <c r="FS1012" s="101">
        <f t="shared" si="504"/>
        <v>5</v>
      </c>
      <c r="FT1012" s="101">
        <f t="shared" si="505"/>
        <v>6</v>
      </c>
      <c r="FU1012" s="101" t="str">
        <f t="shared" si="497"/>
        <v>金币</v>
      </c>
      <c r="FV1012" s="139">
        <f>IF($FT1012&gt;0,IF(INDEX($EI$6:$EI$77,$FO1012)&gt;=FV$3,ROUND(INDEX(EK$6:EK$77,$FO1012)*INDEX(卡牌消耗!$B$8:$F$8,FQ1012)/5,0)*5,""),"")</f>
        <v>4530</v>
      </c>
      <c r="FW1012" s="101" t="str">
        <f t="shared" si="498"/>
        <v>专属强化石2</v>
      </c>
      <c r="FX1012" s="101">
        <f t="shared" si="499"/>
        <v>8</v>
      </c>
      <c r="FY1012" s="101" t="str">
        <f t="shared" si="500"/>
        <v>专属强化石3</v>
      </c>
      <c r="FZ1012" s="101">
        <f t="shared" si="501"/>
        <v>5</v>
      </c>
      <c r="GA1012" s="101">
        <f t="shared" si="506"/>
        <v>0.04</v>
      </c>
      <c r="GB1012" s="101">
        <f t="shared" si="507"/>
        <v>1</v>
      </c>
      <c r="GC1012" s="101">
        <f t="shared" si="508"/>
        <v>39</v>
      </c>
      <c r="GD1012" s="101">
        <f t="shared" si="509"/>
        <v>0</v>
      </c>
      <c r="GE1012" s="101">
        <f t="shared" si="510"/>
        <v>1</v>
      </c>
      <c r="GF1012" s="101">
        <f t="shared" si="511"/>
        <v>9</v>
      </c>
      <c r="GG1012" s="101">
        <f t="shared" si="512"/>
        <v>1.95E-2</v>
      </c>
      <c r="GH1012" s="101">
        <f t="shared" si="513"/>
        <v>1</v>
      </c>
      <c r="GI1012" s="101">
        <f t="shared" si="514"/>
        <v>18</v>
      </c>
      <c r="GJ1012" s="101">
        <f t="shared" si="515"/>
        <v>7.7799999999999994E-2</v>
      </c>
      <c r="GK1012" s="101">
        <f t="shared" si="516"/>
        <v>1</v>
      </c>
      <c r="GL1012" s="101">
        <f t="shared" si="517"/>
        <v>39</v>
      </c>
    </row>
    <row r="1013" spans="170:194" ht="16.5" x14ac:dyDescent="0.2">
      <c r="FN1013" s="101">
        <v>1008</v>
      </c>
      <c r="FO1013" s="101">
        <f t="shared" si="502"/>
        <v>43</v>
      </c>
      <c r="FP1013" s="101">
        <f t="shared" si="495"/>
        <v>13</v>
      </c>
      <c r="FQ1013" s="14">
        <f t="shared" si="496"/>
        <v>4</v>
      </c>
      <c r="FR1013" s="101" t="str">
        <f t="shared" si="503"/>
        <v>西方龙专属武器-魂珠-5 7级</v>
      </c>
      <c r="FS1013" s="101">
        <f t="shared" si="504"/>
        <v>5</v>
      </c>
      <c r="FT1013" s="101">
        <f t="shared" si="505"/>
        <v>7</v>
      </c>
      <c r="FU1013" s="101" t="str">
        <f t="shared" si="497"/>
        <v>金币</v>
      </c>
      <c r="FV1013" s="139">
        <f>IF($FT1013&gt;0,IF(INDEX($EI$6:$EI$77,$FO1013)&gt;=FV$3,ROUND(INDEX(EK$6:EK$77,$FO1013)*INDEX(卡牌消耗!$B$8:$F$8,FQ1013)/5,0)*5,""),"")</f>
        <v>4540</v>
      </c>
      <c r="FW1013" s="101" t="str">
        <f t="shared" si="498"/>
        <v>专属强化石2</v>
      </c>
      <c r="FX1013" s="101">
        <f t="shared" si="499"/>
        <v>8</v>
      </c>
      <c r="FY1013" s="101" t="str">
        <f t="shared" si="500"/>
        <v>专属强化石3</v>
      </c>
      <c r="FZ1013" s="101">
        <f t="shared" si="501"/>
        <v>5</v>
      </c>
      <c r="GA1013" s="101">
        <f t="shared" si="506"/>
        <v>0.02</v>
      </c>
      <c r="GB1013" s="101">
        <f t="shared" si="507"/>
        <v>1</v>
      </c>
      <c r="GC1013" s="101">
        <f t="shared" si="508"/>
        <v>62</v>
      </c>
      <c r="GD1013" s="101">
        <f t="shared" si="509"/>
        <v>0</v>
      </c>
      <c r="GE1013" s="101">
        <f t="shared" si="510"/>
        <v>1</v>
      </c>
      <c r="GF1013" s="101">
        <f t="shared" si="511"/>
        <v>15</v>
      </c>
      <c r="GG1013" s="101">
        <f t="shared" si="512"/>
        <v>1.2E-2</v>
      </c>
      <c r="GH1013" s="101">
        <f t="shared" si="513"/>
        <v>1</v>
      </c>
      <c r="GI1013" s="101">
        <f t="shared" si="514"/>
        <v>29</v>
      </c>
      <c r="GJ1013" s="101">
        <f t="shared" si="515"/>
        <v>4.82E-2</v>
      </c>
      <c r="GK1013" s="101">
        <f t="shared" si="516"/>
        <v>1</v>
      </c>
      <c r="GL1013" s="101">
        <f t="shared" si="517"/>
        <v>62</v>
      </c>
    </row>
    <row r="1014" spans="170:194" ht="16.5" x14ac:dyDescent="0.2">
      <c r="FN1014" s="101">
        <v>1009</v>
      </c>
      <c r="FO1014" s="101">
        <f t="shared" si="502"/>
        <v>44</v>
      </c>
      <c r="FP1014" s="101">
        <f t="shared" si="495"/>
        <v>13</v>
      </c>
      <c r="FQ1014" s="14">
        <f t="shared" si="496"/>
        <v>4</v>
      </c>
      <c r="FR1014" s="101" t="str">
        <f t="shared" si="503"/>
        <v>西方龙专属武器-魂珠-5 8级</v>
      </c>
      <c r="FS1014" s="101">
        <f t="shared" si="504"/>
        <v>5</v>
      </c>
      <c r="FT1014" s="101">
        <f t="shared" si="505"/>
        <v>8</v>
      </c>
      <c r="FU1014" s="101" t="str">
        <f t="shared" si="497"/>
        <v>金币</v>
      </c>
      <c r="FV1014" s="139">
        <f>IF($FT1014&gt;0,IF(INDEX($EI$6:$EI$77,$FO1014)&gt;=FV$3,ROUND(INDEX(EK$6:EK$77,$FO1014)*INDEX(卡牌消耗!$B$8:$F$8,FQ1014)/5,0)*5,""),"")</f>
        <v>6350</v>
      </c>
      <c r="FW1014" s="101" t="str">
        <f t="shared" si="498"/>
        <v>专属强化石2</v>
      </c>
      <c r="FX1014" s="101">
        <f t="shared" si="499"/>
        <v>11</v>
      </c>
      <c r="FY1014" s="101" t="str">
        <f t="shared" si="500"/>
        <v>专属强化石3</v>
      </c>
      <c r="FZ1014" s="101">
        <f t="shared" si="501"/>
        <v>7</v>
      </c>
      <c r="GA1014" s="101">
        <f t="shared" si="506"/>
        <v>0.02</v>
      </c>
      <c r="GB1014" s="101">
        <f t="shared" si="507"/>
        <v>1</v>
      </c>
      <c r="GC1014" s="101">
        <f t="shared" si="508"/>
        <v>72</v>
      </c>
      <c r="GD1014" s="101">
        <f t="shared" si="509"/>
        <v>0</v>
      </c>
      <c r="GE1014" s="101">
        <f t="shared" si="510"/>
        <v>1</v>
      </c>
      <c r="GF1014" s="101">
        <f t="shared" si="511"/>
        <v>17</v>
      </c>
      <c r="GG1014" s="101">
        <f t="shared" si="512"/>
        <v>1.04E-2</v>
      </c>
      <c r="GH1014" s="101">
        <f t="shared" si="513"/>
        <v>1</v>
      </c>
      <c r="GI1014" s="101">
        <f t="shared" si="514"/>
        <v>34</v>
      </c>
      <c r="GJ1014" s="101">
        <f t="shared" si="515"/>
        <v>4.1700000000000001E-2</v>
      </c>
      <c r="GK1014" s="101">
        <f t="shared" si="516"/>
        <v>1</v>
      </c>
      <c r="GL1014" s="101">
        <f t="shared" si="517"/>
        <v>72</v>
      </c>
    </row>
    <row r="1015" spans="170:194" ht="16.5" x14ac:dyDescent="0.2">
      <c r="FN1015" s="101">
        <v>1010</v>
      </c>
      <c r="FO1015" s="101">
        <f t="shared" si="502"/>
        <v>45</v>
      </c>
      <c r="FP1015" s="101">
        <f t="shared" si="495"/>
        <v>13</v>
      </c>
      <c r="FQ1015" s="14">
        <f t="shared" si="496"/>
        <v>4</v>
      </c>
      <c r="FR1015" s="101" t="str">
        <f t="shared" si="503"/>
        <v>西方龙专属武器-魂珠-5 9级</v>
      </c>
      <c r="FS1015" s="101">
        <f t="shared" si="504"/>
        <v>5</v>
      </c>
      <c r="FT1015" s="101">
        <f t="shared" si="505"/>
        <v>9</v>
      </c>
      <c r="FU1015" s="101" t="str">
        <f t="shared" si="497"/>
        <v>金币</v>
      </c>
      <c r="FV1015" s="139">
        <f>IF($FT1015&gt;0,IF(INDEX($EI$6:$EI$77,$FO1015)&gt;=FV$3,ROUND(INDEX(EK$6:EK$77,$FO1015)*INDEX(卡牌消耗!$B$8:$F$8,FQ1015)/5,0)*5,""),"")</f>
        <v>8170</v>
      </c>
      <c r="FW1015" s="101" t="str">
        <f t="shared" si="498"/>
        <v>专属强化石2</v>
      </c>
      <c r="FX1015" s="101">
        <f t="shared" si="499"/>
        <v>14</v>
      </c>
      <c r="FY1015" s="101" t="str">
        <f t="shared" si="500"/>
        <v>专属强化石3</v>
      </c>
      <c r="FZ1015" s="101">
        <f t="shared" si="501"/>
        <v>9</v>
      </c>
      <c r="GA1015" s="101">
        <f t="shared" si="506"/>
        <v>0.02</v>
      </c>
      <c r="GB1015" s="101">
        <f t="shared" si="507"/>
        <v>1</v>
      </c>
      <c r="GC1015" s="101">
        <f t="shared" si="508"/>
        <v>91</v>
      </c>
      <c r="GD1015" s="101">
        <f t="shared" si="509"/>
        <v>0</v>
      </c>
      <c r="GE1015" s="101">
        <f t="shared" si="510"/>
        <v>1</v>
      </c>
      <c r="GF1015" s="101">
        <f t="shared" si="511"/>
        <v>21</v>
      </c>
      <c r="GG1015" s="101">
        <f t="shared" si="512"/>
        <v>8.3000000000000001E-3</v>
      </c>
      <c r="GH1015" s="101">
        <f t="shared" si="513"/>
        <v>1</v>
      </c>
      <c r="GI1015" s="101">
        <f t="shared" si="514"/>
        <v>42</v>
      </c>
      <c r="GJ1015" s="101">
        <f t="shared" si="515"/>
        <v>3.3099999999999997E-2</v>
      </c>
      <c r="GK1015" s="101">
        <f t="shared" si="516"/>
        <v>1</v>
      </c>
      <c r="GL1015" s="101">
        <f t="shared" si="517"/>
        <v>91</v>
      </c>
    </row>
    <row r="1016" spans="170:194" ht="16.5" x14ac:dyDescent="0.2">
      <c r="FN1016" s="101">
        <v>1011</v>
      </c>
      <c r="FO1016" s="101">
        <f t="shared" si="502"/>
        <v>0</v>
      </c>
      <c r="FP1016" s="101">
        <f t="shared" si="495"/>
        <v>13</v>
      </c>
      <c r="FQ1016" s="14">
        <f t="shared" si="496"/>
        <v>4</v>
      </c>
      <c r="FR1016" s="101" t="str">
        <f t="shared" si="503"/>
        <v>西方龙专属武器-魂珠-6 0级</v>
      </c>
      <c r="FS1016" s="101">
        <f t="shared" si="504"/>
        <v>6</v>
      </c>
      <c r="FT1016" s="101">
        <f t="shared" si="505"/>
        <v>0</v>
      </c>
      <c r="FU1016" s="101" t="str">
        <f t="shared" si="497"/>
        <v/>
      </c>
      <c r="FV1016" s="139" t="str">
        <f>IF($FT1016&gt;0,IF(INDEX($EI$6:$EI$77,$FO1016)&gt;=FV$3,ROUND(INDEX(EK$6:EK$77,$FO1016)*INDEX(卡牌消耗!$B$8:$F$8,FQ1016)/5,0)*5,""),"")</f>
        <v/>
      </c>
      <c r="FW1016" s="101" t="str">
        <f t="shared" si="498"/>
        <v/>
      </c>
      <c r="FX1016" s="101" t="str">
        <f t="shared" si="499"/>
        <v/>
      </c>
      <c r="FY1016" s="101" t="str">
        <f t="shared" si="500"/>
        <v/>
      </c>
      <c r="FZ1016" s="101" t="str">
        <f t="shared" si="501"/>
        <v/>
      </c>
      <c r="GA1016" s="101" t="str">
        <f t="shared" si="506"/>
        <v/>
      </c>
      <c r="GB1016" s="101" t="str">
        <f t="shared" si="507"/>
        <v/>
      </c>
      <c r="GC1016" s="101" t="str">
        <f t="shared" si="508"/>
        <v/>
      </c>
      <c r="GD1016" s="101" t="str">
        <f t="shared" si="509"/>
        <v/>
      </c>
      <c r="GE1016" s="101" t="str">
        <f t="shared" si="510"/>
        <v/>
      </c>
      <c r="GF1016" s="101" t="str">
        <f t="shared" si="511"/>
        <v/>
      </c>
      <c r="GG1016" s="101" t="str">
        <f t="shared" si="512"/>
        <v/>
      </c>
      <c r="GH1016" s="101" t="str">
        <f t="shared" si="513"/>
        <v/>
      </c>
      <c r="GI1016" s="101" t="str">
        <f t="shared" si="514"/>
        <v/>
      </c>
      <c r="GJ1016" s="101" t="str">
        <f t="shared" si="515"/>
        <v/>
      </c>
      <c r="GK1016" s="101" t="str">
        <f t="shared" si="516"/>
        <v/>
      </c>
      <c r="GL1016" s="101" t="str">
        <f t="shared" si="517"/>
        <v/>
      </c>
    </row>
    <row r="1017" spans="170:194" ht="16.5" x14ac:dyDescent="0.2">
      <c r="FN1017" s="101">
        <v>1012</v>
      </c>
      <c r="FO1017" s="101">
        <f t="shared" si="502"/>
        <v>46</v>
      </c>
      <c r="FP1017" s="101">
        <f t="shared" si="495"/>
        <v>13</v>
      </c>
      <c r="FQ1017" s="14">
        <f t="shared" si="496"/>
        <v>4</v>
      </c>
      <c r="FR1017" s="101" t="str">
        <f t="shared" si="503"/>
        <v>西方龙专属武器-魂珠-6 1级</v>
      </c>
      <c r="FS1017" s="101">
        <f t="shared" si="504"/>
        <v>6</v>
      </c>
      <c r="FT1017" s="101">
        <f t="shared" si="505"/>
        <v>1</v>
      </c>
      <c r="FU1017" s="101" t="str">
        <f t="shared" si="497"/>
        <v>金币</v>
      </c>
      <c r="FV1017" s="139">
        <f>IF($FT1017&gt;0,IF(INDEX($EI$6:$EI$77,$FO1017)&gt;=FV$3,ROUND(INDEX(EK$6:EK$77,$FO1017)*INDEX(卡牌消耗!$B$8:$F$8,FQ1017)/5,0)*5,""),"")</f>
        <v>2180</v>
      </c>
      <c r="FW1017" s="101" t="str">
        <f t="shared" si="498"/>
        <v>专属强化石3</v>
      </c>
      <c r="FX1017" s="101">
        <f t="shared" si="499"/>
        <v>5</v>
      </c>
      <c r="FY1017" s="101" t="str">
        <f t="shared" si="500"/>
        <v>专属强化石4</v>
      </c>
      <c r="FZ1017" s="101">
        <f t="shared" si="501"/>
        <v>1</v>
      </c>
      <c r="GA1017" s="101">
        <f t="shared" si="506"/>
        <v>0.17</v>
      </c>
      <c r="GB1017" s="101">
        <f t="shared" si="507"/>
        <v>1</v>
      </c>
      <c r="GC1017" s="101">
        <f t="shared" si="508"/>
        <v>9</v>
      </c>
      <c r="GD1017" s="101">
        <f t="shared" si="509"/>
        <v>0</v>
      </c>
      <c r="GE1017" s="101">
        <f t="shared" si="510"/>
        <v>1</v>
      </c>
      <c r="GF1017" s="101">
        <f t="shared" si="511"/>
        <v>2</v>
      </c>
      <c r="GG1017" s="101">
        <f t="shared" si="512"/>
        <v>8.2900000000000001E-2</v>
      </c>
      <c r="GH1017" s="101">
        <f t="shared" si="513"/>
        <v>1</v>
      </c>
      <c r="GI1017" s="101">
        <f t="shared" si="514"/>
        <v>4</v>
      </c>
      <c r="GJ1017" s="101">
        <f t="shared" si="515"/>
        <v>0.33139999999999997</v>
      </c>
      <c r="GK1017" s="101">
        <f t="shared" si="516"/>
        <v>1</v>
      </c>
      <c r="GL1017" s="101">
        <f t="shared" si="517"/>
        <v>9</v>
      </c>
    </row>
    <row r="1018" spans="170:194" ht="16.5" x14ac:dyDescent="0.2">
      <c r="FN1018" s="101">
        <v>1013</v>
      </c>
      <c r="FO1018" s="101">
        <f t="shared" si="502"/>
        <v>47</v>
      </c>
      <c r="FP1018" s="101">
        <f t="shared" si="495"/>
        <v>13</v>
      </c>
      <c r="FQ1018" s="14">
        <f t="shared" si="496"/>
        <v>4</v>
      </c>
      <c r="FR1018" s="101" t="str">
        <f t="shared" si="503"/>
        <v>西方龙专属武器-魂珠-6 2级</v>
      </c>
      <c r="FS1018" s="101">
        <f t="shared" si="504"/>
        <v>6</v>
      </c>
      <c r="FT1018" s="101">
        <f t="shared" si="505"/>
        <v>2</v>
      </c>
      <c r="FU1018" s="101" t="str">
        <f t="shared" si="497"/>
        <v>金币</v>
      </c>
      <c r="FV1018" s="139">
        <f>IF($FT1018&gt;0,IF(INDEX($EI$6:$EI$77,$FO1018)&gt;=FV$3,ROUND(INDEX(EK$6:EK$77,$FO1018)*INDEX(卡牌消耗!$B$8:$F$8,FQ1018)/5,0)*5,""),"")</f>
        <v>3270</v>
      </c>
      <c r="FW1018" s="101" t="str">
        <f t="shared" si="498"/>
        <v>专属强化石3</v>
      </c>
      <c r="FX1018" s="101">
        <f t="shared" si="499"/>
        <v>10</v>
      </c>
      <c r="FY1018" s="101" t="str">
        <f t="shared" si="500"/>
        <v>专属强化石4</v>
      </c>
      <c r="FZ1018" s="101">
        <f t="shared" si="501"/>
        <v>2</v>
      </c>
      <c r="GA1018" s="101">
        <f t="shared" si="506"/>
        <v>0.17</v>
      </c>
      <c r="GB1018" s="101">
        <f t="shared" si="507"/>
        <v>1</v>
      </c>
      <c r="GC1018" s="101">
        <f t="shared" si="508"/>
        <v>9</v>
      </c>
      <c r="GD1018" s="101">
        <f t="shared" si="509"/>
        <v>0</v>
      </c>
      <c r="GE1018" s="101">
        <f t="shared" si="510"/>
        <v>1</v>
      </c>
      <c r="GF1018" s="101">
        <f t="shared" si="511"/>
        <v>2</v>
      </c>
      <c r="GG1018" s="101">
        <f t="shared" si="512"/>
        <v>8.2900000000000001E-2</v>
      </c>
      <c r="GH1018" s="101">
        <f t="shared" si="513"/>
        <v>1</v>
      </c>
      <c r="GI1018" s="101">
        <f t="shared" si="514"/>
        <v>4</v>
      </c>
      <c r="GJ1018" s="101">
        <f t="shared" si="515"/>
        <v>0.33139999999999997</v>
      </c>
      <c r="GK1018" s="101">
        <f t="shared" si="516"/>
        <v>1</v>
      </c>
      <c r="GL1018" s="101">
        <f t="shared" si="517"/>
        <v>9</v>
      </c>
    </row>
    <row r="1019" spans="170:194" ht="16.5" x14ac:dyDescent="0.2">
      <c r="FN1019" s="101">
        <v>1014</v>
      </c>
      <c r="FO1019" s="101">
        <f t="shared" si="502"/>
        <v>48</v>
      </c>
      <c r="FP1019" s="101">
        <f t="shared" si="495"/>
        <v>13</v>
      </c>
      <c r="FQ1019" s="14">
        <f t="shared" si="496"/>
        <v>4</v>
      </c>
      <c r="FR1019" s="101" t="str">
        <f t="shared" si="503"/>
        <v>西方龙专属武器-魂珠-6 3级</v>
      </c>
      <c r="FS1019" s="101">
        <f t="shared" si="504"/>
        <v>6</v>
      </c>
      <c r="FT1019" s="101">
        <f t="shared" si="505"/>
        <v>3</v>
      </c>
      <c r="FU1019" s="101" t="str">
        <f t="shared" si="497"/>
        <v>金币</v>
      </c>
      <c r="FV1019" s="139">
        <f>IF($FT1019&gt;0,IF(INDEX($EI$6:$EI$77,$FO1019)&gt;=FV$3,ROUND(INDEX(EK$6:EK$77,$FO1019)*INDEX(卡牌消耗!$B$8:$F$8,FQ1019)/5,0)*5,""),"")</f>
        <v>3635</v>
      </c>
      <c r="FW1019" s="101" t="str">
        <f t="shared" si="498"/>
        <v>专属强化石3</v>
      </c>
      <c r="FX1019" s="101">
        <f t="shared" si="499"/>
        <v>10</v>
      </c>
      <c r="FY1019" s="101" t="str">
        <f t="shared" si="500"/>
        <v>专属强化石4</v>
      </c>
      <c r="FZ1019" s="101">
        <f t="shared" si="501"/>
        <v>2</v>
      </c>
      <c r="GA1019" s="101">
        <f t="shared" si="506"/>
        <v>0.11</v>
      </c>
      <c r="GB1019" s="101">
        <f t="shared" si="507"/>
        <v>1</v>
      </c>
      <c r="GC1019" s="101">
        <f t="shared" si="508"/>
        <v>14</v>
      </c>
      <c r="GD1019" s="101">
        <f t="shared" si="509"/>
        <v>0</v>
      </c>
      <c r="GE1019" s="101">
        <f t="shared" si="510"/>
        <v>1</v>
      </c>
      <c r="GF1019" s="101">
        <f t="shared" si="511"/>
        <v>3</v>
      </c>
      <c r="GG1019" s="101">
        <f t="shared" si="512"/>
        <v>5.5199999999999999E-2</v>
      </c>
      <c r="GH1019" s="101">
        <f t="shared" si="513"/>
        <v>1</v>
      </c>
      <c r="GI1019" s="101">
        <f t="shared" si="514"/>
        <v>6</v>
      </c>
      <c r="GJ1019" s="101">
        <f t="shared" si="515"/>
        <v>0.221</v>
      </c>
      <c r="GK1019" s="101">
        <f t="shared" si="516"/>
        <v>1</v>
      </c>
      <c r="GL1019" s="101">
        <f t="shared" si="517"/>
        <v>14</v>
      </c>
    </row>
    <row r="1020" spans="170:194" ht="16.5" x14ac:dyDescent="0.2">
      <c r="FN1020" s="101">
        <v>1015</v>
      </c>
      <c r="FO1020" s="101">
        <f t="shared" si="502"/>
        <v>49</v>
      </c>
      <c r="FP1020" s="101">
        <f t="shared" si="495"/>
        <v>13</v>
      </c>
      <c r="FQ1020" s="14">
        <f t="shared" si="496"/>
        <v>4</v>
      </c>
      <c r="FR1020" s="101" t="str">
        <f t="shared" si="503"/>
        <v>西方龙专属武器-魂珠-6 4级</v>
      </c>
      <c r="FS1020" s="101">
        <f t="shared" si="504"/>
        <v>6</v>
      </c>
      <c r="FT1020" s="101">
        <f t="shared" si="505"/>
        <v>4</v>
      </c>
      <c r="FU1020" s="101" t="str">
        <f t="shared" si="497"/>
        <v>金币</v>
      </c>
      <c r="FV1020" s="139">
        <f>IF($FT1020&gt;0,IF(INDEX($EI$6:$EI$77,$FO1020)&gt;=FV$3,ROUND(INDEX(EK$6:EK$77,$FO1020)*INDEX(卡牌消耗!$B$8:$F$8,FQ1020)/5,0)*5,""),"")</f>
        <v>5235</v>
      </c>
      <c r="FW1020" s="101" t="str">
        <f t="shared" si="498"/>
        <v>专属强化石3</v>
      </c>
      <c r="FX1020" s="101">
        <f t="shared" si="499"/>
        <v>15</v>
      </c>
      <c r="FY1020" s="101" t="str">
        <f t="shared" si="500"/>
        <v>专属强化石4</v>
      </c>
      <c r="FZ1020" s="101">
        <f t="shared" si="501"/>
        <v>3</v>
      </c>
      <c r="GA1020" s="101">
        <f t="shared" si="506"/>
        <v>0.1</v>
      </c>
      <c r="GB1020" s="101">
        <f t="shared" si="507"/>
        <v>1</v>
      </c>
      <c r="GC1020" s="101">
        <f t="shared" si="508"/>
        <v>15</v>
      </c>
      <c r="GD1020" s="101">
        <f t="shared" si="509"/>
        <v>0</v>
      </c>
      <c r="GE1020" s="101">
        <f t="shared" si="510"/>
        <v>1</v>
      </c>
      <c r="GF1020" s="101">
        <f t="shared" si="511"/>
        <v>4</v>
      </c>
      <c r="GG1020" s="101">
        <f t="shared" si="512"/>
        <v>4.9700000000000001E-2</v>
      </c>
      <c r="GH1020" s="101">
        <f t="shared" si="513"/>
        <v>1</v>
      </c>
      <c r="GI1020" s="101">
        <f t="shared" si="514"/>
        <v>7</v>
      </c>
      <c r="GJ1020" s="101">
        <f t="shared" si="515"/>
        <v>0.19889999999999999</v>
      </c>
      <c r="GK1020" s="101">
        <f t="shared" si="516"/>
        <v>1</v>
      </c>
      <c r="GL1020" s="101">
        <f t="shared" si="517"/>
        <v>15</v>
      </c>
    </row>
    <row r="1021" spans="170:194" ht="16.5" x14ac:dyDescent="0.2">
      <c r="FN1021" s="101">
        <v>1016</v>
      </c>
      <c r="FO1021" s="101">
        <f t="shared" si="502"/>
        <v>50</v>
      </c>
      <c r="FP1021" s="101">
        <f t="shared" si="495"/>
        <v>13</v>
      </c>
      <c r="FQ1021" s="14">
        <f t="shared" si="496"/>
        <v>4</v>
      </c>
      <c r="FR1021" s="101" t="str">
        <f t="shared" si="503"/>
        <v>西方龙专属武器-魂珠-6 5级</v>
      </c>
      <c r="FS1021" s="101">
        <f t="shared" si="504"/>
        <v>6</v>
      </c>
      <c r="FT1021" s="101">
        <f t="shared" si="505"/>
        <v>5</v>
      </c>
      <c r="FU1021" s="101" t="str">
        <f t="shared" si="497"/>
        <v>金币</v>
      </c>
      <c r="FV1021" s="139">
        <f>IF($FT1021&gt;0,IF(INDEX($EI$6:$EI$77,$FO1021)&gt;=FV$3,ROUND(INDEX(EK$6:EK$77,$FO1021)*INDEX(卡牌消耗!$B$8:$F$8,FQ1021)/5,0)*5,""),"")</f>
        <v>5315</v>
      </c>
      <c r="FW1021" s="101" t="str">
        <f t="shared" si="498"/>
        <v>专属强化石3</v>
      </c>
      <c r="FX1021" s="101">
        <f t="shared" si="499"/>
        <v>15</v>
      </c>
      <c r="FY1021" s="101" t="str">
        <f t="shared" si="500"/>
        <v>专属强化石4</v>
      </c>
      <c r="FZ1021" s="101">
        <f t="shared" si="501"/>
        <v>3</v>
      </c>
      <c r="GA1021" s="101">
        <f t="shared" si="506"/>
        <v>0.06</v>
      </c>
      <c r="GB1021" s="101">
        <f t="shared" si="507"/>
        <v>1</v>
      </c>
      <c r="GC1021" s="101">
        <f t="shared" si="508"/>
        <v>24</v>
      </c>
      <c r="GD1021" s="101">
        <f t="shared" si="509"/>
        <v>0</v>
      </c>
      <c r="GE1021" s="101">
        <f t="shared" si="510"/>
        <v>1</v>
      </c>
      <c r="GF1021" s="101">
        <f t="shared" si="511"/>
        <v>6</v>
      </c>
      <c r="GG1021" s="101">
        <f t="shared" si="512"/>
        <v>3.1099999999999999E-2</v>
      </c>
      <c r="GH1021" s="101">
        <f t="shared" si="513"/>
        <v>1</v>
      </c>
      <c r="GI1021" s="101">
        <f t="shared" si="514"/>
        <v>11</v>
      </c>
      <c r="GJ1021" s="101">
        <f t="shared" si="515"/>
        <v>0.12429999999999999</v>
      </c>
      <c r="GK1021" s="101">
        <f t="shared" si="516"/>
        <v>1</v>
      </c>
      <c r="GL1021" s="101">
        <f t="shared" si="517"/>
        <v>24</v>
      </c>
    </row>
    <row r="1022" spans="170:194" ht="16.5" x14ac:dyDescent="0.2">
      <c r="FN1022" s="101">
        <v>1017</v>
      </c>
      <c r="FO1022" s="101">
        <f t="shared" si="502"/>
        <v>51</v>
      </c>
      <c r="FP1022" s="101">
        <f t="shared" si="495"/>
        <v>13</v>
      </c>
      <c r="FQ1022" s="14">
        <f t="shared" si="496"/>
        <v>4</v>
      </c>
      <c r="FR1022" s="101" t="str">
        <f t="shared" si="503"/>
        <v>西方龙专属武器-魂珠-6 6级</v>
      </c>
      <c r="FS1022" s="101">
        <f t="shared" si="504"/>
        <v>6</v>
      </c>
      <c r="FT1022" s="101">
        <f t="shared" si="505"/>
        <v>6</v>
      </c>
      <c r="FU1022" s="101" t="str">
        <f t="shared" si="497"/>
        <v>金币</v>
      </c>
      <c r="FV1022" s="139">
        <f>IF($FT1022&gt;0,IF(INDEX($EI$6:$EI$77,$FO1022)&gt;=FV$3,ROUND(INDEX(EK$6:EK$77,$FO1022)*INDEX(卡牌消耗!$B$8:$F$8,FQ1022)/5,0)*5,""),"")</f>
        <v>7045</v>
      </c>
      <c r="FW1022" s="101" t="str">
        <f t="shared" si="498"/>
        <v>专属强化石3</v>
      </c>
      <c r="FX1022" s="101">
        <f t="shared" si="499"/>
        <v>20</v>
      </c>
      <c r="FY1022" s="101" t="str">
        <f t="shared" si="500"/>
        <v>专属强化石4</v>
      </c>
      <c r="FZ1022" s="101">
        <f t="shared" si="501"/>
        <v>4</v>
      </c>
      <c r="GA1022" s="101">
        <f t="shared" si="506"/>
        <v>0.05</v>
      </c>
      <c r="GB1022" s="101">
        <f t="shared" si="507"/>
        <v>1</v>
      </c>
      <c r="GC1022" s="101">
        <f t="shared" si="508"/>
        <v>29</v>
      </c>
      <c r="GD1022" s="101">
        <f t="shared" si="509"/>
        <v>0</v>
      </c>
      <c r="GE1022" s="101">
        <f t="shared" si="510"/>
        <v>1</v>
      </c>
      <c r="GF1022" s="101">
        <f t="shared" si="511"/>
        <v>7</v>
      </c>
      <c r="GG1022" s="101">
        <f t="shared" si="512"/>
        <v>2.5499999999999998E-2</v>
      </c>
      <c r="GH1022" s="101">
        <f t="shared" si="513"/>
        <v>1</v>
      </c>
      <c r="GI1022" s="101">
        <f t="shared" si="514"/>
        <v>14</v>
      </c>
      <c r="GJ1022" s="101">
        <f t="shared" si="515"/>
        <v>0.10199999999999999</v>
      </c>
      <c r="GK1022" s="101">
        <f t="shared" si="516"/>
        <v>1</v>
      </c>
      <c r="GL1022" s="101">
        <f t="shared" si="517"/>
        <v>29</v>
      </c>
    </row>
    <row r="1023" spans="170:194" ht="16.5" x14ac:dyDescent="0.2">
      <c r="FN1023" s="101">
        <v>1018</v>
      </c>
      <c r="FO1023" s="101">
        <f t="shared" si="502"/>
        <v>52</v>
      </c>
      <c r="FP1023" s="101">
        <f t="shared" si="495"/>
        <v>13</v>
      </c>
      <c r="FQ1023" s="14">
        <f t="shared" si="496"/>
        <v>4</v>
      </c>
      <c r="FR1023" s="101" t="str">
        <f t="shared" si="503"/>
        <v>西方龙专属武器-魂珠-6 7级</v>
      </c>
      <c r="FS1023" s="101">
        <f t="shared" si="504"/>
        <v>6</v>
      </c>
      <c r="FT1023" s="101">
        <f t="shared" si="505"/>
        <v>7</v>
      </c>
      <c r="FU1023" s="101" t="str">
        <f t="shared" si="497"/>
        <v>金币</v>
      </c>
      <c r="FV1023" s="139">
        <f>IF($FT1023&gt;0,IF(INDEX($EI$6:$EI$77,$FO1023)&gt;=FV$3,ROUND(INDEX(EK$6:EK$77,$FO1023)*INDEX(卡牌消耗!$B$8:$F$8,FQ1023)/5,0)*5,""),"")</f>
        <v>8830</v>
      </c>
      <c r="FW1023" s="101" t="str">
        <f t="shared" si="498"/>
        <v>专属强化石3</v>
      </c>
      <c r="FX1023" s="101">
        <f t="shared" si="499"/>
        <v>25</v>
      </c>
      <c r="FY1023" s="101" t="str">
        <f t="shared" si="500"/>
        <v>专属强化石4</v>
      </c>
      <c r="FZ1023" s="101">
        <f t="shared" si="501"/>
        <v>5</v>
      </c>
      <c r="GA1023" s="101">
        <f t="shared" si="506"/>
        <v>0.04</v>
      </c>
      <c r="GB1023" s="101">
        <f t="shared" si="507"/>
        <v>1</v>
      </c>
      <c r="GC1023" s="101">
        <f t="shared" si="508"/>
        <v>38</v>
      </c>
      <c r="GD1023" s="101">
        <f t="shared" si="509"/>
        <v>0</v>
      </c>
      <c r="GE1023" s="101">
        <f t="shared" si="510"/>
        <v>1</v>
      </c>
      <c r="GF1023" s="101">
        <f t="shared" si="511"/>
        <v>9</v>
      </c>
      <c r="GG1023" s="101">
        <f t="shared" si="512"/>
        <v>1.9699999999999999E-2</v>
      </c>
      <c r="GH1023" s="101">
        <f t="shared" si="513"/>
        <v>1</v>
      </c>
      <c r="GI1023" s="101">
        <f t="shared" si="514"/>
        <v>18</v>
      </c>
      <c r="GJ1023" s="101">
        <f t="shared" si="515"/>
        <v>7.8899999999999998E-2</v>
      </c>
      <c r="GK1023" s="101">
        <f t="shared" si="516"/>
        <v>1</v>
      </c>
      <c r="GL1023" s="101">
        <f t="shared" si="517"/>
        <v>38</v>
      </c>
    </row>
    <row r="1024" spans="170:194" ht="16.5" x14ac:dyDescent="0.2">
      <c r="FN1024" s="101">
        <v>1019</v>
      </c>
      <c r="FO1024" s="101">
        <f t="shared" si="502"/>
        <v>53</v>
      </c>
      <c r="FP1024" s="101">
        <f t="shared" si="495"/>
        <v>13</v>
      </c>
      <c r="FQ1024" s="14">
        <f t="shared" si="496"/>
        <v>4</v>
      </c>
      <c r="FR1024" s="101" t="str">
        <f t="shared" si="503"/>
        <v>西方龙专属武器-魂珠-6 8级</v>
      </c>
      <c r="FS1024" s="101">
        <f t="shared" si="504"/>
        <v>6</v>
      </c>
      <c r="FT1024" s="101">
        <f t="shared" si="505"/>
        <v>8</v>
      </c>
      <c r="FU1024" s="101" t="str">
        <f t="shared" si="497"/>
        <v>金币</v>
      </c>
      <c r="FV1024" s="139">
        <f>IF($FT1024&gt;0,IF(INDEX($EI$6:$EI$77,$FO1024)&gt;=FV$3,ROUND(INDEX(EK$6:EK$77,$FO1024)*INDEX(卡牌消耗!$B$8:$F$8,FQ1024)/5,0)*5,""),"")</f>
        <v>12350</v>
      </c>
      <c r="FW1024" s="101" t="str">
        <f t="shared" si="498"/>
        <v>专属强化石3</v>
      </c>
      <c r="FX1024" s="101">
        <f t="shared" si="499"/>
        <v>35</v>
      </c>
      <c r="FY1024" s="101" t="str">
        <f t="shared" si="500"/>
        <v>专属强化石4</v>
      </c>
      <c r="FZ1024" s="101">
        <f t="shared" si="501"/>
        <v>7</v>
      </c>
      <c r="GA1024" s="101">
        <f t="shared" si="506"/>
        <v>0.03</v>
      </c>
      <c r="GB1024" s="101">
        <f t="shared" si="507"/>
        <v>1</v>
      </c>
      <c r="GC1024" s="101">
        <f t="shared" si="508"/>
        <v>44</v>
      </c>
      <c r="GD1024" s="101">
        <f t="shared" si="509"/>
        <v>0</v>
      </c>
      <c r="GE1024" s="101">
        <f t="shared" si="510"/>
        <v>1</v>
      </c>
      <c r="GF1024" s="101">
        <f t="shared" si="511"/>
        <v>10</v>
      </c>
      <c r="GG1024" s="101">
        <f t="shared" si="512"/>
        <v>1.7100000000000001E-2</v>
      </c>
      <c r="GH1024" s="101">
        <f t="shared" si="513"/>
        <v>1</v>
      </c>
      <c r="GI1024" s="101">
        <f t="shared" si="514"/>
        <v>21</v>
      </c>
      <c r="GJ1024" s="101">
        <f t="shared" si="515"/>
        <v>6.8199999999999997E-2</v>
      </c>
      <c r="GK1024" s="101">
        <f t="shared" si="516"/>
        <v>1</v>
      </c>
      <c r="GL1024" s="101">
        <f t="shared" si="517"/>
        <v>44</v>
      </c>
    </row>
    <row r="1025" spans="170:194" ht="16.5" x14ac:dyDescent="0.2">
      <c r="FN1025" s="101">
        <v>1020</v>
      </c>
      <c r="FO1025" s="101">
        <f t="shared" si="502"/>
        <v>54</v>
      </c>
      <c r="FP1025" s="101">
        <f t="shared" si="495"/>
        <v>13</v>
      </c>
      <c r="FQ1025" s="14">
        <f t="shared" si="496"/>
        <v>4</v>
      </c>
      <c r="FR1025" s="101" t="str">
        <f t="shared" si="503"/>
        <v>西方龙专属武器-魂珠-6 9级</v>
      </c>
      <c r="FS1025" s="101">
        <f t="shared" si="504"/>
        <v>6</v>
      </c>
      <c r="FT1025" s="101">
        <f t="shared" si="505"/>
        <v>9</v>
      </c>
      <c r="FU1025" s="101" t="str">
        <f t="shared" si="497"/>
        <v>金币</v>
      </c>
      <c r="FV1025" s="139">
        <f>IF($FT1025&gt;0,IF(INDEX($EI$6:$EI$77,$FO1025)&gt;=FV$3,ROUND(INDEX(EK$6:EK$77,$FO1025)*INDEX(卡牌消耗!$B$8:$F$8,FQ1025)/5,0)*5,""),"")</f>
        <v>14120</v>
      </c>
      <c r="FW1025" s="101" t="str">
        <f t="shared" si="498"/>
        <v>专属强化石3</v>
      </c>
      <c r="FX1025" s="101">
        <f t="shared" si="499"/>
        <v>40</v>
      </c>
      <c r="FY1025" s="101" t="str">
        <f t="shared" si="500"/>
        <v>专属强化石4</v>
      </c>
      <c r="FZ1025" s="101">
        <f t="shared" si="501"/>
        <v>8</v>
      </c>
      <c r="GA1025" s="101">
        <f t="shared" si="506"/>
        <v>0.02</v>
      </c>
      <c r="GB1025" s="101">
        <f t="shared" si="507"/>
        <v>1</v>
      </c>
      <c r="GC1025" s="101">
        <f t="shared" si="508"/>
        <v>62</v>
      </c>
      <c r="GD1025" s="101">
        <f t="shared" si="509"/>
        <v>0</v>
      </c>
      <c r="GE1025" s="101">
        <f t="shared" si="510"/>
        <v>1</v>
      </c>
      <c r="GF1025" s="101">
        <f t="shared" si="511"/>
        <v>15</v>
      </c>
      <c r="GG1025" s="101">
        <f t="shared" si="512"/>
        <v>1.21E-2</v>
      </c>
      <c r="GH1025" s="101">
        <f t="shared" si="513"/>
        <v>1</v>
      </c>
      <c r="GI1025" s="101">
        <f t="shared" si="514"/>
        <v>29</v>
      </c>
      <c r="GJ1025" s="101">
        <f t="shared" si="515"/>
        <v>4.82E-2</v>
      </c>
      <c r="GK1025" s="101">
        <f t="shared" si="516"/>
        <v>1</v>
      </c>
      <c r="GL1025" s="101">
        <f t="shared" si="517"/>
        <v>62</v>
      </c>
    </row>
    <row r="1026" spans="170:194" ht="16.5" x14ac:dyDescent="0.2">
      <c r="FN1026" s="101">
        <v>1021</v>
      </c>
      <c r="FO1026" s="101">
        <f t="shared" si="502"/>
        <v>0</v>
      </c>
      <c r="FP1026" s="101">
        <f t="shared" si="495"/>
        <v>13</v>
      </c>
      <c r="FQ1026" s="14">
        <f t="shared" si="496"/>
        <v>4</v>
      </c>
      <c r="FR1026" s="101" t="str">
        <f t="shared" si="503"/>
        <v>西方龙专属武器-魂珠-7 0级</v>
      </c>
      <c r="FS1026" s="101">
        <f t="shared" si="504"/>
        <v>7</v>
      </c>
      <c r="FT1026" s="101">
        <f t="shared" si="505"/>
        <v>0</v>
      </c>
      <c r="FU1026" s="101" t="str">
        <f t="shared" si="497"/>
        <v/>
      </c>
      <c r="FV1026" s="139" t="str">
        <f>IF($FT1026&gt;0,IF(INDEX($EI$6:$EI$77,$FO1026)&gt;=FV$3,ROUND(INDEX(EK$6:EK$77,$FO1026)*INDEX(卡牌消耗!$B$8:$F$8,FQ1026)/5,0)*5,""),"")</f>
        <v/>
      </c>
      <c r="FW1026" s="101" t="str">
        <f t="shared" si="498"/>
        <v/>
      </c>
      <c r="FX1026" s="101" t="str">
        <f t="shared" si="499"/>
        <v/>
      </c>
      <c r="FY1026" s="101" t="str">
        <f t="shared" si="500"/>
        <v/>
      </c>
      <c r="FZ1026" s="101" t="str">
        <f t="shared" si="501"/>
        <v/>
      </c>
      <c r="GA1026" s="101" t="str">
        <f t="shared" si="506"/>
        <v/>
      </c>
      <c r="GB1026" s="101" t="str">
        <f t="shared" si="507"/>
        <v/>
      </c>
      <c r="GC1026" s="101" t="str">
        <f t="shared" si="508"/>
        <v/>
      </c>
      <c r="GD1026" s="101" t="str">
        <f t="shared" si="509"/>
        <v/>
      </c>
      <c r="GE1026" s="101" t="str">
        <f t="shared" si="510"/>
        <v/>
      </c>
      <c r="GF1026" s="101" t="str">
        <f t="shared" si="511"/>
        <v/>
      </c>
      <c r="GG1026" s="101" t="str">
        <f t="shared" si="512"/>
        <v/>
      </c>
      <c r="GH1026" s="101" t="str">
        <f t="shared" si="513"/>
        <v/>
      </c>
      <c r="GI1026" s="101" t="str">
        <f t="shared" si="514"/>
        <v/>
      </c>
      <c r="GJ1026" s="101" t="str">
        <f t="shared" si="515"/>
        <v/>
      </c>
      <c r="GK1026" s="101" t="str">
        <f t="shared" si="516"/>
        <v/>
      </c>
      <c r="GL1026" s="101" t="str">
        <f t="shared" si="517"/>
        <v/>
      </c>
    </row>
    <row r="1027" spans="170:194" ht="16.5" x14ac:dyDescent="0.2">
      <c r="FN1027" s="101">
        <v>1022</v>
      </c>
      <c r="FO1027" s="101">
        <f t="shared" si="502"/>
        <v>55</v>
      </c>
      <c r="FP1027" s="101">
        <f t="shared" si="495"/>
        <v>13</v>
      </c>
      <c r="FQ1027" s="14">
        <f t="shared" si="496"/>
        <v>4</v>
      </c>
      <c r="FR1027" s="101" t="str">
        <f t="shared" si="503"/>
        <v>西方龙专属武器-魂珠-7 1级</v>
      </c>
      <c r="FS1027" s="101">
        <f t="shared" si="504"/>
        <v>7</v>
      </c>
      <c r="FT1027" s="101">
        <f t="shared" si="505"/>
        <v>1</v>
      </c>
      <c r="FU1027" s="101" t="str">
        <f t="shared" si="497"/>
        <v>金币</v>
      </c>
      <c r="FV1027" s="139">
        <f>IF($FT1027&gt;0,IF(INDEX($EI$6:$EI$77,$FO1027)&gt;=FV$3,ROUND(INDEX(EK$6:EK$77,$FO1027)*INDEX(卡牌消耗!$B$8:$F$8,FQ1027)/5,0)*5,""),"")</f>
        <v>18130</v>
      </c>
      <c r="FW1027" s="101" t="str">
        <f t="shared" si="498"/>
        <v>专属强化石3</v>
      </c>
      <c r="FX1027" s="101">
        <f t="shared" si="499"/>
        <v>6</v>
      </c>
      <c r="FY1027" s="101" t="str">
        <f t="shared" si="500"/>
        <v>专属强化石4</v>
      </c>
      <c r="FZ1027" s="101">
        <f t="shared" si="501"/>
        <v>2</v>
      </c>
      <c r="GA1027" s="101">
        <f t="shared" si="506"/>
        <v>0.2</v>
      </c>
      <c r="GB1027" s="101">
        <f t="shared" si="507"/>
        <v>1</v>
      </c>
      <c r="GC1027" s="101">
        <f t="shared" si="508"/>
        <v>8</v>
      </c>
      <c r="GD1027" s="101">
        <f t="shared" si="509"/>
        <v>0</v>
      </c>
      <c r="GE1027" s="101">
        <f t="shared" si="510"/>
        <v>1</v>
      </c>
      <c r="GF1027" s="101">
        <f t="shared" si="511"/>
        <v>2</v>
      </c>
      <c r="GG1027" s="101">
        <f t="shared" si="512"/>
        <v>9.9400000000000002E-2</v>
      </c>
      <c r="GH1027" s="101">
        <f t="shared" si="513"/>
        <v>1</v>
      </c>
      <c r="GI1027" s="101">
        <f t="shared" si="514"/>
        <v>4</v>
      </c>
      <c r="GJ1027" s="101">
        <f t="shared" si="515"/>
        <v>0.3977</v>
      </c>
      <c r="GK1027" s="101">
        <f t="shared" si="516"/>
        <v>1</v>
      </c>
      <c r="GL1027" s="101">
        <f t="shared" si="517"/>
        <v>8</v>
      </c>
    </row>
    <row r="1028" spans="170:194" ht="16.5" x14ac:dyDescent="0.2">
      <c r="FN1028" s="101">
        <v>1023</v>
      </c>
      <c r="FO1028" s="101">
        <f t="shared" si="502"/>
        <v>56</v>
      </c>
      <c r="FP1028" s="101">
        <f t="shared" si="495"/>
        <v>13</v>
      </c>
      <c r="FQ1028" s="14">
        <f t="shared" si="496"/>
        <v>4</v>
      </c>
      <c r="FR1028" s="101" t="str">
        <f t="shared" si="503"/>
        <v>西方龙专属武器-魂珠-7 2级</v>
      </c>
      <c r="FS1028" s="101">
        <f t="shared" si="504"/>
        <v>7</v>
      </c>
      <c r="FT1028" s="101">
        <f t="shared" si="505"/>
        <v>2</v>
      </c>
      <c r="FU1028" s="101" t="str">
        <f t="shared" si="497"/>
        <v>金币</v>
      </c>
      <c r="FV1028" s="139">
        <f>IF($FT1028&gt;0,IF(INDEX($EI$6:$EI$77,$FO1028)&gt;=FV$3,ROUND(INDEX(EK$6:EK$77,$FO1028)*INDEX(卡牌消耗!$B$8:$F$8,FQ1028)/5,0)*5,""),"")</f>
        <v>13600</v>
      </c>
      <c r="FW1028" s="101" t="str">
        <f t="shared" si="498"/>
        <v>专属强化石3</v>
      </c>
      <c r="FX1028" s="101">
        <f t="shared" si="499"/>
        <v>6</v>
      </c>
      <c r="FY1028" s="101" t="str">
        <f t="shared" si="500"/>
        <v>专属强化石4</v>
      </c>
      <c r="FZ1028" s="101">
        <f t="shared" si="501"/>
        <v>2</v>
      </c>
      <c r="GA1028" s="101">
        <f t="shared" si="506"/>
        <v>0.1</v>
      </c>
      <c r="GB1028" s="101">
        <f t="shared" si="507"/>
        <v>1</v>
      </c>
      <c r="GC1028" s="101">
        <f t="shared" si="508"/>
        <v>15</v>
      </c>
      <c r="GD1028" s="101">
        <f t="shared" si="509"/>
        <v>0</v>
      </c>
      <c r="GE1028" s="101">
        <f t="shared" si="510"/>
        <v>1</v>
      </c>
      <c r="GF1028" s="101">
        <f t="shared" si="511"/>
        <v>4</v>
      </c>
      <c r="GG1028" s="101">
        <f t="shared" si="512"/>
        <v>4.9700000000000001E-2</v>
      </c>
      <c r="GH1028" s="101">
        <f t="shared" si="513"/>
        <v>1</v>
      </c>
      <c r="GI1028" s="101">
        <f t="shared" si="514"/>
        <v>7</v>
      </c>
      <c r="GJ1028" s="101">
        <f t="shared" si="515"/>
        <v>0.19889999999999999</v>
      </c>
      <c r="GK1028" s="101">
        <f t="shared" si="516"/>
        <v>1</v>
      </c>
      <c r="GL1028" s="101">
        <f t="shared" si="517"/>
        <v>15</v>
      </c>
    </row>
    <row r="1029" spans="170:194" ht="16.5" x14ac:dyDescent="0.2">
      <c r="FN1029" s="101">
        <v>1024</v>
      </c>
      <c r="FO1029" s="101">
        <f t="shared" si="502"/>
        <v>57</v>
      </c>
      <c r="FP1029" s="101">
        <f t="shared" si="495"/>
        <v>13</v>
      </c>
      <c r="FQ1029" s="14">
        <f t="shared" si="496"/>
        <v>4</v>
      </c>
      <c r="FR1029" s="101" t="str">
        <f t="shared" si="503"/>
        <v>西方龙专属武器-魂珠-7 3级</v>
      </c>
      <c r="FS1029" s="101">
        <f t="shared" si="504"/>
        <v>7</v>
      </c>
      <c r="FT1029" s="101">
        <f t="shared" si="505"/>
        <v>3</v>
      </c>
      <c r="FU1029" s="101" t="str">
        <f t="shared" si="497"/>
        <v>金币</v>
      </c>
      <c r="FV1029" s="139">
        <f>IF($FT1029&gt;0,IF(INDEX($EI$6:$EI$77,$FO1029)&gt;=FV$3,ROUND(INDEX(EK$6:EK$77,$FO1029)*INDEX(卡牌消耗!$B$8:$F$8,FQ1029)/5,0)*5,""),"")</f>
        <v>22665</v>
      </c>
      <c r="FW1029" s="101" t="str">
        <f t="shared" si="498"/>
        <v>专属强化石3</v>
      </c>
      <c r="FX1029" s="101">
        <f t="shared" si="499"/>
        <v>9</v>
      </c>
      <c r="FY1029" s="101" t="str">
        <f t="shared" si="500"/>
        <v>专属强化石4</v>
      </c>
      <c r="FZ1029" s="101">
        <f t="shared" si="501"/>
        <v>3</v>
      </c>
      <c r="GA1029" s="101">
        <f t="shared" si="506"/>
        <v>0.1</v>
      </c>
      <c r="GB1029" s="101">
        <f t="shared" si="507"/>
        <v>1</v>
      </c>
      <c r="GC1029" s="101">
        <f t="shared" si="508"/>
        <v>15</v>
      </c>
      <c r="GD1029" s="101">
        <f t="shared" si="509"/>
        <v>0</v>
      </c>
      <c r="GE1029" s="101">
        <f t="shared" si="510"/>
        <v>1</v>
      </c>
      <c r="GF1029" s="101">
        <f t="shared" si="511"/>
        <v>4</v>
      </c>
      <c r="GG1029" s="101">
        <f t="shared" si="512"/>
        <v>4.9700000000000001E-2</v>
      </c>
      <c r="GH1029" s="101">
        <f t="shared" si="513"/>
        <v>1</v>
      </c>
      <c r="GI1029" s="101">
        <f t="shared" si="514"/>
        <v>7</v>
      </c>
      <c r="GJ1029" s="101">
        <f t="shared" si="515"/>
        <v>0.19889999999999999</v>
      </c>
      <c r="GK1029" s="101">
        <f t="shared" si="516"/>
        <v>1</v>
      </c>
      <c r="GL1029" s="101">
        <f t="shared" si="517"/>
        <v>15</v>
      </c>
    </row>
    <row r="1030" spans="170:194" ht="16.5" x14ac:dyDescent="0.2">
      <c r="FN1030" s="101">
        <v>1025</v>
      </c>
      <c r="FO1030" s="101">
        <f t="shared" si="502"/>
        <v>58</v>
      </c>
      <c r="FP1030" s="101">
        <f t="shared" si="495"/>
        <v>13</v>
      </c>
      <c r="FQ1030" s="14">
        <f t="shared" si="496"/>
        <v>4</v>
      </c>
      <c r="FR1030" s="101" t="str">
        <f t="shared" si="503"/>
        <v>西方龙专属武器-魂珠-7 4级</v>
      </c>
      <c r="FS1030" s="101">
        <f t="shared" si="504"/>
        <v>7</v>
      </c>
      <c r="FT1030" s="101">
        <f t="shared" si="505"/>
        <v>4</v>
      </c>
      <c r="FU1030" s="101" t="str">
        <f t="shared" si="497"/>
        <v>金币</v>
      </c>
      <c r="FV1030" s="139">
        <f>IF($FT1030&gt;0,IF(INDEX($EI$6:$EI$77,$FO1030)&gt;=FV$3,ROUND(INDEX(EK$6:EK$77,$FO1030)*INDEX(卡牌消耗!$B$8:$F$8,FQ1030)/5,0)*5,""),"")</f>
        <v>29010</v>
      </c>
      <c r="FW1030" s="101" t="str">
        <f t="shared" si="498"/>
        <v>专属强化石3</v>
      </c>
      <c r="FX1030" s="101">
        <f t="shared" si="499"/>
        <v>12</v>
      </c>
      <c r="FY1030" s="101" t="str">
        <f t="shared" si="500"/>
        <v>专属强化石4</v>
      </c>
      <c r="FZ1030" s="101">
        <f t="shared" si="501"/>
        <v>4</v>
      </c>
      <c r="GA1030" s="101">
        <f t="shared" si="506"/>
        <v>0.08</v>
      </c>
      <c r="GB1030" s="101">
        <f t="shared" si="507"/>
        <v>1</v>
      </c>
      <c r="GC1030" s="101">
        <f t="shared" si="508"/>
        <v>19</v>
      </c>
      <c r="GD1030" s="101">
        <f t="shared" si="509"/>
        <v>0</v>
      </c>
      <c r="GE1030" s="101">
        <f t="shared" si="510"/>
        <v>1</v>
      </c>
      <c r="GF1030" s="101">
        <f t="shared" si="511"/>
        <v>4</v>
      </c>
      <c r="GG1030" s="101">
        <f t="shared" si="512"/>
        <v>3.9800000000000002E-2</v>
      </c>
      <c r="GH1030" s="101">
        <f t="shared" si="513"/>
        <v>1</v>
      </c>
      <c r="GI1030" s="101">
        <f t="shared" si="514"/>
        <v>9</v>
      </c>
      <c r="GJ1030" s="101">
        <f t="shared" si="515"/>
        <v>0.15909999999999999</v>
      </c>
      <c r="GK1030" s="101">
        <f t="shared" si="516"/>
        <v>1</v>
      </c>
      <c r="GL1030" s="101">
        <f t="shared" si="517"/>
        <v>19</v>
      </c>
    </row>
    <row r="1031" spans="170:194" ht="16.5" x14ac:dyDescent="0.2">
      <c r="FN1031" s="101">
        <v>1026</v>
      </c>
      <c r="FO1031" s="101">
        <f t="shared" si="502"/>
        <v>59</v>
      </c>
      <c r="FP1031" s="101">
        <f t="shared" ref="FP1031:FP1094" si="518">INT((FN1031-1)/80+1)</f>
        <v>13</v>
      </c>
      <c r="FQ1031" s="14">
        <f t="shared" ref="FQ1031:FQ1094" si="519">INDEX($FJ$6:$FJ$26,FP1031)</f>
        <v>4</v>
      </c>
      <c r="FR1031" s="101" t="str">
        <f t="shared" si="503"/>
        <v>西方龙专属武器-魂珠-7 5级</v>
      </c>
      <c r="FS1031" s="101">
        <f t="shared" si="504"/>
        <v>7</v>
      </c>
      <c r="FT1031" s="101">
        <f t="shared" si="505"/>
        <v>5</v>
      </c>
      <c r="FU1031" s="101" t="str">
        <f t="shared" ref="FU1031:FU1094" si="520">IF($FT1031&gt;0,IF(INDEX($EI$6:$EI$77,$FO1031)&gt;=FU$3,INDEX(EJ$6:EJ$77,$FO1031),""),"")</f>
        <v>金币</v>
      </c>
      <c r="FV1031" s="139">
        <f>IF($FT1031&gt;0,IF(INDEX($EI$6:$EI$77,$FO1031)&gt;=FV$3,ROUND(INDEX(EK$6:EK$77,$FO1031)*INDEX(卡牌消耗!$B$8:$F$8,FQ1031)/5,0)*5,""),"")</f>
        <v>29465</v>
      </c>
      <c r="FW1031" s="101" t="str">
        <f t="shared" ref="FW1031:FW1094" si="521">IF($FT1031&gt;0,IF(INDEX($EI$6:$EI$77,$FO1031)&gt;=FW$3,INDEX(EL$6:EL$77,$FO1031),""),"")</f>
        <v>专属强化石3</v>
      </c>
      <c r="FX1031" s="101">
        <f t="shared" ref="FX1031:FX1094" si="522">IF($FT1031&gt;0,IF(INDEX($EI$6:$EI$77,$FO1031)&gt;=FX$3,INDEX(EM$6:EM$77,$FO1031),""),"")</f>
        <v>12</v>
      </c>
      <c r="FY1031" s="101" t="str">
        <f t="shared" ref="FY1031:FY1094" si="523">IF($FT1031&gt;0,IF(INDEX($EI$6:$EI$77,$FO1031)&gt;=FY$3,INDEX(EN$6:EN$77,$FO1031),""),"")</f>
        <v>专属强化石4</v>
      </c>
      <c r="FZ1031" s="101">
        <f t="shared" ref="FZ1031:FZ1094" si="524">IF($FT1031&gt;0,IF(INDEX($EI$6:$EI$77,$FO1031)&gt;=FZ$3,INDEX(EO$6:EO$77,$FO1031),""),"")</f>
        <v>4</v>
      </c>
      <c r="GA1031" s="101">
        <f t="shared" si="506"/>
        <v>0.05</v>
      </c>
      <c r="GB1031" s="101">
        <f t="shared" si="507"/>
        <v>1</v>
      </c>
      <c r="GC1031" s="101">
        <f t="shared" si="508"/>
        <v>30</v>
      </c>
      <c r="GD1031" s="101">
        <f t="shared" si="509"/>
        <v>0</v>
      </c>
      <c r="GE1031" s="101">
        <f t="shared" si="510"/>
        <v>1</v>
      </c>
      <c r="GF1031" s="101">
        <f t="shared" si="511"/>
        <v>7</v>
      </c>
      <c r="GG1031" s="101">
        <f t="shared" si="512"/>
        <v>2.4899999999999999E-2</v>
      </c>
      <c r="GH1031" s="101">
        <f t="shared" si="513"/>
        <v>1</v>
      </c>
      <c r="GI1031" s="101">
        <f t="shared" si="514"/>
        <v>14</v>
      </c>
      <c r="GJ1031" s="101">
        <f t="shared" si="515"/>
        <v>9.9400000000000002E-2</v>
      </c>
      <c r="GK1031" s="101">
        <f t="shared" si="516"/>
        <v>1</v>
      </c>
      <c r="GL1031" s="101">
        <f t="shared" si="517"/>
        <v>30</v>
      </c>
    </row>
    <row r="1032" spans="170:194" ht="16.5" x14ac:dyDescent="0.2">
      <c r="FN1032" s="101">
        <v>1027</v>
      </c>
      <c r="FO1032" s="101">
        <f t="shared" si="502"/>
        <v>60</v>
      </c>
      <c r="FP1032" s="101">
        <f t="shared" si="518"/>
        <v>13</v>
      </c>
      <c r="FQ1032" s="14">
        <f t="shared" si="519"/>
        <v>4</v>
      </c>
      <c r="FR1032" s="101" t="str">
        <f t="shared" si="503"/>
        <v>西方龙专属武器-魂珠-7 6级</v>
      </c>
      <c r="FS1032" s="101">
        <f t="shared" si="504"/>
        <v>7</v>
      </c>
      <c r="FT1032" s="101">
        <f t="shared" si="505"/>
        <v>6</v>
      </c>
      <c r="FU1032" s="101" t="str">
        <f t="shared" si="520"/>
        <v>金币</v>
      </c>
      <c r="FV1032" s="139">
        <f>IF($FT1032&gt;0,IF(INDEX($EI$6:$EI$77,$FO1032)&gt;=FV$3,ROUND(INDEX(EK$6:EK$77,$FO1032)*INDEX(卡牌消耗!$B$8:$F$8,FQ1032)/5,0)*5,""),"")</f>
        <v>36610</v>
      </c>
      <c r="FW1032" s="101" t="str">
        <f t="shared" si="521"/>
        <v>专属强化石3</v>
      </c>
      <c r="FX1032" s="101">
        <f t="shared" si="522"/>
        <v>15</v>
      </c>
      <c r="FY1032" s="101" t="str">
        <f t="shared" si="523"/>
        <v>专属强化石4</v>
      </c>
      <c r="FZ1032" s="101">
        <f t="shared" si="524"/>
        <v>5</v>
      </c>
      <c r="GA1032" s="101">
        <f t="shared" si="506"/>
        <v>0.04</v>
      </c>
      <c r="GB1032" s="101">
        <f t="shared" si="507"/>
        <v>1</v>
      </c>
      <c r="GC1032" s="101">
        <f t="shared" si="508"/>
        <v>39</v>
      </c>
      <c r="GD1032" s="101">
        <f t="shared" si="509"/>
        <v>0</v>
      </c>
      <c r="GE1032" s="101">
        <f t="shared" si="510"/>
        <v>1</v>
      </c>
      <c r="GF1032" s="101">
        <f t="shared" si="511"/>
        <v>9</v>
      </c>
      <c r="GG1032" s="101">
        <f t="shared" si="512"/>
        <v>1.9099999999999999E-2</v>
      </c>
      <c r="GH1032" s="101">
        <f t="shared" si="513"/>
        <v>1</v>
      </c>
      <c r="GI1032" s="101">
        <f t="shared" si="514"/>
        <v>18</v>
      </c>
      <c r="GJ1032" s="101">
        <f t="shared" si="515"/>
        <v>7.6499999999999999E-2</v>
      </c>
      <c r="GK1032" s="101">
        <f t="shared" si="516"/>
        <v>1</v>
      </c>
      <c r="GL1032" s="101">
        <f t="shared" si="517"/>
        <v>39</v>
      </c>
    </row>
    <row r="1033" spans="170:194" ht="16.5" x14ac:dyDescent="0.2">
      <c r="FN1033" s="101">
        <v>1028</v>
      </c>
      <c r="FO1033" s="101">
        <f t="shared" si="502"/>
        <v>61</v>
      </c>
      <c r="FP1033" s="101">
        <f t="shared" si="518"/>
        <v>13</v>
      </c>
      <c r="FQ1033" s="14">
        <f t="shared" si="519"/>
        <v>4</v>
      </c>
      <c r="FR1033" s="101" t="str">
        <f t="shared" si="503"/>
        <v>西方龙专属武器-魂珠-7 7级</v>
      </c>
      <c r="FS1033" s="101">
        <f t="shared" si="504"/>
        <v>7</v>
      </c>
      <c r="FT1033" s="101">
        <f t="shared" si="505"/>
        <v>7</v>
      </c>
      <c r="FU1033" s="101" t="str">
        <f t="shared" si="520"/>
        <v>金币</v>
      </c>
      <c r="FV1033" s="139">
        <f>IF($FT1033&gt;0,IF(INDEX($EI$6:$EI$77,$FO1033)&gt;=FV$3,ROUND(INDEX(EK$6:EK$77,$FO1033)*INDEX(卡牌消耗!$B$8:$F$8,FQ1033)/5,0)*5,""),"")</f>
        <v>51370</v>
      </c>
      <c r="FW1033" s="101" t="str">
        <f t="shared" si="521"/>
        <v>专属强化石3</v>
      </c>
      <c r="FX1033" s="101">
        <f t="shared" si="522"/>
        <v>21</v>
      </c>
      <c r="FY1033" s="101" t="str">
        <f t="shared" si="523"/>
        <v>专属强化石4</v>
      </c>
      <c r="FZ1033" s="101">
        <f t="shared" si="524"/>
        <v>7</v>
      </c>
      <c r="GA1033" s="101">
        <f t="shared" si="506"/>
        <v>0.03</v>
      </c>
      <c r="GB1033" s="101">
        <f t="shared" si="507"/>
        <v>1</v>
      </c>
      <c r="GC1033" s="101">
        <f t="shared" si="508"/>
        <v>45</v>
      </c>
      <c r="GD1033" s="101">
        <f t="shared" si="509"/>
        <v>0</v>
      </c>
      <c r="GE1033" s="101">
        <f t="shared" si="510"/>
        <v>1</v>
      </c>
      <c r="GF1033" s="101">
        <f t="shared" si="511"/>
        <v>11</v>
      </c>
      <c r="GG1033" s="101">
        <f t="shared" si="512"/>
        <v>1.66E-2</v>
      </c>
      <c r="GH1033" s="101">
        <f t="shared" si="513"/>
        <v>1</v>
      </c>
      <c r="GI1033" s="101">
        <f t="shared" si="514"/>
        <v>21</v>
      </c>
      <c r="GJ1033" s="101">
        <f t="shared" si="515"/>
        <v>6.6299999999999998E-2</v>
      </c>
      <c r="GK1033" s="101">
        <f t="shared" si="516"/>
        <v>1</v>
      </c>
      <c r="GL1033" s="101">
        <f t="shared" si="517"/>
        <v>45</v>
      </c>
    </row>
    <row r="1034" spans="170:194" ht="16.5" x14ac:dyDescent="0.2">
      <c r="FN1034" s="101">
        <v>1029</v>
      </c>
      <c r="FO1034" s="101">
        <f t="shared" si="502"/>
        <v>62</v>
      </c>
      <c r="FP1034" s="101">
        <f t="shared" si="518"/>
        <v>13</v>
      </c>
      <c r="FQ1034" s="14">
        <f t="shared" si="519"/>
        <v>4</v>
      </c>
      <c r="FR1034" s="101" t="str">
        <f t="shared" si="503"/>
        <v>西方龙专属武器-魂珠-7 8级</v>
      </c>
      <c r="FS1034" s="101">
        <f t="shared" si="504"/>
        <v>7</v>
      </c>
      <c r="FT1034" s="101">
        <f t="shared" si="505"/>
        <v>8</v>
      </c>
      <c r="FU1034" s="101" t="str">
        <f t="shared" si="520"/>
        <v>金币</v>
      </c>
      <c r="FV1034" s="139">
        <f>IF($FT1034&gt;0,IF(INDEX($EI$6:$EI$77,$FO1034)&gt;=FV$3,ROUND(INDEX(EK$6:EK$77,$FO1034)*INDEX(卡牌消耗!$B$8:$F$8,FQ1034)/5,0)*5,""),"")</f>
        <v>58660</v>
      </c>
      <c r="FW1034" s="101" t="str">
        <f t="shared" si="521"/>
        <v>专属强化石3</v>
      </c>
      <c r="FX1034" s="101">
        <f t="shared" si="522"/>
        <v>24</v>
      </c>
      <c r="FY1034" s="101" t="str">
        <f t="shared" si="523"/>
        <v>专属强化石4</v>
      </c>
      <c r="FZ1034" s="101">
        <f t="shared" si="524"/>
        <v>8</v>
      </c>
      <c r="GA1034" s="101">
        <f t="shared" si="506"/>
        <v>0.02</v>
      </c>
      <c r="GB1034" s="101">
        <f t="shared" si="507"/>
        <v>1</v>
      </c>
      <c r="GC1034" s="101">
        <f t="shared" si="508"/>
        <v>64</v>
      </c>
      <c r="GD1034" s="101">
        <f t="shared" si="509"/>
        <v>0</v>
      </c>
      <c r="GE1034" s="101">
        <f t="shared" si="510"/>
        <v>1</v>
      </c>
      <c r="GF1034" s="101">
        <f t="shared" si="511"/>
        <v>15</v>
      </c>
      <c r="GG1034" s="101">
        <f t="shared" si="512"/>
        <v>1.17E-2</v>
      </c>
      <c r="GH1034" s="101">
        <f t="shared" si="513"/>
        <v>1</v>
      </c>
      <c r="GI1034" s="101">
        <f t="shared" si="514"/>
        <v>30</v>
      </c>
      <c r="GJ1034" s="101">
        <f t="shared" si="515"/>
        <v>4.6800000000000001E-2</v>
      </c>
      <c r="GK1034" s="101">
        <f t="shared" si="516"/>
        <v>1</v>
      </c>
      <c r="GL1034" s="101">
        <f t="shared" si="517"/>
        <v>64</v>
      </c>
    </row>
    <row r="1035" spans="170:194" ht="16.5" x14ac:dyDescent="0.2">
      <c r="FN1035" s="101">
        <v>1030</v>
      </c>
      <c r="FO1035" s="101">
        <f t="shared" si="502"/>
        <v>63</v>
      </c>
      <c r="FP1035" s="101">
        <f t="shared" si="518"/>
        <v>13</v>
      </c>
      <c r="FQ1035" s="14">
        <f t="shared" si="519"/>
        <v>4</v>
      </c>
      <c r="FR1035" s="101" t="str">
        <f t="shared" si="503"/>
        <v>西方龙专属武器-魂珠-7 9级</v>
      </c>
      <c r="FS1035" s="101">
        <f t="shared" si="504"/>
        <v>7</v>
      </c>
      <c r="FT1035" s="101">
        <f t="shared" si="505"/>
        <v>9</v>
      </c>
      <c r="FU1035" s="101" t="str">
        <f t="shared" si="520"/>
        <v>金币</v>
      </c>
      <c r="FV1035" s="139">
        <f>IF($FT1035&gt;0,IF(INDEX($EI$6:$EI$77,$FO1035)&gt;=FV$3,ROUND(INDEX(EK$6:EK$77,$FO1035)*INDEX(卡牌消耗!$B$8:$F$8,FQ1035)/5,0)*5,""),"")</f>
        <v>73350</v>
      </c>
      <c r="FW1035" s="101" t="str">
        <f t="shared" si="521"/>
        <v>专属强化石3</v>
      </c>
      <c r="FX1035" s="101">
        <f t="shared" si="522"/>
        <v>30</v>
      </c>
      <c r="FY1035" s="101" t="str">
        <f t="shared" si="523"/>
        <v>专属强化石4</v>
      </c>
      <c r="FZ1035" s="101">
        <f t="shared" si="524"/>
        <v>10</v>
      </c>
      <c r="GA1035" s="101">
        <f t="shared" si="506"/>
        <v>0.02</v>
      </c>
      <c r="GB1035" s="101">
        <f t="shared" si="507"/>
        <v>1</v>
      </c>
      <c r="GC1035" s="101">
        <f t="shared" si="508"/>
        <v>83</v>
      </c>
      <c r="GD1035" s="101">
        <f t="shared" si="509"/>
        <v>0</v>
      </c>
      <c r="GE1035" s="101">
        <f t="shared" si="510"/>
        <v>1</v>
      </c>
      <c r="GF1035" s="101">
        <f t="shared" si="511"/>
        <v>19</v>
      </c>
      <c r="GG1035" s="101">
        <f t="shared" si="512"/>
        <v>8.9999999999999993E-3</v>
      </c>
      <c r="GH1035" s="101">
        <f t="shared" si="513"/>
        <v>1</v>
      </c>
      <c r="GI1035" s="101">
        <f t="shared" si="514"/>
        <v>39</v>
      </c>
      <c r="GJ1035" s="101">
        <f t="shared" si="515"/>
        <v>3.6200000000000003E-2</v>
      </c>
      <c r="GK1035" s="101">
        <f t="shared" si="516"/>
        <v>1</v>
      </c>
      <c r="GL1035" s="101">
        <f t="shared" si="517"/>
        <v>83</v>
      </c>
    </row>
    <row r="1036" spans="170:194" ht="16.5" x14ac:dyDescent="0.2">
      <c r="FN1036" s="101">
        <v>1031</v>
      </c>
      <c r="FO1036" s="101">
        <f t="shared" si="502"/>
        <v>0</v>
      </c>
      <c r="FP1036" s="101">
        <f t="shared" si="518"/>
        <v>13</v>
      </c>
      <c r="FQ1036" s="14">
        <f t="shared" si="519"/>
        <v>4</v>
      </c>
      <c r="FR1036" s="101" t="str">
        <f t="shared" si="503"/>
        <v>西方龙专属武器-魂珠-8 0级</v>
      </c>
      <c r="FS1036" s="101">
        <f t="shared" si="504"/>
        <v>8</v>
      </c>
      <c r="FT1036" s="101">
        <f t="shared" si="505"/>
        <v>0</v>
      </c>
      <c r="FU1036" s="101" t="str">
        <f t="shared" si="520"/>
        <v/>
      </c>
      <c r="FV1036" s="139" t="str">
        <f>IF($FT1036&gt;0,IF(INDEX($EI$6:$EI$77,$FO1036)&gt;=FV$3,ROUND(INDEX(EK$6:EK$77,$FO1036)*INDEX(卡牌消耗!$B$8:$F$8,FQ1036)/5,0)*5,""),"")</f>
        <v/>
      </c>
      <c r="FW1036" s="101" t="str">
        <f t="shared" si="521"/>
        <v/>
      </c>
      <c r="FX1036" s="101" t="str">
        <f t="shared" si="522"/>
        <v/>
      </c>
      <c r="FY1036" s="101" t="str">
        <f t="shared" si="523"/>
        <v/>
      </c>
      <c r="FZ1036" s="101" t="str">
        <f t="shared" si="524"/>
        <v/>
      </c>
      <c r="GA1036" s="101" t="str">
        <f t="shared" si="506"/>
        <v/>
      </c>
      <c r="GB1036" s="101" t="str">
        <f t="shared" si="507"/>
        <v/>
      </c>
      <c r="GC1036" s="101" t="str">
        <f t="shared" si="508"/>
        <v/>
      </c>
      <c r="GD1036" s="101" t="str">
        <f t="shared" si="509"/>
        <v/>
      </c>
      <c r="GE1036" s="101" t="str">
        <f t="shared" si="510"/>
        <v/>
      </c>
      <c r="GF1036" s="101" t="str">
        <f t="shared" si="511"/>
        <v/>
      </c>
      <c r="GG1036" s="101" t="str">
        <f t="shared" si="512"/>
        <v/>
      </c>
      <c r="GH1036" s="101" t="str">
        <f t="shared" si="513"/>
        <v/>
      </c>
      <c r="GI1036" s="101" t="str">
        <f t="shared" si="514"/>
        <v/>
      </c>
      <c r="GJ1036" s="101" t="str">
        <f t="shared" si="515"/>
        <v/>
      </c>
      <c r="GK1036" s="101" t="str">
        <f t="shared" si="516"/>
        <v/>
      </c>
      <c r="GL1036" s="101" t="str">
        <f t="shared" si="517"/>
        <v/>
      </c>
    </row>
    <row r="1037" spans="170:194" ht="16.5" x14ac:dyDescent="0.2">
      <c r="FN1037" s="101">
        <v>1032</v>
      </c>
      <c r="FO1037" s="101">
        <f t="shared" si="502"/>
        <v>64</v>
      </c>
      <c r="FP1037" s="101">
        <f t="shared" si="518"/>
        <v>13</v>
      </c>
      <c r="FQ1037" s="14">
        <f t="shared" si="519"/>
        <v>4</v>
      </c>
      <c r="FR1037" s="101" t="str">
        <f t="shared" si="503"/>
        <v>西方龙专属武器-魂珠-8 1级</v>
      </c>
      <c r="FS1037" s="101">
        <f t="shared" si="504"/>
        <v>8</v>
      </c>
      <c r="FT1037" s="101">
        <f t="shared" si="505"/>
        <v>1</v>
      </c>
      <c r="FU1037" s="101" t="str">
        <f t="shared" si="520"/>
        <v>金币</v>
      </c>
      <c r="FV1037" s="139">
        <f>IF($FT1037&gt;0,IF(INDEX($EI$6:$EI$77,$FO1037)&gt;=FV$3,ROUND(INDEX(EK$6:EK$77,$FO1037)*INDEX(卡牌消耗!$B$8:$F$8,FQ1037)/5,0)*5,""),"")</f>
        <v>15455</v>
      </c>
      <c r="FW1037" s="101" t="str">
        <f t="shared" si="521"/>
        <v>专属强化石4</v>
      </c>
      <c r="FX1037" s="101">
        <f t="shared" si="522"/>
        <v>5</v>
      </c>
      <c r="FY1037" s="101" t="str">
        <f t="shared" si="523"/>
        <v/>
      </c>
      <c r="FZ1037" s="101" t="str">
        <f t="shared" si="524"/>
        <v/>
      </c>
      <c r="GA1037" s="101">
        <f t="shared" si="506"/>
        <v>0.11</v>
      </c>
      <c r="GB1037" s="101">
        <f t="shared" si="507"/>
        <v>1</v>
      </c>
      <c r="GC1037" s="101">
        <f t="shared" si="508"/>
        <v>13</v>
      </c>
      <c r="GD1037" s="101">
        <f t="shared" si="509"/>
        <v>0</v>
      </c>
      <c r="GE1037" s="101">
        <f t="shared" si="510"/>
        <v>1</v>
      </c>
      <c r="GF1037" s="101">
        <f t="shared" si="511"/>
        <v>3</v>
      </c>
      <c r="GG1037" s="101">
        <f t="shared" si="512"/>
        <v>5.6500000000000002E-2</v>
      </c>
      <c r="GH1037" s="101">
        <f t="shared" si="513"/>
        <v>1</v>
      </c>
      <c r="GI1037" s="101">
        <f t="shared" si="514"/>
        <v>6</v>
      </c>
      <c r="GJ1037" s="101">
        <f t="shared" si="515"/>
        <v>0.22600000000000001</v>
      </c>
      <c r="GK1037" s="101">
        <f t="shared" si="516"/>
        <v>1</v>
      </c>
      <c r="GL1037" s="101">
        <f t="shared" si="517"/>
        <v>13</v>
      </c>
    </row>
    <row r="1038" spans="170:194" ht="16.5" x14ac:dyDescent="0.2">
      <c r="FN1038" s="101">
        <v>1033</v>
      </c>
      <c r="FO1038" s="101">
        <f t="shared" si="502"/>
        <v>65</v>
      </c>
      <c r="FP1038" s="101">
        <f t="shared" si="518"/>
        <v>13</v>
      </c>
      <c r="FQ1038" s="14">
        <f t="shared" si="519"/>
        <v>4</v>
      </c>
      <c r="FR1038" s="101" t="str">
        <f t="shared" si="503"/>
        <v>西方龙专属武器-魂珠-8 2级</v>
      </c>
      <c r="FS1038" s="101">
        <f t="shared" si="504"/>
        <v>8</v>
      </c>
      <c r="FT1038" s="101">
        <f t="shared" si="505"/>
        <v>2</v>
      </c>
      <c r="FU1038" s="101" t="str">
        <f t="shared" si="520"/>
        <v>金币</v>
      </c>
      <c r="FV1038" s="139">
        <f>IF($FT1038&gt;0,IF(INDEX($EI$6:$EI$77,$FO1038)&gt;=FV$3,ROUND(INDEX(EK$6:EK$77,$FO1038)*INDEX(卡牌消耗!$B$8:$F$8,FQ1038)/5,0)*5,""),"")</f>
        <v>18545</v>
      </c>
      <c r="FW1038" s="101" t="str">
        <f t="shared" si="521"/>
        <v>专属强化石4</v>
      </c>
      <c r="FX1038" s="101">
        <f t="shared" si="522"/>
        <v>8</v>
      </c>
      <c r="FY1038" s="101" t="str">
        <f t="shared" si="523"/>
        <v/>
      </c>
      <c r="FZ1038" s="101" t="str">
        <f t="shared" si="524"/>
        <v/>
      </c>
      <c r="GA1038" s="101">
        <f t="shared" si="506"/>
        <v>0.09</v>
      </c>
      <c r="GB1038" s="101">
        <f t="shared" si="507"/>
        <v>1</v>
      </c>
      <c r="GC1038" s="101">
        <f t="shared" si="508"/>
        <v>17</v>
      </c>
      <c r="GD1038" s="101">
        <f t="shared" si="509"/>
        <v>0</v>
      </c>
      <c r="GE1038" s="101">
        <f t="shared" si="510"/>
        <v>1</v>
      </c>
      <c r="GF1038" s="101">
        <f t="shared" si="511"/>
        <v>4</v>
      </c>
      <c r="GG1038" s="101">
        <f t="shared" si="512"/>
        <v>4.5199999999999997E-2</v>
      </c>
      <c r="GH1038" s="101">
        <f t="shared" si="513"/>
        <v>1</v>
      </c>
      <c r="GI1038" s="101">
        <f t="shared" si="514"/>
        <v>8</v>
      </c>
      <c r="GJ1038" s="101">
        <f t="shared" si="515"/>
        <v>0.18079999999999999</v>
      </c>
      <c r="GK1038" s="101">
        <f t="shared" si="516"/>
        <v>1</v>
      </c>
      <c r="GL1038" s="101">
        <f t="shared" si="517"/>
        <v>17</v>
      </c>
    </row>
    <row r="1039" spans="170:194" ht="16.5" x14ac:dyDescent="0.2">
      <c r="FN1039" s="101">
        <v>1034</v>
      </c>
      <c r="FO1039" s="101">
        <f t="shared" si="502"/>
        <v>66</v>
      </c>
      <c r="FP1039" s="101">
        <f t="shared" si="518"/>
        <v>13</v>
      </c>
      <c r="FQ1039" s="14">
        <f t="shared" si="519"/>
        <v>4</v>
      </c>
      <c r="FR1039" s="101" t="str">
        <f t="shared" si="503"/>
        <v>西方龙专属武器-魂珠-8 3级</v>
      </c>
      <c r="FS1039" s="101">
        <f t="shared" si="504"/>
        <v>8</v>
      </c>
      <c r="FT1039" s="101">
        <f t="shared" si="505"/>
        <v>3</v>
      </c>
      <c r="FU1039" s="101" t="str">
        <f t="shared" si="520"/>
        <v>金币</v>
      </c>
      <c r="FV1039" s="139">
        <f>IF($FT1039&gt;0,IF(INDEX($EI$6:$EI$77,$FO1039)&gt;=FV$3,ROUND(INDEX(EK$6:EK$77,$FO1039)*INDEX(卡牌消耗!$B$8:$F$8,FQ1039)/5,0)*5,""),"")</f>
        <v>25755</v>
      </c>
      <c r="FW1039" s="101" t="str">
        <f t="shared" si="521"/>
        <v>专属强化石4</v>
      </c>
      <c r="FX1039" s="101">
        <f t="shared" si="522"/>
        <v>10</v>
      </c>
      <c r="FY1039" s="101" t="str">
        <f t="shared" si="523"/>
        <v/>
      </c>
      <c r="FZ1039" s="101" t="str">
        <f t="shared" si="524"/>
        <v/>
      </c>
      <c r="GA1039" s="101">
        <f t="shared" si="506"/>
        <v>0.08</v>
      </c>
      <c r="GB1039" s="101">
        <f t="shared" si="507"/>
        <v>1</v>
      </c>
      <c r="GC1039" s="101">
        <f t="shared" si="508"/>
        <v>20</v>
      </c>
      <c r="GD1039" s="101">
        <f t="shared" si="509"/>
        <v>0</v>
      </c>
      <c r="GE1039" s="101">
        <f t="shared" si="510"/>
        <v>1</v>
      </c>
      <c r="GF1039" s="101">
        <f t="shared" si="511"/>
        <v>5</v>
      </c>
      <c r="GG1039" s="101">
        <f t="shared" si="512"/>
        <v>3.7699999999999997E-2</v>
      </c>
      <c r="GH1039" s="101">
        <f t="shared" si="513"/>
        <v>1</v>
      </c>
      <c r="GI1039" s="101">
        <f t="shared" si="514"/>
        <v>9</v>
      </c>
      <c r="GJ1039" s="101">
        <f t="shared" si="515"/>
        <v>0.1507</v>
      </c>
      <c r="GK1039" s="101">
        <f t="shared" si="516"/>
        <v>1</v>
      </c>
      <c r="GL1039" s="101">
        <f t="shared" si="517"/>
        <v>20</v>
      </c>
    </row>
    <row r="1040" spans="170:194" ht="16.5" x14ac:dyDescent="0.2">
      <c r="FN1040" s="101">
        <v>1035</v>
      </c>
      <c r="FO1040" s="101">
        <f t="shared" si="502"/>
        <v>67</v>
      </c>
      <c r="FP1040" s="101">
        <f t="shared" si="518"/>
        <v>13</v>
      </c>
      <c r="FQ1040" s="14">
        <f t="shared" si="519"/>
        <v>4</v>
      </c>
      <c r="FR1040" s="101" t="str">
        <f t="shared" si="503"/>
        <v>西方龙专属武器-魂珠-8 4级</v>
      </c>
      <c r="FS1040" s="101">
        <f t="shared" si="504"/>
        <v>8</v>
      </c>
      <c r="FT1040" s="101">
        <f t="shared" si="505"/>
        <v>4</v>
      </c>
      <c r="FU1040" s="101" t="str">
        <f t="shared" si="520"/>
        <v>金币</v>
      </c>
      <c r="FV1040" s="139">
        <f>IF($FT1040&gt;0,IF(INDEX($EI$6:$EI$77,$FO1040)&gt;=FV$3,ROUND(INDEX(EK$6:EK$77,$FO1040)*INDEX(卡牌消耗!$B$8:$F$8,FQ1040)/5,0)*5,""),"")</f>
        <v>29670</v>
      </c>
      <c r="FW1040" s="101" t="str">
        <f t="shared" si="521"/>
        <v>专属强化石4</v>
      </c>
      <c r="FX1040" s="101">
        <f t="shared" si="522"/>
        <v>12</v>
      </c>
      <c r="FY1040" s="101" t="str">
        <f t="shared" si="523"/>
        <v/>
      </c>
      <c r="FZ1040" s="101" t="str">
        <f t="shared" si="524"/>
        <v/>
      </c>
      <c r="GA1040" s="101">
        <f t="shared" si="506"/>
        <v>0.05</v>
      </c>
      <c r="GB1040" s="101">
        <f t="shared" si="507"/>
        <v>1</v>
      </c>
      <c r="GC1040" s="101">
        <f t="shared" si="508"/>
        <v>28</v>
      </c>
      <c r="GD1040" s="101">
        <f t="shared" si="509"/>
        <v>0</v>
      </c>
      <c r="GE1040" s="101">
        <f t="shared" si="510"/>
        <v>1</v>
      </c>
      <c r="GF1040" s="101">
        <f t="shared" si="511"/>
        <v>6</v>
      </c>
      <c r="GG1040" s="101">
        <f t="shared" si="512"/>
        <v>2.7099999999999999E-2</v>
      </c>
      <c r="GH1040" s="101">
        <f t="shared" si="513"/>
        <v>1</v>
      </c>
      <c r="GI1040" s="101">
        <f t="shared" si="514"/>
        <v>13</v>
      </c>
      <c r="GJ1040" s="101">
        <f t="shared" si="515"/>
        <v>0.1085</v>
      </c>
      <c r="GK1040" s="101">
        <f t="shared" si="516"/>
        <v>1</v>
      </c>
      <c r="GL1040" s="101">
        <f t="shared" si="517"/>
        <v>28</v>
      </c>
    </row>
    <row r="1041" spans="170:194" ht="16.5" x14ac:dyDescent="0.2">
      <c r="FN1041" s="101">
        <v>1036</v>
      </c>
      <c r="FO1041" s="101">
        <f t="shared" si="502"/>
        <v>68</v>
      </c>
      <c r="FP1041" s="101">
        <f t="shared" si="518"/>
        <v>13</v>
      </c>
      <c r="FQ1041" s="14">
        <f t="shared" si="519"/>
        <v>4</v>
      </c>
      <c r="FR1041" s="101" t="str">
        <f t="shared" si="503"/>
        <v>西方龙专属武器-魂珠-8 5级</v>
      </c>
      <c r="FS1041" s="101">
        <f t="shared" si="504"/>
        <v>8</v>
      </c>
      <c r="FT1041" s="101">
        <f t="shared" si="505"/>
        <v>5</v>
      </c>
      <c r="FU1041" s="101" t="str">
        <f t="shared" si="520"/>
        <v>金币</v>
      </c>
      <c r="FV1041" s="139">
        <f>IF($FT1041&gt;0,IF(INDEX($EI$6:$EI$77,$FO1041)&gt;=FV$3,ROUND(INDEX(EK$6:EK$77,$FO1041)*INDEX(卡牌消耗!$B$8:$F$8,FQ1041)/5,0)*5,""),"")</f>
        <v>37665</v>
      </c>
      <c r="FW1041" s="101" t="str">
        <f t="shared" si="521"/>
        <v>专属强化石4</v>
      </c>
      <c r="FX1041" s="101">
        <f t="shared" si="522"/>
        <v>15</v>
      </c>
      <c r="FY1041" s="101" t="str">
        <f t="shared" si="523"/>
        <v/>
      </c>
      <c r="FZ1041" s="101" t="str">
        <f t="shared" si="524"/>
        <v/>
      </c>
      <c r="GA1041" s="101">
        <f t="shared" si="506"/>
        <v>0.04</v>
      </c>
      <c r="GB1041" s="101">
        <f t="shared" si="507"/>
        <v>1</v>
      </c>
      <c r="GC1041" s="101">
        <f t="shared" si="508"/>
        <v>35</v>
      </c>
      <c r="GD1041" s="101">
        <f t="shared" si="509"/>
        <v>0</v>
      </c>
      <c r="GE1041" s="101">
        <f t="shared" si="510"/>
        <v>1</v>
      </c>
      <c r="GF1041" s="101">
        <f t="shared" si="511"/>
        <v>8</v>
      </c>
      <c r="GG1041" s="101">
        <f t="shared" si="512"/>
        <v>2.12E-2</v>
      </c>
      <c r="GH1041" s="101">
        <f t="shared" si="513"/>
        <v>1</v>
      </c>
      <c r="GI1041" s="101">
        <f t="shared" si="514"/>
        <v>17</v>
      </c>
      <c r="GJ1041" s="101">
        <f t="shared" si="515"/>
        <v>8.4699999999999998E-2</v>
      </c>
      <c r="GK1041" s="101">
        <f t="shared" si="516"/>
        <v>1</v>
      </c>
      <c r="GL1041" s="101">
        <f t="shared" si="517"/>
        <v>35</v>
      </c>
    </row>
    <row r="1042" spans="170:194" ht="16.5" x14ac:dyDescent="0.2">
      <c r="FN1042" s="101">
        <v>1037</v>
      </c>
      <c r="FO1042" s="101">
        <f t="shared" si="502"/>
        <v>69</v>
      </c>
      <c r="FP1042" s="101">
        <f t="shared" si="518"/>
        <v>13</v>
      </c>
      <c r="FQ1042" s="14">
        <f t="shared" si="519"/>
        <v>4</v>
      </c>
      <c r="FR1042" s="101" t="str">
        <f t="shared" si="503"/>
        <v>西方龙专属武器-魂珠-8 6级</v>
      </c>
      <c r="FS1042" s="101">
        <f t="shared" si="504"/>
        <v>8</v>
      </c>
      <c r="FT1042" s="101">
        <f t="shared" si="505"/>
        <v>6</v>
      </c>
      <c r="FU1042" s="101" t="str">
        <f t="shared" si="520"/>
        <v>金币</v>
      </c>
      <c r="FV1042" s="139">
        <f>IF($FT1042&gt;0,IF(INDEX($EI$6:$EI$77,$FO1042)&gt;=FV$3,ROUND(INDEX(EK$6:EK$77,$FO1042)*INDEX(卡牌消耗!$B$8:$F$8,FQ1042)/5,0)*5,""),"")</f>
        <v>44935</v>
      </c>
      <c r="FW1042" s="101" t="str">
        <f t="shared" si="521"/>
        <v>专属强化石4</v>
      </c>
      <c r="FX1042" s="101">
        <f t="shared" si="522"/>
        <v>18</v>
      </c>
      <c r="FY1042" s="101" t="str">
        <f t="shared" si="523"/>
        <v/>
      </c>
      <c r="FZ1042" s="101" t="str">
        <f t="shared" si="524"/>
        <v/>
      </c>
      <c r="GA1042" s="101">
        <f t="shared" si="506"/>
        <v>0.03</v>
      </c>
      <c r="GB1042" s="101">
        <f t="shared" si="507"/>
        <v>1</v>
      </c>
      <c r="GC1042" s="101">
        <f t="shared" si="508"/>
        <v>48</v>
      </c>
      <c r="GD1042" s="101">
        <f t="shared" si="509"/>
        <v>0</v>
      </c>
      <c r="GE1042" s="101">
        <f t="shared" si="510"/>
        <v>1</v>
      </c>
      <c r="GF1042" s="101">
        <f t="shared" si="511"/>
        <v>11</v>
      </c>
      <c r="GG1042" s="101">
        <f t="shared" si="512"/>
        <v>1.5599999999999999E-2</v>
      </c>
      <c r="GH1042" s="101">
        <f t="shared" si="513"/>
        <v>1</v>
      </c>
      <c r="GI1042" s="101">
        <f t="shared" si="514"/>
        <v>22</v>
      </c>
      <c r="GJ1042" s="101">
        <f t="shared" si="515"/>
        <v>6.2600000000000003E-2</v>
      </c>
      <c r="GK1042" s="101">
        <f t="shared" si="516"/>
        <v>1</v>
      </c>
      <c r="GL1042" s="101">
        <f t="shared" si="517"/>
        <v>48</v>
      </c>
    </row>
    <row r="1043" spans="170:194" ht="16.5" x14ac:dyDescent="0.2">
      <c r="FN1043" s="101">
        <v>1038</v>
      </c>
      <c r="FO1043" s="101">
        <f t="shared" si="502"/>
        <v>70</v>
      </c>
      <c r="FP1043" s="101">
        <f t="shared" si="518"/>
        <v>13</v>
      </c>
      <c r="FQ1043" s="14">
        <f t="shared" si="519"/>
        <v>4</v>
      </c>
      <c r="FR1043" s="101" t="str">
        <f t="shared" si="503"/>
        <v>西方龙专属武器-魂珠-8 7级</v>
      </c>
      <c r="FS1043" s="101">
        <f t="shared" si="504"/>
        <v>8</v>
      </c>
      <c r="FT1043" s="101">
        <f t="shared" si="505"/>
        <v>7</v>
      </c>
      <c r="FU1043" s="101" t="str">
        <f t="shared" si="520"/>
        <v>金币</v>
      </c>
      <c r="FV1043" s="139">
        <f>IF($FT1043&gt;0,IF(INDEX($EI$6:$EI$77,$FO1043)&gt;=FV$3,ROUND(INDEX(EK$6:EK$77,$FO1043)*INDEX(卡牌消耗!$B$8:$F$8,FQ1043)/5,0)*5,""),"")</f>
        <v>62545</v>
      </c>
      <c r="FW1043" s="101" t="str">
        <f t="shared" si="521"/>
        <v>专属强化石4</v>
      </c>
      <c r="FX1043" s="101">
        <f t="shared" si="522"/>
        <v>25</v>
      </c>
      <c r="FY1043" s="101" t="str">
        <f t="shared" si="523"/>
        <v/>
      </c>
      <c r="FZ1043" s="101" t="str">
        <f t="shared" si="524"/>
        <v/>
      </c>
      <c r="GA1043" s="101">
        <f t="shared" si="506"/>
        <v>0.03</v>
      </c>
      <c r="GB1043" s="101">
        <f t="shared" si="507"/>
        <v>1</v>
      </c>
      <c r="GC1043" s="101">
        <f t="shared" si="508"/>
        <v>56</v>
      </c>
      <c r="GD1043" s="101">
        <f t="shared" si="509"/>
        <v>0</v>
      </c>
      <c r="GE1043" s="101">
        <f t="shared" si="510"/>
        <v>1</v>
      </c>
      <c r="GF1043" s="101">
        <f t="shared" si="511"/>
        <v>13</v>
      </c>
      <c r="GG1043" s="101">
        <f t="shared" si="512"/>
        <v>1.35E-2</v>
      </c>
      <c r="GH1043" s="101">
        <f t="shared" si="513"/>
        <v>1</v>
      </c>
      <c r="GI1043" s="101">
        <f t="shared" si="514"/>
        <v>26</v>
      </c>
      <c r="GJ1043" s="101">
        <f t="shared" si="515"/>
        <v>5.3800000000000001E-2</v>
      </c>
      <c r="GK1043" s="101">
        <f t="shared" si="516"/>
        <v>1</v>
      </c>
      <c r="GL1043" s="101">
        <f t="shared" si="517"/>
        <v>56</v>
      </c>
    </row>
    <row r="1044" spans="170:194" ht="16.5" x14ac:dyDescent="0.2">
      <c r="FN1044" s="101">
        <v>1039</v>
      </c>
      <c r="FO1044" s="101">
        <f t="shared" si="502"/>
        <v>71</v>
      </c>
      <c r="FP1044" s="101">
        <f t="shared" si="518"/>
        <v>13</v>
      </c>
      <c r="FQ1044" s="14">
        <f t="shared" si="519"/>
        <v>4</v>
      </c>
      <c r="FR1044" s="101" t="str">
        <f t="shared" si="503"/>
        <v>西方龙专属武器-魂珠-8 8级</v>
      </c>
      <c r="FS1044" s="101">
        <f t="shared" si="504"/>
        <v>8</v>
      </c>
      <c r="FT1044" s="101">
        <f t="shared" si="505"/>
        <v>8</v>
      </c>
      <c r="FU1044" s="101" t="str">
        <f t="shared" si="520"/>
        <v>金币</v>
      </c>
      <c r="FV1044" s="139">
        <f>IF($FT1044&gt;0,IF(INDEX($EI$6:$EI$77,$FO1044)&gt;=FV$3,ROUND(INDEX(EK$6:EK$77,$FO1044)*INDEX(卡牌消耗!$B$8:$F$8,FQ1044)/5,0)*5,""),"")</f>
        <v>74990</v>
      </c>
      <c r="FW1044" s="101" t="str">
        <f t="shared" si="521"/>
        <v>专属强化石4</v>
      </c>
      <c r="FX1044" s="101">
        <f t="shared" si="522"/>
        <v>30</v>
      </c>
      <c r="FY1044" s="101" t="str">
        <f t="shared" si="523"/>
        <v/>
      </c>
      <c r="FZ1044" s="101" t="str">
        <f t="shared" si="524"/>
        <v/>
      </c>
      <c r="GA1044" s="101">
        <f t="shared" si="506"/>
        <v>0.02</v>
      </c>
      <c r="GB1044" s="101">
        <f t="shared" si="507"/>
        <v>1</v>
      </c>
      <c r="GC1044" s="101">
        <f t="shared" si="508"/>
        <v>75</v>
      </c>
      <c r="GD1044" s="101">
        <f t="shared" si="509"/>
        <v>0</v>
      </c>
      <c r="GE1044" s="101">
        <f t="shared" si="510"/>
        <v>1</v>
      </c>
      <c r="GF1044" s="101">
        <f t="shared" si="511"/>
        <v>18</v>
      </c>
      <c r="GG1044" s="101">
        <f t="shared" si="512"/>
        <v>0.01</v>
      </c>
      <c r="GH1044" s="101">
        <f t="shared" si="513"/>
        <v>1</v>
      </c>
      <c r="GI1044" s="101">
        <f t="shared" si="514"/>
        <v>35</v>
      </c>
      <c r="GJ1044" s="101">
        <f t="shared" si="515"/>
        <v>3.9899999999999998E-2</v>
      </c>
      <c r="GK1044" s="101">
        <f t="shared" si="516"/>
        <v>1</v>
      </c>
      <c r="GL1044" s="101">
        <f t="shared" si="517"/>
        <v>75</v>
      </c>
    </row>
    <row r="1045" spans="170:194" ht="16.5" x14ac:dyDescent="0.2">
      <c r="FN1045" s="101">
        <v>1040</v>
      </c>
      <c r="FO1045" s="101">
        <f t="shared" si="502"/>
        <v>72</v>
      </c>
      <c r="FP1045" s="101">
        <f t="shared" si="518"/>
        <v>13</v>
      </c>
      <c r="FQ1045" s="14">
        <f t="shared" si="519"/>
        <v>4</v>
      </c>
      <c r="FR1045" s="101" t="str">
        <f t="shared" si="503"/>
        <v>西方龙专属武器-魂珠-8 9级</v>
      </c>
      <c r="FS1045" s="101">
        <f t="shared" si="504"/>
        <v>8</v>
      </c>
      <c r="FT1045" s="101">
        <f t="shared" si="505"/>
        <v>9</v>
      </c>
      <c r="FU1045" s="101" t="str">
        <f t="shared" si="520"/>
        <v>金币</v>
      </c>
      <c r="FV1045" s="139">
        <f>IF($FT1045&gt;0,IF(INDEX($EI$6:$EI$77,$FO1045)&gt;=FV$3,ROUND(INDEX(EK$6:EK$77,$FO1045)*INDEX(卡牌消耗!$B$8:$F$8,FQ1045)/5,0)*5,""),"")</f>
        <v>75015</v>
      </c>
      <c r="FW1045" s="101" t="str">
        <f t="shared" si="521"/>
        <v>专属强化石4</v>
      </c>
      <c r="FX1045" s="101">
        <f t="shared" si="522"/>
        <v>30</v>
      </c>
      <c r="FY1045" s="101" t="str">
        <f t="shared" si="523"/>
        <v/>
      </c>
      <c r="FZ1045" s="101" t="str">
        <f t="shared" si="524"/>
        <v/>
      </c>
      <c r="GA1045" s="101">
        <f t="shared" si="506"/>
        <v>0.01</v>
      </c>
      <c r="GB1045" s="101">
        <f t="shared" si="507"/>
        <v>1</v>
      </c>
      <c r="GC1045" s="101">
        <f t="shared" si="508"/>
        <v>122</v>
      </c>
      <c r="GD1045" s="101">
        <f t="shared" si="509"/>
        <v>0</v>
      </c>
      <c r="GE1045" s="101">
        <f t="shared" si="510"/>
        <v>1</v>
      </c>
      <c r="GF1045" s="101">
        <f t="shared" si="511"/>
        <v>28</v>
      </c>
      <c r="GG1045" s="101">
        <f t="shared" si="512"/>
        <v>6.1999999999999998E-3</v>
      </c>
      <c r="GH1045" s="101">
        <f t="shared" si="513"/>
        <v>1</v>
      </c>
      <c r="GI1045" s="101">
        <f t="shared" si="514"/>
        <v>57</v>
      </c>
      <c r="GJ1045" s="101">
        <f t="shared" si="515"/>
        <v>2.47E-2</v>
      </c>
      <c r="GK1045" s="101">
        <f t="shared" si="516"/>
        <v>1</v>
      </c>
      <c r="GL1045" s="101">
        <f t="shared" si="517"/>
        <v>122</v>
      </c>
    </row>
    <row r="1046" spans="170:194" ht="16.5" x14ac:dyDescent="0.2">
      <c r="FN1046" s="101">
        <v>1041</v>
      </c>
      <c r="FO1046" s="101">
        <f t="shared" ref="FO1046:FO1109" si="525">IF(FT1046&gt;0,(FS1046-1)*9+FT1046,0)</f>
        <v>0</v>
      </c>
      <c r="FP1046" s="101">
        <f t="shared" si="518"/>
        <v>14</v>
      </c>
      <c r="FQ1046" s="14">
        <f t="shared" si="519"/>
        <v>3</v>
      </c>
      <c r="FR1046" s="101" t="str">
        <f t="shared" ref="FR1046:FR1109" si="526">INDEX($FI$6:$FI$26,FP1046)&amp;"专属武器-魂珠-"&amp;FS1046&amp;" "&amp;FT1046&amp;"级"</f>
        <v>飞廉专属武器-魂珠-1 0级</v>
      </c>
      <c r="FS1046" s="101">
        <f t="shared" ref="FS1046:FS1109" si="527">INT((FN1046-(FP1046-1)*80-1)/10)+1</f>
        <v>1</v>
      </c>
      <c r="FT1046" s="101">
        <f t="shared" ref="FT1046:FT1109" si="528">FN1046-(FP1046-1)*80-(FS1046-1)*10-1</f>
        <v>0</v>
      </c>
      <c r="FU1046" s="101" t="str">
        <f t="shared" si="520"/>
        <v/>
      </c>
      <c r="FV1046" s="139" t="str">
        <f>IF($FT1046&gt;0,IF(INDEX($EI$6:$EI$77,$FO1046)&gt;=FV$3,ROUND(INDEX(EK$6:EK$77,$FO1046)*INDEX(卡牌消耗!$B$8:$F$8,FQ1046)/5,0)*5,""),"")</f>
        <v/>
      </c>
      <c r="FW1046" s="101" t="str">
        <f t="shared" si="521"/>
        <v/>
      </c>
      <c r="FX1046" s="101" t="str">
        <f t="shared" si="522"/>
        <v/>
      </c>
      <c r="FY1046" s="101" t="str">
        <f t="shared" si="523"/>
        <v/>
      </c>
      <c r="FZ1046" s="101" t="str">
        <f t="shared" si="524"/>
        <v/>
      </c>
      <c r="GA1046" s="101" t="str">
        <f t="shared" ref="GA1046:GA1109" si="529">IF($FT1046&gt;0,INDEX(EP$6:EP$77,$FO1046),"")</f>
        <v/>
      </c>
      <c r="GB1046" s="101" t="str">
        <f t="shared" ref="GB1046:GB1109" si="530">IF($FT1046&gt;0,INDEX(EQ$6:EQ$77,$FO1046),"")</f>
        <v/>
      </c>
      <c r="GC1046" s="101" t="str">
        <f t="shared" ref="GC1046:GC1109" si="531">IF($FT1046&gt;0,INDEX(ER$6:ER$77,$FO1046),"")</f>
        <v/>
      </c>
      <c r="GD1046" s="101" t="str">
        <f t="shared" ref="GD1046:GD1109" si="532">IF($FT1046&gt;0,INDEX(EV$6:EV$77,$FO1046),"")</f>
        <v/>
      </c>
      <c r="GE1046" s="101" t="str">
        <f t="shared" ref="GE1046:GE1109" si="533">IF($FT1046&gt;0,INDEX(EW$6:EW$77,$FO1046),"")</f>
        <v/>
      </c>
      <c r="GF1046" s="101" t="str">
        <f t="shared" ref="GF1046:GF1109" si="534">IF($FT1046&gt;0,INDEX(EX$6:EX$77,$FO1046),"")</f>
        <v/>
      </c>
      <c r="GG1046" s="101" t="str">
        <f t="shared" ref="GG1046:GG1109" si="535">IF($FT1046&gt;0,INDEX(EY$6:EY$77,$FO1046),"")</f>
        <v/>
      </c>
      <c r="GH1046" s="101" t="str">
        <f t="shared" ref="GH1046:GH1109" si="536">IF($FT1046&gt;0,INDEX(EZ$6:EZ$77,$FO1046),"")</f>
        <v/>
      </c>
      <c r="GI1046" s="101" t="str">
        <f t="shared" ref="GI1046:GI1109" si="537">IF($FT1046&gt;0,INDEX(FA$6:FA$77,$FO1046),"")</f>
        <v/>
      </c>
      <c r="GJ1046" s="101" t="str">
        <f t="shared" ref="GJ1046:GJ1109" si="538">IF($FT1046&gt;0,INDEX(FB$6:FB$77,$FO1046),"")</f>
        <v/>
      </c>
      <c r="GK1046" s="101" t="str">
        <f t="shared" ref="GK1046:GK1109" si="539">IF($FT1046&gt;0,INDEX(FC$6:FC$77,$FO1046),"")</f>
        <v/>
      </c>
      <c r="GL1046" s="101" t="str">
        <f t="shared" ref="GL1046:GL1109" si="540">IF($FT1046&gt;0,INDEX(FD$6:FD$77,$FO1046),"")</f>
        <v/>
      </c>
    </row>
    <row r="1047" spans="170:194" ht="16.5" x14ac:dyDescent="0.2">
      <c r="FN1047" s="101">
        <v>1042</v>
      </c>
      <c r="FO1047" s="101">
        <f t="shared" si="525"/>
        <v>1</v>
      </c>
      <c r="FP1047" s="101">
        <f t="shared" si="518"/>
        <v>14</v>
      </c>
      <c r="FQ1047" s="14">
        <f t="shared" si="519"/>
        <v>3</v>
      </c>
      <c r="FR1047" s="101" t="str">
        <f t="shared" si="526"/>
        <v>飞廉专属武器-魂珠-1 1级</v>
      </c>
      <c r="FS1047" s="101">
        <f t="shared" si="527"/>
        <v>1</v>
      </c>
      <c r="FT1047" s="101">
        <f t="shared" si="528"/>
        <v>1</v>
      </c>
      <c r="FU1047" s="101" t="str">
        <f t="shared" si="520"/>
        <v>金币</v>
      </c>
      <c r="FV1047" s="139">
        <f>IF($FT1047&gt;0,IF(INDEX($EI$6:$EI$77,$FO1047)&gt;=FV$3,ROUND(INDEX(EK$6:EK$77,$FO1047)*INDEX(卡牌消耗!$B$8:$F$8,FQ1047)/5,0)*5,""),"")</f>
        <v>95</v>
      </c>
      <c r="FW1047" s="101" t="str">
        <f t="shared" si="521"/>
        <v>专属强化石1</v>
      </c>
      <c r="FX1047" s="101">
        <f t="shared" si="522"/>
        <v>1</v>
      </c>
      <c r="FY1047" s="101" t="str">
        <f t="shared" si="523"/>
        <v/>
      </c>
      <c r="FZ1047" s="101" t="str">
        <f t="shared" si="524"/>
        <v/>
      </c>
      <c r="GA1047" s="101">
        <f t="shared" si="529"/>
        <v>0.32</v>
      </c>
      <c r="GB1047" s="101">
        <f t="shared" si="530"/>
        <v>1</v>
      </c>
      <c r="GC1047" s="101">
        <f t="shared" si="531"/>
        <v>5</v>
      </c>
      <c r="GD1047" s="101">
        <f t="shared" si="532"/>
        <v>0</v>
      </c>
      <c r="GE1047" s="101">
        <f t="shared" si="533"/>
        <v>1</v>
      </c>
      <c r="GF1047" s="101">
        <f t="shared" si="534"/>
        <v>1</v>
      </c>
      <c r="GG1047" s="101">
        <f t="shared" si="535"/>
        <v>0.1595</v>
      </c>
      <c r="GH1047" s="101">
        <f t="shared" si="536"/>
        <v>1</v>
      </c>
      <c r="GI1047" s="101">
        <f t="shared" si="537"/>
        <v>2</v>
      </c>
      <c r="GJ1047" s="101">
        <f t="shared" si="538"/>
        <v>0.63819999999999999</v>
      </c>
      <c r="GK1047" s="101">
        <f t="shared" si="539"/>
        <v>1</v>
      </c>
      <c r="GL1047" s="101">
        <f t="shared" si="540"/>
        <v>5</v>
      </c>
    </row>
    <row r="1048" spans="170:194" ht="16.5" x14ac:dyDescent="0.2">
      <c r="FN1048" s="101">
        <v>1043</v>
      </c>
      <c r="FO1048" s="101">
        <f t="shared" si="525"/>
        <v>2</v>
      </c>
      <c r="FP1048" s="101">
        <f t="shared" si="518"/>
        <v>14</v>
      </c>
      <c r="FQ1048" s="14">
        <f t="shared" si="519"/>
        <v>3</v>
      </c>
      <c r="FR1048" s="101" t="str">
        <f t="shared" si="526"/>
        <v>飞廉专属武器-魂珠-1 2级</v>
      </c>
      <c r="FS1048" s="101">
        <f t="shared" si="527"/>
        <v>1</v>
      </c>
      <c r="FT1048" s="101">
        <f t="shared" si="528"/>
        <v>2</v>
      </c>
      <c r="FU1048" s="101" t="str">
        <f t="shared" si="520"/>
        <v>金币</v>
      </c>
      <c r="FV1048" s="139">
        <f>IF($FT1048&gt;0,IF(INDEX($EI$6:$EI$77,$FO1048)&gt;=FV$3,ROUND(INDEX(EK$6:EK$77,$FO1048)*INDEX(卡牌消耗!$B$8:$F$8,FQ1048)/5,0)*5,""),"")</f>
        <v>140</v>
      </c>
      <c r="FW1048" s="101" t="str">
        <f t="shared" si="521"/>
        <v>专属强化石1</v>
      </c>
      <c r="FX1048" s="101">
        <f t="shared" si="522"/>
        <v>2</v>
      </c>
      <c r="FY1048" s="101" t="str">
        <f t="shared" si="523"/>
        <v/>
      </c>
      <c r="FZ1048" s="101" t="str">
        <f t="shared" si="524"/>
        <v/>
      </c>
      <c r="GA1048" s="101">
        <f t="shared" si="529"/>
        <v>0.32</v>
      </c>
      <c r="GB1048" s="101">
        <f t="shared" si="530"/>
        <v>1</v>
      </c>
      <c r="GC1048" s="101">
        <f t="shared" si="531"/>
        <v>5</v>
      </c>
      <c r="GD1048" s="101">
        <f t="shared" si="532"/>
        <v>0</v>
      </c>
      <c r="GE1048" s="101">
        <f t="shared" si="533"/>
        <v>1</v>
      </c>
      <c r="GF1048" s="101">
        <f t="shared" si="534"/>
        <v>1</v>
      </c>
      <c r="GG1048" s="101">
        <f t="shared" si="535"/>
        <v>0.1595</v>
      </c>
      <c r="GH1048" s="101">
        <f t="shared" si="536"/>
        <v>1</v>
      </c>
      <c r="GI1048" s="101">
        <f t="shared" si="537"/>
        <v>2</v>
      </c>
      <c r="GJ1048" s="101">
        <f t="shared" si="538"/>
        <v>0.63819999999999999</v>
      </c>
      <c r="GK1048" s="101">
        <f t="shared" si="539"/>
        <v>1</v>
      </c>
      <c r="GL1048" s="101">
        <f t="shared" si="540"/>
        <v>5</v>
      </c>
    </row>
    <row r="1049" spans="170:194" ht="16.5" x14ac:dyDescent="0.2">
      <c r="FN1049" s="101">
        <v>1044</v>
      </c>
      <c r="FO1049" s="101">
        <f t="shared" si="525"/>
        <v>3</v>
      </c>
      <c r="FP1049" s="101">
        <f t="shared" si="518"/>
        <v>14</v>
      </c>
      <c r="FQ1049" s="14">
        <f t="shared" si="519"/>
        <v>3</v>
      </c>
      <c r="FR1049" s="101" t="str">
        <f t="shared" si="526"/>
        <v>飞廉专属武器-魂珠-1 3级</v>
      </c>
      <c r="FS1049" s="101">
        <f t="shared" si="527"/>
        <v>1</v>
      </c>
      <c r="FT1049" s="101">
        <f t="shared" si="528"/>
        <v>3</v>
      </c>
      <c r="FU1049" s="101" t="str">
        <f t="shared" si="520"/>
        <v>金币</v>
      </c>
      <c r="FV1049" s="139">
        <f>IF($FT1049&gt;0,IF(INDEX($EI$6:$EI$77,$FO1049)&gt;=FV$3,ROUND(INDEX(EK$6:EK$77,$FO1049)*INDEX(卡牌消耗!$B$8:$F$8,FQ1049)/5,0)*5,""),"")</f>
        <v>235</v>
      </c>
      <c r="FW1049" s="101" t="str">
        <f t="shared" si="521"/>
        <v>专属强化石1</v>
      </c>
      <c r="FX1049" s="101">
        <f t="shared" si="522"/>
        <v>3</v>
      </c>
      <c r="FY1049" s="101" t="str">
        <f t="shared" si="523"/>
        <v/>
      </c>
      <c r="FZ1049" s="101" t="str">
        <f t="shared" si="524"/>
        <v/>
      </c>
      <c r="GA1049" s="101">
        <f t="shared" si="529"/>
        <v>0.32</v>
      </c>
      <c r="GB1049" s="101">
        <f t="shared" si="530"/>
        <v>1</v>
      </c>
      <c r="GC1049" s="101">
        <f t="shared" si="531"/>
        <v>5</v>
      </c>
      <c r="GD1049" s="101">
        <f t="shared" si="532"/>
        <v>0</v>
      </c>
      <c r="GE1049" s="101">
        <f t="shared" si="533"/>
        <v>1</v>
      </c>
      <c r="GF1049" s="101">
        <f t="shared" si="534"/>
        <v>1</v>
      </c>
      <c r="GG1049" s="101">
        <f t="shared" si="535"/>
        <v>0.1595</v>
      </c>
      <c r="GH1049" s="101">
        <f t="shared" si="536"/>
        <v>1</v>
      </c>
      <c r="GI1049" s="101">
        <f t="shared" si="537"/>
        <v>2</v>
      </c>
      <c r="GJ1049" s="101">
        <f t="shared" si="538"/>
        <v>0.63819999999999999</v>
      </c>
      <c r="GK1049" s="101">
        <f t="shared" si="539"/>
        <v>1</v>
      </c>
      <c r="GL1049" s="101">
        <f t="shared" si="540"/>
        <v>5</v>
      </c>
    </row>
    <row r="1050" spans="170:194" ht="16.5" x14ac:dyDescent="0.2">
      <c r="FN1050" s="101">
        <v>1045</v>
      </c>
      <c r="FO1050" s="101">
        <f t="shared" si="525"/>
        <v>4</v>
      </c>
      <c r="FP1050" s="101">
        <f t="shared" si="518"/>
        <v>14</v>
      </c>
      <c r="FQ1050" s="14">
        <f t="shared" si="519"/>
        <v>3</v>
      </c>
      <c r="FR1050" s="101" t="str">
        <f t="shared" si="526"/>
        <v>飞廉专属武器-魂珠-1 4级</v>
      </c>
      <c r="FS1050" s="101">
        <f t="shared" si="527"/>
        <v>1</v>
      </c>
      <c r="FT1050" s="101">
        <f t="shared" si="528"/>
        <v>4</v>
      </c>
      <c r="FU1050" s="101" t="str">
        <f t="shared" si="520"/>
        <v>金币</v>
      </c>
      <c r="FV1050" s="139">
        <f>IF($FT1050&gt;0,IF(INDEX($EI$6:$EI$77,$FO1050)&gt;=FV$3,ROUND(INDEX(EK$6:EK$77,$FO1050)*INDEX(卡牌消耗!$B$8:$F$8,FQ1050)/5,0)*5,""),"")</f>
        <v>305</v>
      </c>
      <c r="FW1050" s="101" t="str">
        <f t="shared" si="521"/>
        <v>专属强化石1</v>
      </c>
      <c r="FX1050" s="101">
        <f t="shared" si="522"/>
        <v>4</v>
      </c>
      <c r="FY1050" s="101" t="str">
        <f t="shared" si="523"/>
        <v/>
      </c>
      <c r="FZ1050" s="101" t="str">
        <f t="shared" si="524"/>
        <v/>
      </c>
      <c r="GA1050" s="101">
        <f t="shared" si="529"/>
        <v>0.26</v>
      </c>
      <c r="GB1050" s="101">
        <f t="shared" si="530"/>
        <v>1</v>
      </c>
      <c r="GC1050" s="101">
        <f t="shared" si="531"/>
        <v>6</v>
      </c>
      <c r="GD1050" s="101">
        <f t="shared" si="532"/>
        <v>0</v>
      </c>
      <c r="GE1050" s="101">
        <f t="shared" si="533"/>
        <v>1</v>
      </c>
      <c r="GF1050" s="101">
        <f t="shared" si="534"/>
        <v>1</v>
      </c>
      <c r="GG1050" s="101">
        <f t="shared" si="535"/>
        <v>0.12759999999999999</v>
      </c>
      <c r="GH1050" s="101">
        <f t="shared" si="536"/>
        <v>1</v>
      </c>
      <c r="GI1050" s="101">
        <f t="shared" si="537"/>
        <v>3</v>
      </c>
      <c r="GJ1050" s="101">
        <f t="shared" si="538"/>
        <v>0.51060000000000005</v>
      </c>
      <c r="GK1050" s="101">
        <f t="shared" si="539"/>
        <v>1</v>
      </c>
      <c r="GL1050" s="101">
        <f t="shared" si="540"/>
        <v>6</v>
      </c>
    </row>
    <row r="1051" spans="170:194" ht="16.5" x14ac:dyDescent="0.2">
      <c r="FN1051" s="101">
        <v>1046</v>
      </c>
      <c r="FO1051" s="101">
        <f t="shared" si="525"/>
        <v>5</v>
      </c>
      <c r="FP1051" s="101">
        <f t="shared" si="518"/>
        <v>14</v>
      </c>
      <c r="FQ1051" s="14">
        <f t="shared" si="519"/>
        <v>3</v>
      </c>
      <c r="FR1051" s="101" t="str">
        <f t="shared" si="526"/>
        <v>飞廉专属武器-魂珠-1 5级</v>
      </c>
      <c r="FS1051" s="101">
        <f t="shared" si="527"/>
        <v>1</v>
      </c>
      <c r="FT1051" s="101">
        <f t="shared" si="528"/>
        <v>5</v>
      </c>
      <c r="FU1051" s="101" t="str">
        <f t="shared" si="520"/>
        <v>金币</v>
      </c>
      <c r="FV1051" s="139">
        <f>IF($FT1051&gt;0,IF(INDEX($EI$6:$EI$77,$FO1051)&gt;=FV$3,ROUND(INDEX(EK$6:EK$77,$FO1051)*INDEX(卡牌消耗!$B$8:$F$8,FQ1051)/5,0)*5,""),"")</f>
        <v>385</v>
      </c>
      <c r="FW1051" s="101" t="str">
        <f t="shared" si="521"/>
        <v>专属强化石1</v>
      </c>
      <c r="FX1051" s="101">
        <f t="shared" si="522"/>
        <v>5</v>
      </c>
      <c r="FY1051" s="101" t="str">
        <f t="shared" si="523"/>
        <v/>
      </c>
      <c r="FZ1051" s="101" t="str">
        <f t="shared" si="524"/>
        <v/>
      </c>
      <c r="GA1051" s="101">
        <f t="shared" si="529"/>
        <v>0.2</v>
      </c>
      <c r="GB1051" s="101">
        <f t="shared" si="530"/>
        <v>1</v>
      </c>
      <c r="GC1051" s="101">
        <f t="shared" si="531"/>
        <v>8</v>
      </c>
      <c r="GD1051" s="101">
        <f t="shared" si="532"/>
        <v>0</v>
      </c>
      <c r="GE1051" s="101">
        <f t="shared" si="533"/>
        <v>1</v>
      </c>
      <c r="GF1051" s="101">
        <f t="shared" si="534"/>
        <v>2</v>
      </c>
      <c r="GG1051" s="101">
        <f t="shared" si="535"/>
        <v>9.9699999999999997E-2</v>
      </c>
      <c r="GH1051" s="101">
        <f t="shared" si="536"/>
        <v>1</v>
      </c>
      <c r="GI1051" s="101">
        <f t="shared" si="537"/>
        <v>4</v>
      </c>
      <c r="GJ1051" s="101">
        <f t="shared" si="538"/>
        <v>0.39889999999999998</v>
      </c>
      <c r="GK1051" s="101">
        <f t="shared" si="539"/>
        <v>1</v>
      </c>
      <c r="GL1051" s="101">
        <f t="shared" si="540"/>
        <v>8</v>
      </c>
    </row>
    <row r="1052" spans="170:194" ht="16.5" x14ac:dyDescent="0.2">
      <c r="FN1052" s="101">
        <v>1047</v>
      </c>
      <c r="FO1052" s="101">
        <f t="shared" si="525"/>
        <v>6</v>
      </c>
      <c r="FP1052" s="101">
        <f t="shared" si="518"/>
        <v>14</v>
      </c>
      <c r="FQ1052" s="14">
        <f t="shared" si="519"/>
        <v>3</v>
      </c>
      <c r="FR1052" s="101" t="str">
        <f t="shared" si="526"/>
        <v>飞廉专属武器-魂珠-1 6级</v>
      </c>
      <c r="FS1052" s="101">
        <f t="shared" si="527"/>
        <v>1</v>
      </c>
      <c r="FT1052" s="101">
        <f t="shared" si="528"/>
        <v>6</v>
      </c>
      <c r="FU1052" s="101" t="str">
        <f t="shared" si="520"/>
        <v>金币</v>
      </c>
      <c r="FV1052" s="139">
        <f>IF($FT1052&gt;0,IF(INDEX($EI$6:$EI$77,$FO1052)&gt;=FV$3,ROUND(INDEX(EK$6:EK$77,$FO1052)*INDEX(卡牌消耗!$B$8:$F$8,FQ1052)/5,0)*5,""),"")</f>
        <v>460</v>
      </c>
      <c r="FW1052" s="101" t="str">
        <f t="shared" si="521"/>
        <v>专属强化石1</v>
      </c>
      <c r="FX1052" s="101">
        <f t="shared" si="522"/>
        <v>6</v>
      </c>
      <c r="FY1052" s="101" t="str">
        <f t="shared" si="523"/>
        <v/>
      </c>
      <c r="FZ1052" s="101" t="str">
        <f t="shared" si="524"/>
        <v/>
      </c>
      <c r="GA1052" s="101">
        <f t="shared" si="529"/>
        <v>0.15</v>
      </c>
      <c r="GB1052" s="101">
        <f t="shared" si="530"/>
        <v>1</v>
      </c>
      <c r="GC1052" s="101">
        <f t="shared" si="531"/>
        <v>10</v>
      </c>
      <c r="GD1052" s="101">
        <f t="shared" si="532"/>
        <v>0</v>
      </c>
      <c r="GE1052" s="101">
        <f t="shared" si="533"/>
        <v>1</v>
      </c>
      <c r="GF1052" s="101">
        <f t="shared" si="534"/>
        <v>2</v>
      </c>
      <c r="GG1052" s="101">
        <f t="shared" si="535"/>
        <v>7.3599999999999999E-2</v>
      </c>
      <c r="GH1052" s="101">
        <f t="shared" si="536"/>
        <v>1</v>
      </c>
      <c r="GI1052" s="101">
        <f t="shared" si="537"/>
        <v>5</v>
      </c>
      <c r="GJ1052" s="101">
        <f t="shared" si="538"/>
        <v>0.29459999999999997</v>
      </c>
      <c r="GK1052" s="101">
        <f t="shared" si="539"/>
        <v>1</v>
      </c>
      <c r="GL1052" s="101">
        <f t="shared" si="540"/>
        <v>10</v>
      </c>
    </row>
    <row r="1053" spans="170:194" ht="16.5" x14ac:dyDescent="0.2">
      <c r="FN1053" s="101">
        <v>1048</v>
      </c>
      <c r="FO1053" s="101">
        <f t="shared" si="525"/>
        <v>7</v>
      </c>
      <c r="FP1053" s="101">
        <f t="shared" si="518"/>
        <v>14</v>
      </c>
      <c r="FQ1053" s="14">
        <f t="shared" si="519"/>
        <v>3</v>
      </c>
      <c r="FR1053" s="101" t="str">
        <f t="shared" si="526"/>
        <v>飞廉专属武器-魂珠-1 7级</v>
      </c>
      <c r="FS1053" s="101">
        <f t="shared" si="527"/>
        <v>1</v>
      </c>
      <c r="FT1053" s="101">
        <f t="shared" si="528"/>
        <v>7</v>
      </c>
      <c r="FU1053" s="101" t="str">
        <f t="shared" si="520"/>
        <v>金币</v>
      </c>
      <c r="FV1053" s="139">
        <f>IF($FT1053&gt;0,IF(INDEX($EI$6:$EI$77,$FO1053)&gt;=FV$3,ROUND(INDEX(EK$6:EK$77,$FO1053)*INDEX(卡牌消耗!$B$8:$F$8,FQ1053)/5,0)*5,""),"")</f>
        <v>535</v>
      </c>
      <c r="FW1053" s="101" t="str">
        <f t="shared" si="521"/>
        <v>专属强化石1</v>
      </c>
      <c r="FX1053" s="101">
        <f t="shared" si="522"/>
        <v>7</v>
      </c>
      <c r="FY1053" s="101" t="str">
        <f t="shared" si="523"/>
        <v/>
      </c>
      <c r="FZ1053" s="101" t="str">
        <f t="shared" si="524"/>
        <v/>
      </c>
      <c r="GA1053" s="101">
        <f t="shared" si="529"/>
        <v>0.11</v>
      </c>
      <c r="GB1053" s="101">
        <f t="shared" si="530"/>
        <v>1</v>
      </c>
      <c r="GC1053" s="101">
        <f t="shared" si="531"/>
        <v>14</v>
      </c>
      <c r="GD1053" s="101">
        <f t="shared" si="532"/>
        <v>0</v>
      </c>
      <c r="GE1053" s="101">
        <f t="shared" si="533"/>
        <v>1</v>
      </c>
      <c r="GF1053" s="101">
        <f t="shared" si="534"/>
        <v>3</v>
      </c>
      <c r="GG1053" s="101">
        <f t="shared" si="535"/>
        <v>5.3199999999999997E-2</v>
      </c>
      <c r="GH1053" s="101">
        <f t="shared" si="536"/>
        <v>1</v>
      </c>
      <c r="GI1053" s="101">
        <f t="shared" si="537"/>
        <v>7</v>
      </c>
      <c r="GJ1053" s="101">
        <f t="shared" si="538"/>
        <v>0.2127</v>
      </c>
      <c r="GK1053" s="101">
        <f t="shared" si="539"/>
        <v>1</v>
      </c>
      <c r="GL1053" s="101">
        <f t="shared" si="540"/>
        <v>14</v>
      </c>
    </row>
    <row r="1054" spans="170:194" ht="16.5" x14ac:dyDescent="0.2">
      <c r="FN1054" s="101">
        <v>1049</v>
      </c>
      <c r="FO1054" s="101">
        <f t="shared" si="525"/>
        <v>8</v>
      </c>
      <c r="FP1054" s="101">
        <f t="shared" si="518"/>
        <v>14</v>
      </c>
      <c r="FQ1054" s="14">
        <f t="shared" si="519"/>
        <v>3</v>
      </c>
      <c r="FR1054" s="101" t="str">
        <f t="shared" si="526"/>
        <v>飞廉专属武器-魂珠-1 8级</v>
      </c>
      <c r="FS1054" s="101">
        <f t="shared" si="527"/>
        <v>1</v>
      </c>
      <c r="FT1054" s="101">
        <f t="shared" si="528"/>
        <v>8</v>
      </c>
      <c r="FU1054" s="101" t="str">
        <f t="shared" si="520"/>
        <v>金币</v>
      </c>
      <c r="FV1054" s="139">
        <f>IF($FT1054&gt;0,IF(INDEX($EI$6:$EI$77,$FO1054)&gt;=FV$3,ROUND(INDEX(EK$6:EK$77,$FO1054)*INDEX(卡牌消耗!$B$8:$F$8,FQ1054)/5,0)*5,""),"")</f>
        <v>615</v>
      </c>
      <c r="FW1054" s="101" t="str">
        <f t="shared" si="521"/>
        <v>专属强化石1</v>
      </c>
      <c r="FX1054" s="101">
        <f t="shared" si="522"/>
        <v>8</v>
      </c>
      <c r="FY1054" s="101" t="str">
        <f t="shared" si="523"/>
        <v/>
      </c>
      <c r="FZ1054" s="101" t="str">
        <f t="shared" si="524"/>
        <v/>
      </c>
      <c r="GA1054" s="101">
        <f t="shared" si="529"/>
        <v>0.08</v>
      </c>
      <c r="GB1054" s="101">
        <f t="shared" si="530"/>
        <v>1</v>
      </c>
      <c r="GC1054" s="101">
        <f t="shared" si="531"/>
        <v>20</v>
      </c>
      <c r="GD1054" s="101">
        <f t="shared" si="532"/>
        <v>0</v>
      </c>
      <c r="GE1054" s="101">
        <f t="shared" si="533"/>
        <v>1</v>
      </c>
      <c r="GF1054" s="101">
        <f t="shared" si="534"/>
        <v>5</v>
      </c>
      <c r="GG1054" s="101">
        <f t="shared" si="535"/>
        <v>3.7499999999999999E-2</v>
      </c>
      <c r="GH1054" s="101">
        <f t="shared" si="536"/>
        <v>1</v>
      </c>
      <c r="GI1054" s="101">
        <f t="shared" si="537"/>
        <v>9</v>
      </c>
      <c r="GJ1054" s="101">
        <f t="shared" si="538"/>
        <v>0.1502</v>
      </c>
      <c r="GK1054" s="101">
        <f t="shared" si="539"/>
        <v>1</v>
      </c>
      <c r="GL1054" s="101">
        <f t="shared" si="540"/>
        <v>20</v>
      </c>
    </row>
    <row r="1055" spans="170:194" ht="16.5" x14ac:dyDescent="0.2">
      <c r="FN1055" s="101">
        <v>1050</v>
      </c>
      <c r="FO1055" s="101">
        <f t="shared" si="525"/>
        <v>9</v>
      </c>
      <c r="FP1055" s="101">
        <f t="shared" si="518"/>
        <v>14</v>
      </c>
      <c r="FQ1055" s="14">
        <f t="shared" si="519"/>
        <v>3</v>
      </c>
      <c r="FR1055" s="101" t="str">
        <f t="shared" si="526"/>
        <v>飞廉专属武器-魂珠-1 9级</v>
      </c>
      <c r="FS1055" s="101">
        <f t="shared" si="527"/>
        <v>1</v>
      </c>
      <c r="FT1055" s="101">
        <f t="shared" si="528"/>
        <v>9</v>
      </c>
      <c r="FU1055" s="101" t="str">
        <f t="shared" si="520"/>
        <v>金币</v>
      </c>
      <c r="FV1055" s="139">
        <f>IF($FT1055&gt;0,IF(INDEX($EI$6:$EI$77,$FO1055)&gt;=FV$3,ROUND(INDEX(EK$6:EK$77,$FO1055)*INDEX(卡牌消耗!$B$8:$F$8,FQ1055)/5,0)*5,""),"")</f>
        <v>765</v>
      </c>
      <c r="FW1055" s="101" t="str">
        <f t="shared" si="521"/>
        <v>专属强化石1</v>
      </c>
      <c r="FX1055" s="101">
        <f t="shared" si="522"/>
        <v>10</v>
      </c>
      <c r="FY1055" s="101" t="str">
        <f t="shared" si="523"/>
        <v/>
      </c>
      <c r="FZ1055" s="101" t="str">
        <f t="shared" si="524"/>
        <v/>
      </c>
      <c r="GA1055" s="101">
        <f t="shared" si="529"/>
        <v>0.06</v>
      </c>
      <c r="GB1055" s="101">
        <f t="shared" si="530"/>
        <v>1</v>
      </c>
      <c r="GC1055" s="101">
        <f t="shared" si="531"/>
        <v>26</v>
      </c>
      <c r="GD1055" s="101">
        <f t="shared" si="532"/>
        <v>0</v>
      </c>
      <c r="GE1055" s="101">
        <f t="shared" si="533"/>
        <v>1</v>
      </c>
      <c r="GF1055" s="101">
        <f t="shared" si="534"/>
        <v>6</v>
      </c>
      <c r="GG1055" s="101">
        <f t="shared" si="535"/>
        <v>2.9000000000000001E-2</v>
      </c>
      <c r="GH1055" s="101">
        <f t="shared" si="536"/>
        <v>1</v>
      </c>
      <c r="GI1055" s="101">
        <f t="shared" si="537"/>
        <v>12</v>
      </c>
      <c r="GJ1055" s="101">
        <f t="shared" si="538"/>
        <v>0.11600000000000001</v>
      </c>
      <c r="GK1055" s="101">
        <f t="shared" si="539"/>
        <v>1</v>
      </c>
      <c r="GL1055" s="101">
        <f t="shared" si="540"/>
        <v>26</v>
      </c>
    </row>
    <row r="1056" spans="170:194" ht="16.5" x14ac:dyDescent="0.2">
      <c r="FN1056" s="101">
        <v>1051</v>
      </c>
      <c r="FO1056" s="101">
        <f t="shared" si="525"/>
        <v>0</v>
      </c>
      <c r="FP1056" s="101">
        <f t="shared" si="518"/>
        <v>14</v>
      </c>
      <c r="FQ1056" s="14">
        <f t="shared" si="519"/>
        <v>3</v>
      </c>
      <c r="FR1056" s="101" t="str">
        <f t="shared" si="526"/>
        <v>飞廉专属武器-魂珠-2 0级</v>
      </c>
      <c r="FS1056" s="101">
        <f t="shared" si="527"/>
        <v>2</v>
      </c>
      <c r="FT1056" s="101">
        <f t="shared" si="528"/>
        <v>0</v>
      </c>
      <c r="FU1056" s="101" t="str">
        <f t="shared" si="520"/>
        <v/>
      </c>
      <c r="FV1056" s="139" t="str">
        <f>IF($FT1056&gt;0,IF(INDEX($EI$6:$EI$77,$FO1056)&gt;=FV$3,ROUND(INDEX(EK$6:EK$77,$FO1056)*INDEX(卡牌消耗!$B$8:$F$8,FQ1056)/5,0)*5,""),"")</f>
        <v/>
      </c>
      <c r="FW1056" s="101" t="str">
        <f t="shared" si="521"/>
        <v/>
      </c>
      <c r="FX1056" s="101" t="str">
        <f t="shared" si="522"/>
        <v/>
      </c>
      <c r="FY1056" s="101" t="str">
        <f t="shared" si="523"/>
        <v/>
      </c>
      <c r="FZ1056" s="101" t="str">
        <f t="shared" si="524"/>
        <v/>
      </c>
      <c r="GA1056" s="101" t="str">
        <f t="shared" si="529"/>
        <v/>
      </c>
      <c r="GB1056" s="101" t="str">
        <f t="shared" si="530"/>
        <v/>
      </c>
      <c r="GC1056" s="101" t="str">
        <f t="shared" si="531"/>
        <v/>
      </c>
      <c r="GD1056" s="101" t="str">
        <f t="shared" si="532"/>
        <v/>
      </c>
      <c r="GE1056" s="101" t="str">
        <f t="shared" si="533"/>
        <v/>
      </c>
      <c r="GF1056" s="101" t="str">
        <f t="shared" si="534"/>
        <v/>
      </c>
      <c r="GG1056" s="101" t="str">
        <f t="shared" si="535"/>
        <v/>
      </c>
      <c r="GH1056" s="101" t="str">
        <f t="shared" si="536"/>
        <v/>
      </c>
      <c r="GI1056" s="101" t="str">
        <f t="shared" si="537"/>
        <v/>
      </c>
      <c r="GJ1056" s="101" t="str">
        <f t="shared" si="538"/>
        <v/>
      </c>
      <c r="GK1056" s="101" t="str">
        <f t="shared" si="539"/>
        <v/>
      </c>
      <c r="GL1056" s="101" t="str">
        <f t="shared" si="540"/>
        <v/>
      </c>
    </row>
    <row r="1057" spans="170:194" ht="16.5" x14ac:dyDescent="0.2">
      <c r="FN1057" s="101">
        <v>1052</v>
      </c>
      <c r="FO1057" s="101">
        <f t="shared" si="525"/>
        <v>10</v>
      </c>
      <c r="FP1057" s="101">
        <f t="shared" si="518"/>
        <v>14</v>
      </c>
      <c r="FQ1057" s="14">
        <f t="shared" si="519"/>
        <v>3</v>
      </c>
      <c r="FR1057" s="101" t="str">
        <f t="shared" si="526"/>
        <v>飞廉专属武器-魂珠-2 1级</v>
      </c>
      <c r="FS1057" s="101">
        <f t="shared" si="527"/>
        <v>2</v>
      </c>
      <c r="FT1057" s="101">
        <f t="shared" si="528"/>
        <v>1</v>
      </c>
      <c r="FU1057" s="101" t="str">
        <f t="shared" si="520"/>
        <v>金币</v>
      </c>
      <c r="FV1057" s="139">
        <f>IF($FT1057&gt;0,IF(INDEX($EI$6:$EI$77,$FO1057)&gt;=FV$3,ROUND(INDEX(EK$6:EK$77,$FO1057)*INDEX(卡牌消耗!$B$8:$F$8,FQ1057)/5,0)*5,""),"")</f>
        <v>260</v>
      </c>
      <c r="FW1057" s="101" t="str">
        <f t="shared" si="521"/>
        <v>专属强化石1</v>
      </c>
      <c r="FX1057" s="101">
        <f t="shared" si="522"/>
        <v>3</v>
      </c>
      <c r="FY1057" s="101" t="str">
        <f t="shared" si="523"/>
        <v>专属强化石2</v>
      </c>
      <c r="FZ1057" s="101">
        <f t="shared" si="524"/>
        <v>1</v>
      </c>
      <c r="GA1057" s="101">
        <f t="shared" si="529"/>
        <v>0.39</v>
      </c>
      <c r="GB1057" s="101">
        <f t="shared" si="530"/>
        <v>1</v>
      </c>
      <c r="GC1057" s="101">
        <f t="shared" si="531"/>
        <v>4</v>
      </c>
      <c r="GD1057" s="101">
        <f t="shared" si="532"/>
        <v>0</v>
      </c>
      <c r="GE1057" s="101">
        <f t="shared" si="533"/>
        <v>1</v>
      </c>
      <c r="GF1057" s="101">
        <f t="shared" si="534"/>
        <v>1</v>
      </c>
      <c r="GG1057" s="101">
        <f t="shared" si="535"/>
        <v>0.19270000000000001</v>
      </c>
      <c r="GH1057" s="101">
        <f t="shared" si="536"/>
        <v>1</v>
      </c>
      <c r="GI1057" s="101">
        <f t="shared" si="537"/>
        <v>2</v>
      </c>
      <c r="GJ1057" s="101">
        <f t="shared" si="538"/>
        <v>0.77070000000000005</v>
      </c>
      <c r="GK1057" s="101">
        <f t="shared" si="539"/>
        <v>1</v>
      </c>
      <c r="GL1057" s="101">
        <f t="shared" si="540"/>
        <v>4</v>
      </c>
    </row>
    <row r="1058" spans="170:194" ht="16.5" x14ac:dyDescent="0.2">
      <c r="FN1058" s="101">
        <v>1053</v>
      </c>
      <c r="FO1058" s="101">
        <f t="shared" si="525"/>
        <v>11</v>
      </c>
      <c r="FP1058" s="101">
        <f t="shared" si="518"/>
        <v>14</v>
      </c>
      <c r="FQ1058" s="14">
        <f t="shared" si="519"/>
        <v>3</v>
      </c>
      <c r="FR1058" s="101" t="str">
        <f t="shared" si="526"/>
        <v>飞廉专属武器-魂珠-2 2级</v>
      </c>
      <c r="FS1058" s="101">
        <f t="shared" si="527"/>
        <v>2</v>
      </c>
      <c r="FT1058" s="101">
        <f t="shared" si="528"/>
        <v>2</v>
      </c>
      <c r="FU1058" s="101" t="str">
        <f t="shared" si="520"/>
        <v>金币</v>
      </c>
      <c r="FV1058" s="139">
        <f>IF($FT1058&gt;0,IF(INDEX($EI$6:$EI$77,$FO1058)&gt;=FV$3,ROUND(INDEX(EK$6:EK$77,$FO1058)*INDEX(卡牌消耗!$B$8:$F$8,FQ1058)/5,0)*5,""),"")</f>
        <v>195</v>
      </c>
      <c r="FW1058" s="101" t="str">
        <f t="shared" si="521"/>
        <v>专属强化石1</v>
      </c>
      <c r="FX1058" s="101">
        <f t="shared" si="522"/>
        <v>3</v>
      </c>
      <c r="FY1058" s="101" t="str">
        <f t="shared" si="523"/>
        <v>专属强化石2</v>
      </c>
      <c r="FZ1058" s="101">
        <f t="shared" si="524"/>
        <v>1</v>
      </c>
      <c r="GA1058" s="101">
        <f t="shared" si="529"/>
        <v>0.19</v>
      </c>
      <c r="GB1058" s="101">
        <f t="shared" si="530"/>
        <v>1</v>
      </c>
      <c r="GC1058" s="101">
        <f t="shared" si="531"/>
        <v>8</v>
      </c>
      <c r="GD1058" s="101">
        <f t="shared" si="532"/>
        <v>0</v>
      </c>
      <c r="GE1058" s="101">
        <f t="shared" si="533"/>
        <v>1</v>
      </c>
      <c r="GF1058" s="101">
        <f t="shared" si="534"/>
        <v>2</v>
      </c>
      <c r="GG1058" s="101">
        <f t="shared" si="535"/>
        <v>9.6299999999999997E-2</v>
      </c>
      <c r="GH1058" s="101">
        <f t="shared" si="536"/>
        <v>1</v>
      </c>
      <c r="GI1058" s="101">
        <f t="shared" si="537"/>
        <v>4</v>
      </c>
      <c r="GJ1058" s="101">
        <f t="shared" si="538"/>
        <v>0.38529999999999998</v>
      </c>
      <c r="GK1058" s="101">
        <f t="shared" si="539"/>
        <v>1</v>
      </c>
      <c r="GL1058" s="101">
        <f t="shared" si="540"/>
        <v>8</v>
      </c>
    </row>
    <row r="1059" spans="170:194" ht="16.5" x14ac:dyDescent="0.2">
      <c r="FN1059" s="101">
        <v>1054</v>
      </c>
      <c r="FO1059" s="101">
        <f t="shared" si="525"/>
        <v>12</v>
      </c>
      <c r="FP1059" s="101">
        <f t="shared" si="518"/>
        <v>14</v>
      </c>
      <c r="FQ1059" s="14">
        <f t="shared" si="519"/>
        <v>3</v>
      </c>
      <c r="FR1059" s="101" t="str">
        <f t="shared" si="526"/>
        <v>飞廉专属武器-魂珠-2 3级</v>
      </c>
      <c r="FS1059" s="101">
        <f t="shared" si="527"/>
        <v>2</v>
      </c>
      <c r="FT1059" s="101">
        <f t="shared" si="528"/>
        <v>3</v>
      </c>
      <c r="FU1059" s="101" t="str">
        <f t="shared" si="520"/>
        <v>金币</v>
      </c>
      <c r="FV1059" s="139">
        <f>IF($FT1059&gt;0,IF(INDEX($EI$6:$EI$77,$FO1059)&gt;=FV$3,ROUND(INDEX(EK$6:EK$77,$FO1059)*INDEX(卡牌消耗!$B$8:$F$8,FQ1059)/5,0)*5,""),"")</f>
        <v>435</v>
      </c>
      <c r="FW1059" s="101" t="str">
        <f t="shared" si="521"/>
        <v>专属强化石1</v>
      </c>
      <c r="FX1059" s="101">
        <f t="shared" si="522"/>
        <v>6</v>
      </c>
      <c r="FY1059" s="101" t="str">
        <f t="shared" si="523"/>
        <v>专属强化石2</v>
      </c>
      <c r="FZ1059" s="101">
        <f t="shared" si="524"/>
        <v>2</v>
      </c>
      <c r="GA1059" s="101">
        <f t="shared" si="529"/>
        <v>0.26</v>
      </c>
      <c r="GB1059" s="101">
        <f t="shared" si="530"/>
        <v>1</v>
      </c>
      <c r="GC1059" s="101">
        <f t="shared" si="531"/>
        <v>6</v>
      </c>
      <c r="GD1059" s="101">
        <f t="shared" si="532"/>
        <v>0</v>
      </c>
      <c r="GE1059" s="101">
        <f t="shared" si="533"/>
        <v>1</v>
      </c>
      <c r="GF1059" s="101">
        <f t="shared" si="534"/>
        <v>1</v>
      </c>
      <c r="GG1059" s="101">
        <f t="shared" si="535"/>
        <v>0.12839999999999999</v>
      </c>
      <c r="GH1059" s="101">
        <f t="shared" si="536"/>
        <v>1</v>
      </c>
      <c r="GI1059" s="101">
        <f t="shared" si="537"/>
        <v>3</v>
      </c>
      <c r="GJ1059" s="101">
        <f t="shared" si="538"/>
        <v>0.51380000000000003</v>
      </c>
      <c r="GK1059" s="101">
        <f t="shared" si="539"/>
        <v>1</v>
      </c>
      <c r="GL1059" s="101">
        <f t="shared" si="540"/>
        <v>6</v>
      </c>
    </row>
    <row r="1060" spans="170:194" ht="16.5" x14ac:dyDescent="0.2">
      <c r="FN1060" s="101">
        <v>1055</v>
      </c>
      <c r="FO1060" s="101">
        <f t="shared" si="525"/>
        <v>13</v>
      </c>
      <c r="FP1060" s="101">
        <f t="shared" si="518"/>
        <v>14</v>
      </c>
      <c r="FQ1060" s="14">
        <f t="shared" si="519"/>
        <v>3</v>
      </c>
      <c r="FR1060" s="101" t="str">
        <f t="shared" si="526"/>
        <v>飞廉专属武器-魂珠-2 4级</v>
      </c>
      <c r="FS1060" s="101">
        <f t="shared" si="527"/>
        <v>2</v>
      </c>
      <c r="FT1060" s="101">
        <f t="shared" si="528"/>
        <v>4</v>
      </c>
      <c r="FU1060" s="101" t="str">
        <f t="shared" si="520"/>
        <v>金币</v>
      </c>
      <c r="FV1060" s="139">
        <f>IF($FT1060&gt;0,IF(INDEX($EI$6:$EI$77,$FO1060)&gt;=FV$3,ROUND(INDEX(EK$6:EK$77,$FO1060)*INDEX(卡牌消耗!$B$8:$F$8,FQ1060)/5,0)*5,""),"")</f>
        <v>420</v>
      </c>
      <c r="FW1060" s="101" t="str">
        <f t="shared" si="521"/>
        <v>专属强化石1</v>
      </c>
      <c r="FX1060" s="101">
        <f t="shared" si="522"/>
        <v>6</v>
      </c>
      <c r="FY1060" s="101" t="str">
        <f t="shared" si="523"/>
        <v>专属强化石2</v>
      </c>
      <c r="FZ1060" s="101">
        <f t="shared" si="524"/>
        <v>2</v>
      </c>
      <c r="GA1060" s="101">
        <f t="shared" si="529"/>
        <v>0.15</v>
      </c>
      <c r="GB1060" s="101">
        <f t="shared" si="530"/>
        <v>1</v>
      </c>
      <c r="GC1060" s="101">
        <f t="shared" si="531"/>
        <v>10</v>
      </c>
      <c r="GD1060" s="101">
        <f t="shared" si="532"/>
        <v>0</v>
      </c>
      <c r="GE1060" s="101">
        <f t="shared" si="533"/>
        <v>1</v>
      </c>
      <c r="GF1060" s="101">
        <f t="shared" si="534"/>
        <v>2</v>
      </c>
      <c r="GG1060" s="101">
        <f t="shared" si="535"/>
        <v>7.7100000000000002E-2</v>
      </c>
      <c r="GH1060" s="101">
        <f t="shared" si="536"/>
        <v>1</v>
      </c>
      <c r="GI1060" s="101">
        <f t="shared" si="537"/>
        <v>5</v>
      </c>
      <c r="GJ1060" s="101">
        <f t="shared" si="538"/>
        <v>0.30830000000000002</v>
      </c>
      <c r="GK1060" s="101">
        <f t="shared" si="539"/>
        <v>1</v>
      </c>
      <c r="GL1060" s="101">
        <f t="shared" si="540"/>
        <v>10</v>
      </c>
    </row>
    <row r="1061" spans="170:194" ht="16.5" x14ac:dyDescent="0.2">
      <c r="FN1061" s="101">
        <v>1056</v>
      </c>
      <c r="FO1061" s="101">
        <f t="shared" si="525"/>
        <v>14</v>
      </c>
      <c r="FP1061" s="101">
        <f t="shared" si="518"/>
        <v>14</v>
      </c>
      <c r="FQ1061" s="14">
        <f t="shared" si="519"/>
        <v>3</v>
      </c>
      <c r="FR1061" s="101" t="str">
        <f t="shared" si="526"/>
        <v>飞廉专属武器-魂珠-2 5级</v>
      </c>
      <c r="FS1061" s="101">
        <f t="shared" si="527"/>
        <v>2</v>
      </c>
      <c r="FT1061" s="101">
        <f t="shared" si="528"/>
        <v>5</v>
      </c>
      <c r="FU1061" s="101" t="str">
        <f t="shared" si="520"/>
        <v>金币</v>
      </c>
      <c r="FV1061" s="139">
        <f>IF($FT1061&gt;0,IF(INDEX($EI$6:$EI$77,$FO1061)&gt;=FV$3,ROUND(INDEX(EK$6:EK$77,$FO1061)*INDEX(卡牌消耗!$B$8:$F$8,FQ1061)/5,0)*5,""),"")</f>
        <v>635</v>
      </c>
      <c r="FW1061" s="101" t="str">
        <f t="shared" si="521"/>
        <v>专属强化石1</v>
      </c>
      <c r="FX1061" s="101">
        <f t="shared" si="522"/>
        <v>9</v>
      </c>
      <c r="FY1061" s="101" t="str">
        <f t="shared" si="523"/>
        <v>专属强化石2</v>
      </c>
      <c r="FZ1061" s="101">
        <f t="shared" si="524"/>
        <v>3</v>
      </c>
      <c r="GA1061" s="101">
        <f t="shared" si="529"/>
        <v>0.14000000000000001</v>
      </c>
      <c r="GB1061" s="101">
        <f t="shared" si="530"/>
        <v>1</v>
      </c>
      <c r="GC1061" s="101">
        <f t="shared" si="531"/>
        <v>10</v>
      </c>
      <c r="GD1061" s="101">
        <f t="shared" si="532"/>
        <v>0</v>
      </c>
      <c r="GE1061" s="101">
        <f t="shared" si="533"/>
        <v>1</v>
      </c>
      <c r="GF1061" s="101">
        <f t="shared" si="534"/>
        <v>2</v>
      </c>
      <c r="GG1061" s="101">
        <f t="shared" si="535"/>
        <v>7.22E-2</v>
      </c>
      <c r="GH1061" s="101">
        <f t="shared" si="536"/>
        <v>1</v>
      </c>
      <c r="GI1061" s="101">
        <f t="shared" si="537"/>
        <v>5</v>
      </c>
      <c r="GJ1061" s="101">
        <f t="shared" si="538"/>
        <v>0.28899999999999998</v>
      </c>
      <c r="GK1061" s="101">
        <f t="shared" si="539"/>
        <v>1</v>
      </c>
      <c r="GL1061" s="101">
        <f t="shared" si="540"/>
        <v>10</v>
      </c>
    </row>
    <row r="1062" spans="170:194" ht="16.5" x14ac:dyDescent="0.2">
      <c r="FN1062" s="101">
        <v>1057</v>
      </c>
      <c r="FO1062" s="101">
        <f t="shared" si="525"/>
        <v>15</v>
      </c>
      <c r="FP1062" s="101">
        <f t="shared" si="518"/>
        <v>14</v>
      </c>
      <c r="FQ1062" s="14">
        <f t="shared" si="519"/>
        <v>3</v>
      </c>
      <c r="FR1062" s="101" t="str">
        <f t="shared" si="526"/>
        <v>飞廉专属武器-魂珠-2 6级</v>
      </c>
      <c r="FS1062" s="101">
        <f t="shared" si="527"/>
        <v>2</v>
      </c>
      <c r="FT1062" s="101">
        <f t="shared" si="528"/>
        <v>6</v>
      </c>
      <c r="FU1062" s="101" t="str">
        <f t="shared" si="520"/>
        <v>金币</v>
      </c>
      <c r="FV1062" s="139">
        <f>IF($FT1062&gt;0,IF(INDEX($EI$6:$EI$77,$FO1062)&gt;=FV$3,ROUND(INDEX(EK$6:EK$77,$FO1062)*INDEX(卡牌消耗!$B$8:$F$8,FQ1062)/5,0)*5,""),"")</f>
        <v>845</v>
      </c>
      <c r="FW1062" s="101" t="str">
        <f t="shared" si="521"/>
        <v>专属强化石1</v>
      </c>
      <c r="FX1062" s="101">
        <f t="shared" si="522"/>
        <v>12</v>
      </c>
      <c r="FY1062" s="101" t="str">
        <f t="shared" si="523"/>
        <v>专属强化石2</v>
      </c>
      <c r="FZ1062" s="101">
        <f t="shared" si="524"/>
        <v>4</v>
      </c>
      <c r="GA1062" s="101">
        <f t="shared" si="529"/>
        <v>0.12</v>
      </c>
      <c r="GB1062" s="101">
        <f t="shared" si="530"/>
        <v>1</v>
      </c>
      <c r="GC1062" s="101">
        <f t="shared" si="531"/>
        <v>13</v>
      </c>
      <c r="GD1062" s="101">
        <f t="shared" si="532"/>
        <v>0</v>
      </c>
      <c r="GE1062" s="101">
        <f t="shared" si="533"/>
        <v>1</v>
      </c>
      <c r="GF1062" s="101">
        <f t="shared" si="534"/>
        <v>3</v>
      </c>
      <c r="GG1062" s="101">
        <f t="shared" si="535"/>
        <v>5.9299999999999999E-2</v>
      </c>
      <c r="GH1062" s="101">
        <f t="shared" si="536"/>
        <v>1</v>
      </c>
      <c r="GI1062" s="101">
        <f t="shared" si="537"/>
        <v>6</v>
      </c>
      <c r="GJ1062" s="101">
        <f t="shared" si="538"/>
        <v>0.23710000000000001</v>
      </c>
      <c r="GK1062" s="101">
        <f t="shared" si="539"/>
        <v>1</v>
      </c>
      <c r="GL1062" s="101">
        <f t="shared" si="540"/>
        <v>13</v>
      </c>
    </row>
    <row r="1063" spans="170:194" ht="16.5" x14ac:dyDescent="0.2">
      <c r="FN1063" s="101">
        <v>1058</v>
      </c>
      <c r="FO1063" s="101">
        <f t="shared" si="525"/>
        <v>16</v>
      </c>
      <c r="FP1063" s="101">
        <f t="shared" si="518"/>
        <v>14</v>
      </c>
      <c r="FQ1063" s="14">
        <f t="shared" si="519"/>
        <v>3</v>
      </c>
      <c r="FR1063" s="101" t="str">
        <f t="shared" si="526"/>
        <v>飞廉专属武器-魂珠-2 7级</v>
      </c>
      <c r="FS1063" s="101">
        <f t="shared" si="527"/>
        <v>2</v>
      </c>
      <c r="FT1063" s="101">
        <f t="shared" si="528"/>
        <v>7</v>
      </c>
      <c r="FU1063" s="101" t="str">
        <f t="shared" si="520"/>
        <v>金币</v>
      </c>
      <c r="FV1063" s="139">
        <f>IF($FT1063&gt;0,IF(INDEX($EI$6:$EI$77,$FO1063)&gt;=FV$3,ROUND(INDEX(EK$6:EK$77,$FO1063)*INDEX(卡牌消耗!$B$8:$F$8,FQ1063)/5,0)*5,""),"")</f>
        <v>1060</v>
      </c>
      <c r="FW1063" s="101" t="str">
        <f t="shared" si="521"/>
        <v>专属强化石1</v>
      </c>
      <c r="FX1063" s="101">
        <f t="shared" si="522"/>
        <v>15</v>
      </c>
      <c r="FY1063" s="101" t="str">
        <f t="shared" si="523"/>
        <v>专属强化石2</v>
      </c>
      <c r="FZ1063" s="101">
        <f t="shared" si="524"/>
        <v>5</v>
      </c>
      <c r="GA1063" s="101">
        <f t="shared" si="529"/>
        <v>0.09</v>
      </c>
      <c r="GB1063" s="101">
        <f t="shared" si="530"/>
        <v>1</v>
      </c>
      <c r="GC1063" s="101">
        <f t="shared" si="531"/>
        <v>16</v>
      </c>
      <c r="GD1063" s="101">
        <f t="shared" si="532"/>
        <v>0</v>
      </c>
      <c r="GE1063" s="101">
        <f t="shared" si="533"/>
        <v>1</v>
      </c>
      <c r="GF1063" s="101">
        <f t="shared" si="534"/>
        <v>4</v>
      </c>
      <c r="GG1063" s="101">
        <f t="shared" si="535"/>
        <v>4.5900000000000003E-2</v>
      </c>
      <c r="GH1063" s="101">
        <f t="shared" si="536"/>
        <v>1</v>
      </c>
      <c r="GI1063" s="101">
        <f t="shared" si="537"/>
        <v>8</v>
      </c>
      <c r="GJ1063" s="101">
        <f t="shared" si="538"/>
        <v>0.1835</v>
      </c>
      <c r="GK1063" s="101">
        <f t="shared" si="539"/>
        <v>1</v>
      </c>
      <c r="GL1063" s="101">
        <f t="shared" si="540"/>
        <v>16</v>
      </c>
    </row>
    <row r="1064" spans="170:194" ht="16.5" x14ac:dyDescent="0.2">
      <c r="FN1064" s="101">
        <v>1059</v>
      </c>
      <c r="FO1064" s="101">
        <f t="shared" si="525"/>
        <v>17</v>
      </c>
      <c r="FP1064" s="101">
        <f t="shared" si="518"/>
        <v>14</v>
      </c>
      <c r="FQ1064" s="14">
        <f t="shared" si="519"/>
        <v>3</v>
      </c>
      <c r="FR1064" s="101" t="str">
        <f t="shared" si="526"/>
        <v>飞廉专属武器-魂珠-2 8级</v>
      </c>
      <c r="FS1064" s="101">
        <f t="shared" si="527"/>
        <v>2</v>
      </c>
      <c r="FT1064" s="101">
        <f t="shared" si="528"/>
        <v>8</v>
      </c>
      <c r="FU1064" s="101" t="str">
        <f t="shared" si="520"/>
        <v>金币</v>
      </c>
      <c r="FV1064" s="139">
        <f>IF($FT1064&gt;0,IF(INDEX($EI$6:$EI$77,$FO1064)&gt;=FV$3,ROUND(INDEX(EK$6:EK$77,$FO1064)*INDEX(卡牌消耗!$B$8:$F$8,FQ1064)/5,0)*5,""),"")</f>
        <v>1270</v>
      </c>
      <c r="FW1064" s="101" t="str">
        <f t="shared" si="521"/>
        <v>专属强化石1</v>
      </c>
      <c r="FX1064" s="101">
        <f t="shared" si="522"/>
        <v>18</v>
      </c>
      <c r="FY1064" s="101" t="str">
        <f t="shared" si="523"/>
        <v>专属强化石2</v>
      </c>
      <c r="FZ1064" s="101">
        <f t="shared" si="524"/>
        <v>6</v>
      </c>
      <c r="GA1064" s="101">
        <f t="shared" si="529"/>
        <v>7.0000000000000007E-2</v>
      </c>
      <c r="GB1064" s="101">
        <f t="shared" si="530"/>
        <v>1</v>
      </c>
      <c r="GC1064" s="101">
        <f t="shared" si="531"/>
        <v>22</v>
      </c>
      <c r="GD1064" s="101">
        <f t="shared" si="532"/>
        <v>0</v>
      </c>
      <c r="GE1064" s="101">
        <f t="shared" si="533"/>
        <v>1</v>
      </c>
      <c r="GF1064" s="101">
        <f t="shared" si="534"/>
        <v>5</v>
      </c>
      <c r="GG1064" s="101">
        <f t="shared" si="535"/>
        <v>3.4000000000000002E-2</v>
      </c>
      <c r="GH1064" s="101">
        <f t="shared" si="536"/>
        <v>1</v>
      </c>
      <c r="GI1064" s="101">
        <f t="shared" si="537"/>
        <v>10</v>
      </c>
      <c r="GJ1064" s="101">
        <f t="shared" si="538"/>
        <v>0.13600000000000001</v>
      </c>
      <c r="GK1064" s="101">
        <f t="shared" si="539"/>
        <v>1</v>
      </c>
      <c r="GL1064" s="101">
        <f t="shared" si="540"/>
        <v>22</v>
      </c>
    </row>
    <row r="1065" spans="170:194" ht="16.5" x14ac:dyDescent="0.2">
      <c r="FN1065" s="101">
        <v>1060</v>
      </c>
      <c r="FO1065" s="101">
        <f t="shared" si="525"/>
        <v>18</v>
      </c>
      <c r="FP1065" s="101">
        <f t="shared" si="518"/>
        <v>14</v>
      </c>
      <c r="FQ1065" s="14">
        <f t="shared" si="519"/>
        <v>3</v>
      </c>
      <c r="FR1065" s="101" t="str">
        <f t="shared" si="526"/>
        <v>飞廉专属武器-魂珠-2 9级</v>
      </c>
      <c r="FS1065" s="101">
        <f t="shared" si="527"/>
        <v>2</v>
      </c>
      <c r="FT1065" s="101">
        <f t="shared" si="528"/>
        <v>9</v>
      </c>
      <c r="FU1065" s="101" t="str">
        <f t="shared" si="520"/>
        <v>金币</v>
      </c>
      <c r="FV1065" s="139">
        <f>IF($FT1065&gt;0,IF(INDEX($EI$6:$EI$77,$FO1065)&gt;=FV$3,ROUND(INDEX(EK$6:EK$77,$FO1065)*INDEX(卡牌消耗!$B$8:$F$8,FQ1065)/5,0)*5,""),"")</f>
        <v>1695</v>
      </c>
      <c r="FW1065" s="101" t="str">
        <f t="shared" si="521"/>
        <v>专属强化石1</v>
      </c>
      <c r="FX1065" s="101">
        <f t="shared" si="522"/>
        <v>24</v>
      </c>
      <c r="FY1065" s="101" t="str">
        <f t="shared" si="523"/>
        <v>专属强化石2</v>
      </c>
      <c r="FZ1065" s="101">
        <f t="shared" si="524"/>
        <v>8</v>
      </c>
      <c r="GA1065" s="101">
        <f t="shared" si="529"/>
        <v>0.06</v>
      </c>
      <c r="GB1065" s="101">
        <f t="shared" si="530"/>
        <v>1</v>
      </c>
      <c r="GC1065" s="101">
        <f t="shared" si="531"/>
        <v>27</v>
      </c>
      <c r="GD1065" s="101">
        <f t="shared" si="532"/>
        <v>0</v>
      </c>
      <c r="GE1065" s="101">
        <f t="shared" si="533"/>
        <v>1</v>
      </c>
      <c r="GF1065" s="101">
        <f t="shared" si="534"/>
        <v>6</v>
      </c>
      <c r="GG1065" s="101">
        <f t="shared" si="535"/>
        <v>2.8000000000000001E-2</v>
      </c>
      <c r="GH1065" s="101">
        <f t="shared" si="536"/>
        <v>1</v>
      </c>
      <c r="GI1065" s="101">
        <f t="shared" si="537"/>
        <v>12</v>
      </c>
      <c r="GJ1065" s="101">
        <f t="shared" si="538"/>
        <v>0.11210000000000001</v>
      </c>
      <c r="GK1065" s="101">
        <f t="shared" si="539"/>
        <v>1</v>
      </c>
      <c r="GL1065" s="101">
        <f t="shared" si="540"/>
        <v>27</v>
      </c>
    </row>
    <row r="1066" spans="170:194" ht="16.5" x14ac:dyDescent="0.2">
      <c r="FN1066" s="101">
        <v>1061</v>
      </c>
      <c r="FO1066" s="101">
        <f t="shared" si="525"/>
        <v>0</v>
      </c>
      <c r="FP1066" s="101">
        <f t="shared" si="518"/>
        <v>14</v>
      </c>
      <c r="FQ1066" s="14">
        <f t="shared" si="519"/>
        <v>3</v>
      </c>
      <c r="FR1066" s="101" t="str">
        <f t="shared" si="526"/>
        <v>飞廉专属武器-魂珠-3 0级</v>
      </c>
      <c r="FS1066" s="101">
        <f t="shared" si="527"/>
        <v>3</v>
      </c>
      <c r="FT1066" s="101">
        <f t="shared" si="528"/>
        <v>0</v>
      </c>
      <c r="FU1066" s="101" t="str">
        <f t="shared" si="520"/>
        <v/>
      </c>
      <c r="FV1066" s="139" t="str">
        <f>IF($FT1066&gt;0,IF(INDEX($EI$6:$EI$77,$FO1066)&gt;=FV$3,ROUND(INDEX(EK$6:EK$77,$FO1066)*INDEX(卡牌消耗!$B$8:$F$8,FQ1066)/5,0)*5,""),"")</f>
        <v/>
      </c>
      <c r="FW1066" s="101" t="str">
        <f t="shared" si="521"/>
        <v/>
      </c>
      <c r="FX1066" s="101" t="str">
        <f t="shared" si="522"/>
        <v/>
      </c>
      <c r="FY1066" s="101" t="str">
        <f t="shared" si="523"/>
        <v/>
      </c>
      <c r="FZ1066" s="101" t="str">
        <f t="shared" si="524"/>
        <v/>
      </c>
      <c r="GA1066" s="101" t="str">
        <f t="shared" si="529"/>
        <v/>
      </c>
      <c r="GB1066" s="101" t="str">
        <f t="shared" si="530"/>
        <v/>
      </c>
      <c r="GC1066" s="101" t="str">
        <f t="shared" si="531"/>
        <v/>
      </c>
      <c r="GD1066" s="101" t="str">
        <f t="shared" si="532"/>
        <v/>
      </c>
      <c r="GE1066" s="101" t="str">
        <f t="shared" si="533"/>
        <v/>
      </c>
      <c r="GF1066" s="101" t="str">
        <f t="shared" si="534"/>
        <v/>
      </c>
      <c r="GG1066" s="101" t="str">
        <f t="shared" si="535"/>
        <v/>
      </c>
      <c r="GH1066" s="101" t="str">
        <f t="shared" si="536"/>
        <v/>
      </c>
      <c r="GI1066" s="101" t="str">
        <f t="shared" si="537"/>
        <v/>
      </c>
      <c r="GJ1066" s="101" t="str">
        <f t="shared" si="538"/>
        <v/>
      </c>
      <c r="GK1066" s="101" t="str">
        <f t="shared" si="539"/>
        <v/>
      </c>
      <c r="GL1066" s="101" t="str">
        <f t="shared" si="540"/>
        <v/>
      </c>
    </row>
    <row r="1067" spans="170:194" ht="16.5" x14ac:dyDescent="0.2">
      <c r="FN1067" s="101">
        <v>1062</v>
      </c>
      <c r="FO1067" s="101">
        <f t="shared" si="525"/>
        <v>19</v>
      </c>
      <c r="FP1067" s="101">
        <f t="shared" si="518"/>
        <v>14</v>
      </c>
      <c r="FQ1067" s="14">
        <f t="shared" si="519"/>
        <v>3</v>
      </c>
      <c r="FR1067" s="101" t="str">
        <f t="shared" si="526"/>
        <v>飞廉专属武器-魂珠-3 1级</v>
      </c>
      <c r="FS1067" s="101">
        <f t="shared" si="527"/>
        <v>3</v>
      </c>
      <c r="FT1067" s="101">
        <f t="shared" si="528"/>
        <v>1</v>
      </c>
      <c r="FU1067" s="101" t="str">
        <f t="shared" si="520"/>
        <v>金币</v>
      </c>
      <c r="FV1067" s="139">
        <f>IF($FT1067&gt;0,IF(INDEX($EI$6:$EI$77,$FO1067)&gt;=FV$3,ROUND(INDEX(EK$6:EK$77,$FO1067)*INDEX(卡牌消耗!$B$8:$F$8,FQ1067)/5,0)*5,""),"")</f>
        <v>545</v>
      </c>
      <c r="FW1067" s="101" t="str">
        <f t="shared" si="521"/>
        <v>专属强化石1</v>
      </c>
      <c r="FX1067" s="101">
        <f t="shared" si="522"/>
        <v>4</v>
      </c>
      <c r="FY1067" s="101" t="str">
        <f t="shared" si="523"/>
        <v>专属强化石2</v>
      </c>
      <c r="FZ1067" s="101">
        <f t="shared" si="524"/>
        <v>2</v>
      </c>
      <c r="GA1067" s="101">
        <f t="shared" si="529"/>
        <v>0.31</v>
      </c>
      <c r="GB1067" s="101">
        <f t="shared" si="530"/>
        <v>1</v>
      </c>
      <c r="GC1067" s="101">
        <f t="shared" si="531"/>
        <v>5</v>
      </c>
      <c r="GD1067" s="101">
        <f t="shared" si="532"/>
        <v>0</v>
      </c>
      <c r="GE1067" s="101">
        <f t="shared" si="533"/>
        <v>1</v>
      </c>
      <c r="GF1067" s="101">
        <f t="shared" si="534"/>
        <v>1</v>
      </c>
      <c r="GG1067" s="101">
        <f t="shared" si="535"/>
        <v>0.15409999999999999</v>
      </c>
      <c r="GH1067" s="101">
        <f t="shared" si="536"/>
        <v>1</v>
      </c>
      <c r="GI1067" s="101">
        <f t="shared" si="537"/>
        <v>2</v>
      </c>
      <c r="GJ1067" s="101">
        <f t="shared" si="538"/>
        <v>0.61650000000000005</v>
      </c>
      <c r="GK1067" s="101">
        <f t="shared" si="539"/>
        <v>1</v>
      </c>
      <c r="GL1067" s="101">
        <f t="shared" si="540"/>
        <v>5</v>
      </c>
    </row>
    <row r="1068" spans="170:194" ht="16.5" x14ac:dyDescent="0.2">
      <c r="FN1068" s="101">
        <v>1063</v>
      </c>
      <c r="FO1068" s="101">
        <f t="shared" si="525"/>
        <v>20</v>
      </c>
      <c r="FP1068" s="101">
        <f t="shared" si="518"/>
        <v>14</v>
      </c>
      <c r="FQ1068" s="14">
        <f t="shared" si="519"/>
        <v>3</v>
      </c>
      <c r="FR1068" s="101" t="str">
        <f t="shared" si="526"/>
        <v>飞廉专属武器-魂珠-3 2级</v>
      </c>
      <c r="FS1068" s="101">
        <f t="shared" si="527"/>
        <v>3</v>
      </c>
      <c r="FT1068" s="101">
        <f t="shared" si="528"/>
        <v>2</v>
      </c>
      <c r="FU1068" s="101" t="str">
        <f t="shared" si="520"/>
        <v>金币</v>
      </c>
      <c r="FV1068" s="139">
        <f>IF($FT1068&gt;0,IF(INDEX($EI$6:$EI$77,$FO1068)&gt;=FV$3,ROUND(INDEX(EK$6:EK$77,$FO1068)*INDEX(卡牌消耗!$B$8:$F$8,FQ1068)/5,0)*5,""),"")</f>
        <v>410</v>
      </c>
      <c r="FW1068" s="101" t="str">
        <f t="shared" si="521"/>
        <v>专属强化石1</v>
      </c>
      <c r="FX1068" s="101">
        <f t="shared" si="522"/>
        <v>4</v>
      </c>
      <c r="FY1068" s="101" t="str">
        <f t="shared" si="523"/>
        <v>专属强化石2</v>
      </c>
      <c r="FZ1068" s="101">
        <f t="shared" si="524"/>
        <v>2</v>
      </c>
      <c r="GA1068" s="101">
        <f t="shared" si="529"/>
        <v>0.15</v>
      </c>
      <c r="GB1068" s="101">
        <f t="shared" si="530"/>
        <v>1</v>
      </c>
      <c r="GC1068" s="101">
        <f t="shared" si="531"/>
        <v>10</v>
      </c>
      <c r="GD1068" s="101">
        <f t="shared" si="532"/>
        <v>0</v>
      </c>
      <c r="GE1068" s="101">
        <f t="shared" si="533"/>
        <v>1</v>
      </c>
      <c r="GF1068" s="101">
        <f t="shared" si="534"/>
        <v>2</v>
      </c>
      <c r="GG1068" s="101">
        <f t="shared" si="535"/>
        <v>7.7100000000000002E-2</v>
      </c>
      <c r="GH1068" s="101">
        <f t="shared" si="536"/>
        <v>1</v>
      </c>
      <c r="GI1068" s="101">
        <f t="shared" si="537"/>
        <v>5</v>
      </c>
      <c r="GJ1068" s="101">
        <f t="shared" si="538"/>
        <v>0.30830000000000002</v>
      </c>
      <c r="GK1068" s="101">
        <f t="shared" si="539"/>
        <v>1</v>
      </c>
      <c r="GL1068" s="101">
        <f t="shared" si="540"/>
        <v>10</v>
      </c>
    </row>
    <row r="1069" spans="170:194" ht="16.5" x14ac:dyDescent="0.2">
      <c r="FN1069" s="101">
        <v>1064</v>
      </c>
      <c r="FO1069" s="101">
        <f t="shared" si="525"/>
        <v>21</v>
      </c>
      <c r="FP1069" s="101">
        <f t="shared" si="518"/>
        <v>14</v>
      </c>
      <c r="FQ1069" s="14">
        <f t="shared" si="519"/>
        <v>3</v>
      </c>
      <c r="FR1069" s="101" t="str">
        <f t="shared" si="526"/>
        <v>飞廉专属武器-魂珠-3 3级</v>
      </c>
      <c r="FS1069" s="101">
        <f t="shared" si="527"/>
        <v>3</v>
      </c>
      <c r="FT1069" s="101">
        <f t="shared" si="528"/>
        <v>3</v>
      </c>
      <c r="FU1069" s="101" t="str">
        <f t="shared" si="520"/>
        <v>金币</v>
      </c>
      <c r="FV1069" s="139">
        <f>IF($FT1069&gt;0,IF(INDEX($EI$6:$EI$77,$FO1069)&gt;=FV$3,ROUND(INDEX(EK$6:EK$77,$FO1069)*INDEX(卡牌消耗!$B$8:$F$8,FQ1069)/5,0)*5,""),"")</f>
        <v>680</v>
      </c>
      <c r="FW1069" s="101" t="str">
        <f t="shared" si="521"/>
        <v>专属强化石1</v>
      </c>
      <c r="FX1069" s="101">
        <f t="shared" si="522"/>
        <v>6</v>
      </c>
      <c r="FY1069" s="101" t="str">
        <f t="shared" si="523"/>
        <v>专属强化石2</v>
      </c>
      <c r="FZ1069" s="101">
        <f t="shared" si="524"/>
        <v>3</v>
      </c>
      <c r="GA1069" s="101">
        <f t="shared" si="529"/>
        <v>0.15</v>
      </c>
      <c r="GB1069" s="101">
        <f t="shared" si="530"/>
        <v>1</v>
      </c>
      <c r="GC1069" s="101">
        <f t="shared" si="531"/>
        <v>10</v>
      </c>
      <c r="GD1069" s="101">
        <f t="shared" si="532"/>
        <v>0</v>
      </c>
      <c r="GE1069" s="101">
        <f t="shared" si="533"/>
        <v>1</v>
      </c>
      <c r="GF1069" s="101">
        <f t="shared" si="534"/>
        <v>2</v>
      </c>
      <c r="GG1069" s="101">
        <f t="shared" si="535"/>
        <v>7.7100000000000002E-2</v>
      </c>
      <c r="GH1069" s="101">
        <f t="shared" si="536"/>
        <v>1</v>
      </c>
      <c r="GI1069" s="101">
        <f t="shared" si="537"/>
        <v>5</v>
      </c>
      <c r="GJ1069" s="101">
        <f t="shared" si="538"/>
        <v>0.30830000000000002</v>
      </c>
      <c r="GK1069" s="101">
        <f t="shared" si="539"/>
        <v>1</v>
      </c>
      <c r="GL1069" s="101">
        <f t="shared" si="540"/>
        <v>10</v>
      </c>
    </row>
    <row r="1070" spans="170:194" ht="16.5" x14ac:dyDescent="0.2">
      <c r="FN1070" s="101">
        <v>1065</v>
      </c>
      <c r="FO1070" s="101">
        <f t="shared" si="525"/>
        <v>22</v>
      </c>
      <c r="FP1070" s="101">
        <f t="shared" si="518"/>
        <v>14</v>
      </c>
      <c r="FQ1070" s="14">
        <f t="shared" si="519"/>
        <v>3</v>
      </c>
      <c r="FR1070" s="101" t="str">
        <f t="shared" si="526"/>
        <v>飞廉专属武器-魂珠-3 4级</v>
      </c>
      <c r="FS1070" s="101">
        <f t="shared" si="527"/>
        <v>3</v>
      </c>
      <c r="FT1070" s="101">
        <f t="shared" si="528"/>
        <v>4</v>
      </c>
      <c r="FU1070" s="101" t="str">
        <f t="shared" si="520"/>
        <v>金币</v>
      </c>
      <c r="FV1070" s="139">
        <f>IF($FT1070&gt;0,IF(INDEX($EI$6:$EI$77,$FO1070)&gt;=FV$3,ROUND(INDEX(EK$6:EK$77,$FO1070)*INDEX(卡牌消耗!$B$8:$F$8,FQ1070)/5,0)*5,""),"")</f>
        <v>655</v>
      </c>
      <c r="FW1070" s="101" t="str">
        <f t="shared" si="521"/>
        <v>专属强化石1</v>
      </c>
      <c r="FX1070" s="101">
        <f t="shared" si="522"/>
        <v>6</v>
      </c>
      <c r="FY1070" s="101" t="str">
        <f t="shared" si="523"/>
        <v>专属强化石2</v>
      </c>
      <c r="FZ1070" s="101">
        <f t="shared" si="524"/>
        <v>3</v>
      </c>
      <c r="GA1070" s="101">
        <f t="shared" si="529"/>
        <v>0.09</v>
      </c>
      <c r="GB1070" s="101">
        <f t="shared" si="530"/>
        <v>1</v>
      </c>
      <c r="GC1070" s="101">
        <f t="shared" si="531"/>
        <v>16</v>
      </c>
      <c r="GD1070" s="101">
        <f t="shared" si="532"/>
        <v>0</v>
      </c>
      <c r="GE1070" s="101">
        <f t="shared" si="533"/>
        <v>1</v>
      </c>
      <c r="GF1070" s="101">
        <f t="shared" si="534"/>
        <v>4</v>
      </c>
      <c r="GG1070" s="101">
        <f t="shared" si="535"/>
        <v>4.6199999999999998E-2</v>
      </c>
      <c r="GH1070" s="101">
        <f t="shared" si="536"/>
        <v>1</v>
      </c>
      <c r="GI1070" s="101">
        <f t="shared" si="537"/>
        <v>8</v>
      </c>
      <c r="GJ1070" s="101">
        <f t="shared" si="538"/>
        <v>0.185</v>
      </c>
      <c r="GK1070" s="101">
        <f t="shared" si="539"/>
        <v>1</v>
      </c>
      <c r="GL1070" s="101">
        <f t="shared" si="540"/>
        <v>16</v>
      </c>
    </row>
    <row r="1071" spans="170:194" ht="16.5" x14ac:dyDescent="0.2">
      <c r="FN1071" s="101">
        <v>1066</v>
      </c>
      <c r="FO1071" s="101">
        <f t="shared" si="525"/>
        <v>23</v>
      </c>
      <c r="FP1071" s="101">
        <f t="shared" si="518"/>
        <v>14</v>
      </c>
      <c r="FQ1071" s="14">
        <f t="shared" si="519"/>
        <v>3</v>
      </c>
      <c r="FR1071" s="101" t="str">
        <f t="shared" si="526"/>
        <v>飞廉专属武器-魂珠-3 5级</v>
      </c>
      <c r="FS1071" s="101">
        <f t="shared" si="527"/>
        <v>3</v>
      </c>
      <c r="FT1071" s="101">
        <f t="shared" si="528"/>
        <v>5</v>
      </c>
      <c r="FU1071" s="101" t="str">
        <f t="shared" si="520"/>
        <v>金币</v>
      </c>
      <c r="FV1071" s="139">
        <f>IF($FT1071&gt;0,IF(INDEX($EI$6:$EI$77,$FO1071)&gt;=FV$3,ROUND(INDEX(EK$6:EK$77,$FO1071)*INDEX(卡牌消耗!$B$8:$F$8,FQ1071)/5,0)*5,""),"")</f>
        <v>885</v>
      </c>
      <c r="FW1071" s="101" t="str">
        <f t="shared" si="521"/>
        <v>专属强化石1</v>
      </c>
      <c r="FX1071" s="101">
        <f t="shared" si="522"/>
        <v>8</v>
      </c>
      <c r="FY1071" s="101" t="str">
        <f t="shared" si="523"/>
        <v>专属强化石2</v>
      </c>
      <c r="FZ1071" s="101">
        <f t="shared" si="524"/>
        <v>4</v>
      </c>
      <c r="GA1071" s="101">
        <f t="shared" si="529"/>
        <v>0.08</v>
      </c>
      <c r="GB1071" s="101">
        <f t="shared" si="530"/>
        <v>1</v>
      </c>
      <c r="GC1071" s="101">
        <f t="shared" si="531"/>
        <v>19</v>
      </c>
      <c r="GD1071" s="101">
        <f t="shared" si="532"/>
        <v>0</v>
      </c>
      <c r="GE1071" s="101">
        <f t="shared" si="533"/>
        <v>1</v>
      </c>
      <c r="GF1071" s="101">
        <f t="shared" si="534"/>
        <v>5</v>
      </c>
      <c r="GG1071" s="101">
        <f t="shared" si="535"/>
        <v>3.85E-2</v>
      </c>
      <c r="GH1071" s="101">
        <f t="shared" si="536"/>
        <v>1</v>
      </c>
      <c r="GI1071" s="101">
        <f t="shared" si="537"/>
        <v>9</v>
      </c>
      <c r="GJ1071" s="101">
        <f t="shared" si="538"/>
        <v>0.15409999999999999</v>
      </c>
      <c r="GK1071" s="101">
        <f t="shared" si="539"/>
        <v>1</v>
      </c>
      <c r="GL1071" s="101">
        <f t="shared" si="540"/>
        <v>19</v>
      </c>
    </row>
    <row r="1072" spans="170:194" ht="16.5" x14ac:dyDescent="0.2">
      <c r="FN1072" s="101">
        <v>1067</v>
      </c>
      <c r="FO1072" s="101">
        <f t="shared" si="525"/>
        <v>24</v>
      </c>
      <c r="FP1072" s="101">
        <f t="shared" si="518"/>
        <v>14</v>
      </c>
      <c r="FQ1072" s="14">
        <f t="shared" si="519"/>
        <v>3</v>
      </c>
      <c r="FR1072" s="101" t="str">
        <f t="shared" si="526"/>
        <v>飞廉专属武器-魂珠-3 6级</v>
      </c>
      <c r="FS1072" s="101">
        <f t="shared" si="527"/>
        <v>3</v>
      </c>
      <c r="FT1072" s="101">
        <f t="shared" si="528"/>
        <v>6</v>
      </c>
      <c r="FU1072" s="101" t="str">
        <f t="shared" si="520"/>
        <v>金币</v>
      </c>
      <c r="FV1072" s="139">
        <f>IF($FT1072&gt;0,IF(INDEX($EI$6:$EI$77,$FO1072)&gt;=FV$3,ROUND(INDEX(EK$6:EK$77,$FO1072)*INDEX(卡牌消耗!$B$8:$F$8,FQ1072)/5,0)*5,""),"")</f>
        <v>1100</v>
      </c>
      <c r="FW1072" s="101" t="str">
        <f t="shared" si="521"/>
        <v>专属强化石1</v>
      </c>
      <c r="FX1072" s="101">
        <f t="shared" si="522"/>
        <v>10</v>
      </c>
      <c r="FY1072" s="101" t="str">
        <f t="shared" si="523"/>
        <v>专属强化石2</v>
      </c>
      <c r="FZ1072" s="101">
        <f t="shared" si="524"/>
        <v>5</v>
      </c>
      <c r="GA1072" s="101">
        <f t="shared" si="529"/>
        <v>0.06</v>
      </c>
      <c r="GB1072" s="101">
        <f t="shared" si="530"/>
        <v>1</v>
      </c>
      <c r="GC1072" s="101">
        <f t="shared" si="531"/>
        <v>25</v>
      </c>
      <c r="GD1072" s="101">
        <f t="shared" si="532"/>
        <v>0</v>
      </c>
      <c r="GE1072" s="101">
        <f t="shared" si="533"/>
        <v>1</v>
      </c>
      <c r="GF1072" s="101">
        <f t="shared" si="534"/>
        <v>6</v>
      </c>
      <c r="GG1072" s="101">
        <f t="shared" si="535"/>
        <v>2.9600000000000001E-2</v>
      </c>
      <c r="GH1072" s="101">
        <f t="shared" si="536"/>
        <v>1</v>
      </c>
      <c r="GI1072" s="101">
        <f t="shared" si="537"/>
        <v>12</v>
      </c>
      <c r="GJ1072" s="101">
        <f t="shared" si="538"/>
        <v>0.1186</v>
      </c>
      <c r="GK1072" s="101">
        <f t="shared" si="539"/>
        <v>1</v>
      </c>
      <c r="GL1072" s="101">
        <f t="shared" si="540"/>
        <v>25</v>
      </c>
    </row>
    <row r="1073" spans="170:194" ht="16.5" x14ac:dyDescent="0.2">
      <c r="FN1073" s="101">
        <v>1068</v>
      </c>
      <c r="FO1073" s="101">
        <f t="shared" si="525"/>
        <v>25</v>
      </c>
      <c r="FP1073" s="101">
        <f t="shared" si="518"/>
        <v>14</v>
      </c>
      <c r="FQ1073" s="14">
        <f t="shared" si="519"/>
        <v>3</v>
      </c>
      <c r="FR1073" s="101" t="str">
        <f t="shared" si="526"/>
        <v>飞廉专属武器-魂珠-3 7级</v>
      </c>
      <c r="FS1073" s="101">
        <f t="shared" si="527"/>
        <v>3</v>
      </c>
      <c r="FT1073" s="101">
        <f t="shared" si="528"/>
        <v>7</v>
      </c>
      <c r="FU1073" s="101" t="str">
        <f t="shared" si="520"/>
        <v>金币</v>
      </c>
      <c r="FV1073" s="139">
        <f>IF($FT1073&gt;0,IF(INDEX($EI$6:$EI$77,$FO1073)&gt;=FV$3,ROUND(INDEX(EK$6:EK$77,$FO1073)*INDEX(卡牌消耗!$B$8:$F$8,FQ1073)/5,0)*5,""),"")</f>
        <v>1325</v>
      </c>
      <c r="FW1073" s="101" t="str">
        <f t="shared" si="521"/>
        <v>专属强化石1</v>
      </c>
      <c r="FX1073" s="101">
        <f t="shared" si="522"/>
        <v>12</v>
      </c>
      <c r="FY1073" s="101" t="str">
        <f t="shared" si="523"/>
        <v>专属强化石2</v>
      </c>
      <c r="FZ1073" s="101">
        <f t="shared" si="524"/>
        <v>6</v>
      </c>
      <c r="GA1073" s="101">
        <f t="shared" si="529"/>
        <v>0.04</v>
      </c>
      <c r="GB1073" s="101">
        <f t="shared" si="530"/>
        <v>1</v>
      </c>
      <c r="GC1073" s="101">
        <f t="shared" si="531"/>
        <v>34</v>
      </c>
      <c r="GD1073" s="101">
        <f t="shared" si="532"/>
        <v>0</v>
      </c>
      <c r="GE1073" s="101">
        <f t="shared" si="533"/>
        <v>1</v>
      </c>
      <c r="GF1073" s="101">
        <f t="shared" si="534"/>
        <v>8</v>
      </c>
      <c r="GG1073" s="101">
        <f t="shared" si="535"/>
        <v>2.1999999999999999E-2</v>
      </c>
      <c r="GH1073" s="101">
        <f t="shared" si="536"/>
        <v>1</v>
      </c>
      <c r="GI1073" s="101">
        <f t="shared" si="537"/>
        <v>16</v>
      </c>
      <c r="GJ1073" s="101">
        <f t="shared" si="538"/>
        <v>8.8099999999999998E-2</v>
      </c>
      <c r="GK1073" s="101">
        <f t="shared" si="539"/>
        <v>1</v>
      </c>
      <c r="GL1073" s="101">
        <f t="shared" si="540"/>
        <v>34</v>
      </c>
    </row>
    <row r="1074" spans="170:194" ht="16.5" x14ac:dyDescent="0.2">
      <c r="FN1074" s="101">
        <v>1069</v>
      </c>
      <c r="FO1074" s="101">
        <f t="shared" si="525"/>
        <v>26</v>
      </c>
      <c r="FP1074" s="101">
        <f t="shared" si="518"/>
        <v>14</v>
      </c>
      <c r="FQ1074" s="14">
        <f t="shared" si="519"/>
        <v>3</v>
      </c>
      <c r="FR1074" s="101" t="str">
        <f t="shared" si="526"/>
        <v>飞廉专属武器-魂珠-3 8级</v>
      </c>
      <c r="FS1074" s="101">
        <f t="shared" si="527"/>
        <v>3</v>
      </c>
      <c r="FT1074" s="101">
        <f t="shared" si="528"/>
        <v>8</v>
      </c>
      <c r="FU1074" s="101" t="str">
        <f t="shared" si="520"/>
        <v>金币</v>
      </c>
      <c r="FV1074" s="139">
        <f>IF($FT1074&gt;0,IF(INDEX($EI$6:$EI$77,$FO1074)&gt;=FV$3,ROUND(INDEX(EK$6:EK$77,$FO1074)*INDEX(卡牌消耗!$B$8:$F$8,FQ1074)/5,0)*5,""),"")</f>
        <v>1765</v>
      </c>
      <c r="FW1074" s="101" t="str">
        <f t="shared" si="521"/>
        <v>专属强化石1</v>
      </c>
      <c r="FX1074" s="101">
        <f t="shared" si="522"/>
        <v>16</v>
      </c>
      <c r="FY1074" s="101" t="str">
        <f t="shared" si="523"/>
        <v>专属强化石2</v>
      </c>
      <c r="FZ1074" s="101">
        <f t="shared" si="524"/>
        <v>8</v>
      </c>
      <c r="GA1074" s="101">
        <f t="shared" si="529"/>
        <v>0.04</v>
      </c>
      <c r="GB1074" s="101">
        <f t="shared" si="530"/>
        <v>1</v>
      </c>
      <c r="GC1074" s="101">
        <f t="shared" si="531"/>
        <v>41</v>
      </c>
      <c r="GD1074" s="101">
        <f t="shared" si="532"/>
        <v>0</v>
      </c>
      <c r="GE1074" s="101">
        <f t="shared" si="533"/>
        <v>1</v>
      </c>
      <c r="GF1074" s="101">
        <f t="shared" si="534"/>
        <v>10</v>
      </c>
      <c r="GG1074" s="101">
        <f t="shared" si="535"/>
        <v>1.8100000000000002E-2</v>
      </c>
      <c r="GH1074" s="101">
        <f t="shared" si="536"/>
        <v>1</v>
      </c>
      <c r="GI1074" s="101">
        <f t="shared" si="537"/>
        <v>19</v>
      </c>
      <c r="GJ1074" s="101">
        <f t="shared" si="538"/>
        <v>7.2499999999999995E-2</v>
      </c>
      <c r="GK1074" s="101">
        <f t="shared" si="539"/>
        <v>1</v>
      </c>
      <c r="GL1074" s="101">
        <f t="shared" si="540"/>
        <v>41</v>
      </c>
    </row>
    <row r="1075" spans="170:194" ht="16.5" x14ac:dyDescent="0.2">
      <c r="FN1075" s="101">
        <v>1070</v>
      </c>
      <c r="FO1075" s="101">
        <f t="shared" si="525"/>
        <v>27</v>
      </c>
      <c r="FP1075" s="101">
        <f t="shared" si="518"/>
        <v>14</v>
      </c>
      <c r="FQ1075" s="14">
        <f t="shared" si="519"/>
        <v>3</v>
      </c>
      <c r="FR1075" s="101" t="str">
        <f t="shared" si="526"/>
        <v>飞廉专属武器-魂珠-3 9级</v>
      </c>
      <c r="FS1075" s="101">
        <f t="shared" si="527"/>
        <v>3</v>
      </c>
      <c r="FT1075" s="101">
        <f t="shared" si="528"/>
        <v>9</v>
      </c>
      <c r="FU1075" s="101" t="str">
        <f t="shared" si="520"/>
        <v>金币</v>
      </c>
      <c r="FV1075" s="139">
        <f>IF($FT1075&gt;0,IF(INDEX($EI$6:$EI$77,$FO1075)&gt;=FV$3,ROUND(INDEX(EK$6:EK$77,$FO1075)*INDEX(卡牌消耗!$B$8:$F$8,FQ1075)/5,0)*5,""),"")</f>
        <v>2205</v>
      </c>
      <c r="FW1075" s="101" t="str">
        <f t="shared" si="521"/>
        <v>专属强化石1</v>
      </c>
      <c r="FX1075" s="101">
        <f t="shared" si="522"/>
        <v>20</v>
      </c>
      <c r="FY1075" s="101" t="str">
        <f t="shared" si="523"/>
        <v>专属强化石2</v>
      </c>
      <c r="FZ1075" s="101">
        <f t="shared" si="524"/>
        <v>10</v>
      </c>
      <c r="GA1075" s="101">
        <f t="shared" si="529"/>
        <v>0.03</v>
      </c>
      <c r="GB1075" s="101">
        <f t="shared" si="530"/>
        <v>1</v>
      </c>
      <c r="GC1075" s="101">
        <f t="shared" si="531"/>
        <v>54</v>
      </c>
      <c r="GD1075" s="101">
        <f t="shared" si="532"/>
        <v>0</v>
      </c>
      <c r="GE1075" s="101">
        <f t="shared" si="533"/>
        <v>1</v>
      </c>
      <c r="GF1075" s="101">
        <f t="shared" si="534"/>
        <v>12</v>
      </c>
      <c r="GG1075" s="101">
        <f t="shared" si="535"/>
        <v>1.4E-2</v>
      </c>
      <c r="GH1075" s="101">
        <f t="shared" si="536"/>
        <v>1</v>
      </c>
      <c r="GI1075" s="101">
        <f t="shared" si="537"/>
        <v>25</v>
      </c>
      <c r="GJ1075" s="101">
        <f t="shared" si="538"/>
        <v>5.6000000000000001E-2</v>
      </c>
      <c r="GK1075" s="101">
        <f t="shared" si="539"/>
        <v>1</v>
      </c>
      <c r="GL1075" s="101">
        <f t="shared" si="540"/>
        <v>54</v>
      </c>
    </row>
    <row r="1076" spans="170:194" ht="16.5" x14ac:dyDescent="0.2">
      <c r="FN1076" s="101">
        <v>1071</v>
      </c>
      <c r="FO1076" s="101">
        <f t="shared" si="525"/>
        <v>0</v>
      </c>
      <c r="FP1076" s="101">
        <f t="shared" si="518"/>
        <v>14</v>
      </c>
      <c r="FQ1076" s="14">
        <f t="shared" si="519"/>
        <v>3</v>
      </c>
      <c r="FR1076" s="101" t="str">
        <f t="shared" si="526"/>
        <v>飞廉专属武器-魂珠-4 0级</v>
      </c>
      <c r="FS1076" s="101">
        <f t="shared" si="527"/>
        <v>4</v>
      </c>
      <c r="FT1076" s="101">
        <f t="shared" si="528"/>
        <v>0</v>
      </c>
      <c r="FU1076" s="101" t="str">
        <f t="shared" si="520"/>
        <v/>
      </c>
      <c r="FV1076" s="139" t="str">
        <f>IF($FT1076&gt;0,IF(INDEX($EI$6:$EI$77,$FO1076)&gt;=FV$3,ROUND(INDEX(EK$6:EK$77,$FO1076)*INDEX(卡牌消耗!$B$8:$F$8,FQ1076)/5,0)*5,""),"")</f>
        <v/>
      </c>
      <c r="FW1076" s="101" t="str">
        <f t="shared" si="521"/>
        <v/>
      </c>
      <c r="FX1076" s="101" t="str">
        <f t="shared" si="522"/>
        <v/>
      </c>
      <c r="FY1076" s="101" t="str">
        <f t="shared" si="523"/>
        <v/>
      </c>
      <c r="FZ1076" s="101" t="str">
        <f t="shared" si="524"/>
        <v/>
      </c>
      <c r="GA1076" s="101" t="str">
        <f t="shared" si="529"/>
        <v/>
      </c>
      <c r="GB1076" s="101" t="str">
        <f t="shared" si="530"/>
        <v/>
      </c>
      <c r="GC1076" s="101" t="str">
        <f t="shared" si="531"/>
        <v/>
      </c>
      <c r="GD1076" s="101" t="str">
        <f t="shared" si="532"/>
        <v/>
      </c>
      <c r="GE1076" s="101" t="str">
        <f t="shared" si="533"/>
        <v/>
      </c>
      <c r="GF1076" s="101" t="str">
        <f t="shared" si="534"/>
        <v/>
      </c>
      <c r="GG1076" s="101" t="str">
        <f t="shared" si="535"/>
        <v/>
      </c>
      <c r="GH1076" s="101" t="str">
        <f t="shared" si="536"/>
        <v/>
      </c>
      <c r="GI1076" s="101" t="str">
        <f t="shared" si="537"/>
        <v/>
      </c>
      <c r="GJ1076" s="101" t="str">
        <f t="shared" si="538"/>
        <v/>
      </c>
      <c r="GK1076" s="101" t="str">
        <f t="shared" si="539"/>
        <v/>
      </c>
      <c r="GL1076" s="101" t="str">
        <f t="shared" si="540"/>
        <v/>
      </c>
    </row>
    <row r="1077" spans="170:194" ht="16.5" x14ac:dyDescent="0.2">
      <c r="FN1077" s="101">
        <v>1072</v>
      </c>
      <c r="FO1077" s="101">
        <f t="shared" si="525"/>
        <v>28</v>
      </c>
      <c r="FP1077" s="101">
        <f t="shared" si="518"/>
        <v>14</v>
      </c>
      <c r="FQ1077" s="14">
        <f t="shared" si="519"/>
        <v>3</v>
      </c>
      <c r="FR1077" s="101" t="str">
        <f t="shared" si="526"/>
        <v>飞廉专属武器-魂珠-4 1级</v>
      </c>
      <c r="FS1077" s="101">
        <f t="shared" si="527"/>
        <v>4</v>
      </c>
      <c r="FT1077" s="101">
        <f t="shared" si="528"/>
        <v>1</v>
      </c>
      <c r="FU1077" s="101" t="str">
        <f t="shared" si="520"/>
        <v>金币</v>
      </c>
      <c r="FV1077" s="139">
        <f>IF($FT1077&gt;0,IF(INDEX($EI$6:$EI$77,$FO1077)&gt;=FV$3,ROUND(INDEX(EK$6:EK$77,$FO1077)*INDEX(卡牌消耗!$B$8:$F$8,FQ1077)/5,0)*5,""),"")</f>
        <v>730</v>
      </c>
      <c r="FW1077" s="101" t="str">
        <f t="shared" si="521"/>
        <v>专属强化石2</v>
      </c>
      <c r="FX1077" s="101">
        <f t="shared" si="522"/>
        <v>3</v>
      </c>
      <c r="FY1077" s="101" t="str">
        <f t="shared" si="523"/>
        <v>专属强化石3</v>
      </c>
      <c r="FZ1077" s="101">
        <f t="shared" si="524"/>
        <v>1</v>
      </c>
      <c r="GA1077" s="101">
        <f t="shared" si="529"/>
        <v>0.2</v>
      </c>
      <c r="GB1077" s="101">
        <f t="shared" si="530"/>
        <v>1</v>
      </c>
      <c r="GC1077" s="101">
        <f t="shared" si="531"/>
        <v>7</v>
      </c>
      <c r="GD1077" s="101">
        <f t="shared" si="532"/>
        <v>0</v>
      </c>
      <c r="GE1077" s="101">
        <f t="shared" si="533"/>
        <v>1</v>
      </c>
      <c r="GF1077" s="101">
        <f t="shared" si="534"/>
        <v>2</v>
      </c>
      <c r="GG1077" s="101">
        <f t="shared" si="535"/>
        <v>0.1012</v>
      </c>
      <c r="GH1077" s="101">
        <f t="shared" si="536"/>
        <v>1</v>
      </c>
      <c r="GI1077" s="101">
        <f t="shared" si="537"/>
        <v>3</v>
      </c>
      <c r="GJ1077" s="101">
        <f t="shared" si="538"/>
        <v>0.40479999999999999</v>
      </c>
      <c r="GK1077" s="101">
        <f t="shared" si="539"/>
        <v>1</v>
      </c>
      <c r="GL1077" s="101">
        <f t="shared" si="540"/>
        <v>7</v>
      </c>
    </row>
    <row r="1078" spans="170:194" ht="16.5" x14ac:dyDescent="0.2">
      <c r="FN1078" s="101">
        <v>1073</v>
      </c>
      <c r="FO1078" s="101">
        <f t="shared" si="525"/>
        <v>29</v>
      </c>
      <c r="FP1078" s="101">
        <f t="shared" si="518"/>
        <v>14</v>
      </c>
      <c r="FQ1078" s="14">
        <f t="shared" si="519"/>
        <v>3</v>
      </c>
      <c r="FR1078" s="101" t="str">
        <f t="shared" si="526"/>
        <v>飞廉专属武器-魂珠-4 2级</v>
      </c>
      <c r="FS1078" s="101">
        <f t="shared" si="527"/>
        <v>4</v>
      </c>
      <c r="FT1078" s="101">
        <f t="shared" si="528"/>
        <v>2</v>
      </c>
      <c r="FU1078" s="101" t="str">
        <f t="shared" si="520"/>
        <v>金币</v>
      </c>
      <c r="FV1078" s="139">
        <f>IF($FT1078&gt;0,IF(INDEX($EI$6:$EI$77,$FO1078)&gt;=FV$3,ROUND(INDEX(EK$6:EK$77,$FO1078)*INDEX(卡牌消耗!$B$8:$F$8,FQ1078)/5,0)*5,""),"")</f>
        <v>545</v>
      </c>
      <c r="FW1078" s="101" t="str">
        <f t="shared" si="521"/>
        <v>专属强化石2</v>
      </c>
      <c r="FX1078" s="101">
        <f t="shared" si="522"/>
        <v>3</v>
      </c>
      <c r="FY1078" s="101" t="str">
        <f t="shared" si="523"/>
        <v>专属强化石3</v>
      </c>
      <c r="FZ1078" s="101">
        <f t="shared" si="524"/>
        <v>1</v>
      </c>
      <c r="GA1078" s="101">
        <f t="shared" si="529"/>
        <v>0.1</v>
      </c>
      <c r="GB1078" s="101">
        <f t="shared" si="530"/>
        <v>1</v>
      </c>
      <c r="GC1078" s="101">
        <f t="shared" si="531"/>
        <v>15</v>
      </c>
      <c r="GD1078" s="101">
        <f t="shared" si="532"/>
        <v>0</v>
      </c>
      <c r="GE1078" s="101">
        <f t="shared" si="533"/>
        <v>1</v>
      </c>
      <c r="GF1078" s="101">
        <f t="shared" si="534"/>
        <v>3</v>
      </c>
      <c r="GG1078" s="101">
        <f t="shared" si="535"/>
        <v>5.0599999999999999E-2</v>
      </c>
      <c r="GH1078" s="101">
        <f t="shared" si="536"/>
        <v>1</v>
      </c>
      <c r="GI1078" s="101">
        <f t="shared" si="537"/>
        <v>7</v>
      </c>
      <c r="GJ1078" s="101">
        <f t="shared" si="538"/>
        <v>0.2024</v>
      </c>
      <c r="GK1078" s="101">
        <f t="shared" si="539"/>
        <v>1</v>
      </c>
      <c r="GL1078" s="101">
        <f t="shared" si="540"/>
        <v>15</v>
      </c>
    </row>
    <row r="1079" spans="170:194" ht="16.5" x14ac:dyDescent="0.2">
      <c r="FN1079" s="101">
        <v>1074</v>
      </c>
      <c r="FO1079" s="101">
        <f t="shared" si="525"/>
        <v>30</v>
      </c>
      <c r="FP1079" s="101">
        <f t="shared" si="518"/>
        <v>14</v>
      </c>
      <c r="FQ1079" s="14">
        <f t="shared" si="519"/>
        <v>3</v>
      </c>
      <c r="FR1079" s="101" t="str">
        <f t="shared" si="526"/>
        <v>飞廉专属武器-魂珠-4 3级</v>
      </c>
      <c r="FS1079" s="101">
        <f t="shared" si="527"/>
        <v>4</v>
      </c>
      <c r="FT1079" s="101">
        <f t="shared" si="528"/>
        <v>3</v>
      </c>
      <c r="FU1079" s="101" t="str">
        <f t="shared" si="520"/>
        <v>金币</v>
      </c>
      <c r="FV1079" s="139">
        <f>IF($FT1079&gt;0,IF(INDEX($EI$6:$EI$77,$FO1079)&gt;=FV$3,ROUND(INDEX(EK$6:EK$77,$FO1079)*INDEX(卡牌消耗!$B$8:$F$8,FQ1079)/5,0)*5,""),"")</f>
        <v>610</v>
      </c>
      <c r="FW1079" s="101" t="str">
        <f t="shared" si="521"/>
        <v>专属强化石2</v>
      </c>
      <c r="FX1079" s="101">
        <f t="shared" si="522"/>
        <v>3</v>
      </c>
      <c r="FY1079" s="101" t="str">
        <f t="shared" si="523"/>
        <v>专属强化石3</v>
      </c>
      <c r="FZ1079" s="101">
        <f t="shared" si="524"/>
        <v>1</v>
      </c>
      <c r="GA1079" s="101">
        <f t="shared" si="529"/>
        <v>7.0000000000000007E-2</v>
      </c>
      <c r="GB1079" s="101">
        <f t="shared" si="530"/>
        <v>1</v>
      </c>
      <c r="GC1079" s="101">
        <f t="shared" si="531"/>
        <v>22</v>
      </c>
      <c r="GD1079" s="101">
        <f t="shared" si="532"/>
        <v>0</v>
      </c>
      <c r="GE1079" s="101">
        <f t="shared" si="533"/>
        <v>1</v>
      </c>
      <c r="GF1079" s="101">
        <f t="shared" si="534"/>
        <v>5</v>
      </c>
      <c r="GG1079" s="101">
        <f t="shared" si="535"/>
        <v>3.3700000000000001E-2</v>
      </c>
      <c r="GH1079" s="101">
        <f t="shared" si="536"/>
        <v>1</v>
      </c>
      <c r="GI1079" s="101">
        <f t="shared" si="537"/>
        <v>10</v>
      </c>
      <c r="GJ1079" s="101">
        <f t="shared" si="538"/>
        <v>0.13489999999999999</v>
      </c>
      <c r="GK1079" s="101">
        <f t="shared" si="539"/>
        <v>1</v>
      </c>
      <c r="GL1079" s="101">
        <f t="shared" si="540"/>
        <v>22</v>
      </c>
    </row>
    <row r="1080" spans="170:194" ht="16.5" x14ac:dyDescent="0.2">
      <c r="FN1080" s="101">
        <v>1075</v>
      </c>
      <c r="FO1080" s="101">
        <f t="shared" si="525"/>
        <v>31</v>
      </c>
      <c r="FP1080" s="101">
        <f t="shared" si="518"/>
        <v>14</v>
      </c>
      <c r="FQ1080" s="14">
        <f t="shared" si="519"/>
        <v>3</v>
      </c>
      <c r="FR1080" s="101" t="str">
        <f t="shared" si="526"/>
        <v>飞廉专属武器-魂珠-4 4级</v>
      </c>
      <c r="FS1080" s="101">
        <f t="shared" si="527"/>
        <v>4</v>
      </c>
      <c r="FT1080" s="101">
        <f t="shared" si="528"/>
        <v>4</v>
      </c>
      <c r="FU1080" s="101" t="str">
        <f t="shared" si="520"/>
        <v>金币</v>
      </c>
      <c r="FV1080" s="139">
        <f>IF($FT1080&gt;0,IF(INDEX($EI$6:$EI$77,$FO1080)&gt;=FV$3,ROUND(INDEX(EK$6:EK$77,$FO1080)*INDEX(卡牌消耗!$B$8:$F$8,FQ1080)/5,0)*5,""),"")</f>
        <v>1165</v>
      </c>
      <c r="FW1080" s="101" t="str">
        <f t="shared" si="521"/>
        <v>专属强化石2</v>
      </c>
      <c r="FX1080" s="101">
        <f t="shared" si="522"/>
        <v>5</v>
      </c>
      <c r="FY1080" s="101" t="str">
        <f t="shared" si="523"/>
        <v>专属强化石3</v>
      </c>
      <c r="FZ1080" s="101">
        <f t="shared" si="524"/>
        <v>2</v>
      </c>
      <c r="GA1080" s="101">
        <f t="shared" si="529"/>
        <v>0.08</v>
      </c>
      <c r="GB1080" s="101">
        <f t="shared" si="530"/>
        <v>1</v>
      </c>
      <c r="GC1080" s="101">
        <f t="shared" si="531"/>
        <v>19</v>
      </c>
      <c r="GD1080" s="101">
        <f t="shared" si="532"/>
        <v>0</v>
      </c>
      <c r="GE1080" s="101">
        <f t="shared" si="533"/>
        <v>1</v>
      </c>
      <c r="GF1080" s="101">
        <f t="shared" si="534"/>
        <v>4</v>
      </c>
      <c r="GG1080" s="101">
        <f t="shared" si="535"/>
        <v>4.0500000000000001E-2</v>
      </c>
      <c r="GH1080" s="101">
        <f t="shared" si="536"/>
        <v>1</v>
      </c>
      <c r="GI1080" s="101">
        <f t="shared" si="537"/>
        <v>9</v>
      </c>
      <c r="GJ1080" s="101">
        <f t="shared" si="538"/>
        <v>0.16189999999999999</v>
      </c>
      <c r="GK1080" s="101">
        <f t="shared" si="539"/>
        <v>1</v>
      </c>
      <c r="GL1080" s="101">
        <f t="shared" si="540"/>
        <v>19</v>
      </c>
    </row>
    <row r="1081" spans="170:194" ht="16.5" x14ac:dyDescent="0.2">
      <c r="FN1081" s="101">
        <v>1076</v>
      </c>
      <c r="FO1081" s="101">
        <f t="shared" si="525"/>
        <v>32</v>
      </c>
      <c r="FP1081" s="101">
        <f t="shared" si="518"/>
        <v>14</v>
      </c>
      <c r="FQ1081" s="14">
        <f t="shared" si="519"/>
        <v>3</v>
      </c>
      <c r="FR1081" s="101" t="str">
        <f t="shared" si="526"/>
        <v>飞廉专属武器-魂珠-4 5级</v>
      </c>
      <c r="FS1081" s="101">
        <f t="shared" si="527"/>
        <v>4</v>
      </c>
      <c r="FT1081" s="101">
        <f t="shared" si="528"/>
        <v>5</v>
      </c>
      <c r="FU1081" s="101" t="str">
        <f t="shared" si="520"/>
        <v>金币</v>
      </c>
      <c r="FV1081" s="139">
        <f>IF($FT1081&gt;0,IF(INDEX($EI$6:$EI$77,$FO1081)&gt;=FV$3,ROUND(INDEX(EK$6:EK$77,$FO1081)*INDEX(卡牌消耗!$B$8:$F$8,FQ1081)/5,0)*5,""),"")</f>
        <v>1185</v>
      </c>
      <c r="FW1081" s="101" t="str">
        <f t="shared" si="521"/>
        <v>专属强化石2</v>
      </c>
      <c r="FX1081" s="101">
        <f t="shared" si="522"/>
        <v>5</v>
      </c>
      <c r="FY1081" s="101" t="str">
        <f t="shared" si="523"/>
        <v>专属强化石3</v>
      </c>
      <c r="FZ1081" s="101">
        <f t="shared" si="524"/>
        <v>2</v>
      </c>
      <c r="GA1081" s="101">
        <f t="shared" si="529"/>
        <v>0.05</v>
      </c>
      <c r="GB1081" s="101">
        <f t="shared" si="530"/>
        <v>1</v>
      </c>
      <c r="GC1081" s="101">
        <f t="shared" si="531"/>
        <v>30</v>
      </c>
      <c r="GD1081" s="101">
        <f t="shared" si="532"/>
        <v>0</v>
      </c>
      <c r="GE1081" s="101">
        <f t="shared" si="533"/>
        <v>1</v>
      </c>
      <c r="GF1081" s="101">
        <f t="shared" si="534"/>
        <v>7</v>
      </c>
      <c r="GG1081" s="101">
        <f t="shared" si="535"/>
        <v>2.53E-2</v>
      </c>
      <c r="GH1081" s="101">
        <f t="shared" si="536"/>
        <v>1</v>
      </c>
      <c r="GI1081" s="101">
        <f t="shared" si="537"/>
        <v>14</v>
      </c>
      <c r="GJ1081" s="101">
        <f t="shared" si="538"/>
        <v>0.1012</v>
      </c>
      <c r="GK1081" s="101">
        <f t="shared" si="539"/>
        <v>1</v>
      </c>
      <c r="GL1081" s="101">
        <f t="shared" si="540"/>
        <v>30</v>
      </c>
    </row>
    <row r="1082" spans="170:194" ht="16.5" x14ac:dyDescent="0.2">
      <c r="FN1082" s="101">
        <v>1077</v>
      </c>
      <c r="FO1082" s="101">
        <f t="shared" si="525"/>
        <v>33</v>
      </c>
      <c r="FP1082" s="101">
        <f t="shared" si="518"/>
        <v>14</v>
      </c>
      <c r="FQ1082" s="14">
        <f t="shared" si="519"/>
        <v>3</v>
      </c>
      <c r="FR1082" s="101" t="str">
        <f t="shared" si="526"/>
        <v>飞廉专属武器-魂珠-4 6级</v>
      </c>
      <c r="FS1082" s="101">
        <f t="shared" si="527"/>
        <v>4</v>
      </c>
      <c r="FT1082" s="101">
        <f t="shared" si="528"/>
        <v>6</v>
      </c>
      <c r="FU1082" s="101" t="str">
        <f t="shared" si="520"/>
        <v>金币</v>
      </c>
      <c r="FV1082" s="139">
        <f>IF($FT1082&gt;0,IF(INDEX($EI$6:$EI$77,$FO1082)&gt;=FV$3,ROUND(INDEX(EK$6:EK$77,$FO1082)*INDEX(卡牌消耗!$B$8:$F$8,FQ1082)/5,0)*5,""),"")</f>
        <v>1180</v>
      </c>
      <c r="FW1082" s="101" t="str">
        <f t="shared" si="521"/>
        <v>专属强化石2</v>
      </c>
      <c r="FX1082" s="101">
        <f t="shared" si="522"/>
        <v>5</v>
      </c>
      <c r="FY1082" s="101" t="str">
        <f t="shared" si="523"/>
        <v>专属强化石3</v>
      </c>
      <c r="FZ1082" s="101">
        <f t="shared" si="524"/>
        <v>2</v>
      </c>
      <c r="GA1082" s="101">
        <f t="shared" si="529"/>
        <v>0.03</v>
      </c>
      <c r="GB1082" s="101">
        <f t="shared" si="530"/>
        <v>1</v>
      </c>
      <c r="GC1082" s="101">
        <f t="shared" si="531"/>
        <v>48</v>
      </c>
      <c r="GD1082" s="101">
        <f t="shared" si="532"/>
        <v>0</v>
      </c>
      <c r="GE1082" s="101">
        <f t="shared" si="533"/>
        <v>1</v>
      </c>
      <c r="GF1082" s="101">
        <f t="shared" si="534"/>
        <v>11</v>
      </c>
      <c r="GG1082" s="101">
        <f t="shared" si="535"/>
        <v>1.5599999999999999E-2</v>
      </c>
      <c r="GH1082" s="101">
        <f t="shared" si="536"/>
        <v>1</v>
      </c>
      <c r="GI1082" s="101">
        <f t="shared" si="537"/>
        <v>22</v>
      </c>
      <c r="GJ1082" s="101">
        <f t="shared" si="538"/>
        <v>6.2300000000000001E-2</v>
      </c>
      <c r="GK1082" s="101">
        <f t="shared" si="539"/>
        <v>1</v>
      </c>
      <c r="GL1082" s="101">
        <f t="shared" si="540"/>
        <v>48</v>
      </c>
    </row>
    <row r="1083" spans="170:194" ht="16.5" x14ac:dyDescent="0.2">
      <c r="FN1083" s="101">
        <v>1078</v>
      </c>
      <c r="FO1083" s="101">
        <f t="shared" si="525"/>
        <v>34</v>
      </c>
      <c r="FP1083" s="101">
        <f t="shared" si="518"/>
        <v>14</v>
      </c>
      <c r="FQ1083" s="14">
        <f t="shared" si="519"/>
        <v>3</v>
      </c>
      <c r="FR1083" s="101" t="str">
        <f t="shared" si="526"/>
        <v>飞廉专属武器-魂珠-4 7级</v>
      </c>
      <c r="FS1083" s="101">
        <f t="shared" si="527"/>
        <v>4</v>
      </c>
      <c r="FT1083" s="101">
        <f t="shared" si="528"/>
        <v>7</v>
      </c>
      <c r="FU1083" s="101" t="str">
        <f t="shared" si="520"/>
        <v>金币</v>
      </c>
      <c r="FV1083" s="139">
        <f>IF($FT1083&gt;0,IF(INDEX($EI$6:$EI$77,$FO1083)&gt;=FV$3,ROUND(INDEX(EK$6:EK$77,$FO1083)*INDEX(卡牌消耗!$B$8:$F$8,FQ1083)/5,0)*5,""),"")</f>
        <v>1770</v>
      </c>
      <c r="FW1083" s="101" t="str">
        <f t="shared" si="521"/>
        <v>专属强化石2</v>
      </c>
      <c r="FX1083" s="101">
        <f t="shared" si="522"/>
        <v>8</v>
      </c>
      <c r="FY1083" s="101" t="str">
        <f t="shared" si="523"/>
        <v>专属强化石3</v>
      </c>
      <c r="FZ1083" s="101">
        <f t="shared" si="524"/>
        <v>3</v>
      </c>
      <c r="GA1083" s="101">
        <f t="shared" si="529"/>
        <v>0.03</v>
      </c>
      <c r="GB1083" s="101">
        <f t="shared" si="530"/>
        <v>1</v>
      </c>
      <c r="GC1083" s="101">
        <f t="shared" si="531"/>
        <v>52</v>
      </c>
      <c r="GD1083" s="101">
        <f t="shared" si="532"/>
        <v>0</v>
      </c>
      <c r="GE1083" s="101">
        <f t="shared" si="533"/>
        <v>1</v>
      </c>
      <c r="GF1083" s="101">
        <f t="shared" si="534"/>
        <v>12</v>
      </c>
      <c r="GG1083" s="101">
        <f t="shared" si="535"/>
        <v>1.4500000000000001E-2</v>
      </c>
      <c r="GH1083" s="101">
        <f t="shared" si="536"/>
        <v>1</v>
      </c>
      <c r="GI1083" s="101">
        <f t="shared" si="537"/>
        <v>24</v>
      </c>
      <c r="GJ1083" s="101">
        <f t="shared" si="538"/>
        <v>5.7799999999999997E-2</v>
      </c>
      <c r="GK1083" s="101">
        <f t="shared" si="539"/>
        <v>1</v>
      </c>
      <c r="GL1083" s="101">
        <f t="shared" si="540"/>
        <v>52</v>
      </c>
    </row>
    <row r="1084" spans="170:194" ht="16.5" x14ac:dyDescent="0.2">
      <c r="FN1084" s="101">
        <v>1079</v>
      </c>
      <c r="FO1084" s="101">
        <f t="shared" si="525"/>
        <v>35</v>
      </c>
      <c r="FP1084" s="101">
        <f t="shared" si="518"/>
        <v>14</v>
      </c>
      <c r="FQ1084" s="14">
        <f t="shared" si="519"/>
        <v>3</v>
      </c>
      <c r="FR1084" s="101" t="str">
        <f t="shared" si="526"/>
        <v>飞廉专属武器-魂珠-4 8级</v>
      </c>
      <c r="FS1084" s="101">
        <f t="shared" si="527"/>
        <v>4</v>
      </c>
      <c r="FT1084" s="101">
        <f t="shared" si="528"/>
        <v>8</v>
      </c>
      <c r="FU1084" s="101" t="str">
        <f t="shared" si="520"/>
        <v>金币</v>
      </c>
      <c r="FV1084" s="139">
        <f>IF($FT1084&gt;0,IF(INDEX($EI$6:$EI$77,$FO1084)&gt;=FV$3,ROUND(INDEX(EK$6:EK$77,$FO1084)*INDEX(卡牌消耗!$B$8:$F$8,FQ1084)/5,0)*5,""),"")</f>
        <v>2360</v>
      </c>
      <c r="FW1084" s="101" t="str">
        <f t="shared" si="521"/>
        <v>专属强化石2</v>
      </c>
      <c r="FX1084" s="101">
        <f t="shared" si="522"/>
        <v>11</v>
      </c>
      <c r="FY1084" s="101" t="str">
        <f t="shared" si="523"/>
        <v>专属强化石3</v>
      </c>
      <c r="FZ1084" s="101">
        <f t="shared" si="524"/>
        <v>4</v>
      </c>
      <c r="GA1084" s="101">
        <f t="shared" si="529"/>
        <v>0.02</v>
      </c>
      <c r="GB1084" s="101">
        <f t="shared" si="530"/>
        <v>1</v>
      </c>
      <c r="GC1084" s="101">
        <f t="shared" si="531"/>
        <v>63</v>
      </c>
      <c r="GD1084" s="101">
        <f t="shared" si="532"/>
        <v>0</v>
      </c>
      <c r="GE1084" s="101">
        <f t="shared" si="533"/>
        <v>1</v>
      </c>
      <c r="GF1084" s="101">
        <f t="shared" si="534"/>
        <v>15</v>
      </c>
      <c r="GG1084" s="101">
        <f t="shared" si="535"/>
        <v>1.1900000000000001E-2</v>
      </c>
      <c r="GH1084" s="101">
        <f t="shared" si="536"/>
        <v>1</v>
      </c>
      <c r="GI1084" s="101">
        <f t="shared" si="537"/>
        <v>29</v>
      </c>
      <c r="GJ1084" s="101">
        <f t="shared" si="538"/>
        <v>4.7600000000000003E-2</v>
      </c>
      <c r="GK1084" s="101">
        <f t="shared" si="539"/>
        <v>1</v>
      </c>
      <c r="GL1084" s="101">
        <f t="shared" si="540"/>
        <v>63</v>
      </c>
    </row>
    <row r="1085" spans="170:194" ht="16.5" x14ac:dyDescent="0.2">
      <c r="FN1085" s="101">
        <v>1080</v>
      </c>
      <c r="FO1085" s="101">
        <f t="shared" si="525"/>
        <v>36</v>
      </c>
      <c r="FP1085" s="101">
        <f t="shared" si="518"/>
        <v>14</v>
      </c>
      <c r="FQ1085" s="14">
        <f t="shared" si="519"/>
        <v>3</v>
      </c>
      <c r="FR1085" s="101" t="str">
        <f t="shared" si="526"/>
        <v>飞廉专属武器-魂珠-4 9级</v>
      </c>
      <c r="FS1085" s="101">
        <f t="shared" si="527"/>
        <v>4</v>
      </c>
      <c r="FT1085" s="101">
        <f t="shared" si="528"/>
        <v>9</v>
      </c>
      <c r="FU1085" s="101" t="str">
        <f t="shared" si="520"/>
        <v>金币</v>
      </c>
      <c r="FV1085" s="139">
        <f>IF($FT1085&gt;0,IF(INDEX($EI$6:$EI$77,$FO1085)&gt;=FV$3,ROUND(INDEX(EK$6:EK$77,$FO1085)*INDEX(卡牌消耗!$B$8:$F$8,FQ1085)/5,0)*5,""),"")</f>
        <v>3540</v>
      </c>
      <c r="FW1085" s="101" t="str">
        <f t="shared" si="521"/>
        <v>专属强化石2</v>
      </c>
      <c r="FX1085" s="101">
        <f t="shared" si="522"/>
        <v>16</v>
      </c>
      <c r="FY1085" s="101" t="str">
        <f t="shared" si="523"/>
        <v>专属强化石3</v>
      </c>
      <c r="FZ1085" s="101">
        <f t="shared" si="524"/>
        <v>6</v>
      </c>
      <c r="GA1085" s="101">
        <f t="shared" si="529"/>
        <v>0.02</v>
      </c>
      <c r="GB1085" s="101">
        <f t="shared" si="530"/>
        <v>1</v>
      </c>
      <c r="GC1085" s="101">
        <f t="shared" si="531"/>
        <v>68</v>
      </c>
      <c r="GD1085" s="101">
        <f t="shared" si="532"/>
        <v>0</v>
      </c>
      <c r="GE1085" s="101">
        <f t="shared" si="533"/>
        <v>1</v>
      </c>
      <c r="GF1085" s="101">
        <f t="shared" si="534"/>
        <v>16</v>
      </c>
      <c r="GG1085" s="101">
        <f t="shared" si="535"/>
        <v>1.0999999999999999E-2</v>
      </c>
      <c r="GH1085" s="101">
        <f t="shared" si="536"/>
        <v>1</v>
      </c>
      <c r="GI1085" s="101">
        <f t="shared" si="537"/>
        <v>32</v>
      </c>
      <c r="GJ1085" s="101">
        <f t="shared" si="538"/>
        <v>4.4200000000000003E-2</v>
      </c>
      <c r="GK1085" s="101">
        <f t="shared" si="539"/>
        <v>1</v>
      </c>
      <c r="GL1085" s="101">
        <f t="shared" si="540"/>
        <v>68</v>
      </c>
    </row>
    <row r="1086" spans="170:194" ht="16.5" x14ac:dyDescent="0.2">
      <c r="FN1086" s="101">
        <v>1081</v>
      </c>
      <c r="FO1086" s="101">
        <f t="shared" si="525"/>
        <v>0</v>
      </c>
      <c r="FP1086" s="101">
        <f t="shared" si="518"/>
        <v>14</v>
      </c>
      <c r="FQ1086" s="14">
        <f t="shared" si="519"/>
        <v>3</v>
      </c>
      <c r="FR1086" s="101" t="str">
        <f t="shared" si="526"/>
        <v>飞廉专属武器-魂珠-5 0级</v>
      </c>
      <c r="FS1086" s="101">
        <f t="shared" si="527"/>
        <v>5</v>
      </c>
      <c r="FT1086" s="101">
        <f t="shared" si="528"/>
        <v>0</v>
      </c>
      <c r="FU1086" s="101" t="str">
        <f t="shared" si="520"/>
        <v/>
      </c>
      <c r="FV1086" s="139" t="str">
        <f>IF($FT1086&gt;0,IF(INDEX($EI$6:$EI$77,$FO1086)&gt;=FV$3,ROUND(INDEX(EK$6:EK$77,$FO1086)*INDEX(卡牌消耗!$B$8:$F$8,FQ1086)/5,0)*5,""),"")</f>
        <v/>
      </c>
      <c r="FW1086" s="101" t="str">
        <f t="shared" si="521"/>
        <v/>
      </c>
      <c r="FX1086" s="101" t="str">
        <f t="shared" si="522"/>
        <v/>
      </c>
      <c r="FY1086" s="101" t="str">
        <f t="shared" si="523"/>
        <v/>
      </c>
      <c r="FZ1086" s="101" t="str">
        <f t="shared" si="524"/>
        <v/>
      </c>
      <c r="GA1086" s="101" t="str">
        <f t="shared" si="529"/>
        <v/>
      </c>
      <c r="GB1086" s="101" t="str">
        <f t="shared" si="530"/>
        <v/>
      </c>
      <c r="GC1086" s="101" t="str">
        <f t="shared" si="531"/>
        <v/>
      </c>
      <c r="GD1086" s="101" t="str">
        <f t="shared" si="532"/>
        <v/>
      </c>
      <c r="GE1086" s="101" t="str">
        <f t="shared" si="533"/>
        <v/>
      </c>
      <c r="GF1086" s="101" t="str">
        <f t="shared" si="534"/>
        <v/>
      </c>
      <c r="GG1086" s="101" t="str">
        <f t="shared" si="535"/>
        <v/>
      </c>
      <c r="GH1086" s="101" t="str">
        <f t="shared" si="536"/>
        <v/>
      </c>
      <c r="GI1086" s="101" t="str">
        <f t="shared" si="537"/>
        <v/>
      </c>
      <c r="GJ1086" s="101" t="str">
        <f t="shared" si="538"/>
        <v/>
      </c>
      <c r="GK1086" s="101" t="str">
        <f t="shared" si="539"/>
        <v/>
      </c>
      <c r="GL1086" s="101" t="str">
        <f t="shared" si="540"/>
        <v/>
      </c>
    </row>
    <row r="1087" spans="170:194" ht="16.5" x14ac:dyDescent="0.2">
      <c r="FN1087" s="101">
        <v>1082</v>
      </c>
      <c r="FO1087" s="101">
        <f t="shared" si="525"/>
        <v>37</v>
      </c>
      <c r="FP1087" s="101">
        <f t="shared" si="518"/>
        <v>14</v>
      </c>
      <c r="FQ1087" s="14">
        <f t="shared" si="519"/>
        <v>3</v>
      </c>
      <c r="FR1087" s="101" t="str">
        <f t="shared" si="526"/>
        <v>飞廉专属武器-魂珠-5 1级</v>
      </c>
      <c r="FS1087" s="101">
        <f t="shared" si="527"/>
        <v>5</v>
      </c>
      <c r="FT1087" s="101">
        <f t="shared" si="528"/>
        <v>1</v>
      </c>
      <c r="FU1087" s="101" t="str">
        <f t="shared" si="520"/>
        <v>金币</v>
      </c>
      <c r="FV1087" s="139">
        <f>IF($FT1087&gt;0,IF(INDEX($EI$6:$EI$77,$FO1087)&gt;=FV$3,ROUND(INDEX(EK$6:EK$77,$FO1087)*INDEX(卡牌消耗!$B$8:$F$8,FQ1087)/5,0)*5,""),"")</f>
        <v>1495</v>
      </c>
      <c r="FW1087" s="101" t="str">
        <f t="shared" si="521"/>
        <v>专属强化石2</v>
      </c>
      <c r="FX1087" s="101">
        <f t="shared" si="522"/>
        <v>3</v>
      </c>
      <c r="FY1087" s="101" t="str">
        <f t="shared" si="523"/>
        <v>专属强化石3</v>
      </c>
      <c r="FZ1087" s="101">
        <f t="shared" si="524"/>
        <v>2</v>
      </c>
      <c r="GA1087" s="101">
        <f t="shared" si="529"/>
        <v>0.2</v>
      </c>
      <c r="GB1087" s="101">
        <f t="shared" si="530"/>
        <v>1</v>
      </c>
      <c r="GC1087" s="101">
        <f t="shared" si="531"/>
        <v>7</v>
      </c>
      <c r="GD1087" s="101">
        <f t="shared" si="532"/>
        <v>0</v>
      </c>
      <c r="GE1087" s="101">
        <f t="shared" si="533"/>
        <v>1</v>
      </c>
      <c r="GF1087" s="101">
        <f t="shared" si="534"/>
        <v>2</v>
      </c>
      <c r="GG1087" s="101">
        <f t="shared" si="535"/>
        <v>0.1012</v>
      </c>
      <c r="GH1087" s="101">
        <f t="shared" si="536"/>
        <v>1</v>
      </c>
      <c r="GI1087" s="101">
        <f t="shared" si="537"/>
        <v>3</v>
      </c>
      <c r="GJ1087" s="101">
        <f t="shared" si="538"/>
        <v>0.40479999999999999</v>
      </c>
      <c r="GK1087" s="101">
        <f t="shared" si="539"/>
        <v>1</v>
      </c>
      <c r="GL1087" s="101">
        <f t="shared" si="540"/>
        <v>7</v>
      </c>
    </row>
    <row r="1088" spans="170:194" ht="16.5" x14ac:dyDescent="0.2">
      <c r="FN1088" s="101">
        <v>1083</v>
      </c>
      <c r="FO1088" s="101">
        <f t="shared" si="525"/>
        <v>38</v>
      </c>
      <c r="FP1088" s="101">
        <f t="shared" si="518"/>
        <v>14</v>
      </c>
      <c r="FQ1088" s="14">
        <f t="shared" si="519"/>
        <v>3</v>
      </c>
      <c r="FR1088" s="101" t="str">
        <f t="shared" si="526"/>
        <v>飞廉专属武器-魂珠-5 2级</v>
      </c>
      <c r="FS1088" s="101">
        <f t="shared" si="527"/>
        <v>5</v>
      </c>
      <c r="FT1088" s="101">
        <f t="shared" si="528"/>
        <v>2</v>
      </c>
      <c r="FU1088" s="101" t="str">
        <f t="shared" si="520"/>
        <v>金币</v>
      </c>
      <c r="FV1088" s="139">
        <f>IF($FT1088&gt;0,IF(INDEX($EI$6:$EI$77,$FO1088)&gt;=FV$3,ROUND(INDEX(EK$6:EK$77,$FO1088)*INDEX(卡牌消耗!$B$8:$F$8,FQ1088)/5,0)*5,""),"")</f>
        <v>1120</v>
      </c>
      <c r="FW1088" s="101" t="str">
        <f t="shared" si="521"/>
        <v>专属强化石2</v>
      </c>
      <c r="FX1088" s="101">
        <f t="shared" si="522"/>
        <v>3</v>
      </c>
      <c r="FY1088" s="101" t="str">
        <f t="shared" si="523"/>
        <v>专属强化石3</v>
      </c>
      <c r="FZ1088" s="101">
        <f t="shared" si="524"/>
        <v>2</v>
      </c>
      <c r="GA1088" s="101">
        <f t="shared" si="529"/>
        <v>0.1</v>
      </c>
      <c r="GB1088" s="101">
        <f t="shared" si="530"/>
        <v>1</v>
      </c>
      <c r="GC1088" s="101">
        <f t="shared" si="531"/>
        <v>15</v>
      </c>
      <c r="GD1088" s="101">
        <f t="shared" si="532"/>
        <v>0</v>
      </c>
      <c r="GE1088" s="101">
        <f t="shared" si="533"/>
        <v>1</v>
      </c>
      <c r="GF1088" s="101">
        <f t="shared" si="534"/>
        <v>3</v>
      </c>
      <c r="GG1088" s="101">
        <f t="shared" si="535"/>
        <v>5.0599999999999999E-2</v>
      </c>
      <c r="GH1088" s="101">
        <f t="shared" si="536"/>
        <v>1</v>
      </c>
      <c r="GI1088" s="101">
        <f t="shared" si="537"/>
        <v>7</v>
      </c>
      <c r="GJ1088" s="101">
        <f t="shared" si="538"/>
        <v>0.2024</v>
      </c>
      <c r="GK1088" s="101">
        <f t="shared" si="539"/>
        <v>1</v>
      </c>
      <c r="GL1088" s="101">
        <f t="shared" si="540"/>
        <v>15</v>
      </c>
    </row>
    <row r="1089" spans="170:194" ht="16.5" x14ac:dyDescent="0.2">
      <c r="FN1089" s="101">
        <v>1084</v>
      </c>
      <c r="FO1089" s="101">
        <f t="shared" si="525"/>
        <v>39</v>
      </c>
      <c r="FP1089" s="101">
        <f t="shared" si="518"/>
        <v>14</v>
      </c>
      <c r="FQ1089" s="14">
        <f t="shared" si="519"/>
        <v>3</v>
      </c>
      <c r="FR1089" s="101" t="str">
        <f t="shared" si="526"/>
        <v>飞廉专属武器-魂珠-5 3级</v>
      </c>
      <c r="FS1089" s="101">
        <f t="shared" si="527"/>
        <v>5</v>
      </c>
      <c r="FT1089" s="101">
        <f t="shared" si="528"/>
        <v>3</v>
      </c>
      <c r="FU1089" s="101" t="str">
        <f t="shared" si="520"/>
        <v>金币</v>
      </c>
      <c r="FV1089" s="139">
        <f>IF($FT1089&gt;0,IF(INDEX($EI$6:$EI$77,$FO1089)&gt;=FV$3,ROUND(INDEX(EK$6:EK$77,$FO1089)*INDEX(卡牌消耗!$B$8:$F$8,FQ1089)/5,0)*5,""),"")</f>
        <v>1245</v>
      </c>
      <c r="FW1089" s="101" t="str">
        <f t="shared" si="521"/>
        <v>专属强化石2</v>
      </c>
      <c r="FX1089" s="101">
        <f t="shared" si="522"/>
        <v>3</v>
      </c>
      <c r="FY1089" s="101" t="str">
        <f t="shared" si="523"/>
        <v>专属强化石3</v>
      </c>
      <c r="FZ1089" s="101">
        <f t="shared" si="524"/>
        <v>2</v>
      </c>
      <c r="GA1089" s="101">
        <f t="shared" si="529"/>
        <v>7.0000000000000007E-2</v>
      </c>
      <c r="GB1089" s="101">
        <f t="shared" si="530"/>
        <v>1</v>
      </c>
      <c r="GC1089" s="101">
        <f t="shared" si="531"/>
        <v>22</v>
      </c>
      <c r="GD1089" s="101">
        <f t="shared" si="532"/>
        <v>0</v>
      </c>
      <c r="GE1089" s="101">
        <f t="shared" si="533"/>
        <v>1</v>
      </c>
      <c r="GF1089" s="101">
        <f t="shared" si="534"/>
        <v>5</v>
      </c>
      <c r="GG1089" s="101">
        <f t="shared" si="535"/>
        <v>3.3700000000000001E-2</v>
      </c>
      <c r="GH1089" s="101">
        <f t="shared" si="536"/>
        <v>1</v>
      </c>
      <c r="GI1089" s="101">
        <f t="shared" si="537"/>
        <v>10</v>
      </c>
      <c r="GJ1089" s="101">
        <f t="shared" si="538"/>
        <v>0.13489999999999999</v>
      </c>
      <c r="GK1089" s="101">
        <f t="shared" si="539"/>
        <v>1</v>
      </c>
      <c r="GL1089" s="101">
        <f t="shared" si="540"/>
        <v>22</v>
      </c>
    </row>
    <row r="1090" spans="170:194" ht="16.5" x14ac:dyDescent="0.2">
      <c r="FN1090" s="101">
        <v>1085</v>
      </c>
      <c r="FO1090" s="101">
        <f t="shared" si="525"/>
        <v>40</v>
      </c>
      <c r="FP1090" s="101">
        <f t="shared" si="518"/>
        <v>14</v>
      </c>
      <c r="FQ1090" s="14">
        <f t="shared" si="519"/>
        <v>3</v>
      </c>
      <c r="FR1090" s="101" t="str">
        <f t="shared" si="526"/>
        <v>飞廉专属武器-魂珠-5 4级</v>
      </c>
      <c r="FS1090" s="101">
        <f t="shared" si="527"/>
        <v>5</v>
      </c>
      <c r="FT1090" s="101">
        <f t="shared" si="528"/>
        <v>4</v>
      </c>
      <c r="FU1090" s="101" t="str">
        <f t="shared" si="520"/>
        <v>金币</v>
      </c>
      <c r="FV1090" s="139">
        <f>IF($FT1090&gt;0,IF(INDEX($EI$6:$EI$77,$FO1090)&gt;=FV$3,ROUND(INDEX(EK$6:EK$77,$FO1090)*INDEX(卡牌消耗!$B$8:$F$8,FQ1090)/5,0)*5,""),"")</f>
        <v>1795</v>
      </c>
      <c r="FW1090" s="101" t="str">
        <f t="shared" si="521"/>
        <v>专属强化石2</v>
      </c>
      <c r="FX1090" s="101">
        <f t="shared" si="522"/>
        <v>5</v>
      </c>
      <c r="FY1090" s="101" t="str">
        <f t="shared" si="523"/>
        <v>专属强化石3</v>
      </c>
      <c r="FZ1090" s="101">
        <f t="shared" si="524"/>
        <v>3</v>
      </c>
      <c r="GA1090" s="101">
        <f t="shared" si="529"/>
        <v>0.06</v>
      </c>
      <c r="GB1090" s="101">
        <f t="shared" si="530"/>
        <v>1</v>
      </c>
      <c r="GC1090" s="101">
        <f t="shared" si="531"/>
        <v>25</v>
      </c>
      <c r="GD1090" s="101">
        <f t="shared" si="532"/>
        <v>0</v>
      </c>
      <c r="GE1090" s="101">
        <f t="shared" si="533"/>
        <v>1</v>
      </c>
      <c r="GF1090" s="101">
        <f t="shared" si="534"/>
        <v>6</v>
      </c>
      <c r="GG1090" s="101">
        <f t="shared" si="535"/>
        <v>3.04E-2</v>
      </c>
      <c r="GH1090" s="101">
        <f t="shared" si="536"/>
        <v>1</v>
      </c>
      <c r="GI1090" s="101">
        <f t="shared" si="537"/>
        <v>12</v>
      </c>
      <c r="GJ1090" s="101">
        <f t="shared" si="538"/>
        <v>0.12139999999999999</v>
      </c>
      <c r="GK1090" s="101">
        <f t="shared" si="539"/>
        <v>1</v>
      </c>
      <c r="GL1090" s="101">
        <f t="shared" si="540"/>
        <v>25</v>
      </c>
    </row>
    <row r="1091" spans="170:194" ht="16.5" x14ac:dyDescent="0.2">
      <c r="FN1091" s="101">
        <v>1086</v>
      </c>
      <c r="FO1091" s="101">
        <f t="shared" si="525"/>
        <v>41</v>
      </c>
      <c r="FP1091" s="101">
        <f t="shared" si="518"/>
        <v>14</v>
      </c>
      <c r="FQ1091" s="14">
        <f t="shared" si="519"/>
        <v>3</v>
      </c>
      <c r="FR1091" s="101" t="str">
        <f t="shared" si="526"/>
        <v>飞廉专属武器-魂珠-5 5级</v>
      </c>
      <c r="FS1091" s="101">
        <f t="shared" si="527"/>
        <v>5</v>
      </c>
      <c r="FT1091" s="101">
        <f t="shared" si="528"/>
        <v>5</v>
      </c>
      <c r="FU1091" s="101" t="str">
        <f t="shared" si="520"/>
        <v>金币</v>
      </c>
      <c r="FV1091" s="139">
        <f>IF($FT1091&gt;0,IF(INDEX($EI$6:$EI$77,$FO1091)&gt;=FV$3,ROUND(INDEX(EK$6:EK$77,$FO1091)*INDEX(卡牌消耗!$B$8:$F$8,FQ1091)/5,0)*5,""),"")</f>
        <v>1825</v>
      </c>
      <c r="FW1091" s="101" t="str">
        <f t="shared" si="521"/>
        <v>专属强化石2</v>
      </c>
      <c r="FX1091" s="101">
        <f t="shared" si="522"/>
        <v>5</v>
      </c>
      <c r="FY1091" s="101" t="str">
        <f t="shared" si="523"/>
        <v>专属强化石3</v>
      </c>
      <c r="FZ1091" s="101">
        <f t="shared" si="524"/>
        <v>3</v>
      </c>
      <c r="GA1091" s="101">
        <f t="shared" si="529"/>
        <v>0.04</v>
      </c>
      <c r="GB1091" s="101">
        <f t="shared" si="530"/>
        <v>1</v>
      </c>
      <c r="GC1091" s="101">
        <f t="shared" si="531"/>
        <v>40</v>
      </c>
      <c r="GD1091" s="101">
        <f t="shared" si="532"/>
        <v>0</v>
      </c>
      <c r="GE1091" s="101">
        <f t="shared" si="533"/>
        <v>1</v>
      </c>
      <c r="GF1091" s="101">
        <f t="shared" si="534"/>
        <v>9</v>
      </c>
      <c r="GG1091" s="101">
        <f t="shared" si="535"/>
        <v>1.9E-2</v>
      </c>
      <c r="GH1091" s="101">
        <f t="shared" si="536"/>
        <v>1</v>
      </c>
      <c r="GI1091" s="101">
        <f t="shared" si="537"/>
        <v>18</v>
      </c>
      <c r="GJ1091" s="101">
        <f t="shared" si="538"/>
        <v>7.5899999999999995E-2</v>
      </c>
      <c r="GK1091" s="101">
        <f t="shared" si="539"/>
        <v>1</v>
      </c>
      <c r="GL1091" s="101">
        <f t="shared" si="540"/>
        <v>40</v>
      </c>
    </row>
    <row r="1092" spans="170:194" ht="16.5" x14ac:dyDescent="0.2">
      <c r="FN1092" s="101">
        <v>1087</v>
      </c>
      <c r="FO1092" s="101">
        <f t="shared" si="525"/>
        <v>42</v>
      </c>
      <c r="FP1092" s="101">
        <f t="shared" si="518"/>
        <v>14</v>
      </c>
      <c r="FQ1092" s="14">
        <f t="shared" si="519"/>
        <v>3</v>
      </c>
      <c r="FR1092" s="101" t="str">
        <f t="shared" si="526"/>
        <v>飞廉专属武器-魂珠-5 6级</v>
      </c>
      <c r="FS1092" s="101">
        <f t="shared" si="527"/>
        <v>5</v>
      </c>
      <c r="FT1092" s="101">
        <f t="shared" si="528"/>
        <v>6</v>
      </c>
      <c r="FU1092" s="101" t="str">
        <f t="shared" si="520"/>
        <v>金币</v>
      </c>
      <c r="FV1092" s="139">
        <f>IF($FT1092&gt;0,IF(INDEX($EI$6:$EI$77,$FO1092)&gt;=FV$3,ROUND(INDEX(EK$6:EK$77,$FO1092)*INDEX(卡牌消耗!$B$8:$F$8,FQ1092)/5,0)*5,""),"")</f>
        <v>3020</v>
      </c>
      <c r="FW1092" s="101" t="str">
        <f t="shared" si="521"/>
        <v>专属强化石2</v>
      </c>
      <c r="FX1092" s="101">
        <f t="shared" si="522"/>
        <v>8</v>
      </c>
      <c r="FY1092" s="101" t="str">
        <f t="shared" si="523"/>
        <v>专属强化石3</v>
      </c>
      <c r="FZ1092" s="101">
        <f t="shared" si="524"/>
        <v>5</v>
      </c>
      <c r="GA1092" s="101">
        <f t="shared" si="529"/>
        <v>0.04</v>
      </c>
      <c r="GB1092" s="101">
        <f t="shared" si="530"/>
        <v>1</v>
      </c>
      <c r="GC1092" s="101">
        <f t="shared" si="531"/>
        <v>39</v>
      </c>
      <c r="GD1092" s="101">
        <f t="shared" si="532"/>
        <v>0</v>
      </c>
      <c r="GE1092" s="101">
        <f t="shared" si="533"/>
        <v>1</v>
      </c>
      <c r="GF1092" s="101">
        <f t="shared" si="534"/>
        <v>9</v>
      </c>
      <c r="GG1092" s="101">
        <f t="shared" si="535"/>
        <v>1.95E-2</v>
      </c>
      <c r="GH1092" s="101">
        <f t="shared" si="536"/>
        <v>1</v>
      </c>
      <c r="GI1092" s="101">
        <f t="shared" si="537"/>
        <v>18</v>
      </c>
      <c r="GJ1092" s="101">
        <f t="shared" si="538"/>
        <v>7.7799999999999994E-2</v>
      </c>
      <c r="GK1092" s="101">
        <f t="shared" si="539"/>
        <v>1</v>
      </c>
      <c r="GL1092" s="101">
        <f t="shared" si="540"/>
        <v>39</v>
      </c>
    </row>
    <row r="1093" spans="170:194" ht="16.5" x14ac:dyDescent="0.2">
      <c r="FN1093" s="101">
        <v>1088</v>
      </c>
      <c r="FO1093" s="101">
        <f t="shared" si="525"/>
        <v>43</v>
      </c>
      <c r="FP1093" s="101">
        <f t="shared" si="518"/>
        <v>14</v>
      </c>
      <c r="FQ1093" s="14">
        <f t="shared" si="519"/>
        <v>3</v>
      </c>
      <c r="FR1093" s="101" t="str">
        <f t="shared" si="526"/>
        <v>飞廉专属武器-魂珠-5 7级</v>
      </c>
      <c r="FS1093" s="101">
        <f t="shared" si="527"/>
        <v>5</v>
      </c>
      <c r="FT1093" s="101">
        <f t="shared" si="528"/>
        <v>7</v>
      </c>
      <c r="FU1093" s="101" t="str">
        <f t="shared" si="520"/>
        <v>金币</v>
      </c>
      <c r="FV1093" s="139">
        <f>IF($FT1093&gt;0,IF(INDEX($EI$6:$EI$77,$FO1093)&gt;=FV$3,ROUND(INDEX(EK$6:EK$77,$FO1093)*INDEX(卡牌消耗!$B$8:$F$8,FQ1093)/5,0)*5,""),"")</f>
        <v>3025</v>
      </c>
      <c r="FW1093" s="101" t="str">
        <f t="shared" si="521"/>
        <v>专属强化石2</v>
      </c>
      <c r="FX1093" s="101">
        <f t="shared" si="522"/>
        <v>8</v>
      </c>
      <c r="FY1093" s="101" t="str">
        <f t="shared" si="523"/>
        <v>专属强化石3</v>
      </c>
      <c r="FZ1093" s="101">
        <f t="shared" si="524"/>
        <v>5</v>
      </c>
      <c r="GA1093" s="101">
        <f t="shared" si="529"/>
        <v>0.02</v>
      </c>
      <c r="GB1093" s="101">
        <f t="shared" si="530"/>
        <v>1</v>
      </c>
      <c r="GC1093" s="101">
        <f t="shared" si="531"/>
        <v>62</v>
      </c>
      <c r="GD1093" s="101">
        <f t="shared" si="532"/>
        <v>0</v>
      </c>
      <c r="GE1093" s="101">
        <f t="shared" si="533"/>
        <v>1</v>
      </c>
      <c r="GF1093" s="101">
        <f t="shared" si="534"/>
        <v>15</v>
      </c>
      <c r="GG1093" s="101">
        <f t="shared" si="535"/>
        <v>1.2E-2</v>
      </c>
      <c r="GH1093" s="101">
        <f t="shared" si="536"/>
        <v>1</v>
      </c>
      <c r="GI1093" s="101">
        <f t="shared" si="537"/>
        <v>29</v>
      </c>
      <c r="GJ1093" s="101">
        <f t="shared" si="538"/>
        <v>4.82E-2</v>
      </c>
      <c r="GK1093" s="101">
        <f t="shared" si="539"/>
        <v>1</v>
      </c>
      <c r="GL1093" s="101">
        <f t="shared" si="540"/>
        <v>62</v>
      </c>
    </row>
    <row r="1094" spans="170:194" ht="16.5" x14ac:dyDescent="0.2">
      <c r="FN1094" s="101">
        <v>1089</v>
      </c>
      <c r="FO1094" s="101">
        <f t="shared" si="525"/>
        <v>44</v>
      </c>
      <c r="FP1094" s="101">
        <f t="shared" si="518"/>
        <v>14</v>
      </c>
      <c r="FQ1094" s="14">
        <f t="shared" si="519"/>
        <v>3</v>
      </c>
      <c r="FR1094" s="101" t="str">
        <f t="shared" si="526"/>
        <v>飞廉专属武器-魂珠-5 8级</v>
      </c>
      <c r="FS1094" s="101">
        <f t="shared" si="527"/>
        <v>5</v>
      </c>
      <c r="FT1094" s="101">
        <f t="shared" si="528"/>
        <v>8</v>
      </c>
      <c r="FU1094" s="101" t="str">
        <f t="shared" si="520"/>
        <v>金币</v>
      </c>
      <c r="FV1094" s="139">
        <f>IF($FT1094&gt;0,IF(INDEX($EI$6:$EI$77,$FO1094)&gt;=FV$3,ROUND(INDEX(EK$6:EK$77,$FO1094)*INDEX(卡牌消耗!$B$8:$F$8,FQ1094)/5,0)*5,""),"")</f>
        <v>4235</v>
      </c>
      <c r="FW1094" s="101" t="str">
        <f t="shared" si="521"/>
        <v>专属强化石2</v>
      </c>
      <c r="FX1094" s="101">
        <f t="shared" si="522"/>
        <v>11</v>
      </c>
      <c r="FY1094" s="101" t="str">
        <f t="shared" si="523"/>
        <v>专属强化石3</v>
      </c>
      <c r="FZ1094" s="101">
        <f t="shared" si="524"/>
        <v>7</v>
      </c>
      <c r="GA1094" s="101">
        <f t="shared" si="529"/>
        <v>0.02</v>
      </c>
      <c r="GB1094" s="101">
        <f t="shared" si="530"/>
        <v>1</v>
      </c>
      <c r="GC1094" s="101">
        <f t="shared" si="531"/>
        <v>72</v>
      </c>
      <c r="GD1094" s="101">
        <f t="shared" si="532"/>
        <v>0</v>
      </c>
      <c r="GE1094" s="101">
        <f t="shared" si="533"/>
        <v>1</v>
      </c>
      <c r="GF1094" s="101">
        <f t="shared" si="534"/>
        <v>17</v>
      </c>
      <c r="GG1094" s="101">
        <f t="shared" si="535"/>
        <v>1.04E-2</v>
      </c>
      <c r="GH1094" s="101">
        <f t="shared" si="536"/>
        <v>1</v>
      </c>
      <c r="GI1094" s="101">
        <f t="shared" si="537"/>
        <v>34</v>
      </c>
      <c r="GJ1094" s="101">
        <f t="shared" si="538"/>
        <v>4.1700000000000001E-2</v>
      </c>
      <c r="GK1094" s="101">
        <f t="shared" si="539"/>
        <v>1</v>
      </c>
      <c r="GL1094" s="101">
        <f t="shared" si="540"/>
        <v>72</v>
      </c>
    </row>
    <row r="1095" spans="170:194" ht="16.5" x14ac:dyDescent="0.2">
      <c r="FN1095" s="101">
        <v>1090</v>
      </c>
      <c r="FO1095" s="101">
        <f t="shared" si="525"/>
        <v>45</v>
      </c>
      <c r="FP1095" s="101">
        <f t="shared" ref="FP1095:FP1158" si="541">INT((FN1095-1)/80+1)</f>
        <v>14</v>
      </c>
      <c r="FQ1095" s="14">
        <f t="shared" ref="FQ1095:FQ1158" si="542">INDEX($FJ$6:$FJ$26,FP1095)</f>
        <v>3</v>
      </c>
      <c r="FR1095" s="101" t="str">
        <f t="shared" si="526"/>
        <v>飞廉专属武器-魂珠-5 9级</v>
      </c>
      <c r="FS1095" s="101">
        <f t="shared" si="527"/>
        <v>5</v>
      </c>
      <c r="FT1095" s="101">
        <f t="shared" si="528"/>
        <v>9</v>
      </c>
      <c r="FU1095" s="101" t="str">
        <f t="shared" ref="FU1095:FU1158" si="543">IF($FT1095&gt;0,IF(INDEX($EI$6:$EI$77,$FO1095)&gt;=FU$3,INDEX(EJ$6:EJ$77,$FO1095),""),"")</f>
        <v>金币</v>
      </c>
      <c r="FV1095" s="139">
        <f>IF($FT1095&gt;0,IF(INDEX($EI$6:$EI$77,$FO1095)&gt;=FV$3,ROUND(INDEX(EK$6:EK$77,$FO1095)*INDEX(卡牌消耗!$B$8:$F$8,FQ1095)/5,0)*5,""),"")</f>
        <v>5445</v>
      </c>
      <c r="FW1095" s="101" t="str">
        <f t="shared" ref="FW1095:FW1158" si="544">IF($FT1095&gt;0,IF(INDEX($EI$6:$EI$77,$FO1095)&gt;=FW$3,INDEX(EL$6:EL$77,$FO1095),""),"")</f>
        <v>专属强化石2</v>
      </c>
      <c r="FX1095" s="101">
        <f t="shared" ref="FX1095:FX1158" si="545">IF($FT1095&gt;0,IF(INDEX($EI$6:$EI$77,$FO1095)&gt;=FX$3,INDEX(EM$6:EM$77,$FO1095),""),"")</f>
        <v>14</v>
      </c>
      <c r="FY1095" s="101" t="str">
        <f t="shared" ref="FY1095:FY1158" si="546">IF($FT1095&gt;0,IF(INDEX($EI$6:$EI$77,$FO1095)&gt;=FY$3,INDEX(EN$6:EN$77,$FO1095),""),"")</f>
        <v>专属强化石3</v>
      </c>
      <c r="FZ1095" s="101">
        <f t="shared" ref="FZ1095:FZ1158" si="547">IF($FT1095&gt;0,IF(INDEX($EI$6:$EI$77,$FO1095)&gt;=FZ$3,INDEX(EO$6:EO$77,$FO1095),""),"")</f>
        <v>9</v>
      </c>
      <c r="GA1095" s="101">
        <f t="shared" si="529"/>
        <v>0.02</v>
      </c>
      <c r="GB1095" s="101">
        <f t="shared" si="530"/>
        <v>1</v>
      </c>
      <c r="GC1095" s="101">
        <f t="shared" si="531"/>
        <v>91</v>
      </c>
      <c r="GD1095" s="101">
        <f t="shared" si="532"/>
        <v>0</v>
      </c>
      <c r="GE1095" s="101">
        <f t="shared" si="533"/>
        <v>1</v>
      </c>
      <c r="GF1095" s="101">
        <f t="shared" si="534"/>
        <v>21</v>
      </c>
      <c r="GG1095" s="101">
        <f t="shared" si="535"/>
        <v>8.3000000000000001E-3</v>
      </c>
      <c r="GH1095" s="101">
        <f t="shared" si="536"/>
        <v>1</v>
      </c>
      <c r="GI1095" s="101">
        <f t="shared" si="537"/>
        <v>42</v>
      </c>
      <c r="GJ1095" s="101">
        <f t="shared" si="538"/>
        <v>3.3099999999999997E-2</v>
      </c>
      <c r="GK1095" s="101">
        <f t="shared" si="539"/>
        <v>1</v>
      </c>
      <c r="GL1095" s="101">
        <f t="shared" si="540"/>
        <v>91</v>
      </c>
    </row>
    <row r="1096" spans="170:194" ht="16.5" x14ac:dyDescent="0.2">
      <c r="FN1096" s="101">
        <v>1091</v>
      </c>
      <c r="FO1096" s="101">
        <f t="shared" si="525"/>
        <v>0</v>
      </c>
      <c r="FP1096" s="101">
        <f t="shared" si="541"/>
        <v>14</v>
      </c>
      <c r="FQ1096" s="14">
        <f t="shared" si="542"/>
        <v>3</v>
      </c>
      <c r="FR1096" s="101" t="str">
        <f t="shared" si="526"/>
        <v>飞廉专属武器-魂珠-6 0级</v>
      </c>
      <c r="FS1096" s="101">
        <f t="shared" si="527"/>
        <v>6</v>
      </c>
      <c r="FT1096" s="101">
        <f t="shared" si="528"/>
        <v>0</v>
      </c>
      <c r="FU1096" s="101" t="str">
        <f t="shared" si="543"/>
        <v/>
      </c>
      <c r="FV1096" s="139" t="str">
        <f>IF($FT1096&gt;0,IF(INDEX($EI$6:$EI$77,$FO1096)&gt;=FV$3,ROUND(INDEX(EK$6:EK$77,$FO1096)*INDEX(卡牌消耗!$B$8:$F$8,FQ1096)/5,0)*5,""),"")</f>
        <v/>
      </c>
      <c r="FW1096" s="101" t="str">
        <f t="shared" si="544"/>
        <v/>
      </c>
      <c r="FX1096" s="101" t="str">
        <f t="shared" si="545"/>
        <v/>
      </c>
      <c r="FY1096" s="101" t="str">
        <f t="shared" si="546"/>
        <v/>
      </c>
      <c r="FZ1096" s="101" t="str">
        <f t="shared" si="547"/>
        <v/>
      </c>
      <c r="GA1096" s="101" t="str">
        <f t="shared" si="529"/>
        <v/>
      </c>
      <c r="GB1096" s="101" t="str">
        <f t="shared" si="530"/>
        <v/>
      </c>
      <c r="GC1096" s="101" t="str">
        <f t="shared" si="531"/>
        <v/>
      </c>
      <c r="GD1096" s="101" t="str">
        <f t="shared" si="532"/>
        <v/>
      </c>
      <c r="GE1096" s="101" t="str">
        <f t="shared" si="533"/>
        <v/>
      </c>
      <c r="GF1096" s="101" t="str">
        <f t="shared" si="534"/>
        <v/>
      </c>
      <c r="GG1096" s="101" t="str">
        <f t="shared" si="535"/>
        <v/>
      </c>
      <c r="GH1096" s="101" t="str">
        <f t="shared" si="536"/>
        <v/>
      </c>
      <c r="GI1096" s="101" t="str">
        <f t="shared" si="537"/>
        <v/>
      </c>
      <c r="GJ1096" s="101" t="str">
        <f t="shared" si="538"/>
        <v/>
      </c>
      <c r="GK1096" s="101" t="str">
        <f t="shared" si="539"/>
        <v/>
      </c>
      <c r="GL1096" s="101" t="str">
        <f t="shared" si="540"/>
        <v/>
      </c>
    </row>
    <row r="1097" spans="170:194" ht="16.5" x14ac:dyDescent="0.2">
      <c r="FN1097" s="101">
        <v>1092</v>
      </c>
      <c r="FO1097" s="101">
        <f t="shared" si="525"/>
        <v>46</v>
      </c>
      <c r="FP1097" s="101">
        <f t="shared" si="541"/>
        <v>14</v>
      </c>
      <c r="FQ1097" s="14">
        <f t="shared" si="542"/>
        <v>3</v>
      </c>
      <c r="FR1097" s="101" t="str">
        <f t="shared" si="526"/>
        <v>飞廉专属武器-魂珠-6 1级</v>
      </c>
      <c r="FS1097" s="101">
        <f t="shared" si="527"/>
        <v>6</v>
      </c>
      <c r="FT1097" s="101">
        <f t="shared" si="528"/>
        <v>1</v>
      </c>
      <c r="FU1097" s="101" t="str">
        <f t="shared" si="543"/>
        <v>金币</v>
      </c>
      <c r="FV1097" s="139">
        <f>IF($FT1097&gt;0,IF(INDEX($EI$6:$EI$77,$FO1097)&gt;=FV$3,ROUND(INDEX(EK$6:EK$77,$FO1097)*INDEX(卡牌消耗!$B$8:$F$8,FQ1097)/5,0)*5,""),"")</f>
        <v>1455</v>
      </c>
      <c r="FW1097" s="101" t="str">
        <f t="shared" si="544"/>
        <v>专属强化石3</v>
      </c>
      <c r="FX1097" s="101">
        <f t="shared" si="545"/>
        <v>5</v>
      </c>
      <c r="FY1097" s="101" t="str">
        <f t="shared" si="546"/>
        <v>专属强化石4</v>
      </c>
      <c r="FZ1097" s="101">
        <f t="shared" si="547"/>
        <v>1</v>
      </c>
      <c r="GA1097" s="101">
        <f t="shared" si="529"/>
        <v>0.17</v>
      </c>
      <c r="GB1097" s="101">
        <f t="shared" si="530"/>
        <v>1</v>
      </c>
      <c r="GC1097" s="101">
        <f t="shared" si="531"/>
        <v>9</v>
      </c>
      <c r="GD1097" s="101">
        <f t="shared" si="532"/>
        <v>0</v>
      </c>
      <c r="GE1097" s="101">
        <f t="shared" si="533"/>
        <v>1</v>
      </c>
      <c r="GF1097" s="101">
        <f t="shared" si="534"/>
        <v>2</v>
      </c>
      <c r="GG1097" s="101">
        <f t="shared" si="535"/>
        <v>8.2900000000000001E-2</v>
      </c>
      <c r="GH1097" s="101">
        <f t="shared" si="536"/>
        <v>1</v>
      </c>
      <c r="GI1097" s="101">
        <f t="shared" si="537"/>
        <v>4</v>
      </c>
      <c r="GJ1097" s="101">
        <f t="shared" si="538"/>
        <v>0.33139999999999997</v>
      </c>
      <c r="GK1097" s="101">
        <f t="shared" si="539"/>
        <v>1</v>
      </c>
      <c r="GL1097" s="101">
        <f t="shared" si="540"/>
        <v>9</v>
      </c>
    </row>
    <row r="1098" spans="170:194" ht="16.5" x14ac:dyDescent="0.2">
      <c r="FN1098" s="101">
        <v>1093</v>
      </c>
      <c r="FO1098" s="101">
        <f t="shared" si="525"/>
        <v>47</v>
      </c>
      <c r="FP1098" s="101">
        <f t="shared" si="541"/>
        <v>14</v>
      </c>
      <c r="FQ1098" s="14">
        <f t="shared" si="542"/>
        <v>3</v>
      </c>
      <c r="FR1098" s="101" t="str">
        <f t="shared" si="526"/>
        <v>飞廉专属武器-魂珠-6 2级</v>
      </c>
      <c r="FS1098" s="101">
        <f t="shared" si="527"/>
        <v>6</v>
      </c>
      <c r="FT1098" s="101">
        <f t="shared" si="528"/>
        <v>2</v>
      </c>
      <c r="FU1098" s="101" t="str">
        <f t="shared" si="543"/>
        <v>金币</v>
      </c>
      <c r="FV1098" s="139">
        <f>IF($FT1098&gt;0,IF(INDEX($EI$6:$EI$77,$FO1098)&gt;=FV$3,ROUND(INDEX(EK$6:EK$77,$FO1098)*INDEX(卡牌消耗!$B$8:$F$8,FQ1098)/5,0)*5,""),"")</f>
        <v>2180</v>
      </c>
      <c r="FW1098" s="101" t="str">
        <f t="shared" si="544"/>
        <v>专属强化石3</v>
      </c>
      <c r="FX1098" s="101">
        <f t="shared" si="545"/>
        <v>10</v>
      </c>
      <c r="FY1098" s="101" t="str">
        <f t="shared" si="546"/>
        <v>专属强化石4</v>
      </c>
      <c r="FZ1098" s="101">
        <f t="shared" si="547"/>
        <v>2</v>
      </c>
      <c r="GA1098" s="101">
        <f t="shared" si="529"/>
        <v>0.17</v>
      </c>
      <c r="GB1098" s="101">
        <f t="shared" si="530"/>
        <v>1</v>
      </c>
      <c r="GC1098" s="101">
        <f t="shared" si="531"/>
        <v>9</v>
      </c>
      <c r="GD1098" s="101">
        <f t="shared" si="532"/>
        <v>0</v>
      </c>
      <c r="GE1098" s="101">
        <f t="shared" si="533"/>
        <v>1</v>
      </c>
      <c r="GF1098" s="101">
        <f t="shared" si="534"/>
        <v>2</v>
      </c>
      <c r="GG1098" s="101">
        <f t="shared" si="535"/>
        <v>8.2900000000000001E-2</v>
      </c>
      <c r="GH1098" s="101">
        <f t="shared" si="536"/>
        <v>1</v>
      </c>
      <c r="GI1098" s="101">
        <f t="shared" si="537"/>
        <v>4</v>
      </c>
      <c r="GJ1098" s="101">
        <f t="shared" si="538"/>
        <v>0.33139999999999997</v>
      </c>
      <c r="GK1098" s="101">
        <f t="shared" si="539"/>
        <v>1</v>
      </c>
      <c r="GL1098" s="101">
        <f t="shared" si="540"/>
        <v>9</v>
      </c>
    </row>
    <row r="1099" spans="170:194" ht="16.5" x14ac:dyDescent="0.2">
      <c r="FN1099" s="101">
        <v>1094</v>
      </c>
      <c r="FO1099" s="101">
        <f t="shared" si="525"/>
        <v>48</v>
      </c>
      <c r="FP1099" s="101">
        <f t="shared" si="541"/>
        <v>14</v>
      </c>
      <c r="FQ1099" s="14">
        <f t="shared" si="542"/>
        <v>3</v>
      </c>
      <c r="FR1099" s="101" t="str">
        <f t="shared" si="526"/>
        <v>飞廉专属武器-魂珠-6 3级</v>
      </c>
      <c r="FS1099" s="101">
        <f t="shared" si="527"/>
        <v>6</v>
      </c>
      <c r="FT1099" s="101">
        <f t="shared" si="528"/>
        <v>3</v>
      </c>
      <c r="FU1099" s="101" t="str">
        <f t="shared" si="543"/>
        <v>金币</v>
      </c>
      <c r="FV1099" s="139">
        <f>IF($FT1099&gt;0,IF(INDEX($EI$6:$EI$77,$FO1099)&gt;=FV$3,ROUND(INDEX(EK$6:EK$77,$FO1099)*INDEX(卡牌消耗!$B$8:$F$8,FQ1099)/5,0)*5,""),"")</f>
        <v>2425</v>
      </c>
      <c r="FW1099" s="101" t="str">
        <f t="shared" si="544"/>
        <v>专属强化石3</v>
      </c>
      <c r="FX1099" s="101">
        <f t="shared" si="545"/>
        <v>10</v>
      </c>
      <c r="FY1099" s="101" t="str">
        <f t="shared" si="546"/>
        <v>专属强化石4</v>
      </c>
      <c r="FZ1099" s="101">
        <f t="shared" si="547"/>
        <v>2</v>
      </c>
      <c r="GA1099" s="101">
        <f t="shared" si="529"/>
        <v>0.11</v>
      </c>
      <c r="GB1099" s="101">
        <f t="shared" si="530"/>
        <v>1</v>
      </c>
      <c r="GC1099" s="101">
        <f t="shared" si="531"/>
        <v>14</v>
      </c>
      <c r="GD1099" s="101">
        <f t="shared" si="532"/>
        <v>0</v>
      </c>
      <c r="GE1099" s="101">
        <f t="shared" si="533"/>
        <v>1</v>
      </c>
      <c r="GF1099" s="101">
        <f t="shared" si="534"/>
        <v>3</v>
      </c>
      <c r="GG1099" s="101">
        <f t="shared" si="535"/>
        <v>5.5199999999999999E-2</v>
      </c>
      <c r="GH1099" s="101">
        <f t="shared" si="536"/>
        <v>1</v>
      </c>
      <c r="GI1099" s="101">
        <f t="shared" si="537"/>
        <v>6</v>
      </c>
      <c r="GJ1099" s="101">
        <f t="shared" si="538"/>
        <v>0.221</v>
      </c>
      <c r="GK1099" s="101">
        <f t="shared" si="539"/>
        <v>1</v>
      </c>
      <c r="GL1099" s="101">
        <f t="shared" si="540"/>
        <v>14</v>
      </c>
    </row>
    <row r="1100" spans="170:194" ht="16.5" x14ac:dyDescent="0.2">
      <c r="FN1100" s="101">
        <v>1095</v>
      </c>
      <c r="FO1100" s="101">
        <f t="shared" si="525"/>
        <v>49</v>
      </c>
      <c r="FP1100" s="101">
        <f t="shared" si="541"/>
        <v>14</v>
      </c>
      <c r="FQ1100" s="14">
        <f t="shared" si="542"/>
        <v>3</v>
      </c>
      <c r="FR1100" s="101" t="str">
        <f t="shared" si="526"/>
        <v>飞廉专属武器-魂珠-6 4级</v>
      </c>
      <c r="FS1100" s="101">
        <f t="shared" si="527"/>
        <v>6</v>
      </c>
      <c r="FT1100" s="101">
        <f t="shared" si="528"/>
        <v>4</v>
      </c>
      <c r="FU1100" s="101" t="str">
        <f t="shared" si="543"/>
        <v>金币</v>
      </c>
      <c r="FV1100" s="139">
        <f>IF($FT1100&gt;0,IF(INDEX($EI$6:$EI$77,$FO1100)&gt;=FV$3,ROUND(INDEX(EK$6:EK$77,$FO1100)*INDEX(卡牌消耗!$B$8:$F$8,FQ1100)/5,0)*5,""),"")</f>
        <v>3490</v>
      </c>
      <c r="FW1100" s="101" t="str">
        <f t="shared" si="544"/>
        <v>专属强化石3</v>
      </c>
      <c r="FX1100" s="101">
        <f t="shared" si="545"/>
        <v>15</v>
      </c>
      <c r="FY1100" s="101" t="str">
        <f t="shared" si="546"/>
        <v>专属强化石4</v>
      </c>
      <c r="FZ1100" s="101">
        <f t="shared" si="547"/>
        <v>3</v>
      </c>
      <c r="GA1100" s="101">
        <f t="shared" si="529"/>
        <v>0.1</v>
      </c>
      <c r="GB1100" s="101">
        <f t="shared" si="530"/>
        <v>1</v>
      </c>
      <c r="GC1100" s="101">
        <f t="shared" si="531"/>
        <v>15</v>
      </c>
      <c r="GD1100" s="101">
        <f t="shared" si="532"/>
        <v>0</v>
      </c>
      <c r="GE1100" s="101">
        <f t="shared" si="533"/>
        <v>1</v>
      </c>
      <c r="GF1100" s="101">
        <f t="shared" si="534"/>
        <v>4</v>
      </c>
      <c r="GG1100" s="101">
        <f t="shared" si="535"/>
        <v>4.9700000000000001E-2</v>
      </c>
      <c r="GH1100" s="101">
        <f t="shared" si="536"/>
        <v>1</v>
      </c>
      <c r="GI1100" s="101">
        <f t="shared" si="537"/>
        <v>7</v>
      </c>
      <c r="GJ1100" s="101">
        <f t="shared" si="538"/>
        <v>0.19889999999999999</v>
      </c>
      <c r="GK1100" s="101">
        <f t="shared" si="539"/>
        <v>1</v>
      </c>
      <c r="GL1100" s="101">
        <f t="shared" si="540"/>
        <v>15</v>
      </c>
    </row>
    <row r="1101" spans="170:194" ht="16.5" x14ac:dyDescent="0.2">
      <c r="FN1101" s="101">
        <v>1096</v>
      </c>
      <c r="FO1101" s="101">
        <f t="shared" si="525"/>
        <v>50</v>
      </c>
      <c r="FP1101" s="101">
        <f t="shared" si="541"/>
        <v>14</v>
      </c>
      <c r="FQ1101" s="14">
        <f t="shared" si="542"/>
        <v>3</v>
      </c>
      <c r="FR1101" s="101" t="str">
        <f t="shared" si="526"/>
        <v>飞廉专属武器-魂珠-6 5级</v>
      </c>
      <c r="FS1101" s="101">
        <f t="shared" si="527"/>
        <v>6</v>
      </c>
      <c r="FT1101" s="101">
        <f t="shared" si="528"/>
        <v>5</v>
      </c>
      <c r="FU1101" s="101" t="str">
        <f t="shared" si="543"/>
        <v>金币</v>
      </c>
      <c r="FV1101" s="139">
        <f>IF($FT1101&gt;0,IF(INDEX($EI$6:$EI$77,$FO1101)&gt;=FV$3,ROUND(INDEX(EK$6:EK$77,$FO1101)*INDEX(卡牌消耗!$B$8:$F$8,FQ1101)/5,0)*5,""),"")</f>
        <v>3545</v>
      </c>
      <c r="FW1101" s="101" t="str">
        <f t="shared" si="544"/>
        <v>专属强化石3</v>
      </c>
      <c r="FX1101" s="101">
        <f t="shared" si="545"/>
        <v>15</v>
      </c>
      <c r="FY1101" s="101" t="str">
        <f t="shared" si="546"/>
        <v>专属强化石4</v>
      </c>
      <c r="FZ1101" s="101">
        <f t="shared" si="547"/>
        <v>3</v>
      </c>
      <c r="GA1101" s="101">
        <f t="shared" si="529"/>
        <v>0.06</v>
      </c>
      <c r="GB1101" s="101">
        <f t="shared" si="530"/>
        <v>1</v>
      </c>
      <c r="GC1101" s="101">
        <f t="shared" si="531"/>
        <v>24</v>
      </c>
      <c r="GD1101" s="101">
        <f t="shared" si="532"/>
        <v>0</v>
      </c>
      <c r="GE1101" s="101">
        <f t="shared" si="533"/>
        <v>1</v>
      </c>
      <c r="GF1101" s="101">
        <f t="shared" si="534"/>
        <v>6</v>
      </c>
      <c r="GG1101" s="101">
        <f t="shared" si="535"/>
        <v>3.1099999999999999E-2</v>
      </c>
      <c r="GH1101" s="101">
        <f t="shared" si="536"/>
        <v>1</v>
      </c>
      <c r="GI1101" s="101">
        <f t="shared" si="537"/>
        <v>11</v>
      </c>
      <c r="GJ1101" s="101">
        <f t="shared" si="538"/>
        <v>0.12429999999999999</v>
      </c>
      <c r="GK1101" s="101">
        <f t="shared" si="539"/>
        <v>1</v>
      </c>
      <c r="GL1101" s="101">
        <f t="shared" si="540"/>
        <v>24</v>
      </c>
    </row>
    <row r="1102" spans="170:194" ht="16.5" x14ac:dyDescent="0.2">
      <c r="FN1102" s="101">
        <v>1097</v>
      </c>
      <c r="FO1102" s="101">
        <f t="shared" si="525"/>
        <v>51</v>
      </c>
      <c r="FP1102" s="101">
        <f t="shared" si="541"/>
        <v>14</v>
      </c>
      <c r="FQ1102" s="14">
        <f t="shared" si="542"/>
        <v>3</v>
      </c>
      <c r="FR1102" s="101" t="str">
        <f t="shared" si="526"/>
        <v>飞廉专属武器-魂珠-6 6级</v>
      </c>
      <c r="FS1102" s="101">
        <f t="shared" si="527"/>
        <v>6</v>
      </c>
      <c r="FT1102" s="101">
        <f t="shared" si="528"/>
        <v>6</v>
      </c>
      <c r="FU1102" s="101" t="str">
        <f t="shared" si="543"/>
        <v>金币</v>
      </c>
      <c r="FV1102" s="139">
        <f>IF($FT1102&gt;0,IF(INDEX($EI$6:$EI$77,$FO1102)&gt;=FV$3,ROUND(INDEX(EK$6:EK$77,$FO1102)*INDEX(卡牌消耗!$B$8:$F$8,FQ1102)/5,0)*5,""),"")</f>
        <v>4700</v>
      </c>
      <c r="FW1102" s="101" t="str">
        <f t="shared" si="544"/>
        <v>专属强化石3</v>
      </c>
      <c r="FX1102" s="101">
        <f t="shared" si="545"/>
        <v>20</v>
      </c>
      <c r="FY1102" s="101" t="str">
        <f t="shared" si="546"/>
        <v>专属强化石4</v>
      </c>
      <c r="FZ1102" s="101">
        <f t="shared" si="547"/>
        <v>4</v>
      </c>
      <c r="GA1102" s="101">
        <f t="shared" si="529"/>
        <v>0.05</v>
      </c>
      <c r="GB1102" s="101">
        <f t="shared" si="530"/>
        <v>1</v>
      </c>
      <c r="GC1102" s="101">
        <f t="shared" si="531"/>
        <v>29</v>
      </c>
      <c r="GD1102" s="101">
        <f t="shared" si="532"/>
        <v>0</v>
      </c>
      <c r="GE1102" s="101">
        <f t="shared" si="533"/>
        <v>1</v>
      </c>
      <c r="GF1102" s="101">
        <f t="shared" si="534"/>
        <v>7</v>
      </c>
      <c r="GG1102" s="101">
        <f t="shared" si="535"/>
        <v>2.5499999999999998E-2</v>
      </c>
      <c r="GH1102" s="101">
        <f t="shared" si="536"/>
        <v>1</v>
      </c>
      <c r="GI1102" s="101">
        <f t="shared" si="537"/>
        <v>14</v>
      </c>
      <c r="GJ1102" s="101">
        <f t="shared" si="538"/>
        <v>0.10199999999999999</v>
      </c>
      <c r="GK1102" s="101">
        <f t="shared" si="539"/>
        <v>1</v>
      </c>
      <c r="GL1102" s="101">
        <f t="shared" si="540"/>
        <v>29</v>
      </c>
    </row>
    <row r="1103" spans="170:194" ht="16.5" x14ac:dyDescent="0.2">
      <c r="FN1103" s="101">
        <v>1098</v>
      </c>
      <c r="FO1103" s="101">
        <f t="shared" si="525"/>
        <v>52</v>
      </c>
      <c r="FP1103" s="101">
        <f t="shared" si="541"/>
        <v>14</v>
      </c>
      <c r="FQ1103" s="14">
        <f t="shared" si="542"/>
        <v>3</v>
      </c>
      <c r="FR1103" s="101" t="str">
        <f t="shared" si="526"/>
        <v>飞廉专属武器-魂珠-6 7级</v>
      </c>
      <c r="FS1103" s="101">
        <f t="shared" si="527"/>
        <v>6</v>
      </c>
      <c r="FT1103" s="101">
        <f t="shared" si="528"/>
        <v>7</v>
      </c>
      <c r="FU1103" s="101" t="str">
        <f t="shared" si="543"/>
        <v>金币</v>
      </c>
      <c r="FV1103" s="139">
        <f>IF($FT1103&gt;0,IF(INDEX($EI$6:$EI$77,$FO1103)&gt;=FV$3,ROUND(INDEX(EK$6:EK$77,$FO1103)*INDEX(卡牌消耗!$B$8:$F$8,FQ1103)/5,0)*5,""),"")</f>
        <v>5885</v>
      </c>
      <c r="FW1103" s="101" t="str">
        <f t="shared" si="544"/>
        <v>专属强化石3</v>
      </c>
      <c r="FX1103" s="101">
        <f t="shared" si="545"/>
        <v>25</v>
      </c>
      <c r="FY1103" s="101" t="str">
        <f t="shared" si="546"/>
        <v>专属强化石4</v>
      </c>
      <c r="FZ1103" s="101">
        <f t="shared" si="547"/>
        <v>5</v>
      </c>
      <c r="GA1103" s="101">
        <f t="shared" si="529"/>
        <v>0.04</v>
      </c>
      <c r="GB1103" s="101">
        <f t="shared" si="530"/>
        <v>1</v>
      </c>
      <c r="GC1103" s="101">
        <f t="shared" si="531"/>
        <v>38</v>
      </c>
      <c r="GD1103" s="101">
        <f t="shared" si="532"/>
        <v>0</v>
      </c>
      <c r="GE1103" s="101">
        <f t="shared" si="533"/>
        <v>1</v>
      </c>
      <c r="GF1103" s="101">
        <f t="shared" si="534"/>
        <v>9</v>
      </c>
      <c r="GG1103" s="101">
        <f t="shared" si="535"/>
        <v>1.9699999999999999E-2</v>
      </c>
      <c r="GH1103" s="101">
        <f t="shared" si="536"/>
        <v>1</v>
      </c>
      <c r="GI1103" s="101">
        <f t="shared" si="537"/>
        <v>18</v>
      </c>
      <c r="GJ1103" s="101">
        <f t="shared" si="538"/>
        <v>7.8899999999999998E-2</v>
      </c>
      <c r="GK1103" s="101">
        <f t="shared" si="539"/>
        <v>1</v>
      </c>
      <c r="GL1103" s="101">
        <f t="shared" si="540"/>
        <v>38</v>
      </c>
    </row>
    <row r="1104" spans="170:194" ht="16.5" x14ac:dyDescent="0.2">
      <c r="FN1104" s="101">
        <v>1099</v>
      </c>
      <c r="FO1104" s="101">
        <f t="shared" si="525"/>
        <v>53</v>
      </c>
      <c r="FP1104" s="101">
        <f t="shared" si="541"/>
        <v>14</v>
      </c>
      <c r="FQ1104" s="14">
        <f t="shared" si="542"/>
        <v>3</v>
      </c>
      <c r="FR1104" s="101" t="str">
        <f t="shared" si="526"/>
        <v>飞廉专属武器-魂珠-6 8级</v>
      </c>
      <c r="FS1104" s="101">
        <f t="shared" si="527"/>
        <v>6</v>
      </c>
      <c r="FT1104" s="101">
        <f t="shared" si="528"/>
        <v>8</v>
      </c>
      <c r="FU1104" s="101" t="str">
        <f t="shared" si="543"/>
        <v>金币</v>
      </c>
      <c r="FV1104" s="139">
        <f>IF($FT1104&gt;0,IF(INDEX($EI$6:$EI$77,$FO1104)&gt;=FV$3,ROUND(INDEX(EK$6:EK$77,$FO1104)*INDEX(卡牌消耗!$B$8:$F$8,FQ1104)/5,0)*5,""),"")</f>
        <v>8235</v>
      </c>
      <c r="FW1104" s="101" t="str">
        <f t="shared" si="544"/>
        <v>专属强化石3</v>
      </c>
      <c r="FX1104" s="101">
        <f t="shared" si="545"/>
        <v>35</v>
      </c>
      <c r="FY1104" s="101" t="str">
        <f t="shared" si="546"/>
        <v>专属强化石4</v>
      </c>
      <c r="FZ1104" s="101">
        <f t="shared" si="547"/>
        <v>7</v>
      </c>
      <c r="GA1104" s="101">
        <f t="shared" si="529"/>
        <v>0.03</v>
      </c>
      <c r="GB1104" s="101">
        <f t="shared" si="530"/>
        <v>1</v>
      </c>
      <c r="GC1104" s="101">
        <f t="shared" si="531"/>
        <v>44</v>
      </c>
      <c r="GD1104" s="101">
        <f t="shared" si="532"/>
        <v>0</v>
      </c>
      <c r="GE1104" s="101">
        <f t="shared" si="533"/>
        <v>1</v>
      </c>
      <c r="GF1104" s="101">
        <f t="shared" si="534"/>
        <v>10</v>
      </c>
      <c r="GG1104" s="101">
        <f t="shared" si="535"/>
        <v>1.7100000000000001E-2</v>
      </c>
      <c r="GH1104" s="101">
        <f t="shared" si="536"/>
        <v>1</v>
      </c>
      <c r="GI1104" s="101">
        <f t="shared" si="537"/>
        <v>21</v>
      </c>
      <c r="GJ1104" s="101">
        <f t="shared" si="538"/>
        <v>6.8199999999999997E-2</v>
      </c>
      <c r="GK1104" s="101">
        <f t="shared" si="539"/>
        <v>1</v>
      </c>
      <c r="GL1104" s="101">
        <f t="shared" si="540"/>
        <v>44</v>
      </c>
    </row>
    <row r="1105" spans="170:194" ht="16.5" x14ac:dyDescent="0.2">
      <c r="FN1105" s="101">
        <v>1100</v>
      </c>
      <c r="FO1105" s="101">
        <f t="shared" si="525"/>
        <v>54</v>
      </c>
      <c r="FP1105" s="101">
        <f t="shared" si="541"/>
        <v>14</v>
      </c>
      <c r="FQ1105" s="14">
        <f t="shared" si="542"/>
        <v>3</v>
      </c>
      <c r="FR1105" s="101" t="str">
        <f t="shared" si="526"/>
        <v>飞廉专属武器-魂珠-6 9级</v>
      </c>
      <c r="FS1105" s="101">
        <f t="shared" si="527"/>
        <v>6</v>
      </c>
      <c r="FT1105" s="101">
        <f t="shared" si="528"/>
        <v>9</v>
      </c>
      <c r="FU1105" s="101" t="str">
        <f t="shared" si="543"/>
        <v>金币</v>
      </c>
      <c r="FV1105" s="139">
        <f>IF($FT1105&gt;0,IF(INDEX($EI$6:$EI$77,$FO1105)&gt;=FV$3,ROUND(INDEX(EK$6:EK$77,$FO1105)*INDEX(卡牌消耗!$B$8:$F$8,FQ1105)/5,0)*5,""),"")</f>
        <v>9410</v>
      </c>
      <c r="FW1105" s="101" t="str">
        <f t="shared" si="544"/>
        <v>专属强化石3</v>
      </c>
      <c r="FX1105" s="101">
        <f t="shared" si="545"/>
        <v>40</v>
      </c>
      <c r="FY1105" s="101" t="str">
        <f t="shared" si="546"/>
        <v>专属强化石4</v>
      </c>
      <c r="FZ1105" s="101">
        <f t="shared" si="547"/>
        <v>8</v>
      </c>
      <c r="GA1105" s="101">
        <f t="shared" si="529"/>
        <v>0.02</v>
      </c>
      <c r="GB1105" s="101">
        <f t="shared" si="530"/>
        <v>1</v>
      </c>
      <c r="GC1105" s="101">
        <f t="shared" si="531"/>
        <v>62</v>
      </c>
      <c r="GD1105" s="101">
        <f t="shared" si="532"/>
        <v>0</v>
      </c>
      <c r="GE1105" s="101">
        <f t="shared" si="533"/>
        <v>1</v>
      </c>
      <c r="GF1105" s="101">
        <f t="shared" si="534"/>
        <v>15</v>
      </c>
      <c r="GG1105" s="101">
        <f t="shared" si="535"/>
        <v>1.21E-2</v>
      </c>
      <c r="GH1105" s="101">
        <f t="shared" si="536"/>
        <v>1</v>
      </c>
      <c r="GI1105" s="101">
        <f t="shared" si="537"/>
        <v>29</v>
      </c>
      <c r="GJ1105" s="101">
        <f t="shared" si="538"/>
        <v>4.82E-2</v>
      </c>
      <c r="GK1105" s="101">
        <f t="shared" si="539"/>
        <v>1</v>
      </c>
      <c r="GL1105" s="101">
        <f t="shared" si="540"/>
        <v>62</v>
      </c>
    </row>
    <row r="1106" spans="170:194" ht="16.5" x14ac:dyDescent="0.2">
      <c r="FN1106" s="101">
        <v>1101</v>
      </c>
      <c r="FO1106" s="101">
        <f t="shared" si="525"/>
        <v>0</v>
      </c>
      <c r="FP1106" s="101">
        <f t="shared" si="541"/>
        <v>14</v>
      </c>
      <c r="FQ1106" s="14">
        <f t="shared" si="542"/>
        <v>3</v>
      </c>
      <c r="FR1106" s="101" t="str">
        <f t="shared" si="526"/>
        <v>飞廉专属武器-魂珠-7 0级</v>
      </c>
      <c r="FS1106" s="101">
        <f t="shared" si="527"/>
        <v>7</v>
      </c>
      <c r="FT1106" s="101">
        <f t="shared" si="528"/>
        <v>0</v>
      </c>
      <c r="FU1106" s="101" t="str">
        <f t="shared" si="543"/>
        <v/>
      </c>
      <c r="FV1106" s="139" t="str">
        <f>IF($FT1106&gt;0,IF(INDEX($EI$6:$EI$77,$FO1106)&gt;=FV$3,ROUND(INDEX(EK$6:EK$77,$FO1106)*INDEX(卡牌消耗!$B$8:$F$8,FQ1106)/5,0)*5,""),"")</f>
        <v/>
      </c>
      <c r="FW1106" s="101" t="str">
        <f t="shared" si="544"/>
        <v/>
      </c>
      <c r="FX1106" s="101" t="str">
        <f t="shared" si="545"/>
        <v/>
      </c>
      <c r="FY1106" s="101" t="str">
        <f t="shared" si="546"/>
        <v/>
      </c>
      <c r="FZ1106" s="101" t="str">
        <f t="shared" si="547"/>
        <v/>
      </c>
      <c r="GA1106" s="101" t="str">
        <f t="shared" si="529"/>
        <v/>
      </c>
      <c r="GB1106" s="101" t="str">
        <f t="shared" si="530"/>
        <v/>
      </c>
      <c r="GC1106" s="101" t="str">
        <f t="shared" si="531"/>
        <v/>
      </c>
      <c r="GD1106" s="101" t="str">
        <f t="shared" si="532"/>
        <v/>
      </c>
      <c r="GE1106" s="101" t="str">
        <f t="shared" si="533"/>
        <v/>
      </c>
      <c r="GF1106" s="101" t="str">
        <f t="shared" si="534"/>
        <v/>
      </c>
      <c r="GG1106" s="101" t="str">
        <f t="shared" si="535"/>
        <v/>
      </c>
      <c r="GH1106" s="101" t="str">
        <f t="shared" si="536"/>
        <v/>
      </c>
      <c r="GI1106" s="101" t="str">
        <f t="shared" si="537"/>
        <v/>
      </c>
      <c r="GJ1106" s="101" t="str">
        <f t="shared" si="538"/>
        <v/>
      </c>
      <c r="GK1106" s="101" t="str">
        <f t="shared" si="539"/>
        <v/>
      </c>
      <c r="GL1106" s="101" t="str">
        <f t="shared" si="540"/>
        <v/>
      </c>
    </row>
    <row r="1107" spans="170:194" ht="16.5" x14ac:dyDescent="0.2">
      <c r="FN1107" s="101">
        <v>1102</v>
      </c>
      <c r="FO1107" s="101">
        <f t="shared" si="525"/>
        <v>55</v>
      </c>
      <c r="FP1107" s="101">
        <f t="shared" si="541"/>
        <v>14</v>
      </c>
      <c r="FQ1107" s="14">
        <f t="shared" si="542"/>
        <v>3</v>
      </c>
      <c r="FR1107" s="101" t="str">
        <f t="shared" si="526"/>
        <v>飞廉专属武器-魂珠-7 1级</v>
      </c>
      <c r="FS1107" s="101">
        <f t="shared" si="527"/>
        <v>7</v>
      </c>
      <c r="FT1107" s="101">
        <f t="shared" si="528"/>
        <v>1</v>
      </c>
      <c r="FU1107" s="101" t="str">
        <f t="shared" si="543"/>
        <v>金币</v>
      </c>
      <c r="FV1107" s="139">
        <f>IF($FT1107&gt;0,IF(INDEX($EI$6:$EI$77,$FO1107)&gt;=FV$3,ROUND(INDEX(EK$6:EK$77,$FO1107)*INDEX(卡牌消耗!$B$8:$F$8,FQ1107)/5,0)*5,""),"")</f>
        <v>12090</v>
      </c>
      <c r="FW1107" s="101" t="str">
        <f t="shared" si="544"/>
        <v>专属强化石3</v>
      </c>
      <c r="FX1107" s="101">
        <f t="shared" si="545"/>
        <v>6</v>
      </c>
      <c r="FY1107" s="101" t="str">
        <f t="shared" si="546"/>
        <v>专属强化石4</v>
      </c>
      <c r="FZ1107" s="101">
        <f t="shared" si="547"/>
        <v>2</v>
      </c>
      <c r="GA1107" s="101">
        <f t="shared" si="529"/>
        <v>0.2</v>
      </c>
      <c r="GB1107" s="101">
        <f t="shared" si="530"/>
        <v>1</v>
      </c>
      <c r="GC1107" s="101">
        <f t="shared" si="531"/>
        <v>8</v>
      </c>
      <c r="GD1107" s="101">
        <f t="shared" si="532"/>
        <v>0</v>
      </c>
      <c r="GE1107" s="101">
        <f t="shared" si="533"/>
        <v>1</v>
      </c>
      <c r="GF1107" s="101">
        <f t="shared" si="534"/>
        <v>2</v>
      </c>
      <c r="GG1107" s="101">
        <f t="shared" si="535"/>
        <v>9.9400000000000002E-2</v>
      </c>
      <c r="GH1107" s="101">
        <f t="shared" si="536"/>
        <v>1</v>
      </c>
      <c r="GI1107" s="101">
        <f t="shared" si="537"/>
        <v>4</v>
      </c>
      <c r="GJ1107" s="101">
        <f t="shared" si="538"/>
        <v>0.3977</v>
      </c>
      <c r="GK1107" s="101">
        <f t="shared" si="539"/>
        <v>1</v>
      </c>
      <c r="GL1107" s="101">
        <f t="shared" si="540"/>
        <v>8</v>
      </c>
    </row>
    <row r="1108" spans="170:194" ht="16.5" x14ac:dyDescent="0.2">
      <c r="FN1108" s="101">
        <v>1103</v>
      </c>
      <c r="FO1108" s="101">
        <f t="shared" si="525"/>
        <v>56</v>
      </c>
      <c r="FP1108" s="101">
        <f t="shared" si="541"/>
        <v>14</v>
      </c>
      <c r="FQ1108" s="14">
        <f t="shared" si="542"/>
        <v>3</v>
      </c>
      <c r="FR1108" s="101" t="str">
        <f t="shared" si="526"/>
        <v>飞廉专属武器-魂珠-7 2级</v>
      </c>
      <c r="FS1108" s="101">
        <f t="shared" si="527"/>
        <v>7</v>
      </c>
      <c r="FT1108" s="101">
        <f t="shared" si="528"/>
        <v>2</v>
      </c>
      <c r="FU1108" s="101" t="str">
        <f t="shared" si="543"/>
        <v>金币</v>
      </c>
      <c r="FV1108" s="139">
        <f>IF($FT1108&gt;0,IF(INDEX($EI$6:$EI$77,$FO1108)&gt;=FV$3,ROUND(INDEX(EK$6:EK$77,$FO1108)*INDEX(卡牌消耗!$B$8:$F$8,FQ1108)/5,0)*5,""),"")</f>
        <v>9065</v>
      </c>
      <c r="FW1108" s="101" t="str">
        <f t="shared" si="544"/>
        <v>专属强化石3</v>
      </c>
      <c r="FX1108" s="101">
        <f t="shared" si="545"/>
        <v>6</v>
      </c>
      <c r="FY1108" s="101" t="str">
        <f t="shared" si="546"/>
        <v>专属强化石4</v>
      </c>
      <c r="FZ1108" s="101">
        <f t="shared" si="547"/>
        <v>2</v>
      </c>
      <c r="GA1108" s="101">
        <f t="shared" si="529"/>
        <v>0.1</v>
      </c>
      <c r="GB1108" s="101">
        <f t="shared" si="530"/>
        <v>1</v>
      </c>
      <c r="GC1108" s="101">
        <f t="shared" si="531"/>
        <v>15</v>
      </c>
      <c r="GD1108" s="101">
        <f t="shared" si="532"/>
        <v>0</v>
      </c>
      <c r="GE1108" s="101">
        <f t="shared" si="533"/>
        <v>1</v>
      </c>
      <c r="GF1108" s="101">
        <f t="shared" si="534"/>
        <v>4</v>
      </c>
      <c r="GG1108" s="101">
        <f t="shared" si="535"/>
        <v>4.9700000000000001E-2</v>
      </c>
      <c r="GH1108" s="101">
        <f t="shared" si="536"/>
        <v>1</v>
      </c>
      <c r="GI1108" s="101">
        <f t="shared" si="537"/>
        <v>7</v>
      </c>
      <c r="GJ1108" s="101">
        <f t="shared" si="538"/>
        <v>0.19889999999999999</v>
      </c>
      <c r="GK1108" s="101">
        <f t="shared" si="539"/>
        <v>1</v>
      </c>
      <c r="GL1108" s="101">
        <f t="shared" si="540"/>
        <v>15</v>
      </c>
    </row>
    <row r="1109" spans="170:194" ht="16.5" x14ac:dyDescent="0.2">
      <c r="FN1109" s="101">
        <v>1104</v>
      </c>
      <c r="FO1109" s="101">
        <f t="shared" si="525"/>
        <v>57</v>
      </c>
      <c r="FP1109" s="101">
        <f t="shared" si="541"/>
        <v>14</v>
      </c>
      <c r="FQ1109" s="14">
        <f t="shared" si="542"/>
        <v>3</v>
      </c>
      <c r="FR1109" s="101" t="str">
        <f t="shared" si="526"/>
        <v>飞廉专属武器-魂珠-7 3级</v>
      </c>
      <c r="FS1109" s="101">
        <f t="shared" si="527"/>
        <v>7</v>
      </c>
      <c r="FT1109" s="101">
        <f t="shared" si="528"/>
        <v>3</v>
      </c>
      <c r="FU1109" s="101" t="str">
        <f t="shared" si="543"/>
        <v>金币</v>
      </c>
      <c r="FV1109" s="139">
        <f>IF($FT1109&gt;0,IF(INDEX($EI$6:$EI$77,$FO1109)&gt;=FV$3,ROUND(INDEX(EK$6:EK$77,$FO1109)*INDEX(卡牌消耗!$B$8:$F$8,FQ1109)/5,0)*5,""),"")</f>
        <v>15110</v>
      </c>
      <c r="FW1109" s="101" t="str">
        <f t="shared" si="544"/>
        <v>专属强化石3</v>
      </c>
      <c r="FX1109" s="101">
        <f t="shared" si="545"/>
        <v>9</v>
      </c>
      <c r="FY1109" s="101" t="str">
        <f t="shared" si="546"/>
        <v>专属强化石4</v>
      </c>
      <c r="FZ1109" s="101">
        <f t="shared" si="547"/>
        <v>3</v>
      </c>
      <c r="GA1109" s="101">
        <f t="shared" si="529"/>
        <v>0.1</v>
      </c>
      <c r="GB1109" s="101">
        <f t="shared" si="530"/>
        <v>1</v>
      </c>
      <c r="GC1109" s="101">
        <f t="shared" si="531"/>
        <v>15</v>
      </c>
      <c r="GD1109" s="101">
        <f t="shared" si="532"/>
        <v>0</v>
      </c>
      <c r="GE1109" s="101">
        <f t="shared" si="533"/>
        <v>1</v>
      </c>
      <c r="GF1109" s="101">
        <f t="shared" si="534"/>
        <v>4</v>
      </c>
      <c r="GG1109" s="101">
        <f t="shared" si="535"/>
        <v>4.9700000000000001E-2</v>
      </c>
      <c r="GH1109" s="101">
        <f t="shared" si="536"/>
        <v>1</v>
      </c>
      <c r="GI1109" s="101">
        <f t="shared" si="537"/>
        <v>7</v>
      </c>
      <c r="GJ1109" s="101">
        <f t="shared" si="538"/>
        <v>0.19889999999999999</v>
      </c>
      <c r="GK1109" s="101">
        <f t="shared" si="539"/>
        <v>1</v>
      </c>
      <c r="GL1109" s="101">
        <f t="shared" si="540"/>
        <v>15</v>
      </c>
    </row>
    <row r="1110" spans="170:194" ht="16.5" x14ac:dyDescent="0.2">
      <c r="FN1110" s="101">
        <v>1105</v>
      </c>
      <c r="FO1110" s="101">
        <f t="shared" ref="FO1110:FO1173" si="548">IF(FT1110&gt;0,(FS1110-1)*9+FT1110,0)</f>
        <v>58</v>
      </c>
      <c r="FP1110" s="101">
        <f t="shared" si="541"/>
        <v>14</v>
      </c>
      <c r="FQ1110" s="14">
        <f t="shared" si="542"/>
        <v>3</v>
      </c>
      <c r="FR1110" s="101" t="str">
        <f t="shared" ref="FR1110:FR1173" si="549">INDEX($FI$6:$FI$26,FP1110)&amp;"专属武器-魂珠-"&amp;FS1110&amp;" "&amp;FT1110&amp;"级"</f>
        <v>飞廉专属武器-魂珠-7 4级</v>
      </c>
      <c r="FS1110" s="101">
        <f t="shared" ref="FS1110:FS1173" si="550">INT((FN1110-(FP1110-1)*80-1)/10)+1</f>
        <v>7</v>
      </c>
      <c r="FT1110" s="101">
        <f t="shared" ref="FT1110:FT1173" si="551">FN1110-(FP1110-1)*80-(FS1110-1)*10-1</f>
        <v>4</v>
      </c>
      <c r="FU1110" s="101" t="str">
        <f t="shared" si="543"/>
        <v>金币</v>
      </c>
      <c r="FV1110" s="139">
        <f>IF($FT1110&gt;0,IF(INDEX($EI$6:$EI$77,$FO1110)&gt;=FV$3,ROUND(INDEX(EK$6:EK$77,$FO1110)*INDEX(卡牌消耗!$B$8:$F$8,FQ1110)/5,0)*5,""),"")</f>
        <v>19340</v>
      </c>
      <c r="FW1110" s="101" t="str">
        <f t="shared" si="544"/>
        <v>专属强化石3</v>
      </c>
      <c r="FX1110" s="101">
        <f t="shared" si="545"/>
        <v>12</v>
      </c>
      <c r="FY1110" s="101" t="str">
        <f t="shared" si="546"/>
        <v>专属强化石4</v>
      </c>
      <c r="FZ1110" s="101">
        <f t="shared" si="547"/>
        <v>4</v>
      </c>
      <c r="GA1110" s="101">
        <f t="shared" ref="GA1110:GA1173" si="552">IF($FT1110&gt;0,INDEX(EP$6:EP$77,$FO1110),"")</f>
        <v>0.08</v>
      </c>
      <c r="GB1110" s="101">
        <f t="shared" ref="GB1110:GB1173" si="553">IF($FT1110&gt;0,INDEX(EQ$6:EQ$77,$FO1110),"")</f>
        <v>1</v>
      </c>
      <c r="GC1110" s="101">
        <f t="shared" ref="GC1110:GC1173" si="554">IF($FT1110&gt;0,INDEX(ER$6:ER$77,$FO1110),"")</f>
        <v>19</v>
      </c>
      <c r="GD1110" s="101">
        <f t="shared" ref="GD1110:GD1173" si="555">IF($FT1110&gt;0,INDEX(EV$6:EV$77,$FO1110),"")</f>
        <v>0</v>
      </c>
      <c r="GE1110" s="101">
        <f t="shared" ref="GE1110:GE1173" si="556">IF($FT1110&gt;0,INDEX(EW$6:EW$77,$FO1110),"")</f>
        <v>1</v>
      </c>
      <c r="GF1110" s="101">
        <f t="shared" ref="GF1110:GF1173" si="557">IF($FT1110&gt;0,INDEX(EX$6:EX$77,$FO1110),"")</f>
        <v>4</v>
      </c>
      <c r="GG1110" s="101">
        <f t="shared" ref="GG1110:GG1173" si="558">IF($FT1110&gt;0,INDEX(EY$6:EY$77,$FO1110),"")</f>
        <v>3.9800000000000002E-2</v>
      </c>
      <c r="GH1110" s="101">
        <f t="shared" ref="GH1110:GH1173" si="559">IF($FT1110&gt;0,INDEX(EZ$6:EZ$77,$FO1110),"")</f>
        <v>1</v>
      </c>
      <c r="GI1110" s="101">
        <f t="shared" ref="GI1110:GI1173" si="560">IF($FT1110&gt;0,INDEX(FA$6:FA$77,$FO1110),"")</f>
        <v>9</v>
      </c>
      <c r="GJ1110" s="101">
        <f t="shared" ref="GJ1110:GJ1173" si="561">IF($FT1110&gt;0,INDEX(FB$6:FB$77,$FO1110),"")</f>
        <v>0.15909999999999999</v>
      </c>
      <c r="GK1110" s="101">
        <f t="shared" ref="GK1110:GK1173" si="562">IF($FT1110&gt;0,INDEX(FC$6:FC$77,$FO1110),"")</f>
        <v>1</v>
      </c>
      <c r="GL1110" s="101">
        <f t="shared" ref="GL1110:GL1173" si="563">IF($FT1110&gt;0,INDEX(FD$6:FD$77,$FO1110),"")</f>
        <v>19</v>
      </c>
    </row>
    <row r="1111" spans="170:194" ht="16.5" x14ac:dyDescent="0.2">
      <c r="FN1111" s="101">
        <v>1106</v>
      </c>
      <c r="FO1111" s="101">
        <f t="shared" si="548"/>
        <v>59</v>
      </c>
      <c r="FP1111" s="101">
        <f t="shared" si="541"/>
        <v>14</v>
      </c>
      <c r="FQ1111" s="14">
        <f t="shared" si="542"/>
        <v>3</v>
      </c>
      <c r="FR1111" s="101" t="str">
        <f t="shared" si="549"/>
        <v>飞廉专属武器-魂珠-7 5级</v>
      </c>
      <c r="FS1111" s="101">
        <f t="shared" si="550"/>
        <v>7</v>
      </c>
      <c r="FT1111" s="101">
        <f t="shared" si="551"/>
        <v>5</v>
      </c>
      <c r="FU1111" s="101" t="str">
        <f t="shared" si="543"/>
        <v>金币</v>
      </c>
      <c r="FV1111" s="139">
        <f>IF($FT1111&gt;0,IF(INDEX($EI$6:$EI$77,$FO1111)&gt;=FV$3,ROUND(INDEX(EK$6:EK$77,$FO1111)*INDEX(卡牌消耗!$B$8:$F$8,FQ1111)/5,0)*5,""),"")</f>
        <v>19640</v>
      </c>
      <c r="FW1111" s="101" t="str">
        <f t="shared" si="544"/>
        <v>专属强化石3</v>
      </c>
      <c r="FX1111" s="101">
        <f t="shared" si="545"/>
        <v>12</v>
      </c>
      <c r="FY1111" s="101" t="str">
        <f t="shared" si="546"/>
        <v>专属强化石4</v>
      </c>
      <c r="FZ1111" s="101">
        <f t="shared" si="547"/>
        <v>4</v>
      </c>
      <c r="GA1111" s="101">
        <f t="shared" si="552"/>
        <v>0.05</v>
      </c>
      <c r="GB1111" s="101">
        <f t="shared" si="553"/>
        <v>1</v>
      </c>
      <c r="GC1111" s="101">
        <f t="shared" si="554"/>
        <v>30</v>
      </c>
      <c r="GD1111" s="101">
        <f t="shared" si="555"/>
        <v>0</v>
      </c>
      <c r="GE1111" s="101">
        <f t="shared" si="556"/>
        <v>1</v>
      </c>
      <c r="GF1111" s="101">
        <f t="shared" si="557"/>
        <v>7</v>
      </c>
      <c r="GG1111" s="101">
        <f t="shared" si="558"/>
        <v>2.4899999999999999E-2</v>
      </c>
      <c r="GH1111" s="101">
        <f t="shared" si="559"/>
        <v>1</v>
      </c>
      <c r="GI1111" s="101">
        <f t="shared" si="560"/>
        <v>14</v>
      </c>
      <c r="GJ1111" s="101">
        <f t="shared" si="561"/>
        <v>9.9400000000000002E-2</v>
      </c>
      <c r="GK1111" s="101">
        <f t="shared" si="562"/>
        <v>1</v>
      </c>
      <c r="GL1111" s="101">
        <f t="shared" si="563"/>
        <v>30</v>
      </c>
    </row>
    <row r="1112" spans="170:194" ht="16.5" x14ac:dyDescent="0.2">
      <c r="FN1112" s="101">
        <v>1107</v>
      </c>
      <c r="FO1112" s="101">
        <f t="shared" si="548"/>
        <v>60</v>
      </c>
      <c r="FP1112" s="101">
        <f t="shared" si="541"/>
        <v>14</v>
      </c>
      <c r="FQ1112" s="14">
        <f t="shared" si="542"/>
        <v>3</v>
      </c>
      <c r="FR1112" s="101" t="str">
        <f t="shared" si="549"/>
        <v>飞廉专属武器-魂珠-7 6级</v>
      </c>
      <c r="FS1112" s="101">
        <f t="shared" si="550"/>
        <v>7</v>
      </c>
      <c r="FT1112" s="101">
        <f t="shared" si="551"/>
        <v>6</v>
      </c>
      <c r="FU1112" s="101" t="str">
        <f t="shared" si="543"/>
        <v>金币</v>
      </c>
      <c r="FV1112" s="139">
        <f>IF($FT1112&gt;0,IF(INDEX($EI$6:$EI$77,$FO1112)&gt;=FV$3,ROUND(INDEX(EK$6:EK$77,$FO1112)*INDEX(卡牌消耗!$B$8:$F$8,FQ1112)/5,0)*5,""),"")</f>
        <v>24410</v>
      </c>
      <c r="FW1112" s="101" t="str">
        <f t="shared" si="544"/>
        <v>专属强化石3</v>
      </c>
      <c r="FX1112" s="101">
        <f t="shared" si="545"/>
        <v>15</v>
      </c>
      <c r="FY1112" s="101" t="str">
        <f t="shared" si="546"/>
        <v>专属强化石4</v>
      </c>
      <c r="FZ1112" s="101">
        <f t="shared" si="547"/>
        <v>5</v>
      </c>
      <c r="GA1112" s="101">
        <f t="shared" si="552"/>
        <v>0.04</v>
      </c>
      <c r="GB1112" s="101">
        <f t="shared" si="553"/>
        <v>1</v>
      </c>
      <c r="GC1112" s="101">
        <f t="shared" si="554"/>
        <v>39</v>
      </c>
      <c r="GD1112" s="101">
        <f t="shared" si="555"/>
        <v>0</v>
      </c>
      <c r="GE1112" s="101">
        <f t="shared" si="556"/>
        <v>1</v>
      </c>
      <c r="GF1112" s="101">
        <f t="shared" si="557"/>
        <v>9</v>
      </c>
      <c r="GG1112" s="101">
        <f t="shared" si="558"/>
        <v>1.9099999999999999E-2</v>
      </c>
      <c r="GH1112" s="101">
        <f t="shared" si="559"/>
        <v>1</v>
      </c>
      <c r="GI1112" s="101">
        <f t="shared" si="560"/>
        <v>18</v>
      </c>
      <c r="GJ1112" s="101">
        <f t="shared" si="561"/>
        <v>7.6499999999999999E-2</v>
      </c>
      <c r="GK1112" s="101">
        <f t="shared" si="562"/>
        <v>1</v>
      </c>
      <c r="GL1112" s="101">
        <f t="shared" si="563"/>
        <v>39</v>
      </c>
    </row>
    <row r="1113" spans="170:194" ht="16.5" x14ac:dyDescent="0.2">
      <c r="FN1113" s="101">
        <v>1108</v>
      </c>
      <c r="FO1113" s="101">
        <f t="shared" si="548"/>
        <v>61</v>
      </c>
      <c r="FP1113" s="101">
        <f t="shared" si="541"/>
        <v>14</v>
      </c>
      <c r="FQ1113" s="14">
        <f t="shared" si="542"/>
        <v>3</v>
      </c>
      <c r="FR1113" s="101" t="str">
        <f t="shared" si="549"/>
        <v>飞廉专属武器-魂珠-7 7级</v>
      </c>
      <c r="FS1113" s="101">
        <f t="shared" si="550"/>
        <v>7</v>
      </c>
      <c r="FT1113" s="101">
        <f t="shared" si="551"/>
        <v>7</v>
      </c>
      <c r="FU1113" s="101" t="str">
        <f t="shared" si="543"/>
        <v>金币</v>
      </c>
      <c r="FV1113" s="139">
        <f>IF($FT1113&gt;0,IF(INDEX($EI$6:$EI$77,$FO1113)&gt;=FV$3,ROUND(INDEX(EK$6:EK$77,$FO1113)*INDEX(卡牌消耗!$B$8:$F$8,FQ1113)/5,0)*5,""),"")</f>
        <v>34250</v>
      </c>
      <c r="FW1113" s="101" t="str">
        <f t="shared" si="544"/>
        <v>专属强化石3</v>
      </c>
      <c r="FX1113" s="101">
        <f t="shared" si="545"/>
        <v>21</v>
      </c>
      <c r="FY1113" s="101" t="str">
        <f t="shared" si="546"/>
        <v>专属强化石4</v>
      </c>
      <c r="FZ1113" s="101">
        <f t="shared" si="547"/>
        <v>7</v>
      </c>
      <c r="GA1113" s="101">
        <f t="shared" si="552"/>
        <v>0.03</v>
      </c>
      <c r="GB1113" s="101">
        <f t="shared" si="553"/>
        <v>1</v>
      </c>
      <c r="GC1113" s="101">
        <f t="shared" si="554"/>
        <v>45</v>
      </c>
      <c r="GD1113" s="101">
        <f t="shared" si="555"/>
        <v>0</v>
      </c>
      <c r="GE1113" s="101">
        <f t="shared" si="556"/>
        <v>1</v>
      </c>
      <c r="GF1113" s="101">
        <f t="shared" si="557"/>
        <v>11</v>
      </c>
      <c r="GG1113" s="101">
        <f t="shared" si="558"/>
        <v>1.66E-2</v>
      </c>
      <c r="GH1113" s="101">
        <f t="shared" si="559"/>
        <v>1</v>
      </c>
      <c r="GI1113" s="101">
        <f t="shared" si="560"/>
        <v>21</v>
      </c>
      <c r="GJ1113" s="101">
        <f t="shared" si="561"/>
        <v>6.6299999999999998E-2</v>
      </c>
      <c r="GK1113" s="101">
        <f t="shared" si="562"/>
        <v>1</v>
      </c>
      <c r="GL1113" s="101">
        <f t="shared" si="563"/>
        <v>45</v>
      </c>
    </row>
    <row r="1114" spans="170:194" ht="16.5" x14ac:dyDescent="0.2">
      <c r="FN1114" s="101">
        <v>1109</v>
      </c>
      <c r="FO1114" s="101">
        <f t="shared" si="548"/>
        <v>62</v>
      </c>
      <c r="FP1114" s="101">
        <f t="shared" si="541"/>
        <v>14</v>
      </c>
      <c r="FQ1114" s="14">
        <f t="shared" si="542"/>
        <v>3</v>
      </c>
      <c r="FR1114" s="101" t="str">
        <f t="shared" si="549"/>
        <v>飞廉专属武器-魂珠-7 8级</v>
      </c>
      <c r="FS1114" s="101">
        <f t="shared" si="550"/>
        <v>7</v>
      </c>
      <c r="FT1114" s="101">
        <f t="shared" si="551"/>
        <v>8</v>
      </c>
      <c r="FU1114" s="101" t="str">
        <f t="shared" si="543"/>
        <v>金币</v>
      </c>
      <c r="FV1114" s="139">
        <f>IF($FT1114&gt;0,IF(INDEX($EI$6:$EI$77,$FO1114)&gt;=FV$3,ROUND(INDEX(EK$6:EK$77,$FO1114)*INDEX(卡牌消耗!$B$8:$F$8,FQ1114)/5,0)*5,""),"")</f>
        <v>39105</v>
      </c>
      <c r="FW1114" s="101" t="str">
        <f t="shared" si="544"/>
        <v>专属强化石3</v>
      </c>
      <c r="FX1114" s="101">
        <f t="shared" si="545"/>
        <v>24</v>
      </c>
      <c r="FY1114" s="101" t="str">
        <f t="shared" si="546"/>
        <v>专属强化石4</v>
      </c>
      <c r="FZ1114" s="101">
        <f t="shared" si="547"/>
        <v>8</v>
      </c>
      <c r="GA1114" s="101">
        <f t="shared" si="552"/>
        <v>0.02</v>
      </c>
      <c r="GB1114" s="101">
        <f t="shared" si="553"/>
        <v>1</v>
      </c>
      <c r="GC1114" s="101">
        <f t="shared" si="554"/>
        <v>64</v>
      </c>
      <c r="GD1114" s="101">
        <f t="shared" si="555"/>
        <v>0</v>
      </c>
      <c r="GE1114" s="101">
        <f t="shared" si="556"/>
        <v>1</v>
      </c>
      <c r="GF1114" s="101">
        <f t="shared" si="557"/>
        <v>15</v>
      </c>
      <c r="GG1114" s="101">
        <f t="shared" si="558"/>
        <v>1.17E-2</v>
      </c>
      <c r="GH1114" s="101">
        <f t="shared" si="559"/>
        <v>1</v>
      </c>
      <c r="GI1114" s="101">
        <f t="shared" si="560"/>
        <v>30</v>
      </c>
      <c r="GJ1114" s="101">
        <f t="shared" si="561"/>
        <v>4.6800000000000001E-2</v>
      </c>
      <c r="GK1114" s="101">
        <f t="shared" si="562"/>
        <v>1</v>
      </c>
      <c r="GL1114" s="101">
        <f t="shared" si="563"/>
        <v>64</v>
      </c>
    </row>
    <row r="1115" spans="170:194" ht="16.5" x14ac:dyDescent="0.2">
      <c r="FN1115" s="101">
        <v>1110</v>
      </c>
      <c r="FO1115" s="101">
        <f t="shared" si="548"/>
        <v>63</v>
      </c>
      <c r="FP1115" s="101">
        <f t="shared" si="541"/>
        <v>14</v>
      </c>
      <c r="FQ1115" s="14">
        <f t="shared" si="542"/>
        <v>3</v>
      </c>
      <c r="FR1115" s="101" t="str">
        <f t="shared" si="549"/>
        <v>飞廉专属武器-魂珠-7 9级</v>
      </c>
      <c r="FS1115" s="101">
        <f t="shared" si="550"/>
        <v>7</v>
      </c>
      <c r="FT1115" s="101">
        <f t="shared" si="551"/>
        <v>9</v>
      </c>
      <c r="FU1115" s="101" t="str">
        <f t="shared" si="543"/>
        <v>金币</v>
      </c>
      <c r="FV1115" s="139">
        <f>IF($FT1115&gt;0,IF(INDEX($EI$6:$EI$77,$FO1115)&gt;=FV$3,ROUND(INDEX(EK$6:EK$77,$FO1115)*INDEX(卡牌消耗!$B$8:$F$8,FQ1115)/5,0)*5,""),"")</f>
        <v>48900</v>
      </c>
      <c r="FW1115" s="101" t="str">
        <f t="shared" si="544"/>
        <v>专属强化石3</v>
      </c>
      <c r="FX1115" s="101">
        <f t="shared" si="545"/>
        <v>30</v>
      </c>
      <c r="FY1115" s="101" t="str">
        <f t="shared" si="546"/>
        <v>专属强化石4</v>
      </c>
      <c r="FZ1115" s="101">
        <f t="shared" si="547"/>
        <v>10</v>
      </c>
      <c r="GA1115" s="101">
        <f t="shared" si="552"/>
        <v>0.02</v>
      </c>
      <c r="GB1115" s="101">
        <f t="shared" si="553"/>
        <v>1</v>
      </c>
      <c r="GC1115" s="101">
        <f t="shared" si="554"/>
        <v>83</v>
      </c>
      <c r="GD1115" s="101">
        <f t="shared" si="555"/>
        <v>0</v>
      </c>
      <c r="GE1115" s="101">
        <f t="shared" si="556"/>
        <v>1</v>
      </c>
      <c r="GF1115" s="101">
        <f t="shared" si="557"/>
        <v>19</v>
      </c>
      <c r="GG1115" s="101">
        <f t="shared" si="558"/>
        <v>8.9999999999999993E-3</v>
      </c>
      <c r="GH1115" s="101">
        <f t="shared" si="559"/>
        <v>1</v>
      </c>
      <c r="GI1115" s="101">
        <f t="shared" si="560"/>
        <v>39</v>
      </c>
      <c r="GJ1115" s="101">
        <f t="shared" si="561"/>
        <v>3.6200000000000003E-2</v>
      </c>
      <c r="GK1115" s="101">
        <f t="shared" si="562"/>
        <v>1</v>
      </c>
      <c r="GL1115" s="101">
        <f t="shared" si="563"/>
        <v>83</v>
      </c>
    </row>
    <row r="1116" spans="170:194" ht="16.5" x14ac:dyDescent="0.2">
      <c r="FN1116" s="101">
        <v>1111</v>
      </c>
      <c r="FO1116" s="101">
        <f t="shared" si="548"/>
        <v>0</v>
      </c>
      <c r="FP1116" s="101">
        <f t="shared" si="541"/>
        <v>14</v>
      </c>
      <c r="FQ1116" s="14">
        <f t="shared" si="542"/>
        <v>3</v>
      </c>
      <c r="FR1116" s="101" t="str">
        <f t="shared" si="549"/>
        <v>飞廉专属武器-魂珠-8 0级</v>
      </c>
      <c r="FS1116" s="101">
        <f t="shared" si="550"/>
        <v>8</v>
      </c>
      <c r="FT1116" s="101">
        <f t="shared" si="551"/>
        <v>0</v>
      </c>
      <c r="FU1116" s="101" t="str">
        <f t="shared" si="543"/>
        <v/>
      </c>
      <c r="FV1116" s="139" t="str">
        <f>IF($FT1116&gt;0,IF(INDEX($EI$6:$EI$77,$FO1116)&gt;=FV$3,ROUND(INDEX(EK$6:EK$77,$FO1116)*INDEX(卡牌消耗!$B$8:$F$8,FQ1116)/5,0)*5,""),"")</f>
        <v/>
      </c>
      <c r="FW1116" s="101" t="str">
        <f t="shared" si="544"/>
        <v/>
      </c>
      <c r="FX1116" s="101" t="str">
        <f t="shared" si="545"/>
        <v/>
      </c>
      <c r="FY1116" s="101" t="str">
        <f t="shared" si="546"/>
        <v/>
      </c>
      <c r="FZ1116" s="101" t="str">
        <f t="shared" si="547"/>
        <v/>
      </c>
      <c r="GA1116" s="101" t="str">
        <f t="shared" si="552"/>
        <v/>
      </c>
      <c r="GB1116" s="101" t="str">
        <f t="shared" si="553"/>
        <v/>
      </c>
      <c r="GC1116" s="101" t="str">
        <f t="shared" si="554"/>
        <v/>
      </c>
      <c r="GD1116" s="101" t="str">
        <f t="shared" si="555"/>
        <v/>
      </c>
      <c r="GE1116" s="101" t="str">
        <f t="shared" si="556"/>
        <v/>
      </c>
      <c r="GF1116" s="101" t="str">
        <f t="shared" si="557"/>
        <v/>
      </c>
      <c r="GG1116" s="101" t="str">
        <f t="shared" si="558"/>
        <v/>
      </c>
      <c r="GH1116" s="101" t="str">
        <f t="shared" si="559"/>
        <v/>
      </c>
      <c r="GI1116" s="101" t="str">
        <f t="shared" si="560"/>
        <v/>
      </c>
      <c r="GJ1116" s="101" t="str">
        <f t="shared" si="561"/>
        <v/>
      </c>
      <c r="GK1116" s="101" t="str">
        <f t="shared" si="562"/>
        <v/>
      </c>
      <c r="GL1116" s="101" t="str">
        <f t="shared" si="563"/>
        <v/>
      </c>
    </row>
    <row r="1117" spans="170:194" ht="16.5" x14ac:dyDescent="0.2">
      <c r="FN1117" s="101">
        <v>1112</v>
      </c>
      <c r="FO1117" s="101">
        <f t="shared" si="548"/>
        <v>64</v>
      </c>
      <c r="FP1117" s="101">
        <f t="shared" si="541"/>
        <v>14</v>
      </c>
      <c r="FQ1117" s="14">
        <f t="shared" si="542"/>
        <v>3</v>
      </c>
      <c r="FR1117" s="101" t="str">
        <f t="shared" si="549"/>
        <v>飞廉专属武器-魂珠-8 1级</v>
      </c>
      <c r="FS1117" s="101">
        <f t="shared" si="550"/>
        <v>8</v>
      </c>
      <c r="FT1117" s="101">
        <f t="shared" si="551"/>
        <v>1</v>
      </c>
      <c r="FU1117" s="101" t="str">
        <f t="shared" si="543"/>
        <v>金币</v>
      </c>
      <c r="FV1117" s="139">
        <f>IF($FT1117&gt;0,IF(INDEX($EI$6:$EI$77,$FO1117)&gt;=FV$3,ROUND(INDEX(EK$6:EK$77,$FO1117)*INDEX(卡牌消耗!$B$8:$F$8,FQ1117)/5,0)*5,""),"")</f>
        <v>10300</v>
      </c>
      <c r="FW1117" s="101" t="str">
        <f t="shared" si="544"/>
        <v>专属强化石4</v>
      </c>
      <c r="FX1117" s="101">
        <f t="shared" si="545"/>
        <v>5</v>
      </c>
      <c r="FY1117" s="101" t="str">
        <f t="shared" si="546"/>
        <v/>
      </c>
      <c r="FZ1117" s="101" t="str">
        <f t="shared" si="547"/>
        <v/>
      </c>
      <c r="GA1117" s="101">
        <f t="shared" si="552"/>
        <v>0.11</v>
      </c>
      <c r="GB1117" s="101">
        <f t="shared" si="553"/>
        <v>1</v>
      </c>
      <c r="GC1117" s="101">
        <f t="shared" si="554"/>
        <v>13</v>
      </c>
      <c r="GD1117" s="101">
        <f t="shared" si="555"/>
        <v>0</v>
      </c>
      <c r="GE1117" s="101">
        <f t="shared" si="556"/>
        <v>1</v>
      </c>
      <c r="GF1117" s="101">
        <f t="shared" si="557"/>
        <v>3</v>
      </c>
      <c r="GG1117" s="101">
        <f t="shared" si="558"/>
        <v>5.6500000000000002E-2</v>
      </c>
      <c r="GH1117" s="101">
        <f t="shared" si="559"/>
        <v>1</v>
      </c>
      <c r="GI1117" s="101">
        <f t="shared" si="560"/>
        <v>6</v>
      </c>
      <c r="GJ1117" s="101">
        <f t="shared" si="561"/>
        <v>0.22600000000000001</v>
      </c>
      <c r="GK1117" s="101">
        <f t="shared" si="562"/>
        <v>1</v>
      </c>
      <c r="GL1117" s="101">
        <f t="shared" si="563"/>
        <v>13</v>
      </c>
    </row>
    <row r="1118" spans="170:194" ht="16.5" x14ac:dyDescent="0.2">
      <c r="FN1118" s="101">
        <v>1113</v>
      </c>
      <c r="FO1118" s="101">
        <f t="shared" si="548"/>
        <v>65</v>
      </c>
      <c r="FP1118" s="101">
        <f t="shared" si="541"/>
        <v>14</v>
      </c>
      <c r="FQ1118" s="14">
        <f t="shared" si="542"/>
        <v>3</v>
      </c>
      <c r="FR1118" s="101" t="str">
        <f t="shared" si="549"/>
        <v>飞廉专属武器-魂珠-8 2级</v>
      </c>
      <c r="FS1118" s="101">
        <f t="shared" si="550"/>
        <v>8</v>
      </c>
      <c r="FT1118" s="101">
        <f t="shared" si="551"/>
        <v>2</v>
      </c>
      <c r="FU1118" s="101" t="str">
        <f t="shared" si="543"/>
        <v>金币</v>
      </c>
      <c r="FV1118" s="139">
        <f>IF($FT1118&gt;0,IF(INDEX($EI$6:$EI$77,$FO1118)&gt;=FV$3,ROUND(INDEX(EK$6:EK$77,$FO1118)*INDEX(卡牌消耗!$B$8:$F$8,FQ1118)/5,0)*5,""),"")</f>
        <v>12360</v>
      </c>
      <c r="FW1118" s="101" t="str">
        <f t="shared" si="544"/>
        <v>专属强化石4</v>
      </c>
      <c r="FX1118" s="101">
        <f t="shared" si="545"/>
        <v>8</v>
      </c>
      <c r="FY1118" s="101" t="str">
        <f t="shared" si="546"/>
        <v/>
      </c>
      <c r="FZ1118" s="101" t="str">
        <f t="shared" si="547"/>
        <v/>
      </c>
      <c r="GA1118" s="101">
        <f t="shared" si="552"/>
        <v>0.09</v>
      </c>
      <c r="GB1118" s="101">
        <f t="shared" si="553"/>
        <v>1</v>
      </c>
      <c r="GC1118" s="101">
        <f t="shared" si="554"/>
        <v>17</v>
      </c>
      <c r="GD1118" s="101">
        <f t="shared" si="555"/>
        <v>0</v>
      </c>
      <c r="GE1118" s="101">
        <f t="shared" si="556"/>
        <v>1</v>
      </c>
      <c r="GF1118" s="101">
        <f t="shared" si="557"/>
        <v>4</v>
      </c>
      <c r="GG1118" s="101">
        <f t="shared" si="558"/>
        <v>4.5199999999999997E-2</v>
      </c>
      <c r="GH1118" s="101">
        <f t="shared" si="559"/>
        <v>1</v>
      </c>
      <c r="GI1118" s="101">
        <f t="shared" si="560"/>
        <v>8</v>
      </c>
      <c r="GJ1118" s="101">
        <f t="shared" si="561"/>
        <v>0.18079999999999999</v>
      </c>
      <c r="GK1118" s="101">
        <f t="shared" si="562"/>
        <v>1</v>
      </c>
      <c r="GL1118" s="101">
        <f t="shared" si="563"/>
        <v>17</v>
      </c>
    </row>
    <row r="1119" spans="170:194" ht="16.5" x14ac:dyDescent="0.2">
      <c r="FN1119" s="101">
        <v>1114</v>
      </c>
      <c r="FO1119" s="101">
        <f t="shared" si="548"/>
        <v>66</v>
      </c>
      <c r="FP1119" s="101">
        <f t="shared" si="541"/>
        <v>14</v>
      </c>
      <c r="FQ1119" s="14">
        <f t="shared" si="542"/>
        <v>3</v>
      </c>
      <c r="FR1119" s="101" t="str">
        <f t="shared" si="549"/>
        <v>飞廉专属武器-魂珠-8 3级</v>
      </c>
      <c r="FS1119" s="101">
        <f t="shared" si="550"/>
        <v>8</v>
      </c>
      <c r="FT1119" s="101">
        <f t="shared" si="551"/>
        <v>3</v>
      </c>
      <c r="FU1119" s="101" t="str">
        <f t="shared" si="543"/>
        <v>金币</v>
      </c>
      <c r="FV1119" s="139">
        <f>IF($FT1119&gt;0,IF(INDEX($EI$6:$EI$77,$FO1119)&gt;=FV$3,ROUND(INDEX(EK$6:EK$77,$FO1119)*INDEX(卡牌消耗!$B$8:$F$8,FQ1119)/5,0)*5,""),"")</f>
        <v>17170</v>
      </c>
      <c r="FW1119" s="101" t="str">
        <f t="shared" si="544"/>
        <v>专属强化石4</v>
      </c>
      <c r="FX1119" s="101">
        <f t="shared" si="545"/>
        <v>10</v>
      </c>
      <c r="FY1119" s="101" t="str">
        <f t="shared" si="546"/>
        <v/>
      </c>
      <c r="FZ1119" s="101" t="str">
        <f t="shared" si="547"/>
        <v/>
      </c>
      <c r="GA1119" s="101">
        <f t="shared" si="552"/>
        <v>0.08</v>
      </c>
      <c r="GB1119" s="101">
        <f t="shared" si="553"/>
        <v>1</v>
      </c>
      <c r="GC1119" s="101">
        <f t="shared" si="554"/>
        <v>20</v>
      </c>
      <c r="GD1119" s="101">
        <f t="shared" si="555"/>
        <v>0</v>
      </c>
      <c r="GE1119" s="101">
        <f t="shared" si="556"/>
        <v>1</v>
      </c>
      <c r="GF1119" s="101">
        <f t="shared" si="557"/>
        <v>5</v>
      </c>
      <c r="GG1119" s="101">
        <f t="shared" si="558"/>
        <v>3.7699999999999997E-2</v>
      </c>
      <c r="GH1119" s="101">
        <f t="shared" si="559"/>
        <v>1</v>
      </c>
      <c r="GI1119" s="101">
        <f t="shared" si="560"/>
        <v>9</v>
      </c>
      <c r="GJ1119" s="101">
        <f t="shared" si="561"/>
        <v>0.1507</v>
      </c>
      <c r="GK1119" s="101">
        <f t="shared" si="562"/>
        <v>1</v>
      </c>
      <c r="GL1119" s="101">
        <f t="shared" si="563"/>
        <v>20</v>
      </c>
    </row>
    <row r="1120" spans="170:194" ht="16.5" x14ac:dyDescent="0.2">
      <c r="FN1120" s="101">
        <v>1115</v>
      </c>
      <c r="FO1120" s="101">
        <f t="shared" si="548"/>
        <v>67</v>
      </c>
      <c r="FP1120" s="101">
        <f t="shared" si="541"/>
        <v>14</v>
      </c>
      <c r="FQ1120" s="14">
        <f t="shared" si="542"/>
        <v>3</v>
      </c>
      <c r="FR1120" s="101" t="str">
        <f t="shared" si="549"/>
        <v>飞廉专属武器-魂珠-8 4级</v>
      </c>
      <c r="FS1120" s="101">
        <f t="shared" si="550"/>
        <v>8</v>
      </c>
      <c r="FT1120" s="101">
        <f t="shared" si="551"/>
        <v>4</v>
      </c>
      <c r="FU1120" s="101" t="str">
        <f t="shared" si="543"/>
        <v>金币</v>
      </c>
      <c r="FV1120" s="139">
        <f>IF($FT1120&gt;0,IF(INDEX($EI$6:$EI$77,$FO1120)&gt;=FV$3,ROUND(INDEX(EK$6:EK$77,$FO1120)*INDEX(卡牌消耗!$B$8:$F$8,FQ1120)/5,0)*5,""),"")</f>
        <v>19780</v>
      </c>
      <c r="FW1120" s="101" t="str">
        <f t="shared" si="544"/>
        <v>专属强化石4</v>
      </c>
      <c r="FX1120" s="101">
        <f t="shared" si="545"/>
        <v>12</v>
      </c>
      <c r="FY1120" s="101" t="str">
        <f t="shared" si="546"/>
        <v/>
      </c>
      <c r="FZ1120" s="101" t="str">
        <f t="shared" si="547"/>
        <v/>
      </c>
      <c r="GA1120" s="101">
        <f t="shared" si="552"/>
        <v>0.05</v>
      </c>
      <c r="GB1120" s="101">
        <f t="shared" si="553"/>
        <v>1</v>
      </c>
      <c r="GC1120" s="101">
        <f t="shared" si="554"/>
        <v>28</v>
      </c>
      <c r="GD1120" s="101">
        <f t="shared" si="555"/>
        <v>0</v>
      </c>
      <c r="GE1120" s="101">
        <f t="shared" si="556"/>
        <v>1</v>
      </c>
      <c r="GF1120" s="101">
        <f t="shared" si="557"/>
        <v>6</v>
      </c>
      <c r="GG1120" s="101">
        <f t="shared" si="558"/>
        <v>2.7099999999999999E-2</v>
      </c>
      <c r="GH1120" s="101">
        <f t="shared" si="559"/>
        <v>1</v>
      </c>
      <c r="GI1120" s="101">
        <f t="shared" si="560"/>
        <v>13</v>
      </c>
      <c r="GJ1120" s="101">
        <f t="shared" si="561"/>
        <v>0.1085</v>
      </c>
      <c r="GK1120" s="101">
        <f t="shared" si="562"/>
        <v>1</v>
      </c>
      <c r="GL1120" s="101">
        <f t="shared" si="563"/>
        <v>28</v>
      </c>
    </row>
    <row r="1121" spans="170:194" ht="16.5" x14ac:dyDescent="0.2">
      <c r="FN1121" s="101">
        <v>1116</v>
      </c>
      <c r="FO1121" s="101">
        <f t="shared" si="548"/>
        <v>68</v>
      </c>
      <c r="FP1121" s="101">
        <f t="shared" si="541"/>
        <v>14</v>
      </c>
      <c r="FQ1121" s="14">
        <f t="shared" si="542"/>
        <v>3</v>
      </c>
      <c r="FR1121" s="101" t="str">
        <f t="shared" si="549"/>
        <v>飞廉专属武器-魂珠-8 5级</v>
      </c>
      <c r="FS1121" s="101">
        <f t="shared" si="550"/>
        <v>8</v>
      </c>
      <c r="FT1121" s="101">
        <f t="shared" si="551"/>
        <v>5</v>
      </c>
      <c r="FU1121" s="101" t="str">
        <f t="shared" si="543"/>
        <v>金币</v>
      </c>
      <c r="FV1121" s="139">
        <f>IF($FT1121&gt;0,IF(INDEX($EI$6:$EI$77,$FO1121)&gt;=FV$3,ROUND(INDEX(EK$6:EK$77,$FO1121)*INDEX(卡牌消耗!$B$8:$F$8,FQ1121)/5,0)*5,""),"")</f>
        <v>25110</v>
      </c>
      <c r="FW1121" s="101" t="str">
        <f t="shared" si="544"/>
        <v>专属强化石4</v>
      </c>
      <c r="FX1121" s="101">
        <f t="shared" si="545"/>
        <v>15</v>
      </c>
      <c r="FY1121" s="101" t="str">
        <f t="shared" si="546"/>
        <v/>
      </c>
      <c r="FZ1121" s="101" t="str">
        <f t="shared" si="547"/>
        <v/>
      </c>
      <c r="GA1121" s="101">
        <f t="shared" si="552"/>
        <v>0.04</v>
      </c>
      <c r="GB1121" s="101">
        <f t="shared" si="553"/>
        <v>1</v>
      </c>
      <c r="GC1121" s="101">
        <f t="shared" si="554"/>
        <v>35</v>
      </c>
      <c r="GD1121" s="101">
        <f t="shared" si="555"/>
        <v>0</v>
      </c>
      <c r="GE1121" s="101">
        <f t="shared" si="556"/>
        <v>1</v>
      </c>
      <c r="GF1121" s="101">
        <f t="shared" si="557"/>
        <v>8</v>
      </c>
      <c r="GG1121" s="101">
        <f t="shared" si="558"/>
        <v>2.12E-2</v>
      </c>
      <c r="GH1121" s="101">
        <f t="shared" si="559"/>
        <v>1</v>
      </c>
      <c r="GI1121" s="101">
        <f t="shared" si="560"/>
        <v>17</v>
      </c>
      <c r="GJ1121" s="101">
        <f t="shared" si="561"/>
        <v>8.4699999999999998E-2</v>
      </c>
      <c r="GK1121" s="101">
        <f t="shared" si="562"/>
        <v>1</v>
      </c>
      <c r="GL1121" s="101">
        <f t="shared" si="563"/>
        <v>35</v>
      </c>
    </row>
    <row r="1122" spans="170:194" ht="16.5" x14ac:dyDescent="0.2">
      <c r="FN1122" s="101">
        <v>1117</v>
      </c>
      <c r="FO1122" s="101">
        <f t="shared" si="548"/>
        <v>69</v>
      </c>
      <c r="FP1122" s="101">
        <f t="shared" si="541"/>
        <v>14</v>
      </c>
      <c r="FQ1122" s="14">
        <f t="shared" si="542"/>
        <v>3</v>
      </c>
      <c r="FR1122" s="101" t="str">
        <f t="shared" si="549"/>
        <v>飞廉专属武器-魂珠-8 6级</v>
      </c>
      <c r="FS1122" s="101">
        <f t="shared" si="550"/>
        <v>8</v>
      </c>
      <c r="FT1122" s="101">
        <f t="shared" si="551"/>
        <v>6</v>
      </c>
      <c r="FU1122" s="101" t="str">
        <f t="shared" si="543"/>
        <v>金币</v>
      </c>
      <c r="FV1122" s="139">
        <f>IF($FT1122&gt;0,IF(INDEX($EI$6:$EI$77,$FO1122)&gt;=FV$3,ROUND(INDEX(EK$6:EK$77,$FO1122)*INDEX(卡牌消耗!$B$8:$F$8,FQ1122)/5,0)*5,""),"")</f>
        <v>29955</v>
      </c>
      <c r="FW1122" s="101" t="str">
        <f t="shared" si="544"/>
        <v>专属强化石4</v>
      </c>
      <c r="FX1122" s="101">
        <f t="shared" si="545"/>
        <v>18</v>
      </c>
      <c r="FY1122" s="101" t="str">
        <f t="shared" si="546"/>
        <v/>
      </c>
      <c r="FZ1122" s="101" t="str">
        <f t="shared" si="547"/>
        <v/>
      </c>
      <c r="GA1122" s="101">
        <f t="shared" si="552"/>
        <v>0.03</v>
      </c>
      <c r="GB1122" s="101">
        <f t="shared" si="553"/>
        <v>1</v>
      </c>
      <c r="GC1122" s="101">
        <f t="shared" si="554"/>
        <v>48</v>
      </c>
      <c r="GD1122" s="101">
        <f t="shared" si="555"/>
        <v>0</v>
      </c>
      <c r="GE1122" s="101">
        <f t="shared" si="556"/>
        <v>1</v>
      </c>
      <c r="GF1122" s="101">
        <f t="shared" si="557"/>
        <v>11</v>
      </c>
      <c r="GG1122" s="101">
        <f t="shared" si="558"/>
        <v>1.5599999999999999E-2</v>
      </c>
      <c r="GH1122" s="101">
        <f t="shared" si="559"/>
        <v>1</v>
      </c>
      <c r="GI1122" s="101">
        <f t="shared" si="560"/>
        <v>22</v>
      </c>
      <c r="GJ1122" s="101">
        <f t="shared" si="561"/>
        <v>6.2600000000000003E-2</v>
      </c>
      <c r="GK1122" s="101">
        <f t="shared" si="562"/>
        <v>1</v>
      </c>
      <c r="GL1122" s="101">
        <f t="shared" si="563"/>
        <v>48</v>
      </c>
    </row>
    <row r="1123" spans="170:194" ht="16.5" x14ac:dyDescent="0.2">
      <c r="FN1123" s="101">
        <v>1118</v>
      </c>
      <c r="FO1123" s="101">
        <f t="shared" si="548"/>
        <v>70</v>
      </c>
      <c r="FP1123" s="101">
        <f t="shared" si="541"/>
        <v>14</v>
      </c>
      <c r="FQ1123" s="14">
        <f t="shared" si="542"/>
        <v>3</v>
      </c>
      <c r="FR1123" s="101" t="str">
        <f t="shared" si="549"/>
        <v>飞廉专属武器-魂珠-8 7级</v>
      </c>
      <c r="FS1123" s="101">
        <f t="shared" si="550"/>
        <v>8</v>
      </c>
      <c r="FT1123" s="101">
        <f t="shared" si="551"/>
        <v>7</v>
      </c>
      <c r="FU1123" s="101" t="str">
        <f t="shared" si="543"/>
        <v>金币</v>
      </c>
      <c r="FV1123" s="139">
        <f>IF($FT1123&gt;0,IF(INDEX($EI$6:$EI$77,$FO1123)&gt;=FV$3,ROUND(INDEX(EK$6:EK$77,$FO1123)*INDEX(卡牌消耗!$B$8:$F$8,FQ1123)/5,0)*5,""),"")</f>
        <v>41700</v>
      </c>
      <c r="FW1123" s="101" t="str">
        <f t="shared" si="544"/>
        <v>专属强化石4</v>
      </c>
      <c r="FX1123" s="101">
        <f t="shared" si="545"/>
        <v>25</v>
      </c>
      <c r="FY1123" s="101" t="str">
        <f t="shared" si="546"/>
        <v/>
      </c>
      <c r="FZ1123" s="101" t="str">
        <f t="shared" si="547"/>
        <v/>
      </c>
      <c r="GA1123" s="101">
        <f t="shared" si="552"/>
        <v>0.03</v>
      </c>
      <c r="GB1123" s="101">
        <f t="shared" si="553"/>
        <v>1</v>
      </c>
      <c r="GC1123" s="101">
        <f t="shared" si="554"/>
        <v>56</v>
      </c>
      <c r="GD1123" s="101">
        <f t="shared" si="555"/>
        <v>0</v>
      </c>
      <c r="GE1123" s="101">
        <f t="shared" si="556"/>
        <v>1</v>
      </c>
      <c r="GF1123" s="101">
        <f t="shared" si="557"/>
        <v>13</v>
      </c>
      <c r="GG1123" s="101">
        <f t="shared" si="558"/>
        <v>1.35E-2</v>
      </c>
      <c r="GH1123" s="101">
        <f t="shared" si="559"/>
        <v>1</v>
      </c>
      <c r="GI1123" s="101">
        <f t="shared" si="560"/>
        <v>26</v>
      </c>
      <c r="GJ1123" s="101">
        <f t="shared" si="561"/>
        <v>5.3800000000000001E-2</v>
      </c>
      <c r="GK1123" s="101">
        <f t="shared" si="562"/>
        <v>1</v>
      </c>
      <c r="GL1123" s="101">
        <f t="shared" si="563"/>
        <v>56</v>
      </c>
    </row>
    <row r="1124" spans="170:194" ht="16.5" x14ac:dyDescent="0.2">
      <c r="FN1124" s="101">
        <v>1119</v>
      </c>
      <c r="FO1124" s="101">
        <f t="shared" si="548"/>
        <v>71</v>
      </c>
      <c r="FP1124" s="101">
        <f t="shared" si="541"/>
        <v>14</v>
      </c>
      <c r="FQ1124" s="14">
        <f t="shared" si="542"/>
        <v>3</v>
      </c>
      <c r="FR1124" s="101" t="str">
        <f t="shared" si="549"/>
        <v>飞廉专属武器-魂珠-8 8级</v>
      </c>
      <c r="FS1124" s="101">
        <f t="shared" si="550"/>
        <v>8</v>
      </c>
      <c r="FT1124" s="101">
        <f t="shared" si="551"/>
        <v>8</v>
      </c>
      <c r="FU1124" s="101" t="str">
        <f t="shared" si="543"/>
        <v>金币</v>
      </c>
      <c r="FV1124" s="139">
        <f>IF($FT1124&gt;0,IF(INDEX($EI$6:$EI$77,$FO1124)&gt;=FV$3,ROUND(INDEX(EK$6:EK$77,$FO1124)*INDEX(卡牌消耗!$B$8:$F$8,FQ1124)/5,0)*5,""),"")</f>
        <v>49995</v>
      </c>
      <c r="FW1124" s="101" t="str">
        <f t="shared" si="544"/>
        <v>专属强化石4</v>
      </c>
      <c r="FX1124" s="101">
        <f t="shared" si="545"/>
        <v>30</v>
      </c>
      <c r="FY1124" s="101" t="str">
        <f t="shared" si="546"/>
        <v/>
      </c>
      <c r="FZ1124" s="101" t="str">
        <f t="shared" si="547"/>
        <v/>
      </c>
      <c r="GA1124" s="101">
        <f t="shared" si="552"/>
        <v>0.02</v>
      </c>
      <c r="GB1124" s="101">
        <f t="shared" si="553"/>
        <v>1</v>
      </c>
      <c r="GC1124" s="101">
        <f t="shared" si="554"/>
        <v>75</v>
      </c>
      <c r="GD1124" s="101">
        <f t="shared" si="555"/>
        <v>0</v>
      </c>
      <c r="GE1124" s="101">
        <f t="shared" si="556"/>
        <v>1</v>
      </c>
      <c r="GF1124" s="101">
        <f t="shared" si="557"/>
        <v>18</v>
      </c>
      <c r="GG1124" s="101">
        <f t="shared" si="558"/>
        <v>0.01</v>
      </c>
      <c r="GH1124" s="101">
        <f t="shared" si="559"/>
        <v>1</v>
      </c>
      <c r="GI1124" s="101">
        <f t="shared" si="560"/>
        <v>35</v>
      </c>
      <c r="GJ1124" s="101">
        <f t="shared" si="561"/>
        <v>3.9899999999999998E-2</v>
      </c>
      <c r="GK1124" s="101">
        <f t="shared" si="562"/>
        <v>1</v>
      </c>
      <c r="GL1124" s="101">
        <f t="shared" si="563"/>
        <v>75</v>
      </c>
    </row>
    <row r="1125" spans="170:194" ht="16.5" x14ac:dyDescent="0.2">
      <c r="FN1125" s="101">
        <v>1120</v>
      </c>
      <c r="FO1125" s="101">
        <f t="shared" si="548"/>
        <v>72</v>
      </c>
      <c r="FP1125" s="101">
        <f t="shared" si="541"/>
        <v>14</v>
      </c>
      <c r="FQ1125" s="14">
        <f t="shared" si="542"/>
        <v>3</v>
      </c>
      <c r="FR1125" s="101" t="str">
        <f t="shared" si="549"/>
        <v>飞廉专属武器-魂珠-8 9级</v>
      </c>
      <c r="FS1125" s="101">
        <f t="shared" si="550"/>
        <v>8</v>
      </c>
      <c r="FT1125" s="101">
        <f t="shared" si="551"/>
        <v>9</v>
      </c>
      <c r="FU1125" s="101" t="str">
        <f t="shared" si="543"/>
        <v>金币</v>
      </c>
      <c r="FV1125" s="139">
        <f>IF($FT1125&gt;0,IF(INDEX($EI$6:$EI$77,$FO1125)&gt;=FV$3,ROUND(INDEX(EK$6:EK$77,$FO1125)*INDEX(卡牌消耗!$B$8:$F$8,FQ1125)/5,0)*5,""),"")</f>
        <v>50010</v>
      </c>
      <c r="FW1125" s="101" t="str">
        <f t="shared" si="544"/>
        <v>专属强化石4</v>
      </c>
      <c r="FX1125" s="101">
        <f t="shared" si="545"/>
        <v>30</v>
      </c>
      <c r="FY1125" s="101" t="str">
        <f t="shared" si="546"/>
        <v/>
      </c>
      <c r="FZ1125" s="101" t="str">
        <f t="shared" si="547"/>
        <v/>
      </c>
      <c r="GA1125" s="101">
        <f t="shared" si="552"/>
        <v>0.01</v>
      </c>
      <c r="GB1125" s="101">
        <f t="shared" si="553"/>
        <v>1</v>
      </c>
      <c r="GC1125" s="101">
        <f t="shared" si="554"/>
        <v>122</v>
      </c>
      <c r="GD1125" s="101">
        <f t="shared" si="555"/>
        <v>0</v>
      </c>
      <c r="GE1125" s="101">
        <f t="shared" si="556"/>
        <v>1</v>
      </c>
      <c r="GF1125" s="101">
        <f t="shared" si="557"/>
        <v>28</v>
      </c>
      <c r="GG1125" s="101">
        <f t="shared" si="558"/>
        <v>6.1999999999999998E-3</v>
      </c>
      <c r="GH1125" s="101">
        <f t="shared" si="559"/>
        <v>1</v>
      </c>
      <c r="GI1125" s="101">
        <f t="shared" si="560"/>
        <v>57</v>
      </c>
      <c r="GJ1125" s="101">
        <f t="shared" si="561"/>
        <v>2.47E-2</v>
      </c>
      <c r="GK1125" s="101">
        <f t="shared" si="562"/>
        <v>1</v>
      </c>
      <c r="GL1125" s="101">
        <f t="shared" si="563"/>
        <v>122</v>
      </c>
    </row>
    <row r="1126" spans="170:194" ht="16.5" x14ac:dyDescent="0.2">
      <c r="FN1126" s="101">
        <v>1121</v>
      </c>
      <c r="FO1126" s="101">
        <f t="shared" si="548"/>
        <v>0</v>
      </c>
      <c r="FP1126" s="101">
        <f t="shared" si="541"/>
        <v>15</v>
      </c>
      <c r="FQ1126" s="14">
        <f t="shared" si="542"/>
        <v>3</v>
      </c>
      <c r="FR1126" s="101" t="str">
        <f t="shared" si="549"/>
        <v>高顺专属武器-魂珠-1 0级</v>
      </c>
      <c r="FS1126" s="101">
        <f t="shared" si="550"/>
        <v>1</v>
      </c>
      <c r="FT1126" s="101">
        <f t="shared" si="551"/>
        <v>0</v>
      </c>
      <c r="FU1126" s="101" t="str">
        <f t="shared" si="543"/>
        <v/>
      </c>
      <c r="FV1126" s="139" t="str">
        <f>IF($FT1126&gt;0,IF(INDEX($EI$6:$EI$77,$FO1126)&gt;=FV$3,ROUND(INDEX(EK$6:EK$77,$FO1126)*INDEX(卡牌消耗!$B$8:$F$8,FQ1126)/5,0)*5,""),"")</f>
        <v/>
      </c>
      <c r="FW1126" s="101" t="str">
        <f t="shared" si="544"/>
        <v/>
      </c>
      <c r="FX1126" s="101" t="str">
        <f t="shared" si="545"/>
        <v/>
      </c>
      <c r="FY1126" s="101" t="str">
        <f t="shared" si="546"/>
        <v/>
      </c>
      <c r="FZ1126" s="101" t="str">
        <f t="shared" si="547"/>
        <v/>
      </c>
      <c r="GA1126" s="101" t="str">
        <f t="shared" si="552"/>
        <v/>
      </c>
      <c r="GB1126" s="101" t="str">
        <f t="shared" si="553"/>
        <v/>
      </c>
      <c r="GC1126" s="101" t="str">
        <f t="shared" si="554"/>
        <v/>
      </c>
      <c r="GD1126" s="101" t="str">
        <f t="shared" si="555"/>
        <v/>
      </c>
      <c r="GE1126" s="101" t="str">
        <f t="shared" si="556"/>
        <v/>
      </c>
      <c r="GF1126" s="101" t="str">
        <f t="shared" si="557"/>
        <v/>
      </c>
      <c r="GG1126" s="101" t="str">
        <f t="shared" si="558"/>
        <v/>
      </c>
      <c r="GH1126" s="101" t="str">
        <f t="shared" si="559"/>
        <v/>
      </c>
      <c r="GI1126" s="101" t="str">
        <f t="shared" si="560"/>
        <v/>
      </c>
      <c r="GJ1126" s="101" t="str">
        <f t="shared" si="561"/>
        <v/>
      </c>
      <c r="GK1126" s="101" t="str">
        <f t="shared" si="562"/>
        <v/>
      </c>
      <c r="GL1126" s="101" t="str">
        <f t="shared" si="563"/>
        <v/>
      </c>
    </row>
    <row r="1127" spans="170:194" ht="16.5" x14ac:dyDescent="0.2">
      <c r="FN1127" s="101">
        <v>1122</v>
      </c>
      <c r="FO1127" s="101">
        <f t="shared" si="548"/>
        <v>1</v>
      </c>
      <c r="FP1127" s="101">
        <f t="shared" si="541"/>
        <v>15</v>
      </c>
      <c r="FQ1127" s="14">
        <f t="shared" si="542"/>
        <v>3</v>
      </c>
      <c r="FR1127" s="101" t="str">
        <f t="shared" si="549"/>
        <v>高顺专属武器-魂珠-1 1级</v>
      </c>
      <c r="FS1127" s="101">
        <f t="shared" si="550"/>
        <v>1</v>
      </c>
      <c r="FT1127" s="101">
        <f t="shared" si="551"/>
        <v>1</v>
      </c>
      <c r="FU1127" s="101" t="str">
        <f t="shared" si="543"/>
        <v>金币</v>
      </c>
      <c r="FV1127" s="139">
        <f>IF($FT1127&gt;0,IF(INDEX($EI$6:$EI$77,$FO1127)&gt;=FV$3,ROUND(INDEX(EK$6:EK$77,$FO1127)*INDEX(卡牌消耗!$B$8:$F$8,FQ1127)/5,0)*5,""),"")</f>
        <v>95</v>
      </c>
      <c r="FW1127" s="101" t="str">
        <f t="shared" si="544"/>
        <v>专属强化石1</v>
      </c>
      <c r="FX1127" s="101">
        <f t="shared" si="545"/>
        <v>1</v>
      </c>
      <c r="FY1127" s="101" t="str">
        <f t="shared" si="546"/>
        <v/>
      </c>
      <c r="FZ1127" s="101" t="str">
        <f t="shared" si="547"/>
        <v/>
      </c>
      <c r="GA1127" s="101">
        <f t="shared" si="552"/>
        <v>0.32</v>
      </c>
      <c r="GB1127" s="101">
        <f t="shared" si="553"/>
        <v>1</v>
      </c>
      <c r="GC1127" s="101">
        <f t="shared" si="554"/>
        <v>5</v>
      </c>
      <c r="GD1127" s="101">
        <f t="shared" si="555"/>
        <v>0</v>
      </c>
      <c r="GE1127" s="101">
        <f t="shared" si="556"/>
        <v>1</v>
      </c>
      <c r="GF1127" s="101">
        <f t="shared" si="557"/>
        <v>1</v>
      </c>
      <c r="GG1127" s="101">
        <f t="shared" si="558"/>
        <v>0.1595</v>
      </c>
      <c r="GH1127" s="101">
        <f t="shared" si="559"/>
        <v>1</v>
      </c>
      <c r="GI1127" s="101">
        <f t="shared" si="560"/>
        <v>2</v>
      </c>
      <c r="GJ1127" s="101">
        <f t="shared" si="561"/>
        <v>0.63819999999999999</v>
      </c>
      <c r="GK1127" s="101">
        <f t="shared" si="562"/>
        <v>1</v>
      </c>
      <c r="GL1127" s="101">
        <f t="shared" si="563"/>
        <v>5</v>
      </c>
    </row>
    <row r="1128" spans="170:194" ht="16.5" x14ac:dyDescent="0.2">
      <c r="FN1128" s="101">
        <v>1123</v>
      </c>
      <c r="FO1128" s="101">
        <f t="shared" si="548"/>
        <v>2</v>
      </c>
      <c r="FP1128" s="101">
        <f t="shared" si="541"/>
        <v>15</v>
      </c>
      <c r="FQ1128" s="14">
        <f t="shared" si="542"/>
        <v>3</v>
      </c>
      <c r="FR1128" s="101" t="str">
        <f t="shared" si="549"/>
        <v>高顺专属武器-魂珠-1 2级</v>
      </c>
      <c r="FS1128" s="101">
        <f t="shared" si="550"/>
        <v>1</v>
      </c>
      <c r="FT1128" s="101">
        <f t="shared" si="551"/>
        <v>2</v>
      </c>
      <c r="FU1128" s="101" t="str">
        <f t="shared" si="543"/>
        <v>金币</v>
      </c>
      <c r="FV1128" s="139">
        <f>IF($FT1128&gt;0,IF(INDEX($EI$6:$EI$77,$FO1128)&gt;=FV$3,ROUND(INDEX(EK$6:EK$77,$FO1128)*INDEX(卡牌消耗!$B$8:$F$8,FQ1128)/5,0)*5,""),"")</f>
        <v>140</v>
      </c>
      <c r="FW1128" s="101" t="str">
        <f t="shared" si="544"/>
        <v>专属强化石1</v>
      </c>
      <c r="FX1128" s="101">
        <f t="shared" si="545"/>
        <v>2</v>
      </c>
      <c r="FY1128" s="101" t="str">
        <f t="shared" si="546"/>
        <v/>
      </c>
      <c r="FZ1128" s="101" t="str">
        <f t="shared" si="547"/>
        <v/>
      </c>
      <c r="GA1128" s="101">
        <f t="shared" si="552"/>
        <v>0.32</v>
      </c>
      <c r="GB1128" s="101">
        <f t="shared" si="553"/>
        <v>1</v>
      </c>
      <c r="GC1128" s="101">
        <f t="shared" si="554"/>
        <v>5</v>
      </c>
      <c r="GD1128" s="101">
        <f t="shared" si="555"/>
        <v>0</v>
      </c>
      <c r="GE1128" s="101">
        <f t="shared" si="556"/>
        <v>1</v>
      </c>
      <c r="GF1128" s="101">
        <f t="shared" si="557"/>
        <v>1</v>
      </c>
      <c r="GG1128" s="101">
        <f t="shared" si="558"/>
        <v>0.1595</v>
      </c>
      <c r="GH1128" s="101">
        <f t="shared" si="559"/>
        <v>1</v>
      </c>
      <c r="GI1128" s="101">
        <f t="shared" si="560"/>
        <v>2</v>
      </c>
      <c r="GJ1128" s="101">
        <f t="shared" si="561"/>
        <v>0.63819999999999999</v>
      </c>
      <c r="GK1128" s="101">
        <f t="shared" si="562"/>
        <v>1</v>
      </c>
      <c r="GL1128" s="101">
        <f t="shared" si="563"/>
        <v>5</v>
      </c>
    </row>
    <row r="1129" spans="170:194" ht="16.5" x14ac:dyDescent="0.2">
      <c r="FN1129" s="101">
        <v>1124</v>
      </c>
      <c r="FO1129" s="101">
        <f t="shared" si="548"/>
        <v>3</v>
      </c>
      <c r="FP1129" s="101">
        <f t="shared" si="541"/>
        <v>15</v>
      </c>
      <c r="FQ1129" s="14">
        <f t="shared" si="542"/>
        <v>3</v>
      </c>
      <c r="FR1129" s="101" t="str">
        <f t="shared" si="549"/>
        <v>高顺专属武器-魂珠-1 3级</v>
      </c>
      <c r="FS1129" s="101">
        <f t="shared" si="550"/>
        <v>1</v>
      </c>
      <c r="FT1129" s="101">
        <f t="shared" si="551"/>
        <v>3</v>
      </c>
      <c r="FU1129" s="101" t="str">
        <f t="shared" si="543"/>
        <v>金币</v>
      </c>
      <c r="FV1129" s="139">
        <f>IF($FT1129&gt;0,IF(INDEX($EI$6:$EI$77,$FO1129)&gt;=FV$3,ROUND(INDEX(EK$6:EK$77,$FO1129)*INDEX(卡牌消耗!$B$8:$F$8,FQ1129)/5,0)*5,""),"")</f>
        <v>235</v>
      </c>
      <c r="FW1129" s="101" t="str">
        <f t="shared" si="544"/>
        <v>专属强化石1</v>
      </c>
      <c r="FX1129" s="101">
        <f t="shared" si="545"/>
        <v>3</v>
      </c>
      <c r="FY1129" s="101" t="str">
        <f t="shared" si="546"/>
        <v/>
      </c>
      <c r="FZ1129" s="101" t="str">
        <f t="shared" si="547"/>
        <v/>
      </c>
      <c r="GA1129" s="101">
        <f t="shared" si="552"/>
        <v>0.32</v>
      </c>
      <c r="GB1129" s="101">
        <f t="shared" si="553"/>
        <v>1</v>
      </c>
      <c r="GC1129" s="101">
        <f t="shared" si="554"/>
        <v>5</v>
      </c>
      <c r="GD1129" s="101">
        <f t="shared" si="555"/>
        <v>0</v>
      </c>
      <c r="GE1129" s="101">
        <f t="shared" si="556"/>
        <v>1</v>
      </c>
      <c r="GF1129" s="101">
        <f t="shared" si="557"/>
        <v>1</v>
      </c>
      <c r="GG1129" s="101">
        <f t="shared" si="558"/>
        <v>0.1595</v>
      </c>
      <c r="GH1129" s="101">
        <f t="shared" si="559"/>
        <v>1</v>
      </c>
      <c r="GI1129" s="101">
        <f t="shared" si="560"/>
        <v>2</v>
      </c>
      <c r="GJ1129" s="101">
        <f t="shared" si="561"/>
        <v>0.63819999999999999</v>
      </c>
      <c r="GK1129" s="101">
        <f t="shared" si="562"/>
        <v>1</v>
      </c>
      <c r="GL1129" s="101">
        <f t="shared" si="563"/>
        <v>5</v>
      </c>
    </row>
    <row r="1130" spans="170:194" ht="16.5" x14ac:dyDescent="0.2">
      <c r="FN1130" s="101">
        <v>1125</v>
      </c>
      <c r="FO1130" s="101">
        <f t="shared" si="548"/>
        <v>4</v>
      </c>
      <c r="FP1130" s="101">
        <f t="shared" si="541"/>
        <v>15</v>
      </c>
      <c r="FQ1130" s="14">
        <f t="shared" si="542"/>
        <v>3</v>
      </c>
      <c r="FR1130" s="101" t="str">
        <f t="shared" si="549"/>
        <v>高顺专属武器-魂珠-1 4级</v>
      </c>
      <c r="FS1130" s="101">
        <f t="shared" si="550"/>
        <v>1</v>
      </c>
      <c r="FT1130" s="101">
        <f t="shared" si="551"/>
        <v>4</v>
      </c>
      <c r="FU1130" s="101" t="str">
        <f t="shared" si="543"/>
        <v>金币</v>
      </c>
      <c r="FV1130" s="139">
        <f>IF($FT1130&gt;0,IF(INDEX($EI$6:$EI$77,$FO1130)&gt;=FV$3,ROUND(INDEX(EK$6:EK$77,$FO1130)*INDEX(卡牌消耗!$B$8:$F$8,FQ1130)/5,0)*5,""),"")</f>
        <v>305</v>
      </c>
      <c r="FW1130" s="101" t="str">
        <f t="shared" si="544"/>
        <v>专属强化石1</v>
      </c>
      <c r="FX1130" s="101">
        <f t="shared" si="545"/>
        <v>4</v>
      </c>
      <c r="FY1130" s="101" t="str">
        <f t="shared" si="546"/>
        <v/>
      </c>
      <c r="FZ1130" s="101" t="str">
        <f t="shared" si="547"/>
        <v/>
      </c>
      <c r="GA1130" s="101">
        <f t="shared" si="552"/>
        <v>0.26</v>
      </c>
      <c r="GB1130" s="101">
        <f t="shared" si="553"/>
        <v>1</v>
      </c>
      <c r="GC1130" s="101">
        <f t="shared" si="554"/>
        <v>6</v>
      </c>
      <c r="GD1130" s="101">
        <f t="shared" si="555"/>
        <v>0</v>
      </c>
      <c r="GE1130" s="101">
        <f t="shared" si="556"/>
        <v>1</v>
      </c>
      <c r="GF1130" s="101">
        <f t="shared" si="557"/>
        <v>1</v>
      </c>
      <c r="GG1130" s="101">
        <f t="shared" si="558"/>
        <v>0.12759999999999999</v>
      </c>
      <c r="GH1130" s="101">
        <f t="shared" si="559"/>
        <v>1</v>
      </c>
      <c r="GI1130" s="101">
        <f t="shared" si="560"/>
        <v>3</v>
      </c>
      <c r="GJ1130" s="101">
        <f t="shared" si="561"/>
        <v>0.51060000000000005</v>
      </c>
      <c r="GK1130" s="101">
        <f t="shared" si="562"/>
        <v>1</v>
      </c>
      <c r="GL1130" s="101">
        <f t="shared" si="563"/>
        <v>6</v>
      </c>
    </row>
    <row r="1131" spans="170:194" ht="16.5" x14ac:dyDescent="0.2">
      <c r="FN1131" s="101">
        <v>1126</v>
      </c>
      <c r="FO1131" s="101">
        <f t="shared" si="548"/>
        <v>5</v>
      </c>
      <c r="FP1131" s="101">
        <f t="shared" si="541"/>
        <v>15</v>
      </c>
      <c r="FQ1131" s="14">
        <f t="shared" si="542"/>
        <v>3</v>
      </c>
      <c r="FR1131" s="101" t="str">
        <f t="shared" si="549"/>
        <v>高顺专属武器-魂珠-1 5级</v>
      </c>
      <c r="FS1131" s="101">
        <f t="shared" si="550"/>
        <v>1</v>
      </c>
      <c r="FT1131" s="101">
        <f t="shared" si="551"/>
        <v>5</v>
      </c>
      <c r="FU1131" s="101" t="str">
        <f t="shared" si="543"/>
        <v>金币</v>
      </c>
      <c r="FV1131" s="139">
        <f>IF($FT1131&gt;0,IF(INDEX($EI$6:$EI$77,$FO1131)&gt;=FV$3,ROUND(INDEX(EK$6:EK$77,$FO1131)*INDEX(卡牌消耗!$B$8:$F$8,FQ1131)/5,0)*5,""),"")</f>
        <v>385</v>
      </c>
      <c r="FW1131" s="101" t="str">
        <f t="shared" si="544"/>
        <v>专属强化石1</v>
      </c>
      <c r="FX1131" s="101">
        <f t="shared" si="545"/>
        <v>5</v>
      </c>
      <c r="FY1131" s="101" t="str">
        <f t="shared" si="546"/>
        <v/>
      </c>
      <c r="FZ1131" s="101" t="str">
        <f t="shared" si="547"/>
        <v/>
      </c>
      <c r="GA1131" s="101">
        <f t="shared" si="552"/>
        <v>0.2</v>
      </c>
      <c r="GB1131" s="101">
        <f t="shared" si="553"/>
        <v>1</v>
      </c>
      <c r="GC1131" s="101">
        <f t="shared" si="554"/>
        <v>8</v>
      </c>
      <c r="GD1131" s="101">
        <f t="shared" si="555"/>
        <v>0</v>
      </c>
      <c r="GE1131" s="101">
        <f t="shared" si="556"/>
        <v>1</v>
      </c>
      <c r="GF1131" s="101">
        <f t="shared" si="557"/>
        <v>2</v>
      </c>
      <c r="GG1131" s="101">
        <f t="shared" si="558"/>
        <v>9.9699999999999997E-2</v>
      </c>
      <c r="GH1131" s="101">
        <f t="shared" si="559"/>
        <v>1</v>
      </c>
      <c r="GI1131" s="101">
        <f t="shared" si="560"/>
        <v>4</v>
      </c>
      <c r="GJ1131" s="101">
        <f t="shared" si="561"/>
        <v>0.39889999999999998</v>
      </c>
      <c r="GK1131" s="101">
        <f t="shared" si="562"/>
        <v>1</v>
      </c>
      <c r="GL1131" s="101">
        <f t="shared" si="563"/>
        <v>8</v>
      </c>
    </row>
    <row r="1132" spans="170:194" ht="16.5" x14ac:dyDescent="0.2">
      <c r="FN1132" s="101">
        <v>1127</v>
      </c>
      <c r="FO1132" s="101">
        <f t="shared" si="548"/>
        <v>6</v>
      </c>
      <c r="FP1132" s="101">
        <f t="shared" si="541"/>
        <v>15</v>
      </c>
      <c r="FQ1132" s="14">
        <f t="shared" si="542"/>
        <v>3</v>
      </c>
      <c r="FR1132" s="101" t="str">
        <f t="shared" si="549"/>
        <v>高顺专属武器-魂珠-1 6级</v>
      </c>
      <c r="FS1132" s="101">
        <f t="shared" si="550"/>
        <v>1</v>
      </c>
      <c r="FT1132" s="101">
        <f t="shared" si="551"/>
        <v>6</v>
      </c>
      <c r="FU1132" s="101" t="str">
        <f t="shared" si="543"/>
        <v>金币</v>
      </c>
      <c r="FV1132" s="139">
        <f>IF($FT1132&gt;0,IF(INDEX($EI$6:$EI$77,$FO1132)&gt;=FV$3,ROUND(INDEX(EK$6:EK$77,$FO1132)*INDEX(卡牌消耗!$B$8:$F$8,FQ1132)/5,0)*5,""),"")</f>
        <v>460</v>
      </c>
      <c r="FW1132" s="101" t="str">
        <f t="shared" si="544"/>
        <v>专属强化石1</v>
      </c>
      <c r="FX1132" s="101">
        <f t="shared" si="545"/>
        <v>6</v>
      </c>
      <c r="FY1132" s="101" t="str">
        <f t="shared" si="546"/>
        <v/>
      </c>
      <c r="FZ1132" s="101" t="str">
        <f t="shared" si="547"/>
        <v/>
      </c>
      <c r="GA1132" s="101">
        <f t="shared" si="552"/>
        <v>0.15</v>
      </c>
      <c r="GB1132" s="101">
        <f t="shared" si="553"/>
        <v>1</v>
      </c>
      <c r="GC1132" s="101">
        <f t="shared" si="554"/>
        <v>10</v>
      </c>
      <c r="GD1132" s="101">
        <f t="shared" si="555"/>
        <v>0</v>
      </c>
      <c r="GE1132" s="101">
        <f t="shared" si="556"/>
        <v>1</v>
      </c>
      <c r="GF1132" s="101">
        <f t="shared" si="557"/>
        <v>2</v>
      </c>
      <c r="GG1132" s="101">
        <f t="shared" si="558"/>
        <v>7.3599999999999999E-2</v>
      </c>
      <c r="GH1132" s="101">
        <f t="shared" si="559"/>
        <v>1</v>
      </c>
      <c r="GI1132" s="101">
        <f t="shared" si="560"/>
        <v>5</v>
      </c>
      <c r="GJ1132" s="101">
        <f t="shared" si="561"/>
        <v>0.29459999999999997</v>
      </c>
      <c r="GK1132" s="101">
        <f t="shared" si="562"/>
        <v>1</v>
      </c>
      <c r="GL1132" s="101">
        <f t="shared" si="563"/>
        <v>10</v>
      </c>
    </row>
    <row r="1133" spans="170:194" ht="16.5" x14ac:dyDescent="0.2">
      <c r="FN1133" s="101">
        <v>1128</v>
      </c>
      <c r="FO1133" s="101">
        <f t="shared" si="548"/>
        <v>7</v>
      </c>
      <c r="FP1133" s="101">
        <f t="shared" si="541"/>
        <v>15</v>
      </c>
      <c r="FQ1133" s="14">
        <f t="shared" si="542"/>
        <v>3</v>
      </c>
      <c r="FR1133" s="101" t="str">
        <f t="shared" si="549"/>
        <v>高顺专属武器-魂珠-1 7级</v>
      </c>
      <c r="FS1133" s="101">
        <f t="shared" si="550"/>
        <v>1</v>
      </c>
      <c r="FT1133" s="101">
        <f t="shared" si="551"/>
        <v>7</v>
      </c>
      <c r="FU1133" s="101" t="str">
        <f t="shared" si="543"/>
        <v>金币</v>
      </c>
      <c r="FV1133" s="139">
        <f>IF($FT1133&gt;0,IF(INDEX($EI$6:$EI$77,$FO1133)&gt;=FV$3,ROUND(INDEX(EK$6:EK$77,$FO1133)*INDEX(卡牌消耗!$B$8:$F$8,FQ1133)/5,0)*5,""),"")</f>
        <v>535</v>
      </c>
      <c r="FW1133" s="101" t="str">
        <f t="shared" si="544"/>
        <v>专属强化石1</v>
      </c>
      <c r="FX1133" s="101">
        <f t="shared" si="545"/>
        <v>7</v>
      </c>
      <c r="FY1133" s="101" t="str">
        <f t="shared" si="546"/>
        <v/>
      </c>
      <c r="FZ1133" s="101" t="str">
        <f t="shared" si="547"/>
        <v/>
      </c>
      <c r="GA1133" s="101">
        <f t="shared" si="552"/>
        <v>0.11</v>
      </c>
      <c r="GB1133" s="101">
        <f t="shared" si="553"/>
        <v>1</v>
      </c>
      <c r="GC1133" s="101">
        <f t="shared" si="554"/>
        <v>14</v>
      </c>
      <c r="GD1133" s="101">
        <f t="shared" si="555"/>
        <v>0</v>
      </c>
      <c r="GE1133" s="101">
        <f t="shared" si="556"/>
        <v>1</v>
      </c>
      <c r="GF1133" s="101">
        <f t="shared" si="557"/>
        <v>3</v>
      </c>
      <c r="GG1133" s="101">
        <f t="shared" si="558"/>
        <v>5.3199999999999997E-2</v>
      </c>
      <c r="GH1133" s="101">
        <f t="shared" si="559"/>
        <v>1</v>
      </c>
      <c r="GI1133" s="101">
        <f t="shared" si="560"/>
        <v>7</v>
      </c>
      <c r="GJ1133" s="101">
        <f t="shared" si="561"/>
        <v>0.2127</v>
      </c>
      <c r="GK1133" s="101">
        <f t="shared" si="562"/>
        <v>1</v>
      </c>
      <c r="GL1133" s="101">
        <f t="shared" si="563"/>
        <v>14</v>
      </c>
    </row>
    <row r="1134" spans="170:194" ht="16.5" x14ac:dyDescent="0.2">
      <c r="FN1134" s="101">
        <v>1129</v>
      </c>
      <c r="FO1134" s="101">
        <f t="shared" si="548"/>
        <v>8</v>
      </c>
      <c r="FP1134" s="101">
        <f t="shared" si="541"/>
        <v>15</v>
      </c>
      <c r="FQ1134" s="14">
        <f t="shared" si="542"/>
        <v>3</v>
      </c>
      <c r="FR1134" s="101" t="str">
        <f t="shared" si="549"/>
        <v>高顺专属武器-魂珠-1 8级</v>
      </c>
      <c r="FS1134" s="101">
        <f t="shared" si="550"/>
        <v>1</v>
      </c>
      <c r="FT1134" s="101">
        <f t="shared" si="551"/>
        <v>8</v>
      </c>
      <c r="FU1134" s="101" t="str">
        <f t="shared" si="543"/>
        <v>金币</v>
      </c>
      <c r="FV1134" s="139">
        <f>IF($FT1134&gt;0,IF(INDEX($EI$6:$EI$77,$FO1134)&gt;=FV$3,ROUND(INDEX(EK$6:EK$77,$FO1134)*INDEX(卡牌消耗!$B$8:$F$8,FQ1134)/5,0)*5,""),"")</f>
        <v>615</v>
      </c>
      <c r="FW1134" s="101" t="str">
        <f t="shared" si="544"/>
        <v>专属强化石1</v>
      </c>
      <c r="FX1134" s="101">
        <f t="shared" si="545"/>
        <v>8</v>
      </c>
      <c r="FY1134" s="101" t="str">
        <f t="shared" si="546"/>
        <v/>
      </c>
      <c r="FZ1134" s="101" t="str">
        <f t="shared" si="547"/>
        <v/>
      </c>
      <c r="GA1134" s="101">
        <f t="shared" si="552"/>
        <v>0.08</v>
      </c>
      <c r="GB1134" s="101">
        <f t="shared" si="553"/>
        <v>1</v>
      </c>
      <c r="GC1134" s="101">
        <f t="shared" si="554"/>
        <v>20</v>
      </c>
      <c r="GD1134" s="101">
        <f t="shared" si="555"/>
        <v>0</v>
      </c>
      <c r="GE1134" s="101">
        <f t="shared" si="556"/>
        <v>1</v>
      </c>
      <c r="GF1134" s="101">
        <f t="shared" si="557"/>
        <v>5</v>
      </c>
      <c r="GG1134" s="101">
        <f t="shared" si="558"/>
        <v>3.7499999999999999E-2</v>
      </c>
      <c r="GH1134" s="101">
        <f t="shared" si="559"/>
        <v>1</v>
      </c>
      <c r="GI1134" s="101">
        <f t="shared" si="560"/>
        <v>9</v>
      </c>
      <c r="GJ1134" s="101">
        <f t="shared" si="561"/>
        <v>0.1502</v>
      </c>
      <c r="GK1134" s="101">
        <f t="shared" si="562"/>
        <v>1</v>
      </c>
      <c r="GL1134" s="101">
        <f t="shared" si="563"/>
        <v>20</v>
      </c>
    </row>
    <row r="1135" spans="170:194" ht="16.5" x14ac:dyDescent="0.2">
      <c r="FN1135" s="101">
        <v>1130</v>
      </c>
      <c r="FO1135" s="101">
        <f t="shared" si="548"/>
        <v>9</v>
      </c>
      <c r="FP1135" s="101">
        <f t="shared" si="541"/>
        <v>15</v>
      </c>
      <c r="FQ1135" s="14">
        <f t="shared" si="542"/>
        <v>3</v>
      </c>
      <c r="FR1135" s="101" t="str">
        <f t="shared" si="549"/>
        <v>高顺专属武器-魂珠-1 9级</v>
      </c>
      <c r="FS1135" s="101">
        <f t="shared" si="550"/>
        <v>1</v>
      </c>
      <c r="FT1135" s="101">
        <f t="shared" si="551"/>
        <v>9</v>
      </c>
      <c r="FU1135" s="101" t="str">
        <f t="shared" si="543"/>
        <v>金币</v>
      </c>
      <c r="FV1135" s="139">
        <f>IF($FT1135&gt;0,IF(INDEX($EI$6:$EI$77,$FO1135)&gt;=FV$3,ROUND(INDEX(EK$6:EK$77,$FO1135)*INDEX(卡牌消耗!$B$8:$F$8,FQ1135)/5,0)*5,""),"")</f>
        <v>765</v>
      </c>
      <c r="FW1135" s="101" t="str">
        <f t="shared" si="544"/>
        <v>专属强化石1</v>
      </c>
      <c r="FX1135" s="101">
        <f t="shared" si="545"/>
        <v>10</v>
      </c>
      <c r="FY1135" s="101" t="str">
        <f t="shared" si="546"/>
        <v/>
      </c>
      <c r="FZ1135" s="101" t="str">
        <f t="shared" si="547"/>
        <v/>
      </c>
      <c r="GA1135" s="101">
        <f t="shared" si="552"/>
        <v>0.06</v>
      </c>
      <c r="GB1135" s="101">
        <f t="shared" si="553"/>
        <v>1</v>
      </c>
      <c r="GC1135" s="101">
        <f t="shared" si="554"/>
        <v>26</v>
      </c>
      <c r="GD1135" s="101">
        <f t="shared" si="555"/>
        <v>0</v>
      </c>
      <c r="GE1135" s="101">
        <f t="shared" si="556"/>
        <v>1</v>
      </c>
      <c r="GF1135" s="101">
        <f t="shared" si="557"/>
        <v>6</v>
      </c>
      <c r="GG1135" s="101">
        <f t="shared" si="558"/>
        <v>2.9000000000000001E-2</v>
      </c>
      <c r="GH1135" s="101">
        <f t="shared" si="559"/>
        <v>1</v>
      </c>
      <c r="GI1135" s="101">
        <f t="shared" si="560"/>
        <v>12</v>
      </c>
      <c r="GJ1135" s="101">
        <f t="shared" si="561"/>
        <v>0.11600000000000001</v>
      </c>
      <c r="GK1135" s="101">
        <f t="shared" si="562"/>
        <v>1</v>
      </c>
      <c r="GL1135" s="101">
        <f t="shared" si="563"/>
        <v>26</v>
      </c>
    </row>
    <row r="1136" spans="170:194" ht="16.5" x14ac:dyDescent="0.2">
      <c r="FN1136" s="101">
        <v>1131</v>
      </c>
      <c r="FO1136" s="101">
        <f t="shared" si="548"/>
        <v>0</v>
      </c>
      <c r="FP1136" s="101">
        <f t="shared" si="541"/>
        <v>15</v>
      </c>
      <c r="FQ1136" s="14">
        <f t="shared" si="542"/>
        <v>3</v>
      </c>
      <c r="FR1136" s="101" t="str">
        <f t="shared" si="549"/>
        <v>高顺专属武器-魂珠-2 0级</v>
      </c>
      <c r="FS1136" s="101">
        <f t="shared" si="550"/>
        <v>2</v>
      </c>
      <c r="FT1136" s="101">
        <f t="shared" si="551"/>
        <v>0</v>
      </c>
      <c r="FU1136" s="101" t="str">
        <f t="shared" si="543"/>
        <v/>
      </c>
      <c r="FV1136" s="139" t="str">
        <f>IF($FT1136&gt;0,IF(INDEX($EI$6:$EI$77,$FO1136)&gt;=FV$3,ROUND(INDEX(EK$6:EK$77,$FO1136)*INDEX(卡牌消耗!$B$8:$F$8,FQ1136)/5,0)*5,""),"")</f>
        <v/>
      </c>
      <c r="FW1136" s="101" t="str">
        <f t="shared" si="544"/>
        <v/>
      </c>
      <c r="FX1136" s="101" t="str">
        <f t="shared" si="545"/>
        <v/>
      </c>
      <c r="FY1136" s="101" t="str">
        <f t="shared" si="546"/>
        <v/>
      </c>
      <c r="FZ1136" s="101" t="str">
        <f t="shared" si="547"/>
        <v/>
      </c>
      <c r="GA1136" s="101" t="str">
        <f t="shared" si="552"/>
        <v/>
      </c>
      <c r="GB1136" s="101" t="str">
        <f t="shared" si="553"/>
        <v/>
      </c>
      <c r="GC1136" s="101" t="str">
        <f t="shared" si="554"/>
        <v/>
      </c>
      <c r="GD1136" s="101" t="str">
        <f t="shared" si="555"/>
        <v/>
      </c>
      <c r="GE1136" s="101" t="str">
        <f t="shared" si="556"/>
        <v/>
      </c>
      <c r="GF1136" s="101" t="str">
        <f t="shared" si="557"/>
        <v/>
      </c>
      <c r="GG1136" s="101" t="str">
        <f t="shared" si="558"/>
        <v/>
      </c>
      <c r="GH1136" s="101" t="str">
        <f t="shared" si="559"/>
        <v/>
      </c>
      <c r="GI1136" s="101" t="str">
        <f t="shared" si="560"/>
        <v/>
      </c>
      <c r="GJ1136" s="101" t="str">
        <f t="shared" si="561"/>
        <v/>
      </c>
      <c r="GK1136" s="101" t="str">
        <f t="shared" si="562"/>
        <v/>
      </c>
      <c r="GL1136" s="101" t="str">
        <f t="shared" si="563"/>
        <v/>
      </c>
    </row>
    <row r="1137" spans="170:194" ht="16.5" x14ac:dyDescent="0.2">
      <c r="FN1137" s="101">
        <v>1132</v>
      </c>
      <c r="FO1137" s="101">
        <f t="shared" si="548"/>
        <v>10</v>
      </c>
      <c r="FP1137" s="101">
        <f t="shared" si="541"/>
        <v>15</v>
      </c>
      <c r="FQ1137" s="14">
        <f t="shared" si="542"/>
        <v>3</v>
      </c>
      <c r="FR1137" s="101" t="str">
        <f t="shared" si="549"/>
        <v>高顺专属武器-魂珠-2 1级</v>
      </c>
      <c r="FS1137" s="101">
        <f t="shared" si="550"/>
        <v>2</v>
      </c>
      <c r="FT1137" s="101">
        <f t="shared" si="551"/>
        <v>1</v>
      </c>
      <c r="FU1137" s="101" t="str">
        <f t="shared" si="543"/>
        <v>金币</v>
      </c>
      <c r="FV1137" s="139">
        <f>IF($FT1137&gt;0,IF(INDEX($EI$6:$EI$77,$FO1137)&gt;=FV$3,ROUND(INDEX(EK$6:EK$77,$FO1137)*INDEX(卡牌消耗!$B$8:$F$8,FQ1137)/5,0)*5,""),"")</f>
        <v>260</v>
      </c>
      <c r="FW1137" s="101" t="str">
        <f t="shared" si="544"/>
        <v>专属强化石1</v>
      </c>
      <c r="FX1137" s="101">
        <f t="shared" si="545"/>
        <v>3</v>
      </c>
      <c r="FY1137" s="101" t="str">
        <f t="shared" si="546"/>
        <v>专属强化石2</v>
      </c>
      <c r="FZ1137" s="101">
        <f t="shared" si="547"/>
        <v>1</v>
      </c>
      <c r="GA1137" s="101">
        <f t="shared" si="552"/>
        <v>0.39</v>
      </c>
      <c r="GB1137" s="101">
        <f t="shared" si="553"/>
        <v>1</v>
      </c>
      <c r="GC1137" s="101">
        <f t="shared" si="554"/>
        <v>4</v>
      </c>
      <c r="GD1137" s="101">
        <f t="shared" si="555"/>
        <v>0</v>
      </c>
      <c r="GE1137" s="101">
        <f t="shared" si="556"/>
        <v>1</v>
      </c>
      <c r="GF1137" s="101">
        <f t="shared" si="557"/>
        <v>1</v>
      </c>
      <c r="GG1137" s="101">
        <f t="shared" si="558"/>
        <v>0.19270000000000001</v>
      </c>
      <c r="GH1137" s="101">
        <f t="shared" si="559"/>
        <v>1</v>
      </c>
      <c r="GI1137" s="101">
        <f t="shared" si="560"/>
        <v>2</v>
      </c>
      <c r="GJ1137" s="101">
        <f t="shared" si="561"/>
        <v>0.77070000000000005</v>
      </c>
      <c r="GK1137" s="101">
        <f t="shared" si="562"/>
        <v>1</v>
      </c>
      <c r="GL1137" s="101">
        <f t="shared" si="563"/>
        <v>4</v>
      </c>
    </row>
    <row r="1138" spans="170:194" ht="16.5" x14ac:dyDescent="0.2">
      <c r="FN1138" s="101">
        <v>1133</v>
      </c>
      <c r="FO1138" s="101">
        <f t="shared" si="548"/>
        <v>11</v>
      </c>
      <c r="FP1138" s="101">
        <f t="shared" si="541"/>
        <v>15</v>
      </c>
      <c r="FQ1138" s="14">
        <f t="shared" si="542"/>
        <v>3</v>
      </c>
      <c r="FR1138" s="101" t="str">
        <f t="shared" si="549"/>
        <v>高顺专属武器-魂珠-2 2级</v>
      </c>
      <c r="FS1138" s="101">
        <f t="shared" si="550"/>
        <v>2</v>
      </c>
      <c r="FT1138" s="101">
        <f t="shared" si="551"/>
        <v>2</v>
      </c>
      <c r="FU1138" s="101" t="str">
        <f t="shared" si="543"/>
        <v>金币</v>
      </c>
      <c r="FV1138" s="139">
        <f>IF($FT1138&gt;0,IF(INDEX($EI$6:$EI$77,$FO1138)&gt;=FV$3,ROUND(INDEX(EK$6:EK$77,$FO1138)*INDEX(卡牌消耗!$B$8:$F$8,FQ1138)/5,0)*5,""),"")</f>
        <v>195</v>
      </c>
      <c r="FW1138" s="101" t="str">
        <f t="shared" si="544"/>
        <v>专属强化石1</v>
      </c>
      <c r="FX1138" s="101">
        <f t="shared" si="545"/>
        <v>3</v>
      </c>
      <c r="FY1138" s="101" t="str">
        <f t="shared" si="546"/>
        <v>专属强化石2</v>
      </c>
      <c r="FZ1138" s="101">
        <f t="shared" si="547"/>
        <v>1</v>
      </c>
      <c r="GA1138" s="101">
        <f t="shared" si="552"/>
        <v>0.19</v>
      </c>
      <c r="GB1138" s="101">
        <f t="shared" si="553"/>
        <v>1</v>
      </c>
      <c r="GC1138" s="101">
        <f t="shared" si="554"/>
        <v>8</v>
      </c>
      <c r="GD1138" s="101">
        <f t="shared" si="555"/>
        <v>0</v>
      </c>
      <c r="GE1138" s="101">
        <f t="shared" si="556"/>
        <v>1</v>
      </c>
      <c r="GF1138" s="101">
        <f t="shared" si="557"/>
        <v>2</v>
      </c>
      <c r="GG1138" s="101">
        <f t="shared" si="558"/>
        <v>9.6299999999999997E-2</v>
      </c>
      <c r="GH1138" s="101">
        <f t="shared" si="559"/>
        <v>1</v>
      </c>
      <c r="GI1138" s="101">
        <f t="shared" si="560"/>
        <v>4</v>
      </c>
      <c r="GJ1138" s="101">
        <f t="shared" si="561"/>
        <v>0.38529999999999998</v>
      </c>
      <c r="GK1138" s="101">
        <f t="shared" si="562"/>
        <v>1</v>
      </c>
      <c r="GL1138" s="101">
        <f t="shared" si="563"/>
        <v>8</v>
      </c>
    </row>
    <row r="1139" spans="170:194" ht="16.5" x14ac:dyDescent="0.2">
      <c r="FN1139" s="101">
        <v>1134</v>
      </c>
      <c r="FO1139" s="101">
        <f t="shared" si="548"/>
        <v>12</v>
      </c>
      <c r="FP1139" s="101">
        <f t="shared" si="541"/>
        <v>15</v>
      </c>
      <c r="FQ1139" s="14">
        <f t="shared" si="542"/>
        <v>3</v>
      </c>
      <c r="FR1139" s="101" t="str">
        <f t="shared" si="549"/>
        <v>高顺专属武器-魂珠-2 3级</v>
      </c>
      <c r="FS1139" s="101">
        <f t="shared" si="550"/>
        <v>2</v>
      </c>
      <c r="FT1139" s="101">
        <f t="shared" si="551"/>
        <v>3</v>
      </c>
      <c r="FU1139" s="101" t="str">
        <f t="shared" si="543"/>
        <v>金币</v>
      </c>
      <c r="FV1139" s="139">
        <f>IF($FT1139&gt;0,IF(INDEX($EI$6:$EI$77,$FO1139)&gt;=FV$3,ROUND(INDEX(EK$6:EK$77,$FO1139)*INDEX(卡牌消耗!$B$8:$F$8,FQ1139)/5,0)*5,""),"")</f>
        <v>435</v>
      </c>
      <c r="FW1139" s="101" t="str">
        <f t="shared" si="544"/>
        <v>专属强化石1</v>
      </c>
      <c r="FX1139" s="101">
        <f t="shared" si="545"/>
        <v>6</v>
      </c>
      <c r="FY1139" s="101" t="str">
        <f t="shared" si="546"/>
        <v>专属强化石2</v>
      </c>
      <c r="FZ1139" s="101">
        <f t="shared" si="547"/>
        <v>2</v>
      </c>
      <c r="GA1139" s="101">
        <f t="shared" si="552"/>
        <v>0.26</v>
      </c>
      <c r="GB1139" s="101">
        <f t="shared" si="553"/>
        <v>1</v>
      </c>
      <c r="GC1139" s="101">
        <f t="shared" si="554"/>
        <v>6</v>
      </c>
      <c r="GD1139" s="101">
        <f t="shared" si="555"/>
        <v>0</v>
      </c>
      <c r="GE1139" s="101">
        <f t="shared" si="556"/>
        <v>1</v>
      </c>
      <c r="GF1139" s="101">
        <f t="shared" si="557"/>
        <v>1</v>
      </c>
      <c r="GG1139" s="101">
        <f t="shared" si="558"/>
        <v>0.12839999999999999</v>
      </c>
      <c r="GH1139" s="101">
        <f t="shared" si="559"/>
        <v>1</v>
      </c>
      <c r="GI1139" s="101">
        <f t="shared" si="560"/>
        <v>3</v>
      </c>
      <c r="GJ1139" s="101">
        <f t="shared" si="561"/>
        <v>0.51380000000000003</v>
      </c>
      <c r="GK1139" s="101">
        <f t="shared" si="562"/>
        <v>1</v>
      </c>
      <c r="GL1139" s="101">
        <f t="shared" si="563"/>
        <v>6</v>
      </c>
    </row>
    <row r="1140" spans="170:194" ht="16.5" x14ac:dyDescent="0.2">
      <c r="FN1140" s="101">
        <v>1135</v>
      </c>
      <c r="FO1140" s="101">
        <f t="shared" si="548"/>
        <v>13</v>
      </c>
      <c r="FP1140" s="101">
        <f t="shared" si="541"/>
        <v>15</v>
      </c>
      <c r="FQ1140" s="14">
        <f t="shared" si="542"/>
        <v>3</v>
      </c>
      <c r="FR1140" s="101" t="str">
        <f t="shared" si="549"/>
        <v>高顺专属武器-魂珠-2 4级</v>
      </c>
      <c r="FS1140" s="101">
        <f t="shared" si="550"/>
        <v>2</v>
      </c>
      <c r="FT1140" s="101">
        <f t="shared" si="551"/>
        <v>4</v>
      </c>
      <c r="FU1140" s="101" t="str">
        <f t="shared" si="543"/>
        <v>金币</v>
      </c>
      <c r="FV1140" s="139">
        <f>IF($FT1140&gt;0,IF(INDEX($EI$6:$EI$77,$FO1140)&gt;=FV$3,ROUND(INDEX(EK$6:EK$77,$FO1140)*INDEX(卡牌消耗!$B$8:$F$8,FQ1140)/5,0)*5,""),"")</f>
        <v>420</v>
      </c>
      <c r="FW1140" s="101" t="str">
        <f t="shared" si="544"/>
        <v>专属强化石1</v>
      </c>
      <c r="FX1140" s="101">
        <f t="shared" si="545"/>
        <v>6</v>
      </c>
      <c r="FY1140" s="101" t="str">
        <f t="shared" si="546"/>
        <v>专属强化石2</v>
      </c>
      <c r="FZ1140" s="101">
        <f t="shared" si="547"/>
        <v>2</v>
      </c>
      <c r="GA1140" s="101">
        <f t="shared" si="552"/>
        <v>0.15</v>
      </c>
      <c r="GB1140" s="101">
        <f t="shared" si="553"/>
        <v>1</v>
      </c>
      <c r="GC1140" s="101">
        <f t="shared" si="554"/>
        <v>10</v>
      </c>
      <c r="GD1140" s="101">
        <f t="shared" si="555"/>
        <v>0</v>
      </c>
      <c r="GE1140" s="101">
        <f t="shared" si="556"/>
        <v>1</v>
      </c>
      <c r="GF1140" s="101">
        <f t="shared" si="557"/>
        <v>2</v>
      </c>
      <c r="GG1140" s="101">
        <f t="shared" si="558"/>
        <v>7.7100000000000002E-2</v>
      </c>
      <c r="GH1140" s="101">
        <f t="shared" si="559"/>
        <v>1</v>
      </c>
      <c r="GI1140" s="101">
        <f t="shared" si="560"/>
        <v>5</v>
      </c>
      <c r="GJ1140" s="101">
        <f t="shared" si="561"/>
        <v>0.30830000000000002</v>
      </c>
      <c r="GK1140" s="101">
        <f t="shared" si="562"/>
        <v>1</v>
      </c>
      <c r="GL1140" s="101">
        <f t="shared" si="563"/>
        <v>10</v>
      </c>
    </row>
    <row r="1141" spans="170:194" ht="16.5" x14ac:dyDescent="0.2">
      <c r="FN1141" s="101">
        <v>1136</v>
      </c>
      <c r="FO1141" s="101">
        <f t="shared" si="548"/>
        <v>14</v>
      </c>
      <c r="FP1141" s="101">
        <f t="shared" si="541"/>
        <v>15</v>
      </c>
      <c r="FQ1141" s="14">
        <f t="shared" si="542"/>
        <v>3</v>
      </c>
      <c r="FR1141" s="101" t="str">
        <f t="shared" si="549"/>
        <v>高顺专属武器-魂珠-2 5级</v>
      </c>
      <c r="FS1141" s="101">
        <f t="shared" si="550"/>
        <v>2</v>
      </c>
      <c r="FT1141" s="101">
        <f t="shared" si="551"/>
        <v>5</v>
      </c>
      <c r="FU1141" s="101" t="str">
        <f t="shared" si="543"/>
        <v>金币</v>
      </c>
      <c r="FV1141" s="139">
        <f>IF($FT1141&gt;0,IF(INDEX($EI$6:$EI$77,$FO1141)&gt;=FV$3,ROUND(INDEX(EK$6:EK$77,$FO1141)*INDEX(卡牌消耗!$B$8:$F$8,FQ1141)/5,0)*5,""),"")</f>
        <v>635</v>
      </c>
      <c r="FW1141" s="101" t="str">
        <f t="shared" si="544"/>
        <v>专属强化石1</v>
      </c>
      <c r="FX1141" s="101">
        <f t="shared" si="545"/>
        <v>9</v>
      </c>
      <c r="FY1141" s="101" t="str">
        <f t="shared" si="546"/>
        <v>专属强化石2</v>
      </c>
      <c r="FZ1141" s="101">
        <f t="shared" si="547"/>
        <v>3</v>
      </c>
      <c r="GA1141" s="101">
        <f t="shared" si="552"/>
        <v>0.14000000000000001</v>
      </c>
      <c r="GB1141" s="101">
        <f t="shared" si="553"/>
        <v>1</v>
      </c>
      <c r="GC1141" s="101">
        <f t="shared" si="554"/>
        <v>10</v>
      </c>
      <c r="GD1141" s="101">
        <f t="shared" si="555"/>
        <v>0</v>
      </c>
      <c r="GE1141" s="101">
        <f t="shared" si="556"/>
        <v>1</v>
      </c>
      <c r="GF1141" s="101">
        <f t="shared" si="557"/>
        <v>2</v>
      </c>
      <c r="GG1141" s="101">
        <f t="shared" si="558"/>
        <v>7.22E-2</v>
      </c>
      <c r="GH1141" s="101">
        <f t="shared" si="559"/>
        <v>1</v>
      </c>
      <c r="GI1141" s="101">
        <f t="shared" si="560"/>
        <v>5</v>
      </c>
      <c r="GJ1141" s="101">
        <f t="shared" si="561"/>
        <v>0.28899999999999998</v>
      </c>
      <c r="GK1141" s="101">
        <f t="shared" si="562"/>
        <v>1</v>
      </c>
      <c r="GL1141" s="101">
        <f t="shared" si="563"/>
        <v>10</v>
      </c>
    </row>
    <row r="1142" spans="170:194" ht="16.5" x14ac:dyDescent="0.2">
      <c r="FN1142" s="101">
        <v>1137</v>
      </c>
      <c r="FO1142" s="101">
        <f t="shared" si="548"/>
        <v>15</v>
      </c>
      <c r="FP1142" s="101">
        <f t="shared" si="541"/>
        <v>15</v>
      </c>
      <c r="FQ1142" s="14">
        <f t="shared" si="542"/>
        <v>3</v>
      </c>
      <c r="FR1142" s="101" t="str">
        <f t="shared" si="549"/>
        <v>高顺专属武器-魂珠-2 6级</v>
      </c>
      <c r="FS1142" s="101">
        <f t="shared" si="550"/>
        <v>2</v>
      </c>
      <c r="FT1142" s="101">
        <f t="shared" si="551"/>
        <v>6</v>
      </c>
      <c r="FU1142" s="101" t="str">
        <f t="shared" si="543"/>
        <v>金币</v>
      </c>
      <c r="FV1142" s="139">
        <f>IF($FT1142&gt;0,IF(INDEX($EI$6:$EI$77,$FO1142)&gt;=FV$3,ROUND(INDEX(EK$6:EK$77,$FO1142)*INDEX(卡牌消耗!$B$8:$F$8,FQ1142)/5,0)*5,""),"")</f>
        <v>845</v>
      </c>
      <c r="FW1142" s="101" t="str">
        <f t="shared" si="544"/>
        <v>专属强化石1</v>
      </c>
      <c r="FX1142" s="101">
        <f t="shared" si="545"/>
        <v>12</v>
      </c>
      <c r="FY1142" s="101" t="str">
        <f t="shared" si="546"/>
        <v>专属强化石2</v>
      </c>
      <c r="FZ1142" s="101">
        <f t="shared" si="547"/>
        <v>4</v>
      </c>
      <c r="GA1142" s="101">
        <f t="shared" si="552"/>
        <v>0.12</v>
      </c>
      <c r="GB1142" s="101">
        <f t="shared" si="553"/>
        <v>1</v>
      </c>
      <c r="GC1142" s="101">
        <f t="shared" si="554"/>
        <v>13</v>
      </c>
      <c r="GD1142" s="101">
        <f t="shared" si="555"/>
        <v>0</v>
      </c>
      <c r="GE1142" s="101">
        <f t="shared" si="556"/>
        <v>1</v>
      </c>
      <c r="GF1142" s="101">
        <f t="shared" si="557"/>
        <v>3</v>
      </c>
      <c r="GG1142" s="101">
        <f t="shared" si="558"/>
        <v>5.9299999999999999E-2</v>
      </c>
      <c r="GH1142" s="101">
        <f t="shared" si="559"/>
        <v>1</v>
      </c>
      <c r="GI1142" s="101">
        <f t="shared" si="560"/>
        <v>6</v>
      </c>
      <c r="GJ1142" s="101">
        <f t="shared" si="561"/>
        <v>0.23710000000000001</v>
      </c>
      <c r="GK1142" s="101">
        <f t="shared" si="562"/>
        <v>1</v>
      </c>
      <c r="GL1142" s="101">
        <f t="shared" si="563"/>
        <v>13</v>
      </c>
    </row>
    <row r="1143" spans="170:194" ht="16.5" x14ac:dyDescent="0.2">
      <c r="FN1143" s="101">
        <v>1138</v>
      </c>
      <c r="FO1143" s="101">
        <f t="shared" si="548"/>
        <v>16</v>
      </c>
      <c r="FP1143" s="101">
        <f t="shared" si="541"/>
        <v>15</v>
      </c>
      <c r="FQ1143" s="14">
        <f t="shared" si="542"/>
        <v>3</v>
      </c>
      <c r="FR1143" s="101" t="str">
        <f t="shared" si="549"/>
        <v>高顺专属武器-魂珠-2 7级</v>
      </c>
      <c r="FS1143" s="101">
        <f t="shared" si="550"/>
        <v>2</v>
      </c>
      <c r="FT1143" s="101">
        <f t="shared" si="551"/>
        <v>7</v>
      </c>
      <c r="FU1143" s="101" t="str">
        <f t="shared" si="543"/>
        <v>金币</v>
      </c>
      <c r="FV1143" s="139">
        <f>IF($FT1143&gt;0,IF(INDEX($EI$6:$EI$77,$FO1143)&gt;=FV$3,ROUND(INDEX(EK$6:EK$77,$FO1143)*INDEX(卡牌消耗!$B$8:$F$8,FQ1143)/5,0)*5,""),"")</f>
        <v>1060</v>
      </c>
      <c r="FW1143" s="101" t="str">
        <f t="shared" si="544"/>
        <v>专属强化石1</v>
      </c>
      <c r="FX1143" s="101">
        <f t="shared" si="545"/>
        <v>15</v>
      </c>
      <c r="FY1143" s="101" t="str">
        <f t="shared" si="546"/>
        <v>专属强化石2</v>
      </c>
      <c r="FZ1143" s="101">
        <f t="shared" si="547"/>
        <v>5</v>
      </c>
      <c r="GA1143" s="101">
        <f t="shared" si="552"/>
        <v>0.09</v>
      </c>
      <c r="GB1143" s="101">
        <f t="shared" si="553"/>
        <v>1</v>
      </c>
      <c r="GC1143" s="101">
        <f t="shared" si="554"/>
        <v>16</v>
      </c>
      <c r="GD1143" s="101">
        <f t="shared" si="555"/>
        <v>0</v>
      </c>
      <c r="GE1143" s="101">
        <f t="shared" si="556"/>
        <v>1</v>
      </c>
      <c r="GF1143" s="101">
        <f t="shared" si="557"/>
        <v>4</v>
      </c>
      <c r="GG1143" s="101">
        <f t="shared" si="558"/>
        <v>4.5900000000000003E-2</v>
      </c>
      <c r="GH1143" s="101">
        <f t="shared" si="559"/>
        <v>1</v>
      </c>
      <c r="GI1143" s="101">
        <f t="shared" si="560"/>
        <v>8</v>
      </c>
      <c r="GJ1143" s="101">
        <f t="shared" si="561"/>
        <v>0.1835</v>
      </c>
      <c r="GK1143" s="101">
        <f t="shared" si="562"/>
        <v>1</v>
      </c>
      <c r="GL1143" s="101">
        <f t="shared" si="563"/>
        <v>16</v>
      </c>
    </row>
    <row r="1144" spans="170:194" ht="16.5" x14ac:dyDescent="0.2">
      <c r="FN1144" s="101">
        <v>1139</v>
      </c>
      <c r="FO1144" s="101">
        <f t="shared" si="548"/>
        <v>17</v>
      </c>
      <c r="FP1144" s="101">
        <f t="shared" si="541"/>
        <v>15</v>
      </c>
      <c r="FQ1144" s="14">
        <f t="shared" si="542"/>
        <v>3</v>
      </c>
      <c r="FR1144" s="101" t="str">
        <f t="shared" si="549"/>
        <v>高顺专属武器-魂珠-2 8级</v>
      </c>
      <c r="FS1144" s="101">
        <f t="shared" si="550"/>
        <v>2</v>
      </c>
      <c r="FT1144" s="101">
        <f t="shared" si="551"/>
        <v>8</v>
      </c>
      <c r="FU1144" s="101" t="str">
        <f t="shared" si="543"/>
        <v>金币</v>
      </c>
      <c r="FV1144" s="139">
        <f>IF($FT1144&gt;0,IF(INDEX($EI$6:$EI$77,$FO1144)&gt;=FV$3,ROUND(INDEX(EK$6:EK$77,$FO1144)*INDEX(卡牌消耗!$B$8:$F$8,FQ1144)/5,0)*5,""),"")</f>
        <v>1270</v>
      </c>
      <c r="FW1144" s="101" t="str">
        <f t="shared" si="544"/>
        <v>专属强化石1</v>
      </c>
      <c r="FX1144" s="101">
        <f t="shared" si="545"/>
        <v>18</v>
      </c>
      <c r="FY1144" s="101" t="str">
        <f t="shared" si="546"/>
        <v>专属强化石2</v>
      </c>
      <c r="FZ1144" s="101">
        <f t="shared" si="547"/>
        <v>6</v>
      </c>
      <c r="GA1144" s="101">
        <f t="shared" si="552"/>
        <v>7.0000000000000007E-2</v>
      </c>
      <c r="GB1144" s="101">
        <f t="shared" si="553"/>
        <v>1</v>
      </c>
      <c r="GC1144" s="101">
        <f t="shared" si="554"/>
        <v>22</v>
      </c>
      <c r="GD1144" s="101">
        <f t="shared" si="555"/>
        <v>0</v>
      </c>
      <c r="GE1144" s="101">
        <f t="shared" si="556"/>
        <v>1</v>
      </c>
      <c r="GF1144" s="101">
        <f t="shared" si="557"/>
        <v>5</v>
      </c>
      <c r="GG1144" s="101">
        <f t="shared" si="558"/>
        <v>3.4000000000000002E-2</v>
      </c>
      <c r="GH1144" s="101">
        <f t="shared" si="559"/>
        <v>1</v>
      </c>
      <c r="GI1144" s="101">
        <f t="shared" si="560"/>
        <v>10</v>
      </c>
      <c r="GJ1144" s="101">
        <f t="shared" si="561"/>
        <v>0.13600000000000001</v>
      </c>
      <c r="GK1144" s="101">
        <f t="shared" si="562"/>
        <v>1</v>
      </c>
      <c r="GL1144" s="101">
        <f t="shared" si="563"/>
        <v>22</v>
      </c>
    </row>
    <row r="1145" spans="170:194" ht="16.5" x14ac:dyDescent="0.2">
      <c r="FN1145" s="101">
        <v>1140</v>
      </c>
      <c r="FO1145" s="101">
        <f t="shared" si="548"/>
        <v>18</v>
      </c>
      <c r="FP1145" s="101">
        <f t="shared" si="541"/>
        <v>15</v>
      </c>
      <c r="FQ1145" s="14">
        <f t="shared" si="542"/>
        <v>3</v>
      </c>
      <c r="FR1145" s="101" t="str">
        <f t="shared" si="549"/>
        <v>高顺专属武器-魂珠-2 9级</v>
      </c>
      <c r="FS1145" s="101">
        <f t="shared" si="550"/>
        <v>2</v>
      </c>
      <c r="FT1145" s="101">
        <f t="shared" si="551"/>
        <v>9</v>
      </c>
      <c r="FU1145" s="101" t="str">
        <f t="shared" si="543"/>
        <v>金币</v>
      </c>
      <c r="FV1145" s="139">
        <f>IF($FT1145&gt;0,IF(INDEX($EI$6:$EI$77,$FO1145)&gt;=FV$3,ROUND(INDEX(EK$6:EK$77,$FO1145)*INDEX(卡牌消耗!$B$8:$F$8,FQ1145)/5,0)*5,""),"")</f>
        <v>1695</v>
      </c>
      <c r="FW1145" s="101" t="str">
        <f t="shared" si="544"/>
        <v>专属强化石1</v>
      </c>
      <c r="FX1145" s="101">
        <f t="shared" si="545"/>
        <v>24</v>
      </c>
      <c r="FY1145" s="101" t="str">
        <f t="shared" si="546"/>
        <v>专属强化石2</v>
      </c>
      <c r="FZ1145" s="101">
        <f t="shared" si="547"/>
        <v>8</v>
      </c>
      <c r="GA1145" s="101">
        <f t="shared" si="552"/>
        <v>0.06</v>
      </c>
      <c r="GB1145" s="101">
        <f t="shared" si="553"/>
        <v>1</v>
      </c>
      <c r="GC1145" s="101">
        <f t="shared" si="554"/>
        <v>27</v>
      </c>
      <c r="GD1145" s="101">
        <f t="shared" si="555"/>
        <v>0</v>
      </c>
      <c r="GE1145" s="101">
        <f t="shared" si="556"/>
        <v>1</v>
      </c>
      <c r="GF1145" s="101">
        <f t="shared" si="557"/>
        <v>6</v>
      </c>
      <c r="GG1145" s="101">
        <f t="shared" si="558"/>
        <v>2.8000000000000001E-2</v>
      </c>
      <c r="GH1145" s="101">
        <f t="shared" si="559"/>
        <v>1</v>
      </c>
      <c r="GI1145" s="101">
        <f t="shared" si="560"/>
        <v>12</v>
      </c>
      <c r="GJ1145" s="101">
        <f t="shared" si="561"/>
        <v>0.11210000000000001</v>
      </c>
      <c r="GK1145" s="101">
        <f t="shared" si="562"/>
        <v>1</v>
      </c>
      <c r="GL1145" s="101">
        <f t="shared" si="563"/>
        <v>27</v>
      </c>
    </row>
    <row r="1146" spans="170:194" ht="16.5" x14ac:dyDescent="0.2">
      <c r="FN1146" s="101">
        <v>1141</v>
      </c>
      <c r="FO1146" s="101">
        <f t="shared" si="548"/>
        <v>0</v>
      </c>
      <c r="FP1146" s="101">
        <f t="shared" si="541"/>
        <v>15</v>
      </c>
      <c r="FQ1146" s="14">
        <f t="shared" si="542"/>
        <v>3</v>
      </c>
      <c r="FR1146" s="101" t="str">
        <f t="shared" si="549"/>
        <v>高顺专属武器-魂珠-3 0级</v>
      </c>
      <c r="FS1146" s="101">
        <f t="shared" si="550"/>
        <v>3</v>
      </c>
      <c r="FT1146" s="101">
        <f t="shared" si="551"/>
        <v>0</v>
      </c>
      <c r="FU1146" s="101" t="str">
        <f t="shared" si="543"/>
        <v/>
      </c>
      <c r="FV1146" s="139" t="str">
        <f>IF($FT1146&gt;0,IF(INDEX($EI$6:$EI$77,$FO1146)&gt;=FV$3,ROUND(INDEX(EK$6:EK$77,$FO1146)*INDEX(卡牌消耗!$B$8:$F$8,FQ1146)/5,0)*5,""),"")</f>
        <v/>
      </c>
      <c r="FW1146" s="101" t="str">
        <f t="shared" si="544"/>
        <v/>
      </c>
      <c r="FX1146" s="101" t="str">
        <f t="shared" si="545"/>
        <v/>
      </c>
      <c r="FY1146" s="101" t="str">
        <f t="shared" si="546"/>
        <v/>
      </c>
      <c r="FZ1146" s="101" t="str">
        <f t="shared" si="547"/>
        <v/>
      </c>
      <c r="GA1146" s="101" t="str">
        <f t="shared" si="552"/>
        <v/>
      </c>
      <c r="GB1146" s="101" t="str">
        <f t="shared" si="553"/>
        <v/>
      </c>
      <c r="GC1146" s="101" t="str">
        <f t="shared" si="554"/>
        <v/>
      </c>
      <c r="GD1146" s="101" t="str">
        <f t="shared" si="555"/>
        <v/>
      </c>
      <c r="GE1146" s="101" t="str">
        <f t="shared" si="556"/>
        <v/>
      </c>
      <c r="GF1146" s="101" t="str">
        <f t="shared" si="557"/>
        <v/>
      </c>
      <c r="GG1146" s="101" t="str">
        <f t="shared" si="558"/>
        <v/>
      </c>
      <c r="GH1146" s="101" t="str">
        <f t="shared" si="559"/>
        <v/>
      </c>
      <c r="GI1146" s="101" t="str">
        <f t="shared" si="560"/>
        <v/>
      </c>
      <c r="GJ1146" s="101" t="str">
        <f t="shared" si="561"/>
        <v/>
      </c>
      <c r="GK1146" s="101" t="str">
        <f t="shared" si="562"/>
        <v/>
      </c>
      <c r="GL1146" s="101" t="str">
        <f t="shared" si="563"/>
        <v/>
      </c>
    </row>
    <row r="1147" spans="170:194" ht="16.5" x14ac:dyDescent="0.2">
      <c r="FN1147" s="101">
        <v>1142</v>
      </c>
      <c r="FO1147" s="101">
        <f t="shared" si="548"/>
        <v>19</v>
      </c>
      <c r="FP1147" s="101">
        <f t="shared" si="541"/>
        <v>15</v>
      </c>
      <c r="FQ1147" s="14">
        <f t="shared" si="542"/>
        <v>3</v>
      </c>
      <c r="FR1147" s="101" t="str">
        <f t="shared" si="549"/>
        <v>高顺专属武器-魂珠-3 1级</v>
      </c>
      <c r="FS1147" s="101">
        <f t="shared" si="550"/>
        <v>3</v>
      </c>
      <c r="FT1147" s="101">
        <f t="shared" si="551"/>
        <v>1</v>
      </c>
      <c r="FU1147" s="101" t="str">
        <f t="shared" si="543"/>
        <v>金币</v>
      </c>
      <c r="FV1147" s="139">
        <f>IF($FT1147&gt;0,IF(INDEX($EI$6:$EI$77,$FO1147)&gt;=FV$3,ROUND(INDEX(EK$6:EK$77,$FO1147)*INDEX(卡牌消耗!$B$8:$F$8,FQ1147)/5,0)*5,""),"")</f>
        <v>545</v>
      </c>
      <c r="FW1147" s="101" t="str">
        <f t="shared" si="544"/>
        <v>专属强化石1</v>
      </c>
      <c r="FX1147" s="101">
        <f t="shared" si="545"/>
        <v>4</v>
      </c>
      <c r="FY1147" s="101" t="str">
        <f t="shared" si="546"/>
        <v>专属强化石2</v>
      </c>
      <c r="FZ1147" s="101">
        <f t="shared" si="547"/>
        <v>2</v>
      </c>
      <c r="GA1147" s="101">
        <f t="shared" si="552"/>
        <v>0.31</v>
      </c>
      <c r="GB1147" s="101">
        <f t="shared" si="553"/>
        <v>1</v>
      </c>
      <c r="GC1147" s="101">
        <f t="shared" si="554"/>
        <v>5</v>
      </c>
      <c r="GD1147" s="101">
        <f t="shared" si="555"/>
        <v>0</v>
      </c>
      <c r="GE1147" s="101">
        <f t="shared" si="556"/>
        <v>1</v>
      </c>
      <c r="GF1147" s="101">
        <f t="shared" si="557"/>
        <v>1</v>
      </c>
      <c r="GG1147" s="101">
        <f t="shared" si="558"/>
        <v>0.15409999999999999</v>
      </c>
      <c r="GH1147" s="101">
        <f t="shared" si="559"/>
        <v>1</v>
      </c>
      <c r="GI1147" s="101">
        <f t="shared" si="560"/>
        <v>2</v>
      </c>
      <c r="GJ1147" s="101">
        <f t="shared" si="561"/>
        <v>0.61650000000000005</v>
      </c>
      <c r="GK1147" s="101">
        <f t="shared" si="562"/>
        <v>1</v>
      </c>
      <c r="GL1147" s="101">
        <f t="shared" si="563"/>
        <v>5</v>
      </c>
    </row>
    <row r="1148" spans="170:194" ht="16.5" x14ac:dyDescent="0.2">
      <c r="FN1148" s="101">
        <v>1143</v>
      </c>
      <c r="FO1148" s="101">
        <f t="shared" si="548"/>
        <v>20</v>
      </c>
      <c r="FP1148" s="101">
        <f t="shared" si="541"/>
        <v>15</v>
      </c>
      <c r="FQ1148" s="14">
        <f t="shared" si="542"/>
        <v>3</v>
      </c>
      <c r="FR1148" s="101" t="str">
        <f t="shared" si="549"/>
        <v>高顺专属武器-魂珠-3 2级</v>
      </c>
      <c r="FS1148" s="101">
        <f t="shared" si="550"/>
        <v>3</v>
      </c>
      <c r="FT1148" s="101">
        <f t="shared" si="551"/>
        <v>2</v>
      </c>
      <c r="FU1148" s="101" t="str">
        <f t="shared" si="543"/>
        <v>金币</v>
      </c>
      <c r="FV1148" s="139">
        <f>IF($FT1148&gt;0,IF(INDEX($EI$6:$EI$77,$FO1148)&gt;=FV$3,ROUND(INDEX(EK$6:EK$77,$FO1148)*INDEX(卡牌消耗!$B$8:$F$8,FQ1148)/5,0)*5,""),"")</f>
        <v>410</v>
      </c>
      <c r="FW1148" s="101" t="str">
        <f t="shared" si="544"/>
        <v>专属强化石1</v>
      </c>
      <c r="FX1148" s="101">
        <f t="shared" si="545"/>
        <v>4</v>
      </c>
      <c r="FY1148" s="101" t="str">
        <f t="shared" si="546"/>
        <v>专属强化石2</v>
      </c>
      <c r="FZ1148" s="101">
        <f t="shared" si="547"/>
        <v>2</v>
      </c>
      <c r="GA1148" s="101">
        <f t="shared" si="552"/>
        <v>0.15</v>
      </c>
      <c r="GB1148" s="101">
        <f t="shared" si="553"/>
        <v>1</v>
      </c>
      <c r="GC1148" s="101">
        <f t="shared" si="554"/>
        <v>10</v>
      </c>
      <c r="GD1148" s="101">
        <f t="shared" si="555"/>
        <v>0</v>
      </c>
      <c r="GE1148" s="101">
        <f t="shared" si="556"/>
        <v>1</v>
      </c>
      <c r="GF1148" s="101">
        <f t="shared" si="557"/>
        <v>2</v>
      </c>
      <c r="GG1148" s="101">
        <f t="shared" si="558"/>
        <v>7.7100000000000002E-2</v>
      </c>
      <c r="GH1148" s="101">
        <f t="shared" si="559"/>
        <v>1</v>
      </c>
      <c r="GI1148" s="101">
        <f t="shared" si="560"/>
        <v>5</v>
      </c>
      <c r="GJ1148" s="101">
        <f t="shared" si="561"/>
        <v>0.30830000000000002</v>
      </c>
      <c r="GK1148" s="101">
        <f t="shared" si="562"/>
        <v>1</v>
      </c>
      <c r="GL1148" s="101">
        <f t="shared" si="563"/>
        <v>10</v>
      </c>
    </row>
    <row r="1149" spans="170:194" ht="16.5" x14ac:dyDescent="0.2">
      <c r="FN1149" s="101">
        <v>1144</v>
      </c>
      <c r="FO1149" s="101">
        <f t="shared" si="548"/>
        <v>21</v>
      </c>
      <c r="FP1149" s="101">
        <f t="shared" si="541"/>
        <v>15</v>
      </c>
      <c r="FQ1149" s="14">
        <f t="shared" si="542"/>
        <v>3</v>
      </c>
      <c r="FR1149" s="101" t="str">
        <f t="shared" si="549"/>
        <v>高顺专属武器-魂珠-3 3级</v>
      </c>
      <c r="FS1149" s="101">
        <f t="shared" si="550"/>
        <v>3</v>
      </c>
      <c r="FT1149" s="101">
        <f t="shared" si="551"/>
        <v>3</v>
      </c>
      <c r="FU1149" s="101" t="str">
        <f t="shared" si="543"/>
        <v>金币</v>
      </c>
      <c r="FV1149" s="139">
        <f>IF($FT1149&gt;0,IF(INDEX($EI$6:$EI$77,$FO1149)&gt;=FV$3,ROUND(INDEX(EK$6:EK$77,$FO1149)*INDEX(卡牌消耗!$B$8:$F$8,FQ1149)/5,0)*5,""),"")</f>
        <v>680</v>
      </c>
      <c r="FW1149" s="101" t="str">
        <f t="shared" si="544"/>
        <v>专属强化石1</v>
      </c>
      <c r="FX1149" s="101">
        <f t="shared" si="545"/>
        <v>6</v>
      </c>
      <c r="FY1149" s="101" t="str">
        <f t="shared" si="546"/>
        <v>专属强化石2</v>
      </c>
      <c r="FZ1149" s="101">
        <f t="shared" si="547"/>
        <v>3</v>
      </c>
      <c r="GA1149" s="101">
        <f t="shared" si="552"/>
        <v>0.15</v>
      </c>
      <c r="GB1149" s="101">
        <f t="shared" si="553"/>
        <v>1</v>
      </c>
      <c r="GC1149" s="101">
        <f t="shared" si="554"/>
        <v>10</v>
      </c>
      <c r="GD1149" s="101">
        <f t="shared" si="555"/>
        <v>0</v>
      </c>
      <c r="GE1149" s="101">
        <f t="shared" si="556"/>
        <v>1</v>
      </c>
      <c r="GF1149" s="101">
        <f t="shared" si="557"/>
        <v>2</v>
      </c>
      <c r="GG1149" s="101">
        <f t="shared" si="558"/>
        <v>7.7100000000000002E-2</v>
      </c>
      <c r="GH1149" s="101">
        <f t="shared" si="559"/>
        <v>1</v>
      </c>
      <c r="GI1149" s="101">
        <f t="shared" si="560"/>
        <v>5</v>
      </c>
      <c r="GJ1149" s="101">
        <f t="shared" si="561"/>
        <v>0.30830000000000002</v>
      </c>
      <c r="GK1149" s="101">
        <f t="shared" si="562"/>
        <v>1</v>
      </c>
      <c r="GL1149" s="101">
        <f t="shared" si="563"/>
        <v>10</v>
      </c>
    </row>
    <row r="1150" spans="170:194" ht="16.5" x14ac:dyDescent="0.2">
      <c r="FN1150" s="101">
        <v>1145</v>
      </c>
      <c r="FO1150" s="101">
        <f t="shared" si="548"/>
        <v>22</v>
      </c>
      <c r="FP1150" s="101">
        <f t="shared" si="541"/>
        <v>15</v>
      </c>
      <c r="FQ1150" s="14">
        <f t="shared" si="542"/>
        <v>3</v>
      </c>
      <c r="FR1150" s="101" t="str">
        <f t="shared" si="549"/>
        <v>高顺专属武器-魂珠-3 4级</v>
      </c>
      <c r="FS1150" s="101">
        <f t="shared" si="550"/>
        <v>3</v>
      </c>
      <c r="FT1150" s="101">
        <f t="shared" si="551"/>
        <v>4</v>
      </c>
      <c r="FU1150" s="101" t="str">
        <f t="shared" si="543"/>
        <v>金币</v>
      </c>
      <c r="FV1150" s="139">
        <f>IF($FT1150&gt;0,IF(INDEX($EI$6:$EI$77,$FO1150)&gt;=FV$3,ROUND(INDEX(EK$6:EK$77,$FO1150)*INDEX(卡牌消耗!$B$8:$F$8,FQ1150)/5,0)*5,""),"")</f>
        <v>655</v>
      </c>
      <c r="FW1150" s="101" t="str">
        <f t="shared" si="544"/>
        <v>专属强化石1</v>
      </c>
      <c r="FX1150" s="101">
        <f t="shared" si="545"/>
        <v>6</v>
      </c>
      <c r="FY1150" s="101" t="str">
        <f t="shared" si="546"/>
        <v>专属强化石2</v>
      </c>
      <c r="FZ1150" s="101">
        <f t="shared" si="547"/>
        <v>3</v>
      </c>
      <c r="GA1150" s="101">
        <f t="shared" si="552"/>
        <v>0.09</v>
      </c>
      <c r="GB1150" s="101">
        <f t="shared" si="553"/>
        <v>1</v>
      </c>
      <c r="GC1150" s="101">
        <f t="shared" si="554"/>
        <v>16</v>
      </c>
      <c r="GD1150" s="101">
        <f t="shared" si="555"/>
        <v>0</v>
      </c>
      <c r="GE1150" s="101">
        <f t="shared" si="556"/>
        <v>1</v>
      </c>
      <c r="GF1150" s="101">
        <f t="shared" si="557"/>
        <v>4</v>
      </c>
      <c r="GG1150" s="101">
        <f t="shared" si="558"/>
        <v>4.6199999999999998E-2</v>
      </c>
      <c r="GH1150" s="101">
        <f t="shared" si="559"/>
        <v>1</v>
      </c>
      <c r="GI1150" s="101">
        <f t="shared" si="560"/>
        <v>8</v>
      </c>
      <c r="GJ1150" s="101">
        <f t="shared" si="561"/>
        <v>0.185</v>
      </c>
      <c r="GK1150" s="101">
        <f t="shared" si="562"/>
        <v>1</v>
      </c>
      <c r="GL1150" s="101">
        <f t="shared" si="563"/>
        <v>16</v>
      </c>
    </row>
    <row r="1151" spans="170:194" ht="16.5" x14ac:dyDescent="0.2">
      <c r="FN1151" s="101">
        <v>1146</v>
      </c>
      <c r="FO1151" s="101">
        <f t="shared" si="548"/>
        <v>23</v>
      </c>
      <c r="FP1151" s="101">
        <f t="shared" si="541"/>
        <v>15</v>
      </c>
      <c r="FQ1151" s="14">
        <f t="shared" si="542"/>
        <v>3</v>
      </c>
      <c r="FR1151" s="101" t="str">
        <f t="shared" si="549"/>
        <v>高顺专属武器-魂珠-3 5级</v>
      </c>
      <c r="FS1151" s="101">
        <f t="shared" si="550"/>
        <v>3</v>
      </c>
      <c r="FT1151" s="101">
        <f t="shared" si="551"/>
        <v>5</v>
      </c>
      <c r="FU1151" s="101" t="str">
        <f t="shared" si="543"/>
        <v>金币</v>
      </c>
      <c r="FV1151" s="139">
        <f>IF($FT1151&gt;0,IF(INDEX($EI$6:$EI$77,$FO1151)&gt;=FV$3,ROUND(INDEX(EK$6:EK$77,$FO1151)*INDEX(卡牌消耗!$B$8:$F$8,FQ1151)/5,0)*5,""),"")</f>
        <v>885</v>
      </c>
      <c r="FW1151" s="101" t="str">
        <f t="shared" si="544"/>
        <v>专属强化石1</v>
      </c>
      <c r="FX1151" s="101">
        <f t="shared" si="545"/>
        <v>8</v>
      </c>
      <c r="FY1151" s="101" t="str">
        <f t="shared" si="546"/>
        <v>专属强化石2</v>
      </c>
      <c r="FZ1151" s="101">
        <f t="shared" si="547"/>
        <v>4</v>
      </c>
      <c r="GA1151" s="101">
        <f t="shared" si="552"/>
        <v>0.08</v>
      </c>
      <c r="GB1151" s="101">
        <f t="shared" si="553"/>
        <v>1</v>
      </c>
      <c r="GC1151" s="101">
        <f t="shared" si="554"/>
        <v>19</v>
      </c>
      <c r="GD1151" s="101">
        <f t="shared" si="555"/>
        <v>0</v>
      </c>
      <c r="GE1151" s="101">
        <f t="shared" si="556"/>
        <v>1</v>
      </c>
      <c r="GF1151" s="101">
        <f t="shared" si="557"/>
        <v>5</v>
      </c>
      <c r="GG1151" s="101">
        <f t="shared" si="558"/>
        <v>3.85E-2</v>
      </c>
      <c r="GH1151" s="101">
        <f t="shared" si="559"/>
        <v>1</v>
      </c>
      <c r="GI1151" s="101">
        <f t="shared" si="560"/>
        <v>9</v>
      </c>
      <c r="GJ1151" s="101">
        <f t="shared" si="561"/>
        <v>0.15409999999999999</v>
      </c>
      <c r="GK1151" s="101">
        <f t="shared" si="562"/>
        <v>1</v>
      </c>
      <c r="GL1151" s="101">
        <f t="shared" si="563"/>
        <v>19</v>
      </c>
    </row>
    <row r="1152" spans="170:194" ht="16.5" x14ac:dyDescent="0.2">
      <c r="FN1152" s="101">
        <v>1147</v>
      </c>
      <c r="FO1152" s="101">
        <f t="shared" si="548"/>
        <v>24</v>
      </c>
      <c r="FP1152" s="101">
        <f t="shared" si="541"/>
        <v>15</v>
      </c>
      <c r="FQ1152" s="14">
        <f t="shared" si="542"/>
        <v>3</v>
      </c>
      <c r="FR1152" s="101" t="str">
        <f t="shared" si="549"/>
        <v>高顺专属武器-魂珠-3 6级</v>
      </c>
      <c r="FS1152" s="101">
        <f t="shared" si="550"/>
        <v>3</v>
      </c>
      <c r="FT1152" s="101">
        <f t="shared" si="551"/>
        <v>6</v>
      </c>
      <c r="FU1152" s="101" t="str">
        <f t="shared" si="543"/>
        <v>金币</v>
      </c>
      <c r="FV1152" s="139">
        <f>IF($FT1152&gt;0,IF(INDEX($EI$6:$EI$77,$FO1152)&gt;=FV$3,ROUND(INDEX(EK$6:EK$77,$FO1152)*INDEX(卡牌消耗!$B$8:$F$8,FQ1152)/5,0)*5,""),"")</f>
        <v>1100</v>
      </c>
      <c r="FW1152" s="101" t="str">
        <f t="shared" si="544"/>
        <v>专属强化石1</v>
      </c>
      <c r="FX1152" s="101">
        <f t="shared" si="545"/>
        <v>10</v>
      </c>
      <c r="FY1152" s="101" t="str">
        <f t="shared" si="546"/>
        <v>专属强化石2</v>
      </c>
      <c r="FZ1152" s="101">
        <f t="shared" si="547"/>
        <v>5</v>
      </c>
      <c r="GA1152" s="101">
        <f t="shared" si="552"/>
        <v>0.06</v>
      </c>
      <c r="GB1152" s="101">
        <f t="shared" si="553"/>
        <v>1</v>
      </c>
      <c r="GC1152" s="101">
        <f t="shared" si="554"/>
        <v>25</v>
      </c>
      <c r="GD1152" s="101">
        <f t="shared" si="555"/>
        <v>0</v>
      </c>
      <c r="GE1152" s="101">
        <f t="shared" si="556"/>
        <v>1</v>
      </c>
      <c r="GF1152" s="101">
        <f t="shared" si="557"/>
        <v>6</v>
      </c>
      <c r="GG1152" s="101">
        <f t="shared" si="558"/>
        <v>2.9600000000000001E-2</v>
      </c>
      <c r="GH1152" s="101">
        <f t="shared" si="559"/>
        <v>1</v>
      </c>
      <c r="GI1152" s="101">
        <f t="shared" si="560"/>
        <v>12</v>
      </c>
      <c r="GJ1152" s="101">
        <f t="shared" si="561"/>
        <v>0.1186</v>
      </c>
      <c r="GK1152" s="101">
        <f t="shared" si="562"/>
        <v>1</v>
      </c>
      <c r="GL1152" s="101">
        <f t="shared" si="563"/>
        <v>25</v>
      </c>
    </row>
    <row r="1153" spans="170:194" ht="16.5" x14ac:dyDescent="0.2">
      <c r="FN1153" s="101">
        <v>1148</v>
      </c>
      <c r="FO1153" s="101">
        <f t="shared" si="548"/>
        <v>25</v>
      </c>
      <c r="FP1153" s="101">
        <f t="shared" si="541"/>
        <v>15</v>
      </c>
      <c r="FQ1153" s="14">
        <f t="shared" si="542"/>
        <v>3</v>
      </c>
      <c r="FR1153" s="101" t="str">
        <f t="shared" si="549"/>
        <v>高顺专属武器-魂珠-3 7级</v>
      </c>
      <c r="FS1153" s="101">
        <f t="shared" si="550"/>
        <v>3</v>
      </c>
      <c r="FT1153" s="101">
        <f t="shared" si="551"/>
        <v>7</v>
      </c>
      <c r="FU1153" s="101" t="str">
        <f t="shared" si="543"/>
        <v>金币</v>
      </c>
      <c r="FV1153" s="139">
        <f>IF($FT1153&gt;0,IF(INDEX($EI$6:$EI$77,$FO1153)&gt;=FV$3,ROUND(INDEX(EK$6:EK$77,$FO1153)*INDEX(卡牌消耗!$B$8:$F$8,FQ1153)/5,0)*5,""),"")</f>
        <v>1325</v>
      </c>
      <c r="FW1153" s="101" t="str">
        <f t="shared" si="544"/>
        <v>专属强化石1</v>
      </c>
      <c r="FX1153" s="101">
        <f t="shared" si="545"/>
        <v>12</v>
      </c>
      <c r="FY1153" s="101" t="str">
        <f t="shared" si="546"/>
        <v>专属强化石2</v>
      </c>
      <c r="FZ1153" s="101">
        <f t="shared" si="547"/>
        <v>6</v>
      </c>
      <c r="GA1153" s="101">
        <f t="shared" si="552"/>
        <v>0.04</v>
      </c>
      <c r="GB1153" s="101">
        <f t="shared" si="553"/>
        <v>1</v>
      </c>
      <c r="GC1153" s="101">
        <f t="shared" si="554"/>
        <v>34</v>
      </c>
      <c r="GD1153" s="101">
        <f t="shared" si="555"/>
        <v>0</v>
      </c>
      <c r="GE1153" s="101">
        <f t="shared" si="556"/>
        <v>1</v>
      </c>
      <c r="GF1153" s="101">
        <f t="shared" si="557"/>
        <v>8</v>
      </c>
      <c r="GG1153" s="101">
        <f t="shared" si="558"/>
        <v>2.1999999999999999E-2</v>
      </c>
      <c r="GH1153" s="101">
        <f t="shared" si="559"/>
        <v>1</v>
      </c>
      <c r="GI1153" s="101">
        <f t="shared" si="560"/>
        <v>16</v>
      </c>
      <c r="GJ1153" s="101">
        <f t="shared" si="561"/>
        <v>8.8099999999999998E-2</v>
      </c>
      <c r="GK1153" s="101">
        <f t="shared" si="562"/>
        <v>1</v>
      </c>
      <c r="GL1153" s="101">
        <f t="shared" si="563"/>
        <v>34</v>
      </c>
    </row>
    <row r="1154" spans="170:194" ht="16.5" x14ac:dyDescent="0.2">
      <c r="FN1154" s="101">
        <v>1149</v>
      </c>
      <c r="FO1154" s="101">
        <f t="shared" si="548"/>
        <v>26</v>
      </c>
      <c r="FP1154" s="101">
        <f t="shared" si="541"/>
        <v>15</v>
      </c>
      <c r="FQ1154" s="14">
        <f t="shared" si="542"/>
        <v>3</v>
      </c>
      <c r="FR1154" s="101" t="str">
        <f t="shared" si="549"/>
        <v>高顺专属武器-魂珠-3 8级</v>
      </c>
      <c r="FS1154" s="101">
        <f t="shared" si="550"/>
        <v>3</v>
      </c>
      <c r="FT1154" s="101">
        <f t="shared" si="551"/>
        <v>8</v>
      </c>
      <c r="FU1154" s="101" t="str">
        <f t="shared" si="543"/>
        <v>金币</v>
      </c>
      <c r="FV1154" s="139">
        <f>IF($FT1154&gt;0,IF(INDEX($EI$6:$EI$77,$FO1154)&gt;=FV$3,ROUND(INDEX(EK$6:EK$77,$FO1154)*INDEX(卡牌消耗!$B$8:$F$8,FQ1154)/5,0)*5,""),"")</f>
        <v>1765</v>
      </c>
      <c r="FW1154" s="101" t="str">
        <f t="shared" si="544"/>
        <v>专属强化石1</v>
      </c>
      <c r="FX1154" s="101">
        <f t="shared" si="545"/>
        <v>16</v>
      </c>
      <c r="FY1154" s="101" t="str">
        <f t="shared" si="546"/>
        <v>专属强化石2</v>
      </c>
      <c r="FZ1154" s="101">
        <f t="shared" si="547"/>
        <v>8</v>
      </c>
      <c r="GA1154" s="101">
        <f t="shared" si="552"/>
        <v>0.04</v>
      </c>
      <c r="GB1154" s="101">
        <f t="shared" si="553"/>
        <v>1</v>
      </c>
      <c r="GC1154" s="101">
        <f t="shared" si="554"/>
        <v>41</v>
      </c>
      <c r="GD1154" s="101">
        <f t="shared" si="555"/>
        <v>0</v>
      </c>
      <c r="GE1154" s="101">
        <f t="shared" si="556"/>
        <v>1</v>
      </c>
      <c r="GF1154" s="101">
        <f t="shared" si="557"/>
        <v>10</v>
      </c>
      <c r="GG1154" s="101">
        <f t="shared" si="558"/>
        <v>1.8100000000000002E-2</v>
      </c>
      <c r="GH1154" s="101">
        <f t="shared" si="559"/>
        <v>1</v>
      </c>
      <c r="GI1154" s="101">
        <f t="shared" si="560"/>
        <v>19</v>
      </c>
      <c r="GJ1154" s="101">
        <f t="shared" si="561"/>
        <v>7.2499999999999995E-2</v>
      </c>
      <c r="GK1154" s="101">
        <f t="shared" si="562"/>
        <v>1</v>
      </c>
      <c r="GL1154" s="101">
        <f t="shared" si="563"/>
        <v>41</v>
      </c>
    </row>
    <row r="1155" spans="170:194" ht="16.5" x14ac:dyDescent="0.2">
      <c r="FN1155" s="101">
        <v>1150</v>
      </c>
      <c r="FO1155" s="101">
        <f t="shared" si="548"/>
        <v>27</v>
      </c>
      <c r="FP1155" s="101">
        <f t="shared" si="541"/>
        <v>15</v>
      </c>
      <c r="FQ1155" s="14">
        <f t="shared" si="542"/>
        <v>3</v>
      </c>
      <c r="FR1155" s="101" t="str">
        <f t="shared" si="549"/>
        <v>高顺专属武器-魂珠-3 9级</v>
      </c>
      <c r="FS1155" s="101">
        <f t="shared" si="550"/>
        <v>3</v>
      </c>
      <c r="FT1155" s="101">
        <f t="shared" si="551"/>
        <v>9</v>
      </c>
      <c r="FU1155" s="101" t="str">
        <f t="shared" si="543"/>
        <v>金币</v>
      </c>
      <c r="FV1155" s="139">
        <f>IF($FT1155&gt;0,IF(INDEX($EI$6:$EI$77,$FO1155)&gt;=FV$3,ROUND(INDEX(EK$6:EK$77,$FO1155)*INDEX(卡牌消耗!$B$8:$F$8,FQ1155)/5,0)*5,""),"")</f>
        <v>2205</v>
      </c>
      <c r="FW1155" s="101" t="str">
        <f t="shared" si="544"/>
        <v>专属强化石1</v>
      </c>
      <c r="FX1155" s="101">
        <f t="shared" si="545"/>
        <v>20</v>
      </c>
      <c r="FY1155" s="101" t="str">
        <f t="shared" si="546"/>
        <v>专属强化石2</v>
      </c>
      <c r="FZ1155" s="101">
        <f t="shared" si="547"/>
        <v>10</v>
      </c>
      <c r="GA1155" s="101">
        <f t="shared" si="552"/>
        <v>0.03</v>
      </c>
      <c r="GB1155" s="101">
        <f t="shared" si="553"/>
        <v>1</v>
      </c>
      <c r="GC1155" s="101">
        <f t="shared" si="554"/>
        <v>54</v>
      </c>
      <c r="GD1155" s="101">
        <f t="shared" si="555"/>
        <v>0</v>
      </c>
      <c r="GE1155" s="101">
        <f t="shared" si="556"/>
        <v>1</v>
      </c>
      <c r="GF1155" s="101">
        <f t="shared" si="557"/>
        <v>12</v>
      </c>
      <c r="GG1155" s="101">
        <f t="shared" si="558"/>
        <v>1.4E-2</v>
      </c>
      <c r="GH1155" s="101">
        <f t="shared" si="559"/>
        <v>1</v>
      </c>
      <c r="GI1155" s="101">
        <f t="shared" si="560"/>
        <v>25</v>
      </c>
      <c r="GJ1155" s="101">
        <f t="shared" si="561"/>
        <v>5.6000000000000001E-2</v>
      </c>
      <c r="GK1155" s="101">
        <f t="shared" si="562"/>
        <v>1</v>
      </c>
      <c r="GL1155" s="101">
        <f t="shared" si="563"/>
        <v>54</v>
      </c>
    </row>
    <row r="1156" spans="170:194" ht="16.5" x14ac:dyDescent="0.2">
      <c r="FN1156" s="101">
        <v>1151</v>
      </c>
      <c r="FO1156" s="101">
        <f t="shared" si="548"/>
        <v>0</v>
      </c>
      <c r="FP1156" s="101">
        <f t="shared" si="541"/>
        <v>15</v>
      </c>
      <c r="FQ1156" s="14">
        <f t="shared" si="542"/>
        <v>3</v>
      </c>
      <c r="FR1156" s="101" t="str">
        <f t="shared" si="549"/>
        <v>高顺专属武器-魂珠-4 0级</v>
      </c>
      <c r="FS1156" s="101">
        <f t="shared" si="550"/>
        <v>4</v>
      </c>
      <c r="FT1156" s="101">
        <f t="shared" si="551"/>
        <v>0</v>
      </c>
      <c r="FU1156" s="101" t="str">
        <f t="shared" si="543"/>
        <v/>
      </c>
      <c r="FV1156" s="139" t="str">
        <f>IF($FT1156&gt;0,IF(INDEX($EI$6:$EI$77,$FO1156)&gt;=FV$3,ROUND(INDEX(EK$6:EK$77,$FO1156)*INDEX(卡牌消耗!$B$8:$F$8,FQ1156)/5,0)*5,""),"")</f>
        <v/>
      </c>
      <c r="FW1156" s="101" t="str">
        <f t="shared" si="544"/>
        <v/>
      </c>
      <c r="FX1156" s="101" t="str">
        <f t="shared" si="545"/>
        <v/>
      </c>
      <c r="FY1156" s="101" t="str">
        <f t="shared" si="546"/>
        <v/>
      </c>
      <c r="FZ1156" s="101" t="str">
        <f t="shared" si="547"/>
        <v/>
      </c>
      <c r="GA1156" s="101" t="str">
        <f t="shared" si="552"/>
        <v/>
      </c>
      <c r="GB1156" s="101" t="str">
        <f t="shared" si="553"/>
        <v/>
      </c>
      <c r="GC1156" s="101" t="str">
        <f t="shared" si="554"/>
        <v/>
      </c>
      <c r="GD1156" s="101" t="str">
        <f t="shared" si="555"/>
        <v/>
      </c>
      <c r="GE1156" s="101" t="str">
        <f t="shared" si="556"/>
        <v/>
      </c>
      <c r="GF1156" s="101" t="str">
        <f t="shared" si="557"/>
        <v/>
      </c>
      <c r="GG1156" s="101" t="str">
        <f t="shared" si="558"/>
        <v/>
      </c>
      <c r="GH1156" s="101" t="str">
        <f t="shared" si="559"/>
        <v/>
      </c>
      <c r="GI1156" s="101" t="str">
        <f t="shared" si="560"/>
        <v/>
      </c>
      <c r="GJ1156" s="101" t="str">
        <f t="shared" si="561"/>
        <v/>
      </c>
      <c r="GK1156" s="101" t="str">
        <f t="shared" si="562"/>
        <v/>
      </c>
      <c r="GL1156" s="101" t="str">
        <f t="shared" si="563"/>
        <v/>
      </c>
    </row>
    <row r="1157" spans="170:194" ht="16.5" x14ac:dyDescent="0.2">
      <c r="FN1157" s="101">
        <v>1152</v>
      </c>
      <c r="FO1157" s="101">
        <f t="shared" si="548"/>
        <v>28</v>
      </c>
      <c r="FP1157" s="101">
        <f t="shared" si="541"/>
        <v>15</v>
      </c>
      <c r="FQ1157" s="14">
        <f t="shared" si="542"/>
        <v>3</v>
      </c>
      <c r="FR1157" s="101" t="str">
        <f t="shared" si="549"/>
        <v>高顺专属武器-魂珠-4 1级</v>
      </c>
      <c r="FS1157" s="101">
        <f t="shared" si="550"/>
        <v>4</v>
      </c>
      <c r="FT1157" s="101">
        <f t="shared" si="551"/>
        <v>1</v>
      </c>
      <c r="FU1157" s="101" t="str">
        <f t="shared" si="543"/>
        <v>金币</v>
      </c>
      <c r="FV1157" s="139">
        <f>IF($FT1157&gt;0,IF(INDEX($EI$6:$EI$77,$FO1157)&gt;=FV$3,ROUND(INDEX(EK$6:EK$77,$FO1157)*INDEX(卡牌消耗!$B$8:$F$8,FQ1157)/5,0)*5,""),"")</f>
        <v>730</v>
      </c>
      <c r="FW1157" s="101" t="str">
        <f t="shared" si="544"/>
        <v>专属强化石2</v>
      </c>
      <c r="FX1157" s="101">
        <f t="shared" si="545"/>
        <v>3</v>
      </c>
      <c r="FY1157" s="101" t="str">
        <f t="shared" si="546"/>
        <v>专属强化石3</v>
      </c>
      <c r="FZ1157" s="101">
        <f t="shared" si="547"/>
        <v>1</v>
      </c>
      <c r="GA1157" s="101">
        <f t="shared" si="552"/>
        <v>0.2</v>
      </c>
      <c r="GB1157" s="101">
        <f t="shared" si="553"/>
        <v>1</v>
      </c>
      <c r="GC1157" s="101">
        <f t="shared" si="554"/>
        <v>7</v>
      </c>
      <c r="GD1157" s="101">
        <f t="shared" si="555"/>
        <v>0</v>
      </c>
      <c r="GE1157" s="101">
        <f t="shared" si="556"/>
        <v>1</v>
      </c>
      <c r="GF1157" s="101">
        <f t="shared" si="557"/>
        <v>2</v>
      </c>
      <c r="GG1157" s="101">
        <f t="shared" si="558"/>
        <v>0.1012</v>
      </c>
      <c r="GH1157" s="101">
        <f t="shared" si="559"/>
        <v>1</v>
      </c>
      <c r="GI1157" s="101">
        <f t="shared" si="560"/>
        <v>3</v>
      </c>
      <c r="GJ1157" s="101">
        <f t="shared" si="561"/>
        <v>0.40479999999999999</v>
      </c>
      <c r="GK1157" s="101">
        <f t="shared" si="562"/>
        <v>1</v>
      </c>
      <c r="GL1157" s="101">
        <f t="shared" si="563"/>
        <v>7</v>
      </c>
    </row>
    <row r="1158" spans="170:194" ht="16.5" x14ac:dyDescent="0.2">
      <c r="FN1158" s="101">
        <v>1153</v>
      </c>
      <c r="FO1158" s="101">
        <f t="shared" si="548"/>
        <v>29</v>
      </c>
      <c r="FP1158" s="101">
        <f t="shared" si="541"/>
        <v>15</v>
      </c>
      <c r="FQ1158" s="14">
        <f t="shared" si="542"/>
        <v>3</v>
      </c>
      <c r="FR1158" s="101" t="str">
        <f t="shared" si="549"/>
        <v>高顺专属武器-魂珠-4 2级</v>
      </c>
      <c r="FS1158" s="101">
        <f t="shared" si="550"/>
        <v>4</v>
      </c>
      <c r="FT1158" s="101">
        <f t="shared" si="551"/>
        <v>2</v>
      </c>
      <c r="FU1158" s="101" t="str">
        <f t="shared" si="543"/>
        <v>金币</v>
      </c>
      <c r="FV1158" s="139">
        <f>IF($FT1158&gt;0,IF(INDEX($EI$6:$EI$77,$FO1158)&gt;=FV$3,ROUND(INDEX(EK$6:EK$77,$FO1158)*INDEX(卡牌消耗!$B$8:$F$8,FQ1158)/5,0)*5,""),"")</f>
        <v>545</v>
      </c>
      <c r="FW1158" s="101" t="str">
        <f t="shared" si="544"/>
        <v>专属强化石2</v>
      </c>
      <c r="FX1158" s="101">
        <f t="shared" si="545"/>
        <v>3</v>
      </c>
      <c r="FY1158" s="101" t="str">
        <f t="shared" si="546"/>
        <v>专属强化石3</v>
      </c>
      <c r="FZ1158" s="101">
        <f t="shared" si="547"/>
        <v>1</v>
      </c>
      <c r="GA1158" s="101">
        <f t="shared" si="552"/>
        <v>0.1</v>
      </c>
      <c r="GB1158" s="101">
        <f t="shared" si="553"/>
        <v>1</v>
      </c>
      <c r="GC1158" s="101">
        <f t="shared" si="554"/>
        <v>15</v>
      </c>
      <c r="GD1158" s="101">
        <f t="shared" si="555"/>
        <v>0</v>
      </c>
      <c r="GE1158" s="101">
        <f t="shared" si="556"/>
        <v>1</v>
      </c>
      <c r="GF1158" s="101">
        <f t="shared" si="557"/>
        <v>3</v>
      </c>
      <c r="GG1158" s="101">
        <f t="shared" si="558"/>
        <v>5.0599999999999999E-2</v>
      </c>
      <c r="GH1158" s="101">
        <f t="shared" si="559"/>
        <v>1</v>
      </c>
      <c r="GI1158" s="101">
        <f t="shared" si="560"/>
        <v>7</v>
      </c>
      <c r="GJ1158" s="101">
        <f t="shared" si="561"/>
        <v>0.2024</v>
      </c>
      <c r="GK1158" s="101">
        <f t="shared" si="562"/>
        <v>1</v>
      </c>
      <c r="GL1158" s="101">
        <f t="shared" si="563"/>
        <v>15</v>
      </c>
    </row>
    <row r="1159" spans="170:194" ht="16.5" x14ac:dyDescent="0.2">
      <c r="FN1159" s="101">
        <v>1154</v>
      </c>
      <c r="FO1159" s="101">
        <f t="shared" si="548"/>
        <v>30</v>
      </c>
      <c r="FP1159" s="101">
        <f t="shared" ref="FP1159:FP1222" si="564">INT((FN1159-1)/80+1)</f>
        <v>15</v>
      </c>
      <c r="FQ1159" s="14">
        <f t="shared" ref="FQ1159:FQ1222" si="565">INDEX($FJ$6:$FJ$26,FP1159)</f>
        <v>3</v>
      </c>
      <c r="FR1159" s="101" t="str">
        <f t="shared" si="549"/>
        <v>高顺专属武器-魂珠-4 3级</v>
      </c>
      <c r="FS1159" s="101">
        <f t="shared" si="550"/>
        <v>4</v>
      </c>
      <c r="FT1159" s="101">
        <f t="shared" si="551"/>
        <v>3</v>
      </c>
      <c r="FU1159" s="101" t="str">
        <f t="shared" ref="FU1159:FU1222" si="566">IF($FT1159&gt;0,IF(INDEX($EI$6:$EI$77,$FO1159)&gt;=FU$3,INDEX(EJ$6:EJ$77,$FO1159),""),"")</f>
        <v>金币</v>
      </c>
      <c r="FV1159" s="139">
        <f>IF($FT1159&gt;0,IF(INDEX($EI$6:$EI$77,$FO1159)&gt;=FV$3,ROUND(INDEX(EK$6:EK$77,$FO1159)*INDEX(卡牌消耗!$B$8:$F$8,FQ1159)/5,0)*5,""),"")</f>
        <v>610</v>
      </c>
      <c r="FW1159" s="101" t="str">
        <f t="shared" ref="FW1159:FW1222" si="567">IF($FT1159&gt;0,IF(INDEX($EI$6:$EI$77,$FO1159)&gt;=FW$3,INDEX(EL$6:EL$77,$FO1159),""),"")</f>
        <v>专属强化石2</v>
      </c>
      <c r="FX1159" s="101">
        <f t="shared" ref="FX1159:FX1222" si="568">IF($FT1159&gt;0,IF(INDEX($EI$6:$EI$77,$FO1159)&gt;=FX$3,INDEX(EM$6:EM$77,$FO1159),""),"")</f>
        <v>3</v>
      </c>
      <c r="FY1159" s="101" t="str">
        <f t="shared" ref="FY1159:FY1222" si="569">IF($FT1159&gt;0,IF(INDEX($EI$6:$EI$77,$FO1159)&gt;=FY$3,INDEX(EN$6:EN$77,$FO1159),""),"")</f>
        <v>专属强化石3</v>
      </c>
      <c r="FZ1159" s="101">
        <f t="shared" ref="FZ1159:FZ1222" si="570">IF($FT1159&gt;0,IF(INDEX($EI$6:$EI$77,$FO1159)&gt;=FZ$3,INDEX(EO$6:EO$77,$FO1159),""),"")</f>
        <v>1</v>
      </c>
      <c r="GA1159" s="101">
        <f t="shared" si="552"/>
        <v>7.0000000000000007E-2</v>
      </c>
      <c r="GB1159" s="101">
        <f t="shared" si="553"/>
        <v>1</v>
      </c>
      <c r="GC1159" s="101">
        <f t="shared" si="554"/>
        <v>22</v>
      </c>
      <c r="GD1159" s="101">
        <f t="shared" si="555"/>
        <v>0</v>
      </c>
      <c r="GE1159" s="101">
        <f t="shared" si="556"/>
        <v>1</v>
      </c>
      <c r="GF1159" s="101">
        <f t="shared" si="557"/>
        <v>5</v>
      </c>
      <c r="GG1159" s="101">
        <f t="shared" si="558"/>
        <v>3.3700000000000001E-2</v>
      </c>
      <c r="GH1159" s="101">
        <f t="shared" si="559"/>
        <v>1</v>
      </c>
      <c r="GI1159" s="101">
        <f t="shared" si="560"/>
        <v>10</v>
      </c>
      <c r="GJ1159" s="101">
        <f t="shared" si="561"/>
        <v>0.13489999999999999</v>
      </c>
      <c r="GK1159" s="101">
        <f t="shared" si="562"/>
        <v>1</v>
      </c>
      <c r="GL1159" s="101">
        <f t="shared" si="563"/>
        <v>22</v>
      </c>
    </row>
    <row r="1160" spans="170:194" ht="16.5" x14ac:dyDescent="0.2">
      <c r="FN1160" s="101">
        <v>1155</v>
      </c>
      <c r="FO1160" s="101">
        <f t="shared" si="548"/>
        <v>31</v>
      </c>
      <c r="FP1160" s="101">
        <f t="shared" si="564"/>
        <v>15</v>
      </c>
      <c r="FQ1160" s="14">
        <f t="shared" si="565"/>
        <v>3</v>
      </c>
      <c r="FR1160" s="101" t="str">
        <f t="shared" si="549"/>
        <v>高顺专属武器-魂珠-4 4级</v>
      </c>
      <c r="FS1160" s="101">
        <f t="shared" si="550"/>
        <v>4</v>
      </c>
      <c r="FT1160" s="101">
        <f t="shared" si="551"/>
        <v>4</v>
      </c>
      <c r="FU1160" s="101" t="str">
        <f t="shared" si="566"/>
        <v>金币</v>
      </c>
      <c r="FV1160" s="139">
        <f>IF($FT1160&gt;0,IF(INDEX($EI$6:$EI$77,$FO1160)&gt;=FV$3,ROUND(INDEX(EK$6:EK$77,$FO1160)*INDEX(卡牌消耗!$B$8:$F$8,FQ1160)/5,0)*5,""),"")</f>
        <v>1165</v>
      </c>
      <c r="FW1160" s="101" t="str">
        <f t="shared" si="567"/>
        <v>专属强化石2</v>
      </c>
      <c r="FX1160" s="101">
        <f t="shared" si="568"/>
        <v>5</v>
      </c>
      <c r="FY1160" s="101" t="str">
        <f t="shared" si="569"/>
        <v>专属强化石3</v>
      </c>
      <c r="FZ1160" s="101">
        <f t="shared" si="570"/>
        <v>2</v>
      </c>
      <c r="GA1160" s="101">
        <f t="shared" si="552"/>
        <v>0.08</v>
      </c>
      <c r="GB1160" s="101">
        <f t="shared" si="553"/>
        <v>1</v>
      </c>
      <c r="GC1160" s="101">
        <f t="shared" si="554"/>
        <v>19</v>
      </c>
      <c r="GD1160" s="101">
        <f t="shared" si="555"/>
        <v>0</v>
      </c>
      <c r="GE1160" s="101">
        <f t="shared" si="556"/>
        <v>1</v>
      </c>
      <c r="GF1160" s="101">
        <f t="shared" si="557"/>
        <v>4</v>
      </c>
      <c r="GG1160" s="101">
        <f t="shared" si="558"/>
        <v>4.0500000000000001E-2</v>
      </c>
      <c r="GH1160" s="101">
        <f t="shared" si="559"/>
        <v>1</v>
      </c>
      <c r="GI1160" s="101">
        <f t="shared" si="560"/>
        <v>9</v>
      </c>
      <c r="GJ1160" s="101">
        <f t="shared" si="561"/>
        <v>0.16189999999999999</v>
      </c>
      <c r="GK1160" s="101">
        <f t="shared" si="562"/>
        <v>1</v>
      </c>
      <c r="GL1160" s="101">
        <f t="shared" si="563"/>
        <v>19</v>
      </c>
    </row>
    <row r="1161" spans="170:194" ht="16.5" x14ac:dyDescent="0.2">
      <c r="FN1161" s="101">
        <v>1156</v>
      </c>
      <c r="FO1161" s="101">
        <f t="shared" si="548"/>
        <v>32</v>
      </c>
      <c r="FP1161" s="101">
        <f t="shared" si="564"/>
        <v>15</v>
      </c>
      <c r="FQ1161" s="14">
        <f t="shared" si="565"/>
        <v>3</v>
      </c>
      <c r="FR1161" s="101" t="str">
        <f t="shared" si="549"/>
        <v>高顺专属武器-魂珠-4 5级</v>
      </c>
      <c r="FS1161" s="101">
        <f t="shared" si="550"/>
        <v>4</v>
      </c>
      <c r="FT1161" s="101">
        <f t="shared" si="551"/>
        <v>5</v>
      </c>
      <c r="FU1161" s="101" t="str">
        <f t="shared" si="566"/>
        <v>金币</v>
      </c>
      <c r="FV1161" s="139">
        <f>IF($FT1161&gt;0,IF(INDEX($EI$6:$EI$77,$FO1161)&gt;=FV$3,ROUND(INDEX(EK$6:EK$77,$FO1161)*INDEX(卡牌消耗!$B$8:$F$8,FQ1161)/5,0)*5,""),"")</f>
        <v>1185</v>
      </c>
      <c r="FW1161" s="101" t="str">
        <f t="shared" si="567"/>
        <v>专属强化石2</v>
      </c>
      <c r="FX1161" s="101">
        <f t="shared" si="568"/>
        <v>5</v>
      </c>
      <c r="FY1161" s="101" t="str">
        <f t="shared" si="569"/>
        <v>专属强化石3</v>
      </c>
      <c r="FZ1161" s="101">
        <f t="shared" si="570"/>
        <v>2</v>
      </c>
      <c r="GA1161" s="101">
        <f t="shared" si="552"/>
        <v>0.05</v>
      </c>
      <c r="GB1161" s="101">
        <f t="shared" si="553"/>
        <v>1</v>
      </c>
      <c r="GC1161" s="101">
        <f t="shared" si="554"/>
        <v>30</v>
      </c>
      <c r="GD1161" s="101">
        <f t="shared" si="555"/>
        <v>0</v>
      </c>
      <c r="GE1161" s="101">
        <f t="shared" si="556"/>
        <v>1</v>
      </c>
      <c r="GF1161" s="101">
        <f t="shared" si="557"/>
        <v>7</v>
      </c>
      <c r="GG1161" s="101">
        <f t="shared" si="558"/>
        <v>2.53E-2</v>
      </c>
      <c r="GH1161" s="101">
        <f t="shared" si="559"/>
        <v>1</v>
      </c>
      <c r="GI1161" s="101">
        <f t="shared" si="560"/>
        <v>14</v>
      </c>
      <c r="GJ1161" s="101">
        <f t="shared" si="561"/>
        <v>0.1012</v>
      </c>
      <c r="GK1161" s="101">
        <f t="shared" si="562"/>
        <v>1</v>
      </c>
      <c r="GL1161" s="101">
        <f t="shared" si="563"/>
        <v>30</v>
      </c>
    </row>
    <row r="1162" spans="170:194" ht="16.5" x14ac:dyDescent="0.2">
      <c r="FN1162" s="101">
        <v>1157</v>
      </c>
      <c r="FO1162" s="101">
        <f t="shared" si="548"/>
        <v>33</v>
      </c>
      <c r="FP1162" s="101">
        <f t="shared" si="564"/>
        <v>15</v>
      </c>
      <c r="FQ1162" s="14">
        <f t="shared" si="565"/>
        <v>3</v>
      </c>
      <c r="FR1162" s="101" t="str">
        <f t="shared" si="549"/>
        <v>高顺专属武器-魂珠-4 6级</v>
      </c>
      <c r="FS1162" s="101">
        <f t="shared" si="550"/>
        <v>4</v>
      </c>
      <c r="FT1162" s="101">
        <f t="shared" si="551"/>
        <v>6</v>
      </c>
      <c r="FU1162" s="101" t="str">
        <f t="shared" si="566"/>
        <v>金币</v>
      </c>
      <c r="FV1162" s="139">
        <f>IF($FT1162&gt;0,IF(INDEX($EI$6:$EI$77,$FO1162)&gt;=FV$3,ROUND(INDEX(EK$6:EK$77,$FO1162)*INDEX(卡牌消耗!$B$8:$F$8,FQ1162)/5,0)*5,""),"")</f>
        <v>1180</v>
      </c>
      <c r="FW1162" s="101" t="str">
        <f t="shared" si="567"/>
        <v>专属强化石2</v>
      </c>
      <c r="FX1162" s="101">
        <f t="shared" si="568"/>
        <v>5</v>
      </c>
      <c r="FY1162" s="101" t="str">
        <f t="shared" si="569"/>
        <v>专属强化石3</v>
      </c>
      <c r="FZ1162" s="101">
        <f t="shared" si="570"/>
        <v>2</v>
      </c>
      <c r="GA1162" s="101">
        <f t="shared" si="552"/>
        <v>0.03</v>
      </c>
      <c r="GB1162" s="101">
        <f t="shared" si="553"/>
        <v>1</v>
      </c>
      <c r="GC1162" s="101">
        <f t="shared" si="554"/>
        <v>48</v>
      </c>
      <c r="GD1162" s="101">
        <f t="shared" si="555"/>
        <v>0</v>
      </c>
      <c r="GE1162" s="101">
        <f t="shared" si="556"/>
        <v>1</v>
      </c>
      <c r="GF1162" s="101">
        <f t="shared" si="557"/>
        <v>11</v>
      </c>
      <c r="GG1162" s="101">
        <f t="shared" si="558"/>
        <v>1.5599999999999999E-2</v>
      </c>
      <c r="GH1162" s="101">
        <f t="shared" si="559"/>
        <v>1</v>
      </c>
      <c r="GI1162" s="101">
        <f t="shared" si="560"/>
        <v>22</v>
      </c>
      <c r="GJ1162" s="101">
        <f t="shared" si="561"/>
        <v>6.2300000000000001E-2</v>
      </c>
      <c r="GK1162" s="101">
        <f t="shared" si="562"/>
        <v>1</v>
      </c>
      <c r="GL1162" s="101">
        <f t="shared" si="563"/>
        <v>48</v>
      </c>
    </row>
    <row r="1163" spans="170:194" ht="16.5" x14ac:dyDescent="0.2">
      <c r="FN1163" s="101">
        <v>1158</v>
      </c>
      <c r="FO1163" s="101">
        <f t="shared" si="548"/>
        <v>34</v>
      </c>
      <c r="FP1163" s="101">
        <f t="shared" si="564"/>
        <v>15</v>
      </c>
      <c r="FQ1163" s="14">
        <f t="shared" si="565"/>
        <v>3</v>
      </c>
      <c r="FR1163" s="101" t="str">
        <f t="shared" si="549"/>
        <v>高顺专属武器-魂珠-4 7级</v>
      </c>
      <c r="FS1163" s="101">
        <f t="shared" si="550"/>
        <v>4</v>
      </c>
      <c r="FT1163" s="101">
        <f t="shared" si="551"/>
        <v>7</v>
      </c>
      <c r="FU1163" s="101" t="str">
        <f t="shared" si="566"/>
        <v>金币</v>
      </c>
      <c r="FV1163" s="139">
        <f>IF($FT1163&gt;0,IF(INDEX($EI$6:$EI$77,$FO1163)&gt;=FV$3,ROUND(INDEX(EK$6:EK$77,$FO1163)*INDEX(卡牌消耗!$B$8:$F$8,FQ1163)/5,0)*5,""),"")</f>
        <v>1770</v>
      </c>
      <c r="FW1163" s="101" t="str">
        <f t="shared" si="567"/>
        <v>专属强化石2</v>
      </c>
      <c r="FX1163" s="101">
        <f t="shared" si="568"/>
        <v>8</v>
      </c>
      <c r="FY1163" s="101" t="str">
        <f t="shared" si="569"/>
        <v>专属强化石3</v>
      </c>
      <c r="FZ1163" s="101">
        <f t="shared" si="570"/>
        <v>3</v>
      </c>
      <c r="GA1163" s="101">
        <f t="shared" si="552"/>
        <v>0.03</v>
      </c>
      <c r="GB1163" s="101">
        <f t="shared" si="553"/>
        <v>1</v>
      </c>
      <c r="GC1163" s="101">
        <f t="shared" si="554"/>
        <v>52</v>
      </c>
      <c r="GD1163" s="101">
        <f t="shared" si="555"/>
        <v>0</v>
      </c>
      <c r="GE1163" s="101">
        <f t="shared" si="556"/>
        <v>1</v>
      </c>
      <c r="GF1163" s="101">
        <f t="shared" si="557"/>
        <v>12</v>
      </c>
      <c r="GG1163" s="101">
        <f t="shared" si="558"/>
        <v>1.4500000000000001E-2</v>
      </c>
      <c r="GH1163" s="101">
        <f t="shared" si="559"/>
        <v>1</v>
      </c>
      <c r="GI1163" s="101">
        <f t="shared" si="560"/>
        <v>24</v>
      </c>
      <c r="GJ1163" s="101">
        <f t="shared" si="561"/>
        <v>5.7799999999999997E-2</v>
      </c>
      <c r="GK1163" s="101">
        <f t="shared" si="562"/>
        <v>1</v>
      </c>
      <c r="GL1163" s="101">
        <f t="shared" si="563"/>
        <v>52</v>
      </c>
    </row>
    <row r="1164" spans="170:194" ht="16.5" x14ac:dyDescent="0.2">
      <c r="FN1164" s="101">
        <v>1159</v>
      </c>
      <c r="FO1164" s="101">
        <f t="shared" si="548"/>
        <v>35</v>
      </c>
      <c r="FP1164" s="101">
        <f t="shared" si="564"/>
        <v>15</v>
      </c>
      <c r="FQ1164" s="14">
        <f t="shared" si="565"/>
        <v>3</v>
      </c>
      <c r="FR1164" s="101" t="str">
        <f t="shared" si="549"/>
        <v>高顺专属武器-魂珠-4 8级</v>
      </c>
      <c r="FS1164" s="101">
        <f t="shared" si="550"/>
        <v>4</v>
      </c>
      <c r="FT1164" s="101">
        <f t="shared" si="551"/>
        <v>8</v>
      </c>
      <c r="FU1164" s="101" t="str">
        <f t="shared" si="566"/>
        <v>金币</v>
      </c>
      <c r="FV1164" s="139">
        <f>IF($FT1164&gt;0,IF(INDEX($EI$6:$EI$77,$FO1164)&gt;=FV$3,ROUND(INDEX(EK$6:EK$77,$FO1164)*INDEX(卡牌消耗!$B$8:$F$8,FQ1164)/5,0)*5,""),"")</f>
        <v>2360</v>
      </c>
      <c r="FW1164" s="101" t="str">
        <f t="shared" si="567"/>
        <v>专属强化石2</v>
      </c>
      <c r="FX1164" s="101">
        <f t="shared" si="568"/>
        <v>11</v>
      </c>
      <c r="FY1164" s="101" t="str">
        <f t="shared" si="569"/>
        <v>专属强化石3</v>
      </c>
      <c r="FZ1164" s="101">
        <f t="shared" si="570"/>
        <v>4</v>
      </c>
      <c r="GA1164" s="101">
        <f t="shared" si="552"/>
        <v>0.02</v>
      </c>
      <c r="GB1164" s="101">
        <f t="shared" si="553"/>
        <v>1</v>
      </c>
      <c r="GC1164" s="101">
        <f t="shared" si="554"/>
        <v>63</v>
      </c>
      <c r="GD1164" s="101">
        <f t="shared" si="555"/>
        <v>0</v>
      </c>
      <c r="GE1164" s="101">
        <f t="shared" si="556"/>
        <v>1</v>
      </c>
      <c r="GF1164" s="101">
        <f t="shared" si="557"/>
        <v>15</v>
      </c>
      <c r="GG1164" s="101">
        <f t="shared" si="558"/>
        <v>1.1900000000000001E-2</v>
      </c>
      <c r="GH1164" s="101">
        <f t="shared" si="559"/>
        <v>1</v>
      </c>
      <c r="GI1164" s="101">
        <f t="shared" si="560"/>
        <v>29</v>
      </c>
      <c r="GJ1164" s="101">
        <f t="shared" si="561"/>
        <v>4.7600000000000003E-2</v>
      </c>
      <c r="GK1164" s="101">
        <f t="shared" si="562"/>
        <v>1</v>
      </c>
      <c r="GL1164" s="101">
        <f t="shared" si="563"/>
        <v>63</v>
      </c>
    </row>
    <row r="1165" spans="170:194" ht="16.5" x14ac:dyDescent="0.2">
      <c r="FN1165" s="101">
        <v>1160</v>
      </c>
      <c r="FO1165" s="101">
        <f t="shared" si="548"/>
        <v>36</v>
      </c>
      <c r="FP1165" s="101">
        <f t="shared" si="564"/>
        <v>15</v>
      </c>
      <c r="FQ1165" s="14">
        <f t="shared" si="565"/>
        <v>3</v>
      </c>
      <c r="FR1165" s="101" t="str">
        <f t="shared" si="549"/>
        <v>高顺专属武器-魂珠-4 9级</v>
      </c>
      <c r="FS1165" s="101">
        <f t="shared" si="550"/>
        <v>4</v>
      </c>
      <c r="FT1165" s="101">
        <f t="shared" si="551"/>
        <v>9</v>
      </c>
      <c r="FU1165" s="101" t="str">
        <f t="shared" si="566"/>
        <v>金币</v>
      </c>
      <c r="FV1165" s="139">
        <f>IF($FT1165&gt;0,IF(INDEX($EI$6:$EI$77,$FO1165)&gt;=FV$3,ROUND(INDEX(EK$6:EK$77,$FO1165)*INDEX(卡牌消耗!$B$8:$F$8,FQ1165)/5,0)*5,""),"")</f>
        <v>3540</v>
      </c>
      <c r="FW1165" s="101" t="str">
        <f t="shared" si="567"/>
        <v>专属强化石2</v>
      </c>
      <c r="FX1165" s="101">
        <f t="shared" si="568"/>
        <v>16</v>
      </c>
      <c r="FY1165" s="101" t="str">
        <f t="shared" si="569"/>
        <v>专属强化石3</v>
      </c>
      <c r="FZ1165" s="101">
        <f t="shared" si="570"/>
        <v>6</v>
      </c>
      <c r="GA1165" s="101">
        <f t="shared" si="552"/>
        <v>0.02</v>
      </c>
      <c r="GB1165" s="101">
        <f t="shared" si="553"/>
        <v>1</v>
      </c>
      <c r="GC1165" s="101">
        <f t="shared" si="554"/>
        <v>68</v>
      </c>
      <c r="GD1165" s="101">
        <f t="shared" si="555"/>
        <v>0</v>
      </c>
      <c r="GE1165" s="101">
        <f t="shared" si="556"/>
        <v>1</v>
      </c>
      <c r="GF1165" s="101">
        <f t="shared" si="557"/>
        <v>16</v>
      </c>
      <c r="GG1165" s="101">
        <f t="shared" si="558"/>
        <v>1.0999999999999999E-2</v>
      </c>
      <c r="GH1165" s="101">
        <f t="shared" si="559"/>
        <v>1</v>
      </c>
      <c r="GI1165" s="101">
        <f t="shared" si="560"/>
        <v>32</v>
      </c>
      <c r="GJ1165" s="101">
        <f t="shared" si="561"/>
        <v>4.4200000000000003E-2</v>
      </c>
      <c r="GK1165" s="101">
        <f t="shared" si="562"/>
        <v>1</v>
      </c>
      <c r="GL1165" s="101">
        <f t="shared" si="563"/>
        <v>68</v>
      </c>
    </row>
    <row r="1166" spans="170:194" ht="16.5" x14ac:dyDescent="0.2">
      <c r="FN1166" s="101">
        <v>1161</v>
      </c>
      <c r="FO1166" s="101">
        <f t="shared" si="548"/>
        <v>0</v>
      </c>
      <c r="FP1166" s="101">
        <f t="shared" si="564"/>
        <v>15</v>
      </c>
      <c r="FQ1166" s="14">
        <f t="shared" si="565"/>
        <v>3</v>
      </c>
      <c r="FR1166" s="101" t="str">
        <f t="shared" si="549"/>
        <v>高顺专属武器-魂珠-5 0级</v>
      </c>
      <c r="FS1166" s="101">
        <f t="shared" si="550"/>
        <v>5</v>
      </c>
      <c r="FT1166" s="101">
        <f t="shared" si="551"/>
        <v>0</v>
      </c>
      <c r="FU1166" s="101" t="str">
        <f t="shared" si="566"/>
        <v/>
      </c>
      <c r="FV1166" s="139" t="str">
        <f>IF($FT1166&gt;0,IF(INDEX($EI$6:$EI$77,$FO1166)&gt;=FV$3,ROUND(INDEX(EK$6:EK$77,$FO1166)*INDEX(卡牌消耗!$B$8:$F$8,FQ1166)/5,0)*5,""),"")</f>
        <v/>
      </c>
      <c r="FW1166" s="101" t="str">
        <f t="shared" si="567"/>
        <v/>
      </c>
      <c r="FX1166" s="101" t="str">
        <f t="shared" si="568"/>
        <v/>
      </c>
      <c r="FY1166" s="101" t="str">
        <f t="shared" si="569"/>
        <v/>
      </c>
      <c r="FZ1166" s="101" t="str">
        <f t="shared" si="570"/>
        <v/>
      </c>
      <c r="GA1166" s="101" t="str">
        <f t="shared" si="552"/>
        <v/>
      </c>
      <c r="GB1166" s="101" t="str">
        <f t="shared" si="553"/>
        <v/>
      </c>
      <c r="GC1166" s="101" t="str">
        <f t="shared" si="554"/>
        <v/>
      </c>
      <c r="GD1166" s="101" t="str">
        <f t="shared" si="555"/>
        <v/>
      </c>
      <c r="GE1166" s="101" t="str">
        <f t="shared" si="556"/>
        <v/>
      </c>
      <c r="GF1166" s="101" t="str">
        <f t="shared" si="557"/>
        <v/>
      </c>
      <c r="GG1166" s="101" t="str">
        <f t="shared" si="558"/>
        <v/>
      </c>
      <c r="GH1166" s="101" t="str">
        <f t="shared" si="559"/>
        <v/>
      </c>
      <c r="GI1166" s="101" t="str">
        <f t="shared" si="560"/>
        <v/>
      </c>
      <c r="GJ1166" s="101" t="str">
        <f t="shared" si="561"/>
        <v/>
      </c>
      <c r="GK1166" s="101" t="str">
        <f t="shared" si="562"/>
        <v/>
      </c>
      <c r="GL1166" s="101" t="str">
        <f t="shared" si="563"/>
        <v/>
      </c>
    </row>
    <row r="1167" spans="170:194" ht="16.5" x14ac:dyDescent="0.2">
      <c r="FN1167" s="101">
        <v>1162</v>
      </c>
      <c r="FO1167" s="101">
        <f t="shared" si="548"/>
        <v>37</v>
      </c>
      <c r="FP1167" s="101">
        <f t="shared" si="564"/>
        <v>15</v>
      </c>
      <c r="FQ1167" s="14">
        <f t="shared" si="565"/>
        <v>3</v>
      </c>
      <c r="FR1167" s="101" t="str">
        <f t="shared" si="549"/>
        <v>高顺专属武器-魂珠-5 1级</v>
      </c>
      <c r="FS1167" s="101">
        <f t="shared" si="550"/>
        <v>5</v>
      </c>
      <c r="FT1167" s="101">
        <f t="shared" si="551"/>
        <v>1</v>
      </c>
      <c r="FU1167" s="101" t="str">
        <f t="shared" si="566"/>
        <v>金币</v>
      </c>
      <c r="FV1167" s="139">
        <f>IF($FT1167&gt;0,IF(INDEX($EI$6:$EI$77,$FO1167)&gt;=FV$3,ROUND(INDEX(EK$6:EK$77,$FO1167)*INDEX(卡牌消耗!$B$8:$F$8,FQ1167)/5,0)*5,""),"")</f>
        <v>1495</v>
      </c>
      <c r="FW1167" s="101" t="str">
        <f t="shared" si="567"/>
        <v>专属强化石2</v>
      </c>
      <c r="FX1167" s="101">
        <f t="shared" si="568"/>
        <v>3</v>
      </c>
      <c r="FY1167" s="101" t="str">
        <f t="shared" si="569"/>
        <v>专属强化石3</v>
      </c>
      <c r="FZ1167" s="101">
        <f t="shared" si="570"/>
        <v>2</v>
      </c>
      <c r="GA1167" s="101">
        <f t="shared" si="552"/>
        <v>0.2</v>
      </c>
      <c r="GB1167" s="101">
        <f t="shared" si="553"/>
        <v>1</v>
      </c>
      <c r="GC1167" s="101">
        <f t="shared" si="554"/>
        <v>7</v>
      </c>
      <c r="GD1167" s="101">
        <f t="shared" si="555"/>
        <v>0</v>
      </c>
      <c r="GE1167" s="101">
        <f t="shared" si="556"/>
        <v>1</v>
      </c>
      <c r="GF1167" s="101">
        <f t="shared" si="557"/>
        <v>2</v>
      </c>
      <c r="GG1167" s="101">
        <f t="shared" si="558"/>
        <v>0.1012</v>
      </c>
      <c r="GH1167" s="101">
        <f t="shared" si="559"/>
        <v>1</v>
      </c>
      <c r="GI1167" s="101">
        <f t="shared" si="560"/>
        <v>3</v>
      </c>
      <c r="GJ1167" s="101">
        <f t="shared" si="561"/>
        <v>0.40479999999999999</v>
      </c>
      <c r="GK1167" s="101">
        <f t="shared" si="562"/>
        <v>1</v>
      </c>
      <c r="GL1167" s="101">
        <f t="shared" si="563"/>
        <v>7</v>
      </c>
    </row>
    <row r="1168" spans="170:194" ht="16.5" x14ac:dyDescent="0.2">
      <c r="FN1168" s="101">
        <v>1163</v>
      </c>
      <c r="FO1168" s="101">
        <f t="shared" si="548"/>
        <v>38</v>
      </c>
      <c r="FP1168" s="101">
        <f t="shared" si="564"/>
        <v>15</v>
      </c>
      <c r="FQ1168" s="14">
        <f t="shared" si="565"/>
        <v>3</v>
      </c>
      <c r="FR1168" s="101" t="str">
        <f t="shared" si="549"/>
        <v>高顺专属武器-魂珠-5 2级</v>
      </c>
      <c r="FS1168" s="101">
        <f t="shared" si="550"/>
        <v>5</v>
      </c>
      <c r="FT1168" s="101">
        <f t="shared" si="551"/>
        <v>2</v>
      </c>
      <c r="FU1168" s="101" t="str">
        <f t="shared" si="566"/>
        <v>金币</v>
      </c>
      <c r="FV1168" s="139">
        <f>IF($FT1168&gt;0,IF(INDEX($EI$6:$EI$77,$FO1168)&gt;=FV$3,ROUND(INDEX(EK$6:EK$77,$FO1168)*INDEX(卡牌消耗!$B$8:$F$8,FQ1168)/5,0)*5,""),"")</f>
        <v>1120</v>
      </c>
      <c r="FW1168" s="101" t="str">
        <f t="shared" si="567"/>
        <v>专属强化石2</v>
      </c>
      <c r="FX1168" s="101">
        <f t="shared" si="568"/>
        <v>3</v>
      </c>
      <c r="FY1168" s="101" t="str">
        <f t="shared" si="569"/>
        <v>专属强化石3</v>
      </c>
      <c r="FZ1168" s="101">
        <f t="shared" si="570"/>
        <v>2</v>
      </c>
      <c r="GA1168" s="101">
        <f t="shared" si="552"/>
        <v>0.1</v>
      </c>
      <c r="GB1168" s="101">
        <f t="shared" si="553"/>
        <v>1</v>
      </c>
      <c r="GC1168" s="101">
        <f t="shared" si="554"/>
        <v>15</v>
      </c>
      <c r="GD1168" s="101">
        <f t="shared" si="555"/>
        <v>0</v>
      </c>
      <c r="GE1168" s="101">
        <f t="shared" si="556"/>
        <v>1</v>
      </c>
      <c r="GF1168" s="101">
        <f t="shared" si="557"/>
        <v>3</v>
      </c>
      <c r="GG1168" s="101">
        <f t="shared" si="558"/>
        <v>5.0599999999999999E-2</v>
      </c>
      <c r="GH1168" s="101">
        <f t="shared" si="559"/>
        <v>1</v>
      </c>
      <c r="GI1168" s="101">
        <f t="shared" si="560"/>
        <v>7</v>
      </c>
      <c r="GJ1168" s="101">
        <f t="shared" si="561"/>
        <v>0.2024</v>
      </c>
      <c r="GK1168" s="101">
        <f t="shared" si="562"/>
        <v>1</v>
      </c>
      <c r="GL1168" s="101">
        <f t="shared" si="563"/>
        <v>15</v>
      </c>
    </row>
    <row r="1169" spans="170:194" ht="16.5" x14ac:dyDescent="0.2">
      <c r="FN1169" s="101">
        <v>1164</v>
      </c>
      <c r="FO1169" s="101">
        <f t="shared" si="548"/>
        <v>39</v>
      </c>
      <c r="FP1169" s="101">
        <f t="shared" si="564"/>
        <v>15</v>
      </c>
      <c r="FQ1169" s="14">
        <f t="shared" si="565"/>
        <v>3</v>
      </c>
      <c r="FR1169" s="101" t="str">
        <f t="shared" si="549"/>
        <v>高顺专属武器-魂珠-5 3级</v>
      </c>
      <c r="FS1169" s="101">
        <f t="shared" si="550"/>
        <v>5</v>
      </c>
      <c r="FT1169" s="101">
        <f t="shared" si="551"/>
        <v>3</v>
      </c>
      <c r="FU1169" s="101" t="str">
        <f t="shared" si="566"/>
        <v>金币</v>
      </c>
      <c r="FV1169" s="139">
        <f>IF($FT1169&gt;0,IF(INDEX($EI$6:$EI$77,$FO1169)&gt;=FV$3,ROUND(INDEX(EK$6:EK$77,$FO1169)*INDEX(卡牌消耗!$B$8:$F$8,FQ1169)/5,0)*5,""),"")</f>
        <v>1245</v>
      </c>
      <c r="FW1169" s="101" t="str">
        <f t="shared" si="567"/>
        <v>专属强化石2</v>
      </c>
      <c r="FX1169" s="101">
        <f t="shared" si="568"/>
        <v>3</v>
      </c>
      <c r="FY1169" s="101" t="str">
        <f t="shared" si="569"/>
        <v>专属强化石3</v>
      </c>
      <c r="FZ1169" s="101">
        <f t="shared" si="570"/>
        <v>2</v>
      </c>
      <c r="GA1169" s="101">
        <f t="shared" si="552"/>
        <v>7.0000000000000007E-2</v>
      </c>
      <c r="GB1169" s="101">
        <f t="shared" si="553"/>
        <v>1</v>
      </c>
      <c r="GC1169" s="101">
        <f t="shared" si="554"/>
        <v>22</v>
      </c>
      <c r="GD1169" s="101">
        <f t="shared" si="555"/>
        <v>0</v>
      </c>
      <c r="GE1169" s="101">
        <f t="shared" si="556"/>
        <v>1</v>
      </c>
      <c r="GF1169" s="101">
        <f t="shared" si="557"/>
        <v>5</v>
      </c>
      <c r="GG1169" s="101">
        <f t="shared" si="558"/>
        <v>3.3700000000000001E-2</v>
      </c>
      <c r="GH1169" s="101">
        <f t="shared" si="559"/>
        <v>1</v>
      </c>
      <c r="GI1169" s="101">
        <f t="shared" si="560"/>
        <v>10</v>
      </c>
      <c r="GJ1169" s="101">
        <f t="shared" si="561"/>
        <v>0.13489999999999999</v>
      </c>
      <c r="GK1169" s="101">
        <f t="shared" si="562"/>
        <v>1</v>
      </c>
      <c r="GL1169" s="101">
        <f t="shared" si="563"/>
        <v>22</v>
      </c>
    </row>
    <row r="1170" spans="170:194" ht="16.5" x14ac:dyDescent="0.2">
      <c r="FN1170" s="101">
        <v>1165</v>
      </c>
      <c r="FO1170" s="101">
        <f t="shared" si="548"/>
        <v>40</v>
      </c>
      <c r="FP1170" s="101">
        <f t="shared" si="564"/>
        <v>15</v>
      </c>
      <c r="FQ1170" s="14">
        <f t="shared" si="565"/>
        <v>3</v>
      </c>
      <c r="FR1170" s="101" t="str">
        <f t="shared" si="549"/>
        <v>高顺专属武器-魂珠-5 4级</v>
      </c>
      <c r="FS1170" s="101">
        <f t="shared" si="550"/>
        <v>5</v>
      </c>
      <c r="FT1170" s="101">
        <f t="shared" si="551"/>
        <v>4</v>
      </c>
      <c r="FU1170" s="101" t="str">
        <f t="shared" si="566"/>
        <v>金币</v>
      </c>
      <c r="FV1170" s="139">
        <f>IF($FT1170&gt;0,IF(INDEX($EI$6:$EI$77,$FO1170)&gt;=FV$3,ROUND(INDEX(EK$6:EK$77,$FO1170)*INDEX(卡牌消耗!$B$8:$F$8,FQ1170)/5,0)*5,""),"")</f>
        <v>1795</v>
      </c>
      <c r="FW1170" s="101" t="str">
        <f t="shared" si="567"/>
        <v>专属强化石2</v>
      </c>
      <c r="FX1170" s="101">
        <f t="shared" si="568"/>
        <v>5</v>
      </c>
      <c r="FY1170" s="101" t="str">
        <f t="shared" si="569"/>
        <v>专属强化石3</v>
      </c>
      <c r="FZ1170" s="101">
        <f t="shared" si="570"/>
        <v>3</v>
      </c>
      <c r="GA1170" s="101">
        <f t="shared" si="552"/>
        <v>0.06</v>
      </c>
      <c r="GB1170" s="101">
        <f t="shared" si="553"/>
        <v>1</v>
      </c>
      <c r="GC1170" s="101">
        <f t="shared" si="554"/>
        <v>25</v>
      </c>
      <c r="GD1170" s="101">
        <f t="shared" si="555"/>
        <v>0</v>
      </c>
      <c r="GE1170" s="101">
        <f t="shared" si="556"/>
        <v>1</v>
      </c>
      <c r="GF1170" s="101">
        <f t="shared" si="557"/>
        <v>6</v>
      </c>
      <c r="GG1170" s="101">
        <f t="shared" si="558"/>
        <v>3.04E-2</v>
      </c>
      <c r="GH1170" s="101">
        <f t="shared" si="559"/>
        <v>1</v>
      </c>
      <c r="GI1170" s="101">
        <f t="shared" si="560"/>
        <v>12</v>
      </c>
      <c r="GJ1170" s="101">
        <f t="shared" si="561"/>
        <v>0.12139999999999999</v>
      </c>
      <c r="GK1170" s="101">
        <f t="shared" si="562"/>
        <v>1</v>
      </c>
      <c r="GL1170" s="101">
        <f t="shared" si="563"/>
        <v>25</v>
      </c>
    </row>
    <row r="1171" spans="170:194" ht="16.5" x14ac:dyDescent="0.2">
      <c r="FN1171" s="101">
        <v>1166</v>
      </c>
      <c r="FO1171" s="101">
        <f t="shared" si="548"/>
        <v>41</v>
      </c>
      <c r="FP1171" s="101">
        <f t="shared" si="564"/>
        <v>15</v>
      </c>
      <c r="FQ1171" s="14">
        <f t="shared" si="565"/>
        <v>3</v>
      </c>
      <c r="FR1171" s="101" t="str">
        <f t="shared" si="549"/>
        <v>高顺专属武器-魂珠-5 5级</v>
      </c>
      <c r="FS1171" s="101">
        <f t="shared" si="550"/>
        <v>5</v>
      </c>
      <c r="FT1171" s="101">
        <f t="shared" si="551"/>
        <v>5</v>
      </c>
      <c r="FU1171" s="101" t="str">
        <f t="shared" si="566"/>
        <v>金币</v>
      </c>
      <c r="FV1171" s="139">
        <f>IF($FT1171&gt;0,IF(INDEX($EI$6:$EI$77,$FO1171)&gt;=FV$3,ROUND(INDEX(EK$6:EK$77,$FO1171)*INDEX(卡牌消耗!$B$8:$F$8,FQ1171)/5,0)*5,""),"")</f>
        <v>1825</v>
      </c>
      <c r="FW1171" s="101" t="str">
        <f t="shared" si="567"/>
        <v>专属强化石2</v>
      </c>
      <c r="FX1171" s="101">
        <f t="shared" si="568"/>
        <v>5</v>
      </c>
      <c r="FY1171" s="101" t="str">
        <f t="shared" si="569"/>
        <v>专属强化石3</v>
      </c>
      <c r="FZ1171" s="101">
        <f t="shared" si="570"/>
        <v>3</v>
      </c>
      <c r="GA1171" s="101">
        <f t="shared" si="552"/>
        <v>0.04</v>
      </c>
      <c r="GB1171" s="101">
        <f t="shared" si="553"/>
        <v>1</v>
      </c>
      <c r="GC1171" s="101">
        <f t="shared" si="554"/>
        <v>40</v>
      </c>
      <c r="GD1171" s="101">
        <f t="shared" si="555"/>
        <v>0</v>
      </c>
      <c r="GE1171" s="101">
        <f t="shared" si="556"/>
        <v>1</v>
      </c>
      <c r="GF1171" s="101">
        <f t="shared" si="557"/>
        <v>9</v>
      </c>
      <c r="GG1171" s="101">
        <f t="shared" si="558"/>
        <v>1.9E-2</v>
      </c>
      <c r="GH1171" s="101">
        <f t="shared" si="559"/>
        <v>1</v>
      </c>
      <c r="GI1171" s="101">
        <f t="shared" si="560"/>
        <v>18</v>
      </c>
      <c r="GJ1171" s="101">
        <f t="shared" si="561"/>
        <v>7.5899999999999995E-2</v>
      </c>
      <c r="GK1171" s="101">
        <f t="shared" si="562"/>
        <v>1</v>
      </c>
      <c r="GL1171" s="101">
        <f t="shared" si="563"/>
        <v>40</v>
      </c>
    </row>
    <row r="1172" spans="170:194" ht="16.5" x14ac:dyDescent="0.2">
      <c r="FN1172" s="101">
        <v>1167</v>
      </c>
      <c r="FO1172" s="101">
        <f t="shared" si="548"/>
        <v>42</v>
      </c>
      <c r="FP1172" s="101">
        <f t="shared" si="564"/>
        <v>15</v>
      </c>
      <c r="FQ1172" s="14">
        <f t="shared" si="565"/>
        <v>3</v>
      </c>
      <c r="FR1172" s="101" t="str">
        <f t="shared" si="549"/>
        <v>高顺专属武器-魂珠-5 6级</v>
      </c>
      <c r="FS1172" s="101">
        <f t="shared" si="550"/>
        <v>5</v>
      </c>
      <c r="FT1172" s="101">
        <f t="shared" si="551"/>
        <v>6</v>
      </c>
      <c r="FU1172" s="101" t="str">
        <f t="shared" si="566"/>
        <v>金币</v>
      </c>
      <c r="FV1172" s="139">
        <f>IF($FT1172&gt;0,IF(INDEX($EI$6:$EI$77,$FO1172)&gt;=FV$3,ROUND(INDEX(EK$6:EK$77,$FO1172)*INDEX(卡牌消耗!$B$8:$F$8,FQ1172)/5,0)*5,""),"")</f>
        <v>3020</v>
      </c>
      <c r="FW1172" s="101" t="str">
        <f t="shared" si="567"/>
        <v>专属强化石2</v>
      </c>
      <c r="FX1172" s="101">
        <f t="shared" si="568"/>
        <v>8</v>
      </c>
      <c r="FY1172" s="101" t="str">
        <f t="shared" si="569"/>
        <v>专属强化石3</v>
      </c>
      <c r="FZ1172" s="101">
        <f t="shared" si="570"/>
        <v>5</v>
      </c>
      <c r="GA1172" s="101">
        <f t="shared" si="552"/>
        <v>0.04</v>
      </c>
      <c r="GB1172" s="101">
        <f t="shared" si="553"/>
        <v>1</v>
      </c>
      <c r="GC1172" s="101">
        <f t="shared" si="554"/>
        <v>39</v>
      </c>
      <c r="GD1172" s="101">
        <f t="shared" si="555"/>
        <v>0</v>
      </c>
      <c r="GE1172" s="101">
        <f t="shared" si="556"/>
        <v>1</v>
      </c>
      <c r="GF1172" s="101">
        <f t="shared" si="557"/>
        <v>9</v>
      </c>
      <c r="GG1172" s="101">
        <f t="shared" si="558"/>
        <v>1.95E-2</v>
      </c>
      <c r="GH1172" s="101">
        <f t="shared" si="559"/>
        <v>1</v>
      </c>
      <c r="GI1172" s="101">
        <f t="shared" si="560"/>
        <v>18</v>
      </c>
      <c r="GJ1172" s="101">
        <f t="shared" si="561"/>
        <v>7.7799999999999994E-2</v>
      </c>
      <c r="GK1172" s="101">
        <f t="shared" si="562"/>
        <v>1</v>
      </c>
      <c r="GL1172" s="101">
        <f t="shared" si="563"/>
        <v>39</v>
      </c>
    </row>
    <row r="1173" spans="170:194" ht="16.5" x14ac:dyDescent="0.2">
      <c r="FN1173" s="101">
        <v>1168</v>
      </c>
      <c r="FO1173" s="101">
        <f t="shared" si="548"/>
        <v>43</v>
      </c>
      <c r="FP1173" s="101">
        <f t="shared" si="564"/>
        <v>15</v>
      </c>
      <c r="FQ1173" s="14">
        <f t="shared" si="565"/>
        <v>3</v>
      </c>
      <c r="FR1173" s="101" t="str">
        <f t="shared" si="549"/>
        <v>高顺专属武器-魂珠-5 7级</v>
      </c>
      <c r="FS1173" s="101">
        <f t="shared" si="550"/>
        <v>5</v>
      </c>
      <c r="FT1173" s="101">
        <f t="shared" si="551"/>
        <v>7</v>
      </c>
      <c r="FU1173" s="101" t="str">
        <f t="shared" si="566"/>
        <v>金币</v>
      </c>
      <c r="FV1173" s="139">
        <f>IF($FT1173&gt;0,IF(INDEX($EI$6:$EI$77,$FO1173)&gt;=FV$3,ROUND(INDEX(EK$6:EK$77,$FO1173)*INDEX(卡牌消耗!$B$8:$F$8,FQ1173)/5,0)*5,""),"")</f>
        <v>3025</v>
      </c>
      <c r="FW1173" s="101" t="str">
        <f t="shared" si="567"/>
        <v>专属强化石2</v>
      </c>
      <c r="FX1173" s="101">
        <f t="shared" si="568"/>
        <v>8</v>
      </c>
      <c r="FY1173" s="101" t="str">
        <f t="shared" si="569"/>
        <v>专属强化石3</v>
      </c>
      <c r="FZ1173" s="101">
        <f t="shared" si="570"/>
        <v>5</v>
      </c>
      <c r="GA1173" s="101">
        <f t="shared" si="552"/>
        <v>0.02</v>
      </c>
      <c r="GB1173" s="101">
        <f t="shared" si="553"/>
        <v>1</v>
      </c>
      <c r="GC1173" s="101">
        <f t="shared" si="554"/>
        <v>62</v>
      </c>
      <c r="GD1173" s="101">
        <f t="shared" si="555"/>
        <v>0</v>
      </c>
      <c r="GE1173" s="101">
        <f t="shared" si="556"/>
        <v>1</v>
      </c>
      <c r="GF1173" s="101">
        <f t="shared" si="557"/>
        <v>15</v>
      </c>
      <c r="GG1173" s="101">
        <f t="shared" si="558"/>
        <v>1.2E-2</v>
      </c>
      <c r="GH1173" s="101">
        <f t="shared" si="559"/>
        <v>1</v>
      </c>
      <c r="GI1173" s="101">
        <f t="shared" si="560"/>
        <v>29</v>
      </c>
      <c r="GJ1173" s="101">
        <f t="shared" si="561"/>
        <v>4.82E-2</v>
      </c>
      <c r="GK1173" s="101">
        <f t="shared" si="562"/>
        <v>1</v>
      </c>
      <c r="GL1173" s="101">
        <f t="shared" si="563"/>
        <v>62</v>
      </c>
    </row>
    <row r="1174" spans="170:194" ht="16.5" x14ac:dyDescent="0.2">
      <c r="FN1174" s="101">
        <v>1169</v>
      </c>
      <c r="FO1174" s="101">
        <f t="shared" ref="FO1174:FO1237" si="571">IF(FT1174&gt;0,(FS1174-1)*9+FT1174,0)</f>
        <v>44</v>
      </c>
      <c r="FP1174" s="101">
        <f t="shared" si="564"/>
        <v>15</v>
      </c>
      <c r="FQ1174" s="14">
        <f t="shared" si="565"/>
        <v>3</v>
      </c>
      <c r="FR1174" s="101" t="str">
        <f t="shared" ref="FR1174:FR1237" si="572">INDEX($FI$6:$FI$26,FP1174)&amp;"专属武器-魂珠-"&amp;FS1174&amp;" "&amp;FT1174&amp;"级"</f>
        <v>高顺专属武器-魂珠-5 8级</v>
      </c>
      <c r="FS1174" s="101">
        <f t="shared" ref="FS1174:FS1237" si="573">INT((FN1174-(FP1174-1)*80-1)/10)+1</f>
        <v>5</v>
      </c>
      <c r="FT1174" s="101">
        <f t="shared" ref="FT1174:FT1237" si="574">FN1174-(FP1174-1)*80-(FS1174-1)*10-1</f>
        <v>8</v>
      </c>
      <c r="FU1174" s="101" t="str">
        <f t="shared" si="566"/>
        <v>金币</v>
      </c>
      <c r="FV1174" s="139">
        <f>IF($FT1174&gt;0,IF(INDEX($EI$6:$EI$77,$FO1174)&gt;=FV$3,ROUND(INDEX(EK$6:EK$77,$FO1174)*INDEX(卡牌消耗!$B$8:$F$8,FQ1174)/5,0)*5,""),"")</f>
        <v>4235</v>
      </c>
      <c r="FW1174" s="101" t="str">
        <f t="shared" si="567"/>
        <v>专属强化石2</v>
      </c>
      <c r="FX1174" s="101">
        <f t="shared" si="568"/>
        <v>11</v>
      </c>
      <c r="FY1174" s="101" t="str">
        <f t="shared" si="569"/>
        <v>专属强化石3</v>
      </c>
      <c r="FZ1174" s="101">
        <f t="shared" si="570"/>
        <v>7</v>
      </c>
      <c r="GA1174" s="101">
        <f t="shared" ref="GA1174:GA1237" si="575">IF($FT1174&gt;0,INDEX(EP$6:EP$77,$FO1174),"")</f>
        <v>0.02</v>
      </c>
      <c r="GB1174" s="101">
        <f t="shared" ref="GB1174:GB1237" si="576">IF($FT1174&gt;0,INDEX(EQ$6:EQ$77,$FO1174),"")</f>
        <v>1</v>
      </c>
      <c r="GC1174" s="101">
        <f t="shared" ref="GC1174:GC1237" si="577">IF($FT1174&gt;0,INDEX(ER$6:ER$77,$FO1174),"")</f>
        <v>72</v>
      </c>
      <c r="GD1174" s="101">
        <f t="shared" ref="GD1174:GD1237" si="578">IF($FT1174&gt;0,INDEX(EV$6:EV$77,$FO1174),"")</f>
        <v>0</v>
      </c>
      <c r="GE1174" s="101">
        <f t="shared" ref="GE1174:GE1237" si="579">IF($FT1174&gt;0,INDEX(EW$6:EW$77,$FO1174),"")</f>
        <v>1</v>
      </c>
      <c r="GF1174" s="101">
        <f t="shared" ref="GF1174:GF1237" si="580">IF($FT1174&gt;0,INDEX(EX$6:EX$77,$FO1174),"")</f>
        <v>17</v>
      </c>
      <c r="GG1174" s="101">
        <f t="shared" ref="GG1174:GG1237" si="581">IF($FT1174&gt;0,INDEX(EY$6:EY$77,$FO1174),"")</f>
        <v>1.04E-2</v>
      </c>
      <c r="GH1174" s="101">
        <f t="shared" ref="GH1174:GH1237" si="582">IF($FT1174&gt;0,INDEX(EZ$6:EZ$77,$FO1174),"")</f>
        <v>1</v>
      </c>
      <c r="GI1174" s="101">
        <f t="shared" ref="GI1174:GI1237" si="583">IF($FT1174&gt;0,INDEX(FA$6:FA$77,$FO1174),"")</f>
        <v>34</v>
      </c>
      <c r="GJ1174" s="101">
        <f t="shared" ref="GJ1174:GJ1237" si="584">IF($FT1174&gt;0,INDEX(FB$6:FB$77,$FO1174),"")</f>
        <v>4.1700000000000001E-2</v>
      </c>
      <c r="GK1174" s="101">
        <f t="shared" ref="GK1174:GK1237" si="585">IF($FT1174&gt;0,INDEX(FC$6:FC$77,$FO1174),"")</f>
        <v>1</v>
      </c>
      <c r="GL1174" s="101">
        <f t="shared" ref="GL1174:GL1237" si="586">IF($FT1174&gt;0,INDEX(FD$6:FD$77,$FO1174),"")</f>
        <v>72</v>
      </c>
    </row>
    <row r="1175" spans="170:194" ht="16.5" x14ac:dyDescent="0.2">
      <c r="FN1175" s="101">
        <v>1170</v>
      </c>
      <c r="FO1175" s="101">
        <f t="shared" si="571"/>
        <v>45</v>
      </c>
      <c r="FP1175" s="101">
        <f t="shared" si="564"/>
        <v>15</v>
      </c>
      <c r="FQ1175" s="14">
        <f t="shared" si="565"/>
        <v>3</v>
      </c>
      <c r="FR1175" s="101" t="str">
        <f t="shared" si="572"/>
        <v>高顺专属武器-魂珠-5 9级</v>
      </c>
      <c r="FS1175" s="101">
        <f t="shared" si="573"/>
        <v>5</v>
      </c>
      <c r="FT1175" s="101">
        <f t="shared" si="574"/>
        <v>9</v>
      </c>
      <c r="FU1175" s="101" t="str">
        <f t="shared" si="566"/>
        <v>金币</v>
      </c>
      <c r="FV1175" s="139">
        <f>IF($FT1175&gt;0,IF(INDEX($EI$6:$EI$77,$FO1175)&gt;=FV$3,ROUND(INDEX(EK$6:EK$77,$FO1175)*INDEX(卡牌消耗!$B$8:$F$8,FQ1175)/5,0)*5,""),"")</f>
        <v>5445</v>
      </c>
      <c r="FW1175" s="101" t="str">
        <f t="shared" si="567"/>
        <v>专属强化石2</v>
      </c>
      <c r="FX1175" s="101">
        <f t="shared" si="568"/>
        <v>14</v>
      </c>
      <c r="FY1175" s="101" t="str">
        <f t="shared" si="569"/>
        <v>专属强化石3</v>
      </c>
      <c r="FZ1175" s="101">
        <f t="shared" si="570"/>
        <v>9</v>
      </c>
      <c r="GA1175" s="101">
        <f t="shared" si="575"/>
        <v>0.02</v>
      </c>
      <c r="GB1175" s="101">
        <f t="shared" si="576"/>
        <v>1</v>
      </c>
      <c r="GC1175" s="101">
        <f t="shared" si="577"/>
        <v>91</v>
      </c>
      <c r="GD1175" s="101">
        <f t="shared" si="578"/>
        <v>0</v>
      </c>
      <c r="GE1175" s="101">
        <f t="shared" si="579"/>
        <v>1</v>
      </c>
      <c r="GF1175" s="101">
        <f t="shared" si="580"/>
        <v>21</v>
      </c>
      <c r="GG1175" s="101">
        <f t="shared" si="581"/>
        <v>8.3000000000000001E-3</v>
      </c>
      <c r="GH1175" s="101">
        <f t="shared" si="582"/>
        <v>1</v>
      </c>
      <c r="GI1175" s="101">
        <f t="shared" si="583"/>
        <v>42</v>
      </c>
      <c r="GJ1175" s="101">
        <f t="shared" si="584"/>
        <v>3.3099999999999997E-2</v>
      </c>
      <c r="GK1175" s="101">
        <f t="shared" si="585"/>
        <v>1</v>
      </c>
      <c r="GL1175" s="101">
        <f t="shared" si="586"/>
        <v>91</v>
      </c>
    </row>
    <row r="1176" spans="170:194" ht="16.5" x14ac:dyDescent="0.2">
      <c r="FN1176" s="101">
        <v>1171</v>
      </c>
      <c r="FO1176" s="101">
        <f t="shared" si="571"/>
        <v>0</v>
      </c>
      <c r="FP1176" s="101">
        <f t="shared" si="564"/>
        <v>15</v>
      </c>
      <c r="FQ1176" s="14">
        <f t="shared" si="565"/>
        <v>3</v>
      </c>
      <c r="FR1176" s="101" t="str">
        <f t="shared" si="572"/>
        <v>高顺专属武器-魂珠-6 0级</v>
      </c>
      <c r="FS1176" s="101">
        <f t="shared" si="573"/>
        <v>6</v>
      </c>
      <c r="FT1176" s="101">
        <f t="shared" si="574"/>
        <v>0</v>
      </c>
      <c r="FU1176" s="101" t="str">
        <f t="shared" si="566"/>
        <v/>
      </c>
      <c r="FV1176" s="139" t="str">
        <f>IF($FT1176&gt;0,IF(INDEX($EI$6:$EI$77,$FO1176)&gt;=FV$3,ROUND(INDEX(EK$6:EK$77,$FO1176)*INDEX(卡牌消耗!$B$8:$F$8,FQ1176)/5,0)*5,""),"")</f>
        <v/>
      </c>
      <c r="FW1176" s="101" t="str">
        <f t="shared" si="567"/>
        <v/>
      </c>
      <c r="FX1176" s="101" t="str">
        <f t="shared" si="568"/>
        <v/>
      </c>
      <c r="FY1176" s="101" t="str">
        <f t="shared" si="569"/>
        <v/>
      </c>
      <c r="FZ1176" s="101" t="str">
        <f t="shared" si="570"/>
        <v/>
      </c>
      <c r="GA1176" s="101" t="str">
        <f t="shared" si="575"/>
        <v/>
      </c>
      <c r="GB1176" s="101" t="str">
        <f t="shared" si="576"/>
        <v/>
      </c>
      <c r="GC1176" s="101" t="str">
        <f t="shared" si="577"/>
        <v/>
      </c>
      <c r="GD1176" s="101" t="str">
        <f t="shared" si="578"/>
        <v/>
      </c>
      <c r="GE1176" s="101" t="str">
        <f t="shared" si="579"/>
        <v/>
      </c>
      <c r="GF1176" s="101" t="str">
        <f t="shared" si="580"/>
        <v/>
      </c>
      <c r="GG1176" s="101" t="str">
        <f t="shared" si="581"/>
        <v/>
      </c>
      <c r="GH1176" s="101" t="str">
        <f t="shared" si="582"/>
        <v/>
      </c>
      <c r="GI1176" s="101" t="str">
        <f t="shared" si="583"/>
        <v/>
      </c>
      <c r="GJ1176" s="101" t="str">
        <f t="shared" si="584"/>
        <v/>
      </c>
      <c r="GK1176" s="101" t="str">
        <f t="shared" si="585"/>
        <v/>
      </c>
      <c r="GL1176" s="101" t="str">
        <f t="shared" si="586"/>
        <v/>
      </c>
    </row>
    <row r="1177" spans="170:194" ht="16.5" x14ac:dyDescent="0.2">
      <c r="FN1177" s="101">
        <v>1172</v>
      </c>
      <c r="FO1177" s="101">
        <f t="shared" si="571"/>
        <v>46</v>
      </c>
      <c r="FP1177" s="101">
        <f t="shared" si="564"/>
        <v>15</v>
      </c>
      <c r="FQ1177" s="14">
        <f t="shared" si="565"/>
        <v>3</v>
      </c>
      <c r="FR1177" s="101" t="str">
        <f t="shared" si="572"/>
        <v>高顺专属武器-魂珠-6 1级</v>
      </c>
      <c r="FS1177" s="101">
        <f t="shared" si="573"/>
        <v>6</v>
      </c>
      <c r="FT1177" s="101">
        <f t="shared" si="574"/>
        <v>1</v>
      </c>
      <c r="FU1177" s="101" t="str">
        <f t="shared" si="566"/>
        <v>金币</v>
      </c>
      <c r="FV1177" s="139">
        <f>IF($FT1177&gt;0,IF(INDEX($EI$6:$EI$77,$FO1177)&gt;=FV$3,ROUND(INDEX(EK$6:EK$77,$FO1177)*INDEX(卡牌消耗!$B$8:$F$8,FQ1177)/5,0)*5,""),"")</f>
        <v>1455</v>
      </c>
      <c r="FW1177" s="101" t="str">
        <f t="shared" si="567"/>
        <v>专属强化石3</v>
      </c>
      <c r="FX1177" s="101">
        <f t="shared" si="568"/>
        <v>5</v>
      </c>
      <c r="FY1177" s="101" t="str">
        <f t="shared" si="569"/>
        <v>专属强化石4</v>
      </c>
      <c r="FZ1177" s="101">
        <f t="shared" si="570"/>
        <v>1</v>
      </c>
      <c r="GA1177" s="101">
        <f t="shared" si="575"/>
        <v>0.17</v>
      </c>
      <c r="GB1177" s="101">
        <f t="shared" si="576"/>
        <v>1</v>
      </c>
      <c r="GC1177" s="101">
        <f t="shared" si="577"/>
        <v>9</v>
      </c>
      <c r="GD1177" s="101">
        <f t="shared" si="578"/>
        <v>0</v>
      </c>
      <c r="GE1177" s="101">
        <f t="shared" si="579"/>
        <v>1</v>
      </c>
      <c r="GF1177" s="101">
        <f t="shared" si="580"/>
        <v>2</v>
      </c>
      <c r="GG1177" s="101">
        <f t="shared" si="581"/>
        <v>8.2900000000000001E-2</v>
      </c>
      <c r="GH1177" s="101">
        <f t="shared" si="582"/>
        <v>1</v>
      </c>
      <c r="GI1177" s="101">
        <f t="shared" si="583"/>
        <v>4</v>
      </c>
      <c r="GJ1177" s="101">
        <f t="shared" si="584"/>
        <v>0.33139999999999997</v>
      </c>
      <c r="GK1177" s="101">
        <f t="shared" si="585"/>
        <v>1</v>
      </c>
      <c r="GL1177" s="101">
        <f t="shared" si="586"/>
        <v>9</v>
      </c>
    </row>
    <row r="1178" spans="170:194" ht="16.5" x14ac:dyDescent="0.2">
      <c r="FN1178" s="101">
        <v>1173</v>
      </c>
      <c r="FO1178" s="101">
        <f t="shared" si="571"/>
        <v>47</v>
      </c>
      <c r="FP1178" s="101">
        <f t="shared" si="564"/>
        <v>15</v>
      </c>
      <c r="FQ1178" s="14">
        <f t="shared" si="565"/>
        <v>3</v>
      </c>
      <c r="FR1178" s="101" t="str">
        <f t="shared" si="572"/>
        <v>高顺专属武器-魂珠-6 2级</v>
      </c>
      <c r="FS1178" s="101">
        <f t="shared" si="573"/>
        <v>6</v>
      </c>
      <c r="FT1178" s="101">
        <f t="shared" si="574"/>
        <v>2</v>
      </c>
      <c r="FU1178" s="101" t="str">
        <f t="shared" si="566"/>
        <v>金币</v>
      </c>
      <c r="FV1178" s="139">
        <f>IF($FT1178&gt;0,IF(INDEX($EI$6:$EI$77,$FO1178)&gt;=FV$3,ROUND(INDEX(EK$6:EK$77,$FO1178)*INDEX(卡牌消耗!$B$8:$F$8,FQ1178)/5,0)*5,""),"")</f>
        <v>2180</v>
      </c>
      <c r="FW1178" s="101" t="str">
        <f t="shared" si="567"/>
        <v>专属强化石3</v>
      </c>
      <c r="FX1178" s="101">
        <f t="shared" si="568"/>
        <v>10</v>
      </c>
      <c r="FY1178" s="101" t="str">
        <f t="shared" si="569"/>
        <v>专属强化石4</v>
      </c>
      <c r="FZ1178" s="101">
        <f t="shared" si="570"/>
        <v>2</v>
      </c>
      <c r="GA1178" s="101">
        <f t="shared" si="575"/>
        <v>0.17</v>
      </c>
      <c r="GB1178" s="101">
        <f t="shared" si="576"/>
        <v>1</v>
      </c>
      <c r="GC1178" s="101">
        <f t="shared" si="577"/>
        <v>9</v>
      </c>
      <c r="GD1178" s="101">
        <f t="shared" si="578"/>
        <v>0</v>
      </c>
      <c r="GE1178" s="101">
        <f t="shared" si="579"/>
        <v>1</v>
      </c>
      <c r="GF1178" s="101">
        <f t="shared" si="580"/>
        <v>2</v>
      </c>
      <c r="GG1178" s="101">
        <f t="shared" si="581"/>
        <v>8.2900000000000001E-2</v>
      </c>
      <c r="GH1178" s="101">
        <f t="shared" si="582"/>
        <v>1</v>
      </c>
      <c r="GI1178" s="101">
        <f t="shared" si="583"/>
        <v>4</v>
      </c>
      <c r="GJ1178" s="101">
        <f t="shared" si="584"/>
        <v>0.33139999999999997</v>
      </c>
      <c r="GK1178" s="101">
        <f t="shared" si="585"/>
        <v>1</v>
      </c>
      <c r="GL1178" s="101">
        <f t="shared" si="586"/>
        <v>9</v>
      </c>
    </row>
    <row r="1179" spans="170:194" ht="16.5" x14ac:dyDescent="0.2">
      <c r="FN1179" s="101">
        <v>1174</v>
      </c>
      <c r="FO1179" s="101">
        <f t="shared" si="571"/>
        <v>48</v>
      </c>
      <c r="FP1179" s="101">
        <f t="shared" si="564"/>
        <v>15</v>
      </c>
      <c r="FQ1179" s="14">
        <f t="shared" si="565"/>
        <v>3</v>
      </c>
      <c r="FR1179" s="101" t="str">
        <f t="shared" si="572"/>
        <v>高顺专属武器-魂珠-6 3级</v>
      </c>
      <c r="FS1179" s="101">
        <f t="shared" si="573"/>
        <v>6</v>
      </c>
      <c r="FT1179" s="101">
        <f t="shared" si="574"/>
        <v>3</v>
      </c>
      <c r="FU1179" s="101" t="str">
        <f t="shared" si="566"/>
        <v>金币</v>
      </c>
      <c r="FV1179" s="139">
        <f>IF($FT1179&gt;0,IF(INDEX($EI$6:$EI$77,$FO1179)&gt;=FV$3,ROUND(INDEX(EK$6:EK$77,$FO1179)*INDEX(卡牌消耗!$B$8:$F$8,FQ1179)/5,0)*5,""),"")</f>
        <v>2425</v>
      </c>
      <c r="FW1179" s="101" t="str">
        <f t="shared" si="567"/>
        <v>专属强化石3</v>
      </c>
      <c r="FX1179" s="101">
        <f t="shared" si="568"/>
        <v>10</v>
      </c>
      <c r="FY1179" s="101" t="str">
        <f t="shared" si="569"/>
        <v>专属强化石4</v>
      </c>
      <c r="FZ1179" s="101">
        <f t="shared" si="570"/>
        <v>2</v>
      </c>
      <c r="GA1179" s="101">
        <f t="shared" si="575"/>
        <v>0.11</v>
      </c>
      <c r="GB1179" s="101">
        <f t="shared" si="576"/>
        <v>1</v>
      </c>
      <c r="GC1179" s="101">
        <f t="shared" si="577"/>
        <v>14</v>
      </c>
      <c r="GD1179" s="101">
        <f t="shared" si="578"/>
        <v>0</v>
      </c>
      <c r="GE1179" s="101">
        <f t="shared" si="579"/>
        <v>1</v>
      </c>
      <c r="GF1179" s="101">
        <f t="shared" si="580"/>
        <v>3</v>
      </c>
      <c r="GG1179" s="101">
        <f t="shared" si="581"/>
        <v>5.5199999999999999E-2</v>
      </c>
      <c r="GH1179" s="101">
        <f t="shared" si="582"/>
        <v>1</v>
      </c>
      <c r="GI1179" s="101">
        <f t="shared" si="583"/>
        <v>6</v>
      </c>
      <c r="GJ1179" s="101">
        <f t="shared" si="584"/>
        <v>0.221</v>
      </c>
      <c r="GK1179" s="101">
        <f t="shared" si="585"/>
        <v>1</v>
      </c>
      <c r="GL1179" s="101">
        <f t="shared" si="586"/>
        <v>14</v>
      </c>
    </row>
    <row r="1180" spans="170:194" ht="16.5" x14ac:dyDescent="0.2">
      <c r="FN1180" s="101">
        <v>1175</v>
      </c>
      <c r="FO1180" s="101">
        <f t="shared" si="571"/>
        <v>49</v>
      </c>
      <c r="FP1180" s="101">
        <f t="shared" si="564"/>
        <v>15</v>
      </c>
      <c r="FQ1180" s="14">
        <f t="shared" si="565"/>
        <v>3</v>
      </c>
      <c r="FR1180" s="101" t="str">
        <f t="shared" si="572"/>
        <v>高顺专属武器-魂珠-6 4级</v>
      </c>
      <c r="FS1180" s="101">
        <f t="shared" si="573"/>
        <v>6</v>
      </c>
      <c r="FT1180" s="101">
        <f t="shared" si="574"/>
        <v>4</v>
      </c>
      <c r="FU1180" s="101" t="str">
        <f t="shared" si="566"/>
        <v>金币</v>
      </c>
      <c r="FV1180" s="139">
        <f>IF($FT1180&gt;0,IF(INDEX($EI$6:$EI$77,$FO1180)&gt;=FV$3,ROUND(INDEX(EK$6:EK$77,$FO1180)*INDEX(卡牌消耗!$B$8:$F$8,FQ1180)/5,0)*5,""),"")</f>
        <v>3490</v>
      </c>
      <c r="FW1180" s="101" t="str">
        <f t="shared" si="567"/>
        <v>专属强化石3</v>
      </c>
      <c r="FX1180" s="101">
        <f t="shared" si="568"/>
        <v>15</v>
      </c>
      <c r="FY1180" s="101" t="str">
        <f t="shared" si="569"/>
        <v>专属强化石4</v>
      </c>
      <c r="FZ1180" s="101">
        <f t="shared" si="570"/>
        <v>3</v>
      </c>
      <c r="GA1180" s="101">
        <f t="shared" si="575"/>
        <v>0.1</v>
      </c>
      <c r="GB1180" s="101">
        <f t="shared" si="576"/>
        <v>1</v>
      </c>
      <c r="GC1180" s="101">
        <f t="shared" si="577"/>
        <v>15</v>
      </c>
      <c r="GD1180" s="101">
        <f t="shared" si="578"/>
        <v>0</v>
      </c>
      <c r="GE1180" s="101">
        <f t="shared" si="579"/>
        <v>1</v>
      </c>
      <c r="GF1180" s="101">
        <f t="shared" si="580"/>
        <v>4</v>
      </c>
      <c r="GG1180" s="101">
        <f t="shared" si="581"/>
        <v>4.9700000000000001E-2</v>
      </c>
      <c r="GH1180" s="101">
        <f t="shared" si="582"/>
        <v>1</v>
      </c>
      <c r="GI1180" s="101">
        <f t="shared" si="583"/>
        <v>7</v>
      </c>
      <c r="GJ1180" s="101">
        <f t="shared" si="584"/>
        <v>0.19889999999999999</v>
      </c>
      <c r="GK1180" s="101">
        <f t="shared" si="585"/>
        <v>1</v>
      </c>
      <c r="GL1180" s="101">
        <f t="shared" si="586"/>
        <v>15</v>
      </c>
    </row>
    <row r="1181" spans="170:194" ht="16.5" x14ac:dyDescent="0.2">
      <c r="FN1181" s="101">
        <v>1176</v>
      </c>
      <c r="FO1181" s="101">
        <f t="shared" si="571"/>
        <v>50</v>
      </c>
      <c r="FP1181" s="101">
        <f t="shared" si="564"/>
        <v>15</v>
      </c>
      <c r="FQ1181" s="14">
        <f t="shared" si="565"/>
        <v>3</v>
      </c>
      <c r="FR1181" s="101" t="str">
        <f t="shared" si="572"/>
        <v>高顺专属武器-魂珠-6 5级</v>
      </c>
      <c r="FS1181" s="101">
        <f t="shared" si="573"/>
        <v>6</v>
      </c>
      <c r="FT1181" s="101">
        <f t="shared" si="574"/>
        <v>5</v>
      </c>
      <c r="FU1181" s="101" t="str">
        <f t="shared" si="566"/>
        <v>金币</v>
      </c>
      <c r="FV1181" s="139">
        <f>IF($FT1181&gt;0,IF(INDEX($EI$6:$EI$77,$FO1181)&gt;=FV$3,ROUND(INDEX(EK$6:EK$77,$FO1181)*INDEX(卡牌消耗!$B$8:$F$8,FQ1181)/5,0)*5,""),"")</f>
        <v>3545</v>
      </c>
      <c r="FW1181" s="101" t="str">
        <f t="shared" si="567"/>
        <v>专属强化石3</v>
      </c>
      <c r="FX1181" s="101">
        <f t="shared" si="568"/>
        <v>15</v>
      </c>
      <c r="FY1181" s="101" t="str">
        <f t="shared" si="569"/>
        <v>专属强化石4</v>
      </c>
      <c r="FZ1181" s="101">
        <f t="shared" si="570"/>
        <v>3</v>
      </c>
      <c r="GA1181" s="101">
        <f t="shared" si="575"/>
        <v>0.06</v>
      </c>
      <c r="GB1181" s="101">
        <f t="shared" si="576"/>
        <v>1</v>
      </c>
      <c r="GC1181" s="101">
        <f t="shared" si="577"/>
        <v>24</v>
      </c>
      <c r="GD1181" s="101">
        <f t="shared" si="578"/>
        <v>0</v>
      </c>
      <c r="GE1181" s="101">
        <f t="shared" si="579"/>
        <v>1</v>
      </c>
      <c r="GF1181" s="101">
        <f t="shared" si="580"/>
        <v>6</v>
      </c>
      <c r="GG1181" s="101">
        <f t="shared" si="581"/>
        <v>3.1099999999999999E-2</v>
      </c>
      <c r="GH1181" s="101">
        <f t="shared" si="582"/>
        <v>1</v>
      </c>
      <c r="GI1181" s="101">
        <f t="shared" si="583"/>
        <v>11</v>
      </c>
      <c r="GJ1181" s="101">
        <f t="shared" si="584"/>
        <v>0.12429999999999999</v>
      </c>
      <c r="GK1181" s="101">
        <f t="shared" si="585"/>
        <v>1</v>
      </c>
      <c r="GL1181" s="101">
        <f t="shared" si="586"/>
        <v>24</v>
      </c>
    </row>
    <row r="1182" spans="170:194" ht="16.5" x14ac:dyDescent="0.2">
      <c r="FN1182" s="101">
        <v>1177</v>
      </c>
      <c r="FO1182" s="101">
        <f t="shared" si="571"/>
        <v>51</v>
      </c>
      <c r="FP1182" s="101">
        <f t="shared" si="564"/>
        <v>15</v>
      </c>
      <c r="FQ1182" s="14">
        <f t="shared" si="565"/>
        <v>3</v>
      </c>
      <c r="FR1182" s="101" t="str">
        <f t="shared" si="572"/>
        <v>高顺专属武器-魂珠-6 6级</v>
      </c>
      <c r="FS1182" s="101">
        <f t="shared" si="573"/>
        <v>6</v>
      </c>
      <c r="FT1182" s="101">
        <f t="shared" si="574"/>
        <v>6</v>
      </c>
      <c r="FU1182" s="101" t="str">
        <f t="shared" si="566"/>
        <v>金币</v>
      </c>
      <c r="FV1182" s="139">
        <f>IF($FT1182&gt;0,IF(INDEX($EI$6:$EI$77,$FO1182)&gt;=FV$3,ROUND(INDEX(EK$6:EK$77,$FO1182)*INDEX(卡牌消耗!$B$8:$F$8,FQ1182)/5,0)*5,""),"")</f>
        <v>4700</v>
      </c>
      <c r="FW1182" s="101" t="str">
        <f t="shared" si="567"/>
        <v>专属强化石3</v>
      </c>
      <c r="FX1182" s="101">
        <f t="shared" si="568"/>
        <v>20</v>
      </c>
      <c r="FY1182" s="101" t="str">
        <f t="shared" si="569"/>
        <v>专属强化石4</v>
      </c>
      <c r="FZ1182" s="101">
        <f t="shared" si="570"/>
        <v>4</v>
      </c>
      <c r="GA1182" s="101">
        <f t="shared" si="575"/>
        <v>0.05</v>
      </c>
      <c r="GB1182" s="101">
        <f t="shared" si="576"/>
        <v>1</v>
      </c>
      <c r="GC1182" s="101">
        <f t="shared" si="577"/>
        <v>29</v>
      </c>
      <c r="GD1182" s="101">
        <f t="shared" si="578"/>
        <v>0</v>
      </c>
      <c r="GE1182" s="101">
        <f t="shared" si="579"/>
        <v>1</v>
      </c>
      <c r="GF1182" s="101">
        <f t="shared" si="580"/>
        <v>7</v>
      </c>
      <c r="GG1182" s="101">
        <f t="shared" si="581"/>
        <v>2.5499999999999998E-2</v>
      </c>
      <c r="GH1182" s="101">
        <f t="shared" si="582"/>
        <v>1</v>
      </c>
      <c r="GI1182" s="101">
        <f t="shared" si="583"/>
        <v>14</v>
      </c>
      <c r="GJ1182" s="101">
        <f t="shared" si="584"/>
        <v>0.10199999999999999</v>
      </c>
      <c r="GK1182" s="101">
        <f t="shared" si="585"/>
        <v>1</v>
      </c>
      <c r="GL1182" s="101">
        <f t="shared" si="586"/>
        <v>29</v>
      </c>
    </row>
    <row r="1183" spans="170:194" ht="16.5" x14ac:dyDescent="0.2">
      <c r="FN1183" s="101">
        <v>1178</v>
      </c>
      <c r="FO1183" s="101">
        <f t="shared" si="571"/>
        <v>52</v>
      </c>
      <c r="FP1183" s="101">
        <f t="shared" si="564"/>
        <v>15</v>
      </c>
      <c r="FQ1183" s="14">
        <f t="shared" si="565"/>
        <v>3</v>
      </c>
      <c r="FR1183" s="101" t="str">
        <f t="shared" si="572"/>
        <v>高顺专属武器-魂珠-6 7级</v>
      </c>
      <c r="FS1183" s="101">
        <f t="shared" si="573"/>
        <v>6</v>
      </c>
      <c r="FT1183" s="101">
        <f t="shared" si="574"/>
        <v>7</v>
      </c>
      <c r="FU1183" s="101" t="str">
        <f t="shared" si="566"/>
        <v>金币</v>
      </c>
      <c r="FV1183" s="139">
        <f>IF($FT1183&gt;0,IF(INDEX($EI$6:$EI$77,$FO1183)&gt;=FV$3,ROUND(INDEX(EK$6:EK$77,$FO1183)*INDEX(卡牌消耗!$B$8:$F$8,FQ1183)/5,0)*5,""),"")</f>
        <v>5885</v>
      </c>
      <c r="FW1183" s="101" t="str">
        <f t="shared" si="567"/>
        <v>专属强化石3</v>
      </c>
      <c r="FX1183" s="101">
        <f t="shared" si="568"/>
        <v>25</v>
      </c>
      <c r="FY1183" s="101" t="str">
        <f t="shared" si="569"/>
        <v>专属强化石4</v>
      </c>
      <c r="FZ1183" s="101">
        <f t="shared" si="570"/>
        <v>5</v>
      </c>
      <c r="GA1183" s="101">
        <f t="shared" si="575"/>
        <v>0.04</v>
      </c>
      <c r="GB1183" s="101">
        <f t="shared" si="576"/>
        <v>1</v>
      </c>
      <c r="GC1183" s="101">
        <f t="shared" si="577"/>
        <v>38</v>
      </c>
      <c r="GD1183" s="101">
        <f t="shared" si="578"/>
        <v>0</v>
      </c>
      <c r="GE1183" s="101">
        <f t="shared" si="579"/>
        <v>1</v>
      </c>
      <c r="GF1183" s="101">
        <f t="shared" si="580"/>
        <v>9</v>
      </c>
      <c r="GG1183" s="101">
        <f t="shared" si="581"/>
        <v>1.9699999999999999E-2</v>
      </c>
      <c r="GH1183" s="101">
        <f t="shared" si="582"/>
        <v>1</v>
      </c>
      <c r="GI1183" s="101">
        <f t="shared" si="583"/>
        <v>18</v>
      </c>
      <c r="GJ1183" s="101">
        <f t="shared" si="584"/>
        <v>7.8899999999999998E-2</v>
      </c>
      <c r="GK1183" s="101">
        <f t="shared" si="585"/>
        <v>1</v>
      </c>
      <c r="GL1183" s="101">
        <f t="shared" si="586"/>
        <v>38</v>
      </c>
    </row>
    <row r="1184" spans="170:194" ht="16.5" x14ac:dyDescent="0.2">
      <c r="FN1184" s="101">
        <v>1179</v>
      </c>
      <c r="FO1184" s="101">
        <f t="shared" si="571"/>
        <v>53</v>
      </c>
      <c r="FP1184" s="101">
        <f t="shared" si="564"/>
        <v>15</v>
      </c>
      <c r="FQ1184" s="14">
        <f t="shared" si="565"/>
        <v>3</v>
      </c>
      <c r="FR1184" s="101" t="str">
        <f t="shared" si="572"/>
        <v>高顺专属武器-魂珠-6 8级</v>
      </c>
      <c r="FS1184" s="101">
        <f t="shared" si="573"/>
        <v>6</v>
      </c>
      <c r="FT1184" s="101">
        <f t="shared" si="574"/>
        <v>8</v>
      </c>
      <c r="FU1184" s="101" t="str">
        <f t="shared" si="566"/>
        <v>金币</v>
      </c>
      <c r="FV1184" s="139">
        <f>IF($FT1184&gt;0,IF(INDEX($EI$6:$EI$77,$FO1184)&gt;=FV$3,ROUND(INDEX(EK$6:EK$77,$FO1184)*INDEX(卡牌消耗!$B$8:$F$8,FQ1184)/5,0)*5,""),"")</f>
        <v>8235</v>
      </c>
      <c r="FW1184" s="101" t="str">
        <f t="shared" si="567"/>
        <v>专属强化石3</v>
      </c>
      <c r="FX1184" s="101">
        <f t="shared" si="568"/>
        <v>35</v>
      </c>
      <c r="FY1184" s="101" t="str">
        <f t="shared" si="569"/>
        <v>专属强化石4</v>
      </c>
      <c r="FZ1184" s="101">
        <f t="shared" si="570"/>
        <v>7</v>
      </c>
      <c r="GA1184" s="101">
        <f t="shared" si="575"/>
        <v>0.03</v>
      </c>
      <c r="GB1184" s="101">
        <f t="shared" si="576"/>
        <v>1</v>
      </c>
      <c r="GC1184" s="101">
        <f t="shared" si="577"/>
        <v>44</v>
      </c>
      <c r="GD1184" s="101">
        <f t="shared" si="578"/>
        <v>0</v>
      </c>
      <c r="GE1184" s="101">
        <f t="shared" si="579"/>
        <v>1</v>
      </c>
      <c r="GF1184" s="101">
        <f t="shared" si="580"/>
        <v>10</v>
      </c>
      <c r="GG1184" s="101">
        <f t="shared" si="581"/>
        <v>1.7100000000000001E-2</v>
      </c>
      <c r="GH1184" s="101">
        <f t="shared" si="582"/>
        <v>1</v>
      </c>
      <c r="GI1184" s="101">
        <f t="shared" si="583"/>
        <v>21</v>
      </c>
      <c r="GJ1184" s="101">
        <f t="shared" si="584"/>
        <v>6.8199999999999997E-2</v>
      </c>
      <c r="GK1184" s="101">
        <f t="shared" si="585"/>
        <v>1</v>
      </c>
      <c r="GL1184" s="101">
        <f t="shared" si="586"/>
        <v>44</v>
      </c>
    </row>
    <row r="1185" spans="170:194" ht="16.5" x14ac:dyDescent="0.2">
      <c r="FN1185" s="101">
        <v>1180</v>
      </c>
      <c r="FO1185" s="101">
        <f t="shared" si="571"/>
        <v>54</v>
      </c>
      <c r="FP1185" s="101">
        <f t="shared" si="564"/>
        <v>15</v>
      </c>
      <c r="FQ1185" s="14">
        <f t="shared" si="565"/>
        <v>3</v>
      </c>
      <c r="FR1185" s="101" t="str">
        <f t="shared" si="572"/>
        <v>高顺专属武器-魂珠-6 9级</v>
      </c>
      <c r="FS1185" s="101">
        <f t="shared" si="573"/>
        <v>6</v>
      </c>
      <c r="FT1185" s="101">
        <f t="shared" si="574"/>
        <v>9</v>
      </c>
      <c r="FU1185" s="101" t="str">
        <f t="shared" si="566"/>
        <v>金币</v>
      </c>
      <c r="FV1185" s="139">
        <f>IF($FT1185&gt;0,IF(INDEX($EI$6:$EI$77,$FO1185)&gt;=FV$3,ROUND(INDEX(EK$6:EK$77,$FO1185)*INDEX(卡牌消耗!$B$8:$F$8,FQ1185)/5,0)*5,""),"")</f>
        <v>9410</v>
      </c>
      <c r="FW1185" s="101" t="str">
        <f t="shared" si="567"/>
        <v>专属强化石3</v>
      </c>
      <c r="FX1185" s="101">
        <f t="shared" si="568"/>
        <v>40</v>
      </c>
      <c r="FY1185" s="101" t="str">
        <f t="shared" si="569"/>
        <v>专属强化石4</v>
      </c>
      <c r="FZ1185" s="101">
        <f t="shared" si="570"/>
        <v>8</v>
      </c>
      <c r="GA1185" s="101">
        <f t="shared" si="575"/>
        <v>0.02</v>
      </c>
      <c r="GB1185" s="101">
        <f t="shared" si="576"/>
        <v>1</v>
      </c>
      <c r="GC1185" s="101">
        <f t="shared" si="577"/>
        <v>62</v>
      </c>
      <c r="GD1185" s="101">
        <f t="shared" si="578"/>
        <v>0</v>
      </c>
      <c r="GE1185" s="101">
        <f t="shared" si="579"/>
        <v>1</v>
      </c>
      <c r="GF1185" s="101">
        <f t="shared" si="580"/>
        <v>15</v>
      </c>
      <c r="GG1185" s="101">
        <f t="shared" si="581"/>
        <v>1.21E-2</v>
      </c>
      <c r="GH1185" s="101">
        <f t="shared" si="582"/>
        <v>1</v>
      </c>
      <c r="GI1185" s="101">
        <f t="shared" si="583"/>
        <v>29</v>
      </c>
      <c r="GJ1185" s="101">
        <f t="shared" si="584"/>
        <v>4.82E-2</v>
      </c>
      <c r="GK1185" s="101">
        <f t="shared" si="585"/>
        <v>1</v>
      </c>
      <c r="GL1185" s="101">
        <f t="shared" si="586"/>
        <v>62</v>
      </c>
    </row>
    <row r="1186" spans="170:194" ht="16.5" x14ac:dyDescent="0.2">
      <c r="FN1186" s="101">
        <v>1181</v>
      </c>
      <c r="FO1186" s="101">
        <f t="shared" si="571"/>
        <v>0</v>
      </c>
      <c r="FP1186" s="101">
        <f t="shared" si="564"/>
        <v>15</v>
      </c>
      <c r="FQ1186" s="14">
        <f t="shared" si="565"/>
        <v>3</v>
      </c>
      <c r="FR1186" s="101" t="str">
        <f t="shared" si="572"/>
        <v>高顺专属武器-魂珠-7 0级</v>
      </c>
      <c r="FS1186" s="101">
        <f t="shared" si="573"/>
        <v>7</v>
      </c>
      <c r="FT1186" s="101">
        <f t="shared" si="574"/>
        <v>0</v>
      </c>
      <c r="FU1186" s="101" t="str">
        <f t="shared" si="566"/>
        <v/>
      </c>
      <c r="FV1186" s="139" t="str">
        <f>IF($FT1186&gt;0,IF(INDEX($EI$6:$EI$77,$FO1186)&gt;=FV$3,ROUND(INDEX(EK$6:EK$77,$FO1186)*INDEX(卡牌消耗!$B$8:$F$8,FQ1186)/5,0)*5,""),"")</f>
        <v/>
      </c>
      <c r="FW1186" s="101" t="str">
        <f t="shared" si="567"/>
        <v/>
      </c>
      <c r="FX1186" s="101" t="str">
        <f t="shared" si="568"/>
        <v/>
      </c>
      <c r="FY1186" s="101" t="str">
        <f t="shared" si="569"/>
        <v/>
      </c>
      <c r="FZ1186" s="101" t="str">
        <f t="shared" si="570"/>
        <v/>
      </c>
      <c r="GA1186" s="101" t="str">
        <f t="shared" si="575"/>
        <v/>
      </c>
      <c r="GB1186" s="101" t="str">
        <f t="shared" si="576"/>
        <v/>
      </c>
      <c r="GC1186" s="101" t="str">
        <f t="shared" si="577"/>
        <v/>
      </c>
      <c r="GD1186" s="101" t="str">
        <f t="shared" si="578"/>
        <v/>
      </c>
      <c r="GE1186" s="101" t="str">
        <f t="shared" si="579"/>
        <v/>
      </c>
      <c r="GF1186" s="101" t="str">
        <f t="shared" si="580"/>
        <v/>
      </c>
      <c r="GG1186" s="101" t="str">
        <f t="shared" si="581"/>
        <v/>
      </c>
      <c r="GH1186" s="101" t="str">
        <f t="shared" si="582"/>
        <v/>
      </c>
      <c r="GI1186" s="101" t="str">
        <f t="shared" si="583"/>
        <v/>
      </c>
      <c r="GJ1186" s="101" t="str">
        <f t="shared" si="584"/>
        <v/>
      </c>
      <c r="GK1186" s="101" t="str">
        <f t="shared" si="585"/>
        <v/>
      </c>
      <c r="GL1186" s="101" t="str">
        <f t="shared" si="586"/>
        <v/>
      </c>
    </row>
    <row r="1187" spans="170:194" ht="16.5" x14ac:dyDescent="0.2">
      <c r="FN1187" s="101">
        <v>1182</v>
      </c>
      <c r="FO1187" s="101">
        <f t="shared" si="571"/>
        <v>55</v>
      </c>
      <c r="FP1187" s="101">
        <f t="shared" si="564"/>
        <v>15</v>
      </c>
      <c r="FQ1187" s="14">
        <f t="shared" si="565"/>
        <v>3</v>
      </c>
      <c r="FR1187" s="101" t="str">
        <f t="shared" si="572"/>
        <v>高顺专属武器-魂珠-7 1级</v>
      </c>
      <c r="FS1187" s="101">
        <f t="shared" si="573"/>
        <v>7</v>
      </c>
      <c r="FT1187" s="101">
        <f t="shared" si="574"/>
        <v>1</v>
      </c>
      <c r="FU1187" s="101" t="str">
        <f t="shared" si="566"/>
        <v>金币</v>
      </c>
      <c r="FV1187" s="139">
        <f>IF($FT1187&gt;0,IF(INDEX($EI$6:$EI$77,$FO1187)&gt;=FV$3,ROUND(INDEX(EK$6:EK$77,$FO1187)*INDEX(卡牌消耗!$B$8:$F$8,FQ1187)/5,0)*5,""),"")</f>
        <v>12090</v>
      </c>
      <c r="FW1187" s="101" t="str">
        <f t="shared" si="567"/>
        <v>专属强化石3</v>
      </c>
      <c r="FX1187" s="101">
        <f t="shared" si="568"/>
        <v>6</v>
      </c>
      <c r="FY1187" s="101" t="str">
        <f t="shared" si="569"/>
        <v>专属强化石4</v>
      </c>
      <c r="FZ1187" s="101">
        <f t="shared" si="570"/>
        <v>2</v>
      </c>
      <c r="GA1187" s="101">
        <f t="shared" si="575"/>
        <v>0.2</v>
      </c>
      <c r="GB1187" s="101">
        <f t="shared" si="576"/>
        <v>1</v>
      </c>
      <c r="GC1187" s="101">
        <f t="shared" si="577"/>
        <v>8</v>
      </c>
      <c r="GD1187" s="101">
        <f t="shared" si="578"/>
        <v>0</v>
      </c>
      <c r="GE1187" s="101">
        <f t="shared" si="579"/>
        <v>1</v>
      </c>
      <c r="GF1187" s="101">
        <f t="shared" si="580"/>
        <v>2</v>
      </c>
      <c r="GG1187" s="101">
        <f t="shared" si="581"/>
        <v>9.9400000000000002E-2</v>
      </c>
      <c r="GH1187" s="101">
        <f t="shared" si="582"/>
        <v>1</v>
      </c>
      <c r="GI1187" s="101">
        <f t="shared" si="583"/>
        <v>4</v>
      </c>
      <c r="GJ1187" s="101">
        <f t="shared" si="584"/>
        <v>0.3977</v>
      </c>
      <c r="GK1187" s="101">
        <f t="shared" si="585"/>
        <v>1</v>
      </c>
      <c r="GL1187" s="101">
        <f t="shared" si="586"/>
        <v>8</v>
      </c>
    </row>
    <row r="1188" spans="170:194" ht="16.5" x14ac:dyDescent="0.2">
      <c r="FN1188" s="101">
        <v>1183</v>
      </c>
      <c r="FO1188" s="101">
        <f t="shared" si="571"/>
        <v>56</v>
      </c>
      <c r="FP1188" s="101">
        <f t="shared" si="564"/>
        <v>15</v>
      </c>
      <c r="FQ1188" s="14">
        <f t="shared" si="565"/>
        <v>3</v>
      </c>
      <c r="FR1188" s="101" t="str">
        <f t="shared" si="572"/>
        <v>高顺专属武器-魂珠-7 2级</v>
      </c>
      <c r="FS1188" s="101">
        <f t="shared" si="573"/>
        <v>7</v>
      </c>
      <c r="FT1188" s="101">
        <f t="shared" si="574"/>
        <v>2</v>
      </c>
      <c r="FU1188" s="101" t="str">
        <f t="shared" si="566"/>
        <v>金币</v>
      </c>
      <c r="FV1188" s="139">
        <f>IF($FT1188&gt;0,IF(INDEX($EI$6:$EI$77,$FO1188)&gt;=FV$3,ROUND(INDEX(EK$6:EK$77,$FO1188)*INDEX(卡牌消耗!$B$8:$F$8,FQ1188)/5,0)*5,""),"")</f>
        <v>9065</v>
      </c>
      <c r="FW1188" s="101" t="str">
        <f t="shared" si="567"/>
        <v>专属强化石3</v>
      </c>
      <c r="FX1188" s="101">
        <f t="shared" si="568"/>
        <v>6</v>
      </c>
      <c r="FY1188" s="101" t="str">
        <f t="shared" si="569"/>
        <v>专属强化石4</v>
      </c>
      <c r="FZ1188" s="101">
        <f t="shared" si="570"/>
        <v>2</v>
      </c>
      <c r="GA1188" s="101">
        <f t="shared" si="575"/>
        <v>0.1</v>
      </c>
      <c r="GB1188" s="101">
        <f t="shared" si="576"/>
        <v>1</v>
      </c>
      <c r="GC1188" s="101">
        <f t="shared" si="577"/>
        <v>15</v>
      </c>
      <c r="GD1188" s="101">
        <f t="shared" si="578"/>
        <v>0</v>
      </c>
      <c r="GE1188" s="101">
        <f t="shared" si="579"/>
        <v>1</v>
      </c>
      <c r="GF1188" s="101">
        <f t="shared" si="580"/>
        <v>4</v>
      </c>
      <c r="GG1188" s="101">
        <f t="shared" si="581"/>
        <v>4.9700000000000001E-2</v>
      </c>
      <c r="GH1188" s="101">
        <f t="shared" si="582"/>
        <v>1</v>
      </c>
      <c r="GI1188" s="101">
        <f t="shared" si="583"/>
        <v>7</v>
      </c>
      <c r="GJ1188" s="101">
        <f t="shared" si="584"/>
        <v>0.19889999999999999</v>
      </c>
      <c r="GK1188" s="101">
        <f t="shared" si="585"/>
        <v>1</v>
      </c>
      <c r="GL1188" s="101">
        <f t="shared" si="586"/>
        <v>15</v>
      </c>
    </row>
    <row r="1189" spans="170:194" ht="16.5" x14ac:dyDescent="0.2">
      <c r="FN1189" s="101">
        <v>1184</v>
      </c>
      <c r="FO1189" s="101">
        <f t="shared" si="571"/>
        <v>57</v>
      </c>
      <c r="FP1189" s="101">
        <f t="shared" si="564"/>
        <v>15</v>
      </c>
      <c r="FQ1189" s="14">
        <f t="shared" si="565"/>
        <v>3</v>
      </c>
      <c r="FR1189" s="101" t="str">
        <f t="shared" si="572"/>
        <v>高顺专属武器-魂珠-7 3级</v>
      </c>
      <c r="FS1189" s="101">
        <f t="shared" si="573"/>
        <v>7</v>
      </c>
      <c r="FT1189" s="101">
        <f t="shared" si="574"/>
        <v>3</v>
      </c>
      <c r="FU1189" s="101" t="str">
        <f t="shared" si="566"/>
        <v>金币</v>
      </c>
      <c r="FV1189" s="139">
        <f>IF($FT1189&gt;0,IF(INDEX($EI$6:$EI$77,$FO1189)&gt;=FV$3,ROUND(INDEX(EK$6:EK$77,$FO1189)*INDEX(卡牌消耗!$B$8:$F$8,FQ1189)/5,0)*5,""),"")</f>
        <v>15110</v>
      </c>
      <c r="FW1189" s="101" t="str">
        <f t="shared" si="567"/>
        <v>专属强化石3</v>
      </c>
      <c r="FX1189" s="101">
        <f t="shared" si="568"/>
        <v>9</v>
      </c>
      <c r="FY1189" s="101" t="str">
        <f t="shared" si="569"/>
        <v>专属强化石4</v>
      </c>
      <c r="FZ1189" s="101">
        <f t="shared" si="570"/>
        <v>3</v>
      </c>
      <c r="GA1189" s="101">
        <f t="shared" si="575"/>
        <v>0.1</v>
      </c>
      <c r="GB1189" s="101">
        <f t="shared" si="576"/>
        <v>1</v>
      </c>
      <c r="GC1189" s="101">
        <f t="shared" si="577"/>
        <v>15</v>
      </c>
      <c r="GD1189" s="101">
        <f t="shared" si="578"/>
        <v>0</v>
      </c>
      <c r="GE1189" s="101">
        <f t="shared" si="579"/>
        <v>1</v>
      </c>
      <c r="GF1189" s="101">
        <f t="shared" si="580"/>
        <v>4</v>
      </c>
      <c r="GG1189" s="101">
        <f t="shared" si="581"/>
        <v>4.9700000000000001E-2</v>
      </c>
      <c r="GH1189" s="101">
        <f t="shared" si="582"/>
        <v>1</v>
      </c>
      <c r="GI1189" s="101">
        <f t="shared" si="583"/>
        <v>7</v>
      </c>
      <c r="GJ1189" s="101">
        <f t="shared" si="584"/>
        <v>0.19889999999999999</v>
      </c>
      <c r="GK1189" s="101">
        <f t="shared" si="585"/>
        <v>1</v>
      </c>
      <c r="GL1189" s="101">
        <f t="shared" si="586"/>
        <v>15</v>
      </c>
    </row>
    <row r="1190" spans="170:194" ht="16.5" x14ac:dyDescent="0.2">
      <c r="FN1190" s="101">
        <v>1185</v>
      </c>
      <c r="FO1190" s="101">
        <f t="shared" si="571"/>
        <v>58</v>
      </c>
      <c r="FP1190" s="101">
        <f t="shared" si="564"/>
        <v>15</v>
      </c>
      <c r="FQ1190" s="14">
        <f t="shared" si="565"/>
        <v>3</v>
      </c>
      <c r="FR1190" s="101" t="str">
        <f t="shared" si="572"/>
        <v>高顺专属武器-魂珠-7 4级</v>
      </c>
      <c r="FS1190" s="101">
        <f t="shared" si="573"/>
        <v>7</v>
      </c>
      <c r="FT1190" s="101">
        <f t="shared" si="574"/>
        <v>4</v>
      </c>
      <c r="FU1190" s="101" t="str">
        <f t="shared" si="566"/>
        <v>金币</v>
      </c>
      <c r="FV1190" s="139">
        <f>IF($FT1190&gt;0,IF(INDEX($EI$6:$EI$77,$FO1190)&gt;=FV$3,ROUND(INDEX(EK$6:EK$77,$FO1190)*INDEX(卡牌消耗!$B$8:$F$8,FQ1190)/5,0)*5,""),"")</f>
        <v>19340</v>
      </c>
      <c r="FW1190" s="101" t="str">
        <f t="shared" si="567"/>
        <v>专属强化石3</v>
      </c>
      <c r="FX1190" s="101">
        <f t="shared" si="568"/>
        <v>12</v>
      </c>
      <c r="FY1190" s="101" t="str">
        <f t="shared" si="569"/>
        <v>专属强化石4</v>
      </c>
      <c r="FZ1190" s="101">
        <f t="shared" si="570"/>
        <v>4</v>
      </c>
      <c r="GA1190" s="101">
        <f t="shared" si="575"/>
        <v>0.08</v>
      </c>
      <c r="GB1190" s="101">
        <f t="shared" si="576"/>
        <v>1</v>
      </c>
      <c r="GC1190" s="101">
        <f t="shared" si="577"/>
        <v>19</v>
      </c>
      <c r="GD1190" s="101">
        <f t="shared" si="578"/>
        <v>0</v>
      </c>
      <c r="GE1190" s="101">
        <f t="shared" si="579"/>
        <v>1</v>
      </c>
      <c r="GF1190" s="101">
        <f t="shared" si="580"/>
        <v>4</v>
      </c>
      <c r="GG1190" s="101">
        <f t="shared" si="581"/>
        <v>3.9800000000000002E-2</v>
      </c>
      <c r="GH1190" s="101">
        <f t="shared" si="582"/>
        <v>1</v>
      </c>
      <c r="GI1190" s="101">
        <f t="shared" si="583"/>
        <v>9</v>
      </c>
      <c r="GJ1190" s="101">
        <f t="shared" si="584"/>
        <v>0.15909999999999999</v>
      </c>
      <c r="GK1190" s="101">
        <f t="shared" si="585"/>
        <v>1</v>
      </c>
      <c r="GL1190" s="101">
        <f t="shared" si="586"/>
        <v>19</v>
      </c>
    </row>
    <row r="1191" spans="170:194" ht="16.5" x14ac:dyDescent="0.2">
      <c r="FN1191" s="101">
        <v>1186</v>
      </c>
      <c r="FO1191" s="101">
        <f t="shared" si="571"/>
        <v>59</v>
      </c>
      <c r="FP1191" s="101">
        <f t="shared" si="564"/>
        <v>15</v>
      </c>
      <c r="FQ1191" s="14">
        <f t="shared" si="565"/>
        <v>3</v>
      </c>
      <c r="FR1191" s="101" t="str">
        <f t="shared" si="572"/>
        <v>高顺专属武器-魂珠-7 5级</v>
      </c>
      <c r="FS1191" s="101">
        <f t="shared" si="573"/>
        <v>7</v>
      </c>
      <c r="FT1191" s="101">
        <f t="shared" si="574"/>
        <v>5</v>
      </c>
      <c r="FU1191" s="101" t="str">
        <f t="shared" si="566"/>
        <v>金币</v>
      </c>
      <c r="FV1191" s="139">
        <f>IF($FT1191&gt;0,IF(INDEX($EI$6:$EI$77,$FO1191)&gt;=FV$3,ROUND(INDEX(EK$6:EK$77,$FO1191)*INDEX(卡牌消耗!$B$8:$F$8,FQ1191)/5,0)*5,""),"")</f>
        <v>19640</v>
      </c>
      <c r="FW1191" s="101" t="str">
        <f t="shared" si="567"/>
        <v>专属强化石3</v>
      </c>
      <c r="FX1191" s="101">
        <f t="shared" si="568"/>
        <v>12</v>
      </c>
      <c r="FY1191" s="101" t="str">
        <f t="shared" si="569"/>
        <v>专属强化石4</v>
      </c>
      <c r="FZ1191" s="101">
        <f t="shared" si="570"/>
        <v>4</v>
      </c>
      <c r="GA1191" s="101">
        <f t="shared" si="575"/>
        <v>0.05</v>
      </c>
      <c r="GB1191" s="101">
        <f t="shared" si="576"/>
        <v>1</v>
      </c>
      <c r="GC1191" s="101">
        <f t="shared" si="577"/>
        <v>30</v>
      </c>
      <c r="GD1191" s="101">
        <f t="shared" si="578"/>
        <v>0</v>
      </c>
      <c r="GE1191" s="101">
        <f t="shared" si="579"/>
        <v>1</v>
      </c>
      <c r="GF1191" s="101">
        <f t="shared" si="580"/>
        <v>7</v>
      </c>
      <c r="GG1191" s="101">
        <f t="shared" si="581"/>
        <v>2.4899999999999999E-2</v>
      </c>
      <c r="GH1191" s="101">
        <f t="shared" si="582"/>
        <v>1</v>
      </c>
      <c r="GI1191" s="101">
        <f t="shared" si="583"/>
        <v>14</v>
      </c>
      <c r="GJ1191" s="101">
        <f t="shared" si="584"/>
        <v>9.9400000000000002E-2</v>
      </c>
      <c r="GK1191" s="101">
        <f t="shared" si="585"/>
        <v>1</v>
      </c>
      <c r="GL1191" s="101">
        <f t="shared" si="586"/>
        <v>30</v>
      </c>
    </row>
    <row r="1192" spans="170:194" ht="16.5" x14ac:dyDescent="0.2">
      <c r="FN1192" s="101">
        <v>1187</v>
      </c>
      <c r="FO1192" s="101">
        <f t="shared" si="571"/>
        <v>60</v>
      </c>
      <c r="FP1192" s="101">
        <f t="shared" si="564"/>
        <v>15</v>
      </c>
      <c r="FQ1192" s="14">
        <f t="shared" si="565"/>
        <v>3</v>
      </c>
      <c r="FR1192" s="101" t="str">
        <f t="shared" si="572"/>
        <v>高顺专属武器-魂珠-7 6级</v>
      </c>
      <c r="FS1192" s="101">
        <f t="shared" si="573"/>
        <v>7</v>
      </c>
      <c r="FT1192" s="101">
        <f t="shared" si="574"/>
        <v>6</v>
      </c>
      <c r="FU1192" s="101" t="str">
        <f t="shared" si="566"/>
        <v>金币</v>
      </c>
      <c r="FV1192" s="139">
        <f>IF($FT1192&gt;0,IF(INDEX($EI$6:$EI$77,$FO1192)&gt;=FV$3,ROUND(INDEX(EK$6:EK$77,$FO1192)*INDEX(卡牌消耗!$B$8:$F$8,FQ1192)/5,0)*5,""),"")</f>
        <v>24410</v>
      </c>
      <c r="FW1192" s="101" t="str">
        <f t="shared" si="567"/>
        <v>专属强化石3</v>
      </c>
      <c r="FX1192" s="101">
        <f t="shared" si="568"/>
        <v>15</v>
      </c>
      <c r="FY1192" s="101" t="str">
        <f t="shared" si="569"/>
        <v>专属强化石4</v>
      </c>
      <c r="FZ1192" s="101">
        <f t="shared" si="570"/>
        <v>5</v>
      </c>
      <c r="GA1192" s="101">
        <f t="shared" si="575"/>
        <v>0.04</v>
      </c>
      <c r="GB1192" s="101">
        <f t="shared" si="576"/>
        <v>1</v>
      </c>
      <c r="GC1192" s="101">
        <f t="shared" si="577"/>
        <v>39</v>
      </c>
      <c r="GD1192" s="101">
        <f t="shared" si="578"/>
        <v>0</v>
      </c>
      <c r="GE1192" s="101">
        <f t="shared" si="579"/>
        <v>1</v>
      </c>
      <c r="GF1192" s="101">
        <f t="shared" si="580"/>
        <v>9</v>
      </c>
      <c r="GG1192" s="101">
        <f t="shared" si="581"/>
        <v>1.9099999999999999E-2</v>
      </c>
      <c r="GH1192" s="101">
        <f t="shared" si="582"/>
        <v>1</v>
      </c>
      <c r="GI1192" s="101">
        <f t="shared" si="583"/>
        <v>18</v>
      </c>
      <c r="GJ1192" s="101">
        <f t="shared" si="584"/>
        <v>7.6499999999999999E-2</v>
      </c>
      <c r="GK1192" s="101">
        <f t="shared" si="585"/>
        <v>1</v>
      </c>
      <c r="GL1192" s="101">
        <f t="shared" si="586"/>
        <v>39</v>
      </c>
    </row>
    <row r="1193" spans="170:194" ht="16.5" x14ac:dyDescent="0.2">
      <c r="FN1193" s="101">
        <v>1188</v>
      </c>
      <c r="FO1193" s="101">
        <f t="shared" si="571"/>
        <v>61</v>
      </c>
      <c r="FP1193" s="101">
        <f t="shared" si="564"/>
        <v>15</v>
      </c>
      <c r="FQ1193" s="14">
        <f t="shared" si="565"/>
        <v>3</v>
      </c>
      <c r="FR1193" s="101" t="str">
        <f t="shared" si="572"/>
        <v>高顺专属武器-魂珠-7 7级</v>
      </c>
      <c r="FS1193" s="101">
        <f t="shared" si="573"/>
        <v>7</v>
      </c>
      <c r="FT1193" s="101">
        <f t="shared" si="574"/>
        <v>7</v>
      </c>
      <c r="FU1193" s="101" t="str">
        <f t="shared" si="566"/>
        <v>金币</v>
      </c>
      <c r="FV1193" s="139">
        <f>IF($FT1193&gt;0,IF(INDEX($EI$6:$EI$77,$FO1193)&gt;=FV$3,ROUND(INDEX(EK$6:EK$77,$FO1193)*INDEX(卡牌消耗!$B$8:$F$8,FQ1193)/5,0)*5,""),"")</f>
        <v>34250</v>
      </c>
      <c r="FW1193" s="101" t="str">
        <f t="shared" si="567"/>
        <v>专属强化石3</v>
      </c>
      <c r="FX1193" s="101">
        <f t="shared" si="568"/>
        <v>21</v>
      </c>
      <c r="FY1193" s="101" t="str">
        <f t="shared" si="569"/>
        <v>专属强化石4</v>
      </c>
      <c r="FZ1193" s="101">
        <f t="shared" si="570"/>
        <v>7</v>
      </c>
      <c r="GA1193" s="101">
        <f t="shared" si="575"/>
        <v>0.03</v>
      </c>
      <c r="GB1193" s="101">
        <f t="shared" si="576"/>
        <v>1</v>
      </c>
      <c r="GC1193" s="101">
        <f t="shared" si="577"/>
        <v>45</v>
      </c>
      <c r="GD1193" s="101">
        <f t="shared" si="578"/>
        <v>0</v>
      </c>
      <c r="GE1193" s="101">
        <f t="shared" si="579"/>
        <v>1</v>
      </c>
      <c r="GF1193" s="101">
        <f t="shared" si="580"/>
        <v>11</v>
      </c>
      <c r="GG1193" s="101">
        <f t="shared" si="581"/>
        <v>1.66E-2</v>
      </c>
      <c r="GH1193" s="101">
        <f t="shared" si="582"/>
        <v>1</v>
      </c>
      <c r="GI1193" s="101">
        <f t="shared" si="583"/>
        <v>21</v>
      </c>
      <c r="GJ1193" s="101">
        <f t="shared" si="584"/>
        <v>6.6299999999999998E-2</v>
      </c>
      <c r="GK1193" s="101">
        <f t="shared" si="585"/>
        <v>1</v>
      </c>
      <c r="GL1193" s="101">
        <f t="shared" si="586"/>
        <v>45</v>
      </c>
    </row>
    <row r="1194" spans="170:194" ht="16.5" x14ac:dyDescent="0.2">
      <c r="FN1194" s="101">
        <v>1189</v>
      </c>
      <c r="FO1194" s="101">
        <f t="shared" si="571"/>
        <v>62</v>
      </c>
      <c r="FP1194" s="101">
        <f t="shared" si="564"/>
        <v>15</v>
      </c>
      <c r="FQ1194" s="14">
        <f t="shared" si="565"/>
        <v>3</v>
      </c>
      <c r="FR1194" s="101" t="str">
        <f t="shared" si="572"/>
        <v>高顺专属武器-魂珠-7 8级</v>
      </c>
      <c r="FS1194" s="101">
        <f t="shared" si="573"/>
        <v>7</v>
      </c>
      <c r="FT1194" s="101">
        <f t="shared" si="574"/>
        <v>8</v>
      </c>
      <c r="FU1194" s="101" t="str">
        <f t="shared" si="566"/>
        <v>金币</v>
      </c>
      <c r="FV1194" s="139">
        <f>IF($FT1194&gt;0,IF(INDEX($EI$6:$EI$77,$FO1194)&gt;=FV$3,ROUND(INDEX(EK$6:EK$77,$FO1194)*INDEX(卡牌消耗!$B$8:$F$8,FQ1194)/5,0)*5,""),"")</f>
        <v>39105</v>
      </c>
      <c r="FW1194" s="101" t="str">
        <f t="shared" si="567"/>
        <v>专属强化石3</v>
      </c>
      <c r="FX1194" s="101">
        <f t="shared" si="568"/>
        <v>24</v>
      </c>
      <c r="FY1194" s="101" t="str">
        <f t="shared" si="569"/>
        <v>专属强化石4</v>
      </c>
      <c r="FZ1194" s="101">
        <f t="shared" si="570"/>
        <v>8</v>
      </c>
      <c r="GA1194" s="101">
        <f t="shared" si="575"/>
        <v>0.02</v>
      </c>
      <c r="GB1194" s="101">
        <f t="shared" si="576"/>
        <v>1</v>
      </c>
      <c r="GC1194" s="101">
        <f t="shared" si="577"/>
        <v>64</v>
      </c>
      <c r="GD1194" s="101">
        <f t="shared" si="578"/>
        <v>0</v>
      </c>
      <c r="GE1194" s="101">
        <f t="shared" si="579"/>
        <v>1</v>
      </c>
      <c r="GF1194" s="101">
        <f t="shared" si="580"/>
        <v>15</v>
      </c>
      <c r="GG1194" s="101">
        <f t="shared" si="581"/>
        <v>1.17E-2</v>
      </c>
      <c r="GH1194" s="101">
        <f t="shared" si="582"/>
        <v>1</v>
      </c>
      <c r="GI1194" s="101">
        <f t="shared" si="583"/>
        <v>30</v>
      </c>
      <c r="GJ1194" s="101">
        <f t="shared" si="584"/>
        <v>4.6800000000000001E-2</v>
      </c>
      <c r="GK1194" s="101">
        <f t="shared" si="585"/>
        <v>1</v>
      </c>
      <c r="GL1194" s="101">
        <f t="shared" si="586"/>
        <v>64</v>
      </c>
    </row>
    <row r="1195" spans="170:194" ht="16.5" x14ac:dyDescent="0.2">
      <c r="FN1195" s="101">
        <v>1190</v>
      </c>
      <c r="FO1195" s="101">
        <f t="shared" si="571"/>
        <v>63</v>
      </c>
      <c r="FP1195" s="101">
        <f t="shared" si="564"/>
        <v>15</v>
      </c>
      <c r="FQ1195" s="14">
        <f t="shared" si="565"/>
        <v>3</v>
      </c>
      <c r="FR1195" s="101" t="str">
        <f t="shared" si="572"/>
        <v>高顺专属武器-魂珠-7 9级</v>
      </c>
      <c r="FS1195" s="101">
        <f t="shared" si="573"/>
        <v>7</v>
      </c>
      <c r="FT1195" s="101">
        <f t="shared" si="574"/>
        <v>9</v>
      </c>
      <c r="FU1195" s="101" t="str">
        <f t="shared" si="566"/>
        <v>金币</v>
      </c>
      <c r="FV1195" s="139">
        <f>IF($FT1195&gt;0,IF(INDEX($EI$6:$EI$77,$FO1195)&gt;=FV$3,ROUND(INDEX(EK$6:EK$77,$FO1195)*INDEX(卡牌消耗!$B$8:$F$8,FQ1195)/5,0)*5,""),"")</f>
        <v>48900</v>
      </c>
      <c r="FW1195" s="101" t="str">
        <f t="shared" si="567"/>
        <v>专属强化石3</v>
      </c>
      <c r="FX1195" s="101">
        <f t="shared" si="568"/>
        <v>30</v>
      </c>
      <c r="FY1195" s="101" t="str">
        <f t="shared" si="569"/>
        <v>专属强化石4</v>
      </c>
      <c r="FZ1195" s="101">
        <f t="shared" si="570"/>
        <v>10</v>
      </c>
      <c r="GA1195" s="101">
        <f t="shared" si="575"/>
        <v>0.02</v>
      </c>
      <c r="GB1195" s="101">
        <f t="shared" si="576"/>
        <v>1</v>
      </c>
      <c r="GC1195" s="101">
        <f t="shared" si="577"/>
        <v>83</v>
      </c>
      <c r="GD1195" s="101">
        <f t="shared" si="578"/>
        <v>0</v>
      </c>
      <c r="GE1195" s="101">
        <f t="shared" si="579"/>
        <v>1</v>
      </c>
      <c r="GF1195" s="101">
        <f t="shared" si="580"/>
        <v>19</v>
      </c>
      <c r="GG1195" s="101">
        <f t="shared" si="581"/>
        <v>8.9999999999999993E-3</v>
      </c>
      <c r="GH1195" s="101">
        <f t="shared" si="582"/>
        <v>1</v>
      </c>
      <c r="GI1195" s="101">
        <f t="shared" si="583"/>
        <v>39</v>
      </c>
      <c r="GJ1195" s="101">
        <f t="shared" si="584"/>
        <v>3.6200000000000003E-2</v>
      </c>
      <c r="GK1195" s="101">
        <f t="shared" si="585"/>
        <v>1</v>
      </c>
      <c r="GL1195" s="101">
        <f t="shared" si="586"/>
        <v>83</v>
      </c>
    </row>
    <row r="1196" spans="170:194" ht="16.5" x14ac:dyDescent="0.2">
      <c r="FN1196" s="101">
        <v>1191</v>
      </c>
      <c r="FO1196" s="101">
        <f t="shared" si="571"/>
        <v>0</v>
      </c>
      <c r="FP1196" s="101">
        <f t="shared" si="564"/>
        <v>15</v>
      </c>
      <c r="FQ1196" s="14">
        <f t="shared" si="565"/>
        <v>3</v>
      </c>
      <c r="FR1196" s="101" t="str">
        <f t="shared" si="572"/>
        <v>高顺专属武器-魂珠-8 0级</v>
      </c>
      <c r="FS1196" s="101">
        <f t="shared" si="573"/>
        <v>8</v>
      </c>
      <c r="FT1196" s="101">
        <f t="shared" si="574"/>
        <v>0</v>
      </c>
      <c r="FU1196" s="101" t="str">
        <f t="shared" si="566"/>
        <v/>
      </c>
      <c r="FV1196" s="139" t="str">
        <f>IF($FT1196&gt;0,IF(INDEX($EI$6:$EI$77,$FO1196)&gt;=FV$3,ROUND(INDEX(EK$6:EK$77,$FO1196)*INDEX(卡牌消耗!$B$8:$F$8,FQ1196)/5,0)*5,""),"")</f>
        <v/>
      </c>
      <c r="FW1196" s="101" t="str">
        <f t="shared" si="567"/>
        <v/>
      </c>
      <c r="FX1196" s="101" t="str">
        <f t="shared" si="568"/>
        <v/>
      </c>
      <c r="FY1196" s="101" t="str">
        <f t="shared" si="569"/>
        <v/>
      </c>
      <c r="FZ1196" s="101" t="str">
        <f t="shared" si="570"/>
        <v/>
      </c>
      <c r="GA1196" s="101" t="str">
        <f t="shared" si="575"/>
        <v/>
      </c>
      <c r="GB1196" s="101" t="str">
        <f t="shared" si="576"/>
        <v/>
      </c>
      <c r="GC1196" s="101" t="str">
        <f t="shared" si="577"/>
        <v/>
      </c>
      <c r="GD1196" s="101" t="str">
        <f t="shared" si="578"/>
        <v/>
      </c>
      <c r="GE1196" s="101" t="str">
        <f t="shared" si="579"/>
        <v/>
      </c>
      <c r="GF1196" s="101" t="str">
        <f t="shared" si="580"/>
        <v/>
      </c>
      <c r="GG1196" s="101" t="str">
        <f t="shared" si="581"/>
        <v/>
      </c>
      <c r="GH1196" s="101" t="str">
        <f t="shared" si="582"/>
        <v/>
      </c>
      <c r="GI1196" s="101" t="str">
        <f t="shared" si="583"/>
        <v/>
      </c>
      <c r="GJ1196" s="101" t="str">
        <f t="shared" si="584"/>
        <v/>
      </c>
      <c r="GK1196" s="101" t="str">
        <f t="shared" si="585"/>
        <v/>
      </c>
      <c r="GL1196" s="101" t="str">
        <f t="shared" si="586"/>
        <v/>
      </c>
    </row>
    <row r="1197" spans="170:194" ht="16.5" x14ac:dyDescent="0.2">
      <c r="FN1197" s="101">
        <v>1192</v>
      </c>
      <c r="FO1197" s="101">
        <f t="shared" si="571"/>
        <v>64</v>
      </c>
      <c r="FP1197" s="101">
        <f t="shared" si="564"/>
        <v>15</v>
      </c>
      <c r="FQ1197" s="14">
        <f t="shared" si="565"/>
        <v>3</v>
      </c>
      <c r="FR1197" s="101" t="str">
        <f t="shared" si="572"/>
        <v>高顺专属武器-魂珠-8 1级</v>
      </c>
      <c r="FS1197" s="101">
        <f t="shared" si="573"/>
        <v>8</v>
      </c>
      <c r="FT1197" s="101">
        <f t="shared" si="574"/>
        <v>1</v>
      </c>
      <c r="FU1197" s="101" t="str">
        <f t="shared" si="566"/>
        <v>金币</v>
      </c>
      <c r="FV1197" s="139">
        <f>IF($FT1197&gt;0,IF(INDEX($EI$6:$EI$77,$FO1197)&gt;=FV$3,ROUND(INDEX(EK$6:EK$77,$FO1197)*INDEX(卡牌消耗!$B$8:$F$8,FQ1197)/5,0)*5,""),"")</f>
        <v>10300</v>
      </c>
      <c r="FW1197" s="101" t="str">
        <f t="shared" si="567"/>
        <v>专属强化石4</v>
      </c>
      <c r="FX1197" s="101">
        <f t="shared" si="568"/>
        <v>5</v>
      </c>
      <c r="FY1197" s="101" t="str">
        <f t="shared" si="569"/>
        <v/>
      </c>
      <c r="FZ1197" s="101" t="str">
        <f t="shared" si="570"/>
        <v/>
      </c>
      <c r="GA1197" s="101">
        <f t="shared" si="575"/>
        <v>0.11</v>
      </c>
      <c r="GB1197" s="101">
        <f t="shared" si="576"/>
        <v>1</v>
      </c>
      <c r="GC1197" s="101">
        <f t="shared" si="577"/>
        <v>13</v>
      </c>
      <c r="GD1197" s="101">
        <f t="shared" si="578"/>
        <v>0</v>
      </c>
      <c r="GE1197" s="101">
        <f t="shared" si="579"/>
        <v>1</v>
      </c>
      <c r="GF1197" s="101">
        <f t="shared" si="580"/>
        <v>3</v>
      </c>
      <c r="GG1197" s="101">
        <f t="shared" si="581"/>
        <v>5.6500000000000002E-2</v>
      </c>
      <c r="GH1197" s="101">
        <f t="shared" si="582"/>
        <v>1</v>
      </c>
      <c r="GI1197" s="101">
        <f t="shared" si="583"/>
        <v>6</v>
      </c>
      <c r="GJ1197" s="101">
        <f t="shared" si="584"/>
        <v>0.22600000000000001</v>
      </c>
      <c r="GK1197" s="101">
        <f t="shared" si="585"/>
        <v>1</v>
      </c>
      <c r="GL1197" s="101">
        <f t="shared" si="586"/>
        <v>13</v>
      </c>
    </row>
    <row r="1198" spans="170:194" ht="16.5" x14ac:dyDescent="0.2">
      <c r="FN1198" s="101">
        <v>1193</v>
      </c>
      <c r="FO1198" s="101">
        <f t="shared" si="571"/>
        <v>65</v>
      </c>
      <c r="FP1198" s="101">
        <f t="shared" si="564"/>
        <v>15</v>
      </c>
      <c r="FQ1198" s="14">
        <f t="shared" si="565"/>
        <v>3</v>
      </c>
      <c r="FR1198" s="101" t="str">
        <f t="shared" si="572"/>
        <v>高顺专属武器-魂珠-8 2级</v>
      </c>
      <c r="FS1198" s="101">
        <f t="shared" si="573"/>
        <v>8</v>
      </c>
      <c r="FT1198" s="101">
        <f t="shared" si="574"/>
        <v>2</v>
      </c>
      <c r="FU1198" s="101" t="str">
        <f t="shared" si="566"/>
        <v>金币</v>
      </c>
      <c r="FV1198" s="139">
        <f>IF($FT1198&gt;0,IF(INDEX($EI$6:$EI$77,$FO1198)&gt;=FV$3,ROUND(INDEX(EK$6:EK$77,$FO1198)*INDEX(卡牌消耗!$B$8:$F$8,FQ1198)/5,0)*5,""),"")</f>
        <v>12360</v>
      </c>
      <c r="FW1198" s="101" t="str">
        <f t="shared" si="567"/>
        <v>专属强化石4</v>
      </c>
      <c r="FX1198" s="101">
        <f t="shared" si="568"/>
        <v>8</v>
      </c>
      <c r="FY1198" s="101" t="str">
        <f t="shared" si="569"/>
        <v/>
      </c>
      <c r="FZ1198" s="101" t="str">
        <f t="shared" si="570"/>
        <v/>
      </c>
      <c r="GA1198" s="101">
        <f t="shared" si="575"/>
        <v>0.09</v>
      </c>
      <c r="GB1198" s="101">
        <f t="shared" si="576"/>
        <v>1</v>
      </c>
      <c r="GC1198" s="101">
        <f t="shared" si="577"/>
        <v>17</v>
      </c>
      <c r="GD1198" s="101">
        <f t="shared" si="578"/>
        <v>0</v>
      </c>
      <c r="GE1198" s="101">
        <f t="shared" si="579"/>
        <v>1</v>
      </c>
      <c r="GF1198" s="101">
        <f t="shared" si="580"/>
        <v>4</v>
      </c>
      <c r="GG1198" s="101">
        <f t="shared" si="581"/>
        <v>4.5199999999999997E-2</v>
      </c>
      <c r="GH1198" s="101">
        <f t="shared" si="582"/>
        <v>1</v>
      </c>
      <c r="GI1198" s="101">
        <f t="shared" si="583"/>
        <v>8</v>
      </c>
      <c r="GJ1198" s="101">
        <f t="shared" si="584"/>
        <v>0.18079999999999999</v>
      </c>
      <c r="GK1198" s="101">
        <f t="shared" si="585"/>
        <v>1</v>
      </c>
      <c r="GL1198" s="101">
        <f t="shared" si="586"/>
        <v>17</v>
      </c>
    </row>
    <row r="1199" spans="170:194" ht="16.5" x14ac:dyDescent="0.2">
      <c r="FN1199" s="101">
        <v>1194</v>
      </c>
      <c r="FO1199" s="101">
        <f t="shared" si="571"/>
        <v>66</v>
      </c>
      <c r="FP1199" s="101">
        <f t="shared" si="564"/>
        <v>15</v>
      </c>
      <c r="FQ1199" s="14">
        <f t="shared" si="565"/>
        <v>3</v>
      </c>
      <c r="FR1199" s="101" t="str">
        <f t="shared" si="572"/>
        <v>高顺专属武器-魂珠-8 3级</v>
      </c>
      <c r="FS1199" s="101">
        <f t="shared" si="573"/>
        <v>8</v>
      </c>
      <c r="FT1199" s="101">
        <f t="shared" si="574"/>
        <v>3</v>
      </c>
      <c r="FU1199" s="101" t="str">
        <f t="shared" si="566"/>
        <v>金币</v>
      </c>
      <c r="FV1199" s="139">
        <f>IF($FT1199&gt;0,IF(INDEX($EI$6:$EI$77,$FO1199)&gt;=FV$3,ROUND(INDEX(EK$6:EK$77,$FO1199)*INDEX(卡牌消耗!$B$8:$F$8,FQ1199)/5,0)*5,""),"")</f>
        <v>17170</v>
      </c>
      <c r="FW1199" s="101" t="str">
        <f t="shared" si="567"/>
        <v>专属强化石4</v>
      </c>
      <c r="FX1199" s="101">
        <f t="shared" si="568"/>
        <v>10</v>
      </c>
      <c r="FY1199" s="101" t="str">
        <f t="shared" si="569"/>
        <v/>
      </c>
      <c r="FZ1199" s="101" t="str">
        <f t="shared" si="570"/>
        <v/>
      </c>
      <c r="GA1199" s="101">
        <f t="shared" si="575"/>
        <v>0.08</v>
      </c>
      <c r="GB1199" s="101">
        <f t="shared" si="576"/>
        <v>1</v>
      </c>
      <c r="GC1199" s="101">
        <f t="shared" si="577"/>
        <v>20</v>
      </c>
      <c r="GD1199" s="101">
        <f t="shared" si="578"/>
        <v>0</v>
      </c>
      <c r="GE1199" s="101">
        <f t="shared" si="579"/>
        <v>1</v>
      </c>
      <c r="GF1199" s="101">
        <f t="shared" si="580"/>
        <v>5</v>
      </c>
      <c r="GG1199" s="101">
        <f t="shared" si="581"/>
        <v>3.7699999999999997E-2</v>
      </c>
      <c r="GH1199" s="101">
        <f t="shared" si="582"/>
        <v>1</v>
      </c>
      <c r="GI1199" s="101">
        <f t="shared" si="583"/>
        <v>9</v>
      </c>
      <c r="GJ1199" s="101">
        <f t="shared" si="584"/>
        <v>0.1507</v>
      </c>
      <c r="GK1199" s="101">
        <f t="shared" si="585"/>
        <v>1</v>
      </c>
      <c r="GL1199" s="101">
        <f t="shared" si="586"/>
        <v>20</v>
      </c>
    </row>
    <row r="1200" spans="170:194" ht="16.5" x14ac:dyDescent="0.2">
      <c r="FN1200" s="101">
        <v>1195</v>
      </c>
      <c r="FO1200" s="101">
        <f t="shared" si="571"/>
        <v>67</v>
      </c>
      <c r="FP1200" s="101">
        <f t="shared" si="564"/>
        <v>15</v>
      </c>
      <c r="FQ1200" s="14">
        <f t="shared" si="565"/>
        <v>3</v>
      </c>
      <c r="FR1200" s="101" t="str">
        <f t="shared" si="572"/>
        <v>高顺专属武器-魂珠-8 4级</v>
      </c>
      <c r="FS1200" s="101">
        <f t="shared" si="573"/>
        <v>8</v>
      </c>
      <c r="FT1200" s="101">
        <f t="shared" si="574"/>
        <v>4</v>
      </c>
      <c r="FU1200" s="101" t="str">
        <f t="shared" si="566"/>
        <v>金币</v>
      </c>
      <c r="FV1200" s="139">
        <f>IF($FT1200&gt;0,IF(INDEX($EI$6:$EI$77,$FO1200)&gt;=FV$3,ROUND(INDEX(EK$6:EK$77,$FO1200)*INDEX(卡牌消耗!$B$8:$F$8,FQ1200)/5,0)*5,""),"")</f>
        <v>19780</v>
      </c>
      <c r="FW1200" s="101" t="str">
        <f t="shared" si="567"/>
        <v>专属强化石4</v>
      </c>
      <c r="FX1200" s="101">
        <f t="shared" si="568"/>
        <v>12</v>
      </c>
      <c r="FY1200" s="101" t="str">
        <f t="shared" si="569"/>
        <v/>
      </c>
      <c r="FZ1200" s="101" t="str">
        <f t="shared" si="570"/>
        <v/>
      </c>
      <c r="GA1200" s="101">
        <f t="shared" si="575"/>
        <v>0.05</v>
      </c>
      <c r="GB1200" s="101">
        <f t="shared" si="576"/>
        <v>1</v>
      </c>
      <c r="GC1200" s="101">
        <f t="shared" si="577"/>
        <v>28</v>
      </c>
      <c r="GD1200" s="101">
        <f t="shared" si="578"/>
        <v>0</v>
      </c>
      <c r="GE1200" s="101">
        <f t="shared" si="579"/>
        <v>1</v>
      </c>
      <c r="GF1200" s="101">
        <f t="shared" si="580"/>
        <v>6</v>
      </c>
      <c r="GG1200" s="101">
        <f t="shared" si="581"/>
        <v>2.7099999999999999E-2</v>
      </c>
      <c r="GH1200" s="101">
        <f t="shared" si="582"/>
        <v>1</v>
      </c>
      <c r="GI1200" s="101">
        <f t="shared" si="583"/>
        <v>13</v>
      </c>
      <c r="GJ1200" s="101">
        <f t="shared" si="584"/>
        <v>0.1085</v>
      </c>
      <c r="GK1200" s="101">
        <f t="shared" si="585"/>
        <v>1</v>
      </c>
      <c r="GL1200" s="101">
        <f t="shared" si="586"/>
        <v>28</v>
      </c>
    </row>
    <row r="1201" spans="170:194" ht="16.5" x14ac:dyDescent="0.2">
      <c r="FN1201" s="101">
        <v>1196</v>
      </c>
      <c r="FO1201" s="101">
        <f t="shared" si="571"/>
        <v>68</v>
      </c>
      <c r="FP1201" s="101">
        <f t="shared" si="564"/>
        <v>15</v>
      </c>
      <c r="FQ1201" s="14">
        <f t="shared" si="565"/>
        <v>3</v>
      </c>
      <c r="FR1201" s="101" t="str">
        <f t="shared" si="572"/>
        <v>高顺专属武器-魂珠-8 5级</v>
      </c>
      <c r="FS1201" s="101">
        <f t="shared" si="573"/>
        <v>8</v>
      </c>
      <c r="FT1201" s="101">
        <f t="shared" si="574"/>
        <v>5</v>
      </c>
      <c r="FU1201" s="101" t="str">
        <f t="shared" si="566"/>
        <v>金币</v>
      </c>
      <c r="FV1201" s="139">
        <f>IF($FT1201&gt;0,IF(INDEX($EI$6:$EI$77,$FO1201)&gt;=FV$3,ROUND(INDEX(EK$6:EK$77,$FO1201)*INDEX(卡牌消耗!$B$8:$F$8,FQ1201)/5,0)*5,""),"")</f>
        <v>25110</v>
      </c>
      <c r="FW1201" s="101" t="str">
        <f t="shared" si="567"/>
        <v>专属强化石4</v>
      </c>
      <c r="FX1201" s="101">
        <f t="shared" si="568"/>
        <v>15</v>
      </c>
      <c r="FY1201" s="101" t="str">
        <f t="shared" si="569"/>
        <v/>
      </c>
      <c r="FZ1201" s="101" t="str">
        <f t="shared" si="570"/>
        <v/>
      </c>
      <c r="GA1201" s="101">
        <f t="shared" si="575"/>
        <v>0.04</v>
      </c>
      <c r="GB1201" s="101">
        <f t="shared" si="576"/>
        <v>1</v>
      </c>
      <c r="GC1201" s="101">
        <f t="shared" si="577"/>
        <v>35</v>
      </c>
      <c r="GD1201" s="101">
        <f t="shared" si="578"/>
        <v>0</v>
      </c>
      <c r="GE1201" s="101">
        <f t="shared" si="579"/>
        <v>1</v>
      </c>
      <c r="GF1201" s="101">
        <f t="shared" si="580"/>
        <v>8</v>
      </c>
      <c r="GG1201" s="101">
        <f t="shared" si="581"/>
        <v>2.12E-2</v>
      </c>
      <c r="GH1201" s="101">
        <f t="shared" si="582"/>
        <v>1</v>
      </c>
      <c r="GI1201" s="101">
        <f t="shared" si="583"/>
        <v>17</v>
      </c>
      <c r="GJ1201" s="101">
        <f t="shared" si="584"/>
        <v>8.4699999999999998E-2</v>
      </c>
      <c r="GK1201" s="101">
        <f t="shared" si="585"/>
        <v>1</v>
      </c>
      <c r="GL1201" s="101">
        <f t="shared" si="586"/>
        <v>35</v>
      </c>
    </row>
    <row r="1202" spans="170:194" ht="16.5" x14ac:dyDescent="0.2">
      <c r="FN1202" s="101">
        <v>1197</v>
      </c>
      <c r="FO1202" s="101">
        <f t="shared" si="571"/>
        <v>69</v>
      </c>
      <c r="FP1202" s="101">
        <f t="shared" si="564"/>
        <v>15</v>
      </c>
      <c r="FQ1202" s="14">
        <f t="shared" si="565"/>
        <v>3</v>
      </c>
      <c r="FR1202" s="101" t="str">
        <f t="shared" si="572"/>
        <v>高顺专属武器-魂珠-8 6级</v>
      </c>
      <c r="FS1202" s="101">
        <f t="shared" si="573"/>
        <v>8</v>
      </c>
      <c r="FT1202" s="101">
        <f t="shared" si="574"/>
        <v>6</v>
      </c>
      <c r="FU1202" s="101" t="str">
        <f t="shared" si="566"/>
        <v>金币</v>
      </c>
      <c r="FV1202" s="139">
        <f>IF($FT1202&gt;0,IF(INDEX($EI$6:$EI$77,$FO1202)&gt;=FV$3,ROUND(INDEX(EK$6:EK$77,$FO1202)*INDEX(卡牌消耗!$B$8:$F$8,FQ1202)/5,0)*5,""),"")</f>
        <v>29955</v>
      </c>
      <c r="FW1202" s="101" t="str">
        <f t="shared" si="567"/>
        <v>专属强化石4</v>
      </c>
      <c r="FX1202" s="101">
        <f t="shared" si="568"/>
        <v>18</v>
      </c>
      <c r="FY1202" s="101" t="str">
        <f t="shared" si="569"/>
        <v/>
      </c>
      <c r="FZ1202" s="101" t="str">
        <f t="shared" si="570"/>
        <v/>
      </c>
      <c r="GA1202" s="101">
        <f t="shared" si="575"/>
        <v>0.03</v>
      </c>
      <c r="GB1202" s="101">
        <f t="shared" si="576"/>
        <v>1</v>
      </c>
      <c r="GC1202" s="101">
        <f t="shared" si="577"/>
        <v>48</v>
      </c>
      <c r="GD1202" s="101">
        <f t="shared" si="578"/>
        <v>0</v>
      </c>
      <c r="GE1202" s="101">
        <f t="shared" si="579"/>
        <v>1</v>
      </c>
      <c r="GF1202" s="101">
        <f t="shared" si="580"/>
        <v>11</v>
      </c>
      <c r="GG1202" s="101">
        <f t="shared" si="581"/>
        <v>1.5599999999999999E-2</v>
      </c>
      <c r="GH1202" s="101">
        <f t="shared" si="582"/>
        <v>1</v>
      </c>
      <c r="GI1202" s="101">
        <f t="shared" si="583"/>
        <v>22</v>
      </c>
      <c r="GJ1202" s="101">
        <f t="shared" si="584"/>
        <v>6.2600000000000003E-2</v>
      </c>
      <c r="GK1202" s="101">
        <f t="shared" si="585"/>
        <v>1</v>
      </c>
      <c r="GL1202" s="101">
        <f t="shared" si="586"/>
        <v>48</v>
      </c>
    </row>
    <row r="1203" spans="170:194" ht="16.5" x14ac:dyDescent="0.2">
      <c r="FN1203" s="101">
        <v>1198</v>
      </c>
      <c r="FO1203" s="101">
        <f t="shared" si="571"/>
        <v>70</v>
      </c>
      <c r="FP1203" s="101">
        <f t="shared" si="564"/>
        <v>15</v>
      </c>
      <c r="FQ1203" s="14">
        <f t="shared" si="565"/>
        <v>3</v>
      </c>
      <c r="FR1203" s="101" t="str">
        <f t="shared" si="572"/>
        <v>高顺专属武器-魂珠-8 7级</v>
      </c>
      <c r="FS1203" s="101">
        <f t="shared" si="573"/>
        <v>8</v>
      </c>
      <c r="FT1203" s="101">
        <f t="shared" si="574"/>
        <v>7</v>
      </c>
      <c r="FU1203" s="101" t="str">
        <f t="shared" si="566"/>
        <v>金币</v>
      </c>
      <c r="FV1203" s="139">
        <f>IF($FT1203&gt;0,IF(INDEX($EI$6:$EI$77,$FO1203)&gt;=FV$3,ROUND(INDEX(EK$6:EK$77,$FO1203)*INDEX(卡牌消耗!$B$8:$F$8,FQ1203)/5,0)*5,""),"")</f>
        <v>41700</v>
      </c>
      <c r="FW1203" s="101" t="str">
        <f t="shared" si="567"/>
        <v>专属强化石4</v>
      </c>
      <c r="FX1203" s="101">
        <f t="shared" si="568"/>
        <v>25</v>
      </c>
      <c r="FY1203" s="101" t="str">
        <f t="shared" si="569"/>
        <v/>
      </c>
      <c r="FZ1203" s="101" t="str">
        <f t="shared" si="570"/>
        <v/>
      </c>
      <c r="GA1203" s="101">
        <f t="shared" si="575"/>
        <v>0.03</v>
      </c>
      <c r="GB1203" s="101">
        <f t="shared" si="576"/>
        <v>1</v>
      </c>
      <c r="GC1203" s="101">
        <f t="shared" si="577"/>
        <v>56</v>
      </c>
      <c r="GD1203" s="101">
        <f t="shared" si="578"/>
        <v>0</v>
      </c>
      <c r="GE1203" s="101">
        <f t="shared" si="579"/>
        <v>1</v>
      </c>
      <c r="GF1203" s="101">
        <f t="shared" si="580"/>
        <v>13</v>
      </c>
      <c r="GG1203" s="101">
        <f t="shared" si="581"/>
        <v>1.35E-2</v>
      </c>
      <c r="GH1203" s="101">
        <f t="shared" si="582"/>
        <v>1</v>
      </c>
      <c r="GI1203" s="101">
        <f t="shared" si="583"/>
        <v>26</v>
      </c>
      <c r="GJ1203" s="101">
        <f t="shared" si="584"/>
        <v>5.3800000000000001E-2</v>
      </c>
      <c r="GK1203" s="101">
        <f t="shared" si="585"/>
        <v>1</v>
      </c>
      <c r="GL1203" s="101">
        <f t="shared" si="586"/>
        <v>56</v>
      </c>
    </row>
    <row r="1204" spans="170:194" ht="16.5" x14ac:dyDescent="0.2">
      <c r="FN1204" s="101">
        <v>1199</v>
      </c>
      <c r="FO1204" s="101">
        <f t="shared" si="571"/>
        <v>71</v>
      </c>
      <c r="FP1204" s="101">
        <f t="shared" si="564"/>
        <v>15</v>
      </c>
      <c r="FQ1204" s="14">
        <f t="shared" si="565"/>
        <v>3</v>
      </c>
      <c r="FR1204" s="101" t="str">
        <f t="shared" si="572"/>
        <v>高顺专属武器-魂珠-8 8级</v>
      </c>
      <c r="FS1204" s="101">
        <f t="shared" si="573"/>
        <v>8</v>
      </c>
      <c r="FT1204" s="101">
        <f t="shared" si="574"/>
        <v>8</v>
      </c>
      <c r="FU1204" s="101" t="str">
        <f t="shared" si="566"/>
        <v>金币</v>
      </c>
      <c r="FV1204" s="139">
        <f>IF($FT1204&gt;0,IF(INDEX($EI$6:$EI$77,$FO1204)&gt;=FV$3,ROUND(INDEX(EK$6:EK$77,$FO1204)*INDEX(卡牌消耗!$B$8:$F$8,FQ1204)/5,0)*5,""),"")</f>
        <v>49995</v>
      </c>
      <c r="FW1204" s="101" t="str">
        <f t="shared" si="567"/>
        <v>专属强化石4</v>
      </c>
      <c r="FX1204" s="101">
        <f t="shared" si="568"/>
        <v>30</v>
      </c>
      <c r="FY1204" s="101" t="str">
        <f t="shared" si="569"/>
        <v/>
      </c>
      <c r="FZ1204" s="101" t="str">
        <f t="shared" si="570"/>
        <v/>
      </c>
      <c r="GA1204" s="101">
        <f t="shared" si="575"/>
        <v>0.02</v>
      </c>
      <c r="GB1204" s="101">
        <f t="shared" si="576"/>
        <v>1</v>
      </c>
      <c r="GC1204" s="101">
        <f t="shared" si="577"/>
        <v>75</v>
      </c>
      <c r="GD1204" s="101">
        <f t="shared" si="578"/>
        <v>0</v>
      </c>
      <c r="GE1204" s="101">
        <f t="shared" si="579"/>
        <v>1</v>
      </c>
      <c r="GF1204" s="101">
        <f t="shared" si="580"/>
        <v>18</v>
      </c>
      <c r="GG1204" s="101">
        <f t="shared" si="581"/>
        <v>0.01</v>
      </c>
      <c r="GH1204" s="101">
        <f t="shared" si="582"/>
        <v>1</v>
      </c>
      <c r="GI1204" s="101">
        <f t="shared" si="583"/>
        <v>35</v>
      </c>
      <c r="GJ1204" s="101">
        <f t="shared" si="584"/>
        <v>3.9899999999999998E-2</v>
      </c>
      <c r="GK1204" s="101">
        <f t="shared" si="585"/>
        <v>1</v>
      </c>
      <c r="GL1204" s="101">
        <f t="shared" si="586"/>
        <v>75</v>
      </c>
    </row>
    <row r="1205" spans="170:194" ht="16.5" x14ac:dyDescent="0.2">
      <c r="FN1205" s="101">
        <v>1200</v>
      </c>
      <c r="FO1205" s="101">
        <f t="shared" si="571"/>
        <v>72</v>
      </c>
      <c r="FP1205" s="101">
        <f t="shared" si="564"/>
        <v>15</v>
      </c>
      <c r="FQ1205" s="14">
        <f t="shared" si="565"/>
        <v>3</v>
      </c>
      <c r="FR1205" s="101" t="str">
        <f t="shared" si="572"/>
        <v>高顺专属武器-魂珠-8 9级</v>
      </c>
      <c r="FS1205" s="101">
        <f t="shared" si="573"/>
        <v>8</v>
      </c>
      <c r="FT1205" s="101">
        <f t="shared" si="574"/>
        <v>9</v>
      </c>
      <c r="FU1205" s="101" t="str">
        <f t="shared" si="566"/>
        <v>金币</v>
      </c>
      <c r="FV1205" s="139">
        <f>IF($FT1205&gt;0,IF(INDEX($EI$6:$EI$77,$FO1205)&gt;=FV$3,ROUND(INDEX(EK$6:EK$77,$FO1205)*INDEX(卡牌消耗!$B$8:$F$8,FQ1205)/5,0)*5,""),"")</f>
        <v>50010</v>
      </c>
      <c r="FW1205" s="101" t="str">
        <f t="shared" si="567"/>
        <v>专属强化石4</v>
      </c>
      <c r="FX1205" s="101">
        <f t="shared" si="568"/>
        <v>30</v>
      </c>
      <c r="FY1205" s="101" t="str">
        <f t="shared" si="569"/>
        <v/>
      </c>
      <c r="FZ1205" s="101" t="str">
        <f t="shared" si="570"/>
        <v/>
      </c>
      <c r="GA1205" s="101">
        <f t="shared" si="575"/>
        <v>0.01</v>
      </c>
      <c r="GB1205" s="101">
        <f t="shared" si="576"/>
        <v>1</v>
      </c>
      <c r="GC1205" s="101">
        <f t="shared" si="577"/>
        <v>122</v>
      </c>
      <c r="GD1205" s="101">
        <f t="shared" si="578"/>
        <v>0</v>
      </c>
      <c r="GE1205" s="101">
        <f t="shared" si="579"/>
        <v>1</v>
      </c>
      <c r="GF1205" s="101">
        <f t="shared" si="580"/>
        <v>28</v>
      </c>
      <c r="GG1205" s="101">
        <f t="shared" si="581"/>
        <v>6.1999999999999998E-3</v>
      </c>
      <c r="GH1205" s="101">
        <f t="shared" si="582"/>
        <v>1</v>
      </c>
      <c r="GI1205" s="101">
        <f t="shared" si="583"/>
        <v>57</v>
      </c>
      <c r="GJ1205" s="101">
        <f t="shared" si="584"/>
        <v>2.47E-2</v>
      </c>
      <c r="GK1205" s="101">
        <f t="shared" si="585"/>
        <v>1</v>
      </c>
      <c r="GL1205" s="101">
        <f t="shared" si="586"/>
        <v>122</v>
      </c>
    </row>
    <row r="1206" spans="170:194" ht="16.5" x14ac:dyDescent="0.2">
      <c r="FN1206" s="101">
        <v>1201</v>
      </c>
      <c r="FO1206" s="101">
        <f t="shared" si="571"/>
        <v>0</v>
      </c>
      <c r="FP1206" s="101">
        <f t="shared" si="564"/>
        <v>16</v>
      </c>
      <c r="FQ1206" s="14">
        <f t="shared" si="565"/>
        <v>3</v>
      </c>
      <c r="FR1206" s="101" t="str">
        <f t="shared" si="572"/>
        <v>烈风螳螂专属武器-魂珠-1 0级</v>
      </c>
      <c r="FS1206" s="101">
        <f t="shared" si="573"/>
        <v>1</v>
      </c>
      <c r="FT1206" s="101">
        <f t="shared" si="574"/>
        <v>0</v>
      </c>
      <c r="FU1206" s="101" t="str">
        <f t="shared" si="566"/>
        <v/>
      </c>
      <c r="FV1206" s="139" t="str">
        <f>IF($FT1206&gt;0,IF(INDEX($EI$6:$EI$77,$FO1206)&gt;=FV$3,ROUND(INDEX(EK$6:EK$77,$FO1206)*INDEX(卡牌消耗!$B$8:$F$8,FQ1206)/5,0)*5,""),"")</f>
        <v/>
      </c>
      <c r="FW1206" s="101" t="str">
        <f t="shared" si="567"/>
        <v/>
      </c>
      <c r="FX1206" s="101" t="str">
        <f t="shared" si="568"/>
        <v/>
      </c>
      <c r="FY1206" s="101" t="str">
        <f t="shared" si="569"/>
        <v/>
      </c>
      <c r="FZ1206" s="101" t="str">
        <f t="shared" si="570"/>
        <v/>
      </c>
      <c r="GA1206" s="101" t="str">
        <f t="shared" si="575"/>
        <v/>
      </c>
      <c r="GB1206" s="101" t="str">
        <f t="shared" si="576"/>
        <v/>
      </c>
      <c r="GC1206" s="101" t="str">
        <f t="shared" si="577"/>
        <v/>
      </c>
      <c r="GD1206" s="101" t="str">
        <f t="shared" si="578"/>
        <v/>
      </c>
      <c r="GE1206" s="101" t="str">
        <f t="shared" si="579"/>
        <v/>
      </c>
      <c r="GF1206" s="101" t="str">
        <f t="shared" si="580"/>
        <v/>
      </c>
      <c r="GG1206" s="101" t="str">
        <f t="shared" si="581"/>
        <v/>
      </c>
      <c r="GH1206" s="101" t="str">
        <f t="shared" si="582"/>
        <v/>
      </c>
      <c r="GI1206" s="101" t="str">
        <f t="shared" si="583"/>
        <v/>
      </c>
      <c r="GJ1206" s="101" t="str">
        <f t="shared" si="584"/>
        <v/>
      </c>
      <c r="GK1206" s="101" t="str">
        <f t="shared" si="585"/>
        <v/>
      </c>
      <c r="GL1206" s="101" t="str">
        <f t="shared" si="586"/>
        <v/>
      </c>
    </row>
    <row r="1207" spans="170:194" ht="16.5" x14ac:dyDescent="0.2">
      <c r="FN1207" s="101">
        <v>1202</v>
      </c>
      <c r="FO1207" s="101">
        <f t="shared" si="571"/>
        <v>1</v>
      </c>
      <c r="FP1207" s="101">
        <f t="shared" si="564"/>
        <v>16</v>
      </c>
      <c r="FQ1207" s="14">
        <f t="shared" si="565"/>
        <v>3</v>
      </c>
      <c r="FR1207" s="101" t="str">
        <f t="shared" si="572"/>
        <v>烈风螳螂专属武器-魂珠-1 1级</v>
      </c>
      <c r="FS1207" s="101">
        <f t="shared" si="573"/>
        <v>1</v>
      </c>
      <c r="FT1207" s="101">
        <f t="shared" si="574"/>
        <v>1</v>
      </c>
      <c r="FU1207" s="101" t="str">
        <f t="shared" si="566"/>
        <v>金币</v>
      </c>
      <c r="FV1207" s="139">
        <f>IF($FT1207&gt;0,IF(INDEX($EI$6:$EI$77,$FO1207)&gt;=FV$3,ROUND(INDEX(EK$6:EK$77,$FO1207)*INDEX(卡牌消耗!$B$8:$F$8,FQ1207)/5,0)*5,""),"")</f>
        <v>95</v>
      </c>
      <c r="FW1207" s="101" t="str">
        <f t="shared" si="567"/>
        <v>专属强化石1</v>
      </c>
      <c r="FX1207" s="101">
        <f t="shared" si="568"/>
        <v>1</v>
      </c>
      <c r="FY1207" s="101" t="str">
        <f t="shared" si="569"/>
        <v/>
      </c>
      <c r="FZ1207" s="101" t="str">
        <f t="shared" si="570"/>
        <v/>
      </c>
      <c r="GA1207" s="101">
        <f t="shared" si="575"/>
        <v>0.32</v>
      </c>
      <c r="GB1207" s="101">
        <f t="shared" si="576"/>
        <v>1</v>
      </c>
      <c r="GC1207" s="101">
        <f t="shared" si="577"/>
        <v>5</v>
      </c>
      <c r="GD1207" s="101">
        <f t="shared" si="578"/>
        <v>0</v>
      </c>
      <c r="GE1207" s="101">
        <f t="shared" si="579"/>
        <v>1</v>
      </c>
      <c r="GF1207" s="101">
        <f t="shared" si="580"/>
        <v>1</v>
      </c>
      <c r="GG1207" s="101">
        <f t="shared" si="581"/>
        <v>0.1595</v>
      </c>
      <c r="GH1207" s="101">
        <f t="shared" si="582"/>
        <v>1</v>
      </c>
      <c r="GI1207" s="101">
        <f t="shared" si="583"/>
        <v>2</v>
      </c>
      <c r="GJ1207" s="101">
        <f t="shared" si="584"/>
        <v>0.63819999999999999</v>
      </c>
      <c r="GK1207" s="101">
        <f t="shared" si="585"/>
        <v>1</v>
      </c>
      <c r="GL1207" s="101">
        <f t="shared" si="586"/>
        <v>5</v>
      </c>
    </row>
    <row r="1208" spans="170:194" ht="16.5" x14ac:dyDescent="0.2">
      <c r="FN1208" s="101">
        <v>1203</v>
      </c>
      <c r="FO1208" s="101">
        <f t="shared" si="571"/>
        <v>2</v>
      </c>
      <c r="FP1208" s="101">
        <f t="shared" si="564"/>
        <v>16</v>
      </c>
      <c r="FQ1208" s="14">
        <f t="shared" si="565"/>
        <v>3</v>
      </c>
      <c r="FR1208" s="101" t="str">
        <f t="shared" si="572"/>
        <v>烈风螳螂专属武器-魂珠-1 2级</v>
      </c>
      <c r="FS1208" s="101">
        <f t="shared" si="573"/>
        <v>1</v>
      </c>
      <c r="FT1208" s="101">
        <f t="shared" si="574"/>
        <v>2</v>
      </c>
      <c r="FU1208" s="101" t="str">
        <f t="shared" si="566"/>
        <v>金币</v>
      </c>
      <c r="FV1208" s="139">
        <f>IF($FT1208&gt;0,IF(INDEX($EI$6:$EI$77,$FO1208)&gt;=FV$3,ROUND(INDEX(EK$6:EK$77,$FO1208)*INDEX(卡牌消耗!$B$8:$F$8,FQ1208)/5,0)*5,""),"")</f>
        <v>140</v>
      </c>
      <c r="FW1208" s="101" t="str">
        <f t="shared" si="567"/>
        <v>专属强化石1</v>
      </c>
      <c r="FX1208" s="101">
        <f t="shared" si="568"/>
        <v>2</v>
      </c>
      <c r="FY1208" s="101" t="str">
        <f t="shared" si="569"/>
        <v/>
      </c>
      <c r="FZ1208" s="101" t="str">
        <f t="shared" si="570"/>
        <v/>
      </c>
      <c r="GA1208" s="101">
        <f t="shared" si="575"/>
        <v>0.32</v>
      </c>
      <c r="GB1208" s="101">
        <f t="shared" si="576"/>
        <v>1</v>
      </c>
      <c r="GC1208" s="101">
        <f t="shared" si="577"/>
        <v>5</v>
      </c>
      <c r="GD1208" s="101">
        <f t="shared" si="578"/>
        <v>0</v>
      </c>
      <c r="GE1208" s="101">
        <f t="shared" si="579"/>
        <v>1</v>
      </c>
      <c r="GF1208" s="101">
        <f t="shared" si="580"/>
        <v>1</v>
      </c>
      <c r="GG1208" s="101">
        <f t="shared" si="581"/>
        <v>0.1595</v>
      </c>
      <c r="GH1208" s="101">
        <f t="shared" si="582"/>
        <v>1</v>
      </c>
      <c r="GI1208" s="101">
        <f t="shared" si="583"/>
        <v>2</v>
      </c>
      <c r="GJ1208" s="101">
        <f t="shared" si="584"/>
        <v>0.63819999999999999</v>
      </c>
      <c r="GK1208" s="101">
        <f t="shared" si="585"/>
        <v>1</v>
      </c>
      <c r="GL1208" s="101">
        <f t="shared" si="586"/>
        <v>5</v>
      </c>
    </row>
    <row r="1209" spans="170:194" ht="16.5" x14ac:dyDescent="0.2">
      <c r="FN1209" s="101">
        <v>1204</v>
      </c>
      <c r="FO1209" s="101">
        <f t="shared" si="571"/>
        <v>3</v>
      </c>
      <c r="FP1209" s="101">
        <f t="shared" si="564"/>
        <v>16</v>
      </c>
      <c r="FQ1209" s="14">
        <f t="shared" si="565"/>
        <v>3</v>
      </c>
      <c r="FR1209" s="101" t="str">
        <f t="shared" si="572"/>
        <v>烈风螳螂专属武器-魂珠-1 3级</v>
      </c>
      <c r="FS1209" s="101">
        <f t="shared" si="573"/>
        <v>1</v>
      </c>
      <c r="FT1209" s="101">
        <f t="shared" si="574"/>
        <v>3</v>
      </c>
      <c r="FU1209" s="101" t="str">
        <f t="shared" si="566"/>
        <v>金币</v>
      </c>
      <c r="FV1209" s="139">
        <f>IF($FT1209&gt;0,IF(INDEX($EI$6:$EI$77,$FO1209)&gt;=FV$3,ROUND(INDEX(EK$6:EK$77,$FO1209)*INDEX(卡牌消耗!$B$8:$F$8,FQ1209)/5,0)*5,""),"")</f>
        <v>235</v>
      </c>
      <c r="FW1209" s="101" t="str">
        <f t="shared" si="567"/>
        <v>专属强化石1</v>
      </c>
      <c r="FX1209" s="101">
        <f t="shared" si="568"/>
        <v>3</v>
      </c>
      <c r="FY1209" s="101" t="str">
        <f t="shared" si="569"/>
        <v/>
      </c>
      <c r="FZ1209" s="101" t="str">
        <f t="shared" si="570"/>
        <v/>
      </c>
      <c r="GA1209" s="101">
        <f t="shared" si="575"/>
        <v>0.32</v>
      </c>
      <c r="GB1209" s="101">
        <f t="shared" si="576"/>
        <v>1</v>
      </c>
      <c r="GC1209" s="101">
        <f t="shared" si="577"/>
        <v>5</v>
      </c>
      <c r="GD1209" s="101">
        <f t="shared" si="578"/>
        <v>0</v>
      </c>
      <c r="GE1209" s="101">
        <f t="shared" si="579"/>
        <v>1</v>
      </c>
      <c r="GF1209" s="101">
        <f t="shared" si="580"/>
        <v>1</v>
      </c>
      <c r="GG1209" s="101">
        <f t="shared" si="581"/>
        <v>0.1595</v>
      </c>
      <c r="GH1209" s="101">
        <f t="shared" si="582"/>
        <v>1</v>
      </c>
      <c r="GI1209" s="101">
        <f t="shared" si="583"/>
        <v>2</v>
      </c>
      <c r="GJ1209" s="101">
        <f t="shared" si="584"/>
        <v>0.63819999999999999</v>
      </c>
      <c r="GK1209" s="101">
        <f t="shared" si="585"/>
        <v>1</v>
      </c>
      <c r="GL1209" s="101">
        <f t="shared" si="586"/>
        <v>5</v>
      </c>
    </row>
    <row r="1210" spans="170:194" ht="16.5" x14ac:dyDescent="0.2">
      <c r="FN1210" s="101">
        <v>1205</v>
      </c>
      <c r="FO1210" s="101">
        <f t="shared" si="571"/>
        <v>4</v>
      </c>
      <c r="FP1210" s="101">
        <f t="shared" si="564"/>
        <v>16</v>
      </c>
      <c r="FQ1210" s="14">
        <f t="shared" si="565"/>
        <v>3</v>
      </c>
      <c r="FR1210" s="101" t="str">
        <f t="shared" si="572"/>
        <v>烈风螳螂专属武器-魂珠-1 4级</v>
      </c>
      <c r="FS1210" s="101">
        <f t="shared" si="573"/>
        <v>1</v>
      </c>
      <c r="FT1210" s="101">
        <f t="shared" si="574"/>
        <v>4</v>
      </c>
      <c r="FU1210" s="101" t="str">
        <f t="shared" si="566"/>
        <v>金币</v>
      </c>
      <c r="FV1210" s="139">
        <f>IF($FT1210&gt;0,IF(INDEX($EI$6:$EI$77,$FO1210)&gt;=FV$3,ROUND(INDEX(EK$6:EK$77,$FO1210)*INDEX(卡牌消耗!$B$8:$F$8,FQ1210)/5,0)*5,""),"")</f>
        <v>305</v>
      </c>
      <c r="FW1210" s="101" t="str">
        <f t="shared" si="567"/>
        <v>专属强化石1</v>
      </c>
      <c r="FX1210" s="101">
        <f t="shared" si="568"/>
        <v>4</v>
      </c>
      <c r="FY1210" s="101" t="str">
        <f t="shared" si="569"/>
        <v/>
      </c>
      <c r="FZ1210" s="101" t="str">
        <f t="shared" si="570"/>
        <v/>
      </c>
      <c r="GA1210" s="101">
        <f t="shared" si="575"/>
        <v>0.26</v>
      </c>
      <c r="GB1210" s="101">
        <f t="shared" si="576"/>
        <v>1</v>
      </c>
      <c r="GC1210" s="101">
        <f t="shared" si="577"/>
        <v>6</v>
      </c>
      <c r="GD1210" s="101">
        <f t="shared" si="578"/>
        <v>0</v>
      </c>
      <c r="GE1210" s="101">
        <f t="shared" si="579"/>
        <v>1</v>
      </c>
      <c r="GF1210" s="101">
        <f t="shared" si="580"/>
        <v>1</v>
      </c>
      <c r="GG1210" s="101">
        <f t="shared" si="581"/>
        <v>0.12759999999999999</v>
      </c>
      <c r="GH1210" s="101">
        <f t="shared" si="582"/>
        <v>1</v>
      </c>
      <c r="GI1210" s="101">
        <f t="shared" si="583"/>
        <v>3</v>
      </c>
      <c r="GJ1210" s="101">
        <f t="shared" si="584"/>
        <v>0.51060000000000005</v>
      </c>
      <c r="GK1210" s="101">
        <f t="shared" si="585"/>
        <v>1</v>
      </c>
      <c r="GL1210" s="101">
        <f t="shared" si="586"/>
        <v>6</v>
      </c>
    </row>
    <row r="1211" spans="170:194" ht="16.5" x14ac:dyDescent="0.2">
      <c r="FN1211" s="101">
        <v>1206</v>
      </c>
      <c r="FO1211" s="101">
        <f t="shared" si="571"/>
        <v>5</v>
      </c>
      <c r="FP1211" s="101">
        <f t="shared" si="564"/>
        <v>16</v>
      </c>
      <c r="FQ1211" s="14">
        <f t="shared" si="565"/>
        <v>3</v>
      </c>
      <c r="FR1211" s="101" t="str">
        <f t="shared" si="572"/>
        <v>烈风螳螂专属武器-魂珠-1 5级</v>
      </c>
      <c r="FS1211" s="101">
        <f t="shared" si="573"/>
        <v>1</v>
      </c>
      <c r="FT1211" s="101">
        <f t="shared" si="574"/>
        <v>5</v>
      </c>
      <c r="FU1211" s="101" t="str">
        <f t="shared" si="566"/>
        <v>金币</v>
      </c>
      <c r="FV1211" s="139">
        <f>IF($FT1211&gt;0,IF(INDEX($EI$6:$EI$77,$FO1211)&gt;=FV$3,ROUND(INDEX(EK$6:EK$77,$FO1211)*INDEX(卡牌消耗!$B$8:$F$8,FQ1211)/5,0)*5,""),"")</f>
        <v>385</v>
      </c>
      <c r="FW1211" s="101" t="str">
        <f t="shared" si="567"/>
        <v>专属强化石1</v>
      </c>
      <c r="FX1211" s="101">
        <f t="shared" si="568"/>
        <v>5</v>
      </c>
      <c r="FY1211" s="101" t="str">
        <f t="shared" si="569"/>
        <v/>
      </c>
      <c r="FZ1211" s="101" t="str">
        <f t="shared" si="570"/>
        <v/>
      </c>
      <c r="GA1211" s="101">
        <f t="shared" si="575"/>
        <v>0.2</v>
      </c>
      <c r="GB1211" s="101">
        <f t="shared" si="576"/>
        <v>1</v>
      </c>
      <c r="GC1211" s="101">
        <f t="shared" si="577"/>
        <v>8</v>
      </c>
      <c r="GD1211" s="101">
        <f t="shared" si="578"/>
        <v>0</v>
      </c>
      <c r="GE1211" s="101">
        <f t="shared" si="579"/>
        <v>1</v>
      </c>
      <c r="GF1211" s="101">
        <f t="shared" si="580"/>
        <v>2</v>
      </c>
      <c r="GG1211" s="101">
        <f t="shared" si="581"/>
        <v>9.9699999999999997E-2</v>
      </c>
      <c r="GH1211" s="101">
        <f t="shared" si="582"/>
        <v>1</v>
      </c>
      <c r="GI1211" s="101">
        <f t="shared" si="583"/>
        <v>4</v>
      </c>
      <c r="GJ1211" s="101">
        <f t="shared" si="584"/>
        <v>0.39889999999999998</v>
      </c>
      <c r="GK1211" s="101">
        <f t="shared" si="585"/>
        <v>1</v>
      </c>
      <c r="GL1211" s="101">
        <f t="shared" si="586"/>
        <v>8</v>
      </c>
    </row>
    <row r="1212" spans="170:194" ht="16.5" x14ac:dyDescent="0.2">
      <c r="FN1212" s="101">
        <v>1207</v>
      </c>
      <c r="FO1212" s="101">
        <f t="shared" si="571"/>
        <v>6</v>
      </c>
      <c r="FP1212" s="101">
        <f t="shared" si="564"/>
        <v>16</v>
      </c>
      <c r="FQ1212" s="14">
        <f t="shared" si="565"/>
        <v>3</v>
      </c>
      <c r="FR1212" s="101" t="str">
        <f t="shared" si="572"/>
        <v>烈风螳螂专属武器-魂珠-1 6级</v>
      </c>
      <c r="FS1212" s="101">
        <f t="shared" si="573"/>
        <v>1</v>
      </c>
      <c r="FT1212" s="101">
        <f t="shared" si="574"/>
        <v>6</v>
      </c>
      <c r="FU1212" s="101" t="str">
        <f t="shared" si="566"/>
        <v>金币</v>
      </c>
      <c r="FV1212" s="139">
        <f>IF($FT1212&gt;0,IF(INDEX($EI$6:$EI$77,$FO1212)&gt;=FV$3,ROUND(INDEX(EK$6:EK$77,$FO1212)*INDEX(卡牌消耗!$B$8:$F$8,FQ1212)/5,0)*5,""),"")</f>
        <v>460</v>
      </c>
      <c r="FW1212" s="101" t="str">
        <f t="shared" si="567"/>
        <v>专属强化石1</v>
      </c>
      <c r="FX1212" s="101">
        <f t="shared" si="568"/>
        <v>6</v>
      </c>
      <c r="FY1212" s="101" t="str">
        <f t="shared" si="569"/>
        <v/>
      </c>
      <c r="FZ1212" s="101" t="str">
        <f t="shared" si="570"/>
        <v/>
      </c>
      <c r="GA1212" s="101">
        <f t="shared" si="575"/>
        <v>0.15</v>
      </c>
      <c r="GB1212" s="101">
        <f t="shared" si="576"/>
        <v>1</v>
      </c>
      <c r="GC1212" s="101">
        <f t="shared" si="577"/>
        <v>10</v>
      </c>
      <c r="GD1212" s="101">
        <f t="shared" si="578"/>
        <v>0</v>
      </c>
      <c r="GE1212" s="101">
        <f t="shared" si="579"/>
        <v>1</v>
      </c>
      <c r="GF1212" s="101">
        <f t="shared" si="580"/>
        <v>2</v>
      </c>
      <c r="GG1212" s="101">
        <f t="shared" si="581"/>
        <v>7.3599999999999999E-2</v>
      </c>
      <c r="GH1212" s="101">
        <f t="shared" si="582"/>
        <v>1</v>
      </c>
      <c r="GI1212" s="101">
        <f t="shared" si="583"/>
        <v>5</v>
      </c>
      <c r="GJ1212" s="101">
        <f t="shared" si="584"/>
        <v>0.29459999999999997</v>
      </c>
      <c r="GK1212" s="101">
        <f t="shared" si="585"/>
        <v>1</v>
      </c>
      <c r="GL1212" s="101">
        <f t="shared" si="586"/>
        <v>10</v>
      </c>
    </row>
    <row r="1213" spans="170:194" ht="16.5" x14ac:dyDescent="0.2">
      <c r="FN1213" s="101">
        <v>1208</v>
      </c>
      <c r="FO1213" s="101">
        <f t="shared" si="571"/>
        <v>7</v>
      </c>
      <c r="FP1213" s="101">
        <f t="shared" si="564"/>
        <v>16</v>
      </c>
      <c r="FQ1213" s="14">
        <f t="shared" si="565"/>
        <v>3</v>
      </c>
      <c r="FR1213" s="101" t="str">
        <f t="shared" si="572"/>
        <v>烈风螳螂专属武器-魂珠-1 7级</v>
      </c>
      <c r="FS1213" s="101">
        <f t="shared" si="573"/>
        <v>1</v>
      </c>
      <c r="FT1213" s="101">
        <f t="shared" si="574"/>
        <v>7</v>
      </c>
      <c r="FU1213" s="101" t="str">
        <f t="shared" si="566"/>
        <v>金币</v>
      </c>
      <c r="FV1213" s="139">
        <f>IF($FT1213&gt;0,IF(INDEX($EI$6:$EI$77,$FO1213)&gt;=FV$3,ROUND(INDEX(EK$6:EK$77,$FO1213)*INDEX(卡牌消耗!$B$8:$F$8,FQ1213)/5,0)*5,""),"")</f>
        <v>535</v>
      </c>
      <c r="FW1213" s="101" t="str">
        <f t="shared" si="567"/>
        <v>专属强化石1</v>
      </c>
      <c r="FX1213" s="101">
        <f t="shared" si="568"/>
        <v>7</v>
      </c>
      <c r="FY1213" s="101" t="str">
        <f t="shared" si="569"/>
        <v/>
      </c>
      <c r="FZ1213" s="101" t="str">
        <f t="shared" si="570"/>
        <v/>
      </c>
      <c r="GA1213" s="101">
        <f t="shared" si="575"/>
        <v>0.11</v>
      </c>
      <c r="GB1213" s="101">
        <f t="shared" si="576"/>
        <v>1</v>
      </c>
      <c r="GC1213" s="101">
        <f t="shared" si="577"/>
        <v>14</v>
      </c>
      <c r="GD1213" s="101">
        <f t="shared" si="578"/>
        <v>0</v>
      </c>
      <c r="GE1213" s="101">
        <f t="shared" si="579"/>
        <v>1</v>
      </c>
      <c r="GF1213" s="101">
        <f t="shared" si="580"/>
        <v>3</v>
      </c>
      <c r="GG1213" s="101">
        <f t="shared" si="581"/>
        <v>5.3199999999999997E-2</v>
      </c>
      <c r="GH1213" s="101">
        <f t="shared" si="582"/>
        <v>1</v>
      </c>
      <c r="GI1213" s="101">
        <f t="shared" si="583"/>
        <v>7</v>
      </c>
      <c r="GJ1213" s="101">
        <f t="shared" si="584"/>
        <v>0.2127</v>
      </c>
      <c r="GK1213" s="101">
        <f t="shared" si="585"/>
        <v>1</v>
      </c>
      <c r="GL1213" s="101">
        <f t="shared" si="586"/>
        <v>14</v>
      </c>
    </row>
    <row r="1214" spans="170:194" ht="16.5" x14ac:dyDescent="0.2">
      <c r="FN1214" s="101">
        <v>1209</v>
      </c>
      <c r="FO1214" s="101">
        <f t="shared" si="571"/>
        <v>8</v>
      </c>
      <c r="FP1214" s="101">
        <f t="shared" si="564"/>
        <v>16</v>
      </c>
      <c r="FQ1214" s="14">
        <f t="shared" si="565"/>
        <v>3</v>
      </c>
      <c r="FR1214" s="101" t="str">
        <f t="shared" si="572"/>
        <v>烈风螳螂专属武器-魂珠-1 8级</v>
      </c>
      <c r="FS1214" s="101">
        <f t="shared" si="573"/>
        <v>1</v>
      </c>
      <c r="FT1214" s="101">
        <f t="shared" si="574"/>
        <v>8</v>
      </c>
      <c r="FU1214" s="101" t="str">
        <f t="shared" si="566"/>
        <v>金币</v>
      </c>
      <c r="FV1214" s="139">
        <f>IF($FT1214&gt;0,IF(INDEX($EI$6:$EI$77,$FO1214)&gt;=FV$3,ROUND(INDEX(EK$6:EK$77,$FO1214)*INDEX(卡牌消耗!$B$8:$F$8,FQ1214)/5,0)*5,""),"")</f>
        <v>615</v>
      </c>
      <c r="FW1214" s="101" t="str">
        <f t="shared" si="567"/>
        <v>专属强化石1</v>
      </c>
      <c r="FX1214" s="101">
        <f t="shared" si="568"/>
        <v>8</v>
      </c>
      <c r="FY1214" s="101" t="str">
        <f t="shared" si="569"/>
        <v/>
      </c>
      <c r="FZ1214" s="101" t="str">
        <f t="shared" si="570"/>
        <v/>
      </c>
      <c r="GA1214" s="101">
        <f t="shared" si="575"/>
        <v>0.08</v>
      </c>
      <c r="GB1214" s="101">
        <f t="shared" si="576"/>
        <v>1</v>
      </c>
      <c r="GC1214" s="101">
        <f t="shared" si="577"/>
        <v>20</v>
      </c>
      <c r="GD1214" s="101">
        <f t="shared" si="578"/>
        <v>0</v>
      </c>
      <c r="GE1214" s="101">
        <f t="shared" si="579"/>
        <v>1</v>
      </c>
      <c r="GF1214" s="101">
        <f t="shared" si="580"/>
        <v>5</v>
      </c>
      <c r="GG1214" s="101">
        <f t="shared" si="581"/>
        <v>3.7499999999999999E-2</v>
      </c>
      <c r="GH1214" s="101">
        <f t="shared" si="582"/>
        <v>1</v>
      </c>
      <c r="GI1214" s="101">
        <f t="shared" si="583"/>
        <v>9</v>
      </c>
      <c r="GJ1214" s="101">
        <f t="shared" si="584"/>
        <v>0.1502</v>
      </c>
      <c r="GK1214" s="101">
        <f t="shared" si="585"/>
        <v>1</v>
      </c>
      <c r="GL1214" s="101">
        <f t="shared" si="586"/>
        <v>20</v>
      </c>
    </row>
    <row r="1215" spans="170:194" ht="16.5" x14ac:dyDescent="0.2">
      <c r="FN1215" s="101">
        <v>1210</v>
      </c>
      <c r="FO1215" s="101">
        <f t="shared" si="571"/>
        <v>9</v>
      </c>
      <c r="FP1215" s="101">
        <f t="shared" si="564"/>
        <v>16</v>
      </c>
      <c r="FQ1215" s="14">
        <f t="shared" si="565"/>
        <v>3</v>
      </c>
      <c r="FR1215" s="101" t="str">
        <f t="shared" si="572"/>
        <v>烈风螳螂专属武器-魂珠-1 9级</v>
      </c>
      <c r="FS1215" s="101">
        <f t="shared" si="573"/>
        <v>1</v>
      </c>
      <c r="FT1215" s="101">
        <f t="shared" si="574"/>
        <v>9</v>
      </c>
      <c r="FU1215" s="101" t="str">
        <f t="shared" si="566"/>
        <v>金币</v>
      </c>
      <c r="FV1215" s="139">
        <f>IF($FT1215&gt;0,IF(INDEX($EI$6:$EI$77,$FO1215)&gt;=FV$3,ROUND(INDEX(EK$6:EK$77,$FO1215)*INDEX(卡牌消耗!$B$8:$F$8,FQ1215)/5,0)*5,""),"")</f>
        <v>765</v>
      </c>
      <c r="FW1215" s="101" t="str">
        <f t="shared" si="567"/>
        <v>专属强化石1</v>
      </c>
      <c r="FX1215" s="101">
        <f t="shared" si="568"/>
        <v>10</v>
      </c>
      <c r="FY1215" s="101" t="str">
        <f t="shared" si="569"/>
        <v/>
      </c>
      <c r="FZ1215" s="101" t="str">
        <f t="shared" si="570"/>
        <v/>
      </c>
      <c r="GA1215" s="101">
        <f t="shared" si="575"/>
        <v>0.06</v>
      </c>
      <c r="GB1215" s="101">
        <f t="shared" si="576"/>
        <v>1</v>
      </c>
      <c r="GC1215" s="101">
        <f t="shared" si="577"/>
        <v>26</v>
      </c>
      <c r="GD1215" s="101">
        <f t="shared" si="578"/>
        <v>0</v>
      </c>
      <c r="GE1215" s="101">
        <f t="shared" si="579"/>
        <v>1</v>
      </c>
      <c r="GF1215" s="101">
        <f t="shared" si="580"/>
        <v>6</v>
      </c>
      <c r="GG1215" s="101">
        <f t="shared" si="581"/>
        <v>2.9000000000000001E-2</v>
      </c>
      <c r="GH1215" s="101">
        <f t="shared" si="582"/>
        <v>1</v>
      </c>
      <c r="GI1215" s="101">
        <f t="shared" si="583"/>
        <v>12</v>
      </c>
      <c r="GJ1215" s="101">
        <f t="shared" si="584"/>
        <v>0.11600000000000001</v>
      </c>
      <c r="GK1215" s="101">
        <f t="shared" si="585"/>
        <v>1</v>
      </c>
      <c r="GL1215" s="101">
        <f t="shared" si="586"/>
        <v>26</v>
      </c>
    </row>
    <row r="1216" spans="170:194" ht="16.5" x14ac:dyDescent="0.2">
      <c r="FN1216" s="101">
        <v>1211</v>
      </c>
      <c r="FO1216" s="101">
        <f t="shared" si="571"/>
        <v>0</v>
      </c>
      <c r="FP1216" s="101">
        <f t="shared" si="564"/>
        <v>16</v>
      </c>
      <c r="FQ1216" s="14">
        <f t="shared" si="565"/>
        <v>3</v>
      </c>
      <c r="FR1216" s="101" t="str">
        <f t="shared" si="572"/>
        <v>烈风螳螂专属武器-魂珠-2 0级</v>
      </c>
      <c r="FS1216" s="101">
        <f t="shared" si="573"/>
        <v>2</v>
      </c>
      <c r="FT1216" s="101">
        <f t="shared" si="574"/>
        <v>0</v>
      </c>
      <c r="FU1216" s="101" t="str">
        <f t="shared" si="566"/>
        <v/>
      </c>
      <c r="FV1216" s="139" t="str">
        <f>IF($FT1216&gt;0,IF(INDEX($EI$6:$EI$77,$FO1216)&gt;=FV$3,ROUND(INDEX(EK$6:EK$77,$FO1216)*INDEX(卡牌消耗!$B$8:$F$8,FQ1216)/5,0)*5,""),"")</f>
        <v/>
      </c>
      <c r="FW1216" s="101" t="str">
        <f t="shared" si="567"/>
        <v/>
      </c>
      <c r="FX1216" s="101" t="str">
        <f t="shared" si="568"/>
        <v/>
      </c>
      <c r="FY1216" s="101" t="str">
        <f t="shared" si="569"/>
        <v/>
      </c>
      <c r="FZ1216" s="101" t="str">
        <f t="shared" si="570"/>
        <v/>
      </c>
      <c r="GA1216" s="101" t="str">
        <f t="shared" si="575"/>
        <v/>
      </c>
      <c r="GB1216" s="101" t="str">
        <f t="shared" si="576"/>
        <v/>
      </c>
      <c r="GC1216" s="101" t="str">
        <f t="shared" si="577"/>
        <v/>
      </c>
      <c r="GD1216" s="101" t="str">
        <f t="shared" si="578"/>
        <v/>
      </c>
      <c r="GE1216" s="101" t="str">
        <f t="shared" si="579"/>
        <v/>
      </c>
      <c r="GF1216" s="101" t="str">
        <f t="shared" si="580"/>
        <v/>
      </c>
      <c r="GG1216" s="101" t="str">
        <f t="shared" si="581"/>
        <v/>
      </c>
      <c r="GH1216" s="101" t="str">
        <f t="shared" si="582"/>
        <v/>
      </c>
      <c r="GI1216" s="101" t="str">
        <f t="shared" si="583"/>
        <v/>
      </c>
      <c r="GJ1216" s="101" t="str">
        <f t="shared" si="584"/>
        <v/>
      </c>
      <c r="GK1216" s="101" t="str">
        <f t="shared" si="585"/>
        <v/>
      </c>
      <c r="GL1216" s="101" t="str">
        <f t="shared" si="586"/>
        <v/>
      </c>
    </row>
    <row r="1217" spans="170:194" ht="16.5" x14ac:dyDescent="0.2">
      <c r="FN1217" s="101">
        <v>1212</v>
      </c>
      <c r="FO1217" s="101">
        <f t="shared" si="571"/>
        <v>10</v>
      </c>
      <c r="FP1217" s="101">
        <f t="shared" si="564"/>
        <v>16</v>
      </c>
      <c r="FQ1217" s="14">
        <f t="shared" si="565"/>
        <v>3</v>
      </c>
      <c r="FR1217" s="101" t="str">
        <f t="shared" si="572"/>
        <v>烈风螳螂专属武器-魂珠-2 1级</v>
      </c>
      <c r="FS1217" s="101">
        <f t="shared" si="573"/>
        <v>2</v>
      </c>
      <c r="FT1217" s="101">
        <f t="shared" si="574"/>
        <v>1</v>
      </c>
      <c r="FU1217" s="101" t="str">
        <f t="shared" si="566"/>
        <v>金币</v>
      </c>
      <c r="FV1217" s="139">
        <f>IF($FT1217&gt;0,IF(INDEX($EI$6:$EI$77,$FO1217)&gt;=FV$3,ROUND(INDEX(EK$6:EK$77,$FO1217)*INDEX(卡牌消耗!$B$8:$F$8,FQ1217)/5,0)*5,""),"")</f>
        <v>260</v>
      </c>
      <c r="FW1217" s="101" t="str">
        <f t="shared" si="567"/>
        <v>专属强化石1</v>
      </c>
      <c r="FX1217" s="101">
        <f t="shared" si="568"/>
        <v>3</v>
      </c>
      <c r="FY1217" s="101" t="str">
        <f t="shared" si="569"/>
        <v>专属强化石2</v>
      </c>
      <c r="FZ1217" s="101">
        <f t="shared" si="570"/>
        <v>1</v>
      </c>
      <c r="GA1217" s="101">
        <f t="shared" si="575"/>
        <v>0.39</v>
      </c>
      <c r="GB1217" s="101">
        <f t="shared" si="576"/>
        <v>1</v>
      </c>
      <c r="GC1217" s="101">
        <f t="shared" si="577"/>
        <v>4</v>
      </c>
      <c r="GD1217" s="101">
        <f t="shared" si="578"/>
        <v>0</v>
      </c>
      <c r="GE1217" s="101">
        <f t="shared" si="579"/>
        <v>1</v>
      </c>
      <c r="GF1217" s="101">
        <f t="shared" si="580"/>
        <v>1</v>
      </c>
      <c r="GG1217" s="101">
        <f t="shared" si="581"/>
        <v>0.19270000000000001</v>
      </c>
      <c r="GH1217" s="101">
        <f t="shared" si="582"/>
        <v>1</v>
      </c>
      <c r="GI1217" s="101">
        <f t="shared" si="583"/>
        <v>2</v>
      </c>
      <c r="GJ1217" s="101">
        <f t="shared" si="584"/>
        <v>0.77070000000000005</v>
      </c>
      <c r="GK1217" s="101">
        <f t="shared" si="585"/>
        <v>1</v>
      </c>
      <c r="GL1217" s="101">
        <f t="shared" si="586"/>
        <v>4</v>
      </c>
    </row>
    <row r="1218" spans="170:194" ht="16.5" x14ac:dyDescent="0.2">
      <c r="FN1218" s="101">
        <v>1213</v>
      </c>
      <c r="FO1218" s="101">
        <f t="shared" si="571"/>
        <v>11</v>
      </c>
      <c r="FP1218" s="101">
        <f t="shared" si="564"/>
        <v>16</v>
      </c>
      <c r="FQ1218" s="14">
        <f t="shared" si="565"/>
        <v>3</v>
      </c>
      <c r="FR1218" s="101" t="str">
        <f t="shared" si="572"/>
        <v>烈风螳螂专属武器-魂珠-2 2级</v>
      </c>
      <c r="FS1218" s="101">
        <f t="shared" si="573"/>
        <v>2</v>
      </c>
      <c r="FT1218" s="101">
        <f t="shared" si="574"/>
        <v>2</v>
      </c>
      <c r="FU1218" s="101" t="str">
        <f t="shared" si="566"/>
        <v>金币</v>
      </c>
      <c r="FV1218" s="139">
        <f>IF($FT1218&gt;0,IF(INDEX($EI$6:$EI$77,$FO1218)&gt;=FV$3,ROUND(INDEX(EK$6:EK$77,$FO1218)*INDEX(卡牌消耗!$B$8:$F$8,FQ1218)/5,0)*5,""),"")</f>
        <v>195</v>
      </c>
      <c r="FW1218" s="101" t="str">
        <f t="shared" si="567"/>
        <v>专属强化石1</v>
      </c>
      <c r="FX1218" s="101">
        <f t="shared" si="568"/>
        <v>3</v>
      </c>
      <c r="FY1218" s="101" t="str">
        <f t="shared" si="569"/>
        <v>专属强化石2</v>
      </c>
      <c r="FZ1218" s="101">
        <f t="shared" si="570"/>
        <v>1</v>
      </c>
      <c r="GA1218" s="101">
        <f t="shared" si="575"/>
        <v>0.19</v>
      </c>
      <c r="GB1218" s="101">
        <f t="shared" si="576"/>
        <v>1</v>
      </c>
      <c r="GC1218" s="101">
        <f t="shared" si="577"/>
        <v>8</v>
      </c>
      <c r="GD1218" s="101">
        <f t="shared" si="578"/>
        <v>0</v>
      </c>
      <c r="GE1218" s="101">
        <f t="shared" si="579"/>
        <v>1</v>
      </c>
      <c r="GF1218" s="101">
        <f t="shared" si="580"/>
        <v>2</v>
      </c>
      <c r="GG1218" s="101">
        <f t="shared" si="581"/>
        <v>9.6299999999999997E-2</v>
      </c>
      <c r="GH1218" s="101">
        <f t="shared" si="582"/>
        <v>1</v>
      </c>
      <c r="GI1218" s="101">
        <f t="shared" si="583"/>
        <v>4</v>
      </c>
      <c r="GJ1218" s="101">
        <f t="shared" si="584"/>
        <v>0.38529999999999998</v>
      </c>
      <c r="GK1218" s="101">
        <f t="shared" si="585"/>
        <v>1</v>
      </c>
      <c r="GL1218" s="101">
        <f t="shared" si="586"/>
        <v>8</v>
      </c>
    </row>
    <row r="1219" spans="170:194" ht="16.5" x14ac:dyDescent="0.2">
      <c r="FN1219" s="101">
        <v>1214</v>
      </c>
      <c r="FO1219" s="101">
        <f t="shared" si="571"/>
        <v>12</v>
      </c>
      <c r="FP1219" s="101">
        <f t="shared" si="564"/>
        <v>16</v>
      </c>
      <c r="FQ1219" s="14">
        <f t="shared" si="565"/>
        <v>3</v>
      </c>
      <c r="FR1219" s="101" t="str">
        <f t="shared" si="572"/>
        <v>烈风螳螂专属武器-魂珠-2 3级</v>
      </c>
      <c r="FS1219" s="101">
        <f t="shared" si="573"/>
        <v>2</v>
      </c>
      <c r="FT1219" s="101">
        <f t="shared" si="574"/>
        <v>3</v>
      </c>
      <c r="FU1219" s="101" t="str">
        <f t="shared" si="566"/>
        <v>金币</v>
      </c>
      <c r="FV1219" s="139">
        <f>IF($FT1219&gt;0,IF(INDEX($EI$6:$EI$77,$FO1219)&gt;=FV$3,ROUND(INDEX(EK$6:EK$77,$FO1219)*INDEX(卡牌消耗!$B$8:$F$8,FQ1219)/5,0)*5,""),"")</f>
        <v>435</v>
      </c>
      <c r="FW1219" s="101" t="str">
        <f t="shared" si="567"/>
        <v>专属强化石1</v>
      </c>
      <c r="FX1219" s="101">
        <f t="shared" si="568"/>
        <v>6</v>
      </c>
      <c r="FY1219" s="101" t="str">
        <f t="shared" si="569"/>
        <v>专属强化石2</v>
      </c>
      <c r="FZ1219" s="101">
        <f t="shared" si="570"/>
        <v>2</v>
      </c>
      <c r="GA1219" s="101">
        <f t="shared" si="575"/>
        <v>0.26</v>
      </c>
      <c r="GB1219" s="101">
        <f t="shared" si="576"/>
        <v>1</v>
      </c>
      <c r="GC1219" s="101">
        <f t="shared" si="577"/>
        <v>6</v>
      </c>
      <c r="GD1219" s="101">
        <f t="shared" si="578"/>
        <v>0</v>
      </c>
      <c r="GE1219" s="101">
        <f t="shared" si="579"/>
        <v>1</v>
      </c>
      <c r="GF1219" s="101">
        <f t="shared" si="580"/>
        <v>1</v>
      </c>
      <c r="GG1219" s="101">
        <f t="shared" si="581"/>
        <v>0.12839999999999999</v>
      </c>
      <c r="GH1219" s="101">
        <f t="shared" si="582"/>
        <v>1</v>
      </c>
      <c r="GI1219" s="101">
        <f t="shared" si="583"/>
        <v>3</v>
      </c>
      <c r="GJ1219" s="101">
        <f t="shared" si="584"/>
        <v>0.51380000000000003</v>
      </c>
      <c r="GK1219" s="101">
        <f t="shared" si="585"/>
        <v>1</v>
      </c>
      <c r="GL1219" s="101">
        <f t="shared" si="586"/>
        <v>6</v>
      </c>
    </row>
    <row r="1220" spans="170:194" ht="16.5" x14ac:dyDescent="0.2">
      <c r="FN1220" s="101">
        <v>1215</v>
      </c>
      <c r="FO1220" s="101">
        <f t="shared" si="571"/>
        <v>13</v>
      </c>
      <c r="FP1220" s="101">
        <f t="shared" si="564"/>
        <v>16</v>
      </c>
      <c r="FQ1220" s="14">
        <f t="shared" si="565"/>
        <v>3</v>
      </c>
      <c r="FR1220" s="101" t="str">
        <f t="shared" si="572"/>
        <v>烈风螳螂专属武器-魂珠-2 4级</v>
      </c>
      <c r="FS1220" s="101">
        <f t="shared" si="573"/>
        <v>2</v>
      </c>
      <c r="FT1220" s="101">
        <f t="shared" si="574"/>
        <v>4</v>
      </c>
      <c r="FU1220" s="101" t="str">
        <f t="shared" si="566"/>
        <v>金币</v>
      </c>
      <c r="FV1220" s="139">
        <f>IF($FT1220&gt;0,IF(INDEX($EI$6:$EI$77,$FO1220)&gt;=FV$3,ROUND(INDEX(EK$6:EK$77,$FO1220)*INDEX(卡牌消耗!$B$8:$F$8,FQ1220)/5,0)*5,""),"")</f>
        <v>420</v>
      </c>
      <c r="FW1220" s="101" t="str">
        <f t="shared" si="567"/>
        <v>专属强化石1</v>
      </c>
      <c r="FX1220" s="101">
        <f t="shared" si="568"/>
        <v>6</v>
      </c>
      <c r="FY1220" s="101" t="str">
        <f t="shared" si="569"/>
        <v>专属强化石2</v>
      </c>
      <c r="FZ1220" s="101">
        <f t="shared" si="570"/>
        <v>2</v>
      </c>
      <c r="GA1220" s="101">
        <f t="shared" si="575"/>
        <v>0.15</v>
      </c>
      <c r="GB1220" s="101">
        <f t="shared" si="576"/>
        <v>1</v>
      </c>
      <c r="GC1220" s="101">
        <f t="shared" si="577"/>
        <v>10</v>
      </c>
      <c r="GD1220" s="101">
        <f t="shared" si="578"/>
        <v>0</v>
      </c>
      <c r="GE1220" s="101">
        <f t="shared" si="579"/>
        <v>1</v>
      </c>
      <c r="GF1220" s="101">
        <f t="shared" si="580"/>
        <v>2</v>
      </c>
      <c r="GG1220" s="101">
        <f t="shared" si="581"/>
        <v>7.7100000000000002E-2</v>
      </c>
      <c r="GH1220" s="101">
        <f t="shared" si="582"/>
        <v>1</v>
      </c>
      <c r="GI1220" s="101">
        <f t="shared" si="583"/>
        <v>5</v>
      </c>
      <c r="GJ1220" s="101">
        <f t="shared" si="584"/>
        <v>0.30830000000000002</v>
      </c>
      <c r="GK1220" s="101">
        <f t="shared" si="585"/>
        <v>1</v>
      </c>
      <c r="GL1220" s="101">
        <f t="shared" si="586"/>
        <v>10</v>
      </c>
    </row>
    <row r="1221" spans="170:194" ht="16.5" x14ac:dyDescent="0.2">
      <c r="FN1221" s="101">
        <v>1216</v>
      </c>
      <c r="FO1221" s="101">
        <f t="shared" si="571"/>
        <v>14</v>
      </c>
      <c r="FP1221" s="101">
        <f t="shared" si="564"/>
        <v>16</v>
      </c>
      <c r="FQ1221" s="14">
        <f t="shared" si="565"/>
        <v>3</v>
      </c>
      <c r="FR1221" s="101" t="str">
        <f t="shared" si="572"/>
        <v>烈风螳螂专属武器-魂珠-2 5级</v>
      </c>
      <c r="FS1221" s="101">
        <f t="shared" si="573"/>
        <v>2</v>
      </c>
      <c r="FT1221" s="101">
        <f t="shared" si="574"/>
        <v>5</v>
      </c>
      <c r="FU1221" s="101" t="str">
        <f t="shared" si="566"/>
        <v>金币</v>
      </c>
      <c r="FV1221" s="139">
        <f>IF($FT1221&gt;0,IF(INDEX($EI$6:$EI$77,$FO1221)&gt;=FV$3,ROUND(INDEX(EK$6:EK$77,$FO1221)*INDEX(卡牌消耗!$B$8:$F$8,FQ1221)/5,0)*5,""),"")</f>
        <v>635</v>
      </c>
      <c r="FW1221" s="101" t="str">
        <f t="shared" si="567"/>
        <v>专属强化石1</v>
      </c>
      <c r="FX1221" s="101">
        <f t="shared" si="568"/>
        <v>9</v>
      </c>
      <c r="FY1221" s="101" t="str">
        <f t="shared" si="569"/>
        <v>专属强化石2</v>
      </c>
      <c r="FZ1221" s="101">
        <f t="shared" si="570"/>
        <v>3</v>
      </c>
      <c r="GA1221" s="101">
        <f t="shared" si="575"/>
        <v>0.14000000000000001</v>
      </c>
      <c r="GB1221" s="101">
        <f t="shared" si="576"/>
        <v>1</v>
      </c>
      <c r="GC1221" s="101">
        <f t="shared" si="577"/>
        <v>10</v>
      </c>
      <c r="GD1221" s="101">
        <f t="shared" si="578"/>
        <v>0</v>
      </c>
      <c r="GE1221" s="101">
        <f t="shared" si="579"/>
        <v>1</v>
      </c>
      <c r="GF1221" s="101">
        <f t="shared" si="580"/>
        <v>2</v>
      </c>
      <c r="GG1221" s="101">
        <f t="shared" si="581"/>
        <v>7.22E-2</v>
      </c>
      <c r="GH1221" s="101">
        <f t="shared" si="582"/>
        <v>1</v>
      </c>
      <c r="GI1221" s="101">
        <f t="shared" si="583"/>
        <v>5</v>
      </c>
      <c r="GJ1221" s="101">
        <f t="shared" si="584"/>
        <v>0.28899999999999998</v>
      </c>
      <c r="GK1221" s="101">
        <f t="shared" si="585"/>
        <v>1</v>
      </c>
      <c r="GL1221" s="101">
        <f t="shared" si="586"/>
        <v>10</v>
      </c>
    </row>
    <row r="1222" spans="170:194" ht="16.5" x14ac:dyDescent="0.2">
      <c r="FN1222" s="101">
        <v>1217</v>
      </c>
      <c r="FO1222" s="101">
        <f t="shared" si="571"/>
        <v>15</v>
      </c>
      <c r="FP1222" s="101">
        <f t="shared" si="564"/>
        <v>16</v>
      </c>
      <c r="FQ1222" s="14">
        <f t="shared" si="565"/>
        <v>3</v>
      </c>
      <c r="FR1222" s="101" t="str">
        <f t="shared" si="572"/>
        <v>烈风螳螂专属武器-魂珠-2 6级</v>
      </c>
      <c r="FS1222" s="101">
        <f t="shared" si="573"/>
        <v>2</v>
      </c>
      <c r="FT1222" s="101">
        <f t="shared" si="574"/>
        <v>6</v>
      </c>
      <c r="FU1222" s="101" t="str">
        <f t="shared" si="566"/>
        <v>金币</v>
      </c>
      <c r="FV1222" s="139">
        <f>IF($FT1222&gt;0,IF(INDEX($EI$6:$EI$77,$FO1222)&gt;=FV$3,ROUND(INDEX(EK$6:EK$77,$FO1222)*INDEX(卡牌消耗!$B$8:$F$8,FQ1222)/5,0)*5,""),"")</f>
        <v>845</v>
      </c>
      <c r="FW1222" s="101" t="str">
        <f t="shared" si="567"/>
        <v>专属强化石1</v>
      </c>
      <c r="FX1222" s="101">
        <f t="shared" si="568"/>
        <v>12</v>
      </c>
      <c r="FY1222" s="101" t="str">
        <f t="shared" si="569"/>
        <v>专属强化石2</v>
      </c>
      <c r="FZ1222" s="101">
        <f t="shared" si="570"/>
        <v>4</v>
      </c>
      <c r="GA1222" s="101">
        <f t="shared" si="575"/>
        <v>0.12</v>
      </c>
      <c r="GB1222" s="101">
        <f t="shared" si="576"/>
        <v>1</v>
      </c>
      <c r="GC1222" s="101">
        <f t="shared" si="577"/>
        <v>13</v>
      </c>
      <c r="GD1222" s="101">
        <f t="shared" si="578"/>
        <v>0</v>
      </c>
      <c r="GE1222" s="101">
        <f t="shared" si="579"/>
        <v>1</v>
      </c>
      <c r="GF1222" s="101">
        <f t="shared" si="580"/>
        <v>3</v>
      </c>
      <c r="GG1222" s="101">
        <f t="shared" si="581"/>
        <v>5.9299999999999999E-2</v>
      </c>
      <c r="GH1222" s="101">
        <f t="shared" si="582"/>
        <v>1</v>
      </c>
      <c r="GI1222" s="101">
        <f t="shared" si="583"/>
        <v>6</v>
      </c>
      <c r="GJ1222" s="101">
        <f t="shared" si="584"/>
        <v>0.23710000000000001</v>
      </c>
      <c r="GK1222" s="101">
        <f t="shared" si="585"/>
        <v>1</v>
      </c>
      <c r="GL1222" s="101">
        <f t="shared" si="586"/>
        <v>13</v>
      </c>
    </row>
    <row r="1223" spans="170:194" ht="16.5" x14ac:dyDescent="0.2">
      <c r="FN1223" s="101">
        <v>1218</v>
      </c>
      <c r="FO1223" s="101">
        <f t="shared" si="571"/>
        <v>16</v>
      </c>
      <c r="FP1223" s="101">
        <f t="shared" ref="FP1223:FP1286" si="587">INT((FN1223-1)/80+1)</f>
        <v>16</v>
      </c>
      <c r="FQ1223" s="14">
        <f t="shared" ref="FQ1223:FQ1286" si="588">INDEX($FJ$6:$FJ$26,FP1223)</f>
        <v>3</v>
      </c>
      <c r="FR1223" s="101" t="str">
        <f t="shared" si="572"/>
        <v>烈风螳螂专属武器-魂珠-2 7级</v>
      </c>
      <c r="FS1223" s="101">
        <f t="shared" si="573"/>
        <v>2</v>
      </c>
      <c r="FT1223" s="101">
        <f t="shared" si="574"/>
        <v>7</v>
      </c>
      <c r="FU1223" s="101" t="str">
        <f t="shared" ref="FU1223:FU1286" si="589">IF($FT1223&gt;0,IF(INDEX($EI$6:$EI$77,$FO1223)&gt;=FU$3,INDEX(EJ$6:EJ$77,$FO1223),""),"")</f>
        <v>金币</v>
      </c>
      <c r="FV1223" s="139">
        <f>IF($FT1223&gt;0,IF(INDEX($EI$6:$EI$77,$FO1223)&gt;=FV$3,ROUND(INDEX(EK$6:EK$77,$FO1223)*INDEX(卡牌消耗!$B$8:$F$8,FQ1223)/5,0)*5,""),"")</f>
        <v>1060</v>
      </c>
      <c r="FW1223" s="101" t="str">
        <f t="shared" ref="FW1223:FW1286" si="590">IF($FT1223&gt;0,IF(INDEX($EI$6:$EI$77,$FO1223)&gt;=FW$3,INDEX(EL$6:EL$77,$FO1223),""),"")</f>
        <v>专属强化石1</v>
      </c>
      <c r="FX1223" s="101">
        <f t="shared" ref="FX1223:FX1286" si="591">IF($FT1223&gt;0,IF(INDEX($EI$6:$EI$77,$FO1223)&gt;=FX$3,INDEX(EM$6:EM$77,$FO1223),""),"")</f>
        <v>15</v>
      </c>
      <c r="FY1223" s="101" t="str">
        <f t="shared" ref="FY1223:FY1286" si="592">IF($FT1223&gt;0,IF(INDEX($EI$6:$EI$77,$FO1223)&gt;=FY$3,INDEX(EN$6:EN$77,$FO1223),""),"")</f>
        <v>专属强化石2</v>
      </c>
      <c r="FZ1223" s="101">
        <f t="shared" ref="FZ1223:FZ1286" si="593">IF($FT1223&gt;0,IF(INDEX($EI$6:$EI$77,$FO1223)&gt;=FZ$3,INDEX(EO$6:EO$77,$FO1223),""),"")</f>
        <v>5</v>
      </c>
      <c r="GA1223" s="101">
        <f t="shared" si="575"/>
        <v>0.09</v>
      </c>
      <c r="GB1223" s="101">
        <f t="shared" si="576"/>
        <v>1</v>
      </c>
      <c r="GC1223" s="101">
        <f t="shared" si="577"/>
        <v>16</v>
      </c>
      <c r="GD1223" s="101">
        <f t="shared" si="578"/>
        <v>0</v>
      </c>
      <c r="GE1223" s="101">
        <f t="shared" si="579"/>
        <v>1</v>
      </c>
      <c r="GF1223" s="101">
        <f t="shared" si="580"/>
        <v>4</v>
      </c>
      <c r="GG1223" s="101">
        <f t="shared" si="581"/>
        <v>4.5900000000000003E-2</v>
      </c>
      <c r="GH1223" s="101">
        <f t="shared" si="582"/>
        <v>1</v>
      </c>
      <c r="GI1223" s="101">
        <f t="shared" si="583"/>
        <v>8</v>
      </c>
      <c r="GJ1223" s="101">
        <f t="shared" si="584"/>
        <v>0.1835</v>
      </c>
      <c r="GK1223" s="101">
        <f t="shared" si="585"/>
        <v>1</v>
      </c>
      <c r="GL1223" s="101">
        <f t="shared" si="586"/>
        <v>16</v>
      </c>
    </row>
    <row r="1224" spans="170:194" ht="16.5" x14ac:dyDescent="0.2">
      <c r="FN1224" s="101">
        <v>1219</v>
      </c>
      <c r="FO1224" s="101">
        <f t="shared" si="571"/>
        <v>17</v>
      </c>
      <c r="FP1224" s="101">
        <f t="shared" si="587"/>
        <v>16</v>
      </c>
      <c r="FQ1224" s="14">
        <f t="shared" si="588"/>
        <v>3</v>
      </c>
      <c r="FR1224" s="101" t="str">
        <f t="shared" si="572"/>
        <v>烈风螳螂专属武器-魂珠-2 8级</v>
      </c>
      <c r="FS1224" s="101">
        <f t="shared" si="573"/>
        <v>2</v>
      </c>
      <c r="FT1224" s="101">
        <f t="shared" si="574"/>
        <v>8</v>
      </c>
      <c r="FU1224" s="101" t="str">
        <f t="shared" si="589"/>
        <v>金币</v>
      </c>
      <c r="FV1224" s="139">
        <f>IF($FT1224&gt;0,IF(INDEX($EI$6:$EI$77,$FO1224)&gt;=FV$3,ROUND(INDEX(EK$6:EK$77,$FO1224)*INDEX(卡牌消耗!$B$8:$F$8,FQ1224)/5,0)*5,""),"")</f>
        <v>1270</v>
      </c>
      <c r="FW1224" s="101" t="str">
        <f t="shared" si="590"/>
        <v>专属强化石1</v>
      </c>
      <c r="FX1224" s="101">
        <f t="shared" si="591"/>
        <v>18</v>
      </c>
      <c r="FY1224" s="101" t="str">
        <f t="shared" si="592"/>
        <v>专属强化石2</v>
      </c>
      <c r="FZ1224" s="101">
        <f t="shared" si="593"/>
        <v>6</v>
      </c>
      <c r="GA1224" s="101">
        <f t="shared" si="575"/>
        <v>7.0000000000000007E-2</v>
      </c>
      <c r="GB1224" s="101">
        <f t="shared" si="576"/>
        <v>1</v>
      </c>
      <c r="GC1224" s="101">
        <f t="shared" si="577"/>
        <v>22</v>
      </c>
      <c r="GD1224" s="101">
        <f t="shared" si="578"/>
        <v>0</v>
      </c>
      <c r="GE1224" s="101">
        <f t="shared" si="579"/>
        <v>1</v>
      </c>
      <c r="GF1224" s="101">
        <f t="shared" si="580"/>
        <v>5</v>
      </c>
      <c r="GG1224" s="101">
        <f t="shared" si="581"/>
        <v>3.4000000000000002E-2</v>
      </c>
      <c r="GH1224" s="101">
        <f t="shared" si="582"/>
        <v>1</v>
      </c>
      <c r="GI1224" s="101">
        <f t="shared" si="583"/>
        <v>10</v>
      </c>
      <c r="GJ1224" s="101">
        <f t="shared" si="584"/>
        <v>0.13600000000000001</v>
      </c>
      <c r="GK1224" s="101">
        <f t="shared" si="585"/>
        <v>1</v>
      </c>
      <c r="GL1224" s="101">
        <f t="shared" si="586"/>
        <v>22</v>
      </c>
    </row>
    <row r="1225" spans="170:194" ht="16.5" x14ac:dyDescent="0.2">
      <c r="FN1225" s="101">
        <v>1220</v>
      </c>
      <c r="FO1225" s="101">
        <f t="shared" si="571"/>
        <v>18</v>
      </c>
      <c r="FP1225" s="101">
        <f t="shared" si="587"/>
        <v>16</v>
      </c>
      <c r="FQ1225" s="14">
        <f t="shared" si="588"/>
        <v>3</v>
      </c>
      <c r="FR1225" s="101" t="str">
        <f t="shared" si="572"/>
        <v>烈风螳螂专属武器-魂珠-2 9级</v>
      </c>
      <c r="FS1225" s="101">
        <f t="shared" si="573"/>
        <v>2</v>
      </c>
      <c r="FT1225" s="101">
        <f t="shared" si="574"/>
        <v>9</v>
      </c>
      <c r="FU1225" s="101" t="str">
        <f t="shared" si="589"/>
        <v>金币</v>
      </c>
      <c r="FV1225" s="139">
        <f>IF($FT1225&gt;0,IF(INDEX($EI$6:$EI$77,$FO1225)&gt;=FV$3,ROUND(INDEX(EK$6:EK$77,$FO1225)*INDEX(卡牌消耗!$B$8:$F$8,FQ1225)/5,0)*5,""),"")</f>
        <v>1695</v>
      </c>
      <c r="FW1225" s="101" t="str">
        <f t="shared" si="590"/>
        <v>专属强化石1</v>
      </c>
      <c r="FX1225" s="101">
        <f t="shared" si="591"/>
        <v>24</v>
      </c>
      <c r="FY1225" s="101" t="str">
        <f t="shared" si="592"/>
        <v>专属强化石2</v>
      </c>
      <c r="FZ1225" s="101">
        <f t="shared" si="593"/>
        <v>8</v>
      </c>
      <c r="GA1225" s="101">
        <f t="shared" si="575"/>
        <v>0.06</v>
      </c>
      <c r="GB1225" s="101">
        <f t="shared" si="576"/>
        <v>1</v>
      </c>
      <c r="GC1225" s="101">
        <f t="shared" si="577"/>
        <v>27</v>
      </c>
      <c r="GD1225" s="101">
        <f t="shared" si="578"/>
        <v>0</v>
      </c>
      <c r="GE1225" s="101">
        <f t="shared" si="579"/>
        <v>1</v>
      </c>
      <c r="GF1225" s="101">
        <f t="shared" si="580"/>
        <v>6</v>
      </c>
      <c r="GG1225" s="101">
        <f t="shared" si="581"/>
        <v>2.8000000000000001E-2</v>
      </c>
      <c r="GH1225" s="101">
        <f t="shared" si="582"/>
        <v>1</v>
      </c>
      <c r="GI1225" s="101">
        <f t="shared" si="583"/>
        <v>12</v>
      </c>
      <c r="GJ1225" s="101">
        <f t="shared" si="584"/>
        <v>0.11210000000000001</v>
      </c>
      <c r="GK1225" s="101">
        <f t="shared" si="585"/>
        <v>1</v>
      </c>
      <c r="GL1225" s="101">
        <f t="shared" si="586"/>
        <v>27</v>
      </c>
    </row>
    <row r="1226" spans="170:194" ht="16.5" x14ac:dyDescent="0.2">
      <c r="FN1226" s="101">
        <v>1221</v>
      </c>
      <c r="FO1226" s="101">
        <f t="shared" si="571"/>
        <v>0</v>
      </c>
      <c r="FP1226" s="101">
        <f t="shared" si="587"/>
        <v>16</v>
      </c>
      <c r="FQ1226" s="14">
        <f t="shared" si="588"/>
        <v>3</v>
      </c>
      <c r="FR1226" s="101" t="str">
        <f t="shared" si="572"/>
        <v>烈风螳螂专属武器-魂珠-3 0级</v>
      </c>
      <c r="FS1226" s="101">
        <f t="shared" si="573"/>
        <v>3</v>
      </c>
      <c r="FT1226" s="101">
        <f t="shared" si="574"/>
        <v>0</v>
      </c>
      <c r="FU1226" s="101" t="str">
        <f t="shared" si="589"/>
        <v/>
      </c>
      <c r="FV1226" s="139" t="str">
        <f>IF($FT1226&gt;0,IF(INDEX($EI$6:$EI$77,$FO1226)&gt;=FV$3,ROUND(INDEX(EK$6:EK$77,$FO1226)*INDEX(卡牌消耗!$B$8:$F$8,FQ1226)/5,0)*5,""),"")</f>
        <v/>
      </c>
      <c r="FW1226" s="101" t="str">
        <f t="shared" si="590"/>
        <v/>
      </c>
      <c r="FX1226" s="101" t="str">
        <f t="shared" si="591"/>
        <v/>
      </c>
      <c r="FY1226" s="101" t="str">
        <f t="shared" si="592"/>
        <v/>
      </c>
      <c r="FZ1226" s="101" t="str">
        <f t="shared" si="593"/>
        <v/>
      </c>
      <c r="GA1226" s="101" t="str">
        <f t="shared" si="575"/>
        <v/>
      </c>
      <c r="GB1226" s="101" t="str">
        <f t="shared" si="576"/>
        <v/>
      </c>
      <c r="GC1226" s="101" t="str">
        <f t="shared" si="577"/>
        <v/>
      </c>
      <c r="GD1226" s="101" t="str">
        <f t="shared" si="578"/>
        <v/>
      </c>
      <c r="GE1226" s="101" t="str">
        <f t="shared" si="579"/>
        <v/>
      </c>
      <c r="GF1226" s="101" t="str">
        <f t="shared" si="580"/>
        <v/>
      </c>
      <c r="GG1226" s="101" t="str">
        <f t="shared" si="581"/>
        <v/>
      </c>
      <c r="GH1226" s="101" t="str">
        <f t="shared" si="582"/>
        <v/>
      </c>
      <c r="GI1226" s="101" t="str">
        <f t="shared" si="583"/>
        <v/>
      </c>
      <c r="GJ1226" s="101" t="str">
        <f t="shared" si="584"/>
        <v/>
      </c>
      <c r="GK1226" s="101" t="str">
        <f t="shared" si="585"/>
        <v/>
      </c>
      <c r="GL1226" s="101" t="str">
        <f t="shared" si="586"/>
        <v/>
      </c>
    </row>
    <row r="1227" spans="170:194" ht="16.5" x14ac:dyDescent="0.2">
      <c r="FN1227" s="101">
        <v>1222</v>
      </c>
      <c r="FO1227" s="101">
        <f t="shared" si="571"/>
        <v>19</v>
      </c>
      <c r="FP1227" s="101">
        <f t="shared" si="587"/>
        <v>16</v>
      </c>
      <c r="FQ1227" s="14">
        <f t="shared" si="588"/>
        <v>3</v>
      </c>
      <c r="FR1227" s="101" t="str">
        <f t="shared" si="572"/>
        <v>烈风螳螂专属武器-魂珠-3 1级</v>
      </c>
      <c r="FS1227" s="101">
        <f t="shared" si="573"/>
        <v>3</v>
      </c>
      <c r="FT1227" s="101">
        <f t="shared" si="574"/>
        <v>1</v>
      </c>
      <c r="FU1227" s="101" t="str">
        <f t="shared" si="589"/>
        <v>金币</v>
      </c>
      <c r="FV1227" s="139">
        <f>IF($FT1227&gt;0,IF(INDEX($EI$6:$EI$77,$FO1227)&gt;=FV$3,ROUND(INDEX(EK$6:EK$77,$FO1227)*INDEX(卡牌消耗!$B$8:$F$8,FQ1227)/5,0)*5,""),"")</f>
        <v>545</v>
      </c>
      <c r="FW1227" s="101" t="str">
        <f t="shared" si="590"/>
        <v>专属强化石1</v>
      </c>
      <c r="FX1227" s="101">
        <f t="shared" si="591"/>
        <v>4</v>
      </c>
      <c r="FY1227" s="101" t="str">
        <f t="shared" si="592"/>
        <v>专属强化石2</v>
      </c>
      <c r="FZ1227" s="101">
        <f t="shared" si="593"/>
        <v>2</v>
      </c>
      <c r="GA1227" s="101">
        <f t="shared" si="575"/>
        <v>0.31</v>
      </c>
      <c r="GB1227" s="101">
        <f t="shared" si="576"/>
        <v>1</v>
      </c>
      <c r="GC1227" s="101">
        <f t="shared" si="577"/>
        <v>5</v>
      </c>
      <c r="GD1227" s="101">
        <f t="shared" si="578"/>
        <v>0</v>
      </c>
      <c r="GE1227" s="101">
        <f t="shared" si="579"/>
        <v>1</v>
      </c>
      <c r="GF1227" s="101">
        <f t="shared" si="580"/>
        <v>1</v>
      </c>
      <c r="GG1227" s="101">
        <f t="shared" si="581"/>
        <v>0.15409999999999999</v>
      </c>
      <c r="GH1227" s="101">
        <f t="shared" si="582"/>
        <v>1</v>
      </c>
      <c r="GI1227" s="101">
        <f t="shared" si="583"/>
        <v>2</v>
      </c>
      <c r="GJ1227" s="101">
        <f t="shared" si="584"/>
        <v>0.61650000000000005</v>
      </c>
      <c r="GK1227" s="101">
        <f t="shared" si="585"/>
        <v>1</v>
      </c>
      <c r="GL1227" s="101">
        <f t="shared" si="586"/>
        <v>5</v>
      </c>
    </row>
    <row r="1228" spans="170:194" ht="16.5" x14ac:dyDescent="0.2">
      <c r="FN1228" s="101">
        <v>1223</v>
      </c>
      <c r="FO1228" s="101">
        <f t="shared" si="571"/>
        <v>20</v>
      </c>
      <c r="FP1228" s="101">
        <f t="shared" si="587"/>
        <v>16</v>
      </c>
      <c r="FQ1228" s="14">
        <f t="shared" si="588"/>
        <v>3</v>
      </c>
      <c r="FR1228" s="101" t="str">
        <f t="shared" si="572"/>
        <v>烈风螳螂专属武器-魂珠-3 2级</v>
      </c>
      <c r="FS1228" s="101">
        <f t="shared" si="573"/>
        <v>3</v>
      </c>
      <c r="FT1228" s="101">
        <f t="shared" si="574"/>
        <v>2</v>
      </c>
      <c r="FU1228" s="101" t="str">
        <f t="shared" si="589"/>
        <v>金币</v>
      </c>
      <c r="FV1228" s="139">
        <f>IF($FT1228&gt;0,IF(INDEX($EI$6:$EI$77,$FO1228)&gt;=FV$3,ROUND(INDEX(EK$6:EK$77,$FO1228)*INDEX(卡牌消耗!$B$8:$F$8,FQ1228)/5,0)*5,""),"")</f>
        <v>410</v>
      </c>
      <c r="FW1228" s="101" t="str">
        <f t="shared" si="590"/>
        <v>专属强化石1</v>
      </c>
      <c r="FX1228" s="101">
        <f t="shared" si="591"/>
        <v>4</v>
      </c>
      <c r="FY1228" s="101" t="str">
        <f t="shared" si="592"/>
        <v>专属强化石2</v>
      </c>
      <c r="FZ1228" s="101">
        <f t="shared" si="593"/>
        <v>2</v>
      </c>
      <c r="GA1228" s="101">
        <f t="shared" si="575"/>
        <v>0.15</v>
      </c>
      <c r="GB1228" s="101">
        <f t="shared" si="576"/>
        <v>1</v>
      </c>
      <c r="GC1228" s="101">
        <f t="shared" si="577"/>
        <v>10</v>
      </c>
      <c r="GD1228" s="101">
        <f t="shared" si="578"/>
        <v>0</v>
      </c>
      <c r="GE1228" s="101">
        <f t="shared" si="579"/>
        <v>1</v>
      </c>
      <c r="GF1228" s="101">
        <f t="shared" si="580"/>
        <v>2</v>
      </c>
      <c r="GG1228" s="101">
        <f t="shared" si="581"/>
        <v>7.7100000000000002E-2</v>
      </c>
      <c r="GH1228" s="101">
        <f t="shared" si="582"/>
        <v>1</v>
      </c>
      <c r="GI1228" s="101">
        <f t="shared" si="583"/>
        <v>5</v>
      </c>
      <c r="GJ1228" s="101">
        <f t="shared" si="584"/>
        <v>0.30830000000000002</v>
      </c>
      <c r="GK1228" s="101">
        <f t="shared" si="585"/>
        <v>1</v>
      </c>
      <c r="GL1228" s="101">
        <f t="shared" si="586"/>
        <v>10</v>
      </c>
    </row>
    <row r="1229" spans="170:194" ht="16.5" x14ac:dyDescent="0.2">
      <c r="FN1229" s="101">
        <v>1224</v>
      </c>
      <c r="FO1229" s="101">
        <f t="shared" si="571"/>
        <v>21</v>
      </c>
      <c r="FP1229" s="101">
        <f t="shared" si="587"/>
        <v>16</v>
      </c>
      <c r="FQ1229" s="14">
        <f t="shared" si="588"/>
        <v>3</v>
      </c>
      <c r="FR1229" s="101" t="str">
        <f t="shared" si="572"/>
        <v>烈风螳螂专属武器-魂珠-3 3级</v>
      </c>
      <c r="FS1229" s="101">
        <f t="shared" si="573"/>
        <v>3</v>
      </c>
      <c r="FT1229" s="101">
        <f t="shared" si="574"/>
        <v>3</v>
      </c>
      <c r="FU1229" s="101" t="str">
        <f t="shared" si="589"/>
        <v>金币</v>
      </c>
      <c r="FV1229" s="139">
        <f>IF($FT1229&gt;0,IF(INDEX($EI$6:$EI$77,$FO1229)&gt;=FV$3,ROUND(INDEX(EK$6:EK$77,$FO1229)*INDEX(卡牌消耗!$B$8:$F$8,FQ1229)/5,0)*5,""),"")</f>
        <v>680</v>
      </c>
      <c r="FW1229" s="101" t="str">
        <f t="shared" si="590"/>
        <v>专属强化石1</v>
      </c>
      <c r="FX1229" s="101">
        <f t="shared" si="591"/>
        <v>6</v>
      </c>
      <c r="FY1229" s="101" t="str">
        <f t="shared" si="592"/>
        <v>专属强化石2</v>
      </c>
      <c r="FZ1229" s="101">
        <f t="shared" si="593"/>
        <v>3</v>
      </c>
      <c r="GA1229" s="101">
        <f t="shared" si="575"/>
        <v>0.15</v>
      </c>
      <c r="GB1229" s="101">
        <f t="shared" si="576"/>
        <v>1</v>
      </c>
      <c r="GC1229" s="101">
        <f t="shared" si="577"/>
        <v>10</v>
      </c>
      <c r="GD1229" s="101">
        <f t="shared" si="578"/>
        <v>0</v>
      </c>
      <c r="GE1229" s="101">
        <f t="shared" si="579"/>
        <v>1</v>
      </c>
      <c r="GF1229" s="101">
        <f t="shared" si="580"/>
        <v>2</v>
      </c>
      <c r="GG1229" s="101">
        <f t="shared" si="581"/>
        <v>7.7100000000000002E-2</v>
      </c>
      <c r="GH1229" s="101">
        <f t="shared" si="582"/>
        <v>1</v>
      </c>
      <c r="GI1229" s="101">
        <f t="shared" si="583"/>
        <v>5</v>
      </c>
      <c r="GJ1229" s="101">
        <f t="shared" si="584"/>
        <v>0.30830000000000002</v>
      </c>
      <c r="GK1229" s="101">
        <f t="shared" si="585"/>
        <v>1</v>
      </c>
      <c r="GL1229" s="101">
        <f t="shared" si="586"/>
        <v>10</v>
      </c>
    </row>
    <row r="1230" spans="170:194" ht="16.5" x14ac:dyDescent="0.2">
      <c r="FN1230" s="101">
        <v>1225</v>
      </c>
      <c r="FO1230" s="101">
        <f t="shared" si="571"/>
        <v>22</v>
      </c>
      <c r="FP1230" s="101">
        <f t="shared" si="587"/>
        <v>16</v>
      </c>
      <c r="FQ1230" s="14">
        <f t="shared" si="588"/>
        <v>3</v>
      </c>
      <c r="FR1230" s="101" t="str">
        <f t="shared" si="572"/>
        <v>烈风螳螂专属武器-魂珠-3 4级</v>
      </c>
      <c r="FS1230" s="101">
        <f t="shared" si="573"/>
        <v>3</v>
      </c>
      <c r="FT1230" s="101">
        <f t="shared" si="574"/>
        <v>4</v>
      </c>
      <c r="FU1230" s="101" t="str">
        <f t="shared" si="589"/>
        <v>金币</v>
      </c>
      <c r="FV1230" s="139">
        <f>IF($FT1230&gt;0,IF(INDEX($EI$6:$EI$77,$FO1230)&gt;=FV$3,ROUND(INDEX(EK$6:EK$77,$FO1230)*INDEX(卡牌消耗!$B$8:$F$8,FQ1230)/5,0)*5,""),"")</f>
        <v>655</v>
      </c>
      <c r="FW1230" s="101" t="str">
        <f t="shared" si="590"/>
        <v>专属强化石1</v>
      </c>
      <c r="FX1230" s="101">
        <f t="shared" si="591"/>
        <v>6</v>
      </c>
      <c r="FY1230" s="101" t="str">
        <f t="shared" si="592"/>
        <v>专属强化石2</v>
      </c>
      <c r="FZ1230" s="101">
        <f t="shared" si="593"/>
        <v>3</v>
      </c>
      <c r="GA1230" s="101">
        <f t="shared" si="575"/>
        <v>0.09</v>
      </c>
      <c r="GB1230" s="101">
        <f t="shared" si="576"/>
        <v>1</v>
      </c>
      <c r="GC1230" s="101">
        <f t="shared" si="577"/>
        <v>16</v>
      </c>
      <c r="GD1230" s="101">
        <f t="shared" si="578"/>
        <v>0</v>
      </c>
      <c r="GE1230" s="101">
        <f t="shared" si="579"/>
        <v>1</v>
      </c>
      <c r="GF1230" s="101">
        <f t="shared" si="580"/>
        <v>4</v>
      </c>
      <c r="GG1230" s="101">
        <f t="shared" si="581"/>
        <v>4.6199999999999998E-2</v>
      </c>
      <c r="GH1230" s="101">
        <f t="shared" si="582"/>
        <v>1</v>
      </c>
      <c r="GI1230" s="101">
        <f t="shared" si="583"/>
        <v>8</v>
      </c>
      <c r="GJ1230" s="101">
        <f t="shared" si="584"/>
        <v>0.185</v>
      </c>
      <c r="GK1230" s="101">
        <f t="shared" si="585"/>
        <v>1</v>
      </c>
      <c r="GL1230" s="101">
        <f t="shared" si="586"/>
        <v>16</v>
      </c>
    </row>
    <row r="1231" spans="170:194" ht="16.5" x14ac:dyDescent="0.2">
      <c r="FN1231" s="101">
        <v>1226</v>
      </c>
      <c r="FO1231" s="101">
        <f t="shared" si="571"/>
        <v>23</v>
      </c>
      <c r="FP1231" s="101">
        <f t="shared" si="587"/>
        <v>16</v>
      </c>
      <c r="FQ1231" s="14">
        <f t="shared" si="588"/>
        <v>3</v>
      </c>
      <c r="FR1231" s="101" t="str">
        <f t="shared" si="572"/>
        <v>烈风螳螂专属武器-魂珠-3 5级</v>
      </c>
      <c r="FS1231" s="101">
        <f t="shared" si="573"/>
        <v>3</v>
      </c>
      <c r="FT1231" s="101">
        <f t="shared" si="574"/>
        <v>5</v>
      </c>
      <c r="FU1231" s="101" t="str">
        <f t="shared" si="589"/>
        <v>金币</v>
      </c>
      <c r="FV1231" s="139">
        <f>IF($FT1231&gt;0,IF(INDEX($EI$6:$EI$77,$FO1231)&gt;=FV$3,ROUND(INDEX(EK$6:EK$77,$FO1231)*INDEX(卡牌消耗!$B$8:$F$8,FQ1231)/5,0)*5,""),"")</f>
        <v>885</v>
      </c>
      <c r="FW1231" s="101" t="str">
        <f t="shared" si="590"/>
        <v>专属强化石1</v>
      </c>
      <c r="FX1231" s="101">
        <f t="shared" si="591"/>
        <v>8</v>
      </c>
      <c r="FY1231" s="101" t="str">
        <f t="shared" si="592"/>
        <v>专属强化石2</v>
      </c>
      <c r="FZ1231" s="101">
        <f t="shared" si="593"/>
        <v>4</v>
      </c>
      <c r="GA1231" s="101">
        <f t="shared" si="575"/>
        <v>0.08</v>
      </c>
      <c r="GB1231" s="101">
        <f t="shared" si="576"/>
        <v>1</v>
      </c>
      <c r="GC1231" s="101">
        <f t="shared" si="577"/>
        <v>19</v>
      </c>
      <c r="GD1231" s="101">
        <f t="shared" si="578"/>
        <v>0</v>
      </c>
      <c r="GE1231" s="101">
        <f t="shared" si="579"/>
        <v>1</v>
      </c>
      <c r="GF1231" s="101">
        <f t="shared" si="580"/>
        <v>5</v>
      </c>
      <c r="GG1231" s="101">
        <f t="shared" si="581"/>
        <v>3.85E-2</v>
      </c>
      <c r="GH1231" s="101">
        <f t="shared" si="582"/>
        <v>1</v>
      </c>
      <c r="GI1231" s="101">
        <f t="shared" si="583"/>
        <v>9</v>
      </c>
      <c r="GJ1231" s="101">
        <f t="shared" si="584"/>
        <v>0.15409999999999999</v>
      </c>
      <c r="GK1231" s="101">
        <f t="shared" si="585"/>
        <v>1</v>
      </c>
      <c r="GL1231" s="101">
        <f t="shared" si="586"/>
        <v>19</v>
      </c>
    </row>
    <row r="1232" spans="170:194" ht="16.5" x14ac:dyDescent="0.2">
      <c r="FN1232" s="101">
        <v>1227</v>
      </c>
      <c r="FO1232" s="101">
        <f t="shared" si="571"/>
        <v>24</v>
      </c>
      <c r="FP1232" s="101">
        <f t="shared" si="587"/>
        <v>16</v>
      </c>
      <c r="FQ1232" s="14">
        <f t="shared" si="588"/>
        <v>3</v>
      </c>
      <c r="FR1232" s="101" t="str">
        <f t="shared" si="572"/>
        <v>烈风螳螂专属武器-魂珠-3 6级</v>
      </c>
      <c r="FS1232" s="101">
        <f t="shared" si="573"/>
        <v>3</v>
      </c>
      <c r="FT1232" s="101">
        <f t="shared" si="574"/>
        <v>6</v>
      </c>
      <c r="FU1232" s="101" t="str">
        <f t="shared" si="589"/>
        <v>金币</v>
      </c>
      <c r="FV1232" s="139">
        <f>IF($FT1232&gt;0,IF(INDEX($EI$6:$EI$77,$FO1232)&gt;=FV$3,ROUND(INDEX(EK$6:EK$77,$FO1232)*INDEX(卡牌消耗!$B$8:$F$8,FQ1232)/5,0)*5,""),"")</f>
        <v>1100</v>
      </c>
      <c r="FW1232" s="101" t="str">
        <f t="shared" si="590"/>
        <v>专属强化石1</v>
      </c>
      <c r="FX1232" s="101">
        <f t="shared" si="591"/>
        <v>10</v>
      </c>
      <c r="FY1232" s="101" t="str">
        <f t="shared" si="592"/>
        <v>专属强化石2</v>
      </c>
      <c r="FZ1232" s="101">
        <f t="shared" si="593"/>
        <v>5</v>
      </c>
      <c r="GA1232" s="101">
        <f t="shared" si="575"/>
        <v>0.06</v>
      </c>
      <c r="GB1232" s="101">
        <f t="shared" si="576"/>
        <v>1</v>
      </c>
      <c r="GC1232" s="101">
        <f t="shared" si="577"/>
        <v>25</v>
      </c>
      <c r="GD1232" s="101">
        <f t="shared" si="578"/>
        <v>0</v>
      </c>
      <c r="GE1232" s="101">
        <f t="shared" si="579"/>
        <v>1</v>
      </c>
      <c r="GF1232" s="101">
        <f t="shared" si="580"/>
        <v>6</v>
      </c>
      <c r="GG1232" s="101">
        <f t="shared" si="581"/>
        <v>2.9600000000000001E-2</v>
      </c>
      <c r="GH1232" s="101">
        <f t="shared" si="582"/>
        <v>1</v>
      </c>
      <c r="GI1232" s="101">
        <f t="shared" si="583"/>
        <v>12</v>
      </c>
      <c r="GJ1232" s="101">
        <f t="shared" si="584"/>
        <v>0.1186</v>
      </c>
      <c r="GK1232" s="101">
        <f t="shared" si="585"/>
        <v>1</v>
      </c>
      <c r="GL1232" s="101">
        <f t="shared" si="586"/>
        <v>25</v>
      </c>
    </row>
    <row r="1233" spans="170:194" ht="16.5" x14ac:dyDescent="0.2">
      <c r="FN1233" s="101">
        <v>1228</v>
      </c>
      <c r="FO1233" s="101">
        <f t="shared" si="571"/>
        <v>25</v>
      </c>
      <c r="FP1233" s="101">
        <f t="shared" si="587"/>
        <v>16</v>
      </c>
      <c r="FQ1233" s="14">
        <f t="shared" si="588"/>
        <v>3</v>
      </c>
      <c r="FR1233" s="101" t="str">
        <f t="shared" si="572"/>
        <v>烈风螳螂专属武器-魂珠-3 7级</v>
      </c>
      <c r="FS1233" s="101">
        <f t="shared" si="573"/>
        <v>3</v>
      </c>
      <c r="FT1233" s="101">
        <f t="shared" si="574"/>
        <v>7</v>
      </c>
      <c r="FU1233" s="101" t="str">
        <f t="shared" si="589"/>
        <v>金币</v>
      </c>
      <c r="FV1233" s="139">
        <f>IF($FT1233&gt;0,IF(INDEX($EI$6:$EI$77,$FO1233)&gt;=FV$3,ROUND(INDEX(EK$6:EK$77,$FO1233)*INDEX(卡牌消耗!$B$8:$F$8,FQ1233)/5,0)*5,""),"")</f>
        <v>1325</v>
      </c>
      <c r="FW1233" s="101" t="str">
        <f t="shared" si="590"/>
        <v>专属强化石1</v>
      </c>
      <c r="FX1233" s="101">
        <f t="shared" si="591"/>
        <v>12</v>
      </c>
      <c r="FY1233" s="101" t="str">
        <f t="shared" si="592"/>
        <v>专属强化石2</v>
      </c>
      <c r="FZ1233" s="101">
        <f t="shared" si="593"/>
        <v>6</v>
      </c>
      <c r="GA1233" s="101">
        <f t="shared" si="575"/>
        <v>0.04</v>
      </c>
      <c r="GB1233" s="101">
        <f t="shared" si="576"/>
        <v>1</v>
      </c>
      <c r="GC1233" s="101">
        <f t="shared" si="577"/>
        <v>34</v>
      </c>
      <c r="GD1233" s="101">
        <f t="shared" si="578"/>
        <v>0</v>
      </c>
      <c r="GE1233" s="101">
        <f t="shared" si="579"/>
        <v>1</v>
      </c>
      <c r="GF1233" s="101">
        <f t="shared" si="580"/>
        <v>8</v>
      </c>
      <c r="GG1233" s="101">
        <f t="shared" si="581"/>
        <v>2.1999999999999999E-2</v>
      </c>
      <c r="GH1233" s="101">
        <f t="shared" si="582"/>
        <v>1</v>
      </c>
      <c r="GI1233" s="101">
        <f t="shared" si="583"/>
        <v>16</v>
      </c>
      <c r="GJ1233" s="101">
        <f t="shared" si="584"/>
        <v>8.8099999999999998E-2</v>
      </c>
      <c r="GK1233" s="101">
        <f t="shared" si="585"/>
        <v>1</v>
      </c>
      <c r="GL1233" s="101">
        <f t="shared" si="586"/>
        <v>34</v>
      </c>
    </row>
    <row r="1234" spans="170:194" ht="16.5" x14ac:dyDescent="0.2">
      <c r="FN1234" s="101">
        <v>1229</v>
      </c>
      <c r="FO1234" s="101">
        <f t="shared" si="571"/>
        <v>26</v>
      </c>
      <c r="FP1234" s="101">
        <f t="shared" si="587"/>
        <v>16</v>
      </c>
      <c r="FQ1234" s="14">
        <f t="shared" si="588"/>
        <v>3</v>
      </c>
      <c r="FR1234" s="101" t="str">
        <f t="shared" si="572"/>
        <v>烈风螳螂专属武器-魂珠-3 8级</v>
      </c>
      <c r="FS1234" s="101">
        <f t="shared" si="573"/>
        <v>3</v>
      </c>
      <c r="FT1234" s="101">
        <f t="shared" si="574"/>
        <v>8</v>
      </c>
      <c r="FU1234" s="101" t="str">
        <f t="shared" si="589"/>
        <v>金币</v>
      </c>
      <c r="FV1234" s="139">
        <f>IF($FT1234&gt;0,IF(INDEX($EI$6:$EI$77,$FO1234)&gt;=FV$3,ROUND(INDEX(EK$6:EK$77,$FO1234)*INDEX(卡牌消耗!$B$8:$F$8,FQ1234)/5,0)*5,""),"")</f>
        <v>1765</v>
      </c>
      <c r="FW1234" s="101" t="str">
        <f t="shared" si="590"/>
        <v>专属强化石1</v>
      </c>
      <c r="FX1234" s="101">
        <f t="shared" si="591"/>
        <v>16</v>
      </c>
      <c r="FY1234" s="101" t="str">
        <f t="shared" si="592"/>
        <v>专属强化石2</v>
      </c>
      <c r="FZ1234" s="101">
        <f t="shared" si="593"/>
        <v>8</v>
      </c>
      <c r="GA1234" s="101">
        <f t="shared" si="575"/>
        <v>0.04</v>
      </c>
      <c r="GB1234" s="101">
        <f t="shared" si="576"/>
        <v>1</v>
      </c>
      <c r="GC1234" s="101">
        <f t="shared" si="577"/>
        <v>41</v>
      </c>
      <c r="GD1234" s="101">
        <f t="shared" si="578"/>
        <v>0</v>
      </c>
      <c r="GE1234" s="101">
        <f t="shared" si="579"/>
        <v>1</v>
      </c>
      <c r="GF1234" s="101">
        <f t="shared" si="580"/>
        <v>10</v>
      </c>
      <c r="GG1234" s="101">
        <f t="shared" si="581"/>
        <v>1.8100000000000002E-2</v>
      </c>
      <c r="GH1234" s="101">
        <f t="shared" si="582"/>
        <v>1</v>
      </c>
      <c r="GI1234" s="101">
        <f t="shared" si="583"/>
        <v>19</v>
      </c>
      <c r="GJ1234" s="101">
        <f t="shared" si="584"/>
        <v>7.2499999999999995E-2</v>
      </c>
      <c r="GK1234" s="101">
        <f t="shared" si="585"/>
        <v>1</v>
      </c>
      <c r="GL1234" s="101">
        <f t="shared" si="586"/>
        <v>41</v>
      </c>
    </row>
    <row r="1235" spans="170:194" ht="16.5" x14ac:dyDescent="0.2">
      <c r="FN1235" s="101">
        <v>1230</v>
      </c>
      <c r="FO1235" s="101">
        <f t="shared" si="571"/>
        <v>27</v>
      </c>
      <c r="FP1235" s="101">
        <f t="shared" si="587"/>
        <v>16</v>
      </c>
      <c r="FQ1235" s="14">
        <f t="shared" si="588"/>
        <v>3</v>
      </c>
      <c r="FR1235" s="101" t="str">
        <f t="shared" si="572"/>
        <v>烈风螳螂专属武器-魂珠-3 9级</v>
      </c>
      <c r="FS1235" s="101">
        <f t="shared" si="573"/>
        <v>3</v>
      </c>
      <c r="FT1235" s="101">
        <f t="shared" si="574"/>
        <v>9</v>
      </c>
      <c r="FU1235" s="101" t="str">
        <f t="shared" si="589"/>
        <v>金币</v>
      </c>
      <c r="FV1235" s="139">
        <f>IF($FT1235&gt;0,IF(INDEX($EI$6:$EI$77,$FO1235)&gt;=FV$3,ROUND(INDEX(EK$6:EK$77,$FO1235)*INDEX(卡牌消耗!$B$8:$F$8,FQ1235)/5,0)*5,""),"")</f>
        <v>2205</v>
      </c>
      <c r="FW1235" s="101" t="str">
        <f t="shared" si="590"/>
        <v>专属强化石1</v>
      </c>
      <c r="FX1235" s="101">
        <f t="shared" si="591"/>
        <v>20</v>
      </c>
      <c r="FY1235" s="101" t="str">
        <f t="shared" si="592"/>
        <v>专属强化石2</v>
      </c>
      <c r="FZ1235" s="101">
        <f t="shared" si="593"/>
        <v>10</v>
      </c>
      <c r="GA1235" s="101">
        <f t="shared" si="575"/>
        <v>0.03</v>
      </c>
      <c r="GB1235" s="101">
        <f t="shared" si="576"/>
        <v>1</v>
      </c>
      <c r="GC1235" s="101">
        <f t="shared" si="577"/>
        <v>54</v>
      </c>
      <c r="GD1235" s="101">
        <f t="shared" si="578"/>
        <v>0</v>
      </c>
      <c r="GE1235" s="101">
        <f t="shared" si="579"/>
        <v>1</v>
      </c>
      <c r="GF1235" s="101">
        <f t="shared" si="580"/>
        <v>12</v>
      </c>
      <c r="GG1235" s="101">
        <f t="shared" si="581"/>
        <v>1.4E-2</v>
      </c>
      <c r="GH1235" s="101">
        <f t="shared" si="582"/>
        <v>1</v>
      </c>
      <c r="GI1235" s="101">
        <f t="shared" si="583"/>
        <v>25</v>
      </c>
      <c r="GJ1235" s="101">
        <f t="shared" si="584"/>
        <v>5.6000000000000001E-2</v>
      </c>
      <c r="GK1235" s="101">
        <f t="shared" si="585"/>
        <v>1</v>
      </c>
      <c r="GL1235" s="101">
        <f t="shared" si="586"/>
        <v>54</v>
      </c>
    </row>
    <row r="1236" spans="170:194" ht="16.5" x14ac:dyDescent="0.2">
      <c r="FN1236" s="101">
        <v>1231</v>
      </c>
      <c r="FO1236" s="101">
        <f t="shared" si="571"/>
        <v>0</v>
      </c>
      <c r="FP1236" s="101">
        <f t="shared" si="587"/>
        <v>16</v>
      </c>
      <c r="FQ1236" s="14">
        <f t="shared" si="588"/>
        <v>3</v>
      </c>
      <c r="FR1236" s="101" t="str">
        <f t="shared" si="572"/>
        <v>烈风螳螂专属武器-魂珠-4 0级</v>
      </c>
      <c r="FS1236" s="101">
        <f t="shared" si="573"/>
        <v>4</v>
      </c>
      <c r="FT1236" s="101">
        <f t="shared" si="574"/>
        <v>0</v>
      </c>
      <c r="FU1236" s="101" t="str">
        <f t="shared" si="589"/>
        <v/>
      </c>
      <c r="FV1236" s="139" t="str">
        <f>IF($FT1236&gt;0,IF(INDEX($EI$6:$EI$77,$FO1236)&gt;=FV$3,ROUND(INDEX(EK$6:EK$77,$FO1236)*INDEX(卡牌消耗!$B$8:$F$8,FQ1236)/5,0)*5,""),"")</f>
        <v/>
      </c>
      <c r="FW1236" s="101" t="str">
        <f t="shared" si="590"/>
        <v/>
      </c>
      <c r="FX1236" s="101" t="str">
        <f t="shared" si="591"/>
        <v/>
      </c>
      <c r="FY1236" s="101" t="str">
        <f t="shared" si="592"/>
        <v/>
      </c>
      <c r="FZ1236" s="101" t="str">
        <f t="shared" si="593"/>
        <v/>
      </c>
      <c r="GA1236" s="101" t="str">
        <f t="shared" si="575"/>
        <v/>
      </c>
      <c r="GB1236" s="101" t="str">
        <f t="shared" si="576"/>
        <v/>
      </c>
      <c r="GC1236" s="101" t="str">
        <f t="shared" si="577"/>
        <v/>
      </c>
      <c r="GD1236" s="101" t="str">
        <f t="shared" si="578"/>
        <v/>
      </c>
      <c r="GE1236" s="101" t="str">
        <f t="shared" si="579"/>
        <v/>
      </c>
      <c r="GF1236" s="101" t="str">
        <f t="shared" si="580"/>
        <v/>
      </c>
      <c r="GG1236" s="101" t="str">
        <f t="shared" si="581"/>
        <v/>
      </c>
      <c r="GH1236" s="101" t="str">
        <f t="shared" si="582"/>
        <v/>
      </c>
      <c r="GI1236" s="101" t="str">
        <f t="shared" si="583"/>
        <v/>
      </c>
      <c r="GJ1236" s="101" t="str">
        <f t="shared" si="584"/>
        <v/>
      </c>
      <c r="GK1236" s="101" t="str">
        <f t="shared" si="585"/>
        <v/>
      </c>
      <c r="GL1236" s="101" t="str">
        <f t="shared" si="586"/>
        <v/>
      </c>
    </row>
    <row r="1237" spans="170:194" ht="16.5" x14ac:dyDescent="0.2">
      <c r="FN1237" s="101">
        <v>1232</v>
      </c>
      <c r="FO1237" s="101">
        <f t="shared" si="571"/>
        <v>28</v>
      </c>
      <c r="FP1237" s="101">
        <f t="shared" si="587"/>
        <v>16</v>
      </c>
      <c r="FQ1237" s="14">
        <f t="shared" si="588"/>
        <v>3</v>
      </c>
      <c r="FR1237" s="101" t="str">
        <f t="shared" si="572"/>
        <v>烈风螳螂专属武器-魂珠-4 1级</v>
      </c>
      <c r="FS1237" s="101">
        <f t="shared" si="573"/>
        <v>4</v>
      </c>
      <c r="FT1237" s="101">
        <f t="shared" si="574"/>
        <v>1</v>
      </c>
      <c r="FU1237" s="101" t="str">
        <f t="shared" si="589"/>
        <v>金币</v>
      </c>
      <c r="FV1237" s="139">
        <f>IF($FT1237&gt;0,IF(INDEX($EI$6:$EI$77,$FO1237)&gt;=FV$3,ROUND(INDEX(EK$6:EK$77,$FO1237)*INDEX(卡牌消耗!$B$8:$F$8,FQ1237)/5,0)*5,""),"")</f>
        <v>730</v>
      </c>
      <c r="FW1237" s="101" t="str">
        <f t="shared" si="590"/>
        <v>专属强化石2</v>
      </c>
      <c r="FX1237" s="101">
        <f t="shared" si="591"/>
        <v>3</v>
      </c>
      <c r="FY1237" s="101" t="str">
        <f t="shared" si="592"/>
        <v>专属强化石3</v>
      </c>
      <c r="FZ1237" s="101">
        <f t="shared" si="593"/>
        <v>1</v>
      </c>
      <c r="GA1237" s="101">
        <f t="shared" si="575"/>
        <v>0.2</v>
      </c>
      <c r="GB1237" s="101">
        <f t="shared" si="576"/>
        <v>1</v>
      </c>
      <c r="GC1237" s="101">
        <f t="shared" si="577"/>
        <v>7</v>
      </c>
      <c r="GD1237" s="101">
        <f t="shared" si="578"/>
        <v>0</v>
      </c>
      <c r="GE1237" s="101">
        <f t="shared" si="579"/>
        <v>1</v>
      </c>
      <c r="GF1237" s="101">
        <f t="shared" si="580"/>
        <v>2</v>
      </c>
      <c r="GG1237" s="101">
        <f t="shared" si="581"/>
        <v>0.1012</v>
      </c>
      <c r="GH1237" s="101">
        <f t="shared" si="582"/>
        <v>1</v>
      </c>
      <c r="GI1237" s="101">
        <f t="shared" si="583"/>
        <v>3</v>
      </c>
      <c r="GJ1237" s="101">
        <f t="shared" si="584"/>
        <v>0.40479999999999999</v>
      </c>
      <c r="GK1237" s="101">
        <f t="shared" si="585"/>
        <v>1</v>
      </c>
      <c r="GL1237" s="101">
        <f t="shared" si="586"/>
        <v>7</v>
      </c>
    </row>
    <row r="1238" spans="170:194" ht="16.5" x14ac:dyDescent="0.2">
      <c r="FN1238" s="101">
        <v>1233</v>
      </c>
      <c r="FO1238" s="101">
        <f t="shared" ref="FO1238:FO1301" si="594">IF(FT1238&gt;0,(FS1238-1)*9+FT1238,0)</f>
        <v>29</v>
      </c>
      <c r="FP1238" s="101">
        <f t="shared" si="587"/>
        <v>16</v>
      </c>
      <c r="FQ1238" s="14">
        <f t="shared" si="588"/>
        <v>3</v>
      </c>
      <c r="FR1238" s="101" t="str">
        <f t="shared" ref="FR1238:FR1301" si="595">INDEX($FI$6:$FI$26,FP1238)&amp;"专属武器-魂珠-"&amp;FS1238&amp;" "&amp;FT1238&amp;"级"</f>
        <v>烈风螳螂专属武器-魂珠-4 2级</v>
      </c>
      <c r="FS1238" s="101">
        <f t="shared" ref="FS1238:FS1301" si="596">INT((FN1238-(FP1238-1)*80-1)/10)+1</f>
        <v>4</v>
      </c>
      <c r="FT1238" s="101">
        <f t="shared" ref="FT1238:FT1301" si="597">FN1238-(FP1238-1)*80-(FS1238-1)*10-1</f>
        <v>2</v>
      </c>
      <c r="FU1238" s="101" t="str">
        <f t="shared" si="589"/>
        <v>金币</v>
      </c>
      <c r="FV1238" s="139">
        <f>IF($FT1238&gt;0,IF(INDEX($EI$6:$EI$77,$FO1238)&gt;=FV$3,ROUND(INDEX(EK$6:EK$77,$FO1238)*INDEX(卡牌消耗!$B$8:$F$8,FQ1238)/5,0)*5,""),"")</f>
        <v>545</v>
      </c>
      <c r="FW1238" s="101" t="str">
        <f t="shared" si="590"/>
        <v>专属强化石2</v>
      </c>
      <c r="FX1238" s="101">
        <f t="shared" si="591"/>
        <v>3</v>
      </c>
      <c r="FY1238" s="101" t="str">
        <f t="shared" si="592"/>
        <v>专属强化石3</v>
      </c>
      <c r="FZ1238" s="101">
        <f t="shared" si="593"/>
        <v>1</v>
      </c>
      <c r="GA1238" s="101">
        <f t="shared" ref="GA1238:GA1301" si="598">IF($FT1238&gt;0,INDEX(EP$6:EP$77,$FO1238),"")</f>
        <v>0.1</v>
      </c>
      <c r="GB1238" s="101">
        <f t="shared" ref="GB1238:GB1301" si="599">IF($FT1238&gt;0,INDEX(EQ$6:EQ$77,$FO1238),"")</f>
        <v>1</v>
      </c>
      <c r="GC1238" s="101">
        <f t="shared" ref="GC1238:GC1301" si="600">IF($FT1238&gt;0,INDEX(ER$6:ER$77,$FO1238),"")</f>
        <v>15</v>
      </c>
      <c r="GD1238" s="101">
        <f t="shared" ref="GD1238:GD1301" si="601">IF($FT1238&gt;0,INDEX(EV$6:EV$77,$FO1238),"")</f>
        <v>0</v>
      </c>
      <c r="GE1238" s="101">
        <f t="shared" ref="GE1238:GE1301" si="602">IF($FT1238&gt;0,INDEX(EW$6:EW$77,$FO1238),"")</f>
        <v>1</v>
      </c>
      <c r="GF1238" s="101">
        <f t="shared" ref="GF1238:GF1301" si="603">IF($FT1238&gt;0,INDEX(EX$6:EX$77,$FO1238),"")</f>
        <v>3</v>
      </c>
      <c r="GG1238" s="101">
        <f t="shared" ref="GG1238:GG1301" si="604">IF($FT1238&gt;0,INDEX(EY$6:EY$77,$FO1238),"")</f>
        <v>5.0599999999999999E-2</v>
      </c>
      <c r="GH1238" s="101">
        <f t="shared" ref="GH1238:GH1301" si="605">IF($FT1238&gt;0,INDEX(EZ$6:EZ$77,$FO1238),"")</f>
        <v>1</v>
      </c>
      <c r="GI1238" s="101">
        <f t="shared" ref="GI1238:GI1301" si="606">IF($FT1238&gt;0,INDEX(FA$6:FA$77,$FO1238),"")</f>
        <v>7</v>
      </c>
      <c r="GJ1238" s="101">
        <f t="shared" ref="GJ1238:GJ1301" si="607">IF($FT1238&gt;0,INDEX(FB$6:FB$77,$FO1238),"")</f>
        <v>0.2024</v>
      </c>
      <c r="GK1238" s="101">
        <f t="shared" ref="GK1238:GK1301" si="608">IF($FT1238&gt;0,INDEX(FC$6:FC$77,$FO1238),"")</f>
        <v>1</v>
      </c>
      <c r="GL1238" s="101">
        <f t="shared" ref="GL1238:GL1301" si="609">IF($FT1238&gt;0,INDEX(FD$6:FD$77,$FO1238),"")</f>
        <v>15</v>
      </c>
    </row>
    <row r="1239" spans="170:194" ht="16.5" x14ac:dyDescent="0.2">
      <c r="FN1239" s="101">
        <v>1234</v>
      </c>
      <c r="FO1239" s="101">
        <f t="shared" si="594"/>
        <v>30</v>
      </c>
      <c r="FP1239" s="101">
        <f t="shared" si="587"/>
        <v>16</v>
      </c>
      <c r="FQ1239" s="14">
        <f t="shared" si="588"/>
        <v>3</v>
      </c>
      <c r="FR1239" s="101" t="str">
        <f t="shared" si="595"/>
        <v>烈风螳螂专属武器-魂珠-4 3级</v>
      </c>
      <c r="FS1239" s="101">
        <f t="shared" si="596"/>
        <v>4</v>
      </c>
      <c r="FT1239" s="101">
        <f t="shared" si="597"/>
        <v>3</v>
      </c>
      <c r="FU1239" s="101" t="str">
        <f t="shared" si="589"/>
        <v>金币</v>
      </c>
      <c r="FV1239" s="139">
        <f>IF($FT1239&gt;0,IF(INDEX($EI$6:$EI$77,$FO1239)&gt;=FV$3,ROUND(INDEX(EK$6:EK$77,$FO1239)*INDEX(卡牌消耗!$B$8:$F$8,FQ1239)/5,0)*5,""),"")</f>
        <v>610</v>
      </c>
      <c r="FW1239" s="101" t="str">
        <f t="shared" si="590"/>
        <v>专属强化石2</v>
      </c>
      <c r="FX1239" s="101">
        <f t="shared" si="591"/>
        <v>3</v>
      </c>
      <c r="FY1239" s="101" t="str">
        <f t="shared" si="592"/>
        <v>专属强化石3</v>
      </c>
      <c r="FZ1239" s="101">
        <f t="shared" si="593"/>
        <v>1</v>
      </c>
      <c r="GA1239" s="101">
        <f t="shared" si="598"/>
        <v>7.0000000000000007E-2</v>
      </c>
      <c r="GB1239" s="101">
        <f t="shared" si="599"/>
        <v>1</v>
      </c>
      <c r="GC1239" s="101">
        <f t="shared" si="600"/>
        <v>22</v>
      </c>
      <c r="GD1239" s="101">
        <f t="shared" si="601"/>
        <v>0</v>
      </c>
      <c r="GE1239" s="101">
        <f t="shared" si="602"/>
        <v>1</v>
      </c>
      <c r="GF1239" s="101">
        <f t="shared" si="603"/>
        <v>5</v>
      </c>
      <c r="GG1239" s="101">
        <f t="shared" si="604"/>
        <v>3.3700000000000001E-2</v>
      </c>
      <c r="GH1239" s="101">
        <f t="shared" si="605"/>
        <v>1</v>
      </c>
      <c r="GI1239" s="101">
        <f t="shared" si="606"/>
        <v>10</v>
      </c>
      <c r="GJ1239" s="101">
        <f t="shared" si="607"/>
        <v>0.13489999999999999</v>
      </c>
      <c r="GK1239" s="101">
        <f t="shared" si="608"/>
        <v>1</v>
      </c>
      <c r="GL1239" s="101">
        <f t="shared" si="609"/>
        <v>22</v>
      </c>
    </row>
    <row r="1240" spans="170:194" ht="16.5" x14ac:dyDescent="0.2">
      <c r="FN1240" s="101">
        <v>1235</v>
      </c>
      <c r="FO1240" s="101">
        <f t="shared" si="594"/>
        <v>31</v>
      </c>
      <c r="FP1240" s="101">
        <f t="shared" si="587"/>
        <v>16</v>
      </c>
      <c r="FQ1240" s="14">
        <f t="shared" si="588"/>
        <v>3</v>
      </c>
      <c r="FR1240" s="101" t="str">
        <f t="shared" si="595"/>
        <v>烈风螳螂专属武器-魂珠-4 4级</v>
      </c>
      <c r="FS1240" s="101">
        <f t="shared" si="596"/>
        <v>4</v>
      </c>
      <c r="FT1240" s="101">
        <f t="shared" si="597"/>
        <v>4</v>
      </c>
      <c r="FU1240" s="101" t="str">
        <f t="shared" si="589"/>
        <v>金币</v>
      </c>
      <c r="FV1240" s="139">
        <f>IF($FT1240&gt;0,IF(INDEX($EI$6:$EI$77,$FO1240)&gt;=FV$3,ROUND(INDEX(EK$6:EK$77,$FO1240)*INDEX(卡牌消耗!$B$8:$F$8,FQ1240)/5,0)*5,""),"")</f>
        <v>1165</v>
      </c>
      <c r="FW1240" s="101" t="str">
        <f t="shared" si="590"/>
        <v>专属强化石2</v>
      </c>
      <c r="FX1240" s="101">
        <f t="shared" si="591"/>
        <v>5</v>
      </c>
      <c r="FY1240" s="101" t="str">
        <f t="shared" si="592"/>
        <v>专属强化石3</v>
      </c>
      <c r="FZ1240" s="101">
        <f t="shared" si="593"/>
        <v>2</v>
      </c>
      <c r="GA1240" s="101">
        <f t="shared" si="598"/>
        <v>0.08</v>
      </c>
      <c r="GB1240" s="101">
        <f t="shared" si="599"/>
        <v>1</v>
      </c>
      <c r="GC1240" s="101">
        <f t="shared" si="600"/>
        <v>19</v>
      </c>
      <c r="GD1240" s="101">
        <f t="shared" si="601"/>
        <v>0</v>
      </c>
      <c r="GE1240" s="101">
        <f t="shared" si="602"/>
        <v>1</v>
      </c>
      <c r="GF1240" s="101">
        <f t="shared" si="603"/>
        <v>4</v>
      </c>
      <c r="GG1240" s="101">
        <f t="shared" si="604"/>
        <v>4.0500000000000001E-2</v>
      </c>
      <c r="GH1240" s="101">
        <f t="shared" si="605"/>
        <v>1</v>
      </c>
      <c r="GI1240" s="101">
        <f t="shared" si="606"/>
        <v>9</v>
      </c>
      <c r="GJ1240" s="101">
        <f t="shared" si="607"/>
        <v>0.16189999999999999</v>
      </c>
      <c r="GK1240" s="101">
        <f t="shared" si="608"/>
        <v>1</v>
      </c>
      <c r="GL1240" s="101">
        <f t="shared" si="609"/>
        <v>19</v>
      </c>
    </row>
    <row r="1241" spans="170:194" ht="16.5" x14ac:dyDescent="0.2">
      <c r="FN1241" s="101">
        <v>1236</v>
      </c>
      <c r="FO1241" s="101">
        <f t="shared" si="594"/>
        <v>32</v>
      </c>
      <c r="FP1241" s="101">
        <f t="shared" si="587"/>
        <v>16</v>
      </c>
      <c r="FQ1241" s="14">
        <f t="shared" si="588"/>
        <v>3</v>
      </c>
      <c r="FR1241" s="101" t="str">
        <f t="shared" si="595"/>
        <v>烈风螳螂专属武器-魂珠-4 5级</v>
      </c>
      <c r="FS1241" s="101">
        <f t="shared" si="596"/>
        <v>4</v>
      </c>
      <c r="FT1241" s="101">
        <f t="shared" si="597"/>
        <v>5</v>
      </c>
      <c r="FU1241" s="101" t="str">
        <f t="shared" si="589"/>
        <v>金币</v>
      </c>
      <c r="FV1241" s="139">
        <f>IF($FT1241&gt;0,IF(INDEX($EI$6:$EI$77,$FO1241)&gt;=FV$3,ROUND(INDEX(EK$6:EK$77,$FO1241)*INDEX(卡牌消耗!$B$8:$F$8,FQ1241)/5,0)*5,""),"")</f>
        <v>1185</v>
      </c>
      <c r="FW1241" s="101" t="str">
        <f t="shared" si="590"/>
        <v>专属强化石2</v>
      </c>
      <c r="FX1241" s="101">
        <f t="shared" si="591"/>
        <v>5</v>
      </c>
      <c r="FY1241" s="101" t="str">
        <f t="shared" si="592"/>
        <v>专属强化石3</v>
      </c>
      <c r="FZ1241" s="101">
        <f t="shared" si="593"/>
        <v>2</v>
      </c>
      <c r="GA1241" s="101">
        <f t="shared" si="598"/>
        <v>0.05</v>
      </c>
      <c r="GB1241" s="101">
        <f t="shared" si="599"/>
        <v>1</v>
      </c>
      <c r="GC1241" s="101">
        <f t="shared" si="600"/>
        <v>30</v>
      </c>
      <c r="GD1241" s="101">
        <f t="shared" si="601"/>
        <v>0</v>
      </c>
      <c r="GE1241" s="101">
        <f t="shared" si="602"/>
        <v>1</v>
      </c>
      <c r="GF1241" s="101">
        <f t="shared" si="603"/>
        <v>7</v>
      </c>
      <c r="GG1241" s="101">
        <f t="shared" si="604"/>
        <v>2.53E-2</v>
      </c>
      <c r="GH1241" s="101">
        <f t="shared" si="605"/>
        <v>1</v>
      </c>
      <c r="GI1241" s="101">
        <f t="shared" si="606"/>
        <v>14</v>
      </c>
      <c r="GJ1241" s="101">
        <f t="shared" si="607"/>
        <v>0.1012</v>
      </c>
      <c r="GK1241" s="101">
        <f t="shared" si="608"/>
        <v>1</v>
      </c>
      <c r="GL1241" s="101">
        <f t="shared" si="609"/>
        <v>30</v>
      </c>
    </row>
    <row r="1242" spans="170:194" ht="16.5" x14ac:dyDescent="0.2">
      <c r="FN1242" s="101">
        <v>1237</v>
      </c>
      <c r="FO1242" s="101">
        <f t="shared" si="594"/>
        <v>33</v>
      </c>
      <c r="FP1242" s="101">
        <f t="shared" si="587"/>
        <v>16</v>
      </c>
      <c r="FQ1242" s="14">
        <f t="shared" si="588"/>
        <v>3</v>
      </c>
      <c r="FR1242" s="101" t="str">
        <f t="shared" si="595"/>
        <v>烈风螳螂专属武器-魂珠-4 6级</v>
      </c>
      <c r="FS1242" s="101">
        <f t="shared" si="596"/>
        <v>4</v>
      </c>
      <c r="FT1242" s="101">
        <f t="shared" si="597"/>
        <v>6</v>
      </c>
      <c r="FU1242" s="101" t="str">
        <f t="shared" si="589"/>
        <v>金币</v>
      </c>
      <c r="FV1242" s="139">
        <f>IF($FT1242&gt;0,IF(INDEX($EI$6:$EI$77,$FO1242)&gt;=FV$3,ROUND(INDEX(EK$6:EK$77,$FO1242)*INDEX(卡牌消耗!$B$8:$F$8,FQ1242)/5,0)*5,""),"")</f>
        <v>1180</v>
      </c>
      <c r="FW1242" s="101" t="str">
        <f t="shared" si="590"/>
        <v>专属强化石2</v>
      </c>
      <c r="FX1242" s="101">
        <f t="shared" si="591"/>
        <v>5</v>
      </c>
      <c r="FY1242" s="101" t="str">
        <f t="shared" si="592"/>
        <v>专属强化石3</v>
      </c>
      <c r="FZ1242" s="101">
        <f t="shared" si="593"/>
        <v>2</v>
      </c>
      <c r="GA1242" s="101">
        <f t="shared" si="598"/>
        <v>0.03</v>
      </c>
      <c r="GB1242" s="101">
        <f t="shared" si="599"/>
        <v>1</v>
      </c>
      <c r="GC1242" s="101">
        <f t="shared" si="600"/>
        <v>48</v>
      </c>
      <c r="GD1242" s="101">
        <f t="shared" si="601"/>
        <v>0</v>
      </c>
      <c r="GE1242" s="101">
        <f t="shared" si="602"/>
        <v>1</v>
      </c>
      <c r="GF1242" s="101">
        <f t="shared" si="603"/>
        <v>11</v>
      </c>
      <c r="GG1242" s="101">
        <f t="shared" si="604"/>
        <v>1.5599999999999999E-2</v>
      </c>
      <c r="GH1242" s="101">
        <f t="shared" si="605"/>
        <v>1</v>
      </c>
      <c r="GI1242" s="101">
        <f t="shared" si="606"/>
        <v>22</v>
      </c>
      <c r="GJ1242" s="101">
        <f t="shared" si="607"/>
        <v>6.2300000000000001E-2</v>
      </c>
      <c r="GK1242" s="101">
        <f t="shared" si="608"/>
        <v>1</v>
      </c>
      <c r="GL1242" s="101">
        <f t="shared" si="609"/>
        <v>48</v>
      </c>
    </row>
    <row r="1243" spans="170:194" ht="16.5" x14ac:dyDescent="0.2">
      <c r="FN1243" s="101">
        <v>1238</v>
      </c>
      <c r="FO1243" s="101">
        <f t="shared" si="594"/>
        <v>34</v>
      </c>
      <c r="FP1243" s="101">
        <f t="shared" si="587"/>
        <v>16</v>
      </c>
      <c r="FQ1243" s="14">
        <f t="shared" si="588"/>
        <v>3</v>
      </c>
      <c r="FR1243" s="101" t="str">
        <f t="shared" si="595"/>
        <v>烈风螳螂专属武器-魂珠-4 7级</v>
      </c>
      <c r="FS1243" s="101">
        <f t="shared" si="596"/>
        <v>4</v>
      </c>
      <c r="FT1243" s="101">
        <f t="shared" si="597"/>
        <v>7</v>
      </c>
      <c r="FU1243" s="101" t="str">
        <f t="shared" si="589"/>
        <v>金币</v>
      </c>
      <c r="FV1243" s="139">
        <f>IF($FT1243&gt;0,IF(INDEX($EI$6:$EI$77,$FO1243)&gt;=FV$3,ROUND(INDEX(EK$6:EK$77,$FO1243)*INDEX(卡牌消耗!$B$8:$F$8,FQ1243)/5,0)*5,""),"")</f>
        <v>1770</v>
      </c>
      <c r="FW1243" s="101" t="str">
        <f t="shared" si="590"/>
        <v>专属强化石2</v>
      </c>
      <c r="FX1243" s="101">
        <f t="shared" si="591"/>
        <v>8</v>
      </c>
      <c r="FY1243" s="101" t="str">
        <f t="shared" si="592"/>
        <v>专属强化石3</v>
      </c>
      <c r="FZ1243" s="101">
        <f t="shared" si="593"/>
        <v>3</v>
      </c>
      <c r="GA1243" s="101">
        <f t="shared" si="598"/>
        <v>0.03</v>
      </c>
      <c r="GB1243" s="101">
        <f t="shared" si="599"/>
        <v>1</v>
      </c>
      <c r="GC1243" s="101">
        <f t="shared" si="600"/>
        <v>52</v>
      </c>
      <c r="GD1243" s="101">
        <f t="shared" si="601"/>
        <v>0</v>
      </c>
      <c r="GE1243" s="101">
        <f t="shared" si="602"/>
        <v>1</v>
      </c>
      <c r="GF1243" s="101">
        <f t="shared" si="603"/>
        <v>12</v>
      </c>
      <c r="GG1243" s="101">
        <f t="shared" si="604"/>
        <v>1.4500000000000001E-2</v>
      </c>
      <c r="GH1243" s="101">
        <f t="shared" si="605"/>
        <v>1</v>
      </c>
      <c r="GI1243" s="101">
        <f t="shared" si="606"/>
        <v>24</v>
      </c>
      <c r="GJ1243" s="101">
        <f t="shared" si="607"/>
        <v>5.7799999999999997E-2</v>
      </c>
      <c r="GK1243" s="101">
        <f t="shared" si="608"/>
        <v>1</v>
      </c>
      <c r="GL1243" s="101">
        <f t="shared" si="609"/>
        <v>52</v>
      </c>
    </row>
    <row r="1244" spans="170:194" ht="16.5" x14ac:dyDescent="0.2">
      <c r="FN1244" s="101">
        <v>1239</v>
      </c>
      <c r="FO1244" s="101">
        <f t="shared" si="594"/>
        <v>35</v>
      </c>
      <c r="FP1244" s="101">
        <f t="shared" si="587"/>
        <v>16</v>
      </c>
      <c r="FQ1244" s="14">
        <f t="shared" si="588"/>
        <v>3</v>
      </c>
      <c r="FR1244" s="101" t="str">
        <f t="shared" si="595"/>
        <v>烈风螳螂专属武器-魂珠-4 8级</v>
      </c>
      <c r="FS1244" s="101">
        <f t="shared" si="596"/>
        <v>4</v>
      </c>
      <c r="FT1244" s="101">
        <f t="shared" si="597"/>
        <v>8</v>
      </c>
      <c r="FU1244" s="101" t="str">
        <f t="shared" si="589"/>
        <v>金币</v>
      </c>
      <c r="FV1244" s="139">
        <f>IF($FT1244&gt;0,IF(INDEX($EI$6:$EI$77,$FO1244)&gt;=FV$3,ROUND(INDEX(EK$6:EK$77,$FO1244)*INDEX(卡牌消耗!$B$8:$F$8,FQ1244)/5,0)*5,""),"")</f>
        <v>2360</v>
      </c>
      <c r="FW1244" s="101" t="str">
        <f t="shared" si="590"/>
        <v>专属强化石2</v>
      </c>
      <c r="FX1244" s="101">
        <f t="shared" si="591"/>
        <v>11</v>
      </c>
      <c r="FY1244" s="101" t="str">
        <f t="shared" si="592"/>
        <v>专属强化石3</v>
      </c>
      <c r="FZ1244" s="101">
        <f t="shared" si="593"/>
        <v>4</v>
      </c>
      <c r="GA1244" s="101">
        <f t="shared" si="598"/>
        <v>0.02</v>
      </c>
      <c r="GB1244" s="101">
        <f t="shared" si="599"/>
        <v>1</v>
      </c>
      <c r="GC1244" s="101">
        <f t="shared" si="600"/>
        <v>63</v>
      </c>
      <c r="GD1244" s="101">
        <f t="shared" si="601"/>
        <v>0</v>
      </c>
      <c r="GE1244" s="101">
        <f t="shared" si="602"/>
        <v>1</v>
      </c>
      <c r="GF1244" s="101">
        <f t="shared" si="603"/>
        <v>15</v>
      </c>
      <c r="GG1244" s="101">
        <f t="shared" si="604"/>
        <v>1.1900000000000001E-2</v>
      </c>
      <c r="GH1244" s="101">
        <f t="shared" si="605"/>
        <v>1</v>
      </c>
      <c r="GI1244" s="101">
        <f t="shared" si="606"/>
        <v>29</v>
      </c>
      <c r="GJ1244" s="101">
        <f t="shared" si="607"/>
        <v>4.7600000000000003E-2</v>
      </c>
      <c r="GK1244" s="101">
        <f t="shared" si="608"/>
        <v>1</v>
      </c>
      <c r="GL1244" s="101">
        <f t="shared" si="609"/>
        <v>63</v>
      </c>
    </row>
    <row r="1245" spans="170:194" ht="16.5" x14ac:dyDescent="0.2">
      <c r="FN1245" s="101">
        <v>1240</v>
      </c>
      <c r="FO1245" s="101">
        <f t="shared" si="594"/>
        <v>36</v>
      </c>
      <c r="FP1245" s="101">
        <f t="shared" si="587"/>
        <v>16</v>
      </c>
      <c r="FQ1245" s="14">
        <f t="shared" si="588"/>
        <v>3</v>
      </c>
      <c r="FR1245" s="101" t="str">
        <f t="shared" si="595"/>
        <v>烈风螳螂专属武器-魂珠-4 9级</v>
      </c>
      <c r="FS1245" s="101">
        <f t="shared" si="596"/>
        <v>4</v>
      </c>
      <c r="FT1245" s="101">
        <f t="shared" si="597"/>
        <v>9</v>
      </c>
      <c r="FU1245" s="101" t="str">
        <f t="shared" si="589"/>
        <v>金币</v>
      </c>
      <c r="FV1245" s="139">
        <f>IF($FT1245&gt;0,IF(INDEX($EI$6:$EI$77,$FO1245)&gt;=FV$3,ROUND(INDEX(EK$6:EK$77,$FO1245)*INDEX(卡牌消耗!$B$8:$F$8,FQ1245)/5,0)*5,""),"")</f>
        <v>3540</v>
      </c>
      <c r="FW1245" s="101" t="str">
        <f t="shared" si="590"/>
        <v>专属强化石2</v>
      </c>
      <c r="FX1245" s="101">
        <f t="shared" si="591"/>
        <v>16</v>
      </c>
      <c r="FY1245" s="101" t="str">
        <f t="shared" si="592"/>
        <v>专属强化石3</v>
      </c>
      <c r="FZ1245" s="101">
        <f t="shared" si="593"/>
        <v>6</v>
      </c>
      <c r="GA1245" s="101">
        <f t="shared" si="598"/>
        <v>0.02</v>
      </c>
      <c r="GB1245" s="101">
        <f t="shared" si="599"/>
        <v>1</v>
      </c>
      <c r="GC1245" s="101">
        <f t="shared" si="600"/>
        <v>68</v>
      </c>
      <c r="GD1245" s="101">
        <f t="shared" si="601"/>
        <v>0</v>
      </c>
      <c r="GE1245" s="101">
        <f t="shared" si="602"/>
        <v>1</v>
      </c>
      <c r="GF1245" s="101">
        <f t="shared" si="603"/>
        <v>16</v>
      </c>
      <c r="GG1245" s="101">
        <f t="shared" si="604"/>
        <v>1.0999999999999999E-2</v>
      </c>
      <c r="GH1245" s="101">
        <f t="shared" si="605"/>
        <v>1</v>
      </c>
      <c r="GI1245" s="101">
        <f t="shared" si="606"/>
        <v>32</v>
      </c>
      <c r="GJ1245" s="101">
        <f t="shared" si="607"/>
        <v>4.4200000000000003E-2</v>
      </c>
      <c r="GK1245" s="101">
        <f t="shared" si="608"/>
        <v>1</v>
      </c>
      <c r="GL1245" s="101">
        <f t="shared" si="609"/>
        <v>68</v>
      </c>
    </row>
    <row r="1246" spans="170:194" ht="16.5" x14ac:dyDescent="0.2">
      <c r="FN1246" s="101">
        <v>1241</v>
      </c>
      <c r="FO1246" s="101">
        <f t="shared" si="594"/>
        <v>0</v>
      </c>
      <c r="FP1246" s="101">
        <f t="shared" si="587"/>
        <v>16</v>
      </c>
      <c r="FQ1246" s="14">
        <f t="shared" si="588"/>
        <v>3</v>
      </c>
      <c r="FR1246" s="101" t="str">
        <f t="shared" si="595"/>
        <v>烈风螳螂专属武器-魂珠-5 0级</v>
      </c>
      <c r="FS1246" s="101">
        <f t="shared" si="596"/>
        <v>5</v>
      </c>
      <c r="FT1246" s="101">
        <f t="shared" si="597"/>
        <v>0</v>
      </c>
      <c r="FU1246" s="101" t="str">
        <f t="shared" si="589"/>
        <v/>
      </c>
      <c r="FV1246" s="139" t="str">
        <f>IF($FT1246&gt;0,IF(INDEX($EI$6:$EI$77,$FO1246)&gt;=FV$3,ROUND(INDEX(EK$6:EK$77,$FO1246)*INDEX(卡牌消耗!$B$8:$F$8,FQ1246)/5,0)*5,""),"")</f>
        <v/>
      </c>
      <c r="FW1246" s="101" t="str">
        <f t="shared" si="590"/>
        <v/>
      </c>
      <c r="FX1246" s="101" t="str">
        <f t="shared" si="591"/>
        <v/>
      </c>
      <c r="FY1246" s="101" t="str">
        <f t="shared" si="592"/>
        <v/>
      </c>
      <c r="FZ1246" s="101" t="str">
        <f t="shared" si="593"/>
        <v/>
      </c>
      <c r="GA1246" s="101" t="str">
        <f t="shared" si="598"/>
        <v/>
      </c>
      <c r="GB1246" s="101" t="str">
        <f t="shared" si="599"/>
        <v/>
      </c>
      <c r="GC1246" s="101" t="str">
        <f t="shared" si="600"/>
        <v/>
      </c>
      <c r="GD1246" s="101" t="str">
        <f t="shared" si="601"/>
        <v/>
      </c>
      <c r="GE1246" s="101" t="str">
        <f t="shared" si="602"/>
        <v/>
      </c>
      <c r="GF1246" s="101" t="str">
        <f t="shared" si="603"/>
        <v/>
      </c>
      <c r="GG1246" s="101" t="str">
        <f t="shared" si="604"/>
        <v/>
      </c>
      <c r="GH1246" s="101" t="str">
        <f t="shared" si="605"/>
        <v/>
      </c>
      <c r="GI1246" s="101" t="str">
        <f t="shared" si="606"/>
        <v/>
      </c>
      <c r="GJ1246" s="101" t="str">
        <f t="shared" si="607"/>
        <v/>
      </c>
      <c r="GK1246" s="101" t="str">
        <f t="shared" si="608"/>
        <v/>
      </c>
      <c r="GL1246" s="101" t="str">
        <f t="shared" si="609"/>
        <v/>
      </c>
    </row>
    <row r="1247" spans="170:194" ht="16.5" x14ac:dyDescent="0.2">
      <c r="FN1247" s="101">
        <v>1242</v>
      </c>
      <c r="FO1247" s="101">
        <f t="shared" si="594"/>
        <v>37</v>
      </c>
      <c r="FP1247" s="101">
        <f t="shared" si="587"/>
        <v>16</v>
      </c>
      <c r="FQ1247" s="14">
        <f t="shared" si="588"/>
        <v>3</v>
      </c>
      <c r="FR1247" s="101" t="str">
        <f t="shared" si="595"/>
        <v>烈风螳螂专属武器-魂珠-5 1级</v>
      </c>
      <c r="FS1247" s="101">
        <f t="shared" si="596"/>
        <v>5</v>
      </c>
      <c r="FT1247" s="101">
        <f t="shared" si="597"/>
        <v>1</v>
      </c>
      <c r="FU1247" s="101" t="str">
        <f t="shared" si="589"/>
        <v>金币</v>
      </c>
      <c r="FV1247" s="139">
        <f>IF($FT1247&gt;0,IF(INDEX($EI$6:$EI$77,$FO1247)&gt;=FV$3,ROUND(INDEX(EK$6:EK$77,$FO1247)*INDEX(卡牌消耗!$B$8:$F$8,FQ1247)/5,0)*5,""),"")</f>
        <v>1495</v>
      </c>
      <c r="FW1247" s="101" t="str">
        <f t="shared" si="590"/>
        <v>专属强化石2</v>
      </c>
      <c r="FX1247" s="101">
        <f t="shared" si="591"/>
        <v>3</v>
      </c>
      <c r="FY1247" s="101" t="str">
        <f t="shared" si="592"/>
        <v>专属强化石3</v>
      </c>
      <c r="FZ1247" s="101">
        <f t="shared" si="593"/>
        <v>2</v>
      </c>
      <c r="GA1247" s="101">
        <f t="shared" si="598"/>
        <v>0.2</v>
      </c>
      <c r="GB1247" s="101">
        <f t="shared" si="599"/>
        <v>1</v>
      </c>
      <c r="GC1247" s="101">
        <f t="shared" si="600"/>
        <v>7</v>
      </c>
      <c r="GD1247" s="101">
        <f t="shared" si="601"/>
        <v>0</v>
      </c>
      <c r="GE1247" s="101">
        <f t="shared" si="602"/>
        <v>1</v>
      </c>
      <c r="GF1247" s="101">
        <f t="shared" si="603"/>
        <v>2</v>
      </c>
      <c r="GG1247" s="101">
        <f t="shared" si="604"/>
        <v>0.1012</v>
      </c>
      <c r="GH1247" s="101">
        <f t="shared" si="605"/>
        <v>1</v>
      </c>
      <c r="GI1247" s="101">
        <f t="shared" si="606"/>
        <v>3</v>
      </c>
      <c r="GJ1247" s="101">
        <f t="shared" si="607"/>
        <v>0.40479999999999999</v>
      </c>
      <c r="GK1247" s="101">
        <f t="shared" si="608"/>
        <v>1</v>
      </c>
      <c r="GL1247" s="101">
        <f t="shared" si="609"/>
        <v>7</v>
      </c>
    </row>
    <row r="1248" spans="170:194" ht="16.5" x14ac:dyDescent="0.2">
      <c r="FN1248" s="101">
        <v>1243</v>
      </c>
      <c r="FO1248" s="101">
        <f t="shared" si="594"/>
        <v>38</v>
      </c>
      <c r="FP1248" s="101">
        <f t="shared" si="587"/>
        <v>16</v>
      </c>
      <c r="FQ1248" s="14">
        <f t="shared" si="588"/>
        <v>3</v>
      </c>
      <c r="FR1248" s="101" t="str">
        <f t="shared" si="595"/>
        <v>烈风螳螂专属武器-魂珠-5 2级</v>
      </c>
      <c r="FS1248" s="101">
        <f t="shared" si="596"/>
        <v>5</v>
      </c>
      <c r="FT1248" s="101">
        <f t="shared" si="597"/>
        <v>2</v>
      </c>
      <c r="FU1248" s="101" t="str">
        <f t="shared" si="589"/>
        <v>金币</v>
      </c>
      <c r="FV1248" s="139">
        <f>IF($FT1248&gt;0,IF(INDEX($EI$6:$EI$77,$FO1248)&gt;=FV$3,ROUND(INDEX(EK$6:EK$77,$FO1248)*INDEX(卡牌消耗!$B$8:$F$8,FQ1248)/5,0)*5,""),"")</f>
        <v>1120</v>
      </c>
      <c r="FW1248" s="101" t="str">
        <f t="shared" si="590"/>
        <v>专属强化石2</v>
      </c>
      <c r="FX1248" s="101">
        <f t="shared" si="591"/>
        <v>3</v>
      </c>
      <c r="FY1248" s="101" t="str">
        <f t="shared" si="592"/>
        <v>专属强化石3</v>
      </c>
      <c r="FZ1248" s="101">
        <f t="shared" si="593"/>
        <v>2</v>
      </c>
      <c r="GA1248" s="101">
        <f t="shared" si="598"/>
        <v>0.1</v>
      </c>
      <c r="GB1248" s="101">
        <f t="shared" si="599"/>
        <v>1</v>
      </c>
      <c r="GC1248" s="101">
        <f t="shared" si="600"/>
        <v>15</v>
      </c>
      <c r="GD1248" s="101">
        <f t="shared" si="601"/>
        <v>0</v>
      </c>
      <c r="GE1248" s="101">
        <f t="shared" si="602"/>
        <v>1</v>
      </c>
      <c r="GF1248" s="101">
        <f t="shared" si="603"/>
        <v>3</v>
      </c>
      <c r="GG1248" s="101">
        <f t="shared" si="604"/>
        <v>5.0599999999999999E-2</v>
      </c>
      <c r="GH1248" s="101">
        <f t="shared" si="605"/>
        <v>1</v>
      </c>
      <c r="GI1248" s="101">
        <f t="shared" si="606"/>
        <v>7</v>
      </c>
      <c r="GJ1248" s="101">
        <f t="shared" si="607"/>
        <v>0.2024</v>
      </c>
      <c r="GK1248" s="101">
        <f t="shared" si="608"/>
        <v>1</v>
      </c>
      <c r="GL1248" s="101">
        <f t="shared" si="609"/>
        <v>15</v>
      </c>
    </row>
    <row r="1249" spans="170:194" ht="16.5" x14ac:dyDescent="0.2">
      <c r="FN1249" s="101">
        <v>1244</v>
      </c>
      <c r="FO1249" s="101">
        <f t="shared" si="594"/>
        <v>39</v>
      </c>
      <c r="FP1249" s="101">
        <f t="shared" si="587"/>
        <v>16</v>
      </c>
      <c r="FQ1249" s="14">
        <f t="shared" si="588"/>
        <v>3</v>
      </c>
      <c r="FR1249" s="101" t="str">
        <f t="shared" si="595"/>
        <v>烈风螳螂专属武器-魂珠-5 3级</v>
      </c>
      <c r="FS1249" s="101">
        <f t="shared" si="596"/>
        <v>5</v>
      </c>
      <c r="FT1249" s="101">
        <f t="shared" si="597"/>
        <v>3</v>
      </c>
      <c r="FU1249" s="101" t="str">
        <f t="shared" si="589"/>
        <v>金币</v>
      </c>
      <c r="FV1249" s="139">
        <f>IF($FT1249&gt;0,IF(INDEX($EI$6:$EI$77,$FO1249)&gt;=FV$3,ROUND(INDEX(EK$6:EK$77,$FO1249)*INDEX(卡牌消耗!$B$8:$F$8,FQ1249)/5,0)*5,""),"")</f>
        <v>1245</v>
      </c>
      <c r="FW1249" s="101" t="str">
        <f t="shared" si="590"/>
        <v>专属强化石2</v>
      </c>
      <c r="FX1249" s="101">
        <f t="shared" si="591"/>
        <v>3</v>
      </c>
      <c r="FY1249" s="101" t="str">
        <f t="shared" si="592"/>
        <v>专属强化石3</v>
      </c>
      <c r="FZ1249" s="101">
        <f t="shared" si="593"/>
        <v>2</v>
      </c>
      <c r="GA1249" s="101">
        <f t="shared" si="598"/>
        <v>7.0000000000000007E-2</v>
      </c>
      <c r="GB1249" s="101">
        <f t="shared" si="599"/>
        <v>1</v>
      </c>
      <c r="GC1249" s="101">
        <f t="shared" si="600"/>
        <v>22</v>
      </c>
      <c r="GD1249" s="101">
        <f t="shared" si="601"/>
        <v>0</v>
      </c>
      <c r="GE1249" s="101">
        <f t="shared" si="602"/>
        <v>1</v>
      </c>
      <c r="GF1249" s="101">
        <f t="shared" si="603"/>
        <v>5</v>
      </c>
      <c r="GG1249" s="101">
        <f t="shared" si="604"/>
        <v>3.3700000000000001E-2</v>
      </c>
      <c r="GH1249" s="101">
        <f t="shared" si="605"/>
        <v>1</v>
      </c>
      <c r="GI1249" s="101">
        <f t="shared" si="606"/>
        <v>10</v>
      </c>
      <c r="GJ1249" s="101">
        <f t="shared" si="607"/>
        <v>0.13489999999999999</v>
      </c>
      <c r="GK1249" s="101">
        <f t="shared" si="608"/>
        <v>1</v>
      </c>
      <c r="GL1249" s="101">
        <f t="shared" si="609"/>
        <v>22</v>
      </c>
    </row>
    <row r="1250" spans="170:194" ht="16.5" x14ac:dyDescent="0.2">
      <c r="FN1250" s="101">
        <v>1245</v>
      </c>
      <c r="FO1250" s="101">
        <f t="shared" si="594"/>
        <v>40</v>
      </c>
      <c r="FP1250" s="101">
        <f t="shared" si="587"/>
        <v>16</v>
      </c>
      <c r="FQ1250" s="14">
        <f t="shared" si="588"/>
        <v>3</v>
      </c>
      <c r="FR1250" s="101" t="str">
        <f t="shared" si="595"/>
        <v>烈风螳螂专属武器-魂珠-5 4级</v>
      </c>
      <c r="FS1250" s="101">
        <f t="shared" si="596"/>
        <v>5</v>
      </c>
      <c r="FT1250" s="101">
        <f t="shared" si="597"/>
        <v>4</v>
      </c>
      <c r="FU1250" s="101" t="str">
        <f t="shared" si="589"/>
        <v>金币</v>
      </c>
      <c r="FV1250" s="139">
        <f>IF($FT1250&gt;0,IF(INDEX($EI$6:$EI$77,$FO1250)&gt;=FV$3,ROUND(INDEX(EK$6:EK$77,$FO1250)*INDEX(卡牌消耗!$B$8:$F$8,FQ1250)/5,0)*5,""),"")</f>
        <v>1795</v>
      </c>
      <c r="FW1250" s="101" t="str">
        <f t="shared" si="590"/>
        <v>专属强化石2</v>
      </c>
      <c r="FX1250" s="101">
        <f t="shared" si="591"/>
        <v>5</v>
      </c>
      <c r="FY1250" s="101" t="str">
        <f t="shared" si="592"/>
        <v>专属强化石3</v>
      </c>
      <c r="FZ1250" s="101">
        <f t="shared" si="593"/>
        <v>3</v>
      </c>
      <c r="GA1250" s="101">
        <f t="shared" si="598"/>
        <v>0.06</v>
      </c>
      <c r="GB1250" s="101">
        <f t="shared" si="599"/>
        <v>1</v>
      </c>
      <c r="GC1250" s="101">
        <f t="shared" si="600"/>
        <v>25</v>
      </c>
      <c r="GD1250" s="101">
        <f t="shared" si="601"/>
        <v>0</v>
      </c>
      <c r="GE1250" s="101">
        <f t="shared" si="602"/>
        <v>1</v>
      </c>
      <c r="GF1250" s="101">
        <f t="shared" si="603"/>
        <v>6</v>
      </c>
      <c r="GG1250" s="101">
        <f t="shared" si="604"/>
        <v>3.04E-2</v>
      </c>
      <c r="GH1250" s="101">
        <f t="shared" si="605"/>
        <v>1</v>
      </c>
      <c r="GI1250" s="101">
        <f t="shared" si="606"/>
        <v>12</v>
      </c>
      <c r="GJ1250" s="101">
        <f t="shared" si="607"/>
        <v>0.12139999999999999</v>
      </c>
      <c r="GK1250" s="101">
        <f t="shared" si="608"/>
        <v>1</v>
      </c>
      <c r="GL1250" s="101">
        <f t="shared" si="609"/>
        <v>25</v>
      </c>
    </row>
    <row r="1251" spans="170:194" ht="16.5" x14ac:dyDescent="0.2">
      <c r="FN1251" s="101">
        <v>1246</v>
      </c>
      <c r="FO1251" s="101">
        <f t="shared" si="594"/>
        <v>41</v>
      </c>
      <c r="FP1251" s="101">
        <f t="shared" si="587"/>
        <v>16</v>
      </c>
      <c r="FQ1251" s="14">
        <f t="shared" si="588"/>
        <v>3</v>
      </c>
      <c r="FR1251" s="101" t="str">
        <f t="shared" si="595"/>
        <v>烈风螳螂专属武器-魂珠-5 5级</v>
      </c>
      <c r="FS1251" s="101">
        <f t="shared" si="596"/>
        <v>5</v>
      </c>
      <c r="FT1251" s="101">
        <f t="shared" si="597"/>
        <v>5</v>
      </c>
      <c r="FU1251" s="101" t="str">
        <f t="shared" si="589"/>
        <v>金币</v>
      </c>
      <c r="FV1251" s="139">
        <f>IF($FT1251&gt;0,IF(INDEX($EI$6:$EI$77,$FO1251)&gt;=FV$3,ROUND(INDEX(EK$6:EK$77,$FO1251)*INDEX(卡牌消耗!$B$8:$F$8,FQ1251)/5,0)*5,""),"")</f>
        <v>1825</v>
      </c>
      <c r="FW1251" s="101" t="str">
        <f t="shared" si="590"/>
        <v>专属强化石2</v>
      </c>
      <c r="FX1251" s="101">
        <f t="shared" si="591"/>
        <v>5</v>
      </c>
      <c r="FY1251" s="101" t="str">
        <f t="shared" si="592"/>
        <v>专属强化石3</v>
      </c>
      <c r="FZ1251" s="101">
        <f t="shared" si="593"/>
        <v>3</v>
      </c>
      <c r="GA1251" s="101">
        <f t="shared" si="598"/>
        <v>0.04</v>
      </c>
      <c r="GB1251" s="101">
        <f t="shared" si="599"/>
        <v>1</v>
      </c>
      <c r="GC1251" s="101">
        <f t="shared" si="600"/>
        <v>40</v>
      </c>
      <c r="GD1251" s="101">
        <f t="shared" si="601"/>
        <v>0</v>
      </c>
      <c r="GE1251" s="101">
        <f t="shared" si="602"/>
        <v>1</v>
      </c>
      <c r="GF1251" s="101">
        <f t="shared" si="603"/>
        <v>9</v>
      </c>
      <c r="GG1251" s="101">
        <f t="shared" si="604"/>
        <v>1.9E-2</v>
      </c>
      <c r="GH1251" s="101">
        <f t="shared" si="605"/>
        <v>1</v>
      </c>
      <c r="GI1251" s="101">
        <f t="shared" si="606"/>
        <v>18</v>
      </c>
      <c r="GJ1251" s="101">
        <f t="shared" si="607"/>
        <v>7.5899999999999995E-2</v>
      </c>
      <c r="GK1251" s="101">
        <f t="shared" si="608"/>
        <v>1</v>
      </c>
      <c r="GL1251" s="101">
        <f t="shared" si="609"/>
        <v>40</v>
      </c>
    </row>
    <row r="1252" spans="170:194" ht="16.5" x14ac:dyDescent="0.2">
      <c r="FN1252" s="101">
        <v>1247</v>
      </c>
      <c r="FO1252" s="101">
        <f t="shared" si="594"/>
        <v>42</v>
      </c>
      <c r="FP1252" s="101">
        <f t="shared" si="587"/>
        <v>16</v>
      </c>
      <c r="FQ1252" s="14">
        <f t="shared" si="588"/>
        <v>3</v>
      </c>
      <c r="FR1252" s="101" t="str">
        <f t="shared" si="595"/>
        <v>烈风螳螂专属武器-魂珠-5 6级</v>
      </c>
      <c r="FS1252" s="101">
        <f t="shared" si="596"/>
        <v>5</v>
      </c>
      <c r="FT1252" s="101">
        <f t="shared" si="597"/>
        <v>6</v>
      </c>
      <c r="FU1252" s="101" t="str">
        <f t="shared" si="589"/>
        <v>金币</v>
      </c>
      <c r="FV1252" s="139">
        <f>IF($FT1252&gt;0,IF(INDEX($EI$6:$EI$77,$FO1252)&gt;=FV$3,ROUND(INDEX(EK$6:EK$77,$FO1252)*INDEX(卡牌消耗!$B$8:$F$8,FQ1252)/5,0)*5,""),"")</f>
        <v>3020</v>
      </c>
      <c r="FW1252" s="101" t="str">
        <f t="shared" si="590"/>
        <v>专属强化石2</v>
      </c>
      <c r="FX1252" s="101">
        <f t="shared" si="591"/>
        <v>8</v>
      </c>
      <c r="FY1252" s="101" t="str">
        <f t="shared" si="592"/>
        <v>专属强化石3</v>
      </c>
      <c r="FZ1252" s="101">
        <f t="shared" si="593"/>
        <v>5</v>
      </c>
      <c r="GA1252" s="101">
        <f t="shared" si="598"/>
        <v>0.04</v>
      </c>
      <c r="GB1252" s="101">
        <f t="shared" si="599"/>
        <v>1</v>
      </c>
      <c r="GC1252" s="101">
        <f t="shared" si="600"/>
        <v>39</v>
      </c>
      <c r="GD1252" s="101">
        <f t="shared" si="601"/>
        <v>0</v>
      </c>
      <c r="GE1252" s="101">
        <f t="shared" si="602"/>
        <v>1</v>
      </c>
      <c r="GF1252" s="101">
        <f t="shared" si="603"/>
        <v>9</v>
      </c>
      <c r="GG1252" s="101">
        <f t="shared" si="604"/>
        <v>1.95E-2</v>
      </c>
      <c r="GH1252" s="101">
        <f t="shared" si="605"/>
        <v>1</v>
      </c>
      <c r="GI1252" s="101">
        <f t="shared" si="606"/>
        <v>18</v>
      </c>
      <c r="GJ1252" s="101">
        <f t="shared" si="607"/>
        <v>7.7799999999999994E-2</v>
      </c>
      <c r="GK1252" s="101">
        <f t="shared" si="608"/>
        <v>1</v>
      </c>
      <c r="GL1252" s="101">
        <f t="shared" si="609"/>
        <v>39</v>
      </c>
    </row>
    <row r="1253" spans="170:194" ht="16.5" x14ac:dyDescent="0.2">
      <c r="FN1253" s="101">
        <v>1248</v>
      </c>
      <c r="FO1253" s="101">
        <f t="shared" si="594"/>
        <v>43</v>
      </c>
      <c r="FP1253" s="101">
        <f t="shared" si="587"/>
        <v>16</v>
      </c>
      <c r="FQ1253" s="14">
        <f t="shared" si="588"/>
        <v>3</v>
      </c>
      <c r="FR1253" s="101" t="str">
        <f t="shared" si="595"/>
        <v>烈风螳螂专属武器-魂珠-5 7级</v>
      </c>
      <c r="FS1253" s="101">
        <f t="shared" si="596"/>
        <v>5</v>
      </c>
      <c r="FT1253" s="101">
        <f t="shared" si="597"/>
        <v>7</v>
      </c>
      <c r="FU1253" s="101" t="str">
        <f t="shared" si="589"/>
        <v>金币</v>
      </c>
      <c r="FV1253" s="139">
        <f>IF($FT1253&gt;0,IF(INDEX($EI$6:$EI$77,$FO1253)&gt;=FV$3,ROUND(INDEX(EK$6:EK$77,$FO1253)*INDEX(卡牌消耗!$B$8:$F$8,FQ1253)/5,0)*5,""),"")</f>
        <v>3025</v>
      </c>
      <c r="FW1253" s="101" t="str">
        <f t="shared" si="590"/>
        <v>专属强化石2</v>
      </c>
      <c r="FX1253" s="101">
        <f t="shared" si="591"/>
        <v>8</v>
      </c>
      <c r="FY1253" s="101" t="str">
        <f t="shared" si="592"/>
        <v>专属强化石3</v>
      </c>
      <c r="FZ1253" s="101">
        <f t="shared" si="593"/>
        <v>5</v>
      </c>
      <c r="GA1253" s="101">
        <f t="shared" si="598"/>
        <v>0.02</v>
      </c>
      <c r="GB1253" s="101">
        <f t="shared" si="599"/>
        <v>1</v>
      </c>
      <c r="GC1253" s="101">
        <f t="shared" si="600"/>
        <v>62</v>
      </c>
      <c r="GD1253" s="101">
        <f t="shared" si="601"/>
        <v>0</v>
      </c>
      <c r="GE1253" s="101">
        <f t="shared" si="602"/>
        <v>1</v>
      </c>
      <c r="GF1253" s="101">
        <f t="shared" si="603"/>
        <v>15</v>
      </c>
      <c r="GG1253" s="101">
        <f t="shared" si="604"/>
        <v>1.2E-2</v>
      </c>
      <c r="GH1253" s="101">
        <f t="shared" si="605"/>
        <v>1</v>
      </c>
      <c r="GI1253" s="101">
        <f t="shared" si="606"/>
        <v>29</v>
      </c>
      <c r="GJ1253" s="101">
        <f t="shared" si="607"/>
        <v>4.82E-2</v>
      </c>
      <c r="GK1253" s="101">
        <f t="shared" si="608"/>
        <v>1</v>
      </c>
      <c r="GL1253" s="101">
        <f t="shared" si="609"/>
        <v>62</v>
      </c>
    </row>
    <row r="1254" spans="170:194" ht="16.5" x14ac:dyDescent="0.2">
      <c r="FN1254" s="101">
        <v>1249</v>
      </c>
      <c r="FO1254" s="101">
        <f t="shared" si="594"/>
        <v>44</v>
      </c>
      <c r="FP1254" s="101">
        <f t="shared" si="587"/>
        <v>16</v>
      </c>
      <c r="FQ1254" s="14">
        <f t="shared" si="588"/>
        <v>3</v>
      </c>
      <c r="FR1254" s="101" t="str">
        <f t="shared" si="595"/>
        <v>烈风螳螂专属武器-魂珠-5 8级</v>
      </c>
      <c r="FS1254" s="101">
        <f t="shared" si="596"/>
        <v>5</v>
      </c>
      <c r="FT1254" s="101">
        <f t="shared" si="597"/>
        <v>8</v>
      </c>
      <c r="FU1254" s="101" t="str">
        <f t="shared" si="589"/>
        <v>金币</v>
      </c>
      <c r="FV1254" s="139">
        <f>IF($FT1254&gt;0,IF(INDEX($EI$6:$EI$77,$FO1254)&gt;=FV$3,ROUND(INDEX(EK$6:EK$77,$FO1254)*INDEX(卡牌消耗!$B$8:$F$8,FQ1254)/5,0)*5,""),"")</f>
        <v>4235</v>
      </c>
      <c r="FW1254" s="101" t="str">
        <f t="shared" si="590"/>
        <v>专属强化石2</v>
      </c>
      <c r="FX1254" s="101">
        <f t="shared" si="591"/>
        <v>11</v>
      </c>
      <c r="FY1254" s="101" t="str">
        <f t="shared" si="592"/>
        <v>专属强化石3</v>
      </c>
      <c r="FZ1254" s="101">
        <f t="shared" si="593"/>
        <v>7</v>
      </c>
      <c r="GA1254" s="101">
        <f t="shared" si="598"/>
        <v>0.02</v>
      </c>
      <c r="GB1254" s="101">
        <f t="shared" si="599"/>
        <v>1</v>
      </c>
      <c r="GC1254" s="101">
        <f t="shared" si="600"/>
        <v>72</v>
      </c>
      <c r="GD1254" s="101">
        <f t="shared" si="601"/>
        <v>0</v>
      </c>
      <c r="GE1254" s="101">
        <f t="shared" si="602"/>
        <v>1</v>
      </c>
      <c r="GF1254" s="101">
        <f t="shared" si="603"/>
        <v>17</v>
      </c>
      <c r="GG1254" s="101">
        <f t="shared" si="604"/>
        <v>1.04E-2</v>
      </c>
      <c r="GH1254" s="101">
        <f t="shared" si="605"/>
        <v>1</v>
      </c>
      <c r="GI1254" s="101">
        <f t="shared" si="606"/>
        <v>34</v>
      </c>
      <c r="GJ1254" s="101">
        <f t="shared" si="607"/>
        <v>4.1700000000000001E-2</v>
      </c>
      <c r="GK1254" s="101">
        <f t="shared" si="608"/>
        <v>1</v>
      </c>
      <c r="GL1254" s="101">
        <f t="shared" si="609"/>
        <v>72</v>
      </c>
    </row>
    <row r="1255" spans="170:194" ht="16.5" x14ac:dyDescent="0.2">
      <c r="FN1255" s="101">
        <v>1250</v>
      </c>
      <c r="FO1255" s="101">
        <f t="shared" si="594"/>
        <v>45</v>
      </c>
      <c r="FP1255" s="101">
        <f t="shared" si="587"/>
        <v>16</v>
      </c>
      <c r="FQ1255" s="14">
        <f t="shared" si="588"/>
        <v>3</v>
      </c>
      <c r="FR1255" s="101" t="str">
        <f t="shared" si="595"/>
        <v>烈风螳螂专属武器-魂珠-5 9级</v>
      </c>
      <c r="FS1255" s="101">
        <f t="shared" si="596"/>
        <v>5</v>
      </c>
      <c r="FT1255" s="101">
        <f t="shared" si="597"/>
        <v>9</v>
      </c>
      <c r="FU1255" s="101" t="str">
        <f t="shared" si="589"/>
        <v>金币</v>
      </c>
      <c r="FV1255" s="139">
        <f>IF($FT1255&gt;0,IF(INDEX($EI$6:$EI$77,$FO1255)&gt;=FV$3,ROUND(INDEX(EK$6:EK$77,$FO1255)*INDEX(卡牌消耗!$B$8:$F$8,FQ1255)/5,0)*5,""),"")</f>
        <v>5445</v>
      </c>
      <c r="FW1255" s="101" t="str">
        <f t="shared" si="590"/>
        <v>专属强化石2</v>
      </c>
      <c r="FX1255" s="101">
        <f t="shared" si="591"/>
        <v>14</v>
      </c>
      <c r="FY1255" s="101" t="str">
        <f t="shared" si="592"/>
        <v>专属强化石3</v>
      </c>
      <c r="FZ1255" s="101">
        <f t="shared" si="593"/>
        <v>9</v>
      </c>
      <c r="GA1255" s="101">
        <f t="shared" si="598"/>
        <v>0.02</v>
      </c>
      <c r="GB1255" s="101">
        <f t="shared" si="599"/>
        <v>1</v>
      </c>
      <c r="GC1255" s="101">
        <f t="shared" si="600"/>
        <v>91</v>
      </c>
      <c r="GD1255" s="101">
        <f t="shared" si="601"/>
        <v>0</v>
      </c>
      <c r="GE1255" s="101">
        <f t="shared" si="602"/>
        <v>1</v>
      </c>
      <c r="GF1255" s="101">
        <f t="shared" si="603"/>
        <v>21</v>
      </c>
      <c r="GG1255" s="101">
        <f t="shared" si="604"/>
        <v>8.3000000000000001E-3</v>
      </c>
      <c r="GH1255" s="101">
        <f t="shared" si="605"/>
        <v>1</v>
      </c>
      <c r="GI1255" s="101">
        <f t="shared" si="606"/>
        <v>42</v>
      </c>
      <c r="GJ1255" s="101">
        <f t="shared" si="607"/>
        <v>3.3099999999999997E-2</v>
      </c>
      <c r="GK1255" s="101">
        <f t="shared" si="608"/>
        <v>1</v>
      </c>
      <c r="GL1255" s="101">
        <f t="shared" si="609"/>
        <v>91</v>
      </c>
    </row>
    <row r="1256" spans="170:194" ht="16.5" x14ac:dyDescent="0.2">
      <c r="FN1256" s="101">
        <v>1251</v>
      </c>
      <c r="FO1256" s="101">
        <f t="shared" si="594"/>
        <v>0</v>
      </c>
      <c r="FP1256" s="101">
        <f t="shared" si="587"/>
        <v>16</v>
      </c>
      <c r="FQ1256" s="14">
        <f t="shared" si="588"/>
        <v>3</v>
      </c>
      <c r="FR1256" s="101" t="str">
        <f t="shared" si="595"/>
        <v>烈风螳螂专属武器-魂珠-6 0级</v>
      </c>
      <c r="FS1256" s="101">
        <f t="shared" si="596"/>
        <v>6</v>
      </c>
      <c r="FT1256" s="101">
        <f t="shared" si="597"/>
        <v>0</v>
      </c>
      <c r="FU1256" s="101" t="str">
        <f t="shared" si="589"/>
        <v/>
      </c>
      <c r="FV1256" s="139" t="str">
        <f>IF($FT1256&gt;0,IF(INDEX($EI$6:$EI$77,$FO1256)&gt;=FV$3,ROUND(INDEX(EK$6:EK$77,$FO1256)*INDEX(卡牌消耗!$B$8:$F$8,FQ1256)/5,0)*5,""),"")</f>
        <v/>
      </c>
      <c r="FW1256" s="101" t="str">
        <f t="shared" si="590"/>
        <v/>
      </c>
      <c r="FX1256" s="101" t="str">
        <f t="shared" si="591"/>
        <v/>
      </c>
      <c r="FY1256" s="101" t="str">
        <f t="shared" si="592"/>
        <v/>
      </c>
      <c r="FZ1256" s="101" t="str">
        <f t="shared" si="593"/>
        <v/>
      </c>
      <c r="GA1256" s="101" t="str">
        <f t="shared" si="598"/>
        <v/>
      </c>
      <c r="GB1256" s="101" t="str">
        <f t="shared" si="599"/>
        <v/>
      </c>
      <c r="GC1256" s="101" t="str">
        <f t="shared" si="600"/>
        <v/>
      </c>
      <c r="GD1256" s="101" t="str">
        <f t="shared" si="601"/>
        <v/>
      </c>
      <c r="GE1256" s="101" t="str">
        <f t="shared" si="602"/>
        <v/>
      </c>
      <c r="GF1256" s="101" t="str">
        <f t="shared" si="603"/>
        <v/>
      </c>
      <c r="GG1256" s="101" t="str">
        <f t="shared" si="604"/>
        <v/>
      </c>
      <c r="GH1256" s="101" t="str">
        <f t="shared" si="605"/>
        <v/>
      </c>
      <c r="GI1256" s="101" t="str">
        <f t="shared" si="606"/>
        <v/>
      </c>
      <c r="GJ1256" s="101" t="str">
        <f t="shared" si="607"/>
        <v/>
      </c>
      <c r="GK1256" s="101" t="str">
        <f t="shared" si="608"/>
        <v/>
      </c>
      <c r="GL1256" s="101" t="str">
        <f t="shared" si="609"/>
        <v/>
      </c>
    </row>
    <row r="1257" spans="170:194" ht="16.5" x14ac:dyDescent="0.2">
      <c r="FN1257" s="101">
        <v>1252</v>
      </c>
      <c r="FO1257" s="101">
        <f t="shared" si="594"/>
        <v>46</v>
      </c>
      <c r="FP1257" s="101">
        <f t="shared" si="587"/>
        <v>16</v>
      </c>
      <c r="FQ1257" s="14">
        <f t="shared" si="588"/>
        <v>3</v>
      </c>
      <c r="FR1257" s="101" t="str">
        <f t="shared" si="595"/>
        <v>烈风螳螂专属武器-魂珠-6 1级</v>
      </c>
      <c r="FS1257" s="101">
        <f t="shared" si="596"/>
        <v>6</v>
      </c>
      <c r="FT1257" s="101">
        <f t="shared" si="597"/>
        <v>1</v>
      </c>
      <c r="FU1257" s="101" t="str">
        <f t="shared" si="589"/>
        <v>金币</v>
      </c>
      <c r="FV1257" s="139">
        <f>IF($FT1257&gt;0,IF(INDEX($EI$6:$EI$77,$FO1257)&gt;=FV$3,ROUND(INDEX(EK$6:EK$77,$FO1257)*INDEX(卡牌消耗!$B$8:$F$8,FQ1257)/5,0)*5,""),"")</f>
        <v>1455</v>
      </c>
      <c r="FW1257" s="101" t="str">
        <f t="shared" si="590"/>
        <v>专属强化石3</v>
      </c>
      <c r="FX1257" s="101">
        <f t="shared" si="591"/>
        <v>5</v>
      </c>
      <c r="FY1257" s="101" t="str">
        <f t="shared" si="592"/>
        <v>专属强化石4</v>
      </c>
      <c r="FZ1257" s="101">
        <f t="shared" si="593"/>
        <v>1</v>
      </c>
      <c r="GA1257" s="101">
        <f t="shared" si="598"/>
        <v>0.17</v>
      </c>
      <c r="GB1257" s="101">
        <f t="shared" si="599"/>
        <v>1</v>
      </c>
      <c r="GC1257" s="101">
        <f t="shared" si="600"/>
        <v>9</v>
      </c>
      <c r="GD1257" s="101">
        <f t="shared" si="601"/>
        <v>0</v>
      </c>
      <c r="GE1257" s="101">
        <f t="shared" si="602"/>
        <v>1</v>
      </c>
      <c r="GF1257" s="101">
        <f t="shared" si="603"/>
        <v>2</v>
      </c>
      <c r="GG1257" s="101">
        <f t="shared" si="604"/>
        <v>8.2900000000000001E-2</v>
      </c>
      <c r="GH1257" s="101">
        <f t="shared" si="605"/>
        <v>1</v>
      </c>
      <c r="GI1257" s="101">
        <f t="shared" si="606"/>
        <v>4</v>
      </c>
      <c r="GJ1257" s="101">
        <f t="shared" si="607"/>
        <v>0.33139999999999997</v>
      </c>
      <c r="GK1257" s="101">
        <f t="shared" si="608"/>
        <v>1</v>
      </c>
      <c r="GL1257" s="101">
        <f t="shared" si="609"/>
        <v>9</v>
      </c>
    </row>
    <row r="1258" spans="170:194" ht="16.5" x14ac:dyDescent="0.2">
      <c r="FN1258" s="101">
        <v>1253</v>
      </c>
      <c r="FO1258" s="101">
        <f t="shared" si="594"/>
        <v>47</v>
      </c>
      <c r="FP1258" s="101">
        <f t="shared" si="587"/>
        <v>16</v>
      </c>
      <c r="FQ1258" s="14">
        <f t="shared" si="588"/>
        <v>3</v>
      </c>
      <c r="FR1258" s="101" t="str">
        <f t="shared" si="595"/>
        <v>烈风螳螂专属武器-魂珠-6 2级</v>
      </c>
      <c r="FS1258" s="101">
        <f t="shared" si="596"/>
        <v>6</v>
      </c>
      <c r="FT1258" s="101">
        <f t="shared" si="597"/>
        <v>2</v>
      </c>
      <c r="FU1258" s="101" t="str">
        <f t="shared" si="589"/>
        <v>金币</v>
      </c>
      <c r="FV1258" s="139">
        <f>IF($FT1258&gt;0,IF(INDEX($EI$6:$EI$77,$FO1258)&gt;=FV$3,ROUND(INDEX(EK$6:EK$77,$FO1258)*INDEX(卡牌消耗!$B$8:$F$8,FQ1258)/5,0)*5,""),"")</f>
        <v>2180</v>
      </c>
      <c r="FW1258" s="101" t="str">
        <f t="shared" si="590"/>
        <v>专属强化石3</v>
      </c>
      <c r="FX1258" s="101">
        <f t="shared" si="591"/>
        <v>10</v>
      </c>
      <c r="FY1258" s="101" t="str">
        <f t="shared" si="592"/>
        <v>专属强化石4</v>
      </c>
      <c r="FZ1258" s="101">
        <f t="shared" si="593"/>
        <v>2</v>
      </c>
      <c r="GA1258" s="101">
        <f t="shared" si="598"/>
        <v>0.17</v>
      </c>
      <c r="GB1258" s="101">
        <f t="shared" si="599"/>
        <v>1</v>
      </c>
      <c r="GC1258" s="101">
        <f t="shared" si="600"/>
        <v>9</v>
      </c>
      <c r="GD1258" s="101">
        <f t="shared" si="601"/>
        <v>0</v>
      </c>
      <c r="GE1258" s="101">
        <f t="shared" si="602"/>
        <v>1</v>
      </c>
      <c r="GF1258" s="101">
        <f t="shared" si="603"/>
        <v>2</v>
      </c>
      <c r="GG1258" s="101">
        <f t="shared" si="604"/>
        <v>8.2900000000000001E-2</v>
      </c>
      <c r="GH1258" s="101">
        <f t="shared" si="605"/>
        <v>1</v>
      </c>
      <c r="GI1258" s="101">
        <f t="shared" si="606"/>
        <v>4</v>
      </c>
      <c r="GJ1258" s="101">
        <f t="shared" si="607"/>
        <v>0.33139999999999997</v>
      </c>
      <c r="GK1258" s="101">
        <f t="shared" si="608"/>
        <v>1</v>
      </c>
      <c r="GL1258" s="101">
        <f t="shared" si="609"/>
        <v>9</v>
      </c>
    </row>
    <row r="1259" spans="170:194" ht="16.5" x14ac:dyDescent="0.2">
      <c r="FN1259" s="101">
        <v>1254</v>
      </c>
      <c r="FO1259" s="101">
        <f t="shared" si="594"/>
        <v>48</v>
      </c>
      <c r="FP1259" s="101">
        <f t="shared" si="587"/>
        <v>16</v>
      </c>
      <c r="FQ1259" s="14">
        <f t="shared" si="588"/>
        <v>3</v>
      </c>
      <c r="FR1259" s="101" t="str">
        <f t="shared" si="595"/>
        <v>烈风螳螂专属武器-魂珠-6 3级</v>
      </c>
      <c r="FS1259" s="101">
        <f t="shared" si="596"/>
        <v>6</v>
      </c>
      <c r="FT1259" s="101">
        <f t="shared" si="597"/>
        <v>3</v>
      </c>
      <c r="FU1259" s="101" t="str">
        <f t="shared" si="589"/>
        <v>金币</v>
      </c>
      <c r="FV1259" s="139">
        <f>IF($FT1259&gt;0,IF(INDEX($EI$6:$EI$77,$FO1259)&gt;=FV$3,ROUND(INDEX(EK$6:EK$77,$FO1259)*INDEX(卡牌消耗!$B$8:$F$8,FQ1259)/5,0)*5,""),"")</f>
        <v>2425</v>
      </c>
      <c r="FW1259" s="101" t="str">
        <f t="shared" si="590"/>
        <v>专属强化石3</v>
      </c>
      <c r="FX1259" s="101">
        <f t="shared" si="591"/>
        <v>10</v>
      </c>
      <c r="FY1259" s="101" t="str">
        <f t="shared" si="592"/>
        <v>专属强化石4</v>
      </c>
      <c r="FZ1259" s="101">
        <f t="shared" si="593"/>
        <v>2</v>
      </c>
      <c r="GA1259" s="101">
        <f t="shared" si="598"/>
        <v>0.11</v>
      </c>
      <c r="GB1259" s="101">
        <f t="shared" si="599"/>
        <v>1</v>
      </c>
      <c r="GC1259" s="101">
        <f t="shared" si="600"/>
        <v>14</v>
      </c>
      <c r="GD1259" s="101">
        <f t="shared" si="601"/>
        <v>0</v>
      </c>
      <c r="GE1259" s="101">
        <f t="shared" si="602"/>
        <v>1</v>
      </c>
      <c r="GF1259" s="101">
        <f t="shared" si="603"/>
        <v>3</v>
      </c>
      <c r="GG1259" s="101">
        <f t="shared" si="604"/>
        <v>5.5199999999999999E-2</v>
      </c>
      <c r="GH1259" s="101">
        <f t="shared" si="605"/>
        <v>1</v>
      </c>
      <c r="GI1259" s="101">
        <f t="shared" si="606"/>
        <v>6</v>
      </c>
      <c r="GJ1259" s="101">
        <f t="shared" si="607"/>
        <v>0.221</v>
      </c>
      <c r="GK1259" s="101">
        <f t="shared" si="608"/>
        <v>1</v>
      </c>
      <c r="GL1259" s="101">
        <f t="shared" si="609"/>
        <v>14</v>
      </c>
    </row>
    <row r="1260" spans="170:194" ht="16.5" x14ac:dyDescent="0.2">
      <c r="FN1260" s="101">
        <v>1255</v>
      </c>
      <c r="FO1260" s="101">
        <f t="shared" si="594"/>
        <v>49</v>
      </c>
      <c r="FP1260" s="101">
        <f t="shared" si="587"/>
        <v>16</v>
      </c>
      <c r="FQ1260" s="14">
        <f t="shared" si="588"/>
        <v>3</v>
      </c>
      <c r="FR1260" s="101" t="str">
        <f t="shared" si="595"/>
        <v>烈风螳螂专属武器-魂珠-6 4级</v>
      </c>
      <c r="FS1260" s="101">
        <f t="shared" si="596"/>
        <v>6</v>
      </c>
      <c r="FT1260" s="101">
        <f t="shared" si="597"/>
        <v>4</v>
      </c>
      <c r="FU1260" s="101" t="str">
        <f t="shared" si="589"/>
        <v>金币</v>
      </c>
      <c r="FV1260" s="139">
        <f>IF($FT1260&gt;0,IF(INDEX($EI$6:$EI$77,$FO1260)&gt;=FV$3,ROUND(INDEX(EK$6:EK$77,$FO1260)*INDEX(卡牌消耗!$B$8:$F$8,FQ1260)/5,0)*5,""),"")</f>
        <v>3490</v>
      </c>
      <c r="FW1260" s="101" t="str">
        <f t="shared" si="590"/>
        <v>专属强化石3</v>
      </c>
      <c r="FX1260" s="101">
        <f t="shared" si="591"/>
        <v>15</v>
      </c>
      <c r="FY1260" s="101" t="str">
        <f t="shared" si="592"/>
        <v>专属强化石4</v>
      </c>
      <c r="FZ1260" s="101">
        <f t="shared" si="593"/>
        <v>3</v>
      </c>
      <c r="GA1260" s="101">
        <f t="shared" si="598"/>
        <v>0.1</v>
      </c>
      <c r="GB1260" s="101">
        <f t="shared" si="599"/>
        <v>1</v>
      </c>
      <c r="GC1260" s="101">
        <f t="shared" si="600"/>
        <v>15</v>
      </c>
      <c r="GD1260" s="101">
        <f t="shared" si="601"/>
        <v>0</v>
      </c>
      <c r="GE1260" s="101">
        <f t="shared" si="602"/>
        <v>1</v>
      </c>
      <c r="GF1260" s="101">
        <f t="shared" si="603"/>
        <v>4</v>
      </c>
      <c r="GG1260" s="101">
        <f t="shared" si="604"/>
        <v>4.9700000000000001E-2</v>
      </c>
      <c r="GH1260" s="101">
        <f t="shared" si="605"/>
        <v>1</v>
      </c>
      <c r="GI1260" s="101">
        <f t="shared" si="606"/>
        <v>7</v>
      </c>
      <c r="GJ1260" s="101">
        <f t="shared" si="607"/>
        <v>0.19889999999999999</v>
      </c>
      <c r="GK1260" s="101">
        <f t="shared" si="608"/>
        <v>1</v>
      </c>
      <c r="GL1260" s="101">
        <f t="shared" si="609"/>
        <v>15</v>
      </c>
    </row>
    <row r="1261" spans="170:194" ht="16.5" x14ac:dyDescent="0.2">
      <c r="FN1261" s="101">
        <v>1256</v>
      </c>
      <c r="FO1261" s="101">
        <f t="shared" si="594"/>
        <v>50</v>
      </c>
      <c r="FP1261" s="101">
        <f t="shared" si="587"/>
        <v>16</v>
      </c>
      <c r="FQ1261" s="14">
        <f t="shared" si="588"/>
        <v>3</v>
      </c>
      <c r="FR1261" s="101" t="str">
        <f t="shared" si="595"/>
        <v>烈风螳螂专属武器-魂珠-6 5级</v>
      </c>
      <c r="FS1261" s="101">
        <f t="shared" si="596"/>
        <v>6</v>
      </c>
      <c r="FT1261" s="101">
        <f t="shared" si="597"/>
        <v>5</v>
      </c>
      <c r="FU1261" s="101" t="str">
        <f t="shared" si="589"/>
        <v>金币</v>
      </c>
      <c r="FV1261" s="139">
        <f>IF($FT1261&gt;0,IF(INDEX($EI$6:$EI$77,$FO1261)&gt;=FV$3,ROUND(INDEX(EK$6:EK$77,$FO1261)*INDEX(卡牌消耗!$B$8:$F$8,FQ1261)/5,0)*5,""),"")</f>
        <v>3545</v>
      </c>
      <c r="FW1261" s="101" t="str">
        <f t="shared" si="590"/>
        <v>专属强化石3</v>
      </c>
      <c r="FX1261" s="101">
        <f t="shared" si="591"/>
        <v>15</v>
      </c>
      <c r="FY1261" s="101" t="str">
        <f t="shared" si="592"/>
        <v>专属强化石4</v>
      </c>
      <c r="FZ1261" s="101">
        <f t="shared" si="593"/>
        <v>3</v>
      </c>
      <c r="GA1261" s="101">
        <f t="shared" si="598"/>
        <v>0.06</v>
      </c>
      <c r="GB1261" s="101">
        <f t="shared" si="599"/>
        <v>1</v>
      </c>
      <c r="GC1261" s="101">
        <f t="shared" si="600"/>
        <v>24</v>
      </c>
      <c r="GD1261" s="101">
        <f t="shared" si="601"/>
        <v>0</v>
      </c>
      <c r="GE1261" s="101">
        <f t="shared" si="602"/>
        <v>1</v>
      </c>
      <c r="GF1261" s="101">
        <f t="shared" si="603"/>
        <v>6</v>
      </c>
      <c r="GG1261" s="101">
        <f t="shared" si="604"/>
        <v>3.1099999999999999E-2</v>
      </c>
      <c r="GH1261" s="101">
        <f t="shared" si="605"/>
        <v>1</v>
      </c>
      <c r="GI1261" s="101">
        <f t="shared" si="606"/>
        <v>11</v>
      </c>
      <c r="GJ1261" s="101">
        <f t="shared" si="607"/>
        <v>0.12429999999999999</v>
      </c>
      <c r="GK1261" s="101">
        <f t="shared" si="608"/>
        <v>1</v>
      </c>
      <c r="GL1261" s="101">
        <f t="shared" si="609"/>
        <v>24</v>
      </c>
    </row>
    <row r="1262" spans="170:194" ht="16.5" x14ac:dyDescent="0.2">
      <c r="FN1262" s="101">
        <v>1257</v>
      </c>
      <c r="FO1262" s="101">
        <f t="shared" si="594"/>
        <v>51</v>
      </c>
      <c r="FP1262" s="101">
        <f t="shared" si="587"/>
        <v>16</v>
      </c>
      <c r="FQ1262" s="14">
        <f t="shared" si="588"/>
        <v>3</v>
      </c>
      <c r="FR1262" s="101" t="str">
        <f t="shared" si="595"/>
        <v>烈风螳螂专属武器-魂珠-6 6级</v>
      </c>
      <c r="FS1262" s="101">
        <f t="shared" si="596"/>
        <v>6</v>
      </c>
      <c r="FT1262" s="101">
        <f t="shared" si="597"/>
        <v>6</v>
      </c>
      <c r="FU1262" s="101" t="str">
        <f t="shared" si="589"/>
        <v>金币</v>
      </c>
      <c r="FV1262" s="139">
        <f>IF($FT1262&gt;0,IF(INDEX($EI$6:$EI$77,$FO1262)&gt;=FV$3,ROUND(INDEX(EK$6:EK$77,$FO1262)*INDEX(卡牌消耗!$B$8:$F$8,FQ1262)/5,0)*5,""),"")</f>
        <v>4700</v>
      </c>
      <c r="FW1262" s="101" t="str">
        <f t="shared" si="590"/>
        <v>专属强化石3</v>
      </c>
      <c r="FX1262" s="101">
        <f t="shared" si="591"/>
        <v>20</v>
      </c>
      <c r="FY1262" s="101" t="str">
        <f t="shared" si="592"/>
        <v>专属强化石4</v>
      </c>
      <c r="FZ1262" s="101">
        <f t="shared" si="593"/>
        <v>4</v>
      </c>
      <c r="GA1262" s="101">
        <f t="shared" si="598"/>
        <v>0.05</v>
      </c>
      <c r="GB1262" s="101">
        <f t="shared" si="599"/>
        <v>1</v>
      </c>
      <c r="GC1262" s="101">
        <f t="shared" si="600"/>
        <v>29</v>
      </c>
      <c r="GD1262" s="101">
        <f t="shared" si="601"/>
        <v>0</v>
      </c>
      <c r="GE1262" s="101">
        <f t="shared" si="602"/>
        <v>1</v>
      </c>
      <c r="GF1262" s="101">
        <f t="shared" si="603"/>
        <v>7</v>
      </c>
      <c r="GG1262" s="101">
        <f t="shared" si="604"/>
        <v>2.5499999999999998E-2</v>
      </c>
      <c r="GH1262" s="101">
        <f t="shared" si="605"/>
        <v>1</v>
      </c>
      <c r="GI1262" s="101">
        <f t="shared" si="606"/>
        <v>14</v>
      </c>
      <c r="GJ1262" s="101">
        <f t="shared" si="607"/>
        <v>0.10199999999999999</v>
      </c>
      <c r="GK1262" s="101">
        <f t="shared" si="608"/>
        <v>1</v>
      </c>
      <c r="GL1262" s="101">
        <f t="shared" si="609"/>
        <v>29</v>
      </c>
    </row>
    <row r="1263" spans="170:194" ht="16.5" x14ac:dyDescent="0.2">
      <c r="FN1263" s="101">
        <v>1258</v>
      </c>
      <c r="FO1263" s="101">
        <f t="shared" si="594"/>
        <v>52</v>
      </c>
      <c r="FP1263" s="101">
        <f t="shared" si="587"/>
        <v>16</v>
      </c>
      <c r="FQ1263" s="14">
        <f t="shared" si="588"/>
        <v>3</v>
      </c>
      <c r="FR1263" s="101" t="str">
        <f t="shared" si="595"/>
        <v>烈风螳螂专属武器-魂珠-6 7级</v>
      </c>
      <c r="FS1263" s="101">
        <f t="shared" si="596"/>
        <v>6</v>
      </c>
      <c r="FT1263" s="101">
        <f t="shared" si="597"/>
        <v>7</v>
      </c>
      <c r="FU1263" s="101" t="str">
        <f t="shared" si="589"/>
        <v>金币</v>
      </c>
      <c r="FV1263" s="139">
        <f>IF($FT1263&gt;0,IF(INDEX($EI$6:$EI$77,$FO1263)&gt;=FV$3,ROUND(INDEX(EK$6:EK$77,$FO1263)*INDEX(卡牌消耗!$B$8:$F$8,FQ1263)/5,0)*5,""),"")</f>
        <v>5885</v>
      </c>
      <c r="FW1263" s="101" t="str">
        <f t="shared" si="590"/>
        <v>专属强化石3</v>
      </c>
      <c r="FX1263" s="101">
        <f t="shared" si="591"/>
        <v>25</v>
      </c>
      <c r="FY1263" s="101" t="str">
        <f t="shared" si="592"/>
        <v>专属强化石4</v>
      </c>
      <c r="FZ1263" s="101">
        <f t="shared" si="593"/>
        <v>5</v>
      </c>
      <c r="GA1263" s="101">
        <f t="shared" si="598"/>
        <v>0.04</v>
      </c>
      <c r="GB1263" s="101">
        <f t="shared" si="599"/>
        <v>1</v>
      </c>
      <c r="GC1263" s="101">
        <f t="shared" si="600"/>
        <v>38</v>
      </c>
      <c r="GD1263" s="101">
        <f t="shared" si="601"/>
        <v>0</v>
      </c>
      <c r="GE1263" s="101">
        <f t="shared" si="602"/>
        <v>1</v>
      </c>
      <c r="GF1263" s="101">
        <f t="shared" si="603"/>
        <v>9</v>
      </c>
      <c r="GG1263" s="101">
        <f t="shared" si="604"/>
        <v>1.9699999999999999E-2</v>
      </c>
      <c r="GH1263" s="101">
        <f t="shared" si="605"/>
        <v>1</v>
      </c>
      <c r="GI1263" s="101">
        <f t="shared" si="606"/>
        <v>18</v>
      </c>
      <c r="GJ1263" s="101">
        <f t="shared" si="607"/>
        <v>7.8899999999999998E-2</v>
      </c>
      <c r="GK1263" s="101">
        <f t="shared" si="608"/>
        <v>1</v>
      </c>
      <c r="GL1263" s="101">
        <f t="shared" si="609"/>
        <v>38</v>
      </c>
    </row>
    <row r="1264" spans="170:194" ht="16.5" x14ac:dyDescent="0.2">
      <c r="FN1264" s="101">
        <v>1259</v>
      </c>
      <c r="FO1264" s="101">
        <f t="shared" si="594"/>
        <v>53</v>
      </c>
      <c r="FP1264" s="101">
        <f t="shared" si="587"/>
        <v>16</v>
      </c>
      <c r="FQ1264" s="14">
        <f t="shared" si="588"/>
        <v>3</v>
      </c>
      <c r="FR1264" s="101" t="str">
        <f t="shared" si="595"/>
        <v>烈风螳螂专属武器-魂珠-6 8级</v>
      </c>
      <c r="FS1264" s="101">
        <f t="shared" si="596"/>
        <v>6</v>
      </c>
      <c r="FT1264" s="101">
        <f t="shared" si="597"/>
        <v>8</v>
      </c>
      <c r="FU1264" s="101" t="str">
        <f t="shared" si="589"/>
        <v>金币</v>
      </c>
      <c r="FV1264" s="139">
        <f>IF($FT1264&gt;0,IF(INDEX($EI$6:$EI$77,$FO1264)&gt;=FV$3,ROUND(INDEX(EK$6:EK$77,$FO1264)*INDEX(卡牌消耗!$B$8:$F$8,FQ1264)/5,0)*5,""),"")</f>
        <v>8235</v>
      </c>
      <c r="FW1264" s="101" t="str">
        <f t="shared" si="590"/>
        <v>专属强化石3</v>
      </c>
      <c r="FX1264" s="101">
        <f t="shared" si="591"/>
        <v>35</v>
      </c>
      <c r="FY1264" s="101" t="str">
        <f t="shared" si="592"/>
        <v>专属强化石4</v>
      </c>
      <c r="FZ1264" s="101">
        <f t="shared" si="593"/>
        <v>7</v>
      </c>
      <c r="GA1264" s="101">
        <f t="shared" si="598"/>
        <v>0.03</v>
      </c>
      <c r="GB1264" s="101">
        <f t="shared" si="599"/>
        <v>1</v>
      </c>
      <c r="GC1264" s="101">
        <f t="shared" si="600"/>
        <v>44</v>
      </c>
      <c r="GD1264" s="101">
        <f t="shared" si="601"/>
        <v>0</v>
      </c>
      <c r="GE1264" s="101">
        <f t="shared" si="602"/>
        <v>1</v>
      </c>
      <c r="GF1264" s="101">
        <f t="shared" si="603"/>
        <v>10</v>
      </c>
      <c r="GG1264" s="101">
        <f t="shared" si="604"/>
        <v>1.7100000000000001E-2</v>
      </c>
      <c r="GH1264" s="101">
        <f t="shared" si="605"/>
        <v>1</v>
      </c>
      <c r="GI1264" s="101">
        <f t="shared" si="606"/>
        <v>21</v>
      </c>
      <c r="GJ1264" s="101">
        <f t="shared" si="607"/>
        <v>6.8199999999999997E-2</v>
      </c>
      <c r="GK1264" s="101">
        <f t="shared" si="608"/>
        <v>1</v>
      </c>
      <c r="GL1264" s="101">
        <f t="shared" si="609"/>
        <v>44</v>
      </c>
    </row>
    <row r="1265" spans="170:194" ht="16.5" x14ac:dyDescent="0.2">
      <c r="FN1265" s="101">
        <v>1260</v>
      </c>
      <c r="FO1265" s="101">
        <f t="shared" si="594"/>
        <v>54</v>
      </c>
      <c r="FP1265" s="101">
        <f t="shared" si="587"/>
        <v>16</v>
      </c>
      <c r="FQ1265" s="14">
        <f t="shared" si="588"/>
        <v>3</v>
      </c>
      <c r="FR1265" s="101" t="str">
        <f t="shared" si="595"/>
        <v>烈风螳螂专属武器-魂珠-6 9级</v>
      </c>
      <c r="FS1265" s="101">
        <f t="shared" si="596"/>
        <v>6</v>
      </c>
      <c r="FT1265" s="101">
        <f t="shared" si="597"/>
        <v>9</v>
      </c>
      <c r="FU1265" s="101" t="str">
        <f t="shared" si="589"/>
        <v>金币</v>
      </c>
      <c r="FV1265" s="139">
        <f>IF($FT1265&gt;0,IF(INDEX($EI$6:$EI$77,$FO1265)&gt;=FV$3,ROUND(INDEX(EK$6:EK$77,$FO1265)*INDEX(卡牌消耗!$B$8:$F$8,FQ1265)/5,0)*5,""),"")</f>
        <v>9410</v>
      </c>
      <c r="FW1265" s="101" t="str">
        <f t="shared" si="590"/>
        <v>专属强化石3</v>
      </c>
      <c r="FX1265" s="101">
        <f t="shared" si="591"/>
        <v>40</v>
      </c>
      <c r="FY1265" s="101" t="str">
        <f t="shared" si="592"/>
        <v>专属强化石4</v>
      </c>
      <c r="FZ1265" s="101">
        <f t="shared" si="593"/>
        <v>8</v>
      </c>
      <c r="GA1265" s="101">
        <f t="shared" si="598"/>
        <v>0.02</v>
      </c>
      <c r="GB1265" s="101">
        <f t="shared" si="599"/>
        <v>1</v>
      </c>
      <c r="GC1265" s="101">
        <f t="shared" si="600"/>
        <v>62</v>
      </c>
      <c r="GD1265" s="101">
        <f t="shared" si="601"/>
        <v>0</v>
      </c>
      <c r="GE1265" s="101">
        <f t="shared" si="602"/>
        <v>1</v>
      </c>
      <c r="GF1265" s="101">
        <f t="shared" si="603"/>
        <v>15</v>
      </c>
      <c r="GG1265" s="101">
        <f t="shared" si="604"/>
        <v>1.21E-2</v>
      </c>
      <c r="GH1265" s="101">
        <f t="shared" si="605"/>
        <v>1</v>
      </c>
      <c r="GI1265" s="101">
        <f t="shared" si="606"/>
        <v>29</v>
      </c>
      <c r="GJ1265" s="101">
        <f t="shared" si="607"/>
        <v>4.82E-2</v>
      </c>
      <c r="GK1265" s="101">
        <f t="shared" si="608"/>
        <v>1</v>
      </c>
      <c r="GL1265" s="101">
        <f t="shared" si="609"/>
        <v>62</v>
      </c>
    </row>
    <row r="1266" spans="170:194" ht="16.5" x14ac:dyDescent="0.2">
      <c r="FN1266" s="101">
        <v>1261</v>
      </c>
      <c r="FO1266" s="101">
        <f t="shared" si="594"/>
        <v>0</v>
      </c>
      <c r="FP1266" s="101">
        <f t="shared" si="587"/>
        <v>16</v>
      </c>
      <c r="FQ1266" s="14">
        <f t="shared" si="588"/>
        <v>3</v>
      </c>
      <c r="FR1266" s="101" t="str">
        <f t="shared" si="595"/>
        <v>烈风螳螂专属武器-魂珠-7 0级</v>
      </c>
      <c r="FS1266" s="101">
        <f t="shared" si="596"/>
        <v>7</v>
      </c>
      <c r="FT1266" s="101">
        <f t="shared" si="597"/>
        <v>0</v>
      </c>
      <c r="FU1266" s="101" t="str">
        <f t="shared" si="589"/>
        <v/>
      </c>
      <c r="FV1266" s="139" t="str">
        <f>IF($FT1266&gt;0,IF(INDEX($EI$6:$EI$77,$FO1266)&gt;=FV$3,ROUND(INDEX(EK$6:EK$77,$FO1266)*INDEX(卡牌消耗!$B$8:$F$8,FQ1266)/5,0)*5,""),"")</f>
        <v/>
      </c>
      <c r="FW1266" s="101" t="str">
        <f t="shared" si="590"/>
        <v/>
      </c>
      <c r="FX1266" s="101" t="str">
        <f t="shared" si="591"/>
        <v/>
      </c>
      <c r="FY1266" s="101" t="str">
        <f t="shared" si="592"/>
        <v/>
      </c>
      <c r="FZ1266" s="101" t="str">
        <f t="shared" si="593"/>
        <v/>
      </c>
      <c r="GA1266" s="101" t="str">
        <f t="shared" si="598"/>
        <v/>
      </c>
      <c r="GB1266" s="101" t="str">
        <f t="shared" si="599"/>
        <v/>
      </c>
      <c r="GC1266" s="101" t="str">
        <f t="shared" si="600"/>
        <v/>
      </c>
      <c r="GD1266" s="101" t="str">
        <f t="shared" si="601"/>
        <v/>
      </c>
      <c r="GE1266" s="101" t="str">
        <f t="shared" si="602"/>
        <v/>
      </c>
      <c r="GF1266" s="101" t="str">
        <f t="shared" si="603"/>
        <v/>
      </c>
      <c r="GG1266" s="101" t="str">
        <f t="shared" si="604"/>
        <v/>
      </c>
      <c r="GH1266" s="101" t="str">
        <f t="shared" si="605"/>
        <v/>
      </c>
      <c r="GI1266" s="101" t="str">
        <f t="shared" si="606"/>
        <v/>
      </c>
      <c r="GJ1266" s="101" t="str">
        <f t="shared" si="607"/>
        <v/>
      </c>
      <c r="GK1266" s="101" t="str">
        <f t="shared" si="608"/>
        <v/>
      </c>
      <c r="GL1266" s="101" t="str">
        <f t="shared" si="609"/>
        <v/>
      </c>
    </row>
    <row r="1267" spans="170:194" ht="16.5" x14ac:dyDescent="0.2">
      <c r="FN1267" s="101">
        <v>1262</v>
      </c>
      <c r="FO1267" s="101">
        <f t="shared" si="594"/>
        <v>55</v>
      </c>
      <c r="FP1267" s="101">
        <f t="shared" si="587"/>
        <v>16</v>
      </c>
      <c r="FQ1267" s="14">
        <f t="shared" si="588"/>
        <v>3</v>
      </c>
      <c r="FR1267" s="101" t="str">
        <f t="shared" si="595"/>
        <v>烈风螳螂专属武器-魂珠-7 1级</v>
      </c>
      <c r="FS1267" s="101">
        <f t="shared" si="596"/>
        <v>7</v>
      </c>
      <c r="FT1267" s="101">
        <f t="shared" si="597"/>
        <v>1</v>
      </c>
      <c r="FU1267" s="101" t="str">
        <f t="shared" si="589"/>
        <v>金币</v>
      </c>
      <c r="FV1267" s="139">
        <f>IF($FT1267&gt;0,IF(INDEX($EI$6:$EI$77,$FO1267)&gt;=FV$3,ROUND(INDEX(EK$6:EK$77,$FO1267)*INDEX(卡牌消耗!$B$8:$F$8,FQ1267)/5,0)*5,""),"")</f>
        <v>12090</v>
      </c>
      <c r="FW1267" s="101" t="str">
        <f t="shared" si="590"/>
        <v>专属强化石3</v>
      </c>
      <c r="FX1267" s="101">
        <f t="shared" si="591"/>
        <v>6</v>
      </c>
      <c r="FY1267" s="101" t="str">
        <f t="shared" si="592"/>
        <v>专属强化石4</v>
      </c>
      <c r="FZ1267" s="101">
        <f t="shared" si="593"/>
        <v>2</v>
      </c>
      <c r="GA1267" s="101">
        <f t="shared" si="598"/>
        <v>0.2</v>
      </c>
      <c r="GB1267" s="101">
        <f t="shared" si="599"/>
        <v>1</v>
      </c>
      <c r="GC1267" s="101">
        <f t="shared" si="600"/>
        <v>8</v>
      </c>
      <c r="GD1267" s="101">
        <f t="shared" si="601"/>
        <v>0</v>
      </c>
      <c r="GE1267" s="101">
        <f t="shared" si="602"/>
        <v>1</v>
      </c>
      <c r="GF1267" s="101">
        <f t="shared" si="603"/>
        <v>2</v>
      </c>
      <c r="GG1267" s="101">
        <f t="shared" si="604"/>
        <v>9.9400000000000002E-2</v>
      </c>
      <c r="GH1267" s="101">
        <f t="shared" si="605"/>
        <v>1</v>
      </c>
      <c r="GI1267" s="101">
        <f t="shared" si="606"/>
        <v>4</v>
      </c>
      <c r="GJ1267" s="101">
        <f t="shared" si="607"/>
        <v>0.3977</v>
      </c>
      <c r="GK1267" s="101">
        <f t="shared" si="608"/>
        <v>1</v>
      </c>
      <c r="GL1267" s="101">
        <f t="shared" si="609"/>
        <v>8</v>
      </c>
    </row>
    <row r="1268" spans="170:194" ht="16.5" x14ac:dyDescent="0.2">
      <c r="FN1268" s="101">
        <v>1263</v>
      </c>
      <c r="FO1268" s="101">
        <f t="shared" si="594"/>
        <v>56</v>
      </c>
      <c r="FP1268" s="101">
        <f t="shared" si="587"/>
        <v>16</v>
      </c>
      <c r="FQ1268" s="14">
        <f t="shared" si="588"/>
        <v>3</v>
      </c>
      <c r="FR1268" s="101" t="str">
        <f t="shared" si="595"/>
        <v>烈风螳螂专属武器-魂珠-7 2级</v>
      </c>
      <c r="FS1268" s="101">
        <f t="shared" si="596"/>
        <v>7</v>
      </c>
      <c r="FT1268" s="101">
        <f t="shared" si="597"/>
        <v>2</v>
      </c>
      <c r="FU1268" s="101" t="str">
        <f t="shared" si="589"/>
        <v>金币</v>
      </c>
      <c r="FV1268" s="139">
        <f>IF($FT1268&gt;0,IF(INDEX($EI$6:$EI$77,$FO1268)&gt;=FV$3,ROUND(INDEX(EK$6:EK$77,$FO1268)*INDEX(卡牌消耗!$B$8:$F$8,FQ1268)/5,0)*5,""),"")</f>
        <v>9065</v>
      </c>
      <c r="FW1268" s="101" t="str">
        <f t="shared" si="590"/>
        <v>专属强化石3</v>
      </c>
      <c r="FX1268" s="101">
        <f t="shared" si="591"/>
        <v>6</v>
      </c>
      <c r="FY1268" s="101" t="str">
        <f t="shared" si="592"/>
        <v>专属强化石4</v>
      </c>
      <c r="FZ1268" s="101">
        <f t="shared" si="593"/>
        <v>2</v>
      </c>
      <c r="GA1268" s="101">
        <f t="shared" si="598"/>
        <v>0.1</v>
      </c>
      <c r="GB1268" s="101">
        <f t="shared" si="599"/>
        <v>1</v>
      </c>
      <c r="GC1268" s="101">
        <f t="shared" si="600"/>
        <v>15</v>
      </c>
      <c r="GD1268" s="101">
        <f t="shared" si="601"/>
        <v>0</v>
      </c>
      <c r="GE1268" s="101">
        <f t="shared" si="602"/>
        <v>1</v>
      </c>
      <c r="GF1268" s="101">
        <f t="shared" si="603"/>
        <v>4</v>
      </c>
      <c r="GG1268" s="101">
        <f t="shared" si="604"/>
        <v>4.9700000000000001E-2</v>
      </c>
      <c r="GH1268" s="101">
        <f t="shared" si="605"/>
        <v>1</v>
      </c>
      <c r="GI1268" s="101">
        <f t="shared" si="606"/>
        <v>7</v>
      </c>
      <c r="GJ1268" s="101">
        <f t="shared" si="607"/>
        <v>0.19889999999999999</v>
      </c>
      <c r="GK1268" s="101">
        <f t="shared" si="608"/>
        <v>1</v>
      </c>
      <c r="GL1268" s="101">
        <f t="shared" si="609"/>
        <v>15</v>
      </c>
    </row>
    <row r="1269" spans="170:194" ht="16.5" x14ac:dyDescent="0.2">
      <c r="FN1269" s="101">
        <v>1264</v>
      </c>
      <c r="FO1269" s="101">
        <f t="shared" si="594"/>
        <v>57</v>
      </c>
      <c r="FP1269" s="101">
        <f t="shared" si="587"/>
        <v>16</v>
      </c>
      <c r="FQ1269" s="14">
        <f t="shared" si="588"/>
        <v>3</v>
      </c>
      <c r="FR1269" s="101" t="str">
        <f t="shared" si="595"/>
        <v>烈风螳螂专属武器-魂珠-7 3级</v>
      </c>
      <c r="FS1269" s="101">
        <f t="shared" si="596"/>
        <v>7</v>
      </c>
      <c r="FT1269" s="101">
        <f t="shared" si="597"/>
        <v>3</v>
      </c>
      <c r="FU1269" s="101" t="str">
        <f t="shared" si="589"/>
        <v>金币</v>
      </c>
      <c r="FV1269" s="139">
        <f>IF($FT1269&gt;0,IF(INDEX($EI$6:$EI$77,$FO1269)&gt;=FV$3,ROUND(INDEX(EK$6:EK$77,$FO1269)*INDEX(卡牌消耗!$B$8:$F$8,FQ1269)/5,0)*5,""),"")</f>
        <v>15110</v>
      </c>
      <c r="FW1269" s="101" t="str">
        <f t="shared" si="590"/>
        <v>专属强化石3</v>
      </c>
      <c r="FX1269" s="101">
        <f t="shared" si="591"/>
        <v>9</v>
      </c>
      <c r="FY1269" s="101" t="str">
        <f t="shared" si="592"/>
        <v>专属强化石4</v>
      </c>
      <c r="FZ1269" s="101">
        <f t="shared" si="593"/>
        <v>3</v>
      </c>
      <c r="GA1269" s="101">
        <f t="shared" si="598"/>
        <v>0.1</v>
      </c>
      <c r="GB1269" s="101">
        <f t="shared" si="599"/>
        <v>1</v>
      </c>
      <c r="GC1269" s="101">
        <f t="shared" si="600"/>
        <v>15</v>
      </c>
      <c r="GD1269" s="101">
        <f t="shared" si="601"/>
        <v>0</v>
      </c>
      <c r="GE1269" s="101">
        <f t="shared" si="602"/>
        <v>1</v>
      </c>
      <c r="GF1269" s="101">
        <f t="shared" si="603"/>
        <v>4</v>
      </c>
      <c r="GG1269" s="101">
        <f t="shared" si="604"/>
        <v>4.9700000000000001E-2</v>
      </c>
      <c r="GH1269" s="101">
        <f t="shared" si="605"/>
        <v>1</v>
      </c>
      <c r="GI1269" s="101">
        <f t="shared" si="606"/>
        <v>7</v>
      </c>
      <c r="GJ1269" s="101">
        <f t="shared" si="607"/>
        <v>0.19889999999999999</v>
      </c>
      <c r="GK1269" s="101">
        <f t="shared" si="608"/>
        <v>1</v>
      </c>
      <c r="GL1269" s="101">
        <f t="shared" si="609"/>
        <v>15</v>
      </c>
    </row>
    <row r="1270" spans="170:194" ht="16.5" x14ac:dyDescent="0.2">
      <c r="FN1270" s="101">
        <v>1265</v>
      </c>
      <c r="FO1270" s="101">
        <f t="shared" si="594"/>
        <v>58</v>
      </c>
      <c r="FP1270" s="101">
        <f t="shared" si="587"/>
        <v>16</v>
      </c>
      <c r="FQ1270" s="14">
        <f t="shared" si="588"/>
        <v>3</v>
      </c>
      <c r="FR1270" s="101" t="str">
        <f t="shared" si="595"/>
        <v>烈风螳螂专属武器-魂珠-7 4级</v>
      </c>
      <c r="FS1270" s="101">
        <f t="shared" si="596"/>
        <v>7</v>
      </c>
      <c r="FT1270" s="101">
        <f t="shared" si="597"/>
        <v>4</v>
      </c>
      <c r="FU1270" s="101" t="str">
        <f t="shared" si="589"/>
        <v>金币</v>
      </c>
      <c r="FV1270" s="139">
        <f>IF($FT1270&gt;0,IF(INDEX($EI$6:$EI$77,$FO1270)&gt;=FV$3,ROUND(INDEX(EK$6:EK$77,$FO1270)*INDEX(卡牌消耗!$B$8:$F$8,FQ1270)/5,0)*5,""),"")</f>
        <v>19340</v>
      </c>
      <c r="FW1270" s="101" t="str">
        <f t="shared" si="590"/>
        <v>专属强化石3</v>
      </c>
      <c r="FX1270" s="101">
        <f t="shared" si="591"/>
        <v>12</v>
      </c>
      <c r="FY1270" s="101" t="str">
        <f t="shared" si="592"/>
        <v>专属强化石4</v>
      </c>
      <c r="FZ1270" s="101">
        <f t="shared" si="593"/>
        <v>4</v>
      </c>
      <c r="GA1270" s="101">
        <f t="shared" si="598"/>
        <v>0.08</v>
      </c>
      <c r="GB1270" s="101">
        <f t="shared" si="599"/>
        <v>1</v>
      </c>
      <c r="GC1270" s="101">
        <f t="shared" si="600"/>
        <v>19</v>
      </c>
      <c r="GD1270" s="101">
        <f t="shared" si="601"/>
        <v>0</v>
      </c>
      <c r="GE1270" s="101">
        <f t="shared" si="602"/>
        <v>1</v>
      </c>
      <c r="GF1270" s="101">
        <f t="shared" si="603"/>
        <v>4</v>
      </c>
      <c r="GG1270" s="101">
        <f t="shared" si="604"/>
        <v>3.9800000000000002E-2</v>
      </c>
      <c r="GH1270" s="101">
        <f t="shared" si="605"/>
        <v>1</v>
      </c>
      <c r="GI1270" s="101">
        <f t="shared" si="606"/>
        <v>9</v>
      </c>
      <c r="GJ1270" s="101">
        <f t="shared" si="607"/>
        <v>0.15909999999999999</v>
      </c>
      <c r="GK1270" s="101">
        <f t="shared" si="608"/>
        <v>1</v>
      </c>
      <c r="GL1270" s="101">
        <f t="shared" si="609"/>
        <v>19</v>
      </c>
    </row>
    <row r="1271" spans="170:194" ht="16.5" x14ac:dyDescent="0.2">
      <c r="FN1271" s="101">
        <v>1266</v>
      </c>
      <c r="FO1271" s="101">
        <f t="shared" si="594"/>
        <v>59</v>
      </c>
      <c r="FP1271" s="101">
        <f t="shared" si="587"/>
        <v>16</v>
      </c>
      <c r="FQ1271" s="14">
        <f t="shared" si="588"/>
        <v>3</v>
      </c>
      <c r="FR1271" s="101" t="str">
        <f t="shared" si="595"/>
        <v>烈风螳螂专属武器-魂珠-7 5级</v>
      </c>
      <c r="FS1271" s="101">
        <f t="shared" si="596"/>
        <v>7</v>
      </c>
      <c r="FT1271" s="101">
        <f t="shared" si="597"/>
        <v>5</v>
      </c>
      <c r="FU1271" s="101" t="str">
        <f t="shared" si="589"/>
        <v>金币</v>
      </c>
      <c r="FV1271" s="139">
        <f>IF($FT1271&gt;0,IF(INDEX($EI$6:$EI$77,$FO1271)&gt;=FV$3,ROUND(INDEX(EK$6:EK$77,$FO1271)*INDEX(卡牌消耗!$B$8:$F$8,FQ1271)/5,0)*5,""),"")</f>
        <v>19640</v>
      </c>
      <c r="FW1271" s="101" t="str">
        <f t="shared" si="590"/>
        <v>专属强化石3</v>
      </c>
      <c r="FX1271" s="101">
        <f t="shared" si="591"/>
        <v>12</v>
      </c>
      <c r="FY1271" s="101" t="str">
        <f t="shared" si="592"/>
        <v>专属强化石4</v>
      </c>
      <c r="FZ1271" s="101">
        <f t="shared" si="593"/>
        <v>4</v>
      </c>
      <c r="GA1271" s="101">
        <f t="shared" si="598"/>
        <v>0.05</v>
      </c>
      <c r="GB1271" s="101">
        <f t="shared" si="599"/>
        <v>1</v>
      </c>
      <c r="GC1271" s="101">
        <f t="shared" si="600"/>
        <v>30</v>
      </c>
      <c r="GD1271" s="101">
        <f t="shared" si="601"/>
        <v>0</v>
      </c>
      <c r="GE1271" s="101">
        <f t="shared" si="602"/>
        <v>1</v>
      </c>
      <c r="GF1271" s="101">
        <f t="shared" si="603"/>
        <v>7</v>
      </c>
      <c r="GG1271" s="101">
        <f t="shared" si="604"/>
        <v>2.4899999999999999E-2</v>
      </c>
      <c r="GH1271" s="101">
        <f t="shared" si="605"/>
        <v>1</v>
      </c>
      <c r="GI1271" s="101">
        <f t="shared" si="606"/>
        <v>14</v>
      </c>
      <c r="GJ1271" s="101">
        <f t="shared" si="607"/>
        <v>9.9400000000000002E-2</v>
      </c>
      <c r="GK1271" s="101">
        <f t="shared" si="608"/>
        <v>1</v>
      </c>
      <c r="GL1271" s="101">
        <f t="shared" si="609"/>
        <v>30</v>
      </c>
    </row>
    <row r="1272" spans="170:194" ht="16.5" x14ac:dyDescent="0.2">
      <c r="FN1272" s="101">
        <v>1267</v>
      </c>
      <c r="FO1272" s="101">
        <f t="shared" si="594"/>
        <v>60</v>
      </c>
      <c r="FP1272" s="101">
        <f t="shared" si="587"/>
        <v>16</v>
      </c>
      <c r="FQ1272" s="14">
        <f t="shared" si="588"/>
        <v>3</v>
      </c>
      <c r="FR1272" s="101" t="str">
        <f t="shared" si="595"/>
        <v>烈风螳螂专属武器-魂珠-7 6级</v>
      </c>
      <c r="FS1272" s="101">
        <f t="shared" si="596"/>
        <v>7</v>
      </c>
      <c r="FT1272" s="101">
        <f t="shared" si="597"/>
        <v>6</v>
      </c>
      <c r="FU1272" s="101" t="str">
        <f t="shared" si="589"/>
        <v>金币</v>
      </c>
      <c r="FV1272" s="139">
        <f>IF($FT1272&gt;0,IF(INDEX($EI$6:$EI$77,$FO1272)&gt;=FV$3,ROUND(INDEX(EK$6:EK$77,$FO1272)*INDEX(卡牌消耗!$B$8:$F$8,FQ1272)/5,0)*5,""),"")</f>
        <v>24410</v>
      </c>
      <c r="FW1272" s="101" t="str">
        <f t="shared" si="590"/>
        <v>专属强化石3</v>
      </c>
      <c r="FX1272" s="101">
        <f t="shared" si="591"/>
        <v>15</v>
      </c>
      <c r="FY1272" s="101" t="str">
        <f t="shared" si="592"/>
        <v>专属强化石4</v>
      </c>
      <c r="FZ1272" s="101">
        <f t="shared" si="593"/>
        <v>5</v>
      </c>
      <c r="GA1272" s="101">
        <f t="shared" si="598"/>
        <v>0.04</v>
      </c>
      <c r="GB1272" s="101">
        <f t="shared" si="599"/>
        <v>1</v>
      </c>
      <c r="GC1272" s="101">
        <f t="shared" si="600"/>
        <v>39</v>
      </c>
      <c r="GD1272" s="101">
        <f t="shared" si="601"/>
        <v>0</v>
      </c>
      <c r="GE1272" s="101">
        <f t="shared" si="602"/>
        <v>1</v>
      </c>
      <c r="GF1272" s="101">
        <f t="shared" si="603"/>
        <v>9</v>
      </c>
      <c r="GG1272" s="101">
        <f t="shared" si="604"/>
        <v>1.9099999999999999E-2</v>
      </c>
      <c r="GH1272" s="101">
        <f t="shared" si="605"/>
        <v>1</v>
      </c>
      <c r="GI1272" s="101">
        <f t="shared" si="606"/>
        <v>18</v>
      </c>
      <c r="GJ1272" s="101">
        <f t="shared" si="607"/>
        <v>7.6499999999999999E-2</v>
      </c>
      <c r="GK1272" s="101">
        <f t="shared" si="608"/>
        <v>1</v>
      </c>
      <c r="GL1272" s="101">
        <f t="shared" si="609"/>
        <v>39</v>
      </c>
    </row>
    <row r="1273" spans="170:194" ht="16.5" x14ac:dyDescent="0.2">
      <c r="FN1273" s="101">
        <v>1268</v>
      </c>
      <c r="FO1273" s="101">
        <f t="shared" si="594"/>
        <v>61</v>
      </c>
      <c r="FP1273" s="101">
        <f t="shared" si="587"/>
        <v>16</v>
      </c>
      <c r="FQ1273" s="14">
        <f t="shared" si="588"/>
        <v>3</v>
      </c>
      <c r="FR1273" s="101" t="str">
        <f t="shared" si="595"/>
        <v>烈风螳螂专属武器-魂珠-7 7级</v>
      </c>
      <c r="FS1273" s="101">
        <f t="shared" si="596"/>
        <v>7</v>
      </c>
      <c r="FT1273" s="101">
        <f t="shared" si="597"/>
        <v>7</v>
      </c>
      <c r="FU1273" s="101" t="str">
        <f t="shared" si="589"/>
        <v>金币</v>
      </c>
      <c r="FV1273" s="139">
        <f>IF($FT1273&gt;0,IF(INDEX($EI$6:$EI$77,$FO1273)&gt;=FV$3,ROUND(INDEX(EK$6:EK$77,$FO1273)*INDEX(卡牌消耗!$B$8:$F$8,FQ1273)/5,0)*5,""),"")</f>
        <v>34250</v>
      </c>
      <c r="FW1273" s="101" t="str">
        <f t="shared" si="590"/>
        <v>专属强化石3</v>
      </c>
      <c r="FX1273" s="101">
        <f t="shared" si="591"/>
        <v>21</v>
      </c>
      <c r="FY1273" s="101" t="str">
        <f t="shared" si="592"/>
        <v>专属强化石4</v>
      </c>
      <c r="FZ1273" s="101">
        <f t="shared" si="593"/>
        <v>7</v>
      </c>
      <c r="GA1273" s="101">
        <f t="shared" si="598"/>
        <v>0.03</v>
      </c>
      <c r="GB1273" s="101">
        <f t="shared" si="599"/>
        <v>1</v>
      </c>
      <c r="GC1273" s="101">
        <f t="shared" si="600"/>
        <v>45</v>
      </c>
      <c r="GD1273" s="101">
        <f t="shared" si="601"/>
        <v>0</v>
      </c>
      <c r="GE1273" s="101">
        <f t="shared" si="602"/>
        <v>1</v>
      </c>
      <c r="GF1273" s="101">
        <f t="shared" si="603"/>
        <v>11</v>
      </c>
      <c r="GG1273" s="101">
        <f t="shared" si="604"/>
        <v>1.66E-2</v>
      </c>
      <c r="GH1273" s="101">
        <f t="shared" si="605"/>
        <v>1</v>
      </c>
      <c r="GI1273" s="101">
        <f t="shared" si="606"/>
        <v>21</v>
      </c>
      <c r="GJ1273" s="101">
        <f t="shared" si="607"/>
        <v>6.6299999999999998E-2</v>
      </c>
      <c r="GK1273" s="101">
        <f t="shared" si="608"/>
        <v>1</v>
      </c>
      <c r="GL1273" s="101">
        <f t="shared" si="609"/>
        <v>45</v>
      </c>
    </row>
    <row r="1274" spans="170:194" ht="16.5" x14ac:dyDescent="0.2">
      <c r="FN1274" s="101">
        <v>1269</v>
      </c>
      <c r="FO1274" s="101">
        <f t="shared" si="594"/>
        <v>62</v>
      </c>
      <c r="FP1274" s="101">
        <f t="shared" si="587"/>
        <v>16</v>
      </c>
      <c r="FQ1274" s="14">
        <f t="shared" si="588"/>
        <v>3</v>
      </c>
      <c r="FR1274" s="101" t="str">
        <f t="shared" si="595"/>
        <v>烈风螳螂专属武器-魂珠-7 8级</v>
      </c>
      <c r="FS1274" s="101">
        <f t="shared" si="596"/>
        <v>7</v>
      </c>
      <c r="FT1274" s="101">
        <f t="shared" si="597"/>
        <v>8</v>
      </c>
      <c r="FU1274" s="101" t="str">
        <f t="shared" si="589"/>
        <v>金币</v>
      </c>
      <c r="FV1274" s="139">
        <f>IF($FT1274&gt;0,IF(INDEX($EI$6:$EI$77,$FO1274)&gt;=FV$3,ROUND(INDEX(EK$6:EK$77,$FO1274)*INDEX(卡牌消耗!$B$8:$F$8,FQ1274)/5,0)*5,""),"")</f>
        <v>39105</v>
      </c>
      <c r="FW1274" s="101" t="str">
        <f t="shared" si="590"/>
        <v>专属强化石3</v>
      </c>
      <c r="FX1274" s="101">
        <f t="shared" si="591"/>
        <v>24</v>
      </c>
      <c r="FY1274" s="101" t="str">
        <f t="shared" si="592"/>
        <v>专属强化石4</v>
      </c>
      <c r="FZ1274" s="101">
        <f t="shared" si="593"/>
        <v>8</v>
      </c>
      <c r="GA1274" s="101">
        <f t="shared" si="598"/>
        <v>0.02</v>
      </c>
      <c r="GB1274" s="101">
        <f t="shared" si="599"/>
        <v>1</v>
      </c>
      <c r="GC1274" s="101">
        <f t="shared" si="600"/>
        <v>64</v>
      </c>
      <c r="GD1274" s="101">
        <f t="shared" si="601"/>
        <v>0</v>
      </c>
      <c r="GE1274" s="101">
        <f t="shared" si="602"/>
        <v>1</v>
      </c>
      <c r="GF1274" s="101">
        <f t="shared" si="603"/>
        <v>15</v>
      </c>
      <c r="GG1274" s="101">
        <f t="shared" si="604"/>
        <v>1.17E-2</v>
      </c>
      <c r="GH1274" s="101">
        <f t="shared" si="605"/>
        <v>1</v>
      </c>
      <c r="GI1274" s="101">
        <f t="shared" si="606"/>
        <v>30</v>
      </c>
      <c r="GJ1274" s="101">
        <f t="shared" si="607"/>
        <v>4.6800000000000001E-2</v>
      </c>
      <c r="GK1274" s="101">
        <f t="shared" si="608"/>
        <v>1</v>
      </c>
      <c r="GL1274" s="101">
        <f t="shared" si="609"/>
        <v>64</v>
      </c>
    </row>
    <row r="1275" spans="170:194" ht="16.5" x14ac:dyDescent="0.2">
      <c r="FN1275" s="101">
        <v>1270</v>
      </c>
      <c r="FO1275" s="101">
        <f t="shared" si="594"/>
        <v>63</v>
      </c>
      <c r="FP1275" s="101">
        <f t="shared" si="587"/>
        <v>16</v>
      </c>
      <c r="FQ1275" s="14">
        <f t="shared" si="588"/>
        <v>3</v>
      </c>
      <c r="FR1275" s="101" t="str">
        <f t="shared" si="595"/>
        <v>烈风螳螂专属武器-魂珠-7 9级</v>
      </c>
      <c r="FS1275" s="101">
        <f t="shared" si="596"/>
        <v>7</v>
      </c>
      <c r="FT1275" s="101">
        <f t="shared" si="597"/>
        <v>9</v>
      </c>
      <c r="FU1275" s="101" t="str">
        <f t="shared" si="589"/>
        <v>金币</v>
      </c>
      <c r="FV1275" s="139">
        <f>IF($FT1275&gt;0,IF(INDEX($EI$6:$EI$77,$FO1275)&gt;=FV$3,ROUND(INDEX(EK$6:EK$77,$FO1275)*INDEX(卡牌消耗!$B$8:$F$8,FQ1275)/5,0)*5,""),"")</f>
        <v>48900</v>
      </c>
      <c r="FW1275" s="101" t="str">
        <f t="shared" si="590"/>
        <v>专属强化石3</v>
      </c>
      <c r="FX1275" s="101">
        <f t="shared" si="591"/>
        <v>30</v>
      </c>
      <c r="FY1275" s="101" t="str">
        <f t="shared" si="592"/>
        <v>专属强化石4</v>
      </c>
      <c r="FZ1275" s="101">
        <f t="shared" si="593"/>
        <v>10</v>
      </c>
      <c r="GA1275" s="101">
        <f t="shared" si="598"/>
        <v>0.02</v>
      </c>
      <c r="GB1275" s="101">
        <f t="shared" si="599"/>
        <v>1</v>
      </c>
      <c r="GC1275" s="101">
        <f t="shared" si="600"/>
        <v>83</v>
      </c>
      <c r="GD1275" s="101">
        <f t="shared" si="601"/>
        <v>0</v>
      </c>
      <c r="GE1275" s="101">
        <f t="shared" si="602"/>
        <v>1</v>
      </c>
      <c r="GF1275" s="101">
        <f t="shared" si="603"/>
        <v>19</v>
      </c>
      <c r="GG1275" s="101">
        <f t="shared" si="604"/>
        <v>8.9999999999999993E-3</v>
      </c>
      <c r="GH1275" s="101">
        <f t="shared" si="605"/>
        <v>1</v>
      </c>
      <c r="GI1275" s="101">
        <f t="shared" si="606"/>
        <v>39</v>
      </c>
      <c r="GJ1275" s="101">
        <f t="shared" si="607"/>
        <v>3.6200000000000003E-2</v>
      </c>
      <c r="GK1275" s="101">
        <f t="shared" si="608"/>
        <v>1</v>
      </c>
      <c r="GL1275" s="101">
        <f t="shared" si="609"/>
        <v>83</v>
      </c>
    </row>
    <row r="1276" spans="170:194" ht="16.5" x14ac:dyDescent="0.2">
      <c r="FN1276" s="101">
        <v>1271</v>
      </c>
      <c r="FO1276" s="101">
        <f t="shared" si="594"/>
        <v>0</v>
      </c>
      <c r="FP1276" s="101">
        <f t="shared" si="587"/>
        <v>16</v>
      </c>
      <c r="FQ1276" s="14">
        <f t="shared" si="588"/>
        <v>3</v>
      </c>
      <c r="FR1276" s="101" t="str">
        <f t="shared" si="595"/>
        <v>烈风螳螂专属武器-魂珠-8 0级</v>
      </c>
      <c r="FS1276" s="101">
        <f t="shared" si="596"/>
        <v>8</v>
      </c>
      <c r="FT1276" s="101">
        <f t="shared" si="597"/>
        <v>0</v>
      </c>
      <c r="FU1276" s="101" t="str">
        <f t="shared" si="589"/>
        <v/>
      </c>
      <c r="FV1276" s="139" t="str">
        <f>IF($FT1276&gt;0,IF(INDEX($EI$6:$EI$77,$FO1276)&gt;=FV$3,ROUND(INDEX(EK$6:EK$77,$FO1276)*INDEX(卡牌消耗!$B$8:$F$8,FQ1276)/5,0)*5,""),"")</f>
        <v/>
      </c>
      <c r="FW1276" s="101" t="str">
        <f t="shared" si="590"/>
        <v/>
      </c>
      <c r="FX1276" s="101" t="str">
        <f t="shared" si="591"/>
        <v/>
      </c>
      <c r="FY1276" s="101" t="str">
        <f t="shared" si="592"/>
        <v/>
      </c>
      <c r="FZ1276" s="101" t="str">
        <f t="shared" si="593"/>
        <v/>
      </c>
      <c r="GA1276" s="101" t="str">
        <f t="shared" si="598"/>
        <v/>
      </c>
      <c r="GB1276" s="101" t="str">
        <f t="shared" si="599"/>
        <v/>
      </c>
      <c r="GC1276" s="101" t="str">
        <f t="shared" si="600"/>
        <v/>
      </c>
      <c r="GD1276" s="101" t="str">
        <f t="shared" si="601"/>
        <v/>
      </c>
      <c r="GE1276" s="101" t="str">
        <f t="shared" si="602"/>
        <v/>
      </c>
      <c r="GF1276" s="101" t="str">
        <f t="shared" si="603"/>
        <v/>
      </c>
      <c r="GG1276" s="101" t="str">
        <f t="shared" si="604"/>
        <v/>
      </c>
      <c r="GH1276" s="101" t="str">
        <f t="shared" si="605"/>
        <v/>
      </c>
      <c r="GI1276" s="101" t="str">
        <f t="shared" si="606"/>
        <v/>
      </c>
      <c r="GJ1276" s="101" t="str">
        <f t="shared" si="607"/>
        <v/>
      </c>
      <c r="GK1276" s="101" t="str">
        <f t="shared" si="608"/>
        <v/>
      </c>
      <c r="GL1276" s="101" t="str">
        <f t="shared" si="609"/>
        <v/>
      </c>
    </row>
    <row r="1277" spans="170:194" ht="16.5" x14ac:dyDescent="0.2">
      <c r="FN1277" s="101">
        <v>1272</v>
      </c>
      <c r="FO1277" s="101">
        <f t="shared" si="594"/>
        <v>64</v>
      </c>
      <c r="FP1277" s="101">
        <f t="shared" si="587"/>
        <v>16</v>
      </c>
      <c r="FQ1277" s="14">
        <f t="shared" si="588"/>
        <v>3</v>
      </c>
      <c r="FR1277" s="101" t="str">
        <f t="shared" si="595"/>
        <v>烈风螳螂专属武器-魂珠-8 1级</v>
      </c>
      <c r="FS1277" s="101">
        <f t="shared" si="596"/>
        <v>8</v>
      </c>
      <c r="FT1277" s="101">
        <f t="shared" si="597"/>
        <v>1</v>
      </c>
      <c r="FU1277" s="101" t="str">
        <f t="shared" si="589"/>
        <v>金币</v>
      </c>
      <c r="FV1277" s="139">
        <f>IF($FT1277&gt;0,IF(INDEX($EI$6:$EI$77,$FO1277)&gt;=FV$3,ROUND(INDEX(EK$6:EK$77,$FO1277)*INDEX(卡牌消耗!$B$8:$F$8,FQ1277)/5,0)*5,""),"")</f>
        <v>10300</v>
      </c>
      <c r="FW1277" s="101" t="str">
        <f t="shared" si="590"/>
        <v>专属强化石4</v>
      </c>
      <c r="FX1277" s="101">
        <f t="shared" si="591"/>
        <v>5</v>
      </c>
      <c r="FY1277" s="101" t="str">
        <f t="shared" si="592"/>
        <v/>
      </c>
      <c r="FZ1277" s="101" t="str">
        <f t="shared" si="593"/>
        <v/>
      </c>
      <c r="GA1277" s="101">
        <f t="shared" si="598"/>
        <v>0.11</v>
      </c>
      <c r="GB1277" s="101">
        <f t="shared" si="599"/>
        <v>1</v>
      </c>
      <c r="GC1277" s="101">
        <f t="shared" si="600"/>
        <v>13</v>
      </c>
      <c r="GD1277" s="101">
        <f t="shared" si="601"/>
        <v>0</v>
      </c>
      <c r="GE1277" s="101">
        <f t="shared" si="602"/>
        <v>1</v>
      </c>
      <c r="GF1277" s="101">
        <f t="shared" si="603"/>
        <v>3</v>
      </c>
      <c r="GG1277" s="101">
        <f t="shared" si="604"/>
        <v>5.6500000000000002E-2</v>
      </c>
      <c r="GH1277" s="101">
        <f t="shared" si="605"/>
        <v>1</v>
      </c>
      <c r="GI1277" s="101">
        <f t="shared" si="606"/>
        <v>6</v>
      </c>
      <c r="GJ1277" s="101">
        <f t="shared" si="607"/>
        <v>0.22600000000000001</v>
      </c>
      <c r="GK1277" s="101">
        <f t="shared" si="608"/>
        <v>1</v>
      </c>
      <c r="GL1277" s="101">
        <f t="shared" si="609"/>
        <v>13</v>
      </c>
    </row>
    <row r="1278" spans="170:194" ht="16.5" x14ac:dyDescent="0.2">
      <c r="FN1278" s="101">
        <v>1273</v>
      </c>
      <c r="FO1278" s="101">
        <f t="shared" si="594"/>
        <v>65</v>
      </c>
      <c r="FP1278" s="101">
        <f t="shared" si="587"/>
        <v>16</v>
      </c>
      <c r="FQ1278" s="14">
        <f t="shared" si="588"/>
        <v>3</v>
      </c>
      <c r="FR1278" s="101" t="str">
        <f t="shared" si="595"/>
        <v>烈风螳螂专属武器-魂珠-8 2级</v>
      </c>
      <c r="FS1278" s="101">
        <f t="shared" si="596"/>
        <v>8</v>
      </c>
      <c r="FT1278" s="101">
        <f t="shared" si="597"/>
        <v>2</v>
      </c>
      <c r="FU1278" s="101" t="str">
        <f t="shared" si="589"/>
        <v>金币</v>
      </c>
      <c r="FV1278" s="139">
        <f>IF($FT1278&gt;0,IF(INDEX($EI$6:$EI$77,$FO1278)&gt;=FV$3,ROUND(INDEX(EK$6:EK$77,$FO1278)*INDEX(卡牌消耗!$B$8:$F$8,FQ1278)/5,0)*5,""),"")</f>
        <v>12360</v>
      </c>
      <c r="FW1278" s="101" t="str">
        <f t="shared" si="590"/>
        <v>专属强化石4</v>
      </c>
      <c r="FX1278" s="101">
        <f t="shared" si="591"/>
        <v>8</v>
      </c>
      <c r="FY1278" s="101" t="str">
        <f t="shared" si="592"/>
        <v/>
      </c>
      <c r="FZ1278" s="101" t="str">
        <f t="shared" si="593"/>
        <v/>
      </c>
      <c r="GA1278" s="101">
        <f t="shared" si="598"/>
        <v>0.09</v>
      </c>
      <c r="GB1278" s="101">
        <f t="shared" si="599"/>
        <v>1</v>
      </c>
      <c r="GC1278" s="101">
        <f t="shared" si="600"/>
        <v>17</v>
      </c>
      <c r="GD1278" s="101">
        <f t="shared" si="601"/>
        <v>0</v>
      </c>
      <c r="GE1278" s="101">
        <f t="shared" si="602"/>
        <v>1</v>
      </c>
      <c r="GF1278" s="101">
        <f t="shared" si="603"/>
        <v>4</v>
      </c>
      <c r="GG1278" s="101">
        <f t="shared" si="604"/>
        <v>4.5199999999999997E-2</v>
      </c>
      <c r="GH1278" s="101">
        <f t="shared" si="605"/>
        <v>1</v>
      </c>
      <c r="GI1278" s="101">
        <f t="shared" si="606"/>
        <v>8</v>
      </c>
      <c r="GJ1278" s="101">
        <f t="shared" si="607"/>
        <v>0.18079999999999999</v>
      </c>
      <c r="GK1278" s="101">
        <f t="shared" si="608"/>
        <v>1</v>
      </c>
      <c r="GL1278" s="101">
        <f t="shared" si="609"/>
        <v>17</v>
      </c>
    </row>
    <row r="1279" spans="170:194" ht="16.5" x14ac:dyDescent="0.2">
      <c r="FN1279" s="101">
        <v>1274</v>
      </c>
      <c r="FO1279" s="101">
        <f t="shared" si="594"/>
        <v>66</v>
      </c>
      <c r="FP1279" s="101">
        <f t="shared" si="587"/>
        <v>16</v>
      </c>
      <c r="FQ1279" s="14">
        <f t="shared" si="588"/>
        <v>3</v>
      </c>
      <c r="FR1279" s="101" t="str">
        <f t="shared" si="595"/>
        <v>烈风螳螂专属武器-魂珠-8 3级</v>
      </c>
      <c r="FS1279" s="101">
        <f t="shared" si="596"/>
        <v>8</v>
      </c>
      <c r="FT1279" s="101">
        <f t="shared" si="597"/>
        <v>3</v>
      </c>
      <c r="FU1279" s="101" t="str">
        <f t="shared" si="589"/>
        <v>金币</v>
      </c>
      <c r="FV1279" s="139">
        <f>IF($FT1279&gt;0,IF(INDEX($EI$6:$EI$77,$FO1279)&gt;=FV$3,ROUND(INDEX(EK$6:EK$77,$FO1279)*INDEX(卡牌消耗!$B$8:$F$8,FQ1279)/5,0)*5,""),"")</f>
        <v>17170</v>
      </c>
      <c r="FW1279" s="101" t="str">
        <f t="shared" si="590"/>
        <v>专属强化石4</v>
      </c>
      <c r="FX1279" s="101">
        <f t="shared" si="591"/>
        <v>10</v>
      </c>
      <c r="FY1279" s="101" t="str">
        <f t="shared" si="592"/>
        <v/>
      </c>
      <c r="FZ1279" s="101" t="str">
        <f t="shared" si="593"/>
        <v/>
      </c>
      <c r="GA1279" s="101">
        <f t="shared" si="598"/>
        <v>0.08</v>
      </c>
      <c r="GB1279" s="101">
        <f t="shared" si="599"/>
        <v>1</v>
      </c>
      <c r="GC1279" s="101">
        <f t="shared" si="600"/>
        <v>20</v>
      </c>
      <c r="GD1279" s="101">
        <f t="shared" si="601"/>
        <v>0</v>
      </c>
      <c r="GE1279" s="101">
        <f t="shared" si="602"/>
        <v>1</v>
      </c>
      <c r="GF1279" s="101">
        <f t="shared" si="603"/>
        <v>5</v>
      </c>
      <c r="GG1279" s="101">
        <f t="shared" si="604"/>
        <v>3.7699999999999997E-2</v>
      </c>
      <c r="GH1279" s="101">
        <f t="shared" si="605"/>
        <v>1</v>
      </c>
      <c r="GI1279" s="101">
        <f t="shared" si="606"/>
        <v>9</v>
      </c>
      <c r="GJ1279" s="101">
        <f t="shared" si="607"/>
        <v>0.1507</v>
      </c>
      <c r="GK1279" s="101">
        <f t="shared" si="608"/>
        <v>1</v>
      </c>
      <c r="GL1279" s="101">
        <f t="shared" si="609"/>
        <v>20</v>
      </c>
    </row>
    <row r="1280" spans="170:194" ht="16.5" x14ac:dyDescent="0.2">
      <c r="FN1280" s="101">
        <v>1275</v>
      </c>
      <c r="FO1280" s="101">
        <f t="shared" si="594"/>
        <v>67</v>
      </c>
      <c r="FP1280" s="101">
        <f t="shared" si="587"/>
        <v>16</v>
      </c>
      <c r="FQ1280" s="14">
        <f t="shared" si="588"/>
        <v>3</v>
      </c>
      <c r="FR1280" s="101" t="str">
        <f t="shared" si="595"/>
        <v>烈风螳螂专属武器-魂珠-8 4级</v>
      </c>
      <c r="FS1280" s="101">
        <f t="shared" si="596"/>
        <v>8</v>
      </c>
      <c r="FT1280" s="101">
        <f t="shared" si="597"/>
        <v>4</v>
      </c>
      <c r="FU1280" s="101" t="str">
        <f t="shared" si="589"/>
        <v>金币</v>
      </c>
      <c r="FV1280" s="139">
        <f>IF($FT1280&gt;0,IF(INDEX($EI$6:$EI$77,$FO1280)&gt;=FV$3,ROUND(INDEX(EK$6:EK$77,$FO1280)*INDEX(卡牌消耗!$B$8:$F$8,FQ1280)/5,0)*5,""),"")</f>
        <v>19780</v>
      </c>
      <c r="FW1280" s="101" t="str">
        <f t="shared" si="590"/>
        <v>专属强化石4</v>
      </c>
      <c r="FX1280" s="101">
        <f t="shared" si="591"/>
        <v>12</v>
      </c>
      <c r="FY1280" s="101" t="str">
        <f t="shared" si="592"/>
        <v/>
      </c>
      <c r="FZ1280" s="101" t="str">
        <f t="shared" si="593"/>
        <v/>
      </c>
      <c r="GA1280" s="101">
        <f t="shared" si="598"/>
        <v>0.05</v>
      </c>
      <c r="GB1280" s="101">
        <f t="shared" si="599"/>
        <v>1</v>
      </c>
      <c r="GC1280" s="101">
        <f t="shared" si="600"/>
        <v>28</v>
      </c>
      <c r="GD1280" s="101">
        <f t="shared" si="601"/>
        <v>0</v>
      </c>
      <c r="GE1280" s="101">
        <f t="shared" si="602"/>
        <v>1</v>
      </c>
      <c r="GF1280" s="101">
        <f t="shared" si="603"/>
        <v>6</v>
      </c>
      <c r="GG1280" s="101">
        <f t="shared" si="604"/>
        <v>2.7099999999999999E-2</v>
      </c>
      <c r="GH1280" s="101">
        <f t="shared" si="605"/>
        <v>1</v>
      </c>
      <c r="GI1280" s="101">
        <f t="shared" si="606"/>
        <v>13</v>
      </c>
      <c r="GJ1280" s="101">
        <f t="shared" si="607"/>
        <v>0.1085</v>
      </c>
      <c r="GK1280" s="101">
        <f t="shared" si="608"/>
        <v>1</v>
      </c>
      <c r="GL1280" s="101">
        <f t="shared" si="609"/>
        <v>28</v>
      </c>
    </row>
    <row r="1281" spans="170:194" ht="16.5" x14ac:dyDescent="0.2">
      <c r="FN1281" s="101">
        <v>1276</v>
      </c>
      <c r="FO1281" s="101">
        <f t="shared" si="594"/>
        <v>68</v>
      </c>
      <c r="FP1281" s="101">
        <f t="shared" si="587"/>
        <v>16</v>
      </c>
      <c r="FQ1281" s="14">
        <f t="shared" si="588"/>
        <v>3</v>
      </c>
      <c r="FR1281" s="101" t="str">
        <f t="shared" si="595"/>
        <v>烈风螳螂专属武器-魂珠-8 5级</v>
      </c>
      <c r="FS1281" s="101">
        <f t="shared" si="596"/>
        <v>8</v>
      </c>
      <c r="FT1281" s="101">
        <f t="shared" si="597"/>
        <v>5</v>
      </c>
      <c r="FU1281" s="101" t="str">
        <f t="shared" si="589"/>
        <v>金币</v>
      </c>
      <c r="FV1281" s="139">
        <f>IF($FT1281&gt;0,IF(INDEX($EI$6:$EI$77,$FO1281)&gt;=FV$3,ROUND(INDEX(EK$6:EK$77,$FO1281)*INDEX(卡牌消耗!$B$8:$F$8,FQ1281)/5,0)*5,""),"")</f>
        <v>25110</v>
      </c>
      <c r="FW1281" s="101" t="str">
        <f t="shared" si="590"/>
        <v>专属强化石4</v>
      </c>
      <c r="FX1281" s="101">
        <f t="shared" si="591"/>
        <v>15</v>
      </c>
      <c r="FY1281" s="101" t="str">
        <f t="shared" si="592"/>
        <v/>
      </c>
      <c r="FZ1281" s="101" t="str">
        <f t="shared" si="593"/>
        <v/>
      </c>
      <c r="GA1281" s="101">
        <f t="shared" si="598"/>
        <v>0.04</v>
      </c>
      <c r="GB1281" s="101">
        <f t="shared" si="599"/>
        <v>1</v>
      </c>
      <c r="GC1281" s="101">
        <f t="shared" si="600"/>
        <v>35</v>
      </c>
      <c r="GD1281" s="101">
        <f t="shared" si="601"/>
        <v>0</v>
      </c>
      <c r="GE1281" s="101">
        <f t="shared" si="602"/>
        <v>1</v>
      </c>
      <c r="GF1281" s="101">
        <f t="shared" si="603"/>
        <v>8</v>
      </c>
      <c r="GG1281" s="101">
        <f t="shared" si="604"/>
        <v>2.12E-2</v>
      </c>
      <c r="GH1281" s="101">
        <f t="shared" si="605"/>
        <v>1</v>
      </c>
      <c r="GI1281" s="101">
        <f t="shared" si="606"/>
        <v>17</v>
      </c>
      <c r="GJ1281" s="101">
        <f t="shared" si="607"/>
        <v>8.4699999999999998E-2</v>
      </c>
      <c r="GK1281" s="101">
        <f t="shared" si="608"/>
        <v>1</v>
      </c>
      <c r="GL1281" s="101">
        <f t="shared" si="609"/>
        <v>35</v>
      </c>
    </row>
    <row r="1282" spans="170:194" ht="16.5" x14ac:dyDescent="0.2">
      <c r="FN1282" s="101">
        <v>1277</v>
      </c>
      <c r="FO1282" s="101">
        <f t="shared" si="594"/>
        <v>69</v>
      </c>
      <c r="FP1282" s="101">
        <f t="shared" si="587"/>
        <v>16</v>
      </c>
      <c r="FQ1282" s="14">
        <f t="shared" si="588"/>
        <v>3</v>
      </c>
      <c r="FR1282" s="101" t="str">
        <f t="shared" si="595"/>
        <v>烈风螳螂专属武器-魂珠-8 6级</v>
      </c>
      <c r="FS1282" s="101">
        <f t="shared" si="596"/>
        <v>8</v>
      </c>
      <c r="FT1282" s="101">
        <f t="shared" si="597"/>
        <v>6</v>
      </c>
      <c r="FU1282" s="101" t="str">
        <f t="shared" si="589"/>
        <v>金币</v>
      </c>
      <c r="FV1282" s="139">
        <f>IF($FT1282&gt;0,IF(INDEX($EI$6:$EI$77,$FO1282)&gt;=FV$3,ROUND(INDEX(EK$6:EK$77,$FO1282)*INDEX(卡牌消耗!$B$8:$F$8,FQ1282)/5,0)*5,""),"")</f>
        <v>29955</v>
      </c>
      <c r="FW1282" s="101" t="str">
        <f t="shared" si="590"/>
        <v>专属强化石4</v>
      </c>
      <c r="FX1282" s="101">
        <f t="shared" si="591"/>
        <v>18</v>
      </c>
      <c r="FY1282" s="101" t="str">
        <f t="shared" si="592"/>
        <v/>
      </c>
      <c r="FZ1282" s="101" t="str">
        <f t="shared" si="593"/>
        <v/>
      </c>
      <c r="GA1282" s="101">
        <f t="shared" si="598"/>
        <v>0.03</v>
      </c>
      <c r="GB1282" s="101">
        <f t="shared" si="599"/>
        <v>1</v>
      </c>
      <c r="GC1282" s="101">
        <f t="shared" si="600"/>
        <v>48</v>
      </c>
      <c r="GD1282" s="101">
        <f t="shared" si="601"/>
        <v>0</v>
      </c>
      <c r="GE1282" s="101">
        <f t="shared" si="602"/>
        <v>1</v>
      </c>
      <c r="GF1282" s="101">
        <f t="shared" si="603"/>
        <v>11</v>
      </c>
      <c r="GG1282" s="101">
        <f t="shared" si="604"/>
        <v>1.5599999999999999E-2</v>
      </c>
      <c r="GH1282" s="101">
        <f t="shared" si="605"/>
        <v>1</v>
      </c>
      <c r="GI1282" s="101">
        <f t="shared" si="606"/>
        <v>22</v>
      </c>
      <c r="GJ1282" s="101">
        <f t="shared" si="607"/>
        <v>6.2600000000000003E-2</v>
      </c>
      <c r="GK1282" s="101">
        <f t="shared" si="608"/>
        <v>1</v>
      </c>
      <c r="GL1282" s="101">
        <f t="shared" si="609"/>
        <v>48</v>
      </c>
    </row>
    <row r="1283" spans="170:194" ht="16.5" x14ac:dyDescent="0.2">
      <c r="FN1283" s="101">
        <v>1278</v>
      </c>
      <c r="FO1283" s="101">
        <f t="shared" si="594"/>
        <v>70</v>
      </c>
      <c r="FP1283" s="101">
        <f t="shared" si="587"/>
        <v>16</v>
      </c>
      <c r="FQ1283" s="14">
        <f t="shared" si="588"/>
        <v>3</v>
      </c>
      <c r="FR1283" s="101" t="str">
        <f t="shared" si="595"/>
        <v>烈风螳螂专属武器-魂珠-8 7级</v>
      </c>
      <c r="FS1283" s="101">
        <f t="shared" si="596"/>
        <v>8</v>
      </c>
      <c r="FT1283" s="101">
        <f t="shared" si="597"/>
        <v>7</v>
      </c>
      <c r="FU1283" s="101" t="str">
        <f t="shared" si="589"/>
        <v>金币</v>
      </c>
      <c r="FV1283" s="139">
        <f>IF($FT1283&gt;0,IF(INDEX($EI$6:$EI$77,$FO1283)&gt;=FV$3,ROUND(INDEX(EK$6:EK$77,$FO1283)*INDEX(卡牌消耗!$B$8:$F$8,FQ1283)/5,0)*5,""),"")</f>
        <v>41700</v>
      </c>
      <c r="FW1283" s="101" t="str">
        <f t="shared" si="590"/>
        <v>专属强化石4</v>
      </c>
      <c r="FX1283" s="101">
        <f t="shared" si="591"/>
        <v>25</v>
      </c>
      <c r="FY1283" s="101" t="str">
        <f t="shared" si="592"/>
        <v/>
      </c>
      <c r="FZ1283" s="101" t="str">
        <f t="shared" si="593"/>
        <v/>
      </c>
      <c r="GA1283" s="101">
        <f t="shared" si="598"/>
        <v>0.03</v>
      </c>
      <c r="GB1283" s="101">
        <f t="shared" si="599"/>
        <v>1</v>
      </c>
      <c r="GC1283" s="101">
        <f t="shared" si="600"/>
        <v>56</v>
      </c>
      <c r="GD1283" s="101">
        <f t="shared" si="601"/>
        <v>0</v>
      </c>
      <c r="GE1283" s="101">
        <f t="shared" si="602"/>
        <v>1</v>
      </c>
      <c r="GF1283" s="101">
        <f t="shared" si="603"/>
        <v>13</v>
      </c>
      <c r="GG1283" s="101">
        <f t="shared" si="604"/>
        <v>1.35E-2</v>
      </c>
      <c r="GH1283" s="101">
        <f t="shared" si="605"/>
        <v>1</v>
      </c>
      <c r="GI1283" s="101">
        <f t="shared" si="606"/>
        <v>26</v>
      </c>
      <c r="GJ1283" s="101">
        <f t="shared" si="607"/>
        <v>5.3800000000000001E-2</v>
      </c>
      <c r="GK1283" s="101">
        <f t="shared" si="608"/>
        <v>1</v>
      </c>
      <c r="GL1283" s="101">
        <f t="shared" si="609"/>
        <v>56</v>
      </c>
    </row>
    <row r="1284" spans="170:194" ht="16.5" x14ac:dyDescent="0.2">
      <c r="FN1284" s="101">
        <v>1279</v>
      </c>
      <c r="FO1284" s="101">
        <f t="shared" si="594"/>
        <v>71</v>
      </c>
      <c r="FP1284" s="101">
        <f t="shared" si="587"/>
        <v>16</v>
      </c>
      <c r="FQ1284" s="14">
        <f t="shared" si="588"/>
        <v>3</v>
      </c>
      <c r="FR1284" s="101" t="str">
        <f t="shared" si="595"/>
        <v>烈风螳螂专属武器-魂珠-8 8级</v>
      </c>
      <c r="FS1284" s="101">
        <f t="shared" si="596"/>
        <v>8</v>
      </c>
      <c r="FT1284" s="101">
        <f t="shared" si="597"/>
        <v>8</v>
      </c>
      <c r="FU1284" s="101" t="str">
        <f t="shared" si="589"/>
        <v>金币</v>
      </c>
      <c r="FV1284" s="139">
        <f>IF($FT1284&gt;0,IF(INDEX($EI$6:$EI$77,$FO1284)&gt;=FV$3,ROUND(INDEX(EK$6:EK$77,$FO1284)*INDEX(卡牌消耗!$B$8:$F$8,FQ1284)/5,0)*5,""),"")</f>
        <v>49995</v>
      </c>
      <c r="FW1284" s="101" t="str">
        <f t="shared" si="590"/>
        <v>专属强化石4</v>
      </c>
      <c r="FX1284" s="101">
        <f t="shared" si="591"/>
        <v>30</v>
      </c>
      <c r="FY1284" s="101" t="str">
        <f t="shared" si="592"/>
        <v/>
      </c>
      <c r="FZ1284" s="101" t="str">
        <f t="shared" si="593"/>
        <v/>
      </c>
      <c r="GA1284" s="101">
        <f t="shared" si="598"/>
        <v>0.02</v>
      </c>
      <c r="GB1284" s="101">
        <f t="shared" si="599"/>
        <v>1</v>
      </c>
      <c r="GC1284" s="101">
        <f t="shared" si="600"/>
        <v>75</v>
      </c>
      <c r="GD1284" s="101">
        <f t="shared" si="601"/>
        <v>0</v>
      </c>
      <c r="GE1284" s="101">
        <f t="shared" si="602"/>
        <v>1</v>
      </c>
      <c r="GF1284" s="101">
        <f t="shared" si="603"/>
        <v>18</v>
      </c>
      <c r="GG1284" s="101">
        <f t="shared" si="604"/>
        <v>0.01</v>
      </c>
      <c r="GH1284" s="101">
        <f t="shared" si="605"/>
        <v>1</v>
      </c>
      <c r="GI1284" s="101">
        <f t="shared" si="606"/>
        <v>35</v>
      </c>
      <c r="GJ1284" s="101">
        <f t="shared" si="607"/>
        <v>3.9899999999999998E-2</v>
      </c>
      <c r="GK1284" s="101">
        <f t="shared" si="608"/>
        <v>1</v>
      </c>
      <c r="GL1284" s="101">
        <f t="shared" si="609"/>
        <v>75</v>
      </c>
    </row>
    <row r="1285" spans="170:194" ht="16.5" x14ac:dyDescent="0.2">
      <c r="FN1285" s="101">
        <v>1280</v>
      </c>
      <c r="FO1285" s="101">
        <f t="shared" si="594"/>
        <v>72</v>
      </c>
      <c r="FP1285" s="101">
        <f t="shared" si="587"/>
        <v>16</v>
      </c>
      <c r="FQ1285" s="14">
        <f t="shared" si="588"/>
        <v>3</v>
      </c>
      <c r="FR1285" s="101" t="str">
        <f t="shared" si="595"/>
        <v>烈风螳螂专属武器-魂珠-8 9级</v>
      </c>
      <c r="FS1285" s="101">
        <f t="shared" si="596"/>
        <v>8</v>
      </c>
      <c r="FT1285" s="101">
        <f t="shared" si="597"/>
        <v>9</v>
      </c>
      <c r="FU1285" s="101" t="str">
        <f t="shared" si="589"/>
        <v>金币</v>
      </c>
      <c r="FV1285" s="139">
        <f>IF($FT1285&gt;0,IF(INDEX($EI$6:$EI$77,$FO1285)&gt;=FV$3,ROUND(INDEX(EK$6:EK$77,$FO1285)*INDEX(卡牌消耗!$B$8:$F$8,FQ1285)/5,0)*5,""),"")</f>
        <v>50010</v>
      </c>
      <c r="FW1285" s="101" t="str">
        <f t="shared" si="590"/>
        <v>专属强化石4</v>
      </c>
      <c r="FX1285" s="101">
        <f t="shared" si="591"/>
        <v>30</v>
      </c>
      <c r="FY1285" s="101" t="str">
        <f t="shared" si="592"/>
        <v/>
      </c>
      <c r="FZ1285" s="101" t="str">
        <f t="shared" si="593"/>
        <v/>
      </c>
      <c r="GA1285" s="101">
        <f t="shared" si="598"/>
        <v>0.01</v>
      </c>
      <c r="GB1285" s="101">
        <f t="shared" si="599"/>
        <v>1</v>
      </c>
      <c r="GC1285" s="101">
        <f t="shared" si="600"/>
        <v>122</v>
      </c>
      <c r="GD1285" s="101">
        <f t="shared" si="601"/>
        <v>0</v>
      </c>
      <c r="GE1285" s="101">
        <f t="shared" si="602"/>
        <v>1</v>
      </c>
      <c r="GF1285" s="101">
        <f t="shared" si="603"/>
        <v>28</v>
      </c>
      <c r="GG1285" s="101">
        <f t="shared" si="604"/>
        <v>6.1999999999999998E-3</v>
      </c>
      <c r="GH1285" s="101">
        <f t="shared" si="605"/>
        <v>1</v>
      </c>
      <c r="GI1285" s="101">
        <f t="shared" si="606"/>
        <v>57</v>
      </c>
      <c r="GJ1285" s="101">
        <f t="shared" si="607"/>
        <v>2.47E-2</v>
      </c>
      <c r="GK1285" s="101">
        <f t="shared" si="608"/>
        <v>1</v>
      </c>
      <c r="GL1285" s="101">
        <f t="shared" si="609"/>
        <v>122</v>
      </c>
    </row>
    <row r="1286" spans="170:194" ht="16.5" x14ac:dyDescent="0.2">
      <c r="FN1286" s="101">
        <v>1281</v>
      </c>
      <c r="FO1286" s="101">
        <f t="shared" si="594"/>
        <v>0</v>
      </c>
      <c r="FP1286" s="101">
        <f t="shared" si="587"/>
        <v>17</v>
      </c>
      <c r="FQ1286" s="14">
        <f t="shared" si="588"/>
        <v>3</v>
      </c>
      <c r="FR1286" s="101" t="str">
        <f t="shared" si="595"/>
        <v>朱仙专属武器-魂珠-1 0级</v>
      </c>
      <c r="FS1286" s="101">
        <f t="shared" si="596"/>
        <v>1</v>
      </c>
      <c r="FT1286" s="101">
        <f t="shared" si="597"/>
        <v>0</v>
      </c>
      <c r="FU1286" s="101" t="str">
        <f t="shared" si="589"/>
        <v/>
      </c>
      <c r="FV1286" s="139" t="str">
        <f>IF($FT1286&gt;0,IF(INDEX($EI$6:$EI$77,$FO1286)&gt;=FV$3,ROUND(INDEX(EK$6:EK$77,$FO1286)*INDEX(卡牌消耗!$B$8:$F$8,FQ1286)/5,0)*5,""),"")</f>
        <v/>
      </c>
      <c r="FW1286" s="101" t="str">
        <f t="shared" si="590"/>
        <v/>
      </c>
      <c r="FX1286" s="101" t="str">
        <f t="shared" si="591"/>
        <v/>
      </c>
      <c r="FY1286" s="101" t="str">
        <f t="shared" si="592"/>
        <v/>
      </c>
      <c r="FZ1286" s="101" t="str">
        <f t="shared" si="593"/>
        <v/>
      </c>
      <c r="GA1286" s="101" t="str">
        <f t="shared" si="598"/>
        <v/>
      </c>
      <c r="GB1286" s="101" t="str">
        <f t="shared" si="599"/>
        <v/>
      </c>
      <c r="GC1286" s="101" t="str">
        <f t="shared" si="600"/>
        <v/>
      </c>
      <c r="GD1286" s="101" t="str">
        <f t="shared" si="601"/>
        <v/>
      </c>
      <c r="GE1286" s="101" t="str">
        <f t="shared" si="602"/>
        <v/>
      </c>
      <c r="GF1286" s="101" t="str">
        <f t="shared" si="603"/>
        <v/>
      </c>
      <c r="GG1286" s="101" t="str">
        <f t="shared" si="604"/>
        <v/>
      </c>
      <c r="GH1286" s="101" t="str">
        <f t="shared" si="605"/>
        <v/>
      </c>
      <c r="GI1286" s="101" t="str">
        <f t="shared" si="606"/>
        <v/>
      </c>
      <c r="GJ1286" s="101" t="str">
        <f t="shared" si="607"/>
        <v/>
      </c>
      <c r="GK1286" s="101" t="str">
        <f t="shared" si="608"/>
        <v/>
      </c>
      <c r="GL1286" s="101" t="str">
        <f t="shared" si="609"/>
        <v/>
      </c>
    </row>
    <row r="1287" spans="170:194" ht="16.5" x14ac:dyDescent="0.2">
      <c r="FN1287" s="101">
        <v>1282</v>
      </c>
      <c r="FO1287" s="101">
        <f t="shared" si="594"/>
        <v>1</v>
      </c>
      <c r="FP1287" s="101">
        <f t="shared" ref="FP1287:FP1350" si="610">INT((FN1287-1)/80+1)</f>
        <v>17</v>
      </c>
      <c r="FQ1287" s="14">
        <f t="shared" ref="FQ1287:FQ1350" si="611">INDEX($FJ$6:$FJ$26,FP1287)</f>
        <v>3</v>
      </c>
      <c r="FR1287" s="101" t="str">
        <f t="shared" si="595"/>
        <v>朱仙专属武器-魂珠-1 1级</v>
      </c>
      <c r="FS1287" s="101">
        <f t="shared" si="596"/>
        <v>1</v>
      </c>
      <c r="FT1287" s="101">
        <f t="shared" si="597"/>
        <v>1</v>
      </c>
      <c r="FU1287" s="101" t="str">
        <f t="shared" ref="FU1287:FU1350" si="612">IF($FT1287&gt;0,IF(INDEX($EI$6:$EI$77,$FO1287)&gt;=FU$3,INDEX(EJ$6:EJ$77,$FO1287),""),"")</f>
        <v>金币</v>
      </c>
      <c r="FV1287" s="139">
        <f>IF($FT1287&gt;0,IF(INDEX($EI$6:$EI$77,$FO1287)&gt;=FV$3,ROUND(INDEX(EK$6:EK$77,$FO1287)*INDEX(卡牌消耗!$B$8:$F$8,FQ1287)/5,0)*5,""),"")</f>
        <v>95</v>
      </c>
      <c r="FW1287" s="101" t="str">
        <f t="shared" ref="FW1287:FW1350" si="613">IF($FT1287&gt;0,IF(INDEX($EI$6:$EI$77,$FO1287)&gt;=FW$3,INDEX(EL$6:EL$77,$FO1287),""),"")</f>
        <v>专属强化石1</v>
      </c>
      <c r="FX1287" s="101">
        <f t="shared" ref="FX1287:FX1350" si="614">IF($FT1287&gt;0,IF(INDEX($EI$6:$EI$77,$FO1287)&gt;=FX$3,INDEX(EM$6:EM$77,$FO1287),""),"")</f>
        <v>1</v>
      </c>
      <c r="FY1287" s="101" t="str">
        <f t="shared" ref="FY1287:FY1350" si="615">IF($FT1287&gt;0,IF(INDEX($EI$6:$EI$77,$FO1287)&gt;=FY$3,INDEX(EN$6:EN$77,$FO1287),""),"")</f>
        <v/>
      </c>
      <c r="FZ1287" s="101" t="str">
        <f t="shared" ref="FZ1287:FZ1350" si="616">IF($FT1287&gt;0,IF(INDEX($EI$6:$EI$77,$FO1287)&gt;=FZ$3,INDEX(EO$6:EO$77,$FO1287),""),"")</f>
        <v/>
      </c>
      <c r="GA1287" s="101">
        <f t="shared" si="598"/>
        <v>0.32</v>
      </c>
      <c r="GB1287" s="101">
        <f t="shared" si="599"/>
        <v>1</v>
      </c>
      <c r="GC1287" s="101">
        <f t="shared" si="600"/>
        <v>5</v>
      </c>
      <c r="GD1287" s="101">
        <f t="shared" si="601"/>
        <v>0</v>
      </c>
      <c r="GE1287" s="101">
        <f t="shared" si="602"/>
        <v>1</v>
      </c>
      <c r="GF1287" s="101">
        <f t="shared" si="603"/>
        <v>1</v>
      </c>
      <c r="GG1287" s="101">
        <f t="shared" si="604"/>
        <v>0.1595</v>
      </c>
      <c r="GH1287" s="101">
        <f t="shared" si="605"/>
        <v>1</v>
      </c>
      <c r="GI1287" s="101">
        <f t="shared" si="606"/>
        <v>2</v>
      </c>
      <c r="GJ1287" s="101">
        <f t="shared" si="607"/>
        <v>0.63819999999999999</v>
      </c>
      <c r="GK1287" s="101">
        <f t="shared" si="608"/>
        <v>1</v>
      </c>
      <c r="GL1287" s="101">
        <f t="shared" si="609"/>
        <v>5</v>
      </c>
    </row>
    <row r="1288" spans="170:194" ht="16.5" x14ac:dyDescent="0.2">
      <c r="FN1288" s="101">
        <v>1283</v>
      </c>
      <c r="FO1288" s="101">
        <f t="shared" si="594"/>
        <v>2</v>
      </c>
      <c r="FP1288" s="101">
        <f t="shared" si="610"/>
        <v>17</v>
      </c>
      <c r="FQ1288" s="14">
        <f t="shared" si="611"/>
        <v>3</v>
      </c>
      <c r="FR1288" s="101" t="str">
        <f t="shared" si="595"/>
        <v>朱仙专属武器-魂珠-1 2级</v>
      </c>
      <c r="FS1288" s="101">
        <f t="shared" si="596"/>
        <v>1</v>
      </c>
      <c r="FT1288" s="101">
        <f t="shared" si="597"/>
        <v>2</v>
      </c>
      <c r="FU1288" s="101" t="str">
        <f t="shared" si="612"/>
        <v>金币</v>
      </c>
      <c r="FV1288" s="139">
        <f>IF($FT1288&gt;0,IF(INDEX($EI$6:$EI$77,$FO1288)&gt;=FV$3,ROUND(INDEX(EK$6:EK$77,$FO1288)*INDEX(卡牌消耗!$B$8:$F$8,FQ1288)/5,0)*5,""),"")</f>
        <v>140</v>
      </c>
      <c r="FW1288" s="101" t="str">
        <f t="shared" si="613"/>
        <v>专属强化石1</v>
      </c>
      <c r="FX1288" s="101">
        <f t="shared" si="614"/>
        <v>2</v>
      </c>
      <c r="FY1288" s="101" t="str">
        <f t="shared" si="615"/>
        <v/>
      </c>
      <c r="FZ1288" s="101" t="str">
        <f t="shared" si="616"/>
        <v/>
      </c>
      <c r="GA1288" s="101">
        <f t="shared" si="598"/>
        <v>0.32</v>
      </c>
      <c r="GB1288" s="101">
        <f t="shared" si="599"/>
        <v>1</v>
      </c>
      <c r="GC1288" s="101">
        <f t="shared" si="600"/>
        <v>5</v>
      </c>
      <c r="GD1288" s="101">
        <f t="shared" si="601"/>
        <v>0</v>
      </c>
      <c r="GE1288" s="101">
        <f t="shared" si="602"/>
        <v>1</v>
      </c>
      <c r="GF1288" s="101">
        <f t="shared" si="603"/>
        <v>1</v>
      </c>
      <c r="GG1288" s="101">
        <f t="shared" si="604"/>
        <v>0.1595</v>
      </c>
      <c r="GH1288" s="101">
        <f t="shared" si="605"/>
        <v>1</v>
      </c>
      <c r="GI1288" s="101">
        <f t="shared" si="606"/>
        <v>2</v>
      </c>
      <c r="GJ1288" s="101">
        <f t="shared" si="607"/>
        <v>0.63819999999999999</v>
      </c>
      <c r="GK1288" s="101">
        <f t="shared" si="608"/>
        <v>1</v>
      </c>
      <c r="GL1288" s="101">
        <f t="shared" si="609"/>
        <v>5</v>
      </c>
    </row>
    <row r="1289" spans="170:194" ht="16.5" x14ac:dyDescent="0.2">
      <c r="FN1289" s="101">
        <v>1284</v>
      </c>
      <c r="FO1289" s="101">
        <f t="shared" si="594"/>
        <v>3</v>
      </c>
      <c r="FP1289" s="101">
        <f t="shared" si="610"/>
        <v>17</v>
      </c>
      <c r="FQ1289" s="14">
        <f t="shared" si="611"/>
        <v>3</v>
      </c>
      <c r="FR1289" s="101" t="str">
        <f t="shared" si="595"/>
        <v>朱仙专属武器-魂珠-1 3级</v>
      </c>
      <c r="FS1289" s="101">
        <f t="shared" si="596"/>
        <v>1</v>
      </c>
      <c r="FT1289" s="101">
        <f t="shared" si="597"/>
        <v>3</v>
      </c>
      <c r="FU1289" s="101" t="str">
        <f t="shared" si="612"/>
        <v>金币</v>
      </c>
      <c r="FV1289" s="139">
        <f>IF($FT1289&gt;0,IF(INDEX($EI$6:$EI$77,$FO1289)&gt;=FV$3,ROUND(INDEX(EK$6:EK$77,$FO1289)*INDEX(卡牌消耗!$B$8:$F$8,FQ1289)/5,0)*5,""),"")</f>
        <v>235</v>
      </c>
      <c r="FW1289" s="101" t="str">
        <f t="shared" si="613"/>
        <v>专属强化石1</v>
      </c>
      <c r="FX1289" s="101">
        <f t="shared" si="614"/>
        <v>3</v>
      </c>
      <c r="FY1289" s="101" t="str">
        <f t="shared" si="615"/>
        <v/>
      </c>
      <c r="FZ1289" s="101" t="str">
        <f t="shared" si="616"/>
        <v/>
      </c>
      <c r="GA1289" s="101">
        <f t="shared" si="598"/>
        <v>0.32</v>
      </c>
      <c r="GB1289" s="101">
        <f t="shared" si="599"/>
        <v>1</v>
      </c>
      <c r="GC1289" s="101">
        <f t="shared" si="600"/>
        <v>5</v>
      </c>
      <c r="GD1289" s="101">
        <f t="shared" si="601"/>
        <v>0</v>
      </c>
      <c r="GE1289" s="101">
        <f t="shared" si="602"/>
        <v>1</v>
      </c>
      <c r="GF1289" s="101">
        <f t="shared" si="603"/>
        <v>1</v>
      </c>
      <c r="GG1289" s="101">
        <f t="shared" si="604"/>
        <v>0.1595</v>
      </c>
      <c r="GH1289" s="101">
        <f t="shared" si="605"/>
        <v>1</v>
      </c>
      <c r="GI1289" s="101">
        <f t="shared" si="606"/>
        <v>2</v>
      </c>
      <c r="GJ1289" s="101">
        <f t="shared" si="607"/>
        <v>0.63819999999999999</v>
      </c>
      <c r="GK1289" s="101">
        <f t="shared" si="608"/>
        <v>1</v>
      </c>
      <c r="GL1289" s="101">
        <f t="shared" si="609"/>
        <v>5</v>
      </c>
    </row>
    <row r="1290" spans="170:194" ht="16.5" x14ac:dyDescent="0.2">
      <c r="FN1290" s="101">
        <v>1285</v>
      </c>
      <c r="FO1290" s="101">
        <f t="shared" si="594"/>
        <v>4</v>
      </c>
      <c r="FP1290" s="101">
        <f t="shared" si="610"/>
        <v>17</v>
      </c>
      <c r="FQ1290" s="14">
        <f t="shared" si="611"/>
        <v>3</v>
      </c>
      <c r="FR1290" s="101" t="str">
        <f t="shared" si="595"/>
        <v>朱仙专属武器-魂珠-1 4级</v>
      </c>
      <c r="FS1290" s="101">
        <f t="shared" si="596"/>
        <v>1</v>
      </c>
      <c r="FT1290" s="101">
        <f t="shared" si="597"/>
        <v>4</v>
      </c>
      <c r="FU1290" s="101" t="str">
        <f t="shared" si="612"/>
        <v>金币</v>
      </c>
      <c r="FV1290" s="139">
        <f>IF($FT1290&gt;0,IF(INDEX($EI$6:$EI$77,$FO1290)&gt;=FV$3,ROUND(INDEX(EK$6:EK$77,$FO1290)*INDEX(卡牌消耗!$B$8:$F$8,FQ1290)/5,0)*5,""),"")</f>
        <v>305</v>
      </c>
      <c r="FW1290" s="101" t="str">
        <f t="shared" si="613"/>
        <v>专属强化石1</v>
      </c>
      <c r="FX1290" s="101">
        <f t="shared" si="614"/>
        <v>4</v>
      </c>
      <c r="FY1290" s="101" t="str">
        <f t="shared" si="615"/>
        <v/>
      </c>
      <c r="FZ1290" s="101" t="str">
        <f t="shared" si="616"/>
        <v/>
      </c>
      <c r="GA1290" s="101">
        <f t="shared" si="598"/>
        <v>0.26</v>
      </c>
      <c r="GB1290" s="101">
        <f t="shared" si="599"/>
        <v>1</v>
      </c>
      <c r="GC1290" s="101">
        <f t="shared" si="600"/>
        <v>6</v>
      </c>
      <c r="GD1290" s="101">
        <f t="shared" si="601"/>
        <v>0</v>
      </c>
      <c r="GE1290" s="101">
        <f t="shared" si="602"/>
        <v>1</v>
      </c>
      <c r="GF1290" s="101">
        <f t="shared" si="603"/>
        <v>1</v>
      </c>
      <c r="GG1290" s="101">
        <f t="shared" si="604"/>
        <v>0.12759999999999999</v>
      </c>
      <c r="GH1290" s="101">
        <f t="shared" si="605"/>
        <v>1</v>
      </c>
      <c r="GI1290" s="101">
        <f t="shared" si="606"/>
        <v>3</v>
      </c>
      <c r="GJ1290" s="101">
        <f t="shared" si="607"/>
        <v>0.51060000000000005</v>
      </c>
      <c r="GK1290" s="101">
        <f t="shared" si="608"/>
        <v>1</v>
      </c>
      <c r="GL1290" s="101">
        <f t="shared" si="609"/>
        <v>6</v>
      </c>
    </row>
    <row r="1291" spans="170:194" ht="16.5" x14ac:dyDescent="0.2">
      <c r="FN1291" s="101">
        <v>1286</v>
      </c>
      <c r="FO1291" s="101">
        <f t="shared" si="594"/>
        <v>5</v>
      </c>
      <c r="FP1291" s="101">
        <f t="shared" si="610"/>
        <v>17</v>
      </c>
      <c r="FQ1291" s="14">
        <f t="shared" si="611"/>
        <v>3</v>
      </c>
      <c r="FR1291" s="101" t="str">
        <f t="shared" si="595"/>
        <v>朱仙专属武器-魂珠-1 5级</v>
      </c>
      <c r="FS1291" s="101">
        <f t="shared" si="596"/>
        <v>1</v>
      </c>
      <c r="FT1291" s="101">
        <f t="shared" si="597"/>
        <v>5</v>
      </c>
      <c r="FU1291" s="101" t="str">
        <f t="shared" si="612"/>
        <v>金币</v>
      </c>
      <c r="FV1291" s="139">
        <f>IF($FT1291&gt;0,IF(INDEX($EI$6:$EI$77,$FO1291)&gt;=FV$3,ROUND(INDEX(EK$6:EK$77,$FO1291)*INDEX(卡牌消耗!$B$8:$F$8,FQ1291)/5,0)*5,""),"")</f>
        <v>385</v>
      </c>
      <c r="FW1291" s="101" t="str">
        <f t="shared" si="613"/>
        <v>专属强化石1</v>
      </c>
      <c r="FX1291" s="101">
        <f t="shared" si="614"/>
        <v>5</v>
      </c>
      <c r="FY1291" s="101" t="str">
        <f t="shared" si="615"/>
        <v/>
      </c>
      <c r="FZ1291" s="101" t="str">
        <f t="shared" si="616"/>
        <v/>
      </c>
      <c r="GA1291" s="101">
        <f t="shared" si="598"/>
        <v>0.2</v>
      </c>
      <c r="GB1291" s="101">
        <f t="shared" si="599"/>
        <v>1</v>
      </c>
      <c r="GC1291" s="101">
        <f t="shared" si="600"/>
        <v>8</v>
      </c>
      <c r="GD1291" s="101">
        <f t="shared" si="601"/>
        <v>0</v>
      </c>
      <c r="GE1291" s="101">
        <f t="shared" si="602"/>
        <v>1</v>
      </c>
      <c r="GF1291" s="101">
        <f t="shared" si="603"/>
        <v>2</v>
      </c>
      <c r="GG1291" s="101">
        <f t="shared" si="604"/>
        <v>9.9699999999999997E-2</v>
      </c>
      <c r="GH1291" s="101">
        <f t="shared" si="605"/>
        <v>1</v>
      </c>
      <c r="GI1291" s="101">
        <f t="shared" si="606"/>
        <v>4</v>
      </c>
      <c r="GJ1291" s="101">
        <f t="shared" si="607"/>
        <v>0.39889999999999998</v>
      </c>
      <c r="GK1291" s="101">
        <f t="shared" si="608"/>
        <v>1</v>
      </c>
      <c r="GL1291" s="101">
        <f t="shared" si="609"/>
        <v>8</v>
      </c>
    </row>
    <row r="1292" spans="170:194" ht="16.5" x14ac:dyDescent="0.2">
      <c r="FN1292" s="101">
        <v>1287</v>
      </c>
      <c r="FO1292" s="101">
        <f t="shared" si="594"/>
        <v>6</v>
      </c>
      <c r="FP1292" s="101">
        <f t="shared" si="610"/>
        <v>17</v>
      </c>
      <c r="FQ1292" s="14">
        <f t="shared" si="611"/>
        <v>3</v>
      </c>
      <c r="FR1292" s="101" t="str">
        <f t="shared" si="595"/>
        <v>朱仙专属武器-魂珠-1 6级</v>
      </c>
      <c r="FS1292" s="101">
        <f t="shared" si="596"/>
        <v>1</v>
      </c>
      <c r="FT1292" s="101">
        <f t="shared" si="597"/>
        <v>6</v>
      </c>
      <c r="FU1292" s="101" t="str">
        <f t="shared" si="612"/>
        <v>金币</v>
      </c>
      <c r="FV1292" s="139">
        <f>IF($FT1292&gt;0,IF(INDEX($EI$6:$EI$77,$FO1292)&gt;=FV$3,ROUND(INDEX(EK$6:EK$77,$FO1292)*INDEX(卡牌消耗!$B$8:$F$8,FQ1292)/5,0)*5,""),"")</f>
        <v>460</v>
      </c>
      <c r="FW1292" s="101" t="str">
        <f t="shared" si="613"/>
        <v>专属强化石1</v>
      </c>
      <c r="FX1292" s="101">
        <f t="shared" si="614"/>
        <v>6</v>
      </c>
      <c r="FY1292" s="101" t="str">
        <f t="shared" si="615"/>
        <v/>
      </c>
      <c r="FZ1292" s="101" t="str">
        <f t="shared" si="616"/>
        <v/>
      </c>
      <c r="GA1292" s="101">
        <f t="shared" si="598"/>
        <v>0.15</v>
      </c>
      <c r="GB1292" s="101">
        <f t="shared" si="599"/>
        <v>1</v>
      </c>
      <c r="GC1292" s="101">
        <f t="shared" si="600"/>
        <v>10</v>
      </c>
      <c r="GD1292" s="101">
        <f t="shared" si="601"/>
        <v>0</v>
      </c>
      <c r="GE1292" s="101">
        <f t="shared" si="602"/>
        <v>1</v>
      </c>
      <c r="GF1292" s="101">
        <f t="shared" si="603"/>
        <v>2</v>
      </c>
      <c r="GG1292" s="101">
        <f t="shared" si="604"/>
        <v>7.3599999999999999E-2</v>
      </c>
      <c r="GH1292" s="101">
        <f t="shared" si="605"/>
        <v>1</v>
      </c>
      <c r="GI1292" s="101">
        <f t="shared" si="606"/>
        <v>5</v>
      </c>
      <c r="GJ1292" s="101">
        <f t="shared" si="607"/>
        <v>0.29459999999999997</v>
      </c>
      <c r="GK1292" s="101">
        <f t="shared" si="608"/>
        <v>1</v>
      </c>
      <c r="GL1292" s="101">
        <f t="shared" si="609"/>
        <v>10</v>
      </c>
    </row>
    <row r="1293" spans="170:194" ht="16.5" x14ac:dyDescent="0.2">
      <c r="FN1293" s="101">
        <v>1288</v>
      </c>
      <c r="FO1293" s="101">
        <f t="shared" si="594"/>
        <v>7</v>
      </c>
      <c r="FP1293" s="101">
        <f t="shared" si="610"/>
        <v>17</v>
      </c>
      <c r="FQ1293" s="14">
        <f t="shared" si="611"/>
        <v>3</v>
      </c>
      <c r="FR1293" s="101" t="str">
        <f t="shared" si="595"/>
        <v>朱仙专属武器-魂珠-1 7级</v>
      </c>
      <c r="FS1293" s="101">
        <f t="shared" si="596"/>
        <v>1</v>
      </c>
      <c r="FT1293" s="101">
        <f t="shared" si="597"/>
        <v>7</v>
      </c>
      <c r="FU1293" s="101" t="str">
        <f t="shared" si="612"/>
        <v>金币</v>
      </c>
      <c r="FV1293" s="139">
        <f>IF($FT1293&gt;0,IF(INDEX($EI$6:$EI$77,$FO1293)&gt;=FV$3,ROUND(INDEX(EK$6:EK$77,$FO1293)*INDEX(卡牌消耗!$B$8:$F$8,FQ1293)/5,0)*5,""),"")</f>
        <v>535</v>
      </c>
      <c r="FW1293" s="101" t="str">
        <f t="shared" si="613"/>
        <v>专属强化石1</v>
      </c>
      <c r="FX1293" s="101">
        <f t="shared" si="614"/>
        <v>7</v>
      </c>
      <c r="FY1293" s="101" t="str">
        <f t="shared" si="615"/>
        <v/>
      </c>
      <c r="FZ1293" s="101" t="str">
        <f t="shared" si="616"/>
        <v/>
      </c>
      <c r="GA1293" s="101">
        <f t="shared" si="598"/>
        <v>0.11</v>
      </c>
      <c r="GB1293" s="101">
        <f t="shared" si="599"/>
        <v>1</v>
      </c>
      <c r="GC1293" s="101">
        <f t="shared" si="600"/>
        <v>14</v>
      </c>
      <c r="GD1293" s="101">
        <f t="shared" si="601"/>
        <v>0</v>
      </c>
      <c r="GE1293" s="101">
        <f t="shared" si="602"/>
        <v>1</v>
      </c>
      <c r="GF1293" s="101">
        <f t="shared" si="603"/>
        <v>3</v>
      </c>
      <c r="GG1293" s="101">
        <f t="shared" si="604"/>
        <v>5.3199999999999997E-2</v>
      </c>
      <c r="GH1293" s="101">
        <f t="shared" si="605"/>
        <v>1</v>
      </c>
      <c r="GI1293" s="101">
        <f t="shared" si="606"/>
        <v>7</v>
      </c>
      <c r="GJ1293" s="101">
        <f t="shared" si="607"/>
        <v>0.2127</v>
      </c>
      <c r="GK1293" s="101">
        <f t="shared" si="608"/>
        <v>1</v>
      </c>
      <c r="GL1293" s="101">
        <f t="shared" si="609"/>
        <v>14</v>
      </c>
    </row>
    <row r="1294" spans="170:194" ht="16.5" x14ac:dyDescent="0.2">
      <c r="FN1294" s="101">
        <v>1289</v>
      </c>
      <c r="FO1294" s="101">
        <f t="shared" si="594"/>
        <v>8</v>
      </c>
      <c r="FP1294" s="101">
        <f t="shared" si="610"/>
        <v>17</v>
      </c>
      <c r="FQ1294" s="14">
        <f t="shared" si="611"/>
        <v>3</v>
      </c>
      <c r="FR1294" s="101" t="str">
        <f t="shared" si="595"/>
        <v>朱仙专属武器-魂珠-1 8级</v>
      </c>
      <c r="FS1294" s="101">
        <f t="shared" si="596"/>
        <v>1</v>
      </c>
      <c r="FT1294" s="101">
        <f t="shared" si="597"/>
        <v>8</v>
      </c>
      <c r="FU1294" s="101" t="str">
        <f t="shared" si="612"/>
        <v>金币</v>
      </c>
      <c r="FV1294" s="139">
        <f>IF($FT1294&gt;0,IF(INDEX($EI$6:$EI$77,$FO1294)&gt;=FV$3,ROUND(INDEX(EK$6:EK$77,$FO1294)*INDEX(卡牌消耗!$B$8:$F$8,FQ1294)/5,0)*5,""),"")</f>
        <v>615</v>
      </c>
      <c r="FW1294" s="101" t="str">
        <f t="shared" si="613"/>
        <v>专属强化石1</v>
      </c>
      <c r="FX1294" s="101">
        <f t="shared" si="614"/>
        <v>8</v>
      </c>
      <c r="FY1294" s="101" t="str">
        <f t="shared" si="615"/>
        <v/>
      </c>
      <c r="FZ1294" s="101" t="str">
        <f t="shared" si="616"/>
        <v/>
      </c>
      <c r="GA1294" s="101">
        <f t="shared" si="598"/>
        <v>0.08</v>
      </c>
      <c r="GB1294" s="101">
        <f t="shared" si="599"/>
        <v>1</v>
      </c>
      <c r="GC1294" s="101">
        <f t="shared" si="600"/>
        <v>20</v>
      </c>
      <c r="GD1294" s="101">
        <f t="shared" si="601"/>
        <v>0</v>
      </c>
      <c r="GE1294" s="101">
        <f t="shared" si="602"/>
        <v>1</v>
      </c>
      <c r="GF1294" s="101">
        <f t="shared" si="603"/>
        <v>5</v>
      </c>
      <c r="GG1294" s="101">
        <f t="shared" si="604"/>
        <v>3.7499999999999999E-2</v>
      </c>
      <c r="GH1294" s="101">
        <f t="shared" si="605"/>
        <v>1</v>
      </c>
      <c r="GI1294" s="101">
        <f t="shared" si="606"/>
        <v>9</v>
      </c>
      <c r="GJ1294" s="101">
        <f t="shared" si="607"/>
        <v>0.1502</v>
      </c>
      <c r="GK1294" s="101">
        <f t="shared" si="608"/>
        <v>1</v>
      </c>
      <c r="GL1294" s="101">
        <f t="shared" si="609"/>
        <v>20</v>
      </c>
    </row>
    <row r="1295" spans="170:194" ht="16.5" x14ac:dyDescent="0.2">
      <c r="FN1295" s="101">
        <v>1290</v>
      </c>
      <c r="FO1295" s="101">
        <f t="shared" si="594"/>
        <v>9</v>
      </c>
      <c r="FP1295" s="101">
        <f t="shared" si="610"/>
        <v>17</v>
      </c>
      <c r="FQ1295" s="14">
        <f t="shared" si="611"/>
        <v>3</v>
      </c>
      <c r="FR1295" s="101" t="str">
        <f t="shared" si="595"/>
        <v>朱仙专属武器-魂珠-1 9级</v>
      </c>
      <c r="FS1295" s="101">
        <f t="shared" si="596"/>
        <v>1</v>
      </c>
      <c r="FT1295" s="101">
        <f t="shared" si="597"/>
        <v>9</v>
      </c>
      <c r="FU1295" s="101" t="str">
        <f t="shared" si="612"/>
        <v>金币</v>
      </c>
      <c r="FV1295" s="139">
        <f>IF($FT1295&gt;0,IF(INDEX($EI$6:$EI$77,$FO1295)&gt;=FV$3,ROUND(INDEX(EK$6:EK$77,$FO1295)*INDEX(卡牌消耗!$B$8:$F$8,FQ1295)/5,0)*5,""),"")</f>
        <v>765</v>
      </c>
      <c r="FW1295" s="101" t="str">
        <f t="shared" si="613"/>
        <v>专属强化石1</v>
      </c>
      <c r="FX1295" s="101">
        <f t="shared" si="614"/>
        <v>10</v>
      </c>
      <c r="FY1295" s="101" t="str">
        <f t="shared" si="615"/>
        <v/>
      </c>
      <c r="FZ1295" s="101" t="str">
        <f t="shared" si="616"/>
        <v/>
      </c>
      <c r="GA1295" s="101">
        <f t="shared" si="598"/>
        <v>0.06</v>
      </c>
      <c r="GB1295" s="101">
        <f t="shared" si="599"/>
        <v>1</v>
      </c>
      <c r="GC1295" s="101">
        <f t="shared" si="600"/>
        <v>26</v>
      </c>
      <c r="GD1295" s="101">
        <f t="shared" si="601"/>
        <v>0</v>
      </c>
      <c r="GE1295" s="101">
        <f t="shared" si="602"/>
        <v>1</v>
      </c>
      <c r="GF1295" s="101">
        <f t="shared" si="603"/>
        <v>6</v>
      </c>
      <c r="GG1295" s="101">
        <f t="shared" si="604"/>
        <v>2.9000000000000001E-2</v>
      </c>
      <c r="GH1295" s="101">
        <f t="shared" si="605"/>
        <v>1</v>
      </c>
      <c r="GI1295" s="101">
        <f t="shared" si="606"/>
        <v>12</v>
      </c>
      <c r="GJ1295" s="101">
        <f t="shared" si="607"/>
        <v>0.11600000000000001</v>
      </c>
      <c r="GK1295" s="101">
        <f t="shared" si="608"/>
        <v>1</v>
      </c>
      <c r="GL1295" s="101">
        <f t="shared" si="609"/>
        <v>26</v>
      </c>
    </row>
    <row r="1296" spans="170:194" ht="16.5" x14ac:dyDescent="0.2">
      <c r="FN1296" s="101">
        <v>1291</v>
      </c>
      <c r="FO1296" s="101">
        <f t="shared" si="594"/>
        <v>0</v>
      </c>
      <c r="FP1296" s="101">
        <f t="shared" si="610"/>
        <v>17</v>
      </c>
      <c r="FQ1296" s="14">
        <f t="shared" si="611"/>
        <v>3</v>
      </c>
      <c r="FR1296" s="101" t="str">
        <f t="shared" si="595"/>
        <v>朱仙专属武器-魂珠-2 0级</v>
      </c>
      <c r="FS1296" s="101">
        <f t="shared" si="596"/>
        <v>2</v>
      </c>
      <c r="FT1296" s="101">
        <f t="shared" si="597"/>
        <v>0</v>
      </c>
      <c r="FU1296" s="101" t="str">
        <f t="shared" si="612"/>
        <v/>
      </c>
      <c r="FV1296" s="139" t="str">
        <f>IF($FT1296&gt;0,IF(INDEX($EI$6:$EI$77,$FO1296)&gt;=FV$3,ROUND(INDEX(EK$6:EK$77,$FO1296)*INDEX(卡牌消耗!$B$8:$F$8,FQ1296)/5,0)*5,""),"")</f>
        <v/>
      </c>
      <c r="FW1296" s="101" t="str">
        <f t="shared" si="613"/>
        <v/>
      </c>
      <c r="FX1296" s="101" t="str">
        <f t="shared" si="614"/>
        <v/>
      </c>
      <c r="FY1296" s="101" t="str">
        <f t="shared" si="615"/>
        <v/>
      </c>
      <c r="FZ1296" s="101" t="str">
        <f t="shared" si="616"/>
        <v/>
      </c>
      <c r="GA1296" s="101" t="str">
        <f t="shared" si="598"/>
        <v/>
      </c>
      <c r="GB1296" s="101" t="str">
        <f t="shared" si="599"/>
        <v/>
      </c>
      <c r="GC1296" s="101" t="str">
        <f t="shared" si="600"/>
        <v/>
      </c>
      <c r="GD1296" s="101" t="str">
        <f t="shared" si="601"/>
        <v/>
      </c>
      <c r="GE1296" s="101" t="str">
        <f t="shared" si="602"/>
        <v/>
      </c>
      <c r="GF1296" s="101" t="str">
        <f t="shared" si="603"/>
        <v/>
      </c>
      <c r="GG1296" s="101" t="str">
        <f t="shared" si="604"/>
        <v/>
      </c>
      <c r="GH1296" s="101" t="str">
        <f t="shared" si="605"/>
        <v/>
      </c>
      <c r="GI1296" s="101" t="str">
        <f t="shared" si="606"/>
        <v/>
      </c>
      <c r="GJ1296" s="101" t="str">
        <f t="shared" si="607"/>
        <v/>
      </c>
      <c r="GK1296" s="101" t="str">
        <f t="shared" si="608"/>
        <v/>
      </c>
      <c r="GL1296" s="101" t="str">
        <f t="shared" si="609"/>
        <v/>
      </c>
    </row>
    <row r="1297" spans="170:194" ht="16.5" x14ac:dyDescent="0.2">
      <c r="FN1297" s="101">
        <v>1292</v>
      </c>
      <c r="FO1297" s="101">
        <f t="shared" si="594"/>
        <v>10</v>
      </c>
      <c r="FP1297" s="101">
        <f t="shared" si="610"/>
        <v>17</v>
      </c>
      <c r="FQ1297" s="14">
        <f t="shared" si="611"/>
        <v>3</v>
      </c>
      <c r="FR1297" s="101" t="str">
        <f t="shared" si="595"/>
        <v>朱仙专属武器-魂珠-2 1级</v>
      </c>
      <c r="FS1297" s="101">
        <f t="shared" si="596"/>
        <v>2</v>
      </c>
      <c r="FT1297" s="101">
        <f t="shared" si="597"/>
        <v>1</v>
      </c>
      <c r="FU1297" s="101" t="str">
        <f t="shared" si="612"/>
        <v>金币</v>
      </c>
      <c r="FV1297" s="139">
        <f>IF($FT1297&gt;0,IF(INDEX($EI$6:$EI$77,$FO1297)&gt;=FV$3,ROUND(INDEX(EK$6:EK$77,$FO1297)*INDEX(卡牌消耗!$B$8:$F$8,FQ1297)/5,0)*5,""),"")</f>
        <v>260</v>
      </c>
      <c r="FW1297" s="101" t="str">
        <f t="shared" si="613"/>
        <v>专属强化石1</v>
      </c>
      <c r="FX1297" s="101">
        <f t="shared" si="614"/>
        <v>3</v>
      </c>
      <c r="FY1297" s="101" t="str">
        <f t="shared" si="615"/>
        <v>专属强化石2</v>
      </c>
      <c r="FZ1297" s="101">
        <f t="shared" si="616"/>
        <v>1</v>
      </c>
      <c r="GA1297" s="101">
        <f t="shared" si="598"/>
        <v>0.39</v>
      </c>
      <c r="GB1297" s="101">
        <f t="shared" si="599"/>
        <v>1</v>
      </c>
      <c r="GC1297" s="101">
        <f t="shared" si="600"/>
        <v>4</v>
      </c>
      <c r="GD1297" s="101">
        <f t="shared" si="601"/>
        <v>0</v>
      </c>
      <c r="GE1297" s="101">
        <f t="shared" si="602"/>
        <v>1</v>
      </c>
      <c r="GF1297" s="101">
        <f t="shared" si="603"/>
        <v>1</v>
      </c>
      <c r="GG1297" s="101">
        <f t="shared" si="604"/>
        <v>0.19270000000000001</v>
      </c>
      <c r="GH1297" s="101">
        <f t="shared" si="605"/>
        <v>1</v>
      </c>
      <c r="GI1297" s="101">
        <f t="shared" si="606"/>
        <v>2</v>
      </c>
      <c r="GJ1297" s="101">
        <f t="shared" si="607"/>
        <v>0.77070000000000005</v>
      </c>
      <c r="GK1297" s="101">
        <f t="shared" si="608"/>
        <v>1</v>
      </c>
      <c r="GL1297" s="101">
        <f t="shared" si="609"/>
        <v>4</v>
      </c>
    </row>
    <row r="1298" spans="170:194" ht="16.5" x14ac:dyDescent="0.2">
      <c r="FN1298" s="101">
        <v>1293</v>
      </c>
      <c r="FO1298" s="101">
        <f t="shared" si="594"/>
        <v>11</v>
      </c>
      <c r="FP1298" s="101">
        <f t="shared" si="610"/>
        <v>17</v>
      </c>
      <c r="FQ1298" s="14">
        <f t="shared" si="611"/>
        <v>3</v>
      </c>
      <c r="FR1298" s="101" t="str">
        <f t="shared" si="595"/>
        <v>朱仙专属武器-魂珠-2 2级</v>
      </c>
      <c r="FS1298" s="101">
        <f t="shared" si="596"/>
        <v>2</v>
      </c>
      <c r="FT1298" s="101">
        <f t="shared" si="597"/>
        <v>2</v>
      </c>
      <c r="FU1298" s="101" t="str">
        <f t="shared" si="612"/>
        <v>金币</v>
      </c>
      <c r="FV1298" s="139">
        <f>IF($FT1298&gt;0,IF(INDEX($EI$6:$EI$77,$FO1298)&gt;=FV$3,ROUND(INDEX(EK$6:EK$77,$FO1298)*INDEX(卡牌消耗!$B$8:$F$8,FQ1298)/5,0)*5,""),"")</f>
        <v>195</v>
      </c>
      <c r="FW1298" s="101" t="str">
        <f t="shared" si="613"/>
        <v>专属强化石1</v>
      </c>
      <c r="FX1298" s="101">
        <f t="shared" si="614"/>
        <v>3</v>
      </c>
      <c r="FY1298" s="101" t="str">
        <f t="shared" si="615"/>
        <v>专属强化石2</v>
      </c>
      <c r="FZ1298" s="101">
        <f t="shared" si="616"/>
        <v>1</v>
      </c>
      <c r="GA1298" s="101">
        <f t="shared" si="598"/>
        <v>0.19</v>
      </c>
      <c r="GB1298" s="101">
        <f t="shared" si="599"/>
        <v>1</v>
      </c>
      <c r="GC1298" s="101">
        <f t="shared" si="600"/>
        <v>8</v>
      </c>
      <c r="GD1298" s="101">
        <f t="shared" si="601"/>
        <v>0</v>
      </c>
      <c r="GE1298" s="101">
        <f t="shared" si="602"/>
        <v>1</v>
      </c>
      <c r="GF1298" s="101">
        <f t="shared" si="603"/>
        <v>2</v>
      </c>
      <c r="GG1298" s="101">
        <f t="shared" si="604"/>
        <v>9.6299999999999997E-2</v>
      </c>
      <c r="GH1298" s="101">
        <f t="shared" si="605"/>
        <v>1</v>
      </c>
      <c r="GI1298" s="101">
        <f t="shared" si="606"/>
        <v>4</v>
      </c>
      <c r="GJ1298" s="101">
        <f t="shared" si="607"/>
        <v>0.38529999999999998</v>
      </c>
      <c r="GK1298" s="101">
        <f t="shared" si="608"/>
        <v>1</v>
      </c>
      <c r="GL1298" s="101">
        <f t="shared" si="609"/>
        <v>8</v>
      </c>
    </row>
    <row r="1299" spans="170:194" ht="16.5" x14ac:dyDescent="0.2">
      <c r="FN1299" s="101">
        <v>1294</v>
      </c>
      <c r="FO1299" s="101">
        <f t="shared" si="594"/>
        <v>12</v>
      </c>
      <c r="FP1299" s="101">
        <f t="shared" si="610"/>
        <v>17</v>
      </c>
      <c r="FQ1299" s="14">
        <f t="shared" si="611"/>
        <v>3</v>
      </c>
      <c r="FR1299" s="101" t="str">
        <f t="shared" si="595"/>
        <v>朱仙专属武器-魂珠-2 3级</v>
      </c>
      <c r="FS1299" s="101">
        <f t="shared" si="596"/>
        <v>2</v>
      </c>
      <c r="FT1299" s="101">
        <f t="shared" si="597"/>
        <v>3</v>
      </c>
      <c r="FU1299" s="101" t="str">
        <f t="shared" si="612"/>
        <v>金币</v>
      </c>
      <c r="FV1299" s="139">
        <f>IF($FT1299&gt;0,IF(INDEX($EI$6:$EI$77,$FO1299)&gt;=FV$3,ROUND(INDEX(EK$6:EK$77,$FO1299)*INDEX(卡牌消耗!$B$8:$F$8,FQ1299)/5,0)*5,""),"")</f>
        <v>435</v>
      </c>
      <c r="FW1299" s="101" t="str">
        <f t="shared" si="613"/>
        <v>专属强化石1</v>
      </c>
      <c r="FX1299" s="101">
        <f t="shared" si="614"/>
        <v>6</v>
      </c>
      <c r="FY1299" s="101" t="str">
        <f t="shared" si="615"/>
        <v>专属强化石2</v>
      </c>
      <c r="FZ1299" s="101">
        <f t="shared" si="616"/>
        <v>2</v>
      </c>
      <c r="GA1299" s="101">
        <f t="shared" si="598"/>
        <v>0.26</v>
      </c>
      <c r="GB1299" s="101">
        <f t="shared" si="599"/>
        <v>1</v>
      </c>
      <c r="GC1299" s="101">
        <f t="shared" si="600"/>
        <v>6</v>
      </c>
      <c r="GD1299" s="101">
        <f t="shared" si="601"/>
        <v>0</v>
      </c>
      <c r="GE1299" s="101">
        <f t="shared" si="602"/>
        <v>1</v>
      </c>
      <c r="GF1299" s="101">
        <f t="shared" si="603"/>
        <v>1</v>
      </c>
      <c r="GG1299" s="101">
        <f t="shared" si="604"/>
        <v>0.12839999999999999</v>
      </c>
      <c r="GH1299" s="101">
        <f t="shared" si="605"/>
        <v>1</v>
      </c>
      <c r="GI1299" s="101">
        <f t="shared" si="606"/>
        <v>3</v>
      </c>
      <c r="GJ1299" s="101">
        <f t="shared" si="607"/>
        <v>0.51380000000000003</v>
      </c>
      <c r="GK1299" s="101">
        <f t="shared" si="608"/>
        <v>1</v>
      </c>
      <c r="GL1299" s="101">
        <f t="shared" si="609"/>
        <v>6</v>
      </c>
    </row>
    <row r="1300" spans="170:194" ht="16.5" x14ac:dyDescent="0.2">
      <c r="FN1300" s="101">
        <v>1295</v>
      </c>
      <c r="FO1300" s="101">
        <f t="shared" si="594"/>
        <v>13</v>
      </c>
      <c r="FP1300" s="101">
        <f t="shared" si="610"/>
        <v>17</v>
      </c>
      <c r="FQ1300" s="14">
        <f t="shared" si="611"/>
        <v>3</v>
      </c>
      <c r="FR1300" s="101" t="str">
        <f t="shared" si="595"/>
        <v>朱仙专属武器-魂珠-2 4级</v>
      </c>
      <c r="FS1300" s="101">
        <f t="shared" si="596"/>
        <v>2</v>
      </c>
      <c r="FT1300" s="101">
        <f t="shared" si="597"/>
        <v>4</v>
      </c>
      <c r="FU1300" s="101" t="str">
        <f t="shared" si="612"/>
        <v>金币</v>
      </c>
      <c r="FV1300" s="139">
        <f>IF($FT1300&gt;0,IF(INDEX($EI$6:$EI$77,$FO1300)&gt;=FV$3,ROUND(INDEX(EK$6:EK$77,$FO1300)*INDEX(卡牌消耗!$B$8:$F$8,FQ1300)/5,0)*5,""),"")</f>
        <v>420</v>
      </c>
      <c r="FW1300" s="101" t="str">
        <f t="shared" si="613"/>
        <v>专属强化石1</v>
      </c>
      <c r="FX1300" s="101">
        <f t="shared" si="614"/>
        <v>6</v>
      </c>
      <c r="FY1300" s="101" t="str">
        <f t="shared" si="615"/>
        <v>专属强化石2</v>
      </c>
      <c r="FZ1300" s="101">
        <f t="shared" si="616"/>
        <v>2</v>
      </c>
      <c r="GA1300" s="101">
        <f t="shared" si="598"/>
        <v>0.15</v>
      </c>
      <c r="GB1300" s="101">
        <f t="shared" si="599"/>
        <v>1</v>
      </c>
      <c r="GC1300" s="101">
        <f t="shared" si="600"/>
        <v>10</v>
      </c>
      <c r="GD1300" s="101">
        <f t="shared" si="601"/>
        <v>0</v>
      </c>
      <c r="GE1300" s="101">
        <f t="shared" si="602"/>
        <v>1</v>
      </c>
      <c r="GF1300" s="101">
        <f t="shared" si="603"/>
        <v>2</v>
      </c>
      <c r="GG1300" s="101">
        <f t="shared" si="604"/>
        <v>7.7100000000000002E-2</v>
      </c>
      <c r="GH1300" s="101">
        <f t="shared" si="605"/>
        <v>1</v>
      </c>
      <c r="GI1300" s="101">
        <f t="shared" si="606"/>
        <v>5</v>
      </c>
      <c r="GJ1300" s="101">
        <f t="shared" si="607"/>
        <v>0.30830000000000002</v>
      </c>
      <c r="GK1300" s="101">
        <f t="shared" si="608"/>
        <v>1</v>
      </c>
      <c r="GL1300" s="101">
        <f t="shared" si="609"/>
        <v>10</v>
      </c>
    </row>
    <row r="1301" spans="170:194" ht="16.5" x14ac:dyDescent="0.2">
      <c r="FN1301" s="101">
        <v>1296</v>
      </c>
      <c r="FO1301" s="101">
        <f t="shared" si="594"/>
        <v>14</v>
      </c>
      <c r="FP1301" s="101">
        <f t="shared" si="610"/>
        <v>17</v>
      </c>
      <c r="FQ1301" s="14">
        <f t="shared" si="611"/>
        <v>3</v>
      </c>
      <c r="FR1301" s="101" t="str">
        <f t="shared" si="595"/>
        <v>朱仙专属武器-魂珠-2 5级</v>
      </c>
      <c r="FS1301" s="101">
        <f t="shared" si="596"/>
        <v>2</v>
      </c>
      <c r="FT1301" s="101">
        <f t="shared" si="597"/>
        <v>5</v>
      </c>
      <c r="FU1301" s="101" t="str">
        <f t="shared" si="612"/>
        <v>金币</v>
      </c>
      <c r="FV1301" s="139">
        <f>IF($FT1301&gt;0,IF(INDEX($EI$6:$EI$77,$FO1301)&gt;=FV$3,ROUND(INDEX(EK$6:EK$77,$FO1301)*INDEX(卡牌消耗!$B$8:$F$8,FQ1301)/5,0)*5,""),"")</f>
        <v>635</v>
      </c>
      <c r="FW1301" s="101" t="str">
        <f t="shared" si="613"/>
        <v>专属强化石1</v>
      </c>
      <c r="FX1301" s="101">
        <f t="shared" si="614"/>
        <v>9</v>
      </c>
      <c r="FY1301" s="101" t="str">
        <f t="shared" si="615"/>
        <v>专属强化石2</v>
      </c>
      <c r="FZ1301" s="101">
        <f t="shared" si="616"/>
        <v>3</v>
      </c>
      <c r="GA1301" s="101">
        <f t="shared" si="598"/>
        <v>0.14000000000000001</v>
      </c>
      <c r="GB1301" s="101">
        <f t="shared" si="599"/>
        <v>1</v>
      </c>
      <c r="GC1301" s="101">
        <f t="shared" si="600"/>
        <v>10</v>
      </c>
      <c r="GD1301" s="101">
        <f t="shared" si="601"/>
        <v>0</v>
      </c>
      <c r="GE1301" s="101">
        <f t="shared" si="602"/>
        <v>1</v>
      </c>
      <c r="GF1301" s="101">
        <f t="shared" si="603"/>
        <v>2</v>
      </c>
      <c r="GG1301" s="101">
        <f t="shared" si="604"/>
        <v>7.22E-2</v>
      </c>
      <c r="GH1301" s="101">
        <f t="shared" si="605"/>
        <v>1</v>
      </c>
      <c r="GI1301" s="101">
        <f t="shared" si="606"/>
        <v>5</v>
      </c>
      <c r="GJ1301" s="101">
        <f t="shared" si="607"/>
        <v>0.28899999999999998</v>
      </c>
      <c r="GK1301" s="101">
        <f t="shared" si="608"/>
        <v>1</v>
      </c>
      <c r="GL1301" s="101">
        <f t="shared" si="609"/>
        <v>10</v>
      </c>
    </row>
    <row r="1302" spans="170:194" ht="16.5" x14ac:dyDescent="0.2">
      <c r="FN1302" s="101">
        <v>1297</v>
      </c>
      <c r="FO1302" s="101">
        <f t="shared" ref="FO1302:FO1365" si="617">IF(FT1302&gt;0,(FS1302-1)*9+FT1302,0)</f>
        <v>15</v>
      </c>
      <c r="FP1302" s="101">
        <f t="shared" si="610"/>
        <v>17</v>
      </c>
      <c r="FQ1302" s="14">
        <f t="shared" si="611"/>
        <v>3</v>
      </c>
      <c r="FR1302" s="101" t="str">
        <f t="shared" ref="FR1302:FR1365" si="618">INDEX($FI$6:$FI$26,FP1302)&amp;"专属武器-魂珠-"&amp;FS1302&amp;" "&amp;FT1302&amp;"级"</f>
        <v>朱仙专属武器-魂珠-2 6级</v>
      </c>
      <c r="FS1302" s="101">
        <f t="shared" ref="FS1302:FS1365" si="619">INT((FN1302-(FP1302-1)*80-1)/10)+1</f>
        <v>2</v>
      </c>
      <c r="FT1302" s="101">
        <f t="shared" ref="FT1302:FT1365" si="620">FN1302-(FP1302-1)*80-(FS1302-1)*10-1</f>
        <v>6</v>
      </c>
      <c r="FU1302" s="101" t="str">
        <f t="shared" si="612"/>
        <v>金币</v>
      </c>
      <c r="FV1302" s="139">
        <f>IF($FT1302&gt;0,IF(INDEX($EI$6:$EI$77,$FO1302)&gt;=FV$3,ROUND(INDEX(EK$6:EK$77,$FO1302)*INDEX(卡牌消耗!$B$8:$F$8,FQ1302)/5,0)*5,""),"")</f>
        <v>845</v>
      </c>
      <c r="FW1302" s="101" t="str">
        <f t="shared" si="613"/>
        <v>专属强化石1</v>
      </c>
      <c r="FX1302" s="101">
        <f t="shared" si="614"/>
        <v>12</v>
      </c>
      <c r="FY1302" s="101" t="str">
        <f t="shared" si="615"/>
        <v>专属强化石2</v>
      </c>
      <c r="FZ1302" s="101">
        <f t="shared" si="616"/>
        <v>4</v>
      </c>
      <c r="GA1302" s="101">
        <f t="shared" ref="GA1302:GA1365" si="621">IF($FT1302&gt;0,INDEX(EP$6:EP$77,$FO1302),"")</f>
        <v>0.12</v>
      </c>
      <c r="GB1302" s="101">
        <f t="shared" ref="GB1302:GB1365" si="622">IF($FT1302&gt;0,INDEX(EQ$6:EQ$77,$FO1302),"")</f>
        <v>1</v>
      </c>
      <c r="GC1302" s="101">
        <f t="shared" ref="GC1302:GC1365" si="623">IF($FT1302&gt;0,INDEX(ER$6:ER$77,$FO1302),"")</f>
        <v>13</v>
      </c>
      <c r="GD1302" s="101">
        <f t="shared" ref="GD1302:GD1365" si="624">IF($FT1302&gt;0,INDEX(EV$6:EV$77,$FO1302),"")</f>
        <v>0</v>
      </c>
      <c r="GE1302" s="101">
        <f t="shared" ref="GE1302:GE1365" si="625">IF($FT1302&gt;0,INDEX(EW$6:EW$77,$FO1302),"")</f>
        <v>1</v>
      </c>
      <c r="GF1302" s="101">
        <f t="shared" ref="GF1302:GF1365" si="626">IF($FT1302&gt;0,INDEX(EX$6:EX$77,$FO1302),"")</f>
        <v>3</v>
      </c>
      <c r="GG1302" s="101">
        <f t="shared" ref="GG1302:GG1365" si="627">IF($FT1302&gt;0,INDEX(EY$6:EY$77,$FO1302),"")</f>
        <v>5.9299999999999999E-2</v>
      </c>
      <c r="GH1302" s="101">
        <f t="shared" ref="GH1302:GH1365" si="628">IF($FT1302&gt;0,INDEX(EZ$6:EZ$77,$FO1302),"")</f>
        <v>1</v>
      </c>
      <c r="GI1302" s="101">
        <f t="shared" ref="GI1302:GI1365" si="629">IF($FT1302&gt;0,INDEX(FA$6:FA$77,$FO1302),"")</f>
        <v>6</v>
      </c>
      <c r="GJ1302" s="101">
        <f t="shared" ref="GJ1302:GJ1365" si="630">IF($FT1302&gt;0,INDEX(FB$6:FB$77,$FO1302),"")</f>
        <v>0.23710000000000001</v>
      </c>
      <c r="GK1302" s="101">
        <f t="shared" ref="GK1302:GK1365" si="631">IF($FT1302&gt;0,INDEX(FC$6:FC$77,$FO1302),"")</f>
        <v>1</v>
      </c>
      <c r="GL1302" s="101">
        <f t="shared" ref="GL1302:GL1365" si="632">IF($FT1302&gt;0,INDEX(FD$6:FD$77,$FO1302),"")</f>
        <v>13</v>
      </c>
    </row>
    <row r="1303" spans="170:194" ht="16.5" x14ac:dyDescent="0.2">
      <c r="FN1303" s="101">
        <v>1298</v>
      </c>
      <c r="FO1303" s="101">
        <f t="shared" si="617"/>
        <v>16</v>
      </c>
      <c r="FP1303" s="101">
        <f t="shared" si="610"/>
        <v>17</v>
      </c>
      <c r="FQ1303" s="14">
        <f t="shared" si="611"/>
        <v>3</v>
      </c>
      <c r="FR1303" s="101" t="str">
        <f t="shared" si="618"/>
        <v>朱仙专属武器-魂珠-2 7级</v>
      </c>
      <c r="FS1303" s="101">
        <f t="shared" si="619"/>
        <v>2</v>
      </c>
      <c r="FT1303" s="101">
        <f t="shared" si="620"/>
        <v>7</v>
      </c>
      <c r="FU1303" s="101" t="str">
        <f t="shared" si="612"/>
        <v>金币</v>
      </c>
      <c r="FV1303" s="139">
        <f>IF($FT1303&gt;0,IF(INDEX($EI$6:$EI$77,$FO1303)&gt;=FV$3,ROUND(INDEX(EK$6:EK$77,$FO1303)*INDEX(卡牌消耗!$B$8:$F$8,FQ1303)/5,0)*5,""),"")</f>
        <v>1060</v>
      </c>
      <c r="FW1303" s="101" t="str">
        <f t="shared" si="613"/>
        <v>专属强化石1</v>
      </c>
      <c r="FX1303" s="101">
        <f t="shared" si="614"/>
        <v>15</v>
      </c>
      <c r="FY1303" s="101" t="str">
        <f t="shared" si="615"/>
        <v>专属强化石2</v>
      </c>
      <c r="FZ1303" s="101">
        <f t="shared" si="616"/>
        <v>5</v>
      </c>
      <c r="GA1303" s="101">
        <f t="shared" si="621"/>
        <v>0.09</v>
      </c>
      <c r="GB1303" s="101">
        <f t="shared" si="622"/>
        <v>1</v>
      </c>
      <c r="GC1303" s="101">
        <f t="shared" si="623"/>
        <v>16</v>
      </c>
      <c r="GD1303" s="101">
        <f t="shared" si="624"/>
        <v>0</v>
      </c>
      <c r="GE1303" s="101">
        <f t="shared" si="625"/>
        <v>1</v>
      </c>
      <c r="GF1303" s="101">
        <f t="shared" si="626"/>
        <v>4</v>
      </c>
      <c r="GG1303" s="101">
        <f t="shared" si="627"/>
        <v>4.5900000000000003E-2</v>
      </c>
      <c r="GH1303" s="101">
        <f t="shared" si="628"/>
        <v>1</v>
      </c>
      <c r="GI1303" s="101">
        <f t="shared" si="629"/>
        <v>8</v>
      </c>
      <c r="GJ1303" s="101">
        <f t="shared" si="630"/>
        <v>0.1835</v>
      </c>
      <c r="GK1303" s="101">
        <f t="shared" si="631"/>
        <v>1</v>
      </c>
      <c r="GL1303" s="101">
        <f t="shared" si="632"/>
        <v>16</v>
      </c>
    </row>
    <row r="1304" spans="170:194" ht="16.5" x14ac:dyDescent="0.2">
      <c r="FN1304" s="101">
        <v>1299</v>
      </c>
      <c r="FO1304" s="101">
        <f t="shared" si="617"/>
        <v>17</v>
      </c>
      <c r="FP1304" s="101">
        <f t="shared" si="610"/>
        <v>17</v>
      </c>
      <c r="FQ1304" s="14">
        <f t="shared" si="611"/>
        <v>3</v>
      </c>
      <c r="FR1304" s="101" t="str">
        <f t="shared" si="618"/>
        <v>朱仙专属武器-魂珠-2 8级</v>
      </c>
      <c r="FS1304" s="101">
        <f t="shared" si="619"/>
        <v>2</v>
      </c>
      <c r="FT1304" s="101">
        <f t="shared" si="620"/>
        <v>8</v>
      </c>
      <c r="FU1304" s="101" t="str">
        <f t="shared" si="612"/>
        <v>金币</v>
      </c>
      <c r="FV1304" s="139">
        <f>IF($FT1304&gt;0,IF(INDEX($EI$6:$EI$77,$FO1304)&gt;=FV$3,ROUND(INDEX(EK$6:EK$77,$FO1304)*INDEX(卡牌消耗!$B$8:$F$8,FQ1304)/5,0)*5,""),"")</f>
        <v>1270</v>
      </c>
      <c r="FW1304" s="101" t="str">
        <f t="shared" si="613"/>
        <v>专属强化石1</v>
      </c>
      <c r="FX1304" s="101">
        <f t="shared" si="614"/>
        <v>18</v>
      </c>
      <c r="FY1304" s="101" t="str">
        <f t="shared" si="615"/>
        <v>专属强化石2</v>
      </c>
      <c r="FZ1304" s="101">
        <f t="shared" si="616"/>
        <v>6</v>
      </c>
      <c r="GA1304" s="101">
        <f t="shared" si="621"/>
        <v>7.0000000000000007E-2</v>
      </c>
      <c r="GB1304" s="101">
        <f t="shared" si="622"/>
        <v>1</v>
      </c>
      <c r="GC1304" s="101">
        <f t="shared" si="623"/>
        <v>22</v>
      </c>
      <c r="GD1304" s="101">
        <f t="shared" si="624"/>
        <v>0</v>
      </c>
      <c r="GE1304" s="101">
        <f t="shared" si="625"/>
        <v>1</v>
      </c>
      <c r="GF1304" s="101">
        <f t="shared" si="626"/>
        <v>5</v>
      </c>
      <c r="GG1304" s="101">
        <f t="shared" si="627"/>
        <v>3.4000000000000002E-2</v>
      </c>
      <c r="GH1304" s="101">
        <f t="shared" si="628"/>
        <v>1</v>
      </c>
      <c r="GI1304" s="101">
        <f t="shared" si="629"/>
        <v>10</v>
      </c>
      <c r="GJ1304" s="101">
        <f t="shared" si="630"/>
        <v>0.13600000000000001</v>
      </c>
      <c r="GK1304" s="101">
        <f t="shared" si="631"/>
        <v>1</v>
      </c>
      <c r="GL1304" s="101">
        <f t="shared" si="632"/>
        <v>22</v>
      </c>
    </row>
    <row r="1305" spans="170:194" ht="16.5" x14ac:dyDescent="0.2">
      <c r="FN1305" s="101">
        <v>1300</v>
      </c>
      <c r="FO1305" s="101">
        <f t="shared" si="617"/>
        <v>18</v>
      </c>
      <c r="FP1305" s="101">
        <f t="shared" si="610"/>
        <v>17</v>
      </c>
      <c r="FQ1305" s="14">
        <f t="shared" si="611"/>
        <v>3</v>
      </c>
      <c r="FR1305" s="101" t="str">
        <f t="shared" si="618"/>
        <v>朱仙专属武器-魂珠-2 9级</v>
      </c>
      <c r="FS1305" s="101">
        <f t="shared" si="619"/>
        <v>2</v>
      </c>
      <c r="FT1305" s="101">
        <f t="shared" si="620"/>
        <v>9</v>
      </c>
      <c r="FU1305" s="101" t="str">
        <f t="shared" si="612"/>
        <v>金币</v>
      </c>
      <c r="FV1305" s="139">
        <f>IF($FT1305&gt;0,IF(INDEX($EI$6:$EI$77,$FO1305)&gt;=FV$3,ROUND(INDEX(EK$6:EK$77,$FO1305)*INDEX(卡牌消耗!$B$8:$F$8,FQ1305)/5,0)*5,""),"")</f>
        <v>1695</v>
      </c>
      <c r="FW1305" s="101" t="str">
        <f t="shared" si="613"/>
        <v>专属强化石1</v>
      </c>
      <c r="FX1305" s="101">
        <f t="shared" si="614"/>
        <v>24</v>
      </c>
      <c r="FY1305" s="101" t="str">
        <f t="shared" si="615"/>
        <v>专属强化石2</v>
      </c>
      <c r="FZ1305" s="101">
        <f t="shared" si="616"/>
        <v>8</v>
      </c>
      <c r="GA1305" s="101">
        <f t="shared" si="621"/>
        <v>0.06</v>
      </c>
      <c r="GB1305" s="101">
        <f t="shared" si="622"/>
        <v>1</v>
      </c>
      <c r="GC1305" s="101">
        <f t="shared" si="623"/>
        <v>27</v>
      </c>
      <c r="GD1305" s="101">
        <f t="shared" si="624"/>
        <v>0</v>
      </c>
      <c r="GE1305" s="101">
        <f t="shared" si="625"/>
        <v>1</v>
      </c>
      <c r="GF1305" s="101">
        <f t="shared" si="626"/>
        <v>6</v>
      </c>
      <c r="GG1305" s="101">
        <f t="shared" si="627"/>
        <v>2.8000000000000001E-2</v>
      </c>
      <c r="GH1305" s="101">
        <f t="shared" si="628"/>
        <v>1</v>
      </c>
      <c r="GI1305" s="101">
        <f t="shared" si="629"/>
        <v>12</v>
      </c>
      <c r="GJ1305" s="101">
        <f t="shared" si="630"/>
        <v>0.11210000000000001</v>
      </c>
      <c r="GK1305" s="101">
        <f t="shared" si="631"/>
        <v>1</v>
      </c>
      <c r="GL1305" s="101">
        <f t="shared" si="632"/>
        <v>27</v>
      </c>
    </row>
    <row r="1306" spans="170:194" ht="16.5" x14ac:dyDescent="0.2">
      <c r="FN1306" s="101">
        <v>1301</v>
      </c>
      <c r="FO1306" s="101">
        <f t="shared" si="617"/>
        <v>0</v>
      </c>
      <c r="FP1306" s="101">
        <f t="shared" si="610"/>
        <v>17</v>
      </c>
      <c r="FQ1306" s="14">
        <f t="shared" si="611"/>
        <v>3</v>
      </c>
      <c r="FR1306" s="101" t="str">
        <f t="shared" si="618"/>
        <v>朱仙专属武器-魂珠-3 0级</v>
      </c>
      <c r="FS1306" s="101">
        <f t="shared" si="619"/>
        <v>3</v>
      </c>
      <c r="FT1306" s="101">
        <f t="shared" si="620"/>
        <v>0</v>
      </c>
      <c r="FU1306" s="101" t="str">
        <f t="shared" si="612"/>
        <v/>
      </c>
      <c r="FV1306" s="139" t="str">
        <f>IF($FT1306&gt;0,IF(INDEX($EI$6:$EI$77,$FO1306)&gt;=FV$3,ROUND(INDEX(EK$6:EK$77,$FO1306)*INDEX(卡牌消耗!$B$8:$F$8,FQ1306)/5,0)*5,""),"")</f>
        <v/>
      </c>
      <c r="FW1306" s="101" t="str">
        <f t="shared" si="613"/>
        <v/>
      </c>
      <c r="FX1306" s="101" t="str">
        <f t="shared" si="614"/>
        <v/>
      </c>
      <c r="FY1306" s="101" t="str">
        <f t="shared" si="615"/>
        <v/>
      </c>
      <c r="FZ1306" s="101" t="str">
        <f t="shared" si="616"/>
        <v/>
      </c>
      <c r="GA1306" s="101" t="str">
        <f t="shared" si="621"/>
        <v/>
      </c>
      <c r="GB1306" s="101" t="str">
        <f t="shared" si="622"/>
        <v/>
      </c>
      <c r="GC1306" s="101" t="str">
        <f t="shared" si="623"/>
        <v/>
      </c>
      <c r="GD1306" s="101" t="str">
        <f t="shared" si="624"/>
        <v/>
      </c>
      <c r="GE1306" s="101" t="str">
        <f t="shared" si="625"/>
        <v/>
      </c>
      <c r="GF1306" s="101" t="str">
        <f t="shared" si="626"/>
        <v/>
      </c>
      <c r="GG1306" s="101" t="str">
        <f t="shared" si="627"/>
        <v/>
      </c>
      <c r="GH1306" s="101" t="str">
        <f t="shared" si="628"/>
        <v/>
      </c>
      <c r="GI1306" s="101" t="str">
        <f t="shared" si="629"/>
        <v/>
      </c>
      <c r="GJ1306" s="101" t="str">
        <f t="shared" si="630"/>
        <v/>
      </c>
      <c r="GK1306" s="101" t="str">
        <f t="shared" si="631"/>
        <v/>
      </c>
      <c r="GL1306" s="101" t="str">
        <f t="shared" si="632"/>
        <v/>
      </c>
    </row>
    <row r="1307" spans="170:194" ht="16.5" x14ac:dyDescent="0.2">
      <c r="FN1307" s="101">
        <v>1302</v>
      </c>
      <c r="FO1307" s="101">
        <f t="shared" si="617"/>
        <v>19</v>
      </c>
      <c r="FP1307" s="101">
        <f t="shared" si="610"/>
        <v>17</v>
      </c>
      <c r="FQ1307" s="14">
        <f t="shared" si="611"/>
        <v>3</v>
      </c>
      <c r="FR1307" s="101" t="str">
        <f t="shared" si="618"/>
        <v>朱仙专属武器-魂珠-3 1级</v>
      </c>
      <c r="FS1307" s="101">
        <f t="shared" si="619"/>
        <v>3</v>
      </c>
      <c r="FT1307" s="101">
        <f t="shared" si="620"/>
        <v>1</v>
      </c>
      <c r="FU1307" s="101" t="str">
        <f t="shared" si="612"/>
        <v>金币</v>
      </c>
      <c r="FV1307" s="139">
        <f>IF($FT1307&gt;0,IF(INDEX($EI$6:$EI$77,$FO1307)&gt;=FV$3,ROUND(INDEX(EK$6:EK$77,$FO1307)*INDEX(卡牌消耗!$B$8:$F$8,FQ1307)/5,0)*5,""),"")</f>
        <v>545</v>
      </c>
      <c r="FW1307" s="101" t="str">
        <f t="shared" si="613"/>
        <v>专属强化石1</v>
      </c>
      <c r="FX1307" s="101">
        <f t="shared" si="614"/>
        <v>4</v>
      </c>
      <c r="FY1307" s="101" t="str">
        <f t="shared" si="615"/>
        <v>专属强化石2</v>
      </c>
      <c r="FZ1307" s="101">
        <f t="shared" si="616"/>
        <v>2</v>
      </c>
      <c r="GA1307" s="101">
        <f t="shared" si="621"/>
        <v>0.31</v>
      </c>
      <c r="GB1307" s="101">
        <f t="shared" si="622"/>
        <v>1</v>
      </c>
      <c r="GC1307" s="101">
        <f t="shared" si="623"/>
        <v>5</v>
      </c>
      <c r="GD1307" s="101">
        <f t="shared" si="624"/>
        <v>0</v>
      </c>
      <c r="GE1307" s="101">
        <f t="shared" si="625"/>
        <v>1</v>
      </c>
      <c r="GF1307" s="101">
        <f t="shared" si="626"/>
        <v>1</v>
      </c>
      <c r="GG1307" s="101">
        <f t="shared" si="627"/>
        <v>0.15409999999999999</v>
      </c>
      <c r="GH1307" s="101">
        <f t="shared" si="628"/>
        <v>1</v>
      </c>
      <c r="GI1307" s="101">
        <f t="shared" si="629"/>
        <v>2</v>
      </c>
      <c r="GJ1307" s="101">
        <f t="shared" si="630"/>
        <v>0.61650000000000005</v>
      </c>
      <c r="GK1307" s="101">
        <f t="shared" si="631"/>
        <v>1</v>
      </c>
      <c r="GL1307" s="101">
        <f t="shared" si="632"/>
        <v>5</v>
      </c>
    </row>
    <row r="1308" spans="170:194" ht="16.5" x14ac:dyDescent="0.2">
      <c r="FN1308" s="101">
        <v>1303</v>
      </c>
      <c r="FO1308" s="101">
        <f t="shared" si="617"/>
        <v>20</v>
      </c>
      <c r="FP1308" s="101">
        <f t="shared" si="610"/>
        <v>17</v>
      </c>
      <c r="FQ1308" s="14">
        <f t="shared" si="611"/>
        <v>3</v>
      </c>
      <c r="FR1308" s="101" t="str">
        <f t="shared" si="618"/>
        <v>朱仙专属武器-魂珠-3 2级</v>
      </c>
      <c r="FS1308" s="101">
        <f t="shared" si="619"/>
        <v>3</v>
      </c>
      <c r="FT1308" s="101">
        <f t="shared" si="620"/>
        <v>2</v>
      </c>
      <c r="FU1308" s="101" t="str">
        <f t="shared" si="612"/>
        <v>金币</v>
      </c>
      <c r="FV1308" s="139">
        <f>IF($FT1308&gt;0,IF(INDEX($EI$6:$EI$77,$FO1308)&gt;=FV$3,ROUND(INDEX(EK$6:EK$77,$FO1308)*INDEX(卡牌消耗!$B$8:$F$8,FQ1308)/5,0)*5,""),"")</f>
        <v>410</v>
      </c>
      <c r="FW1308" s="101" t="str">
        <f t="shared" si="613"/>
        <v>专属强化石1</v>
      </c>
      <c r="FX1308" s="101">
        <f t="shared" si="614"/>
        <v>4</v>
      </c>
      <c r="FY1308" s="101" t="str">
        <f t="shared" si="615"/>
        <v>专属强化石2</v>
      </c>
      <c r="FZ1308" s="101">
        <f t="shared" si="616"/>
        <v>2</v>
      </c>
      <c r="GA1308" s="101">
        <f t="shared" si="621"/>
        <v>0.15</v>
      </c>
      <c r="GB1308" s="101">
        <f t="shared" si="622"/>
        <v>1</v>
      </c>
      <c r="GC1308" s="101">
        <f t="shared" si="623"/>
        <v>10</v>
      </c>
      <c r="GD1308" s="101">
        <f t="shared" si="624"/>
        <v>0</v>
      </c>
      <c r="GE1308" s="101">
        <f t="shared" si="625"/>
        <v>1</v>
      </c>
      <c r="GF1308" s="101">
        <f t="shared" si="626"/>
        <v>2</v>
      </c>
      <c r="GG1308" s="101">
        <f t="shared" si="627"/>
        <v>7.7100000000000002E-2</v>
      </c>
      <c r="GH1308" s="101">
        <f t="shared" si="628"/>
        <v>1</v>
      </c>
      <c r="GI1308" s="101">
        <f t="shared" si="629"/>
        <v>5</v>
      </c>
      <c r="GJ1308" s="101">
        <f t="shared" si="630"/>
        <v>0.30830000000000002</v>
      </c>
      <c r="GK1308" s="101">
        <f t="shared" si="631"/>
        <v>1</v>
      </c>
      <c r="GL1308" s="101">
        <f t="shared" si="632"/>
        <v>10</v>
      </c>
    </row>
    <row r="1309" spans="170:194" ht="16.5" x14ac:dyDescent="0.2">
      <c r="FN1309" s="101">
        <v>1304</v>
      </c>
      <c r="FO1309" s="101">
        <f t="shared" si="617"/>
        <v>21</v>
      </c>
      <c r="FP1309" s="101">
        <f t="shared" si="610"/>
        <v>17</v>
      </c>
      <c r="FQ1309" s="14">
        <f t="shared" si="611"/>
        <v>3</v>
      </c>
      <c r="FR1309" s="101" t="str">
        <f t="shared" si="618"/>
        <v>朱仙专属武器-魂珠-3 3级</v>
      </c>
      <c r="FS1309" s="101">
        <f t="shared" si="619"/>
        <v>3</v>
      </c>
      <c r="FT1309" s="101">
        <f t="shared" si="620"/>
        <v>3</v>
      </c>
      <c r="FU1309" s="101" t="str">
        <f t="shared" si="612"/>
        <v>金币</v>
      </c>
      <c r="FV1309" s="139">
        <f>IF($FT1309&gt;0,IF(INDEX($EI$6:$EI$77,$FO1309)&gt;=FV$3,ROUND(INDEX(EK$6:EK$77,$FO1309)*INDEX(卡牌消耗!$B$8:$F$8,FQ1309)/5,0)*5,""),"")</f>
        <v>680</v>
      </c>
      <c r="FW1309" s="101" t="str">
        <f t="shared" si="613"/>
        <v>专属强化石1</v>
      </c>
      <c r="FX1309" s="101">
        <f t="shared" si="614"/>
        <v>6</v>
      </c>
      <c r="FY1309" s="101" t="str">
        <f t="shared" si="615"/>
        <v>专属强化石2</v>
      </c>
      <c r="FZ1309" s="101">
        <f t="shared" si="616"/>
        <v>3</v>
      </c>
      <c r="GA1309" s="101">
        <f t="shared" si="621"/>
        <v>0.15</v>
      </c>
      <c r="GB1309" s="101">
        <f t="shared" si="622"/>
        <v>1</v>
      </c>
      <c r="GC1309" s="101">
        <f t="shared" si="623"/>
        <v>10</v>
      </c>
      <c r="GD1309" s="101">
        <f t="shared" si="624"/>
        <v>0</v>
      </c>
      <c r="GE1309" s="101">
        <f t="shared" si="625"/>
        <v>1</v>
      </c>
      <c r="GF1309" s="101">
        <f t="shared" si="626"/>
        <v>2</v>
      </c>
      <c r="GG1309" s="101">
        <f t="shared" si="627"/>
        <v>7.7100000000000002E-2</v>
      </c>
      <c r="GH1309" s="101">
        <f t="shared" si="628"/>
        <v>1</v>
      </c>
      <c r="GI1309" s="101">
        <f t="shared" si="629"/>
        <v>5</v>
      </c>
      <c r="GJ1309" s="101">
        <f t="shared" si="630"/>
        <v>0.30830000000000002</v>
      </c>
      <c r="GK1309" s="101">
        <f t="shared" si="631"/>
        <v>1</v>
      </c>
      <c r="GL1309" s="101">
        <f t="shared" si="632"/>
        <v>10</v>
      </c>
    </row>
    <row r="1310" spans="170:194" ht="16.5" x14ac:dyDescent="0.2">
      <c r="FN1310" s="101">
        <v>1305</v>
      </c>
      <c r="FO1310" s="101">
        <f t="shared" si="617"/>
        <v>22</v>
      </c>
      <c r="FP1310" s="101">
        <f t="shared" si="610"/>
        <v>17</v>
      </c>
      <c r="FQ1310" s="14">
        <f t="shared" si="611"/>
        <v>3</v>
      </c>
      <c r="FR1310" s="101" t="str">
        <f t="shared" si="618"/>
        <v>朱仙专属武器-魂珠-3 4级</v>
      </c>
      <c r="FS1310" s="101">
        <f t="shared" si="619"/>
        <v>3</v>
      </c>
      <c r="FT1310" s="101">
        <f t="shared" si="620"/>
        <v>4</v>
      </c>
      <c r="FU1310" s="101" t="str">
        <f t="shared" si="612"/>
        <v>金币</v>
      </c>
      <c r="FV1310" s="139">
        <f>IF($FT1310&gt;0,IF(INDEX($EI$6:$EI$77,$FO1310)&gt;=FV$3,ROUND(INDEX(EK$6:EK$77,$FO1310)*INDEX(卡牌消耗!$B$8:$F$8,FQ1310)/5,0)*5,""),"")</f>
        <v>655</v>
      </c>
      <c r="FW1310" s="101" t="str">
        <f t="shared" si="613"/>
        <v>专属强化石1</v>
      </c>
      <c r="FX1310" s="101">
        <f t="shared" si="614"/>
        <v>6</v>
      </c>
      <c r="FY1310" s="101" t="str">
        <f t="shared" si="615"/>
        <v>专属强化石2</v>
      </c>
      <c r="FZ1310" s="101">
        <f t="shared" si="616"/>
        <v>3</v>
      </c>
      <c r="GA1310" s="101">
        <f t="shared" si="621"/>
        <v>0.09</v>
      </c>
      <c r="GB1310" s="101">
        <f t="shared" si="622"/>
        <v>1</v>
      </c>
      <c r="GC1310" s="101">
        <f t="shared" si="623"/>
        <v>16</v>
      </c>
      <c r="GD1310" s="101">
        <f t="shared" si="624"/>
        <v>0</v>
      </c>
      <c r="GE1310" s="101">
        <f t="shared" si="625"/>
        <v>1</v>
      </c>
      <c r="GF1310" s="101">
        <f t="shared" si="626"/>
        <v>4</v>
      </c>
      <c r="GG1310" s="101">
        <f t="shared" si="627"/>
        <v>4.6199999999999998E-2</v>
      </c>
      <c r="GH1310" s="101">
        <f t="shared" si="628"/>
        <v>1</v>
      </c>
      <c r="GI1310" s="101">
        <f t="shared" si="629"/>
        <v>8</v>
      </c>
      <c r="GJ1310" s="101">
        <f t="shared" si="630"/>
        <v>0.185</v>
      </c>
      <c r="GK1310" s="101">
        <f t="shared" si="631"/>
        <v>1</v>
      </c>
      <c r="GL1310" s="101">
        <f t="shared" si="632"/>
        <v>16</v>
      </c>
    </row>
    <row r="1311" spans="170:194" ht="16.5" x14ac:dyDescent="0.2">
      <c r="FN1311" s="101">
        <v>1306</v>
      </c>
      <c r="FO1311" s="101">
        <f t="shared" si="617"/>
        <v>23</v>
      </c>
      <c r="FP1311" s="101">
        <f t="shared" si="610"/>
        <v>17</v>
      </c>
      <c r="FQ1311" s="14">
        <f t="shared" si="611"/>
        <v>3</v>
      </c>
      <c r="FR1311" s="101" t="str">
        <f t="shared" si="618"/>
        <v>朱仙专属武器-魂珠-3 5级</v>
      </c>
      <c r="FS1311" s="101">
        <f t="shared" si="619"/>
        <v>3</v>
      </c>
      <c r="FT1311" s="101">
        <f t="shared" si="620"/>
        <v>5</v>
      </c>
      <c r="FU1311" s="101" t="str">
        <f t="shared" si="612"/>
        <v>金币</v>
      </c>
      <c r="FV1311" s="139">
        <f>IF($FT1311&gt;0,IF(INDEX($EI$6:$EI$77,$FO1311)&gt;=FV$3,ROUND(INDEX(EK$6:EK$77,$FO1311)*INDEX(卡牌消耗!$B$8:$F$8,FQ1311)/5,0)*5,""),"")</f>
        <v>885</v>
      </c>
      <c r="FW1311" s="101" t="str">
        <f t="shared" si="613"/>
        <v>专属强化石1</v>
      </c>
      <c r="FX1311" s="101">
        <f t="shared" si="614"/>
        <v>8</v>
      </c>
      <c r="FY1311" s="101" t="str">
        <f t="shared" si="615"/>
        <v>专属强化石2</v>
      </c>
      <c r="FZ1311" s="101">
        <f t="shared" si="616"/>
        <v>4</v>
      </c>
      <c r="GA1311" s="101">
        <f t="shared" si="621"/>
        <v>0.08</v>
      </c>
      <c r="GB1311" s="101">
        <f t="shared" si="622"/>
        <v>1</v>
      </c>
      <c r="GC1311" s="101">
        <f t="shared" si="623"/>
        <v>19</v>
      </c>
      <c r="GD1311" s="101">
        <f t="shared" si="624"/>
        <v>0</v>
      </c>
      <c r="GE1311" s="101">
        <f t="shared" si="625"/>
        <v>1</v>
      </c>
      <c r="GF1311" s="101">
        <f t="shared" si="626"/>
        <v>5</v>
      </c>
      <c r="GG1311" s="101">
        <f t="shared" si="627"/>
        <v>3.85E-2</v>
      </c>
      <c r="GH1311" s="101">
        <f t="shared" si="628"/>
        <v>1</v>
      </c>
      <c r="GI1311" s="101">
        <f t="shared" si="629"/>
        <v>9</v>
      </c>
      <c r="GJ1311" s="101">
        <f t="shared" si="630"/>
        <v>0.15409999999999999</v>
      </c>
      <c r="GK1311" s="101">
        <f t="shared" si="631"/>
        <v>1</v>
      </c>
      <c r="GL1311" s="101">
        <f t="shared" si="632"/>
        <v>19</v>
      </c>
    </row>
    <row r="1312" spans="170:194" ht="16.5" x14ac:dyDescent="0.2">
      <c r="FN1312" s="101">
        <v>1307</v>
      </c>
      <c r="FO1312" s="101">
        <f t="shared" si="617"/>
        <v>24</v>
      </c>
      <c r="FP1312" s="101">
        <f t="shared" si="610"/>
        <v>17</v>
      </c>
      <c r="FQ1312" s="14">
        <f t="shared" si="611"/>
        <v>3</v>
      </c>
      <c r="FR1312" s="101" t="str">
        <f t="shared" si="618"/>
        <v>朱仙专属武器-魂珠-3 6级</v>
      </c>
      <c r="FS1312" s="101">
        <f t="shared" si="619"/>
        <v>3</v>
      </c>
      <c r="FT1312" s="101">
        <f t="shared" si="620"/>
        <v>6</v>
      </c>
      <c r="FU1312" s="101" t="str">
        <f t="shared" si="612"/>
        <v>金币</v>
      </c>
      <c r="FV1312" s="139">
        <f>IF($FT1312&gt;0,IF(INDEX($EI$6:$EI$77,$FO1312)&gt;=FV$3,ROUND(INDEX(EK$6:EK$77,$FO1312)*INDEX(卡牌消耗!$B$8:$F$8,FQ1312)/5,0)*5,""),"")</f>
        <v>1100</v>
      </c>
      <c r="FW1312" s="101" t="str">
        <f t="shared" si="613"/>
        <v>专属强化石1</v>
      </c>
      <c r="FX1312" s="101">
        <f t="shared" si="614"/>
        <v>10</v>
      </c>
      <c r="FY1312" s="101" t="str">
        <f t="shared" si="615"/>
        <v>专属强化石2</v>
      </c>
      <c r="FZ1312" s="101">
        <f t="shared" si="616"/>
        <v>5</v>
      </c>
      <c r="GA1312" s="101">
        <f t="shared" si="621"/>
        <v>0.06</v>
      </c>
      <c r="GB1312" s="101">
        <f t="shared" si="622"/>
        <v>1</v>
      </c>
      <c r="GC1312" s="101">
        <f t="shared" si="623"/>
        <v>25</v>
      </c>
      <c r="GD1312" s="101">
        <f t="shared" si="624"/>
        <v>0</v>
      </c>
      <c r="GE1312" s="101">
        <f t="shared" si="625"/>
        <v>1</v>
      </c>
      <c r="GF1312" s="101">
        <f t="shared" si="626"/>
        <v>6</v>
      </c>
      <c r="GG1312" s="101">
        <f t="shared" si="627"/>
        <v>2.9600000000000001E-2</v>
      </c>
      <c r="GH1312" s="101">
        <f t="shared" si="628"/>
        <v>1</v>
      </c>
      <c r="GI1312" s="101">
        <f t="shared" si="629"/>
        <v>12</v>
      </c>
      <c r="GJ1312" s="101">
        <f t="shared" si="630"/>
        <v>0.1186</v>
      </c>
      <c r="GK1312" s="101">
        <f t="shared" si="631"/>
        <v>1</v>
      </c>
      <c r="GL1312" s="101">
        <f t="shared" si="632"/>
        <v>25</v>
      </c>
    </row>
    <row r="1313" spans="170:194" ht="16.5" x14ac:dyDescent="0.2">
      <c r="FN1313" s="101">
        <v>1308</v>
      </c>
      <c r="FO1313" s="101">
        <f t="shared" si="617"/>
        <v>25</v>
      </c>
      <c r="FP1313" s="101">
        <f t="shared" si="610"/>
        <v>17</v>
      </c>
      <c r="FQ1313" s="14">
        <f t="shared" si="611"/>
        <v>3</v>
      </c>
      <c r="FR1313" s="101" t="str">
        <f t="shared" si="618"/>
        <v>朱仙专属武器-魂珠-3 7级</v>
      </c>
      <c r="FS1313" s="101">
        <f t="shared" si="619"/>
        <v>3</v>
      </c>
      <c r="FT1313" s="101">
        <f t="shared" si="620"/>
        <v>7</v>
      </c>
      <c r="FU1313" s="101" t="str">
        <f t="shared" si="612"/>
        <v>金币</v>
      </c>
      <c r="FV1313" s="139">
        <f>IF($FT1313&gt;0,IF(INDEX($EI$6:$EI$77,$FO1313)&gt;=FV$3,ROUND(INDEX(EK$6:EK$77,$FO1313)*INDEX(卡牌消耗!$B$8:$F$8,FQ1313)/5,0)*5,""),"")</f>
        <v>1325</v>
      </c>
      <c r="FW1313" s="101" t="str">
        <f t="shared" si="613"/>
        <v>专属强化石1</v>
      </c>
      <c r="FX1313" s="101">
        <f t="shared" si="614"/>
        <v>12</v>
      </c>
      <c r="FY1313" s="101" t="str">
        <f t="shared" si="615"/>
        <v>专属强化石2</v>
      </c>
      <c r="FZ1313" s="101">
        <f t="shared" si="616"/>
        <v>6</v>
      </c>
      <c r="GA1313" s="101">
        <f t="shared" si="621"/>
        <v>0.04</v>
      </c>
      <c r="GB1313" s="101">
        <f t="shared" si="622"/>
        <v>1</v>
      </c>
      <c r="GC1313" s="101">
        <f t="shared" si="623"/>
        <v>34</v>
      </c>
      <c r="GD1313" s="101">
        <f t="shared" si="624"/>
        <v>0</v>
      </c>
      <c r="GE1313" s="101">
        <f t="shared" si="625"/>
        <v>1</v>
      </c>
      <c r="GF1313" s="101">
        <f t="shared" si="626"/>
        <v>8</v>
      </c>
      <c r="GG1313" s="101">
        <f t="shared" si="627"/>
        <v>2.1999999999999999E-2</v>
      </c>
      <c r="GH1313" s="101">
        <f t="shared" si="628"/>
        <v>1</v>
      </c>
      <c r="GI1313" s="101">
        <f t="shared" si="629"/>
        <v>16</v>
      </c>
      <c r="GJ1313" s="101">
        <f t="shared" si="630"/>
        <v>8.8099999999999998E-2</v>
      </c>
      <c r="GK1313" s="101">
        <f t="shared" si="631"/>
        <v>1</v>
      </c>
      <c r="GL1313" s="101">
        <f t="shared" si="632"/>
        <v>34</v>
      </c>
    </row>
    <row r="1314" spans="170:194" ht="16.5" x14ac:dyDescent="0.2">
      <c r="FN1314" s="101">
        <v>1309</v>
      </c>
      <c r="FO1314" s="101">
        <f t="shared" si="617"/>
        <v>26</v>
      </c>
      <c r="FP1314" s="101">
        <f t="shared" si="610"/>
        <v>17</v>
      </c>
      <c r="FQ1314" s="14">
        <f t="shared" si="611"/>
        <v>3</v>
      </c>
      <c r="FR1314" s="101" t="str">
        <f t="shared" si="618"/>
        <v>朱仙专属武器-魂珠-3 8级</v>
      </c>
      <c r="FS1314" s="101">
        <f t="shared" si="619"/>
        <v>3</v>
      </c>
      <c r="FT1314" s="101">
        <f t="shared" si="620"/>
        <v>8</v>
      </c>
      <c r="FU1314" s="101" t="str">
        <f t="shared" si="612"/>
        <v>金币</v>
      </c>
      <c r="FV1314" s="139">
        <f>IF($FT1314&gt;0,IF(INDEX($EI$6:$EI$77,$FO1314)&gt;=FV$3,ROUND(INDEX(EK$6:EK$77,$FO1314)*INDEX(卡牌消耗!$B$8:$F$8,FQ1314)/5,0)*5,""),"")</f>
        <v>1765</v>
      </c>
      <c r="FW1314" s="101" t="str">
        <f t="shared" si="613"/>
        <v>专属强化石1</v>
      </c>
      <c r="FX1314" s="101">
        <f t="shared" si="614"/>
        <v>16</v>
      </c>
      <c r="FY1314" s="101" t="str">
        <f t="shared" si="615"/>
        <v>专属强化石2</v>
      </c>
      <c r="FZ1314" s="101">
        <f t="shared" si="616"/>
        <v>8</v>
      </c>
      <c r="GA1314" s="101">
        <f t="shared" si="621"/>
        <v>0.04</v>
      </c>
      <c r="GB1314" s="101">
        <f t="shared" si="622"/>
        <v>1</v>
      </c>
      <c r="GC1314" s="101">
        <f t="shared" si="623"/>
        <v>41</v>
      </c>
      <c r="GD1314" s="101">
        <f t="shared" si="624"/>
        <v>0</v>
      </c>
      <c r="GE1314" s="101">
        <f t="shared" si="625"/>
        <v>1</v>
      </c>
      <c r="GF1314" s="101">
        <f t="shared" si="626"/>
        <v>10</v>
      </c>
      <c r="GG1314" s="101">
        <f t="shared" si="627"/>
        <v>1.8100000000000002E-2</v>
      </c>
      <c r="GH1314" s="101">
        <f t="shared" si="628"/>
        <v>1</v>
      </c>
      <c r="GI1314" s="101">
        <f t="shared" si="629"/>
        <v>19</v>
      </c>
      <c r="GJ1314" s="101">
        <f t="shared" si="630"/>
        <v>7.2499999999999995E-2</v>
      </c>
      <c r="GK1314" s="101">
        <f t="shared" si="631"/>
        <v>1</v>
      </c>
      <c r="GL1314" s="101">
        <f t="shared" si="632"/>
        <v>41</v>
      </c>
    </row>
    <row r="1315" spans="170:194" ht="16.5" x14ac:dyDescent="0.2">
      <c r="FN1315" s="101">
        <v>1310</v>
      </c>
      <c r="FO1315" s="101">
        <f t="shared" si="617"/>
        <v>27</v>
      </c>
      <c r="FP1315" s="101">
        <f t="shared" si="610"/>
        <v>17</v>
      </c>
      <c r="FQ1315" s="14">
        <f t="shared" si="611"/>
        <v>3</v>
      </c>
      <c r="FR1315" s="101" t="str">
        <f t="shared" si="618"/>
        <v>朱仙专属武器-魂珠-3 9级</v>
      </c>
      <c r="FS1315" s="101">
        <f t="shared" si="619"/>
        <v>3</v>
      </c>
      <c r="FT1315" s="101">
        <f t="shared" si="620"/>
        <v>9</v>
      </c>
      <c r="FU1315" s="101" t="str">
        <f t="shared" si="612"/>
        <v>金币</v>
      </c>
      <c r="FV1315" s="139">
        <f>IF($FT1315&gt;0,IF(INDEX($EI$6:$EI$77,$FO1315)&gt;=FV$3,ROUND(INDEX(EK$6:EK$77,$FO1315)*INDEX(卡牌消耗!$B$8:$F$8,FQ1315)/5,0)*5,""),"")</f>
        <v>2205</v>
      </c>
      <c r="FW1315" s="101" t="str">
        <f t="shared" si="613"/>
        <v>专属强化石1</v>
      </c>
      <c r="FX1315" s="101">
        <f t="shared" si="614"/>
        <v>20</v>
      </c>
      <c r="FY1315" s="101" t="str">
        <f t="shared" si="615"/>
        <v>专属强化石2</v>
      </c>
      <c r="FZ1315" s="101">
        <f t="shared" si="616"/>
        <v>10</v>
      </c>
      <c r="GA1315" s="101">
        <f t="shared" si="621"/>
        <v>0.03</v>
      </c>
      <c r="GB1315" s="101">
        <f t="shared" si="622"/>
        <v>1</v>
      </c>
      <c r="GC1315" s="101">
        <f t="shared" si="623"/>
        <v>54</v>
      </c>
      <c r="GD1315" s="101">
        <f t="shared" si="624"/>
        <v>0</v>
      </c>
      <c r="GE1315" s="101">
        <f t="shared" si="625"/>
        <v>1</v>
      </c>
      <c r="GF1315" s="101">
        <f t="shared" si="626"/>
        <v>12</v>
      </c>
      <c r="GG1315" s="101">
        <f t="shared" si="627"/>
        <v>1.4E-2</v>
      </c>
      <c r="GH1315" s="101">
        <f t="shared" si="628"/>
        <v>1</v>
      </c>
      <c r="GI1315" s="101">
        <f t="shared" si="629"/>
        <v>25</v>
      </c>
      <c r="GJ1315" s="101">
        <f t="shared" si="630"/>
        <v>5.6000000000000001E-2</v>
      </c>
      <c r="GK1315" s="101">
        <f t="shared" si="631"/>
        <v>1</v>
      </c>
      <c r="GL1315" s="101">
        <f t="shared" si="632"/>
        <v>54</v>
      </c>
    </row>
    <row r="1316" spans="170:194" ht="16.5" x14ac:dyDescent="0.2">
      <c r="FN1316" s="101">
        <v>1311</v>
      </c>
      <c r="FO1316" s="101">
        <f t="shared" si="617"/>
        <v>0</v>
      </c>
      <c r="FP1316" s="101">
        <f t="shared" si="610"/>
        <v>17</v>
      </c>
      <c r="FQ1316" s="14">
        <f t="shared" si="611"/>
        <v>3</v>
      </c>
      <c r="FR1316" s="101" t="str">
        <f t="shared" si="618"/>
        <v>朱仙专属武器-魂珠-4 0级</v>
      </c>
      <c r="FS1316" s="101">
        <f t="shared" si="619"/>
        <v>4</v>
      </c>
      <c r="FT1316" s="101">
        <f t="shared" si="620"/>
        <v>0</v>
      </c>
      <c r="FU1316" s="101" t="str">
        <f t="shared" si="612"/>
        <v/>
      </c>
      <c r="FV1316" s="139" t="str">
        <f>IF($FT1316&gt;0,IF(INDEX($EI$6:$EI$77,$FO1316)&gt;=FV$3,ROUND(INDEX(EK$6:EK$77,$FO1316)*INDEX(卡牌消耗!$B$8:$F$8,FQ1316)/5,0)*5,""),"")</f>
        <v/>
      </c>
      <c r="FW1316" s="101" t="str">
        <f t="shared" si="613"/>
        <v/>
      </c>
      <c r="FX1316" s="101" t="str">
        <f t="shared" si="614"/>
        <v/>
      </c>
      <c r="FY1316" s="101" t="str">
        <f t="shared" si="615"/>
        <v/>
      </c>
      <c r="FZ1316" s="101" t="str">
        <f t="shared" si="616"/>
        <v/>
      </c>
      <c r="GA1316" s="101" t="str">
        <f t="shared" si="621"/>
        <v/>
      </c>
      <c r="GB1316" s="101" t="str">
        <f t="shared" si="622"/>
        <v/>
      </c>
      <c r="GC1316" s="101" t="str">
        <f t="shared" si="623"/>
        <v/>
      </c>
      <c r="GD1316" s="101" t="str">
        <f t="shared" si="624"/>
        <v/>
      </c>
      <c r="GE1316" s="101" t="str">
        <f t="shared" si="625"/>
        <v/>
      </c>
      <c r="GF1316" s="101" t="str">
        <f t="shared" si="626"/>
        <v/>
      </c>
      <c r="GG1316" s="101" t="str">
        <f t="shared" si="627"/>
        <v/>
      </c>
      <c r="GH1316" s="101" t="str">
        <f t="shared" si="628"/>
        <v/>
      </c>
      <c r="GI1316" s="101" t="str">
        <f t="shared" si="629"/>
        <v/>
      </c>
      <c r="GJ1316" s="101" t="str">
        <f t="shared" si="630"/>
        <v/>
      </c>
      <c r="GK1316" s="101" t="str">
        <f t="shared" si="631"/>
        <v/>
      </c>
      <c r="GL1316" s="101" t="str">
        <f t="shared" si="632"/>
        <v/>
      </c>
    </row>
    <row r="1317" spans="170:194" ht="16.5" x14ac:dyDescent="0.2">
      <c r="FN1317" s="101">
        <v>1312</v>
      </c>
      <c r="FO1317" s="101">
        <f t="shared" si="617"/>
        <v>28</v>
      </c>
      <c r="FP1317" s="101">
        <f t="shared" si="610"/>
        <v>17</v>
      </c>
      <c r="FQ1317" s="14">
        <f t="shared" si="611"/>
        <v>3</v>
      </c>
      <c r="FR1317" s="101" t="str">
        <f t="shared" si="618"/>
        <v>朱仙专属武器-魂珠-4 1级</v>
      </c>
      <c r="FS1317" s="101">
        <f t="shared" si="619"/>
        <v>4</v>
      </c>
      <c r="FT1317" s="101">
        <f t="shared" si="620"/>
        <v>1</v>
      </c>
      <c r="FU1317" s="101" t="str">
        <f t="shared" si="612"/>
        <v>金币</v>
      </c>
      <c r="FV1317" s="139">
        <f>IF($FT1317&gt;0,IF(INDEX($EI$6:$EI$77,$FO1317)&gt;=FV$3,ROUND(INDEX(EK$6:EK$77,$FO1317)*INDEX(卡牌消耗!$B$8:$F$8,FQ1317)/5,0)*5,""),"")</f>
        <v>730</v>
      </c>
      <c r="FW1317" s="101" t="str">
        <f t="shared" si="613"/>
        <v>专属强化石2</v>
      </c>
      <c r="FX1317" s="101">
        <f t="shared" si="614"/>
        <v>3</v>
      </c>
      <c r="FY1317" s="101" t="str">
        <f t="shared" si="615"/>
        <v>专属强化石3</v>
      </c>
      <c r="FZ1317" s="101">
        <f t="shared" si="616"/>
        <v>1</v>
      </c>
      <c r="GA1317" s="101">
        <f t="shared" si="621"/>
        <v>0.2</v>
      </c>
      <c r="GB1317" s="101">
        <f t="shared" si="622"/>
        <v>1</v>
      </c>
      <c r="GC1317" s="101">
        <f t="shared" si="623"/>
        <v>7</v>
      </c>
      <c r="GD1317" s="101">
        <f t="shared" si="624"/>
        <v>0</v>
      </c>
      <c r="GE1317" s="101">
        <f t="shared" si="625"/>
        <v>1</v>
      </c>
      <c r="GF1317" s="101">
        <f t="shared" si="626"/>
        <v>2</v>
      </c>
      <c r="GG1317" s="101">
        <f t="shared" si="627"/>
        <v>0.1012</v>
      </c>
      <c r="GH1317" s="101">
        <f t="shared" si="628"/>
        <v>1</v>
      </c>
      <c r="GI1317" s="101">
        <f t="shared" si="629"/>
        <v>3</v>
      </c>
      <c r="GJ1317" s="101">
        <f t="shared" si="630"/>
        <v>0.40479999999999999</v>
      </c>
      <c r="GK1317" s="101">
        <f t="shared" si="631"/>
        <v>1</v>
      </c>
      <c r="GL1317" s="101">
        <f t="shared" si="632"/>
        <v>7</v>
      </c>
    </row>
    <row r="1318" spans="170:194" ht="16.5" x14ac:dyDescent="0.2">
      <c r="FN1318" s="101">
        <v>1313</v>
      </c>
      <c r="FO1318" s="101">
        <f t="shared" si="617"/>
        <v>29</v>
      </c>
      <c r="FP1318" s="101">
        <f t="shared" si="610"/>
        <v>17</v>
      </c>
      <c r="FQ1318" s="14">
        <f t="shared" si="611"/>
        <v>3</v>
      </c>
      <c r="FR1318" s="101" t="str">
        <f t="shared" si="618"/>
        <v>朱仙专属武器-魂珠-4 2级</v>
      </c>
      <c r="FS1318" s="101">
        <f t="shared" si="619"/>
        <v>4</v>
      </c>
      <c r="FT1318" s="101">
        <f t="shared" si="620"/>
        <v>2</v>
      </c>
      <c r="FU1318" s="101" t="str">
        <f t="shared" si="612"/>
        <v>金币</v>
      </c>
      <c r="FV1318" s="139">
        <f>IF($FT1318&gt;0,IF(INDEX($EI$6:$EI$77,$FO1318)&gt;=FV$3,ROUND(INDEX(EK$6:EK$77,$FO1318)*INDEX(卡牌消耗!$B$8:$F$8,FQ1318)/5,0)*5,""),"")</f>
        <v>545</v>
      </c>
      <c r="FW1318" s="101" t="str">
        <f t="shared" si="613"/>
        <v>专属强化石2</v>
      </c>
      <c r="FX1318" s="101">
        <f t="shared" si="614"/>
        <v>3</v>
      </c>
      <c r="FY1318" s="101" t="str">
        <f t="shared" si="615"/>
        <v>专属强化石3</v>
      </c>
      <c r="FZ1318" s="101">
        <f t="shared" si="616"/>
        <v>1</v>
      </c>
      <c r="GA1318" s="101">
        <f t="shared" si="621"/>
        <v>0.1</v>
      </c>
      <c r="GB1318" s="101">
        <f t="shared" si="622"/>
        <v>1</v>
      </c>
      <c r="GC1318" s="101">
        <f t="shared" si="623"/>
        <v>15</v>
      </c>
      <c r="GD1318" s="101">
        <f t="shared" si="624"/>
        <v>0</v>
      </c>
      <c r="GE1318" s="101">
        <f t="shared" si="625"/>
        <v>1</v>
      </c>
      <c r="GF1318" s="101">
        <f t="shared" si="626"/>
        <v>3</v>
      </c>
      <c r="GG1318" s="101">
        <f t="shared" si="627"/>
        <v>5.0599999999999999E-2</v>
      </c>
      <c r="GH1318" s="101">
        <f t="shared" si="628"/>
        <v>1</v>
      </c>
      <c r="GI1318" s="101">
        <f t="shared" si="629"/>
        <v>7</v>
      </c>
      <c r="GJ1318" s="101">
        <f t="shared" si="630"/>
        <v>0.2024</v>
      </c>
      <c r="GK1318" s="101">
        <f t="shared" si="631"/>
        <v>1</v>
      </c>
      <c r="GL1318" s="101">
        <f t="shared" si="632"/>
        <v>15</v>
      </c>
    </row>
    <row r="1319" spans="170:194" ht="16.5" x14ac:dyDescent="0.2">
      <c r="FN1319" s="101">
        <v>1314</v>
      </c>
      <c r="FO1319" s="101">
        <f t="shared" si="617"/>
        <v>30</v>
      </c>
      <c r="FP1319" s="101">
        <f t="shared" si="610"/>
        <v>17</v>
      </c>
      <c r="FQ1319" s="14">
        <f t="shared" si="611"/>
        <v>3</v>
      </c>
      <c r="FR1319" s="101" t="str">
        <f t="shared" si="618"/>
        <v>朱仙专属武器-魂珠-4 3级</v>
      </c>
      <c r="FS1319" s="101">
        <f t="shared" si="619"/>
        <v>4</v>
      </c>
      <c r="FT1319" s="101">
        <f t="shared" si="620"/>
        <v>3</v>
      </c>
      <c r="FU1319" s="101" t="str">
        <f t="shared" si="612"/>
        <v>金币</v>
      </c>
      <c r="FV1319" s="139">
        <f>IF($FT1319&gt;0,IF(INDEX($EI$6:$EI$77,$FO1319)&gt;=FV$3,ROUND(INDEX(EK$6:EK$77,$FO1319)*INDEX(卡牌消耗!$B$8:$F$8,FQ1319)/5,0)*5,""),"")</f>
        <v>610</v>
      </c>
      <c r="FW1319" s="101" t="str">
        <f t="shared" si="613"/>
        <v>专属强化石2</v>
      </c>
      <c r="FX1319" s="101">
        <f t="shared" si="614"/>
        <v>3</v>
      </c>
      <c r="FY1319" s="101" t="str">
        <f t="shared" si="615"/>
        <v>专属强化石3</v>
      </c>
      <c r="FZ1319" s="101">
        <f t="shared" si="616"/>
        <v>1</v>
      </c>
      <c r="GA1319" s="101">
        <f t="shared" si="621"/>
        <v>7.0000000000000007E-2</v>
      </c>
      <c r="GB1319" s="101">
        <f t="shared" si="622"/>
        <v>1</v>
      </c>
      <c r="GC1319" s="101">
        <f t="shared" si="623"/>
        <v>22</v>
      </c>
      <c r="GD1319" s="101">
        <f t="shared" si="624"/>
        <v>0</v>
      </c>
      <c r="GE1319" s="101">
        <f t="shared" si="625"/>
        <v>1</v>
      </c>
      <c r="GF1319" s="101">
        <f t="shared" si="626"/>
        <v>5</v>
      </c>
      <c r="GG1319" s="101">
        <f t="shared" si="627"/>
        <v>3.3700000000000001E-2</v>
      </c>
      <c r="GH1319" s="101">
        <f t="shared" si="628"/>
        <v>1</v>
      </c>
      <c r="GI1319" s="101">
        <f t="shared" si="629"/>
        <v>10</v>
      </c>
      <c r="GJ1319" s="101">
        <f t="shared" si="630"/>
        <v>0.13489999999999999</v>
      </c>
      <c r="GK1319" s="101">
        <f t="shared" si="631"/>
        <v>1</v>
      </c>
      <c r="GL1319" s="101">
        <f t="shared" si="632"/>
        <v>22</v>
      </c>
    </row>
    <row r="1320" spans="170:194" ht="16.5" x14ac:dyDescent="0.2">
      <c r="FN1320" s="101">
        <v>1315</v>
      </c>
      <c r="FO1320" s="101">
        <f t="shared" si="617"/>
        <v>31</v>
      </c>
      <c r="FP1320" s="101">
        <f t="shared" si="610"/>
        <v>17</v>
      </c>
      <c r="FQ1320" s="14">
        <f t="shared" si="611"/>
        <v>3</v>
      </c>
      <c r="FR1320" s="101" t="str">
        <f t="shared" si="618"/>
        <v>朱仙专属武器-魂珠-4 4级</v>
      </c>
      <c r="FS1320" s="101">
        <f t="shared" si="619"/>
        <v>4</v>
      </c>
      <c r="FT1320" s="101">
        <f t="shared" si="620"/>
        <v>4</v>
      </c>
      <c r="FU1320" s="101" t="str">
        <f t="shared" si="612"/>
        <v>金币</v>
      </c>
      <c r="FV1320" s="139">
        <f>IF($FT1320&gt;0,IF(INDEX($EI$6:$EI$77,$FO1320)&gt;=FV$3,ROUND(INDEX(EK$6:EK$77,$FO1320)*INDEX(卡牌消耗!$B$8:$F$8,FQ1320)/5,0)*5,""),"")</f>
        <v>1165</v>
      </c>
      <c r="FW1320" s="101" t="str">
        <f t="shared" si="613"/>
        <v>专属强化石2</v>
      </c>
      <c r="FX1320" s="101">
        <f t="shared" si="614"/>
        <v>5</v>
      </c>
      <c r="FY1320" s="101" t="str">
        <f t="shared" si="615"/>
        <v>专属强化石3</v>
      </c>
      <c r="FZ1320" s="101">
        <f t="shared" si="616"/>
        <v>2</v>
      </c>
      <c r="GA1320" s="101">
        <f t="shared" si="621"/>
        <v>0.08</v>
      </c>
      <c r="GB1320" s="101">
        <f t="shared" si="622"/>
        <v>1</v>
      </c>
      <c r="GC1320" s="101">
        <f t="shared" si="623"/>
        <v>19</v>
      </c>
      <c r="GD1320" s="101">
        <f t="shared" si="624"/>
        <v>0</v>
      </c>
      <c r="GE1320" s="101">
        <f t="shared" si="625"/>
        <v>1</v>
      </c>
      <c r="GF1320" s="101">
        <f t="shared" si="626"/>
        <v>4</v>
      </c>
      <c r="GG1320" s="101">
        <f t="shared" si="627"/>
        <v>4.0500000000000001E-2</v>
      </c>
      <c r="GH1320" s="101">
        <f t="shared" si="628"/>
        <v>1</v>
      </c>
      <c r="GI1320" s="101">
        <f t="shared" si="629"/>
        <v>9</v>
      </c>
      <c r="GJ1320" s="101">
        <f t="shared" si="630"/>
        <v>0.16189999999999999</v>
      </c>
      <c r="GK1320" s="101">
        <f t="shared" si="631"/>
        <v>1</v>
      </c>
      <c r="GL1320" s="101">
        <f t="shared" si="632"/>
        <v>19</v>
      </c>
    </row>
    <row r="1321" spans="170:194" ht="16.5" x14ac:dyDescent="0.2">
      <c r="FN1321" s="101">
        <v>1316</v>
      </c>
      <c r="FO1321" s="101">
        <f t="shared" si="617"/>
        <v>32</v>
      </c>
      <c r="FP1321" s="101">
        <f t="shared" si="610"/>
        <v>17</v>
      </c>
      <c r="FQ1321" s="14">
        <f t="shared" si="611"/>
        <v>3</v>
      </c>
      <c r="FR1321" s="101" t="str">
        <f t="shared" si="618"/>
        <v>朱仙专属武器-魂珠-4 5级</v>
      </c>
      <c r="FS1321" s="101">
        <f t="shared" si="619"/>
        <v>4</v>
      </c>
      <c r="FT1321" s="101">
        <f t="shared" si="620"/>
        <v>5</v>
      </c>
      <c r="FU1321" s="101" t="str">
        <f t="shared" si="612"/>
        <v>金币</v>
      </c>
      <c r="FV1321" s="139">
        <f>IF($FT1321&gt;0,IF(INDEX($EI$6:$EI$77,$FO1321)&gt;=FV$3,ROUND(INDEX(EK$6:EK$77,$FO1321)*INDEX(卡牌消耗!$B$8:$F$8,FQ1321)/5,0)*5,""),"")</f>
        <v>1185</v>
      </c>
      <c r="FW1321" s="101" t="str">
        <f t="shared" si="613"/>
        <v>专属强化石2</v>
      </c>
      <c r="FX1321" s="101">
        <f t="shared" si="614"/>
        <v>5</v>
      </c>
      <c r="FY1321" s="101" t="str">
        <f t="shared" si="615"/>
        <v>专属强化石3</v>
      </c>
      <c r="FZ1321" s="101">
        <f t="shared" si="616"/>
        <v>2</v>
      </c>
      <c r="GA1321" s="101">
        <f t="shared" si="621"/>
        <v>0.05</v>
      </c>
      <c r="GB1321" s="101">
        <f t="shared" si="622"/>
        <v>1</v>
      </c>
      <c r="GC1321" s="101">
        <f t="shared" si="623"/>
        <v>30</v>
      </c>
      <c r="GD1321" s="101">
        <f t="shared" si="624"/>
        <v>0</v>
      </c>
      <c r="GE1321" s="101">
        <f t="shared" si="625"/>
        <v>1</v>
      </c>
      <c r="GF1321" s="101">
        <f t="shared" si="626"/>
        <v>7</v>
      </c>
      <c r="GG1321" s="101">
        <f t="shared" si="627"/>
        <v>2.53E-2</v>
      </c>
      <c r="GH1321" s="101">
        <f t="shared" si="628"/>
        <v>1</v>
      </c>
      <c r="GI1321" s="101">
        <f t="shared" si="629"/>
        <v>14</v>
      </c>
      <c r="GJ1321" s="101">
        <f t="shared" si="630"/>
        <v>0.1012</v>
      </c>
      <c r="GK1321" s="101">
        <f t="shared" si="631"/>
        <v>1</v>
      </c>
      <c r="GL1321" s="101">
        <f t="shared" si="632"/>
        <v>30</v>
      </c>
    </row>
    <row r="1322" spans="170:194" ht="16.5" x14ac:dyDescent="0.2">
      <c r="FN1322" s="101">
        <v>1317</v>
      </c>
      <c r="FO1322" s="101">
        <f t="shared" si="617"/>
        <v>33</v>
      </c>
      <c r="FP1322" s="101">
        <f t="shared" si="610"/>
        <v>17</v>
      </c>
      <c r="FQ1322" s="14">
        <f t="shared" si="611"/>
        <v>3</v>
      </c>
      <c r="FR1322" s="101" t="str">
        <f t="shared" si="618"/>
        <v>朱仙专属武器-魂珠-4 6级</v>
      </c>
      <c r="FS1322" s="101">
        <f t="shared" si="619"/>
        <v>4</v>
      </c>
      <c r="FT1322" s="101">
        <f t="shared" si="620"/>
        <v>6</v>
      </c>
      <c r="FU1322" s="101" t="str">
        <f t="shared" si="612"/>
        <v>金币</v>
      </c>
      <c r="FV1322" s="139">
        <f>IF($FT1322&gt;0,IF(INDEX($EI$6:$EI$77,$FO1322)&gt;=FV$3,ROUND(INDEX(EK$6:EK$77,$FO1322)*INDEX(卡牌消耗!$B$8:$F$8,FQ1322)/5,0)*5,""),"")</f>
        <v>1180</v>
      </c>
      <c r="FW1322" s="101" t="str">
        <f t="shared" si="613"/>
        <v>专属强化石2</v>
      </c>
      <c r="FX1322" s="101">
        <f t="shared" si="614"/>
        <v>5</v>
      </c>
      <c r="FY1322" s="101" t="str">
        <f t="shared" si="615"/>
        <v>专属强化石3</v>
      </c>
      <c r="FZ1322" s="101">
        <f t="shared" si="616"/>
        <v>2</v>
      </c>
      <c r="GA1322" s="101">
        <f t="shared" si="621"/>
        <v>0.03</v>
      </c>
      <c r="GB1322" s="101">
        <f t="shared" si="622"/>
        <v>1</v>
      </c>
      <c r="GC1322" s="101">
        <f t="shared" si="623"/>
        <v>48</v>
      </c>
      <c r="GD1322" s="101">
        <f t="shared" si="624"/>
        <v>0</v>
      </c>
      <c r="GE1322" s="101">
        <f t="shared" si="625"/>
        <v>1</v>
      </c>
      <c r="GF1322" s="101">
        <f t="shared" si="626"/>
        <v>11</v>
      </c>
      <c r="GG1322" s="101">
        <f t="shared" si="627"/>
        <v>1.5599999999999999E-2</v>
      </c>
      <c r="GH1322" s="101">
        <f t="shared" si="628"/>
        <v>1</v>
      </c>
      <c r="GI1322" s="101">
        <f t="shared" si="629"/>
        <v>22</v>
      </c>
      <c r="GJ1322" s="101">
        <f t="shared" si="630"/>
        <v>6.2300000000000001E-2</v>
      </c>
      <c r="GK1322" s="101">
        <f t="shared" si="631"/>
        <v>1</v>
      </c>
      <c r="GL1322" s="101">
        <f t="shared" si="632"/>
        <v>48</v>
      </c>
    </row>
    <row r="1323" spans="170:194" ht="16.5" x14ac:dyDescent="0.2">
      <c r="FN1323" s="101">
        <v>1318</v>
      </c>
      <c r="FO1323" s="101">
        <f t="shared" si="617"/>
        <v>34</v>
      </c>
      <c r="FP1323" s="101">
        <f t="shared" si="610"/>
        <v>17</v>
      </c>
      <c r="FQ1323" s="14">
        <f t="shared" si="611"/>
        <v>3</v>
      </c>
      <c r="FR1323" s="101" t="str">
        <f t="shared" si="618"/>
        <v>朱仙专属武器-魂珠-4 7级</v>
      </c>
      <c r="FS1323" s="101">
        <f t="shared" si="619"/>
        <v>4</v>
      </c>
      <c r="FT1323" s="101">
        <f t="shared" si="620"/>
        <v>7</v>
      </c>
      <c r="FU1323" s="101" t="str">
        <f t="shared" si="612"/>
        <v>金币</v>
      </c>
      <c r="FV1323" s="139">
        <f>IF($FT1323&gt;0,IF(INDEX($EI$6:$EI$77,$FO1323)&gt;=FV$3,ROUND(INDEX(EK$6:EK$77,$FO1323)*INDEX(卡牌消耗!$B$8:$F$8,FQ1323)/5,0)*5,""),"")</f>
        <v>1770</v>
      </c>
      <c r="FW1323" s="101" t="str">
        <f t="shared" si="613"/>
        <v>专属强化石2</v>
      </c>
      <c r="FX1323" s="101">
        <f t="shared" si="614"/>
        <v>8</v>
      </c>
      <c r="FY1323" s="101" t="str">
        <f t="shared" si="615"/>
        <v>专属强化石3</v>
      </c>
      <c r="FZ1323" s="101">
        <f t="shared" si="616"/>
        <v>3</v>
      </c>
      <c r="GA1323" s="101">
        <f t="shared" si="621"/>
        <v>0.03</v>
      </c>
      <c r="GB1323" s="101">
        <f t="shared" si="622"/>
        <v>1</v>
      </c>
      <c r="GC1323" s="101">
        <f t="shared" si="623"/>
        <v>52</v>
      </c>
      <c r="GD1323" s="101">
        <f t="shared" si="624"/>
        <v>0</v>
      </c>
      <c r="GE1323" s="101">
        <f t="shared" si="625"/>
        <v>1</v>
      </c>
      <c r="GF1323" s="101">
        <f t="shared" si="626"/>
        <v>12</v>
      </c>
      <c r="GG1323" s="101">
        <f t="shared" si="627"/>
        <v>1.4500000000000001E-2</v>
      </c>
      <c r="GH1323" s="101">
        <f t="shared" si="628"/>
        <v>1</v>
      </c>
      <c r="GI1323" s="101">
        <f t="shared" si="629"/>
        <v>24</v>
      </c>
      <c r="GJ1323" s="101">
        <f t="shared" si="630"/>
        <v>5.7799999999999997E-2</v>
      </c>
      <c r="GK1323" s="101">
        <f t="shared" si="631"/>
        <v>1</v>
      </c>
      <c r="GL1323" s="101">
        <f t="shared" si="632"/>
        <v>52</v>
      </c>
    </row>
    <row r="1324" spans="170:194" ht="16.5" x14ac:dyDescent="0.2">
      <c r="FN1324" s="101">
        <v>1319</v>
      </c>
      <c r="FO1324" s="101">
        <f t="shared" si="617"/>
        <v>35</v>
      </c>
      <c r="FP1324" s="101">
        <f t="shared" si="610"/>
        <v>17</v>
      </c>
      <c r="FQ1324" s="14">
        <f t="shared" si="611"/>
        <v>3</v>
      </c>
      <c r="FR1324" s="101" t="str">
        <f t="shared" si="618"/>
        <v>朱仙专属武器-魂珠-4 8级</v>
      </c>
      <c r="FS1324" s="101">
        <f t="shared" si="619"/>
        <v>4</v>
      </c>
      <c r="FT1324" s="101">
        <f t="shared" si="620"/>
        <v>8</v>
      </c>
      <c r="FU1324" s="101" t="str">
        <f t="shared" si="612"/>
        <v>金币</v>
      </c>
      <c r="FV1324" s="139">
        <f>IF($FT1324&gt;0,IF(INDEX($EI$6:$EI$77,$FO1324)&gt;=FV$3,ROUND(INDEX(EK$6:EK$77,$FO1324)*INDEX(卡牌消耗!$B$8:$F$8,FQ1324)/5,0)*5,""),"")</f>
        <v>2360</v>
      </c>
      <c r="FW1324" s="101" t="str">
        <f t="shared" si="613"/>
        <v>专属强化石2</v>
      </c>
      <c r="FX1324" s="101">
        <f t="shared" si="614"/>
        <v>11</v>
      </c>
      <c r="FY1324" s="101" t="str">
        <f t="shared" si="615"/>
        <v>专属强化石3</v>
      </c>
      <c r="FZ1324" s="101">
        <f t="shared" si="616"/>
        <v>4</v>
      </c>
      <c r="GA1324" s="101">
        <f t="shared" si="621"/>
        <v>0.02</v>
      </c>
      <c r="GB1324" s="101">
        <f t="shared" si="622"/>
        <v>1</v>
      </c>
      <c r="GC1324" s="101">
        <f t="shared" si="623"/>
        <v>63</v>
      </c>
      <c r="GD1324" s="101">
        <f t="shared" si="624"/>
        <v>0</v>
      </c>
      <c r="GE1324" s="101">
        <f t="shared" si="625"/>
        <v>1</v>
      </c>
      <c r="GF1324" s="101">
        <f t="shared" si="626"/>
        <v>15</v>
      </c>
      <c r="GG1324" s="101">
        <f t="shared" si="627"/>
        <v>1.1900000000000001E-2</v>
      </c>
      <c r="GH1324" s="101">
        <f t="shared" si="628"/>
        <v>1</v>
      </c>
      <c r="GI1324" s="101">
        <f t="shared" si="629"/>
        <v>29</v>
      </c>
      <c r="GJ1324" s="101">
        <f t="shared" si="630"/>
        <v>4.7600000000000003E-2</v>
      </c>
      <c r="GK1324" s="101">
        <f t="shared" si="631"/>
        <v>1</v>
      </c>
      <c r="GL1324" s="101">
        <f t="shared" si="632"/>
        <v>63</v>
      </c>
    </row>
    <row r="1325" spans="170:194" ht="16.5" x14ac:dyDescent="0.2">
      <c r="FN1325" s="101">
        <v>1320</v>
      </c>
      <c r="FO1325" s="101">
        <f t="shared" si="617"/>
        <v>36</v>
      </c>
      <c r="FP1325" s="101">
        <f t="shared" si="610"/>
        <v>17</v>
      </c>
      <c r="FQ1325" s="14">
        <f t="shared" si="611"/>
        <v>3</v>
      </c>
      <c r="FR1325" s="101" t="str">
        <f t="shared" si="618"/>
        <v>朱仙专属武器-魂珠-4 9级</v>
      </c>
      <c r="FS1325" s="101">
        <f t="shared" si="619"/>
        <v>4</v>
      </c>
      <c r="FT1325" s="101">
        <f t="shared" si="620"/>
        <v>9</v>
      </c>
      <c r="FU1325" s="101" t="str">
        <f t="shared" si="612"/>
        <v>金币</v>
      </c>
      <c r="FV1325" s="139">
        <f>IF($FT1325&gt;0,IF(INDEX($EI$6:$EI$77,$FO1325)&gt;=FV$3,ROUND(INDEX(EK$6:EK$77,$FO1325)*INDEX(卡牌消耗!$B$8:$F$8,FQ1325)/5,0)*5,""),"")</f>
        <v>3540</v>
      </c>
      <c r="FW1325" s="101" t="str">
        <f t="shared" si="613"/>
        <v>专属强化石2</v>
      </c>
      <c r="FX1325" s="101">
        <f t="shared" si="614"/>
        <v>16</v>
      </c>
      <c r="FY1325" s="101" t="str">
        <f t="shared" si="615"/>
        <v>专属强化石3</v>
      </c>
      <c r="FZ1325" s="101">
        <f t="shared" si="616"/>
        <v>6</v>
      </c>
      <c r="GA1325" s="101">
        <f t="shared" si="621"/>
        <v>0.02</v>
      </c>
      <c r="GB1325" s="101">
        <f t="shared" si="622"/>
        <v>1</v>
      </c>
      <c r="GC1325" s="101">
        <f t="shared" si="623"/>
        <v>68</v>
      </c>
      <c r="GD1325" s="101">
        <f t="shared" si="624"/>
        <v>0</v>
      </c>
      <c r="GE1325" s="101">
        <f t="shared" si="625"/>
        <v>1</v>
      </c>
      <c r="GF1325" s="101">
        <f t="shared" si="626"/>
        <v>16</v>
      </c>
      <c r="GG1325" s="101">
        <f t="shared" si="627"/>
        <v>1.0999999999999999E-2</v>
      </c>
      <c r="GH1325" s="101">
        <f t="shared" si="628"/>
        <v>1</v>
      </c>
      <c r="GI1325" s="101">
        <f t="shared" si="629"/>
        <v>32</v>
      </c>
      <c r="GJ1325" s="101">
        <f t="shared" si="630"/>
        <v>4.4200000000000003E-2</v>
      </c>
      <c r="GK1325" s="101">
        <f t="shared" si="631"/>
        <v>1</v>
      </c>
      <c r="GL1325" s="101">
        <f t="shared" si="632"/>
        <v>68</v>
      </c>
    </row>
    <row r="1326" spans="170:194" ht="16.5" x14ac:dyDescent="0.2">
      <c r="FN1326" s="101">
        <v>1321</v>
      </c>
      <c r="FO1326" s="101">
        <f t="shared" si="617"/>
        <v>0</v>
      </c>
      <c r="FP1326" s="101">
        <f t="shared" si="610"/>
        <v>17</v>
      </c>
      <c r="FQ1326" s="14">
        <f t="shared" si="611"/>
        <v>3</v>
      </c>
      <c r="FR1326" s="101" t="str">
        <f t="shared" si="618"/>
        <v>朱仙专属武器-魂珠-5 0级</v>
      </c>
      <c r="FS1326" s="101">
        <f t="shared" si="619"/>
        <v>5</v>
      </c>
      <c r="FT1326" s="101">
        <f t="shared" si="620"/>
        <v>0</v>
      </c>
      <c r="FU1326" s="101" t="str">
        <f t="shared" si="612"/>
        <v/>
      </c>
      <c r="FV1326" s="139" t="str">
        <f>IF($FT1326&gt;0,IF(INDEX($EI$6:$EI$77,$FO1326)&gt;=FV$3,ROUND(INDEX(EK$6:EK$77,$FO1326)*INDEX(卡牌消耗!$B$8:$F$8,FQ1326)/5,0)*5,""),"")</f>
        <v/>
      </c>
      <c r="FW1326" s="101" t="str">
        <f t="shared" si="613"/>
        <v/>
      </c>
      <c r="FX1326" s="101" t="str">
        <f t="shared" si="614"/>
        <v/>
      </c>
      <c r="FY1326" s="101" t="str">
        <f t="shared" si="615"/>
        <v/>
      </c>
      <c r="FZ1326" s="101" t="str">
        <f t="shared" si="616"/>
        <v/>
      </c>
      <c r="GA1326" s="101" t="str">
        <f t="shared" si="621"/>
        <v/>
      </c>
      <c r="GB1326" s="101" t="str">
        <f t="shared" si="622"/>
        <v/>
      </c>
      <c r="GC1326" s="101" t="str">
        <f t="shared" si="623"/>
        <v/>
      </c>
      <c r="GD1326" s="101" t="str">
        <f t="shared" si="624"/>
        <v/>
      </c>
      <c r="GE1326" s="101" t="str">
        <f t="shared" si="625"/>
        <v/>
      </c>
      <c r="GF1326" s="101" t="str">
        <f t="shared" si="626"/>
        <v/>
      </c>
      <c r="GG1326" s="101" t="str">
        <f t="shared" si="627"/>
        <v/>
      </c>
      <c r="GH1326" s="101" t="str">
        <f t="shared" si="628"/>
        <v/>
      </c>
      <c r="GI1326" s="101" t="str">
        <f t="shared" si="629"/>
        <v/>
      </c>
      <c r="GJ1326" s="101" t="str">
        <f t="shared" si="630"/>
        <v/>
      </c>
      <c r="GK1326" s="101" t="str">
        <f t="shared" si="631"/>
        <v/>
      </c>
      <c r="GL1326" s="101" t="str">
        <f t="shared" si="632"/>
        <v/>
      </c>
    </row>
    <row r="1327" spans="170:194" ht="16.5" x14ac:dyDescent="0.2">
      <c r="FN1327" s="101">
        <v>1322</v>
      </c>
      <c r="FO1327" s="101">
        <f t="shared" si="617"/>
        <v>37</v>
      </c>
      <c r="FP1327" s="101">
        <f t="shared" si="610"/>
        <v>17</v>
      </c>
      <c r="FQ1327" s="14">
        <f t="shared" si="611"/>
        <v>3</v>
      </c>
      <c r="FR1327" s="101" t="str">
        <f t="shared" si="618"/>
        <v>朱仙专属武器-魂珠-5 1级</v>
      </c>
      <c r="FS1327" s="101">
        <f t="shared" si="619"/>
        <v>5</v>
      </c>
      <c r="FT1327" s="101">
        <f t="shared" si="620"/>
        <v>1</v>
      </c>
      <c r="FU1327" s="101" t="str">
        <f t="shared" si="612"/>
        <v>金币</v>
      </c>
      <c r="FV1327" s="139">
        <f>IF($FT1327&gt;0,IF(INDEX($EI$6:$EI$77,$FO1327)&gt;=FV$3,ROUND(INDEX(EK$6:EK$77,$FO1327)*INDEX(卡牌消耗!$B$8:$F$8,FQ1327)/5,0)*5,""),"")</f>
        <v>1495</v>
      </c>
      <c r="FW1327" s="101" t="str">
        <f t="shared" si="613"/>
        <v>专属强化石2</v>
      </c>
      <c r="FX1327" s="101">
        <f t="shared" si="614"/>
        <v>3</v>
      </c>
      <c r="FY1327" s="101" t="str">
        <f t="shared" si="615"/>
        <v>专属强化石3</v>
      </c>
      <c r="FZ1327" s="101">
        <f t="shared" si="616"/>
        <v>2</v>
      </c>
      <c r="GA1327" s="101">
        <f t="shared" si="621"/>
        <v>0.2</v>
      </c>
      <c r="GB1327" s="101">
        <f t="shared" si="622"/>
        <v>1</v>
      </c>
      <c r="GC1327" s="101">
        <f t="shared" si="623"/>
        <v>7</v>
      </c>
      <c r="GD1327" s="101">
        <f t="shared" si="624"/>
        <v>0</v>
      </c>
      <c r="GE1327" s="101">
        <f t="shared" si="625"/>
        <v>1</v>
      </c>
      <c r="GF1327" s="101">
        <f t="shared" si="626"/>
        <v>2</v>
      </c>
      <c r="GG1327" s="101">
        <f t="shared" si="627"/>
        <v>0.1012</v>
      </c>
      <c r="GH1327" s="101">
        <f t="shared" si="628"/>
        <v>1</v>
      </c>
      <c r="GI1327" s="101">
        <f t="shared" si="629"/>
        <v>3</v>
      </c>
      <c r="GJ1327" s="101">
        <f t="shared" si="630"/>
        <v>0.40479999999999999</v>
      </c>
      <c r="GK1327" s="101">
        <f t="shared" si="631"/>
        <v>1</v>
      </c>
      <c r="GL1327" s="101">
        <f t="shared" si="632"/>
        <v>7</v>
      </c>
    </row>
    <row r="1328" spans="170:194" ht="16.5" x14ac:dyDescent="0.2">
      <c r="FN1328" s="101">
        <v>1323</v>
      </c>
      <c r="FO1328" s="101">
        <f t="shared" si="617"/>
        <v>38</v>
      </c>
      <c r="FP1328" s="101">
        <f t="shared" si="610"/>
        <v>17</v>
      </c>
      <c r="FQ1328" s="14">
        <f t="shared" si="611"/>
        <v>3</v>
      </c>
      <c r="FR1328" s="101" t="str">
        <f t="shared" si="618"/>
        <v>朱仙专属武器-魂珠-5 2级</v>
      </c>
      <c r="FS1328" s="101">
        <f t="shared" si="619"/>
        <v>5</v>
      </c>
      <c r="FT1328" s="101">
        <f t="shared" si="620"/>
        <v>2</v>
      </c>
      <c r="FU1328" s="101" t="str">
        <f t="shared" si="612"/>
        <v>金币</v>
      </c>
      <c r="FV1328" s="139">
        <f>IF($FT1328&gt;0,IF(INDEX($EI$6:$EI$77,$FO1328)&gt;=FV$3,ROUND(INDEX(EK$6:EK$77,$FO1328)*INDEX(卡牌消耗!$B$8:$F$8,FQ1328)/5,0)*5,""),"")</f>
        <v>1120</v>
      </c>
      <c r="FW1328" s="101" t="str">
        <f t="shared" si="613"/>
        <v>专属强化石2</v>
      </c>
      <c r="FX1328" s="101">
        <f t="shared" si="614"/>
        <v>3</v>
      </c>
      <c r="FY1328" s="101" t="str">
        <f t="shared" si="615"/>
        <v>专属强化石3</v>
      </c>
      <c r="FZ1328" s="101">
        <f t="shared" si="616"/>
        <v>2</v>
      </c>
      <c r="GA1328" s="101">
        <f t="shared" si="621"/>
        <v>0.1</v>
      </c>
      <c r="GB1328" s="101">
        <f t="shared" si="622"/>
        <v>1</v>
      </c>
      <c r="GC1328" s="101">
        <f t="shared" si="623"/>
        <v>15</v>
      </c>
      <c r="GD1328" s="101">
        <f t="shared" si="624"/>
        <v>0</v>
      </c>
      <c r="GE1328" s="101">
        <f t="shared" si="625"/>
        <v>1</v>
      </c>
      <c r="GF1328" s="101">
        <f t="shared" si="626"/>
        <v>3</v>
      </c>
      <c r="GG1328" s="101">
        <f t="shared" si="627"/>
        <v>5.0599999999999999E-2</v>
      </c>
      <c r="GH1328" s="101">
        <f t="shared" si="628"/>
        <v>1</v>
      </c>
      <c r="GI1328" s="101">
        <f t="shared" si="629"/>
        <v>7</v>
      </c>
      <c r="GJ1328" s="101">
        <f t="shared" si="630"/>
        <v>0.2024</v>
      </c>
      <c r="GK1328" s="101">
        <f t="shared" si="631"/>
        <v>1</v>
      </c>
      <c r="GL1328" s="101">
        <f t="shared" si="632"/>
        <v>15</v>
      </c>
    </row>
    <row r="1329" spans="170:194" ht="16.5" x14ac:dyDescent="0.2">
      <c r="FN1329" s="101">
        <v>1324</v>
      </c>
      <c r="FO1329" s="101">
        <f t="shared" si="617"/>
        <v>39</v>
      </c>
      <c r="FP1329" s="101">
        <f t="shared" si="610"/>
        <v>17</v>
      </c>
      <c r="FQ1329" s="14">
        <f t="shared" si="611"/>
        <v>3</v>
      </c>
      <c r="FR1329" s="101" t="str">
        <f t="shared" si="618"/>
        <v>朱仙专属武器-魂珠-5 3级</v>
      </c>
      <c r="FS1329" s="101">
        <f t="shared" si="619"/>
        <v>5</v>
      </c>
      <c r="FT1329" s="101">
        <f t="shared" si="620"/>
        <v>3</v>
      </c>
      <c r="FU1329" s="101" t="str">
        <f t="shared" si="612"/>
        <v>金币</v>
      </c>
      <c r="FV1329" s="139">
        <f>IF($FT1329&gt;0,IF(INDEX($EI$6:$EI$77,$FO1329)&gt;=FV$3,ROUND(INDEX(EK$6:EK$77,$FO1329)*INDEX(卡牌消耗!$B$8:$F$8,FQ1329)/5,0)*5,""),"")</f>
        <v>1245</v>
      </c>
      <c r="FW1329" s="101" t="str">
        <f t="shared" si="613"/>
        <v>专属强化石2</v>
      </c>
      <c r="FX1329" s="101">
        <f t="shared" si="614"/>
        <v>3</v>
      </c>
      <c r="FY1329" s="101" t="str">
        <f t="shared" si="615"/>
        <v>专属强化石3</v>
      </c>
      <c r="FZ1329" s="101">
        <f t="shared" si="616"/>
        <v>2</v>
      </c>
      <c r="GA1329" s="101">
        <f t="shared" si="621"/>
        <v>7.0000000000000007E-2</v>
      </c>
      <c r="GB1329" s="101">
        <f t="shared" si="622"/>
        <v>1</v>
      </c>
      <c r="GC1329" s="101">
        <f t="shared" si="623"/>
        <v>22</v>
      </c>
      <c r="GD1329" s="101">
        <f t="shared" si="624"/>
        <v>0</v>
      </c>
      <c r="GE1329" s="101">
        <f t="shared" si="625"/>
        <v>1</v>
      </c>
      <c r="GF1329" s="101">
        <f t="shared" si="626"/>
        <v>5</v>
      </c>
      <c r="GG1329" s="101">
        <f t="shared" si="627"/>
        <v>3.3700000000000001E-2</v>
      </c>
      <c r="GH1329" s="101">
        <f t="shared" si="628"/>
        <v>1</v>
      </c>
      <c r="GI1329" s="101">
        <f t="shared" si="629"/>
        <v>10</v>
      </c>
      <c r="GJ1329" s="101">
        <f t="shared" si="630"/>
        <v>0.13489999999999999</v>
      </c>
      <c r="GK1329" s="101">
        <f t="shared" si="631"/>
        <v>1</v>
      </c>
      <c r="GL1329" s="101">
        <f t="shared" si="632"/>
        <v>22</v>
      </c>
    </row>
    <row r="1330" spans="170:194" ht="16.5" x14ac:dyDescent="0.2">
      <c r="FN1330" s="101">
        <v>1325</v>
      </c>
      <c r="FO1330" s="101">
        <f t="shared" si="617"/>
        <v>40</v>
      </c>
      <c r="FP1330" s="101">
        <f t="shared" si="610"/>
        <v>17</v>
      </c>
      <c r="FQ1330" s="14">
        <f t="shared" si="611"/>
        <v>3</v>
      </c>
      <c r="FR1330" s="101" t="str">
        <f t="shared" si="618"/>
        <v>朱仙专属武器-魂珠-5 4级</v>
      </c>
      <c r="FS1330" s="101">
        <f t="shared" si="619"/>
        <v>5</v>
      </c>
      <c r="FT1330" s="101">
        <f t="shared" si="620"/>
        <v>4</v>
      </c>
      <c r="FU1330" s="101" t="str">
        <f t="shared" si="612"/>
        <v>金币</v>
      </c>
      <c r="FV1330" s="139">
        <f>IF($FT1330&gt;0,IF(INDEX($EI$6:$EI$77,$FO1330)&gt;=FV$3,ROUND(INDEX(EK$6:EK$77,$FO1330)*INDEX(卡牌消耗!$B$8:$F$8,FQ1330)/5,0)*5,""),"")</f>
        <v>1795</v>
      </c>
      <c r="FW1330" s="101" t="str">
        <f t="shared" si="613"/>
        <v>专属强化石2</v>
      </c>
      <c r="FX1330" s="101">
        <f t="shared" si="614"/>
        <v>5</v>
      </c>
      <c r="FY1330" s="101" t="str">
        <f t="shared" si="615"/>
        <v>专属强化石3</v>
      </c>
      <c r="FZ1330" s="101">
        <f t="shared" si="616"/>
        <v>3</v>
      </c>
      <c r="GA1330" s="101">
        <f t="shared" si="621"/>
        <v>0.06</v>
      </c>
      <c r="GB1330" s="101">
        <f t="shared" si="622"/>
        <v>1</v>
      </c>
      <c r="GC1330" s="101">
        <f t="shared" si="623"/>
        <v>25</v>
      </c>
      <c r="GD1330" s="101">
        <f t="shared" si="624"/>
        <v>0</v>
      </c>
      <c r="GE1330" s="101">
        <f t="shared" si="625"/>
        <v>1</v>
      </c>
      <c r="GF1330" s="101">
        <f t="shared" si="626"/>
        <v>6</v>
      </c>
      <c r="GG1330" s="101">
        <f t="shared" si="627"/>
        <v>3.04E-2</v>
      </c>
      <c r="GH1330" s="101">
        <f t="shared" si="628"/>
        <v>1</v>
      </c>
      <c r="GI1330" s="101">
        <f t="shared" si="629"/>
        <v>12</v>
      </c>
      <c r="GJ1330" s="101">
        <f t="shared" si="630"/>
        <v>0.12139999999999999</v>
      </c>
      <c r="GK1330" s="101">
        <f t="shared" si="631"/>
        <v>1</v>
      </c>
      <c r="GL1330" s="101">
        <f t="shared" si="632"/>
        <v>25</v>
      </c>
    </row>
    <row r="1331" spans="170:194" ht="16.5" x14ac:dyDescent="0.2">
      <c r="FN1331" s="101">
        <v>1326</v>
      </c>
      <c r="FO1331" s="101">
        <f t="shared" si="617"/>
        <v>41</v>
      </c>
      <c r="FP1331" s="101">
        <f t="shared" si="610"/>
        <v>17</v>
      </c>
      <c r="FQ1331" s="14">
        <f t="shared" si="611"/>
        <v>3</v>
      </c>
      <c r="FR1331" s="101" t="str">
        <f t="shared" si="618"/>
        <v>朱仙专属武器-魂珠-5 5级</v>
      </c>
      <c r="FS1331" s="101">
        <f t="shared" si="619"/>
        <v>5</v>
      </c>
      <c r="FT1331" s="101">
        <f t="shared" si="620"/>
        <v>5</v>
      </c>
      <c r="FU1331" s="101" t="str">
        <f t="shared" si="612"/>
        <v>金币</v>
      </c>
      <c r="FV1331" s="139">
        <f>IF($FT1331&gt;0,IF(INDEX($EI$6:$EI$77,$FO1331)&gt;=FV$3,ROUND(INDEX(EK$6:EK$77,$FO1331)*INDEX(卡牌消耗!$B$8:$F$8,FQ1331)/5,0)*5,""),"")</f>
        <v>1825</v>
      </c>
      <c r="FW1331" s="101" t="str">
        <f t="shared" si="613"/>
        <v>专属强化石2</v>
      </c>
      <c r="FX1331" s="101">
        <f t="shared" si="614"/>
        <v>5</v>
      </c>
      <c r="FY1331" s="101" t="str">
        <f t="shared" si="615"/>
        <v>专属强化石3</v>
      </c>
      <c r="FZ1331" s="101">
        <f t="shared" si="616"/>
        <v>3</v>
      </c>
      <c r="GA1331" s="101">
        <f t="shared" si="621"/>
        <v>0.04</v>
      </c>
      <c r="GB1331" s="101">
        <f t="shared" si="622"/>
        <v>1</v>
      </c>
      <c r="GC1331" s="101">
        <f t="shared" si="623"/>
        <v>40</v>
      </c>
      <c r="GD1331" s="101">
        <f t="shared" si="624"/>
        <v>0</v>
      </c>
      <c r="GE1331" s="101">
        <f t="shared" si="625"/>
        <v>1</v>
      </c>
      <c r="GF1331" s="101">
        <f t="shared" si="626"/>
        <v>9</v>
      </c>
      <c r="GG1331" s="101">
        <f t="shared" si="627"/>
        <v>1.9E-2</v>
      </c>
      <c r="GH1331" s="101">
        <f t="shared" si="628"/>
        <v>1</v>
      </c>
      <c r="GI1331" s="101">
        <f t="shared" si="629"/>
        <v>18</v>
      </c>
      <c r="GJ1331" s="101">
        <f t="shared" si="630"/>
        <v>7.5899999999999995E-2</v>
      </c>
      <c r="GK1331" s="101">
        <f t="shared" si="631"/>
        <v>1</v>
      </c>
      <c r="GL1331" s="101">
        <f t="shared" si="632"/>
        <v>40</v>
      </c>
    </row>
    <row r="1332" spans="170:194" ht="16.5" x14ac:dyDescent="0.2">
      <c r="FN1332" s="101">
        <v>1327</v>
      </c>
      <c r="FO1332" s="101">
        <f t="shared" si="617"/>
        <v>42</v>
      </c>
      <c r="FP1332" s="101">
        <f t="shared" si="610"/>
        <v>17</v>
      </c>
      <c r="FQ1332" s="14">
        <f t="shared" si="611"/>
        <v>3</v>
      </c>
      <c r="FR1332" s="101" t="str">
        <f t="shared" si="618"/>
        <v>朱仙专属武器-魂珠-5 6级</v>
      </c>
      <c r="FS1332" s="101">
        <f t="shared" si="619"/>
        <v>5</v>
      </c>
      <c r="FT1332" s="101">
        <f t="shared" si="620"/>
        <v>6</v>
      </c>
      <c r="FU1332" s="101" t="str">
        <f t="shared" si="612"/>
        <v>金币</v>
      </c>
      <c r="FV1332" s="139">
        <f>IF($FT1332&gt;0,IF(INDEX($EI$6:$EI$77,$FO1332)&gt;=FV$3,ROUND(INDEX(EK$6:EK$77,$FO1332)*INDEX(卡牌消耗!$B$8:$F$8,FQ1332)/5,0)*5,""),"")</f>
        <v>3020</v>
      </c>
      <c r="FW1332" s="101" t="str">
        <f t="shared" si="613"/>
        <v>专属强化石2</v>
      </c>
      <c r="FX1332" s="101">
        <f t="shared" si="614"/>
        <v>8</v>
      </c>
      <c r="FY1332" s="101" t="str">
        <f t="shared" si="615"/>
        <v>专属强化石3</v>
      </c>
      <c r="FZ1332" s="101">
        <f t="shared" si="616"/>
        <v>5</v>
      </c>
      <c r="GA1332" s="101">
        <f t="shared" si="621"/>
        <v>0.04</v>
      </c>
      <c r="GB1332" s="101">
        <f t="shared" si="622"/>
        <v>1</v>
      </c>
      <c r="GC1332" s="101">
        <f t="shared" si="623"/>
        <v>39</v>
      </c>
      <c r="GD1332" s="101">
        <f t="shared" si="624"/>
        <v>0</v>
      </c>
      <c r="GE1332" s="101">
        <f t="shared" si="625"/>
        <v>1</v>
      </c>
      <c r="GF1332" s="101">
        <f t="shared" si="626"/>
        <v>9</v>
      </c>
      <c r="GG1332" s="101">
        <f t="shared" si="627"/>
        <v>1.95E-2</v>
      </c>
      <c r="GH1332" s="101">
        <f t="shared" si="628"/>
        <v>1</v>
      </c>
      <c r="GI1332" s="101">
        <f t="shared" si="629"/>
        <v>18</v>
      </c>
      <c r="GJ1332" s="101">
        <f t="shared" si="630"/>
        <v>7.7799999999999994E-2</v>
      </c>
      <c r="GK1332" s="101">
        <f t="shared" si="631"/>
        <v>1</v>
      </c>
      <c r="GL1332" s="101">
        <f t="shared" si="632"/>
        <v>39</v>
      </c>
    </row>
    <row r="1333" spans="170:194" ht="16.5" x14ac:dyDescent="0.2">
      <c r="FN1333" s="101">
        <v>1328</v>
      </c>
      <c r="FO1333" s="101">
        <f t="shared" si="617"/>
        <v>43</v>
      </c>
      <c r="FP1333" s="101">
        <f t="shared" si="610"/>
        <v>17</v>
      </c>
      <c r="FQ1333" s="14">
        <f t="shared" si="611"/>
        <v>3</v>
      </c>
      <c r="FR1333" s="101" t="str">
        <f t="shared" si="618"/>
        <v>朱仙专属武器-魂珠-5 7级</v>
      </c>
      <c r="FS1333" s="101">
        <f t="shared" si="619"/>
        <v>5</v>
      </c>
      <c r="FT1333" s="101">
        <f t="shared" si="620"/>
        <v>7</v>
      </c>
      <c r="FU1333" s="101" t="str">
        <f t="shared" si="612"/>
        <v>金币</v>
      </c>
      <c r="FV1333" s="139">
        <f>IF($FT1333&gt;0,IF(INDEX($EI$6:$EI$77,$FO1333)&gt;=FV$3,ROUND(INDEX(EK$6:EK$77,$FO1333)*INDEX(卡牌消耗!$B$8:$F$8,FQ1333)/5,0)*5,""),"")</f>
        <v>3025</v>
      </c>
      <c r="FW1333" s="101" t="str">
        <f t="shared" si="613"/>
        <v>专属强化石2</v>
      </c>
      <c r="FX1333" s="101">
        <f t="shared" si="614"/>
        <v>8</v>
      </c>
      <c r="FY1333" s="101" t="str">
        <f t="shared" si="615"/>
        <v>专属强化石3</v>
      </c>
      <c r="FZ1333" s="101">
        <f t="shared" si="616"/>
        <v>5</v>
      </c>
      <c r="GA1333" s="101">
        <f t="shared" si="621"/>
        <v>0.02</v>
      </c>
      <c r="GB1333" s="101">
        <f t="shared" si="622"/>
        <v>1</v>
      </c>
      <c r="GC1333" s="101">
        <f t="shared" si="623"/>
        <v>62</v>
      </c>
      <c r="GD1333" s="101">
        <f t="shared" si="624"/>
        <v>0</v>
      </c>
      <c r="GE1333" s="101">
        <f t="shared" si="625"/>
        <v>1</v>
      </c>
      <c r="GF1333" s="101">
        <f t="shared" si="626"/>
        <v>15</v>
      </c>
      <c r="GG1333" s="101">
        <f t="shared" si="627"/>
        <v>1.2E-2</v>
      </c>
      <c r="GH1333" s="101">
        <f t="shared" si="628"/>
        <v>1</v>
      </c>
      <c r="GI1333" s="101">
        <f t="shared" si="629"/>
        <v>29</v>
      </c>
      <c r="GJ1333" s="101">
        <f t="shared" si="630"/>
        <v>4.82E-2</v>
      </c>
      <c r="GK1333" s="101">
        <f t="shared" si="631"/>
        <v>1</v>
      </c>
      <c r="GL1333" s="101">
        <f t="shared" si="632"/>
        <v>62</v>
      </c>
    </row>
    <row r="1334" spans="170:194" ht="16.5" x14ac:dyDescent="0.2">
      <c r="FN1334" s="101">
        <v>1329</v>
      </c>
      <c r="FO1334" s="101">
        <f t="shared" si="617"/>
        <v>44</v>
      </c>
      <c r="FP1334" s="101">
        <f t="shared" si="610"/>
        <v>17</v>
      </c>
      <c r="FQ1334" s="14">
        <f t="shared" si="611"/>
        <v>3</v>
      </c>
      <c r="FR1334" s="101" t="str">
        <f t="shared" si="618"/>
        <v>朱仙专属武器-魂珠-5 8级</v>
      </c>
      <c r="FS1334" s="101">
        <f t="shared" si="619"/>
        <v>5</v>
      </c>
      <c r="FT1334" s="101">
        <f t="shared" si="620"/>
        <v>8</v>
      </c>
      <c r="FU1334" s="101" t="str">
        <f t="shared" si="612"/>
        <v>金币</v>
      </c>
      <c r="FV1334" s="139">
        <f>IF($FT1334&gt;0,IF(INDEX($EI$6:$EI$77,$FO1334)&gt;=FV$3,ROUND(INDEX(EK$6:EK$77,$FO1334)*INDEX(卡牌消耗!$B$8:$F$8,FQ1334)/5,0)*5,""),"")</f>
        <v>4235</v>
      </c>
      <c r="FW1334" s="101" t="str">
        <f t="shared" si="613"/>
        <v>专属强化石2</v>
      </c>
      <c r="FX1334" s="101">
        <f t="shared" si="614"/>
        <v>11</v>
      </c>
      <c r="FY1334" s="101" t="str">
        <f t="shared" si="615"/>
        <v>专属强化石3</v>
      </c>
      <c r="FZ1334" s="101">
        <f t="shared" si="616"/>
        <v>7</v>
      </c>
      <c r="GA1334" s="101">
        <f t="shared" si="621"/>
        <v>0.02</v>
      </c>
      <c r="GB1334" s="101">
        <f t="shared" si="622"/>
        <v>1</v>
      </c>
      <c r="GC1334" s="101">
        <f t="shared" si="623"/>
        <v>72</v>
      </c>
      <c r="GD1334" s="101">
        <f t="shared" si="624"/>
        <v>0</v>
      </c>
      <c r="GE1334" s="101">
        <f t="shared" si="625"/>
        <v>1</v>
      </c>
      <c r="GF1334" s="101">
        <f t="shared" si="626"/>
        <v>17</v>
      </c>
      <c r="GG1334" s="101">
        <f t="shared" si="627"/>
        <v>1.04E-2</v>
      </c>
      <c r="GH1334" s="101">
        <f t="shared" si="628"/>
        <v>1</v>
      </c>
      <c r="GI1334" s="101">
        <f t="shared" si="629"/>
        <v>34</v>
      </c>
      <c r="GJ1334" s="101">
        <f t="shared" si="630"/>
        <v>4.1700000000000001E-2</v>
      </c>
      <c r="GK1334" s="101">
        <f t="shared" si="631"/>
        <v>1</v>
      </c>
      <c r="GL1334" s="101">
        <f t="shared" si="632"/>
        <v>72</v>
      </c>
    </row>
    <row r="1335" spans="170:194" ht="16.5" x14ac:dyDescent="0.2">
      <c r="FN1335" s="101">
        <v>1330</v>
      </c>
      <c r="FO1335" s="101">
        <f t="shared" si="617"/>
        <v>45</v>
      </c>
      <c r="FP1335" s="101">
        <f t="shared" si="610"/>
        <v>17</v>
      </c>
      <c r="FQ1335" s="14">
        <f t="shared" si="611"/>
        <v>3</v>
      </c>
      <c r="FR1335" s="101" t="str">
        <f t="shared" si="618"/>
        <v>朱仙专属武器-魂珠-5 9级</v>
      </c>
      <c r="FS1335" s="101">
        <f t="shared" si="619"/>
        <v>5</v>
      </c>
      <c r="FT1335" s="101">
        <f t="shared" si="620"/>
        <v>9</v>
      </c>
      <c r="FU1335" s="101" t="str">
        <f t="shared" si="612"/>
        <v>金币</v>
      </c>
      <c r="FV1335" s="139">
        <f>IF($FT1335&gt;0,IF(INDEX($EI$6:$EI$77,$FO1335)&gt;=FV$3,ROUND(INDEX(EK$6:EK$77,$FO1335)*INDEX(卡牌消耗!$B$8:$F$8,FQ1335)/5,0)*5,""),"")</f>
        <v>5445</v>
      </c>
      <c r="FW1335" s="101" t="str">
        <f t="shared" si="613"/>
        <v>专属强化石2</v>
      </c>
      <c r="FX1335" s="101">
        <f t="shared" si="614"/>
        <v>14</v>
      </c>
      <c r="FY1335" s="101" t="str">
        <f t="shared" si="615"/>
        <v>专属强化石3</v>
      </c>
      <c r="FZ1335" s="101">
        <f t="shared" si="616"/>
        <v>9</v>
      </c>
      <c r="GA1335" s="101">
        <f t="shared" si="621"/>
        <v>0.02</v>
      </c>
      <c r="GB1335" s="101">
        <f t="shared" si="622"/>
        <v>1</v>
      </c>
      <c r="GC1335" s="101">
        <f t="shared" si="623"/>
        <v>91</v>
      </c>
      <c r="GD1335" s="101">
        <f t="shared" si="624"/>
        <v>0</v>
      </c>
      <c r="GE1335" s="101">
        <f t="shared" si="625"/>
        <v>1</v>
      </c>
      <c r="GF1335" s="101">
        <f t="shared" si="626"/>
        <v>21</v>
      </c>
      <c r="GG1335" s="101">
        <f t="shared" si="627"/>
        <v>8.3000000000000001E-3</v>
      </c>
      <c r="GH1335" s="101">
        <f t="shared" si="628"/>
        <v>1</v>
      </c>
      <c r="GI1335" s="101">
        <f t="shared" si="629"/>
        <v>42</v>
      </c>
      <c r="GJ1335" s="101">
        <f t="shared" si="630"/>
        <v>3.3099999999999997E-2</v>
      </c>
      <c r="GK1335" s="101">
        <f t="shared" si="631"/>
        <v>1</v>
      </c>
      <c r="GL1335" s="101">
        <f t="shared" si="632"/>
        <v>91</v>
      </c>
    </row>
    <row r="1336" spans="170:194" ht="16.5" x14ac:dyDescent="0.2">
      <c r="FN1336" s="101">
        <v>1331</v>
      </c>
      <c r="FO1336" s="101">
        <f t="shared" si="617"/>
        <v>0</v>
      </c>
      <c r="FP1336" s="101">
        <f t="shared" si="610"/>
        <v>17</v>
      </c>
      <c r="FQ1336" s="14">
        <f t="shared" si="611"/>
        <v>3</v>
      </c>
      <c r="FR1336" s="101" t="str">
        <f t="shared" si="618"/>
        <v>朱仙专属武器-魂珠-6 0级</v>
      </c>
      <c r="FS1336" s="101">
        <f t="shared" si="619"/>
        <v>6</v>
      </c>
      <c r="FT1336" s="101">
        <f t="shared" si="620"/>
        <v>0</v>
      </c>
      <c r="FU1336" s="101" t="str">
        <f t="shared" si="612"/>
        <v/>
      </c>
      <c r="FV1336" s="139" t="str">
        <f>IF($FT1336&gt;0,IF(INDEX($EI$6:$EI$77,$FO1336)&gt;=FV$3,ROUND(INDEX(EK$6:EK$77,$FO1336)*INDEX(卡牌消耗!$B$8:$F$8,FQ1336)/5,0)*5,""),"")</f>
        <v/>
      </c>
      <c r="FW1336" s="101" t="str">
        <f t="shared" si="613"/>
        <v/>
      </c>
      <c r="FX1336" s="101" t="str">
        <f t="shared" si="614"/>
        <v/>
      </c>
      <c r="FY1336" s="101" t="str">
        <f t="shared" si="615"/>
        <v/>
      </c>
      <c r="FZ1336" s="101" t="str">
        <f t="shared" si="616"/>
        <v/>
      </c>
      <c r="GA1336" s="101" t="str">
        <f t="shared" si="621"/>
        <v/>
      </c>
      <c r="GB1336" s="101" t="str">
        <f t="shared" si="622"/>
        <v/>
      </c>
      <c r="GC1336" s="101" t="str">
        <f t="shared" si="623"/>
        <v/>
      </c>
      <c r="GD1336" s="101" t="str">
        <f t="shared" si="624"/>
        <v/>
      </c>
      <c r="GE1336" s="101" t="str">
        <f t="shared" si="625"/>
        <v/>
      </c>
      <c r="GF1336" s="101" t="str">
        <f t="shared" si="626"/>
        <v/>
      </c>
      <c r="GG1336" s="101" t="str">
        <f t="shared" si="627"/>
        <v/>
      </c>
      <c r="GH1336" s="101" t="str">
        <f t="shared" si="628"/>
        <v/>
      </c>
      <c r="GI1336" s="101" t="str">
        <f t="shared" si="629"/>
        <v/>
      </c>
      <c r="GJ1336" s="101" t="str">
        <f t="shared" si="630"/>
        <v/>
      </c>
      <c r="GK1336" s="101" t="str">
        <f t="shared" si="631"/>
        <v/>
      </c>
      <c r="GL1336" s="101" t="str">
        <f t="shared" si="632"/>
        <v/>
      </c>
    </row>
    <row r="1337" spans="170:194" ht="16.5" x14ac:dyDescent="0.2">
      <c r="FN1337" s="101">
        <v>1332</v>
      </c>
      <c r="FO1337" s="101">
        <f t="shared" si="617"/>
        <v>46</v>
      </c>
      <c r="FP1337" s="101">
        <f t="shared" si="610"/>
        <v>17</v>
      </c>
      <c r="FQ1337" s="14">
        <f t="shared" si="611"/>
        <v>3</v>
      </c>
      <c r="FR1337" s="101" t="str">
        <f t="shared" si="618"/>
        <v>朱仙专属武器-魂珠-6 1级</v>
      </c>
      <c r="FS1337" s="101">
        <f t="shared" si="619"/>
        <v>6</v>
      </c>
      <c r="FT1337" s="101">
        <f t="shared" si="620"/>
        <v>1</v>
      </c>
      <c r="FU1337" s="101" t="str">
        <f t="shared" si="612"/>
        <v>金币</v>
      </c>
      <c r="FV1337" s="139">
        <f>IF($FT1337&gt;0,IF(INDEX($EI$6:$EI$77,$FO1337)&gt;=FV$3,ROUND(INDEX(EK$6:EK$77,$FO1337)*INDEX(卡牌消耗!$B$8:$F$8,FQ1337)/5,0)*5,""),"")</f>
        <v>1455</v>
      </c>
      <c r="FW1337" s="101" t="str">
        <f t="shared" si="613"/>
        <v>专属强化石3</v>
      </c>
      <c r="FX1337" s="101">
        <f t="shared" si="614"/>
        <v>5</v>
      </c>
      <c r="FY1337" s="101" t="str">
        <f t="shared" si="615"/>
        <v>专属强化石4</v>
      </c>
      <c r="FZ1337" s="101">
        <f t="shared" si="616"/>
        <v>1</v>
      </c>
      <c r="GA1337" s="101">
        <f t="shared" si="621"/>
        <v>0.17</v>
      </c>
      <c r="GB1337" s="101">
        <f t="shared" si="622"/>
        <v>1</v>
      </c>
      <c r="GC1337" s="101">
        <f t="shared" si="623"/>
        <v>9</v>
      </c>
      <c r="GD1337" s="101">
        <f t="shared" si="624"/>
        <v>0</v>
      </c>
      <c r="GE1337" s="101">
        <f t="shared" si="625"/>
        <v>1</v>
      </c>
      <c r="GF1337" s="101">
        <f t="shared" si="626"/>
        <v>2</v>
      </c>
      <c r="GG1337" s="101">
        <f t="shared" si="627"/>
        <v>8.2900000000000001E-2</v>
      </c>
      <c r="GH1337" s="101">
        <f t="shared" si="628"/>
        <v>1</v>
      </c>
      <c r="GI1337" s="101">
        <f t="shared" si="629"/>
        <v>4</v>
      </c>
      <c r="GJ1337" s="101">
        <f t="shared" si="630"/>
        <v>0.33139999999999997</v>
      </c>
      <c r="GK1337" s="101">
        <f t="shared" si="631"/>
        <v>1</v>
      </c>
      <c r="GL1337" s="101">
        <f t="shared" si="632"/>
        <v>9</v>
      </c>
    </row>
    <row r="1338" spans="170:194" ht="16.5" x14ac:dyDescent="0.2">
      <c r="FN1338" s="101">
        <v>1333</v>
      </c>
      <c r="FO1338" s="101">
        <f t="shared" si="617"/>
        <v>47</v>
      </c>
      <c r="FP1338" s="101">
        <f t="shared" si="610"/>
        <v>17</v>
      </c>
      <c r="FQ1338" s="14">
        <f t="shared" si="611"/>
        <v>3</v>
      </c>
      <c r="FR1338" s="101" t="str">
        <f t="shared" si="618"/>
        <v>朱仙专属武器-魂珠-6 2级</v>
      </c>
      <c r="FS1338" s="101">
        <f t="shared" si="619"/>
        <v>6</v>
      </c>
      <c r="FT1338" s="101">
        <f t="shared" si="620"/>
        <v>2</v>
      </c>
      <c r="FU1338" s="101" t="str">
        <f t="shared" si="612"/>
        <v>金币</v>
      </c>
      <c r="FV1338" s="139">
        <f>IF($FT1338&gt;0,IF(INDEX($EI$6:$EI$77,$FO1338)&gt;=FV$3,ROUND(INDEX(EK$6:EK$77,$FO1338)*INDEX(卡牌消耗!$B$8:$F$8,FQ1338)/5,0)*5,""),"")</f>
        <v>2180</v>
      </c>
      <c r="FW1338" s="101" t="str">
        <f t="shared" si="613"/>
        <v>专属强化石3</v>
      </c>
      <c r="FX1338" s="101">
        <f t="shared" si="614"/>
        <v>10</v>
      </c>
      <c r="FY1338" s="101" t="str">
        <f t="shared" si="615"/>
        <v>专属强化石4</v>
      </c>
      <c r="FZ1338" s="101">
        <f t="shared" si="616"/>
        <v>2</v>
      </c>
      <c r="GA1338" s="101">
        <f t="shared" si="621"/>
        <v>0.17</v>
      </c>
      <c r="GB1338" s="101">
        <f t="shared" si="622"/>
        <v>1</v>
      </c>
      <c r="GC1338" s="101">
        <f t="shared" si="623"/>
        <v>9</v>
      </c>
      <c r="GD1338" s="101">
        <f t="shared" si="624"/>
        <v>0</v>
      </c>
      <c r="GE1338" s="101">
        <f t="shared" si="625"/>
        <v>1</v>
      </c>
      <c r="GF1338" s="101">
        <f t="shared" si="626"/>
        <v>2</v>
      </c>
      <c r="GG1338" s="101">
        <f t="shared" si="627"/>
        <v>8.2900000000000001E-2</v>
      </c>
      <c r="GH1338" s="101">
        <f t="shared" si="628"/>
        <v>1</v>
      </c>
      <c r="GI1338" s="101">
        <f t="shared" si="629"/>
        <v>4</v>
      </c>
      <c r="GJ1338" s="101">
        <f t="shared" si="630"/>
        <v>0.33139999999999997</v>
      </c>
      <c r="GK1338" s="101">
        <f t="shared" si="631"/>
        <v>1</v>
      </c>
      <c r="GL1338" s="101">
        <f t="shared" si="632"/>
        <v>9</v>
      </c>
    </row>
    <row r="1339" spans="170:194" ht="16.5" x14ac:dyDescent="0.2">
      <c r="FN1339" s="101">
        <v>1334</v>
      </c>
      <c r="FO1339" s="101">
        <f t="shared" si="617"/>
        <v>48</v>
      </c>
      <c r="FP1339" s="101">
        <f t="shared" si="610"/>
        <v>17</v>
      </c>
      <c r="FQ1339" s="14">
        <f t="shared" si="611"/>
        <v>3</v>
      </c>
      <c r="FR1339" s="101" t="str">
        <f t="shared" si="618"/>
        <v>朱仙专属武器-魂珠-6 3级</v>
      </c>
      <c r="FS1339" s="101">
        <f t="shared" si="619"/>
        <v>6</v>
      </c>
      <c r="FT1339" s="101">
        <f t="shared" si="620"/>
        <v>3</v>
      </c>
      <c r="FU1339" s="101" t="str">
        <f t="shared" si="612"/>
        <v>金币</v>
      </c>
      <c r="FV1339" s="139">
        <f>IF($FT1339&gt;0,IF(INDEX($EI$6:$EI$77,$FO1339)&gt;=FV$3,ROUND(INDEX(EK$6:EK$77,$FO1339)*INDEX(卡牌消耗!$B$8:$F$8,FQ1339)/5,0)*5,""),"")</f>
        <v>2425</v>
      </c>
      <c r="FW1339" s="101" t="str">
        <f t="shared" si="613"/>
        <v>专属强化石3</v>
      </c>
      <c r="FX1339" s="101">
        <f t="shared" si="614"/>
        <v>10</v>
      </c>
      <c r="FY1339" s="101" t="str">
        <f t="shared" si="615"/>
        <v>专属强化石4</v>
      </c>
      <c r="FZ1339" s="101">
        <f t="shared" si="616"/>
        <v>2</v>
      </c>
      <c r="GA1339" s="101">
        <f t="shared" si="621"/>
        <v>0.11</v>
      </c>
      <c r="GB1339" s="101">
        <f t="shared" si="622"/>
        <v>1</v>
      </c>
      <c r="GC1339" s="101">
        <f t="shared" si="623"/>
        <v>14</v>
      </c>
      <c r="GD1339" s="101">
        <f t="shared" si="624"/>
        <v>0</v>
      </c>
      <c r="GE1339" s="101">
        <f t="shared" si="625"/>
        <v>1</v>
      </c>
      <c r="GF1339" s="101">
        <f t="shared" si="626"/>
        <v>3</v>
      </c>
      <c r="GG1339" s="101">
        <f t="shared" si="627"/>
        <v>5.5199999999999999E-2</v>
      </c>
      <c r="GH1339" s="101">
        <f t="shared" si="628"/>
        <v>1</v>
      </c>
      <c r="GI1339" s="101">
        <f t="shared" si="629"/>
        <v>6</v>
      </c>
      <c r="GJ1339" s="101">
        <f t="shared" si="630"/>
        <v>0.221</v>
      </c>
      <c r="GK1339" s="101">
        <f t="shared" si="631"/>
        <v>1</v>
      </c>
      <c r="GL1339" s="101">
        <f t="shared" si="632"/>
        <v>14</v>
      </c>
    </row>
    <row r="1340" spans="170:194" ht="16.5" x14ac:dyDescent="0.2">
      <c r="FN1340" s="101">
        <v>1335</v>
      </c>
      <c r="FO1340" s="101">
        <f t="shared" si="617"/>
        <v>49</v>
      </c>
      <c r="FP1340" s="101">
        <f t="shared" si="610"/>
        <v>17</v>
      </c>
      <c r="FQ1340" s="14">
        <f t="shared" si="611"/>
        <v>3</v>
      </c>
      <c r="FR1340" s="101" t="str">
        <f t="shared" si="618"/>
        <v>朱仙专属武器-魂珠-6 4级</v>
      </c>
      <c r="FS1340" s="101">
        <f t="shared" si="619"/>
        <v>6</v>
      </c>
      <c r="FT1340" s="101">
        <f t="shared" si="620"/>
        <v>4</v>
      </c>
      <c r="FU1340" s="101" t="str">
        <f t="shared" si="612"/>
        <v>金币</v>
      </c>
      <c r="FV1340" s="139">
        <f>IF($FT1340&gt;0,IF(INDEX($EI$6:$EI$77,$FO1340)&gt;=FV$3,ROUND(INDEX(EK$6:EK$77,$FO1340)*INDEX(卡牌消耗!$B$8:$F$8,FQ1340)/5,0)*5,""),"")</f>
        <v>3490</v>
      </c>
      <c r="FW1340" s="101" t="str">
        <f t="shared" si="613"/>
        <v>专属强化石3</v>
      </c>
      <c r="FX1340" s="101">
        <f t="shared" si="614"/>
        <v>15</v>
      </c>
      <c r="FY1340" s="101" t="str">
        <f t="shared" si="615"/>
        <v>专属强化石4</v>
      </c>
      <c r="FZ1340" s="101">
        <f t="shared" si="616"/>
        <v>3</v>
      </c>
      <c r="GA1340" s="101">
        <f t="shared" si="621"/>
        <v>0.1</v>
      </c>
      <c r="GB1340" s="101">
        <f t="shared" si="622"/>
        <v>1</v>
      </c>
      <c r="GC1340" s="101">
        <f t="shared" si="623"/>
        <v>15</v>
      </c>
      <c r="GD1340" s="101">
        <f t="shared" si="624"/>
        <v>0</v>
      </c>
      <c r="GE1340" s="101">
        <f t="shared" si="625"/>
        <v>1</v>
      </c>
      <c r="GF1340" s="101">
        <f t="shared" si="626"/>
        <v>4</v>
      </c>
      <c r="GG1340" s="101">
        <f t="shared" si="627"/>
        <v>4.9700000000000001E-2</v>
      </c>
      <c r="GH1340" s="101">
        <f t="shared" si="628"/>
        <v>1</v>
      </c>
      <c r="GI1340" s="101">
        <f t="shared" si="629"/>
        <v>7</v>
      </c>
      <c r="GJ1340" s="101">
        <f t="shared" si="630"/>
        <v>0.19889999999999999</v>
      </c>
      <c r="GK1340" s="101">
        <f t="shared" si="631"/>
        <v>1</v>
      </c>
      <c r="GL1340" s="101">
        <f t="shared" si="632"/>
        <v>15</v>
      </c>
    </row>
    <row r="1341" spans="170:194" ht="16.5" x14ac:dyDescent="0.2">
      <c r="FN1341" s="101">
        <v>1336</v>
      </c>
      <c r="FO1341" s="101">
        <f t="shared" si="617"/>
        <v>50</v>
      </c>
      <c r="FP1341" s="101">
        <f t="shared" si="610"/>
        <v>17</v>
      </c>
      <c r="FQ1341" s="14">
        <f t="shared" si="611"/>
        <v>3</v>
      </c>
      <c r="FR1341" s="101" t="str">
        <f t="shared" si="618"/>
        <v>朱仙专属武器-魂珠-6 5级</v>
      </c>
      <c r="FS1341" s="101">
        <f t="shared" si="619"/>
        <v>6</v>
      </c>
      <c r="FT1341" s="101">
        <f t="shared" si="620"/>
        <v>5</v>
      </c>
      <c r="FU1341" s="101" t="str">
        <f t="shared" si="612"/>
        <v>金币</v>
      </c>
      <c r="FV1341" s="139">
        <f>IF($FT1341&gt;0,IF(INDEX($EI$6:$EI$77,$FO1341)&gt;=FV$3,ROUND(INDEX(EK$6:EK$77,$FO1341)*INDEX(卡牌消耗!$B$8:$F$8,FQ1341)/5,0)*5,""),"")</f>
        <v>3545</v>
      </c>
      <c r="FW1341" s="101" t="str">
        <f t="shared" si="613"/>
        <v>专属强化石3</v>
      </c>
      <c r="FX1341" s="101">
        <f t="shared" si="614"/>
        <v>15</v>
      </c>
      <c r="FY1341" s="101" t="str">
        <f t="shared" si="615"/>
        <v>专属强化石4</v>
      </c>
      <c r="FZ1341" s="101">
        <f t="shared" si="616"/>
        <v>3</v>
      </c>
      <c r="GA1341" s="101">
        <f t="shared" si="621"/>
        <v>0.06</v>
      </c>
      <c r="GB1341" s="101">
        <f t="shared" si="622"/>
        <v>1</v>
      </c>
      <c r="GC1341" s="101">
        <f t="shared" si="623"/>
        <v>24</v>
      </c>
      <c r="GD1341" s="101">
        <f t="shared" si="624"/>
        <v>0</v>
      </c>
      <c r="GE1341" s="101">
        <f t="shared" si="625"/>
        <v>1</v>
      </c>
      <c r="GF1341" s="101">
        <f t="shared" si="626"/>
        <v>6</v>
      </c>
      <c r="GG1341" s="101">
        <f t="shared" si="627"/>
        <v>3.1099999999999999E-2</v>
      </c>
      <c r="GH1341" s="101">
        <f t="shared" si="628"/>
        <v>1</v>
      </c>
      <c r="GI1341" s="101">
        <f t="shared" si="629"/>
        <v>11</v>
      </c>
      <c r="GJ1341" s="101">
        <f t="shared" si="630"/>
        <v>0.12429999999999999</v>
      </c>
      <c r="GK1341" s="101">
        <f t="shared" si="631"/>
        <v>1</v>
      </c>
      <c r="GL1341" s="101">
        <f t="shared" si="632"/>
        <v>24</v>
      </c>
    </row>
    <row r="1342" spans="170:194" ht="16.5" x14ac:dyDescent="0.2">
      <c r="FN1342" s="101">
        <v>1337</v>
      </c>
      <c r="FO1342" s="101">
        <f t="shared" si="617"/>
        <v>51</v>
      </c>
      <c r="FP1342" s="101">
        <f t="shared" si="610"/>
        <v>17</v>
      </c>
      <c r="FQ1342" s="14">
        <f t="shared" si="611"/>
        <v>3</v>
      </c>
      <c r="FR1342" s="101" t="str">
        <f t="shared" si="618"/>
        <v>朱仙专属武器-魂珠-6 6级</v>
      </c>
      <c r="FS1342" s="101">
        <f t="shared" si="619"/>
        <v>6</v>
      </c>
      <c r="FT1342" s="101">
        <f t="shared" si="620"/>
        <v>6</v>
      </c>
      <c r="FU1342" s="101" t="str">
        <f t="shared" si="612"/>
        <v>金币</v>
      </c>
      <c r="FV1342" s="139">
        <f>IF($FT1342&gt;0,IF(INDEX($EI$6:$EI$77,$FO1342)&gt;=FV$3,ROUND(INDEX(EK$6:EK$77,$FO1342)*INDEX(卡牌消耗!$B$8:$F$8,FQ1342)/5,0)*5,""),"")</f>
        <v>4700</v>
      </c>
      <c r="FW1342" s="101" t="str">
        <f t="shared" si="613"/>
        <v>专属强化石3</v>
      </c>
      <c r="FX1342" s="101">
        <f t="shared" si="614"/>
        <v>20</v>
      </c>
      <c r="FY1342" s="101" t="str">
        <f t="shared" si="615"/>
        <v>专属强化石4</v>
      </c>
      <c r="FZ1342" s="101">
        <f t="shared" si="616"/>
        <v>4</v>
      </c>
      <c r="GA1342" s="101">
        <f t="shared" si="621"/>
        <v>0.05</v>
      </c>
      <c r="GB1342" s="101">
        <f t="shared" si="622"/>
        <v>1</v>
      </c>
      <c r="GC1342" s="101">
        <f t="shared" si="623"/>
        <v>29</v>
      </c>
      <c r="GD1342" s="101">
        <f t="shared" si="624"/>
        <v>0</v>
      </c>
      <c r="GE1342" s="101">
        <f t="shared" si="625"/>
        <v>1</v>
      </c>
      <c r="GF1342" s="101">
        <f t="shared" si="626"/>
        <v>7</v>
      </c>
      <c r="GG1342" s="101">
        <f t="shared" si="627"/>
        <v>2.5499999999999998E-2</v>
      </c>
      <c r="GH1342" s="101">
        <f t="shared" si="628"/>
        <v>1</v>
      </c>
      <c r="GI1342" s="101">
        <f t="shared" si="629"/>
        <v>14</v>
      </c>
      <c r="GJ1342" s="101">
        <f t="shared" si="630"/>
        <v>0.10199999999999999</v>
      </c>
      <c r="GK1342" s="101">
        <f t="shared" si="631"/>
        <v>1</v>
      </c>
      <c r="GL1342" s="101">
        <f t="shared" si="632"/>
        <v>29</v>
      </c>
    </row>
    <row r="1343" spans="170:194" ht="16.5" x14ac:dyDescent="0.2">
      <c r="FN1343" s="101">
        <v>1338</v>
      </c>
      <c r="FO1343" s="101">
        <f t="shared" si="617"/>
        <v>52</v>
      </c>
      <c r="FP1343" s="101">
        <f t="shared" si="610"/>
        <v>17</v>
      </c>
      <c r="FQ1343" s="14">
        <f t="shared" si="611"/>
        <v>3</v>
      </c>
      <c r="FR1343" s="101" t="str">
        <f t="shared" si="618"/>
        <v>朱仙专属武器-魂珠-6 7级</v>
      </c>
      <c r="FS1343" s="101">
        <f t="shared" si="619"/>
        <v>6</v>
      </c>
      <c r="FT1343" s="101">
        <f t="shared" si="620"/>
        <v>7</v>
      </c>
      <c r="FU1343" s="101" t="str">
        <f t="shared" si="612"/>
        <v>金币</v>
      </c>
      <c r="FV1343" s="139">
        <f>IF($FT1343&gt;0,IF(INDEX($EI$6:$EI$77,$FO1343)&gt;=FV$3,ROUND(INDEX(EK$6:EK$77,$FO1343)*INDEX(卡牌消耗!$B$8:$F$8,FQ1343)/5,0)*5,""),"")</f>
        <v>5885</v>
      </c>
      <c r="FW1343" s="101" t="str">
        <f t="shared" si="613"/>
        <v>专属强化石3</v>
      </c>
      <c r="FX1343" s="101">
        <f t="shared" si="614"/>
        <v>25</v>
      </c>
      <c r="FY1343" s="101" t="str">
        <f t="shared" si="615"/>
        <v>专属强化石4</v>
      </c>
      <c r="FZ1343" s="101">
        <f t="shared" si="616"/>
        <v>5</v>
      </c>
      <c r="GA1343" s="101">
        <f t="shared" si="621"/>
        <v>0.04</v>
      </c>
      <c r="GB1343" s="101">
        <f t="shared" si="622"/>
        <v>1</v>
      </c>
      <c r="GC1343" s="101">
        <f t="shared" si="623"/>
        <v>38</v>
      </c>
      <c r="GD1343" s="101">
        <f t="shared" si="624"/>
        <v>0</v>
      </c>
      <c r="GE1343" s="101">
        <f t="shared" si="625"/>
        <v>1</v>
      </c>
      <c r="GF1343" s="101">
        <f t="shared" si="626"/>
        <v>9</v>
      </c>
      <c r="GG1343" s="101">
        <f t="shared" si="627"/>
        <v>1.9699999999999999E-2</v>
      </c>
      <c r="GH1343" s="101">
        <f t="shared" si="628"/>
        <v>1</v>
      </c>
      <c r="GI1343" s="101">
        <f t="shared" si="629"/>
        <v>18</v>
      </c>
      <c r="GJ1343" s="101">
        <f t="shared" si="630"/>
        <v>7.8899999999999998E-2</v>
      </c>
      <c r="GK1343" s="101">
        <f t="shared" si="631"/>
        <v>1</v>
      </c>
      <c r="GL1343" s="101">
        <f t="shared" si="632"/>
        <v>38</v>
      </c>
    </row>
    <row r="1344" spans="170:194" ht="16.5" x14ac:dyDescent="0.2">
      <c r="FN1344" s="101">
        <v>1339</v>
      </c>
      <c r="FO1344" s="101">
        <f t="shared" si="617"/>
        <v>53</v>
      </c>
      <c r="FP1344" s="101">
        <f t="shared" si="610"/>
        <v>17</v>
      </c>
      <c r="FQ1344" s="14">
        <f t="shared" si="611"/>
        <v>3</v>
      </c>
      <c r="FR1344" s="101" t="str">
        <f t="shared" si="618"/>
        <v>朱仙专属武器-魂珠-6 8级</v>
      </c>
      <c r="FS1344" s="101">
        <f t="shared" si="619"/>
        <v>6</v>
      </c>
      <c r="FT1344" s="101">
        <f t="shared" si="620"/>
        <v>8</v>
      </c>
      <c r="FU1344" s="101" t="str">
        <f t="shared" si="612"/>
        <v>金币</v>
      </c>
      <c r="FV1344" s="139">
        <f>IF($FT1344&gt;0,IF(INDEX($EI$6:$EI$77,$FO1344)&gt;=FV$3,ROUND(INDEX(EK$6:EK$77,$FO1344)*INDEX(卡牌消耗!$B$8:$F$8,FQ1344)/5,0)*5,""),"")</f>
        <v>8235</v>
      </c>
      <c r="FW1344" s="101" t="str">
        <f t="shared" si="613"/>
        <v>专属强化石3</v>
      </c>
      <c r="FX1344" s="101">
        <f t="shared" si="614"/>
        <v>35</v>
      </c>
      <c r="FY1344" s="101" t="str">
        <f t="shared" si="615"/>
        <v>专属强化石4</v>
      </c>
      <c r="FZ1344" s="101">
        <f t="shared" si="616"/>
        <v>7</v>
      </c>
      <c r="GA1344" s="101">
        <f t="shared" si="621"/>
        <v>0.03</v>
      </c>
      <c r="GB1344" s="101">
        <f t="shared" si="622"/>
        <v>1</v>
      </c>
      <c r="GC1344" s="101">
        <f t="shared" si="623"/>
        <v>44</v>
      </c>
      <c r="GD1344" s="101">
        <f t="shared" si="624"/>
        <v>0</v>
      </c>
      <c r="GE1344" s="101">
        <f t="shared" si="625"/>
        <v>1</v>
      </c>
      <c r="GF1344" s="101">
        <f t="shared" si="626"/>
        <v>10</v>
      </c>
      <c r="GG1344" s="101">
        <f t="shared" si="627"/>
        <v>1.7100000000000001E-2</v>
      </c>
      <c r="GH1344" s="101">
        <f t="shared" si="628"/>
        <v>1</v>
      </c>
      <c r="GI1344" s="101">
        <f t="shared" si="629"/>
        <v>21</v>
      </c>
      <c r="GJ1344" s="101">
        <f t="shared" si="630"/>
        <v>6.8199999999999997E-2</v>
      </c>
      <c r="GK1344" s="101">
        <f t="shared" si="631"/>
        <v>1</v>
      </c>
      <c r="GL1344" s="101">
        <f t="shared" si="632"/>
        <v>44</v>
      </c>
    </row>
    <row r="1345" spans="170:194" ht="16.5" x14ac:dyDescent="0.2">
      <c r="FN1345" s="101">
        <v>1340</v>
      </c>
      <c r="FO1345" s="101">
        <f t="shared" si="617"/>
        <v>54</v>
      </c>
      <c r="FP1345" s="101">
        <f t="shared" si="610"/>
        <v>17</v>
      </c>
      <c r="FQ1345" s="14">
        <f t="shared" si="611"/>
        <v>3</v>
      </c>
      <c r="FR1345" s="101" t="str">
        <f t="shared" si="618"/>
        <v>朱仙专属武器-魂珠-6 9级</v>
      </c>
      <c r="FS1345" s="101">
        <f t="shared" si="619"/>
        <v>6</v>
      </c>
      <c r="FT1345" s="101">
        <f t="shared" si="620"/>
        <v>9</v>
      </c>
      <c r="FU1345" s="101" t="str">
        <f t="shared" si="612"/>
        <v>金币</v>
      </c>
      <c r="FV1345" s="139">
        <f>IF($FT1345&gt;0,IF(INDEX($EI$6:$EI$77,$FO1345)&gt;=FV$3,ROUND(INDEX(EK$6:EK$77,$FO1345)*INDEX(卡牌消耗!$B$8:$F$8,FQ1345)/5,0)*5,""),"")</f>
        <v>9410</v>
      </c>
      <c r="FW1345" s="101" t="str">
        <f t="shared" si="613"/>
        <v>专属强化石3</v>
      </c>
      <c r="FX1345" s="101">
        <f t="shared" si="614"/>
        <v>40</v>
      </c>
      <c r="FY1345" s="101" t="str">
        <f t="shared" si="615"/>
        <v>专属强化石4</v>
      </c>
      <c r="FZ1345" s="101">
        <f t="shared" si="616"/>
        <v>8</v>
      </c>
      <c r="GA1345" s="101">
        <f t="shared" si="621"/>
        <v>0.02</v>
      </c>
      <c r="GB1345" s="101">
        <f t="shared" si="622"/>
        <v>1</v>
      </c>
      <c r="GC1345" s="101">
        <f t="shared" si="623"/>
        <v>62</v>
      </c>
      <c r="GD1345" s="101">
        <f t="shared" si="624"/>
        <v>0</v>
      </c>
      <c r="GE1345" s="101">
        <f t="shared" si="625"/>
        <v>1</v>
      </c>
      <c r="GF1345" s="101">
        <f t="shared" si="626"/>
        <v>15</v>
      </c>
      <c r="GG1345" s="101">
        <f t="shared" si="627"/>
        <v>1.21E-2</v>
      </c>
      <c r="GH1345" s="101">
        <f t="shared" si="628"/>
        <v>1</v>
      </c>
      <c r="GI1345" s="101">
        <f t="shared" si="629"/>
        <v>29</v>
      </c>
      <c r="GJ1345" s="101">
        <f t="shared" si="630"/>
        <v>4.82E-2</v>
      </c>
      <c r="GK1345" s="101">
        <f t="shared" si="631"/>
        <v>1</v>
      </c>
      <c r="GL1345" s="101">
        <f t="shared" si="632"/>
        <v>62</v>
      </c>
    </row>
    <row r="1346" spans="170:194" ht="16.5" x14ac:dyDescent="0.2">
      <c r="FN1346" s="101">
        <v>1341</v>
      </c>
      <c r="FO1346" s="101">
        <f t="shared" si="617"/>
        <v>0</v>
      </c>
      <c r="FP1346" s="101">
        <f t="shared" si="610"/>
        <v>17</v>
      </c>
      <c r="FQ1346" s="14">
        <f t="shared" si="611"/>
        <v>3</v>
      </c>
      <c r="FR1346" s="101" t="str">
        <f t="shared" si="618"/>
        <v>朱仙专属武器-魂珠-7 0级</v>
      </c>
      <c r="FS1346" s="101">
        <f t="shared" si="619"/>
        <v>7</v>
      </c>
      <c r="FT1346" s="101">
        <f t="shared" si="620"/>
        <v>0</v>
      </c>
      <c r="FU1346" s="101" t="str">
        <f t="shared" si="612"/>
        <v/>
      </c>
      <c r="FV1346" s="139" t="str">
        <f>IF($FT1346&gt;0,IF(INDEX($EI$6:$EI$77,$FO1346)&gt;=FV$3,ROUND(INDEX(EK$6:EK$77,$FO1346)*INDEX(卡牌消耗!$B$8:$F$8,FQ1346)/5,0)*5,""),"")</f>
        <v/>
      </c>
      <c r="FW1346" s="101" t="str">
        <f t="shared" si="613"/>
        <v/>
      </c>
      <c r="FX1346" s="101" t="str">
        <f t="shared" si="614"/>
        <v/>
      </c>
      <c r="FY1346" s="101" t="str">
        <f t="shared" si="615"/>
        <v/>
      </c>
      <c r="FZ1346" s="101" t="str">
        <f t="shared" si="616"/>
        <v/>
      </c>
      <c r="GA1346" s="101" t="str">
        <f t="shared" si="621"/>
        <v/>
      </c>
      <c r="GB1346" s="101" t="str">
        <f t="shared" si="622"/>
        <v/>
      </c>
      <c r="GC1346" s="101" t="str">
        <f t="shared" si="623"/>
        <v/>
      </c>
      <c r="GD1346" s="101" t="str">
        <f t="shared" si="624"/>
        <v/>
      </c>
      <c r="GE1346" s="101" t="str">
        <f t="shared" si="625"/>
        <v/>
      </c>
      <c r="GF1346" s="101" t="str">
        <f t="shared" si="626"/>
        <v/>
      </c>
      <c r="GG1346" s="101" t="str">
        <f t="shared" si="627"/>
        <v/>
      </c>
      <c r="GH1346" s="101" t="str">
        <f t="shared" si="628"/>
        <v/>
      </c>
      <c r="GI1346" s="101" t="str">
        <f t="shared" si="629"/>
        <v/>
      </c>
      <c r="GJ1346" s="101" t="str">
        <f t="shared" si="630"/>
        <v/>
      </c>
      <c r="GK1346" s="101" t="str">
        <f t="shared" si="631"/>
        <v/>
      </c>
      <c r="GL1346" s="101" t="str">
        <f t="shared" si="632"/>
        <v/>
      </c>
    </row>
    <row r="1347" spans="170:194" ht="16.5" x14ac:dyDescent="0.2">
      <c r="FN1347" s="101">
        <v>1342</v>
      </c>
      <c r="FO1347" s="101">
        <f t="shared" si="617"/>
        <v>55</v>
      </c>
      <c r="FP1347" s="101">
        <f t="shared" si="610"/>
        <v>17</v>
      </c>
      <c r="FQ1347" s="14">
        <f t="shared" si="611"/>
        <v>3</v>
      </c>
      <c r="FR1347" s="101" t="str">
        <f t="shared" si="618"/>
        <v>朱仙专属武器-魂珠-7 1级</v>
      </c>
      <c r="FS1347" s="101">
        <f t="shared" si="619"/>
        <v>7</v>
      </c>
      <c r="FT1347" s="101">
        <f t="shared" si="620"/>
        <v>1</v>
      </c>
      <c r="FU1347" s="101" t="str">
        <f t="shared" si="612"/>
        <v>金币</v>
      </c>
      <c r="FV1347" s="139">
        <f>IF($FT1347&gt;0,IF(INDEX($EI$6:$EI$77,$FO1347)&gt;=FV$3,ROUND(INDEX(EK$6:EK$77,$FO1347)*INDEX(卡牌消耗!$B$8:$F$8,FQ1347)/5,0)*5,""),"")</f>
        <v>12090</v>
      </c>
      <c r="FW1347" s="101" t="str">
        <f t="shared" si="613"/>
        <v>专属强化石3</v>
      </c>
      <c r="FX1347" s="101">
        <f t="shared" si="614"/>
        <v>6</v>
      </c>
      <c r="FY1347" s="101" t="str">
        <f t="shared" si="615"/>
        <v>专属强化石4</v>
      </c>
      <c r="FZ1347" s="101">
        <f t="shared" si="616"/>
        <v>2</v>
      </c>
      <c r="GA1347" s="101">
        <f t="shared" si="621"/>
        <v>0.2</v>
      </c>
      <c r="GB1347" s="101">
        <f t="shared" si="622"/>
        <v>1</v>
      </c>
      <c r="GC1347" s="101">
        <f t="shared" si="623"/>
        <v>8</v>
      </c>
      <c r="GD1347" s="101">
        <f t="shared" si="624"/>
        <v>0</v>
      </c>
      <c r="GE1347" s="101">
        <f t="shared" si="625"/>
        <v>1</v>
      </c>
      <c r="GF1347" s="101">
        <f t="shared" si="626"/>
        <v>2</v>
      </c>
      <c r="GG1347" s="101">
        <f t="shared" si="627"/>
        <v>9.9400000000000002E-2</v>
      </c>
      <c r="GH1347" s="101">
        <f t="shared" si="628"/>
        <v>1</v>
      </c>
      <c r="GI1347" s="101">
        <f t="shared" si="629"/>
        <v>4</v>
      </c>
      <c r="GJ1347" s="101">
        <f t="shared" si="630"/>
        <v>0.3977</v>
      </c>
      <c r="GK1347" s="101">
        <f t="shared" si="631"/>
        <v>1</v>
      </c>
      <c r="GL1347" s="101">
        <f t="shared" si="632"/>
        <v>8</v>
      </c>
    </row>
    <row r="1348" spans="170:194" ht="16.5" x14ac:dyDescent="0.2">
      <c r="FN1348" s="101">
        <v>1343</v>
      </c>
      <c r="FO1348" s="101">
        <f t="shared" si="617"/>
        <v>56</v>
      </c>
      <c r="FP1348" s="101">
        <f t="shared" si="610"/>
        <v>17</v>
      </c>
      <c r="FQ1348" s="14">
        <f t="shared" si="611"/>
        <v>3</v>
      </c>
      <c r="FR1348" s="101" t="str">
        <f t="shared" si="618"/>
        <v>朱仙专属武器-魂珠-7 2级</v>
      </c>
      <c r="FS1348" s="101">
        <f t="shared" si="619"/>
        <v>7</v>
      </c>
      <c r="FT1348" s="101">
        <f t="shared" si="620"/>
        <v>2</v>
      </c>
      <c r="FU1348" s="101" t="str">
        <f t="shared" si="612"/>
        <v>金币</v>
      </c>
      <c r="FV1348" s="139">
        <f>IF($FT1348&gt;0,IF(INDEX($EI$6:$EI$77,$FO1348)&gt;=FV$3,ROUND(INDEX(EK$6:EK$77,$FO1348)*INDEX(卡牌消耗!$B$8:$F$8,FQ1348)/5,0)*5,""),"")</f>
        <v>9065</v>
      </c>
      <c r="FW1348" s="101" t="str">
        <f t="shared" si="613"/>
        <v>专属强化石3</v>
      </c>
      <c r="FX1348" s="101">
        <f t="shared" si="614"/>
        <v>6</v>
      </c>
      <c r="FY1348" s="101" t="str">
        <f t="shared" si="615"/>
        <v>专属强化石4</v>
      </c>
      <c r="FZ1348" s="101">
        <f t="shared" si="616"/>
        <v>2</v>
      </c>
      <c r="GA1348" s="101">
        <f t="shared" si="621"/>
        <v>0.1</v>
      </c>
      <c r="GB1348" s="101">
        <f t="shared" si="622"/>
        <v>1</v>
      </c>
      <c r="GC1348" s="101">
        <f t="shared" si="623"/>
        <v>15</v>
      </c>
      <c r="GD1348" s="101">
        <f t="shared" si="624"/>
        <v>0</v>
      </c>
      <c r="GE1348" s="101">
        <f t="shared" si="625"/>
        <v>1</v>
      </c>
      <c r="GF1348" s="101">
        <f t="shared" si="626"/>
        <v>4</v>
      </c>
      <c r="GG1348" s="101">
        <f t="shared" si="627"/>
        <v>4.9700000000000001E-2</v>
      </c>
      <c r="GH1348" s="101">
        <f t="shared" si="628"/>
        <v>1</v>
      </c>
      <c r="GI1348" s="101">
        <f t="shared" si="629"/>
        <v>7</v>
      </c>
      <c r="GJ1348" s="101">
        <f t="shared" si="630"/>
        <v>0.19889999999999999</v>
      </c>
      <c r="GK1348" s="101">
        <f t="shared" si="631"/>
        <v>1</v>
      </c>
      <c r="GL1348" s="101">
        <f t="shared" si="632"/>
        <v>15</v>
      </c>
    </row>
    <row r="1349" spans="170:194" ht="16.5" x14ac:dyDescent="0.2">
      <c r="FN1349" s="101">
        <v>1344</v>
      </c>
      <c r="FO1349" s="101">
        <f t="shared" si="617"/>
        <v>57</v>
      </c>
      <c r="FP1349" s="101">
        <f t="shared" si="610"/>
        <v>17</v>
      </c>
      <c r="FQ1349" s="14">
        <f t="shared" si="611"/>
        <v>3</v>
      </c>
      <c r="FR1349" s="101" t="str">
        <f t="shared" si="618"/>
        <v>朱仙专属武器-魂珠-7 3级</v>
      </c>
      <c r="FS1349" s="101">
        <f t="shared" si="619"/>
        <v>7</v>
      </c>
      <c r="FT1349" s="101">
        <f t="shared" si="620"/>
        <v>3</v>
      </c>
      <c r="FU1349" s="101" t="str">
        <f t="shared" si="612"/>
        <v>金币</v>
      </c>
      <c r="FV1349" s="139">
        <f>IF($FT1349&gt;0,IF(INDEX($EI$6:$EI$77,$FO1349)&gt;=FV$3,ROUND(INDEX(EK$6:EK$77,$FO1349)*INDEX(卡牌消耗!$B$8:$F$8,FQ1349)/5,0)*5,""),"")</f>
        <v>15110</v>
      </c>
      <c r="FW1349" s="101" t="str">
        <f t="shared" si="613"/>
        <v>专属强化石3</v>
      </c>
      <c r="FX1349" s="101">
        <f t="shared" si="614"/>
        <v>9</v>
      </c>
      <c r="FY1349" s="101" t="str">
        <f t="shared" si="615"/>
        <v>专属强化石4</v>
      </c>
      <c r="FZ1349" s="101">
        <f t="shared" si="616"/>
        <v>3</v>
      </c>
      <c r="GA1349" s="101">
        <f t="shared" si="621"/>
        <v>0.1</v>
      </c>
      <c r="GB1349" s="101">
        <f t="shared" si="622"/>
        <v>1</v>
      </c>
      <c r="GC1349" s="101">
        <f t="shared" si="623"/>
        <v>15</v>
      </c>
      <c r="GD1349" s="101">
        <f t="shared" si="624"/>
        <v>0</v>
      </c>
      <c r="GE1349" s="101">
        <f t="shared" si="625"/>
        <v>1</v>
      </c>
      <c r="GF1349" s="101">
        <f t="shared" si="626"/>
        <v>4</v>
      </c>
      <c r="GG1349" s="101">
        <f t="shared" si="627"/>
        <v>4.9700000000000001E-2</v>
      </c>
      <c r="GH1349" s="101">
        <f t="shared" si="628"/>
        <v>1</v>
      </c>
      <c r="GI1349" s="101">
        <f t="shared" si="629"/>
        <v>7</v>
      </c>
      <c r="GJ1349" s="101">
        <f t="shared" si="630"/>
        <v>0.19889999999999999</v>
      </c>
      <c r="GK1349" s="101">
        <f t="shared" si="631"/>
        <v>1</v>
      </c>
      <c r="GL1349" s="101">
        <f t="shared" si="632"/>
        <v>15</v>
      </c>
    </row>
    <row r="1350" spans="170:194" ht="16.5" x14ac:dyDescent="0.2">
      <c r="FN1350" s="101">
        <v>1345</v>
      </c>
      <c r="FO1350" s="101">
        <f t="shared" si="617"/>
        <v>58</v>
      </c>
      <c r="FP1350" s="101">
        <f t="shared" si="610"/>
        <v>17</v>
      </c>
      <c r="FQ1350" s="14">
        <f t="shared" si="611"/>
        <v>3</v>
      </c>
      <c r="FR1350" s="101" t="str">
        <f t="shared" si="618"/>
        <v>朱仙专属武器-魂珠-7 4级</v>
      </c>
      <c r="FS1350" s="101">
        <f t="shared" si="619"/>
        <v>7</v>
      </c>
      <c r="FT1350" s="101">
        <f t="shared" si="620"/>
        <v>4</v>
      </c>
      <c r="FU1350" s="101" t="str">
        <f t="shared" si="612"/>
        <v>金币</v>
      </c>
      <c r="FV1350" s="139">
        <f>IF($FT1350&gt;0,IF(INDEX($EI$6:$EI$77,$FO1350)&gt;=FV$3,ROUND(INDEX(EK$6:EK$77,$FO1350)*INDEX(卡牌消耗!$B$8:$F$8,FQ1350)/5,0)*5,""),"")</f>
        <v>19340</v>
      </c>
      <c r="FW1350" s="101" t="str">
        <f t="shared" si="613"/>
        <v>专属强化石3</v>
      </c>
      <c r="FX1350" s="101">
        <f t="shared" si="614"/>
        <v>12</v>
      </c>
      <c r="FY1350" s="101" t="str">
        <f t="shared" si="615"/>
        <v>专属强化石4</v>
      </c>
      <c r="FZ1350" s="101">
        <f t="shared" si="616"/>
        <v>4</v>
      </c>
      <c r="GA1350" s="101">
        <f t="shared" si="621"/>
        <v>0.08</v>
      </c>
      <c r="GB1350" s="101">
        <f t="shared" si="622"/>
        <v>1</v>
      </c>
      <c r="GC1350" s="101">
        <f t="shared" si="623"/>
        <v>19</v>
      </c>
      <c r="GD1350" s="101">
        <f t="shared" si="624"/>
        <v>0</v>
      </c>
      <c r="GE1350" s="101">
        <f t="shared" si="625"/>
        <v>1</v>
      </c>
      <c r="GF1350" s="101">
        <f t="shared" si="626"/>
        <v>4</v>
      </c>
      <c r="GG1350" s="101">
        <f t="shared" si="627"/>
        <v>3.9800000000000002E-2</v>
      </c>
      <c r="GH1350" s="101">
        <f t="shared" si="628"/>
        <v>1</v>
      </c>
      <c r="GI1350" s="101">
        <f t="shared" si="629"/>
        <v>9</v>
      </c>
      <c r="GJ1350" s="101">
        <f t="shared" si="630"/>
        <v>0.15909999999999999</v>
      </c>
      <c r="GK1350" s="101">
        <f t="shared" si="631"/>
        <v>1</v>
      </c>
      <c r="GL1350" s="101">
        <f t="shared" si="632"/>
        <v>19</v>
      </c>
    </row>
    <row r="1351" spans="170:194" ht="16.5" x14ac:dyDescent="0.2">
      <c r="FN1351" s="101">
        <v>1346</v>
      </c>
      <c r="FO1351" s="101">
        <f t="shared" si="617"/>
        <v>59</v>
      </c>
      <c r="FP1351" s="101">
        <f t="shared" ref="FP1351:FP1414" si="633">INT((FN1351-1)/80+1)</f>
        <v>17</v>
      </c>
      <c r="FQ1351" s="14">
        <f t="shared" ref="FQ1351:FQ1414" si="634">INDEX($FJ$6:$FJ$26,FP1351)</f>
        <v>3</v>
      </c>
      <c r="FR1351" s="101" t="str">
        <f t="shared" si="618"/>
        <v>朱仙专属武器-魂珠-7 5级</v>
      </c>
      <c r="FS1351" s="101">
        <f t="shared" si="619"/>
        <v>7</v>
      </c>
      <c r="FT1351" s="101">
        <f t="shared" si="620"/>
        <v>5</v>
      </c>
      <c r="FU1351" s="101" t="str">
        <f t="shared" ref="FU1351:FU1414" si="635">IF($FT1351&gt;0,IF(INDEX($EI$6:$EI$77,$FO1351)&gt;=FU$3,INDEX(EJ$6:EJ$77,$FO1351),""),"")</f>
        <v>金币</v>
      </c>
      <c r="FV1351" s="139">
        <f>IF($FT1351&gt;0,IF(INDEX($EI$6:$EI$77,$FO1351)&gt;=FV$3,ROUND(INDEX(EK$6:EK$77,$FO1351)*INDEX(卡牌消耗!$B$8:$F$8,FQ1351)/5,0)*5,""),"")</f>
        <v>19640</v>
      </c>
      <c r="FW1351" s="101" t="str">
        <f t="shared" ref="FW1351:FW1414" si="636">IF($FT1351&gt;0,IF(INDEX($EI$6:$EI$77,$FO1351)&gt;=FW$3,INDEX(EL$6:EL$77,$FO1351),""),"")</f>
        <v>专属强化石3</v>
      </c>
      <c r="FX1351" s="101">
        <f t="shared" ref="FX1351:FX1414" si="637">IF($FT1351&gt;0,IF(INDEX($EI$6:$EI$77,$FO1351)&gt;=FX$3,INDEX(EM$6:EM$77,$FO1351),""),"")</f>
        <v>12</v>
      </c>
      <c r="FY1351" s="101" t="str">
        <f t="shared" ref="FY1351:FY1414" si="638">IF($FT1351&gt;0,IF(INDEX($EI$6:$EI$77,$FO1351)&gt;=FY$3,INDEX(EN$6:EN$77,$FO1351),""),"")</f>
        <v>专属强化石4</v>
      </c>
      <c r="FZ1351" s="101">
        <f t="shared" ref="FZ1351:FZ1414" si="639">IF($FT1351&gt;0,IF(INDEX($EI$6:$EI$77,$FO1351)&gt;=FZ$3,INDEX(EO$6:EO$77,$FO1351),""),"")</f>
        <v>4</v>
      </c>
      <c r="GA1351" s="101">
        <f t="shared" si="621"/>
        <v>0.05</v>
      </c>
      <c r="GB1351" s="101">
        <f t="shared" si="622"/>
        <v>1</v>
      </c>
      <c r="GC1351" s="101">
        <f t="shared" si="623"/>
        <v>30</v>
      </c>
      <c r="GD1351" s="101">
        <f t="shared" si="624"/>
        <v>0</v>
      </c>
      <c r="GE1351" s="101">
        <f t="shared" si="625"/>
        <v>1</v>
      </c>
      <c r="GF1351" s="101">
        <f t="shared" si="626"/>
        <v>7</v>
      </c>
      <c r="GG1351" s="101">
        <f t="shared" si="627"/>
        <v>2.4899999999999999E-2</v>
      </c>
      <c r="GH1351" s="101">
        <f t="shared" si="628"/>
        <v>1</v>
      </c>
      <c r="GI1351" s="101">
        <f t="shared" si="629"/>
        <v>14</v>
      </c>
      <c r="GJ1351" s="101">
        <f t="shared" si="630"/>
        <v>9.9400000000000002E-2</v>
      </c>
      <c r="GK1351" s="101">
        <f t="shared" si="631"/>
        <v>1</v>
      </c>
      <c r="GL1351" s="101">
        <f t="shared" si="632"/>
        <v>30</v>
      </c>
    </row>
    <row r="1352" spans="170:194" ht="16.5" x14ac:dyDescent="0.2">
      <c r="FN1352" s="101">
        <v>1347</v>
      </c>
      <c r="FO1352" s="101">
        <f t="shared" si="617"/>
        <v>60</v>
      </c>
      <c r="FP1352" s="101">
        <f t="shared" si="633"/>
        <v>17</v>
      </c>
      <c r="FQ1352" s="14">
        <f t="shared" si="634"/>
        <v>3</v>
      </c>
      <c r="FR1352" s="101" t="str">
        <f t="shared" si="618"/>
        <v>朱仙专属武器-魂珠-7 6级</v>
      </c>
      <c r="FS1352" s="101">
        <f t="shared" si="619"/>
        <v>7</v>
      </c>
      <c r="FT1352" s="101">
        <f t="shared" si="620"/>
        <v>6</v>
      </c>
      <c r="FU1352" s="101" t="str">
        <f t="shared" si="635"/>
        <v>金币</v>
      </c>
      <c r="FV1352" s="139">
        <f>IF($FT1352&gt;0,IF(INDEX($EI$6:$EI$77,$FO1352)&gt;=FV$3,ROUND(INDEX(EK$6:EK$77,$FO1352)*INDEX(卡牌消耗!$B$8:$F$8,FQ1352)/5,0)*5,""),"")</f>
        <v>24410</v>
      </c>
      <c r="FW1352" s="101" t="str">
        <f t="shared" si="636"/>
        <v>专属强化石3</v>
      </c>
      <c r="FX1352" s="101">
        <f t="shared" si="637"/>
        <v>15</v>
      </c>
      <c r="FY1352" s="101" t="str">
        <f t="shared" si="638"/>
        <v>专属强化石4</v>
      </c>
      <c r="FZ1352" s="101">
        <f t="shared" si="639"/>
        <v>5</v>
      </c>
      <c r="GA1352" s="101">
        <f t="shared" si="621"/>
        <v>0.04</v>
      </c>
      <c r="GB1352" s="101">
        <f t="shared" si="622"/>
        <v>1</v>
      </c>
      <c r="GC1352" s="101">
        <f t="shared" si="623"/>
        <v>39</v>
      </c>
      <c r="GD1352" s="101">
        <f t="shared" si="624"/>
        <v>0</v>
      </c>
      <c r="GE1352" s="101">
        <f t="shared" si="625"/>
        <v>1</v>
      </c>
      <c r="GF1352" s="101">
        <f t="shared" si="626"/>
        <v>9</v>
      </c>
      <c r="GG1352" s="101">
        <f t="shared" si="627"/>
        <v>1.9099999999999999E-2</v>
      </c>
      <c r="GH1352" s="101">
        <f t="shared" si="628"/>
        <v>1</v>
      </c>
      <c r="GI1352" s="101">
        <f t="shared" si="629"/>
        <v>18</v>
      </c>
      <c r="GJ1352" s="101">
        <f t="shared" si="630"/>
        <v>7.6499999999999999E-2</v>
      </c>
      <c r="GK1352" s="101">
        <f t="shared" si="631"/>
        <v>1</v>
      </c>
      <c r="GL1352" s="101">
        <f t="shared" si="632"/>
        <v>39</v>
      </c>
    </row>
    <row r="1353" spans="170:194" ht="16.5" x14ac:dyDescent="0.2">
      <c r="FN1353" s="101">
        <v>1348</v>
      </c>
      <c r="FO1353" s="101">
        <f t="shared" si="617"/>
        <v>61</v>
      </c>
      <c r="FP1353" s="101">
        <f t="shared" si="633"/>
        <v>17</v>
      </c>
      <c r="FQ1353" s="14">
        <f t="shared" si="634"/>
        <v>3</v>
      </c>
      <c r="FR1353" s="101" t="str">
        <f t="shared" si="618"/>
        <v>朱仙专属武器-魂珠-7 7级</v>
      </c>
      <c r="FS1353" s="101">
        <f t="shared" si="619"/>
        <v>7</v>
      </c>
      <c r="FT1353" s="101">
        <f t="shared" si="620"/>
        <v>7</v>
      </c>
      <c r="FU1353" s="101" t="str">
        <f t="shared" si="635"/>
        <v>金币</v>
      </c>
      <c r="FV1353" s="139">
        <f>IF($FT1353&gt;0,IF(INDEX($EI$6:$EI$77,$FO1353)&gt;=FV$3,ROUND(INDEX(EK$6:EK$77,$FO1353)*INDEX(卡牌消耗!$B$8:$F$8,FQ1353)/5,0)*5,""),"")</f>
        <v>34250</v>
      </c>
      <c r="FW1353" s="101" t="str">
        <f t="shared" si="636"/>
        <v>专属强化石3</v>
      </c>
      <c r="FX1353" s="101">
        <f t="shared" si="637"/>
        <v>21</v>
      </c>
      <c r="FY1353" s="101" t="str">
        <f t="shared" si="638"/>
        <v>专属强化石4</v>
      </c>
      <c r="FZ1353" s="101">
        <f t="shared" si="639"/>
        <v>7</v>
      </c>
      <c r="GA1353" s="101">
        <f t="shared" si="621"/>
        <v>0.03</v>
      </c>
      <c r="GB1353" s="101">
        <f t="shared" si="622"/>
        <v>1</v>
      </c>
      <c r="GC1353" s="101">
        <f t="shared" si="623"/>
        <v>45</v>
      </c>
      <c r="GD1353" s="101">
        <f t="shared" si="624"/>
        <v>0</v>
      </c>
      <c r="GE1353" s="101">
        <f t="shared" si="625"/>
        <v>1</v>
      </c>
      <c r="GF1353" s="101">
        <f t="shared" si="626"/>
        <v>11</v>
      </c>
      <c r="GG1353" s="101">
        <f t="shared" si="627"/>
        <v>1.66E-2</v>
      </c>
      <c r="GH1353" s="101">
        <f t="shared" si="628"/>
        <v>1</v>
      </c>
      <c r="GI1353" s="101">
        <f t="shared" si="629"/>
        <v>21</v>
      </c>
      <c r="GJ1353" s="101">
        <f t="shared" si="630"/>
        <v>6.6299999999999998E-2</v>
      </c>
      <c r="GK1353" s="101">
        <f t="shared" si="631"/>
        <v>1</v>
      </c>
      <c r="GL1353" s="101">
        <f t="shared" si="632"/>
        <v>45</v>
      </c>
    </row>
    <row r="1354" spans="170:194" ht="16.5" x14ac:dyDescent="0.2">
      <c r="FN1354" s="101">
        <v>1349</v>
      </c>
      <c r="FO1354" s="101">
        <f t="shared" si="617"/>
        <v>62</v>
      </c>
      <c r="FP1354" s="101">
        <f t="shared" si="633"/>
        <v>17</v>
      </c>
      <c r="FQ1354" s="14">
        <f t="shared" si="634"/>
        <v>3</v>
      </c>
      <c r="FR1354" s="101" t="str">
        <f t="shared" si="618"/>
        <v>朱仙专属武器-魂珠-7 8级</v>
      </c>
      <c r="FS1354" s="101">
        <f t="shared" si="619"/>
        <v>7</v>
      </c>
      <c r="FT1354" s="101">
        <f t="shared" si="620"/>
        <v>8</v>
      </c>
      <c r="FU1354" s="101" t="str">
        <f t="shared" si="635"/>
        <v>金币</v>
      </c>
      <c r="FV1354" s="139">
        <f>IF($FT1354&gt;0,IF(INDEX($EI$6:$EI$77,$FO1354)&gt;=FV$3,ROUND(INDEX(EK$6:EK$77,$FO1354)*INDEX(卡牌消耗!$B$8:$F$8,FQ1354)/5,0)*5,""),"")</f>
        <v>39105</v>
      </c>
      <c r="FW1354" s="101" t="str">
        <f t="shared" si="636"/>
        <v>专属强化石3</v>
      </c>
      <c r="FX1354" s="101">
        <f t="shared" si="637"/>
        <v>24</v>
      </c>
      <c r="FY1354" s="101" t="str">
        <f t="shared" si="638"/>
        <v>专属强化石4</v>
      </c>
      <c r="FZ1354" s="101">
        <f t="shared" si="639"/>
        <v>8</v>
      </c>
      <c r="GA1354" s="101">
        <f t="shared" si="621"/>
        <v>0.02</v>
      </c>
      <c r="GB1354" s="101">
        <f t="shared" si="622"/>
        <v>1</v>
      </c>
      <c r="GC1354" s="101">
        <f t="shared" si="623"/>
        <v>64</v>
      </c>
      <c r="GD1354" s="101">
        <f t="shared" si="624"/>
        <v>0</v>
      </c>
      <c r="GE1354" s="101">
        <f t="shared" si="625"/>
        <v>1</v>
      </c>
      <c r="GF1354" s="101">
        <f t="shared" si="626"/>
        <v>15</v>
      </c>
      <c r="GG1354" s="101">
        <f t="shared" si="627"/>
        <v>1.17E-2</v>
      </c>
      <c r="GH1354" s="101">
        <f t="shared" si="628"/>
        <v>1</v>
      </c>
      <c r="GI1354" s="101">
        <f t="shared" si="629"/>
        <v>30</v>
      </c>
      <c r="GJ1354" s="101">
        <f t="shared" si="630"/>
        <v>4.6800000000000001E-2</v>
      </c>
      <c r="GK1354" s="101">
        <f t="shared" si="631"/>
        <v>1</v>
      </c>
      <c r="GL1354" s="101">
        <f t="shared" si="632"/>
        <v>64</v>
      </c>
    </row>
    <row r="1355" spans="170:194" ht="16.5" x14ac:dyDescent="0.2">
      <c r="FN1355" s="101">
        <v>1350</v>
      </c>
      <c r="FO1355" s="101">
        <f t="shared" si="617"/>
        <v>63</v>
      </c>
      <c r="FP1355" s="101">
        <f t="shared" si="633"/>
        <v>17</v>
      </c>
      <c r="FQ1355" s="14">
        <f t="shared" si="634"/>
        <v>3</v>
      </c>
      <c r="FR1355" s="101" t="str">
        <f t="shared" si="618"/>
        <v>朱仙专属武器-魂珠-7 9级</v>
      </c>
      <c r="FS1355" s="101">
        <f t="shared" si="619"/>
        <v>7</v>
      </c>
      <c r="FT1355" s="101">
        <f t="shared" si="620"/>
        <v>9</v>
      </c>
      <c r="FU1355" s="101" t="str">
        <f t="shared" si="635"/>
        <v>金币</v>
      </c>
      <c r="FV1355" s="139">
        <f>IF($FT1355&gt;0,IF(INDEX($EI$6:$EI$77,$FO1355)&gt;=FV$3,ROUND(INDEX(EK$6:EK$77,$FO1355)*INDEX(卡牌消耗!$B$8:$F$8,FQ1355)/5,0)*5,""),"")</f>
        <v>48900</v>
      </c>
      <c r="FW1355" s="101" t="str">
        <f t="shared" si="636"/>
        <v>专属强化石3</v>
      </c>
      <c r="FX1355" s="101">
        <f t="shared" si="637"/>
        <v>30</v>
      </c>
      <c r="FY1355" s="101" t="str">
        <f t="shared" si="638"/>
        <v>专属强化石4</v>
      </c>
      <c r="FZ1355" s="101">
        <f t="shared" si="639"/>
        <v>10</v>
      </c>
      <c r="GA1355" s="101">
        <f t="shared" si="621"/>
        <v>0.02</v>
      </c>
      <c r="GB1355" s="101">
        <f t="shared" si="622"/>
        <v>1</v>
      </c>
      <c r="GC1355" s="101">
        <f t="shared" si="623"/>
        <v>83</v>
      </c>
      <c r="GD1355" s="101">
        <f t="shared" si="624"/>
        <v>0</v>
      </c>
      <c r="GE1355" s="101">
        <f t="shared" si="625"/>
        <v>1</v>
      </c>
      <c r="GF1355" s="101">
        <f t="shared" si="626"/>
        <v>19</v>
      </c>
      <c r="GG1355" s="101">
        <f t="shared" si="627"/>
        <v>8.9999999999999993E-3</v>
      </c>
      <c r="GH1355" s="101">
        <f t="shared" si="628"/>
        <v>1</v>
      </c>
      <c r="GI1355" s="101">
        <f t="shared" si="629"/>
        <v>39</v>
      </c>
      <c r="GJ1355" s="101">
        <f t="shared" si="630"/>
        <v>3.6200000000000003E-2</v>
      </c>
      <c r="GK1355" s="101">
        <f t="shared" si="631"/>
        <v>1</v>
      </c>
      <c r="GL1355" s="101">
        <f t="shared" si="632"/>
        <v>83</v>
      </c>
    </row>
    <row r="1356" spans="170:194" ht="16.5" x14ac:dyDescent="0.2">
      <c r="FN1356" s="101">
        <v>1351</v>
      </c>
      <c r="FO1356" s="101">
        <f t="shared" si="617"/>
        <v>0</v>
      </c>
      <c r="FP1356" s="101">
        <f t="shared" si="633"/>
        <v>17</v>
      </c>
      <c r="FQ1356" s="14">
        <f t="shared" si="634"/>
        <v>3</v>
      </c>
      <c r="FR1356" s="101" t="str">
        <f t="shared" si="618"/>
        <v>朱仙专属武器-魂珠-8 0级</v>
      </c>
      <c r="FS1356" s="101">
        <f t="shared" si="619"/>
        <v>8</v>
      </c>
      <c r="FT1356" s="101">
        <f t="shared" si="620"/>
        <v>0</v>
      </c>
      <c r="FU1356" s="101" t="str">
        <f t="shared" si="635"/>
        <v/>
      </c>
      <c r="FV1356" s="139" t="str">
        <f>IF($FT1356&gt;0,IF(INDEX($EI$6:$EI$77,$FO1356)&gt;=FV$3,ROUND(INDEX(EK$6:EK$77,$FO1356)*INDEX(卡牌消耗!$B$8:$F$8,FQ1356)/5,0)*5,""),"")</f>
        <v/>
      </c>
      <c r="FW1356" s="101" t="str">
        <f t="shared" si="636"/>
        <v/>
      </c>
      <c r="FX1356" s="101" t="str">
        <f t="shared" si="637"/>
        <v/>
      </c>
      <c r="FY1356" s="101" t="str">
        <f t="shared" si="638"/>
        <v/>
      </c>
      <c r="FZ1356" s="101" t="str">
        <f t="shared" si="639"/>
        <v/>
      </c>
      <c r="GA1356" s="101" t="str">
        <f t="shared" si="621"/>
        <v/>
      </c>
      <c r="GB1356" s="101" t="str">
        <f t="shared" si="622"/>
        <v/>
      </c>
      <c r="GC1356" s="101" t="str">
        <f t="shared" si="623"/>
        <v/>
      </c>
      <c r="GD1356" s="101" t="str">
        <f t="shared" si="624"/>
        <v/>
      </c>
      <c r="GE1356" s="101" t="str">
        <f t="shared" si="625"/>
        <v/>
      </c>
      <c r="GF1356" s="101" t="str">
        <f t="shared" si="626"/>
        <v/>
      </c>
      <c r="GG1356" s="101" t="str">
        <f t="shared" si="627"/>
        <v/>
      </c>
      <c r="GH1356" s="101" t="str">
        <f t="shared" si="628"/>
        <v/>
      </c>
      <c r="GI1356" s="101" t="str">
        <f t="shared" si="629"/>
        <v/>
      </c>
      <c r="GJ1356" s="101" t="str">
        <f t="shared" si="630"/>
        <v/>
      </c>
      <c r="GK1356" s="101" t="str">
        <f t="shared" si="631"/>
        <v/>
      </c>
      <c r="GL1356" s="101" t="str">
        <f t="shared" si="632"/>
        <v/>
      </c>
    </row>
    <row r="1357" spans="170:194" ht="16.5" x14ac:dyDescent="0.2">
      <c r="FN1357" s="101">
        <v>1352</v>
      </c>
      <c r="FO1357" s="101">
        <f t="shared" si="617"/>
        <v>64</v>
      </c>
      <c r="FP1357" s="101">
        <f t="shared" si="633"/>
        <v>17</v>
      </c>
      <c r="FQ1357" s="14">
        <f t="shared" si="634"/>
        <v>3</v>
      </c>
      <c r="FR1357" s="101" t="str">
        <f t="shared" si="618"/>
        <v>朱仙专属武器-魂珠-8 1级</v>
      </c>
      <c r="FS1357" s="101">
        <f t="shared" si="619"/>
        <v>8</v>
      </c>
      <c r="FT1357" s="101">
        <f t="shared" si="620"/>
        <v>1</v>
      </c>
      <c r="FU1357" s="101" t="str">
        <f t="shared" si="635"/>
        <v>金币</v>
      </c>
      <c r="FV1357" s="139">
        <f>IF($FT1357&gt;0,IF(INDEX($EI$6:$EI$77,$FO1357)&gt;=FV$3,ROUND(INDEX(EK$6:EK$77,$FO1357)*INDEX(卡牌消耗!$B$8:$F$8,FQ1357)/5,0)*5,""),"")</f>
        <v>10300</v>
      </c>
      <c r="FW1357" s="101" t="str">
        <f t="shared" si="636"/>
        <v>专属强化石4</v>
      </c>
      <c r="FX1357" s="101">
        <f t="shared" si="637"/>
        <v>5</v>
      </c>
      <c r="FY1357" s="101" t="str">
        <f t="shared" si="638"/>
        <v/>
      </c>
      <c r="FZ1357" s="101" t="str">
        <f t="shared" si="639"/>
        <v/>
      </c>
      <c r="GA1357" s="101">
        <f t="shared" si="621"/>
        <v>0.11</v>
      </c>
      <c r="GB1357" s="101">
        <f t="shared" si="622"/>
        <v>1</v>
      </c>
      <c r="GC1357" s="101">
        <f t="shared" si="623"/>
        <v>13</v>
      </c>
      <c r="GD1357" s="101">
        <f t="shared" si="624"/>
        <v>0</v>
      </c>
      <c r="GE1357" s="101">
        <f t="shared" si="625"/>
        <v>1</v>
      </c>
      <c r="GF1357" s="101">
        <f t="shared" si="626"/>
        <v>3</v>
      </c>
      <c r="GG1357" s="101">
        <f t="shared" si="627"/>
        <v>5.6500000000000002E-2</v>
      </c>
      <c r="GH1357" s="101">
        <f t="shared" si="628"/>
        <v>1</v>
      </c>
      <c r="GI1357" s="101">
        <f t="shared" si="629"/>
        <v>6</v>
      </c>
      <c r="GJ1357" s="101">
        <f t="shared" si="630"/>
        <v>0.22600000000000001</v>
      </c>
      <c r="GK1357" s="101">
        <f t="shared" si="631"/>
        <v>1</v>
      </c>
      <c r="GL1357" s="101">
        <f t="shared" si="632"/>
        <v>13</v>
      </c>
    </row>
    <row r="1358" spans="170:194" ht="16.5" x14ac:dyDescent="0.2">
      <c r="FN1358" s="101">
        <v>1353</v>
      </c>
      <c r="FO1358" s="101">
        <f t="shared" si="617"/>
        <v>65</v>
      </c>
      <c r="FP1358" s="101">
        <f t="shared" si="633"/>
        <v>17</v>
      </c>
      <c r="FQ1358" s="14">
        <f t="shared" si="634"/>
        <v>3</v>
      </c>
      <c r="FR1358" s="101" t="str">
        <f t="shared" si="618"/>
        <v>朱仙专属武器-魂珠-8 2级</v>
      </c>
      <c r="FS1358" s="101">
        <f t="shared" si="619"/>
        <v>8</v>
      </c>
      <c r="FT1358" s="101">
        <f t="shared" si="620"/>
        <v>2</v>
      </c>
      <c r="FU1358" s="101" t="str">
        <f t="shared" si="635"/>
        <v>金币</v>
      </c>
      <c r="FV1358" s="139">
        <f>IF($FT1358&gt;0,IF(INDEX($EI$6:$EI$77,$FO1358)&gt;=FV$3,ROUND(INDEX(EK$6:EK$77,$FO1358)*INDEX(卡牌消耗!$B$8:$F$8,FQ1358)/5,0)*5,""),"")</f>
        <v>12360</v>
      </c>
      <c r="FW1358" s="101" t="str">
        <f t="shared" si="636"/>
        <v>专属强化石4</v>
      </c>
      <c r="FX1358" s="101">
        <f t="shared" si="637"/>
        <v>8</v>
      </c>
      <c r="FY1358" s="101" t="str">
        <f t="shared" si="638"/>
        <v/>
      </c>
      <c r="FZ1358" s="101" t="str">
        <f t="shared" si="639"/>
        <v/>
      </c>
      <c r="GA1358" s="101">
        <f t="shared" si="621"/>
        <v>0.09</v>
      </c>
      <c r="GB1358" s="101">
        <f t="shared" si="622"/>
        <v>1</v>
      </c>
      <c r="GC1358" s="101">
        <f t="shared" si="623"/>
        <v>17</v>
      </c>
      <c r="GD1358" s="101">
        <f t="shared" si="624"/>
        <v>0</v>
      </c>
      <c r="GE1358" s="101">
        <f t="shared" si="625"/>
        <v>1</v>
      </c>
      <c r="GF1358" s="101">
        <f t="shared" si="626"/>
        <v>4</v>
      </c>
      <c r="GG1358" s="101">
        <f t="shared" si="627"/>
        <v>4.5199999999999997E-2</v>
      </c>
      <c r="GH1358" s="101">
        <f t="shared" si="628"/>
        <v>1</v>
      </c>
      <c r="GI1358" s="101">
        <f t="shared" si="629"/>
        <v>8</v>
      </c>
      <c r="GJ1358" s="101">
        <f t="shared" si="630"/>
        <v>0.18079999999999999</v>
      </c>
      <c r="GK1358" s="101">
        <f t="shared" si="631"/>
        <v>1</v>
      </c>
      <c r="GL1358" s="101">
        <f t="shared" si="632"/>
        <v>17</v>
      </c>
    </row>
    <row r="1359" spans="170:194" ht="16.5" x14ac:dyDescent="0.2">
      <c r="FN1359" s="101">
        <v>1354</v>
      </c>
      <c r="FO1359" s="101">
        <f t="shared" si="617"/>
        <v>66</v>
      </c>
      <c r="FP1359" s="101">
        <f t="shared" si="633"/>
        <v>17</v>
      </c>
      <c r="FQ1359" s="14">
        <f t="shared" si="634"/>
        <v>3</v>
      </c>
      <c r="FR1359" s="101" t="str">
        <f t="shared" si="618"/>
        <v>朱仙专属武器-魂珠-8 3级</v>
      </c>
      <c r="FS1359" s="101">
        <f t="shared" si="619"/>
        <v>8</v>
      </c>
      <c r="FT1359" s="101">
        <f t="shared" si="620"/>
        <v>3</v>
      </c>
      <c r="FU1359" s="101" t="str">
        <f t="shared" si="635"/>
        <v>金币</v>
      </c>
      <c r="FV1359" s="139">
        <f>IF($FT1359&gt;0,IF(INDEX($EI$6:$EI$77,$FO1359)&gt;=FV$3,ROUND(INDEX(EK$6:EK$77,$FO1359)*INDEX(卡牌消耗!$B$8:$F$8,FQ1359)/5,0)*5,""),"")</f>
        <v>17170</v>
      </c>
      <c r="FW1359" s="101" t="str">
        <f t="shared" si="636"/>
        <v>专属强化石4</v>
      </c>
      <c r="FX1359" s="101">
        <f t="shared" si="637"/>
        <v>10</v>
      </c>
      <c r="FY1359" s="101" t="str">
        <f t="shared" si="638"/>
        <v/>
      </c>
      <c r="FZ1359" s="101" t="str">
        <f t="shared" si="639"/>
        <v/>
      </c>
      <c r="GA1359" s="101">
        <f t="shared" si="621"/>
        <v>0.08</v>
      </c>
      <c r="GB1359" s="101">
        <f t="shared" si="622"/>
        <v>1</v>
      </c>
      <c r="GC1359" s="101">
        <f t="shared" si="623"/>
        <v>20</v>
      </c>
      <c r="GD1359" s="101">
        <f t="shared" si="624"/>
        <v>0</v>
      </c>
      <c r="GE1359" s="101">
        <f t="shared" si="625"/>
        <v>1</v>
      </c>
      <c r="GF1359" s="101">
        <f t="shared" si="626"/>
        <v>5</v>
      </c>
      <c r="GG1359" s="101">
        <f t="shared" si="627"/>
        <v>3.7699999999999997E-2</v>
      </c>
      <c r="GH1359" s="101">
        <f t="shared" si="628"/>
        <v>1</v>
      </c>
      <c r="GI1359" s="101">
        <f t="shared" si="629"/>
        <v>9</v>
      </c>
      <c r="GJ1359" s="101">
        <f t="shared" si="630"/>
        <v>0.1507</v>
      </c>
      <c r="GK1359" s="101">
        <f t="shared" si="631"/>
        <v>1</v>
      </c>
      <c r="GL1359" s="101">
        <f t="shared" si="632"/>
        <v>20</v>
      </c>
    </row>
    <row r="1360" spans="170:194" ht="16.5" x14ac:dyDescent="0.2">
      <c r="FN1360" s="101">
        <v>1355</v>
      </c>
      <c r="FO1360" s="101">
        <f t="shared" si="617"/>
        <v>67</v>
      </c>
      <c r="FP1360" s="101">
        <f t="shared" si="633"/>
        <v>17</v>
      </c>
      <c r="FQ1360" s="14">
        <f t="shared" si="634"/>
        <v>3</v>
      </c>
      <c r="FR1360" s="101" t="str">
        <f t="shared" si="618"/>
        <v>朱仙专属武器-魂珠-8 4级</v>
      </c>
      <c r="FS1360" s="101">
        <f t="shared" si="619"/>
        <v>8</v>
      </c>
      <c r="FT1360" s="101">
        <f t="shared" si="620"/>
        <v>4</v>
      </c>
      <c r="FU1360" s="101" t="str">
        <f t="shared" si="635"/>
        <v>金币</v>
      </c>
      <c r="FV1360" s="139">
        <f>IF($FT1360&gt;0,IF(INDEX($EI$6:$EI$77,$FO1360)&gt;=FV$3,ROUND(INDEX(EK$6:EK$77,$FO1360)*INDEX(卡牌消耗!$B$8:$F$8,FQ1360)/5,0)*5,""),"")</f>
        <v>19780</v>
      </c>
      <c r="FW1360" s="101" t="str">
        <f t="shared" si="636"/>
        <v>专属强化石4</v>
      </c>
      <c r="FX1360" s="101">
        <f t="shared" si="637"/>
        <v>12</v>
      </c>
      <c r="FY1360" s="101" t="str">
        <f t="shared" si="638"/>
        <v/>
      </c>
      <c r="FZ1360" s="101" t="str">
        <f t="shared" si="639"/>
        <v/>
      </c>
      <c r="GA1360" s="101">
        <f t="shared" si="621"/>
        <v>0.05</v>
      </c>
      <c r="GB1360" s="101">
        <f t="shared" si="622"/>
        <v>1</v>
      </c>
      <c r="GC1360" s="101">
        <f t="shared" si="623"/>
        <v>28</v>
      </c>
      <c r="GD1360" s="101">
        <f t="shared" si="624"/>
        <v>0</v>
      </c>
      <c r="GE1360" s="101">
        <f t="shared" si="625"/>
        <v>1</v>
      </c>
      <c r="GF1360" s="101">
        <f t="shared" si="626"/>
        <v>6</v>
      </c>
      <c r="GG1360" s="101">
        <f t="shared" si="627"/>
        <v>2.7099999999999999E-2</v>
      </c>
      <c r="GH1360" s="101">
        <f t="shared" si="628"/>
        <v>1</v>
      </c>
      <c r="GI1360" s="101">
        <f t="shared" si="629"/>
        <v>13</v>
      </c>
      <c r="GJ1360" s="101">
        <f t="shared" si="630"/>
        <v>0.1085</v>
      </c>
      <c r="GK1360" s="101">
        <f t="shared" si="631"/>
        <v>1</v>
      </c>
      <c r="GL1360" s="101">
        <f t="shared" si="632"/>
        <v>28</v>
      </c>
    </row>
    <row r="1361" spans="170:194" ht="16.5" x14ac:dyDescent="0.2">
      <c r="FN1361" s="101">
        <v>1356</v>
      </c>
      <c r="FO1361" s="101">
        <f t="shared" si="617"/>
        <v>68</v>
      </c>
      <c r="FP1361" s="101">
        <f t="shared" si="633"/>
        <v>17</v>
      </c>
      <c r="FQ1361" s="14">
        <f t="shared" si="634"/>
        <v>3</v>
      </c>
      <c r="FR1361" s="101" t="str">
        <f t="shared" si="618"/>
        <v>朱仙专属武器-魂珠-8 5级</v>
      </c>
      <c r="FS1361" s="101">
        <f t="shared" si="619"/>
        <v>8</v>
      </c>
      <c r="FT1361" s="101">
        <f t="shared" si="620"/>
        <v>5</v>
      </c>
      <c r="FU1361" s="101" t="str">
        <f t="shared" si="635"/>
        <v>金币</v>
      </c>
      <c r="FV1361" s="139">
        <f>IF($FT1361&gt;0,IF(INDEX($EI$6:$EI$77,$FO1361)&gt;=FV$3,ROUND(INDEX(EK$6:EK$77,$FO1361)*INDEX(卡牌消耗!$B$8:$F$8,FQ1361)/5,0)*5,""),"")</f>
        <v>25110</v>
      </c>
      <c r="FW1361" s="101" t="str">
        <f t="shared" si="636"/>
        <v>专属强化石4</v>
      </c>
      <c r="FX1361" s="101">
        <f t="shared" si="637"/>
        <v>15</v>
      </c>
      <c r="FY1361" s="101" t="str">
        <f t="shared" si="638"/>
        <v/>
      </c>
      <c r="FZ1361" s="101" t="str">
        <f t="shared" si="639"/>
        <v/>
      </c>
      <c r="GA1361" s="101">
        <f t="shared" si="621"/>
        <v>0.04</v>
      </c>
      <c r="GB1361" s="101">
        <f t="shared" si="622"/>
        <v>1</v>
      </c>
      <c r="GC1361" s="101">
        <f t="shared" si="623"/>
        <v>35</v>
      </c>
      <c r="GD1361" s="101">
        <f t="shared" si="624"/>
        <v>0</v>
      </c>
      <c r="GE1361" s="101">
        <f t="shared" si="625"/>
        <v>1</v>
      </c>
      <c r="GF1361" s="101">
        <f t="shared" si="626"/>
        <v>8</v>
      </c>
      <c r="GG1361" s="101">
        <f t="shared" si="627"/>
        <v>2.12E-2</v>
      </c>
      <c r="GH1361" s="101">
        <f t="shared" si="628"/>
        <v>1</v>
      </c>
      <c r="GI1361" s="101">
        <f t="shared" si="629"/>
        <v>17</v>
      </c>
      <c r="GJ1361" s="101">
        <f t="shared" si="630"/>
        <v>8.4699999999999998E-2</v>
      </c>
      <c r="GK1361" s="101">
        <f t="shared" si="631"/>
        <v>1</v>
      </c>
      <c r="GL1361" s="101">
        <f t="shared" si="632"/>
        <v>35</v>
      </c>
    </row>
    <row r="1362" spans="170:194" ht="16.5" x14ac:dyDescent="0.2">
      <c r="FN1362" s="101">
        <v>1357</v>
      </c>
      <c r="FO1362" s="101">
        <f t="shared" si="617"/>
        <v>69</v>
      </c>
      <c r="FP1362" s="101">
        <f t="shared" si="633"/>
        <v>17</v>
      </c>
      <c r="FQ1362" s="14">
        <f t="shared" si="634"/>
        <v>3</v>
      </c>
      <c r="FR1362" s="101" t="str">
        <f t="shared" si="618"/>
        <v>朱仙专属武器-魂珠-8 6级</v>
      </c>
      <c r="FS1362" s="101">
        <f t="shared" si="619"/>
        <v>8</v>
      </c>
      <c r="FT1362" s="101">
        <f t="shared" si="620"/>
        <v>6</v>
      </c>
      <c r="FU1362" s="101" t="str">
        <f t="shared" si="635"/>
        <v>金币</v>
      </c>
      <c r="FV1362" s="139">
        <f>IF($FT1362&gt;0,IF(INDEX($EI$6:$EI$77,$FO1362)&gt;=FV$3,ROUND(INDEX(EK$6:EK$77,$FO1362)*INDEX(卡牌消耗!$B$8:$F$8,FQ1362)/5,0)*5,""),"")</f>
        <v>29955</v>
      </c>
      <c r="FW1362" s="101" t="str">
        <f t="shared" si="636"/>
        <v>专属强化石4</v>
      </c>
      <c r="FX1362" s="101">
        <f t="shared" si="637"/>
        <v>18</v>
      </c>
      <c r="FY1362" s="101" t="str">
        <f t="shared" si="638"/>
        <v/>
      </c>
      <c r="FZ1362" s="101" t="str">
        <f t="shared" si="639"/>
        <v/>
      </c>
      <c r="GA1362" s="101">
        <f t="shared" si="621"/>
        <v>0.03</v>
      </c>
      <c r="GB1362" s="101">
        <f t="shared" si="622"/>
        <v>1</v>
      </c>
      <c r="GC1362" s="101">
        <f t="shared" si="623"/>
        <v>48</v>
      </c>
      <c r="GD1362" s="101">
        <f t="shared" si="624"/>
        <v>0</v>
      </c>
      <c r="GE1362" s="101">
        <f t="shared" si="625"/>
        <v>1</v>
      </c>
      <c r="GF1362" s="101">
        <f t="shared" si="626"/>
        <v>11</v>
      </c>
      <c r="GG1362" s="101">
        <f t="shared" si="627"/>
        <v>1.5599999999999999E-2</v>
      </c>
      <c r="GH1362" s="101">
        <f t="shared" si="628"/>
        <v>1</v>
      </c>
      <c r="GI1362" s="101">
        <f t="shared" si="629"/>
        <v>22</v>
      </c>
      <c r="GJ1362" s="101">
        <f t="shared" si="630"/>
        <v>6.2600000000000003E-2</v>
      </c>
      <c r="GK1362" s="101">
        <f t="shared" si="631"/>
        <v>1</v>
      </c>
      <c r="GL1362" s="101">
        <f t="shared" si="632"/>
        <v>48</v>
      </c>
    </row>
    <row r="1363" spans="170:194" ht="16.5" x14ac:dyDescent="0.2">
      <c r="FN1363" s="101">
        <v>1358</v>
      </c>
      <c r="FO1363" s="101">
        <f t="shared" si="617"/>
        <v>70</v>
      </c>
      <c r="FP1363" s="101">
        <f t="shared" si="633"/>
        <v>17</v>
      </c>
      <c r="FQ1363" s="14">
        <f t="shared" si="634"/>
        <v>3</v>
      </c>
      <c r="FR1363" s="101" t="str">
        <f t="shared" si="618"/>
        <v>朱仙专属武器-魂珠-8 7级</v>
      </c>
      <c r="FS1363" s="101">
        <f t="shared" si="619"/>
        <v>8</v>
      </c>
      <c r="FT1363" s="101">
        <f t="shared" si="620"/>
        <v>7</v>
      </c>
      <c r="FU1363" s="101" t="str">
        <f t="shared" si="635"/>
        <v>金币</v>
      </c>
      <c r="FV1363" s="139">
        <f>IF($FT1363&gt;0,IF(INDEX($EI$6:$EI$77,$FO1363)&gt;=FV$3,ROUND(INDEX(EK$6:EK$77,$FO1363)*INDEX(卡牌消耗!$B$8:$F$8,FQ1363)/5,0)*5,""),"")</f>
        <v>41700</v>
      </c>
      <c r="FW1363" s="101" t="str">
        <f t="shared" si="636"/>
        <v>专属强化石4</v>
      </c>
      <c r="FX1363" s="101">
        <f t="shared" si="637"/>
        <v>25</v>
      </c>
      <c r="FY1363" s="101" t="str">
        <f t="shared" si="638"/>
        <v/>
      </c>
      <c r="FZ1363" s="101" t="str">
        <f t="shared" si="639"/>
        <v/>
      </c>
      <c r="GA1363" s="101">
        <f t="shared" si="621"/>
        <v>0.03</v>
      </c>
      <c r="GB1363" s="101">
        <f t="shared" si="622"/>
        <v>1</v>
      </c>
      <c r="GC1363" s="101">
        <f t="shared" si="623"/>
        <v>56</v>
      </c>
      <c r="GD1363" s="101">
        <f t="shared" si="624"/>
        <v>0</v>
      </c>
      <c r="GE1363" s="101">
        <f t="shared" si="625"/>
        <v>1</v>
      </c>
      <c r="GF1363" s="101">
        <f t="shared" si="626"/>
        <v>13</v>
      </c>
      <c r="GG1363" s="101">
        <f t="shared" si="627"/>
        <v>1.35E-2</v>
      </c>
      <c r="GH1363" s="101">
        <f t="shared" si="628"/>
        <v>1</v>
      </c>
      <c r="GI1363" s="101">
        <f t="shared" si="629"/>
        <v>26</v>
      </c>
      <c r="GJ1363" s="101">
        <f t="shared" si="630"/>
        <v>5.3800000000000001E-2</v>
      </c>
      <c r="GK1363" s="101">
        <f t="shared" si="631"/>
        <v>1</v>
      </c>
      <c r="GL1363" s="101">
        <f t="shared" si="632"/>
        <v>56</v>
      </c>
    </row>
    <row r="1364" spans="170:194" ht="16.5" x14ac:dyDescent="0.2">
      <c r="FN1364" s="101">
        <v>1359</v>
      </c>
      <c r="FO1364" s="101">
        <f t="shared" si="617"/>
        <v>71</v>
      </c>
      <c r="FP1364" s="101">
        <f t="shared" si="633"/>
        <v>17</v>
      </c>
      <c r="FQ1364" s="14">
        <f t="shared" si="634"/>
        <v>3</v>
      </c>
      <c r="FR1364" s="101" t="str">
        <f t="shared" si="618"/>
        <v>朱仙专属武器-魂珠-8 8级</v>
      </c>
      <c r="FS1364" s="101">
        <f t="shared" si="619"/>
        <v>8</v>
      </c>
      <c r="FT1364" s="101">
        <f t="shared" si="620"/>
        <v>8</v>
      </c>
      <c r="FU1364" s="101" t="str">
        <f t="shared" si="635"/>
        <v>金币</v>
      </c>
      <c r="FV1364" s="139">
        <f>IF($FT1364&gt;0,IF(INDEX($EI$6:$EI$77,$FO1364)&gt;=FV$3,ROUND(INDEX(EK$6:EK$77,$FO1364)*INDEX(卡牌消耗!$B$8:$F$8,FQ1364)/5,0)*5,""),"")</f>
        <v>49995</v>
      </c>
      <c r="FW1364" s="101" t="str">
        <f t="shared" si="636"/>
        <v>专属强化石4</v>
      </c>
      <c r="FX1364" s="101">
        <f t="shared" si="637"/>
        <v>30</v>
      </c>
      <c r="FY1364" s="101" t="str">
        <f t="shared" si="638"/>
        <v/>
      </c>
      <c r="FZ1364" s="101" t="str">
        <f t="shared" si="639"/>
        <v/>
      </c>
      <c r="GA1364" s="101">
        <f t="shared" si="621"/>
        <v>0.02</v>
      </c>
      <c r="GB1364" s="101">
        <f t="shared" si="622"/>
        <v>1</v>
      </c>
      <c r="GC1364" s="101">
        <f t="shared" si="623"/>
        <v>75</v>
      </c>
      <c r="GD1364" s="101">
        <f t="shared" si="624"/>
        <v>0</v>
      </c>
      <c r="GE1364" s="101">
        <f t="shared" si="625"/>
        <v>1</v>
      </c>
      <c r="GF1364" s="101">
        <f t="shared" si="626"/>
        <v>18</v>
      </c>
      <c r="GG1364" s="101">
        <f t="shared" si="627"/>
        <v>0.01</v>
      </c>
      <c r="GH1364" s="101">
        <f t="shared" si="628"/>
        <v>1</v>
      </c>
      <c r="GI1364" s="101">
        <f t="shared" si="629"/>
        <v>35</v>
      </c>
      <c r="GJ1364" s="101">
        <f t="shared" si="630"/>
        <v>3.9899999999999998E-2</v>
      </c>
      <c r="GK1364" s="101">
        <f t="shared" si="631"/>
        <v>1</v>
      </c>
      <c r="GL1364" s="101">
        <f t="shared" si="632"/>
        <v>75</v>
      </c>
    </row>
    <row r="1365" spans="170:194" ht="16.5" x14ac:dyDescent="0.2">
      <c r="FN1365" s="101">
        <v>1360</v>
      </c>
      <c r="FO1365" s="101">
        <f t="shared" si="617"/>
        <v>72</v>
      </c>
      <c r="FP1365" s="101">
        <f t="shared" si="633"/>
        <v>17</v>
      </c>
      <c r="FQ1365" s="14">
        <f t="shared" si="634"/>
        <v>3</v>
      </c>
      <c r="FR1365" s="101" t="str">
        <f t="shared" si="618"/>
        <v>朱仙专属武器-魂珠-8 9级</v>
      </c>
      <c r="FS1365" s="101">
        <f t="shared" si="619"/>
        <v>8</v>
      </c>
      <c r="FT1365" s="101">
        <f t="shared" si="620"/>
        <v>9</v>
      </c>
      <c r="FU1365" s="101" t="str">
        <f t="shared" si="635"/>
        <v>金币</v>
      </c>
      <c r="FV1365" s="139">
        <f>IF($FT1365&gt;0,IF(INDEX($EI$6:$EI$77,$FO1365)&gt;=FV$3,ROUND(INDEX(EK$6:EK$77,$FO1365)*INDEX(卡牌消耗!$B$8:$F$8,FQ1365)/5,0)*5,""),"")</f>
        <v>50010</v>
      </c>
      <c r="FW1365" s="101" t="str">
        <f t="shared" si="636"/>
        <v>专属强化石4</v>
      </c>
      <c r="FX1365" s="101">
        <f t="shared" si="637"/>
        <v>30</v>
      </c>
      <c r="FY1365" s="101" t="str">
        <f t="shared" si="638"/>
        <v/>
      </c>
      <c r="FZ1365" s="101" t="str">
        <f t="shared" si="639"/>
        <v/>
      </c>
      <c r="GA1365" s="101">
        <f t="shared" si="621"/>
        <v>0.01</v>
      </c>
      <c r="GB1365" s="101">
        <f t="shared" si="622"/>
        <v>1</v>
      </c>
      <c r="GC1365" s="101">
        <f t="shared" si="623"/>
        <v>122</v>
      </c>
      <c r="GD1365" s="101">
        <f t="shared" si="624"/>
        <v>0</v>
      </c>
      <c r="GE1365" s="101">
        <f t="shared" si="625"/>
        <v>1</v>
      </c>
      <c r="GF1365" s="101">
        <f t="shared" si="626"/>
        <v>28</v>
      </c>
      <c r="GG1365" s="101">
        <f t="shared" si="627"/>
        <v>6.1999999999999998E-3</v>
      </c>
      <c r="GH1365" s="101">
        <f t="shared" si="628"/>
        <v>1</v>
      </c>
      <c r="GI1365" s="101">
        <f t="shared" si="629"/>
        <v>57</v>
      </c>
      <c r="GJ1365" s="101">
        <f t="shared" si="630"/>
        <v>2.47E-2</v>
      </c>
      <c r="GK1365" s="101">
        <f t="shared" si="631"/>
        <v>1</v>
      </c>
      <c r="GL1365" s="101">
        <f t="shared" si="632"/>
        <v>122</v>
      </c>
    </row>
    <row r="1366" spans="170:194" ht="16.5" x14ac:dyDescent="0.2">
      <c r="FN1366" s="101">
        <v>1361</v>
      </c>
      <c r="FO1366" s="101">
        <f t="shared" ref="FO1366:FO1429" si="640">IF(FT1366&gt;0,(FS1366-1)*9+FT1366,0)</f>
        <v>0</v>
      </c>
      <c r="FP1366" s="101">
        <f t="shared" si="633"/>
        <v>18</v>
      </c>
      <c r="FQ1366" s="14">
        <f t="shared" si="634"/>
        <v>3</v>
      </c>
      <c r="FR1366" s="101" t="str">
        <f t="shared" ref="FR1366:FR1429" si="641">INDEX($FI$6:$FI$26,FP1366)&amp;"专属武器-魂珠-"&amp;FS1366&amp;" "&amp;FT1366&amp;"级"</f>
        <v>雷震子专属武器-魂珠-1 0级</v>
      </c>
      <c r="FS1366" s="101">
        <f t="shared" ref="FS1366:FS1429" si="642">INT((FN1366-(FP1366-1)*80-1)/10)+1</f>
        <v>1</v>
      </c>
      <c r="FT1366" s="101">
        <f t="shared" ref="FT1366:FT1429" si="643">FN1366-(FP1366-1)*80-(FS1366-1)*10-1</f>
        <v>0</v>
      </c>
      <c r="FU1366" s="101" t="str">
        <f t="shared" si="635"/>
        <v/>
      </c>
      <c r="FV1366" s="139" t="str">
        <f>IF($FT1366&gt;0,IF(INDEX($EI$6:$EI$77,$FO1366)&gt;=FV$3,ROUND(INDEX(EK$6:EK$77,$FO1366)*INDEX(卡牌消耗!$B$8:$F$8,FQ1366)/5,0)*5,""),"")</f>
        <v/>
      </c>
      <c r="FW1366" s="101" t="str">
        <f t="shared" si="636"/>
        <v/>
      </c>
      <c r="FX1366" s="101" t="str">
        <f t="shared" si="637"/>
        <v/>
      </c>
      <c r="FY1366" s="101" t="str">
        <f t="shared" si="638"/>
        <v/>
      </c>
      <c r="FZ1366" s="101" t="str">
        <f t="shared" si="639"/>
        <v/>
      </c>
      <c r="GA1366" s="101" t="str">
        <f t="shared" ref="GA1366:GA1429" si="644">IF($FT1366&gt;0,INDEX(EP$6:EP$77,$FO1366),"")</f>
        <v/>
      </c>
      <c r="GB1366" s="101" t="str">
        <f t="shared" ref="GB1366:GB1429" si="645">IF($FT1366&gt;0,INDEX(EQ$6:EQ$77,$FO1366),"")</f>
        <v/>
      </c>
      <c r="GC1366" s="101" t="str">
        <f t="shared" ref="GC1366:GC1429" si="646">IF($FT1366&gt;0,INDEX(ER$6:ER$77,$FO1366),"")</f>
        <v/>
      </c>
      <c r="GD1366" s="101" t="str">
        <f t="shared" ref="GD1366:GD1429" si="647">IF($FT1366&gt;0,INDEX(EV$6:EV$77,$FO1366),"")</f>
        <v/>
      </c>
      <c r="GE1366" s="101" t="str">
        <f t="shared" ref="GE1366:GE1429" si="648">IF($FT1366&gt;0,INDEX(EW$6:EW$77,$FO1366),"")</f>
        <v/>
      </c>
      <c r="GF1366" s="101" t="str">
        <f t="shared" ref="GF1366:GF1429" si="649">IF($FT1366&gt;0,INDEX(EX$6:EX$77,$FO1366),"")</f>
        <v/>
      </c>
      <c r="GG1366" s="101" t="str">
        <f t="shared" ref="GG1366:GG1429" si="650">IF($FT1366&gt;0,INDEX(EY$6:EY$77,$FO1366),"")</f>
        <v/>
      </c>
      <c r="GH1366" s="101" t="str">
        <f t="shared" ref="GH1366:GH1429" si="651">IF($FT1366&gt;0,INDEX(EZ$6:EZ$77,$FO1366),"")</f>
        <v/>
      </c>
      <c r="GI1366" s="101" t="str">
        <f t="shared" ref="GI1366:GI1429" si="652">IF($FT1366&gt;0,INDEX(FA$6:FA$77,$FO1366),"")</f>
        <v/>
      </c>
      <c r="GJ1366" s="101" t="str">
        <f t="shared" ref="GJ1366:GJ1429" si="653">IF($FT1366&gt;0,INDEX(FB$6:FB$77,$FO1366),"")</f>
        <v/>
      </c>
      <c r="GK1366" s="101" t="str">
        <f t="shared" ref="GK1366:GK1429" si="654">IF($FT1366&gt;0,INDEX(FC$6:FC$77,$FO1366),"")</f>
        <v/>
      </c>
      <c r="GL1366" s="101" t="str">
        <f t="shared" ref="GL1366:GL1429" si="655">IF($FT1366&gt;0,INDEX(FD$6:FD$77,$FO1366),"")</f>
        <v/>
      </c>
    </row>
    <row r="1367" spans="170:194" ht="16.5" x14ac:dyDescent="0.2">
      <c r="FN1367" s="101">
        <v>1362</v>
      </c>
      <c r="FO1367" s="101">
        <f t="shared" si="640"/>
        <v>1</v>
      </c>
      <c r="FP1367" s="101">
        <f t="shared" si="633"/>
        <v>18</v>
      </c>
      <c r="FQ1367" s="14">
        <f t="shared" si="634"/>
        <v>3</v>
      </c>
      <c r="FR1367" s="101" t="str">
        <f t="shared" si="641"/>
        <v>雷震子专属武器-魂珠-1 1级</v>
      </c>
      <c r="FS1367" s="101">
        <f t="shared" si="642"/>
        <v>1</v>
      </c>
      <c r="FT1367" s="101">
        <f t="shared" si="643"/>
        <v>1</v>
      </c>
      <c r="FU1367" s="101" t="str">
        <f t="shared" si="635"/>
        <v>金币</v>
      </c>
      <c r="FV1367" s="139">
        <f>IF($FT1367&gt;0,IF(INDEX($EI$6:$EI$77,$FO1367)&gt;=FV$3,ROUND(INDEX(EK$6:EK$77,$FO1367)*INDEX(卡牌消耗!$B$8:$F$8,FQ1367)/5,0)*5,""),"")</f>
        <v>95</v>
      </c>
      <c r="FW1367" s="101" t="str">
        <f t="shared" si="636"/>
        <v>专属强化石1</v>
      </c>
      <c r="FX1367" s="101">
        <f t="shared" si="637"/>
        <v>1</v>
      </c>
      <c r="FY1367" s="101" t="str">
        <f t="shared" si="638"/>
        <v/>
      </c>
      <c r="FZ1367" s="101" t="str">
        <f t="shared" si="639"/>
        <v/>
      </c>
      <c r="GA1367" s="101">
        <f t="shared" si="644"/>
        <v>0.32</v>
      </c>
      <c r="GB1367" s="101">
        <f t="shared" si="645"/>
        <v>1</v>
      </c>
      <c r="GC1367" s="101">
        <f t="shared" si="646"/>
        <v>5</v>
      </c>
      <c r="GD1367" s="101">
        <f t="shared" si="647"/>
        <v>0</v>
      </c>
      <c r="GE1367" s="101">
        <f t="shared" si="648"/>
        <v>1</v>
      </c>
      <c r="GF1367" s="101">
        <f t="shared" si="649"/>
        <v>1</v>
      </c>
      <c r="GG1367" s="101">
        <f t="shared" si="650"/>
        <v>0.1595</v>
      </c>
      <c r="GH1367" s="101">
        <f t="shared" si="651"/>
        <v>1</v>
      </c>
      <c r="GI1367" s="101">
        <f t="shared" si="652"/>
        <v>2</v>
      </c>
      <c r="GJ1367" s="101">
        <f t="shared" si="653"/>
        <v>0.63819999999999999</v>
      </c>
      <c r="GK1367" s="101">
        <f t="shared" si="654"/>
        <v>1</v>
      </c>
      <c r="GL1367" s="101">
        <f t="shared" si="655"/>
        <v>5</v>
      </c>
    </row>
    <row r="1368" spans="170:194" ht="16.5" x14ac:dyDescent="0.2">
      <c r="FN1368" s="101">
        <v>1363</v>
      </c>
      <c r="FO1368" s="101">
        <f t="shared" si="640"/>
        <v>2</v>
      </c>
      <c r="FP1368" s="101">
        <f t="shared" si="633"/>
        <v>18</v>
      </c>
      <c r="FQ1368" s="14">
        <f t="shared" si="634"/>
        <v>3</v>
      </c>
      <c r="FR1368" s="101" t="str">
        <f t="shared" si="641"/>
        <v>雷震子专属武器-魂珠-1 2级</v>
      </c>
      <c r="FS1368" s="101">
        <f t="shared" si="642"/>
        <v>1</v>
      </c>
      <c r="FT1368" s="101">
        <f t="shared" si="643"/>
        <v>2</v>
      </c>
      <c r="FU1368" s="101" t="str">
        <f t="shared" si="635"/>
        <v>金币</v>
      </c>
      <c r="FV1368" s="139">
        <f>IF($FT1368&gt;0,IF(INDEX($EI$6:$EI$77,$FO1368)&gt;=FV$3,ROUND(INDEX(EK$6:EK$77,$FO1368)*INDEX(卡牌消耗!$B$8:$F$8,FQ1368)/5,0)*5,""),"")</f>
        <v>140</v>
      </c>
      <c r="FW1368" s="101" t="str">
        <f t="shared" si="636"/>
        <v>专属强化石1</v>
      </c>
      <c r="FX1368" s="101">
        <f t="shared" si="637"/>
        <v>2</v>
      </c>
      <c r="FY1368" s="101" t="str">
        <f t="shared" si="638"/>
        <v/>
      </c>
      <c r="FZ1368" s="101" t="str">
        <f t="shared" si="639"/>
        <v/>
      </c>
      <c r="GA1368" s="101">
        <f t="shared" si="644"/>
        <v>0.32</v>
      </c>
      <c r="GB1368" s="101">
        <f t="shared" si="645"/>
        <v>1</v>
      </c>
      <c r="GC1368" s="101">
        <f t="shared" si="646"/>
        <v>5</v>
      </c>
      <c r="GD1368" s="101">
        <f t="shared" si="647"/>
        <v>0</v>
      </c>
      <c r="GE1368" s="101">
        <f t="shared" si="648"/>
        <v>1</v>
      </c>
      <c r="GF1368" s="101">
        <f t="shared" si="649"/>
        <v>1</v>
      </c>
      <c r="GG1368" s="101">
        <f t="shared" si="650"/>
        <v>0.1595</v>
      </c>
      <c r="GH1368" s="101">
        <f t="shared" si="651"/>
        <v>1</v>
      </c>
      <c r="GI1368" s="101">
        <f t="shared" si="652"/>
        <v>2</v>
      </c>
      <c r="GJ1368" s="101">
        <f t="shared" si="653"/>
        <v>0.63819999999999999</v>
      </c>
      <c r="GK1368" s="101">
        <f t="shared" si="654"/>
        <v>1</v>
      </c>
      <c r="GL1368" s="101">
        <f t="shared" si="655"/>
        <v>5</v>
      </c>
    </row>
    <row r="1369" spans="170:194" ht="16.5" x14ac:dyDescent="0.2">
      <c r="FN1369" s="101">
        <v>1364</v>
      </c>
      <c r="FO1369" s="101">
        <f t="shared" si="640"/>
        <v>3</v>
      </c>
      <c r="FP1369" s="101">
        <f t="shared" si="633"/>
        <v>18</v>
      </c>
      <c r="FQ1369" s="14">
        <f t="shared" si="634"/>
        <v>3</v>
      </c>
      <c r="FR1369" s="101" t="str">
        <f t="shared" si="641"/>
        <v>雷震子专属武器-魂珠-1 3级</v>
      </c>
      <c r="FS1369" s="101">
        <f t="shared" si="642"/>
        <v>1</v>
      </c>
      <c r="FT1369" s="101">
        <f t="shared" si="643"/>
        <v>3</v>
      </c>
      <c r="FU1369" s="101" t="str">
        <f t="shared" si="635"/>
        <v>金币</v>
      </c>
      <c r="FV1369" s="139">
        <f>IF($FT1369&gt;0,IF(INDEX($EI$6:$EI$77,$FO1369)&gt;=FV$3,ROUND(INDEX(EK$6:EK$77,$FO1369)*INDEX(卡牌消耗!$B$8:$F$8,FQ1369)/5,0)*5,""),"")</f>
        <v>235</v>
      </c>
      <c r="FW1369" s="101" t="str">
        <f t="shared" si="636"/>
        <v>专属强化石1</v>
      </c>
      <c r="FX1369" s="101">
        <f t="shared" si="637"/>
        <v>3</v>
      </c>
      <c r="FY1369" s="101" t="str">
        <f t="shared" si="638"/>
        <v/>
      </c>
      <c r="FZ1369" s="101" t="str">
        <f t="shared" si="639"/>
        <v/>
      </c>
      <c r="GA1369" s="101">
        <f t="shared" si="644"/>
        <v>0.32</v>
      </c>
      <c r="GB1369" s="101">
        <f t="shared" si="645"/>
        <v>1</v>
      </c>
      <c r="GC1369" s="101">
        <f t="shared" si="646"/>
        <v>5</v>
      </c>
      <c r="GD1369" s="101">
        <f t="shared" si="647"/>
        <v>0</v>
      </c>
      <c r="GE1369" s="101">
        <f t="shared" si="648"/>
        <v>1</v>
      </c>
      <c r="GF1369" s="101">
        <f t="shared" si="649"/>
        <v>1</v>
      </c>
      <c r="GG1369" s="101">
        <f t="shared" si="650"/>
        <v>0.1595</v>
      </c>
      <c r="GH1369" s="101">
        <f t="shared" si="651"/>
        <v>1</v>
      </c>
      <c r="GI1369" s="101">
        <f t="shared" si="652"/>
        <v>2</v>
      </c>
      <c r="GJ1369" s="101">
        <f t="shared" si="653"/>
        <v>0.63819999999999999</v>
      </c>
      <c r="GK1369" s="101">
        <f t="shared" si="654"/>
        <v>1</v>
      </c>
      <c r="GL1369" s="101">
        <f t="shared" si="655"/>
        <v>5</v>
      </c>
    </row>
    <row r="1370" spans="170:194" ht="16.5" x14ac:dyDescent="0.2">
      <c r="FN1370" s="101">
        <v>1365</v>
      </c>
      <c r="FO1370" s="101">
        <f t="shared" si="640"/>
        <v>4</v>
      </c>
      <c r="FP1370" s="101">
        <f t="shared" si="633"/>
        <v>18</v>
      </c>
      <c r="FQ1370" s="14">
        <f t="shared" si="634"/>
        <v>3</v>
      </c>
      <c r="FR1370" s="101" t="str">
        <f t="shared" si="641"/>
        <v>雷震子专属武器-魂珠-1 4级</v>
      </c>
      <c r="FS1370" s="101">
        <f t="shared" si="642"/>
        <v>1</v>
      </c>
      <c r="FT1370" s="101">
        <f t="shared" si="643"/>
        <v>4</v>
      </c>
      <c r="FU1370" s="101" t="str">
        <f t="shared" si="635"/>
        <v>金币</v>
      </c>
      <c r="FV1370" s="139">
        <f>IF($FT1370&gt;0,IF(INDEX($EI$6:$EI$77,$FO1370)&gt;=FV$3,ROUND(INDEX(EK$6:EK$77,$FO1370)*INDEX(卡牌消耗!$B$8:$F$8,FQ1370)/5,0)*5,""),"")</f>
        <v>305</v>
      </c>
      <c r="FW1370" s="101" t="str">
        <f t="shared" si="636"/>
        <v>专属强化石1</v>
      </c>
      <c r="FX1370" s="101">
        <f t="shared" si="637"/>
        <v>4</v>
      </c>
      <c r="FY1370" s="101" t="str">
        <f t="shared" si="638"/>
        <v/>
      </c>
      <c r="FZ1370" s="101" t="str">
        <f t="shared" si="639"/>
        <v/>
      </c>
      <c r="GA1370" s="101">
        <f t="shared" si="644"/>
        <v>0.26</v>
      </c>
      <c r="GB1370" s="101">
        <f t="shared" si="645"/>
        <v>1</v>
      </c>
      <c r="GC1370" s="101">
        <f t="shared" si="646"/>
        <v>6</v>
      </c>
      <c r="GD1370" s="101">
        <f t="shared" si="647"/>
        <v>0</v>
      </c>
      <c r="GE1370" s="101">
        <f t="shared" si="648"/>
        <v>1</v>
      </c>
      <c r="GF1370" s="101">
        <f t="shared" si="649"/>
        <v>1</v>
      </c>
      <c r="GG1370" s="101">
        <f t="shared" si="650"/>
        <v>0.12759999999999999</v>
      </c>
      <c r="GH1370" s="101">
        <f t="shared" si="651"/>
        <v>1</v>
      </c>
      <c r="GI1370" s="101">
        <f t="shared" si="652"/>
        <v>3</v>
      </c>
      <c r="GJ1370" s="101">
        <f t="shared" si="653"/>
        <v>0.51060000000000005</v>
      </c>
      <c r="GK1370" s="101">
        <f t="shared" si="654"/>
        <v>1</v>
      </c>
      <c r="GL1370" s="101">
        <f t="shared" si="655"/>
        <v>6</v>
      </c>
    </row>
    <row r="1371" spans="170:194" ht="16.5" x14ac:dyDescent="0.2">
      <c r="FN1371" s="101">
        <v>1366</v>
      </c>
      <c r="FO1371" s="101">
        <f t="shared" si="640"/>
        <v>5</v>
      </c>
      <c r="FP1371" s="101">
        <f t="shared" si="633"/>
        <v>18</v>
      </c>
      <c r="FQ1371" s="14">
        <f t="shared" si="634"/>
        <v>3</v>
      </c>
      <c r="FR1371" s="101" t="str">
        <f t="shared" si="641"/>
        <v>雷震子专属武器-魂珠-1 5级</v>
      </c>
      <c r="FS1371" s="101">
        <f t="shared" si="642"/>
        <v>1</v>
      </c>
      <c r="FT1371" s="101">
        <f t="shared" si="643"/>
        <v>5</v>
      </c>
      <c r="FU1371" s="101" t="str">
        <f t="shared" si="635"/>
        <v>金币</v>
      </c>
      <c r="FV1371" s="139">
        <f>IF($FT1371&gt;0,IF(INDEX($EI$6:$EI$77,$FO1371)&gt;=FV$3,ROUND(INDEX(EK$6:EK$77,$FO1371)*INDEX(卡牌消耗!$B$8:$F$8,FQ1371)/5,0)*5,""),"")</f>
        <v>385</v>
      </c>
      <c r="FW1371" s="101" t="str">
        <f t="shared" si="636"/>
        <v>专属强化石1</v>
      </c>
      <c r="FX1371" s="101">
        <f t="shared" si="637"/>
        <v>5</v>
      </c>
      <c r="FY1371" s="101" t="str">
        <f t="shared" si="638"/>
        <v/>
      </c>
      <c r="FZ1371" s="101" t="str">
        <f t="shared" si="639"/>
        <v/>
      </c>
      <c r="GA1371" s="101">
        <f t="shared" si="644"/>
        <v>0.2</v>
      </c>
      <c r="GB1371" s="101">
        <f t="shared" si="645"/>
        <v>1</v>
      </c>
      <c r="GC1371" s="101">
        <f t="shared" si="646"/>
        <v>8</v>
      </c>
      <c r="GD1371" s="101">
        <f t="shared" si="647"/>
        <v>0</v>
      </c>
      <c r="GE1371" s="101">
        <f t="shared" si="648"/>
        <v>1</v>
      </c>
      <c r="GF1371" s="101">
        <f t="shared" si="649"/>
        <v>2</v>
      </c>
      <c r="GG1371" s="101">
        <f t="shared" si="650"/>
        <v>9.9699999999999997E-2</v>
      </c>
      <c r="GH1371" s="101">
        <f t="shared" si="651"/>
        <v>1</v>
      </c>
      <c r="GI1371" s="101">
        <f t="shared" si="652"/>
        <v>4</v>
      </c>
      <c r="GJ1371" s="101">
        <f t="shared" si="653"/>
        <v>0.39889999999999998</v>
      </c>
      <c r="GK1371" s="101">
        <f t="shared" si="654"/>
        <v>1</v>
      </c>
      <c r="GL1371" s="101">
        <f t="shared" si="655"/>
        <v>8</v>
      </c>
    </row>
    <row r="1372" spans="170:194" ht="16.5" x14ac:dyDescent="0.2">
      <c r="FN1372" s="101">
        <v>1367</v>
      </c>
      <c r="FO1372" s="101">
        <f t="shared" si="640"/>
        <v>6</v>
      </c>
      <c r="FP1372" s="101">
        <f t="shared" si="633"/>
        <v>18</v>
      </c>
      <c r="FQ1372" s="14">
        <f t="shared" si="634"/>
        <v>3</v>
      </c>
      <c r="FR1372" s="101" t="str">
        <f t="shared" si="641"/>
        <v>雷震子专属武器-魂珠-1 6级</v>
      </c>
      <c r="FS1372" s="101">
        <f t="shared" si="642"/>
        <v>1</v>
      </c>
      <c r="FT1372" s="101">
        <f t="shared" si="643"/>
        <v>6</v>
      </c>
      <c r="FU1372" s="101" t="str">
        <f t="shared" si="635"/>
        <v>金币</v>
      </c>
      <c r="FV1372" s="139">
        <f>IF($FT1372&gt;0,IF(INDEX($EI$6:$EI$77,$FO1372)&gt;=FV$3,ROUND(INDEX(EK$6:EK$77,$FO1372)*INDEX(卡牌消耗!$B$8:$F$8,FQ1372)/5,0)*5,""),"")</f>
        <v>460</v>
      </c>
      <c r="FW1372" s="101" t="str">
        <f t="shared" si="636"/>
        <v>专属强化石1</v>
      </c>
      <c r="FX1372" s="101">
        <f t="shared" si="637"/>
        <v>6</v>
      </c>
      <c r="FY1372" s="101" t="str">
        <f t="shared" si="638"/>
        <v/>
      </c>
      <c r="FZ1372" s="101" t="str">
        <f t="shared" si="639"/>
        <v/>
      </c>
      <c r="GA1372" s="101">
        <f t="shared" si="644"/>
        <v>0.15</v>
      </c>
      <c r="GB1372" s="101">
        <f t="shared" si="645"/>
        <v>1</v>
      </c>
      <c r="GC1372" s="101">
        <f t="shared" si="646"/>
        <v>10</v>
      </c>
      <c r="GD1372" s="101">
        <f t="shared" si="647"/>
        <v>0</v>
      </c>
      <c r="GE1372" s="101">
        <f t="shared" si="648"/>
        <v>1</v>
      </c>
      <c r="GF1372" s="101">
        <f t="shared" si="649"/>
        <v>2</v>
      </c>
      <c r="GG1372" s="101">
        <f t="shared" si="650"/>
        <v>7.3599999999999999E-2</v>
      </c>
      <c r="GH1372" s="101">
        <f t="shared" si="651"/>
        <v>1</v>
      </c>
      <c r="GI1372" s="101">
        <f t="shared" si="652"/>
        <v>5</v>
      </c>
      <c r="GJ1372" s="101">
        <f t="shared" si="653"/>
        <v>0.29459999999999997</v>
      </c>
      <c r="GK1372" s="101">
        <f t="shared" si="654"/>
        <v>1</v>
      </c>
      <c r="GL1372" s="101">
        <f t="shared" si="655"/>
        <v>10</v>
      </c>
    </row>
    <row r="1373" spans="170:194" ht="16.5" x14ac:dyDescent="0.2">
      <c r="FN1373" s="101">
        <v>1368</v>
      </c>
      <c r="FO1373" s="101">
        <f t="shared" si="640"/>
        <v>7</v>
      </c>
      <c r="FP1373" s="101">
        <f t="shared" si="633"/>
        <v>18</v>
      </c>
      <c r="FQ1373" s="14">
        <f t="shared" si="634"/>
        <v>3</v>
      </c>
      <c r="FR1373" s="101" t="str">
        <f t="shared" si="641"/>
        <v>雷震子专属武器-魂珠-1 7级</v>
      </c>
      <c r="FS1373" s="101">
        <f t="shared" si="642"/>
        <v>1</v>
      </c>
      <c r="FT1373" s="101">
        <f t="shared" si="643"/>
        <v>7</v>
      </c>
      <c r="FU1373" s="101" t="str">
        <f t="shared" si="635"/>
        <v>金币</v>
      </c>
      <c r="FV1373" s="139">
        <f>IF($FT1373&gt;0,IF(INDEX($EI$6:$EI$77,$FO1373)&gt;=FV$3,ROUND(INDEX(EK$6:EK$77,$FO1373)*INDEX(卡牌消耗!$B$8:$F$8,FQ1373)/5,0)*5,""),"")</f>
        <v>535</v>
      </c>
      <c r="FW1373" s="101" t="str">
        <f t="shared" si="636"/>
        <v>专属强化石1</v>
      </c>
      <c r="FX1373" s="101">
        <f t="shared" si="637"/>
        <v>7</v>
      </c>
      <c r="FY1373" s="101" t="str">
        <f t="shared" si="638"/>
        <v/>
      </c>
      <c r="FZ1373" s="101" t="str">
        <f t="shared" si="639"/>
        <v/>
      </c>
      <c r="GA1373" s="101">
        <f t="shared" si="644"/>
        <v>0.11</v>
      </c>
      <c r="GB1373" s="101">
        <f t="shared" si="645"/>
        <v>1</v>
      </c>
      <c r="GC1373" s="101">
        <f t="shared" si="646"/>
        <v>14</v>
      </c>
      <c r="GD1373" s="101">
        <f t="shared" si="647"/>
        <v>0</v>
      </c>
      <c r="GE1373" s="101">
        <f t="shared" si="648"/>
        <v>1</v>
      </c>
      <c r="GF1373" s="101">
        <f t="shared" si="649"/>
        <v>3</v>
      </c>
      <c r="GG1373" s="101">
        <f t="shared" si="650"/>
        <v>5.3199999999999997E-2</v>
      </c>
      <c r="GH1373" s="101">
        <f t="shared" si="651"/>
        <v>1</v>
      </c>
      <c r="GI1373" s="101">
        <f t="shared" si="652"/>
        <v>7</v>
      </c>
      <c r="GJ1373" s="101">
        <f t="shared" si="653"/>
        <v>0.2127</v>
      </c>
      <c r="GK1373" s="101">
        <f t="shared" si="654"/>
        <v>1</v>
      </c>
      <c r="GL1373" s="101">
        <f t="shared" si="655"/>
        <v>14</v>
      </c>
    </row>
    <row r="1374" spans="170:194" ht="16.5" x14ac:dyDescent="0.2">
      <c r="FN1374" s="101">
        <v>1369</v>
      </c>
      <c r="FO1374" s="101">
        <f t="shared" si="640"/>
        <v>8</v>
      </c>
      <c r="FP1374" s="101">
        <f t="shared" si="633"/>
        <v>18</v>
      </c>
      <c r="FQ1374" s="14">
        <f t="shared" si="634"/>
        <v>3</v>
      </c>
      <c r="FR1374" s="101" t="str">
        <f t="shared" si="641"/>
        <v>雷震子专属武器-魂珠-1 8级</v>
      </c>
      <c r="FS1374" s="101">
        <f t="shared" si="642"/>
        <v>1</v>
      </c>
      <c r="FT1374" s="101">
        <f t="shared" si="643"/>
        <v>8</v>
      </c>
      <c r="FU1374" s="101" t="str">
        <f t="shared" si="635"/>
        <v>金币</v>
      </c>
      <c r="FV1374" s="139">
        <f>IF($FT1374&gt;0,IF(INDEX($EI$6:$EI$77,$FO1374)&gt;=FV$3,ROUND(INDEX(EK$6:EK$77,$FO1374)*INDEX(卡牌消耗!$B$8:$F$8,FQ1374)/5,0)*5,""),"")</f>
        <v>615</v>
      </c>
      <c r="FW1374" s="101" t="str">
        <f t="shared" si="636"/>
        <v>专属强化石1</v>
      </c>
      <c r="FX1374" s="101">
        <f t="shared" si="637"/>
        <v>8</v>
      </c>
      <c r="FY1374" s="101" t="str">
        <f t="shared" si="638"/>
        <v/>
      </c>
      <c r="FZ1374" s="101" t="str">
        <f t="shared" si="639"/>
        <v/>
      </c>
      <c r="GA1374" s="101">
        <f t="shared" si="644"/>
        <v>0.08</v>
      </c>
      <c r="GB1374" s="101">
        <f t="shared" si="645"/>
        <v>1</v>
      </c>
      <c r="GC1374" s="101">
        <f t="shared" si="646"/>
        <v>20</v>
      </c>
      <c r="GD1374" s="101">
        <f t="shared" si="647"/>
        <v>0</v>
      </c>
      <c r="GE1374" s="101">
        <f t="shared" si="648"/>
        <v>1</v>
      </c>
      <c r="GF1374" s="101">
        <f t="shared" si="649"/>
        <v>5</v>
      </c>
      <c r="GG1374" s="101">
        <f t="shared" si="650"/>
        <v>3.7499999999999999E-2</v>
      </c>
      <c r="GH1374" s="101">
        <f t="shared" si="651"/>
        <v>1</v>
      </c>
      <c r="GI1374" s="101">
        <f t="shared" si="652"/>
        <v>9</v>
      </c>
      <c r="GJ1374" s="101">
        <f t="shared" si="653"/>
        <v>0.1502</v>
      </c>
      <c r="GK1374" s="101">
        <f t="shared" si="654"/>
        <v>1</v>
      </c>
      <c r="GL1374" s="101">
        <f t="shared" si="655"/>
        <v>20</v>
      </c>
    </row>
    <row r="1375" spans="170:194" ht="16.5" x14ac:dyDescent="0.2">
      <c r="FN1375" s="101">
        <v>1370</v>
      </c>
      <c r="FO1375" s="101">
        <f t="shared" si="640"/>
        <v>9</v>
      </c>
      <c r="FP1375" s="101">
        <f t="shared" si="633"/>
        <v>18</v>
      </c>
      <c r="FQ1375" s="14">
        <f t="shared" si="634"/>
        <v>3</v>
      </c>
      <c r="FR1375" s="101" t="str">
        <f t="shared" si="641"/>
        <v>雷震子专属武器-魂珠-1 9级</v>
      </c>
      <c r="FS1375" s="101">
        <f t="shared" si="642"/>
        <v>1</v>
      </c>
      <c r="FT1375" s="101">
        <f t="shared" si="643"/>
        <v>9</v>
      </c>
      <c r="FU1375" s="101" t="str">
        <f t="shared" si="635"/>
        <v>金币</v>
      </c>
      <c r="FV1375" s="139">
        <f>IF($FT1375&gt;0,IF(INDEX($EI$6:$EI$77,$FO1375)&gt;=FV$3,ROUND(INDEX(EK$6:EK$77,$FO1375)*INDEX(卡牌消耗!$B$8:$F$8,FQ1375)/5,0)*5,""),"")</f>
        <v>765</v>
      </c>
      <c r="FW1375" s="101" t="str">
        <f t="shared" si="636"/>
        <v>专属强化石1</v>
      </c>
      <c r="FX1375" s="101">
        <f t="shared" si="637"/>
        <v>10</v>
      </c>
      <c r="FY1375" s="101" t="str">
        <f t="shared" si="638"/>
        <v/>
      </c>
      <c r="FZ1375" s="101" t="str">
        <f t="shared" si="639"/>
        <v/>
      </c>
      <c r="GA1375" s="101">
        <f t="shared" si="644"/>
        <v>0.06</v>
      </c>
      <c r="GB1375" s="101">
        <f t="shared" si="645"/>
        <v>1</v>
      </c>
      <c r="GC1375" s="101">
        <f t="shared" si="646"/>
        <v>26</v>
      </c>
      <c r="GD1375" s="101">
        <f t="shared" si="647"/>
        <v>0</v>
      </c>
      <c r="GE1375" s="101">
        <f t="shared" si="648"/>
        <v>1</v>
      </c>
      <c r="GF1375" s="101">
        <f t="shared" si="649"/>
        <v>6</v>
      </c>
      <c r="GG1375" s="101">
        <f t="shared" si="650"/>
        <v>2.9000000000000001E-2</v>
      </c>
      <c r="GH1375" s="101">
        <f t="shared" si="651"/>
        <v>1</v>
      </c>
      <c r="GI1375" s="101">
        <f t="shared" si="652"/>
        <v>12</v>
      </c>
      <c r="GJ1375" s="101">
        <f t="shared" si="653"/>
        <v>0.11600000000000001</v>
      </c>
      <c r="GK1375" s="101">
        <f t="shared" si="654"/>
        <v>1</v>
      </c>
      <c r="GL1375" s="101">
        <f t="shared" si="655"/>
        <v>26</v>
      </c>
    </row>
    <row r="1376" spans="170:194" ht="16.5" x14ac:dyDescent="0.2">
      <c r="FN1376" s="101">
        <v>1371</v>
      </c>
      <c r="FO1376" s="101">
        <f t="shared" si="640"/>
        <v>0</v>
      </c>
      <c r="FP1376" s="101">
        <f t="shared" si="633"/>
        <v>18</v>
      </c>
      <c r="FQ1376" s="14">
        <f t="shared" si="634"/>
        <v>3</v>
      </c>
      <c r="FR1376" s="101" t="str">
        <f t="shared" si="641"/>
        <v>雷震子专属武器-魂珠-2 0级</v>
      </c>
      <c r="FS1376" s="101">
        <f t="shared" si="642"/>
        <v>2</v>
      </c>
      <c r="FT1376" s="101">
        <f t="shared" si="643"/>
        <v>0</v>
      </c>
      <c r="FU1376" s="101" t="str">
        <f t="shared" si="635"/>
        <v/>
      </c>
      <c r="FV1376" s="139" t="str">
        <f>IF($FT1376&gt;0,IF(INDEX($EI$6:$EI$77,$FO1376)&gt;=FV$3,ROUND(INDEX(EK$6:EK$77,$FO1376)*INDEX(卡牌消耗!$B$8:$F$8,FQ1376)/5,0)*5,""),"")</f>
        <v/>
      </c>
      <c r="FW1376" s="101" t="str">
        <f t="shared" si="636"/>
        <v/>
      </c>
      <c r="FX1376" s="101" t="str">
        <f t="shared" si="637"/>
        <v/>
      </c>
      <c r="FY1376" s="101" t="str">
        <f t="shared" si="638"/>
        <v/>
      </c>
      <c r="FZ1376" s="101" t="str">
        <f t="shared" si="639"/>
        <v/>
      </c>
      <c r="GA1376" s="101" t="str">
        <f t="shared" si="644"/>
        <v/>
      </c>
      <c r="GB1376" s="101" t="str">
        <f t="shared" si="645"/>
        <v/>
      </c>
      <c r="GC1376" s="101" t="str">
        <f t="shared" si="646"/>
        <v/>
      </c>
      <c r="GD1376" s="101" t="str">
        <f t="shared" si="647"/>
        <v/>
      </c>
      <c r="GE1376" s="101" t="str">
        <f t="shared" si="648"/>
        <v/>
      </c>
      <c r="GF1376" s="101" t="str">
        <f t="shared" si="649"/>
        <v/>
      </c>
      <c r="GG1376" s="101" t="str">
        <f t="shared" si="650"/>
        <v/>
      </c>
      <c r="GH1376" s="101" t="str">
        <f t="shared" si="651"/>
        <v/>
      </c>
      <c r="GI1376" s="101" t="str">
        <f t="shared" si="652"/>
        <v/>
      </c>
      <c r="GJ1376" s="101" t="str">
        <f t="shared" si="653"/>
        <v/>
      </c>
      <c r="GK1376" s="101" t="str">
        <f t="shared" si="654"/>
        <v/>
      </c>
      <c r="GL1376" s="101" t="str">
        <f t="shared" si="655"/>
        <v/>
      </c>
    </row>
    <row r="1377" spans="170:194" ht="16.5" x14ac:dyDescent="0.2">
      <c r="FN1377" s="101">
        <v>1372</v>
      </c>
      <c r="FO1377" s="101">
        <f t="shared" si="640"/>
        <v>10</v>
      </c>
      <c r="FP1377" s="101">
        <f t="shared" si="633"/>
        <v>18</v>
      </c>
      <c r="FQ1377" s="14">
        <f t="shared" si="634"/>
        <v>3</v>
      </c>
      <c r="FR1377" s="101" t="str">
        <f t="shared" si="641"/>
        <v>雷震子专属武器-魂珠-2 1级</v>
      </c>
      <c r="FS1377" s="101">
        <f t="shared" si="642"/>
        <v>2</v>
      </c>
      <c r="FT1377" s="101">
        <f t="shared" si="643"/>
        <v>1</v>
      </c>
      <c r="FU1377" s="101" t="str">
        <f t="shared" si="635"/>
        <v>金币</v>
      </c>
      <c r="FV1377" s="139">
        <f>IF($FT1377&gt;0,IF(INDEX($EI$6:$EI$77,$FO1377)&gt;=FV$3,ROUND(INDEX(EK$6:EK$77,$FO1377)*INDEX(卡牌消耗!$B$8:$F$8,FQ1377)/5,0)*5,""),"")</f>
        <v>260</v>
      </c>
      <c r="FW1377" s="101" t="str">
        <f t="shared" si="636"/>
        <v>专属强化石1</v>
      </c>
      <c r="FX1377" s="101">
        <f t="shared" si="637"/>
        <v>3</v>
      </c>
      <c r="FY1377" s="101" t="str">
        <f t="shared" si="638"/>
        <v>专属强化石2</v>
      </c>
      <c r="FZ1377" s="101">
        <f t="shared" si="639"/>
        <v>1</v>
      </c>
      <c r="GA1377" s="101">
        <f t="shared" si="644"/>
        <v>0.39</v>
      </c>
      <c r="GB1377" s="101">
        <f t="shared" si="645"/>
        <v>1</v>
      </c>
      <c r="GC1377" s="101">
        <f t="shared" si="646"/>
        <v>4</v>
      </c>
      <c r="GD1377" s="101">
        <f t="shared" si="647"/>
        <v>0</v>
      </c>
      <c r="GE1377" s="101">
        <f t="shared" si="648"/>
        <v>1</v>
      </c>
      <c r="GF1377" s="101">
        <f t="shared" si="649"/>
        <v>1</v>
      </c>
      <c r="GG1377" s="101">
        <f t="shared" si="650"/>
        <v>0.19270000000000001</v>
      </c>
      <c r="GH1377" s="101">
        <f t="shared" si="651"/>
        <v>1</v>
      </c>
      <c r="GI1377" s="101">
        <f t="shared" si="652"/>
        <v>2</v>
      </c>
      <c r="GJ1377" s="101">
        <f t="shared" si="653"/>
        <v>0.77070000000000005</v>
      </c>
      <c r="GK1377" s="101">
        <f t="shared" si="654"/>
        <v>1</v>
      </c>
      <c r="GL1377" s="101">
        <f t="shared" si="655"/>
        <v>4</v>
      </c>
    </row>
    <row r="1378" spans="170:194" ht="16.5" x14ac:dyDescent="0.2">
      <c r="FN1378" s="101">
        <v>1373</v>
      </c>
      <c r="FO1378" s="101">
        <f t="shared" si="640"/>
        <v>11</v>
      </c>
      <c r="FP1378" s="101">
        <f t="shared" si="633"/>
        <v>18</v>
      </c>
      <c r="FQ1378" s="14">
        <f t="shared" si="634"/>
        <v>3</v>
      </c>
      <c r="FR1378" s="101" t="str">
        <f t="shared" si="641"/>
        <v>雷震子专属武器-魂珠-2 2级</v>
      </c>
      <c r="FS1378" s="101">
        <f t="shared" si="642"/>
        <v>2</v>
      </c>
      <c r="FT1378" s="101">
        <f t="shared" si="643"/>
        <v>2</v>
      </c>
      <c r="FU1378" s="101" t="str">
        <f t="shared" si="635"/>
        <v>金币</v>
      </c>
      <c r="FV1378" s="139">
        <f>IF($FT1378&gt;0,IF(INDEX($EI$6:$EI$77,$FO1378)&gt;=FV$3,ROUND(INDEX(EK$6:EK$77,$FO1378)*INDEX(卡牌消耗!$B$8:$F$8,FQ1378)/5,0)*5,""),"")</f>
        <v>195</v>
      </c>
      <c r="FW1378" s="101" t="str">
        <f t="shared" si="636"/>
        <v>专属强化石1</v>
      </c>
      <c r="FX1378" s="101">
        <f t="shared" si="637"/>
        <v>3</v>
      </c>
      <c r="FY1378" s="101" t="str">
        <f t="shared" si="638"/>
        <v>专属强化石2</v>
      </c>
      <c r="FZ1378" s="101">
        <f t="shared" si="639"/>
        <v>1</v>
      </c>
      <c r="GA1378" s="101">
        <f t="shared" si="644"/>
        <v>0.19</v>
      </c>
      <c r="GB1378" s="101">
        <f t="shared" si="645"/>
        <v>1</v>
      </c>
      <c r="GC1378" s="101">
        <f t="shared" si="646"/>
        <v>8</v>
      </c>
      <c r="GD1378" s="101">
        <f t="shared" si="647"/>
        <v>0</v>
      </c>
      <c r="GE1378" s="101">
        <f t="shared" si="648"/>
        <v>1</v>
      </c>
      <c r="GF1378" s="101">
        <f t="shared" si="649"/>
        <v>2</v>
      </c>
      <c r="GG1378" s="101">
        <f t="shared" si="650"/>
        <v>9.6299999999999997E-2</v>
      </c>
      <c r="GH1378" s="101">
        <f t="shared" si="651"/>
        <v>1</v>
      </c>
      <c r="GI1378" s="101">
        <f t="shared" si="652"/>
        <v>4</v>
      </c>
      <c r="GJ1378" s="101">
        <f t="shared" si="653"/>
        <v>0.38529999999999998</v>
      </c>
      <c r="GK1378" s="101">
        <f t="shared" si="654"/>
        <v>1</v>
      </c>
      <c r="GL1378" s="101">
        <f t="shared" si="655"/>
        <v>8</v>
      </c>
    </row>
    <row r="1379" spans="170:194" ht="16.5" x14ac:dyDescent="0.2">
      <c r="FN1379" s="101">
        <v>1374</v>
      </c>
      <c r="FO1379" s="101">
        <f t="shared" si="640"/>
        <v>12</v>
      </c>
      <c r="FP1379" s="101">
        <f t="shared" si="633"/>
        <v>18</v>
      </c>
      <c r="FQ1379" s="14">
        <f t="shared" si="634"/>
        <v>3</v>
      </c>
      <c r="FR1379" s="101" t="str">
        <f t="shared" si="641"/>
        <v>雷震子专属武器-魂珠-2 3级</v>
      </c>
      <c r="FS1379" s="101">
        <f t="shared" si="642"/>
        <v>2</v>
      </c>
      <c r="FT1379" s="101">
        <f t="shared" si="643"/>
        <v>3</v>
      </c>
      <c r="FU1379" s="101" t="str">
        <f t="shared" si="635"/>
        <v>金币</v>
      </c>
      <c r="FV1379" s="139">
        <f>IF($FT1379&gt;0,IF(INDEX($EI$6:$EI$77,$FO1379)&gt;=FV$3,ROUND(INDEX(EK$6:EK$77,$FO1379)*INDEX(卡牌消耗!$B$8:$F$8,FQ1379)/5,0)*5,""),"")</f>
        <v>435</v>
      </c>
      <c r="FW1379" s="101" t="str">
        <f t="shared" si="636"/>
        <v>专属强化石1</v>
      </c>
      <c r="FX1379" s="101">
        <f t="shared" si="637"/>
        <v>6</v>
      </c>
      <c r="FY1379" s="101" t="str">
        <f t="shared" si="638"/>
        <v>专属强化石2</v>
      </c>
      <c r="FZ1379" s="101">
        <f t="shared" si="639"/>
        <v>2</v>
      </c>
      <c r="GA1379" s="101">
        <f t="shared" si="644"/>
        <v>0.26</v>
      </c>
      <c r="GB1379" s="101">
        <f t="shared" si="645"/>
        <v>1</v>
      </c>
      <c r="GC1379" s="101">
        <f t="shared" si="646"/>
        <v>6</v>
      </c>
      <c r="GD1379" s="101">
        <f t="shared" si="647"/>
        <v>0</v>
      </c>
      <c r="GE1379" s="101">
        <f t="shared" si="648"/>
        <v>1</v>
      </c>
      <c r="GF1379" s="101">
        <f t="shared" si="649"/>
        <v>1</v>
      </c>
      <c r="GG1379" s="101">
        <f t="shared" si="650"/>
        <v>0.12839999999999999</v>
      </c>
      <c r="GH1379" s="101">
        <f t="shared" si="651"/>
        <v>1</v>
      </c>
      <c r="GI1379" s="101">
        <f t="shared" si="652"/>
        <v>3</v>
      </c>
      <c r="GJ1379" s="101">
        <f t="shared" si="653"/>
        <v>0.51380000000000003</v>
      </c>
      <c r="GK1379" s="101">
        <f t="shared" si="654"/>
        <v>1</v>
      </c>
      <c r="GL1379" s="101">
        <f t="shared" si="655"/>
        <v>6</v>
      </c>
    </row>
    <row r="1380" spans="170:194" ht="16.5" x14ac:dyDescent="0.2">
      <c r="FN1380" s="101">
        <v>1375</v>
      </c>
      <c r="FO1380" s="101">
        <f t="shared" si="640"/>
        <v>13</v>
      </c>
      <c r="FP1380" s="101">
        <f t="shared" si="633"/>
        <v>18</v>
      </c>
      <c r="FQ1380" s="14">
        <f t="shared" si="634"/>
        <v>3</v>
      </c>
      <c r="FR1380" s="101" t="str">
        <f t="shared" si="641"/>
        <v>雷震子专属武器-魂珠-2 4级</v>
      </c>
      <c r="FS1380" s="101">
        <f t="shared" si="642"/>
        <v>2</v>
      </c>
      <c r="FT1380" s="101">
        <f t="shared" si="643"/>
        <v>4</v>
      </c>
      <c r="FU1380" s="101" t="str">
        <f t="shared" si="635"/>
        <v>金币</v>
      </c>
      <c r="FV1380" s="139">
        <f>IF($FT1380&gt;0,IF(INDEX($EI$6:$EI$77,$FO1380)&gt;=FV$3,ROUND(INDEX(EK$6:EK$77,$FO1380)*INDEX(卡牌消耗!$B$8:$F$8,FQ1380)/5,0)*5,""),"")</f>
        <v>420</v>
      </c>
      <c r="FW1380" s="101" t="str">
        <f t="shared" si="636"/>
        <v>专属强化石1</v>
      </c>
      <c r="FX1380" s="101">
        <f t="shared" si="637"/>
        <v>6</v>
      </c>
      <c r="FY1380" s="101" t="str">
        <f t="shared" si="638"/>
        <v>专属强化石2</v>
      </c>
      <c r="FZ1380" s="101">
        <f t="shared" si="639"/>
        <v>2</v>
      </c>
      <c r="GA1380" s="101">
        <f t="shared" si="644"/>
        <v>0.15</v>
      </c>
      <c r="GB1380" s="101">
        <f t="shared" si="645"/>
        <v>1</v>
      </c>
      <c r="GC1380" s="101">
        <f t="shared" si="646"/>
        <v>10</v>
      </c>
      <c r="GD1380" s="101">
        <f t="shared" si="647"/>
        <v>0</v>
      </c>
      <c r="GE1380" s="101">
        <f t="shared" si="648"/>
        <v>1</v>
      </c>
      <c r="GF1380" s="101">
        <f t="shared" si="649"/>
        <v>2</v>
      </c>
      <c r="GG1380" s="101">
        <f t="shared" si="650"/>
        <v>7.7100000000000002E-2</v>
      </c>
      <c r="GH1380" s="101">
        <f t="shared" si="651"/>
        <v>1</v>
      </c>
      <c r="GI1380" s="101">
        <f t="shared" si="652"/>
        <v>5</v>
      </c>
      <c r="GJ1380" s="101">
        <f t="shared" si="653"/>
        <v>0.30830000000000002</v>
      </c>
      <c r="GK1380" s="101">
        <f t="shared" si="654"/>
        <v>1</v>
      </c>
      <c r="GL1380" s="101">
        <f t="shared" si="655"/>
        <v>10</v>
      </c>
    </row>
    <row r="1381" spans="170:194" ht="16.5" x14ac:dyDescent="0.2">
      <c r="FN1381" s="101">
        <v>1376</v>
      </c>
      <c r="FO1381" s="101">
        <f t="shared" si="640"/>
        <v>14</v>
      </c>
      <c r="FP1381" s="101">
        <f t="shared" si="633"/>
        <v>18</v>
      </c>
      <c r="FQ1381" s="14">
        <f t="shared" si="634"/>
        <v>3</v>
      </c>
      <c r="FR1381" s="101" t="str">
        <f t="shared" si="641"/>
        <v>雷震子专属武器-魂珠-2 5级</v>
      </c>
      <c r="FS1381" s="101">
        <f t="shared" si="642"/>
        <v>2</v>
      </c>
      <c r="FT1381" s="101">
        <f t="shared" si="643"/>
        <v>5</v>
      </c>
      <c r="FU1381" s="101" t="str">
        <f t="shared" si="635"/>
        <v>金币</v>
      </c>
      <c r="FV1381" s="139">
        <f>IF($FT1381&gt;0,IF(INDEX($EI$6:$EI$77,$FO1381)&gt;=FV$3,ROUND(INDEX(EK$6:EK$77,$FO1381)*INDEX(卡牌消耗!$B$8:$F$8,FQ1381)/5,0)*5,""),"")</f>
        <v>635</v>
      </c>
      <c r="FW1381" s="101" t="str">
        <f t="shared" si="636"/>
        <v>专属强化石1</v>
      </c>
      <c r="FX1381" s="101">
        <f t="shared" si="637"/>
        <v>9</v>
      </c>
      <c r="FY1381" s="101" t="str">
        <f t="shared" si="638"/>
        <v>专属强化石2</v>
      </c>
      <c r="FZ1381" s="101">
        <f t="shared" si="639"/>
        <v>3</v>
      </c>
      <c r="GA1381" s="101">
        <f t="shared" si="644"/>
        <v>0.14000000000000001</v>
      </c>
      <c r="GB1381" s="101">
        <f t="shared" si="645"/>
        <v>1</v>
      </c>
      <c r="GC1381" s="101">
        <f t="shared" si="646"/>
        <v>10</v>
      </c>
      <c r="GD1381" s="101">
        <f t="shared" si="647"/>
        <v>0</v>
      </c>
      <c r="GE1381" s="101">
        <f t="shared" si="648"/>
        <v>1</v>
      </c>
      <c r="GF1381" s="101">
        <f t="shared" si="649"/>
        <v>2</v>
      </c>
      <c r="GG1381" s="101">
        <f t="shared" si="650"/>
        <v>7.22E-2</v>
      </c>
      <c r="GH1381" s="101">
        <f t="shared" si="651"/>
        <v>1</v>
      </c>
      <c r="GI1381" s="101">
        <f t="shared" si="652"/>
        <v>5</v>
      </c>
      <c r="GJ1381" s="101">
        <f t="shared" si="653"/>
        <v>0.28899999999999998</v>
      </c>
      <c r="GK1381" s="101">
        <f t="shared" si="654"/>
        <v>1</v>
      </c>
      <c r="GL1381" s="101">
        <f t="shared" si="655"/>
        <v>10</v>
      </c>
    </row>
    <row r="1382" spans="170:194" ht="16.5" x14ac:dyDescent="0.2">
      <c r="FN1382" s="101">
        <v>1377</v>
      </c>
      <c r="FO1382" s="101">
        <f t="shared" si="640"/>
        <v>15</v>
      </c>
      <c r="FP1382" s="101">
        <f t="shared" si="633"/>
        <v>18</v>
      </c>
      <c r="FQ1382" s="14">
        <f t="shared" si="634"/>
        <v>3</v>
      </c>
      <c r="FR1382" s="101" t="str">
        <f t="shared" si="641"/>
        <v>雷震子专属武器-魂珠-2 6级</v>
      </c>
      <c r="FS1382" s="101">
        <f t="shared" si="642"/>
        <v>2</v>
      </c>
      <c r="FT1382" s="101">
        <f t="shared" si="643"/>
        <v>6</v>
      </c>
      <c r="FU1382" s="101" t="str">
        <f t="shared" si="635"/>
        <v>金币</v>
      </c>
      <c r="FV1382" s="139">
        <f>IF($FT1382&gt;0,IF(INDEX($EI$6:$EI$77,$FO1382)&gt;=FV$3,ROUND(INDEX(EK$6:EK$77,$FO1382)*INDEX(卡牌消耗!$B$8:$F$8,FQ1382)/5,0)*5,""),"")</f>
        <v>845</v>
      </c>
      <c r="FW1382" s="101" t="str">
        <f t="shared" si="636"/>
        <v>专属强化石1</v>
      </c>
      <c r="FX1382" s="101">
        <f t="shared" si="637"/>
        <v>12</v>
      </c>
      <c r="FY1382" s="101" t="str">
        <f t="shared" si="638"/>
        <v>专属强化石2</v>
      </c>
      <c r="FZ1382" s="101">
        <f t="shared" si="639"/>
        <v>4</v>
      </c>
      <c r="GA1382" s="101">
        <f t="shared" si="644"/>
        <v>0.12</v>
      </c>
      <c r="GB1382" s="101">
        <f t="shared" si="645"/>
        <v>1</v>
      </c>
      <c r="GC1382" s="101">
        <f t="shared" si="646"/>
        <v>13</v>
      </c>
      <c r="GD1382" s="101">
        <f t="shared" si="647"/>
        <v>0</v>
      </c>
      <c r="GE1382" s="101">
        <f t="shared" si="648"/>
        <v>1</v>
      </c>
      <c r="GF1382" s="101">
        <f t="shared" si="649"/>
        <v>3</v>
      </c>
      <c r="GG1382" s="101">
        <f t="shared" si="650"/>
        <v>5.9299999999999999E-2</v>
      </c>
      <c r="GH1382" s="101">
        <f t="shared" si="651"/>
        <v>1</v>
      </c>
      <c r="GI1382" s="101">
        <f t="shared" si="652"/>
        <v>6</v>
      </c>
      <c r="GJ1382" s="101">
        <f t="shared" si="653"/>
        <v>0.23710000000000001</v>
      </c>
      <c r="GK1382" s="101">
        <f t="shared" si="654"/>
        <v>1</v>
      </c>
      <c r="GL1382" s="101">
        <f t="shared" si="655"/>
        <v>13</v>
      </c>
    </row>
    <row r="1383" spans="170:194" ht="16.5" x14ac:dyDescent="0.2">
      <c r="FN1383" s="101">
        <v>1378</v>
      </c>
      <c r="FO1383" s="101">
        <f t="shared" si="640"/>
        <v>16</v>
      </c>
      <c r="FP1383" s="101">
        <f t="shared" si="633"/>
        <v>18</v>
      </c>
      <c r="FQ1383" s="14">
        <f t="shared" si="634"/>
        <v>3</v>
      </c>
      <c r="FR1383" s="101" t="str">
        <f t="shared" si="641"/>
        <v>雷震子专属武器-魂珠-2 7级</v>
      </c>
      <c r="FS1383" s="101">
        <f t="shared" si="642"/>
        <v>2</v>
      </c>
      <c r="FT1383" s="101">
        <f t="shared" si="643"/>
        <v>7</v>
      </c>
      <c r="FU1383" s="101" t="str">
        <f t="shared" si="635"/>
        <v>金币</v>
      </c>
      <c r="FV1383" s="139">
        <f>IF($FT1383&gt;0,IF(INDEX($EI$6:$EI$77,$FO1383)&gt;=FV$3,ROUND(INDEX(EK$6:EK$77,$FO1383)*INDEX(卡牌消耗!$B$8:$F$8,FQ1383)/5,0)*5,""),"")</f>
        <v>1060</v>
      </c>
      <c r="FW1383" s="101" t="str">
        <f t="shared" si="636"/>
        <v>专属强化石1</v>
      </c>
      <c r="FX1383" s="101">
        <f t="shared" si="637"/>
        <v>15</v>
      </c>
      <c r="FY1383" s="101" t="str">
        <f t="shared" si="638"/>
        <v>专属强化石2</v>
      </c>
      <c r="FZ1383" s="101">
        <f t="shared" si="639"/>
        <v>5</v>
      </c>
      <c r="GA1383" s="101">
        <f t="shared" si="644"/>
        <v>0.09</v>
      </c>
      <c r="GB1383" s="101">
        <f t="shared" si="645"/>
        <v>1</v>
      </c>
      <c r="GC1383" s="101">
        <f t="shared" si="646"/>
        <v>16</v>
      </c>
      <c r="GD1383" s="101">
        <f t="shared" si="647"/>
        <v>0</v>
      </c>
      <c r="GE1383" s="101">
        <f t="shared" si="648"/>
        <v>1</v>
      </c>
      <c r="GF1383" s="101">
        <f t="shared" si="649"/>
        <v>4</v>
      </c>
      <c r="GG1383" s="101">
        <f t="shared" si="650"/>
        <v>4.5900000000000003E-2</v>
      </c>
      <c r="GH1383" s="101">
        <f t="shared" si="651"/>
        <v>1</v>
      </c>
      <c r="GI1383" s="101">
        <f t="shared" si="652"/>
        <v>8</v>
      </c>
      <c r="GJ1383" s="101">
        <f t="shared" si="653"/>
        <v>0.1835</v>
      </c>
      <c r="GK1383" s="101">
        <f t="shared" si="654"/>
        <v>1</v>
      </c>
      <c r="GL1383" s="101">
        <f t="shared" si="655"/>
        <v>16</v>
      </c>
    </row>
    <row r="1384" spans="170:194" ht="16.5" x14ac:dyDescent="0.2">
      <c r="FN1384" s="101">
        <v>1379</v>
      </c>
      <c r="FO1384" s="101">
        <f t="shared" si="640"/>
        <v>17</v>
      </c>
      <c r="FP1384" s="101">
        <f t="shared" si="633"/>
        <v>18</v>
      </c>
      <c r="FQ1384" s="14">
        <f t="shared" si="634"/>
        <v>3</v>
      </c>
      <c r="FR1384" s="101" t="str">
        <f t="shared" si="641"/>
        <v>雷震子专属武器-魂珠-2 8级</v>
      </c>
      <c r="FS1384" s="101">
        <f t="shared" si="642"/>
        <v>2</v>
      </c>
      <c r="FT1384" s="101">
        <f t="shared" si="643"/>
        <v>8</v>
      </c>
      <c r="FU1384" s="101" t="str">
        <f t="shared" si="635"/>
        <v>金币</v>
      </c>
      <c r="FV1384" s="139">
        <f>IF($FT1384&gt;0,IF(INDEX($EI$6:$EI$77,$FO1384)&gt;=FV$3,ROUND(INDEX(EK$6:EK$77,$FO1384)*INDEX(卡牌消耗!$B$8:$F$8,FQ1384)/5,0)*5,""),"")</f>
        <v>1270</v>
      </c>
      <c r="FW1384" s="101" t="str">
        <f t="shared" si="636"/>
        <v>专属强化石1</v>
      </c>
      <c r="FX1384" s="101">
        <f t="shared" si="637"/>
        <v>18</v>
      </c>
      <c r="FY1384" s="101" t="str">
        <f t="shared" si="638"/>
        <v>专属强化石2</v>
      </c>
      <c r="FZ1384" s="101">
        <f t="shared" si="639"/>
        <v>6</v>
      </c>
      <c r="GA1384" s="101">
        <f t="shared" si="644"/>
        <v>7.0000000000000007E-2</v>
      </c>
      <c r="GB1384" s="101">
        <f t="shared" si="645"/>
        <v>1</v>
      </c>
      <c r="GC1384" s="101">
        <f t="shared" si="646"/>
        <v>22</v>
      </c>
      <c r="GD1384" s="101">
        <f t="shared" si="647"/>
        <v>0</v>
      </c>
      <c r="GE1384" s="101">
        <f t="shared" si="648"/>
        <v>1</v>
      </c>
      <c r="GF1384" s="101">
        <f t="shared" si="649"/>
        <v>5</v>
      </c>
      <c r="GG1384" s="101">
        <f t="shared" si="650"/>
        <v>3.4000000000000002E-2</v>
      </c>
      <c r="GH1384" s="101">
        <f t="shared" si="651"/>
        <v>1</v>
      </c>
      <c r="GI1384" s="101">
        <f t="shared" si="652"/>
        <v>10</v>
      </c>
      <c r="GJ1384" s="101">
        <f t="shared" si="653"/>
        <v>0.13600000000000001</v>
      </c>
      <c r="GK1384" s="101">
        <f t="shared" si="654"/>
        <v>1</v>
      </c>
      <c r="GL1384" s="101">
        <f t="shared" si="655"/>
        <v>22</v>
      </c>
    </row>
    <row r="1385" spans="170:194" ht="16.5" x14ac:dyDescent="0.2">
      <c r="FN1385" s="101">
        <v>1380</v>
      </c>
      <c r="FO1385" s="101">
        <f t="shared" si="640"/>
        <v>18</v>
      </c>
      <c r="FP1385" s="101">
        <f t="shared" si="633"/>
        <v>18</v>
      </c>
      <c r="FQ1385" s="14">
        <f t="shared" si="634"/>
        <v>3</v>
      </c>
      <c r="FR1385" s="101" t="str">
        <f t="shared" si="641"/>
        <v>雷震子专属武器-魂珠-2 9级</v>
      </c>
      <c r="FS1385" s="101">
        <f t="shared" si="642"/>
        <v>2</v>
      </c>
      <c r="FT1385" s="101">
        <f t="shared" si="643"/>
        <v>9</v>
      </c>
      <c r="FU1385" s="101" t="str">
        <f t="shared" si="635"/>
        <v>金币</v>
      </c>
      <c r="FV1385" s="139">
        <f>IF($FT1385&gt;0,IF(INDEX($EI$6:$EI$77,$FO1385)&gt;=FV$3,ROUND(INDEX(EK$6:EK$77,$FO1385)*INDEX(卡牌消耗!$B$8:$F$8,FQ1385)/5,0)*5,""),"")</f>
        <v>1695</v>
      </c>
      <c r="FW1385" s="101" t="str">
        <f t="shared" si="636"/>
        <v>专属强化石1</v>
      </c>
      <c r="FX1385" s="101">
        <f t="shared" si="637"/>
        <v>24</v>
      </c>
      <c r="FY1385" s="101" t="str">
        <f t="shared" si="638"/>
        <v>专属强化石2</v>
      </c>
      <c r="FZ1385" s="101">
        <f t="shared" si="639"/>
        <v>8</v>
      </c>
      <c r="GA1385" s="101">
        <f t="shared" si="644"/>
        <v>0.06</v>
      </c>
      <c r="GB1385" s="101">
        <f t="shared" si="645"/>
        <v>1</v>
      </c>
      <c r="GC1385" s="101">
        <f t="shared" si="646"/>
        <v>27</v>
      </c>
      <c r="GD1385" s="101">
        <f t="shared" si="647"/>
        <v>0</v>
      </c>
      <c r="GE1385" s="101">
        <f t="shared" si="648"/>
        <v>1</v>
      </c>
      <c r="GF1385" s="101">
        <f t="shared" si="649"/>
        <v>6</v>
      </c>
      <c r="GG1385" s="101">
        <f t="shared" si="650"/>
        <v>2.8000000000000001E-2</v>
      </c>
      <c r="GH1385" s="101">
        <f t="shared" si="651"/>
        <v>1</v>
      </c>
      <c r="GI1385" s="101">
        <f t="shared" si="652"/>
        <v>12</v>
      </c>
      <c r="GJ1385" s="101">
        <f t="shared" si="653"/>
        <v>0.11210000000000001</v>
      </c>
      <c r="GK1385" s="101">
        <f t="shared" si="654"/>
        <v>1</v>
      </c>
      <c r="GL1385" s="101">
        <f t="shared" si="655"/>
        <v>27</v>
      </c>
    </row>
    <row r="1386" spans="170:194" ht="16.5" x14ac:dyDescent="0.2">
      <c r="FN1386" s="101">
        <v>1381</v>
      </c>
      <c r="FO1386" s="101">
        <f t="shared" si="640"/>
        <v>0</v>
      </c>
      <c r="FP1386" s="101">
        <f t="shared" si="633"/>
        <v>18</v>
      </c>
      <c r="FQ1386" s="14">
        <f t="shared" si="634"/>
        <v>3</v>
      </c>
      <c r="FR1386" s="101" t="str">
        <f t="shared" si="641"/>
        <v>雷震子专属武器-魂珠-3 0级</v>
      </c>
      <c r="FS1386" s="101">
        <f t="shared" si="642"/>
        <v>3</v>
      </c>
      <c r="FT1386" s="101">
        <f t="shared" si="643"/>
        <v>0</v>
      </c>
      <c r="FU1386" s="101" t="str">
        <f t="shared" si="635"/>
        <v/>
      </c>
      <c r="FV1386" s="139" t="str">
        <f>IF($FT1386&gt;0,IF(INDEX($EI$6:$EI$77,$FO1386)&gt;=FV$3,ROUND(INDEX(EK$6:EK$77,$FO1386)*INDEX(卡牌消耗!$B$8:$F$8,FQ1386)/5,0)*5,""),"")</f>
        <v/>
      </c>
      <c r="FW1386" s="101" t="str">
        <f t="shared" si="636"/>
        <v/>
      </c>
      <c r="FX1386" s="101" t="str">
        <f t="shared" si="637"/>
        <v/>
      </c>
      <c r="FY1386" s="101" t="str">
        <f t="shared" si="638"/>
        <v/>
      </c>
      <c r="FZ1386" s="101" t="str">
        <f t="shared" si="639"/>
        <v/>
      </c>
      <c r="GA1386" s="101" t="str">
        <f t="shared" si="644"/>
        <v/>
      </c>
      <c r="GB1386" s="101" t="str">
        <f t="shared" si="645"/>
        <v/>
      </c>
      <c r="GC1386" s="101" t="str">
        <f t="shared" si="646"/>
        <v/>
      </c>
      <c r="GD1386" s="101" t="str">
        <f t="shared" si="647"/>
        <v/>
      </c>
      <c r="GE1386" s="101" t="str">
        <f t="shared" si="648"/>
        <v/>
      </c>
      <c r="GF1386" s="101" t="str">
        <f t="shared" si="649"/>
        <v/>
      </c>
      <c r="GG1386" s="101" t="str">
        <f t="shared" si="650"/>
        <v/>
      </c>
      <c r="GH1386" s="101" t="str">
        <f t="shared" si="651"/>
        <v/>
      </c>
      <c r="GI1386" s="101" t="str">
        <f t="shared" si="652"/>
        <v/>
      </c>
      <c r="GJ1386" s="101" t="str">
        <f t="shared" si="653"/>
        <v/>
      </c>
      <c r="GK1386" s="101" t="str">
        <f t="shared" si="654"/>
        <v/>
      </c>
      <c r="GL1386" s="101" t="str">
        <f t="shared" si="655"/>
        <v/>
      </c>
    </row>
    <row r="1387" spans="170:194" ht="16.5" x14ac:dyDescent="0.2">
      <c r="FN1387" s="101">
        <v>1382</v>
      </c>
      <c r="FO1387" s="101">
        <f t="shared" si="640"/>
        <v>19</v>
      </c>
      <c r="FP1387" s="101">
        <f t="shared" si="633"/>
        <v>18</v>
      </c>
      <c r="FQ1387" s="14">
        <f t="shared" si="634"/>
        <v>3</v>
      </c>
      <c r="FR1387" s="101" t="str">
        <f t="shared" si="641"/>
        <v>雷震子专属武器-魂珠-3 1级</v>
      </c>
      <c r="FS1387" s="101">
        <f t="shared" si="642"/>
        <v>3</v>
      </c>
      <c r="FT1387" s="101">
        <f t="shared" si="643"/>
        <v>1</v>
      </c>
      <c r="FU1387" s="101" t="str">
        <f t="shared" si="635"/>
        <v>金币</v>
      </c>
      <c r="FV1387" s="139">
        <f>IF($FT1387&gt;0,IF(INDEX($EI$6:$EI$77,$FO1387)&gt;=FV$3,ROUND(INDEX(EK$6:EK$77,$FO1387)*INDEX(卡牌消耗!$B$8:$F$8,FQ1387)/5,0)*5,""),"")</f>
        <v>545</v>
      </c>
      <c r="FW1387" s="101" t="str">
        <f t="shared" si="636"/>
        <v>专属强化石1</v>
      </c>
      <c r="FX1387" s="101">
        <f t="shared" si="637"/>
        <v>4</v>
      </c>
      <c r="FY1387" s="101" t="str">
        <f t="shared" si="638"/>
        <v>专属强化石2</v>
      </c>
      <c r="FZ1387" s="101">
        <f t="shared" si="639"/>
        <v>2</v>
      </c>
      <c r="GA1387" s="101">
        <f t="shared" si="644"/>
        <v>0.31</v>
      </c>
      <c r="GB1387" s="101">
        <f t="shared" si="645"/>
        <v>1</v>
      </c>
      <c r="GC1387" s="101">
        <f t="shared" si="646"/>
        <v>5</v>
      </c>
      <c r="GD1387" s="101">
        <f t="shared" si="647"/>
        <v>0</v>
      </c>
      <c r="GE1387" s="101">
        <f t="shared" si="648"/>
        <v>1</v>
      </c>
      <c r="GF1387" s="101">
        <f t="shared" si="649"/>
        <v>1</v>
      </c>
      <c r="GG1387" s="101">
        <f t="shared" si="650"/>
        <v>0.15409999999999999</v>
      </c>
      <c r="GH1387" s="101">
        <f t="shared" si="651"/>
        <v>1</v>
      </c>
      <c r="GI1387" s="101">
        <f t="shared" si="652"/>
        <v>2</v>
      </c>
      <c r="GJ1387" s="101">
        <f t="shared" si="653"/>
        <v>0.61650000000000005</v>
      </c>
      <c r="GK1387" s="101">
        <f t="shared" si="654"/>
        <v>1</v>
      </c>
      <c r="GL1387" s="101">
        <f t="shared" si="655"/>
        <v>5</v>
      </c>
    </row>
    <row r="1388" spans="170:194" ht="16.5" x14ac:dyDescent="0.2">
      <c r="FN1388" s="101">
        <v>1383</v>
      </c>
      <c r="FO1388" s="101">
        <f t="shared" si="640"/>
        <v>20</v>
      </c>
      <c r="FP1388" s="101">
        <f t="shared" si="633"/>
        <v>18</v>
      </c>
      <c r="FQ1388" s="14">
        <f t="shared" si="634"/>
        <v>3</v>
      </c>
      <c r="FR1388" s="101" t="str">
        <f t="shared" si="641"/>
        <v>雷震子专属武器-魂珠-3 2级</v>
      </c>
      <c r="FS1388" s="101">
        <f t="shared" si="642"/>
        <v>3</v>
      </c>
      <c r="FT1388" s="101">
        <f t="shared" si="643"/>
        <v>2</v>
      </c>
      <c r="FU1388" s="101" t="str">
        <f t="shared" si="635"/>
        <v>金币</v>
      </c>
      <c r="FV1388" s="139">
        <f>IF($FT1388&gt;0,IF(INDEX($EI$6:$EI$77,$FO1388)&gt;=FV$3,ROUND(INDEX(EK$6:EK$77,$FO1388)*INDEX(卡牌消耗!$B$8:$F$8,FQ1388)/5,0)*5,""),"")</f>
        <v>410</v>
      </c>
      <c r="FW1388" s="101" t="str">
        <f t="shared" si="636"/>
        <v>专属强化石1</v>
      </c>
      <c r="FX1388" s="101">
        <f t="shared" si="637"/>
        <v>4</v>
      </c>
      <c r="FY1388" s="101" t="str">
        <f t="shared" si="638"/>
        <v>专属强化石2</v>
      </c>
      <c r="FZ1388" s="101">
        <f t="shared" si="639"/>
        <v>2</v>
      </c>
      <c r="GA1388" s="101">
        <f t="shared" si="644"/>
        <v>0.15</v>
      </c>
      <c r="GB1388" s="101">
        <f t="shared" si="645"/>
        <v>1</v>
      </c>
      <c r="GC1388" s="101">
        <f t="shared" si="646"/>
        <v>10</v>
      </c>
      <c r="GD1388" s="101">
        <f t="shared" si="647"/>
        <v>0</v>
      </c>
      <c r="GE1388" s="101">
        <f t="shared" si="648"/>
        <v>1</v>
      </c>
      <c r="GF1388" s="101">
        <f t="shared" si="649"/>
        <v>2</v>
      </c>
      <c r="GG1388" s="101">
        <f t="shared" si="650"/>
        <v>7.7100000000000002E-2</v>
      </c>
      <c r="GH1388" s="101">
        <f t="shared" si="651"/>
        <v>1</v>
      </c>
      <c r="GI1388" s="101">
        <f t="shared" si="652"/>
        <v>5</v>
      </c>
      <c r="GJ1388" s="101">
        <f t="shared" si="653"/>
        <v>0.30830000000000002</v>
      </c>
      <c r="GK1388" s="101">
        <f t="shared" si="654"/>
        <v>1</v>
      </c>
      <c r="GL1388" s="101">
        <f t="shared" si="655"/>
        <v>10</v>
      </c>
    </row>
    <row r="1389" spans="170:194" ht="16.5" x14ac:dyDescent="0.2">
      <c r="FN1389" s="101">
        <v>1384</v>
      </c>
      <c r="FO1389" s="101">
        <f t="shared" si="640"/>
        <v>21</v>
      </c>
      <c r="FP1389" s="101">
        <f t="shared" si="633"/>
        <v>18</v>
      </c>
      <c r="FQ1389" s="14">
        <f t="shared" si="634"/>
        <v>3</v>
      </c>
      <c r="FR1389" s="101" t="str">
        <f t="shared" si="641"/>
        <v>雷震子专属武器-魂珠-3 3级</v>
      </c>
      <c r="FS1389" s="101">
        <f t="shared" si="642"/>
        <v>3</v>
      </c>
      <c r="FT1389" s="101">
        <f t="shared" si="643"/>
        <v>3</v>
      </c>
      <c r="FU1389" s="101" t="str">
        <f t="shared" si="635"/>
        <v>金币</v>
      </c>
      <c r="FV1389" s="139">
        <f>IF($FT1389&gt;0,IF(INDEX($EI$6:$EI$77,$FO1389)&gt;=FV$3,ROUND(INDEX(EK$6:EK$77,$FO1389)*INDEX(卡牌消耗!$B$8:$F$8,FQ1389)/5,0)*5,""),"")</f>
        <v>680</v>
      </c>
      <c r="FW1389" s="101" t="str">
        <f t="shared" si="636"/>
        <v>专属强化石1</v>
      </c>
      <c r="FX1389" s="101">
        <f t="shared" si="637"/>
        <v>6</v>
      </c>
      <c r="FY1389" s="101" t="str">
        <f t="shared" si="638"/>
        <v>专属强化石2</v>
      </c>
      <c r="FZ1389" s="101">
        <f t="shared" si="639"/>
        <v>3</v>
      </c>
      <c r="GA1389" s="101">
        <f t="shared" si="644"/>
        <v>0.15</v>
      </c>
      <c r="GB1389" s="101">
        <f t="shared" si="645"/>
        <v>1</v>
      </c>
      <c r="GC1389" s="101">
        <f t="shared" si="646"/>
        <v>10</v>
      </c>
      <c r="GD1389" s="101">
        <f t="shared" si="647"/>
        <v>0</v>
      </c>
      <c r="GE1389" s="101">
        <f t="shared" si="648"/>
        <v>1</v>
      </c>
      <c r="GF1389" s="101">
        <f t="shared" si="649"/>
        <v>2</v>
      </c>
      <c r="GG1389" s="101">
        <f t="shared" si="650"/>
        <v>7.7100000000000002E-2</v>
      </c>
      <c r="GH1389" s="101">
        <f t="shared" si="651"/>
        <v>1</v>
      </c>
      <c r="GI1389" s="101">
        <f t="shared" si="652"/>
        <v>5</v>
      </c>
      <c r="GJ1389" s="101">
        <f t="shared" si="653"/>
        <v>0.30830000000000002</v>
      </c>
      <c r="GK1389" s="101">
        <f t="shared" si="654"/>
        <v>1</v>
      </c>
      <c r="GL1389" s="101">
        <f t="shared" si="655"/>
        <v>10</v>
      </c>
    </row>
    <row r="1390" spans="170:194" ht="16.5" x14ac:dyDescent="0.2">
      <c r="FN1390" s="101">
        <v>1385</v>
      </c>
      <c r="FO1390" s="101">
        <f t="shared" si="640"/>
        <v>22</v>
      </c>
      <c r="FP1390" s="101">
        <f t="shared" si="633"/>
        <v>18</v>
      </c>
      <c r="FQ1390" s="14">
        <f t="shared" si="634"/>
        <v>3</v>
      </c>
      <c r="FR1390" s="101" t="str">
        <f t="shared" si="641"/>
        <v>雷震子专属武器-魂珠-3 4级</v>
      </c>
      <c r="FS1390" s="101">
        <f t="shared" si="642"/>
        <v>3</v>
      </c>
      <c r="FT1390" s="101">
        <f t="shared" si="643"/>
        <v>4</v>
      </c>
      <c r="FU1390" s="101" t="str">
        <f t="shared" si="635"/>
        <v>金币</v>
      </c>
      <c r="FV1390" s="139">
        <f>IF($FT1390&gt;0,IF(INDEX($EI$6:$EI$77,$FO1390)&gt;=FV$3,ROUND(INDEX(EK$6:EK$77,$FO1390)*INDEX(卡牌消耗!$B$8:$F$8,FQ1390)/5,0)*5,""),"")</f>
        <v>655</v>
      </c>
      <c r="FW1390" s="101" t="str">
        <f t="shared" si="636"/>
        <v>专属强化石1</v>
      </c>
      <c r="FX1390" s="101">
        <f t="shared" si="637"/>
        <v>6</v>
      </c>
      <c r="FY1390" s="101" t="str">
        <f t="shared" si="638"/>
        <v>专属强化石2</v>
      </c>
      <c r="FZ1390" s="101">
        <f t="shared" si="639"/>
        <v>3</v>
      </c>
      <c r="GA1390" s="101">
        <f t="shared" si="644"/>
        <v>0.09</v>
      </c>
      <c r="GB1390" s="101">
        <f t="shared" si="645"/>
        <v>1</v>
      </c>
      <c r="GC1390" s="101">
        <f t="shared" si="646"/>
        <v>16</v>
      </c>
      <c r="GD1390" s="101">
        <f t="shared" si="647"/>
        <v>0</v>
      </c>
      <c r="GE1390" s="101">
        <f t="shared" si="648"/>
        <v>1</v>
      </c>
      <c r="GF1390" s="101">
        <f t="shared" si="649"/>
        <v>4</v>
      </c>
      <c r="GG1390" s="101">
        <f t="shared" si="650"/>
        <v>4.6199999999999998E-2</v>
      </c>
      <c r="GH1390" s="101">
        <f t="shared" si="651"/>
        <v>1</v>
      </c>
      <c r="GI1390" s="101">
        <f t="shared" si="652"/>
        <v>8</v>
      </c>
      <c r="GJ1390" s="101">
        <f t="shared" si="653"/>
        <v>0.185</v>
      </c>
      <c r="GK1390" s="101">
        <f t="shared" si="654"/>
        <v>1</v>
      </c>
      <c r="GL1390" s="101">
        <f t="shared" si="655"/>
        <v>16</v>
      </c>
    </row>
    <row r="1391" spans="170:194" ht="16.5" x14ac:dyDescent="0.2">
      <c r="FN1391" s="101">
        <v>1386</v>
      </c>
      <c r="FO1391" s="101">
        <f t="shared" si="640"/>
        <v>23</v>
      </c>
      <c r="FP1391" s="101">
        <f t="shared" si="633"/>
        <v>18</v>
      </c>
      <c r="FQ1391" s="14">
        <f t="shared" si="634"/>
        <v>3</v>
      </c>
      <c r="FR1391" s="101" t="str">
        <f t="shared" si="641"/>
        <v>雷震子专属武器-魂珠-3 5级</v>
      </c>
      <c r="FS1391" s="101">
        <f t="shared" si="642"/>
        <v>3</v>
      </c>
      <c r="FT1391" s="101">
        <f t="shared" si="643"/>
        <v>5</v>
      </c>
      <c r="FU1391" s="101" t="str">
        <f t="shared" si="635"/>
        <v>金币</v>
      </c>
      <c r="FV1391" s="139">
        <f>IF($FT1391&gt;0,IF(INDEX($EI$6:$EI$77,$FO1391)&gt;=FV$3,ROUND(INDEX(EK$6:EK$77,$FO1391)*INDEX(卡牌消耗!$B$8:$F$8,FQ1391)/5,0)*5,""),"")</f>
        <v>885</v>
      </c>
      <c r="FW1391" s="101" t="str">
        <f t="shared" si="636"/>
        <v>专属强化石1</v>
      </c>
      <c r="FX1391" s="101">
        <f t="shared" si="637"/>
        <v>8</v>
      </c>
      <c r="FY1391" s="101" t="str">
        <f t="shared" si="638"/>
        <v>专属强化石2</v>
      </c>
      <c r="FZ1391" s="101">
        <f t="shared" si="639"/>
        <v>4</v>
      </c>
      <c r="GA1391" s="101">
        <f t="shared" si="644"/>
        <v>0.08</v>
      </c>
      <c r="GB1391" s="101">
        <f t="shared" si="645"/>
        <v>1</v>
      </c>
      <c r="GC1391" s="101">
        <f t="shared" si="646"/>
        <v>19</v>
      </c>
      <c r="GD1391" s="101">
        <f t="shared" si="647"/>
        <v>0</v>
      </c>
      <c r="GE1391" s="101">
        <f t="shared" si="648"/>
        <v>1</v>
      </c>
      <c r="GF1391" s="101">
        <f t="shared" si="649"/>
        <v>5</v>
      </c>
      <c r="GG1391" s="101">
        <f t="shared" si="650"/>
        <v>3.85E-2</v>
      </c>
      <c r="GH1391" s="101">
        <f t="shared" si="651"/>
        <v>1</v>
      </c>
      <c r="GI1391" s="101">
        <f t="shared" si="652"/>
        <v>9</v>
      </c>
      <c r="GJ1391" s="101">
        <f t="shared" si="653"/>
        <v>0.15409999999999999</v>
      </c>
      <c r="GK1391" s="101">
        <f t="shared" si="654"/>
        <v>1</v>
      </c>
      <c r="GL1391" s="101">
        <f t="shared" si="655"/>
        <v>19</v>
      </c>
    </row>
    <row r="1392" spans="170:194" ht="16.5" x14ac:dyDescent="0.2">
      <c r="FN1392" s="101">
        <v>1387</v>
      </c>
      <c r="FO1392" s="101">
        <f t="shared" si="640"/>
        <v>24</v>
      </c>
      <c r="FP1392" s="101">
        <f t="shared" si="633"/>
        <v>18</v>
      </c>
      <c r="FQ1392" s="14">
        <f t="shared" si="634"/>
        <v>3</v>
      </c>
      <c r="FR1392" s="101" t="str">
        <f t="shared" si="641"/>
        <v>雷震子专属武器-魂珠-3 6级</v>
      </c>
      <c r="FS1392" s="101">
        <f t="shared" si="642"/>
        <v>3</v>
      </c>
      <c r="FT1392" s="101">
        <f t="shared" si="643"/>
        <v>6</v>
      </c>
      <c r="FU1392" s="101" t="str">
        <f t="shared" si="635"/>
        <v>金币</v>
      </c>
      <c r="FV1392" s="139">
        <f>IF($FT1392&gt;0,IF(INDEX($EI$6:$EI$77,$FO1392)&gt;=FV$3,ROUND(INDEX(EK$6:EK$77,$FO1392)*INDEX(卡牌消耗!$B$8:$F$8,FQ1392)/5,0)*5,""),"")</f>
        <v>1100</v>
      </c>
      <c r="FW1392" s="101" t="str">
        <f t="shared" si="636"/>
        <v>专属强化石1</v>
      </c>
      <c r="FX1392" s="101">
        <f t="shared" si="637"/>
        <v>10</v>
      </c>
      <c r="FY1392" s="101" t="str">
        <f t="shared" si="638"/>
        <v>专属强化石2</v>
      </c>
      <c r="FZ1392" s="101">
        <f t="shared" si="639"/>
        <v>5</v>
      </c>
      <c r="GA1392" s="101">
        <f t="shared" si="644"/>
        <v>0.06</v>
      </c>
      <c r="GB1392" s="101">
        <f t="shared" si="645"/>
        <v>1</v>
      </c>
      <c r="GC1392" s="101">
        <f t="shared" si="646"/>
        <v>25</v>
      </c>
      <c r="GD1392" s="101">
        <f t="shared" si="647"/>
        <v>0</v>
      </c>
      <c r="GE1392" s="101">
        <f t="shared" si="648"/>
        <v>1</v>
      </c>
      <c r="GF1392" s="101">
        <f t="shared" si="649"/>
        <v>6</v>
      </c>
      <c r="GG1392" s="101">
        <f t="shared" si="650"/>
        <v>2.9600000000000001E-2</v>
      </c>
      <c r="GH1392" s="101">
        <f t="shared" si="651"/>
        <v>1</v>
      </c>
      <c r="GI1392" s="101">
        <f t="shared" si="652"/>
        <v>12</v>
      </c>
      <c r="GJ1392" s="101">
        <f t="shared" si="653"/>
        <v>0.1186</v>
      </c>
      <c r="GK1392" s="101">
        <f t="shared" si="654"/>
        <v>1</v>
      </c>
      <c r="GL1392" s="101">
        <f t="shared" si="655"/>
        <v>25</v>
      </c>
    </row>
    <row r="1393" spans="170:194" ht="16.5" x14ac:dyDescent="0.2">
      <c r="FN1393" s="101">
        <v>1388</v>
      </c>
      <c r="FO1393" s="101">
        <f t="shared" si="640"/>
        <v>25</v>
      </c>
      <c r="FP1393" s="101">
        <f t="shared" si="633"/>
        <v>18</v>
      </c>
      <c r="FQ1393" s="14">
        <f t="shared" si="634"/>
        <v>3</v>
      </c>
      <c r="FR1393" s="101" t="str">
        <f t="shared" si="641"/>
        <v>雷震子专属武器-魂珠-3 7级</v>
      </c>
      <c r="FS1393" s="101">
        <f t="shared" si="642"/>
        <v>3</v>
      </c>
      <c r="FT1393" s="101">
        <f t="shared" si="643"/>
        <v>7</v>
      </c>
      <c r="FU1393" s="101" t="str">
        <f t="shared" si="635"/>
        <v>金币</v>
      </c>
      <c r="FV1393" s="139">
        <f>IF($FT1393&gt;0,IF(INDEX($EI$6:$EI$77,$FO1393)&gt;=FV$3,ROUND(INDEX(EK$6:EK$77,$FO1393)*INDEX(卡牌消耗!$B$8:$F$8,FQ1393)/5,0)*5,""),"")</f>
        <v>1325</v>
      </c>
      <c r="FW1393" s="101" t="str">
        <f t="shared" si="636"/>
        <v>专属强化石1</v>
      </c>
      <c r="FX1393" s="101">
        <f t="shared" si="637"/>
        <v>12</v>
      </c>
      <c r="FY1393" s="101" t="str">
        <f t="shared" si="638"/>
        <v>专属强化石2</v>
      </c>
      <c r="FZ1393" s="101">
        <f t="shared" si="639"/>
        <v>6</v>
      </c>
      <c r="GA1393" s="101">
        <f t="shared" si="644"/>
        <v>0.04</v>
      </c>
      <c r="GB1393" s="101">
        <f t="shared" si="645"/>
        <v>1</v>
      </c>
      <c r="GC1393" s="101">
        <f t="shared" si="646"/>
        <v>34</v>
      </c>
      <c r="GD1393" s="101">
        <f t="shared" si="647"/>
        <v>0</v>
      </c>
      <c r="GE1393" s="101">
        <f t="shared" si="648"/>
        <v>1</v>
      </c>
      <c r="GF1393" s="101">
        <f t="shared" si="649"/>
        <v>8</v>
      </c>
      <c r="GG1393" s="101">
        <f t="shared" si="650"/>
        <v>2.1999999999999999E-2</v>
      </c>
      <c r="GH1393" s="101">
        <f t="shared" si="651"/>
        <v>1</v>
      </c>
      <c r="GI1393" s="101">
        <f t="shared" si="652"/>
        <v>16</v>
      </c>
      <c r="GJ1393" s="101">
        <f t="shared" si="653"/>
        <v>8.8099999999999998E-2</v>
      </c>
      <c r="GK1393" s="101">
        <f t="shared" si="654"/>
        <v>1</v>
      </c>
      <c r="GL1393" s="101">
        <f t="shared" si="655"/>
        <v>34</v>
      </c>
    </row>
    <row r="1394" spans="170:194" ht="16.5" x14ac:dyDescent="0.2">
      <c r="FN1394" s="101">
        <v>1389</v>
      </c>
      <c r="FO1394" s="101">
        <f t="shared" si="640"/>
        <v>26</v>
      </c>
      <c r="FP1394" s="101">
        <f t="shared" si="633"/>
        <v>18</v>
      </c>
      <c r="FQ1394" s="14">
        <f t="shared" si="634"/>
        <v>3</v>
      </c>
      <c r="FR1394" s="101" t="str">
        <f t="shared" si="641"/>
        <v>雷震子专属武器-魂珠-3 8级</v>
      </c>
      <c r="FS1394" s="101">
        <f t="shared" si="642"/>
        <v>3</v>
      </c>
      <c r="FT1394" s="101">
        <f t="shared" si="643"/>
        <v>8</v>
      </c>
      <c r="FU1394" s="101" t="str">
        <f t="shared" si="635"/>
        <v>金币</v>
      </c>
      <c r="FV1394" s="139">
        <f>IF($FT1394&gt;0,IF(INDEX($EI$6:$EI$77,$FO1394)&gt;=FV$3,ROUND(INDEX(EK$6:EK$77,$FO1394)*INDEX(卡牌消耗!$B$8:$F$8,FQ1394)/5,0)*5,""),"")</f>
        <v>1765</v>
      </c>
      <c r="FW1394" s="101" t="str">
        <f t="shared" si="636"/>
        <v>专属强化石1</v>
      </c>
      <c r="FX1394" s="101">
        <f t="shared" si="637"/>
        <v>16</v>
      </c>
      <c r="FY1394" s="101" t="str">
        <f t="shared" si="638"/>
        <v>专属强化石2</v>
      </c>
      <c r="FZ1394" s="101">
        <f t="shared" si="639"/>
        <v>8</v>
      </c>
      <c r="GA1394" s="101">
        <f t="shared" si="644"/>
        <v>0.04</v>
      </c>
      <c r="GB1394" s="101">
        <f t="shared" si="645"/>
        <v>1</v>
      </c>
      <c r="GC1394" s="101">
        <f t="shared" si="646"/>
        <v>41</v>
      </c>
      <c r="GD1394" s="101">
        <f t="shared" si="647"/>
        <v>0</v>
      </c>
      <c r="GE1394" s="101">
        <f t="shared" si="648"/>
        <v>1</v>
      </c>
      <c r="GF1394" s="101">
        <f t="shared" si="649"/>
        <v>10</v>
      </c>
      <c r="GG1394" s="101">
        <f t="shared" si="650"/>
        <v>1.8100000000000002E-2</v>
      </c>
      <c r="GH1394" s="101">
        <f t="shared" si="651"/>
        <v>1</v>
      </c>
      <c r="GI1394" s="101">
        <f t="shared" si="652"/>
        <v>19</v>
      </c>
      <c r="GJ1394" s="101">
        <f t="shared" si="653"/>
        <v>7.2499999999999995E-2</v>
      </c>
      <c r="GK1394" s="101">
        <f t="shared" si="654"/>
        <v>1</v>
      </c>
      <c r="GL1394" s="101">
        <f t="shared" si="655"/>
        <v>41</v>
      </c>
    </row>
    <row r="1395" spans="170:194" ht="16.5" x14ac:dyDescent="0.2">
      <c r="FN1395" s="101">
        <v>1390</v>
      </c>
      <c r="FO1395" s="101">
        <f t="shared" si="640"/>
        <v>27</v>
      </c>
      <c r="FP1395" s="101">
        <f t="shared" si="633"/>
        <v>18</v>
      </c>
      <c r="FQ1395" s="14">
        <f t="shared" si="634"/>
        <v>3</v>
      </c>
      <c r="FR1395" s="101" t="str">
        <f t="shared" si="641"/>
        <v>雷震子专属武器-魂珠-3 9级</v>
      </c>
      <c r="FS1395" s="101">
        <f t="shared" si="642"/>
        <v>3</v>
      </c>
      <c r="FT1395" s="101">
        <f t="shared" si="643"/>
        <v>9</v>
      </c>
      <c r="FU1395" s="101" t="str">
        <f t="shared" si="635"/>
        <v>金币</v>
      </c>
      <c r="FV1395" s="139">
        <f>IF($FT1395&gt;0,IF(INDEX($EI$6:$EI$77,$FO1395)&gt;=FV$3,ROUND(INDEX(EK$6:EK$77,$FO1395)*INDEX(卡牌消耗!$B$8:$F$8,FQ1395)/5,0)*5,""),"")</f>
        <v>2205</v>
      </c>
      <c r="FW1395" s="101" t="str">
        <f t="shared" si="636"/>
        <v>专属强化石1</v>
      </c>
      <c r="FX1395" s="101">
        <f t="shared" si="637"/>
        <v>20</v>
      </c>
      <c r="FY1395" s="101" t="str">
        <f t="shared" si="638"/>
        <v>专属强化石2</v>
      </c>
      <c r="FZ1395" s="101">
        <f t="shared" si="639"/>
        <v>10</v>
      </c>
      <c r="GA1395" s="101">
        <f t="shared" si="644"/>
        <v>0.03</v>
      </c>
      <c r="GB1395" s="101">
        <f t="shared" si="645"/>
        <v>1</v>
      </c>
      <c r="GC1395" s="101">
        <f t="shared" si="646"/>
        <v>54</v>
      </c>
      <c r="GD1395" s="101">
        <f t="shared" si="647"/>
        <v>0</v>
      </c>
      <c r="GE1395" s="101">
        <f t="shared" si="648"/>
        <v>1</v>
      </c>
      <c r="GF1395" s="101">
        <f t="shared" si="649"/>
        <v>12</v>
      </c>
      <c r="GG1395" s="101">
        <f t="shared" si="650"/>
        <v>1.4E-2</v>
      </c>
      <c r="GH1395" s="101">
        <f t="shared" si="651"/>
        <v>1</v>
      </c>
      <c r="GI1395" s="101">
        <f t="shared" si="652"/>
        <v>25</v>
      </c>
      <c r="GJ1395" s="101">
        <f t="shared" si="653"/>
        <v>5.6000000000000001E-2</v>
      </c>
      <c r="GK1395" s="101">
        <f t="shared" si="654"/>
        <v>1</v>
      </c>
      <c r="GL1395" s="101">
        <f t="shared" si="655"/>
        <v>54</v>
      </c>
    </row>
    <row r="1396" spans="170:194" ht="16.5" x14ac:dyDescent="0.2">
      <c r="FN1396" s="101">
        <v>1391</v>
      </c>
      <c r="FO1396" s="101">
        <f t="shared" si="640"/>
        <v>0</v>
      </c>
      <c r="FP1396" s="101">
        <f t="shared" si="633"/>
        <v>18</v>
      </c>
      <c r="FQ1396" s="14">
        <f t="shared" si="634"/>
        <v>3</v>
      </c>
      <c r="FR1396" s="101" t="str">
        <f t="shared" si="641"/>
        <v>雷震子专属武器-魂珠-4 0级</v>
      </c>
      <c r="FS1396" s="101">
        <f t="shared" si="642"/>
        <v>4</v>
      </c>
      <c r="FT1396" s="101">
        <f t="shared" si="643"/>
        <v>0</v>
      </c>
      <c r="FU1396" s="101" t="str">
        <f t="shared" si="635"/>
        <v/>
      </c>
      <c r="FV1396" s="139" t="str">
        <f>IF($FT1396&gt;0,IF(INDEX($EI$6:$EI$77,$FO1396)&gt;=FV$3,ROUND(INDEX(EK$6:EK$77,$FO1396)*INDEX(卡牌消耗!$B$8:$F$8,FQ1396)/5,0)*5,""),"")</f>
        <v/>
      </c>
      <c r="FW1396" s="101" t="str">
        <f t="shared" si="636"/>
        <v/>
      </c>
      <c r="FX1396" s="101" t="str">
        <f t="shared" si="637"/>
        <v/>
      </c>
      <c r="FY1396" s="101" t="str">
        <f t="shared" si="638"/>
        <v/>
      </c>
      <c r="FZ1396" s="101" t="str">
        <f t="shared" si="639"/>
        <v/>
      </c>
      <c r="GA1396" s="101" t="str">
        <f t="shared" si="644"/>
        <v/>
      </c>
      <c r="GB1396" s="101" t="str">
        <f t="shared" si="645"/>
        <v/>
      </c>
      <c r="GC1396" s="101" t="str">
        <f t="shared" si="646"/>
        <v/>
      </c>
      <c r="GD1396" s="101" t="str">
        <f t="shared" si="647"/>
        <v/>
      </c>
      <c r="GE1396" s="101" t="str">
        <f t="shared" si="648"/>
        <v/>
      </c>
      <c r="GF1396" s="101" t="str">
        <f t="shared" si="649"/>
        <v/>
      </c>
      <c r="GG1396" s="101" t="str">
        <f t="shared" si="650"/>
        <v/>
      </c>
      <c r="GH1396" s="101" t="str">
        <f t="shared" si="651"/>
        <v/>
      </c>
      <c r="GI1396" s="101" t="str">
        <f t="shared" si="652"/>
        <v/>
      </c>
      <c r="GJ1396" s="101" t="str">
        <f t="shared" si="653"/>
        <v/>
      </c>
      <c r="GK1396" s="101" t="str">
        <f t="shared" si="654"/>
        <v/>
      </c>
      <c r="GL1396" s="101" t="str">
        <f t="shared" si="655"/>
        <v/>
      </c>
    </row>
    <row r="1397" spans="170:194" ht="16.5" x14ac:dyDescent="0.2">
      <c r="FN1397" s="101">
        <v>1392</v>
      </c>
      <c r="FO1397" s="101">
        <f t="shared" si="640"/>
        <v>28</v>
      </c>
      <c r="FP1397" s="101">
        <f t="shared" si="633"/>
        <v>18</v>
      </c>
      <c r="FQ1397" s="14">
        <f t="shared" si="634"/>
        <v>3</v>
      </c>
      <c r="FR1397" s="101" t="str">
        <f t="shared" si="641"/>
        <v>雷震子专属武器-魂珠-4 1级</v>
      </c>
      <c r="FS1397" s="101">
        <f t="shared" si="642"/>
        <v>4</v>
      </c>
      <c r="FT1397" s="101">
        <f t="shared" si="643"/>
        <v>1</v>
      </c>
      <c r="FU1397" s="101" t="str">
        <f t="shared" si="635"/>
        <v>金币</v>
      </c>
      <c r="FV1397" s="139">
        <f>IF($FT1397&gt;0,IF(INDEX($EI$6:$EI$77,$FO1397)&gt;=FV$3,ROUND(INDEX(EK$6:EK$77,$FO1397)*INDEX(卡牌消耗!$B$8:$F$8,FQ1397)/5,0)*5,""),"")</f>
        <v>730</v>
      </c>
      <c r="FW1397" s="101" t="str">
        <f t="shared" si="636"/>
        <v>专属强化石2</v>
      </c>
      <c r="FX1397" s="101">
        <f t="shared" si="637"/>
        <v>3</v>
      </c>
      <c r="FY1397" s="101" t="str">
        <f t="shared" si="638"/>
        <v>专属强化石3</v>
      </c>
      <c r="FZ1397" s="101">
        <f t="shared" si="639"/>
        <v>1</v>
      </c>
      <c r="GA1397" s="101">
        <f t="shared" si="644"/>
        <v>0.2</v>
      </c>
      <c r="GB1397" s="101">
        <f t="shared" si="645"/>
        <v>1</v>
      </c>
      <c r="GC1397" s="101">
        <f t="shared" si="646"/>
        <v>7</v>
      </c>
      <c r="GD1397" s="101">
        <f t="shared" si="647"/>
        <v>0</v>
      </c>
      <c r="GE1397" s="101">
        <f t="shared" si="648"/>
        <v>1</v>
      </c>
      <c r="GF1397" s="101">
        <f t="shared" si="649"/>
        <v>2</v>
      </c>
      <c r="GG1397" s="101">
        <f t="shared" si="650"/>
        <v>0.1012</v>
      </c>
      <c r="GH1397" s="101">
        <f t="shared" si="651"/>
        <v>1</v>
      </c>
      <c r="GI1397" s="101">
        <f t="shared" si="652"/>
        <v>3</v>
      </c>
      <c r="GJ1397" s="101">
        <f t="shared" si="653"/>
        <v>0.40479999999999999</v>
      </c>
      <c r="GK1397" s="101">
        <f t="shared" si="654"/>
        <v>1</v>
      </c>
      <c r="GL1397" s="101">
        <f t="shared" si="655"/>
        <v>7</v>
      </c>
    </row>
    <row r="1398" spans="170:194" ht="16.5" x14ac:dyDescent="0.2">
      <c r="FN1398" s="101">
        <v>1393</v>
      </c>
      <c r="FO1398" s="101">
        <f t="shared" si="640"/>
        <v>29</v>
      </c>
      <c r="FP1398" s="101">
        <f t="shared" si="633"/>
        <v>18</v>
      </c>
      <c r="FQ1398" s="14">
        <f t="shared" si="634"/>
        <v>3</v>
      </c>
      <c r="FR1398" s="101" t="str">
        <f t="shared" si="641"/>
        <v>雷震子专属武器-魂珠-4 2级</v>
      </c>
      <c r="FS1398" s="101">
        <f t="shared" si="642"/>
        <v>4</v>
      </c>
      <c r="FT1398" s="101">
        <f t="shared" si="643"/>
        <v>2</v>
      </c>
      <c r="FU1398" s="101" t="str">
        <f t="shared" si="635"/>
        <v>金币</v>
      </c>
      <c r="FV1398" s="139">
        <f>IF($FT1398&gt;0,IF(INDEX($EI$6:$EI$77,$FO1398)&gt;=FV$3,ROUND(INDEX(EK$6:EK$77,$FO1398)*INDEX(卡牌消耗!$B$8:$F$8,FQ1398)/5,0)*5,""),"")</f>
        <v>545</v>
      </c>
      <c r="FW1398" s="101" t="str">
        <f t="shared" si="636"/>
        <v>专属强化石2</v>
      </c>
      <c r="FX1398" s="101">
        <f t="shared" si="637"/>
        <v>3</v>
      </c>
      <c r="FY1398" s="101" t="str">
        <f t="shared" si="638"/>
        <v>专属强化石3</v>
      </c>
      <c r="FZ1398" s="101">
        <f t="shared" si="639"/>
        <v>1</v>
      </c>
      <c r="GA1398" s="101">
        <f t="shared" si="644"/>
        <v>0.1</v>
      </c>
      <c r="GB1398" s="101">
        <f t="shared" si="645"/>
        <v>1</v>
      </c>
      <c r="GC1398" s="101">
        <f t="shared" si="646"/>
        <v>15</v>
      </c>
      <c r="GD1398" s="101">
        <f t="shared" si="647"/>
        <v>0</v>
      </c>
      <c r="GE1398" s="101">
        <f t="shared" si="648"/>
        <v>1</v>
      </c>
      <c r="GF1398" s="101">
        <f t="shared" si="649"/>
        <v>3</v>
      </c>
      <c r="GG1398" s="101">
        <f t="shared" si="650"/>
        <v>5.0599999999999999E-2</v>
      </c>
      <c r="GH1398" s="101">
        <f t="shared" si="651"/>
        <v>1</v>
      </c>
      <c r="GI1398" s="101">
        <f t="shared" si="652"/>
        <v>7</v>
      </c>
      <c r="GJ1398" s="101">
        <f t="shared" si="653"/>
        <v>0.2024</v>
      </c>
      <c r="GK1398" s="101">
        <f t="shared" si="654"/>
        <v>1</v>
      </c>
      <c r="GL1398" s="101">
        <f t="shared" si="655"/>
        <v>15</v>
      </c>
    </row>
    <row r="1399" spans="170:194" ht="16.5" x14ac:dyDescent="0.2">
      <c r="FN1399" s="101">
        <v>1394</v>
      </c>
      <c r="FO1399" s="101">
        <f t="shared" si="640"/>
        <v>30</v>
      </c>
      <c r="FP1399" s="101">
        <f t="shared" si="633"/>
        <v>18</v>
      </c>
      <c r="FQ1399" s="14">
        <f t="shared" si="634"/>
        <v>3</v>
      </c>
      <c r="FR1399" s="101" t="str">
        <f t="shared" si="641"/>
        <v>雷震子专属武器-魂珠-4 3级</v>
      </c>
      <c r="FS1399" s="101">
        <f t="shared" si="642"/>
        <v>4</v>
      </c>
      <c r="FT1399" s="101">
        <f t="shared" si="643"/>
        <v>3</v>
      </c>
      <c r="FU1399" s="101" t="str">
        <f t="shared" si="635"/>
        <v>金币</v>
      </c>
      <c r="FV1399" s="139">
        <f>IF($FT1399&gt;0,IF(INDEX($EI$6:$EI$77,$FO1399)&gt;=FV$3,ROUND(INDEX(EK$6:EK$77,$FO1399)*INDEX(卡牌消耗!$B$8:$F$8,FQ1399)/5,0)*5,""),"")</f>
        <v>610</v>
      </c>
      <c r="FW1399" s="101" t="str">
        <f t="shared" si="636"/>
        <v>专属强化石2</v>
      </c>
      <c r="FX1399" s="101">
        <f t="shared" si="637"/>
        <v>3</v>
      </c>
      <c r="FY1399" s="101" t="str">
        <f t="shared" si="638"/>
        <v>专属强化石3</v>
      </c>
      <c r="FZ1399" s="101">
        <f t="shared" si="639"/>
        <v>1</v>
      </c>
      <c r="GA1399" s="101">
        <f t="shared" si="644"/>
        <v>7.0000000000000007E-2</v>
      </c>
      <c r="GB1399" s="101">
        <f t="shared" si="645"/>
        <v>1</v>
      </c>
      <c r="GC1399" s="101">
        <f t="shared" si="646"/>
        <v>22</v>
      </c>
      <c r="GD1399" s="101">
        <f t="shared" si="647"/>
        <v>0</v>
      </c>
      <c r="GE1399" s="101">
        <f t="shared" si="648"/>
        <v>1</v>
      </c>
      <c r="GF1399" s="101">
        <f t="shared" si="649"/>
        <v>5</v>
      </c>
      <c r="GG1399" s="101">
        <f t="shared" si="650"/>
        <v>3.3700000000000001E-2</v>
      </c>
      <c r="GH1399" s="101">
        <f t="shared" si="651"/>
        <v>1</v>
      </c>
      <c r="GI1399" s="101">
        <f t="shared" si="652"/>
        <v>10</v>
      </c>
      <c r="GJ1399" s="101">
        <f t="shared" si="653"/>
        <v>0.13489999999999999</v>
      </c>
      <c r="GK1399" s="101">
        <f t="shared" si="654"/>
        <v>1</v>
      </c>
      <c r="GL1399" s="101">
        <f t="shared" si="655"/>
        <v>22</v>
      </c>
    </row>
    <row r="1400" spans="170:194" ht="16.5" x14ac:dyDescent="0.2">
      <c r="FN1400" s="101">
        <v>1395</v>
      </c>
      <c r="FO1400" s="101">
        <f t="shared" si="640"/>
        <v>31</v>
      </c>
      <c r="FP1400" s="101">
        <f t="shared" si="633"/>
        <v>18</v>
      </c>
      <c r="FQ1400" s="14">
        <f t="shared" si="634"/>
        <v>3</v>
      </c>
      <c r="FR1400" s="101" t="str">
        <f t="shared" si="641"/>
        <v>雷震子专属武器-魂珠-4 4级</v>
      </c>
      <c r="FS1400" s="101">
        <f t="shared" si="642"/>
        <v>4</v>
      </c>
      <c r="FT1400" s="101">
        <f t="shared" si="643"/>
        <v>4</v>
      </c>
      <c r="FU1400" s="101" t="str">
        <f t="shared" si="635"/>
        <v>金币</v>
      </c>
      <c r="FV1400" s="139">
        <f>IF($FT1400&gt;0,IF(INDEX($EI$6:$EI$77,$FO1400)&gt;=FV$3,ROUND(INDEX(EK$6:EK$77,$FO1400)*INDEX(卡牌消耗!$B$8:$F$8,FQ1400)/5,0)*5,""),"")</f>
        <v>1165</v>
      </c>
      <c r="FW1400" s="101" t="str">
        <f t="shared" si="636"/>
        <v>专属强化石2</v>
      </c>
      <c r="FX1400" s="101">
        <f t="shared" si="637"/>
        <v>5</v>
      </c>
      <c r="FY1400" s="101" t="str">
        <f t="shared" si="638"/>
        <v>专属强化石3</v>
      </c>
      <c r="FZ1400" s="101">
        <f t="shared" si="639"/>
        <v>2</v>
      </c>
      <c r="GA1400" s="101">
        <f t="shared" si="644"/>
        <v>0.08</v>
      </c>
      <c r="GB1400" s="101">
        <f t="shared" si="645"/>
        <v>1</v>
      </c>
      <c r="GC1400" s="101">
        <f t="shared" si="646"/>
        <v>19</v>
      </c>
      <c r="GD1400" s="101">
        <f t="shared" si="647"/>
        <v>0</v>
      </c>
      <c r="GE1400" s="101">
        <f t="shared" si="648"/>
        <v>1</v>
      </c>
      <c r="GF1400" s="101">
        <f t="shared" si="649"/>
        <v>4</v>
      </c>
      <c r="GG1400" s="101">
        <f t="shared" si="650"/>
        <v>4.0500000000000001E-2</v>
      </c>
      <c r="GH1400" s="101">
        <f t="shared" si="651"/>
        <v>1</v>
      </c>
      <c r="GI1400" s="101">
        <f t="shared" si="652"/>
        <v>9</v>
      </c>
      <c r="GJ1400" s="101">
        <f t="shared" si="653"/>
        <v>0.16189999999999999</v>
      </c>
      <c r="GK1400" s="101">
        <f t="shared" si="654"/>
        <v>1</v>
      </c>
      <c r="GL1400" s="101">
        <f t="shared" si="655"/>
        <v>19</v>
      </c>
    </row>
    <row r="1401" spans="170:194" ht="16.5" x14ac:dyDescent="0.2">
      <c r="FN1401" s="101">
        <v>1396</v>
      </c>
      <c r="FO1401" s="101">
        <f t="shared" si="640"/>
        <v>32</v>
      </c>
      <c r="FP1401" s="101">
        <f t="shared" si="633"/>
        <v>18</v>
      </c>
      <c r="FQ1401" s="14">
        <f t="shared" si="634"/>
        <v>3</v>
      </c>
      <c r="FR1401" s="101" t="str">
        <f t="shared" si="641"/>
        <v>雷震子专属武器-魂珠-4 5级</v>
      </c>
      <c r="FS1401" s="101">
        <f t="shared" si="642"/>
        <v>4</v>
      </c>
      <c r="FT1401" s="101">
        <f t="shared" si="643"/>
        <v>5</v>
      </c>
      <c r="FU1401" s="101" t="str">
        <f t="shared" si="635"/>
        <v>金币</v>
      </c>
      <c r="FV1401" s="139">
        <f>IF($FT1401&gt;0,IF(INDEX($EI$6:$EI$77,$FO1401)&gt;=FV$3,ROUND(INDEX(EK$6:EK$77,$FO1401)*INDEX(卡牌消耗!$B$8:$F$8,FQ1401)/5,0)*5,""),"")</f>
        <v>1185</v>
      </c>
      <c r="FW1401" s="101" t="str">
        <f t="shared" si="636"/>
        <v>专属强化石2</v>
      </c>
      <c r="FX1401" s="101">
        <f t="shared" si="637"/>
        <v>5</v>
      </c>
      <c r="FY1401" s="101" t="str">
        <f t="shared" si="638"/>
        <v>专属强化石3</v>
      </c>
      <c r="FZ1401" s="101">
        <f t="shared" si="639"/>
        <v>2</v>
      </c>
      <c r="GA1401" s="101">
        <f t="shared" si="644"/>
        <v>0.05</v>
      </c>
      <c r="GB1401" s="101">
        <f t="shared" si="645"/>
        <v>1</v>
      </c>
      <c r="GC1401" s="101">
        <f t="shared" si="646"/>
        <v>30</v>
      </c>
      <c r="GD1401" s="101">
        <f t="shared" si="647"/>
        <v>0</v>
      </c>
      <c r="GE1401" s="101">
        <f t="shared" si="648"/>
        <v>1</v>
      </c>
      <c r="GF1401" s="101">
        <f t="shared" si="649"/>
        <v>7</v>
      </c>
      <c r="GG1401" s="101">
        <f t="shared" si="650"/>
        <v>2.53E-2</v>
      </c>
      <c r="GH1401" s="101">
        <f t="shared" si="651"/>
        <v>1</v>
      </c>
      <c r="GI1401" s="101">
        <f t="shared" si="652"/>
        <v>14</v>
      </c>
      <c r="GJ1401" s="101">
        <f t="shared" si="653"/>
        <v>0.1012</v>
      </c>
      <c r="GK1401" s="101">
        <f t="shared" si="654"/>
        <v>1</v>
      </c>
      <c r="GL1401" s="101">
        <f t="shared" si="655"/>
        <v>30</v>
      </c>
    </row>
    <row r="1402" spans="170:194" ht="16.5" x14ac:dyDescent="0.2">
      <c r="FN1402" s="101">
        <v>1397</v>
      </c>
      <c r="FO1402" s="101">
        <f t="shared" si="640"/>
        <v>33</v>
      </c>
      <c r="FP1402" s="101">
        <f t="shared" si="633"/>
        <v>18</v>
      </c>
      <c r="FQ1402" s="14">
        <f t="shared" si="634"/>
        <v>3</v>
      </c>
      <c r="FR1402" s="101" t="str">
        <f t="shared" si="641"/>
        <v>雷震子专属武器-魂珠-4 6级</v>
      </c>
      <c r="FS1402" s="101">
        <f t="shared" si="642"/>
        <v>4</v>
      </c>
      <c r="FT1402" s="101">
        <f t="shared" si="643"/>
        <v>6</v>
      </c>
      <c r="FU1402" s="101" t="str">
        <f t="shared" si="635"/>
        <v>金币</v>
      </c>
      <c r="FV1402" s="139">
        <f>IF($FT1402&gt;0,IF(INDEX($EI$6:$EI$77,$FO1402)&gt;=FV$3,ROUND(INDEX(EK$6:EK$77,$FO1402)*INDEX(卡牌消耗!$B$8:$F$8,FQ1402)/5,0)*5,""),"")</f>
        <v>1180</v>
      </c>
      <c r="FW1402" s="101" t="str">
        <f t="shared" si="636"/>
        <v>专属强化石2</v>
      </c>
      <c r="FX1402" s="101">
        <f t="shared" si="637"/>
        <v>5</v>
      </c>
      <c r="FY1402" s="101" t="str">
        <f t="shared" si="638"/>
        <v>专属强化石3</v>
      </c>
      <c r="FZ1402" s="101">
        <f t="shared" si="639"/>
        <v>2</v>
      </c>
      <c r="GA1402" s="101">
        <f t="shared" si="644"/>
        <v>0.03</v>
      </c>
      <c r="GB1402" s="101">
        <f t="shared" si="645"/>
        <v>1</v>
      </c>
      <c r="GC1402" s="101">
        <f t="shared" si="646"/>
        <v>48</v>
      </c>
      <c r="GD1402" s="101">
        <f t="shared" si="647"/>
        <v>0</v>
      </c>
      <c r="GE1402" s="101">
        <f t="shared" si="648"/>
        <v>1</v>
      </c>
      <c r="GF1402" s="101">
        <f t="shared" si="649"/>
        <v>11</v>
      </c>
      <c r="GG1402" s="101">
        <f t="shared" si="650"/>
        <v>1.5599999999999999E-2</v>
      </c>
      <c r="GH1402" s="101">
        <f t="shared" si="651"/>
        <v>1</v>
      </c>
      <c r="GI1402" s="101">
        <f t="shared" si="652"/>
        <v>22</v>
      </c>
      <c r="GJ1402" s="101">
        <f t="shared" si="653"/>
        <v>6.2300000000000001E-2</v>
      </c>
      <c r="GK1402" s="101">
        <f t="shared" si="654"/>
        <v>1</v>
      </c>
      <c r="GL1402" s="101">
        <f t="shared" si="655"/>
        <v>48</v>
      </c>
    </row>
    <row r="1403" spans="170:194" ht="16.5" x14ac:dyDescent="0.2">
      <c r="FN1403" s="101">
        <v>1398</v>
      </c>
      <c r="FO1403" s="101">
        <f t="shared" si="640"/>
        <v>34</v>
      </c>
      <c r="FP1403" s="101">
        <f t="shared" si="633"/>
        <v>18</v>
      </c>
      <c r="FQ1403" s="14">
        <f t="shared" si="634"/>
        <v>3</v>
      </c>
      <c r="FR1403" s="101" t="str">
        <f t="shared" si="641"/>
        <v>雷震子专属武器-魂珠-4 7级</v>
      </c>
      <c r="FS1403" s="101">
        <f t="shared" si="642"/>
        <v>4</v>
      </c>
      <c r="FT1403" s="101">
        <f t="shared" si="643"/>
        <v>7</v>
      </c>
      <c r="FU1403" s="101" t="str">
        <f t="shared" si="635"/>
        <v>金币</v>
      </c>
      <c r="FV1403" s="139">
        <f>IF($FT1403&gt;0,IF(INDEX($EI$6:$EI$77,$FO1403)&gt;=FV$3,ROUND(INDEX(EK$6:EK$77,$FO1403)*INDEX(卡牌消耗!$B$8:$F$8,FQ1403)/5,0)*5,""),"")</f>
        <v>1770</v>
      </c>
      <c r="FW1403" s="101" t="str">
        <f t="shared" si="636"/>
        <v>专属强化石2</v>
      </c>
      <c r="FX1403" s="101">
        <f t="shared" si="637"/>
        <v>8</v>
      </c>
      <c r="FY1403" s="101" t="str">
        <f t="shared" si="638"/>
        <v>专属强化石3</v>
      </c>
      <c r="FZ1403" s="101">
        <f t="shared" si="639"/>
        <v>3</v>
      </c>
      <c r="GA1403" s="101">
        <f t="shared" si="644"/>
        <v>0.03</v>
      </c>
      <c r="GB1403" s="101">
        <f t="shared" si="645"/>
        <v>1</v>
      </c>
      <c r="GC1403" s="101">
        <f t="shared" si="646"/>
        <v>52</v>
      </c>
      <c r="GD1403" s="101">
        <f t="shared" si="647"/>
        <v>0</v>
      </c>
      <c r="GE1403" s="101">
        <f t="shared" si="648"/>
        <v>1</v>
      </c>
      <c r="GF1403" s="101">
        <f t="shared" si="649"/>
        <v>12</v>
      </c>
      <c r="GG1403" s="101">
        <f t="shared" si="650"/>
        <v>1.4500000000000001E-2</v>
      </c>
      <c r="GH1403" s="101">
        <f t="shared" si="651"/>
        <v>1</v>
      </c>
      <c r="GI1403" s="101">
        <f t="shared" si="652"/>
        <v>24</v>
      </c>
      <c r="GJ1403" s="101">
        <f t="shared" si="653"/>
        <v>5.7799999999999997E-2</v>
      </c>
      <c r="GK1403" s="101">
        <f t="shared" si="654"/>
        <v>1</v>
      </c>
      <c r="GL1403" s="101">
        <f t="shared" si="655"/>
        <v>52</v>
      </c>
    </row>
    <row r="1404" spans="170:194" ht="16.5" x14ac:dyDescent="0.2">
      <c r="FN1404" s="101">
        <v>1399</v>
      </c>
      <c r="FO1404" s="101">
        <f t="shared" si="640"/>
        <v>35</v>
      </c>
      <c r="FP1404" s="101">
        <f t="shared" si="633"/>
        <v>18</v>
      </c>
      <c r="FQ1404" s="14">
        <f t="shared" si="634"/>
        <v>3</v>
      </c>
      <c r="FR1404" s="101" t="str">
        <f t="shared" si="641"/>
        <v>雷震子专属武器-魂珠-4 8级</v>
      </c>
      <c r="FS1404" s="101">
        <f t="shared" si="642"/>
        <v>4</v>
      </c>
      <c r="FT1404" s="101">
        <f t="shared" si="643"/>
        <v>8</v>
      </c>
      <c r="FU1404" s="101" t="str">
        <f t="shared" si="635"/>
        <v>金币</v>
      </c>
      <c r="FV1404" s="139">
        <f>IF($FT1404&gt;0,IF(INDEX($EI$6:$EI$77,$FO1404)&gt;=FV$3,ROUND(INDEX(EK$6:EK$77,$FO1404)*INDEX(卡牌消耗!$B$8:$F$8,FQ1404)/5,0)*5,""),"")</f>
        <v>2360</v>
      </c>
      <c r="FW1404" s="101" t="str">
        <f t="shared" si="636"/>
        <v>专属强化石2</v>
      </c>
      <c r="FX1404" s="101">
        <f t="shared" si="637"/>
        <v>11</v>
      </c>
      <c r="FY1404" s="101" t="str">
        <f t="shared" si="638"/>
        <v>专属强化石3</v>
      </c>
      <c r="FZ1404" s="101">
        <f t="shared" si="639"/>
        <v>4</v>
      </c>
      <c r="GA1404" s="101">
        <f t="shared" si="644"/>
        <v>0.02</v>
      </c>
      <c r="GB1404" s="101">
        <f t="shared" si="645"/>
        <v>1</v>
      </c>
      <c r="GC1404" s="101">
        <f t="shared" si="646"/>
        <v>63</v>
      </c>
      <c r="GD1404" s="101">
        <f t="shared" si="647"/>
        <v>0</v>
      </c>
      <c r="GE1404" s="101">
        <f t="shared" si="648"/>
        <v>1</v>
      </c>
      <c r="GF1404" s="101">
        <f t="shared" si="649"/>
        <v>15</v>
      </c>
      <c r="GG1404" s="101">
        <f t="shared" si="650"/>
        <v>1.1900000000000001E-2</v>
      </c>
      <c r="GH1404" s="101">
        <f t="shared" si="651"/>
        <v>1</v>
      </c>
      <c r="GI1404" s="101">
        <f t="shared" si="652"/>
        <v>29</v>
      </c>
      <c r="GJ1404" s="101">
        <f t="shared" si="653"/>
        <v>4.7600000000000003E-2</v>
      </c>
      <c r="GK1404" s="101">
        <f t="shared" si="654"/>
        <v>1</v>
      </c>
      <c r="GL1404" s="101">
        <f t="shared" si="655"/>
        <v>63</v>
      </c>
    </row>
    <row r="1405" spans="170:194" ht="16.5" x14ac:dyDescent="0.2">
      <c r="FN1405" s="101">
        <v>1400</v>
      </c>
      <c r="FO1405" s="101">
        <f t="shared" si="640"/>
        <v>36</v>
      </c>
      <c r="FP1405" s="101">
        <f t="shared" si="633"/>
        <v>18</v>
      </c>
      <c r="FQ1405" s="14">
        <f t="shared" si="634"/>
        <v>3</v>
      </c>
      <c r="FR1405" s="101" t="str">
        <f t="shared" si="641"/>
        <v>雷震子专属武器-魂珠-4 9级</v>
      </c>
      <c r="FS1405" s="101">
        <f t="shared" si="642"/>
        <v>4</v>
      </c>
      <c r="FT1405" s="101">
        <f t="shared" si="643"/>
        <v>9</v>
      </c>
      <c r="FU1405" s="101" t="str">
        <f t="shared" si="635"/>
        <v>金币</v>
      </c>
      <c r="FV1405" s="139">
        <f>IF($FT1405&gt;0,IF(INDEX($EI$6:$EI$77,$FO1405)&gt;=FV$3,ROUND(INDEX(EK$6:EK$77,$FO1405)*INDEX(卡牌消耗!$B$8:$F$8,FQ1405)/5,0)*5,""),"")</f>
        <v>3540</v>
      </c>
      <c r="FW1405" s="101" t="str">
        <f t="shared" si="636"/>
        <v>专属强化石2</v>
      </c>
      <c r="FX1405" s="101">
        <f t="shared" si="637"/>
        <v>16</v>
      </c>
      <c r="FY1405" s="101" t="str">
        <f t="shared" si="638"/>
        <v>专属强化石3</v>
      </c>
      <c r="FZ1405" s="101">
        <f t="shared" si="639"/>
        <v>6</v>
      </c>
      <c r="GA1405" s="101">
        <f t="shared" si="644"/>
        <v>0.02</v>
      </c>
      <c r="GB1405" s="101">
        <f t="shared" si="645"/>
        <v>1</v>
      </c>
      <c r="GC1405" s="101">
        <f t="shared" si="646"/>
        <v>68</v>
      </c>
      <c r="GD1405" s="101">
        <f t="shared" si="647"/>
        <v>0</v>
      </c>
      <c r="GE1405" s="101">
        <f t="shared" si="648"/>
        <v>1</v>
      </c>
      <c r="GF1405" s="101">
        <f t="shared" si="649"/>
        <v>16</v>
      </c>
      <c r="GG1405" s="101">
        <f t="shared" si="650"/>
        <v>1.0999999999999999E-2</v>
      </c>
      <c r="GH1405" s="101">
        <f t="shared" si="651"/>
        <v>1</v>
      </c>
      <c r="GI1405" s="101">
        <f t="shared" si="652"/>
        <v>32</v>
      </c>
      <c r="GJ1405" s="101">
        <f t="shared" si="653"/>
        <v>4.4200000000000003E-2</v>
      </c>
      <c r="GK1405" s="101">
        <f t="shared" si="654"/>
        <v>1</v>
      </c>
      <c r="GL1405" s="101">
        <f t="shared" si="655"/>
        <v>68</v>
      </c>
    </row>
    <row r="1406" spans="170:194" ht="16.5" x14ac:dyDescent="0.2">
      <c r="FN1406" s="101">
        <v>1401</v>
      </c>
      <c r="FO1406" s="101">
        <f t="shared" si="640"/>
        <v>0</v>
      </c>
      <c r="FP1406" s="101">
        <f t="shared" si="633"/>
        <v>18</v>
      </c>
      <c r="FQ1406" s="14">
        <f t="shared" si="634"/>
        <v>3</v>
      </c>
      <c r="FR1406" s="101" t="str">
        <f t="shared" si="641"/>
        <v>雷震子专属武器-魂珠-5 0级</v>
      </c>
      <c r="FS1406" s="101">
        <f t="shared" si="642"/>
        <v>5</v>
      </c>
      <c r="FT1406" s="101">
        <f t="shared" si="643"/>
        <v>0</v>
      </c>
      <c r="FU1406" s="101" t="str">
        <f t="shared" si="635"/>
        <v/>
      </c>
      <c r="FV1406" s="139" t="str">
        <f>IF($FT1406&gt;0,IF(INDEX($EI$6:$EI$77,$FO1406)&gt;=FV$3,ROUND(INDEX(EK$6:EK$77,$FO1406)*INDEX(卡牌消耗!$B$8:$F$8,FQ1406)/5,0)*5,""),"")</f>
        <v/>
      </c>
      <c r="FW1406" s="101" t="str">
        <f t="shared" si="636"/>
        <v/>
      </c>
      <c r="FX1406" s="101" t="str">
        <f t="shared" si="637"/>
        <v/>
      </c>
      <c r="FY1406" s="101" t="str">
        <f t="shared" si="638"/>
        <v/>
      </c>
      <c r="FZ1406" s="101" t="str">
        <f t="shared" si="639"/>
        <v/>
      </c>
      <c r="GA1406" s="101" t="str">
        <f t="shared" si="644"/>
        <v/>
      </c>
      <c r="GB1406" s="101" t="str">
        <f t="shared" si="645"/>
        <v/>
      </c>
      <c r="GC1406" s="101" t="str">
        <f t="shared" si="646"/>
        <v/>
      </c>
      <c r="GD1406" s="101" t="str">
        <f t="shared" si="647"/>
        <v/>
      </c>
      <c r="GE1406" s="101" t="str">
        <f t="shared" si="648"/>
        <v/>
      </c>
      <c r="GF1406" s="101" t="str">
        <f t="shared" si="649"/>
        <v/>
      </c>
      <c r="GG1406" s="101" t="str">
        <f t="shared" si="650"/>
        <v/>
      </c>
      <c r="GH1406" s="101" t="str">
        <f t="shared" si="651"/>
        <v/>
      </c>
      <c r="GI1406" s="101" t="str">
        <f t="shared" si="652"/>
        <v/>
      </c>
      <c r="GJ1406" s="101" t="str">
        <f t="shared" si="653"/>
        <v/>
      </c>
      <c r="GK1406" s="101" t="str">
        <f t="shared" si="654"/>
        <v/>
      </c>
      <c r="GL1406" s="101" t="str">
        <f t="shared" si="655"/>
        <v/>
      </c>
    </row>
    <row r="1407" spans="170:194" ht="16.5" x14ac:dyDescent="0.2">
      <c r="FN1407" s="101">
        <v>1402</v>
      </c>
      <c r="FO1407" s="101">
        <f t="shared" si="640"/>
        <v>37</v>
      </c>
      <c r="FP1407" s="101">
        <f t="shared" si="633"/>
        <v>18</v>
      </c>
      <c r="FQ1407" s="14">
        <f t="shared" si="634"/>
        <v>3</v>
      </c>
      <c r="FR1407" s="101" t="str">
        <f t="shared" si="641"/>
        <v>雷震子专属武器-魂珠-5 1级</v>
      </c>
      <c r="FS1407" s="101">
        <f t="shared" si="642"/>
        <v>5</v>
      </c>
      <c r="FT1407" s="101">
        <f t="shared" si="643"/>
        <v>1</v>
      </c>
      <c r="FU1407" s="101" t="str">
        <f t="shared" si="635"/>
        <v>金币</v>
      </c>
      <c r="FV1407" s="139">
        <f>IF($FT1407&gt;0,IF(INDEX($EI$6:$EI$77,$FO1407)&gt;=FV$3,ROUND(INDEX(EK$6:EK$77,$FO1407)*INDEX(卡牌消耗!$B$8:$F$8,FQ1407)/5,0)*5,""),"")</f>
        <v>1495</v>
      </c>
      <c r="FW1407" s="101" t="str">
        <f t="shared" si="636"/>
        <v>专属强化石2</v>
      </c>
      <c r="FX1407" s="101">
        <f t="shared" si="637"/>
        <v>3</v>
      </c>
      <c r="FY1407" s="101" t="str">
        <f t="shared" si="638"/>
        <v>专属强化石3</v>
      </c>
      <c r="FZ1407" s="101">
        <f t="shared" si="639"/>
        <v>2</v>
      </c>
      <c r="GA1407" s="101">
        <f t="shared" si="644"/>
        <v>0.2</v>
      </c>
      <c r="GB1407" s="101">
        <f t="shared" si="645"/>
        <v>1</v>
      </c>
      <c r="GC1407" s="101">
        <f t="shared" si="646"/>
        <v>7</v>
      </c>
      <c r="GD1407" s="101">
        <f t="shared" si="647"/>
        <v>0</v>
      </c>
      <c r="GE1407" s="101">
        <f t="shared" si="648"/>
        <v>1</v>
      </c>
      <c r="GF1407" s="101">
        <f t="shared" si="649"/>
        <v>2</v>
      </c>
      <c r="GG1407" s="101">
        <f t="shared" si="650"/>
        <v>0.1012</v>
      </c>
      <c r="GH1407" s="101">
        <f t="shared" si="651"/>
        <v>1</v>
      </c>
      <c r="GI1407" s="101">
        <f t="shared" si="652"/>
        <v>3</v>
      </c>
      <c r="GJ1407" s="101">
        <f t="shared" si="653"/>
        <v>0.40479999999999999</v>
      </c>
      <c r="GK1407" s="101">
        <f t="shared" si="654"/>
        <v>1</v>
      </c>
      <c r="GL1407" s="101">
        <f t="shared" si="655"/>
        <v>7</v>
      </c>
    </row>
    <row r="1408" spans="170:194" ht="16.5" x14ac:dyDescent="0.2">
      <c r="FN1408" s="101">
        <v>1403</v>
      </c>
      <c r="FO1408" s="101">
        <f t="shared" si="640"/>
        <v>38</v>
      </c>
      <c r="FP1408" s="101">
        <f t="shared" si="633"/>
        <v>18</v>
      </c>
      <c r="FQ1408" s="14">
        <f t="shared" si="634"/>
        <v>3</v>
      </c>
      <c r="FR1408" s="101" t="str">
        <f t="shared" si="641"/>
        <v>雷震子专属武器-魂珠-5 2级</v>
      </c>
      <c r="FS1408" s="101">
        <f t="shared" si="642"/>
        <v>5</v>
      </c>
      <c r="FT1408" s="101">
        <f t="shared" si="643"/>
        <v>2</v>
      </c>
      <c r="FU1408" s="101" t="str">
        <f t="shared" si="635"/>
        <v>金币</v>
      </c>
      <c r="FV1408" s="139">
        <f>IF($FT1408&gt;0,IF(INDEX($EI$6:$EI$77,$FO1408)&gt;=FV$3,ROUND(INDEX(EK$6:EK$77,$FO1408)*INDEX(卡牌消耗!$B$8:$F$8,FQ1408)/5,0)*5,""),"")</f>
        <v>1120</v>
      </c>
      <c r="FW1408" s="101" t="str">
        <f t="shared" si="636"/>
        <v>专属强化石2</v>
      </c>
      <c r="FX1408" s="101">
        <f t="shared" si="637"/>
        <v>3</v>
      </c>
      <c r="FY1408" s="101" t="str">
        <f t="shared" si="638"/>
        <v>专属强化石3</v>
      </c>
      <c r="FZ1408" s="101">
        <f t="shared" si="639"/>
        <v>2</v>
      </c>
      <c r="GA1408" s="101">
        <f t="shared" si="644"/>
        <v>0.1</v>
      </c>
      <c r="GB1408" s="101">
        <f t="shared" si="645"/>
        <v>1</v>
      </c>
      <c r="GC1408" s="101">
        <f t="shared" si="646"/>
        <v>15</v>
      </c>
      <c r="GD1408" s="101">
        <f t="shared" si="647"/>
        <v>0</v>
      </c>
      <c r="GE1408" s="101">
        <f t="shared" si="648"/>
        <v>1</v>
      </c>
      <c r="GF1408" s="101">
        <f t="shared" si="649"/>
        <v>3</v>
      </c>
      <c r="GG1408" s="101">
        <f t="shared" si="650"/>
        <v>5.0599999999999999E-2</v>
      </c>
      <c r="GH1408" s="101">
        <f t="shared" si="651"/>
        <v>1</v>
      </c>
      <c r="GI1408" s="101">
        <f t="shared" si="652"/>
        <v>7</v>
      </c>
      <c r="GJ1408" s="101">
        <f t="shared" si="653"/>
        <v>0.2024</v>
      </c>
      <c r="GK1408" s="101">
        <f t="shared" si="654"/>
        <v>1</v>
      </c>
      <c r="GL1408" s="101">
        <f t="shared" si="655"/>
        <v>15</v>
      </c>
    </row>
    <row r="1409" spans="170:194" ht="16.5" x14ac:dyDescent="0.2">
      <c r="FN1409" s="101">
        <v>1404</v>
      </c>
      <c r="FO1409" s="101">
        <f t="shared" si="640"/>
        <v>39</v>
      </c>
      <c r="FP1409" s="101">
        <f t="shared" si="633"/>
        <v>18</v>
      </c>
      <c r="FQ1409" s="14">
        <f t="shared" si="634"/>
        <v>3</v>
      </c>
      <c r="FR1409" s="101" t="str">
        <f t="shared" si="641"/>
        <v>雷震子专属武器-魂珠-5 3级</v>
      </c>
      <c r="FS1409" s="101">
        <f t="shared" si="642"/>
        <v>5</v>
      </c>
      <c r="FT1409" s="101">
        <f t="shared" si="643"/>
        <v>3</v>
      </c>
      <c r="FU1409" s="101" t="str">
        <f t="shared" si="635"/>
        <v>金币</v>
      </c>
      <c r="FV1409" s="139">
        <f>IF($FT1409&gt;0,IF(INDEX($EI$6:$EI$77,$FO1409)&gt;=FV$3,ROUND(INDEX(EK$6:EK$77,$FO1409)*INDEX(卡牌消耗!$B$8:$F$8,FQ1409)/5,0)*5,""),"")</f>
        <v>1245</v>
      </c>
      <c r="FW1409" s="101" t="str">
        <f t="shared" si="636"/>
        <v>专属强化石2</v>
      </c>
      <c r="FX1409" s="101">
        <f t="shared" si="637"/>
        <v>3</v>
      </c>
      <c r="FY1409" s="101" t="str">
        <f t="shared" si="638"/>
        <v>专属强化石3</v>
      </c>
      <c r="FZ1409" s="101">
        <f t="shared" si="639"/>
        <v>2</v>
      </c>
      <c r="GA1409" s="101">
        <f t="shared" si="644"/>
        <v>7.0000000000000007E-2</v>
      </c>
      <c r="GB1409" s="101">
        <f t="shared" si="645"/>
        <v>1</v>
      </c>
      <c r="GC1409" s="101">
        <f t="shared" si="646"/>
        <v>22</v>
      </c>
      <c r="GD1409" s="101">
        <f t="shared" si="647"/>
        <v>0</v>
      </c>
      <c r="GE1409" s="101">
        <f t="shared" si="648"/>
        <v>1</v>
      </c>
      <c r="GF1409" s="101">
        <f t="shared" si="649"/>
        <v>5</v>
      </c>
      <c r="GG1409" s="101">
        <f t="shared" si="650"/>
        <v>3.3700000000000001E-2</v>
      </c>
      <c r="GH1409" s="101">
        <f t="shared" si="651"/>
        <v>1</v>
      </c>
      <c r="GI1409" s="101">
        <f t="shared" si="652"/>
        <v>10</v>
      </c>
      <c r="GJ1409" s="101">
        <f t="shared" si="653"/>
        <v>0.13489999999999999</v>
      </c>
      <c r="GK1409" s="101">
        <f t="shared" si="654"/>
        <v>1</v>
      </c>
      <c r="GL1409" s="101">
        <f t="shared" si="655"/>
        <v>22</v>
      </c>
    </row>
    <row r="1410" spans="170:194" ht="16.5" x14ac:dyDescent="0.2">
      <c r="FN1410" s="101">
        <v>1405</v>
      </c>
      <c r="FO1410" s="101">
        <f t="shared" si="640"/>
        <v>40</v>
      </c>
      <c r="FP1410" s="101">
        <f t="shared" si="633"/>
        <v>18</v>
      </c>
      <c r="FQ1410" s="14">
        <f t="shared" si="634"/>
        <v>3</v>
      </c>
      <c r="FR1410" s="101" t="str">
        <f t="shared" si="641"/>
        <v>雷震子专属武器-魂珠-5 4级</v>
      </c>
      <c r="FS1410" s="101">
        <f t="shared" si="642"/>
        <v>5</v>
      </c>
      <c r="FT1410" s="101">
        <f t="shared" si="643"/>
        <v>4</v>
      </c>
      <c r="FU1410" s="101" t="str">
        <f t="shared" si="635"/>
        <v>金币</v>
      </c>
      <c r="FV1410" s="139">
        <f>IF($FT1410&gt;0,IF(INDEX($EI$6:$EI$77,$FO1410)&gt;=FV$3,ROUND(INDEX(EK$6:EK$77,$FO1410)*INDEX(卡牌消耗!$B$8:$F$8,FQ1410)/5,0)*5,""),"")</f>
        <v>1795</v>
      </c>
      <c r="FW1410" s="101" t="str">
        <f t="shared" si="636"/>
        <v>专属强化石2</v>
      </c>
      <c r="FX1410" s="101">
        <f t="shared" si="637"/>
        <v>5</v>
      </c>
      <c r="FY1410" s="101" t="str">
        <f t="shared" si="638"/>
        <v>专属强化石3</v>
      </c>
      <c r="FZ1410" s="101">
        <f t="shared" si="639"/>
        <v>3</v>
      </c>
      <c r="GA1410" s="101">
        <f t="shared" si="644"/>
        <v>0.06</v>
      </c>
      <c r="GB1410" s="101">
        <f t="shared" si="645"/>
        <v>1</v>
      </c>
      <c r="GC1410" s="101">
        <f t="shared" si="646"/>
        <v>25</v>
      </c>
      <c r="GD1410" s="101">
        <f t="shared" si="647"/>
        <v>0</v>
      </c>
      <c r="GE1410" s="101">
        <f t="shared" si="648"/>
        <v>1</v>
      </c>
      <c r="GF1410" s="101">
        <f t="shared" si="649"/>
        <v>6</v>
      </c>
      <c r="GG1410" s="101">
        <f t="shared" si="650"/>
        <v>3.04E-2</v>
      </c>
      <c r="GH1410" s="101">
        <f t="shared" si="651"/>
        <v>1</v>
      </c>
      <c r="GI1410" s="101">
        <f t="shared" si="652"/>
        <v>12</v>
      </c>
      <c r="GJ1410" s="101">
        <f t="shared" si="653"/>
        <v>0.12139999999999999</v>
      </c>
      <c r="GK1410" s="101">
        <f t="shared" si="654"/>
        <v>1</v>
      </c>
      <c r="GL1410" s="101">
        <f t="shared" si="655"/>
        <v>25</v>
      </c>
    </row>
    <row r="1411" spans="170:194" ht="16.5" x14ac:dyDescent="0.2">
      <c r="FN1411" s="101">
        <v>1406</v>
      </c>
      <c r="FO1411" s="101">
        <f t="shared" si="640"/>
        <v>41</v>
      </c>
      <c r="FP1411" s="101">
        <f t="shared" si="633"/>
        <v>18</v>
      </c>
      <c r="FQ1411" s="14">
        <f t="shared" si="634"/>
        <v>3</v>
      </c>
      <c r="FR1411" s="101" t="str">
        <f t="shared" si="641"/>
        <v>雷震子专属武器-魂珠-5 5级</v>
      </c>
      <c r="FS1411" s="101">
        <f t="shared" si="642"/>
        <v>5</v>
      </c>
      <c r="FT1411" s="101">
        <f t="shared" si="643"/>
        <v>5</v>
      </c>
      <c r="FU1411" s="101" t="str">
        <f t="shared" si="635"/>
        <v>金币</v>
      </c>
      <c r="FV1411" s="139">
        <f>IF($FT1411&gt;0,IF(INDEX($EI$6:$EI$77,$FO1411)&gt;=FV$3,ROUND(INDEX(EK$6:EK$77,$FO1411)*INDEX(卡牌消耗!$B$8:$F$8,FQ1411)/5,0)*5,""),"")</f>
        <v>1825</v>
      </c>
      <c r="FW1411" s="101" t="str">
        <f t="shared" si="636"/>
        <v>专属强化石2</v>
      </c>
      <c r="FX1411" s="101">
        <f t="shared" si="637"/>
        <v>5</v>
      </c>
      <c r="FY1411" s="101" t="str">
        <f t="shared" si="638"/>
        <v>专属强化石3</v>
      </c>
      <c r="FZ1411" s="101">
        <f t="shared" si="639"/>
        <v>3</v>
      </c>
      <c r="GA1411" s="101">
        <f t="shared" si="644"/>
        <v>0.04</v>
      </c>
      <c r="GB1411" s="101">
        <f t="shared" si="645"/>
        <v>1</v>
      </c>
      <c r="GC1411" s="101">
        <f t="shared" si="646"/>
        <v>40</v>
      </c>
      <c r="GD1411" s="101">
        <f t="shared" si="647"/>
        <v>0</v>
      </c>
      <c r="GE1411" s="101">
        <f t="shared" si="648"/>
        <v>1</v>
      </c>
      <c r="GF1411" s="101">
        <f t="shared" si="649"/>
        <v>9</v>
      </c>
      <c r="GG1411" s="101">
        <f t="shared" si="650"/>
        <v>1.9E-2</v>
      </c>
      <c r="GH1411" s="101">
        <f t="shared" si="651"/>
        <v>1</v>
      </c>
      <c r="GI1411" s="101">
        <f t="shared" si="652"/>
        <v>18</v>
      </c>
      <c r="GJ1411" s="101">
        <f t="shared" si="653"/>
        <v>7.5899999999999995E-2</v>
      </c>
      <c r="GK1411" s="101">
        <f t="shared" si="654"/>
        <v>1</v>
      </c>
      <c r="GL1411" s="101">
        <f t="shared" si="655"/>
        <v>40</v>
      </c>
    </row>
    <row r="1412" spans="170:194" ht="16.5" x14ac:dyDescent="0.2">
      <c r="FN1412" s="101">
        <v>1407</v>
      </c>
      <c r="FO1412" s="101">
        <f t="shared" si="640"/>
        <v>42</v>
      </c>
      <c r="FP1412" s="101">
        <f t="shared" si="633"/>
        <v>18</v>
      </c>
      <c r="FQ1412" s="14">
        <f t="shared" si="634"/>
        <v>3</v>
      </c>
      <c r="FR1412" s="101" t="str">
        <f t="shared" si="641"/>
        <v>雷震子专属武器-魂珠-5 6级</v>
      </c>
      <c r="FS1412" s="101">
        <f t="shared" si="642"/>
        <v>5</v>
      </c>
      <c r="FT1412" s="101">
        <f t="shared" si="643"/>
        <v>6</v>
      </c>
      <c r="FU1412" s="101" t="str">
        <f t="shared" si="635"/>
        <v>金币</v>
      </c>
      <c r="FV1412" s="139">
        <f>IF($FT1412&gt;0,IF(INDEX($EI$6:$EI$77,$FO1412)&gt;=FV$3,ROUND(INDEX(EK$6:EK$77,$FO1412)*INDEX(卡牌消耗!$B$8:$F$8,FQ1412)/5,0)*5,""),"")</f>
        <v>3020</v>
      </c>
      <c r="FW1412" s="101" t="str">
        <f t="shared" si="636"/>
        <v>专属强化石2</v>
      </c>
      <c r="FX1412" s="101">
        <f t="shared" si="637"/>
        <v>8</v>
      </c>
      <c r="FY1412" s="101" t="str">
        <f t="shared" si="638"/>
        <v>专属强化石3</v>
      </c>
      <c r="FZ1412" s="101">
        <f t="shared" si="639"/>
        <v>5</v>
      </c>
      <c r="GA1412" s="101">
        <f t="shared" si="644"/>
        <v>0.04</v>
      </c>
      <c r="GB1412" s="101">
        <f t="shared" si="645"/>
        <v>1</v>
      </c>
      <c r="GC1412" s="101">
        <f t="shared" si="646"/>
        <v>39</v>
      </c>
      <c r="GD1412" s="101">
        <f t="shared" si="647"/>
        <v>0</v>
      </c>
      <c r="GE1412" s="101">
        <f t="shared" si="648"/>
        <v>1</v>
      </c>
      <c r="GF1412" s="101">
        <f t="shared" si="649"/>
        <v>9</v>
      </c>
      <c r="GG1412" s="101">
        <f t="shared" si="650"/>
        <v>1.95E-2</v>
      </c>
      <c r="GH1412" s="101">
        <f t="shared" si="651"/>
        <v>1</v>
      </c>
      <c r="GI1412" s="101">
        <f t="shared" si="652"/>
        <v>18</v>
      </c>
      <c r="GJ1412" s="101">
        <f t="shared" si="653"/>
        <v>7.7799999999999994E-2</v>
      </c>
      <c r="GK1412" s="101">
        <f t="shared" si="654"/>
        <v>1</v>
      </c>
      <c r="GL1412" s="101">
        <f t="shared" si="655"/>
        <v>39</v>
      </c>
    </row>
    <row r="1413" spans="170:194" ht="16.5" x14ac:dyDescent="0.2">
      <c r="FN1413" s="101">
        <v>1408</v>
      </c>
      <c r="FO1413" s="101">
        <f t="shared" si="640"/>
        <v>43</v>
      </c>
      <c r="FP1413" s="101">
        <f t="shared" si="633"/>
        <v>18</v>
      </c>
      <c r="FQ1413" s="14">
        <f t="shared" si="634"/>
        <v>3</v>
      </c>
      <c r="FR1413" s="101" t="str">
        <f t="shared" si="641"/>
        <v>雷震子专属武器-魂珠-5 7级</v>
      </c>
      <c r="FS1413" s="101">
        <f t="shared" si="642"/>
        <v>5</v>
      </c>
      <c r="FT1413" s="101">
        <f t="shared" si="643"/>
        <v>7</v>
      </c>
      <c r="FU1413" s="101" t="str">
        <f t="shared" si="635"/>
        <v>金币</v>
      </c>
      <c r="FV1413" s="139">
        <f>IF($FT1413&gt;0,IF(INDEX($EI$6:$EI$77,$FO1413)&gt;=FV$3,ROUND(INDEX(EK$6:EK$77,$FO1413)*INDEX(卡牌消耗!$B$8:$F$8,FQ1413)/5,0)*5,""),"")</f>
        <v>3025</v>
      </c>
      <c r="FW1413" s="101" t="str">
        <f t="shared" si="636"/>
        <v>专属强化石2</v>
      </c>
      <c r="FX1413" s="101">
        <f t="shared" si="637"/>
        <v>8</v>
      </c>
      <c r="FY1413" s="101" t="str">
        <f t="shared" si="638"/>
        <v>专属强化石3</v>
      </c>
      <c r="FZ1413" s="101">
        <f t="shared" si="639"/>
        <v>5</v>
      </c>
      <c r="GA1413" s="101">
        <f t="shared" si="644"/>
        <v>0.02</v>
      </c>
      <c r="GB1413" s="101">
        <f t="shared" si="645"/>
        <v>1</v>
      </c>
      <c r="GC1413" s="101">
        <f t="shared" si="646"/>
        <v>62</v>
      </c>
      <c r="GD1413" s="101">
        <f t="shared" si="647"/>
        <v>0</v>
      </c>
      <c r="GE1413" s="101">
        <f t="shared" si="648"/>
        <v>1</v>
      </c>
      <c r="GF1413" s="101">
        <f t="shared" si="649"/>
        <v>15</v>
      </c>
      <c r="GG1413" s="101">
        <f t="shared" si="650"/>
        <v>1.2E-2</v>
      </c>
      <c r="GH1413" s="101">
        <f t="shared" si="651"/>
        <v>1</v>
      </c>
      <c r="GI1413" s="101">
        <f t="shared" si="652"/>
        <v>29</v>
      </c>
      <c r="GJ1413" s="101">
        <f t="shared" si="653"/>
        <v>4.82E-2</v>
      </c>
      <c r="GK1413" s="101">
        <f t="shared" si="654"/>
        <v>1</v>
      </c>
      <c r="GL1413" s="101">
        <f t="shared" si="655"/>
        <v>62</v>
      </c>
    </row>
    <row r="1414" spans="170:194" ht="16.5" x14ac:dyDescent="0.2">
      <c r="FN1414" s="101">
        <v>1409</v>
      </c>
      <c r="FO1414" s="101">
        <f t="shared" si="640"/>
        <v>44</v>
      </c>
      <c r="FP1414" s="101">
        <f t="shared" si="633"/>
        <v>18</v>
      </c>
      <c r="FQ1414" s="14">
        <f t="shared" si="634"/>
        <v>3</v>
      </c>
      <c r="FR1414" s="101" t="str">
        <f t="shared" si="641"/>
        <v>雷震子专属武器-魂珠-5 8级</v>
      </c>
      <c r="FS1414" s="101">
        <f t="shared" si="642"/>
        <v>5</v>
      </c>
      <c r="FT1414" s="101">
        <f t="shared" si="643"/>
        <v>8</v>
      </c>
      <c r="FU1414" s="101" t="str">
        <f t="shared" si="635"/>
        <v>金币</v>
      </c>
      <c r="FV1414" s="139">
        <f>IF($FT1414&gt;0,IF(INDEX($EI$6:$EI$77,$FO1414)&gt;=FV$3,ROUND(INDEX(EK$6:EK$77,$FO1414)*INDEX(卡牌消耗!$B$8:$F$8,FQ1414)/5,0)*5,""),"")</f>
        <v>4235</v>
      </c>
      <c r="FW1414" s="101" t="str">
        <f t="shared" si="636"/>
        <v>专属强化石2</v>
      </c>
      <c r="FX1414" s="101">
        <f t="shared" si="637"/>
        <v>11</v>
      </c>
      <c r="FY1414" s="101" t="str">
        <f t="shared" si="638"/>
        <v>专属强化石3</v>
      </c>
      <c r="FZ1414" s="101">
        <f t="shared" si="639"/>
        <v>7</v>
      </c>
      <c r="GA1414" s="101">
        <f t="shared" si="644"/>
        <v>0.02</v>
      </c>
      <c r="GB1414" s="101">
        <f t="shared" si="645"/>
        <v>1</v>
      </c>
      <c r="GC1414" s="101">
        <f t="shared" si="646"/>
        <v>72</v>
      </c>
      <c r="GD1414" s="101">
        <f t="shared" si="647"/>
        <v>0</v>
      </c>
      <c r="GE1414" s="101">
        <f t="shared" si="648"/>
        <v>1</v>
      </c>
      <c r="GF1414" s="101">
        <f t="shared" si="649"/>
        <v>17</v>
      </c>
      <c r="GG1414" s="101">
        <f t="shared" si="650"/>
        <v>1.04E-2</v>
      </c>
      <c r="GH1414" s="101">
        <f t="shared" si="651"/>
        <v>1</v>
      </c>
      <c r="GI1414" s="101">
        <f t="shared" si="652"/>
        <v>34</v>
      </c>
      <c r="GJ1414" s="101">
        <f t="shared" si="653"/>
        <v>4.1700000000000001E-2</v>
      </c>
      <c r="GK1414" s="101">
        <f t="shared" si="654"/>
        <v>1</v>
      </c>
      <c r="GL1414" s="101">
        <f t="shared" si="655"/>
        <v>72</v>
      </c>
    </row>
    <row r="1415" spans="170:194" ht="16.5" x14ac:dyDescent="0.2">
      <c r="FN1415" s="101">
        <v>1410</v>
      </c>
      <c r="FO1415" s="101">
        <f t="shared" si="640"/>
        <v>45</v>
      </c>
      <c r="FP1415" s="101">
        <f t="shared" ref="FP1415:FP1478" si="656">INT((FN1415-1)/80+1)</f>
        <v>18</v>
      </c>
      <c r="FQ1415" s="14">
        <f t="shared" ref="FQ1415:FQ1478" si="657">INDEX($FJ$6:$FJ$26,FP1415)</f>
        <v>3</v>
      </c>
      <c r="FR1415" s="101" t="str">
        <f t="shared" si="641"/>
        <v>雷震子专属武器-魂珠-5 9级</v>
      </c>
      <c r="FS1415" s="101">
        <f t="shared" si="642"/>
        <v>5</v>
      </c>
      <c r="FT1415" s="101">
        <f t="shared" si="643"/>
        <v>9</v>
      </c>
      <c r="FU1415" s="101" t="str">
        <f t="shared" ref="FU1415:FU1478" si="658">IF($FT1415&gt;0,IF(INDEX($EI$6:$EI$77,$FO1415)&gt;=FU$3,INDEX(EJ$6:EJ$77,$FO1415),""),"")</f>
        <v>金币</v>
      </c>
      <c r="FV1415" s="139">
        <f>IF($FT1415&gt;0,IF(INDEX($EI$6:$EI$77,$FO1415)&gt;=FV$3,ROUND(INDEX(EK$6:EK$77,$FO1415)*INDEX(卡牌消耗!$B$8:$F$8,FQ1415)/5,0)*5,""),"")</f>
        <v>5445</v>
      </c>
      <c r="FW1415" s="101" t="str">
        <f t="shared" ref="FW1415:FW1478" si="659">IF($FT1415&gt;0,IF(INDEX($EI$6:$EI$77,$FO1415)&gt;=FW$3,INDEX(EL$6:EL$77,$FO1415),""),"")</f>
        <v>专属强化石2</v>
      </c>
      <c r="FX1415" s="101">
        <f t="shared" ref="FX1415:FX1478" si="660">IF($FT1415&gt;0,IF(INDEX($EI$6:$EI$77,$FO1415)&gt;=FX$3,INDEX(EM$6:EM$77,$FO1415),""),"")</f>
        <v>14</v>
      </c>
      <c r="FY1415" s="101" t="str">
        <f t="shared" ref="FY1415:FY1478" si="661">IF($FT1415&gt;0,IF(INDEX($EI$6:$EI$77,$FO1415)&gt;=FY$3,INDEX(EN$6:EN$77,$FO1415),""),"")</f>
        <v>专属强化石3</v>
      </c>
      <c r="FZ1415" s="101">
        <f t="shared" ref="FZ1415:FZ1478" si="662">IF($FT1415&gt;0,IF(INDEX($EI$6:$EI$77,$FO1415)&gt;=FZ$3,INDEX(EO$6:EO$77,$FO1415),""),"")</f>
        <v>9</v>
      </c>
      <c r="GA1415" s="101">
        <f t="shared" si="644"/>
        <v>0.02</v>
      </c>
      <c r="GB1415" s="101">
        <f t="shared" si="645"/>
        <v>1</v>
      </c>
      <c r="GC1415" s="101">
        <f t="shared" si="646"/>
        <v>91</v>
      </c>
      <c r="GD1415" s="101">
        <f t="shared" si="647"/>
        <v>0</v>
      </c>
      <c r="GE1415" s="101">
        <f t="shared" si="648"/>
        <v>1</v>
      </c>
      <c r="GF1415" s="101">
        <f t="shared" si="649"/>
        <v>21</v>
      </c>
      <c r="GG1415" s="101">
        <f t="shared" si="650"/>
        <v>8.3000000000000001E-3</v>
      </c>
      <c r="GH1415" s="101">
        <f t="shared" si="651"/>
        <v>1</v>
      </c>
      <c r="GI1415" s="101">
        <f t="shared" si="652"/>
        <v>42</v>
      </c>
      <c r="GJ1415" s="101">
        <f t="shared" si="653"/>
        <v>3.3099999999999997E-2</v>
      </c>
      <c r="GK1415" s="101">
        <f t="shared" si="654"/>
        <v>1</v>
      </c>
      <c r="GL1415" s="101">
        <f t="shared" si="655"/>
        <v>91</v>
      </c>
    </row>
    <row r="1416" spans="170:194" ht="16.5" x14ac:dyDescent="0.2">
      <c r="FN1416" s="101">
        <v>1411</v>
      </c>
      <c r="FO1416" s="101">
        <f t="shared" si="640"/>
        <v>0</v>
      </c>
      <c r="FP1416" s="101">
        <f t="shared" si="656"/>
        <v>18</v>
      </c>
      <c r="FQ1416" s="14">
        <f t="shared" si="657"/>
        <v>3</v>
      </c>
      <c r="FR1416" s="101" t="str">
        <f t="shared" si="641"/>
        <v>雷震子专属武器-魂珠-6 0级</v>
      </c>
      <c r="FS1416" s="101">
        <f t="shared" si="642"/>
        <v>6</v>
      </c>
      <c r="FT1416" s="101">
        <f t="shared" si="643"/>
        <v>0</v>
      </c>
      <c r="FU1416" s="101" t="str">
        <f t="shared" si="658"/>
        <v/>
      </c>
      <c r="FV1416" s="139" t="str">
        <f>IF($FT1416&gt;0,IF(INDEX($EI$6:$EI$77,$FO1416)&gt;=FV$3,ROUND(INDEX(EK$6:EK$77,$FO1416)*INDEX(卡牌消耗!$B$8:$F$8,FQ1416)/5,0)*5,""),"")</f>
        <v/>
      </c>
      <c r="FW1416" s="101" t="str">
        <f t="shared" si="659"/>
        <v/>
      </c>
      <c r="FX1416" s="101" t="str">
        <f t="shared" si="660"/>
        <v/>
      </c>
      <c r="FY1416" s="101" t="str">
        <f t="shared" si="661"/>
        <v/>
      </c>
      <c r="FZ1416" s="101" t="str">
        <f t="shared" si="662"/>
        <v/>
      </c>
      <c r="GA1416" s="101" t="str">
        <f t="shared" si="644"/>
        <v/>
      </c>
      <c r="GB1416" s="101" t="str">
        <f t="shared" si="645"/>
        <v/>
      </c>
      <c r="GC1416" s="101" t="str">
        <f t="shared" si="646"/>
        <v/>
      </c>
      <c r="GD1416" s="101" t="str">
        <f t="shared" si="647"/>
        <v/>
      </c>
      <c r="GE1416" s="101" t="str">
        <f t="shared" si="648"/>
        <v/>
      </c>
      <c r="GF1416" s="101" t="str">
        <f t="shared" si="649"/>
        <v/>
      </c>
      <c r="GG1416" s="101" t="str">
        <f t="shared" si="650"/>
        <v/>
      </c>
      <c r="GH1416" s="101" t="str">
        <f t="shared" si="651"/>
        <v/>
      </c>
      <c r="GI1416" s="101" t="str">
        <f t="shared" si="652"/>
        <v/>
      </c>
      <c r="GJ1416" s="101" t="str">
        <f t="shared" si="653"/>
        <v/>
      </c>
      <c r="GK1416" s="101" t="str">
        <f t="shared" si="654"/>
        <v/>
      </c>
      <c r="GL1416" s="101" t="str">
        <f t="shared" si="655"/>
        <v/>
      </c>
    </row>
    <row r="1417" spans="170:194" ht="16.5" x14ac:dyDescent="0.2">
      <c r="FN1417" s="101">
        <v>1412</v>
      </c>
      <c r="FO1417" s="101">
        <f t="shared" si="640"/>
        <v>46</v>
      </c>
      <c r="FP1417" s="101">
        <f t="shared" si="656"/>
        <v>18</v>
      </c>
      <c r="FQ1417" s="14">
        <f t="shared" si="657"/>
        <v>3</v>
      </c>
      <c r="FR1417" s="101" t="str">
        <f t="shared" si="641"/>
        <v>雷震子专属武器-魂珠-6 1级</v>
      </c>
      <c r="FS1417" s="101">
        <f t="shared" si="642"/>
        <v>6</v>
      </c>
      <c r="FT1417" s="101">
        <f t="shared" si="643"/>
        <v>1</v>
      </c>
      <c r="FU1417" s="101" t="str">
        <f t="shared" si="658"/>
        <v>金币</v>
      </c>
      <c r="FV1417" s="139">
        <f>IF($FT1417&gt;0,IF(INDEX($EI$6:$EI$77,$FO1417)&gt;=FV$3,ROUND(INDEX(EK$6:EK$77,$FO1417)*INDEX(卡牌消耗!$B$8:$F$8,FQ1417)/5,0)*5,""),"")</f>
        <v>1455</v>
      </c>
      <c r="FW1417" s="101" t="str">
        <f t="shared" si="659"/>
        <v>专属强化石3</v>
      </c>
      <c r="FX1417" s="101">
        <f t="shared" si="660"/>
        <v>5</v>
      </c>
      <c r="FY1417" s="101" t="str">
        <f t="shared" si="661"/>
        <v>专属强化石4</v>
      </c>
      <c r="FZ1417" s="101">
        <f t="shared" si="662"/>
        <v>1</v>
      </c>
      <c r="GA1417" s="101">
        <f t="shared" si="644"/>
        <v>0.17</v>
      </c>
      <c r="GB1417" s="101">
        <f t="shared" si="645"/>
        <v>1</v>
      </c>
      <c r="GC1417" s="101">
        <f t="shared" si="646"/>
        <v>9</v>
      </c>
      <c r="GD1417" s="101">
        <f t="shared" si="647"/>
        <v>0</v>
      </c>
      <c r="GE1417" s="101">
        <f t="shared" si="648"/>
        <v>1</v>
      </c>
      <c r="GF1417" s="101">
        <f t="shared" si="649"/>
        <v>2</v>
      </c>
      <c r="GG1417" s="101">
        <f t="shared" si="650"/>
        <v>8.2900000000000001E-2</v>
      </c>
      <c r="GH1417" s="101">
        <f t="shared" si="651"/>
        <v>1</v>
      </c>
      <c r="GI1417" s="101">
        <f t="shared" si="652"/>
        <v>4</v>
      </c>
      <c r="GJ1417" s="101">
        <f t="shared" si="653"/>
        <v>0.33139999999999997</v>
      </c>
      <c r="GK1417" s="101">
        <f t="shared" si="654"/>
        <v>1</v>
      </c>
      <c r="GL1417" s="101">
        <f t="shared" si="655"/>
        <v>9</v>
      </c>
    </row>
    <row r="1418" spans="170:194" ht="16.5" x14ac:dyDescent="0.2">
      <c r="FN1418" s="101">
        <v>1413</v>
      </c>
      <c r="FO1418" s="101">
        <f t="shared" si="640"/>
        <v>47</v>
      </c>
      <c r="FP1418" s="101">
        <f t="shared" si="656"/>
        <v>18</v>
      </c>
      <c r="FQ1418" s="14">
        <f t="shared" si="657"/>
        <v>3</v>
      </c>
      <c r="FR1418" s="101" t="str">
        <f t="shared" si="641"/>
        <v>雷震子专属武器-魂珠-6 2级</v>
      </c>
      <c r="FS1418" s="101">
        <f t="shared" si="642"/>
        <v>6</v>
      </c>
      <c r="FT1418" s="101">
        <f t="shared" si="643"/>
        <v>2</v>
      </c>
      <c r="FU1418" s="101" t="str">
        <f t="shared" si="658"/>
        <v>金币</v>
      </c>
      <c r="FV1418" s="139">
        <f>IF($FT1418&gt;0,IF(INDEX($EI$6:$EI$77,$FO1418)&gt;=FV$3,ROUND(INDEX(EK$6:EK$77,$FO1418)*INDEX(卡牌消耗!$B$8:$F$8,FQ1418)/5,0)*5,""),"")</f>
        <v>2180</v>
      </c>
      <c r="FW1418" s="101" t="str">
        <f t="shared" si="659"/>
        <v>专属强化石3</v>
      </c>
      <c r="FX1418" s="101">
        <f t="shared" si="660"/>
        <v>10</v>
      </c>
      <c r="FY1418" s="101" t="str">
        <f t="shared" si="661"/>
        <v>专属强化石4</v>
      </c>
      <c r="FZ1418" s="101">
        <f t="shared" si="662"/>
        <v>2</v>
      </c>
      <c r="GA1418" s="101">
        <f t="shared" si="644"/>
        <v>0.17</v>
      </c>
      <c r="GB1418" s="101">
        <f t="shared" si="645"/>
        <v>1</v>
      </c>
      <c r="GC1418" s="101">
        <f t="shared" si="646"/>
        <v>9</v>
      </c>
      <c r="GD1418" s="101">
        <f t="shared" si="647"/>
        <v>0</v>
      </c>
      <c r="GE1418" s="101">
        <f t="shared" si="648"/>
        <v>1</v>
      </c>
      <c r="GF1418" s="101">
        <f t="shared" si="649"/>
        <v>2</v>
      </c>
      <c r="GG1418" s="101">
        <f t="shared" si="650"/>
        <v>8.2900000000000001E-2</v>
      </c>
      <c r="GH1418" s="101">
        <f t="shared" si="651"/>
        <v>1</v>
      </c>
      <c r="GI1418" s="101">
        <f t="shared" si="652"/>
        <v>4</v>
      </c>
      <c r="GJ1418" s="101">
        <f t="shared" si="653"/>
        <v>0.33139999999999997</v>
      </c>
      <c r="GK1418" s="101">
        <f t="shared" si="654"/>
        <v>1</v>
      </c>
      <c r="GL1418" s="101">
        <f t="shared" si="655"/>
        <v>9</v>
      </c>
    </row>
    <row r="1419" spans="170:194" ht="16.5" x14ac:dyDescent="0.2">
      <c r="FN1419" s="101">
        <v>1414</v>
      </c>
      <c r="FO1419" s="101">
        <f t="shared" si="640"/>
        <v>48</v>
      </c>
      <c r="FP1419" s="101">
        <f t="shared" si="656"/>
        <v>18</v>
      </c>
      <c r="FQ1419" s="14">
        <f t="shared" si="657"/>
        <v>3</v>
      </c>
      <c r="FR1419" s="101" t="str">
        <f t="shared" si="641"/>
        <v>雷震子专属武器-魂珠-6 3级</v>
      </c>
      <c r="FS1419" s="101">
        <f t="shared" si="642"/>
        <v>6</v>
      </c>
      <c r="FT1419" s="101">
        <f t="shared" si="643"/>
        <v>3</v>
      </c>
      <c r="FU1419" s="101" t="str">
        <f t="shared" si="658"/>
        <v>金币</v>
      </c>
      <c r="FV1419" s="139">
        <f>IF($FT1419&gt;0,IF(INDEX($EI$6:$EI$77,$FO1419)&gt;=FV$3,ROUND(INDEX(EK$6:EK$77,$FO1419)*INDEX(卡牌消耗!$B$8:$F$8,FQ1419)/5,0)*5,""),"")</f>
        <v>2425</v>
      </c>
      <c r="FW1419" s="101" t="str">
        <f t="shared" si="659"/>
        <v>专属强化石3</v>
      </c>
      <c r="FX1419" s="101">
        <f t="shared" si="660"/>
        <v>10</v>
      </c>
      <c r="FY1419" s="101" t="str">
        <f t="shared" si="661"/>
        <v>专属强化石4</v>
      </c>
      <c r="FZ1419" s="101">
        <f t="shared" si="662"/>
        <v>2</v>
      </c>
      <c r="GA1419" s="101">
        <f t="shared" si="644"/>
        <v>0.11</v>
      </c>
      <c r="GB1419" s="101">
        <f t="shared" si="645"/>
        <v>1</v>
      </c>
      <c r="GC1419" s="101">
        <f t="shared" si="646"/>
        <v>14</v>
      </c>
      <c r="GD1419" s="101">
        <f t="shared" si="647"/>
        <v>0</v>
      </c>
      <c r="GE1419" s="101">
        <f t="shared" si="648"/>
        <v>1</v>
      </c>
      <c r="GF1419" s="101">
        <f t="shared" si="649"/>
        <v>3</v>
      </c>
      <c r="GG1419" s="101">
        <f t="shared" si="650"/>
        <v>5.5199999999999999E-2</v>
      </c>
      <c r="GH1419" s="101">
        <f t="shared" si="651"/>
        <v>1</v>
      </c>
      <c r="GI1419" s="101">
        <f t="shared" si="652"/>
        <v>6</v>
      </c>
      <c r="GJ1419" s="101">
        <f t="shared" si="653"/>
        <v>0.221</v>
      </c>
      <c r="GK1419" s="101">
        <f t="shared" si="654"/>
        <v>1</v>
      </c>
      <c r="GL1419" s="101">
        <f t="shared" si="655"/>
        <v>14</v>
      </c>
    </row>
    <row r="1420" spans="170:194" ht="16.5" x14ac:dyDescent="0.2">
      <c r="FN1420" s="101">
        <v>1415</v>
      </c>
      <c r="FO1420" s="101">
        <f t="shared" si="640"/>
        <v>49</v>
      </c>
      <c r="FP1420" s="101">
        <f t="shared" si="656"/>
        <v>18</v>
      </c>
      <c r="FQ1420" s="14">
        <f t="shared" si="657"/>
        <v>3</v>
      </c>
      <c r="FR1420" s="101" t="str">
        <f t="shared" si="641"/>
        <v>雷震子专属武器-魂珠-6 4级</v>
      </c>
      <c r="FS1420" s="101">
        <f t="shared" si="642"/>
        <v>6</v>
      </c>
      <c r="FT1420" s="101">
        <f t="shared" si="643"/>
        <v>4</v>
      </c>
      <c r="FU1420" s="101" t="str">
        <f t="shared" si="658"/>
        <v>金币</v>
      </c>
      <c r="FV1420" s="139">
        <f>IF($FT1420&gt;0,IF(INDEX($EI$6:$EI$77,$FO1420)&gt;=FV$3,ROUND(INDEX(EK$6:EK$77,$FO1420)*INDEX(卡牌消耗!$B$8:$F$8,FQ1420)/5,0)*5,""),"")</f>
        <v>3490</v>
      </c>
      <c r="FW1420" s="101" t="str">
        <f t="shared" si="659"/>
        <v>专属强化石3</v>
      </c>
      <c r="FX1420" s="101">
        <f t="shared" si="660"/>
        <v>15</v>
      </c>
      <c r="FY1420" s="101" t="str">
        <f t="shared" si="661"/>
        <v>专属强化石4</v>
      </c>
      <c r="FZ1420" s="101">
        <f t="shared" si="662"/>
        <v>3</v>
      </c>
      <c r="GA1420" s="101">
        <f t="shared" si="644"/>
        <v>0.1</v>
      </c>
      <c r="GB1420" s="101">
        <f t="shared" si="645"/>
        <v>1</v>
      </c>
      <c r="GC1420" s="101">
        <f t="shared" si="646"/>
        <v>15</v>
      </c>
      <c r="GD1420" s="101">
        <f t="shared" si="647"/>
        <v>0</v>
      </c>
      <c r="GE1420" s="101">
        <f t="shared" si="648"/>
        <v>1</v>
      </c>
      <c r="GF1420" s="101">
        <f t="shared" si="649"/>
        <v>4</v>
      </c>
      <c r="GG1420" s="101">
        <f t="shared" si="650"/>
        <v>4.9700000000000001E-2</v>
      </c>
      <c r="GH1420" s="101">
        <f t="shared" si="651"/>
        <v>1</v>
      </c>
      <c r="GI1420" s="101">
        <f t="shared" si="652"/>
        <v>7</v>
      </c>
      <c r="GJ1420" s="101">
        <f t="shared" si="653"/>
        <v>0.19889999999999999</v>
      </c>
      <c r="GK1420" s="101">
        <f t="shared" si="654"/>
        <v>1</v>
      </c>
      <c r="GL1420" s="101">
        <f t="shared" si="655"/>
        <v>15</v>
      </c>
    </row>
    <row r="1421" spans="170:194" ht="16.5" x14ac:dyDescent="0.2">
      <c r="FN1421" s="101">
        <v>1416</v>
      </c>
      <c r="FO1421" s="101">
        <f t="shared" si="640"/>
        <v>50</v>
      </c>
      <c r="FP1421" s="101">
        <f t="shared" si="656"/>
        <v>18</v>
      </c>
      <c r="FQ1421" s="14">
        <f t="shared" si="657"/>
        <v>3</v>
      </c>
      <c r="FR1421" s="101" t="str">
        <f t="shared" si="641"/>
        <v>雷震子专属武器-魂珠-6 5级</v>
      </c>
      <c r="FS1421" s="101">
        <f t="shared" si="642"/>
        <v>6</v>
      </c>
      <c r="FT1421" s="101">
        <f t="shared" si="643"/>
        <v>5</v>
      </c>
      <c r="FU1421" s="101" t="str">
        <f t="shared" si="658"/>
        <v>金币</v>
      </c>
      <c r="FV1421" s="139">
        <f>IF($FT1421&gt;0,IF(INDEX($EI$6:$EI$77,$FO1421)&gt;=FV$3,ROUND(INDEX(EK$6:EK$77,$FO1421)*INDEX(卡牌消耗!$B$8:$F$8,FQ1421)/5,0)*5,""),"")</f>
        <v>3545</v>
      </c>
      <c r="FW1421" s="101" t="str">
        <f t="shared" si="659"/>
        <v>专属强化石3</v>
      </c>
      <c r="FX1421" s="101">
        <f t="shared" si="660"/>
        <v>15</v>
      </c>
      <c r="FY1421" s="101" t="str">
        <f t="shared" si="661"/>
        <v>专属强化石4</v>
      </c>
      <c r="FZ1421" s="101">
        <f t="shared" si="662"/>
        <v>3</v>
      </c>
      <c r="GA1421" s="101">
        <f t="shared" si="644"/>
        <v>0.06</v>
      </c>
      <c r="GB1421" s="101">
        <f t="shared" si="645"/>
        <v>1</v>
      </c>
      <c r="GC1421" s="101">
        <f t="shared" si="646"/>
        <v>24</v>
      </c>
      <c r="GD1421" s="101">
        <f t="shared" si="647"/>
        <v>0</v>
      </c>
      <c r="GE1421" s="101">
        <f t="shared" si="648"/>
        <v>1</v>
      </c>
      <c r="GF1421" s="101">
        <f t="shared" si="649"/>
        <v>6</v>
      </c>
      <c r="GG1421" s="101">
        <f t="shared" si="650"/>
        <v>3.1099999999999999E-2</v>
      </c>
      <c r="GH1421" s="101">
        <f t="shared" si="651"/>
        <v>1</v>
      </c>
      <c r="GI1421" s="101">
        <f t="shared" si="652"/>
        <v>11</v>
      </c>
      <c r="GJ1421" s="101">
        <f t="shared" si="653"/>
        <v>0.12429999999999999</v>
      </c>
      <c r="GK1421" s="101">
        <f t="shared" si="654"/>
        <v>1</v>
      </c>
      <c r="GL1421" s="101">
        <f t="shared" si="655"/>
        <v>24</v>
      </c>
    </row>
    <row r="1422" spans="170:194" ht="16.5" x14ac:dyDescent="0.2">
      <c r="FN1422" s="101">
        <v>1417</v>
      </c>
      <c r="FO1422" s="101">
        <f t="shared" si="640"/>
        <v>51</v>
      </c>
      <c r="FP1422" s="101">
        <f t="shared" si="656"/>
        <v>18</v>
      </c>
      <c r="FQ1422" s="14">
        <f t="shared" si="657"/>
        <v>3</v>
      </c>
      <c r="FR1422" s="101" t="str">
        <f t="shared" si="641"/>
        <v>雷震子专属武器-魂珠-6 6级</v>
      </c>
      <c r="FS1422" s="101">
        <f t="shared" si="642"/>
        <v>6</v>
      </c>
      <c r="FT1422" s="101">
        <f t="shared" si="643"/>
        <v>6</v>
      </c>
      <c r="FU1422" s="101" t="str">
        <f t="shared" si="658"/>
        <v>金币</v>
      </c>
      <c r="FV1422" s="139">
        <f>IF($FT1422&gt;0,IF(INDEX($EI$6:$EI$77,$FO1422)&gt;=FV$3,ROUND(INDEX(EK$6:EK$77,$FO1422)*INDEX(卡牌消耗!$B$8:$F$8,FQ1422)/5,0)*5,""),"")</f>
        <v>4700</v>
      </c>
      <c r="FW1422" s="101" t="str">
        <f t="shared" si="659"/>
        <v>专属强化石3</v>
      </c>
      <c r="FX1422" s="101">
        <f t="shared" si="660"/>
        <v>20</v>
      </c>
      <c r="FY1422" s="101" t="str">
        <f t="shared" si="661"/>
        <v>专属强化石4</v>
      </c>
      <c r="FZ1422" s="101">
        <f t="shared" si="662"/>
        <v>4</v>
      </c>
      <c r="GA1422" s="101">
        <f t="shared" si="644"/>
        <v>0.05</v>
      </c>
      <c r="GB1422" s="101">
        <f t="shared" si="645"/>
        <v>1</v>
      </c>
      <c r="GC1422" s="101">
        <f t="shared" si="646"/>
        <v>29</v>
      </c>
      <c r="GD1422" s="101">
        <f t="shared" si="647"/>
        <v>0</v>
      </c>
      <c r="GE1422" s="101">
        <f t="shared" si="648"/>
        <v>1</v>
      </c>
      <c r="GF1422" s="101">
        <f t="shared" si="649"/>
        <v>7</v>
      </c>
      <c r="GG1422" s="101">
        <f t="shared" si="650"/>
        <v>2.5499999999999998E-2</v>
      </c>
      <c r="GH1422" s="101">
        <f t="shared" si="651"/>
        <v>1</v>
      </c>
      <c r="GI1422" s="101">
        <f t="shared" si="652"/>
        <v>14</v>
      </c>
      <c r="GJ1422" s="101">
        <f t="shared" si="653"/>
        <v>0.10199999999999999</v>
      </c>
      <c r="GK1422" s="101">
        <f t="shared" si="654"/>
        <v>1</v>
      </c>
      <c r="GL1422" s="101">
        <f t="shared" si="655"/>
        <v>29</v>
      </c>
    </row>
    <row r="1423" spans="170:194" ht="16.5" x14ac:dyDescent="0.2">
      <c r="FN1423" s="101">
        <v>1418</v>
      </c>
      <c r="FO1423" s="101">
        <f t="shared" si="640"/>
        <v>52</v>
      </c>
      <c r="FP1423" s="101">
        <f t="shared" si="656"/>
        <v>18</v>
      </c>
      <c r="FQ1423" s="14">
        <f t="shared" si="657"/>
        <v>3</v>
      </c>
      <c r="FR1423" s="101" t="str">
        <f t="shared" si="641"/>
        <v>雷震子专属武器-魂珠-6 7级</v>
      </c>
      <c r="FS1423" s="101">
        <f t="shared" si="642"/>
        <v>6</v>
      </c>
      <c r="FT1423" s="101">
        <f t="shared" si="643"/>
        <v>7</v>
      </c>
      <c r="FU1423" s="101" t="str">
        <f t="shared" si="658"/>
        <v>金币</v>
      </c>
      <c r="FV1423" s="139">
        <f>IF($FT1423&gt;0,IF(INDEX($EI$6:$EI$77,$FO1423)&gt;=FV$3,ROUND(INDEX(EK$6:EK$77,$FO1423)*INDEX(卡牌消耗!$B$8:$F$8,FQ1423)/5,0)*5,""),"")</f>
        <v>5885</v>
      </c>
      <c r="FW1423" s="101" t="str">
        <f t="shared" si="659"/>
        <v>专属强化石3</v>
      </c>
      <c r="FX1423" s="101">
        <f t="shared" si="660"/>
        <v>25</v>
      </c>
      <c r="FY1423" s="101" t="str">
        <f t="shared" si="661"/>
        <v>专属强化石4</v>
      </c>
      <c r="FZ1423" s="101">
        <f t="shared" si="662"/>
        <v>5</v>
      </c>
      <c r="GA1423" s="101">
        <f t="shared" si="644"/>
        <v>0.04</v>
      </c>
      <c r="GB1423" s="101">
        <f t="shared" si="645"/>
        <v>1</v>
      </c>
      <c r="GC1423" s="101">
        <f t="shared" si="646"/>
        <v>38</v>
      </c>
      <c r="GD1423" s="101">
        <f t="shared" si="647"/>
        <v>0</v>
      </c>
      <c r="GE1423" s="101">
        <f t="shared" si="648"/>
        <v>1</v>
      </c>
      <c r="GF1423" s="101">
        <f t="shared" si="649"/>
        <v>9</v>
      </c>
      <c r="GG1423" s="101">
        <f t="shared" si="650"/>
        <v>1.9699999999999999E-2</v>
      </c>
      <c r="GH1423" s="101">
        <f t="shared" si="651"/>
        <v>1</v>
      </c>
      <c r="GI1423" s="101">
        <f t="shared" si="652"/>
        <v>18</v>
      </c>
      <c r="GJ1423" s="101">
        <f t="shared" si="653"/>
        <v>7.8899999999999998E-2</v>
      </c>
      <c r="GK1423" s="101">
        <f t="shared" si="654"/>
        <v>1</v>
      </c>
      <c r="GL1423" s="101">
        <f t="shared" si="655"/>
        <v>38</v>
      </c>
    </row>
    <row r="1424" spans="170:194" ht="16.5" x14ac:dyDescent="0.2">
      <c r="FN1424" s="101">
        <v>1419</v>
      </c>
      <c r="FO1424" s="101">
        <f t="shared" si="640"/>
        <v>53</v>
      </c>
      <c r="FP1424" s="101">
        <f t="shared" si="656"/>
        <v>18</v>
      </c>
      <c r="FQ1424" s="14">
        <f t="shared" si="657"/>
        <v>3</v>
      </c>
      <c r="FR1424" s="101" t="str">
        <f t="shared" si="641"/>
        <v>雷震子专属武器-魂珠-6 8级</v>
      </c>
      <c r="FS1424" s="101">
        <f t="shared" si="642"/>
        <v>6</v>
      </c>
      <c r="FT1424" s="101">
        <f t="shared" si="643"/>
        <v>8</v>
      </c>
      <c r="FU1424" s="101" t="str">
        <f t="shared" si="658"/>
        <v>金币</v>
      </c>
      <c r="FV1424" s="139">
        <f>IF($FT1424&gt;0,IF(INDEX($EI$6:$EI$77,$FO1424)&gt;=FV$3,ROUND(INDEX(EK$6:EK$77,$FO1424)*INDEX(卡牌消耗!$B$8:$F$8,FQ1424)/5,0)*5,""),"")</f>
        <v>8235</v>
      </c>
      <c r="FW1424" s="101" t="str">
        <f t="shared" si="659"/>
        <v>专属强化石3</v>
      </c>
      <c r="FX1424" s="101">
        <f t="shared" si="660"/>
        <v>35</v>
      </c>
      <c r="FY1424" s="101" t="str">
        <f t="shared" si="661"/>
        <v>专属强化石4</v>
      </c>
      <c r="FZ1424" s="101">
        <f t="shared" si="662"/>
        <v>7</v>
      </c>
      <c r="GA1424" s="101">
        <f t="shared" si="644"/>
        <v>0.03</v>
      </c>
      <c r="GB1424" s="101">
        <f t="shared" si="645"/>
        <v>1</v>
      </c>
      <c r="GC1424" s="101">
        <f t="shared" si="646"/>
        <v>44</v>
      </c>
      <c r="GD1424" s="101">
        <f t="shared" si="647"/>
        <v>0</v>
      </c>
      <c r="GE1424" s="101">
        <f t="shared" si="648"/>
        <v>1</v>
      </c>
      <c r="GF1424" s="101">
        <f t="shared" si="649"/>
        <v>10</v>
      </c>
      <c r="GG1424" s="101">
        <f t="shared" si="650"/>
        <v>1.7100000000000001E-2</v>
      </c>
      <c r="GH1424" s="101">
        <f t="shared" si="651"/>
        <v>1</v>
      </c>
      <c r="GI1424" s="101">
        <f t="shared" si="652"/>
        <v>21</v>
      </c>
      <c r="GJ1424" s="101">
        <f t="shared" si="653"/>
        <v>6.8199999999999997E-2</v>
      </c>
      <c r="GK1424" s="101">
        <f t="shared" si="654"/>
        <v>1</v>
      </c>
      <c r="GL1424" s="101">
        <f t="shared" si="655"/>
        <v>44</v>
      </c>
    </row>
    <row r="1425" spans="170:194" ht="16.5" x14ac:dyDescent="0.2">
      <c r="FN1425" s="101">
        <v>1420</v>
      </c>
      <c r="FO1425" s="101">
        <f t="shared" si="640"/>
        <v>54</v>
      </c>
      <c r="FP1425" s="101">
        <f t="shared" si="656"/>
        <v>18</v>
      </c>
      <c r="FQ1425" s="14">
        <f t="shared" si="657"/>
        <v>3</v>
      </c>
      <c r="FR1425" s="101" t="str">
        <f t="shared" si="641"/>
        <v>雷震子专属武器-魂珠-6 9级</v>
      </c>
      <c r="FS1425" s="101">
        <f t="shared" si="642"/>
        <v>6</v>
      </c>
      <c r="FT1425" s="101">
        <f t="shared" si="643"/>
        <v>9</v>
      </c>
      <c r="FU1425" s="101" t="str">
        <f t="shared" si="658"/>
        <v>金币</v>
      </c>
      <c r="FV1425" s="139">
        <f>IF($FT1425&gt;0,IF(INDEX($EI$6:$EI$77,$FO1425)&gt;=FV$3,ROUND(INDEX(EK$6:EK$77,$FO1425)*INDEX(卡牌消耗!$B$8:$F$8,FQ1425)/5,0)*5,""),"")</f>
        <v>9410</v>
      </c>
      <c r="FW1425" s="101" t="str">
        <f t="shared" si="659"/>
        <v>专属强化石3</v>
      </c>
      <c r="FX1425" s="101">
        <f t="shared" si="660"/>
        <v>40</v>
      </c>
      <c r="FY1425" s="101" t="str">
        <f t="shared" si="661"/>
        <v>专属强化石4</v>
      </c>
      <c r="FZ1425" s="101">
        <f t="shared" si="662"/>
        <v>8</v>
      </c>
      <c r="GA1425" s="101">
        <f t="shared" si="644"/>
        <v>0.02</v>
      </c>
      <c r="GB1425" s="101">
        <f t="shared" si="645"/>
        <v>1</v>
      </c>
      <c r="GC1425" s="101">
        <f t="shared" si="646"/>
        <v>62</v>
      </c>
      <c r="GD1425" s="101">
        <f t="shared" si="647"/>
        <v>0</v>
      </c>
      <c r="GE1425" s="101">
        <f t="shared" si="648"/>
        <v>1</v>
      </c>
      <c r="GF1425" s="101">
        <f t="shared" si="649"/>
        <v>15</v>
      </c>
      <c r="GG1425" s="101">
        <f t="shared" si="650"/>
        <v>1.21E-2</v>
      </c>
      <c r="GH1425" s="101">
        <f t="shared" si="651"/>
        <v>1</v>
      </c>
      <c r="GI1425" s="101">
        <f t="shared" si="652"/>
        <v>29</v>
      </c>
      <c r="GJ1425" s="101">
        <f t="shared" si="653"/>
        <v>4.82E-2</v>
      </c>
      <c r="GK1425" s="101">
        <f t="shared" si="654"/>
        <v>1</v>
      </c>
      <c r="GL1425" s="101">
        <f t="shared" si="655"/>
        <v>62</v>
      </c>
    </row>
    <row r="1426" spans="170:194" ht="16.5" x14ac:dyDescent="0.2">
      <c r="FN1426" s="101">
        <v>1421</v>
      </c>
      <c r="FO1426" s="101">
        <f t="shared" si="640"/>
        <v>0</v>
      </c>
      <c r="FP1426" s="101">
        <f t="shared" si="656"/>
        <v>18</v>
      </c>
      <c r="FQ1426" s="14">
        <f t="shared" si="657"/>
        <v>3</v>
      </c>
      <c r="FR1426" s="101" t="str">
        <f t="shared" si="641"/>
        <v>雷震子专属武器-魂珠-7 0级</v>
      </c>
      <c r="FS1426" s="101">
        <f t="shared" si="642"/>
        <v>7</v>
      </c>
      <c r="FT1426" s="101">
        <f t="shared" si="643"/>
        <v>0</v>
      </c>
      <c r="FU1426" s="101" t="str">
        <f t="shared" si="658"/>
        <v/>
      </c>
      <c r="FV1426" s="139" t="str">
        <f>IF($FT1426&gt;0,IF(INDEX($EI$6:$EI$77,$FO1426)&gt;=FV$3,ROUND(INDEX(EK$6:EK$77,$FO1426)*INDEX(卡牌消耗!$B$8:$F$8,FQ1426)/5,0)*5,""),"")</f>
        <v/>
      </c>
      <c r="FW1426" s="101" t="str">
        <f t="shared" si="659"/>
        <v/>
      </c>
      <c r="FX1426" s="101" t="str">
        <f t="shared" si="660"/>
        <v/>
      </c>
      <c r="FY1426" s="101" t="str">
        <f t="shared" si="661"/>
        <v/>
      </c>
      <c r="FZ1426" s="101" t="str">
        <f t="shared" si="662"/>
        <v/>
      </c>
      <c r="GA1426" s="101" t="str">
        <f t="shared" si="644"/>
        <v/>
      </c>
      <c r="GB1426" s="101" t="str">
        <f t="shared" si="645"/>
        <v/>
      </c>
      <c r="GC1426" s="101" t="str">
        <f t="shared" si="646"/>
        <v/>
      </c>
      <c r="GD1426" s="101" t="str">
        <f t="shared" si="647"/>
        <v/>
      </c>
      <c r="GE1426" s="101" t="str">
        <f t="shared" si="648"/>
        <v/>
      </c>
      <c r="GF1426" s="101" t="str">
        <f t="shared" si="649"/>
        <v/>
      </c>
      <c r="GG1426" s="101" t="str">
        <f t="shared" si="650"/>
        <v/>
      </c>
      <c r="GH1426" s="101" t="str">
        <f t="shared" si="651"/>
        <v/>
      </c>
      <c r="GI1426" s="101" t="str">
        <f t="shared" si="652"/>
        <v/>
      </c>
      <c r="GJ1426" s="101" t="str">
        <f t="shared" si="653"/>
        <v/>
      </c>
      <c r="GK1426" s="101" t="str">
        <f t="shared" si="654"/>
        <v/>
      </c>
      <c r="GL1426" s="101" t="str">
        <f t="shared" si="655"/>
        <v/>
      </c>
    </row>
    <row r="1427" spans="170:194" ht="16.5" x14ac:dyDescent="0.2">
      <c r="FN1427" s="101">
        <v>1422</v>
      </c>
      <c r="FO1427" s="101">
        <f t="shared" si="640"/>
        <v>55</v>
      </c>
      <c r="FP1427" s="101">
        <f t="shared" si="656"/>
        <v>18</v>
      </c>
      <c r="FQ1427" s="14">
        <f t="shared" si="657"/>
        <v>3</v>
      </c>
      <c r="FR1427" s="101" t="str">
        <f t="shared" si="641"/>
        <v>雷震子专属武器-魂珠-7 1级</v>
      </c>
      <c r="FS1427" s="101">
        <f t="shared" si="642"/>
        <v>7</v>
      </c>
      <c r="FT1427" s="101">
        <f t="shared" si="643"/>
        <v>1</v>
      </c>
      <c r="FU1427" s="101" t="str">
        <f t="shared" si="658"/>
        <v>金币</v>
      </c>
      <c r="FV1427" s="139">
        <f>IF($FT1427&gt;0,IF(INDEX($EI$6:$EI$77,$FO1427)&gt;=FV$3,ROUND(INDEX(EK$6:EK$77,$FO1427)*INDEX(卡牌消耗!$B$8:$F$8,FQ1427)/5,0)*5,""),"")</f>
        <v>12090</v>
      </c>
      <c r="FW1427" s="101" t="str">
        <f t="shared" si="659"/>
        <v>专属强化石3</v>
      </c>
      <c r="FX1427" s="101">
        <f t="shared" si="660"/>
        <v>6</v>
      </c>
      <c r="FY1427" s="101" t="str">
        <f t="shared" si="661"/>
        <v>专属强化石4</v>
      </c>
      <c r="FZ1427" s="101">
        <f t="shared" si="662"/>
        <v>2</v>
      </c>
      <c r="GA1427" s="101">
        <f t="shared" si="644"/>
        <v>0.2</v>
      </c>
      <c r="GB1427" s="101">
        <f t="shared" si="645"/>
        <v>1</v>
      </c>
      <c r="GC1427" s="101">
        <f t="shared" si="646"/>
        <v>8</v>
      </c>
      <c r="GD1427" s="101">
        <f t="shared" si="647"/>
        <v>0</v>
      </c>
      <c r="GE1427" s="101">
        <f t="shared" si="648"/>
        <v>1</v>
      </c>
      <c r="GF1427" s="101">
        <f t="shared" si="649"/>
        <v>2</v>
      </c>
      <c r="GG1427" s="101">
        <f t="shared" si="650"/>
        <v>9.9400000000000002E-2</v>
      </c>
      <c r="GH1427" s="101">
        <f t="shared" si="651"/>
        <v>1</v>
      </c>
      <c r="GI1427" s="101">
        <f t="shared" si="652"/>
        <v>4</v>
      </c>
      <c r="GJ1427" s="101">
        <f t="shared" si="653"/>
        <v>0.3977</v>
      </c>
      <c r="GK1427" s="101">
        <f t="shared" si="654"/>
        <v>1</v>
      </c>
      <c r="GL1427" s="101">
        <f t="shared" si="655"/>
        <v>8</v>
      </c>
    </row>
    <row r="1428" spans="170:194" ht="16.5" x14ac:dyDescent="0.2">
      <c r="FN1428" s="101">
        <v>1423</v>
      </c>
      <c r="FO1428" s="101">
        <f t="shared" si="640"/>
        <v>56</v>
      </c>
      <c r="FP1428" s="101">
        <f t="shared" si="656"/>
        <v>18</v>
      </c>
      <c r="FQ1428" s="14">
        <f t="shared" si="657"/>
        <v>3</v>
      </c>
      <c r="FR1428" s="101" t="str">
        <f t="shared" si="641"/>
        <v>雷震子专属武器-魂珠-7 2级</v>
      </c>
      <c r="FS1428" s="101">
        <f t="shared" si="642"/>
        <v>7</v>
      </c>
      <c r="FT1428" s="101">
        <f t="shared" si="643"/>
        <v>2</v>
      </c>
      <c r="FU1428" s="101" t="str">
        <f t="shared" si="658"/>
        <v>金币</v>
      </c>
      <c r="FV1428" s="139">
        <f>IF($FT1428&gt;0,IF(INDEX($EI$6:$EI$77,$FO1428)&gt;=FV$3,ROUND(INDEX(EK$6:EK$77,$FO1428)*INDEX(卡牌消耗!$B$8:$F$8,FQ1428)/5,0)*5,""),"")</f>
        <v>9065</v>
      </c>
      <c r="FW1428" s="101" t="str">
        <f t="shared" si="659"/>
        <v>专属强化石3</v>
      </c>
      <c r="FX1428" s="101">
        <f t="shared" si="660"/>
        <v>6</v>
      </c>
      <c r="FY1428" s="101" t="str">
        <f t="shared" si="661"/>
        <v>专属强化石4</v>
      </c>
      <c r="FZ1428" s="101">
        <f t="shared" si="662"/>
        <v>2</v>
      </c>
      <c r="GA1428" s="101">
        <f t="shared" si="644"/>
        <v>0.1</v>
      </c>
      <c r="GB1428" s="101">
        <f t="shared" si="645"/>
        <v>1</v>
      </c>
      <c r="GC1428" s="101">
        <f t="shared" si="646"/>
        <v>15</v>
      </c>
      <c r="GD1428" s="101">
        <f t="shared" si="647"/>
        <v>0</v>
      </c>
      <c r="GE1428" s="101">
        <f t="shared" si="648"/>
        <v>1</v>
      </c>
      <c r="GF1428" s="101">
        <f t="shared" si="649"/>
        <v>4</v>
      </c>
      <c r="GG1428" s="101">
        <f t="shared" si="650"/>
        <v>4.9700000000000001E-2</v>
      </c>
      <c r="GH1428" s="101">
        <f t="shared" si="651"/>
        <v>1</v>
      </c>
      <c r="GI1428" s="101">
        <f t="shared" si="652"/>
        <v>7</v>
      </c>
      <c r="GJ1428" s="101">
        <f t="shared" si="653"/>
        <v>0.19889999999999999</v>
      </c>
      <c r="GK1428" s="101">
        <f t="shared" si="654"/>
        <v>1</v>
      </c>
      <c r="GL1428" s="101">
        <f t="shared" si="655"/>
        <v>15</v>
      </c>
    </row>
    <row r="1429" spans="170:194" ht="16.5" x14ac:dyDescent="0.2">
      <c r="FN1429" s="101">
        <v>1424</v>
      </c>
      <c r="FO1429" s="101">
        <f t="shared" si="640"/>
        <v>57</v>
      </c>
      <c r="FP1429" s="101">
        <f t="shared" si="656"/>
        <v>18</v>
      </c>
      <c r="FQ1429" s="14">
        <f t="shared" si="657"/>
        <v>3</v>
      </c>
      <c r="FR1429" s="101" t="str">
        <f t="shared" si="641"/>
        <v>雷震子专属武器-魂珠-7 3级</v>
      </c>
      <c r="FS1429" s="101">
        <f t="shared" si="642"/>
        <v>7</v>
      </c>
      <c r="FT1429" s="101">
        <f t="shared" si="643"/>
        <v>3</v>
      </c>
      <c r="FU1429" s="101" t="str">
        <f t="shared" si="658"/>
        <v>金币</v>
      </c>
      <c r="FV1429" s="139">
        <f>IF($FT1429&gt;0,IF(INDEX($EI$6:$EI$77,$FO1429)&gt;=FV$3,ROUND(INDEX(EK$6:EK$77,$FO1429)*INDEX(卡牌消耗!$B$8:$F$8,FQ1429)/5,0)*5,""),"")</f>
        <v>15110</v>
      </c>
      <c r="FW1429" s="101" t="str">
        <f t="shared" si="659"/>
        <v>专属强化石3</v>
      </c>
      <c r="FX1429" s="101">
        <f t="shared" si="660"/>
        <v>9</v>
      </c>
      <c r="FY1429" s="101" t="str">
        <f t="shared" si="661"/>
        <v>专属强化石4</v>
      </c>
      <c r="FZ1429" s="101">
        <f t="shared" si="662"/>
        <v>3</v>
      </c>
      <c r="GA1429" s="101">
        <f t="shared" si="644"/>
        <v>0.1</v>
      </c>
      <c r="GB1429" s="101">
        <f t="shared" si="645"/>
        <v>1</v>
      </c>
      <c r="GC1429" s="101">
        <f t="shared" si="646"/>
        <v>15</v>
      </c>
      <c r="GD1429" s="101">
        <f t="shared" si="647"/>
        <v>0</v>
      </c>
      <c r="GE1429" s="101">
        <f t="shared" si="648"/>
        <v>1</v>
      </c>
      <c r="GF1429" s="101">
        <f t="shared" si="649"/>
        <v>4</v>
      </c>
      <c r="GG1429" s="101">
        <f t="shared" si="650"/>
        <v>4.9700000000000001E-2</v>
      </c>
      <c r="GH1429" s="101">
        <f t="shared" si="651"/>
        <v>1</v>
      </c>
      <c r="GI1429" s="101">
        <f t="shared" si="652"/>
        <v>7</v>
      </c>
      <c r="GJ1429" s="101">
        <f t="shared" si="653"/>
        <v>0.19889999999999999</v>
      </c>
      <c r="GK1429" s="101">
        <f t="shared" si="654"/>
        <v>1</v>
      </c>
      <c r="GL1429" s="101">
        <f t="shared" si="655"/>
        <v>15</v>
      </c>
    </row>
    <row r="1430" spans="170:194" ht="16.5" x14ac:dyDescent="0.2">
      <c r="FN1430" s="101">
        <v>1425</v>
      </c>
      <c r="FO1430" s="101">
        <f t="shared" ref="FO1430:FO1493" si="663">IF(FT1430&gt;0,(FS1430-1)*9+FT1430,0)</f>
        <v>58</v>
      </c>
      <c r="FP1430" s="101">
        <f t="shared" si="656"/>
        <v>18</v>
      </c>
      <c r="FQ1430" s="14">
        <f t="shared" si="657"/>
        <v>3</v>
      </c>
      <c r="FR1430" s="101" t="str">
        <f t="shared" ref="FR1430:FR1493" si="664">INDEX($FI$6:$FI$26,FP1430)&amp;"专属武器-魂珠-"&amp;FS1430&amp;" "&amp;FT1430&amp;"级"</f>
        <v>雷震子专属武器-魂珠-7 4级</v>
      </c>
      <c r="FS1430" s="101">
        <f t="shared" ref="FS1430:FS1493" si="665">INT((FN1430-(FP1430-1)*80-1)/10)+1</f>
        <v>7</v>
      </c>
      <c r="FT1430" s="101">
        <f t="shared" ref="FT1430:FT1493" si="666">FN1430-(FP1430-1)*80-(FS1430-1)*10-1</f>
        <v>4</v>
      </c>
      <c r="FU1430" s="101" t="str">
        <f t="shared" si="658"/>
        <v>金币</v>
      </c>
      <c r="FV1430" s="139">
        <f>IF($FT1430&gt;0,IF(INDEX($EI$6:$EI$77,$FO1430)&gt;=FV$3,ROUND(INDEX(EK$6:EK$77,$FO1430)*INDEX(卡牌消耗!$B$8:$F$8,FQ1430)/5,0)*5,""),"")</f>
        <v>19340</v>
      </c>
      <c r="FW1430" s="101" t="str">
        <f t="shared" si="659"/>
        <v>专属强化石3</v>
      </c>
      <c r="FX1430" s="101">
        <f t="shared" si="660"/>
        <v>12</v>
      </c>
      <c r="FY1430" s="101" t="str">
        <f t="shared" si="661"/>
        <v>专属强化石4</v>
      </c>
      <c r="FZ1430" s="101">
        <f t="shared" si="662"/>
        <v>4</v>
      </c>
      <c r="GA1430" s="101">
        <f t="shared" ref="GA1430:GA1493" si="667">IF($FT1430&gt;0,INDEX(EP$6:EP$77,$FO1430),"")</f>
        <v>0.08</v>
      </c>
      <c r="GB1430" s="101">
        <f t="shared" ref="GB1430:GB1493" si="668">IF($FT1430&gt;0,INDEX(EQ$6:EQ$77,$FO1430),"")</f>
        <v>1</v>
      </c>
      <c r="GC1430" s="101">
        <f t="shared" ref="GC1430:GC1493" si="669">IF($FT1430&gt;0,INDEX(ER$6:ER$77,$FO1430),"")</f>
        <v>19</v>
      </c>
      <c r="GD1430" s="101">
        <f t="shared" ref="GD1430:GD1493" si="670">IF($FT1430&gt;0,INDEX(EV$6:EV$77,$FO1430),"")</f>
        <v>0</v>
      </c>
      <c r="GE1430" s="101">
        <f t="shared" ref="GE1430:GE1493" si="671">IF($FT1430&gt;0,INDEX(EW$6:EW$77,$FO1430),"")</f>
        <v>1</v>
      </c>
      <c r="GF1430" s="101">
        <f t="shared" ref="GF1430:GF1493" si="672">IF($FT1430&gt;0,INDEX(EX$6:EX$77,$FO1430),"")</f>
        <v>4</v>
      </c>
      <c r="GG1430" s="101">
        <f t="shared" ref="GG1430:GG1493" si="673">IF($FT1430&gt;0,INDEX(EY$6:EY$77,$FO1430),"")</f>
        <v>3.9800000000000002E-2</v>
      </c>
      <c r="GH1430" s="101">
        <f t="shared" ref="GH1430:GH1493" si="674">IF($FT1430&gt;0,INDEX(EZ$6:EZ$77,$FO1430),"")</f>
        <v>1</v>
      </c>
      <c r="GI1430" s="101">
        <f t="shared" ref="GI1430:GI1493" si="675">IF($FT1430&gt;0,INDEX(FA$6:FA$77,$FO1430),"")</f>
        <v>9</v>
      </c>
      <c r="GJ1430" s="101">
        <f t="shared" ref="GJ1430:GJ1493" si="676">IF($FT1430&gt;0,INDEX(FB$6:FB$77,$FO1430),"")</f>
        <v>0.15909999999999999</v>
      </c>
      <c r="GK1430" s="101">
        <f t="shared" ref="GK1430:GK1493" si="677">IF($FT1430&gt;0,INDEX(FC$6:FC$77,$FO1430),"")</f>
        <v>1</v>
      </c>
      <c r="GL1430" s="101">
        <f t="shared" ref="GL1430:GL1493" si="678">IF($FT1430&gt;0,INDEX(FD$6:FD$77,$FO1430),"")</f>
        <v>19</v>
      </c>
    </row>
    <row r="1431" spans="170:194" ht="16.5" x14ac:dyDescent="0.2">
      <c r="FN1431" s="101">
        <v>1426</v>
      </c>
      <c r="FO1431" s="101">
        <f t="shared" si="663"/>
        <v>59</v>
      </c>
      <c r="FP1431" s="101">
        <f t="shared" si="656"/>
        <v>18</v>
      </c>
      <c r="FQ1431" s="14">
        <f t="shared" si="657"/>
        <v>3</v>
      </c>
      <c r="FR1431" s="101" t="str">
        <f t="shared" si="664"/>
        <v>雷震子专属武器-魂珠-7 5级</v>
      </c>
      <c r="FS1431" s="101">
        <f t="shared" si="665"/>
        <v>7</v>
      </c>
      <c r="FT1431" s="101">
        <f t="shared" si="666"/>
        <v>5</v>
      </c>
      <c r="FU1431" s="101" t="str">
        <f t="shared" si="658"/>
        <v>金币</v>
      </c>
      <c r="FV1431" s="139">
        <f>IF($FT1431&gt;0,IF(INDEX($EI$6:$EI$77,$FO1431)&gt;=FV$3,ROUND(INDEX(EK$6:EK$77,$FO1431)*INDEX(卡牌消耗!$B$8:$F$8,FQ1431)/5,0)*5,""),"")</f>
        <v>19640</v>
      </c>
      <c r="FW1431" s="101" t="str">
        <f t="shared" si="659"/>
        <v>专属强化石3</v>
      </c>
      <c r="FX1431" s="101">
        <f t="shared" si="660"/>
        <v>12</v>
      </c>
      <c r="FY1431" s="101" t="str">
        <f t="shared" si="661"/>
        <v>专属强化石4</v>
      </c>
      <c r="FZ1431" s="101">
        <f t="shared" si="662"/>
        <v>4</v>
      </c>
      <c r="GA1431" s="101">
        <f t="shared" si="667"/>
        <v>0.05</v>
      </c>
      <c r="GB1431" s="101">
        <f t="shared" si="668"/>
        <v>1</v>
      </c>
      <c r="GC1431" s="101">
        <f t="shared" si="669"/>
        <v>30</v>
      </c>
      <c r="GD1431" s="101">
        <f t="shared" si="670"/>
        <v>0</v>
      </c>
      <c r="GE1431" s="101">
        <f t="shared" si="671"/>
        <v>1</v>
      </c>
      <c r="GF1431" s="101">
        <f t="shared" si="672"/>
        <v>7</v>
      </c>
      <c r="GG1431" s="101">
        <f t="shared" si="673"/>
        <v>2.4899999999999999E-2</v>
      </c>
      <c r="GH1431" s="101">
        <f t="shared" si="674"/>
        <v>1</v>
      </c>
      <c r="GI1431" s="101">
        <f t="shared" si="675"/>
        <v>14</v>
      </c>
      <c r="GJ1431" s="101">
        <f t="shared" si="676"/>
        <v>9.9400000000000002E-2</v>
      </c>
      <c r="GK1431" s="101">
        <f t="shared" si="677"/>
        <v>1</v>
      </c>
      <c r="GL1431" s="101">
        <f t="shared" si="678"/>
        <v>30</v>
      </c>
    </row>
    <row r="1432" spans="170:194" ht="16.5" x14ac:dyDescent="0.2">
      <c r="FN1432" s="101">
        <v>1427</v>
      </c>
      <c r="FO1432" s="101">
        <f t="shared" si="663"/>
        <v>60</v>
      </c>
      <c r="FP1432" s="101">
        <f t="shared" si="656"/>
        <v>18</v>
      </c>
      <c r="FQ1432" s="14">
        <f t="shared" si="657"/>
        <v>3</v>
      </c>
      <c r="FR1432" s="101" t="str">
        <f t="shared" si="664"/>
        <v>雷震子专属武器-魂珠-7 6级</v>
      </c>
      <c r="FS1432" s="101">
        <f t="shared" si="665"/>
        <v>7</v>
      </c>
      <c r="FT1432" s="101">
        <f t="shared" si="666"/>
        <v>6</v>
      </c>
      <c r="FU1432" s="101" t="str">
        <f t="shared" si="658"/>
        <v>金币</v>
      </c>
      <c r="FV1432" s="139">
        <f>IF($FT1432&gt;0,IF(INDEX($EI$6:$EI$77,$FO1432)&gt;=FV$3,ROUND(INDEX(EK$6:EK$77,$FO1432)*INDEX(卡牌消耗!$B$8:$F$8,FQ1432)/5,0)*5,""),"")</f>
        <v>24410</v>
      </c>
      <c r="FW1432" s="101" t="str">
        <f t="shared" si="659"/>
        <v>专属强化石3</v>
      </c>
      <c r="FX1432" s="101">
        <f t="shared" si="660"/>
        <v>15</v>
      </c>
      <c r="FY1432" s="101" t="str">
        <f t="shared" si="661"/>
        <v>专属强化石4</v>
      </c>
      <c r="FZ1432" s="101">
        <f t="shared" si="662"/>
        <v>5</v>
      </c>
      <c r="GA1432" s="101">
        <f t="shared" si="667"/>
        <v>0.04</v>
      </c>
      <c r="GB1432" s="101">
        <f t="shared" si="668"/>
        <v>1</v>
      </c>
      <c r="GC1432" s="101">
        <f t="shared" si="669"/>
        <v>39</v>
      </c>
      <c r="GD1432" s="101">
        <f t="shared" si="670"/>
        <v>0</v>
      </c>
      <c r="GE1432" s="101">
        <f t="shared" si="671"/>
        <v>1</v>
      </c>
      <c r="GF1432" s="101">
        <f t="shared" si="672"/>
        <v>9</v>
      </c>
      <c r="GG1432" s="101">
        <f t="shared" si="673"/>
        <v>1.9099999999999999E-2</v>
      </c>
      <c r="GH1432" s="101">
        <f t="shared" si="674"/>
        <v>1</v>
      </c>
      <c r="GI1432" s="101">
        <f t="shared" si="675"/>
        <v>18</v>
      </c>
      <c r="GJ1432" s="101">
        <f t="shared" si="676"/>
        <v>7.6499999999999999E-2</v>
      </c>
      <c r="GK1432" s="101">
        <f t="shared" si="677"/>
        <v>1</v>
      </c>
      <c r="GL1432" s="101">
        <f t="shared" si="678"/>
        <v>39</v>
      </c>
    </row>
    <row r="1433" spans="170:194" ht="16.5" x14ac:dyDescent="0.2">
      <c r="FN1433" s="101">
        <v>1428</v>
      </c>
      <c r="FO1433" s="101">
        <f t="shared" si="663"/>
        <v>61</v>
      </c>
      <c r="FP1433" s="101">
        <f t="shared" si="656"/>
        <v>18</v>
      </c>
      <c r="FQ1433" s="14">
        <f t="shared" si="657"/>
        <v>3</v>
      </c>
      <c r="FR1433" s="101" t="str">
        <f t="shared" si="664"/>
        <v>雷震子专属武器-魂珠-7 7级</v>
      </c>
      <c r="FS1433" s="101">
        <f t="shared" si="665"/>
        <v>7</v>
      </c>
      <c r="FT1433" s="101">
        <f t="shared" si="666"/>
        <v>7</v>
      </c>
      <c r="FU1433" s="101" t="str">
        <f t="shared" si="658"/>
        <v>金币</v>
      </c>
      <c r="FV1433" s="139">
        <f>IF($FT1433&gt;0,IF(INDEX($EI$6:$EI$77,$FO1433)&gt;=FV$3,ROUND(INDEX(EK$6:EK$77,$FO1433)*INDEX(卡牌消耗!$B$8:$F$8,FQ1433)/5,0)*5,""),"")</f>
        <v>34250</v>
      </c>
      <c r="FW1433" s="101" t="str">
        <f t="shared" si="659"/>
        <v>专属强化石3</v>
      </c>
      <c r="FX1433" s="101">
        <f t="shared" si="660"/>
        <v>21</v>
      </c>
      <c r="FY1433" s="101" t="str">
        <f t="shared" si="661"/>
        <v>专属强化石4</v>
      </c>
      <c r="FZ1433" s="101">
        <f t="shared" si="662"/>
        <v>7</v>
      </c>
      <c r="GA1433" s="101">
        <f t="shared" si="667"/>
        <v>0.03</v>
      </c>
      <c r="GB1433" s="101">
        <f t="shared" si="668"/>
        <v>1</v>
      </c>
      <c r="GC1433" s="101">
        <f t="shared" si="669"/>
        <v>45</v>
      </c>
      <c r="GD1433" s="101">
        <f t="shared" si="670"/>
        <v>0</v>
      </c>
      <c r="GE1433" s="101">
        <f t="shared" si="671"/>
        <v>1</v>
      </c>
      <c r="GF1433" s="101">
        <f t="shared" si="672"/>
        <v>11</v>
      </c>
      <c r="GG1433" s="101">
        <f t="shared" si="673"/>
        <v>1.66E-2</v>
      </c>
      <c r="GH1433" s="101">
        <f t="shared" si="674"/>
        <v>1</v>
      </c>
      <c r="GI1433" s="101">
        <f t="shared" si="675"/>
        <v>21</v>
      </c>
      <c r="GJ1433" s="101">
        <f t="shared" si="676"/>
        <v>6.6299999999999998E-2</v>
      </c>
      <c r="GK1433" s="101">
        <f t="shared" si="677"/>
        <v>1</v>
      </c>
      <c r="GL1433" s="101">
        <f t="shared" si="678"/>
        <v>45</v>
      </c>
    </row>
    <row r="1434" spans="170:194" ht="16.5" x14ac:dyDescent="0.2">
      <c r="FN1434" s="101">
        <v>1429</v>
      </c>
      <c r="FO1434" s="101">
        <f t="shared" si="663"/>
        <v>62</v>
      </c>
      <c r="FP1434" s="101">
        <f t="shared" si="656"/>
        <v>18</v>
      </c>
      <c r="FQ1434" s="14">
        <f t="shared" si="657"/>
        <v>3</v>
      </c>
      <c r="FR1434" s="101" t="str">
        <f t="shared" si="664"/>
        <v>雷震子专属武器-魂珠-7 8级</v>
      </c>
      <c r="FS1434" s="101">
        <f t="shared" si="665"/>
        <v>7</v>
      </c>
      <c r="FT1434" s="101">
        <f t="shared" si="666"/>
        <v>8</v>
      </c>
      <c r="FU1434" s="101" t="str">
        <f t="shared" si="658"/>
        <v>金币</v>
      </c>
      <c r="FV1434" s="139">
        <f>IF($FT1434&gt;0,IF(INDEX($EI$6:$EI$77,$FO1434)&gt;=FV$3,ROUND(INDEX(EK$6:EK$77,$FO1434)*INDEX(卡牌消耗!$B$8:$F$8,FQ1434)/5,0)*5,""),"")</f>
        <v>39105</v>
      </c>
      <c r="FW1434" s="101" t="str">
        <f t="shared" si="659"/>
        <v>专属强化石3</v>
      </c>
      <c r="FX1434" s="101">
        <f t="shared" si="660"/>
        <v>24</v>
      </c>
      <c r="FY1434" s="101" t="str">
        <f t="shared" si="661"/>
        <v>专属强化石4</v>
      </c>
      <c r="FZ1434" s="101">
        <f t="shared" si="662"/>
        <v>8</v>
      </c>
      <c r="GA1434" s="101">
        <f t="shared" si="667"/>
        <v>0.02</v>
      </c>
      <c r="GB1434" s="101">
        <f t="shared" si="668"/>
        <v>1</v>
      </c>
      <c r="GC1434" s="101">
        <f t="shared" si="669"/>
        <v>64</v>
      </c>
      <c r="GD1434" s="101">
        <f t="shared" si="670"/>
        <v>0</v>
      </c>
      <c r="GE1434" s="101">
        <f t="shared" si="671"/>
        <v>1</v>
      </c>
      <c r="GF1434" s="101">
        <f t="shared" si="672"/>
        <v>15</v>
      </c>
      <c r="GG1434" s="101">
        <f t="shared" si="673"/>
        <v>1.17E-2</v>
      </c>
      <c r="GH1434" s="101">
        <f t="shared" si="674"/>
        <v>1</v>
      </c>
      <c r="GI1434" s="101">
        <f t="shared" si="675"/>
        <v>30</v>
      </c>
      <c r="GJ1434" s="101">
        <f t="shared" si="676"/>
        <v>4.6800000000000001E-2</v>
      </c>
      <c r="GK1434" s="101">
        <f t="shared" si="677"/>
        <v>1</v>
      </c>
      <c r="GL1434" s="101">
        <f t="shared" si="678"/>
        <v>64</v>
      </c>
    </row>
    <row r="1435" spans="170:194" ht="16.5" x14ac:dyDescent="0.2">
      <c r="FN1435" s="101">
        <v>1430</v>
      </c>
      <c r="FO1435" s="101">
        <f t="shared" si="663"/>
        <v>63</v>
      </c>
      <c r="FP1435" s="101">
        <f t="shared" si="656"/>
        <v>18</v>
      </c>
      <c r="FQ1435" s="14">
        <f t="shared" si="657"/>
        <v>3</v>
      </c>
      <c r="FR1435" s="101" t="str">
        <f t="shared" si="664"/>
        <v>雷震子专属武器-魂珠-7 9级</v>
      </c>
      <c r="FS1435" s="101">
        <f t="shared" si="665"/>
        <v>7</v>
      </c>
      <c r="FT1435" s="101">
        <f t="shared" si="666"/>
        <v>9</v>
      </c>
      <c r="FU1435" s="101" t="str">
        <f t="shared" si="658"/>
        <v>金币</v>
      </c>
      <c r="FV1435" s="139">
        <f>IF($FT1435&gt;0,IF(INDEX($EI$6:$EI$77,$FO1435)&gt;=FV$3,ROUND(INDEX(EK$6:EK$77,$FO1435)*INDEX(卡牌消耗!$B$8:$F$8,FQ1435)/5,0)*5,""),"")</f>
        <v>48900</v>
      </c>
      <c r="FW1435" s="101" t="str">
        <f t="shared" si="659"/>
        <v>专属强化石3</v>
      </c>
      <c r="FX1435" s="101">
        <f t="shared" si="660"/>
        <v>30</v>
      </c>
      <c r="FY1435" s="101" t="str">
        <f t="shared" si="661"/>
        <v>专属强化石4</v>
      </c>
      <c r="FZ1435" s="101">
        <f t="shared" si="662"/>
        <v>10</v>
      </c>
      <c r="GA1435" s="101">
        <f t="shared" si="667"/>
        <v>0.02</v>
      </c>
      <c r="GB1435" s="101">
        <f t="shared" si="668"/>
        <v>1</v>
      </c>
      <c r="GC1435" s="101">
        <f t="shared" si="669"/>
        <v>83</v>
      </c>
      <c r="GD1435" s="101">
        <f t="shared" si="670"/>
        <v>0</v>
      </c>
      <c r="GE1435" s="101">
        <f t="shared" si="671"/>
        <v>1</v>
      </c>
      <c r="GF1435" s="101">
        <f t="shared" si="672"/>
        <v>19</v>
      </c>
      <c r="GG1435" s="101">
        <f t="shared" si="673"/>
        <v>8.9999999999999993E-3</v>
      </c>
      <c r="GH1435" s="101">
        <f t="shared" si="674"/>
        <v>1</v>
      </c>
      <c r="GI1435" s="101">
        <f t="shared" si="675"/>
        <v>39</v>
      </c>
      <c r="GJ1435" s="101">
        <f t="shared" si="676"/>
        <v>3.6200000000000003E-2</v>
      </c>
      <c r="GK1435" s="101">
        <f t="shared" si="677"/>
        <v>1</v>
      </c>
      <c r="GL1435" s="101">
        <f t="shared" si="678"/>
        <v>83</v>
      </c>
    </row>
    <row r="1436" spans="170:194" ht="16.5" x14ac:dyDescent="0.2">
      <c r="FN1436" s="101">
        <v>1431</v>
      </c>
      <c r="FO1436" s="101">
        <f t="shared" si="663"/>
        <v>0</v>
      </c>
      <c r="FP1436" s="101">
        <f t="shared" si="656"/>
        <v>18</v>
      </c>
      <c r="FQ1436" s="14">
        <f t="shared" si="657"/>
        <v>3</v>
      </c>
      <c r="FR1436" s="101" t="str">
        <f t="shared" si="664"/>
        <v>雷震子专属武器-魂珠-8 0级</v>
      </c>
      <c r="FS1436" s="101">
        <f t="shared" si="665"/>
        <v>8</v>
      </c>
      <c r="FT1436" s="101">
        <f t="shared" si="666"/>
        <v>0</v>
      </c>
      <c r="FU1436" s="101" t="str">
        <f t="shared" si="658"/>
        <v/>
      </c>
      <c r="FV1436" s="139" t="str">
        <f>IF($FT1436&gt;0,IF(INDEX($EI$6:$EI$77,$FO1436)&gt;=FV$3,ROUND(INDEX(EK$6:EK$77,$FO1436)*INDEX(卡牌消耗!$B$8:$F$8,FQ1436)/5,0)*5,""),"")</f>
        <v/>
      </c>
      <c r="FW1436" s="101" t="str">
        <f t="shared" si="659"/>
        <v/>
      </c>
      <c r="FX1436" s="101" t="str">
        <f t="shared" si="660"/>
        <v/>
      </c>
      <c r="FY1436" s="101" t="str">
        <f t="shared" si="661"/>
        <v/>
      </c>
      <c r="FZ1436" s="101" t="str">
        <f t="shared" si="662"/>
        <v/>
      </c>
      <c r="GA1436" s="101" t="str">
        <f t="shared" si="667"/>
        <v/>
      </c>
      <c r="GB1436" s="101" t="str">
        <f t="shared" si="668"/>
        <v/>
      </c>
      <c r="GC1436" s="101" t="str">
        <f t="shared" si="669"/>
        <v/>
      </c>
      <c r="GD1436" s="101" t="str">
        <f t="shared" si="670"/>
        <v/>
      </c>
      <c r="GE1436" s="101" t="str">
        <f t="shared" si="671"/>
        <v/>
      </c>
      <c r="GF1436" s="101" t="str">
        <f t="shared" si="672"/>
        <v/>
      </c>
      <c r="GG1436" s="101" t="str">
        <f t="shared" si="673"/>
        <v/>
      </c>
      <c r="GH1436" s="101" t="str">
        <f t="shared" si="674"/>
        <v/>
      </c>
      <c r="GI1436" s="101" t="str">
        <f t="shared" si="675"/>
        <v/>
      </c>
      <c r="GJ1436" s="101" t="str">
        <f t="shared" si="676"/>
        <v/>
      </c>
      <c r="GK1436" s="101" t="str">
        <f t="shared" si="677"/>
        <v/>
      </c>
      <c r="GL1436" s="101" t="str">
        <f t="shared" si="678"/>
        <v/>
      </c>
    </row>
    <row r="1437" spans="170:194" ht="16.5" x14ac:dyDescent="0.2">
      <c r="FN1437" s="101">
        <v>1432</v>
      </c>
      <c r="FO1437" s="101">
        <f t="shared" si="663"/>
        <v>64</v>
      </c>
      <c r="FP1437" s="101">
        <f t="shared" si="656"/>
        <v>18</v>
      </c>
      <c r="FQ1437" s="14">
        <f t="shared" si="657"/>
        <v>3</v>
      </c>
      <c r="FR1437" s="101" t="str">
        <f t="shared" si="664"/>
        <v>雷震子专属武器-魂珠-8 1级</v>
      </c>
      <c r="FS1437" s="101">
        <f t="shared" si="665"/>
        <v>8</v>
      </c>
      <c r="FT1437" s="101">
        <f t="shared" si="666"/>
        <v>1</v>
      </c>
      <c r="FU1437" s="101" t="str">
        <f t="shared" si="658"/>
        <v>金币</v>
      </c>
      <c r="FV1437" s="139">
        <f>IF($FT1437&gt;0,IF(INDEX($EI$6:$EI$77,$FO1437)&gt;=FV$3,ROUND(INDEX(EK$6:EK$77,$FO1437)*INDEX(卡牌消耗!$B$8:$F$8,FQ1437)/5,0)*5,""),"")</f>
        <v>10300</v>
      </c>
      <c r="FW1437" s="101" t="str">
        <f t="shared" si="659"/>
        <v>专属强化石4</v>
      </c>
      <c r="FX1437" s="101">
        <f t="shared" si="660"/>
        <v>5</v>
      </c>
      <c r="FY1437" s="101" t="str">
        <f t="shared" si="661"/>
        <v/>
      </c>
      <c r="FZ1437" s="101" t="str">
        <f t="shared" si="662"/>
        <v/>
      </c>
      <c r="GA1437" s="101">
        <f t="shared" si="667"/>
        <v>0.11</v>
      </c>
      <c r="GB1437" s="101">
        <f t="shared" si="668"/>
        <v>1</v>
      </c>
      <c r="GC1437" s="101">
        <f t="shared" si="669"/>
        <v>13</v>
      </c>
      <c r="GD1437" s="101">
        <f t="shared" si="670"/>
        <v>0</v>
      </c>
      <c r="GE1437" s="101">
        <f t="shared" si="671"/>
        <v>1</v>
      </c>
      <c r="GF1437" s="101">
        <f t="shared" si="672"/>
        <v>3</v>
      </c>
      <c r="GG1437" s="101">
        <f t="shared" si="673"/>
        <v>5.6500000000000002E-2</v>
      </c>
      <c r="GH1437" s="101">
        <f t="shared" si="674"/>
        <v>1</v>
      </c>
      <c r="GI1437" s="101">
        <f t="shared" si="675"/>
        <v>6</v>
      </c>
      <c r="GJ1437" s="101">
        <f t="shared" si="676"/>
        <v>0.22600000000000001</v>
      </c>
      <c r="GK1437" s="101">
        <f t="shared" si="677"/>
        <v>1</v>
      </c>
      <c r="GL1437" s="101">
        <f t="shared" si="678"/>
        <v>13</v>
      </c>
    </row>
    <row r="1438" spans="170:194" ht="16.5" x14ac:dyDescent="0.2">
      <c r="FN1438" s="101">
        <v>1433</v>
      </c>
      <c r="FO1438" s="101">
        <f t="shared" si="663"/>
        <v>65</v>
      </c>
      <c r="FP1438" s="101">
        <f t="shared" si="656"/>
        <v>18</v>
      </c>
      <c r="FQ1438" s="14">
        <f t="shared" si="657"/>
        <v>3</v>
      </c>
      <c r="FR1438" s="101" t="str">
        <f t="shared" si="664"/>
        <v>雷震子专属武器-魂珠-8 2级</v>
      </c>
      <c r="FS1438" s="101">
        <f t="shared" si="665"/>
        <v>8</v>
      </c>
      <c r="FT1438" s="101">
        <f t="shared" si="666"/>
        <v>2</v>
      </c>
      <c r="FU1438" s="101" t="str">
        <f t="shared" si="658"/>
        <v>金币</v>
      </c>
      <c r="FV1438" s="139">
        <f>IF($FT1438&gt;0,IF(INDEX($EI$6:$EI$77,$FO1438)&gt;=FV$3,ROUND(INDEX(EK$6:EK$77,$FO1438)*INDEX(卡牌消耗!$B$8:$F$8,FQ1438)/5,0)*5,""),"")</f>
        <v>12360</v>
      </c>
      <c r="FW1438" s="101" t="str">
        <f t="shared" si="659"/>
        <v>专属强化石4</v>
      </c>
      <c r="FX1438" s="101">
        <f t="shared" si="660"/>
        <v>8</v>
      </c>
      <c r="FY1438" s="101" t="str">
        <f t="shared" si="661"/>
        <v/>
      </c>
      <c r="FZ1438" s="101" t="str">
        <f t="shared" si="662"/>
        <v/>
      </c>
      <c r="GA1438" s="101">
        <f t="shared" si="667"/>
        <v>0.09</v>
      </c>
      <c r="GB1438" s="101">
        <f t="shared" si="668"/>
        <v>1</v>
      </c>
      <c r="GC1438" s="101">
        <f t="shared" si="669"/>
        <v>17</v>
      </c>
      <c r="GD1438" s="101">
        <f t="shared" si="670"/>
        <v>0</v>
      </c>
      <c r="GE1438" s="101">
        <f t="shared" si="671"/>
        <v>1</v>
      </c>
      <c r="GF1438" s="101">
        <f t="shared" si="672"/>
        <v>4</v>
      </c>
      <c r="GG1438" s="101">
        <f t="shared" si="673"/>
        <v>4.5199999999999997E-2</v>
      </c>
      <c r="GH1438" s="101">
        <f t="shared" si="674"/>
        <v>1</v>
      </c>
      <c r="GI1438" s="101">
        <f t="shared" si="675"/>
        <v>8</v>
      </c>
      <c r="GJ1438" s="101">
        <f t="shared" si="676"/>
        <v>0.18079999999999999</v>
      </c>
      <c r="GK1438" s="101">
        <f t="shared" si="677"/>
        <v>1</v>
      </c>
      <c r="GL1438" s="101">
        <f t="shared" si="678"/>
        <v>17</v>
      </c>
    </row>
    <row r="1439" spans="170:194" ht="16.5" x14ac:dyDescent="0.2">
      <c r="FN1439" s="101">
        <v>1434</v>
      </c>
      <c r="FO1439" s="101">
        <f t="shared" si="663"/>
        <v>66</v>
      </c>
      <c r="FP1439" s="101">
        <f t="shared" si="656"/>
        <v>18</v>
      </c>
      <c r="FQ1439" s="14">
        <f t="shared" si="657"/>
        <v>3</v>
      </c>
      <c r="FR1439" s="101" t="str">
        <f t="shared" si="664"/>
        <v>雷震子专属武器-魂珠-8 3级</v>
      </c>
      <c r="FS1439" s="101">
        <f t="shared" si="665"/>
        <v>8</v>
      </c>
      <c r="FT1439" s="101">
        <f t="shared" si="666"/>
        <v>3</v>
      </c>
      <c r="FU1439" s="101" t="str">
        <f t="shared" si="658"/>
        <v>金币</v>
      </c>
      <c r="FV1439" s="139">
        <f>IF($FT1439&gt;0,IF(INDEX($EI$6:$EI$77,$FO1439)&gt;=FV$3,ROUND(INDEX(EK$6:EK$77,$FO1439)*INDEX(卡牌消耗!$B$8:$F$8,FQ1439)/5,0)*5,""),"")</f>
        <v>17170</v>
      </c>
      <c r="FW1439" s="101" t="str">
        <f t="shared" si="659"/>
        <v>专属强化石4</v>
      </c>
      <c r="FX1439" s="101">
        <f t="shared" si="660"/>
        <v>10</v>
      </c>
      <c r="FY1439" s="101" t="str">
        <f t="shared" si="661"/>
        <v/>
      </c>
      <c r="FZ1439" s="101" t="str">
        <f t="shared" si="662"/>
        <v/>
      </c>
      <c r="GA1439" s="101">
        <f t="shared" si="667"/>
        <v>0.08</v>
      </c>
      <c r="GB1439" s="101">
        <f t="shared" si="668"/>
        <v>1</v>
      </c>
      <c r="GC1439" s="101">
        <f t="shared" si="669"/>
        <v>20</v>
      </c>
      <c r="GD1439" s="101">
        <f t="shared" si="670"/>
        <v>0</v>
      </c>
      <c r="GE1439" s="101">
        <f t="shared" si="671"/>
        <v>1</v>
      </c>
      <c r="GF1439" s="101">
        <f t="shared" si="672"/>
        <v>5</v>
      </c>
      <c r="GG1439" s="101">
        <f t="shared" si="673"/>
        <v>3.7699999999999997E-2</v>
      </c>
      <c r="GH1439" s="101">
        <f t="shared" si="674"/>
        <v>1</v>
      </c>
      <c r="GI1439" s="101">
        <f t="shared" si="675"/>
        <v>9</v>
      </c>
      <c r="GJ1439" s="101">
        <f t="shared" si="676"/>
        <v>0.1507</v>
      </c>
      <c r="GK1439" s="101">
        <f t="shared" si="677"/>
        <v>1</v>
      </c>
      <c r="GL1439" s="101">
        <f t="shared" si="678"/>
        <v>20</v>
      </c>
    </row>
    <row r="1440" spans="170:194" ht="16.5" x14ac:dyDescent="0.2">
      <c r="FN1440" s="101">
        <v>1435</v>
      </c>
      <c r="FO1440" s="101">
        <f t="shared" si="663"/>
        <v>67</v>
      </c>
      <c r="FP1440" s="101">
        <f t="shared" si="656"/>
        <v>18</v>
      </c>
      <c r="FQ1440" s="14">
        <f t="shared" si="657"/>
        <v>3</v>
      </c>
      <c r="FR1440" s="101" t="str">
        <f t="shared" si="664"/>
        <v>雷震子专属武器-魂珠-8 4级</v>
      </c>
      <c r="FS1440" s="101">
        <f t="shared" si="665"/>
        <v>8</v>
      </c>
      <c r="FT1440" s="101">
        <f t="shared" si="666"/>
        <v>4</v>
      </c>
      <c r="FU1440" s="101" t="str">
        <f t="shared" si="658"/>
        <v>金币</v>
      </c>
      <c r="FV1440" s="139">
        <f>IF($FT1440&gt;0,IF(INDEX($EI$6:$EI$77,$FO1440)&gt;=FV$3,ROUND(INDEX(EK$6:EK$77,$FO1440)*INDEX(卡牌消耗!$B$8:$F$8,FQ1440)/5,0)*5,""),"")</f>
        <v>19780</v>
      </c>
      <c r="FW1440" s="101" t="str">
        <f t="shared" si="659"/>
        <v>专属强化石4</v>
      </c>
      <c r="FX1440" s="101">
        <f t="shared" si="660"/>
        <v>12</v>
      </c>
      <c r="FY1440" s="101" t="str">
        <f t="shared" si="661"/>
        <v/>
      </c>
      <c r="FZ1440" s="101" t="str">
        <f t="shared" si="662"/>
        <v/>
      </c>
      <c r="GA1440" s="101">
        <f t="shared" si="667"/>
        <v>0.05</v>
      </c>
      <c r="GB1440" s="101">
        <f t="shared" si="668"/>
        <v>1</v>
      </c>
      <c r="GC1440" s="101">
        <f t="shared" si="669"/>
        <v>28</v>
      </c>
      <c r="GD1440" s="101">
        <f t="shared" si="670"/>
        <v>0</v>
      </c>
      <c r="GE1440" s="101">
        <f t="shared" si="671"/>
        <v>1</v>
      </c>
      <c r="GF1440" s="101">
        <f t="shared" si="672"/>
        <v>6</v>
      </c>
      <c r="GG1440" s="101">
        <f t="shared" si="673"/>
        <v>2.7099999999999999E-2</v>
      </c>
      <c r="GH1440" s="101">
        <f t="shared" si="674"/>
        <v>1</v>
      </c>
      <c r="GI1440" s="101">
        <f t="shared" si="675"/>
        <v>13</v>
      </c>
      <c r="GJ1440" s="101">
        <f t="shared" si="676"/>
        <v>0.1085</v>
      </c>
      <c r="GK1440" s="101">
        <f t="shared" si="677"/>
        <v>1</v>
      </c>
      <c r="GL1440" s="101">
        <f t="shared" si="678"/>
        <v>28</v>
      </c>
    </row>
    <row r="1441" spans="170:194" ht="16.5" x14ac:dyDescent="0.2">
      <c r="FN1441" s="101">
        <v>1436</v>
      </c>
      <c r="FO1441" s="101">
        <f t="shared" si="663"/>
        <v>68</v>
      </c>
      <c r="FP1441" s="101">
        <f t="shared" si="656"/>
        <v>18</v>
      </c>
      <c r="FQ1441" s="14">
        <f t="shared" si="657"/>
        <v>3</v>
      </c>
      <c r="FR1441" s="101" t="str">
        <f t="shared" si="664"/>
        <v>雷震子专属武器-魂珠-8 5级</v>
      </c>
      <c r="FS1441" s="101">
        <f t="shared" si="665"/>
        <v>8</v>
      </c>
      <c r="FT1441" s="101">
        <f t="shared" si="666"/>
        <v>5</v>
      </c>
      <c r="FU1441" s="101" t="str">
        <f t="shared" si="658"/>
        <v>金币</v>
      </c>
      <c r="FV1441" s="139">
        <f>IF($FT1441&gt;0,IF(INDEX($EI$6:$EI$77,$FO1441)&gt;=FV$3,ROUND(INDEX(EK$6:EK$77,$FO1441)*INDEX(卡牌消耗!$B$8:$F$8,FQ1441)/5,0)*5,""),"")</f>
        <v>25110</v>
      </c>
      <c r="FW1441" s="101" t="str">
        <f t="shared" si="659"/>
        <v>专属强化石4</v>
      </c>
      <c r="FX1441" s="101">
        <f t="shared" si="660"/>
        <v>15</v>
      </c>
      <c r="FY1441" s="101" t="str">
        <f t="shared" si="661"/>
        <v/>
      </c>
      <c r="FZ1441" s="101" t="str">
        <f t="shared" si="662"/>
        <v/>
      </c>
      <c r="GA1441" s="101">
        <f t="shared" si="667"/>
        <v>0.04</v>
      </c>
      <c r="GB1441" s="101">
        <f t="shared" si="668"/>
        <v>1</v>
      </c>
      <c r="GC1441" s="101">
        <f t="shared" si="669"/>
        <v>35</v>
      </c>
      <c r="GD1441" s="101">
        <f t="shared" si="670"/>
        <v>0</v>
      </c>
      <c r="GE1441" s="101">
        <f t="shared" si="671"/>
        <v>1</v>
      </c>
      <c r="GF1441" s="101">
        <f t="shared" si="672"/>
        <v>8</v>
      </c>
      <c r="GG1441" s="101">
        <f t="shared" si="673"/>
        <v>2.12E-2</v>
      </c>
      <c r="GH1441" s="101">
        <f t="shared" si="674"/>
        <v>1</v>
      </c>
      <c r="GI1441" s="101">
        <f t="shared" si="675"/>
        <v>17</v>
      </c>
      <c r="GJ1441" s="101">
        <f t="shared" si="676"/>
        <v>8.4699999999999998E-2</v>
      </c>
      <c r="GK1441" s="101">
        <f t="shared" si="677"/>
        <v>1</v>
      </c>
      <c r="GL1441" s="101">
        <f t="shared" si="678"/>
        <v>35</v>
      </c>
    </row>
    <row r="1442" spans="170:194" ht="16.5" x14ac:dyDescent="0.2">
      <c r="FN1442" s="101">
        <v>1437</v>
      </c>
      <c r="FO1442" s="101">
        <f t="shared" si="663"/>
        <v>69</v>
      </c>
      <c r="FP1442" s="101">
        <f t="shared" si="656"/>
        <v>18</v>
      </c>
      <c r="FQ1442" s="14">
        <f t="shared" si="657"/>
        <v>3</v>
      </c>
      <c r="FR1442" s="101" t="str">
        <f t="shared" si="664"/>
        <v>雷震子专属武器-魂珠-8 6级</v>
      </c>
      <c r="FS1442" s="101">
        <f t="shared" si="665"/>
        <v>8</v>
      </c>
      <c r="FT1442" s="101">
        <f t="shared" si="666"/>
        <v>6</v>
      </c>
      <c r="FU1442" s="101" t="str">
        <f t="shared" si="658"/>
        <v>金币</v>
      </c>
      <c r="FV1442" s="139">
        <f>IF($FT1442&gt;0,IF(INDEX($EI$6:$EI$77,$FO1442)&gt;=FV$3,ROUND(INDEX(EK$6:EK$77,$FO1442)*INDEX(卡牌消耗!$B$8:$F$8,FQ1442)/5,0)*5,""),"")</f>
        <v>29955</v>
      </c>
      <c r="FW1442" s="101" t="str">
        <f t="shared" si="659"/>
        <v>专属强化石4</v>
      </c>
      <c r="FX1442" s="101">
        <f t="shared" si="660"/>
        <v>18</v>
      </c>
      <c r="FY1442" s="101" t="str">
        <f t="shared" si="661"/>
        <v/>
      </c>
      <c r="FZ1442" s="101" t="str">
        <f t="shared" si="662"/>
        <v/>
      </c>
      <c r="GA1442" s="101">
        <f t="shared" si="667"/>
        <v>0.03</v>
      </c>
      <c r="GB1442" s="101">
        <f t="shared" si="668"/>
        <v>1</v>
      </c>
      <c r="GC1442" s="101">
        <f t="shared" si="669"/>
        <v>48</v>
      </c>
      <c r="GD1442" s="101">
        <f t="shared" si="670"/>
        <v>0</v>
      </c>
      <c r="GE1442" s="101">
        <f t="shared" si="671"/>
        <v>1</v>
      </c>
      <c r="GF1442" s="101">
        <f t="shared" si="672"/>
        <v>11</v>
      </c>
      <c r="GG1442" s="101">
        <f t="shared" si="673"/>
        <v>1.5599999999999999E-2</v>
      </c>
      <c r="GH1442" s="101">
        <f t="shared" si="674"/>
        <v>1</v>
      </c>
      <c r="GI1442" s="101">
        <f t="shared" si="675"/>
        <v>22</v>
      </c>
      <c r="GJ1442" s="101">
        <f t="shared" si="676"/>
        <v>6.2600000000000003E-2</v>
      </c>
      <c r="GK1442" s="101">
        <f t="shared" si="677"/>
        <v>1</v>
      </c>
      <c r="GL1442" s="101">
        <f t="shared" si="678"/>
        <v>48</v>
      </c>
    </row>
    <row r="1443" spans="170:194" ht="16.5" x14ac:dyDescent="0.2">
      <c r="FN1443" s="101">
        <v>1438</v>
      </c>
      <c r="FO1443" s="101">
        <f t="shared" si="663"/>
        <v>70</v>
      </c>
      <c r="FP1443" s="101">
        <f t="shared" si="656"/>
        <v>18</v>
      </c>
      <c r="FQ1443" s="14">
        <f t="shared" si="657"/>
        <v>3</v>
      </c>
      <c r="FR1443" s="101" t="str">
        <f t="shared" si="664"/>
        <v>雷震子专属武器-魂珠-8 7级</v>
      </c>
      <c r="FS1443" s="101">
        <f t="shared" si="665"/>
        <v>8</v>
      </c>
      <c r="FT1443" s="101">
        <f t="shared" si="666"/>
        <v>7</v>
      </c>
      <c r="FU1443" s="101" t="str">
        <f t="shared" si="658"/>
        <v>金币</v>
      </c>
      <c r="FV1443" s="139">
        <f>IF($FT1443&gt;0,IF(INDEX($EI$6:$EI$77,$FO1443)&gt;=FV$3,ROUND(INDEX(EK$6:EK$77,$FO1443)*INDEX(卡牌消耗!$B$8:$F$8,FQ1443)/5,0)*5,""),"")</f>
        <v>41700</v>
      </c>
      <c r="FW1443" s="101" t="str">
        <f t="shared" si="659"/>
        <v>专属强化石4</v>
      </c>
      <c r="FX1443" s="101">
        <f t="shared" si="660"/>
        <v>25</v>
      </c>
      <c r="FY1443" s="101" t="str">
        <f t="shared" si="661"/>
        <v/>
      </c>
      <c r="FZ1443" s="101" t="str">
        <f t="shared" si="662"/>
        <v/>
      </c>
      <c r="GA1443" s="101">
        <f t="shared" si="667"/>
        <v>0.03</v>
      </c>
      <c r="GB1443" s="101">
        <f t="shared" si="668"/>
        <v>1</v>
      </c>
      <c r="GC1443" s="101">
        <f t="shared" si="669"/>
        <v>56</v>
      </c>
      <c r="GD1443" s="101">
        <f t="shared" si="670"/>
        <v>0</v>
      </c>
      <c r="GE1443" s="101">
        <f t="shared" si="671"/>
        <v>1</v>
      </c>
      <c r="GF1443" s="101">
        <f t="shared" si="672"/>
        <v>13</v>
      </c>
      <c r="GG1443" s="101">
        <f t="shared" si="673"/>
        <v>1.35E-2</v>
      </c>
      <c r="GH1443" s="101">
        <f t="shared" si="674"/>
        <v>1</v>
      </c>
      <c r="GI1443" s="101">
        <f t="shared" si="675"/>
        <v>26</v>
      </c>
      <c r="GJ1443" s="101">
        <f t="shared" si="676"/>
        <v>5.3800000000000001E-2</v>
      </c>
      <c r="GK1443" s="101">
        <f t="shared" si="677"/>
        <v>1</v>
      </c>
      <c r="GL1443" s="101">
        <f t="shared" si="678"/>
        <v>56</v>
      </c>
    </row>
    <row r="1444" spans="170:194" ht="16.5" x14ac:dyDescent="0.2">
      <c r="FN1444" s="101">
        <v>1439</v>
      </c>
      <c r="FO1444" s="101">
        <f t="shared" si="663"/>
        <v>71</v>
      </c>
      <c r="FP1444" s="101">
        <f t="shared" si="656"/>
        <v>18</v>
      </c>
      <c r="FQ1444" s="14">
        <f t="shared" si="657"/>
        <v>3</v>
      </c>
      <c r="FR1444" s="101" t="str">
        <f t="shared" si="664"/>
        <v>雷震子专属武器-魂珠-8 8级</v>
      </c>
      <c r="FS1444" s="101">
        <f t="shared" si="665"/>
        <v>8</v>
      </c>
      <c r="FT1444" s="101">
        <f t="shared" si="666"/>
        <v>8</v>
      </c>
      <c r="FU1444" s="101" t="str">
        <f t="shared" si="658"/>
        <v>金币</v>
      </c>
      <c r="FV1444" s="139">
        <f>IF($FT1444&gt;0,IF(INDEX($EI$6:$EI$77,$FO1444)&gt;=FV$3,ROUND(INDEX(EK$6:EK$77,$FO1444)*INDEX(卡牌消耗!$B$8:$F$8,FQ1444)/5,0)*5,""),"")</f>
        <v>49995</v>
      </c>
      <c r="FW1444" s="101" t="str">
        <f t="shared" si="659"/>
        <v>专属强化石4</v>
      </c>
      <c r="FX1444" s="101">
        <f t="shared" si="660"/>
        <v>30</v>
      </c>
      <c r="FY1444" s="101" t="str">
        <f t="shared" si="661"/>
        <v/>
      </c>
      <c r="FZ1444" s="101" t="str">
        <f t="shared" si="662"/>
        <v/>
      </c>
      <c r="GA1444" s="101">
        <f t="shared" si="667"/>
        <v>0.02</v>
      </c>
      <c r="GB1444" s="101">
        <f t="shared" si="668"/>
        <v>1</v>
      </c>
      <c r="GC1444" s="101">
        <f t="shared" si="669"/>
        <v>75</v>
      </c>
      <c r="GD1444" s="101">
        <f t="shared" si="670"/>
        <v>0</v>
      </c>
      <c r="GE1444" s="101">
        <f t="shared" si="671"/>
        <v>1</v>
      </c>
      <c r="GF1444" s="101">
        <f t="shared" si="672"/>
        <v>18</v>
      </c>
      <c r="GG1444" s="101">
        <f t="shared" si="673"/>
        <v>0.01</v>
      </c>
      <c r="GH1444" s="101">
        <f t="shared" si="674"/>
        <v>1</v>
      </c>
      <c r="GI1444" s="101">
        <f t="shared" si="675"/>
        <v>35</v>
      </c>
      <c r="GJ1444" s="101">
        <f t="shared" si="676"/>
        <v>3.9899999999999998E-2</v>
      </c>
      <c r="GK1444" s="101">
        <f t="shared" si="677"/>
        <v>1</v>
      </c>
      <c r="GL1444" s="101">
        <f t="shared" si="678"/>
        <v>75</v>
      </c>
    </row>
    <row r="1445" spans="170:194" ht="16.5" x14ac:dyDescent="0.2">
      <c r="FN1445" s="101">
        <v>1440</v>
      </c>
      <c r="FO1445" s="101">
        <f t="shared" si="663"/>
        <v>72</v>
      </c>
      <c r="FP1445" s="101">
        <f t="shared" si="656"/>
        <v>18</v>
      </c>
      <c r="FQ1445" s="14">
        <f t="shared" si="657"/>
        <v>3</v>
      </c>
      <c r="FR1445" s="101" t="str">
        <f t="shared" si="664"/>
        <v>雷震子专属武器-魂珠-8 9级</v>
      </c>
      <c r="FS1445" s="101">
        <f t="shared" si="665"/>
        <v>8</v>
      </c>
      <c r="FT1445" s="101">
        <f t="shared" si="666"/>
        <v>9</v>
      </c>
      <c r="FU1445" s="101" t="str">
        <f t="shared" si="658"/>
        <v>金币</v>
      </c>
      <c r="FV1445" s="139">
        <f>IF($FT1445&gt;0,IF(INDEX($EI$6:$EI$77,$FO1445)&gt;=FV$3,ROUND(INDEX(EK$6:EK$77,$FO1445)*INDEX(卡牌消耗!$B$8:$F$8,FQ1445)/5,0)*5,""),"")</f>
        <v>50010</v>
      </c>
      <c r="FW1445" s="101" t="str">
        <f t="shared" si="659"/>
        <v>专属强化石4</v>
      </c>
      <c r="FX1445" s="101">
        <f t="shared" si="660"/>
        <v>30</v>
      </c>
      <c r="FY1445" s="101" t="str">
        <f t="shared" si="661"/>
        <v/>
      </c>
      <c r="FZ1445" s="101" t="str">
        <f t="shared" si="662"/>
        <v/>
      </c>
      <c r="GA1445" s="101">
        <f t="shared" si="667"/>
        <v>0.01</v>
      </c>
      <c r="GB1445" s="101">
        <f t="shared" si="668"/>
        <v>1</v>
      </c>
      <c r="GC1445" s="101">
        <f t="shared" si="669"/>
        <v>122</v>
      </c>
      <c r="GD1445" s="101">
        <f t="shared" si="670"/>
        <v>0</v>
      </c>
      <c r="GE1445" s="101">
        <f t="shared" si="671"/>
        <v>1</v>
      </c>
      <c r="GF1445" s="101">
        <f t="shared" si="672"/>
        <v>28</v>
      </c>
      <c r="GG1445" s="101">
        <f t="shared" si="673"/>
        <v>6.1999999999999998E-3</v>
      </c>
      <c r="GH1445" s="101">
        <f t="shared" si="674"/>
        <v>1</v>
      </c>
      <c r="GI1445" s="101">
        <f t="shared" si="675"/>
        <v>57</v>
      </c>
      <c r="GJ1445" s="101">
        <f t="shared" si="676"/>
        <v>2.47E-2</v>
      </c>
      <c r="GK1445" s="101">
        <f t="shared" si="677"/>
        <v>1</v>
      </c>
      <c r="GL1445" s="101">
        <f t="shared" si="678"/>
        <v>122</v>
      </c>
    </row>
    <row r="1446" spans="170:194" ht="16.5" x14ac:dyDescent="0.2">
      <c r="FN1446" s="101">
        <v>1441</v>
      </c>
      <c r="FO1446" s="101">
        <f t="shared" si="663"/>
        <v>0</v>
      </c>
      <c r="FP1446" s="101">
        <f t="shared" si="656"/>
        <v>19</v>
      </c>
      <c r="FQ1446" s="14">
        <f t="shared" si="657"/>
        <v>5</v>
      </c>
      <c r="FR1446" s="101" t="str">
        <f t="shared" si="664"/>
        <v>吕布专属武器-魂珠-1 0级</v>
      </c>
      <c r="FS1446" s="101">
        <f t="shared" si="665"/>
        <v>1</v>
      </c>
      <c r="FT1446" s="101">
        <f t="shared" si="666"/>
        <v>0</v>
      </c>
      <c r="FU1446" s="101" t="str">
        <f t="shared" si="658"/>
        <v/>
      </c>
      <c r="FV1446" s="139" t="str">
        <f>IF($FT1446&gt;0,IF(INDEX($EI$6:$EI$77,$FO1446)&gt;=FV$3,ROUND(INDEX(EK$6:EK$77,$FO1446)*INDEX(卡牌消耗!$B$8:$F$8,FQ1446)/5,0)*5,""),"")</f>
        <v/>
      </c>
      <c r="FW1446" s="101" t="str">
        <f t="shared" si="659"/>
        <v/>
      </c>
      <c r="FX1446" s="101" t="str">
        <f t="shared" si="660"/>
        <v/>
      </c>
      <c r="FY1446" s="101" t="str">
        <f t="shared" si="661"/>
        <v/>
      </c>
      <c r="FZ1446" s="101" t="str">
        <f t="shared" si="662"/>
        <v/>
      </c>
      <c r="GA1446" s="101" t="str">
        <f t="shared" si="667"/>
        <v/>
      </c>
      <c r="GB1446" s="101" t="str">
        <f t="shared" si="668"/>
        <v/>
      </c>
      <c r="GC1446" s="101" t="str">
        <f t="shared" si="669"/>
        <v/>
      </c>
      <c r="GD1446" s="101" t="str">
        <f t="shared" si="670"/>
        <v/>
      </c>
      <c r="GE1446" s="101" t="str">
        <f t="shared" si="671"/>
        <v/>
      </c>
      <c r="GF1446" s="101" t="str">
        <f t="shared" si="672"/>
        <v/>
      </c>
      <c r="GG1446" s="101" t="str">
        <f t="shared" si="673"/>
        <v/>
      </c>
      <c r="GH1446" s="101" t="str">
        <f t="shared" si="674"/>
        <v/>
      </c>
      <c r="GI1446" s="101" t="str">
        <f t="shared" si="675"/>
        <v/>
      </c>
      <c r="GJ1446" s="101" t="str">
        <f t="shared" si="676"/>
        <v/>
      </c>
      <c r="GK1446" s="101" t="str">
        <f t="shared" si="677"/>
        <v/>
      </c>
      <c r="GL1446" s="101" t="str">
        <f t="shared" si="678"/>
        <v/>
      </c>
    </row>
    <row r="1447" spans="170:194" ht="16.5" x14ac:dyDescent="0.2">
      <c r="FN1447" s="101">
        <v>1442</v>
      </c>
      <c r="FO1447" s="101">
        <f t="shared" si="663"/>
        <v>1</v>
      </c>
      <c r="FP1447" s="101">
        <f t="shared" si="656"/>
        <v>19</v>
      </c>
      <c r="FQ1447" s="14">
        <f t="shared" si="657"/>
        <v>5</v>
      </c>
      <c r="FR1447" s="101" t="str">
        <f t="shared" si="664"/>
        <v>吕布专属武器-魂珠-1 1级</v>
      </c>
      <c r="FS1447" s="101">
        <f t="shared" si="665"/>
        <v>1</v>
      </c>
      <c r="FT1447" s="101">
        <f t="shared" si="666"/>
        <v>1</v>
      </c>
      <c r="FU1447" s="101" t="str">
        <f t="shared" si="658"/>
        <v>金币</v>
      </c>
      <c r="FV1447" s="139">
        <f>IF($FT1447&gt;0,IF(INDEX($EI$6:$EI$77,$FO1447)&gt;=FV$3,ROUND(INDEX(EK$6:EK$77,$FO1447)*INDEX(卡牌消耗!$B$8:$F$8,FQ1447)/5,0)*5,""),"")</f>
        <v>190</v>
      </c>
      <c r="FW1447" s="101" t="str">
        <f t="shared" si="659"/>
        <v>专属强化石1</v>
      </c>
      <c r="FX1447" s="101">
        <f t="shared" si="660"/>
        <v>1</v>
      </c>
      <c r="FY1447" s="101" t="str">
        <f t="shared" si="661"/>
        <v/>
      </c>
      <c r="FZ1447" s="101" t="str">
        <f t="shared" si="662"/>
        <v/>
      </c>
      <c r="GA1447" s="101">
        <f t="shared" si="667"/>
        <v>0.32</v>
      </c>
      <c r="GB1447" s="101">
        <f t="shared" si="668"/>
        <v>1</v>
      </c>
      <c r="GC1447" s="101">
        <f t="shared" si="669"/>
        <v>5</v>
      </c>
      <c r="GD1447" s="101">
        <f t="shared" si="670"/>
        <v>0</v>
      </c>
      <c r="GE1447" s="101">
        <f t="shared" si="671"/>
        <v>1</v>
      </c>
      <c r="GF1447" s="101">
        <f t="shared" si="672"/>
        <v>1</v>
      </c>
      <c r="GG1447" s="101">
        <f t="shared" si="673"/>
        <v>0.1595</v>
      </c>
      <c r="GH1447" s="101">
        <f t="shared" si="674"/>
        <v>1</v>
      </c>
      <c r="GI1447" s="101">
        <f t="shared" si="675"/>
        <v>2</v>
      </c>
      <c r="GJ1447" s="101">
        <f t="shared" si="676"/>
        <v>0.63819999999999999</v>
      </c>
      <c r="GK1447" s="101">
        <f t="shared" si="677"/>
        <v>1</v>
      </c>
      <c r="GL1447" s="101">
        <f t="shared" si="678"/>
        <v>5</v>
      </c>
    </row>
    <row r="1448" spans="170:194" ht="16.5" x14ac:dyDescent="0.2">
      <c r="FN1448" s="101">
        <v>1443</v>
      </c>
      <c r="FO1448" s="101">
        <f t="shared" si="663"/>
        <v>2</v>
      </c>
      <c r="FP1448" s="101">
        <f t="shared" si="656"/>
        <v>19</v>
      </c>
      <c r="FQ1448" s="14">
        <f t="shared" si="657"/>
        <v>5</v>
      </c>
      <c r="FR1448" s="101" t="str">
        <f t="shared" si="664"/>
        <v>吕布专属武器-魂珠-1 2级</v>
      </c>
      <c r="FS1448" s="101">
        <f t="shared" si="665"/>
        <v>1</v>
      </c>
      <c r="FT1448" s="101">
        <f t="shared" si="666"/>
        <v>2</v>
      </c>
      <c r="FU1448" s="101" t="str">
        <f t="shared" si="658"/>
        <v>金币</v>
      </c>
      <c r="FV1448" s="139">
        <f>IF($FT1448&gt;0,IF(INDEX($EI$6:$EI$77,$FO1448)&gt;=FV$3,ROUND(INDEX(EK$6:EK$77,$FO1448)*INDEX(卡牌消耗!$B$8:$F$8,FQ1448)/5,0)*5,""),"")</f>
        <v>285</v>
      </c>
      <c r="FW1448" s="101" t="str">
        <f t="shared" si="659"/>
        <v>专属强化石1</v>
      </c>
      <c r="FX1448" s="101">
        <f t="shared" si="660"/>
        <v>2</v>
      </c>
      <c r="FY1448" s="101" t="str">
        <f t="shared" si="661"/>
        <v/>
      </c>
      <c r="FZ1448" s="101" t="str">
        <f t="shared" si="662"/>
        <v/>
      </c>
      <c r="GA1448" s="101">
        <f t="shared" si="667"/>
        <v>0.32</v>
      </c>
      <c r="GB1448" s="101">
        <f t="shared" si="668"/>
        <v>1</v>
      </c>
      <c r="GC1448" s="101">
        <f t="shared" si="669"/>
        <v>5</v>
      </c>
      <c r="GD1448" s="101">
        <f t="shared" si="670"/>
        <v>0</v>
      </c>
      <c r="GE1448" s="101">
        <f t="shared" si="671"/>
        <v>1</v>
      </c>
      <c r="GF1448" s="101">
        <f t="shared" si="672"/>
        <v>1</v>
      </c>
      <c r="GG1448" s="101">
        <f t="shared" si="673"/>
        <v>0.1595</v>
      </c>
      <c r="GH1448" s="101">
        <f t="shared" si="674"/>
        <v>1</v>
      </c>
      <c r="GI1448" s="101">
        <f t="shared" si="675"/>
        <v>2</v>
      </c>
      <c r="GJ1448" s="101">
        <f t="shared" si="676"/>
        <v>0.63819999999999999</v>
      </c>
      <c r="GK1448" s="101">
        <f t="shared" si="677"/>
        <v>1</v>
      </c>
      <c r="GL1448" s="101">
        <f t="shared" si="678"/>
        <v>5</v>
      </c>
    </row>
    <row r="1449" spans="170:194" ht="16.5" x14ac:dyDescent="0.2">
      <c r="FN1449" s="101">
        <v>1444</v>
      </c>
      <c r="FO1449" s="101">
        <f t="shared" si="663"/>
        <v>3</v>
      </c>
      <c r="FP1449" s="101">
        <f t="shared" si="656"/>
        <v>19</v>
      </c>
      <c r="FQ1449" s="14">
        <f t="shared" si="657"/>
        <v>5</v>
      </c>
      <c r="FR1449" s="101" t="str">
        <f t="shared" si="664"/>
        <v>吕布专属武器-魂珠-1 3级</v>
      </c>
      <c r="FS1449" s="101">
        <f t="shared" si="665"/>
        <v>1</v>
      </c>
      <c r="FT1449" s="101">
        <f t="shared" si="666"/>
        <v>3</v>
      </c>
      <c r="FU1449" s="101" t="str">
        <f t="shared" si="658"/>
        <v>金币</v>
      </c>
      <c r="FV1449" s="139">
        <f>IF($FT1449&gt;0,IF(INDEX($EI$6:$EI$77,$FO1449)&gt;=FV$3,ROUND(INDEX(EK$6:EK$77,$FO1449)*INDEX(卡牌消耗!$B$8:$F$8,FQ1449)/5,0)*5,""),"")</f>
        <v>475</v>
      </c>
      <c r="FW1449" s="101" t="str">
        <f t="shared" si="659"/>
        <v>专属强化石1</v>
      </c>
      <c r="FX1449" s="101">
        <f t="shared" si="660"/>
        <v>3</v>
      </c>
      <c r="FY1449" s="101" t="str">
        <f t="shared" si="661"/>
        <v/>
      </c>
      <c r="FZ1449" s="101" t="str">
        <f t="shared" si="662"/>
        <v/>
      </c>
      <c r="GA1449" s="101">
        <f t="shared" si="667"/>
        <v>0.32</v>
      </c>
      <c r="GB1449" s="101">
        <f t="shared" si="668"/>
        <v>1</v>
      </c>
      <c r="GC1449" s="101">
        <f t="shared" si="669"/>
        <v>5</v>
      </c>
      <c r="GD1449" s="101">
        <f t="shared" si="670"/>
        <v>0</v>
      </c>
      <c r="GE1449" s="101">
        <f t="shared" si="671"/>
        <v>1</v>
      </c>
      <c r="GF1449" s="101">
        <f t="shared" si="672"/>
        <v>1</v>
      </c>
      <c r="GG1449" s="101">
        <f t="shared" si="673"/>
        <v>0.1595</v>
      </c>
      <c r="GH1449" s="101">
        <f t="shared" si="674"/>
        <v>1</v>
      </c>
      <c r="GI1449" s="101">
        <f t="shared" si="675"/>
        <v>2</v>
      </c>
      <c r="GJ1449" s="101">
        <f t="shared" si="676"/>
        <v>0.63819999999999999</v>
      </c>
      <c r="GK1449" s="101">
        <f t="shared" si="677"/>
        <v>1</v>
      </c>
      <c r="GL1449" s="101">
        <f t="shared" si="678"/>
        <v>5</v>
      </c>
    </row>
    <row r="1450" spans="170:194" ht="16.5" x14ac:dyDescent="0.2">
      <c r="FN1450" s="101">
        <v>1445</v>
      </c>
      <c r="FO1450" s="101">
        <f t="shared" si="663"/>
        <v>4</v>
      </c>
      <c r="FP1450" s="101">
        <f t="shared" si="656"/>
        <v>19</v>
      </c>
      <c r="FQ1450" s="14">
        <f t="shared" si="657"/>
        <v>5</v>
      </c>
      <c r="FR1450" s="101" t="str">
        <f t="shared" si="664"/>
        <v>吕布专属武器-魂珠-1 4级</v>
      </c>
      <c r="FS1450" s="101">
        <f t="shared" si="665"/>
        <v>1</v>
      </c>
      <c r="FT1450" s="101">
        <f t="shared" si="666"/>
        <v>4</v>
      </c>
      <c r="FU1450" s="101" t="str">
        <f t="shared" si="658"/>
        <v>金币</v>
      </c>
      <c r="FV1450" s="139">
        <f>IF($FT1450&gt;0,IF(INDEX($EI$6:$EI$77,$FO1450)&gt;=FV$3,ROUND(INDEX(EK$6:EK$77,$FO1450)*INDEX(卡牌消耗!$B$8:$F$8,FQ1450)/5,0)*5,""),"")</f>
        <v>605</v>
      </c>
      <c r="FW1450" s="101" t="str">
        <f t="shared" si="659"/>
        <v>专属强化石1</v>
      </c>
      <c r="FX1450" s="101">
        <f t="shared" si="660"/>
        <v>4</v>
      </c>
      <c r="FY1450" s="101" t="str">
        <f t="shared" si="661"/>
        <v/>
      </c>
      <c r="FZ1450" s="101" t="str">
        <f t="shared" si="662"/>
        <v/>
      </c>
      <c r="GA1450" s="101">
        <f t="shared" si="667"/>
        <v>0.26</v>
      </c>
      <c r="GB1450" s="101">
        <f t="shared" si="668"/>
        <v>1</v>
      </c>
      <c r="GC1450" s="101">
        <f t="shared" si="669"/>
        <v>6</v>
      </c>
      <c r="GD1450" s="101">
        <f t="shared" si="670"/>
        <v>0</v>
      </c>
      <c r="GE1450" s="101">
        <f t="shared" si="671"/>
        <v>1</v>
      </c>
      <c r="GF1450" s="101">
        <f t="shared" si="672"/>
        <v>1</v>
      </c>
      <c r="GG1450" s="101">
        <f t="shared" si="673"/>
        <v>0.12759999999999999</v>
      </c>
      <c r="GH1450" s="101">
        <f t="shared" si="674"/>
        <v>1</v>
      </c>
      <c r="GI1450" s="101">
        <f t="shared" si="675"/>
        <v>3</v>
      </c>
      <c r="GJ1450" s="101">
        <f t="shared" si="676"/>
        <v>0.51060000000000005</v>
      </c>
      <c r="GK1450" s="101">
        <f t="shared" si="677"/>
        <v>1</v>
      </c>
      <c r="GL1450" s="101">
        <f t="shared" si="678"/>
        <v>6</v>
      </c>
    </row>
    <row r="1451" spans="170:194" ht="16.5" x14ac:dyDescent="0.2">
      <c r="FN1451" s="101">
        <v>1446</v>
      </c>
      <c r="FO1451" s="101">
        <f t="shared" si="663"/>
        <v>5</v>
      </c>
      <c r="FP1451" s="101">
        <f t="shared" si="656"/>
        <v>19</v>
      </c>
      <c r="FQ1451" s="14">
        <f t="shared" si="657"/>
        <v>5</v>
      </c>
      <c r="FR1451" s="101" t="str">
        <f t="shared" si="664"/>
        <v>吕布专属武器-魂珠-1 5级</v>
      </c>
      <c r="FS1451" s="101">
        <f t="shared" si="665"/>
        <v>1</v>
      </c>
      <c r="FT1451" s="101">
        <f t="shared" si="666"/>
        <v>5</v>
      </c>
      <c r="FU1451" s="101" t="str">
        <f t="shared" si="658"/>
        <v>金币</v>
      </c>
      <c r="FV1451" s="139">
        <f>IF($FT1451&gt;0,IF(INDEX($EI$6:$EI$77,$FO1451)&gt;=FV$3,ROUND(INDEX(EK$6:EK$77,$FO1451)*INDEX(卡牌消耗!$B$8:$F$8,FQ1451)/5,0)*5,""),"")</f>
        <v>770</v>
      </c>
      <c r="FW1451" s="101" t="str">
        <f t="shared" si="659"/>
        <v>专属强化石1</v>
      </c>
      <c r="FX1451" s="101">
        <f t="shared" si="660"/>
        <v>5</v>
      </c>
      <c r="FY1451" s="101" t="str">
        <f t="shared" si="661"/>
        <v/>
      </c>
      <c r="FZ1451" s="101" t="str">
        <f t="shared" si="662"/>
        <v/>
      </c>
      <c r="GA1451" s="101">
        <f t="shared" si="667"/>
        <v>0.2</v>
      </c>
      <c r="GB1451" s="101">
        <f t="shared" si="668"/>
        <v>1</v>
      </c>
      <c r="GC1451" s="101">
        <f t="shared" si="669"/>
        <v>8</v>
      </c>
      <c r="GD1451" s="101">
        <f t="shared" si="670"/>
        <v>0</v>
      </c>
      <c r="GE1451" s="101">
        <f t="shared" si="671"/>
        <v>1</v>
      </c>
      <c r="GF1451" s="101">
        <f t="shared" si="672"/>
        <v>2</v>
      </c>
      <c r="GG1451" s="101">
        <f t="shared" si="673"/>
        <v>9.9699999999999997E-2</v>
      </c>
      <c r="GH1451" s="101">
        <f t="shared" si="674"/>
        <v>1</v>
      </c>
      <c r="GI1451" s="101">
        <f t="shared" si="675"/>
        <v>4</v>
      </c>
      <c r="GJ1451" s="101">
        <f t="shared" si="676"/>
        <v>0.39889999999999998</v>
      </c>
      <c r="GK1451" s="101">
        <f t="shared" si="677"/>
        <v>1</v>
      </c>
      <c r="GL1451" s="101">
        <f t="shared" si="678"/>
        <v>8</v>
      </c>
    </row>
    <row r="1452" spans="170:194" ht="16.5" x14ac:dyDescent="0.2">
      <c r="FN1452" s="101">
        <v>1447</v>
      </c>
      <c r="FO1452" s="101">
        <f t="shared" si="663"/>
        <v>6</v>
      </c>
      <c r="FP1452" s="101">
        <f t="shared" si="656"/>
        <v>19</v>
      </c>
      <c r="FQ1452" s="14">
        <f t="shared" si="657"/>
        <v>5</v>
      </c>
      <c r="FR1452" s="101" t="str">
        <f t="shared" si="664"/>
        <v>吕布专属武器-魂珠-1 6级</v>
      </c>
      <c r="FS1452" s="101">
        <f t="shared" si="665"/>
        <v>1</v>
      </c>
      <c r="FT1452" s="101">
        <f t="shared" si="666"/>
        <v>6</v>
      </c>
      <c r="FU1452" s="101" t="str">
        <f t="shared" si="658"/>
        <v>金币</v>
      </c>
      <c r="FV1452" s="139">
        <f>IF($FT1452&gt;0,IF(INDEX($EI$6:$EI$77,$FO1452)&gt;=FV$3,ROUND(INDEX(EK$6:EK$77,$FO1452)*INDEX(卡牌消耗!$B$8:$F$8,FQ1452)/5,0)*5,""),"")</f>
        <v>920</v>
      </c>
      <c r="FW1452" s="101" t="str">
        <f t="shared" si="659"/>
        <v>专属强化石1</v>
      </c>
      <c r="FX1452" s="101">
        <f t="shared" si="660"/>
        <v>6</v>
      </c>
      <c r="FY1452" s="101" t="str">
        <f t="shared" si="661"/>
        <v/>
      </c>
      <c r="FZ1452" s="101" t="str">
        <f t="shared" si="662"/>
        <v/>
      </c>
      <c r="GA1452" s="101">
        <f t="shared" si="667"/>
        <v>0.15</v>
      </c>
      <c r="GB1452" s="101">
        <f t="shared" si="668"/>
        <v>1</v>
      </c>
      <c r="GC1452" s="101">
        <f t="shared" si="669"/>
        <v>10</v>
      </c>
      <c r="GD1452" s="101">
        <f t="shared" si="670"/>
        <v>0</v>
      </c>
      <c r="GE1452" s="101">
        <f t="shared" si="671"/>
        <v>1</v>
      </c>
      <c r="GF1452" s="101">
        <f t="shared" si="672"/>
        <v>2</v>
      </c>
      <c r="GG1452" s="101">
        <f t="shared" si="673"/>
        <v>7.3599999999999999E-2</v>
      </c>
      <c r="GH1452" s="101">
        <f t="shared" si="674"/>
        <v>1</v>
      </c>
      <c r="GI1452" s="101">
        <f t="shared" si="675"/>
        <v>5</v>
      </c>
      <c r="GJ1452" s="101">
        <f t="shared" si="676"/>
        <v>0.29459999999999997</v>
      </c>
      <c r="GK1452" s="101">
        <f t="shared" si="677"/>
        <v>1</v>
      </c>
      <c r="GL1452" s="101">
        <f t="shared" si="678"/>
        <v>10</v>
      </c>
    </row>
    <row r="1453" spans="170:194" ht="16.5" x14ac:dyDescent="0.2">
      <c r="FN1453" s="101">
        <v>1448</v>
      </c>
      <c r="FO1453" s="101">
        <f t="shared" si="663"/>
        <v>7</v>
      </c>
      <c r="FP1453" s="101">
        <f t="shared" si="656"/>
        <v>19</v>
      </c>
      <c r="FQ1453" s="14">
        <f t="shared" si="657"/>
        <v>5</v>
      </c>
      <c r="FR1453" s="101" t="str">
        <f t="shared" si="664"/>
        <v>吕布专属武器-魂珠-1 7级</v>
      </c>
      <c r="FS1453" s="101">
        <f t="shared" si="665"/>
        <v>1</v>
      </c>
      <c r="FT1453" s="101">
        <f t="shared" si="666"/>
        <v>7</v>
      </c>
      <c r="FU1453" s="101" t="str">
        <f t="shared" si="658"/>
        <v>金币</v>
      </c>
      <c r="FV1453" s="139">
        <f>IF($FT1453&gt;0,IF(INDEX($EI$6:$EI$77,$FO1453)&gt;=FV$3,ROUND(INDEX(EK$6:EK$77,$FO1453)*INDEX(卡牌消耗!$B$8:$F$8,FQ1453)/5,0)*5,""),"")</f>
        <v>1070</v>
      </c>
      <c r="FW1453" s="101" t="str">
        <f t="shared" si="659"/>
        <v>专属强化石1</v>
      </c>
      <c r="FX1453" s="101">
        <f t="shared" si="660"/>
        <v>7</v>
      </c>
      <c r="FY1453" s="101" t="str">
        <f t="shared" si="661"/>
        <v/>
      </c>
      <c r="FZ1453" s="101" t="str">
        <f t="shared" si="662"/>
        <v/>
      </c>
      <c r="GA1453" s="101">
        <f t="shared" si="667"/>
        <v>0.11</v>
      </c>
      <c r="GB1453" s="101">
        <f t="shared" si="668"/>
        <v>1</v>
      </c>
      <c r="GC1453" s="101">
        <f t="shared" si="669"/>
        <v>14</v>
      </c>
      <c r="GD1453" s="101">
        <f t="shared" si="670"/>
        <v>0</v>
      </c>
      <c r="GE1453" s="101">
        <f t="shared" si="671"/>
        <v>1</v>
      </c>
      <c r="GF1453" s="101">
        <f t="shared" si="672"/>
        <v>3</v>
      </c>
      <c r="GG1453" s="101">
        <f t="shared" si="673"/>
        <v>5.3199999999999997E-2</v>
      </c>
      <c r="GH1453" s="101">
        <f t="shared" si="674"/>
        <v>1</v>
      </c>
      <c r="GI1453" s="101">
        <f t="shared" si="675"/>
        <v>7</v>
      </c>
      <c r="GJ1453" s="101">
        <f t="shared" si="676"/>
        <v>0.2127</v>
      </c>
      <c r="GK1453" s="101">
        <f t="shared" si="677"/>
        <v>1</v>
      </c>
      <c r="GL1453" s="101">
        <f t="shared" si="678"/>
        <v>14</v>
      </c>
    </row>
    <row r="1454" spans="170:194" ht="16.5" x14ac:dyDescent="0.2">
      <c r="FN1454" s="101">
        <v>1449</v>
      </c>
      <c r="FO1454" s="101">
        <f t="shared" si="663"/>
        <v>8</v>
      </c>
      <c r="FP1454" s="101">
        <f t="shared" si="656"/>
        <v>19</v>
      </c>
      <c r="FQ1454" s="14">
        <f t="shared" si="657"/>
        <v>5</v>
      </c>
      <c r="FR1454" s="101" t="str">
        <f t="shared" si="664"/>
        <v>吕布专属武器-魂珠-1 8级</v>
      </c>
      <c r="FS1454" s="101">
        <f t="shared" si="665"/>
        <v>1</v>
      </c>
      <c r="FT1454" s="101">
        <f t="shared" si="666"/>
        <v>8</v>
      </c>
      <c r="FU1454" s="101" t="str">
        <f t="shared" si="658"/>
        <v>金币</v>
      </c>
      <c r="FV1454" s="139">
        <f>IF($FT1454&gt;0,IF(INDEX($EI$6:$EI$77,$FO1454)&gt;=FV$3,ROUND(INDEX(EK$6:EK$77,$FO1454)*INDEX(卡牌消耗!$B$8:$F$8,FQ1454)/5,0)*5,""),"")</f>
        <v>1225</v>
      </c>
      <c r="FW1454" s="101" t="str">
        <f t="shared" si="659"/>
        <v>专属强化石1</v>
      </c>
      <c r="FX1454" s="101">
        <f t="shared" si="660"/>
        <v>8</v>
      </c>
      <c r="FY1454" s="101" t="str">
        <f t="shared" si="661"/>
        <v/>
      </c>
      <c r="FZ1454" s="101" t="str">
        <f t="shared" si="662"/>
        <v/>
      </c>
      <c r="GA1454" s="101">
        <f t="shared" si="667"/>
        <v>0.08</v>
      </c>
      <c r="GB1454" s="101">
        <f t="shared" si="668"/>
        <v>1</v>
      </c>
      <c r="GC1454" s="101">
        <f t="shared" si="669"/>
        <v>20</v>
      </c>
      <c r="GD1454" s="101">
        <f t="shared" si="670"/>
        <v>0</v>
      </c>
      <c r="GE1454" s="101">
        <f t="shared" si="671"/>
        <v>1</v>
      </c>
      <c r="GF1454" s="101">
        <f t="shared" si="672"/>
        <v>5</v>
      </c>
      <c r="GG1454" s="101">
        <f t="shared" si="673"/>
        <v>3.7499999999999999E-2</v>
      </c>
      <c r="GH1454" s="101">
        <f t="shared" si="674"/>
        <v>1</v>
      </c>
      <c r="GI1454" s="101">
        <f t="shared" si="675"/>
        <v>9</v>
      </c>
      <c r="GJ1454" s="101">
        <f t="shared" si="676"/>
        <v>0.1502</v>
      </c>
      <c r="GK1454" s="101">
        <f t="shared" si="677"/>
        <v>1</v>
      </c>
      <c r="GL1454" s="101">
        <f t="shared" si="678"/>
        <v>20</v>
      </c>
    </row>
    <row r="1455" spans="170:194" ht="16.5" x14ac:dyDescent="0.2">
      <c r="FN1455" s="101">
        <v>1450</v>
      </c>
      <c r="FO1455" s="101">
        <f t="shared" si="663"/>
        <v>9</v>
      </c>
      <c r="FP1455" s="101">
        <f t="shared" si="656"/>
        <v>19</v>
      </c>
      <c r="FQ1455" s="14">
        <f t="shared" si="657"/>
        <v>5</v>
      </c>
      <c r="FR1455" s="101" t="str">
        <f t="shared" si="664"/>
        <v>吕布专属武器-魂珠-1 9级</v>
      </c>
      <c r="FS1455" s="101">
        <f t="shared" si="665"/>
        <v>1</v>
      </c>
      <c r="FT1455" s="101">
        <f t="shared" si="666"/>
        <v>9</v>
      </c>
      <c r="FU1455" s="101" t="str">
        <f t="shared" si="658"/>
        <v>金币</v>
      </c>
      <c r="FV1455" s="139">
        <f>IF($FT1455&gt;0,IF(INDEX($EI$6:$EI$77,$FO1455)&gt;=FV$3,ROUND(INDEX(EK$6:EK$77,$FO1455)*INDEX(卡牌消耗!$B$8:$F$8,FQ1455)/5,0)*5,""),"")</f>
        <v>1530</v>
      </c>
      <c r="FW1455" s="101" t="str">
        <f t="shared" si="659"/>
        <v>专属强化石1</v>
      </c>
      <c r="FX1455" s="101">
        <f t="shared" si="660"/>
        <v>10</v>
      </c>
      <c r="FY1455" s="101" t="str">
        <f t="shared" si="661"/>
        <v/>
      </c>
      <c r="FZ1455" s="101" t="str">
        <f t="shared" si="662"/>
        <v/>
      </c>
      <c r="GA1455" s="101">
        <f t="shared" si="667"/>
        <v>0.06</v>
      </c>
      <c r="GB1455" s="101">
        <f t="shared" si="668"/>
        <v>1</v>
      </c>
      <c r="GC1455" s="101">
        <f t="shared" si="669"/>
        <v>26</v>
      </c>
      <c r="GD1455" s="101">
        <f t="shared" si="670"/>
        <v>0</v>
      </c>
      <c r="GE1455" s="101">
        <f t="shared" si="671"/>
        <v>1</v>
      </c>
      <c r="GF1455" s="101">
        <f t="shared" si="672"/>
        <v>6</v>
      </c>
      <c r="GG1455" s="101">
        <f t="shared" si="673"/>
        <v>2.9000000000000001E-2</v>
      </c>
      <c r="GH1455" s="101">
        <f t="shared" si="674"/>
        <v>1</v>
      </c>
      <c r="GI1455" s="101">
        <f t="shared" si="675"/>
        <v>12</v>
      </c>
      <c r="GJ1455" s="101">
        <f t="shared" si="676"/>
        <v>0.11600000000000001</v>
      </c>
      <c r="GK1455" s="101">
        <f t="shared" si="677"/>
        <v>1</v>
      </c>
      <c r="GL1455" s="101">
        <f t="shared" si="678"/>
        <v>26</v>
      </c>
    </row>
    <row r="1456" spans="170:194" ht="16.5" x14ac:dyDescent="0.2">
      <c r="FN1456" s="101">
        <v>1451</v>
      </c>
      <c r="FO1456" s="101">
        <f t="shared" si="663"/>
        <v>0</v>
      </c>
      <c r="FP1456" s="101">
        <f t="shared" si="656"/>
        <v>19</v>
      </c>
      <c r="FQ1456" s="14">
        <f t="shared" si="657"/>
        <v>5</v>
      </c>
      <c r="FR1456" s="101" t="str">
        <f t="shared" si="664"/>
        <v>吕布专属武器-魂珠-2 0级</v>
      </c>
      <c r="FS1456" s="101">
        <f t="shared" si="665"/>
        <v>2</v>
      </c>
      <c r="FT1456" s="101">
        <f t="shared" si="666"/>
        <v>0</v>
      </c>
      <c r="FU1456" s="101" t="str">
        <f t="shared" si="658"/>
        <v/>
      </c>
      <c r="FV1456" s="139" t="str">
        <f>IF($FT1456&gt;0,IF(INDEX($EI$6:$EI$77,$FO1456)&gt;=FV$3,ROUND(INDEX(EK$6:EK$77,$FO1456)*INDEX(卡牌消耗!$B$8:$F$8,FQ1456)/5,0)*5,""),"")</f>
        <v/>
      </c>
      <c r="FW1456" s="101" t="str">
        <f t="shared" si="659"/>
        <v/>
      </c>
      <c r="FX1456" s="101" t="str">
        <f t="shared" si="660"/>
        <v/>
      </c>
      <c r="FY1456" s="101" t="str">
        <f t="shared" si="661"/>
        <v/>
      </c>
      <c r="FZ1456" s="101" t="str">
        <f t="shared" si="662"/>
        <v/>
      </c>
      <c r="GA1456" s="101" t="str">
        <f t="shared" si="667"/>
        <v/>
      </c>
      <c r="GB1456" s="101" t="str">
        <f t="shared" si="668"/>
        <v/>
      </c>
      <c r="GC1456" s="101" t="str">
        <f t="shared" si="669"/>
        <v/>
      </c>
      <c r="GD1456" s="101" t="str">
        <f t="shared" si="670"/>
        <v/>
      </c>
      <c r="GE1456" s="101" t="str">
        <f t="shared" si="671"/>
        <v/>
      </c>
      <c r="GF1456" s="101" t="str">
        <f t="shared" si="672"/>
        <v/>
      </c>
      <c r="GG1456" s="101" t="str">
        <f t="shared" si="673"/>
        <v/>
      </c>
      <c r="GH1456" s="101" t="str">
        <f t="shared" si="674"/>
        <v/>
      </c>
      <c r="GI1456" s="101" t="str">
        <f t="shared" si="675"/>
        <v/>
      </c>
      <c r="GJ1456" s="101" t="str">
        <f t="shared" si="676"/>
        <v/>
      </c>
      <c r="GK1456" s="101" t="str">
        <f t="shared" si="677"/>
        <v/>
      </c>
      <c r="GL1456" s="101" t="str">
        <f t="shared" si="678"/>
        <v/>
      </c>
    </row>
    <row r="1457" spans="170:194" ht="16.5" x14ac:dyDescent="0.2">
      <c r="FN1457" s="101">
        <v>1452</v>
      </c>
      <c r="FO1457" s="101">
        <f t="shared" si="663"/>
        <v>10</v>
      </c>
      <c r="FP1457" s="101">
        <f t="shared" si="656"/>
        <v>19</v>
      </c>
      <c r="FQ1457" s="14">
        <f t="shared" si="657"/>
        <v>5</v>
      </c>
      <c r="FR1457" s="101" t="str">
        <f t="shared" si="664"/>
        <v>吕布专属武器-魂珠-2 1级</v>
      </c>
      <c r="FS1457" s="101">
        <f t="shared" si="665"/>
        <v>2</v>
      </c>
      <c r="FT1457" s="101">
        <f t="shared" si="666"/>
        <v>1</v>
      </c>
      <c r="FU1457" s="101" t="str">
        <f t="shared" si="658"/>
        <v>金币</v>
      </c>
      <c r="FV1457" s="139">
        <f>IF($FT1457&gt;0,IF(INDEX($EI$6:$EI$77,$FO1457)&gt;=FV$3,ROUND(INDEX(EK$6:EK$77,$FO1457)*INDEX(卡牌消耗!$B$8:$F$8,FQ1457)/5,0)*5,""),"")</f>
        <v>525</v>
      </c>
      <c r="FW1457" s="101" t="str">
        <f t="shared" si="659"/>
        <v>专属强化石1</v>
      </c>
      <c r="FX1457" s="101">
        <f t="shared" si="660"/>
        <v>3</v>
      </c>
      <c r="FY1457" s="101" t="str">
        <f t="shared" si="661"/>
        <v>专属强化石2</v>
      </c>
      <c r="FZ1457" s="101">
        <f t="shared" si="662"/>
        <v>1</v>
      </c>
      <c r="GA1457" s="101">
        <f t="shared" si="667"/>
        <v>0.39</v>
      </c>
      <c r="GB1457" s="101">
        <f t="shared" si="668"/>
        <v>1</v>
      </c>
      <c r="GC1457" s="101">
        <f t="shared" si="669"/>
        <v>4</v>
      </c>
      <c r="GD1457" s="101">
        <f t="shared" si="670"/>
        <v>0</v>
      </c>
      <c r="GE1457" s="101">
        <f t="shared" si="671"/>
        <v>1</v>
      </c>
      <c r="GF1457" s="101">
        <f t="shared" si="672"/>
        <v>1</v>
      </c>
      <c r="GG1457" s="101">
        <f t="shared" si="673"/>
        <v>0.19270000000000001</v>
      </c>
      <c r="GH1457" s="101">
        <f t="shared" si="674"/>
        <v>1</v>
      </c>
      <c r="GI1457" s="101">
        <f t="shared" si="675"/>
        <v>2</v>
      </c>
      <c r="GJ1457" s="101">
        <f t="shared" si="676"/>
        <v>0.77070000000000005</v>
      </c>
      <c r="GK1457" s="101">
        <f t="shared" si="677"/>
        <v>1</v>
      </c>
      <c r="GL1457" s="101">
        <f t="shared" si="678"/>
        <v>4</v>
      </c>
    </row>
    <row r="1458" spans="170:194" ht="16.5" x14ac:dyDescent="0.2">
      <c r="FN1458" s="101">
        <v>1453</v>
      </c>
      <c r="FO1458" s="101">
        <f t="shared" si="663"/>
        <v>11</v>
      </c>
      <c r="FP1458" s="101">
        <f t="shared" si="656"/>
        <v>19</v>
      </c>
      <c r="FQ1458" s="14">
        <f t="shared" si="657"/>
        <v>5</v>
      </c>
      <c r="FR1458" s="101" t="str">
        <f t="shared" si="664"/>
        <v>吕布专属武器-魂珠-2 2级</v>
      </c>
      <c r="FS1458" s="101">
        <f t="shared" si="665"/>
        <v>2</v>
      </c>
      <c r="FT1458" s="101">
        <f t="shared" si="666"/>
        <v>2</v>
      </c>
      <c r="FU1458" s="101" t="str">
        <f t="shared" si="658"/>
        <v>金币</v>
      </c>
      <c r="FV1458" s="139">
        <f>IF($FT1458&gt;0,IF(INDEX($EI$6:$EI$77,$FO1458)&gt;=FV$3,ROUND(INDEX(EK$6:EK$77,$FO1458)*INDEX(卡牌消耗!$B$8:$F$8,FQ1458)/5,0)*5,""),"")</f>
        <v>390</v>
      </c>
      <c r="FW1458" s="101" t="str">
        <f t="shared" si="659"/>
        <v>专属强化石1</v>
      </c>
      <c r="FX1458" s="101">
        <f t="shared" si="660"/>
        <v>3</v>
      </c>
      <c r="FY1458" s="101" t="str">
        <f t="shared" si="661"/>
        <v>专属强化石2</v>
      </c>
      <c r="FZ1458" s="101">
        <f t="shared" si="662"/>
        <v>1</v>
      </c>
      <c r="GA1458" s="101">
        <f t="shared" si="667"/>
        <v>0.19</v>
      </c>
      <c r="GB1458" s="101">
        <f t="shared" si="668"/>
        <v>1</v>
      </c>
      <c r="GC1458" s="101">
        <f t="shared" si="669"/>
        <v>8</v>
      </c>
      <c r="GD1458" s="101">
        <f t="shared" si="670"/>
        <v>0</v>
      </c>
      <c r="GE1458" s="101">
        <f t="shared" si="671"/>
        <v>1</v>
      </c>
      <c r="GF1458" s="101">
        <f t="shared" si="672"/>
        <v>2</v>
      </c>
      <c r="GG1458" s="101">
        <f t="shared" si="673"/>
        <v>9.6299999999999997E-2</v>
      </c>
      <c r="GH1458" s="101">
        <f t="shared" si="674"/>
        <v>1</v>
      </c>
      <c r="GI1458" s="101">
        <f t="shared" si="675"/>
        <v>4</v>
      </c>
      <c r="GJ1458" s="101">
        <f t="shared" si="676"/>
        <v>0.38529999999999998</v>
      </c>
      <c r="GK1458" s="101">
        <f t="shared" si="677"/>
        <v>1</v>
      </c>
      <c r="GL1458" s="101">
        <f t="shared" si="678"/>
        <v>8</v>
      </c>
    </row>
    <row r="1459" spans="170:194" ht="16.5" x14ac:dyDescent="0.2">
      <c r="FN1459" s="101">
        <v>1454</v>
      </c>
      <c r="FO1459" s="101">
        <f t="shared" si="663"/>
        <v>12</v>
      </c>
      <c r="FP1459" s="101">
        <f t="shared" si="656"/>
        <v>19</v>
      </c>
      <c r="FQ1459" s="14">
        <f t="shared" si="657"/>
        <v>5</v>
      </c>
      <c r="FR1459" s="101" t="str">
        <f t="shared" si="664"/>
        <v>吕布专属武器-魂珠-2 3级</v>
      </c>
      <c r="FS1459" s="101">
        <f t="shared" si="665"/>
        <v>2</v>
      </c>
      <c r="FT1459" s="101">
        <f t="shared" si="666"/>
        <v>3</v>
      </c>
      <c r="FU1459" s="101" t="str">
        <f t="shared" si="658"/>
        <v>金币</v>
      </c>
      <c r="FV1459" s="139">
        <f>IF($FT1459&gt;0,IF(INDEX($EI$6:$EI$77,$FO1459)&gt;=FV$3,ROUND(INDEX(EK$6:EK$77,$FO1459)*INDEX(卡牌消耗!$B$8:$F$8,FQ1459)/5,0)*5,""),"")</f>
        <v>870</v>
      </c>
      <c r="FW1459" s="101" t="str">
        <f t="shared" si="659"/>
        <v>专属强化石1</v>
      </c>
      <c r="FX1459" s="101">
        <f t="shared" si="660"/>
        <v>6</v>
      </c>
      <c r="FY1459" s="101" t="str">
        <f t="shared" si="661"/>
        <v>专属强化石2</v>
      </c>
      <c r="FZ1459" s="101">
        <f t="shared" si="662"/>
        <v>2</v>
      </c>
      <c r="GA1459" s="101">
        <f t="shared" si="667"/>
        <v>0.26</v>
      </c>
      <c r="GB1459" s="101">
        <f t="shared" si="668"/>
        <v>1</v>
      </c>
      <c r="GC1459" s="101">
        <f t="shared" si="669"/>
        <v>6</v>
      </c>
      <c r="GD1459" s="101">
        <f t="shared" si="670"/>
        <v>0</v>
      </c>
      <c r="GE1459" s="101">
        <f t="shared" si="671"/>
        <v>1</v>
      </c>
      <c r="GF1459" s="101">
        <f t="shared" si="672"/>
        <v>1</v>
      </c>
      <c r="GG1459" s="101">
        <f t="shared" si="673"/>
        <v>0.12839999999999999</v>
      </c>
      <c r="GH1459" s="101">
        <f t="shared" si="674"/>
        <v>1</v>
      </c>
      <c r="GI1459" s="101">
        <f t="shared" si="675"/>
        <v>3</v>
      </c>
      <c r="GJ1459" s="101">
        <f t="shared" si="676"/>
        <v>0.51380000000000003</v>
      </c>
      <c r="GK1459" s="101">
        <f t="shared" si="677"/>
        <v>1</v>
      </c>
      <c r="GL1459" s="101">
        <f t="shared" si="678"/>
        <v>6</v>
      </c>
    </row>
    <row r="1460" spans="170:194" ht="16.5" x14ac:dyDescent="0.2">
      <c r="FN1460" s="101">
        <v>1455</v>
      </c>
      <c r="FO1460" s="101">
        <f t="shared" si="663"/>
        <v>13</v>
      </c>
      <c r="FP1460" s="101">
        <f t="shared" si="656"/>
        <v>19</v>
      </c>
      <c r="FQ1460" s="14">
        <f t="shared" si="657"/>
        <v>5</v>
      </c>
      <c r="FR1460" s="101" t="str">
        <f t="shared" si="664"/>
        <v>吕布专属武器-魂珠-2 4级</v>
      </c>
      <c r="FS1460" s="101">
        <f t="shared" si="665"/>
        <v>2</v>
      </c>
      <c r="FT1460" s="101">
        <f t="shared" si="666"/>
        <v>4</v>
      </c>
      <c r="FU1460" s="101" t="str">
        <f t="shared" si="658"/>
        <v>金币</v>
      </c>
      <c r="FV1460" s="139">
        <f>IF($FT1460&gt;0,IF(INDEX($EI$6:$EI$77,$FO1460)&gt;=FV$3,ROUND(INDEX(EK$6:EK$77,$FO1460)*INDEX(卡牌消耗!$B$8:$F$8,FQ1460)/5,0)*5,""),"")</f>
        <v>835</v>
      </c>
      <c r="FW1460" s="101" t="str">
        <f t="shared" si="659"/>
        <v>专属强化石1</v>
      </c>
      <c r="FX1460" s="101">
        <f t="shared" si="660"/>
        <v>6</v>
      </c>
      <c r="FY1460" s="101" t="str">
        <f t="shared" si="661"/>
        <v>专属强化石2</v>
      </c>
      <c r="FZ1460" s="101">
        <f t="shared" si="662"/>
        <v>2</v>
      </c>
      <c r="GA1460" s="101">
        <f t="shared" si="667"/>
        <v>0.15</v>
      </c>
      <c r="GB1460" s="101">
        <f t="shared" si="668"/>
        <v>1</v>
      </c>
      <c r="GC1460" s="101">
        <f t="shared" si="669"/>
        <v>10</v>
      </c>
      <c r="GD1460" s="101">
        <f t="shared" si="670"/>
        <v>0</v>
      </c>
      <c r="GE1460" s="101">
        <f t="shared" si="671"/>
        <v>1</v>
      </c>
      <c r="GF1460" s="101">
        <f t="shared" si="672"/>
        <v>2</v>
      </c>
      <c r="GG1460" s="101">
        <f t="shared" si="673"/>
        <v>7.7100000000000002E-2</v>
      </c>
      <c r="GH1460" s="101">
        <f t="shared" si="674"/>
        <v>1</v>
      </c>
      <c r="GI1460" s="101">
        <f t="shared" si="675"/>
        <v>5</v>
      </c>
      <c r="GJ1460" s="101">
        <f t="shared" si="676"/>
        <v>0.30830000000000002</v>
      </c>
      <c r="GK1460" s="101">
        <f t="shared" si="677"/>
        <v>1</v>
      </c>
      <c r="GL1460" s="101">
        <f t="shared" si="678"/>
        <v>10</v>
      </c>
    </row>
    <row r="1461" spans="170:194" ht="16.5" x14ac:dyDescent="0.2">
      <c r="FN1461" s="101">
        <v>1456</v>
      </c>
      <c r="FO1461" s="101">
        <f t="shared" si="663"/>
        <v>14</v>
      </c>
      <c r="FP1461" s="101">
        <f t="shared" si="656"/>
        <v>19</v>
      </c>
      <c r="FQ1461" s="14">
        <f t="shared" si="657"/>
        <v>5</v>
      </c>
      <c r="FR1461" s="101" t="str">
        <f t="shared" si="664"/>
        <v>吕布专属武器-魂珠-2 5级</v>
      </c>
      <c r="FS1461" s="101">
        <f t="shared" si="665"/>
        <v>2</v>
      </c>
      <c r="FT1461" s="101">
        <f t="shared" si="666"/>
        <v>5</v>
      </c>
      <c r="FU1461" s="101" t="str">
        <f t="shared" si="658"/>
        <v>金币</v>
      </c>
      <c r="FV1461" s="139">
        <f>IF($FT1461&gt;0,IF(INDEX($EI$6:$EI$77,$FO1461)&gt;=FV$3,ROUND(INDEX(EK$6:EK$77,$FO1461)*INDEX(卡牌消耗!$B$8:$F$8,FQ1461)/5,0)*5,""),"")</f>
        <v>1275</v>
      </c>
      <c r="FW1461" s="101" t="str">
        <f t="shared" si="659"/>
        <v>专属强化石1</v>
      </c>
      <c r="FX1461" s="101">
        <f t="shared" si="660"/>
        <v>9</v>
      </c>
      <c r="FY1461" s="101" t="str">
        <f t="shared" si="661"/>
        <v>专属强化石2</v>
      </c>
      <c r="FZ1461" s="101">
        <f t="shared" si="662"/>
        <v>3</v>
      </c>
      <c r="GA1461" s="101">
        <f t="shared" si="667"/>
        <v>0.14000000000000001</v>
      </c>
      <c r="GB1461" s="101">
        <f t="shared" si="668"/>
        <v>1</v>
      </c>
      <c r="GC1461" s="101">
        <f t="shared" si="669"/>
        <v>10</v>
      </c>
      <c r="GD1461" s="101">
        <f t="shared" si="670"/>
        <v>0</v>
      </c>
      <c r="GE1461" s="101">
        <f t="shared" si="671"/>
        <v>1</v>
      </c>
      <c r="GF1461" s="101">
        <f t="shared" si="672"/>
        <v>2</v>
      </c>
      <c r="GG1461" s="101">
        <f t="shared" si="673"/>
        <v>7.22E-2</v>
      </c>
      <c r="GH1461" s="101">
        <f t="shared" si="674"/>
        <v>1</v>
      </c>
      <c r="GI1461" s="101">
        <f t="shared" si="675"/>
        <v>5</v>
      </c>
      <c r="GJ1461" s="101">
        <f t="shared" si="676"/>
        <v>0.28899999999999998</v>
      </c>
      <c r="GK1461" s="101">
        <f t="shared" si="677"/>
        <v>1</v>
      </c>
      <c r="GL1461" s="101">
        <f t="shared" si="678"/>
        <v>10</v>
      </c>
    </row>
    <row r="1462" spans="170:194" ht="16.5" x14ac:dyDescent="0.2">
      <c r="FN1462" s="101">
        <v>1457</v>
      </c>
      <c r="FO1462" s="101">
        <f t="shared" si="663"/>
        <v>15</v>
      </c>
      <c r="FP1462" s="101">
        <f t="shared" si="656"/>
        <v>19</v>
      </c>
      <c r="FQ1462" s="14">
        <f t="shared" si="657"/>
        <v>5</v>
      </c>
      <c r="FR1462" s="101" t="str">
        <f t="shared" si="664"/>
        <v>吕布专属武器-魂珠-2 6级</v>
      </c>
      <c r="FS1462" s="101">
        <f t="shared" si="665"/>
        <v>2</v>
      </c>
      <c r="FT1462" s="101">
        <f t="shared" si="666"/>
        <v>6</v>
      </c>
      <c r="FU1462" s="101" t="str">
        <f t="shared" si="658"/>
        <v>金币</v>
      </c>
      <c r="FV1462" s="139">
        <f>IF($FT1462&gt;0,IF(INDEX($EI$6:$EI$77,$FO1462)&gt;=FV$3,ROUND(INDEX(EK$6:EK$77,$FO1462)*INDEX(卡牌消耗!$B$8:$F$8,FQ1462)/5,0)*5,""),"")</f>
        <v>1690</v>
      </c>
      <c r="FW1462" s="101" t="str">
        <f t="shared" si="659"/>
        <v>专属强化石1</v>
      </c>
      <c r="FX1462" s="101">
        <f t="shared" si="660"/>
        <v>12</v>
      </c>
      <c r="FY1462" s="101" t="str">
        <f t="shared" si="661"/>
        <v>专属强化石2</v>
      </c>
      <c r="FZ1462" s="101">
        <f t="shared" si="662"/>
        <v>4</v>
      </c>
      <c r="GA1462" s="101">
        <f t="shared" si="667"/>
        <v>0.12</v>
      </c>
      <c r="GB1462" s="101">
        <f t="shared" si="668"/>
        <v>1</v>
      </c>
      <c r="GC1462" s="101">
        <f t="shared" si="669"/>
        <v>13</v>
      </c>
      <c r="GD1462" s="101">
        <f t="shared" si="670"/>
        <v>0</v>
      </c>
      <c r="GE1462" s="101">
        <f t="shared" si="671"/>
        <v>1</v>
      </c>
      <c r="GF1462" s="101">
        <f t="shared" si="672"/>
        <v>3</v>
      </c>
      <c r="GG1462" s="101">
        <f t="shared" si="673"/>
        <v>5.9299999999999999E-2</v>
      </c>
      <c r="GH1462" s="101">
        <f t="shared" si="674"/>
        <v>1</v>
      </c>
      <c r="GI1462" s="101">
        <f t="shared" si="675"/>
        <v>6</v>
      </c>
      <c r="GJ1462" s="101">
        <f t="shared" si="676"/>
        <v>0.23710000000000001</v>
      </c>
      <c r="GK1462" s="101">
        <f t="shared" si="677"/>
        <v>1</v>
      </c>
      <c r="GL1462" s="101">
        <f t="shared" si="678"/>
        <v>13</v>
      </c>
    </row>
    <row r="1463" spans="170:194" ht="16.5" x14ac:dyDescent="0.2">
      <c r="FN1463" s="101">
        <v>1458</v>
      </c>
      <c r="FO1463" s="101">
        <f t="shared" si="663"/>
        <v>16</v>
      </c>
      <c r="FP1463" s="101">
        <f t="shared" si="656"/>
        <v>19</v>
      </c>
      <c r="FQ1463" s="14">
        <f t="shared" si="657"/>
        <v>5</v>
      </c>
      <c r="FR1463" s="101" t="str">
        <f t="shared" si="664"/>
        <v>吕布专属武器-魂珠-2 7级</v>
      </c>
      <c r="FS1463" s="101">
        <f t="shared" si="665"/>
        <v>2</v>
      </c>
      <c r="FT1463" s="101">
        <f t="shared" si="666"/>
        <v>7</v>
      </c>
      <c r="FU1463" s="101" t="str">
        <f t="shared" si="658"/>
        <v>金币</v>
      </c>
      <c r="FV1463" s="139">
        <f>IF($FT1463&gt;0,IF(INDEX($EI$6:$EI$77,$FO1463)&gt;=FV$3,ROUND(INDEX(EK$6:EK$77,$FO1463)*INDEX(卡牌消耗!$B$8:$F$8,FQ1463)/5,0)*5,""),"")</f>
        <v>2120</v>
      </c>
      <c r="FW1463" s="101" t="str">
        <f t="shared" si="659"/>
        <v>专属强化石1</v>
      </c>
      <c r="FX1463" s="101">
        <f t="shared" si="660"/>
        <v>15</v>
      </c>
      <c r="FY1463" s="101" t="str">
        <f t="shared" si="661"/>
        <v>专属强化石2</v>
      </c>
      <c r="FZ1463" s="101">
        <f t="shared" si="662"/>
        <v>5</v>
      </c>
      <c r="GA1463" s="101">
        <f t="shared" si="667"/>
        <v>0.09</v>
      </c>
      <c r="GB1463" s="101">
        <f t="shared" si="668"/>
        <v>1</v>
      </c>
      <c r="GC1463" s="101">
        <f t="shared" si="669"/>
        <v>16</v>
      </c>
      <c r="GD1463" s="101">
        <f t="shared" si="670"/>
        <v>0</v>
      </c>
      <c r="GE1463" s="101">
        <f t="shared" si="671"/>
        <v>1</v>
      </c>
      <c r="GF1463" s="101">
        <f t="shared" si="672"/>
        <v>4</v>
      </c>
      <c r="GG1463" s="101">
        <f t="shared" si="673"/>
        <v>4.5900000000000003E-2</v>
      </c>
      <c r="GH1463" s="101">
        <f t="shared" si="674"/>
        <v>1</v>
      </c>
      <c r="GI1463" s="101">
        <f t="shared" si="675"/>
        <v>8</v>
      </c>
      <c r="GJ1463" s="101">
        <f t="shared" si="676"/>
        <v>0.1835</v>
      </c>
      <c r="GK1463" s="101">
        <f t="shared" si="677"/>
        <v>1</v>
      </c>
      <c r="GL1463" s="101">
        <f t="shared" si="678"/>
        <v>16</v>
      </c>
    </row>
    <row r="1464" spans="170:194" ht="16.5" x14ac:dyDescent="0.2">
      <c r="FN1464" s="101">
        <v>1459</v>
      </c>
      <c r="FO1464" s="101">
        <f t="shared" si="663"/>
        <v>17</v>
      </c>
      <c r="FP1464" s="101">
        <f t="shared" si="656"/>
        <v>19</v>
      </c>
      <c r="FQ1464" s="14">
        <f t="shared" si="657"/>
        <v>5</v>
      </c>
      <c r="FR1464" s="101" t="str">
        <f t="shared" si="664"/>
        <v>吕布专属武器-魂珠-2 8级</v>
      </c>
      <c r="FS1464" s="101">
        <f t="shared" si="665"/>
        <v>2</v>
      </c>
      <c r="FT1464" s="101">
        <f t="shared" si="666"/>
        <v>8</v>
      </c>
      <c r="FU1464" s="101" t="str">
        <f t="shared" si="658"/>
        <v>金币</v>
      </c>
      <c r="FV1464" s="139">
        <f>IF($FT1464&gt;0,IF(INDEX($EI$6:$EI$77,$FO1464)&gt;=FV$3,ROUND(INDEX(EK$6:EK$77,$FO1464)*INDEX(卡牌消耗!$B$8:$F$8,FQ1464)/5,0)*5,""),"")</f>
        <v>2540</v>
      </c>
      <c r="FW1464" s="101" t="str">
        <f t="shared" si="659"/>
        <v>专属强化石1</v>
      </c>
      <c r="FX1464" s="101">
        <f t="shared" si="660"/>
        <v>18</v>
      </c>
      <c r="FY1464" s="101" t="str">
        <f t="shared" si="661"/>
        <v>专属强化石2</v>
      </c>
      <c r="FZ1464" s="101">
        <f t="shared" si="662"/>
        <v>6</v>
      </c>
      <c r="GA1464" s="101">
        <f t="shared" si="667"/>
        <v>7.0000000000000007E-2</v>
      </c>
      <c r="GB1464" s="101">
        <f t="shared" si="668"/>
        <v>1</v>
      </c>
      <c r="GC1464" s="101">
        <f t="shared" si="669"/>
        <v>22</v>
      </c>
      <c r="GD1464" s="101">
        <f t="shared" si="670"/>
        <v>0</v>
      </c>
      <c r="GE1464" s="101">
        <f t="shared" si="671"/>
        <v>1</v>
      </c>
      <c r="GF1464" s="101">
        <f t="shared" si="672"/>
        <v>5</v>
      </c>
      <c r="GG1464" s="101">
        <f t="shared" si="673"/>
        <v>3.4000000000000002E-2</v>
      </c>
      <c r="GH1464" s="101">
        <f t="shared" si="674"/>
        <v>1</v>
      </c>
      <c r="GI1464" s="101">
        <f t="shared" si="675"/>
        <v>10</v>
      </c>
      <c r="GJ1464" s="101">
        <f t="shared" si="676"/>
        <v>0.13600000000000001</v>
      </c>
      <c r="GK1464" s="101">
        <f t="shared" si="677"/>
        <v>1</v>
      </c>
      <c r="GL1464" s="101">
        <f t="shared" si="678"/>
        <v>22</v>
      </c>
    </row>
    <row r="1465" spans="170:194" ht="16.5" x14ac:dyDescent="0.2">
      <c r="FN1465" s="101">
        <v>1460</v>
      </c>
      <c r="FO1465" s="101">
        <f t="shared" si="663"/>
        <v>18</v>
      </c>
      <c r="FP1465" s="101">
        <f t="shared" si="656"/>
        <v>19</v>
      </c>
      <c r="FQ1465" s="14">
        <f t="shared" si="657"/>
        <v>5</v>
      </c>
      <c r="FR1465" s="101" t="str">
        <f t="shared" si="664"/>
        <v>吕布专属武器-魂珠-2 9级</v>
      </c>
      <c r="FS1465" s="101">
        <f t="shared" si="665"/>
        <v>2</v>
      </c>
      <c r="FT1465" s="101">
        <f t="shared" si="666"/>
        <v>9</v>
      </c>
      <c r="FU1465" s="101" t="str">
        <f t="shared" si="658"/>
        <v>金币</v>
      </c>
      <c r="FV1465" s="139">
        <f>IF($FT1465&gt;0,IF(INDEX($EI$6:$EI$77,$FO1465)&gt;=FV$3,ROUND(INDEX(EK$6:EK$77,$FO1465)*INDEX(卡牌消耗!$B$8:$F$8,FQ1465)/5,0)*5,""),"")</f>
        <v>3385</v>
      </c>
      <c r="FW1465" s="101" t="str">
        <f t="shared" si="659"/>
        <v>专属强化石1</v>
      </c>
      <c r="FX1465" s="101">
        <f t="shared" si="660"/>
        <v>24</v>
      </c>
      <c r="FY1465" s="101" t="str">
        <f t="shared" si="661"/>
        <v>专属强化石2</v>
      </c>
      <c r="FZ1465" s="101">
        <f t="shared" si="662"/>
        <v>8</v>
      </c>
      <c r="GA1465" s="101">
        <f t="shared" si="667"/>
        <v>0.06</v>
      </c>
      <c r="GB1465" s="101">
        <f t="shared" si="668"/>
        <v>1</v>
      </c>
      <c r="GC1465" s="101">
        <f t="shared" si="669"/>
        <v>27</v>
      </c>
      <c r="GD1465" s="101">
        <f t="shared" si="670"/>
        <v>0</v>
      </c>
      <c r="GE1465" s="101">
        <f t="shared" si="671"/>
        <v>1</v>
      </c>
      <c r="GF1465" s="101">
        <f t="shared" si="672"/>
        <v>6</v>
      </c>
      <c r="GG1465" s="101">
        <f t="shared" si="673"/>
        <v>2.8000000000000001E-2</v>
      </c>
      <c r="GH1465" s="101">
        <f t="shared" si="674"/>
        <v>1</v>
      </c>
      <c r="GI1465" s="101">
        <f t="shared" si="675"/>
        <v>12</v>
      </c>
      <c r="GJ1465" s="101">
        <f t="shared" si="676"/>
        <v>0.11210000000000001</v>
      </c>
      <c r="GK1465" s="101">
        <f t="shared" si="677"/>
        <v>1</v>
      </c>
      <c r="GL1465" s="101">
        <f t="shared" si="678"/>
        <v>27</v>
      </c>
    </row>
    <row r="1466" spans="170:194" ht="16.5" x14ac:dyDescent="0.2">
      <c r="FN1466" s="101">
        <v>1461</v>
      </c>
      <c r="FO1466" s="101">
        <f t="shared" si="663"/>
        <v>0</v>
      </c>
      <c r="FP1466" s="101">
        <f t="shared" si="656"/>
        <v>19</v>
      </c>
      <c r="FQ1466" s="14">
        <f t="shared" si="657"/>
        <v>5</v>
      </c>
      <c r="FR1466" s="101" t="str">
        <f t="shared" si="664"/>
        <v>吕布专属武器-魂珠-3 0级</v>
      </c>
      <c r="FS1466" s="101">
        <f t="shared" si="665"/>
        <v>3</v>
      </c>
      <c r="FT1466" s="101">
        <f t="shared" si="666"/>
        <v>0</v>
      </c>
      <c r="FU1466" s="101" t="str">
        <f t="shared" si="658"/>
        <v/>
      </c>
      <c r="FV1466" s="139" t="str">
        <f>IF($FT1466&gt;0,IF(INDEX($EI$6:$EI$77,$FO1466)&gt;=FV$3,ROUND(INDEX(EK$6:EK$77,$FO1466)*INDEX(卡牌消耗!$B$8:$F$8,FQ1466)/5,0)*5,""),"")</f>
        <v/>
      </c>
      <c r="FW1466" s="101" t="str">
        <f t="shared" si="659"/>
        <v/>
      </c>
      <c r="FX1466" s="101" t="str">
        <f t="shared" si="660"/>
        <v/>
      </c>
      <c r="FY1466" s="101" t="str">
        <f t="shared" si="661"/>
        <v/>
      </c>
      <c r="FZ1466" s="101" t="str">
        <f t="shared" si="662"/>
        <v/>
      </c>
      <c r="GA1466" s="101" t="str">
        <f t="shared" si="667"/>
        <v/>
      </c>
      <c r="GB1466" s="101" t="str">
        <f t="shared" si="668"/>
        <v/>
      </c>
      <c r="GC1466" s="101" t="str">
        <f t="shared" si="669"/>
        <v/>
      </c>
      <c r="GD1466" s="101" t="str">
        <f t="shared" si="670"/>
        <v/>
      </c>
      <c r="GE1466" s="101" t="str">
        <f t="shared" si="671"/>
        <v/>
      </c>
      <c r="GF1466" s="101" t="str">
        <f t="shared" si="672"/>
        <v/>
      </c>
      <c r="GG1466" s="101" t="str">
        <f t="shared" si="673"/>
        <v/>
      </c>
      <c r="GH1466" s="101" t="str">
        <f t="shared" si="674"/>
        <v/>
      </c>
      <c r="GI1466" s="101" t="str">
        <f t="shared" si="675"/>
        <v/>
      </c>
      <c r="GJ1466" s="101" t="str">
        <f t="shared" si="676"/>
        <v/>
      </c>
      <c r="GK1466" s="101" t="str">
        <f t="shared" si="677"/>
        <v/>
      </c>
      <c r="GL1466" s="101" t="str">
        <f t="shared" si="678"/>
        <v/>
      </c>
    </row>
    <row r="1467" spans="170:194" ht="16.5" x14ac:dyDescent="0.2">
      <c r="FN1467" s="101">
        <v>1462</v>
      </c>
      <c r="FO1467" s="101">
        <f t="shared" si="663"/>
        <v>19</v>
      </c>
      <c r="FP1467" s="101">
        <f t="shared" si="656"/>
        <v>19</v>
      </c>
      <c r="FQ1467" s="14">
        <f t="shared" si="657"/>
        <v>5</v>
      </c>
      <c r="FR1467" s="101" t="str">
        <f t="shared" si="664"/>
        <v>吕布专属武器-魂珠-3 1级</v>
      </c>
      <c r="FS1467" s="101">
        <f t="shared" si="665"/>
        <v>3</v>
      </c>
      <c r="FT1467" s="101">
        <f t="shared" si="666"/>
        <v>1</v>
      </c>
      <c r="FU1467" s="101" t="str">
        <f t="shared" si="658"/>
        <v>金币</v>
      </c>
      <c r="FV1467" s="139">
        <f>IF($FT1467&gt;0,IF(INDEX($EI$6:$EI$77,$FO1467)&gt;=FV$3,ROUND(INDEX(EK$6:EK$77,$FO1467)*INDEX(卡牌消耗!$B$8:$F$8,FQ1467)/5,0)*5,""),"")</f>
        <v>1090</v>
      </c>
      <c r="FW1467" s="101" t="str">
        <f t="shared" si="659"/>
        <v>专属强化石1</v>
      </c>
      <c r="FX1467" s="101">
        <f t="shared" si="660"/>
        <v>4</v>
      </c>
      <c r="FY1467" s="101" t="str">
        <f t="shared" si="661"/>
        <v>专属强化石2</v>
      </c>
      <c r="FZ1467" s="101">
        <f t="shared" si="662"/>
        <v>2</v>
      </c>
      <c r="GA1467" s="101">
        <f t="shared" si="667"/>
        <v>0.31</v>
      </c>
      <c r="GB1467" s="101">
        <f t="shared" si="668"/>
        <v>1</v>
      </c>
      <c r="GC1467" s="101">
        <f t="shared" si="669"/>
        <v>5</v>
      </c>
      <c r="GD1467" s="101">
        <f t="shared" si="670"/>
        <v>0</v>
      </c>
      <c r="GE1467" s="101">
        <f t="shared" si="671"/>
        <v>1</v>
      </c>
      <c r="GF1467" s="101">
        <f t="shared" si="672"/>
        <v>1</v>
      </c>
      <c r="GG1467" s="101">
        <f t="shared" si="673"/>
        <v>0.15409999999999999</v>
      </c>
      <c r="GH1467" s="101">
        <f t="shared" si="674"/>
        <v>1</v>
      </c>
      <c r="GI1467" s="101">
        <f t="shared" si="675"/>
        <v>2</v>
      </c>
      <c r="GJ1467" s="101">
        <f t="shared" si="676"/>
        <v>0.61650000000000005</v>
      </c>
      <c r="GK1467" s="101">
        <f t="shared" si="677"/>
        <v>1</v>
      </c>
      <c r="GL1467" s="101">
        <f t="shared" si="678"/>
        <v>5</v>
      </c>
    </row>
    <row r="1468" spans="170:194" ht="16.5" x14ac:dyDescent="0.2">
      <c r="FN1468" s="101">
        <v>1463</v>
      </c>
      <c r="FO1468" s="101">
        <f t="shared" si="663"/>
        <v>20</v>
      </c>
      <c r="FP1468" s="101">
        <f t="shared" si="656"/>
        <v>19</v>
      </c>
      <c r="FQ1468" s="14">
        <f t="shared" si="657"/>
        <v>5</v>
      </c>
      <c r="FR1468" s="101" t="str">
        <f t="shared" si="664"/>
        <v>吕布专属武器-魂珠-3 2级</v>
      </c>
      <c r="FS1468" s="101">
        <f t="shared" si="665"/>
        <v>3</v>
      </c>
      <c r="FT1468" s="101">
        <f t="shared" si="666"/>
        <v>2</v>
      </c>
      <c r="FU1468" s="101" t="str">
        <f t="shared" si="658"/>
        <v>金币</v>
      </c>
      <c r="FV1468" s="139">
        <f>IF($FT1468&gt;0,IF(INDEX($EI$6:$EI$77,$FO1468)&gt;=FV$3,ROUND(INDEX(EK$6:EK$77,$FO1468)*INDEX(卡牌消耗!$B$8:$F$8,FQ1468)/5,0)*5,""),"")</f>
        <v>820</v>
      </c>
      <c r="FW1468" s="101" t="str">
        <f t="shared" si="659"/>
        <v>专属强化石1</v>
      </c>
      <c r="FX1468" s="101">
        <f t="shared" si="660"/>
        <v>4</v>
      </c>
      <c r="FY1468" s="101" t="str">
        <f t="shared" si="661"/>
        <v>专属强化石2</v>
      </c>
      <c r="FZ1468" s="101">
        <f t="shared" si="662"/>
        <v>2</v>
      </c>
      <c r="GA1468" s="101">
        <f t="shared" si="667"/>
        <v>0.15</v>
      </c>
      <c r="GB1468" s="101">
        <f t="shared" si="668"/>
        <v>1</v>
      </c>
      <c r="GC1468" s="101">
        <f t="shared" si="669"/>
        <v>10</v>
      </c>
      <c r="GD1468" s="101">
        <f t="shared" si="670"/>
        <v>0</v>
      </c>
      <c r="GE1468" s="101">
        <f t="shared" si="671"/>
        <v>1</v>
      </c>
      <c r="GF1468" s="101">
        <f t="shared" si="672"/>
        <v>2</v>
      </c>
      <c r="GG1468" s="101">
        <f t="shared" si="673"/>
        <v>7.7100000000000002E-2</v>
      </c>
      <c r="GH1468" s="101">
        <f t="shared" si="674"/>
        <v>1</v>
      </c>
      <c r="GI1468" s="101">
        <f t="shared" si="675"/>
        <v>5</v>
      </c>
      <c r="GJ1468" s="101">
        <f t="shared" si="676"/>
        <v>0.30830000000000002</v>
      </c>
      <c r="GK1468" s="101">
        <f t="shared" si="677"/>
        <v>1</v>
      </c>
      <c r="GL1468" s="101">
        <f t="shared" si="678"/>
        <v>10</v>
      </c>
    </row>
    <row r="1469" spans="170:194" ht="16.5" x14ac:dyDescent="0.2">
      <c r="FN1469" s="101">
        <v>1464</v>
      </c>
      <c r="FO1469" s="101">
        <f t="shared" si="663"/>
        <v>21</v>
      </c>
      <c r="FP1469" s="101">
        <f t="shared" si="656"/>
        <v>19</v>
      </c>
      <c r="FQ1469" s="14">
        <f t="shared" si="657"/>
        <v>5</v>
      </c>
      <c r="FR1469" s="101" t="str">
        <f t="shared" si="664"/>
        <v>吕布专属武器-魂珠-3 3级</v>
      </c>
      <c r="FS1469" s="101">
        <f t="shared" si="665"/>
        <v>3</v>
      </c>
      <c r="FT1469" s="101">
        <f t="shared" si="666"/>
        <v>3</v>
      </c>
      <c r="FU1469" s="101" t="str">
        <f t="shared" si="658"/>
        <v>金币</v>
      </c>
      <c r="FV1469" s="139">
        <f>IF($FT1469&gt;0,IF(INDEX($EI$6:$EI$77,$FO1469)&gt;=FV$3,ROUND(INDEX(EK$6:EK$77,$FO1469)*INDEX(卡牌消耗!$B$8:$F$8,FQ1469)/5,0)*5,""),"")</f>
        <v>1365</v>
      </c>
      <c r="FW1469" s="101" t="str">
        <f t="shared" si="659"/>
        <v>专属强化石1</v>
      </c>
      <c r="FX1469" s="101">
        <f t="shared" si="660"/>
        <v>6</v>
      </c>
      <c r="FY1469" s="101" t="str">
        <f t="shared" si="661"/>
        <v>专属强化石2</v>
      </c>
      <c r="FZ1469" s="101">
        <f t="shared" si="662"/>
        <v>3</v>
      </c>
      <c r="GA1469" s="101">
        <f t="shared" si="667"/>
        <v>0.15</v>
      </c>
      <c r="GB1469" s="101">
        <f t="shared" si="668"/>
        <v>1</v>
      </c>
      <c r="GC1469" s="101">
        <f t="shared" si="669"/>
        <v>10</v>
      </c>
      <c r="GD1469" s="101">
        <f t="shared" si="670"/>
        <v>0</v>
      </c>
      <c r="GE1469" s="101">
        <f t="shared" si="671"/>
        <v>1</v>
      </c>
      <c r="GF1469" s="101">
        <f t="shared" si="672"/>
        <v>2</v>
      </c>
      <c r="GG1469" s="101">
        <f t="shared" si="673"/>
        <v>7.7100000000000002E-2</v>
      </c>
      <c r="GH1469" s="101">
        <f t="shared" si="674"/>
        <v>1</v>
      </c>
      <c r="GI1469" s="101">
        <f t="shared" si="675"/>
        <v>5</v>
      </c>
      <c r="GJ1469" s="101">
        <f t="shared" si="676"/>
        <v>0.30830000000000002</v>
      </c>
      <c r="GK1469" s="101">
        <f t="shared" si="677"/>
        <v>1</v>
      </c>
      <c r="GL1469" s="101">
        <f t="shared" si="678"/>
        <v>10</v>
      </c>
    </row>
    <row r="1470" spans="170:194" ht="16.5" x14ac:dyDescent="0.2">
      <c r="FN1470" s="101">
        <v>1465</v>
      </c>
      <c r="FO1470" s="101">
        <f t="shared" si="663"/>
        <v>22</v>
      </c>
      <c r="FP1470" s="101">
        <f t="shared" si="656"/>
        <v>19</v>
      </c>
      <c r="FQ1470" s="14">
        <f t="shared" si="657"/>
        <v>5</v>
      </c>
      <c r="FR1470" s="101" t="str">
        <f t="shared" si="664"/>
        <v>吕布专属武器-魂珠-3 4级</v>
      </c>
      <c r="FS1470" s="101">
        <f t="shared" si="665"/>
        <v>3</v>
      </c>
      <c r="FT1470" s="101">
        <f t="shared" si="666"/>
        <v>4</v>
      </c>
      <c r="FU1470" s="101" t="str">
        <f t="shared" si="658"/>
        <v>金币</v>
      </c>
      <c r="FV1470" s="139">
        <f>IF($FT1470&gt;0,IF(INDEX($EI$6:$EI$77,$FO1470)&gt;=FV$3,ROUND(INDEX(EK$6:EK$77,$FO1470)*INDEX(卡牌消耗!$B$8:$F$8,FQ1470)/5,0)*5,""),"")</f>
        <v>1310</v>
      </c>
      <c r="FW1470" s="101" t="str">
        <f t="shared" si="659"/>
        <v>专属强化石1</v>
      </c>
      <c r="FX1470" s="101">
        <f t="shared" si="660"/>
        <v>6</v>
      </c>
      <c r="FY1470" s="101" t="str">
        <f t="shared" si="661"/>
        <v>专属强化石2</v>
      </c>
      <c r="FZ1470" s="101">
        <f t="shared" si="662"/>
        <v>3</v>
      </c>
      <c r="GA1470" s="101">
        <f t="shared" si="667"/>
        <v>0.09</v>
      </c>
      <c r="GB1470" s="101">
        <f t="shared" si="668"/>
        <v>1</v>
      </c>
      <c r="GC1470" s="101">
        <f t="shared" si="669"/>
        <v>16</v>
      </c>
      <c r="GD1470" s="101">
        <f t="shared" si="670"/>
        <v>0</v>
      </c>
      <c r="GE1470" s="101">
        <f t="shared" si="671"/>
        <v>1</v>
      </c>
      <c r="GF1470" s="101">
        <f t="shared" si="672"/>
        <v>4</v>
      </c>
      <c r="GG1470" s="101">
        <f t="shared" si="673"/>
        <v>4.6199999999999998E-2</v>
      </c>
      <c r="GH1470" s="101">
        <f t="shared" si="674"/>
        <v>1</v>
      </c>
      <c r="GI1470" s="101">
        <f t="shared" si="675"/>
        <v>8</v>
      </c>
      <c r="GJ1470" s="101">
        <f t="shared" si="676"/>
        <v>0.185</v>
      </c>
      <c r="GK1470" s="101">
        <f t="shared" si="677"/>
        <v>1</v>
      </c>
      <c r="GL1470" s="101">
        <f t="shared" si="678"/>
        <v>16</v>
      </c>
    </row>
    <row r="1471" spans="170:194" ht="16.5" x14ac:dyDescent="0.2">
      <c r="FN1471" s="101">
        <v>1466</v>
      </c>
      <c r="FO1471" s="101">
        <f t="shared" si="663"/>
        <v>23</v>
      </c>
      <c r="FP1471" s="101">
        <f t="shared" si="656"/>
        <v>19</v>
      </c>
      <c r="FQ1471" s="14">
        <f t="shared" si="657"/>
        <v>5</v>
      </c>
      <c r="FR1471" s="101" t="str">
        <f t="shared" si="664"/>
        <v>吕布专属武器-魂珠-3 5级</v>
      </c>
      <c r="FS1471" s="101">
        <f t="shared" si="665"/>
        <v>3</v>
      </c>
      <c r="FT1471" s="101">
        <f t="shared" si="666"/>
        <v>5</v>
      </c>
      <c r="FU1471" s="101" t="str">
        <f t="shared" si="658"/>
        <v>金币</v>
      </c>
      <c r="FV1471" s="139">
        <f>IF($FT1471&gt;0,IF(INDEX($EI$6:$EI$77,$FO1471)&gt;=FV$3,ROUND(INDEX(EK$6:EK$77,$FO1471)*INDEX(卡牌消耗!$B$8:$F$8,FQ1471)/5,0)*5,""),"")</f>
        <v>1770</v>
      </c>
      <c r="FW1471" s="101" t="str">
        <f t="shared" si="659"/>
        <v>专属强化石1</v>
      </c>
      <c r="FX1471" s="101">
        <f t="shared" si="660"/>
        <v>8</v>
      </c>
      <c r="FY1471" s="101" t="str">
        <f t="shared" si="661"/>
        <v>专属强化石2</v>
      </c>
      <c r="FZ1471" s="101">
        <f t="shared" si="662"/>
        <v>4</v>
      </c>
      <c r="GA1471" s="101">
        <f t="shared" si="667"/>
        <v>0.08</v>
      </c>
      <c r="GB1471" s="101">
        <f t="shared" si="668"/>
        <v>1</v>
      </c>
      <c r="GC1471" s="101">
        <f t="shared" si="669"/>
        <v>19</v>
      </c>
      <c r="GD1471" s="101">
        <f t="shared" si="670"/>
        <v>0</v>
      </c>
      <c r="GE1471" s="101">
        <f t="shared" si="671"/>
        <v>1</v>
      </c>
      <c r="GF1471" s="101">
        <f t="shared" si="672"/>
        <v>5</v>
      </c>
      <c r="GG1471" s="101">
        <f t="shared" si="673"/>
        <v>3.85E-2</v>
      </c>
      <c r="GH1471" s="101">
        <f t="shared" si="674"/>
        <v>1</v>
      </c>
      <c r="GI1471" s="101">
        <f t="shared" si="675"/>
        <v>9</v>
      </c>
      <c r="GJ1471" s="101">
        <f t="shared" si="676"/>
        <v>0.15409999999999999</v>
      </c>
      <c r="GK1471" s="101">
        <f t="shared" si="677"/>
        <v>1</v>
      </c>
      <c r="GL1471" s="101">
        <f t="shared" si="678"/>
        <v>19</v>
      </c>
    </row>
    <row r="1472" spans="170:194" ht="16.5" x14ac:dyDescent="0.2">
      <c r="FN1472" s="101">
        <v>1467</v>
      </c>
      <c r="FO1472" s="101">
        <f t="shared" si="663"/>
        <v>24</v>
      </c>
      <c r="FP1472" s="101">
        <f t="shared" si="656"/>
        <v>19</v>
      </c>
      <c r="FQ1472" s="14">
        <f t="shared" si="657"/>
        <v>5</v>
      </c>
      <c r="FR1472" s="101" t="str">
        <f t="shared" si="664"/>
        <v>吕布专属武器-魂珠-3 6级</v>
      </c>
      <c r="FS1472" s="101">
        <f t="shared" si="665"/>
        <v>3</v>
      </c>
      <c r="FT1472" s="101">
        <f t="shared" si="666"/>
        <v>6</v>
      </c>
      <c r="FU1472" s="101" t="str">
        <f t="shared" si="658"/>
        <v>金币</v>
      </c>
      <c r="FV1472" s="139">
        <f>IF($FT1472&gt;0,IF(INDEX($EI$6:$EI$77,$FO1472)&gt;=FV$3,ROUND(INDEX(EK$6:EK$77,$FO1472)*INDEX(卡牌消耗!$B$8:$F$8,FQ1472)/5,0)*5,""),"")</f>
        <v>2200</v>
      </c>
      <c r="FW1472" s="101" t="str">
        <f t="shared" si="659"/>
        <v>专属强化石1</v>
      </c>
      <c r="FX1472" s="101">
        <f t="shared" si="660"/>
        <v>10</v>
      </c>
      <c r="FY1472" s="101" t="str">
        <f t="shared" si="661"/>
        <v>专属强化石2</v>
      </c>
      <c r="FZ1472" s="101">
        <f t="shared" si="662"/>
        <v>5</v>
      </c>
      <c r="GA1472" s="101">
        <f t="shared" si="667"/>
        <v>0.06</v>
      </c>
      <c r="GB1472" s="101">
        <f t="shared" si="668"/>
        <v>1</v>
      </c>
      <c r="GC1472" s="101">
        <f t="shared" si="669"/>
        <v>25</v>
      </c>
      <c r="GD1472" s="101">
        <f t="shared" si="670"/>
        <v>0</v>
      </c>
      <c r="GE1472" s="101">
        <f t="shared" si="671"/>
        <v>1</v>
      </c>
      <c r="GF1472" s="101">
        <f t="shared" si="672"/>
        <v>6</v>
      </c>
      <c r="GG1472" s="101">
        <f t="shared" si="673"/>
        <v>2.9600000000000001E-2</v>
      </c>
      <c r="GH1472" s="101">
        <f t="shared" si="674"/>
        <v>1</v>
      </c>
      <c r="GI1472" s="101">
        <f t="shared" si="675"/>
        <v>12</v>
      </c>
      <c r="GJ1472" s="101">
        <f t="shared" si="676"/>
        <v>0.1186</v>
      </c>
      <c r="GK1472" s="101">
        <f t="shared" si="677"/>
        <v>1</v>
      </c>
      <c r="GL1472" s="101">
        <f t="shared" si="678"/>
        <v>25</v>
      </c>
    </row>
    <row r="1473" spans="170:194" ht="16.5" x14ac:dyDescent="0.2">
      <c r="FN1473" s="101">
        <v>1468</v>
      </c>
      <c r="FO1473" s="101">
        <f t="shared" si="663"/>
        <v>25</v>
      </c>
      <c r="FP1473" s="101">
        <f t="shared" si="656"/>
        <v>19</v>
      </c>
      <c r="FQ1473" s="14">
        <f t="shared" si="657"/>
        <v>5</v>
      </c>
      <c r="FR1473" s="101" t="str">
        <f t="shared" si="664"/>
        <v>吕布专属武器-魂珠-3 7级</v>
      </c>
      <c r="FS1473" s="101">
        <f t="shared" si="665"/>
        <v>3</v>
      </c>
      <c r="FT1473" s="101">
        <f t="shared" si="666"/>
        <v>7</v>
      </c>
      <c r="FU1473" s="101" t="str">
        <f t="shared" si="658"/>
        <v>金币</v>
      </c>
      <c r="FV1473" s="139">
        <f>IF($FT1473&gt;0,IF(INDEX($EI$6:$EI$77,$FO1473)&gt;=FV$3,ROUND(INDEX(EK$6:EK$77,$FO1473)*INDEX(卡牌消耗!$B$8:$F$8,FQ1473)/5,0)*5,""),"")</f>
        <v>2650</v>
      </c>
      <c r="FW1473" s="101" t="str">
        <f t="shared" si="659"/>
        <v>专属强化石1</v>
      </c>
      <c r="FX1473" s="101">
        <f t="shared" si="660"/>
        <v>12</v>
      </c>
      <c r="FY1473" s="101" t="str">
        <f t="shared" si="661"/>
        <v>专属强化石2</v>
      </c>
      <c r="FZ1473" s="101">
        <f t="shared" si="662"/>
        <v>6</v>
      </c>
      <c r="GA1473" s="101">
        <f t="shared" si="667"/>
        <v>0.04</v>
      </c>
      <c r="GB1473" s="101">
        <f t="shared" si="668"/>
        <v>1</v>
      </c>
      <c r="GC1473" s="101">
        <f t="shared" si="669"/>
        <v>34</v>
      </c>
      <c r="GD1473" s="101">
        <f t="shared" si="670"/>
        <v>0</v>
      </c>
      <c r="GE1473" s="101">
        <f t="shared" si="671"/>
        <v>1</v>
      </c>
      <c r="GF1473" s="101">
        <f t="shared" si="672"/>
        <v>8</v>
      </c>
      <c r="GG1473" s="101">
        <f t="shared" si="673"/>
        <v>2.1999999999999999E-2</v>
      </c>
      <c r="GH1473" s="101">
        <f t="shared" si="674"/>
        <v>1</v>
      </c>
      <c r="GI1473" s="101">
        <f t="shared" si="675"/>
        <v>16</v>
      </c>
      <c r="GJ1473" s="101">
        <f t="shared" si="676"/>
        <v>8.8099999999999998E-2</v>
      </c>
      <c r="GK1473" s="101">
        <f t="shared" si="677"/>
        <v>1</v>
      </c>
      <c r="GL1473" s="101">
        <f t="shared" si="678"/>
        <v>34</v>
      </c>
    </row>
    <row r="1474" spans="170:194" ht="16.5" x14ac:dyDescent="0.2">
      <c r="FN1474" s="101">
        <v>1469</v>
      </c>
      <c r="FO1474" s="101">
        <f t="shared" si="663"/>
        <v>26</v>
      </c>
      <c r="FP1474" s="101">
        <f t="shared" si="656"/>
        <v>19</v>
      </c>
      <c r="FQ1474" s="14">
        <f t="shared" si="657"/>
        <v>5</v>
      </c>
      <c r="FR1474" s="101" t="str">
        <f t="shared" si="664"/>
        <v>吕布专属武器-魂珠-3 8级</v>
      </c>
      <c r="FS1474" s="101">
        <f t="shared" si="665"/>
        <v>3</v>
      </c>
      <c r="FT1474" s="101">
        <f t="shared" si="666"/>
        <v>8</v>
      </c>
      <c r="FU1474" s="101" t="str">
        <f t="shared" si="658"/>
        <v>金币</v>
      </c>
      <c r="FV1474" s="139">
        <f>IF($FT1474&gt;0,IF(INDEX($EI$6:$EI$77,$FO1474)&gt;=FV$3,ROUND(INDEX(EK$6:EK$77,$FO1474)*INDEX(卡牌消耗!$B$8:$F$8,FQ1474)/5,0)*5,""),"")</f>
        <v>3530</v>
      </c>
      <c r="FW1474" s="101" t="str">
        <f t="shared" si="659"/>
        <v>专属强化石1</v>
      </c>
      <c r="FX1474" s="101">
        <f t="shared" si="660"/>
        <v>16</v>
      </c>
      <c r="FY1474" s="101" t="str">
        <f t="shared" si="661"/>
        <v>专属强化石2</v>
      </c>
      <c r="FZ1474" s="101">
        <f t="shared" si="662"/>
        <v>8</v>
      </c>
      <c r="GA1474" s="101">
        <f t="shared" si="667"/>
        <v>0.04</v>
      </c>
      <c r="GB1474" s="101">
        <f t="shared" si="668"/>
        <v>1</v>
      </c>
      <c r="GC1474" s="101">
        <f t="shared" si="669"/>
        <v>41</v>
      </c>
      <c r="GD1474" s="101">
        <f t="shared" si="670"/>
        <v>0</v>
      </c>
      <c r="GE1474" s="101">
        <f t="shared" si="671"/>
        <v>1</v>
      </c>
      <c r="GF1474" s="101">
        <f t="shared" si="672"/>
        <v>10</v>
      </c>
      <c r="GG1474" s="101">
        <f t="shared" si="673"/>
        <v>1.8100000000000002E-2</v>
      </c>
      <c r="GH1474" s="101">
        <f t="shared" si="674"/>
        <v>1</v>
      </c>
      <c r="GI1474" s="101">
        <f t="shared" si="675"/>
        <v>19</v>
      </c>
      <c r="GJ1474" s="101">
        <f t="shared" si="676"/>
        <v>7.2499999999999995E-2</v>
      </c>
      <c r="GK1474" s="101">
        <f t="shared" si="677"/>
        <v>1</v>
      </c>
      <c r="GL1474" s="101">
        <f t="shared" si="678"/>
        <v>41</v>
      </c>
    </row>
    <row r="1475" spans="170:194" ht="16.5" x14ac:dyDescent="0.2">
      <c r="FN1475" s="101">
        <v>1470</v>
      </c>
      <c r="FO1475" s="101">
        <f t="shared" si="663"/>
        <v>27</v>
      </c>
      <c r="FP1475" s="101">
        <f t="shared" si="656"/>
        <v>19</v>
      </c>
      <c r="FQ1475" s="14">
        <f t="shared" si="657"/>
        <v>5</v>
      </c>
      <c r="FR1475" s="101" t="str">
        <f t="shared" si="664"/>
        <v>吕布专属武器-魂珠-3 9级</v>
      </c>
      <c r="FS1475" s="101">
        <f t="shared" si="665"/>
        <v>3</v>
      </c>
      <c r="FT1475" s="101">
        <f t="shared" si="666"/>
        <v>9</v>
      </c>
      <c r="FU1475" s="101" t="str">
        <f t="shared" si="658"/>
        <v>金币</v>
      </c>
      <c r="FV1475" s="139">
        <f>IF($FT1475&gt;0,IF(INDEX($EI$6:$EI$77,$FO1475)&gt;=FV$3,ROUND(INDEX(EK$6:EK$77,$FO1475)*INDEX(卡牌消耗!$B$8:$F$8,FQ1475)/5,0)*5,""),"")</f>
        <v>4415</v>
      </c>
      <c r="FW1475" s="101" t="str">
        <f t="shared" si="659"/>
        <v>专属强化石1</v>
      </c>
      <c r="FX1475" s="101">
        <f t="shared" si="660"/>
        <v>20</v>
      </c>
      <c r="FY1475" s="101" t="str">
        <f t="shared" si="661"/>
        <v>专属强化石2</v>
      </c>
      <c r="FZ1475" s="101">
        <f t="shared" si="662"/>
        <v>10</v>
      </c>
      <c r="GA1475" s="101">
        <f t="shared" si="667"/>
        <v>0.03</v>
      </c>
      <c r="GB1475" s="101">
        <f t="shared" si="668"/>
        <v>1</v>
      </c>
      <c r="GC1475" s="101">
        <f t="shared" si="669"/>
        <v>54</v>
      </c>
      <c r="GD1475" s="101">
        <f t="shared" si="670"/>
        <v>0</v>
      </c>
      <c r="GE1475" s="101">
        <f t="shared" si="671"/>
        <v>1</v>
      </c>
      <c r="GF1475" s="101">
        <f t="shared" si="672"/>
        <v>12</v>
      </c>
      <c r="GG1475" s="101">
        <f t="shared" si="673"/>
        <v>1.4E-2</v>
      </c>
      <c r="GH1475" s="101">
        <f t="shared" si="674"/>
        <v>1</v>
      </c>
      <c r="GI1475" s="101">
        <f t="shared" si="675"/>
        <v>25</v>
      </c>
      <c r="GJ1475" s="101">
        <f t="shared" si="676"/>
        <v>5.6000000000000001E-2</v>
      </c>
      <c r="GK1475" s="101">
        <f t="shared" si="677"/>
        <v>1</v>
      </c>
      <c r="GL1475" s="101">
        <f t="shared" si="678"/>
        <v>54</v>
      </c>
    </row>
    <row r="1476" spans="170:194" ht="16.5" x14ac:dyDescent="0.2">
      <c r="FN1476" s="101">
        <v>1471</v>
      </c>
      <c r="FO1476" s="101">
        <f t="shared" si="663"/>
        <v>0</v>
      </c>
      <c r="FP1476" s="101">
        <f t="shared" si="656"/>
        <v>19</v>
      </c>
      <c r="FQ1476" s="14">
        <f t="shared" si="657"/>
        <v>5</v>
      </c>
      <c r="FR1476" s="101" t="str">
        <f t="shared" si="664"/>
        <v>吕布专属武器-魂珠-4 0级</v>
      </c>
      <c r="FS1476" s="101">
        <f t="shared" si="665"/>
        <v>4</v>
      </c>
      <c r="FT1476" s="101">
        <f t="shared" si="666"/>
        <v>0</v>
      </c>
      <c r="FU1476" s="101" t="str">
        <f t="shared" si="658"/>
        <v/>
      </c>
      <c r="FV1476" s="139" t="str">
        <f>IF($FT1476&gt;0,IF(INDEX($EI$6:$EI$77,$FO1476)&gt;=FV$3,ROUND(INDEX(EK$6:EK$77,$FO1476)*INDEX(卡牌消耗!$B$8:$F$8,FQ1476)/5,0)*5,""),"")</f>
        <v/>
      </c>
      <c r="FW1476" s="101" t="str">
        <f t="shared" si="659"/>
        <v/>
      </c>
      <c r="FX1476" s="101" t="str">
        <f t="shared" si="660"/>
        <v/>
      </c>
      <c r="FY1476" s="101" t="str">
        <f t="shared" si="661"/>
        <v/>
      </c>
      <c r="FZ1476" s="101" t="str">
        <f t="shared" si="662"/>
        <v/>
      </c>
      <c r="GA1476" s="101" t="str">
        <f t="shared" si="667"/>
        <v/>
      </c>
      <c r="GB1476" s="101" t="str">
        <f t="shared" si="668"/>
        <v/>
      </c>
      <c r="GC1476" s="101" t="str">
        <f t="shared" si="669"/>
        <v/>
      </c>
      <c r="GD1476" s="101" t="str">
        <f t="shared" si="670"/>
        <v/>
      </c>
      <c r="GE1476" s="101" t="str">
        <f t="shared" si="671"/>
        <v/>
      </c>
      <c r="GF1476" s="101" t="str">
        <f t="shared" si="672"/>
        <v/>
      </c>
      <c r="GG1476" s="101" t="str">
        <f t="shared" si="673"/>
        <v/>
      </c>
      <c r="GH1476" s="101" t="str">
        <f t="shared" si="674"/>
        <v/>
      </c>
      <c r="GI1476" s="101" t="str">
        <f t="shared" si="675"/>
        <v/>
      </c>
      <c r="GJ1476" s="101" t="str">
        <f t="shared" si="676"/>
        <v/>
      </c>
      <c r="GK1476" s="101" t="str">
        <f t="shared" si="677"/>
        <v/>
      </c>
      <c r="GL1476" s="101" t="str">
        <f t="shared" si="678"/>
        <v/>
      </c>
    </row>
    <row r="1477" spans="170:194" ht="16.5" x14ac:dyDescent="0.2">
      <c r="FN1477" s="101">
        <v>1472</v>
      </c>
      <c r="FO1477" s="101">
        <f t="shared" si="663"/>
        <v>28</v>
      </c>
      <c r="FP1477" s="101">
        <f t="shared" si="656"/>
        <v>19</v>
      </c>
      <c r="FQ1477" s="14">
        <f t="shared" si="657"/>
        <v>5</v>
      </c>
      <c r="FR1477" s="101" t="str">
        <f t="shared" si="664"/>
        <v>吕布专属武器-魂珠-4 1级</v>
      </c>
      <c r="FS1477" s="101">
        <f t="shared" si="665"/>
        <v>4</v>
      </c>
      <c r="FT1477" s="101">
        <f t="shared" si="666"/>
        <v>1</v>
      </c>
      <c r="FU1477" s="101" t="str">
        <f t="shared" si="658"/>
        <v>金币</v>
      </c>
      <c r="FV1477" s="139">
        <f>IF($FT1477&gt;0,IF(INDEX($EI$6:$EI$77,$FO1477)&gt;=FV$3,ROUND(INDEX(EK$6:EK$77,$FO1477)*INDEX(卡牌消耗!$B$8:$F$8,FQ1477)/5,0)*5,""),"")</f>
        <v>1460</v>
      </c>
      <c r="FW1477" s="101" t="str">
        <f t="shared" si="659"/>
        <v>专属强化石2</v>
      </c>
      <c r="FX1477" s="101">
        <f t="shared" si="660"/>
        <v>3</v>
      </c>
      <c r="FY1477" s="101" t="str">
        <f t="shared" si="661"/>
        <v>专属强化石3</v>
      </c>
      <c r="FZ1477" s="101">
        <f t="shared" si="662"/>
        <v>1</v>
      </c>
      <c r="GA1477" s="101">
        <f t="shared" si="667"/>
        <v>0.2</v>
      </c>
      <c r="GB1477" s="101">
        <f t="shared" si="668"/>
        <v>1</v>
      </c>
      <c r="GC1477" s="101">
        <f t="shared" si="669"/>
        <v>7</v>
      </c>
      <c r="GD1477" s="101">
        <f t="shared" si="670"/>
        <v>0</v>
      </c>
      <c r="GE1477" s="101">
        <f t="shared" si="671"/>
        <v>1</v>
      </c>
      <c r="GF1477" s="101">
        <f t="shared" si="672"/>
        <v>2</v>
      </c>
      <c r="GG1477" s="101">
        <f t="shared" si="673"/>
        <v>0.1012</v>
      </c>
      <c r="GH1477" s="101">
        <f t="shared" si="674"/>
        <v>1</v>
      </c>
      <c r="GI1477" s="101">
        <f t="shared" si="675"/>
        <v>3</v>
      </c>
      <c r="GJ1477" s="101">
        <f t="shared" si="676"/>
        <v>0.40479999999999999</v>
      </c>
      <c r="GK1477" s="101">
        <f t="shared" si="677"/>
        <v>1</v>
      </c>
      <c r="GL1477" s="101">
        <f t="shared" si="678"/>
        <v>7</v>
      </c>
    </row>
    <row r="1478" spans="170:194" ht="16.5" x14ac:dyDescent="0.2">
      <c r="FN1478" s="101">
        <v>1473</v>
      </c>
      <c r="FO1478" s="101">
        <f t="shared" si="663"/>
        <v>29</v>
      </c>
      <c r="FP1478" s="101">
        <f t="shared" si="656"/>
        <v>19</v>
      </c>
      <c r="FQ1478" s="14">
        <f t="shared" si="657"/>
        <v>5</v>
      </c>
      <c r="FR1478" s="101" t="str">
        <f t="shared" si="664"/>
        <v>吕布专属武器-魂珠-4 2级</v>
      </c>
      <c r="FS1478" s="101">
        <f t="shared" si="665"/>
        <v>4</v>
      </c>
      <c r="FT1478" s="101">
        <f t="shared" si="666"/>
        <v>2</v>
      </c>
      <c r="FU1478" s="101" t="str">
        <f t="shared" si="658"/>
        <v>金币</v>
      </c>
      <c r="FV1478" s="139">
        <f>IF($FT1478&gt;0,IF(INDEX($EI$6:$EI$77,$FO1478)&gt;=FV$3,ROUND(INDEX(EK$6:EK$77,$FO1478)*INDEX(卡牌消耗!$B$8:$F$8,FQ1478)/5,0)*5,""),"")</f>
        <v>1095</v>
      </c>
      <c r="FW1478" s="101" t="str">
        <f t="shared" si="659"/>
        <v>专属强化石2</v>
      </c>
      <c r="FX1478" s="101">
        <f t="shared" si="660"/>
        <v>3</v>
      </c>
      <c r="FY1478" s="101" t="str">
        <f t="shared" si="661"/>
        <v>专属强化石3</v>
      </c>
      <c r="FZ1478" s="101">
        <f t="shared" si="662"/>
        <v>1</v>
      </c>
      <c r="GA1478" s="101">
        <f t="shared" si="667"/>
        <v>0.1</v>
      </c>
      <c r="GB1478" s="101">
        <f t="shared" si="668"/>
        <v>1</v>
      </c>
      <c r="GC1478" s="101">
        <f t="shared" si="669"/>
        <v>15</v>
      </c>
      <c r="GD1478" s="101">
        <f t="shared" si="670"/>
        <v>0</v>
      </c>
      <c r="GE1478" s="101">
        <f t="shared" si="671"/>
        <v>1</v>
      </c>
      <c r="GF1478" s="101">
        <f t="shared" si="672"/>
        <v>3</v>
      </c>
      <c r="GG1478" s="101">
        <f t="shared" si="673"/>
        <v>5.0599999999999999E-2</v>
      </c>
      <c r="GH1478" s="101">
        <f t="shared" si="674"/>
        <v>1</v>
      </c>
      <c r="GI1478" s="101">
        <f t="shared" si="675"/>
        <v>7</v>
      </c>
      <c r="GJ1478" s="101">
        <f t="shared" si="676"/>
        <v>0.2024</v>
      </c>
      <c r="GK1478" s="101">
        <f t="shared" si="677"/>
        <v>1</v>
      </c>
      <c r="GL1478" s="101">
        <f t="shared" si="678"/>
        <v>15</v>
      </c>
    </row>
    <row r="1479" spans="170:194" ht="16.5" x14ac:dyDescent="0.2">
      <c r="FN1479" s="101">
        <v>1474</v>
      </c>
      <c r="FO1479" s="101">
        <f t="shared" si="663"/>
        <v>30</v>
      </c>
      <c r="FP1479" s="101">
        <f t="shared" ref="FP1479:FP1542" si="679">INT((FN1479-1)/80+1)</f>
        <v>19</v>
      </c>
      <c r="FQ1479" s="14">
        <f t="shared" ref="FQ1479:FQ1542" si="680">INDEX($FJ$6:$FJ$26,FP1479)</f>
        <v>5</v>
      </c>
      <c r="FR1479" s="101" t="str">
        <f t="shared" si="664"/>
        <v>吕布专属武器-魂珠-4 3级</v>
      </c>
      <c r="FS1479" s="101">
        <f t="shared" si="665"/>
        <v>4</v>
      </c>
      <c r="FT1479" s="101">
        <f t="shared" si="666"/>
        <v>3</v>
      </c>
      <c r="FU1479" s="101" t="str">
        <f t="shared" ref="FU1479:FU1542" si="681">IF($FT1479&gt;0,IF(INDEX($EI$6:$EI$77,$FO1479)&gt;=FU$3,INDEX(EJ$6:EJ$77,$FO1479),""),"")</f>
        <v>金币</v>
      </c>
      <c r="FV1479" s="139">
        <f>IF($FT1479&gt;0,IF(INDEX($EI$6:$EI$77,$FO1479)&gt;=FV$3,ROUND(INDEX(EK$6:EK$77,$FO1479)*INDEX(卡牌消耗!$B$8:$F$8,FQ1479)/5,0)*5,""),"")</f>
        <v>1215</v>
      </c>
      <c r="FW1479" s="101" t="str">
        <f t="shared" ref="FW1479:FW1542" si="682">IF($FT1479&gt;0,IF(INDEX($EI$6:$EI$77,$FO1479)&gt;=FW$3,INDEX(EL$6:EL$77,$FO1479),""),"")</f>
        <v>专属强化石2</v>
      </c>
      <c r="FX1479" s="101">
        <f t="shared" ref="FX1479:FX1542" si="683">IF($FT1479&gt;0,IF(INDEX($EI$6:$EI$77,$FO1479)&gt;=FX$3,INDEX(EM$6:EM$77,$FO1479),""),"")</f>
        <v>3</v>
      </c>
      <c r="FY1479" s="101" t="str">
        <f t="shared" ref="FY1479:FY1542" si="684">IF($FT1479&gt;0,IF(INDEX($EI$6:$EI$77,$FO1479)&gt;=FY$3,INDEX(EN$6:EN$77,$FO1479),""),"")</f>
        <v>专属强化石3</v>
      </c>
      <c r="FZ1479" s="101">
        <f t="shared" ref="FZ1479:FZ1542" si="685">IF($FT1479&gt;0,IF(INDEX($EI$6:$EI$77,$FO1479)&gt;=FZ$3,INDEX(EO$6:EO$77,$FO1479),""),"")</f>
        <v>1</v>
      </c>
      <c r="GA1479" s="101">
        <f t="shared" si="667"/>
        <v>7.0000000000000007E-2</v>
      </c>
      <c r="GB1479" s="101">
        <f t="shared" si="668"/>
        <v>1</v>
      </c>
      <c r="GC1479" s="101">
        <f t="shared" si="669"/>
        <v>22</v>
      </c>
      <c r="GD1479" s="101">
        <f t="shared" si="670"/>
        <v>0</v>
      </c>
      <c r="GE1479" s="101">
        <f t="shared" si="671"/>
        <v>1</v>
      </c>
      <c r="GF1479" s="101">
        <f t="shared" si="672"/>
        <v>5</v>
      </c>
      <c r="GG1479" s="101">
        <f t="shared" si="673"/>
        <v>3.3700000000000001E-2</v>
      </c>
      <c r="GH1479" s="101">
        <f t="shared" si="674"/>
        <v>1</v>
      </c>
      <c r="GI1479" s="101">
        <f t="shared" si="675"/>
        <v>10</v>
      </c>
      <c r="GJ1479" s="101">
        <f t="shared" si="676"/>
        <v>0.13489999999999999</v>
      </c>
      <c r="GK1479" s="101">
        <f t="shared" si="677"/>
        <v>1</v>
      </c>
      <c r="GL1479" s="101">
        <f t="shared" si="678"/>
        <v>22</v>
      </c>
    </row>
    <row r="1480" spans="170:194" ht="16.5" x14ac:dyDescent="0.2">
      <c r="FN1480" s="101">
        <v>1475</v>
      </c>
      <c r="FO1480" s="101">
        <f t="shared" si="663"/>
        <v>31</v>
      </c>
      <c r="FP1480" s="101">
        <f t="shared" si="679"/>
        <v>19</v>
      </c>
      <c r="FQ1480" s="14">
        <f t="shared" si="680"/>
        <v>5</v>
      </c>
      <c r="FR1480" s="101" t="str">
        <f t="shared" si="664"/>
        <v>吕布专属武器-魂珠-4 4级</v>
      </c>
      <c r="FS1480" s="101">
        <f t="shared" si="665"/>
        <v>4</v>
      </c>
      <c r="FT1480" s="101">
        <f t="shared" si="666"/>
        <v>4</v>
      </c>
      <c r="FU1480" s="101" t="str">
        <f t="shared" si="681"/>
        <v>金币</v>
      </c>
      <c r="FV1480" s="139">
        <f>IF($FT1480&gt;0,IF(INDEX($EI$6:$EI$77,$FO1480)&gt;=FV$3,ROUND(INDEX(EK$6:EK$77,$FO1480)*INDEX(卡牌消耗!$B$8:$F$8,FQ1480)/5,0)*5,""),"")</f>
        <v>2335</v>
      </c>
      <c r="FW1480" s="101" t="str">
        <f t="shared" si="682"/>
        <v>专属强化石2</v>
      </c>
      <c r="FX1480" s="101">
        <f t="shared" si="683"/>
        <v>5</v>
      </c>
      <c r="FY1480" s="101" t="str">
        <f t="shared" si="684"/>
        <v>专属强化石3</v>
      </c>
      <c r="FZ1480" s="101">
        <f t="shared" si="685"/>
        <v>2</v>
      </c>
      <c r="GA1480" s="101">
        <f t="shared" si="667"/>
        <v>0.08</v>
      </c>
      <c r="GB1480" s="101">
        <f t="shared" si="668"/>
        <v>1</v>
      </c>
      <c r="GC1480" s="101">
        <f t="shared" si="669"/>
        <v>19</v>
      </c>
      <c r="GD1480" s="101">
        <f t="shared" si="670"/>
        <v>0</v>
      </c>
      <c r="GE1480" s="101">
        <f t="shared" si="671"/>
        <v>1</v>
      </c>
      <c r="GF1480" s="101">
        <f t="shared" si="672"/>
        <v>4</v>
      </c>
      <c r="GG1480" s="101">
        <f t="shared" si="673"/>
        <v>4.0500000000000001E-2</v>
      </c>
      <c r="GH1480" s="101">
        <f t="shared" si="674"/>
        <v>1</v>
      </c>
      <c r="GI1480" s="101">
        <f t="shared" si="675"/>
        <v>9</v>
      </c>
      <c r="GJ1480" s="101">
        <f t="shared" si="676"/>
        <v>0.16189999999999999</v>
      </c>
      <c r="GK1480" s="101">
        <f t="shared" si="677"/>
        <v>1</v>
      </c>
      <c r="GL1480" s="101">
        <f t="shared" si="678"/>
        <v>19</v>
      </c>
    </row>
    <row r="1481" spans="170:194" ht="16.5" x14ac:dyDescent="0.2">
      <c r="FN1481" s="101">
        <v>1476</v>
      </c>
      <c r="FO1481" s="101">
        <f t="shared" si="663"/>
        <v>32</v>
      </c>
      <c r="FP1481" s="101">
        <f t="shared" si="679"/>
        <v>19</v>
      </c>
      <c r="FQ1481" s="14">
        <f t="shared" si="680"/>
        <v>5</v>
      </c>
      <c r="FR1481" s="101" t="str">
        <f t="shared" si="664"/>
        <v>吕布专属武器-魂珠-4 5级</v>
      </c>
      <c r="FS1481" s="101">
        <f t="shared" si="665"/>
        <v>4</v>
      </c>
      <c r="FT1481" s="101">
        <f t="shared" si="666"/>
        <v>5</v>
      </c>
      <c r="FU1481" s="101" t="str">
        <f t="shared" si="681"/>
        <v>金币</v>
      </c>
      <c r="FV1481" s="139">
        <f>IF($FT1481&gt;0,IF(INDEX($EI$6:$EI$77,$FO1481)&gt;=FV$3,ROUND(INDEX(EK$6:EK$77,$FO1481)*INDEX(卡牌消耗!$B$8:$F$8,FQ1481)/5,0)*5,""),"")</f>
        <v>2370</v>
      </c>
      <c r="FW1481" s="101" t="str">
        <f t="shared" si="682"/>
        <v>专属强化石2</v>
      </c>
      <c r="FX1481" s="101">
        <f t="shared" si="683"/>
        <v>5</v>
      </c>
      <c r="FY1481" s="101" t="str">
        <f t="shared" si="684"/>
        <v>专属强化石3</v>
      </c>
      <c r="FZ1481" s="101">
        <f t="shared" si="685"/>
        <v>2</v>
      </c>
      <c r="GA1481" s="101">
        <f t="shared" si="667"/>
        <v>0.05</v>
      </c>
      <c r="GB1481" s="101">
        <f t="shared" si="668"/>
        <v>1</v>
      </c>
      <c r="GC1481" s="101">
        <f t="shared" si="669"/>
        <v>30</v>
      </c>
      <c r="GD1481" s="101">
        <f t="shared" si="670"/>
        <v>0</v>
      </c>
      <c r="GE1481" s="101">
        <f t="shared" si="671"/>
        <v>1</v>
      </c>
      <c r="GF1481" s="101">
        <f t="shared" si="672"/>
        <v>7</v>
      </c>
      <c r="GG1481" s="101">
        <f t="shared" si="673"/>
        <v>2.53E-2</v>
      </c>
      <c r="GH1481" s="101">
        <f t="shared" si="674"/>
        <v>1</v>
      </c>
      <c r="GI1481" s="101">
        <f t="shared" si="675"/>
        <v>14</v>
      </c>
      <c r="GJ1481" s="101">
        <f t="shared" si="676"/>
        <v>0.1012</v>
      </c>
      <c r="GK1481" s="101">
        <f t="shared" si="677"/>
        <v>1</v>
      </c>
      <c r="GL1481" s="101">
        <f t="shared" si="678"/>
        <v>30</v>
      </c>
    </row>
    <row r="1482" spans="170:194" ht="16.5" x14ac:dyDescent="0.2">
      <c r="FN1482" s="101">
        <v>1477</v>
      </c>
      <c r="FO1482" s="101">
        <f t="shared" si="663"/>
        <v>33</v>
      </c>
      <c r="FP1482" s="101">
        <f t="shared" si="679"/>
        <v>19</v>
      </c>
      <c r="FQ1482" s="14">
        <f t="shared" si="680"/>
        <v>5</v>
      </c>
      <c r="FR1482" s="101" t="str">
        <f t="shared" si="664"/>
        <v>吕布专属武器-魂珠-4 6级</v>
      </c>
      <c r="FS1482" s="101">
        <f t="shared" si="665"/>
        <v>4</v>
      </c>
      <c r="FT1482" s="101">
        <f t="shared" si="666"/>
        <v>6</v>
      </c>
      <c r="FU1482" s="101" t="str">
        <f t="shared" si="681"/>
        <v>金币</v>
      </c>
      <c r="FV1482" s="139">
        <f>IF($FT1482&gt;0,IF(INDEX($EI$6:$EI$77,$FO1482)&gt;=FV$3,ROUND(INDEX(EK$6:EK$77,$FO1482)*INDEX(卡牌消耗!$B$8:$F$8,FQ1482)/5,0)*5,""),"")</f>
        <v>2360</v>
      </c>
      <c r="FW1482" s="101" t="str">
        <f t="shared" si="682"/>
        <v>专属强化石2</v>
      </c>
      <c r="FX1482" s="101">
        <f t="shared" si="683"/>
        <v>5</v>
      </c>
      <c r="FY1482" s="101" t="str">
        <f t="shared" si="684"/>
        <v>专属强化石3</v>
      </c>
      <c r="FZ1482" s="101">
        <f t="shared" si="685"/>
        <v>2</v>
      </c>
      <c r="GA1482" s="101">
        <f t="shared" si="667"/>
        <v>0.03</v>
      </c>
      <c r="GB1482" s="101">
        <f t="shared" si="668"/>
        <v>1</v>
      </c>
      <c r="GC1482" s="101">
        <f t="shared" si="669"/>
        <v>48</v>
      </c>
      <c r="GD1482" s="101">
        <f t="shared" si="670"/>
        <v>0</v>
      </c>
      <c r="GE1482" s="101">
        <f t="shared" si="671"/>
        <v>1</v>
      </c>
      <c r="GF1482" s="101">
        <f t="shared" si="672"/>
        <v>11</v>
      </c>
      <c r="GG1482" s="101">
        <f t="shared" si="673"/>
        <v>1.5599999999999999E-2</v>
      </c>
      <c r="GH1482" s="101">
        <f t="shared" si="674"/>
        <v>1</v>
      </c>
      <c r="GI1482" s="101">
        <f t="shared" si="675"/>
        <v>22</v>
      </c>
      <c r="GJ1482" s="101">
        <f t="shared" si="676"/>
        <v>6.2300000000000001E-2</v>
      </c>
      <c r="GK1482" s="101">
        <f t="shared" si="677"/>
        <v>1</v>
      </c>
      <c r="GL1482" s="101">
        <f t="shared" si="678"/>
        <v>48</v>
      </c>
    </row>
    <row r="1483" spans="170:194" ht="16.5" x14ac:dyDescent="0.2">
      <c r="FN1483" s="101">
        <v>1478</v>
      </c>
      <c r="FO1483" s="101">
        <f t="shared" si="663"/>
        <v>34</v>
      </c>
      <c r="FP1483" s="101">
        <f t="shared" si="679"/>
        <v>19</v>
      </c>
      <c r="FQ1483" s="14">
        <f t="shared" si="680"/>
        <v>5</v>
      </c>
      <c r="FR1483" s="101" t="str">
        <f t="shared" si="664"/>
        <v>吕布专属武器-魂珠-4 7级</v>
      </c>
      <c r="FS1483" s="101">
        <f t="shared" si="665"/>
        <v>4</v>
      </c>
      <c r="FT1483" s="101">
        <f t="shared" si="666"/>
        <v>7</v>
      </c>
      <c r="FU1483" s="101" t="str">
        <f t="shared" si="681"/>
        <v>金币</v>
      </c>
      <c r="FV1483" s="139">
        <f>IF($FT1483&gt;0,IF(INDEX($EI$6:$EI$77,$FO1483)&gt;=FV$3,ROUND(INDEX(EK$6:EK$77,$FO1483)*INDEX(卡牌消耗!$B$8:$F$8,FQ1483)/5,0)*5,""),"")</f>
        <v>3545</v>
      </c>
      <c r="FW1483" s="101" t="str">
        <f t="shared" si="682"/>
        <v>专属强化石2</v>
      </c>
      <c r="FX1483" s="101">
        <f t="shared" si="683"/>
        <v>8</v>
      </c>
      <c r="FY1483" s="101" t="str">
        <f t="shared" si="684"/>
        <v>专属强化石3</v>
      </c>
      <c r="FZ1483" s="101">
        <f t="shared" si="685"/>
        <v>3</v>
      </c>
      <c r="GA1483" s="101">
        <f t="shared" si="667"/>
        <v>0.03</v>
      </c>
      <c r="GB1483" s="101">
        <f t="shared" si="668"/>
        <v>1</v>
      </c>
      <c r="GC1483" s="101">
        <f t="shared" si="669"/>
        <v>52</v>
      </c>
      <c r="GD1483" s="101">
        <f t="shared" si="670"/>
        <v>0</v>
      </c>
      <c r="GE1483" s="101">
        <f t="shared" si="671"/>
        <v>1</v>
      </c>
      <c r="GF1483" s="101">
        <f t="shared" si="672"/>
        <v>12</v>
      </c>
      <c r="GG1483" s="101">
        <f t="shared" si="673"/>
        <v>1.4500000000000001E-2</v>
      </c>
      <c r="GH1483" s="101">
        <f t="shared" si="674"/>
        <v>1</v>
      </c>
      <c r="GI1483" s="101">
        <f t="shared" si="675"/>
        <v>24</v>
      </c>
      <c r="GJ1483" s="101">
        <f t="shared" si="676"/>
        <v>5.7799999999999997E-2</v>
      </c>
      <c r="GK1483" s="101">
        <f t="shared" si="677"/>
        <v>1</v>
      </c>
      <c r="GL1483" s="101">
        <f t="shared" si="678"/>
        <v>52</v>
      </c>
    </row>
    <row r="1484" spans="170:194" ht="16.5" x14ac:dyDescent="0.2">
      <c r="FN1484" s="101">
        <v>1479</v>
      </c>
      <c r="FO1484" s="101">
        <f t="shared" si="663"/>
        <v>35</v>
      </c>
      <c r="FP1484" s="101">
        <f t="shared" si="679"/>
        <v>19</v>
      </c>
      <c r="FQ1484" s="14">
        <f t="shared" si="680"/>
        <v>5</v>
      </c>
      <c r="FR1484" s="101" t="str">
        <f t="shared" si="664"/>
        <v>吕布专属武器-魂珠-4 8级</v>
      </c>
      <c r="FS1484" s="101">
        <f t="shared" si="665"/>
        <v>4</v>
      </c>
      <c r="FT1484" s="101">
        <f t="shared" si="666"/>
        <v>8</v>
      </c>
      <c r="FU1484" s="101" t="str">
        <f t="shared" si="681"/>
        <v>金币</v>
      </c>
      <c r="FV1484" s="139">
        <f>IF($FT1484&gt;0,IF(INDEX($EI$6:$EI$77,$FO1484)&gt;=FV$3,ROUND(INDEX(EK$6:EK$77,$FO1484)*INDEX(卡牌消耗!$B$8:$F$8,FQ1484)/5,0)*5,""),"")</f>
        <v>4720</v>
      </c>
      <c r="FW1484" s="101" t="str">
        <f t="shared" si="682"/>
        <v>专属强化石2</v>
      </c>
      <c r="FX1484" s="101">
        <f t="shared" si="683"/>
        <v>11</v>
      </c>
      <c r="FY1484" s="101" t="str">
        <f t="shared" si="684"/>
        <v>专属强化石3</v>
      </c>
      <c r="FZ1484" s="101">
        <f t="shared" si="685"/>
        <v>4</v>
      </c>
      <c r="GA1484" s="101">
        <f t="shared" si="667"/>
        <v>0.02</v>
      </c>
      <c r="GB1484" s="101">
        <f t="shared" si="668"/>
        <v>1</v>
      </c>
      <c r="GC1484" s="101">
        <f t="shared" si="669"/>
        <v>63</v>
      </c>
      <c r="GD1484" s="101">
        <f t="shared" si="670"/>
        <v>0</v>
      </c>
      <c r="GE1484" s="101">
        <f t="shared" si="671"/>
        <v>1</v>
      </c>
      <c r="GF1484" s="101">
        <f t="shared" si="672"/>
        <v>15</v>
      </c>
      <c r="GG1484" s="101">
        <f t="shared" si="673"/>
        <v>1.1900000000000001E-2</v>
      </c>
      <c r="GH1484" s="101">
        <f t="shared" si="674"/>
        <v>1</v>
      </c>
      <c r="GI1484" s="101">
        <f t="shared" si="675"/>
        <v>29</v>
      </c>
      <c r="GJ1484" s="101">
        <f t="shared" si="676"/>
        <v>4.7600000000000003E-2</v>
      </c>
      <c r="GK1484" s="101">
        <f t="shared" si="677"/>
        <v>1</v>
      </c>
      <c r="GL1484" s="101">
        <f t="shared" si="678"/>
        <v>63</v>
      </c>
    </row>
    <row r="1485" spans="170:194" ht="16.5" x14ac:dyDescent="0.2">
      <c r="FN1485" s="101">
        <v>1480</v>
      </c>
      <c r="FO1485" s="101">
        <f t="shared" si="663"/>
        <v>36</v>
      </c>
      <c r="FP1485" s="101">
        <f t="shared" si="679"/>
        <v>19</v>
      </c>
      <c r="FQ1485" s="14">
        <f t="shared" si="680"/>
        <v>5</v>
      </c>
      <c r="FR1485" s="101" t="str">
        <f t="shared" si="664"/>
        <v>吕布专属武器-魂珠-4 9级</v>
      </c>
      <c r="FS1485" s="101">
        <f t="shared" si="665"/>
        <v>4</v>
      </c>
      <c r="FT1485" s="101">
        <f t="shared" si="666"/>
        <v>9</v>
      </c>
      <c r="FU1485" s="101" t="str">
        <f t="shared" si="681"/>
        <v>金币</v>
      </c>
      <c r="FV1485" s="139">
        <f>IF($FT1485&gt;0,IF(INDEX($EI$6:$EI$77,$FO1485)&gt;=FV$3,ROUND(INDEX(EK$6:EK$77,$FO1485)*INDEX(卡牌消耗!$B$8:$F$8,FQ1485)/5,0)*5,""),"")</f>
        <v>7085</v>
      </c>
      <c r="FW1485" s="101" t="str">
        <f t="shared" si="682"/>
        <v>专属强化石2</v>
      </c>
      <c r="FX1485" s="101">
        <f t="shared" si="683"/>
        <v>16</v>
      </c>
      <c r="FY1485" s="101" t="str">
        <f t="shared" si="684"/>
        <v>专属强化石3</v>
      </c>
      <c r="FZ1485" s="101">
        <f t="shared" si="685"/>
        <v>6</v>
      </c>
      <c r="GA1485" s="101">
        <f t="shared" si="667"/>
        <v>0.02</v>
      </c>
      <c r="GB1485" s="101">
        <f t="shared" si="668"/>
        <v>1</v>
      </c>
      <c r="GC1485" s="101">
        <f t="shared" si="669"/>
        <v>68</v>
      </c>
      <c r="GD1485" s="101">
        <f t="shared" si="670"/>
        <v>0</v>
      </c>
      <c r="GE1485" s="101">
        <f t="shared" si="671"/>
        <v>1</v>
      </c>
      <c r="GF1485" s="101">
        <f t="shared" si="672"/>
        <v>16</v>
      </c>
      <c r="GG1485" s="101">
        <f t="shared" si="673"/>
        <v>1.0999999999999999E-2</v>
      </c>
      <c r="GH1485" s="101">
        <f t="shared" si="674"/>
        <v>1</v>
      </c>
      <c r="GI1485" s="101">
        <f t="shared" si="675"/>
        <v>32</v>
      </c>
      <c r="GJ1485" s="101">
        <f t="shared" si="676"/>
        <v>4.4200000000000003E-2</v>
      </c>
      <c r="GK1485" s="101">
        <f t="shared" si="677"/>
        <v>1</v>
      </c>
      <c r="GL1485" s="101">
        <f t="shared" si="678"/>
        <v>68</v>
      </c>
    </row>
    <row r="1486" spans="170:194" ht="16.5" x14ac:dyDescent="0.2">
      <c r="FN1486" s="101">
        <v>1481</v>
      </c>
      <c r="FO1486" s="101">
        <f t="shared" si="663"/>
        <v>0</v>
      </c>
      <c r="FP1486" s="101">
        <f t="shared" si="679"/>
        <v>19</v>
      </c>
      <c r="FQ1486" s="14">
        <f t="shared" si="680"/>
        <v>5</v>
      </c>
      <c r="FR1486" s="101" t="str">
        <f t="shared" si="664"/>
        <v>吕布专属武器-魂珠-5 0级</v>
      </c>
      <c r="FS1486" s="101">
        <f t="shared" si="665"/>
        <v>5</v>
      </c>
      <c r="FT1486" s="101">
        <f t="shared" si="666"/>
        <v>0</v>
      </c>
      <c r="FU1486" s="101" t="str">
        <f t="shared" si="681"/>
        <v/>
      </c>
      <c r="FV1486" s="139" t="str">
        <f>IF($FT1486&gt;0,IF(INDEX($EI$6:$EI$77,$FO1486)&gt;=FV$3,ROUND(INDEX(EK$6:EK$77,$FO1486)*INDEX(卡牌消耗!$B$8:$F$8,FQ1486)/5,0)*5,""),"")</f>
        <v/>
      </c>
      <c r="FW1486" s="101" t="str">
        <f t="shared" si="682"/>
        <v/>
      </c>
      <c r="FX1486" s="101" t="str">
        <f t="shared" si="683"/>
        <v/>
      </c>
      <c r="FY1486" s="101" t="str">
        <f t="shared" si="684"/>
        <v/>
      </c>
      <c r="FZ1486" s="101" t="str">
        <f t="shared" si="685"/>
        <v/>
      </c>
      <c r="GA1486" s="101" t="str">
        <f t="shared" si="667"/>
        <v/>
      </c>
      <c r="GB1486" s="101" t="str">
        <f t="shared" si="668"/>
        <v/>
      </c>
      <c r="GC1486" s="101" t="str">
        <f t="shared" si="669"/>
        <v/>
      </c>
      <c r="GD1486" s="101" t="str">
        <f t="shared" si="670"/>
        <v/>
      </c>
      <c r="GE1486" s="101" t="str">
        <f t="shared" si="671"/>
        <v/>
      </c>
      <c r="GF1486" s="101" t="str">
        <f t="shared" si="672"/>
        <v/>
      </c>
      <c r="GG1486" s="101" t="str">
        <f t="shared" si="673"/>
        <v/>
      </c>
      <c r="GH1486" s="101" t="str">
        <f t="shared" si="674"/>
        <v/>
      </c>
      <c r="GI1486" s="101" t="str">
        <f t="shared" si="675"/>
        <v/>
      </c>
      <c r="GJ1486" s="101" t="str">
        <f t="shared" si="676"/>
        <v/>
      </c>
      <c r="GK1486" s="101" t="str">
        <f t="shared" si="677"/>
        <v/>
      </c>
      <c r="GL1486" s="101" t="str">
        <f t="shared" si="678"/>
        <v/>
      </c>
    </row>
    <row r="1487" spans="170:194" ht="16.5" x14ac:dyDescent="0.2">
      <c r="FN1487" s="101">
        <v>1482</v>
      </c>
      <c r="FO1487" s="101">
        <f t="shared" si="663"/>
        <v>37</v>
      </c>
      <c r="FP1487" s="101">
        <f t="shared" si="679"/>
        <v>19</v>
      </c>
      <c r="FQ1487" s="14">
        <f t="shared" si="680"/>
        <v>5</v>
      </c>
      <c r="FR1487" s="101" t="str">
        <f t="shared" si="664"/>
        <v>吕布专属武器-魂珠-5 1级</v>
      </c>
      <c r="FS1487" s="101">
        <f t="shared" si="665"/>
        <v>5</v>
      </c>
      <c r="FT1487" s="101">
        <f t="shared" si="666"/>
        <v>1</v>
      </c>
      <c r="FU1487" s="101" t="str">
        <f t="shared" si="681"/>
        <v>金币</v>
      </c>
      <c r="FV1487" s="139">
        <f>IF($FT1487&gt;0,IF(INDEX($EI$6:$EI$77,$FO1487)&gt;=FV$3,ROUND(INDEX(EK$6:EK$77,$FO1487)*INDEX(卡牌消耗!$B$8:$F$8,FQ1487)/5,0)*5,""),"")</f>
        <v>2990</v>
      </c>
      <c r="FW1487" s="101" t="str">
        <f t="shared" si="682"/>
        <v>专属强化石2</v>
      </c>
      <c r="FX1487" s="101">
        <f t="shared" si="683"/>
        <v>3</v>
      </c>
      <c r="FY1487" s="101" t="str">
        <f t="shared" si="684"/>
        <v>专属强化石3</v>
      </c>
      <c r="FZ1487" s="101">
        <f t="shared" si="685"/>
        <v>2</v>
      </c>
      <c r="GA1487" s="101">
        <f t="shared" si="667"/>
        <v>0.2</v>
      </c>
      <c r="GB1487" s="101">
        <f t="shared" si="668"/>
        <v>1</v>
      </c>
      <c r="GC1487" s="101">
        <f t="shared" si="669"/>
        <v>7</v>
      </c>
      <c r="GD1487" s="101">
        <f t="shared" si="670"/>
        <v>0</v>
      </c>
      <c r="GE1487" s="101">
        <f t="shared" si="671"/>
        <v>1</v>
      </c>
      <c r="GF1487" s="101">
        <f t="shared" si="672"/>
        <v>2</v>
      </c>
      <c r="GG1487" s="101">
        <f t="shared" si="673"/>
        <v>0.1012</v>
      </c>
      <c r="GH1487" s="101">
        <f t="shared" si="674"/>
        <v>1</v>
      </c>
      <c r="GI1487" s="101">
        <f t="shared" si="675"/>
        <v>3</v>
      </c>
      <c r="GJ1487" s="101">
        <f t="shared" si="676"/>
        <v>0.40479999999999999</v>
      </c>
      <c r="GK1487" s="101">
        <f t="shared" si="677"/>
        <v>1</v>
      </c>
      <c r="GL1487" s="101">
        <f t="shared" si="678"/>
        <v>7</v>
      </c>
    </row>
    <row r="1488" spans="170:194" ht="16.5" x14ac:dyDescent="0.2">
      <c r="FN1488" s="101">
        <v>1483</v>
      </c>
      <c r="FO1488" s="101">
        <f t="shared" si="663"/>
        <v>38</v>
      </c>
      <c r="FP1488" s="101">
        <f t="shared" si="679"/>
        <v>19</v>
      </c>
      <c r="FQ1488" s="14">
        <f t="shared" si="680"/>
        <v>5</v>
      </c>
      <c r="FR1488" s="101" t="str">
        <f t="shared" si="664"/>
        <v>吕布专属武器-魂珠-5 2级</v>
      </c>
      <c r="FS1488" s="101">
        <f t="shared" si="665"/>
        <v>5</v>
      </c>
      <c r="FT1488" s="101">
        <f t="shared" si="666"/>
        <v>2</v>
      </c>
      <c r="FU1488" s="101" t="str">
        <f t="shared" si="681"/>
        <v>金币</v>
      </c>
      <c r="FV1488" s="139">
        <f>IF($FT1488&gt;0,IF(INDEX($EI$6:$EI$77,$FO1488)&gt;=FV$3,ROUND(INDEX(EK$6:EK$77,$FO1488)*INDEX(卡牌消耗!$B$8:$F$8,FQ1488)/5,0)*5,""),"")</f>
        <v>2245</v>
      </c>
      <c r="FW1488" s="101" t="str">
        <f t="shared" si="682"/>
        <v>专属强化石2</v>
      </c>
      <c r="FX1488" s="101">
        <f t="shared" si="683"/>
        <v>3</v>
      </c>
      <c r="FY1488" s="101" t="str">
        <f t="shared" si="684"/>
        <v>专属强化石3</v>
      </c>
      <c r="FZ1488" s="101">
        <f t="shared" si="685"/>
        <v>2</v>
      </c>
      <c r="GA1488" s="101">
        <f t="shared" si="667"/>
        <v>0.1</v>
      </c>
      <c r="GB1488" s="101">
        <f t="shared" si="668"/>
        <v>1</v>
      </c>
      <c r="GC1488" s="101">
        <f t="shared" si="669"/>
        <v>15</v>
      </c>
      <c r="GD1488" s="101">
        <f t="shared" si="670"/>
        <v>0</v>
      </c>
      <c r="GE1488" s="101">
        <f t="shared" si="671"/>
        <v>1</v>
      </c>
      <c r="GF1488" s="101">
        <f t="shared" si="672"/>
        <v>3</v>
      </c>
      <c r="GG1488" s="101">
        <f t="shared" si="673"/>
        <v>5.0599999999999999E-2</v>
      </c>
      <c r="GH1488" s="101">
        <f t="shared" si="674"/>
        <v>1</v>
      </c>
      <c r="GI1488" s="101">
        <f t="shared" si="675"/>
        <v>7</v>
      </c>
      <c r="GJ1488" s="101">
        <f t="shared" si="676"/>
        <v>0.2024</v>
      </c>
      <c r="GK1488" s="101">
        <f t="shared" si="677"/>
        <v>1</v>
      </c>
      <c r="GL1488" s="101">
        <f t="shared" si="678"/>
        <v>15</v>
      </c>
    </row>
    <row r="1489" spans="170:194" ht="16.5" x14ac:dyDescent="0.2">
      <c r="FN1489" s="101">
        <v>1484</v>
      </c>
      <c r="FO1489" s="101">
        <f t="shared" si="663"/>
        <v>39</v>
      </c>
      <c r="FP1489" s="101">
        <f t="shared" si="679"/>
        <v>19</v>
      </c>
      <c r="FQ1489" s="14">
        <f t="shared" si="680"/>
        <v>5</v>
      </c>
      <c r="FR1489" s="101" t="str">
        <f t="shared" si="664"/>
        <v>吕布专属武器-魂珠-5 3级</v>
      </c>
      <c r="FS1489" s="101">
        <f t="shared" si="665"/>
        <v>5</v>
      </c>
      <c r="FT1489" s="101">
        <f t="shared" si="666"/>
        <v>3</v>
      </c>
      <c r="FU1489" s="101" t="str">
        <f t="shared" si="681"/>
        <v>金币</v>
      </c>
      <c r="FV1489" s="139">
        <f>IF($FT1489&gt;0,IF(INDEX($EI$6:$EI$77,$FO1489)&gt;=FV$3,ROUND(INDEX(EK$6:EK$77,$FO1489)*INDEX(卡牌消耗!$B$8:$F$8,FQ1489)/5,0)*5,""),"")</f>
        <v>2490</v>
      </c>
      <c r="FW1489" s="101" t="str">
        <f t="shared" si="682"/>
        <v>专属强化石2</v>
      </c>
      <c r="FX1489" s="101">
        <f t="shared" si="683"/>
        <v>3</v>
      </c>
      <c r="FY1489" s="101" t="str">
        <f t="shared" si="684"/>
        <v>专属强化石3</v>
      </c>
      <c r="FZ1489" s="101">
        <f t="shared" si="685"/>
        <v>2</v>
      </c>
      <c r="GA1489" s="101">
        <f t="shared" si="667"/>
        <v>7.0000000000000007E-2</v>
      </c>
      <c r="GB1489" s="101">
        <f t="shared" si="668"/>
        <v>1</v>
      </c>
      <c r="GC1489" s="101">
        <f t="shared" si="669"/>
        <v>22</v>
      </c>
      <c r="GD1489" s="101">
        <f t="shared" si="670"/>
        <v>0</v>
      </c>
      <c r="GE1489" s="101">
        <f t="shared" si="671"/>
        <v>1</v>
      </c>
      <c r="GF1489" s="101">
        <f t="shared" si="672"/>
        <v>5</v>
      </c>
      <c r="GG1489" s="101">
        <f t="shared" si="673"/>
        <v>3.3700000000000001E-2</v>
      </c>
      <c r="GH1489" s="101">
        <f t="shared" si="674"/>
        <v>1</v>
      </c>
      <c r="GI1489" s="101">
        <f t="shared" si="675"/>
        <v>10</v>
      </c>
      <c r="GJ1489" s="101">
        <f t="shared" si="676"/>
        <v>0.13489999999999999</v>
      </c>
      <c r="GK1489" s="101">
        <f t="shared" si="677"/>
        <v>1</v>
      </c>
      <c r="GL1489" s="101">
        <f t="shared" si="678"/>
        <v>22</v>
      </c>
    </row>
    <row r="1490" spans="170:194" ht="16.5" x14ac:dyDescent="0.2">
      <c r="FN1490" s="101">
        <v>1485</v>
      </c>
      <c r="FO1490" s="101">
        <f t="shared" si="663"/>
        <v>40</v>
      </c>
      <c r="FP1490" s="101">
        <f t="shared" si="679"/>
        <v>19</v>
      </c>
      <c r="FQ1490" s="14">
        <f t="shared" si="680"/>
        <v>5</v>
      </c>
      <c r="FR1490" s="101" t="str">
        <f t="shared" si="664"/>
        <v>吕布专属武器-魂珠-5 4级</v>
      </c>
      <c r="FS1490" s="101">
        <f t="shared" si="665"/>
        <v>5</v>
      </c>
      <c r="FT1490" s="101">
        <f t="shared" si="666"/>
        <v>4</v>
      </c>
      <c r="FU1490" s="101" t="str">
        <f t="shared" si="681"/>
        <v>金币</v>
      </c>
      <c r="FV1490" s="139">
        <f>IF($FT1490&gt;0,IF(INDEX($EI$6:$EI$77,$FO1490)&gt;=FV$3,ROUND(INDEX(EK$6:EK$77,$FO1490)*INDEX(卡牌消耗!$B$8:$F$8,FQ1490)/5,0)*5,""),"")</f>
        <v>3590</v>
      </c>
      <c r="FW1490" s="101" t="str">
        <f t="shared" si="682"/>
        <v>专属强化石2</v>
      </c>
      <c r="FX1490" s="101">
        <f t="shared" si="683"/>
        <v>5</v>
      </c>
      <c r="FY1490" s="101" t="str">
        <f t="shared" si="684"/>
        <v>专属强化石3</v>
      </c>
      <c r="FZ1490" s="101">
        <f t="shared" si="685"/>
        <v>3</v>
      </c>
      <c r="GA1490" s="101">
        <f t="shared" si="667"/>
        <v>0.06</v>
      </c>
      <c r="GB1490" s="101">
        <f t="shared" si="668"/>
        <v>1</v>
      </c>
      <c r="GC1490" s="101">
        <f t="shared" si="669"/>
        <v>25</v>
      </c>
      <c r="GD1490" s="101">
        <f t="shared" si="670"/>
        <v>0</v>
      </c>
      <c r="GE1490" s="101">
        <f t="shared" si="671"/>
        <v>1</v>
      </c>
      <c r="GF1490" s="101">
        <f t="shared" si="672"/>
        <v>6</v>
      </c>
      <c r="GG1490" s="101">
        <f t="shared" si="673"/>
        <v>3.04E-2</v>
      </c>
      <c r="GH1490" s="101">
        <f t="shared" si="674"/>
        <v>1</v>
      </c>
      <c r="GI1490" s="101">
        <f t="shared" si="675"/>
        <v>12</v>
      </c>
      <c r="GJ1490" s="101">
        <f t="shared" si="676"/>
        <v>0.12139999999999999</v>
      </c>
      <c r="GK1490" s="101">
        <f t="shared" si="677"/>
        <v>1</v>
      </c>
      <c r="GL1490" s="101">
        <f t="shared" si="678"/>
        <v>25</v>
      </c>
    </row>
    <row r="1491" spans="170:194" ht="16.5" x14ac:dyDescent="0.2">
      <c r="FN1491" s="101">
        <v>1486</v>
      </c>
      <c r="FO1491" s="101">
        <f t="shared" si="663"/>
        <v>41</v>
      </c>
      <c r="FP1491" s="101">
        <f t="shared" si="679"/>
        <v>19</v>
      </c>
      <c r="FQ1491" s="14">
        <f t="shared" si="680"/>
        <v>5</v>
      </c>
      <c r="FR1491" s="101" t="str">
        <f t="shared" si="664"/>
        <v>吕布专属武器-魂珠-5 5级</v>
      </c>
      <c r="FS1491" s="101">
        <f t="shared" si="665"/>
        <v>5</v>
      </c>
      <c r="FT1491" s="101">
        <f t="shared" si="666"/>
        <v>5</v>
      </c>
      <c r="FU1491" s="101" t="str">
        <f t="shared" si="681"/>
        <v>金币</v>
      </c>
      <c r="FV1491" s="139">
        <f>IF($FT1491&gt;0,IF(INDEX($EI$6:$EI$77,$FO1491)&gt;=FV$3,ROUND(INDEX(EK$6:EK$77,$FO1491)*INDEX(卡牌消耗!$B$8:$F$8,FQ1491)/5,0)*5,""),"")</f>
        <v>3645</v>
      </c>
      <c r="FW1491" s="101" t="str">
        <f t="shared" si="682"/>
        <v>专属强化石2</v>
      </c>
      <c r="FX1491" s="101">
        <f t="shared" si="683"/>
        <v>5</v>
      </c>
      <c r="FY1491" s="101" t="str">
        <f t="shared" si="684"/>
        <v>专属强化石3</v>
      </c>
      <c r="FZ1491" s="101">
        <f t="shared" si="685"/>
        <v>3</v>
      </c>
      <c r="GA1491" s="101">
        <f t="shared" si="667"/>
        <v>0.04</v>
      </c>
      <c r="GB1491" s="101">
        <f t="shared" si="668"/>
        <v>1</v>
      </c>
      <c r="GC1491" s="101">
        <f t="shared" si="669"/>
        <v>40</v>
      </c>
      <c r="GD1491" s="101">
        <f t="shared" si="670"/>
        <v>0</v>
      </c>
      <c r="GE1491" s="101">
        <f t="shared" si="671"/>
        <v>1</v>
      </c>
      <c r="GF1491" s="101">
        <f t="shared" si="672"/>
        <v>9</v>
      </c>
      <c r="GG1491" s="101">
        <f t="shared" si="673"/>
        <v>1.9E-2</v>
      </c>
      <c r="GH1491" s="101">
        <f t="shared" si="674"/>
        <v>1</v>
      </c>
      <c r="GI1491" s="101">
        <f t="shared" si="675"/>
        <v>18</v>
      </c>
      <c r="GJ1491" s="101">
        <f t="shared" si="676"/>
        <v>7.5899999999999995E-2</v>
      </c>
      <c r="GK1491" s="101">
        <f t="shared" si="677"/>
        <v>1</v>
      </c>
      <c r="GL1491" s="101">
        <f t="shared" si="678"/>
        <v>40</v>
      </c>
    </row>
    <row r="1492" spans="170:194" ht="16.5" x14ac:dyDescent="0.2">
      <c r="FN1492" s="101">
        <v>1487</v>
      </c>
      <c r="FO1492" s="101">
        <f t="shared" si="663"/>
        <v>42</v>
      </c>
      <c r="FP1492" s="101">
        <f t="shared" si="679"/>
        <v>19</v>
      </c>
      <c r="FQ1492" s="14">
        <f t="shared" si="680"/>
        <v>5</v>
      </c>
      <c r="FR1492" s="101" t="str">
        <f t="shared" si="664"/>
        <v>吕布专属武器-魂珠-5 6级</v>
      </c>
      <c r="FS1492" s="101">
        <f t="shared" si="665"/>
        <v>5</v>
      </c>
      <c r="FT1492" s="101">
        <f t="shared" si="666"/>
        <v>6</v>
      </c>
      <c r="FU1492" s="101" t="str">
        <f t="shared" si="681"/>
        <v>金币</v>
      </c>
      <c r="FV1492" s="139">
        <f>IF($FT1492&gt;0,IF(INDEX($EI$6:$EI$77,$FO1492)&gt;=FV$3,ROUND(INDEX(EK$6:EK$77,$FO1492)*INDEX(卡牌消耗!$B$8:$F$8,FQ1492)/5,0)*5,""),"")</f>
        <v>6040</v>
      </c>
      <c r="FW1492" s="101" t="str">
        <f t="shared" si="682"/>
        <v>专属强化石2</v>
      </c>
      <c r="FX1492" s="101">
        <f t="shared" si="683"/>
        <v>8</v>
      </c>
      <c r="FY1492" s="101" t="str">
        <f t="shared" si="684"/>
        <v>专属强化石3</v>
      </c>
      <c r="FZ1492" s="101">
        <f t="shared" si="685"/>
        <v>5</v>
      </c>
      <c r="GA1492" s="101">
        <f t="shared" si="667"/>
        <v>0.04</v>
      </c>
      <c r="GB1492" s="101">
        <f t="shared" si="668"/>
        <v>1</v>
      </c>
      <c r="GC1492" s="101">
        <f t="shared" si="669"/>
        <v>39</v>
      </c>
      <c r="GD1492" s="101">
        <f t="shared" si="670"/>
        <v>0</v>
      </c>
      <c r="GE1492" s="101">
        <f t="shared" si="671"/>
        <v>1</v>
      </c>
      <c r="GF1492" s="101">
        <f t="shared" si="672"/>
        <v>9</v>
      </c>
      <c r="GG1492" s="101">
        <f t="shared" si="673"/>
        <v>1.95E-2</v>
      </c>
      <c r="GH1492" s="101">
        <f t="shared" si="674"/>
        <v>1</v>
      </c>
      <c r="GI1492" s="101">
        <f t="shared" si="675"/>
        <v>18</v>
      </c>
      <c r="GJ1492" s="101">
        <f t="shared" si="676"/>
        <v>7.7799999999999994E-2</v>
      </c>
      <c r="GK1492" s="101">
        <f t="shared" si="677"/>
        <v>1</v>
      </c>
      <c r="GL1492" s="101">
        <f t="shared" si="678"/>
        <v>39</v>
      </c>
    </row>
    <row r="1493" spans="170:194" ht="16.5" x14ac:dyDescent="0.2">
      <c r="FN1493" s="101">
        <v>1488</v>
      </c>
      <c r="FO1493" s="101">
        <f t="shared" si="663"/>
        <v>43</v>
      </c>
      <c r="FP1493" s="101">
        <f t="shared" si="679"/>
        <v>19</v>
      </c>
      <c r="FQ1493" s="14">
        <f t="shared" si="680"/>
        <v>5</v>
      </c>
      <c r="FR1493" s="101" t="str">
        <f t="shared" si="664"/>
        <v>吕布专属武器-魂珠-5 7级</v>
      </c>
      <c r="FS1493" s="101">
        <f t="shared" si="665"/>
        <v>5</v>
      </c>
      <c r="FT1493" s="101">
        <f t="shared" si="666"/>
        <v>7</v>
      </c>
      <c r="FU1493" s="101" t="str">
        <f t="shared" si="681"/>
        <v>金币</v>
      </c>
      <c r="FV1493" s="139">
        <f>IF($FT1493&gt;0,IF(INDEX($EI$6:$EI$77,$FO1493)&gt;=FV$3,ROUND(INDEX(EK$6:EK$77,$FO1493)*INDEX(卡牌消耗!$B$8:$F$8,FQ1493)/5,0)*5,""),"")</f>
        <v>6055</v>
      </c>
      <c r="FW1493" s="101" t="str">
        <f t="shared" si="682"/>
        <v>专属强化石2</v>
      </c>
      <c r="FX1493" s="101">
        <f t="shared" si="683"/>
        <v>8</v>
      </c>
      <c r="FY1493" s="101" t="str">
        <f t="shared" si="684"/>
        <v>专属强化石3</v>
      </c>
      <c r="FZ1493" s="101">
        <f t="shared" si="685"/>
        <v>5</v>
      </c>
      <c r="GA1493" s="101">
        <f t="shared" si="667"/>
        <v>0.02</v>
      </c>
      <c r="GB1493" s="101">
        <f t="shared" si="668"/>
        <v>1</v>
      </c>
      <c r="GC1493" s="101">
        <f t="shared" si="669"/>
        <v>62</v>
      </c>
      <c r="GD1493" s="101">
        <f t="shared" si="670"/>
        <v>0</v>
      </c>
      <c r="GE1493" s="101">
        <f t="shared" si="671"/>
        <v>1</v>
      </c>
      <c r="GF1493" s="101">
        <f t="shared" si="672"/>
        <v>15</v>
      </c>
      <c r="GG1493" s="101">
        <f t="shared" si="673"/>
        <v>1.2E-2</v>
      </c>
      <c r="GH1493" s="101">
        <f t="shared" si="674"/>
        <v>1</v>
      </c>
      <c r="GI1493" s="101">
        <f t="shared" si="675"/>
        <v>29</v>
      </c>
      <c r="GJ1493" s="101">
        <f t="shared" si="676"/>
        <v>4.82E-2</v>
      </c>
      <c r="GK1493" s="101">
        <f t="shared" si="677"/>
        <v>1</v>
      </c>
      <c r="GL1493" s="101">
        <f t="shared" si="678"/>
        <v>62</v>
      </c>
    </row>
    <row r="1494" spans="170:194" ht="16.5" x14ac:dyDescent="0.2">
      <c r="FN1494" s="101">
        <v>1489</v>
      </c>
      <c r="FO1494" s="101">
        <f t="shared" ref="FO1494:FO1557" si="686">IF(FT1494&gt;0,(FS1494-1)*9+FT1494,0)</f>
        <v>44</v>
      </c>
      <c r="FP1494" s="101">
        <f t="shared" si="679"/>
        <v>19</v>
      </c>
      <c r="FQ1494" s="14">
        <f t="shared" si="680"/>
        <v>5</v>
      </c>
      <c r="FR1494" s="101" t="str">
        <f t="shared" ref="FR1494:FR1557" si="687">INDEX($FI$6:$FI$26,FP1494)&amp;"专属武器-魂珠-"&amp;FS1494&amp;" "&amp;FT1494&amp;"级"</f>
        <v>吕布专属武器-魂珠-5 8级</v>
      </c>
      <c r="FS1494" s="101">
        <f t="shared" ref="FS1494:FS1557" si="688">INT((FN1494-(FP1494-1)*80-1)/10)+1</f>
        <v>5</v>
      </c>
      <c r="FT1494" s="101">
        <f t="shared" ref="FT1494:FT1557" si="689">FN1494-(FP1494-1)*80-(FS1494-1)*10-1</f>
        <v>8</v>
      </c>
      <c r="FU1494" s="101" t="str">
        <f t="shared" si="681"/>
        <v>金币</v>
      </c>
      <c r="FV1494" s="139">
        <f>IF($FT1494&gt;0,IF(INDEX($EI$6:$EI$77,$FO1494)&gt;=FV$3,ROUND(INDEX(EK$6:EK$77,$FO1494)*INDEX(卡牌消耗!$B$8:$F$8,FQ1494)/5,0)*5,""),"")</f>
        <v>8470</v>
      </c>
      <c r="FW1494" s="101" t="str">
        <f t="shared" si="682"/>
        <v>专属强化石2</v>
      </c>
      <c r="FX1494" s="101">
        <f t="shared" si="683"/>
        <v>11</v>
      </c>
      <c r="FY1494" s="101" t="str">
        <f t="shared" si="684"/>
        <v>专属强化石3</v>
      </c>
      <c r="FZ1494" s="101">
        <f t="shared" si="685"/>
        <v>7</v>
      </c>
      <c r="GA1494" s="101">
        <f t="shared" ref="GA1494:GA1557" si="690">IF($FT1494&gt;0,INDEX(EP$6:EP$77,$FO1494),"")</f>
        <v>0.02</v>
      </c>
      <c r="GB1494" s="101">
        <f t="shared" ref="GB1494:GB1557" si="691">IF($FT1494&gt;0,INDEX(EQ$6:EQ$77,$FO1494),"")</f>
        <v>1</v>
      </c>
      <c r="GC1494" s="101">
        <f t="shared" ref="GC1494:GC1557" si="692">IF($FT1494&gt;0,INDEX(ER$6:ER$77,$FO1494),"")</f>
        <v>72</v>
      </c>
      <c r="GD1494" s="101">
        <f t="shared" ref="GD1494:GD1557" si="693">IF($FT1494&gt;0,INDEX(EV$6:EV$77,$FO1494),"")</f>
        <v>0</v>
      </c>
      <c r="GE1494" s="101">
        <f t="shared" ref="GE1494:GE1557" si="694">IF($FT1494&gt;0,INDEX(EW$6:EW$77,$FO1494),"")</f>
        <v>1</v>
      </c>
      <c r="GF1494" s="101">
        <f t="shared" ref="GF1494:GF1557" si="695">IF($FT1494&gt;0,INDEX(EX$6:EX$77,$FO1494),"")</f>
        <v>17</v>
      </c>
      <c r="GG1494" s="101">
        <f t="shared" ref="GG1494:GG1557" si="696">IF($FT1494&gt;0,INDEX(EY$6:EY$77,$FO1494),"")</f>
        <v>1.04E-2</v>
      </c>
      <c r="GH1494" s="101">
        <f t="shared" ref="GH1494:GH1557" si="697">IF($FT1494&gt;0,INDEX(EZ$6:EZ$77,$FO1494),"")</f>
        <v>1</v>
      </c>
      <c r="GI1494" s="101">
        <f t="shared" ref="GI1494:GI1557" si="698">IF($FT1494&gt;0,INDEX(FA$6:FA$77,$FO1494),"")</f>
        <v>34</v>
      </c>
      <c r="GJ1494" s="101">
        <f t="shared" ref="GJ1494:GJ1557" si="699">IF($FT1494&gt;0,INDEX(FB$6:FB$77,$FO1494),"")</f>
        <v>4.1700000000000001E-2</v>
      </c>
      <c r="GK1494" s="101">
        <f t="shared" ref="GK1494:GK1557" si="700">IF($FT1494&gt;0,INDEX(FC$6:FC$77,$FO1494),"")</f>
        <v>1</v>
      </c>
      <c r="GL1494" s="101">
        <f t="shared" ref="GL1494:GL1557" si="701">IF($FT1494&gt;0,INDEX(FD$6:FD$77,$FO1494),"")</f>
        <v>72</v>
      </c>
    </row>
    <row r="1495" spans="170:194" ht="16.5" x14ac:dyDescent="0.2">
      <c r="FN1495" s="101">
        <v>1490</v>
      </c>
      <c r="FO1495" s="101">
        <f t="shared" si="686"/>
        <v>45</v>
      </c>
      <c r="FP1495" s="101">
        <f t="shared" si="679"/>
        <v>19</v>
      </c>
      <c r="FQ1495" s="14">
        <f t="shared" si="680"/>
        <v>5</v>
      </c>
      <c r="FR1495" s="101" t="str">
        <f t="shared" si="687"/>
        <v>吕布专属武器-魂珠-5 9级</v>
      </c>
      <c r="FS1495" s="101">
        <f t="shared" si="688"/>
        <v>5</v>
      </c>
      <c r="FT1495" s="101">
        <f t="shared" si="689"/>
        <v>9</v>
      </c>
      <c r="FU1495" s="101" t="str">
        <f t="shared" si="681"/>
        <v>金币</v>
      </c>
      <c r="FV1495" s="139">
        <f>IF($FT1495&gt;0,IF(INDEX($EI$6:$EI$77,$FO1495)&gt;=FV$3,ROUND(INDEX(EK$6:EK$77,$FO1495)*INDEX(卡牌消耗!$B$8:$F$8,FQ1495)/5,0)*5,""),"")</f>
        <v>10890</v>
      </c>
      <c r="FW1495" s="101" t="str">
        <f t="shared" si="682"/>
        <v>专属强化石2</v>
      </c>
      <c r="FX1495" s="101">
        <f t="shared" si="683"/>
        <v>14</v>
      </c>
      <c r="FY1495" s="101" t="str">
        <f t="shared" si="684"/>
        <v>专属强化石3</v>
      </c>
      <c r="FZ1495" s="101">
        <f t="shared" si="685"/>
        <v>9</v>
      </c>
      <c r="GA1495" s="101">
        <f t="shared" si="690"/>
        <v>0.02</v>
      </c>
      <c r="GB1495" s="101">
        <f t="shared" si="691"/>
        <v>1</v>
      </c>
      <c r="GC1495" s="101">
        <f t="shared" si="692"/>
        <v>91</v>
      </c>
      <c r="GD1495" s="101">
        <f t="shared" si="693"/>
        <v>0</v>
      </c>
      <c r="GE1495" s="101">
        <f t="shared" si="694"/>
        <v>1</v>
      </c>
      <c r="GF1495" s="101">
        <f t="shared" si="695"/>
        <v>21</v>
      </c>
      <c r="GG1495" s="101">
        <f t="shared" si="696"/>
        <v>8.3000000000000001E-3</v>
      </c>
      <c r="GH1495" s="101">
        <f t="shared" si="697"/>
        <v>1</v>
      </c>
      <c r="GI1495" s="101">
        <f t="shared" si="698"/>
        <v>42</v>
      </c>
      <c r="GJ1495" s="101">
        <f t="shared" si="699"/>
        <v>3.3099999999999997E-2</v>
      </c>
      <c r="GK1495" s="101">
        <f t="shared" si="700"/>
        <v>1</v>
      </c>
      <c r="GL1495" s="101">
        <f t="shared" si="701"/>
        <v>91</v>
      </c>
    </row>
    <row r="1496" spans="170:194" ht="16.5" x14ac:dyDescent="0.2">
      <c r="FN1496" s="101">
        <v>1491</v>
      </c>
      <c r="FO1496" s="101">
        <f t="shared" si="686"/>
        <v>0</v>
      </c>
      <c r="FP1496" s="101">
        <f t="shared" si="679"/>
        <v>19</v>
      </c>
      <c r="FQ1496" s="14">
        <f t="shared" si="680"/>
        <v>5</v>
      </c>
      <c r="FR1496" s="101" t="str">
        <f t="shared" si="687"/>
        <v>吕布专属武器-魂珠-6 0级</v>
      </c>
      <c r="FS1496" s="101">
        <f t="shared" si="688"/>
        <v>6</v>
      </c>
      <c r="FT1496" s="101">
        <f t="shared" si="689"/>
        <v>0</v>
      </c>
      <c r="FU1496" s="101" t="str">
        <f t="shared" si="681"/>
        <v/>
      </c>
      <c r="FV1496" s="139" t="str">
        <f>IF($FT1496&gt;0,IF(INDEX($EI$6:$EI$77,$FO1496)&gt;=FV$3,ROUND(INDEX(EK$6:EK$77,$FO1496)*INDEX(卡牌消耗!$B$8:$F$8,FQ1496)/5,0)*5,""),"")</f>
        <v/>
      </c>
      <c r="FW1496" s="101" t="str">
        <f t="shared" si="682"/>
        <v/>
      </c>
      <c r="FX1496" s="101" t="str">
        <f t="shared" si="683"/>
        <v/>
      </c>
      <c r="FY1496" s="101" t="str">
        <f t="shared" si="684"/>
        <v/>
      </c>
      <c r="FZ1496" s="101" t="str">
        <f t="shared" si="685"/>
        <v/>
      </c>
      <c r="GA1496" s="101" t="str">
        <f t="shared" si="690"/>
        <v/>
      </c>
      <c r="GB1496" s="101" t="str">
        <f t="shared" si="691"/>
        <v/>
      </c>
      <c r="GC1496" s="101" t="str">
        <f t="shared" si="692"/>
        <v/>
      </c>
      <c r="GD1496" s="101" t="str">
        <f t="shared" si="693"/>
        <v/>
      </c>
      <c r="GE1496" s="101" t="str">
        <f t="shared" si="694"/>
        <v/>
      </c>
      <c r="GF1496" s="101" t="str">
        <f t="shared" si="695"/>
        <v/>
      </c>
      <c r="GG1496" s="101" t="str">
        <f t="shared" si="696"/>
        <v/>
      </c>
      <c r="GH1496" s="101" t="str">
        <f t="shared" si="697"/>
        <v/>
      </c>
      <c r="GI1496" s="101" t="str">
        <f t="shared" si="698"/>
        <v/>
      </c>
      <c r="GJ1496" s="101" t="str">
        <f t="shared" si="699"/>
        <v/>
      </c>
      <c r="GK1496" s="101" t="str">
        <f t="shared" si="700"/>
        <v/>
      </c>
      <c r="GL1496" s="101" t="str">
        <f t="shared" si="701"/>
        <v/>
      </c>
    </row>
    <row r="1497" spans="170:194" ht="16.5" x14ac:dyDescent="0.2">
      <c r="FN1497" s="101">
        <v>1492</v>
      </c>
      <c r="FO1497" s="101">
        <f t="shared" si="686"/>
        <v>46</v>
      </c>
      <c r="FP1497" s="101">
        <f t="shared" si="679"/>
        <v>19</v>
      </c>
      <c r="FQ1497" s="14">
        <f t="shared" si="680"/>
        <v>5</v>
      </c>
      <c r="FR1497" s="101" t="str">
        <f t="shared" si="687"/>
        <v>吕布专属武器-魂珠-6 1级</v>
      </c>
      <c r="FS1497" s="101">
        <f t="shared" si="688"/>
        <v>6</v>
      </c>
      <c r="FT1497" s="101">
        <f t="shared" si="689"/>
        <v>1</v>
      </c>
      <c r="FU1497" s="101" t="str">
        <f t="shared" si="681"/>
        <v>金币</v>
      </c>
      <c r="FV1497" s="139">
        <f>IF($FT1497&gt;0,IF(INDEX($EI$6:$EI$77,$FO1497)&gt;=FV$3,ROUND(INDEX(EK$6:EK$77,$FO1497)*INDEX(卡牌消耗!$B$8:$F$8,FQ1497)/5,0)*5,""),"")</f>
        <v>2910</v>
      </c>
      <c r="FW1497" s="101" t="str">
        <f t="shared" si="682"/>
        <v>专属强化石3</v>
      </c>
      <c r="FX1497" s="101">
        <f t="shared" si="683"/>
        <v>5</v>
      </c>
      <c r="FY1497" s="101" t="str">
        <f t="shared" si="684"/>
        <v>专属强化石4</v>
      </c>
      <c r="FZ1497" s="101">
        <f t="shared" si="685"/>
        <v>1</v>
      </c>
      <c r="GA1497" s="101">
        <f t="shared" si="690"/>
        <v>0.17</v>
      </c>
      <c r="GB1497" s="101">
        <f t="shared" si="691"/>
        <v>1</v>
      </c>
      <c r="GC1497" s="101">
        <f t="shared" si="692"/>
        <v>9</v>
      </c>
      <c r="GD1497" s="101">
        <f t="shared" si="693"/>
        <v>0</v>
      </c>
      <c r="GE1497" s="101">
        <f t="shared" si="694"/>
        <v>1</v>
      </c>
      <c r="GF1497" s="101">
        <f t="shared" si="695"/>
        <v>2</v>
      </c>
      <c r="GG1497" s="101">
        <f t="shared" si="696"/>
        <v>8.2900000000000001E-2</v>
      </c>
      <c r="GH1497" s="101">
        <f t="shared" si="697"/>
        <v>1</v>
      </c>
      <c r="GI1497" s="101">
        <f t="shared" si="698"/>
        <v>4</v>
      </c>
      <c r="GJ1497" s="101">
        <f t="shared" si="699"/>
        <v>0.33139999999999997</v>
      </c>
      <c r="GK1497" s="101">
        <f t="shared" si="700"/>
        <v>1</v>
      </c>
      <c r="GL1497" s="101">
        <f t="shared" si="701"/>
        <v>9</v>
      </c>
    </row>
    <row r="1498" spans="170:194" ht="16.5" x14ac:dyDescent="0.2">
      <c r="FN1498" s="101">
        <v>1493</v>
      </c>
      <c r="FO1498" s="101">
        <f t="shared" si="686"/>
        <v>47</v>
      </c>
      <c r="FP1498" s="101">
        <f t="shared" si="679"/>
        <v>19</v>
      </c>
      <c r="FQ1498" s="14">
        <f t="shared" si="680"/>
        <v>5</v>
      </c>
      <c r="FR1498" s="101" t="str">
        <f t="shared" si="687"/>
        <v>吕布专属武器-魂珠-6 2级</v>
      </c>
      <c r="FS1498" s="101">
        <f t="shared" si="688"/>
        <v>6</v>
      </c>
      <c r="FT1498" s="101">
        <f t="shared" si="689"/>
        <v>2</v>
      </c>
      <c r="FU1498" s="101" t="str">
        <f t="shared" si="681"/>
        <v>金币</v>
      </c>
      <c r="FV1498" s="139">
        <f>IF($FT1498&gt;0,IF(INDEX($EI$6:$EI$77,$FO1498)&gt;=FV$3,ROUND(INDEX(EK$6:EK$77,$FO1498)*INDEX(卡牌消耗!$B$8:$F$8,FQ1498)/5,0)*5,""),"")</f>
        <v>4360</v>
      </c>
      <c r="FW1498" s="101" t="str">
        <f t="shared" si="682"/>
        <v>专属强化石3</v>
      </c>
      <c r="FX1498" s="101">
        <f t="shared" si="683"/>
        <v>10</v>
      </c>
      <c r="FY1498" s="101" t="str">
        <f t="shared" si="684"/>
        <v>专属强化石4</v>
      </c>
      <c r="FZ1498" s="101">
        <f t="shared" si="685"/>
        <v>2</v>
      </c>
      <c r="GA1498" s="101">
        <f t="shared" si="690"/>
        <v>0.17</v>
      </c>
      <c r="GB1498" s="101">
        <f t="shared" si="691"/>
        <v>1</v>
      </c>
      <c r="GC1498" s="101">
        <f t="shared" si="692"/>
        <v>9</v>
      </c>
      <c r="GD1498" s="101">
        <f t="shared" si="693"/>
        <v>0</v>
      </c>
      <c r="GE1498" s="101">
        <f t="shared" si="694"/>
        <v>1</v>
      </c>
      <c r="GF1498" s="101">
        <f t="shared" si="695"/>
        <v>2</v>
      </c>
      <c r="GG1498" s="101">
        <f t="shared" si="696"/>
        <v>8.2900000000000001E-2</v>
      </c>
      <c r="GH1498" s="101">
        <f t="shared" si="697"/>
        <v>1</v>
      </c>
      <c r="GI1498" s="101">
        <f t="shared" si="698"/>
        <v>4</v>
      </c>
      <c r="GJ1498" s="101">
        <f t="shared" si="699"/>
        <v>0.33139999999999997</v>
      </c>
      <c r="GK1498" s="101">
        <f t="shared" si="700"/>
        <v>1</v>
      </c>
      <c r="GL1498" s="101">
        <f t="shared" si="701"/>
        <v>9</v>
      </c>
    </row>
    <row r="1499" spans="170:194" ht="16.5" x14ac:dyDescent="0.2">
      <c r="FN1499" s="101">
        <v>1494</v>
      </c>
      <c r="FO1499" s="101">
        <f t="shared" si="686"/>
        <v>48</v>
      </c>
      <c r="FP1499" s="101">
        <f t="shared" si="679"/>
        <v>19</v>
      </c>
      <c r="FQ1499" s="14">
        <f t="shared" si="680"/>
        <v>5</v>
      </c>
      <c r="FR1499" s="101" t="str">
        <f t="shared" si="687"/>
        <v>吕布专属武器-魂珠-6 3级</v>
      </c>
      <c r="FS1499" s="101">
        <f t="shared" si="688"/>
        <v>6</v>
      </c>
      <c r="FT1499" s="101">
        <f t="shared" si="689"/>
        <v>3</v>
      </c>
      <c r="FU1499" s="101" t="str">
        <f t="shared" si="681"/>
        <v>金币</v>
      </c>
      <c r="FV1499" s="139">
        <f>IF($FT1499&gt;0,IF(INDEX($EI$6:$EI$77,$FO1499)&gt;=FV$3,ROUND(INDEX(EK$6:EK$77,$FO1499)*INDEX(卡牌消耗!$B$8:$F$8,FQ1499)/5,0)*5,""),"")</f>
        <v>4845</v>
      </c>
      <c r="FW1499" s="101" t="str">
        <f t="shared" si="682"/>
        <v>专属强化石3</v>
      </c>
      <c r="FX1499" s="101">
        <f t="shared" si="683"/>
        <v>10</v>
      </c>
      <c r="FY1499" s="101" t="str">
        <f t="shared" si="684"/>
        <v>专属强化石4</v>
      </c>
      <c r="FZ1499" s="101">
        <f t="shared" si="685"/>
        <v>2</v>
      </c>
      <c r="GA1499" s="101">
        <f t="shared" si="690"/>
        <v>0.11</v>
      </c>
      <c r="GB1499" s="101">
        <f t="shared" si="691"/>
        <v>1</v>
      </c>
      <c r="GC1499" s="101">
        <f t="shared" si="692"/>
        <v>14</v>
      </c>
      <c r="GD1499" s="101">
        <f t="shared" si="693"/>
        <v>0</v>
      </c>
      <c r="GE1499" s="101">
        <f t="shared" si="694"/>
        <v>1</v>
      </c>
      <c r="GF1499" s="101">
        <f t="shared" si="695"/>
        <v>3</v>
      </c>
      <c r="GG1499" s="101">
        <f t="shared" si="696"/>
        <v>5.5199999999999999E-2</v>
      </c>
      <c r="GH1499" s="101">
        <f t="shared" si="697"/>
        <v>1</v>
      </c>
      <c r="GI1499" s="101">
        <f t="shared" si="698"/>
        <v>6</v>
      </c>
      <c r="GJ1499" s="101">
        <f t="shared" si="699"/>
        <v>0.221</v>
      </c>
      <c r="GK1499" s="101">
        <f t="shared" si="700"/>
        <v>1</v>
      </c>
      <c r="GL1499" s="101">
        <f t="shared" si="701"/>
        <v>14</v>
      </c>
    </row>
    <row r="1500" spans="170:194" ht="16.5" x14ac:dyDescent="0.2">
      <c r="FN1500" s="101">
        <v>1495</v>
      </c>
      <c r="FO1500" s="101">
        <f t="shared" si="686"/>
        <v>49</v>
      </c>
      <c r="FP1500" s="101">
        <f t="shared" si="679"/>
        <v>19</v>
      </c>
      <c r="FQ1500" s="14">
        <f t="shared" si="680"/>
        <v>5</v>
      </c>
      <c r="FR1500" s="101" t="str">
        <f t="shared" si="687"/>
        <v>吕布专属武器-魂珠-6 4级</v>
      </c>
      <c r="FS1500" s="101">
        <f t="shared" si="688"/>
        <v>6</v>
      </c>
      <c r="FT1500" s="101">
        <f t="shared" si="689"/>
        <v>4</v>
      </c>
      <c r="FU1500" s="101" t="str">
        <f t="shared" si="681"/>
        <v>金币</v>
      </c>
      <c r="FV1500" s="139">
        <f>IF($FT1500&gt;0,IF(INDEX($EI$6:$EI$77,$FO1500)&gt;=FV$3,ROUND(INDEX(EK$6:EK$77,$FO1500)*INDEX(卡牌消耗!$B$8:$F$8,FQ1500)/5,0)*5,""),"")</f>
        <v>6980</v>
      </c>
      <c r="FW1500" s="101" t="str">
        <f t="shared" si="682"/>
        <v>专属强化石3</v>
      </c>
      <c r="FX1500" s="101">
        <f t="shared" si="683"/>
        <v>15</v>
      </c>
      <c r="FY1500" s="101" t="str">
        <f t="shared" si="684"/>
        <v>专属强化石4</v>
      </c>
      <c r="FZ1500" s="101">
        <f t="shared" si="685"/>
        <v>3</v>
      </c>
      <c r="GA1500" s="101">
        <f t="shared" si="690"/>
        <v>0.1</v>
      </c>
      <c r="GB1500" s="101">
        <f t="shared" si="691"/>
        <v>1</v>
      </c>
      <c r="GC1500" s="101">
        <f t="shared" si="692"/>
        <v>15</v>
      </c>
      <c r="GD1500" s="101">
        <f t="shared" si="693"/>
        <v>0</v>
      </c>
      <c r="GE1500" s="101">
        <f t="shared" si="694"/>
        <v>1</v>
      </c>
      <c r="GF1500" s="101">
        <f t="shared" si="695"/>
        <v>4</v>
      </c>
      <c r="GG1500" s="101">
        <f t="shared" si="696"/>
        <v>4.9700000000000001E-2</v>
      </c>
      <c r="GH1500" s="101">
        <f t="shared" si="697"/>
        <v>1</v>
      </c>
      <c r="GI1500" s="101">
        <f t="shared" si="698"/>
        <v>7</v>
      </c>
      <c r="GJ1500" s="101">
        <f t="shared" si="699"/>
        <v>0.19889999999999999</v>
      </c>
      <c r="GK1500" s="101">
        <f t="shared" si="700"/>
        <v>1</v>
      </c>
      <c r="GL1500" s="101">
        <f t="shared" si="701"/>
        <v>15</v>
      </c>
    </row>
    <row r="1501" spans="170:194" ht="16.5" x14ac:dyDescent="0.2">
      <c r="FN1501" s="101">
        <v>1496</v>
      </c>
      <c r="FO1501" s="101">
        <f t="shared" si="686"/>
        <v>50</v>
      </c>
      <c r="FP1501" s="101">
        <f t="shared" si="679"/>
        <v>19</v>
      </c>
      <c r="FQ1501" s="14">
        <f t="shared" si="680"/>
        <v>5</v>
      </c>
      <c r="FR1501" s="101" t="str">
        <f t="shared" si="687"/>
        <v>吕布专属武器-魂珠-6 5级</v>
      </c>
      <c r="FS1501" s="101">
        <f t="shared" si="688"/>
        <v>6</v>
      </c>
      <c r="FT1501" s="101">
        <f t="shared" si="689"/>
        <v>5</v>
      </c>
      <c r="FU1501" s="101" t="str">
        <f t="shared" si="681"/>
        <v>金币</v>
      </c>
      <c r="FV1501" s="139">
        <f>IF($FT1501&gt;0,IF(INDEX($EI$6:$EI$77,$FO1501)&gt;=FV$3,ROUND(INDEX(EK$6:EK$77,$FO1501)*INDEX(卡牌消耗!$B$8:$F$8,FQ1501)/5,0)*5,""),"")</f>
        <v>7090</v>
      </c>
      <c r="FW1501" s="101" t="str">
        <f t="shared" si="682"/>
        <v>专属强化石3</v>
      </c>
      <c r="FX1501" s="101">
        <f t="shared" si="683"/>
        <v>15</v>
      </c>
      <c r="FY1501" s="101" t="str">
        <f t="shared" si="684"/>
        <v>专属强化石4</v>
      </c>
      <c r="FZ1501" s="101">
        <f t="shared" si="685"/>
        <v>3</v>
      </c>
      <c r="GA1501" s="101">
        <f t="shared" si="690"/>
        <v>0.06</v>
      </c>
      <c r="GB1501" s="101">
        <f t="shared" si="691"/>
        <v>1</v>
      </c>
      <c r="GC1501" s="101">
        <f t="shared" si="692"/>
        <v>24</v>
      </c>
      <c r="GD1501" s="101">
        <f t="shared" si="693"/>
        <v>0</v>
      </c>
      <c r="GE1501" s="101">
        <f t="shared" si="694"/>
        <v>1</v>
      </c>
      <c r="GF1501" s="101">
        <f t="shared" si="695"/>
        <v>6</v>
      </c>
      <c r="GG1501" s="101">
        <f t="shared" si="696"/>
        <v>3.1099999999999999E-2</v>
      </c>
      <c r="GH1501" s="101">
        <f t="shared" si="697"/>
        <v>1</v>
      </c>
      <c r="GI1501" s="101">
        <f t="shared" si="698"/>
        <v>11</v>
      </c>
      <c r="GJ1501" s="101">
        <f t="shared" si="699"/>
        <v>0.12429999999999999</v>
      </c>
      <c r="GK1501" s="101">
        <f t="shared" si="700"/>
        <v>1</v>
      </c>
      <c r="GL1501" s="101">
        <f t="shared" si="701"/>
        <v>24</v>
      </c>
    </row>
    <row r="1502" spans="170:194" ht="16.5" x14ac:dyDescent="0.2">
      <c r="FN1502" s="101">
        <v>1497</v>
      </c>
      <c r="FO1502" s="101">
        <f t="shared" si="686"/>
        <v>51</v>
      </c>
      <c r="FP1502" s="101">
        <f t="shared" si="679"/>
        <v>19</v>
      </c>
      <c r="FQ1502" s="14">
        <f t="shared" si="680"/>
        <v>5</v>
      </c>
      <c r="FR1502" s="101" t="str">
        <f t="shared" si="687"/>
        <v>吕布专属武器-魂珠-6 6级</v>
      </c>
      <c r="FS1502" s="101">
        <f t="shared" si="688"/>
        <v>6</v>
      </c>
      <c r="FT1502" s="101">
        <f t="shared" si="689"/>
        <v>6</v>
      </c>
      <c r="FU1502" s="101" t="str">
        <f t="shared" si="681"/>
        <v>金币</v>
      </c>
      <c r="FV1502" s="139">
        <f>IF($FT1502&gt;0,IF(INDEX($EI$6:$EI$77,$FO1502)&gt;=FV$3,ROUND(INDEX(EK$6:EK$77,$FO1502)*INDEX(卡牌消耗!$B$8:$F$8,FQ1502)/5,0)*5,""),"")</f>
        <v>9395</v>
      </c>
      <c r="FW1502" s="101" t="str">
        <f t="shared" si="682"/>
        <v>专属强化石3</v>
      </c>
      <c r="FX1502" s="101">
        <f t="shared" si="683"/>
        <v>20</v>
      </c>
      <c r="FY1502" s="101" t="str">
        <f t="shared" si="684"/>
        <v>专属强化石4</v>
      </c>
      <c r="FZ1502" s="101">
        <f t="shared" si="685"/>
        <v>4</v>
      </c>
      <c r="GA1502" s="101">
        <f t="shared" si="690"/>
        <v>0.05</v>
      </c>
      <c r="GB1502" s="101">
        <f t="shared" si="691"/>
        <v>1</v>
      </c>
      <c r="GC1502" s="101">
        <f t="shared" si="692"/>
        <v>29</v>
      </c>
      <c r="GD1502" s="101">
        <f t="shared" si="693"/>
        <v>0</v>
      </c>
      <c r="GE1502" s="101">
        <f t="shared" si="694"/>
        <v>1</v>
      </c>
      <c r="GF1502" s="101">
        <f t="shared" si="695"/>
        <v>7</v>
      </c>
      <c r="GG1502" s="101">
        <f t="shared" si="696"/>
        <v>2.5499999999999998E-2</v>
      </c>
      <c r="GH1502" s="101">
        <f t="shared" si="697"/>
        <v>1</v>
      </c>
      <c r="GI1502" s="101">
        <f t="shared" si="698"/>
        <v>14</v>
      </c>
      <c r="GJ1502" s="101">
        <f t="shared" si="699"/>
        <v>0.10199999999999999</v>
      </c>
      <c r="GK1502" s="101">
        <f t="shared" si="700"/>
        <v>1</v>
      </c>
      <c r="GL1502" s="101">
        <f t="shared" si="701"/>
        <v>29</v>
      </c>
    </row>
    <row r="1503" spans="170:194" ht="16.5" x14ac:dyDescent="0.2">
      <c r="FN1503" s="101">
        <v>1498</v>
      </c>
      <c r="FO1503" s="101">
        <f t="shared" si="686"/>
        <v>52</v>
      </c>
      <c r="FP1503" s="101">
        <f t="shared" si="679"/>
        <v>19</v>
      </c>
      <c r="FQ1503" s="14">
        <f t="shared" si="680"/>
        <v>5</v>
      </c>
      <c r="FR1503" s="101" t="str">
        <f t="shared" si="687"/>
        <v>吕布专属武器-魂珠-6 7级</v>
      </c>
      <c r="FS1503" s="101">
        <f t="shared" si="688"/>
        <v>6</v>
      </c>
      <c r="FT1503" s="101">
        <f t="shared" si="689"/>
        <v>7</v>
      </c>
      <c r="FU1503" s="101" t="str">
        <f t="shared" si="681"/>
        <v>金币</v>
      </c>
      <c r="FV1503" s="139">
        <f>IF($FT1503&gt;0,IF(INDEX($EI$6:$EI$77,$FO1503)&gt;=FV$3,ROUND(INDEX(EK$6:EK$77,$FO1503)*INDEX(卡牌消耗!$B$8:$F$8,FQ1503)/5,0)*5,""),"")</f>
        <v>11770</v>
      </c>
      <c r="FW1503" s="101" t="str">
        <f t="shared" si="682"/>
        <v>专属强化石3</v>
      </c>
      <c r="FX1503" s="101">
        <f t="shared" si="683"/>
        <v>25</v>
      </c>
      <c r="FY1503" s="101" t="str">
        <f t="shared" si="684"/>
        <v>专属强化石4</v>
      </c>
      <c r="FZ1503" s="101">
        <f t="shared" si="685"/>
        <v>5</v>
      </c>
      <c r="GA1503" s="101">
        <f t="shared" si="690"/>
        <v>0.04</v>
      </c>
      <c r="GB1503" s="101">
        <f t="shared" si="691"/>
        <v>1</v>
      </c>
      <c r="GC1503" s="101">
        <f t="shared" si="692"/>
        <v>38</v>
      </c>
      <c r="GD1503" s="101">
        <f t="shared" si="693"/>
        <v>0</v>
      </c>
      <c r="GE1503" s="101">
        <f t="shared" si="694"/>
        <v>1</v>
      </c>
      <c r="GF1503" s="101">
        <f t="shared" si="695"/>
        <v>9</v>
      </c>
      <c r="GG1503" s="101">
        <f t="shared" si="696"/>
        <v>1.9699999999999999E-2</v>
      </c>
      <c r="GH1503" s="101">
        <f t="shared" si="697"/>
        <v>1</v>
      </c>
      <c r="GI1503" s="101">
        <f t="shared" si="698"/>
        <v>18</v>
      </c>
      <c r="GJ1503" s="101">
        <f t="shared" si="699"/>
        <v>7.8899999999999998E-2</v>
      </c>
      <c r="GK1503" s="101">
        <f t="shared" si="700"/>
        <v>1</v>
      </c>
      <c r="GL1503" s="101">
        <f t="shared" si="701"/>
        <v>38</v>
      </c>
    </row>
    <row r="1504" spans="170:194" ht="16.5" x14ac:dyDescent="0.2">
      <c r="FN1504" s="101">
        <v>1499</v>
      </c>
      <c r="FO1504" s="101">
        <f t="shared" si="686"/>
        <v>53</v>
      </c>
      <c r="FP1504" s="101">
        <f t="shared" si="679"/>
        <v>19</v>
      </c>
      <c r="FQ1504" s="14">
        <f t="shared" si="680"/>
        <v>5</v>
      </c>
      <c r="FR1504" s="101" t="str">
        <f t="shared" si="687"/>
        <v>吕布专属武器-魂珠-6 8级</v>
      </c>
      <c r="FS1504" s="101">
        <f t="shared" si="688"/>
        <v>6</v>
      </c>
      <c r="FT1504" s="101">
        <f t="shared" si="689"/>
        <v>8</v>
      </c>
      <c r="FU1504" s="101" t="str">
        <f t="shared" si="681"/>
        <v>金币</v>
      </c>
      <c r="FV1504" s="139">
        <f>IF($FT1504&gt;0,IF(INDEX($EI$6:$EI$77,$FO1504)&gt;=FV$3,ROUND(INDEX(EK$6:EK$77,$FO1504)*INDEX(卡牌消耗!$B$8:$F$8,FQ1504)/5,0)*5,""),"")</f>
        <v>16465</v>
      </c>
      <c r="FW1504" s="101" t="str">
        <f t="shared" si="682"/>
        <v>专属强化石3</v>
      </c>
      <c r="FX1504" s="101">
        <f t="shared" si="683"/>
        <v>35</v>
      </c>
      <c r="FY1504" s="101" t="str">
        <f t="shared" si="684"/>
        <v>专属强化石4</v>
      </c>
      <c r="FZ1504" s="101">
        <f t="shared" si="685"/>
        <v>7</v>
      </c>
      <c r="GA1504" s="101">
        <f t="shared" si="690"/>
        <v>0.03</v>
      </c>
      <c r="GB1504" s="101">
        <f t="shared" si="691"/>
        <v>1</v>
      </c>
      <c r="GC1504" s="101">
        <f t="shared" si="692"/>
        <v>44</v>
      </c>
      <c r="GD1504" s="101">
        <f t="shared" si="693"/>
        <v>0</v>
      </c>
      <c r="GE1504" s="101">
        <f t="shared" si="694"/>
        <v>1</v>
      </c>
      <c r="GF1504" s="101">
        <f t="shared" si="695"/>
        <v>10</v>
      </c>
      <c r="GG1504" s="101">
        <f t="shared" si="696"/>
        <v>1.7100000000000001E-2</v>
      </c>
      <c r="GH1504" s="101">
        <f t="shared" si="697"/>
        <v>1</v>
      </c>
      <c r="GI1504" s="101">
        <f t="shared" si="698"/>
        <v>21</v>
      </c>
      <c r="GJ1504" s="101">
        <f t="shared" si="699"/>
        <v>6.8199999999999997E-2</v>
      </c>
      <c r="GK1504" s="101">
        <f t="shared" si="700"/>
        <v>1</v>
      </c>
      <c r="GL1504" s="101">
        <f t="shared" si="701"/>
        <v>44</v>
      </c>
    </row>
    <row r="1505" spans="170:194" ht="16.5" x14ac:dyDescent="0.2">
      <c r="FN1505" s="101">
        <v>1500</v>
      </c>
      <c r="FO1505" s="101">
        <f t="shared" si="686"/>
        <v>54</v>
      </c>
      <c r="FP1505" s="101">
        <f t="shared" si="679"/>
        <v>19</v>
      </c>
      <c r="FQ1505" s="14">
        <f t="shared" si="680"/>
        <v>5</v>
      </c>
      <c r="FR1505" s="101" t="str">
        <f t="shared" si="687"/>
        <v>吕布专属武器-魂珠-6 9级</v>
      </c>
      <c r="FS1505" s="101">
        <f t="shared" si="688"/>
        <v>6</v>
      </c>
      <c r="FT1505" s="101">
        <f t="shared" si="689"/>
        <v>9</v>
      </c>
      <c r="FU1505" s="101" t="str">
        <f t="shared" si="681"/>
        <v>金币</v>
      </c>
      <c r="FV1505" s="139">
        <f>IF($FT1505&gt;0,IF(INDEX($EI$6:$EI$77,$FO1505)&gt;=FV$3,ROUND(INDEX(EK$6:EK$77,$FO1505)*INDEX(卡牌消耗!$B$8:$F$8,FQ1505)/5,0)*5,""),"")</f>
        <v>18825</v>
      </c>
      <c r="FW1505" s="101" t="str">
        <f t="shared" si="682"/>
        <v>专属强化石3</v>
      </c>
      <c r="FX1505" s="101">
        <f t="shared" si="683"/>
        <v>40</v>
      </c>
      <c r="FY1505" s="101" t="str">
        <f t="shared" si="684"/>
        <v>专属强化石4</v>
      </c>
      <c r="FZ1505" s="101">
        <f t="shared" si="685"/>
        <v>8</v>
      </c>
      <c r="GA1505" s="101">
        <f t="shared" si="690"/>
        <v>0.02</v>
      </c>
      <c r="GB1505" s="101">
        <f t="shared" si="691"/>
        <v>1</v>
      </c>
      <c r="GC1505" s="101">
        <f t="shared" si="692"/>
        <v>62</v>
      </c>
      <c r="GD1505" s="101">
        <f t="shared" si="693"/>
        <v>0</v>
      </c>
      <c r="GE1505" s="101">
        <f t="shared" si="694"/>
        <v>1</v>
      </c>
      <c r="GF1505" s="101">
        <f t="shared" si="695"/>
        <v>15</v>
      </c>
      <c r="GG1505" s="101">
        <f t="shared" si="696"/>
        <v>1.21E-2</v>
      </c>
      <c r="GH1505" s="101">
        <f t="shared" si="697"/>
        <v>1</v>
      </c>
      <c r="GI1505" s="101">
        <f t="shared" si="698"/>
        <v>29</v>
      </c>
      <c r="GJ1505" s="101">
        <f t="shared" si="699"/>
        <v>4.82E-2</v>
      </c>
      <c r="GK1505" s="101">
        <f t="shared" si="700"/>
        <v>1</v>
      </c>
      <c r="GL1505" s="101">
        <f t="shared" si="701"/>
        <v>62</v>
      </c>
    </row>
    <row r="1506" spans="170:194" ht="16.5" x14ac:dyDescent="0.2">
      <c r="FN1506" s="101">
        <v>1501</v>
      </c>
      <c r="FO1506" s="101">
        <f t="shared" si="686"/>
        <v>0</v>
      </c>
      <c r="FP1506" s="101">
        <f t="shared" si="679"/>
        <v>19</v>
      </c>
      <c r="FQ1506" s="14">
        <f t="shared" si="680"/>
        <v>5</v>
      </c>
      <c r="FR1506" s="101" t="str">
        <f t="shared" si="687"/>
        <v>吕布专属武器-魂珠-7 0级</v>
      </c>
      <c r="FS1506" s="101">
        <f t="shared" si="688"/>
        <v>7</v>
      </c>
      <c r="FT1506" s="101">
        <f t="shared" si="689"/>
        <v>0</v>
      </c>
      <c r="FU1506" s="101" t="str">
        <f t="shared" si="681"/>
        <v/>
      </c>
      <c r="FV1506" s="139" t="str">
        <f>IF($FT1506&gt;0,IF(INDEX($EI$6:$EI$77,$FO1506)&gt;=FV$3,ROUND(INDEX(EK$6:EK$77,$FO1506)*INDEX(卡牌消耗!$B$8:$F$8,FQ1506)/5,0)*5,""),"")</f>
        <v/>
      </c>
      <c r="FW1506" s="101" t="str">
        <f t="shared" si="682"/>
        <v/>
      </c>
      <c r="FX1506" s="101" t="str">
        <f t="shared" si="683"/>
        <v/>
      </c>
      <c r="FY1506" s="101" t="str">
        <f t="shared" si="684"/>
        <v/>
      </c>
      <c r="FZ1506" s="101" t="str">
        <f t="shared" si="685"/>
        <v/>
      </c>
      <c r="GA1506" s="101" t="str">
        <f t="shared" si="690"/>
        <v/>
      </c>
      <c r="GB1506" s="101" t="str">
        <f t="shared" si="691"/>
        <v/>
      </c>
      <c r="GC1506" s="101" t="str">
        <f t="shared" si="692"/>
        <v/>
      </c>
      <c r="GD1506" s="101" t="str">
        <f t="shared" si="693"/>
        <v/>
      </c>
      <c r="GE1506" s="101" t="str">
        <f t="shared" si="694"/>
        <v/>
      </c>
      <c r="GF1506" s="101" t="str">
        <f t="shared" si="695"/>
        <v/>
      </c>
      <c r="GG1506" s="101" t="str">
        <f t="shared" si="696"/>
        <v/>
      </c>
      <c r="GH1506" s="101" t="str">
        <f t="shared" si="697"/>
        <v/>
      </c>
      <c r="GI1506" s="101" t="str">
        <f t="shared" si="698"/>
        <v/>
      </c>
      <c r="GJ1506" s="101" t="str">
        <f t="shared" si="699"/>
        <v/>
      </c>
      <c r="GK1506" s="101" t="str">
        <f t="shared" si="700"/>
        <v/>
      </c>
      <c r="GL1506" s="101" t="str">
        <f t="shared" si="701"/>
        <v/>
      </c>
    </row>
    <row r="1507" spans="170:194" ht="16.5" x14ac:dyDescent="0.2">
      <c r="FN1507" s="101">
        <v>1502</v>
      </c>
      <c r="FO1507" s="101">
        <f t="shared" si="686"/>
        <v>55</v>
      </c>
      <c r="FP1507" s="101">
        <f t="shared" si="679"/>
        <v>19</v>
      </c>
      <c r="FQ1507" s="14">
        <f t="shared" si="680"/>
        <v>5</v>
      </c>
      <c r="FR1507" s="101" t="str">
        <f t="shared" si="687"/>
        <v>吕布专属武器-魂珠-7 1级</v>
      </c>
      <c r="FS1507" s="101">
        <f t="shared" si="688"/>
        <v>7</v>
      </c>
      <c r="FT1507" s="101">
        <f t="shared" si="689"/>
        <v>1</v>
      </c>
      <c r="FU1507" s="101" t="str">
        <f t="shared" si="681"/>
        <v>金币</v>
      </c>
      <c r="FV1507" s="139">
        <f>IF($FT1507&gt;0,IF(INDEX($EI$6:$EI$77,$FO1507)&gt;=FV$3,ROUND(INDEX(EK$6:EK$77,$FO1507)*INDEX(卡牌消耗!$B$8:$F$8,FQ1507)/5,0)*5,""),"")</f>
        <v>24175</v>
      </c>
      <c r="FW1507" s="101" t="str">
        <f t="shared" si="682"/>
        <v>专属强化石3</v>
      </c>
      <c r="FX1507" s="101">
        <f t="shared" si="683"/>
        <v>6</v>
      </c>
      <c r="FY1507" s="101" t="str">
        <f t="shared" si="684"/>
        <v>专属强化石4</v>
      </c>
      <c r="FZ1507" s="101">
        <f t="shared" si="685"/>
        <v>2</v>
      </c>
      <c r="GA1507" s="101">
        <f t="shared" si="690"/>
        <v>0.2</v>
      </c>
      <c r="GB1507" s="101">
        <f t="shared" si="691"/>
        <v>1</v>
      </c>
      <c r="GC1507" s="101">
        <f t="shared" si="692"/>
        <v>8</v>
      </c>
      <c r="GD1507" s="101">
        <f t="shared" si="693"/>
        <v>0</v>
      </c>
      <c r="GE1507" s="101">
        <f t="shared" si="694"/>
        <v>1</v>
      </c>
      <c r="GF1507" s="101">
        <f t="shared" si="695"/>
        <v>2</v>
      </c>
      <c r="GG1507" s="101">
        <f t="shared" si="696"/>
        <v>9.9400000000000002E-2</v>
      </c>
      <c r="GH1507" s="101">
        <f t="shared" si="697"/>
        <v>1</v>
      </c>
      <c r="GI1507" s="101">
        <f t="shared" si="698"/>
        <v>4</v>
      </c>
      <c r="GJ1507" s="101">
        <f t="shared" si="699"/>
        <v>0.3977</v>
      </c>
      <c r="GK1507" s="101">
        <f t="shared" si="700"/>
        <v>1</v>
      </c>
      <c r="GL1507" s="101">
        <f t="shared" si="701"/>
        <v>8</v>
      </c>
    </row>
    <row r="1508" spans="170:194" ht="16.5" x14ac:dyDescent="0.2">
      <c r="FN1508" s="101">
        <v>1503</v>
      </c>
      <c r="FO1508" s="101">
        <f t="shared" si="686"/>
        <v>56</v>
      </c>
      <c r="FP1508" s="101">
        <f t="shared" si="679"/>
        <v>19</v>
      </c>
      <c r="FQ1508" s="14">
        <f t="shared" si="680"/>
        <v>5</v>
      </c>
      <c r="FR1508" s="101" t="str">
        <f t="shared" si="687"/>
        <v>吕布专属武器-魂珠-7 2级</v>
      </c>
      <c r="FS1508" s="101">
        <f t="shared" si="688"/>
        <v>7</v>
      </c>
      <c r="FT1508" s="101">
        <f t="shared" si="689"/>
        <v>2</v>
      </c>
      <c r="FU1508" s="101" t="str">
        <f t="shared" si="681"/>
        <v>金币</v>
      </c>
      <c r="FV1508" s="139">
        <f>IF($FT1508&gt;0,IF(INDEX($EI$6:$EI$77,$FO1508)&gt;=FV$3,ROUND(INDEX(EK$6:EK$77,$FO1508)*INDEX(卡牌消耗!$B$8:$F$8,FQ1508)/5,0)*5,""),"")</f>
        <v>18130</v>
      </c>
      <c r="FW1508" s="101" t="str">
        <f t="shared" si="682"/>
        <v>专属强化石3</v>
      </c>
      <c r="FX1508" s="101">
        <f t="shared" si="683"/>
        <v>6</v>
      </c>
      <c r="FY1508" s="101" t="str">
        <f t="shared" si="684"/>
        <v>专属强化石4</v>
      </c>
      <c r="FZ1508" s="101">
        <f t="shared" si="685"/>
        <v>2</v>
      </c>
      <c r="GA1508" s="101">
        <f t="shared" si="690"/>
        <v>0.1</v>
      </c>
      <c r="GB1508" s="101">
        <f t="shared" si="691"/>
        <v>1</v>
      </c>
      <c r="GC1508" s="101">
        <f t="shared" si="692"/>
        <v>15</v>
      </c>
      <c r="GD1508" s="101">
        <f t="shared" si="693"/>
        <v>0</v>
      </c>
      <c r="GE1508" s="101">
        <f t="shared" si="694"/>
        <v>1</v>
      </c>
      <c r="GF1508" s="101">
        <f t="shared" si="695"/>
        <v>4</v>
      </c>
      <c r="GG1508" s="101">
        <f t="shared" si="696"/>
        <v>4.9700000000000001E-2</v>
      </c>
      <c r="GH1508" s="101">
        <f t="shared" si="697"/>
        <v>1</v>
      </c>
      <c r="GI1508" s="101">
        <f t="shared" si="698"/>
        <v>7</v>
      </c>
      <c r="GJ1508" s="101">
        <f t="shared" si="699"/>
        <v>0.19889999999999999</v>
      </c>
      <c r="GK1508" s="101">
        <f t="shared" si="700"/>
        <v>1</v>
      </c>
      <c r="GL1508" s="101">
        <f t="shared" si="701"/>
        <v>15</v>
      </c>
    </row>
    <row r="1509" spans="170:194" ht="16.5" x14ac:dyDescent="0.2">
      <c r="FN1509" s="101">
        <v>1504</v>
      </c>
      <c r="FO1509" s="101">
        <f t="shared" si="686"/>
        <v>57</v>
      </c>
      <c r="FP1509" s="101">
        <f t="shared" si="679"/>
        <v>19</v>
      </c>
      <c r="FQ1509" s="14">
        <f t="shared" si="680"/>
        <v>5</v>
      </c>
      <c r="FR1509" s="101" t="str">
        <f t="shared" si="687"/>
        <v>吕布专属武器-魂珠-7 3级</v>
      </c>
      <c r="FS1509" s="101">
        <f t="shared" si="688"/>
        <v>7</v>
      </c>
      <c r="FT1509" s="101">
        <f t="shared" si="689"/>
        <v>3</v>
      </c>
      <c r="FU1509" s="101" t="str">
        <f t="shared" si="681"/>
        <v>金币</v>
      </c>
      <c r="FV1509" s="139">
        <f>IF($FT1509&gt;0,IF(INDEX($EI$6:$EI$77,$FO1509)&gt;=FV$3,ROUND(INDEX(EK$6:EK$77,$FO1509)*INDEX(卡牌消耗!$B$8:$F$8,FQ1509)/5,0)*5,""),"")</f>
        <v>30220</v>
      </c>
      <c r="FW1509" s="101" t="str">
        <f t="shared" si="682"/>
        <v>专属强化石3</v>
      </c>
      <c r="FX1509" s="101">
        <f t="shared" si="683"/>
        <v>9</v>
      </c>
      <c r="FY1509" s="101" t="str">
        <f t="shared" si="684"/>
        <v>专属强化石4</v>
      </c>
      <c r="FZ1509" s="101">
        <f t="shared" si="685"/>
        <v>3</v>
      </c>
      <c r="GA1509" s="101">
        <f t="shared" si="690"/>
        <v>0.1</v>
      </c>
      <c r="GB1509" s="101">
        <f t="shared" si="691"/>
        <v>1</v>
      </c>
      <c r="GC1509" s="101">
        <f t="shared" si="692"/>
        <v>15</v>
      </c>
      <c r="GD1509" s="101">
        <f t="shared" si="693"/>
        <v>0</v>
      </c>
      <c r="GE1509" s="101">
        <f t="shared" si="694"/>
        <v>1</v>
      </c>
      <c r="GF1509" s="101">
        <f t="shared" si="695"/>
        <v>4</v>
      </c>
      <c r="GG1509" s="101">
        <f t="shared" si="696"/>
        <v>4.9700000000000001E-2</v>
      </c>
      <c r="GH1509" s="101">
        <f t="shared" si="697"/>
        <v>1</v>
      </c>
      <c r="GI1509" s="101">
        <f t="shared" si="698"/>
        <v>7</v>
      </c>
      <c r="GJ1509" s="101">
        <f t="shared" si="699"/>
        <v>0.19889999999999999</v>
      </c>
      <c r="GK1509" s="101">
        <f t="shared" si="700"/>
        <v>1</v>
      </c>
      <c r="GL1509" s="101">
        <f t="shared" si="701"/>
        <v>15</v>
      </c>
    </row>
    <row r="1510" spans="170:194" ht="16.5" x14ac:dyDescent="0.2">
      <c r="FN1510" s="101">
        <v>1505</v>
      </c>
      <c r="FO1510" s="101">
        <f t="shared" si="686"/>
        <v>58</v>
      </c>
      <c r="FP1510" s="101">
        <f t="shared" si="679"/>
        <v>19</v>
      </c>
      <c r="FQ1510" s="14">
        <f t="shared" si="680"/>
        <v>5</v>
      </c>
      <c r="FR1510" s="101" t="str">
        <f t="shared" si="687"/>
        <v>吕布专属武器-魂珠-7 4级</v>
      </c>
      <c r="FS1510" s="101">
        <f t="shared" si="688"/>
        <v>7</v>
      </c>
      <c r="FT1510" s="101">
        <f t="shared" si="689"/>
        <v>4</v>
      </c>
      <c r="FU1510" s="101" t="str">
        <f t="shared" si="681"/>
        <v>金币</v>
      </c>
      <c r="FV1510" s="139">
        <f>IF($FT1510&gt;0,IF(INDEX($EI$6:$EI$77,$FO1510)&gt;=FV$3,ROUND(INDEX(EK$6:EK$77,$FO1510)*INDEX(卡牌消耗!$B$8:$F$8,FQ1510)/5,0)*5,""),"")</f>
        <v>38680</v>
      </c>
      <c r="FW1510" s="101" t="str">
        <f t="shared" si="682"/>
        <v>专属强化石3</v>
      </c>
      <c r="FX1510" s="101">
        <f t="shared" si="683"/>
        <v>12</v>
      </c>
      <c r="FY1510" s="101" t="str">
        <f t="shared" si="684"/>
        <v>专属强化石4</v>
      </c>
      <c r="FZ1510" s="101">
        <f t="shared" si="685"/>
        <v>4</v>
      </c>
      <c r="GA1510" s="101">
        <f t="shared" si="690"/>
        <v>0.08</v>
      </c>
      <c r="GB1510" s="101">
        <f t="shared" si="691"/>
        <v>1</v>
      </c>
      <c r="GC1510" s="101">
        <f t="shared" si="692"/>
        <v>19</v>
      </c>
      <c r="GD1510" s="101">
        <f t="shared" si="693"/>
        <v>0</v>
      </c>
      <c r="GE1510" s="101">
        <f t="shared" si="694"/>
        <v>1</v>
      </c>
      <c r="GF1510" s="101">
        <f t="shared" si="695"/>
        <v>4</v>
      </c>
      <c r="GG1510" s="101">
        <f t="shared" si="696"/>
        <v>3.9800000000000002E-2</v>
      </c>
      <c r="GH1510" s="101">
        <f t="shared" si="697"/>
        <v>1</v>
      </c>
      <c r="GI1510" s="101">
        <f t="shared" si="698"/>
        <v>9</v>
      </c>
      <c r="GJ1510" s="101">
        <f t="shared" si="699"/>
        <v>0.15909999999999999</v>
      </c>
      <c r="GK1510" s="101">
        <f t="shared" si="700"/>
        <v>1</v>
      </c>
      <c r="GL1510" s="101">
        <f t="shared" si="701"/>
        <v>19</v>
      </c>
    </row>
    <row r="1511" spans="170:194" ht="16.5" x14ac:dyDescent="0.2">
      <c r="FN1511" s="101">
        <v>1506</v>
      </c>
      <c r="FO1511" s="101">
        <f t="shared" si="686"/>
        <v>59</v>
      </c>
      <c r="FP1511" s="101">
        <f t="shared" si="679"/>
        <v>19</v>
      </c>
      <c r="FQ1511" s="14">
        <f t="shared" si="680"/>
        <v>5</v>
      </c>
      <c r="FR1511" s="101" t="str">
        <f t="shared" si="687"/>
        <v>吕布专属武器-魂珠-7 5级</v>
      </c>
      <c r="FS1511" s="101">
        <f t="shared" si="688"/>
        <v>7</v>
      </c>
      <c r="FT1511" s="101">
        <f t="shared" si="689"/>
        <v>5</v>
      </c>
      <c r="FU1511" s="101" t="str">
        <f t="shared" si="681"/>
        <v>金币</v>
      </c>
      <c r="FV1511" s="139">
        <f>IF($FT1511&gt;0,IF(INDEX($EI$6:$EI$77,$FO1511)&gt;=FV$3,ROUND(INDEX(EK$6:EK$77,$FO1511)*INDEX(卡牌消耗!$B$8:$F$8,FQ1511)/5,0)*5,""),"")</f>
        <v>39285</v>
      </c>
      <c r="FW1511" s="101" t="str">
        <f t="shared" si="682"/>
        <v>专属强化石3</v>
      </c>
      <c r="FX1511" s="101">
        <f t="shared" si="683"/>
        <v>12</v>
      </c>
      <c r="FY1511" s="101" t="str">
        <f t="shared" si="684"/>
        <v>专属强化石4</v>
      </c>
      <c r="FZ1511" s="101">
        <f t="shared" si="685"/>
        <v>4</v>
      </c>
      <c r="GA1511" s="101">
        <f t="shared" si="690"/>
        <v>0.05</v>
      </c>
      <c r="GB1511" s="101">
        <f t="shared" si="691"/>
        <v>1</v>
      </c>
      <c r="GC1511" s="101">
        <f t="shared" si="692"/>
        <v>30</v>
      </c>
      <c r="GD1511" s="101">
        <f t="shared" si="693"/>
        <v>0</v>
      </c>
      <c r="GE1511" s="101">
        <f t="shared" si="694"/>
        <v>1</v>
      </c>
      <c r="GF1511" s="101">
        <f t="shared" si="695"/>
        <v>7</v>
      </c>
      <c r="GG1511" s="101">
        <f t="shared" si="696"/>
        <v>2.4899999999999999E-2</v>
      </c>
      <c r="GH1511" s="101">
        <f t="shared" si="697"/>
        <v>1</v>
      </c>
      <c r="GI1511" s="101">
        <f t="shared" si="698"/>
        <v>14</v>
      </c>
      <c r="GJ1511" s="101">
        <f t="shared" si="699"/>
        <v>9.9400000000000002E-2</v>
      </c>
      <c r="GK1511" s="101">
        <f t="shared" si="700"/>
        <v>1</v>
      </c>
      <c r="GL1511" s="101">
        <f t="shared" si="701"/>
        <v>30</v>
      </c>
    </row>
    <row r="1512" spans="170:194" ht="16.5" x14ac:dyDescent="0.2">
      <c r="FN1512" s="101">
        <v>1507</v>
      </c>
      <c r="FO1512" s="101">
        <f t="shared" si="686"/>
        <v>60</v>
      </c>
      <c r="FP1512" s="101">
        <f t="shared" si="679"/>
        <v>19</v>
      </c>
      <c r="FQ1512" s="14">
        <f t="shared" si="680"/>
        <v>5</v>
      </c>
      <c r="FR1512" s="101" t="str">
        <f t="shared" si="687"/>
        <v>吕布专属武器-魂珠-7 6级</v>
      </c>
      <c r="FS1512" s="101">
        <f t="shared" si="688"/>
        <v>7</v>
      </c>
      <c r="FT1512" s="101">
        <f t="shared" si="689"/>
        <v>6</v>
      </c>
      <c r="FU1512" s="101" t="str">
        <f t="shared" si="681"/>
        <v>金币</v>
      </c>
      <c r="FV1512" s="139">
        <f>IF($FT1512&gt;0,IF(INDEX($EI$6:$EI$77,$FO1512)&gt;=FV$3,ROUND(INDEX(EK$6:EK$77,$FO1512)*INDEX(卡牌消耗!$B$8:$F$8,FQ1512)/5,0)*5,""),"")</f>
        <v>48815</v>
      </c>
      <c r="FW1512" s="101" t="str">
        <f t="shared" si="682"/>
        <v>专属强化石3</v>
      </c>
      <c r="FX1512" s="101">
        <f t="shared" si="683"/>
        <v>15</v>
      </c>
      <c r="FY1512" s="101" t="str">
        <f t="shared" si="684"/>
        <v>专属强化石4</v>
      </c>
      <c r="FZ1512" s="101">
        <f t="shared" si="685"/>
        <v>5</v>
      </c>
      <c r="GA1512" s="101">
        <f t="shared" si="690"/>
        <v>0.04</v>
      </c>
      <c r="GB1512" s="101">
        <f t="shared" si="691"/>
        <v>1</v>
      </c>
      <c r="GC1512" s="101">
        <f t="shared" si="692"/>
        <v>39</v>
      </c>
      <c r="GD1512" s="101">
        <f t="shared" si="693"/>
        <v>0</v>
      </c>
      <c r="GE1512" s="101">
        <f t="shared" si="694"/>
        <v>1</v>
      </c>
      <c r="GF1512" s="101">
        <f t="shared" si="695"/>
        <v>9</v>
      </c>
      <c r="GG1512" s="101">
        <f t="shared" si="696"/>
        <v>1.9099999999999999E-2</v>
      </c>
      <c r="GH1512" s="101">
        <f t="shared" si="697"/>
        <v>1</v>
      </c>
      <c r="GI1512" s="101">
        <f t="shared" si="698"/>
        <v>18</v>
      </c>
      <c r="GJ1512" s="101">
        <f t="shared" si="699"/>
        <v>7.6499999999999999E-2</v>
      </c>
      <c r="GK1512" s="101">
        <f t="shared" si="700"/>
        <v>1</v>
      </c>
      <c r="GL1512" s="101">
        <f t="shared" si="701"/>
        <v>39</v>
      </c>
    </row>
    <row r="1513" spans="170:194" ht="16.5" x14ac:dyDescent="0.2">
      <c r="FN1513" s="101">
        <v>1508</v>
      </c>
      <c r="FO1513" s="101">
        <f t="shared" si="686"/>
        <v>61</v>
      </c>
      <c r="FP1513" s="101">
        <f t="shared" si="679"/>
        <v>19</v>
      </c>
      <c r="FQ1513" s="14">
        <f t="shared" si="680"/>
        <v>5</v>
      </c>
      <c r="FR1513" s="101" t="str">
        <f t="shared" si="687"/>
        <v>吕布专属武器-魂珠-7 7级</v>
      </c>
      <c r="FS1513" s="101">
        <f t="shared" si="688"/>
        <v>7</v>
      </c>
      <c r="FT1513" s="101">
        <f t="shared" si="689"/>
        <v>7</v>
      </c>
      <c r="FU1513" s="101" t="str">
        <f t="shared" si="681"/>
        <v>金币</v>
      </c>
      <c r="FV1513" s="139">
        <f>IF($FT1513&gt;0,IF(INDEX($EI$6:$EI$77,$FO1513)&gt;=FV$3,ROUND(INDEX(EK$6:EK$77,$FO1513)*INDEX(卡牌消耗!$B$8:$F$8,FQ1513)/5,0)*5,""),"")</f>
        <v>68495</v>
      </c>
      <c r="FW1513" s="101" t="str">
        <f t="shared" si="682"/>
        <v>专属强化石3</v>
      </c>
      <c r="FX1513" s="101">
        <f t="shared" si="683"/>
        <v>21</v>
      </c>
      <c r="FY1513" s="101" t="str">
        <f t="shared" si="684"/>
        <v>专属强化石4</v>
      </c>
      <c r="FZ1513" s="101">
        <f t="shared" si="685"/>
        <v>7</v>
      </c>
      <c r="GA1513" s="101">
        <f t="shared" si="690"/>
        <v>0.03</v>
      </c>
      <c r="GB1513" s="101">
        <f t="shared" si="691"/>
        <v>1</v>
      </c>
      <c r="GC1513" s="101">
        <f t="shared" si="692"/>
        <v>45</v>
      </c>
      <c r="GD1513" s="101">
        <f t="shared" si="693"/>
        <v>0</v>
      </c>
      <c r="GE1513" s="101">
        <f t="shared" si="694"/>
        <v>1</v>
      </c>
      <c r="GF1513" s="101">
        <f t="shared" si="695"/>
        <v>11</v>
      </c>
      <c r="GG1513" s="101">
        <f t="shared" si="696"/>
        <v>1.66E-2</v>
      </c>
      <c r="GH1513" s="101">
        <f t="shared" si="697"/>
        <v>1</v>
      </c>
      <c r="GI1513" s="101">
        <f t="shared" si="698"/>
        <v>21</v>
      </c>
      <c r="GJ1513" s="101">
        <f t="shared" si="699"/>
        <v>6.6299999999999998E-2</v>
      </c>
      <c r="GK1513" s="101">
        <f t="shared" si="700"/>
        <v>1</v>
      </c>
      <c r="GL1513" s="101">
        <f t="shared" si="701"/>
        <v>45</v>
      </c>
    </row>
    <row r="1514" spans="170:194" ht="16.5" x14ac:dyDescent="0.2">
      <c r="FN1514" s="101">
        <v>1509</v>
      </c>
      <c r="FO1514" s="101">
        <f t="shared" si="686"/>
        <v>62</v>
      </c>
      <c r="FP1514" s="101">
        <f t="shared" si="679"/>
        <v>19</v>
      </c>
      <c r="FQ1514" s="14">
        <f t="shared" si="680"/>
        <v>5</v>
      </c>
      <c r="FR1514" s="101" t="str">
        <f t="shared" si="687"/>
        <v>吕布专属武器-魂珠-7 8级</v>
      </c>
      <c r="FS1514" s="101">
        <f t="shared" si="688"/>
        <v>7</v>
      </c>
      <c r="FT1514" s="101">
        <f t="shared" si="689"/>
        <v>8</v>
      </c>
      <c r="FU1514" s="101" t="str">
        <f t="shared" si="681"/>
        <v>金币</v>
      </c>
      <c r="FV1514" s="139">
        <f>IF($FT1514&gt;0,IF(INDEX($EI$6:$EI$77,$FO1514)&gt;=FV$3,ROUND(INDEX(EK$6:EK$77,$FO1514)*INDEX(卡牌消耗!$B$8:$F$8,FQ1514)/5,0)*5,""),"")</f>
        <v>78215</v>
      </c>
      <c r="FW1514" s="101" t="str">
        <f t="shared" si="682"/>
        <v>专属强化石3</v>
      </c>
      <c r="FX1514" s="101">
        <f t="shared" si="683"/>
        <v>24</v>
      </c>
      <c r="FY1514" s="101" t="str">
        <f t="shared" si="684"/>
        <v>专属强化石4</v>
      </c>
      <c r="FZ1514" s="101">
        <f t="shared" si="685"/>
        <v>8</v>
      </c>
      <c r="GA1514" s="101">
        <f t="shared" si="690"/>
        <v>0.02</v>
      </c>
      <c r="GB1514" s="101">
        <f t="shared" si="691"/>
        <v>1</v>
      </c>
      <c r="GC1514" s="101">
        <f t="shared" si="692"/>
        <v>64</v>
      </c>
      <c r="GD1514" s="101">
        <f t="shared" si="693"/>
        <v>0</v>
      </c>
      <c r="GE1514" s="101">
        <f t="shared" si="694"/>
        <v>1</v>
      </c>
      <c r="GF1514" s="101">
        <f t="shared" si="695"/>
        <v>15</v>
      </c>
      <c r="GG1514" s="101">
        <f t="shared" si="696"/>
        <v>1.17E-2</v>
      </c>
      <c r="GH1514" s="101">
        <f t="shared" si="697"/>
        <v>1</v>
      </c>
      <c r="GI1514" s="101">
        <f t="shared" si="698"/>
        <v>30</v>
      </c>
      <c r="GJ1514" s="101">
        <f t="shared" si="699"/>
        <v>4.6800000000000001E-2</v>
      </c>
      <c r="GK1514" s="101">
        <f t="shared" si="700"/>
        <v>1</v>
      </c>
      <c r="GL1514" s="101">
        <f t="shared" si="701"/>
        <v>64</v>
      </c>
    </row>
    <row r="1515" spans="170:194" ht="16.5" x14ac:dyDescent="0.2">
      <c r="FN1515" s="101">
        <v>1510</v>
      </c>
      <c r="FO1515" s="101">
        <f t="shared" si="686"/>
        <v>63</v>
      </c>
      <c r="FP1515" s="101">
        <f t="shared" si="679"/>
        <v>19</v>
      </c>
      <c r="FQ1515" s="14">
        <f t="shared" si="680"/>
        <v>5</v>
      </c>
      <c r="FR1515" s="101" t="str">
        <f t="shared" si="687"/>
        <v>吕布专属武器-魂珠-7 9级</v>
      </c>
      <c r="FS1515" s="101">
        <f t="shared" si="688"/>
        <v>7</v>
      </c>
      <c r="FT1515" s="101">
        <f t="shared" si="689"/>
        <v>9</v>
      </c>
      <c r="FU1515" s="101" t="str">
        <f t="shared" si="681"/>
        <v>金币</v>
      </c>
      <c r="FV1515" s="139">
        <f>IF($FT1515&gt;0,IF(INDEX($EI$6:$EI$77,$FO1515)&gt;=FV$3,ROUND(INDEX(EK$6:EK$77,$FO1515)*INDEX(卡牌消耗!$B$8:$F$8,FQ1515)/5,0)*5,""),"")</f>
        <v>97800</v>
      </c>
      <c r="FW1515" s="101" t="str">
        <f t="shared" si="682"/>
        <v>专属强化石3</v>
      </c>
      <c r="FX1515" s="101">
        <f t="shared" si="683"/>
        <v>30</v>
      </c>
      <c r="FY1515" s="101" t="str">
        <f t="shared" si="684"/>
        <v>专属强化石4</v>
      </c>
      <c r="FZ1515" s="101">
        <f t="shared" si="685"/>
        <v>10</v>
      </c>
      <c r="GA1515" s="101">
        <f t="shared" si="690"/>
        <v>0.02</v>
      </c>
      <c r="GB1515" s="101">
        <f t="shared" si="691"/>
        <v>1</v>
      </c>
      <c r="GC1515" s="101">
        <f t="shared" si="692"/>
        <v>83</v>
      </c>
      <c r="GD1515" s="101">
        <f t="shared" si="693"/>
        <v>0</v>
      </c>
      <c r="GE1515" s="101">
        <f t="shared" si="694"/>
        <v>1</v>
      </c>
      <c r="GF1515" s="101">
        <f t="shared" si="695"/>
        <v>19</v>
      </c>
      <c r="GG1515" s="101">
        <f t="shared" si="696"/>
        <v>8.9999999999999993E-3</v>
      </c>
      <c r="GH1515" s="101">
        <f t="shared" si="697"/>
        <v>1</v>
      </c>
      <c r="GI1515" s="101">
        <f t="shared" si="698"/>
        <v>39</v>
      </c>
      <c r="GJ1515" s="101">
        <f t="shared" si="699"/>
        <v>3.6200000000000003E-2</v>
      </c>
      <c r="GK1515" s="101">
        <f t="shared" si="700"/>
        <v>1</v>
      </c>
      <c r="GL1515" s="101">
        <f t="shared" si="701"/>
        <v>83</v>
      </c>
    </row>
    <row r="1516" spans="170:194" ht="16.5" x14ac:dyDescent="0.2">
      <c r="FN1516" s="101">
        <v>1511</v>
      </c>
      <c r="FO1516" s="101">
        <f t="shared" si="686"/>
        <v>0</v>
      </c>
      <c r="FP1516" s="101">
        <f t="shared" si="679"/>
        <v>19</v>
      </c>
      <c r="FQ1516" s="14">
        <f t="shared" si="680"/>
        <v>5</v>
      </c>
      <c r="FR1516" s="101" t="str">
        <f t="shared" si="687"/>
        <v>吕布专属武器-魂珠-8 0级</v>
      </c>
      <c r="FS1516" s="101">
        <f t="shared" si="688"/>
        <v>8</v>
      </c>
      <c r="FT1516" s="101">
        <f t="shared" si="689"/>
        <v>0</v>
      </c>
      <c r="FU1516" s="101" t="str">
        <f t="shared" si="681"/>
        <v/>
      </c>
      <c r="FV1516" s="139" t="str">
        <f>IF($FT1516&gt;0,IF(INDEX($EI$6:$EI$77,$FO1516)&gt;=FV$3,ROUND(INDEX(EK$6:EK$77,$FO1516)*INDEX(卡牌消耗!$B$8:$F$8,FQ1516)/5,0)*5,""),"")</f>
        <v/>
      </c>
      <c r="FW1516" s="101" t="str">
        <f t="shared" si="682"/>
        <v/>
      </c>
      <c r="FX1516" s="101" t="str">
        <f t="shared" si="683"/>
        <v/>
      </c>
      <c r="FY1516" s="101" t="str">
        <f t="shared" si="684"/>
        <v/>
      </c>
      <c r="FZ1516" s="101" t="str">
        <f t="shared" si="685"/>
        <v/>
      </c>
      <c r="GA1516" s="101" t="str">
        <f t="shared" si="690"/>
        <v/>
      </c>
      <c r="GB1516" s="101" t="str">
        <f t="shared" si="691"/>
        <v/>
      </c>
      <c r="GC1516" s="101" t="str">
        <f t="shared" si="692"/>
        <v/>
      </c>
      <c r="GD1516" s="101" t="str">
        <f t="shared" si="693"/>
        <v/>
      </c>
      <c r="GE1516" s="101" t="str">
        <f t="shared" si="694"/>
        <v/>
      </c>
      <c r="GF1516" s="101" t="str">
        <f t="shared" si="695"/>
        <v/>
      </c>
      <c r="GG1516" s="101" t="str">
        <f t="shared" si="696"/>
        <v/>
      </c>
      <c r="GH1516" s="101" t="str">
        <f t="shared" si="697"/>
        <v/>
      </c>
      <c r="GI1516" s="101" t="str">
        <f t="shared" si="698"/>
        <v/>
      </c>
      <c r="GJ1516" s="101" t="str">
        <f t="shared" si="699"/>
        <v/>
      </c>
      <c r="GK1516" s="101" t="str">
        <f t="shared" si="700"/>
        <v/>
      </c>
      <c r="GL1516" s="101" t="str">
        <f t="shared" si="701"/>
        <v/>
      </c>
    </row>
    <row r="1517" spans="170:194" ht="16.5" x14ac:dyDescent="0.2">
      <c r="FN1517" s="101">
        <v>1512</v>
      </c>
      <c r="FO1517" s="101">
        <f t="shared" si="686"/>
        <v>64</v>
      </c>
      <c r="FP1517" s="101">
        <f t="shared" si="679"/>
        <v>19</v>
      </c>
      <c r="FQ1517" s="14">
        <f t="shared" si="680"/>
        <v>5</v>
      </c>
      <c r="FR1517" s="101" t="str">
        <f t="shared" si="687"/>
        <v>吕布专属武器-魂珠-8 1级</v>
      </c>
      <c r="FS1517" s="101">
        <f t="shared" si="688"/>
        <v>8</v>
      </c>
      <c r="FT1517" s="101">
        <f t="shared" si="689"/>
        <v>1</v>
      </c>
      <c r="FU1517" s="101" t="str">
        <f t="shared" si="681"/>
        <v>金币</v>
      </c>
      <c r="FV1517" s="139">
        <f>IF($FT1517&gt;0,IF(INDEX($EI$6:$EI$77,$FO1517)&gt;=FV$3,ROUND(INDEX(EK$6:EK$77,$FO1517)*INDEX(卡牌消耗!$B$8:$F$8,FQ1517)/5,0)*5,""),"")</f>
        <v>20605</v>
      </c>
      <c r="FW1517" s="101" t="str">
        <f t="shared" si="682"/>
        <v>专属强化石4</v>
      </c>
      <c r="FX1517" s="101">
        <f t="shared" si="683"/>
        <v>5</v>
      </c>
      <c r="FY1517" s="101" t="str">
        <f t="shared" si="684"/>
        <v/>
      </c>
      <c r="FZ1517" s="101" t="str">
        <f t="shared" si="685"/>
        <v/>
      </c>
      <c r="GA1517" s="101">
        <f t="shared" si="690"/>
        <v>0.11</v>
      </c>
      <c r="GB1517" s="101">
        <f t="shared" si="691"/>
        <v>1</v>
      </c>
      <c r="GC1517" s="101">
        <f t="shared" si="692"/>
        <v>13</v>
      </c>
      <c r="GD1517" s="101">
        <f t="shared" si="693"/>
        <v>0</v>
      </c>
      <c r="GE1517" s="101">
        <f t="shared" si="694"/>
        <v>1</v>
      </c>
      <c r="GF1517" s="101">
        <f t="shared" si="695"/>
        <v>3</v>
      </c>
      <c r="GG1517" s="101">
        <f t="shared" si="696"/>
        <v>5.6500000000000002E-2</v>
      </c>
      <c r="GH1517" s="101">
        <f t="shared" si="697"/>
        <v>1</v>
      </c>
      <c r="GI1517" s="101">
        <f t="shared" si="698"/>
        <v>6</v>
      </c>
      <c r="GJ1517" s="101">
        <f t="shared" si="699"/>
        <v>0.22600000000000001</v>
      </c>
      <c r="GK1517" s="101">
        <f t="shared" si="700"/>
        <v>1</v>
      </c>
      <c r="GL1517" s="101">
        <f t="shared" si="701"/>
        <v>13</v>
      </c>
    </row>
    <row r="1518" spans="170:194" ht="16.5" x14ac:dyDescent="0.2">
      <c r="FN1518" s="101">
        <v>1513</v>
      </c>
      <c r="FO1518" s="101">
        <f t="shared" si="686"/>
        <v>65</v>
      </c>
      <c r="FP1518" s="101">
        <f t="shared" si="679"/>
        <v>19</v>
      </c>
      <c r="FQ1518" s="14">
        <f t="shared" si="680"/>
        <v>5</v>
      </c>
      <c r="FR1518" s="101" t="str">
        <f t="shared" si="687"/>
        <v>吕布专属武器-魂珠-8 2级</v>
      </c>
      <c r="FS1518" s="101">
        <f t="shared" si="688"/>
        <v>8</v>
      </c>
      <c r="FT1518" s="101">
        <f t="shared" si="689"/>
        <v>2</v>
      </c>
      <c r="FU1518" s="101" t="str">
        <f t="shared" si="681"/>
        <v>金币</v>
      </c>
      <c r="FV1518" s="139">
        <f>IF($FT1518&gt;0,IF(INDEX($EI$6:$EI$77,$FO1518)&gt;=FV$3,ROUND(INDEX(EK$6:EK$77,$FO1518)*INDEX(卡牌消耗!$B$8:$F$8,FQ1518)/5,0)*5,""),"")</f>
        <v>24725</v>
      </c>
      <c r="FW1518" s="101" t="str">
        <f t="shared" si="682"/>
        <v>专属强化石4</v>
      </c>
      <c r="FX1518" s="101">
        <f t="shared" si="683"/>
        <v>8</v>
      </c>
      <c r="FY1518" s="101" t="str">
        <f t="shared" si="684"/>
        <v/>
      </c>
      <c r="FZ1518" s="101" t="str">
        <f t="shared" si="685"/>
        <v/>
      </c>
      <c r="GA1518" s="101">
        <f t="shared" si="690"/>
        <v>0.09</v>
      </c>
      <c r="GB1518" s="101">
        <f t="shared" si="691"/>
        <v>1</v>
      </c>
      <c r="GC1518" s="101">
        <f t="shared" si="692"/>
        <v>17</v>
      </c>
      <c r="GD1518" s="101">
        <f t="shared" si="693"/>
        <v>0</v>
      </c>
      <c r="GE1518" s="101">
        <f t="shared" si="694"/>
        <v>1</v>
      </c>
      <c r="GF1518" s="101">
        <f t="shared" si="695"/>
        <v>4</v>
      </c>
      <c r="GG1518" s="101">
        <f t="shared" si="696"/>
        <v>4.5199999999999997E-2</v>
      </c>
      <c r="GH1518" s="101">
        <f t="shared" si="697"/>
        <v>1</v>
      </c>
      <c r="GI1518" s="101">
        <f t="shared" si="698"/>
        <v>8</v>
      </c>
      <c r="GJ1518" s="101">
        <f t="shared" si="699"/>
        <v>0.18079999999999999</v>
      </c>
      <c r="GK1518" s="101">
        <f t="shared" si="700"/>
        <v>1</v>
      </c>
      <c r="GL1518" s="101">
        <f t="shared" si="701"/>
        <v>17</v>
      </c>
    </row>
    <row r="1519" spans="170:194" ht="16.5" x14ac:dyDescent="0.2">
      <c r="FN1519" s="101">
        <v>1514</v>
      </c>
      <c r="FO1519" s="101">
        <f t="shared" si="686"/>
        <v>66</v>
      </c>
      <c r="FP1519" s="101">
        <f t="shared" si="679"/>
        <v>19</v>
      </c>
      <c r="FQ1519" s="14">
        <f t="shared" si="680"/>
        <v>5</v>
      </c>
      <c r="FR1519" s="101" t="str">
        <f t="shared" si="687"/>
        <v>吕布专属武器-魂珠-8 3级</v>
      </c>
      <c r="FS1519" s="101">
        <f t="shared" si="688"/>
        <v>8</v>
      </c>
      <c r="FT1519" s="101">
        <f t="shared" si="689"/>
        <v>3</v>
      </c>
      <c r="FU1519" s="101" t="str">
        <f t="shared" si="681"/>
        <v>金币</v>
      </c>
      <c r="FV1519" s="139">
        <f>IF($FT1519&gt;0,IF(INDEX($EI$6:$EI$77,$FO1519)&gt;=FV$3,ROUND(INDEX(EK$6:EK$77,$FO1519)*INDEX(卡牌消耗!$B$8:$F$8,FQ1519)/5,0)*5,""),"")</f>
        <v>34340</v>
      </c>
      <c r="FW1519" s="101" t="str">
        <f t="shared" si="682"/>
        <v>专属强化石4</v>
      </c>
      <c r="FX1519" s="101">
        <f t="shared" si="683"/>
        <v>10</v>
      </c>
      <c r="FY1519" s="101" t="str">
        <f t="shared" si="684"/>
        <v/>
      </c>
      <c r="FZ1519" s="101" t="str">
        <f t="shared" si="685"/>
        <v/>
      </c>
      <c r="GA1519" s="101">
        <f t="shared" si="690"/>
        <v>0.08</v>
      </c>
      <c r="GB1519" s="101">
        <f t="shared" si="691"/>
        <v>1</v>
      </c>
      <c r="GC1519" s="101">
        <f t="shared" si="692"/>
        <v>20</v>
      </c>
      <c r="GD1519" s="101">
        <f t="shared" si="693"/>
        <v>0</v>
      </c>
      <c r="GE1519" s="101">
        <f t="shared" si="694"/>
        <v>1</v>
      </c>
      <c r="GF1519" s="101">
        <f t="shared" si="695"/>
        <v>5</v>
      </c>
      <c r="GG1519" s="101">
        <f t="shared" si="696"/>
        <v>3.7699999999999997E-2</v>
      </c>
      <c r="GH1519" s="101">
        <f t="shared" si="697"/>
        <v>1</v>
      </c>
      <c r="GI1519" s="101">
        <f t="shared" si="698"/>
        <v>9</v>
      </c>
      <c r="GJ1519" s="101">
        <f t="shared" si="699"/>
        <v>0.1507</v>
      </c>
      <c r="GK1519" s="101">
        <f t="shared" si="700"/>
        <v>1</v>
      </c>
      <c r="GL1519" s="101">
        <f t="shared" si="701"/>
        <v>20</v>
      </c>
    </row>
    <row r="1520" spans="170:194" ht="16.5" x14ac:dyDescent="0.2">
      <c r="FN1520" s="101">
        <v>1515</v>
      </c>
      <c r="FO1520" s="101">
        <f t="shared" si="686"/>
        <v>67</v>
      </c>
      <c r="FP1520" s="101">
        <f t="shared" si="679"/>
        <v>19</v>
      </c>
      <c r="FQ1520" s="14">
        <f t="shared" si="680"/>
        <v>5</v>
      </c>
      <c r="FR1520" s="101" t="str">
        <f t="shared" si="687"/>
        <v>吕布专属武器-魂珠-8 4级</v>
      </c>
      <c r="FS1520" s="101">
        <f t="shared" si="688"/>
        <v>8</v>
      </c>
      <c r="FT1520" s="101">
        <f t="shared" si="689"/>
        <v>4</v>
      </c>
      <c r="FU1520" s="101" t="str">
        <f t="shared" si="681"/>
        <v>金币</v>
      </c>
      <c r="FV1520" s="139">
        <f>IF($FT1520&gt;0,IF(INDEX($EI$6:$EI$77,$FO1520)&gt;=FV$3,ROUND(INDEX(EK$6:EK$77,$FO1520)*INDEX(卡牌消耗!$B$8:$F$8,FQ1520)/5,0)*5,""),"")</f>
        <v>39560</v>
      </c>
      <c r="FW1520" s="101" t="str">
        <f t="shared" si="682"/>
        <v>专属强化石4</v>
      </c>
      <c r="FX1520" s="101">
        <f t="shared" si="683"/>
        <v>12</v>
      </c>
      <c r="FY1520" s="101" t="str">
        <f t="shared" si="684"/>
        <v/>
      </c>
      <c r="FZ1520" s="101" t="str">
        <f t="shared" si="685"/>
        <v/>
      </c>
      <c r="GA1520" s="101">
        <f t="shared" si="690"/>
        <v>0.05</v>
      </c>
      <c r="GB1520" s="101">
        <f t="shared" si="691"/>
        <v>1</v>
      </c>
      <c r="GC1520" s="101">
        <f t="shared" si="692"/>
        <v>28</v>
      </c>
      <c r="GD1520" s="101">
        <f t="shared" si="693"/>
        <v>0</v>
      </c>
      <c r="GE1520" s="101">
        <f t="shared" si="694"/>
        <v>1</v>
      </c>
      <c r="GF1520" s="101">
        <f t="shared" si="695"/>
        <v>6</v>
      </c>
      <c r="GG1520" s="101">
        <f t="shared" si="696"/>
        <v>2.7099999999999999E-2</v>
      </c>
      <c r="GH1520" s="101">
        <f t="shared" si="697"/>
        <v>1</v>
      </c>
      <c r="GI1520" s="101">
        <f t="shared" si="698"/>
        <v>13</v>
      </c>
      <c r="GJ1520" s="101">
        <f t="shared" si="699"/>
        <v>0.1085</v>
      </c>
      <c r="GK1520" s="101">
        <f t="shared" si="700"/>
        <v>1</v>
      </c>
      <c r="GL1520" s="101">
        <f t="shared" si="701"/>
        <v>28</v>
      </c>
    </row>
    <row r="1521" spans="170:194" ht="16.5" x14ac:dyDescent="0.2">
      <c r="FN1521" s="101">
        <v>1516</v>
      </c>
      <c r="FO1521" s="101">
        <f t="shared" si="686"/>
        <v>68</v>
      </c>
      <c r="FP1521" s="101">
        <f t="shared" si="679"/>
        <v>19</v>
      </c>
      <c r="FQ1521" s="14">
        <f t="shared" si="680"/>
        <v>5</v>
      </c>
      <c r="FR1521" s="101" t="str">
        <f t="shared" si="687"/>
        <v>吕布专属武器-魂珠-8 5级</v>
      </c>
      <c r="FS1521" s="101">
        <f t="shared" si="688"/>
        <v>8</v>
      </c>
      <c r="FT1521" s="101">
        <f t="shared" si="689"/>
        <v>5</v>
      </c>
      <c r="FU1521" s="101" t="str">
        <f t="shared" si="681"/>
        <v>金币</v>
      </c>
      <c r="FV1521" s="139">
        <f>IF($FT1521&gt;0,IF(INDEX($EI$6:$EI$77,$FO1521)&gt;=FV$3,ROUND(INDEX(EK$6:EK$77,$FO1521)*INDEX(卡牌消耗!$B$8:$F$8,FQ1521)/5,0)*5,""),"")</f>
        <v>50220</v>
      </c>
      <c r="FW1521" s="101" t="str">
        <f t="shared" si="682"/>
        <v>专属强化石4</v>
      </c>
      <c r="FX1521" s="101">
        <f t="shared" si="683"/>
        <v>15</v>
      </c>
      <c r="FY1521" s="101" t="str">
        <f t="shared" si="684"/>
        <v/>
      </c>
      <c r="FZ1521" s="101" t="str">
        <f t="shared" si="685"/>
        <v/>
      </c>
      <c r="GA1521" s="101">
        <f t="shared" si="690"/>
        <v>0.04</v>
      </c>
      <c r="GB1521" s="101">
        <f t="shared" si="691"/>
        <v>1</v>
      </c>
      <c r="GC1521" s="101">
        <f t="shared" si="692"/>
        <v>35</v>
      </c>
      <c r="GD1521" s="101">
        <f t="shared" si="693"/>
        <v>0</v>
      </c>
      <c r="GE1521" s="101">
        <f t="shared" si="694"/>
        <v>1</v>
      </c>
      <c r="GF1521" s="101">
        <f t="shared" si="695"/>
        <v>8</v>
      </c>
      <c r="GG1521" s="101">
        <f t="shared" si="696"/>
        <v>2.12E-2</v>
      </c>
      <c r="GH1521" s="101">
        <f t="shared" si="697"/>
        <v>1</v>
      </c>
      <c r="GI1521" s="101">
        <f t="shared" si="698"/>
        <v>17</v>
      </c>
      <c r="GJ1521" s="101">
        <f t="shared" si="699"/>
        <v>8.4699999999999998E-2</v>
      </c>
      <c r="GK1521" s="101">
        <f t="shared" si="700"/>
        <v>1</v>
      </c>
      <c r="GL1521" s="101">
        <f t="shared" si="701"/>
        <v>35</v>
      </c>
    </row>
    <row r="1522" spans="170:194" ht="16.5" x14ac:dyDescent="0.2">
      <c r="FN1522" s="101">
        <v>1517</v>
      </c>
      <c r="FO1522" s="101">
        <f t="shared" si="686"/>
        <v>69</v>
      </c>
      <c r="FP1522" s="101">
        <f t="shared" si="679"/>
        <v>19</v>
      </c>
      <c r="FQ1522" s="14">
        <f t="shared" si="680"/>
        <v>5</v>
      </c>
      <c r="FR1522" s="101" t="str">
        <f t="shared" si="687"/>
        <v>吕布专属武器-魂珠-8 6级</v>
      </c>
      <c r="FS1522" s="101">
        <f t="shared" si="688"/>
        <v>8</v>
      </c>
      <c r="FT1522" s="101">
        <f t="shared" si="689"/>
        <v>6</v>
      </c>
      <c r="FU1522" s="101" t="str">
        <f t="shared" si="681"/>
        <v>金币</v>
      </c>
      <c r="FV1522" s="139">
        <f>IF($FT1522&gt;0,IF(INDEX($EI$6:$EI$77,$FO1522)&gt;=FV$3,ROUND(INDEX(EK$6:EK$77,$FO1522)*INDEX(卡牌消耗!$B$8:$F$8,FQ1522)/5,0)*5,""),"")</f>
        <v>59910</v>
      </c>
      <c r="FW1522" s="101" t="str">
        <f t="shared" si="682"/>
        <v>专属强化石4</v>
      </c>
      <c r="FX1522" s="101">
        <f t="shared" si="683"/>
        <v>18</v>
      </c>
      <c r="FY1522" s="101" t="str">
        <f t="shared" si="684"/>
        <v/>
      </c>
      <c r="FZ1522" s="101" t="str">
        <f t="shared" si="685"/>
        <v/>
      </c>
      <c r="GA1522" s="101">
        <f t="shared" si="690"/>
        <v>0.03</v>
      </c>
      <c r="GB1522" s="101">
        <f t="shared" si="691"/>
        <v>1</v>
      </c>
      <c r="GC1522" s="101">
        <f t="shared" si="692"/>
        <v>48</v>
      </c>
      <c r="GD1522" s="101">
        <f t="shared" si="693"/>
        <v>0</v>
      </c>
      <c r="GE1522" s="101">
        <f t="shared" si="694"/>
        <v>1</v>
      </c>
      <c r="GF1522" s="101">
        <f t="shared" si="695"/>
        <v>11</v>
      </c>
      <c r="GG1522" s="101">
        <f t="shared" si="696"/>
        <v>1.5599999999999999E-2</v>
      </c>
      <c r="GH1522" s="101">
        <f t="shared" si="697"/>
        <v>1</v>
      </c>
      <c r="GI1522" s="101">
        <f t="shared" si="698"/>
        <v>22</v>
      </c>
      <c r="GJ1522" s="101">
        <f t="shared" si="699"/>
        <v>6.2600000000000003E-2</v>
      </c>
      <c r="GK1522" s="101">
        <f t="shared" si="700"/>
        <v>1</v>
      </c>
      <c r="GL1522" s="101">
        <f t="shared" si="701"/>
        <v>48</v>
      </c>
    </row>
    <row r="1523" spans="170:194" ht="16.5" x14ac:dyDescent="0.2">
      <c r="FN1523" s="101">
        <v>1518</v>
      </c>
      <c r="FO1523" s="101">
        <f t="shared" si="686"/>
        <v>70</v>
      </c>
      <c r="FP1523" s="101">
        <f t="shared" si="679"/>
        <v>19</v>
      </c>
      <c r="FQ1523" s="14">
        <f t="shared" si="680"/>
        <v>5</v>
      </c>
      <c r="FR1523" s="101" t="str">
        <f t="shared" si="687"/>
        <v>吕布专属武器-魂珠-8 7级</v>
      </c>
      <c r="FS1523" s="101">
        <f t="shared" si="688"/>
        <v>8</v>
      </c>
      <c r="FT1523" s="101">
        <f t="shared" si="689"/>
        <v>7</v>
      </c>
      <c r="FU1523" s="101" t="str">
        <f t="shared" si="681"/>
        <v>金币</v>
      </c>
      <c r="FV1523" s="139">
        <f>IF($FT1523&gt;0,IF(INDEX($EI$6:$EI$77,$FO1523)&gt;=FV$3,ROUND(INDEX(EK$6:EK$77,$FO1523)*INDEX(卡牌消耗!$B$8:$F$8,FQ1523)/5,0)*5,""),"")</f>
        <v>83395</v>
      </c>
      <c r="FW1523" s="101" t="str">
        <f t="shared" si="682"/>
        <v>专属强化石4</v>
      </c>
      <c r="FX1523" s="101">
        <f t="shared" si="683"/>
        <v>25</v>
      </c>
      <c r="FY1523" s="101" t="str">
        <f t="shared" si="684"/>
        <v/>
      </c>
      <c r="FZ1523" s="101" t="str">
        <f t="shared" si="685"/>
        <v/>
      </c>
      <c r="GA1523" s="101">
        <f t="shared" si="690"/>
        <v>0.03</v>
      </c>
      <c r="GB1523" s="101">
        <f t="shared" si="691"/>
        <v>1</v>
      </c>
      <c r="GC1523" s="101">
        <f t="shared" si="692"/>
        <v>56</v>
      </c>
      <c r="GD1523" s="101">
        <f t="shared" si="693"/>
        <v>0</v>
      </c>
      <c r="GE1523" s="101">
        <f t="shared" si="694"/>
        <v>1</v>
      </c>
      <c r="GF1523" s="101">
        <f t="shared" si="695"/>
        <v>13</v>
      </c>
      <c r="GG1523" s="101">
        <f t="shared" si="696"/>
        <v>1.35E-2</v>
      </c>
      <c r="GH1523" s="101">
        <f t="shared" si="697"/>
        <v>1</v>
      </c>
      <c r="GI1523" s="101">
        <f t="shared" si="698"/>
        <v>26</v>
      </c>
      <c r="GJ1523" s="101">
        <f t="shared" si="699"/>
        <v>5.3800000000000001E-2</v>
      </c>
      <c r="GK1523" s="101">
        <f t="shared" si="700"/>
        <v>1</v>
      </c>
      <c r="GL1523" s="101">
        <f t="shared" si="701"/>
        <v>56</v>
      </c>
    </row>
    <row r="1524" spans="170:194" ht="16.5" x14ac:dyDescent="0.2">
      <c r="FN1524" s="101">
        <v>1519</v>
      </c>
      <c r="FO1524" s="101">
        <f t="shared" si="686"/>
        <v>71</v>
      </c>
      <c r="FP1524" s="101">
        <f t="shared" si="679"/>
        <v>19</v>
      </c>
      <c r="FQ1524" s="14">
        <f t="shared" si="680"/>
        <v>5</v>
      </c>
      <c r="FR1524" s="101" t="str">
        <f t="shared" si="687"/>
        <v>吕布专属武器-魂珠-8 8级</v>
      </c>
      <c r="FS1524" s="101">
        <f t="shared" si="688"/>
        <v>8</v>
      </c>
      <c r="FT1524" s="101">
        <f t="shared" si="689"/>
        <v>8</v>
      </c>
      <c r="FU1524" s="101" t="str">
        <f t="shared" si="681"/>
        <v>金币</v>
      </c>
      <c r="FV1524" s="139">
        <f>IF($FT1524&gt;0,IF(INDEX($EI$6:$EI$77,$FO1524)&gt;=FV$3,ROUND(INDEX(EK$6:EK$77,$FO1524)*INDEX(卡牌消耗!$B$8:$F$8,FQ1524)/5,0)*5,""),"")</f>
        <v>99990</v>
      </c>
      <c r="FW1524" s="101" t="str">
        <f t="shared" si="682"/>
        <v>专属强化石4</v>
      </c>
      <c r="FX1524" s="101">
        <f t="shared" si="683"/>
        <v>30</v>
      </c>
      <c r="FY1524" s="101" t="str">
        <f t="shared" si="684"/>
        <v/>
      </c>
      <c r="FZ1524" s="101" t="str">
        <f t="shared" si="685"/>
        <v/>
      </c>
      <c r="GA1524" s="101">
        <f t="shared" si="690"/>
        <v>0.02</v>
      </c>
      <c r="GB1524" s="101">
        <f t="shared" si="691"/>
        <v>1</v>
      </c>
      <c r="GC1524" s="101">
        <f t="shared" si="692"/>
        <v>75</v>
      </c>
      <c r="GD1524" s="101">
        <f t="shared" si="693"/>
        <v>0</v>
      </c>
      <c r="GE1524" s="101">
        <f t="shared" si="694"/>
        <v>1</v>
      </c>
      <c r="GF1524" s="101">
        <f t="shared" si="695"/>
        <v>18</v>
      </c>
      <c r="GG1524" s="101">
        <f t="shared" si="696"/>
        <v>0.01</v>
      </c>
      <c r="GH1524" s="101">
        <f t="shared" si="697"/>
        <v>1</v>
      </c>
      <c r="GI1524" s="101">
        <f t="shared" si="698"/>
        <v>35</v>
      </c>
      <c r="GJ1524" s="101">
        <f t="shared" si="699"/>
        <v>3.9899999999999998E-2</v>
      </c>
      <c r="GK1524" s="101">
        <f t="shared" si="700"/>
        <v>1</v>
      </c>
      <c r="GL1524" s="101">
        <f t="shared" si="701"/>
        <v>75</v>
      </c>
    </row>
    <row r="1525" spans="170:194" ht="16.5" x14ac:dyDescent="0.2">
      <c r="FN1525" s="101">
        <v>1520</v>
      </c>
      <c r="FO1525" s="101">
        <f t="shared" si="686"/>
        <v>72</v>
      </c>
      <c r="FP1525" s="101">
        <f t="shared" si="679"/>
        <v>19</v>
      </c>
      <c r="FQ1525" s="14">
        <f t="shared" si="680"/>
        <v>5</v>
      </c>
      <c r="FR1525" s="101" t="str">
        <f t="shared" si="687"/>
        <v>吕布专属武器-魂珠-8 9级</v>
      </c>
      <c r="FS1525" s="101">
        <f t="shared" si="688"/>
        <v>8</v>
      </c>
      <c r="FT1525" s="101">
        <f t="shared" si="689"/>
        <v>9</v>
      </c>
      <c r="FU1525" s="101" t="str">
        <f t="shared" si="681"/>
        <v>金币</v>
      </c>
      <c r="FV1525" s="139">
        <f>IF($FT1525&gt;0,IF(INDEX($EI$6:$EI$77,$FO1525)&gt;=FV$3,ROUND(INDEX(EK$6:EK$77,$FO1525)*INDEX(卡牌消耗!$B$8:$F$8,FQ1525)/5,0)*5,""),"")</f>
        <v>100020</v>
      </c>
      <c r="FW1525" s="101" t="str">
        <f t="shared" si="682"/>
        <v>专属强化石4</v>
      </c>
      <c r="FX1525" s="101">
        <f t="shared" si="683"/>
        <v>30</v>
      </c>
      <c r="FY1525" s="101" t="str">
        <f t="shared" si="684"/>
        <v/>
      </c>
      <c r="FZ1525" s="101" t="str">
        <f t="shared" si="685"/>
        <v/>
      </c>
      <c r="GA1525" s="101">
        <f t="shared" si="690"/>
        <v>0.01</v>
      </c>
      <c r="GB1525" s="101">
        <f t="shared" si="691"/>
        <v>1</v>
      </c>
      <c r="GC1525" s="101">
        <f t="shared" si="692"/>
        <v>122</v>
      </c>
      <c r="GD1525" s="101">
        <f t="shared" si="693"/>
        <v>0</v>
      </c>
      <c r="GE1525" s="101">
        <f t="shared" si="694"/>
        <v>1</v>
      </c>
      <c r="GF1525" s="101">
        <f t="shared" si="695"/>
        <v>28</v>
      </c>
      <c r="GG1525" s="101">
        <f t="shared" si="696"/>
        <v>6.1999999999999998E-3</v>
      </c>
      <c r="GH1525" s="101">
        <f t="shared" si="697"/>
        <v>1</v>
      </c>
      <c r="GI1525" s="101">
        <f t="shared" si="698"/>
        <v>57</v>
      </c>
      <c r="GJ1525" s="101">
        <f t="shared" si="699"/>
        <v>2.47E-2</v>
      </c>
      <c r="GK1525" s="101">
        <f t="shared" si="700"/>
        <v>1</v>
      </c>
      <c r="GL1525" s="101">
        <f t="shared" si="701"/>
        <v>122</v>
      </c>
    </row>
    <row r="1526" spans="170:194" ht="16.5" x14ac:dyDescent="0.2">
      <c r="FN1526" s="101">
        <v>1521</v>
      </c>
      <c r="FO1526" s="101">
        <f t="shared" si="686"/>
        <v>0</v>
      </c>
      <c r="FP1526" s="101">
        <f t="shared" si="679"/>
        <v>20</v>
      </c>
      <c r="FQ1526" s="14">
        <f t="shared" si="680"/>
        <v>3</v>
      </c>
      <c r="FR1526" s="101" t="str">
        <f t="shared" si="687"/>
        <v>燕青专属武器-魂珠-1 0级</v>
      </c>
      <c r="FS1526" s="101">
        <f t="shared" si="688"/>
        <v>1</v>
      </c>
      <c r="FT1526" s="101">
        <f t="shared" si="689"/>
        <v>0</v>
      </c>
      <c r="FU1526" s="101" t="str">
        <f t="shared" si="681"/>
        <v/>
      </c>
      <c r="FV1526" s="139" t="str">
        <f>IF($FT1526&gt;0,IF(INDEX($EI$6:$EI$77,$FO1526)&gt;=FV$3,ROUND(INDEX(EK$6:EK$77,$FO1526)*INDEX(卡牌消耗!$B$8:$F$8,FQ1526)/5,0)*5,""),"")</f>
        <v/>
      </c>
      <c r="FW1526" s="101" t="str">
        <f t="shared" si="682"/>
        <v/>
      </c>
      <c r="FX1526" s="101" t="str">
        <f t="shared" si="683"/>
        <v/>
      </c>
      <c r="FY1526" s="101" t="str">
        <f t="shared" si="684"/>
        <v/>
      </c>
      <c r="FZ1526" s="101" t="str">
        <f t="shared" si="685"/>
        <v/>
      </c>
      <c r="GA1526" s="101" t="str">
        <f t="shared" si="690"/>
        <v/>
      </c>
      <c r="GB1526" s="101" t="str">
        <f t="shared" si="691"/>
        <v/>
      </c>
      <c r="GC1526" s="101" t="str">
        <f t="shared" si="692"/>
        <v/>
      </c>
      <c r="GD1526" s="101" t="str">
        <f t="shared" si="693"/>
        <v/>
      </c>
      <c r="GE1526" s="101" t="str">
        <f t="shared" si="694"/>
        <v/>
      </c>
      <c r="GF1526" s="101" t="str">
        <f t="shared" si="695"/>
        <v/>
      </c>
      <c r="GG1526" s="101" t="str">
        <f t="shared" si="696"/>
        <v/>
      </c>
      <c r="GH1526" s="101" t="str">
        <f t="shared" si="697"/>
        <v/>
      </c>
      <c r="GI1526" s="101" t="str">
        <f t="shared" si="698"/>
        <v/>
      </c>
      <c r="GJ1526" s="101" t="str">
        <f t="shared" si="699"/>
        <v/>
      </c>
      <c r="GK1526" s="101" t="str">
        <f t="shared" si="700"/>
        <v/>
      </c>
      <c r="GL1526" s="101" t="str">
        <f t="shared" si="701"/>
        <v/>
      </c>
    </row>
    <row r="1527" spans="170:194" ht="16.5" x14ac:dyDescent="0.2">
      <c r="FN1527" s="101">
        <v>1522</v>
      </c>
      <c r="FO1527" s="101">
        <f t="shared" si="686"/>
        <v>1</v>
      </c>
      <c r="FP1527" s="101">
        <f t="shared" si="679"/>
        <v>20</v>
      </c>
      <c r="FQ1527" s="14">
        <f t="shared" si="680"/>
        <v>3</v>
      </c>
      <c r="FR1527" s="101" t="str">
        <f t="shared" si="687"/>
        <v>燕青专属武器-魂珠-1 1级</v>
      </c>
      <c r="FS1527" s="101">
        <f t="shared" si="688"/>
        <v>1</v>
      </c>
      <c r="FT1527" s="101">
        <f t="shared" si="689"/>
        <v>1</v>
      </c>
      <c r="FU1527" s="101" t="str">
        <f t="shared" si="681"/>
        <v>金币</v>
      </c>
      <c r="FV1527" s="139">
        <f>IF($FT1527&gt;0,IF(INDEX($EI$6:$EI$77,$FO1527)&gt;=FV$3,ROUND(INDEX(EK$6:EK$77,$FO1527)*INDEX(卡牌消耗!$B$8:$F$8,FQ1527)/5,0)*5,""),"")</f>
        <v>95</v>
      </c>
      <c r="FW1527" s="101" t="str">
        <f t="shared" si="682"/>
        <v>专属强化石1</v>
      </c>
      <c r="FX1527" s="101">
        <f t="shared" si="683"/>
        <v>1</v>
      </c>
      <c r="FY1527" s="101" t="str">
        <f t="shared" si="684"/>
        <v/>
      </c>
      <c r="FZ1527" s="101" t="str">
        <f t="shared" si="685"/>
        <v/>
      </c>
      <c r="GA1527" s="101">
        <f t="shared" si="690"/>
        <v>0.32</v>
      </c>
      <c r="GB1527" s="101">
        <f t="shared" si="691"/>
        <v>1</v>
      </c>
      <c r="GC1527" s="101">
        <f t="shared" si="692"/>
        <v>5</v>
      </c>
      <c r="GD1527" s="101">
        <f t="shared" si="693"/>
        <v>0</v>
      </c>
      <c r="GE1527" s="101">
        <f t="shared" si="694"/>
        <v>1</v>
      </c>
      <c r="GF1527" s="101">
        <f t="shared" si="695"/>
        <v>1</v>
      </c>
      <c r="GG1527" s="101">
        <f t="shared" si="696"/>
        <v>0.1595</v>
      </c>
      <c r="GH1527" s="101">
        <f t="shared" si="697"/>
        <v>1</v>
      </c>
      <c r="GI1527" s="101">
        <f t="shared" si="698"/>
        <v>2</v>
      </c>
      <c r="GJ1527" s="101">
        <f t="shared" si="699"/>
        <v>0.63819999999999999</v>
      </c>
      <c r="GK1527" s="101">
        <f t="shared" si="700"/>
        <v>1</v>
      </c>
      <c r="GL1527" s="101">
        <f t="shared" si="701"/>
        <v>5</v>
      </c>
    </row>
    <row r="1528" spans="170:194" ht="16.5" x14ac:dyDescent="0.2">
      <c r="FN1528" s="101">
        <v>1523</v>
      </c>
      <c r="FO1528" s="101">
        <f t="shared" si="686"/>
        <v>2</v>
      </c>
      <c r="FP1528" s="101">
        <f t="shared" si="679"/>
        <v>20</v>
      </c>
      <c r="FQ1528" s="14">
        <f t="shared" si="680"/>
        <v>3</v>
      </c>
      <c r="FR1528" s="101" t="str">
        <f t="shared" si="687"/>
        <v>燕青专属武器-魂珠-1 2级</v>
      </c>
      <c r="FS1528" s="101">
        <f t="shared" si="688"/>
        <v>1</v>
      </c>
      <c r="FT1528" s="101">
        <f t="shared" si="689"/>
        <v>2</v>
      </c>
      <c r="FU1528" s="101" t="str">
        <f t="shared" si="681"/>
        <v>金币</v>
      </c>
      <c r="FV1528" s="139">
        <f>IF($FT1528&gt;0,IF(INDEX($EI$6:$EI$77,$FO1528)&gt;=FV$3,ROUND(INDEX(EK$6:EK$77,$FO1528)*INDEX(卡牌消耗!$B$8:$F$8,FQ1528)/5,0)*5,""),"")</f>
        <v>140</v>
      </c>
      <c r="FW1528" s="101" t="str">
        <f t="shared" si="682"/>
        <v>专属强化石1</v>
      </c>
      <c r="FX1528" s="101">
        <f t="shared" si="683"/>
        <v>2</v>
      </c>
      <c r="FY1528" s="101" t="str">
        <f t="shared" si="684"/>
        <v/>
      </c>
      <c r="FZ1528" s="101" t="str">
        <f t="shared" si="685"/>
        <v/>
      </c>
      <c r="GA1528" s="101">
        <f t="shared" si="690"/>
        <v>0.32</v>
      </c>
      <c r="GB1528" s="101">
        <f t="shared" si="691"/>
        <v>1</v>
      </c>
      <c r="GC1528" s="101">
        <f t="shared" si="692"/>
        <v>5</v>
      </c>
      <c r="GD1528" s="101">
        <f t="shared" si="693"/>
        <v>0</v>
      </c>
      <c r="GE1528" s="101">
        <f t="shared" si="694"/>
        <v>1</v>
      </c>
      <c r="GF1528" s="101">
        <f t="shared" si="695"/>
        <v>1</v>
      </c>
      <c r="GG1528" s="101">
        <f t="shared" si="696"/>
        <v>0.1595</v>
      </c>
      <c r="GH1528" s="101">
        <f t="shared" si="697"/>
        <v>1</v>
      </c>
      <c r="GI1528" s="101">
        <f t="shared" si="698"/>
        <v>2</v>
      </c>
      <c r="GJ1528" s="101">
        <f t="shared" si="699"/>
        <v>0.63819999999999999</v>
      </c>
      <c r="GK1528" s="101">
        <f t="shared" si="700"/>
        <v>1</v>
      </c>
      <c r="GL1528" s="101">
        <f t="shared" si="701"/>
        <v>5</v>
      </c>
    </row>
    <row r="1529" spans="170:194" ht="16.5" x14ac:dyDescent="0.2">
      <c r="FN1529" s="101">
        <v>1524</v>
      </c>
      <c r="FO1529" s="101">
        <f t="shared" si="686"/>
        <v>3</v>
      </c>
      <c r="FP1529" s="101">
        <f t="shared" si="679"/>
        <v>20</v>
      </c>
      <c r="FQ1529" s="14">
        <f t="shared" si="680"/>
        <v>3</v>
      </c>
      <c r="FR1529" s="101" t="str">
        <f t="shared" si="687"/>
        <v>燕青专属武器-魂珠-1 3级</v>
      </c>
      <c r="FS1529" s="101">
        <f t="shared" si="688"/>
        <v>1</v>
      </c>
      <c r="FT1529" s="101">
        <f t="shared" si="689"/>
        <v>3</v>
      </c>
      <c r="FU1529" s="101" t="str">
        <f t="shared" si="681"/>
        <v>金币</v>
      </c>
      <c r="FV1529" s="139">
        <f>IF($FT1529&gt;0,IF(INDEX($EI$6:$EI$77,$FO1529)&gt;=FV$3,ROUND(INDEX(EK$6:EK$77,$FO1529)*INDEX(卡牌消耗!$B$8:$F$8,FQ1529)/5,0)*5,""),"")</f>
        <v>235</v>
      </c>
      <c r="FW1529" s="101" t="str">
        <f t="shared" si="682"/>
        <v>专属强化石1</v>
      </c>
      <c r="FX1529" s="101">
        <f t="shared" si="683"/>
        <v>3</v>
      </c>
      <c r="FY1529" s="101" t="str">
        <f t="shared" si="684"/>
        <v/>
      </c>
      <c r="FZ1529" s="101" t="str">
        <f t="shared" si="685"/>
        <v/>
      </c>
      <c r="GA1529" s="101">
        <f t="shared" si="690"/>
        <v>0.32</v>
      </c>
      <c r="GB1529" s="101">
        <f t="shared" si="691"/>
        <v>1</v>
      </c>
      <c r="GC1529" s="101">
        <f t="shared" si="692"/>
        <v>5</v>
      </c>
      <c r="GD1529" s="101">
        <f t="shared" si="693"/>
        <v>0</v>
      </c>
      <c r="GE1529" s="101">
        <f t="shared" si="694"/>
        <v>1</v>
      </c>
      <c r="GF1529" s="101">
        <f t="shared" si="695"/>
        <v>1</v>
      </c>
      <c r="GG1529" s="101">
        <f t="shared" si="696"/>
        <v>0.1595</v>
      </c>
      <c r="GH1529" s="101">
        <f t="shared" si="697"/>
        <v>1</v>
      </c>
      <c r="GI1529" s="101">
        <f t="shared" si="698"/>
        <v>2</v>
      </c>
      <c r="GJ1529" s="101">
        <f t="shared" si="699"/>
        <v>0.63819999999999999</v>
      </c>
      <c r="GK1529" s="101">
        <f t="shared" si="700"/>
        <v>1</v>
      </c>
      <c r="GL1529" s="101">
        <f t="shared" si="701"/>
        <v>5</v>
      </c>
    </row>
    <row r="1530" spans="170:194" ht="16.5" x14ac:dyDescent="0.2">
      <c r="FN1530" s="101">
        <v>1525</v>
      </c>
      <c r="FO1530" s="101">
        <f t="shared" si="686"/>
        <v>4</v>
      </c>
      <c r="FP1530" s="101">
        <f t="shared" si="679"/>
        <v>20</v>
      </c>
      <c r="FQ1530" s="14">
        <f t="shared" si="680"/>
        <v>3</v>
      </c>
      <c r="FR1530" s="101" t="str">
        <f t="shared" si="687"/>
        <v>燕青专属武器-魂珠-1 4级</v>
      </c>
      <c r="FS1530" s="101">
        <f t="shared" si="688"/>
        <v>1</v>
      </c>
      <c r="FT1530" s="101">
        <f t="shared" si="689"/>
        <v>4</v>
      </c>
      <c r="FU1530" s="101" t="str">
        <f t="shared" si="681"/>
        <v>金币</v>
      </c>
      <c r="FV1530" s="139">
        <f>IF($FT1530&gt;0,IF(INDEX($EI$6:$EI$77,$FO1530)&gt;=FV$3,ROUND(INDEX(EK$6:EK$77,$FO1530)*INDEX(卡牌消耗!$B$8:$F$8,FQ1530)/5,0)*5,""),"")</f>
        <v>305</v>
      </c>
      <c r="FW1530" s="101" t="str">
        <f t="shared" si="682"/>
        <v>专属强化石1</v>
      </c>
      <c r="FX1530" s="101">
        <f t="shared" si="683"/>
        <v>4</v>
      </c>
      <c r="FY1530" s="101" t="str">
        <f t="shared" si="684"/>
        <v/>
      </c>
      <c r="FZ1530" s="101" t="str">
        <f t="shared" si="685"/>
        <v/>
      </c>
      <c r="GA1530" s="101">
        <f t="shared" si="690"/>
        <v>0.26</v>
      </c>
      <c r="GB1530" s="101">
        <f t="shared" si="691"/>
        <v>1</v>
      </c>
      <c r="GC1530" s="101">
        <f t="shared" si="692"/>
        <v>6</v>
      </c>
      <c r="GD1530" s="101">
        <f t="shared" si="693"/>
        <v>0</v>
      </c>
      <c r="GE1530" s="101">
        <f t="shared" si="694"/>
        <v>1</v>
      </c>
      <c r="GF1530" s="101">
        <f t="shared" si="695"/>
        <v>1</v>
      </c>
      <c r="GG1530" s="101">
        <f t="shared" si="696"/>
        <v>0.12759999999999999</v>
      </c>
      <c r="GH1530" s="101">
        <f t="shared" si="697"/>
        <v>1</v>
      </c>
      <c r="GI1530" s="101">
        <f t="shared" si="698"/>
        <v>3</v>
      </c>
      <c r="GJ1530" s="101">
        <f t="shared" si="699"/>
        <v>0.51060000000000005</v>
      </c>
      <c r="GK1530" s="101">
        <f t="shared" si="700"/>
        <v>1</v>
      </c>
      <c r="GL1530" s="101">
        <f t="shared" si="701"/>
        <v>6</v>
      </c>
    </row>
    <row r="1531" spans="170:194" ht="16.5" x14ac:dyDescent="0.2">
      <c r="FN1531" s="101">
        <v>1526</v>
      </c>
      <c r="FO1531" s="101">
        <f t="shared" si="686"/>
        <v>5</v>
      </c>
      <c r="FP1531" s="101">
        <f t="shared" si="679"/>
        <v>20</v>
      </c>
      <c r="FQ1531" s="14">
        <f t="shared" si="680"/>
        <v>3</v>
      </c>
      <c r="FR1531" s="101" t="str">
        <f t="shared" si="687"/>
        <v>燕青专属武器-魂珠-1 5级</v>
      </c>
      <c r="FS1531" s="101">
        <f t="shared" si="688"/>
        <v>1</v>
      </c>
      <c r="FT1531" s="101">
        <f t="shared" si="689"/>
        <v>5</v>
      </c>
      <c r="FU1531" s="101" t="str">
        <f t="shared" si="681"/>
        <v>金币</v>
      </c>
      <c r="FV1531" s="139">
        <f>IF($FT1531&gt;0,IF(INDEX($EI$6:$EI$77,$FO1531)&gt;=FV$3,ROUND(INDEX(EK$6:EK$77,$FO1531)*INDEX(卡牌消耗!$B$8:$F$8,FQ1531)/5,0)*5,""),"")</f>
        <v>385</v>
      </c>
      <c r="FW1531" s="101" t="str">
        <f t="shared" si="682"/>
        <v>专属强化石1</v>
      </c>
      <c r="FX1531" s="101">
        <f t="shared" si="683"/>
        <v>5</v>
      </c>
      <c r="FY1531" s="101" t="str">
        <f t="shared" si="684"/>
        <v/>
      </c>
      <c r="FZ1531" s="101" t="str">
        <f t="shared" si="685"/>
        <v/>
      </c>
      <c r="GA1531" s="101">
        <f t="shared" si="690"/>
        <v>0.2</v>
      </c>
      <c r="GB1531" s="101">
        <f t="shared" si="691"/>
        <v>1</v>
      </c>
      <c r="GC1531" s="101">
        <f t="shared" si="692"/>
        <v>8</v>
      </c>
      <c r="GD1531" s="101">
        <f t="shared" si="693"/>
        <v>0</v>
      </c>
      <c r="GE1531" s="101">
        <f t="shared" si="694"/>
        <v>1</v>
      </c>
      <c r="GF1531" s="101">
        <f t="shared" si="695"/>
        <v>2</v>
      </c>
      <c r="GG1531" s="101">
        <f t="shared" si="696"/>
        <v>9.9699999999999997E-2</v>
      </c>
      <c r="GH1531" s="101">
        <f t="shared" si="697"/>
        <v>1</v>
      </c>
      <c r="GI1531" s="101">
        <f t="shared" si="698"/>
        <v>4</v>
      </c>
      <c r="GJ1531" s="101">
        <f t="shared" si="699"/>
        <v>0.39889999999999998</v>
      </c>
      <c r="GK1531" s="101">
        <f t="shared" si="700"/>
        <v>1</v>
      </c>
      <c r="GL1531" s="101">
        <f t="shared" si="701"/>
        <v>8</v>
      </c>
    </row>
    <row r="1532" spans="170:194" ht="16.5" x14ac:dyDescent="0.2">
      <c r="FN1532" s="101">
        <v>1527</v>
      </c>
      <c r="FO1532" s="101">
        <f t="shared" si="686"/>
        <v>6</v>
      </c>
      <c r="FP1532" s="101">
        <f t="shared" si="679"/>
        <v>20</v>
      </c>
      <c r="FQ1532" s="14">
        <f t="shared" si="680"/>
        <v>3</v>
      </c>
      <c r="FR1532" s="101" t="str">
        <f t="shared" si="687"/>
        <v>燕青专属武器-魂珠-1 6级</v>
      </c>
      <c r="FS1532" s="101">
        <f t="shared" si="688"/>
        <v>1</v>
      </c>
      <c r="FT1532" s="101">
        <f t="shared" si="689"/>
        <v>6</v>
      </c>
      <c r="FU1532" s="101" t="str">
        <f t="shared" si="681"/>
        <v>金币</v>
      </c>
      <c r="FV1532" s="139">
        <f>IF($FT1532&gt;0,IF(INDEX($EI$6:$EI$77,$FO1532)&gt;=FV$3,ROUND(INDEX(EK$6:EK$77,$FO1532)*INDEX(卡牌消耗!$B$8:$F$8,FQ1532)/5,0)*5,""),"")</f>
        <v>460</v>
      </c>
      <c r="FW1532" s="101" t="str">
        <f t="shared" si="682"/>
        <v>专属强化石1</v>
      </c>
      <c r="FX1532" s="101">
        <f t="shared" si="683"/>
        <v>6</v>
      </c>
      <c r="FY1532" s="101" t="str">
        <f t="shared" si="684"/>
        <v/>
      </c>
      <c r="FZ1532" s="101" t="str">
        <f t="shared" si="685"/>
        <v/>
      </c>
      <c r="GA1532" s="101">
        <f t="shared" si="690"/>
        <v>0.15</v>
      </c>
      <c r="GB1532" s="101">
        <f t="shared" si="691"/>
        <v>1</v>
      </c>
      <c r="GC1532" s="101">
        <f t="shared" si="692"/>
        <v>10</v>
      </c>
      <c r="GD1532" s="101">
        <f t="shared" si="693"/>
        <v>0</v>
      </c>
      <c r="GE1532" s="101">
        <f t="shared" si="694"/>
        <v>1</v>
      </c>
      <c r="GF1532" s="101">
        <f t="shared" si="695"/>
        <v>2</v>
      </c>
      <c r="GG1532" s="101">
        <f t="shared" si="696"/>
        <v>7.3599999999999999E-2</v>
      </c>
      <c r="GH1532" s="101">
        <f t="shared" si="697"/>
        <v>1</v>
      </c>
      <c r="GI1532" s="101">
        <f t="shared" si="698"/>
        <v>5</v>
      </c>
      <c r="GJ1532" s="101">
        <f t="shared" si="699"/>
        <v>0.29459999999999997</v>
      </c>
      <c r="GK1532" s="101">
        <f t="shared" si="700"/>
        <v>1</v>
      </c>
      <c r="GL1532" s="101">
        <f t="shared" si="701"/>
        <v>10</v>
      </c>
    </row>
    <row r="1533" spans="170:194" ht="16.5" x14ac:dyDescent="0.2">
      <c r="FN1533" s="101">
        <v>1528</v>
      </c>
      <c r="FO1533" s="101">
        <f t="shared" si="686"/>
        <v>7</v>
      </c>
      <c r="FP1533" s="101">
        <f t="shared" si="679"/>
        <v>20</v>
      </c>
      <c r="FQ1533" s="14">
        <f t="shared" si="680"/>
        <v>3</v>
      </c>
      <c r="FR1533" s="101" t="str">
        <f t="shared" si="687"/>
        <v>燕青专属武器-魂珠-1 7级</v>
      </c>
      <c r="FS1533" s="101">
        <f t="shared" si="688"/>
        <v>1</v>
      </c>
      <c r="FT1533" s="101">
        <f t="shared" si="689"/>
        <v>7</v>
      </c>
      <c r="FU1533" s="101" t="str">
        <f t="shared" si="681"/>
        <v>金币</v>
      </c>
      <c r="FV1533" s="139">
        <f>IF($FT1533&gt;0,IF(INDEX($EI$6:$EI$77,$FO1533)&gt;=FV$3,ROUND(INDEX(EK$6:EK$77,$FO1533)*INDEX(卡牌消耗!$B$8:$F$8,FQ1533)/5,0)*5,""),"")</f>
        <v>535</v>
      </c>
      <c r="FW1533" s="101" t="str">
        <f t="shared" si="682"/>
        <v>专属强化石1</v>
      </c>
      <c r="FX1533" s="101">
        <f t="shared" si="683"/>
        <v>7</v>
      </c>
      <c r="FY1533" s="101" t="str">
        <f t="shared" si="684"/>
        <v/>
      </c>
      <c r="FZ1533" s="101" t="str">
        <f t="shared" si="685"/>
        <v/>
      </c>
      <c r="GA1533" s="101">
        <f t="shared" si="690"/>
        <v>0.11</v>
      </c>
      <c r="GB1533" s="101">
        <f t="shared" si="691"/>
        <v>1</v>
      </c>
      <c r="GC1533" s="101">
        <f t="shared" si="692"/>
        <v>14</v>
      </c>
      <c r="GD1533" s="101">
        <f t="shared" si="693"/>
        <v>0</v>
      </c>
      <c r="GE1533" s="101">
        <f t="shared" si="694"/>
        <v>1</v>
      </c>
      <c r="GF1533" s="101">
        <f t="shared" si="695"/>
        <v>3</v>
      </c>
      <c r="GG1533" s="101">
        <f t="shared" si="696"/>
        <v>5.3199999999999997E-2</v>
      </c>
      <c r="GH1533" s="101">
        <f t="shared" si="697"/>
        <v>1</v>
      </c>
      <c r="GI1533" s="101">
        <f t="shared" si="698"/>
        <v>7</v>
      </c>
      <c r="GJ1533" s="101">
        <f t="shared" si="699"/>
        <v>0.2127</v>
      </c>
      <c r="GK1533" s="101">
        <f t="shared" si="700"/>
        <v>1</v>
      </c>
      <c r="GL1533" s="101">
        <f t="shared" si="701"/>
        <v>14</v>
      </c>
    </row>
    <row r="1534" spans="170:194" ht="16.5" x14ac:dyDescent="0.2">
      <c r="FN1534" s="101">
        <v>1529</v>
      </c>
      <c r="FO1534" s="101">
        <f t="shared" si="686"/>
        <v>8</v>
      </c>
      <c r="FP1534" s="101">
        <f t="shared" si="679"/>
        <v>20</v>
      </c>
      <c r="FQ1534" s="14">
        <f t="shared" si="680"/>
        <v>3</v>
      </c>
      <c r="FR1534" s="101" t="str">
        <f t="shared" si="687"/>
        <v>燕青专属武器-魂珠-1 8级</v>
      </c>
      <c r="FS1534" s="101">
        <f t="shared" si="688"/>
        <v>1</v>
      </c>
      <c r="FT1534" s="101">
        <f t="shared" si="689"/>
        <v>8</v>
      </c>
      <c r="FU1534" s="101" t="str">
        <f t="shared" si="681"/>
        <v>金币</v>
      </c>
      <c r="FV1534" s="139">
        <f>IF($FT1534&gt;0,IF(INDEX($EI$6:$EI$77,$FO1534)&gt;=FV$3,ROUND(INDEX(EK$6:EK$77,$FO1534)*INDEX(卡牌消耗!$B$8:$F$8,FQ1534)/5,0)*5,""),"")</f>
        <v>615</v>
      </c>
      <c r="FW1534" s="101" t="str">
        <f t="shared" si="682"/>
        <v>专属强化石1</v>
      </c>
      <c r="FX1534" s="101">
        <f t="shared" si="683"/>
        <v>8</v>
      </c>
      <c r="FY1534" s="101" t="str">
        <f t="shared" si="684"/>
        <v/>
      </c>
      <c r="FZ1534" s="101" t="str">
        <f t="shared" si="685"/>
        <v/>
      </c>
      <c r="GA1534" s="101">
        <f t="shared" si="690"/>
        <v>0.08</v>
      </c>
      <c r="GB1534" s="101">
        <f t="shared" si="691"/>
        <v>1</v>
      </c>
      <c r="GC1534" s="101">
        <f t="shared" si="692"/>
        <v>20</v>
      </c>
      <c r="GD1534" s="101">
        <f t="shared" si="693"/>
        <v>0</v>
      </c>
      <c r="GE1534" s="101">
        <f t="shared" si="694"/>
        <v>1</v>
      </c>
      <c r="GF1534" s="101">
        <f t="shared" si="695"/>
        <v>5</v>
      </c>
      <c r="GG1534" s="101">
        <f t="shared" si="696"/>
        <v>3.7499999999999999E-2</v>
      </c>
      <c r="GH1534" s="101">
        <f t="shared" si="697"/>
        <v>1</v>
      </c>
      <c r="GI1534" s="101">
        <f t="shared" si="698"/>
        <v>9</v>
      </c>
      <c r="GJ1534" s="101">
        <f t="shared" si="699"/>
        <v>0.1502</v>
      </c>
      <c r="GK1534" s="101">
        <f t="shared" si="700"/>
        <v>1</v>
      </c>
      <c r="GL1534" s="101">
        <f t="shared" si="701"/>
        <v>20</v>
      </c>
    </row>
    <row r="1535" spans="170:194" ht="16.5" x14ac:dyDescent="0.2">
      <c r="FN1535" s="101">
        <v>1530</v>
      </c>
      <c r="FO1535" s="101">
        <f t="shared" si="686"/>
        <v>9</v>
      </c>
      <c r="FP1535" s="101">
        <f t="shared" si="679"/>
        <v>20</v>
      </c>
      <c r="FQ1535" s="14">
        <f t="shared" si="680"/>
        <v>3</v>
      </c>
      <c r="FR1535" s="101" t="str">
        <f t="shared" si="687"/>
        <v>燕青专属武器-魂珠-1 9级</v>
      </c>
      <c r="FS1535" s="101">
        <f t="shared" si="688"/>
        <v>1</v>
      </c>
      <c r="FT1535" s="101">
        <f t="shared" si="689"/>
        <v>9</v>
      </c>
      <c r="FU1535" s="101" t="str">
        <f t="shared" si="681"/>
        <v>金币</v>
      </c>
      <c r="FV1535" s="139">
        <f>IF($FT1535&gt;0,IF(INDEX($EI$6:$EI$77,$FO1535)&gt;=FV$3,ROUND(INDEX(EK$6:EK$77,$FO1535)*INDEX(卡牌消耗!$B$8:$F$8,FQ1535)/5,0)*5,""),"")</f>
        <v>765</v>
      </c>
      <c r="FW1535" s="101" t="str">
        <f t="shared" si="682"/>
        <v>专属强化石1</v>
      </c>
      <c r="FX1535" s="101">
        <f t="shared" si="683"/>
        <v>10</v>
      </c>
      <c r="FY1535" s="101" t="str">
        <f t="shared" si="684"/>
        <v/>
      </c>
      <c r="FZ1535" s="101" t="str">
        <f t="shared" si="685"/>
        <v/>
      </c>
      <c r="GA1535" s="101">
        <f t="shared" si="690"/>
        <v>0.06</v>
      </c>
      <c r="GB1535" s="101">
        <f t="shared" si="691"/>
        <v>1</v>
      </c>
      <c r="GC1535" s="101">
        <f t="shared" si="692"/>
        <v>26</v>
      </c>
      <c r="GD1535" s="101">
        <f t="shared" si="693"/>
        <v>0</v>
      </c>
      <c r="GE1535" s="101">
        <f t="shared" si="694"/>
        <v>1</v>
      </c>
      <c r="GF1535" s="101">
        <f t="shared" si="695"/>
        <v>6</v>
      </c>
      <c r="GG1535" s="101">
        <f t="shared" si="696"/>
        <v>2.9000000000000001E-2</v>
      </c>
      <c r="GH1535" s="101">
        <f t="shared" si="697"/>
        <v>1</v>
      </c>
      <c r="GI1535" s="101">
        <f t="shared" si="698"/>
        <v>12</v>
      </c>
      <c r="GJ1535" s="101">
        <f t="shared" si="699"/>
        <v>0.11600000000000001</v>
      </c>
      <c r="GK1535" s="101">
        <f t="shared" si="700"/>
        <v>1</v>
      </c>
      <c r="GL1535" s="101">
        <f t="shared" si="701"/>
        <v>26</v>
      </c>
    </row>
    <row r="1536" spans="170:194" ht="16.5" x14ac:dyDescent="0.2">
      <c r="FN1536" s="101">
        <v>1531</v>
      </c>
      <c r="FO1536" s="101">
        <f t="shared" si="686"/>
        <v>0</v>
      </c>
      <c r="FP1536" s="101">
        <f t="shared" si="679"/>
        <v>20</v>
      </c>
      <c r="FQ1536" s="14">
        <f t="shared" si="680"/>
        <v>3</v>
      </c>
      <c r="FR1536" s="101" t="str">
        <f t="shared" si="687"/>
        <v>燕青专属武器-魂珠-2 0级</v>
      </c>
      <c r="FS1536" s="101">
        <f t="shared" si="688"/>
        <v>2</v>
      </c>
      <c r="FT1536" s="101">
        <f t="shared" si="689"/>
        <v>0</v>
      </c>
      <c r="FU1536" s="101" t="str">
        <f t="shared" si="681"/>
        <v/>
      </c>
      <c r="FV1536" s="139" t="str">
        <f>IF($FT1536&gt;0,IF(INDEX($EI$6:$EI$77,$FO1536)&gt;=FV$3,ROUND(INDEX(EK$6:EK$77,$FO1536)*INDEX(卡牌消耗!$B$8:$F$8,FQ1536)/5,0)*5,""),"")</f>
        <v/>
      </c>
      <c r="FW1536" s="101" t="str">
        <f t="shared" si="682"/>
        <v/>
      </c>
      <c r="FX1536" s="101" t="str">
        <f t="shared" si="683"/>
        <v/>
      </c>
      <c r="FY1536" s="101" t="str">
        <f t="shared" si="684"/>
        <v/>
      </c>
      <c r="FZ1536" s="101" t="str">
        <f t="shared" si="685"/>
        <v/>
      </c>
      <c r="GA1536" s="101" t="str">
        <f t="shared" si="690"/>
        <v/>
      </c>
      <c r="GB1536" s="101" t="str">
        <f t="shared" si="691"/>
        <v/>
      </c>
      <c r="GC1536" s="101" t="str">
        <f t="shared" si="692"/>
        <v/>
      </c>
      <c r="GD1536" s="101" t="str">
        <f t="shared" si="693"/>
        <v/>
      </c>
      <c r="GE1536" s="101" t="str">
        <f t="shared" si="694"/>
        <v/>
      </c>
      <c r="GF1536" s="101" t="str">
        <f t="shared" si="695"/>
        <v/>
      </c>
      <c r="GG1536" s="101" t="str">
        <f t="shared" si="696"/>
        <v/>
      </c>
      <c r="GH1536" s="101" t="str">
        <f t="shared" si="697"/>
        <v/>
      </c>
      <c r="GI1536" s="101" t="str">
        <f t="shared" si="698"/>
        <v/>
      </c>
      <c r="GJ1536" s="101" t="str">
        <f t="shared" si="699"/>
        <v/>
      </c>
      <c r="GK1536" s="101" t="str">
        <f t="shared" si="700"/>
        <v/>
      </c>
      <c r="GL1536" s="101" t="str">
        <f t="shared" si="701"/>
        <v/>
      </c>
    </row>
    <row r="1537" spans="170:194" ht="16.5" x14ac:dyDescent="0.2">
      <c r="FN1537" s="101">
        <v>1532</v>
      </c>
      <c r="FO1537" s="101">
        <f t="shared" si="686"/>
        <v>10</v>
      </c>
      <c r="FP1537" s="101">
        <f t="shared" si="679"/>
        <v>20</v>
      </c>
      <c r="FQ1537" s="14">
        <f t="shared" si="680"/>
        <v>3</v>
      </c>
      <c r="FR1537" s="101" t="str">
        <f t="shared" si="687"/>
        <v>燕青专属武器-魂珠-2 1级</v>
      </c>
      <c r="FS1537" s="101">
        <f t="shared" si="688"/>
        <v>2</v>
      </c>
      <c r="FT1537" s="101">
        <f t="shared" si="689"/>
        <v>1</v>
      </c>
      <c r="FU1537" s="101" t="str">
        <f t="shared" si="681"/>
        <v>金币</v>
      </c>
      <c r="FV1537" s="139">
        <f>IF($FT1537&gt;0,IF(INDEX($EI$6:$EI$77,$FO1537)&gt;=FV$3,ROUND(INDEX(EK$6:EK$77,$FO1537)*INDEX(卡牌消耗!$B$8:$F$8,FQ1537)/5,0)*5,""),"")</f>
        <v>260</v>
      </c>
      <c r="FW1537" s="101" t="str">
        <f t="shared" si="682"/>
        <v>专属强化石1</v>
      </c>
      <c r="FX1537" s="101">
        <f t="shared" si="683"/>
        <v>3</v>
      </c>
      <c r="FY1537" s="101" t="str">
        <f t="shared" si="684"/>
        <v>专属强化石2</v>
      </c>
      <c r="FZ1537" s="101">
        <f t="shared" si="685"/>
        <v>1</v>
      </c>
      <c r="GA1537" s="101">
        <f t="shared" si="690"/>
        <v>0.39</v>
      </c>
      <c r="GB1537" s="101">
        <f t="shared" si="691"/>
        <v>1</v>
      </c>
      <c r="GC1537" s="101">
        <f t="shared" si="692"/>
        <v>4</v>
      </c>
      <c r="GD1537" s="101">
        <f t="shared" si="693"/>
        <v>0</v>
      </c>
      <c r="GE1537" s="101">
        <f t="shared" si="694"/>
        <v>1</v>
      </c>
      <c r="GF1537" s="101">
        <f t="shared" si="695"/>
        <v>1</v>
      </c>
      <c r="GG1537" s="101">
        <f t="shared" si="696"/>
        <v>0.19270000000000001</v>
      </c>
      <c r="GH1537" s="101">
        <f t="shared" si="697"/>
        <v>1</v>
      </c>
      <c r="GI1537" s="101">
        <f t="shared" si="698"/>
        <v>2</v>
      </c>
      <c r="GJ1537" s="101">
        <f t="shared" si="699"/>
        <v>0.77070000000000005</v>
      </c>
      <c r="GK1537" s="101">
        <f t="shared" si="700"/>
        <v>1</v>
      </c>
      <c r="GL1537" s="101">
        <f t="shared" si="701"/>
        <v>4</v>
      </c>
    </row>
    <row r="1538" spans="170:194" ht="16.5" x14ac:dyDescent="0.2">
      <c r="FN1538" s="101">
        <v>1533</v>
      </c>
      <c r="FO1538" s="101">
        <f t="shared" si="686"/>
        <v>11</v>
      </c>
      <c r="FP1538" s="101">
        <f t="shared" si="679"/>
        <v>20</v>
      </c>
      <c r="FQ1538" s="14">
        <f t="shared" si="680"/>
        <v>3</v>
      </c>
      <c r="FR1538" s="101" t="str">
        <f t="shared" si="687"/>
        <v>燕青专属武器-魂珠-2 2级</v>
      </c>
      <c r="FS1538" s="101">
        <f t="shared" si="688"/>
        <v>2</v>
      </c>
      <c r="FT1538" s="101">
        <f t="shared" si="689"/>
        <v>2</v>
      </c>
      <c r="FU1538" s="101" t="str">
        <f t="shared" si="681"/>
        <v>金币</v>
      </c>
      <c r="FV1538" s="139">
        <f>IF($FT1538&gt;0,IF(INDEX($EI$6:$EI$77,$FO1538)&gt;=FV$3,ROUND(INDEX(EK$6:EK$77,$FO1538)*INDEX(卡牌消耗!$B$8:$F$8,FQ1538)/5,0)*5,""),"")</f>
        <v>195</v>
      </c>
      <c r="FW1538" s="101" t="str">
        <f t="shared" si="682"/>
        <v>专属强化石1</v>
      </c>
      <c r="FX1538" s="101">
        <f t="shared" si="683"/>
        <v>3</v>
      </c>
      <c r="FY1538" s="101" t="str">
        <f t="shared" si="684"/>
        <v>专属强化石2</v>
      </c>
      <c r="FZ1538" s="101">
        <f t="shared" si="685"/>
        <v>1</v>
      </c>
      <c r="GA1538" s="101">
        <f t="shared" si="690"/>
        <v>0.19</v>
      </c>
      <c r="GB1538" s="101">
        <f t="shared" si="691"/>
        <v>1</v>
      </c>
      <c r="GC1538" s="101">
        <f t="shared" si="692"/>
        <v>8</v>
      </c>
      <c r="GD1538" s="101">
        <f t="shared" si="693"/>
        <v>0</v>
      </c>
      <c r="GE1538" s="101">
        <f t="shared" si="694"/>
        <v>1</v>
      </c>
      <c r="GF1538" s="101">
        <f t="shared" si="695"/>
        <v>2</v>
      </c>
      <c r="GG1538" s="101">
        <f t="shared" si="696"/>
        <v>9.6299999999999997E-2</v>
      </c>
      <c r="GH1538" s="101">
        <f t="shared" si="697"/>
        <v>1</v>
      </c>
      <c r="GI1538" s="101">
        <f t="shared" si="698"/>
        <v>4</v>
      </c>
      <c r="GJ1538" s="101">
        <f t="shared" si="699"/>
        <v>0.38529999999999998</v>
      </c>
      <c r="GK1538" s="101">
        <f t="shared" si="700"/>
        <v>1</v>
      </c>
      <c r="GL1538" s="101">
        <f t="shared" si="701"/>
        <v>8</v>
      </c>
    </row>
    <row r="1539" spans="170:194" ht="16.5" x14ac:dyDescent="0.2">
      <c r="FN1539" s="101">
        <v>1534</v>
      </c>
      <c r="FO1539" s="101">
        <f t="shared" si="686"/>
        <v>12</v>
      </c>
      <c r="FP1539" s="101">
        <f t="shared" si="679"/>
        <v>20</v>
      </c>
      <c r="FQ1539" s="14">
        <f t="shared" si="680"/>
        <v>3</v>
      </c>
      <c r="FR1539" s="101" t="str">
        <f t="shared" si="687"/>
        <v>燕青专属武器-魂珠-2 3级</v>
      </c>
      <c r="FS1539" s="101">
        <f t="shared" si="688"/>
        <v>2</v>
      </c>
      <c r="FT1539" s="101">
        <f t="shared" si="689"/>
        <v>3</v>
      </c>
      <c r="FU1539" s="101" t="str">
        <f t="shared" si="681"/>
        <v>金币</v>
      </c>
      <c r="FV1539" s="139">
        <f>IF($FT1539&gt;0,IF(INDEX($EI$6:$EI$77,$FO1539)&gt;=FV$3,ROUND(INDEX(EK$6:EK$77,$FO1539)*INDEX(卡牌消耗!$B$8:$F$8,FQ1539)/5,0)*5,""),"")</f>
        <v>435</v>
      </c>
      <c r="FW1539" s="101" t="str">
        <f t="shared" si="682"/>
        <v>专属强化石1</v>
      </c>
      <c r="FX1539" s="101">
        <f t="shared" si="683"/>
        <v>6</v>
      </c>
      <c r="FY1539" s="101" t="str">
        <f t="shared" si="684"/>
        <v>专属强化石2</v>
      </c>
      <c r="FZ1539" s="101">
        <f t="shared" si="685"/>
        <v>2</v>
      </c>
      <c r="GA1539" s="101">
        <f t="shared" si="690"/>
        <v>0.26</v>
      </c>
      <c r="GB1539" s="101">
        <f t="shared" si="691"/>
        <v>1</v>
      </c>
      <c r="GC1539" s="101">
        <f t="shared" si="692"/>
        <v>6</v>
      </c>
      <c r="GD1539" s="101">
        <f t="shared" si="693"/>
        <v>0</v>
      </c>
      <c r="GE1539" s="101">
        <f t="shared" si="694"/>
        <v>1</v>
      </c>
      <c r="GF1539" s="101">
        <f t="shared" si="695"/>
        <v>1</v>
      </c>
      <c r="GG1539" s="101">
        <f t="shared" si="696"/>
        <v>0.12839999999999999</v>
      </c>
      <c r="GH1539" s="101">
        <f t="shared" si="697"/>
        <v>1</v>
      </c>
      <c r="GI1539" s="101">
        <f t="shared" si="698"/>
        <v>3</v>
      </c>
      <c r="GJ1539" s="101">
        <f t="shared" si="699"/>
        <v>0.51380000000000003</v>
      </c>
      <c r="GK1539" s="101">
        <f t="shared" si="700"/>
        <v>1</v>
      </c>
      <c r="GL1539" s="101">
        <f t="shared" si="701"/>
        <v>6</v>
      </c>
    </row>
    <row r="1540" spans="170:194" ht="16.5" x14ac:dyDescent="0.2">
      <c r="FN1540" s="101">
        <v>1535</v>
      </c>
      <c r="FO1540" s="101">
        <f t="shared" si="686"/>
        <v>13</v>
      </c>
      <c r="FP1540" s="101">
        <f t="shared" si="679"/>
        <v>20</v>
      </c>
      <c r="FQ1540" s="14">
        <f t="shared" si="680"/>
        <v>3</v>
      </c>
      <c r="FR1540" s="101" t="str">
        <f t="shared" si="687"/>
        <v>燕青专属武器-魂珠-2 4级</v>
      </c>
      <c r="FS1540" s="101">
        <f t="shared" si="688"/>
        <v>2</v>
      </c>
      <c r="FT1540" s="101">
        <f t="shared" si="689"/>
        <v>4</v>
      </c>
      <c r="FU1540" s="101" t="str">
        <f t="shared" si="681"/>
        <v>金币</v>
      </c>
      <c r="FV1540" s="139">
        <f>IF($FT1540&gt;0,IF(INDEX($EI$6:$EI$77,$FO1540)&gt;=FV$3,ROUND(INDEX(EK$6:EK$77,$FO1540)*INDEX(卡牌消耗!$B$8:$F$8,FQ1540)/5,0)*5,""),"")</f>
        <v>420</v>
      </c>
      <c r="FW1540" s="101" t="str">
        <f t="shared" si="682"/>
        <v>专属强化石1</v>
      </c>
      <c r="FX1540" s="101">
        <f t="shared" si="683"/>
        <v>6</v>
      </c>
      <c r="FY1540" s="101" t="str">
        <f t="shared" si="684"/>
        <v>专属强化石2</v>
      </c>
      <c r="FZ1540" s="101">
        <f t="shared" si="685"/>
        <v>2</v>
      </c>
      <c r="GA1540" s="101">
        <f t="shared" si="690"/>
        <v>0.15</v>
      </c>
      <c r="GB1540" s="101">
        <f t="shared" si="691"/>
        <v>1</v>
      </c>
      <c r="GC1540" s="101">
        <f t="shared" si="692"/>
        <v>10</v>
      </c>
      <c r="GD1540" s="101">
        <f t="shared" si="693"/>
        <v>0</v>
      </c>
      <c r="GE1540" s="101">
        <f t="shared" si="694"/>
        <v>1</v>
      </c>
      <c r="GF1540" s="101">
        <f t="shared" si="695"/>
        <v>2</v>
      </c>
      <c r="GG1540" s="101">
        <f t="shared" si="696"/>
        <v>7.7100000000000002E-2</v>
      </c>
      <c r="GH1540" s="101">
        <f t="shared" si="697"/>
        <v>1</v>
      </c>
      <c r="GI1540" s="101">
        <f t="shared" si="698"/>
        <v>5</v>
      </c>
      <c r="GJ1540" s="101">
        <f t="shared" si="699"/>
        <v>0.30830000000000002</v>
      </c>
      <c r="GK1540" s="101">
        <f t="shared" si="700"/>
        <v>1</v>
      </c>
      <c r="GL1540" s="101">
        <f t="shared" si="701"/>
        <v>10</v>
      </c>
    </row>
    <row r="1541" spans="170:194" ht="16.5" x14ac:dyDescent="0.2">
      <c r="FN1541" s="101">
        <v>1536</v>
      </c>
      <c r="FO1541" s="101">
        <f t="shared" si="686"/>
        <v>14</v>
      </c>
      <c r="FP1541" s="101">
        <f t="shared" si="679"/>
        <v>20</v>
      </c>
      <c r="FQ1541" s="14">
        <f t="shared" si="680"/>
        <v>3</v>
      </c>
      <c r="FR1541" s="101" t="str">
        <f t="shared" si="687"/>
        <v>燕青专属武器-魂珠-2 5级</v>
      </c>
      <c r="FS1541" s="101">
        <f t="shared" si="688"/>
        <v>2</v>
      </c>
      <c r="FT1541" s="101">
        <f t="shared" si="689"/>
        <v>5</v>
      </c>
      <c r="FU1541" s="101" t="str">
        <f t="shared" si="681"/>
        <v>金币</v>
      </c>
      <c r="FV1541" s="139">
        <f>IF($FT1541&gt;0,IF(INDEX($EI$6:$EI$77,$FO1541)&gt;=FV$3,ROUND(INDEX(EK$6:EK$77,$FO1541)*INDEX(卡牌消耗!$B$8:$F$8,FQ1541)/5,0)*5,""),"")</f>
        <v>635</v>
      </c>
      <c r="FW1541" s="101" t="str">
        <f t="shared" si="682"/>
        <v>专属强化石1</v>
      </c>
      <c r="FX1541" s="101">
        <f t="shared" si="683"/>
        <v>9</v>
      </c>
      <c r="FY1541" s="101" t="str">
        <f t="shared" si="684"/>
        <v>专属强化石2</v>
      </c>
      <c r="FZ1541" s="101">
        <f t="shared" si="685"/>
        <v>3</v>
      </c>
      <c r="GA1541" s="101">
        <f t="shared" si="690"/>
        <v>0.14000000000000001</v>
      </c>
      <c r="GB1541" s="101">
        <f t="shared" si="691"/>
        <v>1</v>
      </c>
      <c r="GC1541" s="101">
        <f t="shared" si="692"/>
        <v>10</v>
      </c>
      <c r="GD1541" s="101">
        <f t="shared" si="693"/>
        <v>0</v>
      </c>
      <c r="GE1541" s="101">
        <f t="shared" si="694"/>
        <v>1</v>
      </c>
      <c r="GF1541" s="101">
        <f t="shared" si="695"/>
        <v>2</v>
      </c>
      <c r="GG1541" s="101">
        <f t="shared" si="696"/>
        <v>7.22E-2</v>
      </c>
      <c r="GH1541" s="101">
        <f t="shared" si="697"/>
        <v>1</v>
      </c>
      <c r="GI1541" s="101">
        <f t="shared" si="698"/>
        <v>5</v>
      </c>
      <c r="GJ1541" s="101">
        <f t="shared" si="699"/>
        <v>0.28899999999999998</v>
      </c>
      <c r="GK1541" s="101">
        <f t="shared" si="700"/>
        <v>1</v>
      </c>
      <c r="GL1541" s="101">
        <f t="shared" si="701"/>
        <v>10</v>
      </c>
    </row>
    <row r="1542" spans="170:194" ht="16.5" x14ac:dyDescent="0.2">
      <c r="FN1542" s="101">
        <v>1537</v>
      </c>
      <c r="FO1542" s="101">
        <f t="shared" si="686"/>
        <v>15</v>
      </c>
      <c r="FP1542" s="101">
        <f t="shared" si="679"/>
        <v>20</v>
      </c>
      <c r="FQ1542" s="14">
        <f t="shared" si="680"/>
        <v>3</v>
      </c>
      <c r="FR1542" s="101" t="str">
        <f t="shared" si="687"/>
        <v>燕青专属武器-魂珠-2 6级</v>
      </c>
      <c r="FS1542" s="101">
        <f t="shared" si="688"/>
        <v>2</v>
      </c>
      <c r="FT1542" s="101">
        <f t="shared" si="689"/>
        <v>6</v>
      </c>
      <c r="FU1542" s="101" t="str">
        <f t="shared" si="681"/>
        <v>金币</v>
      </c>
      <c r="FV1542" s="139">
        <f>IF($FT1542&gt;0,IF(INDEX($EI$6:$EI$77,$FO1542)&gt;=FV$3,ROUND(INDEX(EK$6:EK$77,$FO1542)*INDEX(卡牌消耗!$B$8:$F$8,FQ1542)/5,0)*5,""),"")</f>
        <v>845</v>
      </c>
      <c r="FW1542" s="101" t="str">
        <f t="shared" si="682"/>
        <v>专属强化石1</v>
      </c>
      <c r="FX1542" s="101">
        <f t="shared" si="683"/>
        <v>12</v>
      </c>
      <c r="FY1542" s="101" t="str">
        <f t="shared" si="684"/>
        <v>专属强化石2</v>
      </c>
      <c r="FZ1542" s="101">
        <f t="shared" si="685"/>
        <v>4</v>
      </c>
      <c r="GA1542" s="101">
        <f t="shared" si="690"/>
        <v>0.12</v>
      </c>
      <c r="GB1542" s="101">
        <f t="shared" si="691"/>
        <v>1</v>
      </c>
      <c r="GC1542" s="101">
        <f t="shared" si="692"/>
        <v>13</v>
      </c>
      <c r="GD1542" s="101">
        <f t="shared" si="693"/>
        <v>0</v>
      </c>
      <c r="GE1542" s="101">
        <f t="shared" si="694"/>
        <v>1</v>
      </c>
      <c r="GF1542" s="101">
        <f t="shared" si="695"/>
        <v>3</v>
      </c>
      <c r="GG1542" s="101">
        <f t="shared" si="696"/>
        <v>5.9299999999999999E-2</v>
      </c>
      <c r="GH1542" s="101">
        <f t="shared" si="697"/>
        <v>1</v>
      </c>
      <c r="GI1542" s="101">
        <f t="shared" si="698"/>
        <v>6</v>
      </c>
      <c r="GJ1542" s="101">
        <f t="shared" si="699"/>
        <v>0.23710000000000001</v>
      </c>
      <c r="GK1542" s="101">
        <f t="shared" si="700"/>
        <v>1</v>
      </c>
      <c r="GL1542" s="101">
        <f t="shared" si="701"/>
        <v>13</v>
      </c>
    </row>
    <row r="1543" spans="170:194" ht="16.5" x14ac:dyDescent="0.2">
      <c r="FN1543" s="101">
        <v>1538</v>
      </c>
      <c r="FO1543" s="101">
        <f t="shared" si="686"/>
        <v>16</v>
      </c>
      <c r="FP1543" s="101">
        <f t="shared" ref="FP1543:FP1606" si="702">INT((FN1543-1)/80+1)</f>
        <v>20</v>
      </c>
      <c r="FQ1543" s="14">
        <f t="shared" ref="FQ1543:FQ1606" si="703">INDEX($FJ$6:$FJ$26,FP1543)</f>
        <v>3</v>
      </c>
      <c r="FR1543" s="101" t="str">
        <f t="shared" si="687"/>
        <v>燕青专属武器-魂珠-2 7级</v>
      </c>
      <c r="FS1543" s="101">
        <f t="shared" si="688"/>
        <v>2</v>
      </c>
      <c r="FT1543" s="101">
        <f t="shared" si="689"/>
        <v>7</v>
      </c>
      <c r="FU1543" s="101" t="str">
        <f t="shared" ref="FU1543:FU1606" si="704">IF($FT1543&gt;0,IF(INDEX($EI$6:$EI$77,$FO1543)&gt;=FU$3,INDEX(EJ$6:EJ$77,$FO1543),""),"")</f>
        <v>金币</v>
      </c>
      <c r="FV1543" s="139">
        <f>IF($FT1543&gt;0,IF(INDEX($EI$6:$EI$77,$FO1543)&gt;=FV$3,ROUND(INDEX(EK$6:EK$77,$FO1543)*INDEX(卡牌消耗!$B$8:$F$8,FQ1543)/5,0)*5,""),"")</f>
        <v>1060</v>
      </c>
      <c r="FW1543" s="101" t="str">
        <f t="shared" ref="FW1543:FW1606" si="705">IF($FT1543&gt;0,IF(INDEX($EI$6:$EI$77,$FO1543)&gt;=FW$3,INDEX(EL$6:EL$77,$FO1543),""),"")</f>
        <v>专属强化石1</v>
      </c>
      <c r="FX1543" s="101">
        <f t="shared" ref="FX1543:FX1606" si="706">IF($FT1543&gt;0,IF(INDEX($EI$6:$EI$77,$FO1543)&gt;=FX$3,INDEX(EM$6:EM$77,$FO1543),""),"")</f>
        <v>15</v>
      </c>
      <c r="FY1543" s="101" t="str">
        <f t="shared" ref="FY1543:FY1606" si="707">IF($FT1543&gt;0,IF(INDEX($EI$6:$EI$77,$FO1543)&gt;=FY$3,INDEX(EN$6:EN$77,$FO1543),""),"")</f>
        <v>专属强化石2</v>
      </c>
      <c r="FZ1543" s="101">
        <f t="shared" ref="FZ1543:FZ1606" si="708">IF($FT1543&gt;0,IF(INDEX($EI$6:$EI$77,$FO1543)&gt;=FZ$3,INDEX(EO$6:EO$77,$FO1543),""),"")</f>
        <v>5</v>
      </c>
      <c r="GA1543" s="101">
        <f t="shared" si="690"/>
        <v>0.09</v>
      </c>
      <c r="GB1543" s="101">
        <f t="shared" si="691"/>
        <v>1</v>
      </c>
      <c r="GC1543" s="101">
        <f t="shared" si="692"/>
        <v>16</v>
      </c>
      <c r="GD1543" s="101">
        <f t="shared" si="693"/>
        <v>0</v>
      </c>
      <c r="GE1543" s="101">
        <f t="shared" si="694"/>
        <v>1</v>
      </c>
      <c r="GF1543" s="101">
        <f t="shared" si="695"/>
        <v>4</v>
      </c>
      <c r="GG1543" s="101">
        <f t="shared" si="696"/>
        <v>4.5900000000000003E-2</v>
      </c>
      <c r="GH1543" s="101">
        <f t="shared" si="697"/>
        <v>1</v>
      </c>
      <c r="GI1543" s="101">
        <f t="shared" si="698"/>
        <v>8</v>
      </c>
      <c r="GJ1543" s="101">
        <f t="shared" si="699"/>
        <v>0.1835</v>
      </c>
      <c r="GK1543" s="101">
        <f t="shared" si="700"/>
        <v>1</v>
      </c>
      <c r="GL1543" s="101">
        <f t="shared" si="701"/>
        <v>16</v>
      </c>
    </row>
    <row r="1544" spans="170:194" ht="16.5" x14ac:dyDescent="0.2">
      <c r="FN1544" s="101">
        <v>1539</v>
      </c>
      <c r="FO1544" s="101">
        <f t="shared" si="686"/>
        <v>17</v>
      </c>
      <c r="FP1544" s="101">
        <f t="shared" si="702"/>
        <v>20</v>
      </c>
      <c r="FQ1544" s="14">
        <f t="shared" si="703"/>
        <v>3</v>
      </c>
      <c r="FR1544" s="101" t="str">
        <f t="shared" si="687"/>
        <v>燕青专属武器-魂珠-2 8级</v>
      </c>
      <c r="FS1544" s="101">
        <f t="shared" si="688"/>
        <v>2</v>
      </c>
      <c r="FT1544" s="101">
        <f t="shared" si="689"/>
        <v>8</v>
      </c>
      <c r="FU1544" s="101" t="str">
        <f t="shared" si="704"/>
        <v>金币</v>
      </c>
      <c r="FV1544" s="139">
        <f>IF($FT1544&gt;0,IF(INDEX($EI$6:$EI$77,$FO1544)&gt;=FV$3,ROUND(INDEX(EK$6:EK$77,$FO1544)*INDEX(卡牌消耗!$B$8:$F$8,FQ1544)/5,0)*5,""),"")</f>
        <v>1270</v>
      </c>
      <c r="FW1544" s="101" t="str">
        <f t="shared" si="705"/>
        <v>专属强化石1</v>
      </c>
      <c r="FX1544" s="101">
        <f t="shared" si="706"/>
        <v>18</v>
      </c>
      <c r="FY1544" s="101" t="str">
        <f t="shared" si="707"/>
        <v>专属强化石2</v>
      </c>
      <c r="FZ1544" s="101">
        <f t="shared" si="708"/>
        <v>6</v>
      </c>
      <c r="GA1544" s="101">
        <f t="shared" si="690"/>
        <v>7.0000000000000007E-2</v>
      </c>
      <c r="GB1544" s="101">
        <f t="shared" si="691"/>
        <v>1</v>
      </c>
      <c r="GC1544" s="101">
        <f t="shared" si="692"/>
        <v>22</v>
      </c>
      <c r="GD1544" s="101">
        <f t="shared" si="693"/>
        <v>0</v>
      </c>
      <c r="GE1544" s="101">
        <f t="shared" si="694"/>
        <v>1</v>
      </c>
      <c r="GF1544" s="101">
        <f t="shared" si="695"/>
        <v>5</v>
      </c>
      <c r="GG1544" s="101">
        <f t="shared" si="696"/>
        <v>3.4000000000000002E-2</v>
      </c>
      <c r="GH1544" s="101">
        <f t="shared" si="697"/>
        <v>1</v>
      </c>
      <c r="GI1544" s="101">
        <f t="shared" si="698"/>
        <v>10</v>
      </c>
      <c r="GJ1544" s="101">
        <f t="shared" si="699"/>
        <v>0.13600000000000001</v>
      </c>
      <c r="GK1544" s="101">
        <f t="shared" si="700"/>
        <v>1</v>
      </c>
      <c r="GL1544" s="101">
        <f t="shared" si="701"/>
        <v>22</v>
      </c>
    </row>
    <row r="1545" spans="170:194" ht="16.5" x14ac:dyDescent="0.2">
      <c r="FN1545" s="101">
        <v>1540</v>
      </c>
      <c r="FO1545" s="101">
        <f t="shared" si="686"/>
        <v>18</v>
      </c>
      <c r="FP1545" s="101">
        <f t="shared" si="702"/>
        <v>20</v>
      </c>
      <c r="FQ1545" s="14">
        <f t="shared" si="703"/>
        <v>3</v>
      </c>
      <c r="FR1545" s="101" t="str">
        <f t="shared" si="687"/>
        <v>燕青专属武器-魂珠-2 9级</v>
      </c>
      <c r="FS1545" s="101">
        <f t="shared" si="688"/>
        <v>2</v>
      </c>
      <c r="FT1545" s="101">
        <f t="shared" si="689"/>
        <v>9</v>
      </c>
      <c r="FU1545" s="101" t="str">
        <f t="shared" si="704"/>
        <v>金币</v>
      </c>
      <c r="FV1545" s="139">
        <f>IF($FT1545&gt;0,IF(INDEX($EI$6:$EI$77,$FO1545)&gt;=FV$3,ROUND(INDEX(EK$6:EK$77,$FO1545)*INDEX(卡牌消耗!$B$8:$F$8,FQ1545)/5,0)*5,""),"")</f>
        <v>1695</v>
      </c>
      <c r="FW1545" s="101" t="str">
        <f t="shared" si="705"/>
        <v>专属强化石1</v>
      </c>
      <c r="FX1545" s="101">
        <f t="shared" si="706"/>
        <v>24</v>
      </c>
      <c r="FY1545" s="101" t="str">
        <f t="shared" si="707"/>
        <v>专属强化石2</v>
      </c>
      <c r="FZ1545" s="101">
        <f t="shared" si="708"/>
        <v>8</v>
      </c>
      <c r="GA1545" s="101">
        <f t="shared" si="690"/>
        <v>0.06</v>
      </c>
      <c r="GB1545" s="101">
        <f t="shared" si="691"/>
        <v>1</v>
      </c>
      <c r="GC1545" s="101">
        <f t="shared" si="692"/>
        <v>27</v>
      </c>
      <c r="GD1545" s="101">
        <f t="shared" si="693"/>
        <v>0</v>
      </c>
      <c r="GE1545" s="101">
        <f t="shared" si="694"/>
        <v>1</v>
      </c>
      <c r="GF1545" s="101">
        <f t="shared" si="695"/>
        <v>6</v>
      </c>
      <c r="GG1545" s="101">
        <f t="shared" si="696"/>
        <v>2.8000000000000001E-2</v>
      </c>
      <c r="GH1545" s="101">
        <f t="shared" si="697"/>
        <v>1</v>
      </c>
      <c r="GI1545" s="101">
        <f t="shared" si="698"/>
        <v>12</v>
      </c>
      <c r="GJ1545" s="101">
        <f t="shared" si="699"/>
        <v>0.11210000000000001</v>
      </c>
      <c r="GK1545" s="101">
        <f t="shared" si="700"/>
        <v>1</v>
      </c>
      <c r="GL1545" s="101">
        <f t="shared" si="701"/>
        <v>27</v>
      </c>
    </row>
    <row r="1546" spans="170:194" ht="16.5" x14ac:dyDescent="0.2">
      <c r="FN1546" s="101">
        <v>1541</v>
      </c>
      <c r="FO1546" s="101">
        <f t="shared" si="686"/>
        <v>0</v>
      </c>
      <c r="FP1546" s="101">
        <f t="shared" si="702"/>
        <v>20</v>
      </c>
      <c r="FQ1546" s="14">
        <f t="shared" si="703"/>
        <v>3</v>
      </c>
      <c r="FR1546" s="101" t="str">
        <f t="shared" si="687"/>
        <v>燕青专属武器-魂珠-3 0级</v>
      </c>
      <c r="FS1546" s="101">
        <f t="shared" si="688"/>
        <v>3</v>
      </c>
      <c r="FT1546" s="101">
        <f t="shared" si="689"/>
        <v>0</v>
      </c>
      <c r="FU1546" s="101" t="str">
        <f t="shared" si="704"/>
        <v/>
      </c>
      <c r="FV1546" s="139" t="str">
        <f>IF($FT1546&gt;0,IF(INDEX($EI$6:$EI$77,$FO1546)&gt;=FV$3,ROUND(INDEX(EK$6:EK$77,$FO1546)*INDEX(卡牌消耗!$B$8:$F$8,FQ1546)/5,0)*5,""),"")</f>
        <v/>
      </c>
      <c r="FW1546" s="101" t="str">
        <f t="shared" si="705"/>
        <v/>
      </c>
      <c r="FX1546" s="101" t="str">
        <f t="shared" si="706"/>
        <v/>
      </c>
      <c r="FY1546" s="101" t="str">
        <f t="shared" si="707"/>
        <v/>
      </c>
      <c r="FZ1546" s="101" t="str">
        <f t="shared" si="708"/>
        <v/>
      </c>
      <c r="GA1546" s="101" t="str">
        <f t="shared" si="690"/>
        <v/>
      </c>
      <c r="GB1546" s="101" t="str">
        <f t="shared" si="691"/>
        <v/>
      </c>
      <c r="GC1546" s="101" t="str">
        <f t="shared" si="692"/>
        <v/>
      </c>
      <c r="GD1546" s="101" t="str">
        <f t="shared" si="693"/>
        <v/>
      </c>
      <c r="GE1546" s="101" t="str">
        <f t="shared" si="694"/>
        <v/>
      </c>
      <c r="GF1546" s="101" t="str">
        <f t="shared" si="695"/>
        <v/>
      </c>
      <c r="GG1546" s="101" t="str">
        <f t="shared" si="696"/>
        <v/>
      </c>
      <c r="GH1546" s="101" t="str">
        <f t="shared" si="697"/>
        <v/>
      </c>
      <c r="GI1546" s="101" t="str">
        <f t="shared" si="698"/>
        <v/>
      </c>
      <c r="GJ1546" s="101" t="str">
        <f t="shared" si="699"/>
        <v/>
      </c>
      <c r="GK1546" s="101" t="str">
        <f t="shared" si="700"/>
        <v/>
      </c>
      <c r="GL1546" s="101" t="str">
        <f t="shared" si="701"/>
        <v/>
      </c>
    </row>
    <row r="1547" spans="170:194" ht="16.5" x14ac:dyDescent="0.2">
      <c r="FN1547" s="101">
        <v>1542</v>
      </c>
      <c r="FO1547" s="101">
        <f t="shared" si="686"/>
        <v>19</v>
      </c>
      <c r="FP1547" s="101">
        <f t="shared" si="702"/>
        <v>20</v>
      </c>
      <c r="FQ1547" s="14">
        <f t="shared" si="703"/>
        <v>3</v>
      </c>
      <c r="FR1547" s="101" t="str">
        <f t="shared" si="687"/>
        <v>燕青专属武器-魂珠-3 1级</v>
      </c>
      <c r="FS1547" s="101">
        <f t="shared" si="688"/>
        <v>3</v>
      </c>
      <c r="FT1547" s="101">
        <f t="shared" si="689"/>
        <v>1</v>
      </c>
      <c r="FU1547" s="101" t="str">
        <f t="shared" si="704"/>
        <v>金币</v>
      </c>
      <c r="FV1547" s="139">
        <f>IF($FT1547&gt;0,IF(INDEX($EI$6:$EI$77,$FO1547)&gt;=FV$3,ROUND(INDEX(EK$6:EK$77,$FO1547)*INDEX(卡牌消耗!$B$8:$F$8,FQ1547)/5,0)*5,""),"")</f>
        <v>545</v>
      </c>
      <c r="FW1547" s="101" t="str">
        <f t="shared" si="705"/>
        <v>专属强化石1</v>
      </c>
      <c r="FX1547" s="101">
        <f t="shared" si="706"/>
        <v>4</v>
      </c>
      <c r="FY1547" s="101" t="str">
        <f t="shared" si="707"/>
        <v>专属强化石2</v>
      </c>
      <c r="FZ1547" s="101">
        <f t="shared" si="708"/>
        <v>2</v>
      </c>
      <c r="GA1547" s="101">
        <f t="shared" si="690"/>
        <v>0.31</v>
      </c>
      <c r="GB1547" s="101">
        <f t="shared" si="691"/>
        <v>1</v>
      </c>
      <c r="GC1547" s="101">
        <f t="shared" si="692"/>
        <v>5</v>
      </c>
      <c r="GD1547" s="101">
        <f t="shared" si="693"/>
        <v>0</v>
      </c>
      <c r="GE1547" s="101">
        <f t="shared" si="694"/>
        <v>1</v>
      </c>
      <c r="GF1547" s="101">
        <f t="shared" si="695"/>
        <v>1</v>
      </c>
      <c r="GG1547" s="101">
        <f t="shared" si="696"/>
        <v>0.15409999999999999</v>
      </c>
      <c r="GH1547" s="101">
        <f t="shared" si="697"/>
        <v>1</v>
      </c>
      <c r="GI1547" s="101">
        <f t="shared" si="698"/>
        <v>2</v>
      </c>
      <c r="GJ1547" s="101">
        <f t="shared" si="699"/>
        <v>0.61650000000000005</v>
      </c>
      <c r="GK1547" s="101">
        <f t="shared" si="700"/>
        <v>1</v>
      </c>
      <c r="GL1547" s="101">
        <f t="shared" si="701"/>
        <v>5</v>
      </c>
    </row>
    <row r="1548" spans="170:194" ht="16.5" x14ac:dyDescent="0.2">
      <c r="FN1548" s="101">
        <v>1543</v>
      </c>
      <c r="FO1548" s="101">
        <f t="shared" si="686"/>
        <v>20</v>
      </c>
      <c r="FP1548" s="101">
        <f t="shared" si="702"/>
        <v>20</v>
      </c>
      <c r="FQ1548" s="14">
        <f t="shared" si="703"/>
        <v>3</v>
      </c>
      <c r="FR1548" s="101" t="str">
        <f t="shared" si="687"/>
        <v>燕青专属武器-魂珠-3 2级</v>
      </c>
      <c r="FS1548" s="101">
        <f t="shared" si="688"/>
        <v>3</v>
      </c>
      <c r="FT1548" s="101">
        <f t="shared" si="689"/>
        <v>2</v>
      </c>
      <c r="FU1548" s="101" t="str">
        <f t="shared" si="704"/>
        <v>金币</v>
      </c>
      <c r="FV1548" s="139">
        <f>IF($FT1548&gt;0,IF(INDEX($EI$6:$EI$77,$FO1548)&gt;=FV$3,ROUND(INDEX(EK$6:EK$77,$FO1548)*INDEX(卡牌消耗!$B$8:$F$8,FQ1548)/5,0)*5,""),"")</f>
        <v>410</v>
      </c>
      <c r="FW1548" s="101" t="str">
        <f t="shared" si="705"/>
        <v>专属强化石1</v>
      </c>
      <c r="FX1548" s="101">
        <f t="shared" si="706"/>
        <v>4</v>
      </c>
      <c r="FY1548" s="101" t="str">
        <f t="shared" si="707"/>
        <v>专属强化石2</v>
      </c>
      <c r="FZ1548" s="101">
        <f t="shared" si="708"/>
        <v>2</v>
      </c>
      <c r="GA1548" s="101">
        <f t="shared" si="690"/>
        <v>0.15</v>
      </c>
      <c r="GB1548" s="101">
        <f t="shared" si="691"/>
        <v>1</v>
      </c>
      <c r="GC1548" s="101">
        <f t="shared" si="692"/>
        <v>10</v>
      </c>
      <c r="GD1548" s="101">
        <f t="shared" si="693"/>
        <v>0</v>
      </c>
      <c r="GE1548" s="101">
        <f t="shared" si="694"/>
        <v>1</v>
      </c>
      <c r="GF1548" s="101">
        <f t="shared" si="695"/>
        <v>2</v>
      </c>
      <c r="GG1548" s="101">
        <f t="shared" si="696"/>
        <v>7.7100000000000002E-2</v>
      </c>
      <c r="GH1548" s="101">
        <f t="shared" si="697"/>
        <v>1</v>
      </c>
      <c r="GI1548" s="101">
        <f t="shared" si="698"/>
        <v>5</v>
      </c>
      <c r="GJ1548" s="101">
        <f t="shared" si="699"/>
        <v>0.30830000000000002</v>
      </c>
      <c r="GK1548" s="101">
        <f t="shared" si="700"/>
        <v>1</v>
      </c>
      <c r="GL1548" s="101">
        <f t="shared" si="701"/>
        <v>10</v>
      </c>
    </row>
    <row r="1549" spans="170:194" ht="16.5" x14ac:dyDescent="0.2">
      <c r="FN1549" s="101">
        <v>1544</v>
      </c>
      <c r="FO1549" s="101">
        <f t="shared" si="686"/>
        <v>21</v>
      </c>
      <c r="FP1549" s="101">
        <f t="shared" si="702"/>
        <v>20</v>
      </c>
      <c r="FQ1549" s="14">
        <f t="shared" si="703"/>
        <v>3</v>
      </c>
      <c r="FR1549" s="101" t="str">
        <f t="shared" si="687"/>
        <v>燕青专属武器-魂珠-3 3级</v>
      </c>
      <c r="FS1549" s="101">
        <f t="shared" si="688"/>
        <v>3</v>
      </c>
      <c r="FT1549" s="101">
        <f t="shared" si="689"/>
        <v>3</v>
      </c>
      <c r="FU1549" s="101" t="str">
        <f t="shared" si="704"/>
        <v>金币</v>
      </c>
      <c r="FV1549" s="139">
        <f>IF($FT1549&gt;0,IF(INDEX($EI$6:$EI$77,$FO1549)&gt;=FV$3,ROUND(INDEX(EK$6:EK$77,$FO1549)*INDEX(卡牌消耗!$B$8:$F$8,FQ1549)/5,0)*5,""),"")</f>
        <v>680</v>
      </c>
      <c r="FW1549" s="101" t="str">
        <f t="shared" si="705"/>
        <v>专属强化石1</v>
      </c>
      <c r="FX1549" s="101">
        <f t="shared" si="706"/>
        <v>6</v>
      </c>
      <c r="FY1549" s="101" t="str">
        <f t="shared" si="707"/>
        <v>专属强化石2</v>
      </c>
      <c r="FZ1549" s="101">
        <f t="shared" si="708"/>
        <v>3</v>
      </c>
      <c r="GA1549" s="101">
        <f t="shared" si="690"/>
        <v>0.15</v>
      </c>
      <c r="GB1549" s="101">
        <f t="shared" si="691"/>
        <v>1</v>
      </c>
      <c r="GC1549" s="101">
        <f t="shared" si="692"/>
        <v>10</v>
      </c>
      <c r="GD1549" s="101">
        <f t="shared" si="693"/>
        <v>0</v>
      </c>
      <c r="GE1549" s="101">
        <f t="shared" si="694"/>
        <v>1</v>
      </c>
      <c r="GF1549" s="101">
        <f t="shared" si="695"/>
        <v>2</v>
      </c>
      <c r="GG1549" s="101">
        <f t="shared" si="696"/>
        <v>7.7100000000000002E-2</v>
      </c>
      <c r="GH1549" s="101">
        <f t="shared" si="697"/>
        <v>1</v>
      </c>
      <c r="GI1549" s="101">
        <f t="shared" si="698"/>
        <v>5</v>
      </c>
      <c r="GJ1549" s="101">
        <f t="shared" si="699"/>
        <v>0.30830000000000002</v>
      </c>
      <c r="GK1549" s="101">
        <f t="shared" si="700"/>
        <v>1</v>
      </c>
      <c r="GL1549" s="101">
        <f t="shared" si="701"/>
        <v>10</v>
      </c>
    </row>
    <row r="1550" spans="170:194" ht="16.5" x14ac:dyDescent="0.2">
      <c r="FN1550" s="101">
        <v>1545</v>
      </c>
      <c r="FO1550" s="101">
        <f t="shared" si="686"/>
        <v>22</v>
      </c>
      <c r="FP1550" s="101">
        <f t="shared" si="702"/>
        <v>20</v>
      </c>
      <c r="FQ1550" s="14">
        <f t="shared" si="703"/>
        <v>3</v>
      </c>
      <c r="FR1550" s="101" t="str">
        <f t="shared" si="687"/>
        <v>燕青专属武器-魂珠-3 4级</v>
      </c>
      <c r="FS1550" s="101">
        <f t="shared" si="688"/>
        <v>3</v>
      </c>
      <c r="FT1550" s="101">
        <f t="shared" si="689"/>
        <v>4</v>
      </c>
      <c r="FU1550" s="101" t="str">
        <f t="shared" si="704"/>
        <v>金币</v>
      </c>
      <c r="FV1550" s="139">
        <f>IF($FT1550&gt;0,IF(INDEX($EI$6:$EI$77,$FO1550)&gt;=FV$3,ROUND(INDEX(EK$6:EK$77,$FO1550)*INDEX(卡牌消耗!$B$8:$F$8,FQ1550)/5,0)*5,""),"")</f>
        <v>655</v>
      </c>
      <c r="FW1550" s="101" t="str">
        <f t="shared" si="705"/>
        <v>专属强化石1</v>
      </c>
      <c r="FX1550" s="101">
        <f t="shared" si="706"/>
        <v>6</v>
      </c>
      <c r="FY1550" s="101" t="str">
        <f t="shared" si="707"/>
        <v>专属强化石2</v>
      </c>
      <c r="FZ1550" s="101">
        <f t="shared" si="708"/>
        <v>3</v>
      </c>
      <c r="GA1550" s="101">
        <f t="shared" si="690"/>
        <v>0.09</v>
      </c>
      <c r="GB1550" s="101">
        <f t="shared" si="691"/>
        <v>1</v>
      </c>
      <c r="GC1550" s="101">
        <f t="shared" si="692"/>
        <v>16</v>
      </c>
      <c r="GD1550" s="101">
        <f t="shared" si="693"/>
        <v>0</v>
      </c>
      <c r="GE1550" s="101">
        <f t="shared" si="694"/>
        <v>1</v>
      </c>
      <c r="GF1550" s="101">
        <f t="shared" si="695"/>
        <v>4</v>
      </c>
      <c r="GG1550" s="101">
        <f t="shared" si="696"/>
        <v>4.6199999999999998E-2</v>
      </c>
      <c r="GH1550" s="101">
        <f t="shared" si="697"/>
        <v>1</v>
      </c>
      <c r="GI1550" s="101">
        <f t="shared" si="698"/>
        <v>8</v>
      </c>
      <c r="GJ1550" s="101">
        <f t="shared" si="699"/>
        <v>0.185</v>
      </c>
      <c r="GK1550" s="101">
        <f t="shared" si="700"/>
        <v>1</v>
      </c>
      <c r="GL1550" s="101">
        <f t="shared" si="701"/>
        <v>16</v>
      </c>
    </row>
    <row r="1551" spans="170:194" ht="16.5" x14ac:dyDescent="0.2">
      <c r="FN1551" s="101">
        <v>1546</v>
      </c>
      <c r="FO1551" s="101">
        <f t="shared" si="686"/>
        <v>23</v>
      </c>
      <c r="FP1551" s="101">
        <f t="shared" si="702"/>
        <v>20</v>
      </c>
      <c r="FQ1551" s="14">
        <f t="shared" si="703"/>
        <v>3</v>
      </c>
      <c r="FR1551" s="101" t="str">
        <f t="shared" si="687"/>
        <v>燕青专属武器-魂珠-3 5级</v>
      </c>
      <c r="FS1551" s="101">
        <f t="shared" si="688"/>
        <v>3</v>
      </c>
      <c r="FT1551" s="101">
        <f t="shared" si="689"/>
        <v>5</v>
      </c>
      <c r="FU1551" s="101" t="str">
        <f t="shared" si="704"/>
        <v>金币</v>
      </c>
      <c r="FV1551" s="139">
        <f>IF($FT1551&gt;0,IF(INDEX($EI$6:$EI$77,$FO1551)&gt;=FV$3,ROUND(INDEX(EK$6:EK$77,$FO1551)*INDEX(卡牌消耗!$B$8:$F$8,FQ1551)/5,0)*5,""),"")</f>
        <v>885</v>
      </c>
      <c r="FW1551" s="101" t="str">
        <f t="shared" si="705"/>
        <v>专属强化石1</v>
      </c>
      <c r="FX1551" s="101">
        <f t="shared" si="706"/>
        <v>8</v>
      </c>
      <c r="FY1551" s="101" t="str">
        <f t="shared" si="707"/>
        <v>专属强化石2</v>
      </c>
      <c r="FZ1551" s="101">
        <f t="shared" si="708"/>
        <v>4</v>
      </c>
      <c r="GA1551" s="101">
        <f t="shared" si="690"/>
        <v>0.08</v>
      </c>
      <c r="GB1551" s="101">
        <f t="shared" si="691"/>
        <v>1</v>
      </c>
      <c r="GC1551" s="101">
        <f t="shared" si="692"/>
        <v>19</v>
      </c>
      <c r="GD1551" s="101">
        <f t="shared" si="693"/>
        <v>0</v>
      </c>
      <c r="GE1551" s="101">
        <f t="shared" si="694"/>
        <v>1</v>
      </c>
      <c r="GF1551" s="101">
        <f t="shared" si="695"/>
        <v>5</v>
      </c>
      <c r="GG1551" s="101">
        <f t="shared" si="696"/>
        <v>3.85E-2</v>
      </c>
      <c r="GH1551" s="101">
        <f t="shared" si="697"/>
        <v>1</v>
      </c>
      <c r="GI1551" s="101">
        <f t="shared" si="698"/>
        <v>9</v>
      </c>
      <c r="GJ1551" s="101">
        <f t="shared" si="699"/>
        <v>0.15409999999999999</v>
      </c>
      <c r="GK1551" s="101">
        <f t="shared" si="700"/>
        <v>1</v>
      </c>
      <c r="GL1551" s="101">
        <f t="shared" si="701"/>
        <v>19</v>
      </c>
    </row>
    <row r="1552" spans="170:194" ht="16.5" x14ac:dyDescent="0.2">
      <c r="FN1552" s="101">
        <v>1547</v>
      </c>
      <c r="FO1552" s="101">
        <f t="shared" si="686"/>
        <v>24</v>
      </c>
      <c r="FP1552" s="101">
        <f t="shared" si="702"/>
        <v>20</v>
      </c>
      <c r="FQ1552" s="14">
        <f t="shared" si="703"/>
        <v>3</v>
      </c>
      <c r="FR1552" s="101" t="str">
        <f t="shared" si="687"/>
        <v>燕青专属武器-魂珠-3 6级</v>
      </c>
      <c r="FS1552" s="101">
        <f t="shared" si="688"/>
        <v>3</v>
      </c>
      <c r="FT1552" s="101">
        <f t="shared" si="689"/>
        <v>6</v>
      </c>
      <c r="FU1552" s="101" t="str">
        <f t="shared" si="704"/>
        <v>金币</v>
      </c>
      <c r="FV1552" s="139">
        <f>IF($FT1552&gt;0,IF(INDEX($EI$6:$EI$77,$FO1552)&gt;=FV$3,ROUND(INDEX(EK$6:EK$77,$FO1552)*INDEX(卡牌消耗!$B$8:$F$8,FQ1552)/5,0)*5,""),"")</f>
        <v>1100</v>
      </c>
      <c r="FW1552" s="101" t="str">
        <f t="shared" si="705"/>
        <v>专属强化石1</v>
      </c>
      <c r="FX1552" s="101">
        <f t="shared" si="706"/>
        <v>10</v>
      </c>
      <c r="FY1552" s="101" t="str">
        <f t="shared" si="707"/>
        <v>专属强化石2</v>
      </c>
      <c r="FZ1552" s="101">
        <f t="shared" si="708"/>
        <v>5</v>
      </c>
      <c r="GA1552" s="101">
        <f t="shared" si="690"/>
        <v>0.06</v>
      </c>
      <c r="GB1552" s="101">
        <f t="shared" si="691"/>
        <v>1</v>
      </c>
      <c r="GC1552" s="101">
        <f t="shared" si="692"/>
        <v>25</v>
      </c>
      <c r="GD1552" s="101">
        <f t="shared" si="693"/>
        <v>0</v>
      </c>
      <c r="GE1552" s="101">
        <f t="shared" si="694"/>
        <v>1</v>
      </c>
      <c r="GF1552" s="101">
        <f t="shared" si="695"/>
        <v>6</v>
      </c>
      <c r="GG1552" s="101">
        <f t="shared" si="696"/>
        <v>2.9600000000000001E-2</v>
      </c>
      <c r="GH1552" s="101">
        <f t="shared" si="697"/>
        <v>1</v>
      </c>
      <c r="GI1552" s="101">
        <f t="shared" si="698"/>
        <v>12</v>
      </c>
      <c r="GJ1552" s="101">
        <f t="shared" si="699"/>
        <v>0.1186</v>
      </c>
      <c r="GK1552" s="101">
        <f t="shared" si="700"/>
        <v>1</v>
      </c>
      <c r="GL1552" s="101">
        <f t="shared" si="701"/>
        <v>25</v>
      </c>
    </row>
    <row r="1553" spans="170:194" ht="16.5" x14ac:dyDescent="0.2">
      <c r="FN1553" s="101">
        <v>1548</v>
      </c>
      <c r="FO1553" s="101">
        <f t="shared" si="686"/>
        <v>25</v>
      </c>
      <c r="FP1553" s="101">
        <f t="shared" si="702"/>
        <v>20</v>
      </c>
      <c r="FQ1553" s="14">
        <f t="shared" si="703"/>
        <v>3</v>
      </c>
      <c r="FR1553" s="101" t="str">
        <f t="shared" si="687"/>
        <v>燕青专属武器-魂珠-3 7级</v>
      </c>
      <c r="FS1553" s="101">
        <f t="shared" si="688"/>
        <v>3</v>
      </c>
      <c r="FT1553" s="101">
        <f t="shared" si="689"/>
        <v>7</v>
      </c>
      <c r="FU1553" s="101" t="str">
        <f t="shared" si="704"/>
        <v>金币</v>
      </c>
      <c r="FV1553" s="139">
        <f>IF($FT1553&gt;0,IF(INDEX($EI$6:$EI$77,$FO1553)&gt;=FV$3,ROUND(INDEX(EK$6:EK$77,$FO1553)*INDEX(卡牌消耗!$B$8:$F$8,FQ1553)/5,0)*5,""),"")</f>
        <v>1325</v>
      </c>
      <c r="FW1553" s="101" t="str">
        <f t="shared" si="705"/>
        <v>专属强化石1</v>
      </c>
      <c r="FX1553" s="101">
        <f t="shared" si="706"/>
        <v>12</v>
      </c>
      <c r="FY1553" s="101" t="str">
        <f t="shared" si="707"/>
        <v>专属强化石2</v>
      </c>
      <c r="FZ1553" s="101">
        <f t="shared" si="708"/>
        <v>6</v>
      </c>
      <c r="GA1553" s="101">
        <f t="shared" si="690"/>
        <v>0.04</v>
      </c>
      <c r="GB1553" s="101">
        <f t="shared" si="691"/>
        <v>1</v>
      </c>
      <c r="GC1553" s="101">
        <f t="shared" si="692"/>
        <v>34</v>
      </c>
      <c r="GD1553" s="101">
        <f t="shared" si="693"/>
        <v>0</v>
      </c>
      <c r="GE1553" s="101">
        <f t="shared" si="694"/>
        <v>1</v>
      </c>
      <c r="GF1553" s="101">
        <f t="shared" si="695"/>
        <v>8</v>
      </c>
      <c r="GG1553" s="101">
        <f t="shared" si="696"/>
        <v>2.1999999999999999E-2</v>
      </c>
      <c r="GH1553" s="101">
        <f t="shared" si="697"/>
        <v>1</v>
      </c>
      <c r="GI1553" s="101">
        <f t="shared" si="698"/>
        <v>16</v>
      </c>
      <c r="GJ1553" s="101">
        <f t="shared" si="699"/>
        <v>8.8099999999999998E-2</v>
      </c>
      <c r="GK1553" s="101">
        <f t="shared" si="700"/>
        <v>1</v>
      </c>
      <c r="GL1553" s="101">
        <f t="shared" si="701"/>
        <v>34</v>
      </c>
    </row>
    <row r="1554" spans="170:194" ht="16.5" x14ac:dyDescent="0.2">
      <c r="FN1554" s="101">
        <v>1549</v>
      </c>
      <c r="FO1554" s="101">
        <f t="shared" si="686"/>
        <v>26</v>
      </c>
      <c r="FP1554" s="101">
        <f t="shared" si="702"/>
        <v>20</v>
      </c>
      <c r="FQ1554" s="14">
        <f t="shared" si="703"/>
        <v>3</v>
      </c>
      <c r="FR1554" s="101" t="str">
        <f t="shared" si="687"/>
        <v>燕青专属武器-魂珠-3 8级</v>
      </c>
      <c r="FS1554" s="101">
        <f t="shared" si="688"/>
        <v>3</v>
      </c>
      <c r="FT1554" s="101">
        <f t="shared" si="689"/>
        <v>8</v>
      </c>
      <c r="FU1554" s="101" t="str">
        <f t="shared" si="704"/>
        <v>金币</v>
      </c>
      <c r="FV1554" s="139">
        <f>IF($FT1554&gt;0,IF(INDEX($EI$6:$EI$77,$FO1554)&gt;=FV$3,ROUND(INDEX(EK$6:EK$77,$FO1554)*INDEX(卡牌消耗!$B$8:$F$8,FQ1554)/5,0)*5,""),"")</f>
        <v>1765</v>
      </c>
      <c r="FW1554" s="101" t="str">
        <f t="shared" si="705"/>
        <v>专属强化石1</v>
      </c>
      <c r="FX1554" s="101">
        <f t="shared" si="706"/>
        <v>16</v>
      </c>
      <c r="FY1554" s="101" t="str">
        <f t="shared" si="707"/>
        <v>专属强化石2</v>
      </c>
      <c r="FZ1554" s="101">
        <f t="shared" si="708"/>
        <v>8</v>
      </c>
      <c r="GA1554" s="101">
        <f t="shared" si="690"/>
        <v>0.04</v>
      </c>
      <c r="GB1554" s="101">
        <f t="shared" si="691"/>
        <v>1</v>
      </c>
      <c r="GC1554" s="101">
        <f t="shared" si="692"/>
        <v>41</v>
      </c>
      <c r="GD1554" s="101">
        <f t="shared" si="693"/>
        <v>0</v>
      </c>
      <c r="GE1554" s="101">
        <f t="shared" si="694"/>
        <v>1</v>
      </c>
      <c r="GF1554" s="101">
        <f t="shared" si="695"/>
        <v>10</v>
      </c>
      <c r="GG1554" s="101">
        <f t="shared" si="696"/>
        <v>1.8100000000000002E-2</v>
      </c>
      <c r="GH1554" s="101">
        <f t="shared" si="697"/>
        <v>1</v>
      </c>
      <c r="GI1554" s="101">
        <f t="shared" si="698"/>
        <v>19</v>
      </c>
      <c r="GJ1554" s="101">
        <f t="shared" si="699"/>
        <v>7.2499999999999995E-2</v>
      </c>
      <c r="GK1554" s="101">
        <f t="shared" si="700"/>
        <v>1</v>
      </c>
      <c r="GL1554" s="101">
        <f t="shared" si="701"/>
        <v>41</v>
      </c>
    </row>
    <row r="1555" spans="170:194" ht="16.5" x14ac:dyDescent="0.2">
      <c r="FN1555" s="101">
        <v>1550</v>
      </c>
      <c r="FO1555" s="101">
        <f t="shared" si="686"/>
        <v>27</v>
      </c>
      <c r="FP1555" s="101">
        <f t="shared" si="702"/>
        <v>20</v>
      </c>
      <c r="FQ1555" s="14">
        <f t="shared" si="703"/>
        <v>3</v>
      </c>
      <c r="FR1555" s="101" t="str">
        <f t="shared" si="687"/>
        <v>燕青专属武器-魂珠-3 9级</v>
      </c>
      <c r="FS1555" s="101">
        <f t="shared" si="688"/>
        <v>3</v>
      </c>
      <c r="FT1555" s="101">
        <f t="shared" si="689"/>
        <v>9</v>
      </c>
      <c r="FU1555" s="101" t="str">
        <f t="shared" si="704"/>
        <v>金币</v>
      </c>
      <c r="FV1555" s="139">
        <f>IF($FT1555&gt;0,IF(INDEX($EI$6:$EI$77,$FO1555)&gt;=FV$3,ROUND(INDEX(EK$6:EK$77,$FO1555)*INDEX(卡牌消耗!$B$8:$F$8,FQ1555)/5,0)*5,""),"")</f>
        <v>2205</v>
      </c>
      <c r="FW1555" s="101" t="str">
        <f t="shared" si="705"/>
        <v>专属强化石1</v>
      </c>
      <c r="FX1555" s="101">
        <f t="shared" si="706"/>
        <v>20</v>
      </c>
      <c r="FY1555" s="101" t="str">
        <f t="shared" si="707"/>
        <v>专属强化石2</v>
      </c>
      <c r="FZ1555" s="101">
        <f t="shared" si="708"/>
        <v>10</v>
      </c>
      <c r="GA1555" s="101">
        <f t="shared" si="690"/>
        <v>0.03</v>
      </c>
      <c r="GB1555" s="101">
        <f t="shared" si="691"/>
        <v>1</v>
      </c>
      <c r="GC1555" s="101">
        <f t="shared" si="692"/>
        <v>54</v>
      </c>
      <c r="GD1555" s="101">
        <f t="shared" si="693"/>
        <v>0</v>
      </c>
      <c r="GE1555" s="101">
        <f t="shared" si="694"/>
        <v>1</v>
      </c>
      <c r="GF1555" s="101">
        <f t="shared" si="695"/>
        <v>12</v>
      </c>
      <c r="GG1555" s="101">
        <f t="shared" si="696"/>
        <v>1.4E-2</v>
      </c>
      <c r="GH1555" s="101">
        <f t="shared" si="697"/>
        <v>1</v>
      </c>
      <c r="GI1555" s="101">
        <f t="shared" si="698"/>
        <v>25</v>
      </c>
      <c r="GJ1555" s="101">
        <f t="shared" si="699"/>
        <v>5.6000000000000001E-2</v>
      </c>
      <c r="GK1555" s="101">
        <f t="shared" si="700"/>
        <v>1</v>
      </c>
      <c r="GL1555" s="101">
        <f t="shared" si="701"/>
        <v>54</v>
      </c>
    </row>
    <row r="1556" spans="170:194" ht="16.5" x14ac:dyDescent="0.2">
      <c r="FN1556" s="101">
        <v>1551</v>
      </c>
      <c r="FO1556" s="101">
        <f t="shared" si="686"/>
        <v>0</v>
      </c>
      <c r="FP1556" s="101">
        <f t="shared" si="702"/>
        <v>20</v>
      </c>
      <c r="FQ1556" s="14">
        <f t="shared" si="703"/>
        <v>3</v>
      </c>
      <c r="FR1556" s="101" t="str">
        <f t="shared" si="687"/>
        <v>燕青专属武器-魂珠-4 0级</v>
      </c>
      <c r="FS1556" s="101">
        <f t="shared" si="688"/>
        <v>4</v>
      </c>
      <c r="FT1556" s="101">
        <f t="shared" si="689"/>
        <v>0</v>
      </c>
      <c r="FU1556" s="101" t="str">
        <f t="shared" si="704"/>
        <v/>
      </c>
      <c r="FV1556" s="139" t="str">
        <f>IF($FT1556&gt;0,IF(INDEX($EI$6:$EI$77,$FO1556)&gt;=FV$3,ROUND(INDEX(EK$6:EK$77,$FO1556)*INDEX(卡牌消耗!$B$8:$F$8,FQ1556)/5,0)*5,""),"")</f>
        <v/>
      </c>
      <c r="FW1556" s="101" t="str">
        <f t="shared" si="705"/>
        <v/>
      </c>
      <c r="FX1556" s="101" t="str">
        <f t="shared" si="706"/>
        <v/>
      </c>
      <c r="FY1556" s="101" t="str">
        <f t="shared" si="707"/>
        <v/>
      </c>
      <c r="FZ1556" s="101" t="str">
        <f t="shared" si="708"/>
        <v/>
      </c>
      <c r="GA1556" s="101" t="str">
        <f t="shared" si="690"/>
        <v/>
      </c>
      <c r="GB1556" s="101" t="str">
        <f t="shared" si="691"/>
        <v/>
      </c>
      <c r="GC1556" s="101" t="str">
        <f t="shared" si="692"/>
        <v/>
      </c>
      <c r="GD1556" s="101" t="str">
        <f t="shared" si="693"/>
        <v/>
      </c>
      <c r="GE1556" s="101" t="str">
        <f t="shared" si="694"/>
        <v/>
      </c>
      <c r="GF1556" s="101" t="str">
        <f t="shared" si="695"/>
        <v/>
      </c>
      <c r="GG1556" s="101" t="str">
        <f t="shared" si="696"/>
        <v/>
      </c>
      <c r="GH1556" s="101" t="str">
        <f t="shared" si="697"/>
        <v/>
      </c>
      <c r="GI1556" s="101" t="str">
        <f t="shared" si="698"/>
        <v/>
      </c>
      <c r="GJ1556" s="101" t="str">
        <f t="shared" si="699"/>
        <v/>
      </c>
      <c r="GK1556" s="101" t="str">
        <f t="shared" si="700"/>
        <v/>
      </c>
      <c r="GL1556" s="101" t="str">
        <f t="shared" si="701"/>
        <v/>
      </c>
    </row>
    <row r="1557" spans="170:194" ht="16.5" x14ac:dyDescent="0.2">
      <c r="FN1557" s="101">
        <v>1552</v>
      </c>
      <c r="FO1557" s="101">
        <f t="shared" si="686"/>
        <v>28</v>
      </c>
      <c r="FP1557" s="101">
        <f t="shared" si="702"/>
        <v>20</v>
      </c>
      <c r="FQ1557" s="14">
        <f t="shared" si="703"/>
        <v>3</v>
      </c>
      <c r="FR1557" s="101" t="str">
        <f t="shared" si="687"/>
        <v>燕青专属武器-魂珠-4 1级</v>
      </c>
      <c r="FS1557" s="101">
        <f t="shared" si="688"/>
        <v>4</v>
      </c>
      <c r="FT1557" s="101">
        <f t="shared" si="689"/>
        <v>1</v>
      </c>
      <c r="FU1557" s="101" t="str">
        <f t="shared" si="704"/>
        <v>金币</v>
      </c>
      <c r="FV1557" s="139">
        <f>IF($FT1557&gt;0,IF(INDEX($EI$6:$EI$77,$FO1557)&gt;=FV$3,ROUND(INDEX(EK$6:EK$77,$FO1557)*INDEX(卡牌消耗!$B$8:$F$8,FQ1557)/5,0)*5,""),"")</f>
        <v>730</v>
      </c>
      <c r="FW1557" s="101" t="str">
        <f t="shared" si="705"/>
        <v>专属强化石2</v>
      </c>
      <c r="FX1557" s="101">
        <f t="shared" si="706"/>
        <v>3</v>
      </c>
      <c r="FY1557" s="101" t="str">
        <f t="shared" si="707"/>
        <v>专属强化石3</v>
      </c>
      <c r="FZ1557" s="101">
        <f t="shared" si="708"/>
        <v>1</v>
      </c>
      <c r="GA1557" s="101">
        <f t="shared" si="690"/>
        <v>0.2</v>
      </c>
      <c r="GB1557" s="101">
        <f t="shared" si="691"/>
        <v>1</v>
      </c>
      <c r="GC1557" s="101">
        <f t="shared" si="692"/>
        <v>7</v>
      </c>
      <c r="GD1557" s="101">
        <f t="shared" si="693"/>
        <v>0</v>
      </c>
      <c r="GE1557" s="101">
        <f t="shared" si="694"/>
        <v>1</v>
      </c>
      <c r="GF1557" s="101">
        <f t="shared" si="695"/>
        <v>2</v>
      </c>
      <c r="GG1557" s="101">
        <f t="shared" si="696"/>
        <v>0.1012</v>
      </c>
      <c r="GH1557" s="101">
        <f t="shared" si="697"/>
        <v>1</v>
      </c>
      <c r="GI1557" s="101">
        <f t="shared" si="698"/>
        <v>3</v>
      </c>
      <c r="GJ1557" s="101">
        <f t="shared" si="699"/>
        <v>0.40479999999999999</v>
      </c>
      <c r="GK1557" s="101">
        <f t="shared" si="700"/>
        <v>1</v>
      </c>
      <c r="GL1557" s="101">
        <f t="shared" si="701"/>
        <v>7</v>
      </c>
    </row>
    <row r="1558" spans="170:194" ht="16.5" x14ac:dyDescent="0.2">
      <c r="FN1558" s="101">
        <v>1553</v>
      </c>
      <c r="FO1558" s="101">
        <f t="shared" ref="FO1558:FO1621" si="709">IF(FT1558&gt;0,(FS1558-1)*9+FT1558,0)</f>
        <v>29</v>
      </c>
      <c r="FP1558" s="101">
        <f t="shared" si="702"/>
        <v>20</v>
      </c>
      <c r="FQ1558" s="14">
        <f t="shared" si="703"/>
        <v>3</v>
      </c>
      <c r="FR1558" s="101" t="str">
        <f t="shared" ref="FR1558:FR1621" si="710">INDEX($FI$6:$FI$26,FP1558)&amp;"专属武器-魂珠-"&amp;FS1558&amp;" "&amp;FT1558&amp;"级"</f>
        <v>燕青专属武器-魂珠-4 2级</v>
      </c>
      <c r="FS1558" s="101">
        <f t="shared" ref="FS1558:FS1621" si="711">INT((FN1558-(FP1558-1)*80-1)/10)+1</f>
        <v>4</v>
      </c>
      <c r="FT1558" s="101">
        <f t="shared" ref="FT1558:FT1621" si="712">FN1558-(FP1558-1)*80-(FS1558-1)*10-1</f>
        <v>2</v>
      </c>
      <c r="FU1558" s="101" t="str">
        <f t="shared" si="704"/>
        <v>金币</v>
      </c>
      <c r="FV1558" s="139">
        <f>IF($FT1558&gt;0,IF(INDEX($EI$6:$EI$77,$FO1558)&gt;=FV$3,ROUND(INDEX(EK$6:EK$77,$FO1558)*INDEX(卡牌消耗!$B$8:$F$8,FQ1558)/5,0)*5,""),"")</f>
        <v>545</v>
      </c>
      <c r="FW1558" s="101" t="str">
        <f t="shared" si="705"/>
        <v>专属强化石2</v>
      </c>
      <c r="FX1558" s="101">
        <f t="shared" si="706"/>
        <v>3</v>
      </c>
      <c r="FY1558" s="101" t="str">
        <f t="shared" si="707"/>
        <v>专属强化石3</v>
      </c>
      <c r="FZ1558" s="101">
        <f t="shared" si="708"/>
        <v>1</v>
      </c>
      <c r="GA1558" s="101">
        <f t="shared" ref="GA1558:GA1621" si="713">IF($FT1558&gt;0,INDEX(EP$6:EP$77,$FO1558),"")</f>
        <v>0.1</v>
      </c>
      <c r="GB1558" s="101">
        <f t="shared" ref="GB1558:GB1621" si="714">IF($FT1558&gt;0,INDEX(EQ$6:EQ$77,$FO1558),"")</f>
        <v>1</v>
      </c>
      <c r="GC1558" s="101">
        <f t="shared" ref="GC1558:GC1621" si="715">IF($FT1558&gt;0,INDEX(ER$6:ER$77,$FO1558),"")</f>
        <v>15</v>
      </c>
      <c r="GD1558" s="101">
        <f t="shared" ref="GD1558:GD1621" si="716">IF($FT1558&gt;0,INDEX(EV$6:EV$77,$FO1558),"")</f>
        <v>0</v>
      </c>
      <c r="GE1558" s="101">
        <f t="shared" ref="GE1558:GE1621" si="717">IF($FT1558&gt;0,INDEX(EW$6:EW$77,$FO1558),"")</f>
        <v>1</v>
      </c>
      <c r="GF1558" s="101">
        <f t="shared" ref="GF1558:GF1621" si="718">IF($FT1558&gt;0,INDEX(EX$6:EX$77,$FO1558),"")</f>
        <v>3</v>
      </c>
      <c r="GG1558" s="101">
        <f t="shared" ref="GG1558:GG1621" si="719">IF($FT1558&gt;0,INDEX(EY$6:EY$77,$FO1558),"")</f>
        <v>5.0599999999999999E-2</v>
      </c>
      <c r="GH1558" s="101">
        <f t="shared" ref="GH1558:GH1621" si="720">IF($FT1558&gt;0,INDEX(EZ$6:EZ$77,$FO1558),"")</f>
        <v>1</v>
      </c>
      <c r="GI1558" s="101">
        <f t="shared" ref="GI1558:GI1621" si="721">IF($FT1558&gt;0,INDEX(FA$6:FA$77,$FO1558),"")</f>
        <v>7</v>
      </c>
      <c r="GJ1558" s="101">
        <f t="shared" ref="GJ1558:GJ1621" si="722">IF($FT1558&gt;0,INDEX(FB$6:FB$77,$FO1558),"")</f>
        <v>0.2024</v>
      </c>
      <c r="GK1558" s="101">
        <f t="shared" ref="GK1558:GK1621" si="723">IF($FT1558&gt;0,INDEX(FC$6:FC$77,$FO1558),"")</f>
        <v>1</v>
      </c>
      <c r="GL1558" s="101">
        <f t="shared" ref="GL1558:GL1621" si="724">IF($FT1558&gt;0,INDEX(FD$6:FD$77,$FO1558),"")</f>
        <v>15</v>
      </c>
    </row>
    <row r="1559" spans="170:194" ht="16.5" x14ac:dyDescent="0.2">
      <c r="FN1559" s="101">
        <v>1554</v>
      </c>
      <c r="FO1559" s="101">
        <f t="shared" si="709"/>
        <v>30</v>
      </c>
      <c r="FP1559" s="101">
        <f t="shared" si="702"/>
        <v>20</v>
      </c>
      <c r="FQ1559" s="14">
        <f t="shared" si="703"/>
        <v>3</v>
      </c>
      <c r="FR1559" s="101" t="str">
        <f t="shared" si="710"/>
        <v>燕青专属武器-魂珠-4 3级</v>
      </c>
      <c r="FS1559" s="101">
        <f t="shared" si="711"/>
        <v>4</v>
      </c>
      <c r="FT1559" s="101">
        <f t="shared" si="712"/>
        <v>3</v>
      </c>
      <c r="FU1559" s="101" t="str">
        <f t="shared" si="704"/>
        <v>金币</v>
      </c>
      <c r="FV1559" s="139">
        <f>IF($FT1559&gt;0,IF(INDEX($EI$6:$EI$77,$FO1559)&gt;=FV$3,ROUND(INDEX(EK$6:EK$77,$FO1559)*INDEX(卡牌消耗!$B$8:$F$8,FQ1559)/5,0)*5,""),"")</f>
        <v>610</v>
      </c>
      <c r="FW1559" s="101" t="str">
        <f t="shared" si="705"/>
        <v>专属强化石2</v>
      </c>
      <c r="FX1559" s="101">
        <f t="shared" si="706"/>
        <v>3</v>
      </c>
      <c r="FY1559" s="101" t="str">
        <f t="shared" si="707"/>
        <v>专属强化石3</v>
      </c>
      <c r="FZ1559" s="101">
        <f t="shared" si="708"/>
        <v>1</v>
      </c>
      <c r="GA1559" s="101">
        <f t="shared" si="713"/>
        <v>7.0000000000000007E-2</v>
      </c>
      <c r="GB1559" s="101">
        <f t="shared" si="714"/>
        <v>1</v>
      </c>
      <c r="GC1559" s="101">
        <f t="shared" si="715"/>
        <v>22</v>
      </c>
      <c r="GD1559" s="101">
        <f t="shared" si="716"/>
        <v>0</v>
      </c>
      <c r="GE1559" s="101">
        <f t="shared" si="717"/>
        <v>1</v>
      </c>
      <c r="GF1559" s="101">
        <f t="shared" si="718"/>
        <v>5</v>
      </c>
      <c r="GG1559" s="101">
        <f t="shared" si="719"/>
        <v>3.3700000000000001E-2</v>
      </c>
      <c r="GH1559" s="101">
        <f t="shared" si="720"/>
        <v>1</v>
      </c>
      <c r="GI1559" s="101">
        <f t="shared" si="721"/>
        <v>10</v>
      </c>
      <c r="GJ1559" s="101">
        <f t="shared" si="722"/>
        <v>0.13489999999999999</v>
      </c>
      <c r="GK1559" s="101">
        <f t="shared" si="723"/>
        <v>1</v>
      </c>
      <c r="GL1559" s="101">
        <f t="shared" si="724"/>
        <v>22</v>
      </c>
    </row>
    <row r="1560" spans="170:194" ht="16.5" x14ac:dyDescent="0.2">
      <c r="FN1560" s="101">
        <v>1555</v>
      </c>
      <c r="FO1560" s="101">
        <f t="shared" si="709"/>
        <v>31</v>
      </c>
      <c r="FP1560" s="101">
        <f t="shared" si="702"/>
        <v>20</v>
      </c>
      <c r="FQ1560" s="14">
        <f t="shared" si="703"/>
        <v>3</v>
      </c>
      <c r="FR1560" s="101" t="str">
        <f t="shared" si="710"/>
        <v>燕青专属武器-魂珠-4 4级</v>
      </c>
      <c r="FS1560" s="101">
        <f t="shared" si="711"/>
        <v>4</v>
      </c>
      <c r="FT1560" s="101">
        <f t="shared" si="712"/>
        <v>4</v>
      </c>
      <c r="FU1560" s="101" t="str">
        <f t="shared" si="704"/>
        <v>金币</v>
      </c>
      <c r="FV1560" s="139">
        <f>IF($FT1560&gt;0,IF(INDEX($EI$6:$EI$77,$FO1560)&gt;=FV$3,ROUND(INDEX(EK$6:EK$77,$FO1560)*INDEX(卡牌消耗!$B$8:$F$8,FQ1560)/5,0)*5,""),"")</f>
        <v>1165</v>
      </c>
      <c r="FW1560" s="101" t="str">
        <f t="shared" si="705"/>
        <v>专属强化石2</v>
      </c>
      <c r="FX1560" s="101">
        <f t="shared" si="706"/>
        <v>5</v>
      </c>
      <c r="FY1560" s="101" t="str">
        <f t="shared" si="707"/>
        <v>专属强化石3</v>
      </c>
      <c r="FZ1560" s="101">
        <f t="shared" si="708"/>
        <v>2</v>
      </c>
      <c r="GA1560" s="101">
        <f t="shared" si="713"/>
        <v>0.08</v>
      </c>
      <c r="GB1560" s="101">
        <f t="shared" si="714"/>
        <v>1</v>
      </c>
      <c r="GC1560" s="101">
        <f t="shared" si="715"/>
        <v>19</v>
      </c>
      <c r="GD1560" s="101">
        <f t="shared" si="716"/>
        <v>0</v>
      </c>
      <c r="GE1560" s="101">
        <f t="shared" si="717"/>
        <v>1</v>
      </c>
      <c r="GF1560" s="101">
        <f t="shared" si="718"/>
        <v>4</v>
      </c>
      <c r="GG1560" s="101">
        <f t="shared" si="719"/>
        <v>4.0500000000000001E-2</v>
      </c>
      <c r="GH1560" s="101">
        <f t="shared" si="720"/>
        <v>1</v>
      </c>
      <c r="GI1560" s="101">
        <f t="shared" si="721"/>
        <v>9</v>
      </c>
      <c r="GJ1560" s="101">
        <f t="shared" si="722"/>
        <v>0.16189999999999999</v>
      </c>
      <c r="GK1560" s="101">
        <f t="shared" si="723"/>
        <v>1</v>
      </c>
      <c r="GL1560" s="101">
        <f t="shared" si="724"/>
        <v>19</v>
      </c>
    </row>
    <row r="1561" spans="170:194" ht="16.5" x14ac:dyDescent="0.2">
      <c r="FN1561" s="101">
        <v>1556</v>
      </c>
      <c r="FO1561" s="101">
        <f t="shared" si="709"/>
        <v>32</v>
      </c>
      <c r="FP1561" s="101">
        <f t="shared" si="702"/>
        <v>20</v>
      </c>
      <c r="FQ1561" s="14">
        <f t="shared" si="703"/>
        <v>3</v>
      </c>
      <c r="FR1561" s="101" t="str">
        <f t="shared" si="710"/>
        <v>燕青专属武器-魂珠-4 5级</v>
      </c>
      <c r="FS1561" s="101">
        <f t="shared" si="711"/>
        <v>4</v>
      </c>
      <c r="FT1561" s="101">
        <f t="shared" si="712"/>
        <v>5</v>
      </c>
      <c r="FU1561" s="101" t="str">
        <f t="shared" si="704"/>
        <v>金币</v>
      </c>
      <c r="FV1561" s="139">
        <f>IF($FT1561&gt;0,IF(INDEX($EI$6:$EI$77,$FO1561)&gt;=FV$3,ROUND(INDEX(EK$6:EK$77,$FO1561)*INDEX(卡牌消耗!$B$8:$F$8,FQ1561)/5,0)*5,""),"")</f>
        <v>1185</v>
      </c>
      <c r="FW1561" s="101" t="str">
        <f t="shared" si="705"/>
        <v>专属强化石2</v>
      </c>
      <c r="FX1561" s="101">
        <f t="shared" si="706"/>
        <v>5</v>
      </c>
      <c r="FY1561" s="101" t="str">
        <f t="shared" si="707"/>
        <v>专属强化石3</v>
      </c>
      <c r="FZ1561" s="101">
        <f t="shared" si="708"/>
        <v>2</v>
      </c>
      <c r="GA1561" s="101">
        <f t="shared" si="713"/>
        <v>0.05</v>
      </c>
      <c r="GB1561" s="101">
        <f t="shared" si="714"/>
        <v>1</v>
      </c>
      <c r="GC1561" s="101">
        <f t="shared" si="715"/>
        <v>30</v>
      </c>
      <c r="GD1561" s="101">
        <f t="shared" si="716"/>
        <v>0</v>
      </c>
      <c r="GE1561" s="101">
        <f t="shared" si="717"/>
        <v>1</v>
      </c>
      <c r="GF1561" s="101">
        <f t="shared" si="718"/>
        <v>7</v>
      </c>
      <c r="GG1561" s="101">
        <f t="shared" si="719"/>
        <v>2.53E-2</v>
      </c>
      <c r="GH1561" s="101">
        <f t="shared" si="720"/>
        <v>1</v>
      </c>
      <c r="GI1561" s="101">
        <f t="shared" si="721"/>
        <v>14</v>
      </c>
      <c r="GJ1561" s="101">
        <f t="shared" si="722"/>
        <v>0.1012</v>
      </c>
      <c r="GK1561" s="101">
        <f t="shared" si="723"/>
        <v>1</v>
      </c>
      <c r="GL1561" s="101">
        <f t="shared" si="724"/>
        <v>30</v>
      </c>
    </row>
    <row r="1562" spans="170:194" ht="16.5" x14ac:dyDescent="0.2">
      <c r="FN1562" s="101">
        <v>1557</v>
      </c>
      <c r="FO1562" s="101">
        <f t="shared" si="709"/>
        <v>33</v>
      </c>
      <c r="FP1562" s="101">
        <f t="shared" si="702"/>
        <v>20</v>
      </c>
      <c r="FQ1562" s="14">
        <f t="shared" si="703"/>
        <v>3</v>
      </c>
      <c r="FR1562" s="101" t="str">
        <f t="shared" si="710"/>
        <v>燕青专属武器-魂珠-4 6级</v>
      </c>
      <c r="FS1562" s="101">
        <f t="shared" si="711"/>
        <v>4</v>
      </c>
      <c r="FT1562" s="101">
        <f t="shared" si="712"/>
        <v>6</v>
      </c>
      <c r="FU1562" s="101" t="str">
        <f t="shared" si="704"/>
        <v>金币</v>
      </c>
      <c r="FV1562" s="139">
        <f>IF($FT1562&gt;0,IF(INDEX($EI$6:$EI$77,$FO1562)&gt;=FV$3,ROUND(INDEX(EK$6:EK$77,$FO1562)*INDEX(卡牌消耗!$B$8:$F$8,FQ1562)/5,0)*5,""),"")</f>
        <v>1180</v>
      </c>
      <c r="FW1562" s="101" t="str">
        <f t="shared" si="705"/>
        <v>专属强化石2</v>
      </c>
      <c r="FX1562" s="101">
        <f t="shared" si="706"/>
        <v>5</v>
      </c>
      <c r="FY1562" s="101" t="str">
        <f t="shared" si="707"/>
        <v>专属强化石3</v>
      </c>
      <c r="FZ1562" s="101">
        <f t="shared" si="708"/>
        <v>2</v>
      </c>
      <c r="GA1562" s="101">
        <f t="shared" si="713"/>
        <v>0.03</v>
      </c>
      <c r="GB1562" s="101">
        <f t="shared" si="714"/>
        <v>1</v>
      </c>
      <c r="GC1562" s="101">
        <f t="shared" si="715"/>
        <v>48</v>
      </c>
      <c r="GD1562" s="101">
        <f t="shared" si="716"/>
        <v>0</v>
      </c>
      <c r="GE1562" s="101">
        <f t="shared" si="717"/>
        <v>1</v>
      </c>
      <c r="GF1562" s="101">
        <f t="shared" si="718"/>
        <v>11</v>
      </c>
      <c r="GG1562" s="101">
        <f t="shared" si="719"/>
        <v>1.5599999999999999E-2</v>
      </c>
      <c r="GH1562" s="101">
        <f t="shared" si="720"/>
        <v>1</v>
      </c>
      <c r="GI1562" s="101">
        <f t="shared" si="721"/>
        <v>22</v>
      </c>
      <c r="GJ1562" s="101">
        <f t="shared" si="722"/>
        <v>6.2300000000000001E-2</v>
      </c>
      <c r="GK1562" s="101">
        <f t="shared" si="723"/>
        <v>1</v>
      </c>
      <c r="GL1562" s="101">
        <f t="shared" si="724"/>
        <v>48</v>
      </c>
    </row>
    <row r="1563" spans="170:194" ht="16.5" x14ac:dyDescent="0.2">
      <c r="FN1563" s="101">
        <v>1558</v>
      </c>
      <c r="FO1563" s="101">
        <f t="shared" si="709"/>
        <v>34</v>
      </c>
      <c r="FP1563" s="101">
        <f t="shared" si="702"/>
        <v>20</v>
      </c>
      <c r="FQ1563" s="14">
        <f t="shared" si="703"/>
        <v>3</v>
      </c>
      <c r="FR1563" s="101" t="str">
        <f t="shared" si="710"/>
        <v>燕青专属武器-魂珠-4 7级</v>
      </c>
      <c r="FS1563" s="101">
        <f t="shared" si="711"/>
        <v>4</v>
      </c>
      <c r="FT1563" s="101">
        <f t="shared" si="712"/>
        <v>7</v>
      </c>
      <c r="FU1563" s="101" t="str">
        <f t="shared" si="704"/>
        <v>金币</v>
      </c>
      <c r="FV1563" s="139">
        <f>IF($FT1563&gt;0,IF(INDEX($EI$6:$EI$77,$FO1563)&gt;=FV$3,ROUND(INDEX(EK$6:EK$77,$FO1563)*INDEX(卡牌消耗!$B$8:$F$8,FQ1563)/5,0)*5,""),"")</f>
        <v>1770</v>
      </c>
      <c r="FW1563" s="101" t="str">
        <f t="shared" si="705"/>
        <v>专属强化石2</v>
      </c>
      <c r="FX1563" s="101">
        <f t="shared" si="706"/>
        <v>8</v>
      </c>
      <c r="FY1563" s="101" t="str">
        <f t="shared" si="707"/>
        <v>专属强化石3</v>
      </c>
      <c r="FZ1563" s="101">
        <f t="shared" si="708"/>
        <v>3</v>
      </c>
      <c r="GA1563" s="101">
        <f t="shared" si="713"/>
        <v>0.03</v>
      </c>
      <c r="GB1563" s="101">
        <f t="shared" si="714"/>
        <v>1</v>
      </c>
      <c r="GC1563" s="101">
        <f t="shared" si="715"/>
        <v>52</v>
      </c>
      <c r="GD1563" s="101">
        <f t="shared" si="716"/>
        <v>0</v>
      </c>
      <c r="GE1563" s="101">
        <f t="shared" si="717"/>
        <v>1</v>
      </c>
      <c r="GF1563" s="101">
        <f t="shared" si="718"/>
        <v>12</v>
      </c>
      <c r="GG1563" s="101">
        <f t="shared" si="719"/>
        <v>1.4500000000000001E-2</v>
      </c>
      <c r="GH1563" s="101">
        <f t="shared" si="720"/>
        <v>1</v>
      </c>
      <c r="GI1563" s="101">
        <f t="shared" si="721"/>
        <v>24</v>
      </c>
      <c r="GJ1563" s="101">
        <f t="shared" si="722"/>
        <v>5.7799999999999997E-2</v>
      </c>
      <c r="GK1563" s="101">
        <f t="shared" si="723"/>
        <v>1</v>
      </c>
      <c r="GL1563" s="101">
        <f t="shared" si="724"/>
        <v>52</v>
      </c>
    </row>
    <row r="1564" spans="170:194" ht="16.5" x14ac:dyDescent="0.2">
      <c r="FN1564" s="101">
        <v>1559</v>
      </c>
      <c r="FO1564" s="101">
        <f t="shared" si="709"/>
        <v>35</v>
      </c>
      <c r="FP1564" s="101">
        <f t="shared" si="702"/>
        <v>20</v>
      </c>
      <c r="FQ1564" s="14">
        <f t="shared" si="703"/>
        <v>3</v>
      </c>
      <c r="FR1564" s="101" t="str">
        <f t="shared" si="710"/>
        <v>燕青专属武器-魂珠-4 8级</v>
      </c>
      <c r="FS1564" s="101">
        <f t="shared" si="711"/>
        <v>4</v>
      </c>
      <c r="FT1564" s="101">
        <f t="shared" si="712"/>
        <v>8</v>
      </c>
      <c r="FU1564" s="101" t="str">
        <f t="shared" si="704"/>
        <v>金币</v>
      </c>
      <c r="FV1564" s="139">
        <f>IF($FT1564&gt;0,IF(INDEX($EI$6:$EI$77,$FO1564)&gt;=FV$3,ROUND(INDEX(EK$6:EK$77,$FO1564)*INDEX(卡牌消耗!$B$8:$F$8,FQ1564)/5,0)*5,""),"")</f>
        <v>2360</v>
      </c>
      <c r="FW1564" s="101" t="str">
        <f t="shared" si="705"/>
        <v>专属强化石2</v>
      </c>
      <c r="FX1564" s="101">
        <f t="shared" si="706"/>
        <v>11</v>
      </c>
      <c r="FY1564" s="101" t="str">
        <f t="shared" si="707"/>
        <v>专属强化石3</v>
      </c>
      <c r="FZ1564" s="101">
        <f t="shared" si="708"/>
        <v>4</v>
      </c>
      <c r="GA1564" s="101">
        <f t="shared" si="713"/>
        <v>0.02</v>
      </c>
      <c r="GB1564" s="101">
        <f t="shared" si="714"/>
        <v>1</v>
      </c>
      <c r="GC1564" s="101">
        <f t="shared" si="715"/>
        <v>63</v>
      </c>
      <c r="GD1564" s="101">
        <f t="shared" si="716"/>
        <v>0</v>
      </c>
      <c r="GE1564" s="101">
        <f t="shared" si="717"/>
        <v>1</v>
      </c>
      <c r="GF1564" s="101">
        <f t="shared" si="718"/>
        <v>15</v>
      </c>
      <c r="GG1564" s="101">
        <f t="shared" si="719"/>
        <v>1.1900000000000001E-2</v>
      </c>
      <c r="GH1564" s="101">
        <f t="shared" si="720"/>
        <v>1</v>
      </c>
      <c r="GI1564" s="101">
        <f t="shared" si="721"/>
        <v>29</v>
      </c>
      <c r="GJ1564" s="101">
        <f t="shared" si="722"/>
        <v>4.7600000000000003E-2</v>
      </c>
      <c r="GK1564" s="101">
        <f t="shared" si="723"/>
        <v>1</v>
      </c>
      <c r="GL1564" s="101">
        <f t="shared" si="724"/>
        <v>63</v>
      </c>
    </row>
    <row r="1565" spans="170:194" ht="16.5" x14ac:dyDescent="0.2">
      <c r="FN1565" s="101">
        <v>1560</v>
      </c>
      <c r="FO1565" s="101">
        <f t="shared" si="709"/>
        <v>36</v>
      </c>
      <c r="FP1565" s="101">
        <f t="shared" si="702"/>
        <v>20</v>
      </c>
      <c r="FQ1565" s="14">
        <f t="shared" si="703"/>
        <v>3</v>
      </c>
      <c r="FR1565" s="101" t="str">
        <f t="shared" si="710"/>
        <v>燕青专属武器-魂珠-4 9级</v>
      </c>
      <c r="FS1565" s="101">
        <f t="shared" si="711"/>
        <v>4</v>
      </c>
      <c r="FT1565" s="101">
        <f t="shared" si="712"/>
        <v>9</v>
      </c>
      <c r="FU1565" s="101" t="str">
        <f t="shared" si="704"/>
        <v>金币</v>
      </c>
      <c r="FV1565" s="139">
        <f>IF($FT1565&gt;0,IF(INDEX($EI$6:$EI$77,$FO1565)&gt;=FV$3,ROUND(INDEX(EK$6:EK$77,$FO1565)*INDEX(卡牌消耗!$B$8:$F$8,FQ1565)/5,0)*5,""),"")</f>
        <v>3540</v>
      </c>
      <c r="FW1565" s="101" t="str">
        <f t="shared" si="705"/>
        <v>专属强化石2</v>
      </c>
      <c r="FX1565" s="101">
        <f t="shared" si="706"/>
        <v>16</v>
      </c>
      <c r="FY1565" s="101" t="str">
        <f t="shared" si="707"/>
        <v>专属强化石3</v>
      </c>
      <c r="FZ1565" s="101">
        <f t="shared" si="708"/>
        <v>6</v>
      </c>
      <c r="GA1565" s="101">
        <f t="shared" si="713"/>
        <v>0.02</v>
      </c>
      <c r="GB1565" s="101">
        <f t="shared" si="714"/>
        <v>1</v>
      </c>
      <c r="GC1565" s="101">
        <f t="shared" si="715"/>
        <v>68</v>
      </c>
      <c r="GD1565" s="101">
        <f t="shared" si="716"/>
        <v>0</v>
      </c>
      <c r="GE1565" s="101">
        <f t="shared" si="717"/>
        <v>1</v>
      </c>
      <c r="GF1565" s="101">
        <f t="shared" si="718"/>
        <v>16</v>
      </c>
      <c r="GG1565" s="101">
        <f t="shared" si="719"/>
        <v>1.0999999999999999E-2</v>
      </c>
      <c r="GH1565" s="101">
        <f t="shared" si="720"/>
        <v>1</v>
      </c>
      <c r="GI1565" s="101">
        <f t="shared" si="721"/>
        <v>32</v>
      </c>
      <c r="GJ1565" s="101">
        <f t="shared" si="722"/>
        <v>4.4200000000000003E-2</v>
      </c>
      <c r="GK1565" s="101">
        <f t="shared" si="723"/>
        <v>1</v>
      </c>
      <c r="GL1565" s="101">
        <f t="shared" si="724"/>
        <v>68</v>
      </c>
    </row>
    <row r="1566" spans="170:194" ht="16.5" x14ac:dyDescent="0.2">
      <c r="FN1566" s="101">
        <v>1561</v>
      </c>
      <c r="FO1566" s="101">
        <f t="shared" si="709"/>
        <v>0</v>
      </c>
      <c r="FP1566" s="101">
        <f t="shared" si="702"/>
        <v>20</v>
      </c>
      <c r="FQ1566" s="14">
        <f t="shared" si="703"/>
        <v>3</v>
      </c>
      <c r="FR1566" s="101" t="str">
        <f t="shared" si="710"/>
        <v>燕青专属武器-魂珠-5 0级</v>
      </c>
      <c r="FS1566" s="101">
        <f t="shared" si="711"/>
        <v>5</v>
      </c>
      <c r="FT1566" s="101">
        <f t="shared" si="712"/>
        <v>0</v>
      </c>
      <c r="FU1566" s="101" t="str">
        <f t="shared" si="704"/>
        <v/>
      </c>
      <c r="FV1566" s="139" t="str">
        <f>IF($FT1566&gt;0,IF(INDEX($EI$6:$EI$77,$FO1566)&gt;=FV$3,ROUND(INDEX(EK$6:EK$77,$FO1566)*INDEX(卡牌消耗!$B$8:$F$8,FQ1566)/5,0)*5,""),"")</f>
        <v/>
      </c>
      <c r="FW1566" s="101" t="str">
        <f t="shared" si="705"/>
        <v/>
      </c>
      <c r="FX1566" s="101" t="str">
        <f t="shared" si="706"/>
        <v/>
      </c>
      <c r="FY1566" s="101" t="str">
        <f t="shared" si="707"/>
        <v/>
      </c>
      <c r="FZ1566" s="101" t="str">
        <f t="shared" si="708"/>
        <v/>
      </c>
      <c r="GA1566" s="101" t="str">
        <f t="shared" si="713"/>
        <v/>
      </c>
      <c r="GB1566" s="101" t="str">
        <f t="shared" si="714"/>
        <v/>
      </c>
      <c r="GC1566" s="101" t="str">
        <f t="shared" si="715"/>
        <v/>
      </c>
      <c r="GD1566" s="101" t="str">
        <f t="shared" si="716"/>
        <v/>
      </c>
      <c r="GE1566" s="101" t="str">
        <f t="shared" si="717"/>
        <v/>
      </c>
      <c r="GF1566" s="101" t="str">
        <f t="shared" si="718"/>
        <v/>
      </c>
      <c r="GG1566" s="101" t="str">
        <f t="shared" si="719"/>
        <v/>
      </c>
      <c r="GH1566" s="101" t="str">
        <f t="shared" si="720"/>
        <v/>
      </c>
      <c r="GI1566" s="101" t="str">
        <f t="shared" si="721"/>
        <v/>
      </c>
      <c r="GJ1566" s="101" t="str">
        <f t="shared" si="722"/>
        <v/>
      </c>
      <c r="GK1566" s="101" t="str">
        <f t="shared" si="723"/>
        <v/>
      </c>
      <c r="GL1566" s="101" t="str">
        <f t="shared" si="724"/>
        <v/>
      </c>
    </row>
    <row r="1567" spans="170:194" ht="16.5" x14ac:dyDescent="0.2">
      <c r="FN1567" s="101">
        <v>1562</v>
      </c>
      <c r="FO1567" s="101">
        <f t="shared" si="709"/>
        <v>37</v>
      </c>
      <c r="FP1567" s="101">
        <f t="shared" si="702"/>
        <v>20</v>
      </c>
      <c r="FQ1567" s="14">
        <f t="shared" si="703"/>
        <v>3</v>
      </c>
      <c r="FR1567" s="101" t="str">
        <f t="shared" si="710"/>
        <v>燕青专属武器-魂珠-5 1级</v>
      </c>
      <c r="FS1567" s="101">
        <f t="shared" si="711"/>
        <v>5</v>
      </c>
      <c r="FT1567" s="101">
        <f t="shared" si="712"/>
        <v>1</v>
      </c>
      <c r="FU1567" s="101" t="str">
        <f t="shared" si="704"/>
        <v>金币</v>
      </c>
      <c r="FV1567" s="139">
        <f>IF($FT1567&gt;0,IF(INDEX($EI$6:$EI$77,$FO1567)&gt;=FV$3,ROUND(INDEX(EK$6:EK$77,$FO1567)*INDEX(卡牌消耗!$B$8:$F$8,FQ1567)/5,0)*5,""),"")</f>
        <v>1495</v>
      </c>
      <c r="FW1567" s="101" t="str">
        <f t="shared" si="705"/>
        <v>专属强化石2</v>
      </c>
      <c r="FX1567" s="101">
        <f t="shared" si="706"/>
        <v>3</v>
      </c>
      <c r="FY1567" s="101" t="str">
        <f t="shared" si="707"/>
        <v>专属强化石3</v>
      </c>
      <c r="FZ1567" s="101">
        <f t="shared" si="708"/>
        <v>2</v>
      </c>
      <c r="GA1567" s="101">
        <f t="shared" si="713"/>
        <v>0.2</v>
      </c>
      <c r="GB1567" s="101">
        <f t="shared" si="714"/>
        <v>1</v>
      </c>
      <c r="GC1567" s="101">
        <f t="shared" si="715"/>
        <v>7</v>
      </c>
      <c r="GD1567" s="101">
        <f t="shared" si="716"/>
        <v>0</v>
      </c>
      <c r="GE1567" s="101">
        <f t="shared" si="717"/>
        <v>1</v>
      </c>
      <c r="GF1567" s="101">
        <f t="shared" si="718"/>
        <v>2</v>
      </c>
      <c r="GG1567" s="101">
        <f t="shared" si="719"/>
        <v>0.1012</v>
      </c>
      <c r="GH1567" s="101">
        <f t="shared" si="720"/>
        <v>1</v>
      </c>
      <c r="GI1567" s="101">
        <f t="shared" si="721"/>
        <v>3</v>
      </c>
      <c r="GJ1567" s="101">
        <f t="shared" si="722"/>
        <v>0.40479999999999999</v>
      </c>
      <c r="GK1567" s="101">
        <f t="shared" si="723"/>
        <v>1</v>
      </c>
      <c r="GL1567" s="101">
        <f t="shared" si="724"/>
        <v>7</v>
      </c>
    </row>
    <row r="1568" spans="170:194" ht="16.5" x14ac:dyDescent="0.2">
      <c r="FN1568" s="101">
        <v>1563</v>
      </c>
      <c r="FO1568" s="101">
        <f t="shared" si="709"/>
        <v>38</v>
      </c>
      <c r="FP1568" s="101">
        <f t="shared" si="702"/>
        <v>20</v>
      </c>
      <c r="FQ1568" s="14">
        <f t="shared" si="703"/>
        <v>3</v>
      </c>
      <c r="FR1568" s="101" t="str">
        <f t="shared" si="710"/>
        <v>燕青专属武器-魂珠-5 2级</v>
      </c>
      <c r="FS1568" s="101">
        <f t="shared" si="711"/>
        <v>5</v>
      </c>
      <c r="FT1568" s="101">
        <f t="shared" si="712"/>
        <v>2</v>
      </c>
      <c r="FU1568" s="101" t="str">
        <f t="shared" si="704"/>
        <v>金币</v>
      </c>
      <c r="FV1568" s="139">
        <f>IF($FT1568&gt;0,IF(INDEX($EI$6:$EI$77,$FO1568)&gt;=FV$3,ROUND(INDEX(EK$6:EK$77,$FO1568)*INDEX(卡牌消耗!$B$8:$F$8,FQ1568)/5,0)*5,""),"")</f>
        <v>1120</v>
      </c>
      <c r="FW1568" s="101" t="str">
        <f t="shared" si="705"/>
        <v>专属强化石2</v>
      </c>
      <c r="FX1568" s="101">
        <f t="shared" si="706"/>
        <v>3</v>
      </c>
      <c r="FY1568" s="101" t="str">
        <f t="shared" si="707"/>
        <v>专属强化石3</v>
      </c>
      <c r="FZ1568" s="101">
        <f t="shared" si="708"/>
        <v>2</v>
      </c>
      <c r="GA1568" s="101">
        <f t="shared" si="713"/>
        <v>0.1</v>
      </c>
      <c r="GB1568" s="101">
        <f t="shared" si="714"/>
        <v>1</v>
      </c>
      <c r="GC1568" s="101">
        <f t="shared" si="715"/>
        <v>15</v>
      </c>
      <c r="GD1568" s="101">
        <f t="shared" si="716"/>
        <v>0</v>
      </c>
      <c r="GE1568" s="101">
        <f t="shared" si="717"/>
        <v>1</v>
      </c>
      <c r="GF1568" s="101">
        <f t="shared" si="718"/>
        <v>3</v>
      </c>
      <c r="GG1568" s="101">
        <f t="shared" si="719"/>
        <v>5.0599999999999999E-2</v>
      </c>
      <c r="GH1568" s="101">
        <f t="shared" si="720"/>
        <v>1</v>
      </c>
      <c r="GI1568" s="101">
        <f t="shared" si="721"/>
        <v>7</v>
      </c>
      <c r="GJ1568" s="101">
        <f t="shared" si="722"/>
        <v>0.2024</v>
      </c>
      <c r="GK1568" s="101">
        <f t="shared" si="723"/>
        <v>1</v>
      </c>
      <c r="GL1568" s="101">
        <f t="shared" si="724"/>
        <v>15</v>
      </c>
    </row>
    <row r="1569" spans="170:194" ht="16.5" x14ac:dyDescent="0.2">
      <c r="FN1569" s="101">
        <v>1564</v>
      </c>
      <c r="FO1569" s="101">
        <f t="shared" si="709"/>
        <v>39</v>
      </c>
      <c r="FP1569" s="101">
        <f t="shared" si="702"/>
        <v>20</v>
      </c>
      <c r="FQ1569" s="14">
        <f t="shared" si="703"/>
        <v>3</v>
      </c>
      <c r="FR1569" s="101" t="str">
        <f t="shared" si="710"/>
        <v>燕青专属武器-魂珠-5 3级</v>
      </c>
      <c r="FS1569" s="101">
        <f t="shared" si="711"/>
        <v>5</v>
      </c>
      <c r="FT1569" s="101">
        <f t="shared" si="712"/>
        <v>3</v>
      </c>
      <c r="FU1569" s="101" t="str">
        <f t="shared" si="704"/>
        <v>金币</v>
      </c>
      <c r="FV1569" s="139">
        <f>IF($FT1569&gt;0,IF(INDEX($EI$6:$EI$77,$FO1569)&gt;=FV$3,ROUND(INDEX(EK$6:EK$77,$FO1569)*INDEX(卡牌消耗!$B$8:$F$8,FQ1569)/5,0)*5,""),"")</f>
        <v>1245</v>
      </c>
      <c r="FW1569" s="101" t="str">
        <f t="shared" si="705"/>
        <v>专属强化石2</v>
      </c>
      <c r="FX1569" s="101">
        <f t="shared" si="706"/>
        <v>3</v>
      </c>
      <c r="FY1569" s="101" t="str">
        <f t="shared" si="707"/>
        <v>专属强化石3</v>
      </c>
      <c r="FZ1569" s="101">
        <f t="shared" si="708"/>
        <v>2</v>
      </c>
      <c r="GA1569" s="101">
        <f t="shared" si="713"/>
        <v>7.0000000000000007E-2</v>
      </c>
      <c r="GB1569" s="101">
        <f t="shared" si="714"/>
        <v>1</v>
      </c>
      <c r="GC1569" s="101">
        <f t="shared" si="715"/>
        <v>22</v>
      </c>
      <c r="GD1569" s="101">
        <f t="shared" si="716"/>
        <v>0</v>
      </c>
      <c r="GE1569" s="101">
        <f t="shared" si="717"/>
        <v>1</v>
      </c>
      <c r="GF1569" s="101">
        <f t="shared" si="718"/>
        <v>5</v>
      </c>
      <c r="GG1569" s="101">
        <f t="shared" si="719"/>
        <v>3.3700000000000001E-2</v>
      </c>
      <c r="GH1569" s="101">
        <f t="shared" si="720"/>
        <v>1</v>
      </c>
      <c r="GI1569" s="101">
        <f t="shared" si="721"/>
        <v>10</v>
      </c>
      <c r="GJ1569" s="101">
        <f t="shared" si="722"/>
        <v>0.13489999999999999</v>
      </c>
      <c r="GK1569" s="101">
        <f t="shared" si="723"/>
        <v>1</v>
      </c>
      <c r="GL1569" s="101">
        <f t="shared" si="724"/>
        <v>22</v>
      </c>
    </row>
    <row r="1570" spans="170:194" ht="16.5" x14ac:dyDescent="0.2">
      <c r="FN1570" s="101">
        <v>1565</v>
      </c>
      <c r="FO1570" s="101">
        <f t="shared" si="709"/>
        <v>40</v>
      </c>
      <c r="FP1570" s="101">
        <f t="shared" si="702"/>
        <v>20</v>
      </c>
      <c r="FQ1570" s="14">
        <f t="shared" si="703"/>
        <v>3</v>
      </c>
      <c r="FR1570" s="101" t="str">
        <f t="shared" si="710"/>
        <v>燕青专属武器-魂珠-5 4级</v>
      </c>
      <c r="FS1570" s="101">
        <f t="shared" si="711"/>
        <v>5</v>
      </c>
      <c r="FT1570" s="101">
        <f t="shared" si="712"/>
        <v>4</v>
      </c>
      <c r="FU1570" s="101" t="str">
        <f t="shared" si="704"/>
        <v>金币</v>
      </c>
      <c r="FV1570" s="139">
        <f>IF($FT1570&gt;0,IF(INDEX($EI$6:$EI$77,$FO1570)&gt;=FV$3,ROUND(INDEX(EK$6:EK$77,$FO1570)*INDEX(卡牌消耗!$B$8:$F$8,FQ1570)/5,0)*5,""),"")</f>
        <v>1795</v>
      </c>
      <c r="FW1570" s="101" t="str">
        <f t="shared" si="705"/>
        <v>专属强化石2</v>
      </c>
      <c r="FX1570" s="101">
        <f t="shared" si="706"/>
        <v>5</v>
      </c>
      <c r="FY1570" s="101" t="str">
        <f t="shared" si="707"/>
        <v>专属强化石3</v>
      </c>
      <c r="FZ1570" s="101">
        <f t="shared" si="708"/>
        <v>3</v>
      </c>
      <c r="GA1570" s="101">
        <f t="shared" si="713"/>
        <v>0.06</v>
      </c>
      <c r="GB1570" s="101">
        <f t="shared" si="714"/>
        <v>1</v>
      </c>
      <c r="GC1570" s="101">
        <f t="shared" si="715"/>
        <v>25</v>
      </c>
      <c r="GD1570" s="101">
        <f t="shared" si="716"/>
        <v>0</v>
      </c>
      <c r="GE1570" s="101">
        <f t="shared" si="717"/>
        <v>1</v>
      </c>
      <c r="GF1570" s="101">
        <f t="shared" si="718"/>
        <v>6</v>
      </c>
      <c r="GG1570" s="101">
        <f t="shared" si="719"/>
        <v>3.04E-2</v>
      </c>
      <c r="GH1570" s="101">
        <f t="shared" si="720"/>
        <v>1</v>
      </c>
      <c r="GI1570" s="101">
        <f t="shared" si="721"/>
        <v>12</v>
      </c>
      <c r="GJ1570" s="101">
        <f t="shared" si="722"/>
        <v>0.12139999999999999</v>
      </c>
      <c r="GK1570" s="101">
        <f t="shared" si="723"/>
        <v>1</v>
      </c>
      <c r="GL1570" s="101">
        <f t="shared" si="724"/>
        <v>25</v>
      </c>
    </row>
    <row r="1571" spans="170:194" ht="16.5" x14ac:dyDescent="0.2">
      <c r="FN1571" s="101">
        <v>1566</v>
      </c>
      <c r="FO1571" s="101">
        <f t="shared" si="709"/>
        <v>41</v>
      </c>
      <c r="FP1571" s="101">
        <f t="shared" si="702"/>
        <v>20</v>
      </c>
      <c r="FQ1571" s="14">
        <f t="shared" si="703"/>
        <v>3</v>
      </c>
      <c r="FR1571" s="101" t="str">
        <f t="shared" si="710"/>
        <v>燕青专属武器-魂珠-5 5级</v>
      </c>
      <c r="FS1571" s="101">
        <f t="shared" si="711"/>
        <v>5</v>
      </c>
      <c r="FT1571" s="101">
        <f t="shared" si="712"/>
        <v>5</v>
      </c>
      <c r="FU1571" s="101" t="str">
        <f t="shared" si="704"/>
        <v>金币</v>
      </c>
      <c r="FV1571" s="139">
        <f>IF($FT1571&gt;0,IF(INDEX($EI$6:$EI$77,$FO1571)&gt;=FV$3,ROUND(INDEX(EK$6:EK$77,$FO1571)*INDEX(卡牌消耗!$B$8:$F$8,FQ1571)/5,0)*5,""),"")</f>
        <v>1825</v>
      </c>
      <c r="FW1571" s="101" t="str">
        <f t="shared" si="705"/>
        <v>专属强化石2</v>
      </c>
      <c r="FX1571" s="101">
        <f t="shared" si="706"/>
        <v>5</v>
      </c>
      <c r="FY1571" s="101" t="str">
        <f t="shared" si="707"/>
        <v>专属强化石3</v>
      </c>
      <c r="FZ1571" s="101">
        <f t="shared" si="708"/>
        <v>3</v>
      </c>
      <c r="GA1571" s="101">
        <f t="shared" si="713"/>
        <v>0.04</v>
      </c>
      <c r="GB1571" s="101">
        <f t="shared" si="714"/>
        <v>1</v>
      </c>
      <c r="GC1571" s="101">
        <f t="shared" si="715"/>
        <v>40</v>
      </c>
      <c r="GD1571" s="101">
        <f t="shared" si="716"/>
        <v>0</v>
      </c>
      <c r="GE1571" s="101">
        <f t="shared" si="717"/>
        <v>1</v>
      </c>
      <c r="GF1571" s="101">
        <f t="shared" si="718"/>
        <v>9</v>
      </c>
      <c r="GG1571" s="101">
        <f t="shared" si="719"/>
        <v>1.9E-2</v>
      </c>
      <c r="GH1571" s="101">
        <f t="shared" si="720"/>
        <v>1</v>
      </c>
      <c r="GI1571" s="101">
        <f t="shared" si="721"/>
        <v>18</v>
      </c>
      <c r="GJ1571" s="101">
        <f t="shared" si="722"/>
        <v>7.5899999999999995E-2</v>
      </c>
      <c r="GK1571" s="101">
        <f t="shared" si="723"/>
        <v>1</v>
      </c>
      <c r="GL1571" s="101">
        <f t="shared" si="724"/>
        <v>40</v>
      </c>
    </row>
    <row r="1572" spans="170:194" ht="16.5" x14ac:dyDescent="0.2">
      <c r="FN1572" s="101">
        <v>1567</v>
      </c>
      <c r="FO1572" s="101">
        <f t="shared" si="709"/>
        <v>42</v>
      </c>
      <c r="FP1572" s="101">
        <f t="shared" si="702"/>
        <v>20</v>
      </c>
      <c r="FQ1572" s="14">
        <f t="shared" si="703"/>
        <v>3</v>
      </c>
      <c r="FR1572" s="101" t="str">
        <f t="shared" si="710"/>
        <v>燕青专属武器-魂珠-5 6级</v>
      </c>
      <c r="FS1572" s="101">
        <f t="shared" si="711"/>
        <v>5</v>
      </c>
      <c r="FT1572" s="101">
        <f t="shared" si="712"/>
        <v>6</v>
      </c>
      <c r="FU1572" s="101" t="str">
        <f t="shared" si="704"/>
        <v>金币</v>
      </c>
      <c r="FV1572" s="139">
        <f>IF($FT1572&gt;0,IF(INDEX($EI$6:$EI$77,$FO1572)&gt;=FV$3,ROUND(INDEX(EK$6:EK$77,$FO1572)*INDEX(卡牌消耗!$B$8:$F$8,FQ1572)/5,0)*5,""),"")</f>
        <v>3020</v>
      </c>
      <c r="FW1572" s="101" t="str">
        <f t="shared" si="705"/>
        <v>专属强化石2</v>
      </c>
      <c r="FX1572" s="101">
        <f t="shared" si="706"/>
        <v>8</v>
      </c>
      <c r="FY1572" s="101" t="str">
        <f t="shared" si="707"/>
        <v>专属强化石3</v>
      </c>
      <c r="FZ1572" s="101">
        <f t="shared" si="708"/>
        <v>5</v>
      </c>
      <c r="GA1572" s="101">
        <f t="shared" si="713"/>
        <v>0.04</v>
      </c>
      <c r="GB1572" s="101">
        <f t="shared" si="714"/>
        <v>1</v>
      </c>
      <c r="GC1572" s="101">
        <f t="shared" si="715"/>
        <v>39</v>
      </c>
      <c r="GD1572" s="101">
        <f t="shared" si="716"/>
        <v>0</v>
      </c>
      <c r="GE1572" s="101">
        <f t="shared" si="717"/>
        <v>1</v>
      </c>
      <c r="GF1572" s="101">
        <f t="shared" si="718"/>
        <v>9</v>
      </c>
      <c r="GG1572" s="101">
        <f t="shared" si="719"/>
        <v>1.95E-2</v>
      </c>
      <c r="GH1572" s="101">
        <f t="shared" si="720"/>
        <v>1</v>
      </c>
      <c r="GI1572" s="101">
        <f t="shared" si="721"/>
        <v>18</v>
      </c>
      <c r="GJ1572" s="101">
        <f t="shared" si="722"/>
        <v>7.7799999999999994E-2</v>
      </c>
      <c r="GK1572" s="101">
        <f t="shared" si="723"/>
        <v>1</v>
      </c>
      <c r="GL1572" s="101">
        <f t="shared" si="724"/>
        <v>39</v>
      </c>
    </row>
    <row r="1573" spans="170:194" ht="16.5" x14ac:dyDescent="0.2">
      <c r="FN1573" s="101">
        <v>1568</v>
      </c>
      <c r="FO1573" s="101">
        <f t="shared" si="709"/>
        <v>43</v>
      </c>
      <c r="FP1573" s="101">
        <f t="shared" si="702"/>
        <v>20</v>
      </c>
      <c r="FQ1573" s="14">
        <f t="shared" si="703"/>
        <v>3</v>
      </c>
      <c r="FR1573" s="101" t="str">
        <f t="shared" si="710"/>
        <v>燕青专属武器-魂珠-5 7级</v>
      </c>
      <c r="FS1573" s="101">
        <f t="shared" si="711"/>
        <v>5</v>
      </c>
      <c r="FT1573" s="101">
        <f t="shared" si="712"/>
        <v>7</v>
      </c>
      <c r="FU1573" s="101" t="str">
        <f t="shared" si="704"/>
        <v>金币</v>
      </c>
      <c r="FV1573" s="139">
        <f>IF($FT1573&gt;0,IF(INDEX($EI$6:$EI$77,$FO1573)&gt;=FV$3,ROUND(INDEX(EK$6:EK$77,$FO1573)*INDEX(卡牌消耗!$B$8:$F$8,FQ1573)/5,0)*5,""),"")</f>
        <v>3025</v>
      </c>
      <c r="FW1573" s="101" t="str">
        <f t="shared" si="705"/>
        <v>专属强化石2</v>
      </c>
      <c r="FX1573" s="101">
        <f t="shared" si="706"/>
        <v>8</v>
      </c>
      <c r="FY1573" s="101" t="str">
        <f t="shared" si="707"/>
        <v>专属强化石3</v>
      </c>
      <c r="FZ1573" s="101">
        <f t="shared" si="708"/>
        <v>5</v>
      </c>
      <c r="GA1573" s="101">
        <f t="shared" si="713"/>
        <v>0.02</v>
      </c>
      <c r="GB1573" s="101">
        <f t="shared" si="714"/>
        <v>1</v>
      </c>
      <c r="GC1573" s="101">
        <f t="shared" si="715"/>
        <v>62</v>
      </c>
      <c r="GD1573" s="101">
        <f t="shared" si="716"/>
        <v>0</v>
      </c>
      <c r="GE1573" s="101">
        <f t="shared" si="717"/>
        <v>1</v>
      </c>
      <c r="GF1573" s="101">
        <f t="shared" si="718"/>
        <v>15</v>
      </c>
      <c r="GG1573" s="101">
        <f t="shared" si="719"/>
        <v>1.2E-2</v>
      </c>
      <c r="GH1573" s="101">
        <f t="shared" si="720"/>
        <v>1</v>
      </c>
      <c r="GI1573" s="101">
        <f t="shared" si="721"/>
        <v>29</v>
      </c>
      <c r="GJ1573" s="101">
        <f t="shared" si="722"/>
        <v>4.82E-2</v>
      </c>
      <c r="GK1573" s="101">
        <f t="shared" si="723"/>
        <v>1</v>
      </c>
      <c r="GL1573" s="101">
        <f t="shared" si="724"/>
        <v>62</v>
      </c>
    </row>
    <row r="1574" spans="170:194" ht="16.5" x14ac:dyDescent="0.2">
      <c r="FN1574" s="101">
        <v>1569</v>
      </c>
      <c r="FO1574" s="101">
        <f t="shared" si="709"/>
        <v>44</v>
      </c>
      <c r="FP1574" s="101">
        <f t="shared" si="702"/>
        <v>20</v>
      </c>
      <c r="FQ1574" s="14">
        <f t="shared" si="703"/>
        <v>3</v>
      </c>
      <c r="FR1574" s="101" t="str">
        <f t="shared" si="710"/>
        <v>燕青专属武器-魂珠-5 8级</v>
      </c>
      <c r="FS1574" s="101">
        <f t="shared" si="711"/>
        <v>5</v>
      </c>
      <c r="FT1574" s="101">
        <f t="shared" si="712"/>
        <v>8</v>
      </c>
      <c r="FU1574" s="101" t="str">
        <f t="shared" si="704"/>
        <v>金币</v>
      </c>
      <c r="FV1574" s="139">
        <f>IF($FT1574&gt;0,IF(INDEX($EI$6:$EI$77,$FO1574)&gt;=FV$3,ROUND(INDEX(EK$6:EK$77,$FO1574)*INDEX(卡牌消耗!$B$8:$F$8,FQ1574)/5,0)*5,""),"")</f>
        <v>4235</v>
      </c>
      <c r="FW1574" s="101" t="str">
        <f t="shared" si="705"/>
        <v>专属强化石2</v>
      </c>
      <c r="FX1574" s="101">
        <f t="shared" si="706"/>
        <v>11</v>
      </c>
      <c r="FY1574" s="101" t="str">
        <f t="shared" si="707"/>
        <v>专属强化石3</v>
      </c>
      <c r="FZ1574" s="101">
        <f t="shared" si="708"/>
        <v>7</v>
      </c>
      <c r="GA1574" s="101">
        <f t="shared" si="713"/>
        <v>0.02</v>
      </c>
      <c r="GB1574" s="101">
        <f t="shared" si="714"/>
        <v>1</v>
      </c>
      <c r="GC1574" s="101">
        <f t="shared" si="715"/>
        <v>72</v>
      </c>
      <c r="GD1574" s="101">
        <f t="shared" si="716"/>
        <v>0</v>
      </c>
      <c r="GE1574" s="101">
        <f t="shared" si="717"/>
        <v>1</v>
      </c>
      <c r="GF1574" s="101">
        <f t="shared" si="718"/>
        <v>17</v>
      </c>
      <c r="GG1574" s="101">
        <f t="shared" si="719"/>
        <v>1.04E-2</v>
      </c>
      <c r="GH1574" s="101">
        <f t="shared" si="720"/>
        <v>1</v>
      </c>
      <c r="GI1574" s="101">
        <f t="shared" si="721"/>
        <v>34</v>
      </c>
      <c r="GJ1574" s="101">
        <f t="shared" si="722"/>
        <v>4.1700000000000001E-2</v>
      </c>
      <c r="GK1574" s="101">
        <f t="shared" si="723"/>
        <v>1</v>
      </c>
      <c r="GL1574" s="101">
        <f t="shared" si="724"/>
        <v>72</v>
      </c>
    </row>
    <row r="1575" spans="170:194" ht="16.5" x14ac:dyDescent="0.2">
      <c r="FN1575" s="101">
        <v>1570</v>
      </c>
      <c r="FO1575" s="101">
        <f t="shared" si="709"/>
        <v>45</v>
      </c>
      <c r="FP1575" s="101">
        <f t="shared" si="702"/>
        <v>20</v>
      </c>
      <c r="FQ1575" s="14">
        <f t="shared" si="703"/>
        <v>3</v>
      </c>
      <c r="FR1575" s="101" t="str">
        <f t="shared" si="710"/>
        <v>燕青专属武器-魂珠-5 9级</v>
      </c>
      <c r="FS1575" s="101">
        <f t="shared" si="711"/>
        <v>5</v>
      </c>
      <c r="FT1575" s="101">
        <f t="shared" si="712"/>
        <v>9</v>
      </c>
      <c r="FU1575" s="101" t="str">
        <f t="shared" si="704"/>
        <v>金币</v>
      </c>
      <c r="FV1575" s="139">
        <f>IF($FT1575&gt;0,IF(INDEX($EI$6:$EI$77,$FO1575)&gt;=FV$3,ROUND(INDEX(EK$6:EK$77,$FO1575)*INDEX(卡牌消耗!$B$8:$F$8,FQ1575)/5,0)*5,""),"")</f>
        <v>5445</v>
      </c>
      <c r="FW1575" s="101" t="str">
        <f t="shared" si="705"/>
        <v>专属强化石2</v>
      </c>
      <c r="FX1575" s="101">
        <f t="shared" si="706"/>
        <v>14</v>
      </c>
      <c r="FY1575" s="101" t="str">
        <f t="shared" si="707"/>
        <v>专属强化石3</v>
      </c>
      <c r="FZ1575" s="101">
        <f t="shared" si="708"/>
        <v>9</v>
      </c>
      <c r="GA1575" s="101">
        <f t="shared" si="713"/>
        <v>0.02</v>
      </c>
      <c r="GB1575" s="101">
        <f t="shared" si="714"/>
        <v>1</v>
      </c>
      <c r="GC1575" s="101">
        <f t="shared" si="715"/>
        <v>91</v>
      </c>
      <c r="GD1575" s="101">
        <f t="shared" si="716"/>
        <v>0</v>
      </c>
      <c r="GE1575" s="101">
        <f t="shared" si="717"/>
        <v>1</v>
      </c>
      <c r="GF1575" s="101">
        <f t="shared" si="718"/>
        <v>21</v>
      </c>
      <c r="GG1575" s="101">
        <f t="shared" si="719"/>
        <v>8.3000000000000001E-3</v>
      </c>
      <c r="GH1575" s="101">
        <f t="shared" si="720"/>
        <v>1</v>
      </c>
      <c r="GI1575" s="101">
        <f t="shared" si="721"/>
        <v>42</v>
      </c>
      <c r="GJ1575" s="101">
        <f t="shared" si="722"/>
        <v>3.3099999999999997E-2</v>
      </c>
      <c r="GK1575" s="101">
        <f t="shared" si="723"/>
        <v>1</v>
      </c>
      <c r="GL1575" s="101">
        <f t="shared" si="724"/>
        <v>91</v>
      </c>
    </row>
    <row r="1576" spans="170:194" ht="16.5" x14ac:dyDescent="0.2">
      <c r="FN1576" s="101">
        <v>1571</v>
      </c>
      <c r="FO1576" s="101">
        <f t="shared" si="709"/>
        <v>0</v>
      </c>
      <c r="FP1576" s="101">
        <f t="shared" si="702"/>
        <v>20</v>
      </c>
      <c r="FQ1576" s="14">
        <f t="shared" si="703"/>
        <v>3</v>
      </c>
      <c r="FR1576" s="101" t="str">
        <f t="shared" si="710"/>
        <v>燕青专属武器-魂珠-6 0级</v>
      </c>
      <c r="FS1576" s="101">
        <f t="shared" si="711"/>
        <v>6</v>
      </c>
      <c r="FT1576" s="101">
        <f t="shared" si="712"/>
        <v>0</v>
      </c>
      <c r="FU1576" s="101" t="str">
        <f t="shared" si="704"/>
        <v/>
      </c>
      <c r="FV1576" s="139" t="str">
        <f>IF($FT1576&gt;0,IF(INDEX($EI$6:$EI$77,$FO1576)&gt;=FV$3,ROUND(INDEX(EK$6:EK$77,$FO1576)*INDEX(卡牌消耗!$B$8:$F$8,FQ1576)/5,0)*5,""),"")</f>
        <v/>
      </c>
      <c r="FW1576" s="101" t="str">
        <f t="shared" si="705"/>
        <v/>
      </c>
      <c r="FX1576" s="101" t="str">
        <f t="shared" si="706"/>
        <v/>
      </c>
      <c r="FY1576" s="101" t="str">
        <f t="shared" si="707"/>
        <v/>
      </c>
      <c r="FZ1576" s="101" t="str">
        <f t="shared" si="708"/>
        <v/>
      </c>
      <c r="GA1576" s="101" t="str">
        <f t="shared" si="713"/>
        <v/>
      </c>
      <c r="GB1576" s="101" t="str">
        <f t="shared" si="714"/>
        <v/>
      </c>
      <c r="GC1576" s="101" t="str">
        <f t="shared" si="715"/>
        <v/>
      </c>
      <c r="GD1576" s="101" t="str">
        <f t="shared" si="716"/>
        <v/>
      </c>
      <c r="GE1576" s="101" t="str">
        <f t="shared" si="717"/>
        <v/>
      </c>
      <c r="GF1576" s="101" t="str">
        <f t="shared" si="718"/>
        <v/>
      </c>
      <c r="GG1576" s="101" t="str">
        <f t="shared" si="719"/>
        <v/>
      </c>
      <c r="GH1576" s="101" t="str">
        <f t="shared" si="720"/>
        <v/>
      </c>
      <c r="GI1576" s="101" t="str">
        <f t="shared" si="721"/>
        <v/>
      </c>
      <c r="GJ1576" s="101" t="str">
        <f t="shared" si="722"/>
        <v/>
      </c>
      <c r="GK1576" s="101" t="str">
        <f t="shared" si="723"/>
        <v/>
      </c>
      <c r="GL1576" s="101" t="str">
        <f t="shared" si="724"/>
        <v/>
      </c>
    </row>
    <row r="1577" spans="170:194" ht="16.5" x14ac:dyDescent="0.2">
      <c r="FN1577" s="101">
        <v>1572</v>
      </c>
      <c r="FO1577" s="101">
        <f t="shared" si="709"/>
        <v>46</v>
      </c>
      <c r="FP1577" s="101">
        <f t="shared" si="702"/>
        <v>20</v>
      </c>
      <c r="FQ1577" s="14">
        <f t="shared" si="703"/>
        <v>3</v>
      </c>
      <c r="FR1577" s="101" t="str">
        <f t="shared" si="710"/>
        <v>燕青专属武器-魂珠-6 1级</v>
      </c>
      <c r="FS1577" s="101">
        <f t="shared" si="711"/>
        <v>6</v>
      </c>
      <c r="FT1577" s="101">
        <f t="shared" si="712"/>
        <v>1</v>
      </c>
      <c r="FU1577" s="101" t="str">
        <f t="shared" si="704"/>
        <v>金币</v>
      </c>
      <c r="FV1577" s="139">
        <f>IF($FT1577&gt;0,IF(INDEX($EI$6:$EI$77,$FO1577)&gt;=FV$3,ROUND(INDEX(EK$6:EK$77,$FO1577)*INDEX(卡牌消耗!$B$8:$F$8,FQ1577)/5,0)*5,""),"")</f>
        <v>1455</v>
      </c>
      <c r="FW1577" s="101" t="str">
        <f t="shared" si="705"/>
        <v>专属强化石3</v>
      </c>
      <c r="FX1577" s="101">
        <f t="shared" si="706"/>
        <v>5</v>
      </c>
      <c r="FY1577" s="101" t="str">
        <f t="shared" si="707"/>
        <v>专属强化石4</v>
      </c>
      <c r="FZ1577" s="101">
        <f t="shared" si="708"/>
        <v>1</v>
      </c>
      <c r="GA1577" s="101">
        <f t="shared" si="713"/>
        <v>0.17</v>
      </c>
      <c r="GB1577" s="101">
        <f t="shared" si="714"/>
        <v>1</v>
      </c>
      <c r="GC1577" s="101">
        <f t="shared" si="715"/>
        <v>9</v>
      </c>
      <c r="GD1577" s="101">
        <f t="shared" si="716"/>
        <v>0</v>
      </c>
      <c r="GE1577" s="101">
        <f t="shared" si="717"/>
        <v>1</v>
      </c>
      <c r="GF1577" s="101">
        <f t="shared" si="718"/>
        <v>2</v>
      </c>
      <c r="GG1577" s="101">
        <f t="shared" si="719"/>
        <v>8.2900000000000001E-2</v>
      </c>
      <c r="GH1577" s="101">
        <f t="shared" si="720"/>
        <v>1</v>
      </c>
      <c r="GI1577" s="101">
        <f t="shared" si="721"/>
        <v>4</v>
      </c>
      <c r="GJ1577" s="101">
        <f t="shared" si="722"/>
        <v>0.33139999999999997</v>
      </c>
      <c r="GK1577" s="101">
        <f t="shared" si="723"/>
        <v>1</v>
      </c>
      <c r="GL1577" s="101">
        <f t="shared" si="724"/>
        <v>9</v>
      </c>
    </row>
    <row r="1578" spans="170:194" ht="16.5" x14ac:dyDescent="0.2">
      <c r="FN1578" s="101">
        <v>1573</v>
      </c>
      <c r="FO1578" s="101">
        <f t="shared" si="709"/>
        <v>47</v>
      </c>
      <c r="FP1578" s="101">
        <f t="shared" si="702"/>
        <v>20</v>
      </c>
      <c r="FQ1578" s="14">
        <f t="shared" si="703"/>
        <v>3</v>
      </c>
      <c r="FR1578" s="101" t="str">
        <f t="shared" si="710"/>
        <v>燕青专属武器-魂珠-6 2级</v>
      </c>
      <c r="FS1578" s="101">
        <f t="shared" si="711"/>
        <v>6</v>
      </c>
      <c r="FT1578" s="101">
        <f t="shared" si="712"/>
        <v>2</v>
      </c>
      <c r="FU1578" s="101" t="str">
        <f t="shared" si="704"/>
        <v>金币</v>
      </c>
      <c r="FV1578" s="139">
        <f>IF($FT1578&gt;0,IF(INDEX($EI$6:$EI$77,$FO1578)&gt;=FV$3,ROUND(INDEX(EK$6:EK$77,$FO1578)*INDEX(卡牌消耗!$B$8:$F$8,FQ1578)/5,0)*5,""),"")</f>
        <v>2180</v>
      </c>
      <c r="FW1578" s="101" t="str">
        <f t="shared" si="705"/>
        <v>专属强化石3</v>
      </c>
      <c r="FX1578" s="101">
        <f t="shared" si="706"/>
        <v>10</v>
      </c>
      <c r="FY1578" s="101" t="str">
        <f t="shared" si="707"/>
        <v>专属强化石4</v>
      </c>
      <c r="FZ1578" s="101">
        <f t="shared" si="708"/>
        <v>2</v>
      </c>
      <c r="GA1578" s="101">
        <f t="shared" si="713"/>
        <v>0.17</v>
      </c>
      <c r="GB1578" s="101">
        <f t="shared" si="714"/>
        <v>1</v>
      </c>
      <c r="GC1578" s="101">
        <f t="shared" si="715"/>
        <v>9</v>
      </c>
      <c r="GD1578" s="101">
        <f t="shared" si="716"/>
        <v>0</v>
      </c>
      <c r="GE1578" s="101">
        <f t="shared" si="717"/>
        <v>1</v>
      </c>
      <c r="GF1578" s="101">
        <f t="shared" si="718"/>
        <v>2</v>
      </c>
      <c r="GG1578" s="101">
        <f t="shared" si="719"/>
        <v>8.2900000000000001E-2</v>
      </c>
      <c r="GH1578" s="101">
        <f t="shared" si="720"/>
        <v>1</v>
      </c>
      <c r="GI1578" s="101">
        <f t="shared" si="721"/>
        <v>4</v>
      </c>
      <c r="GJ1578" s="101">
        <f t="shared" si="722"/>
        <v>0.33139999999999997</v>
      </c>
      <c r="GK1578" s="101">
        <f t="shared" si="723"/>
        <v>1</v>
      </c>
      <c r="GL1578" s="101">
        <f t="shared" si="724"/>
        <v>9</v>
      </c>
    </row>
    <row r="1579" spans="170:194" ht="16.5" x14ac:dyDescent="0.2">
      <c r="FN1579" s="101">
        <v>1574</v>
      </c>
      <c r="FO1579" s="101">
        <f t="shared" si="709"/>
        <v>48</v>
      </c>
      <c r="FP1579" s="101">
        <f t="shared" si="702"/>
        <v>20</v>
      </c>
      <c r="FQ1579" s="14">
        <f t="shared" si="703"/>
        <v>3</v>
      </c>
      <c r="FR1579" s="101" t="str">
        <f t="shared" si="710"/>
        <v>燕青专属武器-魂珠-6 3级</v>
      </c>
      <c r="FS1579" s="101">
        <f t="shared" si="711"/>
        <v>6</v>
      </c>
      <c r="FT1579" s="101">
        <f t="shared" si="712"/>
        <v>3</v>
      </c>
      <c r="FU1579" s="101" t="str">
        <f t="shared" si="704"/>
        <v>金币</v>
      </c>
      <c r="FV1579" s="139">
        <f>IF($FT1579&gt;0,IF(INDEX($EI$6:$EI$77,$FO1579)&gt;=FV$3,ROUND(INDEX(EK$6:EK$77,$FO1579)*INDEX(卡牌消耗!$B$8:$F$8,FQ1579)/5,0)*5,""),"")</f>
        <v>2425</v>
      </c>
      <c r="FW1579" s="101" t="str">
        <f t="shared" si="705"/>
        <v>专属强化石3</v>
      </c>
      <c r="FX1579" s="101">
        <f t="shared" si="706"/>
        <v>10</v>
      </c>
      <c r="FY1579" s="101" t="str">
        <f t="shared" si="707"/>
        <v>专属强化石4</v>
      </c>
      <c r="FZ1579" s="101">
        <f t="shared" si="708"/>
        <v>2</v>
      </c>
      <c r="GA1579" s="101">
        <f t="shared" si="713"/>
        <v>0.11</v>
      </c>
      <c r="GB1579" s="101">
        <f t="shared" si="714"/>
        <v>1</v>
      </c>
      <c r="GC1579" s="101">
        <f t="shared" si="715"/>
        <v>14</v>
      </c>
      <c r="GD1579" s="101">
        <f t="shared" si="716"/>
        <v>0</v>
      </c>
      <c r="GE1579" s="101">
        <f t="shared" si="717"/>
        <v>1</v>
      </c>
      <c r="GF1579" s="101">
        <f t="shared" si="718"/>
        <v>3</v>
      </c>
      <c r="GG1579" s="101">
        <f t="shared" si="719"/>
        <v>5.5199999999999999E-2</v>
      </c>
      <c r="GH1579" s="101">
        <f t="shared" si="720"/>
        <v>1</v>
      </c>
      <c r="GI1579" s="101">
        <f t="shared" si="721"/>
        <v>6</v>
      </c>
      <c r="GJ1579" s="101">
        <f t="shared" si="722"/>
        <v>0.221</v>
      </c>
      <c r="GK1579" s="101">
        <f t="shared" si="723"/>
        <v>1</v>
      </c>
      <c r="GL1579" s="101">
        <f t="shared" si="724"/>
        <v>14</v>
      </c>
    </row>
    <row r="1580" spans="170:194" ht="16.5" x14ac:dyDescent="0.2">
      <c r="FN1580" s="101">
        <v>1575</v>
      </c>
      <c r="FO1580" s="101">
        <f t="shared" si="709"/>
        <v>49</v>
      </c>
      <c r="FP1580" s="101">
        <f t="shared" si="702"/>
        <v>20</v>
      </c>
      <c r="FQ1580" s="14">
        <f t="shared" si="703"/>
        <v>3</v>
      </c>
      <c r="FR1580" s="101" t="str">
        <f t="shared" si="710"/>
        <v>燕青专属武器-魂珠-6 4级</v>
      </c>
      <c r="FS1580" s="101">
        <f t="shared" si="711"/>
        <v>6</v>
      </c>
      <c r="FT1580" s="101">
        <f t="shared" si="712"/>
        <v>4</v>
      </c>
      <c r="FU1580" s="101" t="str">
        <f t="shared" si="704"/>
        <v>金币</v>
      </c>
      <c r="FV1580" s="139">
        <f>IF($FT1580&gt;0,IF(INDEX($EI$6:$EI$77,$FO1580)&gt;=FV$3,ROUND(INDEX(EK$6:EK$77,$FO1580)*INDEX(卡牌消耗!$B$8:$F$8,FQ1580)/5,0)*5,""),"")</f>
        <v>3490</v>
      </c>
      <c r="FW1580" s="101" t="str">
        <f t="shared" si="705"/>
        <v>专属强化石3</v>
      </c>
      <c r="FX1580" s="101">
        <f t="shared" si="706"/>
        <v>15</v>
      </c>
      <c r="FY1580" s="101" t="str">
        <f t="shared" si="707"/>
        <v>专属强化石4</v>
      </c>
      <c r="FZ1580" s="101">
        <f t="shared" si="708"/>
        <v>3</v>
      </c>
      <c r="GA1580" s="101">
        <f t="shared" si="713"/>
        <v>0.1</v>
      </c>
      <c r="GB1580" s="101">
        <f t="shared" si="714"/>
        <v>1</v>
      </c>
      <c r="GC1580" s="101">
        <f t="shared" si="715"/>
        <v>15</v>
      </c>
      <c r="GD1580" s="101">
        <f t="shared" si="716"/>
        <v>0</v>
      </c>
      <c r="GE1580" s="101">
        <f t="shared" si="717"/>
        <v>1</v>
      </c>
      <c r="GF1580" s="101">
        <f t="shared" si="718"/>
        <v>4</v>
      </c>
      <c r="GG1580" s="101">
        <f t="shared" si="719"/>
        <v>4.9700000000000001E-2</v>
      </c>
      <c r="GH1580" s="101">
        <f t="shared" si="720"/>
        <v>1</v>
      </c>
      <c r="GI1580" s="101">
        <f t="shared" si="721"/>
        <v>7</v>
      </c>
      <c r="GJ1580" s="101">
        <f t="shared" si="722"/>
        <v>0.19889999999999999</v>
      </c>
      <c r="GK1580" s="101">
        <f t="shared" si="723"/>
        <v>1</v>
      </c>
      <c r="GL1580" s="101">
        <f t="shared" si="724"/>
        <v>15</v>
      </c>
    </row>
    <row r="1581" spans="170:194" ht="16.5" x14ac:dyDescent="0.2">
      <c r="FN1581" s="101">
        <v>1576</v>
      </c>
      <c r="FO1581" s="101">
        <f t="shared" si="709"/>
        <v>50</v>
      </c>
      <c r="FP1581" s="101">
        <f t="shared" si="702"/>
        <v>20</v>
      </c>
      <c r="FQ1581" s="14">
        <f t="shared" si="703"/>
        <v>3</v>
      </c>
      <c r="FR1581" s="101" t="str">
        <f t="shared" si="710"/>
        <v>燕青专属武器-魂珠-6 5级</v>
      </c>
      <c r="FS1581" s="101">
        <f t="shared" si="711"/>
        <v>6</v>
      </c>
      <c r="FT1581" s="101">
        <f t="shared" si="712"/>
        <v>5</v>
      </c>
      <c r="FU1581" s="101" t="str">
        <f t="shared" si="704"/>
        <v>金币</v>
      </c>
      <c r="FV1581" s="139">
        <f>IF($FT1581&gt;0,IF(INDEX($EI$6:$EI$77,$FO1581)&gt;=FV$3,ROUND(INDEX(EK$6:EK$77,$FO1581)*INDEX(卡牌消耗!$B$8:$F$8,FQ1581)/5,0)*5,""),"")</f>
        <v>3545</v>
      </c>
      <c r="FW1581" s="101" t="str">
        <f t="shared" si="705"/>
        <v>专属强化石3</v>
      </c>
      <c r="FX1581" s="101">
        <f t="shared" si="706"/>
        <v>15</v>
      </c>
      <c r="FY1581" s="101" t="str">
        <f t="shared" si="707"/>
        <v>专属强化石4</v>
      </c>
      <c r="FZ1581" s="101">
        <f t="shared" si="708"/>
        <v>3</v>
      </c>
      <c r="GA1581" s="101">
        <f t="shared" si="713"/>
        <v>0.06</v>
      </c>
      <c r="GB1581" s="101">
        <f t="shared" si="714"/>
        <v>1</v>
      </c>
      <c r="GC1581" s="101">
        <f t="shared" si="715"/>
        <v>24</v>
      </c>
      <c r="GD1581" s="101">
        <f t="shared" si="716"/>
        <v>0</v>
      </c>
      <c r="GE1581" s="101">
        <f t="shared" si="717"/>
        <v>1</v>
      </c>
      <c r="GF1581" s="101">
        <f t="shared" si="718"/>
        <v>6</v>
      </c>
      <c r="GG1581" s="101">
        <f t="shared" si="719"/>
        <v>3.1099999999999999E-2</v>
      </c>
      <c r="GH1581" s="101">
        <f t="shared" si="720"/>
        <v>1</v>
      </c>
      <c r="GI1581" s="101">
        <f t="shared" si="721"/>
        <v>11</v>
      </c>
      <c r="GJ1581" s="101">
        <f t="shared" si="722"/>
        <v>0.12429999999999999</v>
      </c>
      <c r="GK1581" s="101">
        <f t="shared" si="723"/>
        <v>1</v>
      </c>
      <c r="GL1581" s="101">
        <f t="shared" si="724"/>
        <v>24</v>
      </c>
    </row>
    <row r="1582" spans="170:194" ht="16.5" x14ac:dyDescent="0.2">
      <c r="FN1582" s="101">
        <v>1577</v>
      </c>
      <c r="FO1582" s="101">
        <f t="shared" si="709"/>
        <v>51</v>
      </c>
      <c r="FP1582" s="101">
        <f t="shared" si="702"/>
        <v>20</v>
      </c>
      <c r="FQ1582" s="14">
        <f t="shared" si="703"/>
        <v>3</v>
      </c>
      <c r="FR1582" s="101" t="str">
        <f t="shared" si="710"/>
        <v>燕青专属武器-魂珠-6 6级</v>
      </c>
      <c r="FS1582" s="101">
        <f t="shared" si="711"/>
        <v>6</v>
      </c>
      <c r="FT1582" s="101">
        <f t="shared" si="712"/>
        <v>6</v>
      </c>
      <c r="FU1582" s="101" t="str">
        <f t="shared" si="704"/>
        <v>金币</v>
      </c>
      <c r="FV1582" s="139">
        <f>IF($FT1582&gt;0,IF(INDEX($EI$6:$EI$77,$FO1582)&gt;=FV$3,ROUND(INDEX(EK$6:EK$77,$FO1582)*INDEX(卡牌消耗!$B$8:$F$8,FQ1582)/5,0)*5,""),"")</f>
        <v>4700</v>
      </c>
      <c r="FW1582" s="101" t="str">
        <f t="shared" si="705"/>
        <v>专属强化石3</v>
      </c>
      <c r="FX1582" s="101">
        <f t="shared" si="706"/>
        <v>20</v>
      </c>
      <c r="FY1582" s="101" t="str">
        <f t="shared" si="707"/>
        <v>专属强化石4</v>
      </c>
      <c r="FZ1582" s="101">
        <f t="shared" si="708"/>
        <v>4</v>
      </c>
      <c r="GA1582" s="101">
        <f t="shared" si="713"/>
        <v>0.05</v>
      </c>
      <c r="GB1582" s="101">
        <f t="shared" si="714"/>
        <v>1</v>
      </c>
      <c r="GC1582" s="101">
        <f t="shared" si="715"/>
        <v>29</v>
      </c>
      <c r="GD1582" s="101">
        <f t="shared" si="716"/>
        <v>0</v>
      </c>
      <c r="GE1582" s="101">
        <f t="shared" si="717"/>
        <v>1</v>
      </c>
      <c r="GF1582" s="101">
        <f t="shared" si="718"/>
        <v>7</v>
      </c>
      <c r="GG1582" s="101">
        <f t="shared" si="719"/>
        <v>2.5499999999999998E-2</v>
      </c>
      <c r="GH1582" s="101">
        <f t="shared" si="720"/>
        <v>1</v>
      </c>
      <c r="GI1582" s="101">
        <f t="shared" si="721"/>
        <v>14</v>
      </c>
      <c r="GJ1582" s="101">
        <f t="shared" si="722"/>
        <v>0.10199999999999999</v>
      </c>
      <c r="GK1582" s="101">
        <f t="shared" si="723"/>
        <v>1</v>
      </c>
      <c r="GL1582" s="101">
        <f t="shared" si="724"/>
        <v>29</v>
      </c>
    </row>
    <row r="1583" spans="170:194" ht="16.5" x14ac:dyDescent="0.2">
      <c r="FN1583" s="101">
        <v>1578</v>
      </c>
      <c r="FO1583" s="101">
        <f t="shared" si="709"/>
        <v>52</v>
      </c>
      <c r="FP1583" s="101">
        <f t="shared" si="702"/>
        <v>20</v>
      </c>
      <c r="FQ1583" s="14">
        <f t="shared" si="703"/>
        <v>3</v>
      </c>
      <c r="FR1583" s="101" t="str">
        <f t="shared" si="710"/>
        <v>燕青专属武器-魂珠-6 7级</v>
      </c>
      <c r="FS1583" s="101">
        <f t="shared" si="711"/>
        <v>6</v>
      </c>
      <c r="FT1583" s="101">
        <f t="shared" si="712"/>
        <v>7</v>
      </c>
      <c r="FU1583" s="101" t="str">
        <f t="shared" si="704"/>
        <v>金币</v>
      </c>
      <c r="FV1583" s="139">
        <f>IF($FT1583&gt;0,IF(INDEX($EI$6:$EI$77,$FO1583)&gt;=FV$3,ROUND(INDEX(EK$6:EK$77,$FO1583)*INDEX(卡牌消耗!$B$8:$F$8,FQ1583)/5,0)*5,""),"")</f>
        <v>5885</v>
      </c>
      <c r="FW1583" s="101" t="str">
        <f t="shared" si="705"/>
        <v>专属强化石3</v>
      </c>
      <c r="FX1583" s="101">
        <f t="shared" si="706"/>
        <v>25</v>
      </c>
      <c r="FY1583" s="101" t="str">
        <f t="shared" si="707"/>
        <v>专属强化石4</v>
      </c>
      <c r="FZ1583" s="101">
        <f t="shared" si="708"/>
        <v>5</v>
      </c>
      <c r="GA1583" s="101">
        <f t="shared" si="713"/>
        <v>0.04</v>
      </c>
      <c r="GB1583" s="101">
        <f t="shared" si="714"/>
        <v>1</v>
      </c>
      <c r="GC1583" s="101">
        <f t="shared" si="715"/>
        <v>38</v>
      </c>
      <c r="GD1583" s="101">
        <f t="shared" si="716"/>
        <v>0</v>
      </c>
      <c r="GE1583" s="101">
        <f t="shared" si="717"/>
        <v>1</v>
      </c>
      <c r="GF1583" s="101">
        <f t="shared" si="718"/>
        <v>9</v>
      </c>
      <c r="GG1583" s="101">
        <f t="shared" si="719"/>
        <v>1.9699999999999999E-2</v>
      </c>
      <c r="GH1583" s="101">
        <f t="shared" si="720"/>
        <v>1</v>
      </c>
      <c r="GI1583" s="101">
        <f t="shared" si="721"/>
        <v>18</v>
      </c>
      <c r="GJ1583" s="101">
        <f t="shared" si="722"/>
        <v>7.8899999999999998E-2</v>
      </c>
      <c r="GK1583" s="101">
        <f t="shared" si="723"/>
        <v>1</v>
      </c>
      <c r="GL1583" s="101">
        <f t="shared" si="724"/>
        <v>38</v>
      </c>
    </row>
    <row r="1584" spans="170:194" ht="16.5" x14ac:dyDescent="0.2">
      <c r="FN1584" s="101">
        <v>1579</v>
      </c>
      <c r="FO1584" s="101">
        <f t="shared" si="709"/>
        <v>53</v>
      </c>
      <c r="FP1584" s="101">
        <f t="shared" si="702"/>
        <v>20</v>
      </c>
      <c r="FQ1584" s="14">
        <f t="shared" si="703"/>
        <v>3</v>
      </c>
      <c r="FR1584" s="101" t="str">
        <f t="shared" si="710"/>
        <v>燕青专属武器-魂珠-6 8级</v>
      </c>
      <c r="FS1584" s="101">
        <f t="shared" si="711"/>
        <v>6</v>
      </c>
      <c r="FT1584" s="101">
        <f t="shared" si="712"/>
        <v>8</v>
      </c>
      <c r="FU1584" s="101" t="str">
        <f t="shared" si="704"/>
        <v>金币</v>
      </c>
      <c r="FV1584" s="139">
        <f>IF($FT1584&gt;0,IF(INDEX($EI$6:$EI$77,$FO1584)&gt;=FV$3,ROUND(INDEX(EK$6:EK$77,$FO1584)*INDEX(卡牌消耗!$B$8:$F$8,FQ1584)/5,0)*5,""),"")</f>
        <v>8235</v>
      </c>
      <c r="FW1584" s="101" t="str">
        <f t="shared" si="705"/>
        <v>专属强化石3</v>
      </c>
      <c r="FX1584" s="101">
        <f t="shared" si="706"/>
        <v>35</v>
      </c>
      <c r="FY1584" s="101" t="str">
        <f t="shared" si="707"/>
        <v>专属强化石4</v>
      </c>
      <c r="FZ1584" s="101">
        <f t="shared" si="708"/>
        <v>7</v>
      </c>
      <c r="GA1584" s="101">
        <f t="shared" si="713"/>
        <v>0.03</v>
      </c>
      <c r="GB1584" s="101">
        <f t="shared" si="714"/>
        <v>1</v>
      </c>
      <c r="GC1584" s="101">
        <f t="shared" si="715"/>
        <v>44</v>
      </c>
      <c r="GD1584" s="101">
        <f t="shared" si="716"/>
        <v>0</v>
      </c>
      <c r="GE1584" s="101">
        <f t="shared" si="717"/>
        <v>1</v>
      </c>
      <c r="GF1584" s="101">
        <f t="shared" si="718"/>
        <v>10</v>
      </c>
      <c r="GG1584" s="101">
        <f t="shared" si="719"/>
        <v>1.7100000000000001E-2</v>
      </c>
      <c r="GH1584" s="101">
        <f t="shared" si="720"/>
        <v>1</v>
      </c>
      <c r="GI1584" s="101">
        <f t="shared" si="721"/>
        <v>21</v>
      </c>
      <c r="GJ1584" s="101">
        <f t="shared" si="722"/>
        <v>6.8199999999999997E-2</v>
      </c>
      <c r="GK1584" s="101">
        <f t="shared" si="723"/>
        <v>1</v>
      </c>
      <c r="GL1584" s="101">
        <f t="shared" si="724"/>
        <v>44</v>
      </c>
    </row>
    <row r="1585" spans="170:194" ht="16.5" x14ac:dyDescent="0.2">
      <c r="FN1585" s="101">
        <v>1580</v>
      </c>
      <c r="FO1585" s="101">
        <f t="shared" si="709"/>
        <v>54</v>
      </c>
      <c r="FP1585" s="101">
        <f t="shared" si="702"/>
        <v>20</v>
      </c>
      <c r="FQ1585" s="14">
        <f t="shared" si="703"/>
        <v>3</v>
      </c>
      <c r="FR1585" s="101" t="str">
        <f t="shared" si="710"/>
        <v>燕青专属武器-魂珠-6 9级</v>
      </c>
      <c r="FS1585" s="101">
        <f t="shared" si="711"/>
        <v>6</v>
      </c>
      <c r="FT1585" s="101">
        <f t="shared" si="712"/>
        <v>9</v>
      </c>
      <c r="FU1585" s="101" t="str">
        <f t="shared" si="704"/>
        <v>金币</v>
      </c>
      <c r="FV1585" s="139">
        <f>IF($FT1585&gt;0,IF(INDEX($EI$6:$EI$77,$FO1585)&gt;=FV$3,ROUND(INDEX(EK$6:EK$77,$FO1585)*INDEX(卡牌消耗!$B$8:$F$8,FQ1585)/5,0)*5,""),"")</f>
        <v>9410</v>
      </c>
      <c r="FW1585" s="101" t="str">
        <f t="shared" si="705"/>
        <v>专属强化石3</v>
      </c>
      <c r="FX1585" s="101">
        <f t="shared" si="706"/>
        <v>40</v>
      </c>
      <c r="FY1585" s="101" t="str">
        <f t="shared" si="707"/>
        <v>专属强化石4</v>
      </c>
      <c r="FZ1585" s="101">
        <f t="shared" si="708"/>
        <v>8</v>
      </c>
      <c r="GA1585" s="101">
        <f t="shared" si="713"/>
        <v>0.02</v>
      </c>
      <c r="GB1585" s="101">
        <f t="shared" si="714"/>
        <v>1</v>
      </c>
      <c r="GC1585" s="101">
        <f t="shared" si="715"/>
        <v>62</v>
      </c>
      <c r="GD1585" s="101">
        <f t="shared" si="716"/>
        <v>0</v>
      </c>
      <c r="GE1585" s="101">
        <f t="shared" si="717"/>
        <v>1</v>
      </c>
      <c r="GF1585" s="101">
        <f t="shared" si="718"/>
        <v>15</v>
      </c>
      <c r="GG1585" s="101">
        <f t="shared" si="719"/>
        <v>1.21E-2</v>
      </c>
      <c r="GH1585" s="101">
        <f t="shared" si="720"/>
        <v>1</v>
      </c>
      <c r="GI1585" s="101">
        <f t="shared" si="721"/>
        <v>29</v>
      </c>
      <c r="GJ1585" s="101">
        <f t="shared" si="722"/>
        <v>4.82E-2</v>
      </c>
      <c r="GK1585" s="101">
        <f t="shared" si="723"/>
        <v>1</v>
      </c>
      <c r="GL1585" s="101">
        <f t="shared" si="724"/>
        <v>62</v>
      </c>
    </row>
    <row r="1586" spans="170:194" ht="16.5" x14ac:dyDescent="0.2">
      <c r="FN1586" s="101">
        <v>1581</v>
      </c>
      <c r="FO1586" s="101">
        <f t="shared" si="709"/>
        <v>0</v>
      </c>
      <c r="FP1586" s="101">
        <f t="shared" si="702"/>
        <v>20</v>
      </c>
      <c r="FQ1586" s="14">
        <f t="shared" si="703"/>
        <v>3</v>
      </c>
      <c r="FR1586" s="101" t="str">
        <f t="shared" si="710"/>
        <v>燕青专属武器-魂珠-7 0级</v>
      </c>
      <c r="FS1586" s="101">
        <f t="shared" si="711"/>
        <v>7</v>
      </c>
      <c r="FT1586" s="101">
        <f t="shared" si="712"/>
        <v>0</v>
      </c>
      <c r="FU1586" s="101" t="str">
        <f t="shared" si="704"/>
        <v/>
      </c>
      <c r="FV1586" s="139" t="str">
        <f>IF($FT1586&gt;0,IF(INDEX($EI$6:$EI$77,$FO1586)&gt;=FV$3,ROUND(INDEX(EK$6:EK$77,$FO1586)*INDEX(卡牌消耗!$B$8:$F$8,FQ1586)/5,0)*5,""),"")</f>
        <v/>
      </c>
      <c r="FW1586" s="101" t="str">
        <f t="shared" si="705"/>
        <v/>
      </c>
      <c r="FX1586" s="101" t="str">
        <f t="shared" si="706"/>
        <v/>
      </c>
      <c r="FY1586" s="101" t="str">
        <f t="shared" si="707"/>
        <v/>
      </c>
      <c r="FZ1586" s="101" t="str">
        <f t="shared" si="708"/>
        <v/>
      </c>
      <c r="GA1586" s="101" t="str">
        <f t="shared" si="713"/>
        <v/>
      </c>
      <c r="GB1586" s="101" t="str">
        <f t="shared" si="714"/>
        <v/>
      </c>
      <c r="GC1586" s="101" t="str">
        <f t="shared" si="715"/>
        <v/>
      </c>
      <c r="GD1586" s="101" t="str">
        <f t="shared" si="716"/>
        <v/>
      </c>
      <c r="GE1586" s="101" t="str">
        <f t="shared" si="717"/>
        <v/>
      </c>
      <c r="GF1586" s="101" t="str">
        <f t="shared" si="718"/>
        <v/>
      </c>
      <c r="GG1586" s="101" t="str">
        <f t="shared" si="719"/>
        <v/>
      </c>
      <c r="GH1586" s="101" t="str">
        <f t="shared" si="720"/>
        <v/>
      </c>
      <c r="GI1586" s="101" t="str">
        <f t="shared" si="721"/>
        <v/>
      </c>
      <c r="GJ1586" s="101" t="str">
        <f t="shared" si="722"/>
        <v/>
      </c>
      <c r="GK1586" s="101" t="str">
        <f t="shared" si="723"/>
        <v/>
      </c>
      <c r="GL1586" s="101" t="str">
        <f t="shared" si="724"/>
        <v/>
      </c>
    </row>
    <row r="1587" spans="170:194" ht="16.5" x14ac:dyDescent="0.2">
      <c r="FN1587" s="101">
        <v>1582</v>
      </c>
      <c r="FO1587" s="101">
        <f t="shared" si="709"/>
        <v>55</v>
      </c>
      <c r="FP1587" s="101">
        <f t="shared" si="702"/>
        <v>20</v>
      </c>
      <c r="FQ1587" s="14">
        <f t="shared" si="703"/>
        <v>3</v>
      </c>
      <c r="FR1587" s="101" t="str">
        <f t="shared" si="710"/>
        <v>燕青专属武器-魂珠-7 1级</v>
      </c>
      <c r="FS1587" s="101">
        <f t="shared" si="711"/>
        <v>7</v>
      </c>
      <c r="FT1587" s="101">
        <f t="shared" si="712"/>
        <v>1</v>
      </c>
      <c r="FU1587" s="101" t="str">
        <f t="shared" si="704"/>
        <v>金币</v>
      </c>
      <c r="FV1587" s="139">
        <f>IF($FT1587&gt;0,IF(INDEX($EI$6:$EI$77,$FO1587)&gt;=FV$3,ROUND(INDEX(EK$6:EK$77,$FO1587)*INDEX(卡牌消耗!$B$8:$F$8,FQ1587)/5,0)*5,""),"")</f>
        <v>12090</v>
      </c>
      <c r="FW1587" s="101" t="str">
        <f t="shared" si="705"/>
        <v>专属强化石3</v>
      </c>
      <c r="FX1587" s="101">
        <f t="shared" si="706"/>
        <v>6</v>
      </c>
      <c r="FY1587" s="101" t="str">
        <f t="shared" si="707"/>
        <v>专属强化石4</v>
      </c>
      <c r="FZ1587" s="101">
        <f t="shared" si="708"/>
        <v>2</v>
      </c>
      <c r="GA1587" s="101">
        <f t="shared" si="713"/>
        <v>0.2</v>
      </c>
      <c r="GB1587" s="101">
        <f t="shared" si="714"/>
        <v>1</v>
      </c>
      <c r="GC1587" s="101">
        <f t="shared" si="715"/>
        <v>8</v>
      </c>
      <c r="GD1587" s="101">
        <f t="shared" si="716"/>
        <v>0</v>
      </c>
      <c r="GE1587" s="101">
        <f t="shared" si="717"/>
        <v>1</v>
      </c>
      <c r="GF1587" s="101">
        <f t="shared" si="718"/>
        <v>2</v>
      </c>
      <c r="GG1587" s="101">
        <f t="shared" si="719"/>
        <v>9.9400000000000002E-2</v>
      </c>
      <c r="GH1587" s="101">
        <f t="shared" si="720"/>
        <v>1</v>
      </c>
      <c r="GI1587" s="101">
        <f t="shared" si="721"/>
        <v>4</v>
      </c>
      <c r="GJ1587" s="101">
        <f t="shared" si="722"/>
        <v>0.3977</v>
      </c>
      <c r="GK1587" s="101">
        <f t="shared" si="723"/>
        <v>1</v>
      </c>
      <c r="GL1587" s="101">
        <f t="shared" si="724"/>
        <v>8</v>
      </c>
    </row>
    <row r="1588" spans="170:194" ht="16.5" x14ac:dyDescent="0.2">
      <c r="FN1588" s="101">
        <v>1583</v>
      </c>
      <c r="FO1588" s="101">
        <f t="shared" si="709"/>
        <v>56</v>
      </c>
      <c r="FP1588" s="101">
        <f t="shared" si="702"/>
        <v>20</v>
      </c>
      <c r="FQ1588" s="14">
        <f t="shared" si="703"/>
        <v>3</v>
      </c>
      <c r="FR1588" s="101" t="str">
        <f t="shared" si="710"/>
        <v>燕青专属武器-魂珠-7 2级</v>
      </c>
      <c r="FS1588" s="101">
        <f t="shared" si="711"/>
        <v>7</v>
      </c>
      <c r="FT1588" s="101">
        <f t="shared" si="712"/>
        <v>2</v>
      </c>
      <c r="FU1588" s="101" t="str">
        <f t="shared" si="704"/>
        <v>金币</v>
      </c>
      <c r="FV1588" s="139">
        <f>IF($FT1588&gt;0,IF(INDEX($EI$6:$EI$77,$FO1588)&gt;=FV$3,ROUND(INDEX(EK$6:EK$77,$FO1588)*INDEX(卡牌消耗!$B$8:$F$8,FQ1588)/5,0)*5,""),"")</f>
        <v>9065</v>
      </c>
      <c r="FW1588" s="101" t="str">
        <f t="shared" si="705"/>
        <v>专属强化石3</v>
      </c>
      <c r="FX1588" s="101">
        <f t="shared" si="706"/>
        <v>6</v>
      </c>
      <c r="FY1588" s="101" t="str">
        <f t="shared" si="707"/>
        <v>专属强化石4</v>
      </c>
      <c r="FZ1588" s="101">
        <f t="shared" si="708"/>
        <v>2</v>
      </c>
      <c r="GA1588" s="101">
        <f t="shared" si="713"/>
        <v>0.1</v>
      </c>
      <c r="GB1588" s="101">
        <f t="shared" si="714"/>
        <v>1</v>
      </c>
      <c r="GC1588" s="101">
        <f t="shared" si="715"/>
        <v>15</v>
      </c>
      <c r="GD1588" s="101">
        <f t="shared" si="716"/>
        <v>0</v>
      </c>
      <c r="GE1588" s="101">
        <f t="shared" si="717"/>
        <v>1</v>
      </c>
      <c r="GF1588" s="101">
        <f t="shared" si="718"/>
        <v>4</v>
      </c>
      <c r="GG1588" s="101">
        <f t="shared" si="719"/>
        <v>4.9700000000000001E-2</v>
      </c>
      <c r="GH1588" s="101">
        <f t="shared" si="720"/>
        <v>1</v>
      </c>
      <c r="GI1588" s="101">
        <f t="shared" si="721"/>
        <v>7</v>
      </c>
      <c r="GJ1588" s="101">
        <f t="shared" si="722"/>
        <v>0.19889999999999999</v>
      </c>
      <c r="GK1588" s="101">
        <f t="shared" si="723"/>
        <v>1</v>
      </c>
      <c r="GL1588" s="101">
        <f t="shared" si="724"/>
        <v>15</v>
      </c>
    </row>
    <row r="1589" spans="170:194" ht="16.5" x14ac:dyDescent="0.2">
      <c r="FN1589" s="101">
        <v>1584</v>
      </c>
      <c r="FO1589" s="101">
        <f t="shared" si="709"/>
        <v>57</v>
      </c>
      <c r="FP1589" s="101">
        <f t="shared" si="702"/>
        <v>20</v>
      </c>
      <c r="FQ1589" s="14">
        <f t="shared" si="703"/>
        <v>3</v>
      </c>
      <c r="FR1589" s="101" t="str">
        <f t="shared" si="710"/>
        <v>燕青专属武器-魂珠-7 3级</v>
      </c>
      <c r="FS1589" s="101">
        <f t="shared" si="711"/>
        <v>7</v>
      </c>
      <c r="FT1589" s="101">
        <f t="shared" si="712"/>
        <v>3</v>
      </c>
      <c r="FU1589" s="101" t="str">
        <f t="shared" si="704"/>
        <v>金币</v>
      </c>
      <c r="FV1589" s="139">
        <f>IF($FT1589&gt;0,IF(INDEX($EI$6:$EI$77,$FO1589)&gt;=FV$3,ROUND(INDEX(EK$6:EK$77,$FO1589)*INDEX(卡牌消耗!$B$8:$F$8,FQ1589)/5,0)*5,""),"")</f>
        <v>15110</v>
      </c>
      <c r="FW1589" s="101" t="str">
        <f t="shared" si="705"/>
        <v>专属强化石3</v>
      </c>
      <c r="FX1589" s="101">
        <f t="shared" si="706"/>
        <v>9</v>
      </c>
      <c r="FY1589" s="101" t="str">
        <f t="shared" si="707"/>
        <v>专属强化石4</v>
      </c>
      <c r="FZ1589" s="101">
        <f t="shared" si="708"/>
        <v>3</v>
      </c>
      <c r="GA1589" s="101">
        <f t="shared" si="713"/>
        <v>0.1</v>
      </c>
      <c r="GB1589" s="101">
        <f t="shared" si="714"/>
        <v>1</v>
      </c>
      <c r="GC1589" s="101">
        <f t="shared" si="715"/>
        <v>15</v>
      </c>
      <c r="GD1589" s="101">
        <f t="shared" si="716"/>
        <v>0</v>
      </c>
      <c r="GE1589" s="101">
        <f t="shared" si="717"/>
        <v>1</v>
      </c>
      <c r="GF1589" s="101">
        <f t="shared" si="718"/>
        <v>4</v>
      </c>
      <c r="GG1589" s="101">
        <f t="shared" si="719"/>
        <v>4.9700000000000001E-2</v>
      </c>
      <c r="GH1589" s="101">
        <f t="shared" si="720"/>
        <v>1</v>
      </c>
      <c r="GI1589" s="101">
        <f t="shared" si="721"/>
        <v>7</v>
      </c>
      <c r="GJ1589" s="101">
        <f t="shared" si="722"/>
        <v>0.19889999999999999</v>
      </c>
      <c r="GK1589" s="101">
        <f t="shared" si="723"/>
        <v>1</v>
      </c>
      <c r="GL1589" s="101">
        <f t="shared" si="724"/>
        <v>15</v>
      </c>
    </row>
    <row r="1590" spans="170:194" ht="16.5" x14ac:dyDescent="0.2">
      <c r="FN1590" s="101">
        <v>1585</v>
      </c>
      <c r="FO1590" s="101">
        <f t="shared" si="709"/>
        <v>58</v>
      </c>
      <c r="FP1590" s="101">
        <f t="shared" si="702"/>
        <v>20</v>
      </c>
      <c r="FQ1590" s="14">
        <f t="shared" si="703"/>
        <v>3</v>
      </c>
      <c r="FR1590" s="101" t="str">
        <f t="shared" si="710"/>
        <v>燕青专属武器-魂珠-7 4级</v>
      </c>
      <c r="FS1590" s="101">
        <f t="shared" si="711"/>
        <v>7</v>
      </c>
      <c r="FT1590" s="101">
        <f t="shared" si="712"/>
        <v>4</v>
      </c>
      <c r="FU1590" s="101" t="str">
        <f t="shared" si="704"/>
        <v>金币</v>
      </c>
      <c r="FV1590" s="139">
        <f>IF($FT1590&gt;0,IF(INDEX($EI$6:$EI$77,$FO1590)&gt;=FV$3,ROUND(INDEX(EK$6:EK$77,$FO1590)*INDEX(卡牌消耗!$B$8:$F$8,FQ1590)/5,0)*5,""),"")</f>
        <v>19340</v>
      </c>
      <c r="FW1590" s="101" t="str">
        <f t="shared" si="705"/>
        <v>专属强化石3</v>
      </c>
      <c r="FX1590" s="101">
        <f t="shared" si="706"/>
        <v>12</v>
      </c>
      <c r="FY1590" s="101" t="str">
        <f t="shared" si="707"/>
        <v>专属强化石4</v>
      </c>
      <c r="FZ1590" s="101">
        <f t="shared" si="708"/>
        <v>4</v>
      </c>
      <c r="GA1590" s="101">
        <f t="shared" si="713"/>
        <v>0.08</v>
      </c>
      <c r="GB1590" s="101">
        <f t="shared" si="714"/>
        <v>1</v>
      </c>
      <c r="GC1590" s="101">
        <f t="shared" si="715"/>
        <v>19</v>
      </c>
      <c r="GD1590" s="101">
        <f t="shared" si="716"/>
        <v>0</v>
      </c>
      <c r="GE1590" s="101">
        <f t="shared" si="717"/>
        <v>1</v>
      </c>
      <c r="GF1590" s="101">
        <f t="shared" si="718"/>
        <v>4</v>
      </c>
      <c r="GG1590" s="101">
        <f t="shared" si="719"/>
        <v>3.9800000000000002E-2</v>
      </c>
      <c r="GH1590" s="101">
        <f t="shared" si="720"/>
        <v>1</v>
      </c>
      <c r="GI1590" s="101">
        <f t="shared" si="721"/>
        <v>9</v>
      </c>
      <c r="GJ1590" s="101">
        <f t="shared" si="722"/>
        <v>0.15909999999999999</v>
      </c>
      <c r="GK1590" s="101">
        <f t="shared" si="723"/>
        <v>1</v>
      </c>
      <c r="GL1590" s="101">
        <f t="shared" si="724"/>
        <v>19</v>
      </c>
    </row>
    <row r="1591" spans="170:194" ht="16.5" x14ac:dyDescent="0.2">
      <c r="FN1591" s="101">
        <v>1586</v>
      </c>
      <c r="FO1591" s="101">
        <f t="shared" si="709"/>
        <v>59</v>
      </c>
      <c r="FP1591" s="101">
        <f t="shared" si="702"/>
        <v>20</v>
      </c>
      <c r="FQ1591" s="14">
        <f t="shared" si="703"/>
        <v>3</v>
      </c>
      <c r="FR1591" s="101" t="str">
        <f t="shared" si="710"/>
        <v>燕青专属武器-魂珠-7 5级</v>
      </c>
      <c r="FS1591" s="101">
        <f t="shared" si="711"/>
        <v>7</v>
      </c>
      <c r="FT1591" s="101">
        <f t="shared" si="712"/>
        <v>5</v>
      </c>
      <c r="FU1591" s="101" t="str">
        <f t="shared" si="704"/>
        <v>金币</v>
      </c>
      <c r="FV1591" s="139">
        <f>IF($FT1591&gt;0,IF(INDEX($EI$6:$EI$77,$FO1591)&gt;=FV$3,ROUND(INDEX(EK$6:EK$77,$FO1591)*INDEX(卡牌消耗!$B$8:$F$8,FQ1591)/5,0)*5,""),"")</f>
        <v>19640</v>
      </c>
      <c r="FW1591" s="101" t="str">
        <f t="shared" si="705"/>
        <v>专属强化石3</v>
      </c>
      <c r="FX1591" s="101">
        <f t="shared" si="706"/>
        <v>12</v>
      </c>
      <c r="FY1591" s="101" t="str">
        <f t="shared" si="707"/>
        <v>专属强化石4</v>
      </c>
      <c r="FZ1591" s="101">
        <f t="shared" si="708"/>
        <v>4</v>
      </c>
      <c r="GA1591" s="101">
        <f t="shared" si="713"/>
        <v>0.05</v>
      </c>
      <c r="GB1591" s="101">
        <f t="shared" si="714"/>
        <v>1</v>
      </c>
      <c r="GC1591" s="101">
        <f t="shared" si="715"/>
        <v>30</v>
      </c>
      <c r="GD1591" s="101">
        <f t="shared" si="716"/>
        <v>0</v>
      </c>
      <c r="GE1591" s="101">
        <f t="shared" si="717"/>
        <v>1</v>
      </c>
      <c r="GF1591" s="101">
        <f t="shared" si="718"/>
        <v>7</v>
      </c>
      <c r="GG1591" s="101">
        <f t="shared" si="719"/>
        <v>2.4899999999999999E-2</v>
      </c>
      <c r="GH1591" s="101">
        <f t="shared" si="720"/>
        <v>1</v>
      </c>
      <c r="GI1591" s="101">
        <f t="shared" si="721"/>
        <v>14</v>
      </c>
      <c r="GJ1591" s="101">
        <f t="shared" si="722"/>
        <v>9.9400000000000002E-2</v>
      </c>
      <c r="GK1591" s="101">
        <f t="shared" si="723"/>
        <v>1</v>
      </c>
      <c r="GL1591" s="101">
        <f t="shared" si="724"/>
        <v>30</v>
      </c>
    </row>
    <row r="1592" spans="170:194" ht="16.5" x14ac:dyDescent="0.2">
      <c r="FN1592" s="101">
        <v>1587</v>
      </c>
      <c r="FO1592" s="101">
        <f t="shared" si="709"/>
        <v>60</v>
      </c>
      <c r="FP1592" s="101">
        <f t="shared" si="702"/>
        <v>20</v>
      </c>
      <c r="FQ1592" s="14">
        <f t="shared" si="703"/>
        <v>3</v>
      </c>
      <c r="FR1592" s="101" t="str">
        <f t="shared" si="710"/>
        <v>燕青专属武器-魂珠-7 6级</v>
      </c>
      <c r="FS1592" s="101">
        <f t="shared" si="711"/>
        <v>7</v>
      </c>
      <c r="FT1592" s="101">
        <f t="shared" si="712"/>
        <v>6</v>
      </c>
      <c r="FU1592" s="101" t="str">
        <f t="shared" si="704"/>
        <v>金币</v>
      </c>
      <c r="FV1592" s="139">
        <f>IF($FT1592&gt;0,IF(INDEX($EI$6:$EI$77,$FO1592)&gt;=FV$3,ROUND(INDEX(EK$6:EK$77,$FO1592)*INDEX(卡牌消耗!$B$8:$F$8,FQ1592)/5,0)*5,""),"")</f>
        <v>24410</v>
      </c>
      <c r="FW1592" s="101" t="str">
        <f t="shared" si="705"/>
        <v>专属强化石3</v>
      </c>
      <c r="FX1592" s="101">
        <f t="shared" si="706"/>
        <v>15</v>
      </c>
      <c r="FY1592" s="101" t="str">
        <f t="shared" si="707"/>
        <v>专属强化石4</v>
      </c>
      <c r="FZ1592" s="101">
        <f t="shared" si="708"/>
        <v>5</v>
      </c>
      <c r="GA1592" s="101">
        <f t="shared" si="713"/>
        <v>0.04</v>
      </c>
      <c r="GB1592" s="101">
        <f t="shared" si="714"/>
        <v>1</v>
      </c>
      <c r="GC1592" s="101">
        <f t="shared" si="715"/>
        <v>39</v>
      </c>
      <c r="GD1592" s="101">
        <f t="shared" si="716"/>
        <v>0</v>
      </c>
      <c r="GE1592" s="101">
        <f t="shared" si="717"/>
        <v>1</v>
      </c>
      <c r="GF1592" s="101">
        <f t="shared" si="718"/>
        <v>9</v>
      </c>
      <c r="GG1592" s="101">
        <f t="shared" si="719"/>
        <v>1.9099999999999999E-2</v>
      </c>
      <c r="GH1592" s="101">
        <f t="shared" si="720"/>
        <v>1</v>
      </c>
      <c r="GI1592" s="101">
        <f t="shared" si="721"/>
        <v>18</v>
      </c>
      <c r="GJ1592" s="101">
        <f t="shared" si="722"/>
        <v>7.6499999999999999E-2</v>
      </c>
      <c r="GK1592" s="101">
        <f t="shared" si="723"/>
        <v>1</v>
      </c>
      <c r="GL1592" s="101">
        <f t="shared" si="724"/>
        <v>39</v>
      </c>
    </row>
    <row r="1593" spans="170:194" ht="16.5" x14ac:dyDescent="0.2">
      <c r="FN1593" s="101">
        <v>1588</v>
      </c>
      <c r="FO1593" s="101">
        <f t="shared" si="709"/>
        <v>61</v>
      </c>
      <c r="FP1593" s="101">
        <f t="shared" si="702"/>
        <v>20</v>
      </c>
      <c r="FQ1593" s="14">
        <f t="shared" si="703"/>
        <v>3</v>
      </c>
      <c r="FR1593" s="101" t="str">
        <f t="shared" si="710"/>
        <v>燕青专属武器-魂珠-7 7级</v>
      </c>
      <c r="FS1593" s="101">
        <f t="shared" si="711"/>
        <v>7</v>
      </c>
      <c r="FT1593" s="101">
        <f t="shared" si="712"/>
        <v>7</v>
      </c>
      <c r="FU1593" s="101" t="str">
        <f t="shared" si="704"/>
        <v>金币</v>
      </c>
      <c r="FV1593" s="139">
        <f>IF($FT1593&gt;0,IF(INDEX($EI$6:$EI$77,$FO1593)&gt;=FV$3,ROUND(INDEX(EK$6:EK$77,$FO1593)*INDEX(卡牌消耗!$B$8:$F$8,FQ1593)/5,0)*5,""),"")</f>
        <v>34250</v>
      </c>
      <c r="FW1593" s="101" t="str">
        <f t="shared" si="705"/>
        <v>专属强化石3</v>
      </c>
      <c r="FX1593" s="101">
        <f t="shared" si="706"/>
        <v>21</v>
      </c>
      <c r="FY1593" s="101" t="str">
        <f t="shared" si="707"/>
        <v>专属强化石4</v>
      </c>
      <c r="FZ1593" s="101">
        <f t="shared" si="708"/>
        <v>7</v>
      </c>
      <c r="GA1593" s="101">
        <f t="shared" si="713"/>
        <v>0.03</v>
      </c>
      <c r="GB1593" s="101">
        <f t="shared" si="714"/>
        <v>1</v>
      </c>
      <c r="GC1593" s="101">
        <f t="shared" si="715"/>
        <v>45</v>
      </c>
      <c r="GD1593" s="101">
        <f t="shared" si="716"/>
        <v>0</v>
      </c>
      <c r="GE1593" s="101">
        <f t="shared" si="717"/>
        <v>1</v>
      </c>
      <c r="GF1593" s="101">
        <f t="shared" si="718"/>
        <v>11</v>
      </c>
      <c r="GG1593" s="101">
        <f t="shared" si="719"/>
        <v>1.66E-2</v>
      </c>
      <c r="GH1593" s="101">
        <f t="shared" si="720"/>
        <v>1</v>
      </c>
      <c r="GI1593" s="101">
        <f t="shared" si="721"/>
        <v>21</v>
      </c>
      <c r="GJ1593" s="101">
        <f t="shared" si="722"/>
        <v>6.6299999999999998E-2</v>
      </c>
      <c r="GK1593" s="101">
        <f t="shared" si="723"/>
        <v>1</v>
      </c>
      <c r="GL1593" s="101">
        <f t="shared" si="724"/>
        <v>45</v>
      </c>
    </row>
    <row r="1594" spans="170:194" ht="16.5" x14ac:dyDescent="0.2">
      <c r="FN1594" s="101">
        <v>1589</v>
      </c>
      <c r="FO1594" s="101">
        <f t="shared" si="709"/>
        <v>62</v>
      </c>
      <c r="FP1594" s="101">
        <f t="shared" si="702"/>
        <v>20</v>
      </c>
      <c r="FQ1594" s="14">
        <f t="shared" si="703"/>
        <v>3</v>
      </c>
      <c r="FR1594" s="101" t="str">
        <f t="shared" si="710"/>
        <v>燕青专属武器-魂珠-7 8级</v>
      </c>
      <c r="FS1594" s="101">
        <f t="shared" si="711"/>
        <v>7</v>
      </c>
      <c r="FT1594" s="101">
        <f t="shared" si="712"/>
        <v>8</v>
      </c>
      <c r="FU1594" s="101" t="str">
        <f t="shared" si="704"/>
        <v>金币</v>
      </c>
      <c r="FV1594" s="139">
        <f>IF($FT1594&gt;0,IF(INDEX($EI$6:$EI$77,$FO1594)&gt;=FV$3,ROUND(INDEX(EK$6:EK$77,$FO1594)*INDEX(卡牌消耗!$B$8:$F$8,FQ1594)/5,0)*5,""),"")</f>
        <v>39105</v>
      </c>
      <c r="FW1594" s="101" t="str">
        <f t="shared" si="705"/>
        <v>专属强化石3</v>
      </c>
      <c r="FX1594" s="101">
        <f t="shared" si="706"/>
        <v>24</v>
      </c>
      <c r="FY1594" s="101" t="str">
        <f t="shared" si="707"/>
        <v>专属强化石4</v>
      </c>
      <c r="FZ1594" s="101">
        <f t="shared" si="708"/>
        <v>8</v>
      </c>
      <c r="GA1594" s="101">
        <f t="shared" si="713"/>
        <v>0.02</v>
      </c>
      <c r="GB1594" s="101">
        <f t="shared" si="714"/>
        <v>1</v>
      </c>
      <c r="GC1594" s="101">
        <f t="shared" si="715"/>
        <v>64</v>
      </c>
      <c r="GD1594" s="101">
        <f t="shared" si="716"/>
        <v>0</v>
      </c>
      <c r="GE1594" s="101">
        <f t="shared" si="717"/>
        <v>1</v>
      </c>
      <c r="GF1594" s="101">
        <f t="shared" si="718"/>
        <v>15</v>
      </c>
      <c r="GG1594" s="101">
        <f t="shared" si="719"/>
        <v>1.17E-2</v>
      </c>
      <c r="GH1594" s="101">
        <f t="shared" si="720"/>
        <v>1</v>
      </c>
      <c r="GI1594" s="101">
        <f t="shared" si="721"/>
        <v>30</v>
      </c>
      <c r="GJ1594" s="101">
        <f t="shared" si="722"/>
        <v>4.6800000000000001E-2</v>
      </c>
      <c r="GK1594" s="101">
        <f t="shared" si="723"/>
        <v>1</v>
      </c>
      <c r="GL1594" s="101">
        <f t="shared" si="724"/>
        <v>64</v>
      </c>
    </row>
    <row r="1595" spans="170:194" ht="16.5" x14ac:dyDescent="0.2">
      <c r="FN1595" s="101">
        <v>1590</v>
      </c>
      <c r="FO1595" s="101">
        <f t="shared" si="709"/>
        <v>63</v>
      </c>
      <c r="FP1595" s="101">
        <f t="shared" si="702"/>
        <v>20</v>
      </c>
      <c r="FQ1595" s="14">
        <f t="shared" si="703"/>
        <v>3</v>
      </c>
      <c r="FR1595" s="101" t="str">
        <f t="shared" si="710"/>
        <v>燕青专属武器-魂珠-7 9级</v>
      </c>
      <c r="FS1595" s="101">
        <f t="shared" si="711"/>
        <v>7</v>
      </c>
      <c r="FT1595" s="101">
        <f t="shared" si="712"/>
        <v>9</v>
      </c>
      <c r="FU1595" s="101" t="str">
        <f t="shared" si="704"/>
        <v>金币</v>
      </c>
      <c r="FV1595" s="139">
        <f>IF($FT1595&gt;0,IF(INDEX($EI$6:$EI$77,$FO1595)&gt;=FV$3,ROUND(INDEX(EK$6:EK$77,$FO1595)*INDEX(卡牌消耗!$B$8:$F$8,FQ1595)/5,0)*5,""),"")</f>
        <v>48900</v>
      </c>
      <c r="FW1595" s="101" t="str">
        <f t="shared" si="705"/>
        <v>专属强化石3</v>
      </c>
      <c r="FX1595" s="101">
        <f t="shared" si="706"/>
        <v>30</v>
      </c>
      <c r="FY1595" s="101" t="str">
        <f t="shared" si="707"/>
        <v>专属强化石4</v>
      </c>
      <c r="FZ1595" s="101">
        <f t="shared" si="708"/>
        <v>10</v>
      </c>
      <c r="GA1595" s="101">
        <f t="shared" si="713"/>
        <v>0.02</v>
      </c>
      <c r="GB1595" s="101">
        <f t="shared" si="714"/>
        <v>1</v>
      </c>
      <c r="GC1595" s="101">
        <f t="shared" si="715"/>
        <v>83</v>
      </c>
      <c r="GD1595" s="101">
        <f t="shared" si="716"/>
        <v>0</v>
      </c>
      <c r="GE1595" s="101">
        <f t="shared" si="717"/>
        <v>1</v>
      </c>
      <c r="GF1595" s="101">
        <f t="shared" si="718"/>
        <v>19</v>
      </c>
      <c r="GG1595" s="101">
        <f t="shared" si="719"/>
        <v>8.9999999999999993E-3</v>
      </c>
      <c r="GH1595" s="101">
        <f t="shared" si="720"/>
        <v>1</v>
      </c>
      <c r="GI1595" s="101">
        <f t="shared" si="721"/>
        <v>39</v>
      </c>
      <c r="GJ1595" s="101">
        <f t="shared" si="722"/>
        <v>3.6200000000000003E-2</v>
      </c>
      <c r="GK1595" s="101">
        <f t="shared" si="723"/>
        <v>1</v>
      </c>
      <c r="GL1595" s="101">
        <f t="shared" si="724"/>
        <v>83</v>
      </c>
    </row>
    <row r="1596" spans="170:194" ht="16.5" x14ac:dyDescent="0.2">
      <c r="FN1596" s="101">
        <v>1591</v>
      </c>
      <c r="FO1596" s="101">
        <f t="shared" si="709"/>
        <v>0</v>
      </c>
      <c r="FP1596" s="101">
        <f t="shared" si="702"/>
        <v>20</v>
      </c>
      <c r="FQ1596" s="14">
        <f t="shared" si="703"/>
        <v>3</v>
      </c>
      <c r="FR1596" s="101" t="str">
        <f t="shared" si="710"/>
        <v>燕青专属武器-魂珠-8 0级</v>
      </c>
      <c r="FS1596" s="101">
        <f t="shared" si="711"/>
        <v>8</v>
      </c>
      <c r="FT1596" s="101">
        <f t="shared" si="712"/>
        <v>0</v>
      </c>
      <c r="FU1596" s="101" t="str">
        <f t="shared" si="704"/>
        <v/>
      </c>
      <c r="FV1596" s="139" t="str">
        <f>IF($FT1596&gt;0,IF(INDEX($EI$6:$EI$77,$FO1596)&gt;=FV$3,ROUND(INDEX(EK$6:EK$77,$FO1596)*INDEX(卡牌消耗!$B$8:$F$8,FQ1596)/5,0)*5,""),"")</f>
        <v/>
      </c>
      <c r="FW1596" s="101" t="str">
        <f t="shared" si="705"/>
        <v/>
      </c>
      <c r="FX1596" s="101" t="str">
        <f t="shared" si="706"/>
        <v/>
      </c>
      <c r="FY1596" s="101" t="str">
        <f t="shared" si="707"/>
        <v/>
      </c>
      <c r="FZ1596" s="101" t="str">
        <f t="shared" si="708"/>
        <v/>
      </c>
      <c r="GA1596" s="101" t="str">
        <f t="shared" si="713"/>
        <v/>
      </c>
      <c r="GB1596" s="101" t="str">
        <f t="shared" si="714"/>
        <v/>
      </c>
      <c r="GC1596" s="101" t="str">
        <f t="shared" si="715"/>
        <v/>
      </c>
      <c r="GD1596" s="101" t="str">
        <f t="shared" si="716"/>
        <v/>
      </c>
      <c r="GE1596" s="101" t="str">
        <f t="shared" si="717"/>
        <v/>
      </c>
      <c r="GF1596" s="101" t="str">
        <f t="shared" si="718"/>
        <v/>
      </c>
      <c r="GG1596" s="101" t="str">
        <f t="shared" si="719"/>
        <v/>
      </c>
      <c r="GH1596" s="101" t="str">
        <f t="shared" si="720"/>
        <v/>
      </c>
      <c r="GI1596" s="101" t="str">
        <f t="shared" si="721"/>
        <v/>
      </c>
      <c r="GJ1596" s="101" t="str">
        <f t="shared" si="722"/>
        <v/>
      </c>
      <c r="GK1596" s="101" t="str">
        <f t="shared" si="723"/>
        <v/>
      </c>
      <c r="GL1596" s="101" t="str">
        <f t="shared" si="724"/>
        <v/>
      </c>
    </row>
    <row r="1597" spans="170:194" ht="16.5" x14ac:dyDescent="0.2">
      <c r="FN1597" s="101">
        <v>1592</v>
      </c>
      <c r="FO1597" s="101">
        <f t="shared" si="709"/>
        <v>64</v>
      </c>
      <c r="FP1597" s="101">
        <f t="shared" si="702"/>
        <v>20</v>
      </c>
      <c r="FQ1597" s="14">
        <f t="shared" si="703"/>
        <v>3</v>
      </c>
      <c r="FR1597" s="101" t="str">
        <f t="shared" si="710"/>
        <v>燕青专属武器-魂珠-8 1级</v>
      </c>
      <c r="FS1597" s="101">
        <f t="shared" si="711"/>
        <v>8</v>
      </c>
      <c r="FT1597" s="101">
        <f t="shared" si="712"/>
        <v>1</v>
      </c>
      <c r="FU1597" s="101" t="str">
        <f t="shared" si="704"/>
        <v>金币</v>
      </c>
      <c r="FV1597" s="139">
        <f>IF($FT1597&gt;0,IF(INDEX($EI$6:$EI$77,$FO1597)&gt;=FV$3,ROUND(INDEX(EK$6:EK$77,$FO1597)*INDEX(卡牌消耗!$B$8:$F$8,FQ1597)/5,0)*5,""),"")</f>
        <v>10300</v>
      </c>
      <c r="FW1597" s="101" t="str">
        <f t="shared" si="705"/>
        <v>专属强化石4</v>
      </c>
      <c r="FX1597" s="101">
        <f t="shared" si="706"/>
        <v>5</v>
      </c>
      <c r="FY1597" s="101" t="str">
        <f t="shared" si="707"/>
        <v/>
      </c>
      <c r="FZ1597" s="101" t="str">
        <f t="shared" si="708"/>
        <v/>
      </c>
      <c r="GA1597" s="101">
        <f t="shared" si="713"/>
        <v>0.11</v>
      </c>
      <c r="GB1597" s="101">
        <f t="shared" si="714"/>
        <v>1</v>
      </c>
      <c r="GC1597" s="101">
        <f t="shared" si="715"/>
        <v>13</v>
      </c>
      <c r="GD1597" s="101">
        <f t="shared" si="716"/>
        <v>0</v>
      </c>
      <c r="GE1597" s="101">
        <f t="shared" si="717"/>
        <v>1</v>
      </c>
      <c r="GF1597" s="101">
        <f t="shared" si="718"/>
        <v>3</v>
      </c>
      <c r="GG1597" s="101">
        <f t="shared" si="719"/>
        <v>5.6500000000000002E-2</v>
      </c>
      <c r="GH1597" s="101">
        <f t="shared" si="720"/>
        <v>1</v>
      </c>
      <c r="GI1597" s="101">
        <f t="shared" si="721"/>
        <v>6</v>
      </c>
      <c r="GJ1597" s="101">
        <f t="shared" si="722"/>
        <v>0.22600000000000001</v>
      </c>
      <c r="GK1597" s="101">
        <f t="shared" si="723"/>
        <v>1</v>
      </c>
      <c r="GL1597" s="101">
        <f t="shared" si="724"/>
        <v>13</v>
      </c>
    </row>
    <row r="1598" spans="170:194" ht="16.5" x14ac:dyDescent="0.2">
      <c r="FN1598" s="101">
        <v>1593</v>
      </c>
      <c r="FO1598" s="101">
        <f t="shared" si="709"/>
        <v>65</v>
      </c>
      <c r="FP1598" s="101">
        <f t="shared" si="702"/>
        <v>20</v>
      </c>
      <c r="FQ1598" s="14">
        <f t="shared" si="703"/>
        <v>3</v>
      </c>
      <c r="FR1598" s="101" t="str">
        <f t="shared" si="710"/>
        <v>燕青专属武器-魂珠-8 2级</v>
      </c>
      <c r="FS1598" s="101">
        <f t="shared" si="711"/>
        <v>8</v>
      </c>
      <c r="FT1598" s="101">
        <f t="shared" si="712"/>
        <v>2</v>
      </c>
      <c r="FU1598" s="101" t="str">
        <f t="shared" si="704"/>
        <v>金币</v>
      </c>
      <c r="FV1598" s="139">
        <f>IF($FT1598&gt;0,IF(INDEX($EI$6:$EI$77,$FO1598)&gt;=FV$3,ROUND(INDEX(EK$6:EK$77,$FO1598)*INDEX(卡牌消耗!$B$8:$F$8,FQ1598)/5,0)*5,""),"")</f>
        <v>12360</v>
      </c>
      <c r="FW1598" s="101" t="str">
        <f t="shared" si="705"/>
        <v>专属强化石4</v>
      </c>
      <c r="FX1598" s="101">
        <f t="shared" si="706"/>
        <v>8</v>
      </c>
      <c r="FY1598" s="101" t="str">
        <f t="shared" si="707"/>
        <v/>
      </c>
      <c r="FZ1598" s="101" t="str">
        <f t="shared" si="708"/>
        <v/>
      </c>
      <c r="GA1598" s="101">
        <f t="shared" si="713"/>
        <v>0.09</v>
      </c>
      <c r="GB1598" s="101">
        <f t="shared" si="714"/>
        <v>1</v>
      </c>
      <c r="GC1598" s="101">
        <f t="shared" si="715"/>
        <v>17</v>
      </c>
      <c r="GD1598" s="101">
        <f t="shared" si="716"/>
        <v>0</v>
      </c>
      <c r="GE1598" s="101">
        <f t="shared" si="717"/>
        <v>1</v>
      </c>
      <c r="GF1598" s="101">
        <f t="shared" si="718"/>
        <v>4</v>
      </c>
      <c r="GG1598" s="101">
        <f t="shared" si="719"/>
        <v>4.5199999999999997E-2</v>
      </c>
      <c r="GH1598" s="101">
        <f t="shared" si="720"/>
        <v>1</v>
      </c>
      <c r="GI1598" s="101">
        <f t="shared" si="721"/>
        <v>8</v>
      </c>
      <c r="GJ1598" s="101">
        <f t="shared" si="722"/>
        <v>0.18079999999999999</v>
      </c>
      <c r="GK1598" s="101">
        <f t="shared" si="723"/>
        <v>1</v>
      </c>
      <c r="GL1598" s="101">
        <f t="shared" si="724"/>
        <v>17</v>
      </c>
    </row>
    <row r="1599" spans="170:194" ht="16.5" x14ac:dyDescent="0.2">
      <c r="FN1599" s="101">
        <v>1594</v>
      </c>
      <c r="FO1599" s="101">
        <f t="shared" si="709"/>
        <v>66</v>
      </c>
      <c r="FP1599" s="101">
        <f t="shared" si="702"/>
        <v>20</v>
      </c>
      <c r="FQ1599" s="14">
        <f t="shared" si="703"/>
        <v>3</v>
      </c>
      <c r="FR1599" s="101" t="str">
        <f t="shared" si="710"/>
        <v>燕青专属武器-魂珠-8 3级</v>
      </c>
      <c r="FS1599" s="101">
        <f t="shared" si="711"/>
        <v>8</v>
      </c>
      <c r="FT1599" s="101">
        <f t="shared" si="712"/>
        <v>3</v>
      </c>
      <c r="FU1599" s="101" t="str">
        <f t="shared" si="704"/>
        <v>金币</v>
      </c>
      <c r="FV1599" s="139">
        <f>IF($FT1599&gt;0,IF(INDEX($EI$6:$EI$77,$FO1599)&gt;=FV$3,ROUND(INDEX(EK$6:EK$77,$FO1599)*INDEX(卡牌消耗!$B$8:$F$8,FQ1599)/5,0)*5,""),"")</f>
        <v>17170</v>
      </c>
      <c r="FW1599" s="101" t="str">
        <f t="shared" si="705"/>
        <v>专属强化石4</v>
      </c>
      <c r="FX1599" s="101">
        <f t="shared" si="706"/>
        <v>10</v>
      </c>
      <c r="FY1599" s="101" t="str">
        <f t="shared" si="707"/>
        <v/>
      </c>
      <c r="FZ1599" s="101" t="str">
        <f t="shared" si="708"/>
        <v/>
      </c>
      <c r="GA1599" s="101">
        <f t="shared" si="713"/>
        <v>0.08</v>
      </c>
      <c r="GB1599" s="101">
        <f t="shared" si="714"/>
        <v>1</v>
      </c>
      <c r="GC1599" s="101">
        <f t="shared" si="715"/>
        <v>20</v>
      </c>
      <c r="GD1599" s="101">
        <f t="shared" si="716"/>
        <v>0</v>
      </c>
      <c r="GE1599" s="101">
        <f t="shared" si="717"/>
        <v>1</v>
      </c>
      <c r="GF1599" s="101">
        <f t="shared" si="718"/>
        <v>5</v>
      </c>
      <c r="GG1599" s="101">
        <f t="shared" si="719"/>
        <v>3.7699999999999997E-2</v>
      </c>
      <c r="GH1599" s="101">
        <f t="shared" si="720"/>
        <v>1</v>
      </c>
      <c r="GI1599" s="101">
        <f t="shared" si="721"/>
        <v>9</v>
      </c>
      <c r="GJ1599" s="101">
        <f t="shared" si="722"/>
        <v>0.1507</v>
      </c>
      <c r="GK1599" s="101">
        <f t="shared" si="723"/>
        <v>1</v>
      </c>
      <c r="GL1599" s="101">
        <f t="shared" si="724"/>
        <v>20</v>
      </c>
    </row>
    <row r="1600" spans="170:194" ht="16.5" x14ac:dyDescent="0.2">
      <c r="FN1600" s="101">
        <v>1595</v>
      </c>
      <c r="FO1600" s="101">
        <f t="shared" si="709"/>
        <v>67</v>
      </c>
      <c r="FP1600" s="101">
        <f t="shared" si="702"/>
        <v>20</v>
      </c>
      <c r="FQ1600" s="14">
        <f t="shared" si="703"/>
        <v>3</v>
      </c>
      <c r="FR1600" s="101" t="str">
        <f t="shared" si="710"/>
        <v>燕青专属武器-魂珠-8 4级</v>
      </c>
      <c r="FS1600" s="101">
        <f t="shared" si="711"/>
        <v>8</v>
      </c>
      <c r="FT1600" s="101">
        <f t="shared" si="712"/>
        <v>4</v>
      </c>
      <c r="FU1600" s="101" t="str">
        <f t="shared" si="704"/>
        <v>金币</v>
      </c>
      <c r="FV1600" s="139">
        <f>IF($FT1600&gt;0,IF(INDEX($EI$6:$EI$77,$FO1600)&gt;=FV$3,ROUND(INDEX(EK$6:EK$77,$FO1600)*INDEX(卡牌消耗!$B$8:$F$8,FQ1600)/5,0)*5,""),"")</f>
        <v>19780</v>
      </c>
      <c r="FW1600" s="101" t="str">
        <f t="shared" si="705"/>
        <v>专属强化石4</v>
      </c>
      <c r="FX1600" s="101">
        <f t="shared" si="706"/>
        <v>12</v>
      </c>
      <c r="FY1600" s="101" t="str">
        <f t="shared" si="707"/>
        <v/>
      </c>
      <c r="FZ1600" s="101" t="str">
        <f t="shared" si="708"/>
        <v/>
      </c>
      <c r="GA1600" s="101">
        <f t="shared" si="713"/>
        <v>0.05</v>
      </c>
      <c r="GB1600" s="101">
        <f t="shared" si="714"/>
        <v>1</v>
      </c>
      <c r="GC1600" s="101">
        <f t="shared" si="715"/>
        <v>28</v>
      </c>
      <c r="GD1600" s="101">
        <f t="shared" si="716"/>
        <v>0</v>
      </c>
      <c r="GE1600" s="101">
        <f t="shared" si="717"/>
        <v>1</v>
      </c>
      <c r="GF1600" s="101">
        <f t="shared" si="718"/>
        <v>6</v>
      </c>
      <c r="GG1600" s="101">
        <f t="shared" si="719"/>
        <v>2.7099999999999999E-2</v>
      </c>
      <c r="GH1600" s="101">
        <f t="shared" si="720"/>
        <v>1</v>
      </c>
      <c r="GI1600" s="101">
        <f t="shared" si="721"/>
        <v>13</v>
      </c>
      <c r="GJ1600" s="101">
        <f t="shared" si="722"/>
        <v>0.1085</v>
      </c>
      <c r="GK1600" s="101">
        <f t="shared" si="723"/>
        <v>1</v>
      </c>
      <c r="GL1600" s="101">
        <f t="shared" si="724"/>
        <v>28</v>
      </c>
    </row>
    <row r="1601" spans="170:194" ht="16.5" x14ac:dyDescent="0.2">
      <c r="FN1601" s="101">
        <v>1596</v>
      </c>
      <c r="FO1601" s="101">
        <f t="shared" si="709"/>
        <v>68</v>
      </c>
      <c r="FP1601" s="101">
        <f t="shared" si="702"/>
        <v>20</v>
      </c>
      <c r="FQ1601" s="14">
        <f t="shared" si="703"/>
        <v>3</v>
      </c>
      <c r="FR1601" s="101" t="str">
        <f t="shared" si="710"/>
        <v>燕青专属武器-魂珠-8 5级</v>
      </c>
      <c r="FS1601" s="101">
        <f t="shared" si="711"/>
        <v>8</v>
      </c>
      <c r="FT1601" s="101">
        <f t="shared" si="712"/>
        <v>5</v>
      </c>
      <c r="FU1601" s="101" t="str">
        <f t="shared" si="704"/>
        <v>金币</v>
      </c>
      <c r="FV1601" s="139">
        <f>IF($FT1601&gt;0,IF(INDEX($EI$6:$EI$77,$FO1601)&gt;=FV$3,ROUND(INDEX(EK$6:EK$77,$FO1601)*INDEX(卡牌消耗!$B$8:$F$8,FQ1601)/5,0)*5,""),"")</f>
        <v>25110</v>
      </c>
      <c r="FW1601" s="101" t="str">
        <f t="shared" si="705"/>
        <v>专属强化石4</v>
      </c>
      <c r="FX1601" s="101">
        <f t="shared" si="706"/>
        <v>15</v>
      </c>
      <c r="FY1601" s="101" t="str">
        <f t="shared" si="707"/>
        <v/>
      </c>
      <c r="FZ1601" s="101" t="str">
        <f t="shared" si="708"/>
        <v/>
      </c>
      <c r="GA1601" s="101">
        <f t="shared" si="713"/>
        <v>0.04</v>
      </c>
      <c r="GB1601" s="101">
        <f t="shared" si="714"/>
        <v>1</v>
      </c>
      <c r="GC1601" s="101">
        <f t="shared" si="715"/>
        <v>35</v>
      </c>
      <c r="GD1601" s="101">
        <f t="shared" si="716"/>
        <v>0</v>
      </c>
      <c r="GE1601" s="101">
        <f t="shared" si="717"/>
        <v>1</v>
      </c>
      <c r="GF1601" s="101">
        <f t="shared" si="718"/>
        <v>8</v>
      </c>
      <c r="GG1601" s="101">
        <f t="shared" si="719"/>
        <v>2.12E-2</v>
      </c>
      <c r="GH1601" s="101">
        <f t="shared" si="720"/>
        <v>1</v>
      </c>
      <c r="GI1601" s="101">
        <f t="shared" si="721"/>
        <v>17</v>
      </c>
      <c r="GJ1601" s="101">
        <f t="shared" si="722"/>
        <v>8.4699999999999998E-2</v>
      </c>
      <c r="GK1601" s="101">
        <f t="shared" si="723"/>
        <v>1</v>
      </c>
      <c r="GL1601" s="101">
        <f t="shared" si="724"/>
        <v>35</v>
      </c>
    </row>
    <row r="1602" spans="170:194" ht="16.5" x14ac:dyDescent="0.2">
      <c r="FN1602" s="101">
        <v>1597</v>
      </c>
      <c r="FO1602" s="101">
        <f t="shared" si="709"/>
        <v>69</v>
      </c>
      <c r="FP1602" s="101">
        <f t="shared" si="702"/>
        <v>20</v>
      </c>
      <c r="FQ1602" s="14">
        <f t="shared" si="703"/>
        <v>3</v>
      </c>
      <c r="FR1602" s="101" t="str">
        <f t="shared" si="710"/>
        <v>燕青专属武器-魂珠-8 6级</v>
      </c>
      <c r="FS1602" s="101">
        <f t="shared" si="711"/>
        <v>8</v>
      </c>
      <c r="FT1602" s="101">
        <f t="shared" si="712"/>
        <v>6</v>
      </c>
      <c r="FU1602" s="101" t="str">
        <f t="shared" si="704"/>
        <v>金币</v>
      </c>
      <c r="FV1602" s="139">
        <f>IF($FT1602&gt;0,IF(INDEX($EI$6:$EI$77,$FO1602)&gt;=FV$3,ROUND(INDEX(EK$6:EK$77,$FO1602)*INDEX(卡牌消耗!$B$8:$F$8,FQ1602)/5,0)*5,""),"")</f>
        <v>29955</v>
      </c>
      <c r="FW1602" s="101" t="str">
        <f t="shared" si="705"/>
        <v>专属强化石4</v>
      </c>
      <c r="FX1602" s="101">
        <f t="shared" si="706"/>
        <v>18</v>
      </c>
      <c r="FY1602" s="101" t="str">
        <f t="shared" si="707"/>
        <v/>
      </c>
      <c r="FZ1602" s="101" t="str">
        <f t="shared" si="708"/>
        <v/>
      </c>
      <c r="GA1602" s="101">
        <f t="shared" si="713"/>
        <v>0.03</v>
      </c>
      <c r="GB1602" s="101">
        <f t="shared" si="714"/>
        <v>1</v>
      </c>
      <c r="GC1602" s="101">
        <f t="shared" si="715"/>
        <v>48</v>
      </c>
      <c r="GD1602" s="101">
        <f t="shared" si="716"/>
        <v>0</v>
      </c>
      <c r="GE1602" s="101">
        <f t="shared" si="717"/>
        <v>1</v>
      </c>
      <c r="GF1602" s="101">
        <f t="shared" si="718"/>
        <v>11</v>
      </c>
      <c r="GG1602" s="101">
        <f t="shared" si="719"/>
        <v>1.5599999999999999E-2</v>
      </c>
      <c r="GH1602" s="101">
        <f t="shared" si="720"/>
        <v>1</v>
      </c>
      <c r="GI1602" s="101">
        <f t="shared" si="721"/>
        <v>22</v>
      </c>
      <c r="GJ1602" s="101">
        <f t="shared" si="722"/>
        <v>6.2600000000000003E-2</v>
      </c>
      <c r="GK1602" s="101">
        <f t="shared" si="723"/>
        <v>1</v>
      </c>
      <c r="GL1602" s="101">
        <f t="shared" si="724"/>
        <v>48</v>
      </c>
    </row>
    <row r="1603" spans="170:194" ht="16.5" x14ac:dyDescent="0.2">
      <c r="FN1603" s="101">
        <v>1598</v>
      </c>
      <c r="FO1603" s="101">
        <f t="shared" si="709"/>
        <v>70</v>
      </c>
      <c r="FP1603" s="101">
        <f t="shared" si="702"/>
        <v>20</v>
      </c>
      <c r="FQ1603" s="14">
        <f t="shared" si="703"/>
        <v>3</v>
      </c>
      <c r="FR1603" s="101" t="str">
        <f t="shared" si="710"/>
        <v>燕青专属武器-魂珠-8 7级</v>
      </c>
      <c r="FS1603" s="101">
        <f t="shared" si="711"/>
        <v>8</v>
      </c>
      <c r="FT1603" s="101">
        <f t="shared" si="712"/>
        <v>7</v>
      </c>
      <c r="FU1603" s="101" t="str">
        <f t="shared" si="704"/>
        <v>金币</v>
      </c>
      <c r="FV1603" s="139">
        <f>IF($FT1603&gt;0,IF(INDEX($EI$6:$EI$77,$FO1603)&gt;=FV$3,ROUND(INDEX(EK$6:EK$77,$FO1603)*INDEX(卡牌消耗!$B$8:$F$8,FQ1603)/5,0)*5,""),"")</f>
        <v>41700</v>
      </c>
      <c r="FW1603" s="101" t="str">
        <f t="shared" si="705"/>
        <v>专属强化石4</v>
      </c>
      <c r="FX1603" s="101">
        <f t="shared" si="706"/>
        <v>25</v>
      </c>
      <c r="FY1603" s="101" t="str">
        <f t="shared" si="707"/>
        <v/>
      </c>
      <c r="FZ1603" s="101" t="str">
        <f t="shared" si="708"/>
        <v/>
      </c>
      <c r="GA1603" s="101">
        <f t="shared" si="713"/>
        <v>0.03</v>
      </c>
      <c r="GB1603" s="101">
        <f t="shared" si="714"/>
        <v>1</v>
      </c>
      <c r="GC1603" s="101">
        <f t="shared" si="715"/>
        <v>56</v>
      </c>
      <c r="GD1603" s="101">
        <f t="shared" si="716"/>
        <v>0</v>
      </c>
      <c r="GE1603" s="101">
        <f t="shared" si="717"/>
        <v>1</v>
      </c>
      <c r="GF1603" s="101">
        <f t="shared" si="718"/>
        <v>13</v>
      </c>
      <c r="GG1603" s="101">
        <f t="shared" si="719"/>
        <v>1.35E-2</v>
      </c>
      <c r="GH1603" s="101">
        <f t="shared" si="720"/>
        <v>1</v>
      </c>
      <c r="GI1603" s="101">
        <f t="shared" si="721"/>
        <v>26</v>
      </c>
      <c r="GJ1603" s="101">
        <f t="shared" si="722"/>
        <v>5.3800000000000001E-2</v>
      </c>
      <c r="GK1603" s="101">
        <f t="shared" si="723"/>
        <v>1</v>
      </c>
      <c r="GL1603" s="101">
        <f t="shared" si="724"/>
        <v>56</v>
      </c>
    </row>
    <row r="1604" spans="170:194" ht="16.5" x14ac:dyDescent="0.2">
      <c r="FN1604" s="101">
        <v>1599</v>
      </c>
      <c r="FO1604" s="101">
        <f t="shared" si="709"/>
        <v>71</v>
      </c>
      <c r="FP1604" s="101">
        <f t="shared" si="702"/>
        <v>20</v>
      </c>
      <c r="FQ1604" s="14">
        <f t="shared" si="703"/>
        <v>3</v>
      </c>
      <c r="FR1604" s="101" t="str">
        <f t="shared" si="710"/>
        <v>燕青专属武器-魂珠-8 8级</v>
      </c>
      <c r="FS1604" s="101">
        <f t="shared" si="711"/>
        <v>8</v>
      </c>
      <c r="FT1604" s="101">
        <f t="shared" si="712"/>
        <v>8</v>
      </c>
      <c r="FU1604" s="101" t="str">
        <f t="shared" si="704"/>
        <v>金币</v>
      </c>
      <c r="FV1604" s="139">
        <f>IF($FT1604&gt;0,IF(INDEX($EI$6:$EI$77,$FO1604)&gt;=FV$3,ROUND(INDEX(EK$6:EK$77,$FO1604)*INDEX(卡牌消耗!$B$8:$F$8,FQ1604)/5,0)*5,""),"")</f>
        <v>49995</v>
      </c>
      <c r="FW1604" s="101" t="str">
        <f t="shared" si="705"/>
        <v>专属强化石4</v>
      </c>
      <c r="FX1604" s="101">
        <f t="shared" si="706"/>
        <v>30</v>
      </c>
      <c r="FY1604" s="101" t="str">
        <f t="shared" si="707"/>
        <v/>
      </c>
      <c r="FZ1604" s="101" t="str">
        <f t="shared" si="708"/>
        <v/>
      </c>
      <c r="GA1604" s="101">
        <f t="shared" si="713"/>
        <v>0.02</v>
      </c>
      <c r="GB1604" s="101">
        <f t="shared" si="714"/>
        <v>1</v>
      </c>
      <c r="GC1604" s="101">
        <f t="shared" si="715"/>
        <v>75</v>
      </c>
      <c r="GD1604" s="101">
        <f t="shared" si="716"/>
        <v>0</v>
      </c>
      <c r="GE1604" s="101">
        <f t="shared" si="717"/>
        <v>1</v>
      </c>
      <c r="GF1604" s="101">
        <f t="shared" si="718"/>
        <v>18</v>
      </c>
      <c r="GG1604" s="101">
        <f t="shared" si="719"/>
        <v>0.01</v>
      </c>
      <c r="GH1604" s="101">
        <f t="shared" si="720"/>
        <v>1</v>
      </c>
      <c r="GI1604" s="101">
        <f t="shared" si="721"/>
        <v>35</v>
      </c>
      <c r="GJ1604" s="101">
        <f t="shared" si="722"/>
        <v>3.9899999999999998E-2</v>
      </c>
      <c r="GK1604" s="101">
        <f t="shared" si="723"/>
        <v>1</v>
      </c>
      <c r="GL1604" s="101">
        <f t="shared" si="724"/>
        <v>75</v>
      </c>
    </row>
    <row r="1605" spans="170:194" ht="16.5" x14ac:dyDescent="0.2">
      <c r="FN1605" s="101">
        <v>1600</v>
      </c>
      <c r="FO1605" s="101">
        <f t="shared" si="709"/>
        <v>72</v>
      </c>
      <c r="FP1605" s="101">
        <f t="shared" si="702"/>
        <v>20</v>
      </c>
      <c r="FQ1605" s="14">
        <f t="shared" si="703"/>
        <v>3</v>
      </c>
      <c r="FR1605" s="101" t="str">
        <f t="shared" si="710"/>
        <v>燕青专属武器-魂珠-8 9级</v>
      </c>
      <c r="FS1605" s="101">
        <f t="shared" si="711"/>
        <v>8</v>
      </c>
      <c r="FT1605" s="101">
        <f t="shared" si="712"/>
        <v>9</v>
      </c>
      <c r="FU1605" s="101" t="str">
        <f t="shared" si="704"/>
        <v>金币</v>
      </c>
      <c r="FV1605" s="139">
        <f>IF($FT1605&gt;0,IF(INDEX($EI$6:$EI$77,$FO1605)&gt;=FV$3,ROUND(INDEX(EK$6:EK$77,$FO1605)*INDEX(卡牌消耗!$B$8:$F$8,FQ1605)/5,0)*5,""),"")</f>
        <v>50010</v>
      </c>
      <c r="FW1605" s="101" t="str">
        <f t="shared" si="705"/>
        <v>专属强化石4</v>
      </c>
      <c r="FX1605" s="101">
        <f t="shared" si="706"/>
        <v>30</v>
      </c>
      <c r="FY1605" s="101" t="str">
        <f t="shared" si="707"/>
        <v/>
      </c>
      <c r="FZ1605" s="101" t="str">
        <f t="shared" si="708"/>
        <v/>
      </c>
      <c r="GA1605" s="101">
        <f t="shared" si="713"/>
        <v>0.01</v>
      </c>
      <c r="GB1605" s="101">
        <f t="shared" si="714"/>
        <v>1</v>
      </c>
      <c r="GC1605" s="101">
        <f t="shared" si="715"/>
        <v>122</v>
      </c>
      <c r="GD1605" s="101">
        <f t="shared" si="716"/>
        <v>0</v>
      </c>
      <c r="GE1605" s="101">
        <f t="shared" si="717"/>
        <v>1</v>
      </c>
      <c r="GF1605" s="101">
        <f t="shared" si="718"/>
        <v>28</v>
      </c>
      <c r="GG1605" s="101">
        <f t="shared" si="719"/>
        <v>6.1999999999999998E-3</v>
      </c>
      <c r="GH1605" s="101">
        <f t="shared" si="720"/>
        <v>1</v>
      </c>
      <c r="GI1605" s="101">
        <f t="shared" si="721"/>
        <v>57</v>
      </c>
      <c r="GJ1605" s="101">
        <f t="shared" si="722"/>
        <v>2.47E-2</v>
      </c>
      <c r="GK1605" s="101">
        <f t="shared" si="723"/>
        <v>1</v>
      </c>
      <c r="GL1605" s="101">
        <f t="shared" si="724"/>
        <v>122</v>
      </c>
    </row>
    <row r="1606" spans="170:194" ht="16.5" x14ac:dyDescent="0.2">
      <c r="FN1606" s="101">
        <v>1601</v>
      </c>
      <c r="FO1606" s="101">
        <f t="shared" si="709"/>
        <v>0</v>
      </c>
      <c r="FP1606" s="101">
        <f t="shared" si="702"/>
        <v>21</v>
      </c>
      <c r="FQ1606" s="14">
        <f t="shared" si="703"/>
        <v>4</v>
      </c>
      <c r="FR1606" s="101" t="str">
        <f t="shared" si="710"/>
        <v>秦琼专属武器-魂珠-1 0级</v>
      </c>
      <c r="FS1606" s="101">
        <f t="shared" si="711"/>
        <v>1</v>
      </c>
      <c r="FT1606" s="101">
        <f t="shared" si="712"/>
        <v>0</v>
      </c>
      <c r="FU1606" s="101" t="str">
        <f t="shared" si="704"/>
        <v/>
      </c>
      <c r="FV1606" s="139" t="str">
        <f>IF($FT1606&gt;0,IF(INDEX($EI$6:$EI$77,$FO1606)&gt;=FV$3,ROUND(INDEX(EK$6:EK$77,$FO1606)*INDEX(卡牌消耗!$B$8:$F$8,FQ1606)/5,0)*5,""),"")</f>
        <v/>
      </c>
      <c r="FW1606" s="101" t="str">
        <f t="shared" si="705"/>
        <v/>
      </c>
      <c r="FX1606" s="101" t="str">
        <f t="shared" si="706"/>
        <v/>
      </c>
      <c r="FY1606" s="101" t="str">
        <f t="shared" si="707"/>
        <v/>
      </c>
      <c r="FZ1606" s="101" t="str">
        <f t="shared" si="708"/>
        <v/>
      </c>
      <c r="GA1606" s="101" t="str">
        <f t="shared" si="713"/>
        <v/>
      </c>
      <c r="GB1606" s="101" t="str">
        <f t="shared" si="714"/>
        <v/>
      </c>
      <c r="GC1606" s="101" t="str">
        <f t="shared" si="715"/>
        <v/>
      </c>
      <c r="GD1606" s="101" t="str">
        <f t="shared" si="716"/>
        <v/>
      </c>
      <c r="GE1606" s="101" t="str">
        <f t="shared" si="717"/>
        <v/>
      </c>
      <c r="GF1606" s="101" t="str">
        <f t="shared" si="718"/>
        <v/>
      </c>
      <c r="GG1606" s="101" t="str">
        <f t="shared" si="719"/>
        <v/>
      </c>
      <c r="GH1606" s="101" t="str">
        <f t="shared" si="720"/>
        <v/>
      </c>
      <c r="GI1606" s="101" t="str">
        <f t="shared" si="721"/>
        <v/>
      </c>
      <c r="GJ1606" s="101" t="str">
        <f t="shared" si="722"/>
        <v/>
      </c>
      <c r="GK1606" s="101" t="str">
        <f t="shared" si="723"/>
        <v/>
      </c>
      <c r="GL1606" s="101" t="str">
        <f t="shared" si="724"/>
        <v/>
      </c>
    </row>
    <row r="1607" spans="170:194" ht="16.5" x14ac:dyDescent="0.2">
      <c r="FN1607" s="101">
        <v>1602</v>
      </c>
      <c r="FO1607" s="101">
        <f t="shared" si="709"/>
        <v>1</v>
      </c>
      <c r="FP1607" s="101">
        <f t="shared" ref="FP1607:FP1670" si="725">INT((FN1607-1)/80+1)</f>
        <v>21</v>
      </c>
      <c r="FQ1607" s="14">
        <f t="shared" ref="FQ1607:FQ1670" si="726">INDEX($FJ$6:$FJ$26,FP1607)</f>
        <v>4</v>
      </c>
      <c r="FR1607" s="101" t="str">
        <f t="shared" si="710"/>
        <v>秦琼专属武器-魂珠-1 1级</v>
      </c>
      <c r="FS1607" s="101">
        <f t="shared" si="711"/>
        <v>1</v>
      </c>
      <c r="FT1607" s="101">
        <f t="shared" si="712"/>
        <v>1</v>
      </c>
      <c r="FU1607" s="101" t="str">
        <f t="shared" ref="FU1607:FU1670" si="727">IF($FT1607&gt;0,IF(INDEX($EI$6:$EI$77,$FO1607)&gt;=FU$3,INDEX(EJ$6:EJ$77,$FO1607),""),"")</f>
        <v>金币</v>
      </c>
      <c r="FV1607" s="139">
        <f>IF($FT1607&gt;0,IF(INDEX($EI$6:$EI$77,$FO1607)&gt;=FV$3,ROUND(INDEX(EK$6:EK$77,$FO1607)*INDEX(卡牌消耗!$B$8:$F$8,FQ1607)/5,0)*5,""),"")</f>
        <v>145</v>
      </c>
      <c r="FW1607" s="101" t="str">
        <f t="shared" ref="FW1607:FW1670" si="728">IF($FT1607&gt;0,IF(INDEX($EI$6:$EI$77,$FO1607)&gt;=FW$3,INDEX(EL$6:EL$77,$FO1607),""),"")</f>
        <v>专属强化石1</v>
      </c>
      <c r="FX1607" s="101">
        <f t="shared" ref="FX1607:FX1670" si="729">IF($FT1607&gt;0,IF(INDEX($EI$6:$EI$77,$FO1607)&gt;=FX$3,INDEX(EM$6:EM$77,$FO1607),""),"")</f>
        <v>1</v>
      </c>
      <c r="FY1607" s="101" t="str">
        <f t="shared" ref="FY1607:FY1670" si="730">IF($FT1607&gt;0,IF(INDEX($EI$6:$EI$77,$FO1607)&gt;=FY$3,INDEX(EN$6:EN$77,$FO1607),""),"")</f>
        <v/>
      </c>
      <c r="FZ1607" s="101" t="str">
        <f t="shared" ref="FZ1607:FZ1670" si="731">IF($FT1607&gt;0,IF(INDEX($EI$6:$EI$77,$FO1607)&gt;=FZ$3,INDEX(EO$6:EO$77,$FO1607),""),"")</f>
        <v/>
      </c>
      <c r="GA1607" s="101">
        <f t="shared" si="713"/>
        <v>0.32</v>
      </c>
      <c r="GB1607" s="101">
        <f t="shared" si="714"/>
        <v>1</v>
      </c>
      <c r="GC1607" s="101">
        <f t="shared" si="715"/>
        <v>5</v>
      </c>
      <c r="GD1607" s="101">
        <f t="shared" si="716"/>
        <v>0</v>
      </c>
      <c r="GE1607" s="101">
        <f t="shared" si="717"/>
        <v>1</v>
      </c>
      <c r="GF1607" s="101">
        <f t="shared" si="718"/>
        <v>1</v>
      </c>
      <c r="GG1607" s="101">
        <f t="shared" si="719"/>
        <v>0.1595</v>
      </c>
      <c r="GH1607" s="101">
        <f t="shared" si="720"/>
        <v>1</v>
      </c>
      <c r="GI1607" s="101">
        <f t="shared" si="721"/>
        <v>2</v>
      </c>
      <c r="GJ1607" s="101">
        <f t="shared" si="722"/>
        <v>0.63819999999999999</v>
      </c>
      <c r="GK1607" s="101">
        <f t="shared" si="723"/>
        <v>1</v>
      </c>
      <c r="GL1607" s="101">
        <f t="shared" si="724"/>
        <v>5</v>
      </c>
    </row>
    <row r="1608" spans="170:194" ht="16.5" x14ac:dyDescent="0.2">
      <c r="FN1608" s="101">
        <v>1603</v>
      </c>
      <c r="FO1608" s="101">
        <f t="shared" si="709"/>
        <v>2</v>
      </c>
      <c r="FP1608" s="101">
        <f t="shared" si="725"/>
        <v>21</v>
      </c>
      <c r="FQ1608" s="14">
        <f t="shared" si="726"/>
        <v>4</v>
      </c>
      <c r="FR1608" s="101" t="str">
        <f t="shared" si="710"/>
        <v>秦琼专属武器-魂珠-1 2级</v>
      </c>
      <c r="FS1608" s="101">
        <f t="shared" si="711"/>
        <v>1</v>
      </c>
      <c r="FT1608" s="101">
        <f t="shared" si="712"/>
        <v>2</v>
      </c>
      <c r="FU1608" s="101" t="str">
        <f t="shared" si="727"/>
        <v>金币</v>
      </c>
      <c r="FV1608" s="139">
        <f>IF($FT1608&gt;0,IF(INDEX($EI$6:$EI$77,$FO1608)&gt;=FV$3,ROUND(INDEX(EK$6:EK$77,$FO1608)*INDEX(卡牌消耗!$B$8:$F$8,FQ1608)/5,0)*5,""),"")</f>
        <v>215</v>
      </c>
      <c r="FW1608" s="101" t="str">
        <f t="shared" si="728"/>
        <v>专属强化石1</v>
      </c>
      <c r="FX1608" s="101">
        <f t="shared" si="729"/>
        <v>2</v>
      </c>
      <c r="FY1608" s="101" t="str">
        <f t="shared" si="730"/>
        <v/>
      </c>
      <c r="FZ1608" s="101" t="str">
        <f t="shared" si="731"/>
        <v/>
      </c>
      <c r="GA1608" s="101">
        <f t="shared" si="713"/>
        <v>0.32</v>
      </c>
      <c r="GB1608" s="101">
        <f t="shared" si="714"/>
        <v>1</v>
      </c>
      <c r="GC1608" s="101">
        <f t="shared" si="715"/>
        <v>5</v>
      </c>
      <c r="GD1608" s="101">
        <f t="shared" si="716"/>
        <v>0</v>
      </c>
      <c r="GE1608" s="101">
        <f t="shared" si="717"/>
        <v>1</v>
      </c>
      <c r="GF1608" s="101">
        <f t="shared" si="718"/>
        <v>1</v>
      </c>
      <c r="GG1608" s="101">
        <f t="shared" si="719"/>
        <v>0.1595</v>
      </c>
      <c r="GH1608" s="101">
        <f t="shared" si="720"/>
        <v>1</v>
      </c>
      <c r="GI1608" s="101">
        <f t="shared" si="721"/>
        <v>2</v>
      </c>
      <c r="GJ1608" s="101">
        <f t="shared" si="722"/>
        <v>0.63819999999999999</v>
      </c>
      <c r="GK1608" s="101">
        <f t="shared" si="723"/>
        <v>1</v>
      </c>
      <c r="GL1608" s="101">
        <f t="shared" si="724"/>
        <v>5</v>
      </c>
    </row>
    <row r="1609" spans="170:194" ht="16.5" x14ac:dyDescent="0.2">
      <c r="FN1609" s="101">
        <v>1604</v>
      </c>
      <c r="FO1609" s="101">
        <f t="shared" si="709"/>
        <v>3</v>
      </c>
      <c r="FP1609" s="101">
        <f t="shared" si="725"/>
        <v>21</v>
      </c>
      <c r="FQ1609" s="14">
        <f t="shared" si="726"/>
        <v>4</v>
      </c>
      <c r="FR1609" s="101" t="str">
        <f t="shared" si="710"/>
        <v>秦琼专属武器-魂珠-1 3级</v>
      </c>
      <c r="FS1609" s="101">
        <f t="shared" si="711"/>
        <v>1</v>
      </c>
      <c r="FT1609" s="101">
        <f t="shared" si="712"/>
        <v>3</v>
      </c>
      <c r="FU1609" s="101" t="str">
        <f t="shared" si="727"/>
        <v>金币</v>
      </c>
      <c r="FV1609" s="139">
        <f>IF($FT1609&gt;0,IF(INDEX($EI$6:$EI$77,$FO1609)&gt;=FV$3,ROUND(INDEX(EK$6:EK$77,$FO1609)*INDEX(卡牌消耗!$B$8:$F$8,FQ1609)/5,0)*5,""),"")</f>
        <v>355</v>
      </c>
      <c r="FW1609" s="101" t="str">
        <f t="shared" si="728"/>
        <v>专属强化石1</v>
      </c>
      <c r="FX1609" s="101">
        <f t="shared" si="729"/>
        <v>3</v>
      </c>
      <c r="FY1609" s="101" t="str">
        <f t="shared" si="730"/>
        <v/>
      </c>
      <c r="FZ1609" s="101" t="str">
        <f t="shared" si="731"/>
        <v/>
      </c>
      <c r="GA1609" s="101">
        <f t="shared" si="713"/>
        <v>0.32</v>
      </c>
      <c r="GB1609" s="101">
        <f t="shared" si="714"/>
        <v>1</v>
      </c>
      <c r="GC1609" s="101">
        <f t="shared" si="715"/>
        <v>5</v>
      </c>
      <c r="GD1609" s="101">
        <f t="shared" si="716"/>
        <v>0</v>
      </c>
      <c r="GE1609" s="101">
        <f t="shared" si="717"/>
        <v>1</v>
      </c>
      <c r="GF1609" s="101">
        <f t="shared" si="718"/>
        <v>1</v>
      </c>
      <c r="GG1609" s="101">
        <f t="shared" si="719"/>
        <v>0.1595</v>
      </c>
      <c r="GH1609" s="101">
        <f t="shared" si="720"/>
        <v>1</v>
      </c>
      <c r="GI1609" s="101">
        <f t="shared" si="721"/>
        <v>2</v>
      </c>
      <c r="GJ1609" s="101">
        <f t="shared" si="722"/>
        <v>0.63819999999999999</v>
      </c>
      <c r="GK1609" s="101">
        <f t="shared" si="723"/>
        <v>1</v>
      </c>
      <c r="GL1609" s="101">
        <f t="shared" si="724"/>
        <v>5</v>
      </c>
    </row>
    <row r="1610" spans="170:194" ht="16.5" x14ac:dyDescent="0.2">
      <c r="FN1610" s="101">
        <v>1605</v>
      </c>
      <c r="FO1610" s="101">
        <f t="shared" si="709"/>
        <v>4</v>
      </c>
      <c r="FP1610" s="101">
        <f t="shared" si="725"/>
        <v>21</v>
      </c>
      <c r="FQ1610" s="14">
        <f t="shared" si="726"/>
        <v>4</v>
      </c>
      <c r="FR1610" s="101" t="str">
        <f t="shared" si="710"/>
        <v>秦琼专属武器-魂珠-1 4级</v>
      </c>
      <c r="FS1610" s="101">
        <f t="shared" si="711"/>
        <v>1</v>
      </c>
      <c r="FT1610" s="101">
        <f t="shared" si="712"/>
        <v>4</v>
      </c>
      <c r="FU1610" s="101" t="str">
        <f t="shared" si="727"/>
        <v>金币</v>
      </c>
      <c r="FV1610" s="139">
        <f>IF($FT1610&gt;0,IF(INDEX($EI$6:$EI$77,$FO1610)&gt;=FV$3,ROUND(INDEX(EK$6:EK$77,$FO1610)*INDEX(卡牌消耗!$B$8:$F$8,FQ1610)/5,0)*5,""),"")</f>
        <v>455</v>
      </c>
      <c r="FW1610" s="101" t="str">
        <f t="shared" si="728"/>
        <v>专属强化石1</v>
      </c>
      <c r="FX1610" s="101">
        <f t="shared" si="729"/>
        <v>4</v>
      </c>
      <c r="FY1610" s="101" t="str">
        <f t="shared" si="730"/>
        <v/>
      </c>
      <c r="FZ1610" s="101" t="str">
        <f t="shared" si="731"/>
        <v/>
      </c>
      <c r="GA1610" s="101">
        <f t="shared" si="713"/>
        <v>0.26</v>
      </c>
      <c r="GB1610" s="101">
        <f t="shared" si="714"/>
        <v>1</v>
      </c>
      <c r="GC1610" s="101">
        <f t="shared" si="715"/>
        <v>6</v>
      </c>
      <c r="GD1610" s="101">
        <f t="shared" si="716"/>
        <v>0</v>
      </c>
      <c r="GE1610" s="101">
        <f t="shared" si="717"/>
        <v>1</v>
      </c>
      <c r="GF1610" s="101">
        <f t="shared" si="718"/>
        <v>1</v>
      </c>
      <c r="GG1610" s="101">
        <f t="shared" si="719"/>
        <v>0.12759999999999999</v>
      </c>
      <c r="GH1610" s="101">
        <f t="shared" si="720"/>
        <v>1</v>
      </c>
      <c r="GI1610" s="101">
        <f t="shared" si="721"/>
        <v>3</v>
      </c>
      <c r="GJ1610" s="101">
        <f t="shared" si="722"/>
        <v>0.51060000000000005</v>
      </c>
      <c r="GK1610" s="101">
        <f t="shared" si="723"/>
        <v>1</v>
      </c>
      <c r="GL1610" s="101">
        <f t="shared" si="724"/>
        <v>6</v>
      </c>
    </row>
    <row r="1611" spans="170:194" ht="16.5" x14ac:dyDescent="0.2">
      <c r="FN1611" s="101">
        <v>1606</v>
      </c>
      <c r="FO1611" s="101">
        <f t="shared" si="709"/>
        <v>5</v>
      </c>
      <c r="FP1611" s="101">
        <f t="shared" si="725"/>
        <v>21</v>
      </c>
      <c r="FQ1611" s="14">
        <f t="shared" si="726"/>
        <v>4</v>
      </c>
      <c r="FR1611" s="101" t="str">
        <f t="shared" si="710"/>
        <v>秦琼专属武器-魂珠-1 5级</v>
      </c>
      <c r="FS1611" s="101">
        <f t="shared" si="711"/>
        <v>1</v>
      </c>
      <c r="FT1611" s="101">
        <f t="shared" si="712"/>
        <v>5</v>
      </c>
      <c r="FU1611" s="101" t="str">
        <f t="shared" si="727"/>
        <v>金币</v>
      </c>
      <c r="FV1611" s="139">
        <f>IF($FT1611&gt;0,IF(INDEX($EI$6:$EI$77,$FO1611)&gt;=FV$3,ROUND(INDEX(EK$6:EK$77,$FO1611)*INDEX(卡牌消耗!$B$8:$F$8,FQ1611)/5,0)*5,""),"")</f>
        <v>580</v>
      </c>
      <c r="FW1611" s="101" t="str">
        <f t="shared" si="728"/>
        <v>专属强化石1</v>
      </c>
      <c r="FX1611" s="101">
        <f t="shared" si="729"/>
        <v>5</v>
      </c>
      <c r="FY1611" s="101" t="str">
        <f t="shared" si="730"/>
        <v/>
      </c>
      <c r="FZ1611" s="101" t="str">
        <f t="shared" si="731"/>
        <v/>
      </c>
      <c r="GA1611" s="101">
        <f t="shared" si="713"/>
        <v>0.2</v>
      </c>
      <c r="GB1611" s="101">
        <f t="shared" si="714"/>
        <v>1</v>
      </c>
      <c r="GC1611" s="101">
        <f t="shared" si="715"/>
        <v>8</v>
      </c>
      <c r="GD1611" s="101">
        <f t="shared" si="716"/>
        <v>0</v>
      </c>
      <c r="GE1611" s="101">
        <f t="shared" si="717"/>
        <v>1</v>
      </c>
      <c r="GF1611" s="101">
        <f t="shared" si="718"/>
        <v>2</v>
      </c>
      <c r="GG1611" s="101">
        <f t="shared" si="719"/>
        <v>9.9699999999999997E-2</v>
      </c>
      <c r="GH1611" s="101">
        <f t="shared" si="720"/>
        <v>1</v>
      </c>
      <c r="GI1611" s="101">
        <f t="shared" si="721"/>
        <v>4</v>
      </c>
      <c r="GJ1611" s="101">
        <f t="shared" si="722"/>
        <v>0.39889999999999998</v>
      </c>
      <c r="GK1611" s="101">
        <f t="shared" si="723"/>
        <v>1</v>
      </c>
      <c r="GL1611" s="101">
        <f t="shared" si="724"/>
        <v>8</v>
      </c>
    </row>
    <row r="1612" spans="170:194" ht="16.5" x14ac:dyDescent="0.2">
      <c r="FN1612" s="101">
        <v>1607</v>
      </c>
      <c r="FO1612" s="101">
        <f t="shared" si="709"/>
        <v>6</v>
      </c>
      <c r="FP1612" s="101">
        <f t="shared" si="725"/>
        <v>21</v>
      </c>
      <c r="FQ1612" s="14">
        <f t="shared" si="726"/>
        <v>4</v>
      </c>
      <c r="FR1612" s="101" t="str">
        <f t="shared" si="710"/>
        <v>秦琼专属武器-魂珠-1 6级</v>
      </c>
      <c r="FS1612" s="101">
        <f t="shared" si="711"/>
        <v>1</v>
      </c>
      <c r="FT1612" s="101">
        <f t="shared" si="712"/>
        <v>6</v>
      </c>
      <c r="FU1612" s="101" t="str">
        <f t="shared" si="727"/>
        <v>金币</v>
      </c>
      <c r="FV1612" s="139">
        <f>IF($FT1612&gt;0,IF(INDEX($EI$6:$EI$77,$FO1612)&gt;=FV$3,ROUND(INDEX(EK$6:EK$77,$FO1612)*INDEX(卡牌消耗!$B$8:$F$8,FQ1612)/5,0)*5,""),"")</f>
        <v>690</v>
      </c>
      <c r="FW1612" s="101" t="str">
        <f t="shared" si="728"/>
        <v>专属强化石1</v>
      </c>
      <c r="FX1612" s="101">
        <f t="shared" si="729"/>
        <v>6</v>
      </c>
      <c r="FY1612" s="101" t="str">
        <f t="shared" si="730"/>
        <v/>
      </c>
      <c r="FZ1612" s="101" t="str">
        <f t="shared" si="731"/>
        <v/>
      </c>
      <c r="GA1612" s="101">
        <f t="shared" si="713"/>
        <v>0.15</v>
      </c>
      <c r="GB1612" s="101">
        <f t="shared" si="714"/>
        <v>1</v>
      </c>
      <c r="GC1612" s="101">
        <f t="shared" si="715"/>
        <v>10</v>
      </c>
      <c r="GD1612" s="101">
        <f t="shared" si="716"/>
        <v>0</v>
      </c>
      <c r="GE1612" s="101">
        <f t="shared" si="717"/>
        <v>1</v>
      </c>
      <c r="GF1612" s="101">
        <f t="shared" si="718"/>
        <v>2</v>
      </c>
      <c r="GG1612" s="101">
        <f t="shared" si="719"/>
        <v>7.3599999999999999E-2</v>
      </c>
      <c r="GH1612" s="101">
        <f t="shared" si="720"/>
        <v>1</v>
      </c>
      <c r="GI1612" s="101">
        <f t="shared" si="721"/>
        <v>5</v>
      </c>
      <c r="GJ1612" s="101">
        <f t="shared" si="722"/>
        <v>0.29459999999999997</v>
      </c>
      <c r="GK1612" s="101">
        <f t="shared" si="723"/>
        <v>1</v>
      </c>
      <c r="GL1612" s="101">
        <f t="shared" si="724"/>
        <v>10</v>
      </c>
    </row>
    <row r="1613" spans="170:194" ht="16.5" x14ac:dyDescent="0.2">
      <c r="FN1613" s="101">
        <v>1608</v>
      </c>
      <c r="FO1613" s="101">
        <f t="shared" si="709"/>
        <v>7</v>
      </c>
      <c r="FP1613" s="101">
        <f t="shared" si="725"/>
        <v>21</v>
      </c>
      <c r="FQ1613" s="14">
        <f t="shared" si="726"/>
        <v>4</v>
      </c>
      <c r="FR1613" s="101" t="str">
        <f t="shared" si="710"/>
        <v>秦琼专属武器-魂珠-1 7级</v>
      </c>
      <c r="FS1613" s="101">
        <f t="shared" si="711"/>
        <v>1</v>
      </c>
      <c r="FT1613" s="101">
        <f t="shared" si="712"/>
        <v>7</v>
      </c>
      <c r="FU1613" s="101" t="str">
        <f t="shared" si="727"/>
        <v>金币</v>
      </c>
      <c r="FV1613" s="139">
        <f>IF($FT1613&gt;0,IF(INDEX($EI$6:$EI$77,$FO1613)&gt;=FV$3,ROUND(INDEX(EK$6:EK$77,$FO1613)*INDEX(卡牌消耗!$B$8:$F$8,FQ1613)/5,0)*5,""),"")</f>
        <v>805</v>
      </c>
      <c r="FW1613" s="101" t="str">
        <f t="shared" si="728"/>
        <v>专属强化石1</v>
      </c>
      <c r="FX1613" s="101">
        <f t="shared" si="729"/>
        <v>7</v>
      </c>
      <c r="FY1613" s="101" t="str">
        <f t="shared" si="730"/>
        <v/>
      </c>
      <c r="FZ1613" s="101" t="str">
        <f t="shared" si="731"/>
        <v/>
      </c>
      <c r="GA1613" s="101">
        <f t="shared" si="713"/>
        <v>0.11</v>
      </c>
      <c r="GB1613" s="101">
        <f t="shared" si="714"/>
        <v>1</v>
      </c>
      <c r="GC1613" s="101">
        <f t="shared" si="715"/>
        <v>14</v>
      </c>
      <c r="GD1613" s="101">
        <f t="shared" si="716"/>
        <v>0</v>
      </c>
      <c r="GE1613" s="101">
        <f t="shared" si="717"/>
        <v>1</v>
      </c>
      <c r="GF1613" s="101">
        <f t="shared" si="718"/>
        <v>3</v>
      </c>
      <c r="GG1613" s="101">
        <f t="shared" si="719"/>
        <v>5.3199999999999997E-2</v>
      </c>
      <c r="GH1613" s="101">
        <f t="shared" si="720"/>
        <v>1</v>
      </c>
      <c r="GI1613" s="101">
        <f t="shared" si="721"/>
        <v>7</v>
      </c>
      <c r="GJ1613" s="101">
        <f t="shared" si="722"/>
        <v>0.2127</v>
      </c>
      <c r="GK1613" s="101">
        <f t="shared" si="723"/>
        <v>1</v>
      </c>
      <c r="GL1613" s="101">
        <f t="shared" si="724"/>
        <v>14</v>
      </c>
    </row>
    <row r="1614" spans="170:194" ht="16.5" x14ac:dyDescent="0.2">
      <c r="FN1614" s="101">
        <v>1609</v>
      </c>
      <c r="FO1614" s="101">
        <f t="shared" si="709"/>
        <v>8</v>
      </c>
      <c r="FP1614" s="101">
        <f t="shared" si="725"/>
        <v>21</v>
      </c>
      <c r="FQ1614" s="14">
        <f t="shared" si="726"/>
        <v>4</v>
      </c>
      <c r="FR1614" s="101" t="str">
        <f t="shared" si="710"/>
        <v>秦琼专属武器-魂珠-1 8级</v>
      </c>
      <c r="FS1614" s="101">
        <f t="shared" si="711"/>
        <v>1</v>
      </c>
      <c r="FT1614" s="101">
        <f t="shared" si="712"/>
        <v>8</v>
      </c>
      <c r="FU1614" s="101" t="str">
        <f t="shared" si="727"/>
        <v>金币</v>
      </c>
      <c r="FV1614" s="139">
        <f>IF($FT1614&gt;0,IF(INDEX($EI$6:$EI$77,$FO1614)&gt;=FV$3,ROUND(INDEX(EK$6:EK$77,$FO1614)*INDEX(卡牌消耗!$B$8:$F$8,FQ1614)/5,0)*5,""),"")</f>
        <v>920</v>
      </c>
      <c r="FW1614" s="101" t="str">
        <f t="shared" si="728"/>
        <v>专属强化石1</v>
      </c>
      <c r="FX1614" s="101">
        <f t="shared" si="729"/>
        <v>8</v>
      </c>
      <c r="FY1614" s="101" t="str">
        <f t="shared" si="730"/>
        <v/>
      </c>
      <c r="FZ1614" s="101" t="str">
        <f t="shared" si="731"/>
        <v/>
      </c>
      <c r="GA1614" s="101">
        <f t="shared" si="713"/>
        <v>0.08</v>
      </c>
      <c r="GB1614" s="101">
        <f t="shared" si="714"/>
        <v>1</v>
      </c>
      <c r="GC1614" s="101">
        <f t="shared" si="715"/>
        <v>20</v>
      </c>
      <c r="GD1614" s="101">
        <f t="shared" si="716"/>
        <v>0</v>
      </c>
      <c r="GE1614" s="101">
        <f t="shared" si="717"/>
        <v>1</v>
      </c>
      <c r="GF1614" s="101">
        <f t="shared" si="718"/>
        <v>5</v>
      </c>
      <c r="GG1614" s="101">
        <f t="shared" si="719"/>
        <v>3.7499999999999999E-2</v>
      </c>
      <c r="GH1614" s="101">
        <f t="shared" si="720"/>
        <v>1</v>
      </c>
      <c r="GI1614" s="101">
        <f t="shared" si="721"/>
        <v>9</v>
      </c>
      <c r="GJ1614" s="101">
        <f t="shared" si="722"/>
        <v>0.1502</v>
      </c>
      <c r="GK1614" s="101">
        <f t="shared" si="723"/>
        <v>1</v>
      </c>
      <c r="GL1614" s="101">
        <f t="shared" si="724"/>
        <v>20</v>
      </c>
    </row>
    <row r="1615" spans="170:194" ht="16.5" x14ac:dyDescent="0.2">
      <c r="FN1615" s="101">
        <v>1610</v>
      </c>
      <c r="FO1615" s="101">
        <f t="shared" si="709"/>
        <v>9</v>
      </c>
      <c r="FP1615" s="101">
        <f t="shared" si="725"/>
        <v>21</v>
      </c>
      <c r="FQ1615" s="14">
        <f t="shared" si="726"/>
        <v>4</v>
      </c>
      <c r="FR1615" s="101" t="str">
        <f t="shared" si="710"/>
        <v>秦琼专属武器-魂珠-1 9级</v>
      </c>
      <c r="FS1615" s="101">
        <f t="shared" si="711"/>
        <v>1</v>
      </c>
      <c r="FT1615" s="101">
        <f t="shared" si="712"/>
        <v>9</v>
      </c>
      <c r="FU1615" s="101" t="str">
        <f t="shared" si="727"/>
        <v>金币</v>
      </c>
      <c r="FV1615" s="139">
        <f>IF($FT1615&gt;0,IF(INDEX($EI$6:$EI$77,$FO1615)&gt;=FV$3,ROUND(INDEX(EK$6:EK$77,$FO1615)*INDEX(卡牌消耗!$B$8:$F$8,FQ1615)/5,0)*5,""),"")</f>
        <v>1150</v>
      </c>
      <c r="FW1615" s="101" t="str">
        <f t="shared" si="728"/>
        <v>专属强化石1</v>
      </c>
      <c r="FX1615" s="101">
        <f t="shared" si="729"/>
        <v>10</v>
      </c>
      <c r="FY1615" s="101" t="str">
        <f t="shared" si="730"/>
        <v/>
      </c>
      <c r="FZ1615" s="101" t="str">
        <f t="shared" si="731"/>
        <v/>
      </c>
      <c r="GA1615" s="101">
        <f t="shared" si="713"/>
        <v>0.06</v>
      </c>
      <c r="GB1615" s="101">
        <f t="shared" si="714"/>
        <v>1</v>
      </c>
      <c r="GC1615" s="101">
        <f t="shared" si="715"/>
        <v>26</v>
      </c>
      <c r="GD1615" s="101">
        <f t="shared" si="716"/>
        <v>0</v>
      </c>
      <c r="GE1615" s="101">
        <f t="shared" si="717"/>
        <v>1</v>
      </c>
      <c r="GF1615" s="101">
        <f t="shared" si="718"/>
        <v>6</v>
      </c>
      <c r="GG1615" s="101">
        <f t="shared" si="719"/>
        <v>2.9000000000000001E-2</v>
      </c>
      <c r="GH1615" s="101">
        <f t="shared" si="720"/>
        <v>1</v>
      </c>
      <c r="GI1615" s="101">
        <f t="shared" si="721"/>
        <v>12</v>
      </c>
      <c r="GJ1615" s="101">
        <f t="shared" si="722"/>
        <v>0.11600000000000001</v>
      </c>
      <c r="GK1615" s="101">
        <f t="shared" si="723"/>
        <v>1</v>
      </c>
      <c r="GL1615" s="101">
        <f t="shared" si="724"/>
        <v>26</v>
      </c>
    </row>
    <row r="1616" spans="170:194" ht="16.5" x14ac:dyDescent="0.2">
      <c r="FN1616" s="101">
        <v>1611</v>
      </c>
      <c r="FO1616" s="101">
        <f t="shared" si="709"/>
        <v>0</v>
      </c>
      <c r="FP1616" s="101">
        <f t="shared" si="725"/>
        <v>21</v>
      </c>
      <c r="FQ1616" s="14">
        <f t="shared" si="726"/>
        <v>4</v>
      </c>
      <c r="FR1616" s="101" t="str">
        <f t="shared" si="710"/>
        <v>秦琼专属武器-魂珠-2 0级</v>
      </c>
      <c r="FS1616" s="101">
        <f t="shared" si="711"/>
        <v>2</v>
      </c>
      <c r="FT1616" s="101">
        <f t="shared" si="712"/>
        <v>0</v>
      </c>
      <c r="FU1616" s="101" t="str">
        <f t="shared" si="727"/>
        <v/>
      </c>
      <c r="FV1616" s="139" t="str">
        <f>IF($FT1616&gt;0,IF(INDEX($EI$6:$EI$77,$FO1616)&gt;=FV$3,ROUND(INDEX(EK$6:EK$77,$FO1616)*INDEX(卡牌消耗!$B$8:$F$8,FQ1616)/5,0)*5,""),"")</f>
        <v/>
      </c>
      <c r="FW1616" s="101" t="str">
        <f t="shared" si="728"/>
        <v/>
      </c>
      <c r="FX1616" s="101" t="str">
        <f t="shared" si="729"/>
        <v/>
      </c>
      <c r="FY1616" s="101" t="str">
        <f t="shared" si="730"/>
        <v/>
      </c>
      <c r="FZ1616" s="101" t="str">
        <f t="shared" si="731"/>
        <v/>
      </c>
      <c r="GA1616" s="101" t="str">
        <f t="shared" si="713"/>
        <v/>
      </c>
      <c r="GB1616" s="101" t="str">
        <f t="shared" si="714"/>
        <v/>
      </c>
      <c r="GC1616" s="101" t="str">
        <f t="shared" si="715"/>
        <v/>
      </c>
      <c r="GD1616" s="101" t="str">
        <f t="shared" si="716"/>
        <v/>
      </c>
      <c r="GE1616" s="101" t="str">
        <f t="shared" si="717"/>
        <v/>
      </c>
      <c r="GF1616" s="101" t="str">
        <f t="shared" si="718"/>
        <v/>
      </c>
      <c r="GG1616" s="101" t="str">
        <f t="shared" si="719"/>
        <v/>
      </c>
      <c r="GH1616" s="101" t="str">
        <f t="shared" si="720"/>
        <v/>
      </c>
      <c r="GI1616" s="101" t="str">
        <f t="shared" si="721"/>
        <v/>
      </c>
      <c r="GJ1616" s="101" t="str">
        <f t="shared" si="722"/>
        <v/>
      </c>
      <c r="GK1616" s="101" t="str">
        <f t="shared" si="723"/>
        <v/>
      </c>
      <c r="GL1616" s="101" t="str">
        <f t="shared" si="724"/>
        <v/>
      </c>
    </row>
    <row r="1617" spans="170:194" ht="16.5" x14ac:dyDescent="0.2">
      <c r="FN1617" s="101">
        <v>1612</v>
      </c>
      <c r="FO1617" s="101">
        <f t="shared" si="709"/>
        <v>10</v>
      </c>
      <c r="FP1617" s="101">
        <f t="shared" si="725"/>
        <v>21</v>
      </c>
      <c r="FQ1617" s="14">
        <f t="shared" si="726"/>
        <v>4</v>
      </c>
      <c r="FR1617" s="101" t="str">
        <f t="shared" si="710"/>
        <v>秦琼专属武器-魂珠-2 1级</v>
      </c>
      <c r="FS1617" s="101">
        <f t="shared" si="711"/>
        <v>2</v>
      </c>
      <c r="FT1617" s="101">
        <f t="shared" si="712"/>
        <v>1</v>
      </c>
      <c r="FU1617" s="101" t="str">
        <f t="shared" si="727"/>
        <v>金币</v>
      </c>
      <c r="FV1617" s="139">
        <f>IF($FT1617&gt;0,IF(INDEX($EI$6:$EI$77,$FO1617)&gt;=FV$3,ROUND(INDEX(EK$6:EK$77,$FO1617)*INDEX(卡牌消耗!$B$8:$F$8,FQ1617)/5,0)*5,""),"")</f>
        <v>395</v>
      </c>
      <c r="FW1617" s="101" t="str">
        <f t="shared" si="728"/>
        <v>专属强化石1</v>
      </c>
      <c r="FX1617" s="101">
        <f t="shared" si="729"/>
        <v>3</v>
      </c>
      <c r="FY1617" s="101" t="str">
        <f t="shared" si="730"/>
        <v>专属强化石2</v>
      </c>
      <c r="FZ1617" s="101">
        <f t="shared" si="731"/>
        <v>1</v>
      </c>
      <c r="GA1617" s="101">
        <f t="shared" si="713"/>
        <v>0.39</v>
      </c>
      <c r="GB1617" s="101">
        <f t="shared" si="714"/>
        <v>1</v>
      </c>
      <c r="GC1617" s="101">
        <f t="shared" si="715"/>
        <v>4</v>
      </c>
      <c r="GD1617" s="101">
        <f t="shared" si="716"/>
        <v>0</v>
      </c>
      <c r="GE1617" s="101">
        <f t="shared" si="717"/>
        <v>1</v>
      </c>
      <c r="GF1617" s="101">
        <f t="shared" si="718"/>
        <v>1</v>
      </c>
      <c r="GG1617" s="101">
        <f t="shared" si="719"/>
        <v>0.19270000000000001</v>
      </c>
      <c r="GH1617" s="101">
        <f t="shared" si="720"/>
        <v>1</v>
      </c>
      <c r="GI1617" s="101">
        <f t="shared" si="721"/>
        <v>2</v>
      </c>
      <c r="GJ1617" s="101">
        <f t="shared" si="722"/>
        <v>0.77070000000000005</v>
      </c>
      <c r="GK1617" s="101">
        <f t="shared" si="723"/>
        <v>1</v>
      </c>
      <c r="GL1617" s="101">
        <f t="shared" si="724"/>
        <v>4</v>
      </c>
    </row>
    <row r="1618" spans="170:194" ht="16.5" x14ac:dyDescent="0.2">
      <c r="FN1618" s="101">
        <v>1613</v>
      </c>
      <c r="FO1618" s="101">
        <f t="shared" si="709"/>
        <v>11</v>
      </c>
      <c r="FP1618" s="101">
        <f t="shared" si="725"/>
        <v>21</v>
      </c>
      <c r="FQ1618" s="14">
        <f t="shared" si="726"/>
        <v>4</v>
      </c>
      <c r="FR1618" s="101" t="str">
        <f t="shared" si="710"/>
        <v>秦琼专属武器-魂珠-2 2级</v>
      </c>
      <c r="FS1618" s="101">
        <f t="shared" si="711"/>
        <v>2</v>
      </c>
      <c r="FT1618" s="101">
        <f t="shared" si="712"/>
        <v>2</v>
      </c>
      <c r="FU1618" s="101" t="str">
        <f t="shared" si="727"/>
        <v>金币</v>
      </c>
      <c r="FV1618" s="139">
        <f>IF($FT1618&gt;0,IF(INDEX($EI$6:$EI$77,$FO1618)&gt;=FV$3,ROUND(INDEX(EK$6:EK$77,$FO1618)*INDEX(卡牌消耗!$B$8:$F$8,FQ1618)/5,0)*5,""),"")</f>
        <v>295</v>
      </c>
      <c r="FW1618" s="101" t="str">
        <f t="shared" si="728"/>
        <v>专属强化石1</v>
      </c>
      <c r="FX1618" s="101">
        <f t="shared" si="729"/>
        <v>3</v>
      </c>
      <c r="FY1618" s="101" t="str">
        <f t="shared" si="730"/>
        <v>专属强化石2</v>
      </c>
      <c r="FZ1618" s="101">
        <f t="shared" si="731"/>
        <v>1</v>
      </c>
      <c r="GA1618" s="101">
        <f t="shared" si="713"/>
        <v>0.19</v>
      </c>
      <c r="GB1618" s="101">
        <f t="shared" si="714"/>
        <v>1</v>
      </c>
      <c r="GC1618" s="101">
        <f t="shared" si="715"/>
        <v>8</v>
      </c>
      <c r="GD1618" s="101">
        <f t="shared" si="716"/>
        <v>0</v>
      </c>
      <c r="GE1618" s="101">
        <f t="shared" si="717"/>
        <v>1</v>
      </c>
      <c r="GF1618" s="101">
        <f t="shared" si="718"/>
        <v>2</v>
      </c>
      <c r="GG1618" s="101">
        <f t="shared" si="719"/>
        <v>9.6299999999999997E-2</v>
      </c>
      <c r="GH1618" s="101">
        <f t="shared" si="720"/>
        <v>1</v>
      </c>
      <c r="GI1618" s="101">
        <f t="shared" si="721"/>
        <v>4</v>
      </c>
      <c r="GJ1618" s="101">
        <f t="shared" si="722"/>
        <v>0.38529999999999998</v>
      </c>
      <c r="GK1618" s="101">
        <f t="shared" si="723"/>
        <v>1</v>
      </c>
      <c r="GL1618" s="101">
        <f t="shared" si="724"/>
        <v>8</v>
      </c>
    </row>
    <row r="1619" spans="170:194" ht="16.5" x14ac:dyDescent="0.2">
      <c r="FN1619" s="101">
        <v>1614</v>
      </c>
      <c r="FO1619" s="101">
        <f t="shared" si="709"/>
        <v>12</v>
      </c>
      <c r="FP1619" s="101">
        <f t="shared" si="725"/>
        <v>21</v>
      </c>
      <c r="FQ1619" s="14">
        <f t="shared" si="726"/>
        <v>4</v>
      </c>
      <c r="FR1619" s="101" t="str">
        <f t="shared" si="710"/>
        <v>秦琼专属武器-魂珠-2 3级</v>
      </c>
      <c r="FS1619" s="101">
        <f t="shared" si="711"/>
        <v>2</v>
      </c>
      <c r="FT1619" s="101">
        <f t="shared" si="712"/>
        <v>3</v>
      </c>
      <c r="FU1619" s="101" t="str">
        <f t="shared" si="727"/>
        <v>金币</v>
      </c>
      <c r="FV1619" s="139">
        <f>IF($FT1619&gt;0,IF(INDEX($EI$6:$EI$77,$FO1619)&gt;=FV$3,ROUND(INDEX(EK$6:EK$77,$FO1619)*INDEX(卡牌消耗!$B$8:$F$8,FQ1619)/5,0)*5,""),"")</f>
        <v>655</v>
      </c>
      <c r="FW1619" s="101" t="str">
        <f t="shared" si="728"/>
        <v>专属强化石1</v>
      </c>
      <c r="FX1619" s="101">
        <f t="shared" si="729"/>
        <v>6</v>
      </c>
      <c r="FY1619" s="101" t="str">
        <f t="shared" si="730"/>
        <v>专属强化石2</v>
      </c>
      <c r="FZ1619" s="101">
        <f t="shared" si="731"/>
        <v>2</v>
      </c>
      <c r="GA1619" s="101">
        <f t="shared" si="713"/>
        <v>0.26</v>
      </c>
      <c r="GB1619" s="101">
        <f t="shared" si="714"/>
        <v>1</v>
      </c>
      <c r="GC1619" s="101">
        <f t="shared" si="715"/>
        <v>6</v>
      </c>
      <c r="GD1619" s="101">
        <f t="shared" si="716"/>
        <v>0</v>
      </c>
      <c r="GE1619" s="101">
        <f t="shared" si="717"/>
        <v>1</v>
      </c>
      <c r="GF1619" s="101">
        <f t="shared" si="718"/>
        <v>1</v>
      </c>
      <c r="GG1619" s="101">
        <f t="shared" si="719"/>
        <v>0.12839999999999999</v>
      </c>
      <c r="GH1619" s="101">
        <f t="shared" si="720"/>
        <v>1</v>
      </c>
      <c r="GI1619" s="101">
        <f t="shared" si="721"/>
        <v>3</v>
      </c>
      <c r="GJ1619" s="101">
        <f t="shared" si="722"/>
        <v>0.51380000000000003</v>
      </c>
      <c r="GK1619" s="101">
        <f t="shared" si="723"/>
        <v>1</v>
      </c>
      <c r="GL1619" s="101">
        <f t="shared" si="724"/>
        <v>6</v>
      </c>
    </row>
    <row r="1620" spans="170:194" ht="16.5" x14ac:dyDescent="0.2">
      <c r="FN1620" s="101">
        <v>1615</v>
      </c>
      <c r="FO1620" s="101">
        <f t="shared" si="709"/>
        <v>13</v>
      </c>
      <c r="FP1620" s="101">
        <f t="shared" si="725"/>
        <v>21</v>
      </c>
      <c r="FQ1620" s="14">
        <f t="shared" si="726"/>
        <v>4</v>
      </c>
      <c r="FR1620" s="101" t="str">
        <f t="shared" si="710"/>
        <v>秦琼专属武器-魂珠-2 4级</v>
      </c>
      <c r="FS1620" s="101">
        <f t="shared" si="711"/>
        <v>2</v>
      </c>
      <c r="FT1620" s="101">
        <f t="shared" si="712"/>
        <v>4</v>
      </c>
      <c r="FU1620" s="101" t="str">
        <f t="shared" si="727"/>
        <v>金币</v>
      </c>
      <c r="FV1620" s="139">
        <f>IF($FT1620&gt;0,IF(INDEX($EI$6:$EI$77,$FO1620)&gt;=FV$3,ROUND(INDEX(EK$6:EK$77,$FO1620)*INDEX(卡牌消耗!$B$8:$F$8,FQ1620)/5,0)*5,""),"")</f>
        <v>625</v>
      </c>
      <c r="FW1620" s="101" t="str">
        <f t="shared" si="728"/>
        <v>专属强化石1</v>
      </c>
      <c r="FX1620" s="101">
        <f t="shared" si="729"/>
        <v>6</v>
      </c>
      <c r="FY1620" s="101" t="str">
        <f t="shared" si="730"/>
        <v>专属强化石2</v>
      </c>
      <c r="FZ1620" s="101">
        <f t="shared" si="731"/>
        <v>2</v>
      </c>
      <c r="GA1620" s="101">
        <f t="shared" si="713"/>
        <v>0.15</v>
      </c>
      <c r="GB1620" s="101">
        <f t="shared" si="714"/>
        <v>1</v>
      </c>
      <c r="GC1620" s="101">
        <f t="shared" si="715"/>
        <v>10</v>
      </c>
      <c r="GD1620" s="101">
        <f t="shared" si="716"/>
        <v>0</v>
      </c>
      <c r="GE1620" s="101">
        <f t="shared" si="717"/>
        <v>1</v>
      </c>
      <c r="GF1620" s="101">
        <f t="shared" si="718"/>
        <v>2</v>
      </c>
      <c r="GG1620" s="101">
        <f t="shared" si="719"/>
        <v>7.7100000000000002E-2</v>
      </c>
      <c r="GH1620" s="101">
        <f t="shared" si="720"/>
        <v>1</v>
      </c>
      <c r="GI1620" s="101">
        <f t="shared" si="721"/>
        <v>5</v>
      </c>
      <c r="GJ1620" s="101">
        <f t="shared" si="722"/>
        <v>0.30830000000000002</v>
      </c>
      <c r="GK1620" s="101">
        <f t="shared" si="723"/>
        <v>1</v>
      </c>
      <c r="GL1620" s="101">
        <f t="shared" si="724"/>
        <v>10</v>
      </c>
    </row>
    <row r="1621" spans="170:194" ht="16.5" x14ac:dyDescent="0.2">
      <c r="FN1621" s="101">
        <v>1616</v>
      </c>
      <c r="FO1621" s="101">
        <f t="shared" si="709"/>
        <v>14</v>
      </c>
      <c r="FP1621" s="101">
        <f t="shared" si="725"/>
        <v>21</v>
      </c>
      <c r="FQ1621" s="14">
        <f t="shared" si="726"/>
        <v>4</v>
      </c>
      <c r="FR1621" s="101" t="str">
        <f t="shared" si="710"/>
        <v>秦琼专属武器-魂珠-2 5级</v>
      </c>
      <c r="FS1621" s="101">
        <f t="shared" si="711"/>
        <v>2</v>
      </c>
      <c r="FT1621" s="101">
        <f t="shared" si="712"/>
        <v>5</v>
      </c>
      <c r="FU1621" s="101" t="str">
        <f t="shared" si="727"/>
        <v>金币</v>
      </c>
      <c r="FV1621" s="139">
        <f>IF($FT1621&gt;0,IF(INDEX($EI$6:$EI$77,$FO1621)&gt;=FV$3,ROUND(INDEX(EK$6:EK$77,$FO1621)*INDEX(卡牌消耗!$B$8:$F$8,FQ1621)/5,0)*5,""),"")</f>
        <v>955</v>
      </c>
      <c r="FW1621" s="101" t="str">
        <f t="shared" si="728"/>
        <v>专属强化石1</v>
      </c>
      <c r="FX1621" s="101">
        <f t="shared" si="729"/>
        <v>9</v>
      </c>
      <c r="FY1621" s="101" t="str">
        <f t="shared" si="730"/>
        <v>专属强化石2</v>
      </c>
      <c r="FZ1621" s="101">
        <f t="shared" si="731"/>
        <v>3</v>
      </c>
      <c r="GA1621" s="101">
        <f t="shared" si="713"/>
        <v>0.14000000000000001</v>
      </c>
      <c r="GB1621" s="101">
        <f t="shared" si="714"/>
        <v>1</v>
      </c>
      <c r="GC1621" s="101">
        <f t="shared" si="715"/>
        <v>10</v>
      </c>
      <c r="GD1621" s="101">
        <f t="shared" si="716"/>
        <v>0</v>
      </c>
      <c r="GE1621" s="101">
        <f t="shared" si="717"/>
        <v>1</v>
      </c>
      <c r="GF1621" s="101">
        <f t="shared" si="718"/>
        <v>2</v>
      </c>
      <c r="GG1621" s="101">
        <f t="shared" si="719"/>
        <v>7.22E-2</v>
      </c>
      <c r="GH1621" s="101">
        <f t="shared" si="720"/>
        <v>1</v>
      </c>
      <c r="GI1621" s="101">
        <f t="shared" si="721"/>
        <v>5</v>
      </c>
      <c r="GJ1621" s="101">
        <f t="shared" si="722"/>
        <v>0.28899999999999998</v>
      </c>
      <c r="GK1621" s="101">
        <f t="shared" si="723"/>
        <v>1</v>
      </c>
      <c r="GL1621" s="101">
        <f t="shared" si="724"/>
        <v>10</v>
      </c>
    </row>
    <row r="1622" spans="170:194" ht="16.5" x14ac:dyDescent="0.2">
      <c r="FN1622" s="101">
        <v>1617</v>
      </c>
      <c r="FO1622" s="101">
        <f t="shared" ref="FO1622:FO1685" si="732">IF(FT1622&gt;0,(FS1622-1)*9+FT1622,0)</f>
        <v>15</v>
      </c>
      <c r="FP1622" s="101">
        <f t="shared" si="725"/>
        <v>21</v>
      </c>
      <c r="FQ1622" s="14">
        <f t="shared" si="726"/>
        <v>4</v>
      </c>
      <c r="FR1622" s="101" t="str">
        <f t="shared" ref="FR1622:FR1685" si="733">INDEX($FI$6:$FI$26,FP1622)&amp;"专属武器-魂珠-"&amp;FS1622&amp;" "&amp;FT1622&amp;"级"</f>
        <v>秦琼专属武器-魂珠-2 6级</v>
      </c>
      <c r="FS1622" s="101">
        <f t="shared" ref="FS1622:FS1685" si="734">INT((FN1622-(FP1622-1)*80-1)/10)+1</f>
        <v>2</v>
      </c>
      <c r="FT1622" s="101">
        <f t="shared" ref="FT1622:FT1685" si="735">FN1622-(FP1622-1)*80-(FS1622-1)*10-1</f>
        <v>6</v>
      </c>
      <c r="FU1622" s="101" t="str">
        <f t="shared" si="727"/>
        <v>金币</v>
      </c>
      <c r="FV1622" s="139">
        <f>IF($FT1622&gt;0,IF(INDEX($EI$6:$EI$77,$FO1622)&gt;=FV$3,ROUND(INDEX(EK$6:EK$77,$FO1622)*INDEX(卡牌消耗!$B$8:$F$8,FQ1622)/5,0)*5,""),"")</f>
        <v>1270</v>
      </c>
      <c r="FW1622" s="101" t="str">
        <f t="shared" si="728"/>
        <v>专属强化石1</v>
      </c>
      <c r="FX1622" s="101">
        <f t="shared" si="729"/>
        <v>12</v>
      </c>
      <c r="FY1622" s="101" t="str">
        <f t="shared" si="730"/>
        <v>专属强化石2</v>
      </c>
      <c r="FZ1622" s="101">
        <f t="shared" si="731"/>
        <v>4</v>
      </c>
      <c r="GA1622" s="101">
        <f t="shared" ref="GA1622:GA1685" si="736">IF($FT1622&gt;0,INDEX(EP$6:EP$77,$FO1622),"")</f>
        <v>0.12</v>
      </c>
      <c r="GB1622" s="101">
        <f t="shared" ref="GB1622:GB1685" si="737">IF($FT1622&gt;0,INDEX(EQ$6:EQ$77,$FO1622),"")</f>
        <v>1</v>
      </c>
      <c r="GC1622" s="101">
        <f t="shared" ref="GC1622:GC1685" si="738">IF($FT1622&gt;0,INDEX(ER$6:ER$77,$FO1622),"")</f>
        <v>13</v>
      </c>
      <c r="GD1622" s="101">
        <f t="shared" ref="GD1622:GD1685" si="739">IF($FT1622&gt;0,INDEX(EV$6:EV$77,$FO1622),"")</f>
        <v>0</v>
      </c>
      <c r="GE1622" s="101">
        <f t="shared" ref="GE1622:GE1685" si="740">IF($FT1622&gt;0,INDEX(EW$6:EW$77,$FO1622),"")</f>
        <v>1</v>
      </c>
      <c r="GF1622" s="101">
        <f t="shared" ref="GF1622:GF1685" si="741">IF($FT1622&gt;0,INDEX(EX$6:EX$77,$FO1622),"")</f>
        <v>3</v>
      </c>
      <c r="GG1622" s="101">
        <f t="shared" ref="GG1622:GG1685" si="742">IF($FT1622&gt;0,INDEX(EY$6:EY$77,$FO1622),"")</f>
        <v>5.9299999999999999E-2</v>
      </c>
      <c r="GH1622" s="101">
        <f t="shared" ref="GH1622:GH1685" si="743">IF($FT1622&gt;0,INDEX(EZ$6:EZ$77,$FO1622),"")</f>
        <v>1</v>
      </c>
      <c r="GI1622" s="101">
        <f t="shared" ref="GI1622:GI1685" si="744">IF($FT1622&gt;0,INDEX(FA$6:FA$77,$FO1622),"")</f>
        <v>6</v>
      </c>
      <c r="GJ1622" s="101">
        <f t="shared" ref="GJ1622:GJ1685" si="745">IF($FT1622&gt;0,INDEX(FB$6:FB$77,$FO1622),"")</f>
        <v>0.23710000000000001</v>
      </c>
      <c r="GK1622" s="101">
        <f t="shared" ref="GK1622:GK1685" si="746">IF($FT1622&gt;0,INDEX(FC$6:FC$77,$FO1622),"")</f>
        <v>1</v>
      </c>
      <c r="GL1622" s="101">
        <f t="shared" ref="GL1622:GL1685" si="747">IF($FT1622&gt;0,INDEX(FD$6:FD$77,$FO1622),"")</f>
        <v>13</v>
      </c>
    </row>
    <row r="1623" spans="170:194" ht="16.5" x14ac:dyDescent="0.2">
      <c r="FN1623" s="101">
        <v>1618</v>
      </c>
      <c r="FO1623" s="101">
        <f t="shared" si="732"/>
        <v>16</v>
      </c>
      <c r="FP1623" s="101">
        <f t="shared" si="725"/>
        <v>21</v>
      </c>
      <c r="FQ1623" s="14">
        <f t="shared" si="726"/>
        <v>4</v>
      </c>
      <c r="FR1623" s="101" t="str">
        <f t="shared" si="733"/>
        <v>秦琼专属武器-魂珠-2 7级</v>
      </c>
      <c r="FS1623" s="101">
        <f t="shared" si="734"/>
        <v>2</v>
      </c>
      <c r="FT1623" s="101">
        <f t="shared" si="735"/>
        <v>7</v>
      </c>
      <c r="FU1623" s="101" t="str">
        <f t="shared" si="727"/>
        <v>金币</v>
      </c>
      <c r="FV1623" s="139">
        <f>IF($FT1623&gt;0,IF(INDEX($EI$6:$EI$77,$FO1623)&gt;=FV$3,ROUND(INDEX(EK$6:EK$77,$FO1623)*INDEX(卡牌消耗!$B$8:$F$8,FQ1623)/5,0)*5,""),"")</f>
        <v>1590</v>
      </c>
      <c r="FW1623" s="101" t="str">
        <f t="shared" si="728"/>
        <v>专属强化石1</v>
      </c>
      <c r="FX1623" s="101">
        <f t="shared" si="729"/>
        <v>15</v>
      </c>
      <c r="FY1623" s="101" t="str">
        <f t="shared" si="730"/>
        <v>专属强化石2</v>
      </c>
      <c r="FZ1623" s="101">
        <f t="shared" si="731"/>
        <v>5</v>
      </c>
      <c r="GA1623" s="101">
        <f t="shared" si="736"/>
        <v>0.09</v>
      </c>
      <c r="GB1623" s="101">
        <f t="shared" si="737"/>
        <v>1</v>
      </c>
      <c r="GC1623" s="101">
        <f t="shared" si="738"/>
        <v>16</v>
      </c>
      <c r="GD1623" s="101">
        <f t="shared" si="739"/>
        <v>0</v>
      </c>
      <c r="GE1623" s="101">
        <f t="shared" si="740"/>
        <v>1</v>
      </c>
      <c r="GF1623" s="101">
        <f t="shared" si="741"/>
        <v>4</v>
      </c>
      <c r="GG1623" s="101">
        <f t="shared" si="742"/>
        <v>4.5900000000000003E-2</v>
      </c>
      <c r="GH1623" s="101">
        <f t="shared" si="743"/>
        <v>1</v>
      </c>
      <c r="GI1623" s="101">
        <f t="shared" si="744"/>
        <v>8</v>
      </c>
      <c r="GJ1623" s="101">
        <f t="shared" si="745"/>
        <v>0.1835</v>
      </c>
      <c r="GK1623" s="101">
        <f t="shared" si="746"/>
        <v>1</v>
      </c>
      <c r="GL1623" s="101">
        <f t="shared" si="747"/>
        <v>16</v>
      </c>
    </row>
    <row r="1624" spans="170:194" ht="16.5" x14ac:dyDescent="0.2">
      <c r="FN1624" s="101">
        <v>1619</v>
      </c>
      <c r="FO1624" s="101">
        <f t="shared" si="732"/>
        <v>17</v>
      </c>
      <c r="FP1624" s="101">
        <f t="shared" si="725"/>
        <v>21</v>
      </c>
      <c r="FQ1624" s="14">
        <f t="shared" si="726"/>
        <v>4</v>
      </c>
      <c r="FR1624" s="101" t="str">
        <f t="shared" si="733"/>
        <v>秦琼专属武器-魂珠-2 8级</v>
      </c>
      <c r="FS1624" s="101">
        <f t="shared" si="734"/>
        <v>2</v>
      </c>
      <c r="FT1624" s="101">
        <f t="shared" si="735"/>
        <v>8</v>
      </c>
      <c r="FU1624" s="101" t="str">
        <f t="shared" si="727"/>
        <v>金币</v>
      </c>
      <c r="FV1624" s="139">
        <f>IF($FT1624&gt;0,IF(INDEX($EI$6:$EI$77,$FO1624)&gt;=FV$3,ROUND(INDEX(EK$6:EK$77,$FO1624)*INDEX(卡牌消耗!$B$8:$F$8,FQ1624)/5,0)*5,""),"")</f>
        <v>1905</v>
      </c>
      <c r="FW1624" s="101" t="str">
        <f t="shared" si="728"/>
        <v>专属强化石1</v>
      </c>
      <c r="FX1624" s="101">
        <f t="shared" si="729"/>
        <v>18</v>
      </c>
      <c r="FY1624" s="101" t="str">
        <f t="shared" si="730"/>
        <v>专属强化石2</v>
      </c>
      <c r="FZ1624" s="101">
        <f t="shared" si="731"/>
        <v>6</v>
      </c>
      <c r="GA1624" s="101">
        <f t="shared" si="736"/>
        <v>7.0000000000000007E-2</v>
      </c>
      <c r="GB1624" s="101">
        <f t="shared" si="737"/>
        <v>1</v>
      </c>
      <c r="GC1624" s="101">
        <f t="shared" si="738"/>
        <v>22</v>
      </c>
      <c r="GD1624" s="101">
        <f t="shared" si="739"/>
        <v>0</v>
      </c>
      <c r="GE1624" s="101">
        <f t="shared" si="740"/>
        <v>1</v>
      </c>
      <c r="GF1624" s="101">
        <f t="shared" si="741"/>
        <v>5</v>
      </c>
      <c r="GG1624" s="101">
        <f t="shared" si="742"/>
        <v>3.4000000000000002E-2</v>
      </c>
      <c r="GH1624" s="101">
        <f t="shared" si="743"/>
        <v>1</v>
      </c>
      <c r="GI1624" s="101">
        <f t="shared" si="744"/>
        <v>10</v>
      </c>
      <c r="GJ1624" s="101">
        <f t="shared" si="745"/>
        <v>0.13600000000000001</v>
      </c>
      <c r="GK1624" s="101">
        <f t="shared" si="746"/>
        <v>1</v>
      </c>
      <c r="GL1624" s="101">
        <f t="shared" si="747"/>
        <v>22</v>
      </c>
    </row>
    <row r="1625" spans="170:194" ht="16.5" x14ac:dyDescent="0.2">
      <c r="FN1625" s="101">
        <v>1620</v>
      </c>
      <c r="FO1625" s="101">
        <f t="shared" si="732"/>
        <v>18</v>
      </c>
      <c r="FP1625" s="101">
        <f t="shared" si="725"/>
        <v>21</v>
      </c>
      <c r="FQ1625" s="14">
        <f t="shared" si="726"/>
        <v>4</v>
      </c>
      <c r="FR1625" s="101" t="str">
        <f t="shared" si="733"/>
        <v>秦琼专属武器-魂珠-2 9级</v>
      </c>
      <c r="FS1625" s="101">
        <f t="shared" si="734"/>
        <v>2</v>
      </c>
      <c r="FT1625" s="101">
        <f t="shared" si="735"/>
        <v>9</v>
      </c>
      <c r="FU1625" s="101" t="str">
        <f t="shared" si="727"/>
        <v>金币</v>
      </c>
      <c r="FV1625" s="139">
        <f>IF($FT1625&gt;0,IF(INDEX($EI$6:$EI$77,$FO1625)&gt;=FV$3,ROUND(INDEX(EK$6:EK$77,$FO1625)*INDEX(卡牌消耗!$B$8:$F$8,FQ1625)/5,0)*5,""),"")</f>
        <v>2540</v>
      </c>
      <c r="FW1625" s="101" t="str">
        <f t="shared" si="728"/>
        <v>专属强化石1</v>
      </c>
      <c r="FX1625" s="101">
        <f t="shared" si="729"/>
        <v>24</v>
      </c>
      <c r="FY1625" s="101" t="str">
        <f t="shared" si="730"/>
        <v>专属强化石2</v>
      </c>
      <c r="FZ1625" s="101">
        <f t="shared" si="731"/>
        <v>8</v>
      </c>
      <c r="GA1625" s="101">
        <f t="shared" si="736"/>
        <v>0.06</v>
      </c>
      <c r="GB1625" s="101">
        <f t="shared" si="737"/>
        <v>1</v>
      </c>
      <c r="GC1625" s="101">
        <f t="shared" si="738"/>
        <v>27</v>
      </c>
      <c r="GD1625" s="101">
        <f t="shared" si="739"/>
        <v>0</v>
      </c>
      <c r="GE1625" s="101">
        <f t="shared" si="740"/>
        <v>1</v>
      </c>
      <c r="GF1625" s="101">
        <f t="shared" si="741"/>
        <v>6</v>
      </c>
      <c r="GG1625" s="101">
        <f t="shared" si="742"/>
        <v>2.8000000000000001E-2</v>
      </c>
      <c r="GH1625" s="101">
        <f t="shared" si="743"/>
        <v>1</v>
      </c>
      <c r="GI1625" s="101">
        <f t="shared" si="744"/>
        <v>12</v>
      </c>
      <c r="GJ1625" s="101">
        <f t="shared" si="745"/>
        <v>0.11210000000000001</v>
      </c>
      <c r="GK1625" s="101">
        <f t="shared" si="746"/>
        <v>1</v>
      </c>
      <c r="GL1625" s="101">
        <f t="shared" si="747"/>
        <v>27</v>
      </c>
    </row>
    <row r="1626" spans="170:194" ht="16.5" x14ac:dyDescent="0.2">
      <c r="FN1626" s="101">
        <v>1621</v>
      </c>
      <c r="FO1626" s="101">
        <f t="shared" si="732"/>
        <v>0</v>
      </c>
      <c r="FP1626" s="101">
        <f t="shared" si="725"/>
        <v>21</v>
      </c>
      <c r="FQ1626" s="14">
        <f t="shared" si="726"/>
        <v>4</v>
      </c>
      <c r="FR1626" s="101" t="str">
        <f t="shared" si="733"/>
        <v>秦琼专属武器-魂珠-3 0级</v>
      </c>
      <c r="FS1626" s="101">
        <f t="shared" si="734"/>
        <v>3</v>
      </c>
      <c r="FT1626" s="101">
        <f t="shared" si="735"/>
        <v>0</v>
      </c>
      <c r="FU1626" s="101" t="str">
        <f t="shared" si="727"/>
        <v/>
      </c>
      <c r="FV1626" s="139" t="str">
        <f>IF($FT1626&gt;0,IF(INDEX($EI$6:$EI$77,$FO1626)&gt;=FV$3,ROUND(INDEX(EK$6:EK$77,$FO1626)*INDEX(卡牌消耗!$B$8:$F$8,FQ1626)/5,0)*5,""),"")</f>
        <v/>
      </c>
      <c r="FW1626" s="101" t="str">
        <f t="shared" si="728"/>
        <v/>
      </c>
      <c r="FX1626" s="101" t="str">
        <f t="shared" si="729"/>
        <v/>
      </c>
      <c r="FY1626" s="101" t="str">
        <f t="shared" si="730"/>
        <v/>
      </c>
      <c r="FZ1626" s="101" t="str">
        <f t="shared" si="731"/>
        <v/>
      </c>
      <c r="GA1626" s="101" t="str">
        <f t="shared" si="736"/>
        <v/>
      </c>
      <c r="GB1626" s="101" t="str">
        <f t="shared" si="737"/>
        <v/>
      </c>
      <c r="GC1626" s="101" t="str">
        <f t="shared" si="738"/>
        <v/>
      </c>
      <c r="GD1626" s="101" t="str">
        <f t="shared" si="739"/>
        <v/>
      </c>
      <c r="GE1626" s="101" t="str">
        <f t="shared" si="740"/>
        <v/>
      </c>
      <c r="GF1626" s="101" t="str">
        <f t="shared" si="741"/>
        <v/>
      </c>
      <c r="GG1626" s="101" t="str">
        <f t="shared" si="742"/>
        <v/>
      </c>
      <c r="GH1626" s="101" t="str">
        <f t="shared" si="743"/>
        <v/>
      </c>
      <c r="GI1626" s="101" t="str">
        <f t="shared" si="744"/>
        <v/>
      </c>
      <c r="GJ1626" s="101" t="str">
        <f t="shared" si="745"/>
        <v/>
      </c>
      <c r="GK1626" s="101" t="str">
        <f t="shared" si="746"/>
        <v/>
      </c>
      <c r="GL1626" s="101" t="str">
        <f t="shared" si="747"/>
        <v/>
      </c>
    </row>
    <row r="1627" spans="170:194" ht="16.5" x14ac:dyDescent="0.2">
      <c r="FN1627" s="101">
        <v>1622</v>
      </c>
      <c r="FO1627" s="101">
        <f t="shared" si="732"/>
        <v>19</v>
      </c>
      <c r="FP1627" s="101">
        <f t="shared" si="725"/>
        <v>21</v>
      </c>
      <c r="FQ1627" s="14">
        <f t="shared" si="726"/>
        <v>4</v>
      </c>
      <c r="FR1627" s="101" t="str">
        <f t="shared" si="733"/>
        <v>秦琼专属武器-魂珠-3 1级</v>
      </c>
      <c r="FS1627" s="101">
        <f t="shared" si="734"/>
        <v>3</v>
      </c>
      <c r="FT1627" s="101">
        <f t="shared" si="735"/>
        <v>1</v>
      </c>
      <c r="FU1627" s="101" t="str">
        <f t="shared" si="727"/>
        <v>金币</v>
      </c>
      <c r="FV1627" s="139">
        <f>IF($FT1627&gt;0,IF(INDEX($EI$6:$EI$77,$FO1627)&gt;=FV$3,ROUND(INDEX(EK$6:EK$77,$FO1627)*INDEX(卡牌消耗!$B$8:$F$8,FQ1627)/5,0)*5,""),"")</f>
        <v>820</v>
      </c>
      <c r="FW1627" s="101" t="str">
        <f t="shared" si="728"/>
        <v>专属强化石1</v>
      </c>
      <c r="FX1627" s="101">
        <f t="shared" si="729"/>
        <v>4</v>
      </c>
      <c r="FY1627" s="101" t="str">
        <f t="shared" si="730"/>
        <v>专属强化石2</v>
      </c>
      <c r="FZ1627" s="101">
        <f t="shared" si="731"/>
        <v>2</v>
      </c>
      <c r="GA1627" s="101">
        <f t="shared" si="736"/>
        <v>0.31</v>
      </c>
      <c r="GB1627" s="101">
        <f t="shared" si="737"/>
        <v>1</v>
      </c>
      <c r="GC1627" s="101">
        <f t="shared" si="738"/>
        <v>5</v>
      </c>
      <c r="GD1627" s="101">
        <f t="shared" si="739"/>
        <v>0</v>
      </c>
      <c r="GE1627" s="101">
        <f t="shared" si="740"/>
        <v>1</v>
      </c>
      <c r="GF1627" s="101">
        <f t="shared" si="741"/>
        <v>1</v>
      </c>
      <c r="GG1627" s="101">
        <f t="shared" si="742"/>
        <v>0.15409999999999999</v>
      </c>
      <c r="GH1627" s="101">
        <f t="shared" si="743"/>
        <v>1</v>
      </c>
      <c r="GI1627" s="101">
        <f t="shared" si="744"/>
        <v>2</v>
      </c>
      <c r="GJ1627" s="101">
        <f t="shared" si="745"/>
        <v>0.61650000000000005</v>
      </c>
      <c r="GK1627" s="101">
        <f t="shared" si="746"/>
        <v>1</v>
      </c>
      <c r="GL1627" s="101">
        <f t="shared" si="747"/>
        <v>5</v>
      </c>
    </row>
    <row r="1628" spans="170:194" ht="16.5" x14ac:dyDescent="0.2">
      <c r="FN1628" s="101">
        <v>1623</v>
      </c>
      <c r="FO1628" s="101">
        <f t="shared" si="732"/>
        <v>20</v>
      </c>
      <c r="FP1628" s="101">
        <f t="shared" si="725"/>
        <v>21</v>
      </c>
      <c r="FQ1628" s="14">
        <f t="shared" si="726"/>
        <v>4</v>
      </c>
      <c r="FR1628" s="101" t="str">
        <f t="shared" si="733"/>
        <v>秦琼专属武器-魂珠-3 2级</v>
      </c>
      <c r="FS1628" s="101">
        <f t="shared" si="734"/>
        <v>3</v>
      </c>
      <c r="FT1628" s="101">
        <f t="shared" si="735"/>
        <v>2</v>
      </c>
      <c r="FU1628" s="101" t="str">
        <f t="shared" si="727"/>
        <v>金币</v>
      </c>
      <c r="FV1628" s="139">
        <f>IF($FT1628&gt;0,IF(INDEX($EI$6:$EI$77,$FO1628)&gt;=FV$3,ROUND(INDEX(EK$6:EK$77,$FO1628)*INDEX(卡牌消耗!$B$8:$F$8,FQ1628)/5,0)*5,""),"")</f>
        <v>615</v>
      </c>
      <c r="FW1628" s="101" t="str">
        <f t="shared" si="728"/>
        <v>专属强化石1</v>
      </c>
      <c r="FX1628" s="101">
        <f t="shared" si="729"/>
        <v>4</v>
      </c>
      <c r="FY1628" s="101" t="str">
        <f t="shared" si="730"/>
        <v>专属强化石2</v>
      </c>
      <c r="FZ1628" s="101">
        <f t="shared" si="731"/>
        <v>2</v>
      </c>
      <c r="GA1628" s="101">
        <f t="shared" si="736"/>
        <v>0.15</v>
      </c>
      <c r="GB1628" s="101">
        <f t="shared" si="737"/>
        <v>1</v>
      </c>
      <c r="GC1628" s="101">
        <f t="shared" si="738"/>
        <v>10</v>
      </c>
      <c r="GD1628" s="101">
        <f t="shared" si="739"/>
        <v>0</v>
      </c>
      <c r="GE1628" s="101">
        <f t="shared" si="740"/>
        <v>1</v>
      </c>
      <c r="GF1628" s="101">
        <f t="shared" si="741"/>
        <v>2</v>
      </c>
      <c r="GG1628" s="101">
        <f t="shared" si="742"/>
        <v>7.7100000000000002E-2</v>
      </c>
      <c r="GH1628" s="101">
        <f t="shared" si="743"/>
        <v>1</v>
      </c>
      <c r="GI1628" s="101">
        <f t="shared" si="744"/>
        <v>5</v>
      </c>
      <c r="GJ1628" s="101">
        <f t="shared" si="745"/>
        <v>0.30830000000000002</v>
      </c>
      <c r="GK1628" s="101">
        <f t="shared" si="746"/>
        <v>1</v>
      </c>
      <c r="GL1628" s="101">
        <f t="shared" si="747"/>
        <v>10</v>
      </c>
    </row>
    <row r="1629" spans="170:194" ht="16.5" x14ac:dyDescent="0.2">
      <c r="FN1629" s="101">
        <v>1624</v>
      </c>
      <c r="FO1629" s="101">
        <f t="shared" si="732"/>
        <v>21</v>
      </c>
      <c r="FP1629" s="101">
        <f t="shared" si="725"/>
        <v>21</v>
      </c>
      <c r="FQ1629" s="14">
        <f t="shared" si="726"/>
        <v>4</v>
      </c>
      <c r="FR1629" s="101" t="str">
        <f t="shared" si="733"/>
        <v>秦琼专属武器-魂珠-3 3级</v>
      </c>
      <c r="FS1629" s="101">
        <f t="shared" si="734"/>
        <v>3</v>
      </c>
      <c r="FT1629" s="101">
        <f t="shared" si="735"/>
        <v>3</v>
      </c>
      <c r="FU1629" s="101" t="str">
        <f t="shared" si="727"/>
        <v>金币</v>
      </c>
      <c r="FV1629" s="139">
        <f>IF($FT1629&gt;0,IF(INDEX($EI$6:$EI$77,$FO1629)&gt;=FV$3,ROUND(INDEX(EK$6:EK$77,$FO1629)*INDEX(卡牌消耗!$B$8:$F$8,FQ1629)/5,0)*5,""),"")</f>
        <v>1025</v>
      </c>
      <c r="FW1629" s="101" t="str">
        <f t="shared" si="728"/>
        <v>专属强化石1</v>
      </c>
      <c r="FX1629" s="101">
        <f t="shared" si="729"/>
        <v>6</v>
      </c>
      <c r="FY1629" s="101" t="str">
        <f t="shared" si="730"/>
        <v>专属强化石2</v>
      </c>
      <c r="FZ1629" s="101">
        <f t="shared" si="731"/>
        <v>3</v>
      </c>
      <c r="GA1629" s="101">
        <f t="shared" si="736"/>
        <v>0.15</v>
      </c>
      <c r="GB1629" s="101">
        <f t="shared" si="737"/>
        <v>1</v>
      </c>
      <c r="GC1629" s="101">
        <f t="shared" si="738"/>
        <v>10</v>
      </c>
      <c r="GD1629" s="101">
        <f t="shared" si="739"/>
        <v>0</v>
      </c>
      <c r="GE1629" s="101">
        <f t="shared" si="740"/>
        <v>1</v>
      </c>
      <c r="GF1629" s="101">
        <f t="shared" si="741"/>
        <v>2</v>
      </c>
      <c r="GG1629" s="101">
        <f t="shared" si="742"/>
        <v>7.7100000000000002E-2</v>
      </c>
      <c r="GH1629" s="101">
        <f t="shared" si="743"/>
        <v>1</v>
      </c>
      <c r="GI1629" s="101">
        <f t="shared" si="744"/>
        <v>5</v>
      </c>
      <c r="GJ1629" s="101">
        <f t="shared" si="745"/>
        <v>0.30830000000000002</v>
      </c>
      <c r="GK1629" s="101">
        <f t="shared" si="746"/>
        <v>1</v>
      </c>
      <c r="GL1629" s="101">
        <f t="shared" si="747"/>
        <v>10</v>
      </c>
    </row>
    <row r="1630" spans="170:194" ht="16.5" x14ac:dyDescent="0.2">
      <c r="FN1630" s="101">
        <v>1625</v>
      </c>
      <c r="FO1630" s="101">
        <f t="shared" si="732"/>
        <v>22</v>
      </c>
      <c r="FP1630" s="101">
        <f t="shared" si="725"/>
        <v>21</v>
      </c>
      <c r="FQ1630" s="14">
        <f t="shared" si="726"/>
        <v>4</v>
      </c>
      <c r="FR1630" s="101" t="str">
        <f t="shared" si="733"/>
        <v>秦琼专属武器-魂珠-3 4级</v>
      </c>
      <c r="FS1630" s="101">
        <f t="shared" si="734"/>
        <v>3</v>
      </c>
      <c r="FT1630" s="101">
        <f t="shared" si="735"/>
        <v>4</v>
      </c>
      <c r="FU1630" s="101" t="str">
        <f t="shared" si="727"/>
        <v>金币</v>
      </c>
      <c r="FV1630" s="139">
        <f>IF($FT1630&gt;0,IF(INDEX($EI$6:$EI$77,$FO1630)&gt;=FV$3,ROUND(INDEX(EK$6:EK$77,$FO1630)*INDEX(卡牌消耗!$B$8:$F$8,FQ1630)/5,0)*5,""),"")</f>
        <v>985</v>
      </c>
      <c r="FW1630" s="101" t="str">
        <f t="shared" si="728"/>
        <v>专属强化石1</v>
      </c>
      <c r="FX1630" s="101">
        <f t="shared" si="729"/>
        <v>6</v>
      </c>
      <c r="FY1630" s="101" t="str">
        <f t="shared" si="730"/>
        <v>专属强化石2</v>
      </c>
      <c r="FZ1630" s="101">
        <f t="shared" si="731"/>
        <v>3</v>
      </c>
      <c r="GA1630" s="101">
        <f t="shared" si="736"/>
        <v>0.09</v>
      </c>
      <c r="GB1630" s="101">
        <f t="shared" si="737"/>
        <v>1</v>
      </c>
      <c r="GC1630" s="101">
        <f t="shared" si="738"/>
        <v>16</v>
      </c>
      <c r="GD1630" s="101">
        <f t="shared" si="739"/>
        <v>0</v>
      </c>
      <c r="GE1630" s="101">
        <f t="shared" si="740"/>
        <v>1</v>
      </c>
      <c r="GF1630" s="101">
        <f t="shared" si="741"/>
        <v>4</v>
      </c>
      <c r="GG1630" s="101">
        <f t="shared" si="742"/>
        <v>4.6199999999999998E-2</v>
      </c>
      <c r="GH1630" s="101">
        <f t="shared" si="743"/>
        <v>1</v>
      </c>
      <c r="GI1630" s="101">
        <f t="shared" si="744"/>
        <v>8</v>
      </c>
      <c r="GJ1630" s="101">
        <f t="shared" si="745"/>
        <v>0.185</v>
      </c>
      <c r="GK1630" s="101">
        <f t="shared" si="746"/>
        <v>1</v>
      </c>
      <c r="GL1630" s="101">
        <f t="shared" si="747"/>
        <v>16</v>
      </c>
    </row>
    <row r="1631" spans="170:194" ht="16.5" x14ac:dyDescent="0.2">
      <c r="FN1631" s="101">
        <v>1626</v>
      </c>
      <c r="FO1631" s="101">
        <f t="shared" si="732"/>
        <v>23</v>
      </c>
      <c r="FP1631" s="101">
        <f t="shared" si="725"/>
        <v>21</v>
      </c>
      <c r="FQ1631" s="14">
        <f t="shared" si="726"/>
        <v>4</v>
      </c>
      <c r="FR1631" s="101" t="str">
        <f t="shared" si="733"/>
        <v>秦琼专属武器-魂珠-3 5级</v>
      </c>
      <c r="FS1631" s="101">
        <f t="shared" si="734"/>
        <v>3</v>
      </c>
      <c r="FT1631" s="101">
        <f t="shared" si="735"/>
        <v>5</v>
      </c>
      <c r="FU1631" s="101" t="str">
        <f t="shared" si="727"/>
        <v>金币</v>
      </c>
      <c r="FV1631" s="139">
        <f>IF($FT1631&gt;0,IF(INDEX($EI$6:$EI$77,$FO1631)&gt;=FV$3,ROUND(INDEX(EK$6:EK$77,$FO1631)*INDEX(卡牌消耗!$B$8:$F$8,FQ1631)/5,0)*5,""),"")</f>
        <v>1330</v>
      </c>
      <c r="FW1631" s="101" t="str">
        <f t="shared" si="728"/>
        <v>专属强化石1</v>
      </c>
      <c r="FX1631" s="101">
        <f t="shared" si="729"/>
        <v>8</v>
      </c>
      <c r="FY1631" s="101" t="str">
        <f t="shared" si="730"/>
        <v>专属强化石2</v>
      </c>
      <c r="FZ1631" s="101">
        <f t="shared" si="731"/>
        <v>4</v>
      </c>
      <c r="GA1631" s="101">
        <f t="shared" si="736"/>
        <v>0.08</v>
      </c>
      <c r="GB1631" s="101">
        <f t="shared" si="737"/>
        <v>1</v>
      </c>
      <c r="GC1631" s="101">
        <f t="shared" si="738"/>
        <v>19</v>
      </c>
      <c r="GD1631" s="101">
        <f t="shared" si="739"/>
        <v>0</v>
      </c>
      <c r="GE1631" s="101">
        <f t="shared" si="740"/>
        <v>1</v>
      </c>
      <c r="GF1631" s="101">
        <f t="shared" si="741"/>
        <v>5</v>
      </c>
      <c r="GG1631" s="101">
        <f t="shared" si="742"/>
        <v>3.85E-2</v>
      </c>
      <c r="GH1631" s="101">
        <f t="shared" si="743"/>
        <v>1</v>
      </c>
      <c r="GI1631" s="101">
        <f t="shared" si="744"/>
        <v>9</v>
      </c>
      <c r="GJ1631" s="101">
        <f t="shared" si="745"/>
        <v>0.15409999999999999</v>
      </c>
      <c r="GK1631" s="101">
        <f t="shared" si="746"/>
        <v>1</v>
      </c>
      <c r="GL1631" s="101">
        <f t="shared" si="747"/>
        <v>19</v>
      </c>
    </row>
    <row r="1632" spans="170:194" ht="16.5" x14ac:dyDescent="0.2">
      <c r="FN1632" s="101">
        <v>1627</v>
      </c>
      <c r="FO1632" s="101">
        <f t="shared" si="732"/>
        <v>24</v>
      </c>
      <c r="FP1632" s="101">
        <f t="shared" si="725"/>
        <v>21</v>
      </c>
      <c r="FQ1632" s="14">
        <f t="shared" si="726"/>
        <v>4</v>
      </c>
      <c r="FR1632" s="101" t="str">
        <f t="shared" si="733"/>
        <v>秦琼专属武器-魂珠-3 6级</v>
      </c>
      <c r="FS1632" s="101">
        <f t="shared" si="734"/>
        <v>3</v>
      </c>
      <c r="FT1632" s="101">
        <f t="shared" si="735"/>
        <v>6</v>
      </c>
      <c r="FU1632" s="101" t="str">
        <f t="shared" si="727"/>
        <v>金币</v>
      </c>
      <c r="FV1632" s="139">
        <f>IF($FT1632&gt;0,IF(INDEX($EI$6:$EI$77,$FO1632)&gt;=FV$3,ROUND(INDEX(EK$6:EK$77,$FO1632)*INDEX(卡牌消耗!$B$8:$F$8,FQ1632)/5,0)*5,""),"")</f>
        <v>1650</v>
      </c>
      <c r="FW1632" s="101" t="str">
        <f t="shared" si="728"/>
        <v>专属强化石1</v>
      </c>
      <c r="FX1632" s="101">
        <f t="shared" si="729"/>
        <v>10</v>
      </c>
      <c r="FY1632" s="101" t="str">
        <f t="shared" si="730"/>
        <v>专属强化石2</v>
      </c>
      <c r="FZ1632" s="101">
        <f t="shared" si="731"/>
        <v>5</v>
      </c>
      <c r="GA1632" s="101">
        <f t="shared" si="736"/>
        <v>0.06</v>
      </c>
      <c r="GB1632" s="101">
        <f t="shared" si="737"/>
        <v>1</v>
      </c>
      <c r="GC1632" s="101">
        <f t="shared" si="738"/>
        <v>25</v>
      </c>
      <c r="GD1632" s="101">
        <f t="shared" si="739"/>
        <v>0</v>
      </c>
      <c r="GE1632" s="101">
        <f t="shared" si="740"/>
        <v>1</v>
      </c>
      <c r="GF1632" s="101">
        <f t="shared" si="741"/>
        <v>6</v>
      </c>
      <c r="GG1632" s="101">
        <f t="shared" si="742"/>
        <v>2.9600000000000001E-2</v>
      </c>
      <c r="GH1632" s="101">
        <f t="shared" si="743"/>
        <v>1</v>
      </c>
      <c r="GI1632" s="101">
        <f t="shared" si="744"/>
        <v>12</v>
      </c>
      <c r="GJ1632" s="101">
        <f t="shared" si="745"/>
        <v>0.1186</v>
      </c>
      <c r="GK1632" s="101">
        <f t="shared" si="746"/>
        <v>1</v>
      </c>
      <c r="GL1632" s="101">
        <f t="shared" si="747"/>
        <v>25</v>
      </c>
    </row>
    <row r="1633" spans="170:194" ht="16.5" x14ac:dyDescent="0.2">
      <c r="FN1633" s="101">
        <v>1628</v>
      </c>
      <c r="FO1633" s="101">
        <f t="shared" si="732"/>
        <v>25</v>
      </c>
      <c r="FP1633" s="101">
        <f t="shared" si="725"/>
        <v>21</v>
      </c>
      <c r="FQ1633" s="14">
        <f t="shared" si="726"/>
        <v>4</v>
      </c>
      <c r="FR1633" s="101" t="str">
        <f t="shared" si="733"/>
        <v>秦琼专属武器-魂珠-3 7级</v>
      </c>
      <c r="FS1633" s="101">
        <f t="shared" si="734"/>
        <v>3</v>
      </c>
      <c r="FT1633" s="101">
        <f t="shared" si="735"/>
        <v>7</v>
      </c>
      <c r="FU1633" s="101" t="str">
        <f t="shared" si="727"/>
        <v>金币</v>
      </c>
      <c r="FV1633" s="139">
        <f>IF($FT1633&gt;0,IF(INDEX($EI$6:$EI$77,$FO1633)&gt;=FV$3,ROUND(INDEX(EK$6:EK$77,$FO1633)*INDEX(卡牌消耗!$B$8:$F$8,FQ1633)/5,0)*5,""),"")</f>
        <v>1990</v>
      </c>
      <c r="FW1633" s="101" t="str">
        <f t="shared" si="728"/>
        <v>专属强化石1</v>
      </c>
      <c r="FX1633" s="101">
        <f t="shared" si="729"/>
        <v>12</v>
      </c>
      <c r="FY1633" s="101" t="str">
        <f t="shared" si="730"/>
        <v>专属强化石2</v>
      </c>
      <c r="FZ1633" s="101">
        <f t="shared" si="731"/>
        <v>6</v>
      </c>
      <c r="GA1633" s="101">
        <f t="shared" si="736"/>
        <v>0.04</v>
      </c>
      <c r="GB1633" s="101">
        <f t="shared" si="737"/>
        <v>1</v>
      </c>
      <c r="GC1633" s="101">
        <f t="shared" si="738"/>
        <v>34</v>
      </c>
      <c r="GD1633" s="101">
        <f t="shared" si="739"/>
        <v>0</v>
      </c>
      <c r="GE1633" s="101">
        <f t="shared" si="740"/>
        <v>1</v>
      </c>
      <c r="GF1633" s="101">
        <f t="shared" si="741"/>
        <v>8</v>
      </c>
      <c r="GG1633" s="101">
        <f t="shared" si="742"/>
        <v>2.1999999999999999E-2</v>
      </c>
      <c r="GH1633" s="101">
        <f t="shared" si="743"/>
        <v>1</v>
      </c>
      <c r="GI1633" s="101">
        <f t="shared" si="744"/>
        <v>16</v>
      </c>
      <c r="GJ1633" s="101">
        <f t="shared" si="745"/>
        <v>8.8099999999999998E-2</v>
      </c>
      <c r="GK1633" s="101">
        <f t="shared" si="746"/>
        <v>1</v>
      </c>
      <c r="GL1633" s="101">
        <f t="shared" si="747"/>
        <v>34</v>
      </c>
    </row>
    <row r="1634" spans="170:194" ht="16.5" x14ac:dyDescent="0.2">
      <c r="FN1634" s="101">
        <v>1629</v>
      </c>
      <c r="FO1634" s="101">
        <f t="shared" si="732"/>
        <v>26</v>
      </c>
      <c r="FP1634" s="101">
        <f t="shared" si="725"/>
        <v>21</v>
      </c>
      <c r="FQ1634" s="14">
        <f t="shared" si="726"/>
        <v>4</v>
      </c>
      <c r="FR1634" s="101" t="str">
        <f t="shared" si="733"/>
        <v>秦琼专属武器-魂珠-3 8级</v>
      </c>
      <c r="FS1634" s="101">
        <f t="shared" si="734"/>
        <v>3</v>
      </c>
      <c r="FT1634" s="101">
        <f t="shared" si="735"/>
        <v>8</v>
      </c>
      <c r="FU1634" s="101" t="str">
        <f t="shared" si="727"/>
        <v>金币</v>
      </c>
      <c r="FV1634" s="139">
        <f>IF($FT1634&gt;0,IF(INDEX($EI$6:$EI$77,$FO1634)&gt;=FV$3,ROUND(INDEX(EK$6:EK$77,$FO1634)*INDEX(卡牌消耗!$B$8:$F$8,FQ1634)/5,0)*5,""),"")</f>
        <v>2650</v>
      </c>
      <c r="FW1634" s="101" t="str">
        <f t="shared" si="728"/>
        <v>专属强化石1</v>
      </c>
      <c r="FX1634" s="101">
        <f t="shared" si="729"/>
        <v>16</v>
      </c>
      <c r="FY1634" s="101" t="str">
        <f t="shared" si="730"/>
        <v>专属强化石2</v>
      </c>
      <c r="FZ1634" s="101">
        <f t="shared" si="731"/>
        <v>8</v>
      </c>
      <c r="GA1634" s="101">
        <f t="shared" si="736"/>
        <v>0.04</v>
      </c>
      <c r="GB1634" s="101">
        <f t="shared" si="737"/>
        <v>1</v>
      </c>
      <c r="GC1634" s="101">
        <f t="shared" si="738"/>
        <v>41</v>
      </c>
      <c r="GD1634" s="101">
        <f t="shared" si="739"/>
        <v>0</v>
      </c>
      <c r="GE1634" s="101">
        <f t="shared" si="740"/>
        <v>1</v>
      </c>
      <c r="GF1634" s="101">
        <f t="shared" si="741"/>
        <v>10</v>
      </c>
      <c r="GG1634" s="101">
        <f t="shared" si="742"/>
        <v>1.8100000000000002E-2</v>
      </c>
      <c r="GH1634" s="101">
        <f t="shared" si="743"/>
        <v>1</v>
      </c>
      <c r="GI1634" s="101">
        <f t="shared" si="744"/>
        <v>19</v>
      </c>
      <c r="GJ1634" s="101">
        <f t="shared" si="745"/>
        <v>7.2499999999999995E-2</v>
      </c>
      <c r="GK1634" s="101">
        <f t="shared" si="746"/>
        <v>1</v>
      </c>
      <c r="GL1634" s="101">
        <f t="shared" si="747"/>
        <v>41</v>
      </c>
    </row>
    <row r="1635" spans="170:194" ht="16.5" x14ac:dyDescent="0.2">
      <c r="FN1635" s="101">
        <v>1630</v>
      </c>
      <c r="FO1635" s="101">
        <f t="shared" si="732"/>
        <v>27</v>
      </c>
      <c r="FP1635" s="101">
        <f t="shared" si="725"/>
        <v>21</v>
      </c>
      <c r="FQ1635" s="14">
        <f t="shared" si="726"/>
        <v>4</v>
      </c>
      <c r="FR1635" s="101" t="str">
        <f t="shared" si="733"/>
        <v>秦琼专属武器-魂珠-3 9级</v>
      </c>
      <c r="FS1635" s="101">
        <f t="shared" si="734"/>
        <v>3</v>
      </c>
      <c r="FT1635" s="101">
        <f t="shared" si="735"/>
        <v>9</v>
      </c>
      <c r="FU1635" s="101" t="str">
        <f t="shared" si="727"/>
        <v>金币</v>
      </c>
      <c r="FV1635" s="139">
        <f>IF($FT1635&gt;0,IF(INDEX($EI$6:$EI$77,$FO1635)&gt;=FV$3,ROUND(INDEX(EK$6:EK$77,$FO1635)*INDEX(卡牌消耗!$B$8:$F$8,FQ1635)/5,0)*5,""),"")</f>
        <v>3310</v>
      </c>
      <c r="FW1635" s="101" t="str">
        <f t="shared" si="728"/>
        <v>专属强化石1</v>
      </c>
      <c r="FX1635" s="101">
        <f t="shared" si="729"/>
        <v>20</v>
      </c>
      <c r="FY1635" s="101" t="str">
        <f t="shared" si="730"/>
        <v>专属强化石2</v>
      </c>
      <c r="FZ1635" s="101">
        <f t="shared" si="731"/>
        <v>10</v>
      </c>
      <c r="GA1635" s="101">
        <f t="shared" si="736"/>
        <v>0.03</v>
      </c>
      <c r="GB1635" s="101">
        <f t="shared" si="737"/>
        <v>1</v>
      </c>
      <c r="GC1635" s="101">
        <f t="shared" si="738"/>
        <v>54</v>
      </c>
      <c r="GD1635" s="101">
        <f t="shared" si="739"/>
        <v>0</v>
      </c>
      <c r="GE1635" s="101">
        <f t="shared" si="740"/>
        <v>1</v>
      </c>
      <c r="GF1635" s="101">
        <f t="shared" si="741"/>
        <v>12</v>
      </c>
      <c r="GG1635" s="101">
        <f t="shared" si="742"/>
        <v>1.4E-2</v>
      </c>
      <c r="GH1635" s="101">
        <f t="shared" si="743"/>
        <v>1</v>
      </c>
      <c r="GI1635" s="101">
        <f t="shared" si="744"/>
        <v>25</v>
      </c>
      <c r="GJ1635" s="101">
        <f t="shared" si="745"/>
        <v>5.6000000000000001E-2</v>
      </c>
      <c r="GK1635" s="101">
        <f t="shared" si="746"/>
        <v>1</v>
      </c>
      <c r="GL1635" s="101">
        <f t="shared" si="747"/>
        <v>54</v>
      </c>
    </row>
    <row r="1636" spans="170:194" ht="16.5" x14ac:dyDescent="0.2">
      <c r="FN1636" s="101">
        <v>1631</v>
      </c>
      <c r="FO1636" s="101">
        <f t="shared" si="732"/>
        <v>0</v>
      </c>
      <c r="FP1636" s="101">
        <f t="shared" si="725"/>
        <v>21</v>
      </c>
      <c r="FQ1636" s="14">
        <f t="shared" si="726"/>
        <v>4</v>
      </c>
      <c r="FR1636" s="101" t="str">
        <f t="shared" si="733"/>
        <v>秦琼专属武器-魂珠-4 0级</v>
      </c>
      <c r="FS1636" s="101">
        <f t="shared" si="734"/>
        <v>4</v>
      </c>
      <c r="FT1636" s="101">
        <f t="shared" si="735"/>
        <v>0</v>
      </c>
      <c r="FU1636" s="101" t="str">
        <f t="shared" si="727"/>
        <v/>
      </c>
      <c r="FV1636" s="139" t="str">
        <f>IF($FT1636&gt;0,IF(INDEX($EI$6:$EI$77,$FO1636)&gt;=FV$3,ROUND(INDEX(EK$6:EK$77,$FO1636)*INDEX(卡牌消耗!$B$8:$F$8,FQ1636)/5,0)*5,""),"")</f>
        <v/>
      </c>
      <c r="FW1636" s="101" t="str">
        <f t="shared" si="728"/>
        <v/>
      </c>
      <c r="FX1636" s="101" t="str">
        <f t="shared" si="729"/>
        <v/>
      </c>
      <c r="FY1636" s="101" t="str">
        <f t="shared" si="730"/>
        <v/>
      </c>
      <c r="FZ1636" s="101" t="str">
        <f t="shared" si="731"/>
        <v/>
      </c>
      <c r="GA1636" s="101" t="str">
        <f t="shared" si="736"/>
        <v/>
      </c>
      <c r="GB1636" s="101" t="str">
        <f t="shared" si="737"/>
        <v/>
      </c>
      <c r="GC1636" s="101" t="str">
        <f t="shared" si="738"/>
        <v/>
      </c>
      <c r="GD1636" s="101" t="str">
        <f t="shared" si="739"/>
        <v/>
      </c>
      <c r="GE1636" s="101" t="str">
        <f t="shared" si="740"/>
        <v/>
      </c>
      <c r="GF1636" s="101" t="str">
        <f t="shared" si="741"/>
        <v/>
      </c>
      <c r="GG1636" s="101" t="str">
        <f t="shared" si="742"/>
        <v/>
      </c>
      <c r="GH1636" s="101" t="str">
        <f t="shared" si="743"/>
        <v/>
      </c>
      <c r="GI1636" s="101" t="str">
        <f t="shared" si="744"/>
        <v/>
      </c>
      <c r="GJ1636" s="101" t="str">
        <f t="shared" si="745"/>
        <v/>
      </c>
      <c r="GK1636" s="101" t="str">
        <f t="shared" si="746"/>
        <v/>
      </c>
      <c r="GL1636" s="101" t="str">
        <f t="shared" si="747"/>
        <v/>
      </c>
    </row>
    <row r="1637" spans="170:194" ht="16.5" x14ac:dyDescent="0.2">
      <c r="FN1637" s="101">
        <v>1632</v>
      </c>
      <c r="FO1637" s="101">
        <f t="shared" si="732"/>
        <v>28</v>
      </c>
      <c r="FP1637" s="101">
        <f t="shared" si="725"/>
        <v>21</v>
      </c>
      <c r="FQ1637" s="14">
        <f t="shared" si="726"/>
        <v>4</v>
      </c>
      <c r="FR1637" s="101" t="str">
        <f t="shared" si="733"/>
        <v>秦琼专属武器-魂珠-4 1级</v>
      </c>
      <c r="FS1637" s="101">
        <f t="shared" si="734"/>
        <v>4</v>
      </c>
      <c r="FT1637" s="101">
        <f t="shared" si="735"/>
        <v>1</v>
      </c>
      <c r="FU1637" s="101" t="str">
        <f t="shared" si="727"/>
        <v>金币</v>
      </c>
      <c r="FV1637" s="139">
        <f>IF($FT1637&gt;0,IF(INDEX($EI$6:$EI$77,$FO1637)&gt;=FV$3,ROUND(INDEX(EK$6:EK$77,$FO1637)*INDEX(卡牌消耗!$B$8:$F$8,FQ1637)/5,0)*5,""),"")</f>
        <v>1095</v>
      </c>
      <c r="FW1637" s="101" t="str">
        <f t="shared" si="728"/>
        <v>专属强化石2</v>
      </c>
      <c r="FX1637" s="101">
        <f t="shared" si="729"/>
        <v>3</v>
      </c>
      <c r="FY1637" s="101" t="str">
        <f t="shared" si="730"/>
        <v>专属强化石3</v>
      </c>
      <c r="FZ1637" s="101">
        <f t="shared" si="731"/>
        <v>1</v>
      </c>
      <c r="GA1637" s="101">
        <f t="shared" si="736"/>
        <v>0.2</v>
      </c>
      <c r="GB1637" s="101">
        <f t="shared" si="737"/>
        <v>1</v>
      </c>
      <c r="GC1637" s="101">
        <f t="shared" si="738"/>
        <v>7</v>
      </c>
      <c r="GD1637" s="101">
        <f t="shared" si="739"/>
        <v>0</v>
      </c>
      <c r="GE1637" s="101">
        <f t="shared" si="740"/>
        <v>1</v>
      </c>
      <c r="GF1637" s="101">
        <f t="shared" si="741"/>
        <v>2</v>
      </c>
      <c r="GG1637" s="101">
        <f t="shared" si="742"/>
        <v>0.1012</v>
      </c>
      <c r="GH1637" s="101">
        <f t="shared" si="743"/>
        <v>1</v>
      </c>
      <c r="GI1637" s="101">
        <f t="shared" si="744"/>
        <v>3</v>
      </c>
      <c r="GJ1637" s="101">
        <f t="shared" si="745"/>
        <v>0.40479999999999999</v>
      </c>
      <c r="GK1637" s="101">
        <f t="shared" si="746"/>
        <v>1</v>
      </c>
      <c r="GL1637" s="101">
        <f t="shared" si="747"/>
        <v>7</v>
      </c>
    </row>
    <row r="1638" spans="170:194" ht="16.5" x14ac:dyDescent="0.2">
      <c r="FN1638" s="101">
        <v>1633</v>
      </c>
      <c r="FO1638" s="101">
        <f t="shared" si="732"/>
        <v>29</v>
      </c>
      <c r="FP1638" s="101">
        <f t="shared" si="725"/>
        <v>21</v>
      </c>
      <c r="FQ1638" s="14">
        <f t="shared" si="726"/>
        <v>4</v>
      </c>
      <c r="FR1638" s="101" t="str">
        <f t="shared" si="733"/>
        <v>秦琼专属武器-魂珠-4 2级</v>
      </c>
      <c r="FS1638" s="101">
        <f t="shared" si="734"/>
        <v>4</v>
      </c>
      <c r="FT1638" s="101">
        <f t="shared" si="735"/>
        <v>2</v>
      </c>
      <c r="FU1638" s="101" t="str">
        <f t="shared" si="727"/>
        <v>金币</v>
      </c>
      <c r="FV1638" s="139">
        <f>IF($FT1638&gt;0,IF(INDEX($EI$6:$EI$77,$FO1638)&gt;=FV$3,ROUND(INDEX(EK$6:EK$77,$FO1638)*INDEX(卡牌消耗!$B$8:$F$8,FQ1638)/5,0)*5,""),"")</f>
        <v>820</v>
      </c>
      <c r="FW1638" s="101" t="str">
        <f t="shared" si="728"/>
        <v>专属强化石2</v>
      </c>
      <c r="FX1638" s="101">
        <f t="shared" si="729"/>
        <v>3</v>
      </c>
      <c r="FY1638" s="101" t="str">
        <f t="shared" si="730"/>
        <v>专属强化石3</v>
      </c>
      <c r="FZ1638" s="101">
        <f t="shared" si="731"/>
        <v>1</v>
      </c>
      <c r="GA1638" s="101">
        <f t="shared" si="736"/>
        <v>0.1</v>
      </c>
      <c r="GB1638" s="101">
        <f t="shared" si="737"/>
        <v>1</v>
      </c>
      <c r="GC1638" s="101">
        <f t="shared" si="738"/>
        <v>15</v>
      </c>
      <c r="GD1638" s="101">
        <f t="shared" si="739"/>
        <v>0</v>
      </c>
      <c r="GE1638" s="101">
        <f t="shared" si="740"/>
        <v>1</v>
      </c>
      <c r="GF1638" s="101">
        <f t="shared" si="741"/>
        <v>3</v>
      </c>
      <c r="GG1638" s="101">
        <f t="shared" si="742"/>
        <v>5.0599999999999999E-2</v>
      </c>
      <c r="GH1638" s="101">
        <f t="shared" si="743"/>
        <v>1</v>
      </c>
      <c r="GI1638" s="101">
        <f t="shared" si="744"/>
        <v>7</v>
      </c>
      <c r="GJ1638" s="101">
        <f t="shared" si="745"/>
        <v>0.2024</v>
      </c>
      <c r="GK1638" s="101">
        <f t="shared" si="746"/>
        <v>1</v>
      </c>
      <c r="GL1638" s="101">
        <f t="shared" si="747"/>
        <v>15</v>
      </c>
    </row>
    <row r="1639" spans="170:194" ht="16.5" x14ac:dyDescent="0.2">
      <c r="FN1639" s="101">
        <v>1634</v>
      </c>
      <c r="FO1639" s="101">
        <f t="shared" si="732"/>
        <v>30</v>
      </c>
      <c r="FP1639" s="101">
        <f t="shared" si="725"/>
        <v>21</v>
      </c>
      <c r="FQ1639" s="14">
        <f t="shared" si="726"/>
        <v>4</v>
      </c>
      <c r="FR1639" s="101" t="str">
        <f t="shared" si="733"/>
        <v>秦琼专属武器-魂珠-4 3级</v>
      </c>
      <c r="FS1639" s="101">
        <f t="shared" si="734"/>
        <v>4</v>
      </c>
      <c r="FT1639" s="101">
        <f t="shared" si="735"/>
        <v>3</v>
      </c>
      <c r="FU1639" s="101" t="str">
        <f t="shared" si="727"/>
        <v>金币</v>
      </c>
      <c r="FV1639" s="139">
        <f>IF($FT1639&gt;0,IF(INDEX($EI$6:$EI$77,$FO1639)&gt;=FV$3,ROUND(INDEX(EK$6:EK$77,$FO1639)*INDEX(卡牌消耗!$B$8:$F$8,FQ1639)/5,0)*5,""),"")</f>
        <v>910</v>
      </c>
      <c r="FW1639" s="101" t="str">
        <f t="shared" si="728"/>
        <v>专属强化石2</v>
      </c>
      <c r="FX1639" s="101">
        <f t="shared" si="729"/>
        <v>3</v>
      </c>
      <c r="FY1639" s="101" t="str">
        <f t="shared" si="730"/>
        <v>专属强化石3</v>
      </c>
      <c r="FZ1639" s="101">
        <f t="shared" si="731"/>
        <v>1</v>
      </c>
      <c r="GA1639" s="101">
        <f t="shared" si="736"/>
        <v>7.0000000000000007E-2</v>
      </c>
      <c r="GB1639" s="101">
        <f t="shared" si="737"/>
        <v>1</v>
      </c>
      <c r="GC1639" s="101">
        <f t="shared" si="738"/>
        <v>22</v>
      </c>
      <c r="GD1639" s="101">
        <f t="shared" si="739"/>
        <v>0</v>
      </c>
      <c r="GE1639" s="101">
        <f t="shared" si="740"/>
        <v>1</v>
      </c>
      <c r="GF1639" s="101">
        <f t="shared" si="741"/>
        <v>5</v>
      </c>
      <c r="GG1639" s="101">
        <f t="shared" si="742"/>
        <v>3.3700000000000001E-2</v>
      </c>
      <c r="GH1639" s="101">
        <f t="shared" si="743"/>
        <v>1</v>
      </c>
      <c r="GI1639" s="101">
        <f t="shared" si="744"/>
        <v>10</v>
      </c>
      <c r="GJ1639" s="101">
        <f t="shared" si="745"/>
        <v>0.13489999999999999</v>
      </c>
      <c r="GK1639" s="101">
        <f t="shared" si="746"/>
        <v>1</v>
      </c>
      <c r="GL1639" s="101">
        <f t="shared" si="747"/>
        <v>22</v>
      </c>
    </row>
    <row r="1640" spans="170:194" ht="16.5" x14ac:dyDescent="0.2">
      <c r="FN1640" s="101">
        <v>1635</v>
      </c>
      <c r="FO1640" s="101">
        <f t="shared" si="732"/>
        <v>31</v>
      </c>
      <c r="FP1640" s="101">
        <f t="shared" si="725"/>
        <v>21</v>
      </c>
      <c r="FQ1640" s="14">
        <f t="shared" si="726"/>
        <v>4</v>
      </c>
      <c r="FR1640" s="101" t="str">
        <f t="shared" si="733"/>
        <v>秦琼专属武器-魂珠-4 4级</v>
      </c>
      <c r="FS1640" s="101">
        <f t="shared" si="734"/>
        <v>4</v>
      </c>
      <c r="FT1640" s="101">
        <f t="shared" si="735"/>
        <v>4</v>
      </c>
      <c r="FU1640" s="101" t="str">
        <f t="shared" si="727"/>
        <v>金币</v>
      </c>
      <c r="FV1640" s="139">
        <f>IF($FT1640&gt;0,IF(INDEX($EI$6:$EI$77,$FO1640)&gt;=FV$3,ROUND(INDEX(EK$6:EK$77,$FO1640)*INDEX(卡牌消耗!$B$8:$F$8,FQ1640)/5,0)*5,""),"")</f>
        <v>1750</v>
      </c>
      <c r="FW1640" s="101" t="str">
        <f t="shared" si="728"/>
        <v>专属强化石2</v>
      </c>
      <c r="FX1640" s="101">
        <f t="shared" si="729"/>
        <v>5</v>
      </c>
      <c r="FY1640" s="101" t="str">
        <f t="shared" si="730"/>
        <v>专属强化石3</v>
      </c>
      <c r="FZ1640" s="101">
        <f t="shared" si="731"/>
        <v>2</v>
      </c>
      <c r="GA1640" s="101">
        <f t="shared" si="736"/>
        <v>0.08</v>
      </c>
      <c r="GB1640" s="101">
        <f t="shared" si="737"/>
        <v>1</v>
      </c>
      <c r="GC1640" s="101">
        <f t="shared" si="738"/>
        <v>19</v>
      </c>
      <c r="GD1640" s="101">
        <f t="shared" si="739"/>
        <v>0</v>
      </c>
      <c r="GE1640" s="101">
        <f t="shared" si="740"/>
        <v>1</v>
      </c>
      <c r="GF1640" s="101">
        <f t="shared" si="741"/>
        <v>4</v>
      </c>
      <c r="GG1640" s="101">
        <f t="shared" si="742"/>
        <v>4.0500000000000001E-2</v>
      </c>
      <c r="GH1640" s="101">
        <f t="shared" si="743"/>
        <v>1</v>
      </c>
      <c r="GI1640" s="101">
        <f t="shared" si="744"/>
        <v>9</v>
      </c>
      <c r="GJ1640" s="101">
        <f t="shared" si="745"/>
        <v>0.16189999999999999</v>
      </c>
      <c r="GK1640" s="101">
        <f t="shared" si="746"/>
        <v>1</v>
      </c>
      <c r="GL1640" s="101">
        <f t="shared" si="747"/>
        <v>19</v>
      </c>
    </row>
    <row r="1641" spans="170:194" ht="16.5" x14ac:dyDescent="0.2">
      <c r="FN1641" s="101">
        <v>1636</v>
      </c>
      <c r="FO1641" s="101">
        <f t="shared" si="732"/>
        <v>32</v>
      </c>
      <c r="FP1641" s="101">
        <f t="shared" si="725"/>
        <v>21</v>
      </c>
      <c r="FQ1641" s="14">
        <f t="shared" si="726"/>
        <v>4</v>
      </c>
      <c r="FR1641" s="101" t="str">
        <f t="shared" si="733"/>
        <v>秦琼专属武器-魂珠-4 5级</v>
      </c>
      <c r="FS1641" s="101">
        <f t="shared" si="734"/>
        <v>4</v>
      </c>
      <c r="FT1641" s="101">
        <f t="shared" si="735"/>
        <v>5</v>
      </c>
      <c r="FU1641" s="101" t="str">
        <f t="shared" si="727"/>
        <v>金币</v>
      </c>
      <c r="FV1641" s="139">
        <f>IF($FT1641&gt;0,IF(INDEX($EI$6:$EI$77,$FO1641)&gt;=FV$3,ROUND(INDEX(EK$6:EK$77,$FO1641)*INDEX(卡牌消耗!$B$8:$F$8,FQ1641)/5,0)*5,""),"")</f>
        <v>1780</v>
      </c>
      <c r="FW1641" s="101" t="str">
        <f t="shared" si="728"/>
        <v>专属强化石2</v>
      </c>
      <c r="FX1641" s="101">
        <f t="shared" si="729"/>
        <v>5</v>
      </c>
      <c r="FY1641" s="101" t="str">
        <f t="shared" si="730"/>
        <v>专属强化石3</v>
      </c>
      <c r="FZ1641" s="101">
        <f t="shared" si="731"/>
        <v>2</v>
      </c>
      <c r="GA1641" s="101">
        <f t="shared" si="736"/>
        <v>0.05</v>
      </c>
      <c r="GB1641" s="101">
        <f t="shared" si="737"/>
        <v>1</v>
      </c>
      <c r="GC1641" s="101">
        <f t="shared" si="738"/>
        <v>30</v>
      </c>
      <c r="GD1641" s="101">
        <f t="shared" si="739"/>
        <v>0</v>
      </c>
      <c r="GE1641" s="101">
        <f t="shared" si="740"/>
        <v>1</v>
      </c>
      <c r="GF1641" s="101">
        <f t="shared" si="741"/>
        <v>7</v>
      </c>
      <c r="GG1641" s="101">
        <f t="shared" si="742"/>
        <v>2.53E-2</v>
      </c>
      <c r="GH1641" s="101">
        <f t="shared" si="743"/>
        <v>1</v>
      </c>
      <c r="GI1641" s="101">
        <f t="shared" si="744"/>
        <v>14</v>
      </c>
      <c r="GJ1641" s="101">
        <f t="shared" si="745"/>
        <v>0.1012</v>
      </c>
      <c r="GK1641" s="101">
        <f t="shared" si="746"/>
        <v>1</v>
      </c>
      <c r="GL1641" s="101">
        <f t="shared" si="747"/>
        <v>30</v>
      </c>
    </row>
    <row r="1642" spans="170:194" ht="16.5" x14ac:dyDescent="0.2">
      <c r="FN1642" s="101">
        <v>1637</v>
      </c>
      <c r="FO1642" s="101">
        <f t="shared" si="732"/>
        <v>33</v>
      </c>
      <c r="FP1642" s="101">
        <f t="shared" si="725"/>
        <v>21</v>
      </c>
      <c r="FQ1642" s="14">
        <f t="shared" si="726"/>
        <v>4</v>
      </c>
      <c r="FR1642" s="101" t="str">
        <f t="shared" si="733"/>
        <v>秦琼专属武器-魂珠-4 6级</v>
      </c>
      <c r="FS1642" s="101">
        <f t="shared" si="734"/>
        <v>4</v>
      </c>
      <c r="FT1642" s="101">
        <f t="shared" si="735"/>
        <v>6</v>
      </c>
      <c r="FU1642" s="101" t="str">
        <f t="shared" si="727"/>
        <v>金币</v>
      </c>
      <c r="FV1642" s="139">
        <f>IF($FT1642&gt;0,IF(INDEX($EI$6:$EI$77,$FO1642)&gt;=FV$3,ROUND(INDEX(EK$6:EK$77,$FO1642)*INDEX(卡牌消耗!$B$8:$F$8,FQ1642)/5,0)*5,""),"")</f>
        <v>1770</v>
      </c>
      <c r="FW1642" s="101" t="str">
        <f t="shared" si="728"/>
        <v>专属强化石2</v>
      </c>
      <c r="FX1642" s="101">
        <f t="shared" si="729"/>
        <v>5</v>
      </c>
      <c r="FY1642" s="101" t="str">
        <f t="shared" si="730"/>
        <v>专属强化石3</v>
      </c>
      <c r="FZ1642" s="101">
        <f t="shared" si="731"/>
        <v>2</v>
      </c>
      <c r="GA1642" s="101">
        <f t="shared" si="736"/>
        <v>0.03</v>
      </c>
      <c r="GB1642" s="101">
        <f t="shared" si="737"/>
        <v>1</v>
      </c>
      <c r="GC1642" s="101">
        <f t="shared" si="738"/>
        <v>48</v>
      </c>
      <c r="GD1642" s="101">
        <f t="shared" si="739"/>
        <v>0</v>
      </c>
      <c r="GE1642" s="101">
        <f t="shared" si="740"/>
        <v>1</v>
      </c>
      <c r="GF1642" s="101">
        <f t="shared" si="741"/>
        <v>11</v>
      </c>
      <c r="GG1642" s="101">
        <f t="shared" si="742"/>
        <v>1.5599999999999999E-2</v>
      </c>
      <c r="GH1642" s="101">
        <f t="shared" si="743"/>
        <v>1</v>
      </c>
      <c r="GI1642" s="101">
        <f t="shared" si="744"/>
        <v>22</v>
      </c>
      <c r="GJ1642" s="101">
        <f t="shared" si="745"/>
        <v>6.2300000000000001E-2</v>
      </c>
      <c r="GK1642" s="101">
        <f t="shared" si="746"/>
        <v>1</v>
      </c>
      <c r="GL1642" s="101">
        <f t="shared" si="747"/>
        <v>48</v>
      </c>
    </row>
    <row r="1643" spans="170:194" ht="16.5" x14ac:dyDescent="0.2">
      <c r="FN1643" s="101">
        <v>1638</v>
      </c>
      <c r="FO1643" s="101">
        <f t="shared" si="732"/>
        <v>34</v>
      </c>
      <c r="FP1643" s="101">
        <f t="shared" si="725"/>
        <v>21</v>
      </c>
      <c r="FQ1643" s="14">
        <f t="shared" si="726"/>
        <v>4</v>
      </c>
      <c r="FR1643" s="101" t="str">
        <f t="shared" si="733"/>
        <v>秦琼专属武器-魂珠-4 7级</v>
      </c>
      <c r="FS1643" s="101">
        <f t="shared" si="734"/>
        <v>4</v>
      </c>
      <c r="FT1643" s="101">
        <f t="shared" si="735"/>
        <v>7</v>
      </c>
      <c r="FU1643" s="101" t="str">
        <f t="shared" si="727"/>
        <v>金币</v>
      </c>
      <c r="FV1643" s="139">
        <f>IF($FT1643&gt;0,IF(INDEX($EI$6:$EI$77,$FO1643)&gt;=FV$3,ROUND(INDEX(EK$6:EK$77,$FO1643)*INDEX(卡牌消耗!$B$8:$F$8,FQ1643)/5,0)*5,""),"")</f>
        <v>2660</v>
      </c>
      <c r="FW1643" s="101" t="str">
        <f t="shared" si="728"/>
        <v>专属强化石2</v>
      </c>
      <c r="FX1643" s="101">
        <f t="shared" si="729"/>
        <v>8</v>
      </c>
      <c r="FY1643" s="101" t="str">
        <f t="shared" si="730"/>
        <v>专属强化石3</v>
      </c>
      <c r="FZ1643" s="101">
        <f t="shared" si="731"/>
        <v>3</v>
      </c>
      <c r="GA1643" s="101">
        <f t="shared" si="736"/>
        <v>0.03</v>
      </c>
      <c r="GB1643" s="101">
        <f t="shared" si="737"/>
        <v>1</v>
      </c>
      <c r="GC1643" s="101">
        <f t="shared" si="738"/>
        <v>52</v>
      </c>
      <c r="GD1643" s="101">
        <f t="shared" si="739"/>
        <v>0</v>
      </c>
      <c r="GE1643" s="101">
        <f t="shared" si="740"/>
        <v>1</v>
      </c>
      <c r="GF1643" s="101">
        <f t="shared" si="741"/>
        <v>12</v>
      </c>
      <c r="GG1643" s="101">
        <f t="shared" si="742"/>
        <v>1.4500000000000001E-2</v>
      </c>
      <c r="GH1643" s="101">
        <f t="shared" si="743"/>
        <v>1</v>
      </c>
      <c r="GI1643" s="101">
        <f t="shared" si="744"/>
        <v>24</v>
      </c>
      <c r="GJ1643" s="101">
        <f t="shared" si="745"/>
        <v>5.7799999999999997E-2</v>
      </c>
      <c r="GK1643" s="101">
        <f t="shared" si="746"/>
        <v>1</v>
      </c>
      <c r="GL1643" s="101">
        <f t="shared" si="747"/>
        <v>52</v>
      </c>
    </row>
    <row r="1644" spans="170:194" ht="16.5" x14ac:dyDescent="0.2">
      <c r="FN1644" s="101">
        <v>1639</v>
      </c>
      <c r="FO1644" s="101">
        <f t="shared" si="732"/>
        <v>35</v>
      </c>
      <c r="FP1644" s="101">
        <f t="shared" si="725"/>
        <v>21</v>
      </c>
      <c r="FQ1644" s="14">
        <f t="shared" si="726"/>
        <v>4</v>
      </c>
      <c r="FR1644" s="101" t="str">
        <f t="shared" si="733"/>
        <v>秦琼专属武器-魂珠-4 8级</v>
      </c>
      <c r="FS1644" s="101">
        <f t="shared" si="734"/>
        <v>4</v>
      </c>
      <c r="FT1644" s="101">
        <f t="shared" si="735"/>
        <v>8</v>
      </c>
      <c r="FU1644" s="101" t="str">
        <f t="shared" si="727"/>
        <v>金币</v>
      </c>
      <c r="FV1644" s="139">
        <f>IF($FT1644&gt;0,IF(INDEX($EI$6:$EI$77,$FO1644)&gt;=FV$3,ROUND(INDEX(EK$6:EK$77,$FO1644)*INDEX(卡牌消耗!$B$8:$F$8,FQ1644)/5,0)*5,""),"")</f>
        <v>3540</v>
      </c>
      <c r="FW1644" s="101" t="str">
        <f t="shared" si="728"/>
        <v>专属强化石2</v>
      </c>
      <c r="FX1644" s="101">
        <f t="shared" si="729"/>
        <v>11</v>
      </c>
      <c r="FY1644" s="101" t="str">
        <f t="shared" si="730"/>
        <v>专属强化石3</v>
      </c>
      <c r="FZ1644" s="101">
        <f t="shared" si="731"/>
        <v>4</v>
      </c>
      <c r="GA1644" s="101">
        <f t="shared" si="736"/>
        <v>0.02</v>
      </c>
      <c r="GB1644" s="101">
        <f t="shared" si="737"/>
        <v>1</v>
      </c>
      <c r="GC1644" s="101">
        <f t="shared" si="738"/>
        <v>63</v>
      </c>
      <c r="GD1644" s="101">
        <f t="shared" si="739"/>
        <v>0</v>
      </c>
      <c r="GE1644" s="101">
        <f t="shared" si="740"/>
        <v>1</v>
      </c>
      <c r="GF1644" s="101">
        <f t="shared" si="741"/>
        <v>15</v>
      </c>
      <c r="GG1644" s="101">
        <f t="shared" si="742"/>
        <v>1.1900000000000001E-2</v>
      </c>
      <c r="GH1644" s="101">
        <f t="shared" si="743"/>
        <v>1</v>
      </c>
      <c r="GI1644" s="101">
        <f t="shared" si="744"/>
        <v>29</v>
      </c>
      <c r="GJ1644" s="101">
        <f t="shared" si="745"/>
        <v>4.7600000000000003E-2</v>
      </c>
      <c r="GK1644" s="101">
        <f t="shared" si="746"/>
        <v>1</v>
      </c>
      <c r="GL1644" s="101">
        <f t="shared" si="747"/>
        <v>63</v>
      </c>
    </row>
    <row r="1645" spans="170:194" ht="16.5" x14ac:dyDescent="0.2">
      <c r="FN1645" s="101">
        <v>1640</v>
      </c>
      <c r="FO1645" s="101">
        <f t="shared" si="732"/>
        <v>36</v>
      </c>
      <c r="FP1645" s="101">
        <f t="shared" si="725"/>
        <v>21</v>
      </c>
      <c r="FQ1645" s="14">
        <f t="shared" si="726"/>
        <v>4</v>
      </c>
      <c r="FR1645" s="101" t="str">
        <f t="shared" si="733"/>
        <v>秦琼专属武器-魂珠-4 9级</v>
      </c>
      <c r="FS1645" s="101">
        <f t="shared" si="734"/>
        <v>4</v>
      </c>
      <c r="FT1645" s="101">
        <f t="shared" si="735"/>
        <v>9</v>
      </c>
      <c r="FU1645" s="101" t="str">
        <f t="shared" si="727"/>
        <v>金币</v>
      </c>
      <c r="FV1645" s="139">
        <f>IF($FT1645&gt;0,IF(INDEX($EI$6:$EI$77,$FO1645)&gt;=FV$3,ROUND(INDEX(EK$6:EK$77,$FO1645)*INDEX(卡牌消耗!$B$8:$F$8,FQ1645)/5,0)*5,""),"")</f>
        <v>5315</v>
      </c>
      <c r="FW1645" s="101" t="str">
        <f t="shared" si="728"/>
        <v>专属强化石2</v>
      </c>
      <c r="FX1645" s="101">
        <f t="shared" si="729"/>
        <v>16</v>
      </c>
      <c r="FY1645" s="101" t="str">
        <f t="shared" si="730"/>
        <v>专属强化石3</v>
      </c>
      <c r="FZ1645" s="101">
        <f t="shared" si="731"/>
        <v>6</v>
      </c>
      <c r="GA1645" s="101">
        <f t="shared" si="736"/>
        <v>0.02</v>
      </c>
      <c r="GB1645" s="101">
        <f t="shared" si="737"/>
        <v>1</v>
      </c>
      <c r="GC1645" s="101">
        <f t="shared" si="738"/>
        <v>68</v>
      </c>
      <c r="GD1645" s="101">
        <f t="shared" si="739"/>
        <v>0</v>
      </c>
      <c r="GE1645" s="101">
        <f t="shared" si="740"/>
        <v>1</v>
      </c>
      <c r="GF1645" s="101">
        <f t="shared" si="741"/>
        <v>16</v>
      </c>
      <c r="GG1645" s="101">
        <f t="shared" si="742"/>
        <v>1.0999999999999999E-2</v>
      </c>
      <c r="GH1645" s="101">
        <f t="shared" si="743"/>
        <v>1</v>
      </c>
      <c r="GI1645" s="101">
        <f t="shared" si="744"/>
        <v>32</v>
      </c>
      <c r="GJ1645" s="101">
        <f t="shared" si="745"/>
        <v>4.4200000000000003E-2</v>
      </c>
      <c r="GK1645" s="101">
        <f t="shared" si="746"/>
        <v>1</v>
      </c>
      <c r="GL1645" s="101">
        <f t="shared" si="747"/>
        <v>68</v>
      </c>
    </row>
    <row r="1646" spans="170:194" ht="16.5" x14ac:dyDescent="0.2">
      <c r="FN1646" s="101">
        <v>1641</v>
      </c>
      <c r="FO1646" s="101">
        <f t="shared" si="732"/>
        <v>0</v>
      </c>
      <c r="FP1646" s="101">
        <f t="shared" si="725"/>
        <v>21</v>
      </c>
      <c r="FQ1646" s="14">
        <f t="shared" si="726"/>
        <v>4</v>
      </c>
      <c r="FR1646" s="101" t="str">
        <f t="shared" si="733"/>
        <v>秦琼专属武器-魂珠-5 0级</v>
      </c>
      <c r="FS1646" s="101">
        <f t="shared" si="734"/>
        <v>5</v>
      </c>
      <c r="FT1646" s="101">
        <f t="shared" si="735"/>
        <v>0</v>
      </c>
      <c r="FU1646" s="101" t="str">
        <f t="shared" si="727"/>
        <v/>
      </c>
      <c r="FV1646" s="139" t="str">
        <f>IF($FT1646&gt;0,IF(INDEX($EI$6:$EI$77,$FO1646)&gt;=FV$3,ROUND(INDEX(EK$6:EK$77,$FO1646)*INDEX(卡牌消耗!$B$8:$F$8,FQ1646)/5,0)*5,""),"")</f>
        <v/>
      </c>
      <c r="FW1646" s="101" t="str">
        <f t="shared" si="728"/>
        <v/>
      </c>
      <c r="FX1646" s="101" t="str">
        <f t="shared" si="729"/>
        <v/>
      </c>
      <c r="FY1646" s="101" t="str">
        <f t="shared" si="730"/>
        <v/>
      </c>
      <c r="FZ1646" s="101" t="str">
        <f t="shared" si="731"/>
        <v/>
      </c>
      <c r="GA1646" s="101" t="str">
        <f t="shared" si="736"/>
        <v/>
      </c>
      <c r="GB1646" s="101" t="str">
        <f t="shared" si="737"/>
        <v/>
      </c>
      <c r="GC1646" s="101" t="str">
        <f t="shared" si="738"/>
        <v/>
      </c>
      <c r="GD1646" s="101" t="str">
        <f t="shared" si="739"/>
        <v/>
      </c>
      <c r="GE1646" s="101" t="str">
        <f t="shared" si="740"/>
        <v/>
      </c>
      <c r="GF1646" s="101" t="str">
        <f t="shared" si="741"/>
        <v/>
      </c>
      <c r="GG1646" s="101" t="str">
        <f t="shared" si="742"/>
        <v/>
      </c>
      <c r="GH1646" s="101" t="str">
        <f t="shared" si="743"/>
        <v/>
      </c>
      <c r="GI1646" s="101" t="str">
        <f t="shared" si="744"/>
        <v/>
      </c>
      <c r="GJ1646" s="101" t="str">
        <f t="shared" si="745"/>
        <v/>
      </c>
      <c r="GK1646" s="101" t="str">
        <f t="shared" si="746"/>
        <v/>
      </c>
      <c r="GL1646" s="101" t="str">
        <f t="shared" si="747"/>
        <v/>
      </c>
    </row>
    <row r="1647" spans="170:194" ht="16.5" x14ac:dyDescent="0.2">
      <c r="FN1647" s="101">
        <v>1642</v>
      </c>
      <c r="FO1647" s="101">
        <f t="shared" si="732"/>
        <v>37</v>
      </c>
      <c r="FP1647" s="101">
        <f t="shared" si="725"/>
        <v>21</v>
      </c>
      <c r="FQ1647" s="14">
        <f t="shared" si="726"/>
        <v>4</v>
      </c>
      <c r="FR1647" s="101" t="str">
        <f t="shared" si="733"/>
        <v>秦琼专属武器-魂珠-5 1级</v>
      </c>
      <c r="FS1647" s="101">
        <f t="shared" si="734"/>
        <v>5</v>
      </c>
      <c r="FT1647" s="101">
        <f t="shared" si="735"/>
        <v>1</v>
      </c>
      <c r="FU1647" s="101" t="str">
        <f t="shared" si="727"/>
        <v>金币</v>
      </c>
      <c r="FV1647" s="139">
        <f>IF($FT1647&gt;0,IF(INDEX($EI$6:$EI$77,$FO1647)&gt;=FV$3,ROUND(INDEX(EK$6:EK$77,$FO1647)*INDEX(卡牌消耗!$B$8:$F$8,FQ1647)/5,0)*5,""),"")</f>
        <v>2245</v>
      </c>
      <c r="FW1647" s="101" t="str">
        <f t="shared" si="728"/>
        <v>专属强化石2</v>
      </c>
      <c r="FX1647" s="101">
        <f t="shared" si="729"/>
        <v>3</v>
      </c>
      <c r="FY1647" s="101" t="str">
        <f t="shared" si="730"/>
        <v>专属强化石3</v>
      </c>
      <c r="FZ1647" s="101">
        <f t="shared" si="731"/>
        <v>2</v>
      </c>
      <c r="GA1647" s="101">
        <f t="shared" si="736"/>
        <v>0.2</v>
      </c>
      <c r="GB1647" s="101">
        <f t="shared" si="737"/>
        <v>1</v>
      </c>
      <c r="GC1647" s="101">
        <f t="shared" si="738"/>
        <v>7</v>
      </c>
      <c r="GD1647" s="101">
        <f t="shared" si="739"/>
        <v>0</v>
      </c>
      <c r="GE1647" s="101">
        <f t="shared" si="740"/>
        <v>1</v>
      </c>
      <c r="GF1647" s="101">
        <f t="shared" si="741"/>
        <v>2</v>
      </c>
      <c r="GG1647" s="101">
        <f t="shared" si="742"/>
        <v>0.1012</v>
      </c>
      <c r="GH1647" s="101">
        <f t="shared" si="743"/>
        <v>1</v>
      </c>
      <c r="GI1647" s="101">
        <f t="shared" si="744"/>
        <v>3</v>
      </c>
      <c r="GJ1647" s="101">
        <f t="shared" si="745"/>
        <v>0.40479999999999999</v>
      </c>
      <c r="GK1647" s="101">
        <f t="shared" si="746"/>
        <v>1</v>
      </c>
      <c r="GL1647" s="101">
        <f t="shared" si="747"/>
        <v>7</v>
      </c>
    </row>
    <row r="1648" spans="170:194" ht="16.5" x14ac:dyDescent="0.2">
      <c r="FN1648" s="101">
        <v>1643</v>
      </c>
      <c r="FO1648" s="101">
        <f t="shared" si="732"/>
        <v>38</v>
      </c>
      <c r="FP1648" s="101">
        <f t="shared" si="725"/>
        <v>21</v>
      </c>
      <c r="FQ1648" s="14">
        <f t="shared" si="726"/>
        <v>4</v>
      </c>
      <c r="FR1648" s="101" t="str">
        <f t="shared" si="733"/>
        <v>秦琼专属武器-魂珠-5 2级</v>
      </c>
      <c r="FS1648" s="101">
        <f t="shared" si="734"/>
        <v>5</v>
      </c>
      <c r="FT1648" s="101">
        <f t="shared" si="735"/>
        <v>2</v>
      </c>
      <c r="FU1648" s="101" t="str">
        <f t="shared" si="727"/>
        <v>金币</v>
      </c>
      <c r="FV1648" s="139">
        <f>IF($FT1648&gt;0,IF(INDEX($EI$6:$EI$77,$FO1648)&gt;=FV$3,ROUND(INDEX(EK$6:EK$77,$FO1648)*INDEX(卡牌消耗!$B$8:$F$8,FQ1648)/5,0)*5,""),"")</f>
        <v>1685</v>
      </c>
      <c r="FW1648" s="101" t="str">
        <f t="shared" si="728"/>
        <v>专属强化石2</v>
      </c>
      <c r="FX1648" s="101">
        <f t="shared" si="729"/>
        <v>3</v>
      </c>
      <c r="FY1648" s="101" t="str">
        <f t="shared" si="730"/>
        <v>专属强化石3</v>
      </c>
      <c r="FZ1648" s="101">
        <f t="shared" si="731"/>
        <v>2</v>
      </c>
      <c r="GA1648" s="101">
        <f t="shared" si="736"/>
        <v>0.1</v>
      </c>
      <c r="GB1648" s="101">
        <f t="shared" si="737"/>
        <v>1</v>
      </c>
      <c r="GC1648" s="101">
        <f t="shared" si="738"/>
        <v>15</v>
      </c>
      <c r="GD1648" s="101">
        <f t="shared" si="739"/>
        <v>0</v>
      </c>
      <c r="GE1648" s="101">
        <f t="shared" si="740"/>
        <v>1</v>
      </c>
      <c r="GF1648" s="101">
        <f t="shared" si="741"/>
        <v>3</v>
      </c>
      <c r="GG1648" s="101">
        <f t="shared" si="742"/>
        <v>5.0599999999999999E-2</v>
      </c>
      <c r="GH1648" s="101">
        <f t="shared" si="743"/>
        <v>1</v>
      </c>
      <c r="GI1648" s="101">
        <f t="shared" si="744"/>
        <v>7</v>
      </c>
      <c r="GJ1648" s="101">
        <f t="shared" si="745"/>
        <v>0.2024</v>
      </c>
      <c r="GK1648" s="101">
        <f t="shared" si="746"/>
        <v>1</v>
      </c>
      <c r="GL1648" s="101">
        <f t="shared" si="747"/>
        <v>15</v>
      </c>
    </row>
    <row r="1649" spans="170:194" ht="16.5" x14ac:dyDescent="0.2">
      <c r="FN1649" s="101">
        <v>1644</v>
      </c>
      <c r="FO1649" s="101">
        <f t="shared" si="732"/>
        <v>39</v>
      </c>
      <c r="FP1649" s="101">
        <f t="shared" si="725"/>
        <v>21</v>
      </c>
      <c r="FQ1649" s="14">
        <f t="shared" si="726"/>
        <v>4</v>
      </c>
      <c r="FR1649" s="101" t="str">
        <f t="shared" si="733"/>
        <v>秦琼专属武器-魂珠-5 3级</v>
      </c>
      <c r="FS1649" s="101">
        <f t="shared" si="734"/>
        <v>5</v>
      </c>
      <c r="FT1649" s="101">
        <f t="shared" si="735"/>
        <v>3</v>
      </c>
      <c r="FU1649" s="101" t="str">
        <f t="shared" si="727"/>
        <v>金币</v>
      </c>
      <c r="FV1649" s="139">
        <f>IF($FT1649&gt;0,IF(INDEX($EI$6:$EI$77,$FO1649)&gt;=FV$3,ROUND(INDEX(EK$6:EK$77,$FO1649)*INDEX(卡牌消耗!$B$8:$F$8,FQ1649)/5,0)*5,""),"")</f>
        <v>1870</v>
      </c>
      <c r="FW1649" s="101" t="str">
        <f t="shared" si="728"/>
        <v>专属强化石2</v>
      </c>
      <c r="FX1649" s="101">
        <f t="shared" si="729"/>
        <v>3</v>
      </c>
      <c r="FY1649" s="101" t="str">
        <f t="shared" si="730"/>
        <v>专属强化石3</v>
      </c>
      <c r="FZ1649" s="101">
        <f t="shared" si="731"/>
        <v>2</v>
      </c>
      <c r="GA1649" s="101">
        <f t="shared" si="736"/>
        <v>7.0000000000000007E-2</v>
      </c>
      <c r="GB1649" s="101">
        <f t="shared" si="737"/>
        <v>1</v>
      </c>
      <c r="GC1649" s="101">
        <f t="shared" si="738"/>
        <v>22</v>
      </c>
      <c r="GD1649" s="101">
        <f t="shared" si="739"/>
        <v>0</v>
      </c>
      <c r="GE1649" s="101">
        <f t="shared" si="740"/>
        <v>1</v>
      </c>
      <c r="GF1649" s="101">
        <f t="shared" si="741"/>
        <v>5</v>
      </c>
      <c r="GG1649" s="101">
        <f t="shared" si="742"/>
        <v>3.3700000000000001E-2</v>
      </c>
      <c r="GH1649" s="101">
        <f t="shared" si="743"/>
        <v>1</v>
      </c>
      <c r="GI1649" s="101">
        <f t="shared" si="744"/>
        <v>10</v>
      </c>
      <c r="GJ1649" s="101">
        <f t="shared" si="745"/>
        <v>0.13489999999999999</v>
      </c>
      <c r="GK1649" s="101">
        <f t="shared" si="746"/>
        <v>1</v>
      </c>
      <c r="GL1649" s="101">
        <f t="shared" si="747"/>
        <v>22</v>
      </c>
    </row>
    <row r="1650" spans="170:194" ht="16.5" x14ac:dyDescent="0.2">
      <c r="FN1650" s="101">
        <v>1645</v>
      </c>
      <c r="FO1650" s="101">
        <f t="shared" si="732"/>
        <v>40</v>
      </c>
      <c r="FP1650" s="101">
        <f t="shared" si="725"/>
        <v>21</v>
      </c>
      <c r="FQ1650" s="14">
        <f t="shared" si="726"/>
        <v>4</v>
      </c>
      <c r="FR1650" s="101" t="str">
        <f t="shared" si="733"/>
        <v>秦琼专属武器-魂珠-5 4级</v>
      </c>
      <c r="FS1650" s="101">
        <f t="shared" si="734"/>
        <v>5</v>
      </c>
      <c r="FT1650" s="101">
        <f t="shared" si="735"/>
        <v>4</v>
      </c>
      <c r="FU1650" s="101" t="str">
        <f t="shared" si="727"/>
        <v>金币</v>
      </c>
      <c r="FV1650" s="139">
        <f>IF($FT1650&gt;0,IF(INDEX($EI$6:$EI$77,$FO1650)&gt;=FV$3,ROUND(INDEX(EK$6:EK$77,$FO1650)*INDEX(卡牌消耗!$B$8:$F$8,FQ1650)/5,0)*5,""),"")</f>
        <v>2695</v>
      </c>
      <c r="FW1650" s="101" t="str">
        <f t="shared" si="728"/>
        <v>专属强化石2</v>
      </c>
      <c r="FX1650" s="101">
        <f t="shared" si="729"/>
        <v>5</v>
      </c>
      <c r="FY1650" s="101" t="str">
        <f t="shared" si="730"/>
        <v>专属强化石3</v>
      </c>
      <c r="FZ1650" s="101">
        <f t="shared" si="731"/>
        <v>3</v>
      </c>
      <c r="GA1650" s="101">
        <f t="shared" si="736"/>
        <v>0.06</v>
      </c>
      <c r="GB1650" s="101">
        <f t="shared" si="737"/>
        <v>1</v>
      </c>
      <c r="GC1650" s="101">
        <f t="shared" si="738"/>
        <v>25</v>
      </c>
      <c r="GD1650" s="101">
        <f t="shared" si="739"/>
        <v>0</v>
      </c>
      <c r="GE1650" s="101">
        <f t="shared" si="740"/>
        <v>1</v>
      </c>
      <c r="GF1650" s="101">
        <f t="shared" si="741"/>
        <v>6</v>
      </c>
      <c r="GG1650" s="101">
        <f t="shared" si="742"/>
        <v>3.04E-2</v>
      </c>
      <c r="GH1650" s="101">
        <f t="shared" si="743"/>
        <v>1</v>
      </c>
      <c r="GI1650" s="101">
        <f t="shared" si="744"/>
        <v>12</v>
      </c>
      <c r="GJ1650" s="101">
        <f t="shared" si="745"/>
        <v>0.12139999999999999</v>
      </c>
      <c r="GK1650" s="101">
        <f t="shared" si="746"/>
        <v>1</v>
      </c>
      <c r="GL1650" s="101">
        <f t="shared" si="747"/>
        <v>25</v>
      </c>
    </row>
    <row r="1651" spans="170:194" ht="16.5" x14ac:dyDescent="0.2">
      <c r="FN1651" s="101">
        <v>1646</v>
      </c>
      <c r="FO1651" s="101">
        <f t="shared" si="732"/>
        <v>41</v>
      </c>
      <c r="FP1651" s="101">
        <f t="shared" si="725"/>
        <v>21</v>
      </c>
      <c r="FQ1651" s="14">
        <f t="shared" si="726"/>
        <v>4</v>
      </c>
      <c r="FR1651" s="101" t="str">
        <f t="shared" si="733"/>
        <v>秦琼专属武器-魂珠-5 5级</v>
      </c>
      <c r="FS1651" s="101">
        <f t="shared" si="734"/>
        <v>5</v>
      </c>
      <c r="FT1651" s="101">
        <f t="shared" si="735"/>
        <v>5</v>
      </c>
      <c r="FU1651" s="101" t="str">
        <f t="shared" si="727"/>
        <v>金币</v>
      </c>
      <c r="FV1651" s="139">
        <f>IF($FT1651&gt;0,IF(INDEX($EI$6:$EI$77,$FO1651)&gt;=FV$3,ROUND(INDEX(EK$6:EK$77,$FO1651)*INDEX(卡牌消耗!$B$8:$F$8,FQ1651)/5,0)*5,""),"")</f>
        <v>2735</v>
      </c>
      <c r="FW1651" s="101" t="str">
        <f t="shared" si="728"/>
        <v>专属强化石2</v>
      </c>
      <c r="FX1651" s="101">
        <f t="shared" si="729"/>
        <v>5</v>
      </c>
      <c r="FY1651" s="101" t="str">
        <f t="shared" si="730"/>
        <v>专属强化石3</v>
      </c>
      <c r="FZ1651" s="101">
        <f t="shared" si="731"/>
        <v>3</v>
      </c>
      <c r="GA1651" s="101">
        <f t="shared" si="736"/>
        <v>0.04</v>
      </c>
      <c r="GB1651" s="101">
        <f t="shared" si="737"/>
        <v>1</v>
      </c>
      <c r="GC1651" s="101">
        <f t="shared" si="738"/>
        <v>40</v>
      </c>
      <c r="GD1651" s="101">
        <f t="shared" si="739"/>
        <v>0</v>
      </c>
      <c r="GE1651" s="101">
        <f t="shared" si="740"/>
        <v>1</v>
      </c>
      <c r="GF1651" s="101">
        <f t="shared" si="741"/>
        <v>9</v>
      </c>
      <c r="GG1651" s="101">
        <f t="shared" si="742"/>
        <v>1.9E-2</v>
      </c>
      <c r="GH1651" s="101">
        <f t="shared" si="743"/>
        <v>1</v>
      </c>
      <c r="GI1651" s="101">
        <f t="shared" si="744"/>
        <v>18</v>
      </c>
      <c r="GJ1651" s="101">
        <f t="shared" si="745"/>
        <v>7.5899999999999995E-2</v>
      </c>
      <c r="GK1651" s="101">
        <f t="shared" si="746"/>
        <v>1</v>
      </c>
      <c r="GL1651" s="101">
        <f t="shared" si="747"/>
        <v>40</v>
      </c>
    </row>
    <row r="1652" spans="170:194" ht="16.5" x14ac:dyDescent="0.2">
      <c r="FN1652" s="101">
        <v>1647</v>
      </c>
      <c r="FO1652" s="101">
        <f t="shared" si="732"/>
        <v>42</v>
      </c>
      <c r="FP1652" s="101">
        <f t="shared" si="725"/>
        <v>21</v>
      </c>
      <c r="FQ1652" s="14">
        <f t="shared" si="726"/>
        <v>4</v>
      </c>
      <c r="FR1652" s="101" t="str">
        <f t="shared" si="733"/>
        <v>秦琼专属武器-魂珠-5 6级</v>
      </c>
      <c r="FS1652" s="101">
        <f t="shared" si="734"/>
        <v>5</v>
      </c>
      <c r="FT1652" s="101">
        <f t="shared" si="735"/>
        <v>6</v>
      </c>
      <c r="FU1652" s="101" t="str">
        <f t="shared" si="727"/>
        <v>金币</v>
      </c>
      <c r="FV1652" s="139">
        <f>IF($FT1652&gt;0,IF(INDEX($EI$6:$EI$77,$FO1652)&gt;=FV$3,ROUND(INDEX(EK$6:EK$77,$FO1652)*INDEX(卡牌消耗!$B$8:$F$8,FQ1652)/5,0)*5,""),"")</f>
        <v>4530</v>
      </c>
      <c r="FW1652" s="101" t="str">
        <f t="shared" si="728"/>
        <v>专属强化石2</v>
      </c>
      <c r="FX1652" s="101">
        <f t="shared" si="729"/>
        <v>8</v>
      </c>
      <c r="FY1652" s="101" t="str">
        <f t="shared" si="730"/>
        <v>专属强化石3</v>
      </c>
      <c r="FZ1652" s="101">
        <f t="shared" si="731"/>
        <v>5</v>
      </c>
      <c r="GA1652" s="101">
        <f t="shared" si="736"/>
        <v>0.04</v>
      </c>
      <c r="GB1652" s="101">
        <f t="shared" si="737"/>
        <v>1</v>
      </c>
      <c r="GC1652" s="101">
        <f t="shared" si="738"/>
        <v>39</v>
      </c>
      <c r="GD1652" s="101">
        <f t="shared" si="739"/>
        <v>0</v>
      </c>
      <c r="GE1652" s="101">
        <f t="shared" si="740"/>
        <v>1</v>
      </c>
      <c r="GF1652" s="101">
        <f t="shared" si="741"/>
        <v>9</v>
      </c>
      <c r="GG1652" s="101">
        <f t="shared" si="742"/>
        <v>1.95E-2</v>
      </c>
      <c r="GH1652" s="101">
        <f t="shared" si="743"/>
        <v>1</v>
      </c>
      <c r="GI1652" s="101">
        <f t="shared" si="744"/>
        <v>18</v>
      </c>
      <c r="GJ1652" s="101">
        <f t="shared" si="745"/>
        <v>7.7799999999999994E-2</v>
      </c>
      <c r="GK1652" s="101">
        <f t="shared" si="746"/>
        <v>1</v>
      </c>
      <c r="GL1652" s="101">
        <f t="shared" si="747"/>
        <v>39</v>
      </c>
    </row>
    <row r="1653" spans="170:194" ht="16.5" x14ac:dyDescent="0.2">
      <c r="FN1653" s="101">
        <v>1648</v>
      </c>
      <c r="FO1653" s="101">
        <f t="shared" si="732"/>
        <v>43</v>
      </c>
      <c r="FP1653" s="101">
        <f t="shared" si="725"/>
        <v>21</v>
      </c>
      <c r="FQ1653" s="14">
        <f t="shared" si="726"/>
        <v>4</v>
      </c>
      <c r="FR1653" s="101" t="str">
        <f t="shared" si="733"/>
        <v>秦琼专属武器-魂珠-5 7级</v>
      </c>
      <c r="FS1653" s="101">
        <f t="shared" si="734"/>
        <v>5</v>
      </c>
      <c r="FT1653" s="101">
        <f t="shared" si="735"/>
        <v>7</v>
      </c>
      <c r="FU1653" s="101" t="str">
        <f t="shared" si="727"/>
        <v>金币</v>
      </c>
      <c r="FV1653" s="139">
        <f>IF($FT1653&gt;0,IF(INDEX($EI$6:$EI$77,$FO1653)&gt;=FV$3,ROUND(INDEX(EK$6:EK$77,$FO1653)*INDEX(卡牌消耗!$B$8:$F$8,FQ1653)/5,0)*5,""),"")</f>
        <v>4540</v>
      </c>
      <c r="FW1653" s="101" t="str">
        <f t="shared" si="728"/>
        <v>专属强化石2</v>
      </c>
      <c r="FX1653" s="101">
        <f t="shared" si="729"/>
        <v>8</v>
      </c>
      <c r="FY1653" s="101" t="str">
        <f t="shared" si="730"/>
        <v>专属强化石3</v>
      </c>
      <c r="FZ1653" s="101">
        <f t="shared" si="731"/>
        <v>5</v>
      </c>
      <c r="GA1653" s="101">
        <f t="shared" si="736"/>
        <v>0.02</v>
      </c>
      <c r="GB1653" s="101">
        <f t="shared" si="737"/>
        <v>1</v>
      </c>
      <c r="GC1653" s="101">
        <f t="shared" si="738"/>
        <v>62</v>
      </c>
      <c r="GD1653" s="101">
        <f t="shared" si="739"/>
        <v>0</v>
      </c>
      <c r="GE1653" s="101">
        <f t="shared" si="740"/>
        <v>1</v>
      </c>
      <c r="GF1653" s="101">
        <f t="shared" si="741"/>
        <v>15</v>
      </c>
      <c r="GG1653" s="101">
        <f t="shared" si="742"/>
        <v>1.2E-2</v>
      </c>
      <c r="GH1653" s="101">
        <f t="shared" si="743"/>
        <v>1</v>
      </c>
      <c r="GI1653" s="101">
        <f t="shared" si="744"/>
        <v>29</v>
      </c>
      <c r="GJ1653" s="101">
        <f t="shared" si="745"/>
        <v>4.82E-2</v>
      </c>
      <c r="GK1653" s="101">
        <f t="shared" si="746"/>
        <v>1</v>
      </c>
      <c r="GL1653" s="101">
        <f t="shared" si="747"/>
        <v>62</v>
      </c>
    </row>
    <row r="1654" spans="170:194" ht="16.5" x14ac:dyDescent="0.2">
      <c r="FN1654" s="101">
        <v>1649</v>
      </c>
      <c r="FO1654" s="101">
        <f t="shared" si="732"/>
        <v>44</v>
      </c>
      <c r="FP1654" s="101">
        <f t="shared" si="725"/>
        <v>21</v>
      </c>
      <c r="FQ1654" s="14">
        <f t="shared" si="726"/>
        <v>4</v>
      </c>
      <c r="FR1654" s="101" t="str">
        <f t="shared" si="733"/>
        <v>秦琼专属武器-魂珠-5 8级</v>
      </c>
      <c r="FS1654" s="101">
        <f t="shared" si="734"/>
        <v>5</v>
      </c>
      <c r="FT1654" s="101">
        <f t="shared" si="735"/>
        <v>8</v>
      </c>
      <c r="FU1654" s="101" t="str">
        <f t="shared" si="727"/>
        <v>金币</v>
      </c>
      <c r="FV1654" s="139">
        <f>IF($FT1654&gt;0,IF(INDEX($EI$6:$EI$77,$FO1654)&gt;=FV$3,ROUND(INDEX(EK$6:EK$77,$FO1654)*INDEX(卡牌消耗!$B$8:$F$8,FQ1654)/5,0)*5,""),"")</f>
        <v>6350</v>
      </c>
      <c r="FW1654" s="101" t="str">
        <f t="shared" si="728"/>
        <v>专属强化石2</v>
      </c>
      <c r="FX1654" s="101">
        <f t="shared" si="729"/>
        <v>11</v>
      </c>
      <c r="FY1654" s="101" t="str">
        <f t="shared" si="730"/>
        <v>专属强化石3</v>
      </c>
      <c r="FZ1654" s="101">
        <f t="shared" si="731"/>
        <v>7</v>
      </c>
      <c r="GA1654" s="101">
        <f t="shared" si="736"/>
        <v>0.02</v>
      </c>
      <c r="GB1654" s="101">
        <f t="shared" si="737"/>
        <v>1</v>
      </c>
      <c r="GC1654" s="101">
        <f t="shared" si="738"/>
        <v>72</v>
      </c>
      <c r="GD1654" s="101">
        <f t="shared" si="739"/>
        <v>0</v>
      </c>
      <c r="GE1654" s="101">
        <f t="shared" si="740"/>
        <v>1</v>
      </c>
      <c r="GF1654" s="101">
        <f t="shared" si="741"/>
        <v>17</v>
      </c>
      <c r="GG1654" s="101">
        <f t="shared" si="742"/>
        <v>1.04E-2</v>
      </c>
      <c r="GH1654" s="101">
        <f t="shared" si="743"/>
        <v>1</v>
      </c>
      <c r="GI1654" s="101">
        <f t="shared" si="744"/>
        <v>34</v>
      </c>
      <c r="GJ1654" s="101">
        <f t="shared" si="745"/>
        <v>4.1700000000000001E-2</v>
      </c>
      <c r="GK1654" s="101">
        <f t="shared" si="746"/>
        <v>1</v>
      </c>
      <c r="GL1654" s="101">
        <f t="shared" si="747"/>
        <v>72</v>
      </c>
    </row>
    <row r="1655" spans="170:194" ht="16.5" x14ac:dyDescent="0.2">
      <c r="FN1655" s="101">
        <v>1650</v>
      </c>
      <c r="FO1655" s="101">
        <f t="shared" si="732"/>
        <v>45</v>
      </c>
      <c r="FP1655" s="101">
        <f t="shared" si="725"/>
        <v>21</v>
      </c>
      <c r="FQ1655" s="14">
        <f t="shared" si="726"/>
        <v>4</v>
      </c>
      <c r="FR1655" s="101" t="str">
        <f t="shared" si="733"/>
        <v>秦琼专属武器-魂珠-5 9级</v>
      </c>
      <c r="FS1655" s="101">
        <f t="shared" si="734"/>
        <v>5</v>
      </c>
      <c r="FT1655" s="101">
        <f t="shared" si="735"/>
        <v>9</v>
      </c>
      <c r="FU1655" s="101" t="str">
        <f t="shared" si="727"/>
        <v>金币</v>
      </c>
      <c r="FV1655" s="139">
        <f>IF($FT1655&gt;0,IF(INDEX($EI$6:$EI$77,$FO1655)&gt;=FV$3,ROUND(INDEX(EK$6:EK$77,$FO1655)*INDEX(卡牌消耗!$B$8:$F$8,FQ1655)/5,0)*5,""),"")</f>
        <v>8170</v>
      </c>
      <c r="FW1655" s="101" t="str">
        <f t="shared" si="728"/>
        <v>专属强化石2</v>
      </c>
      <c r="FX1655" s="101">
        <f t="shared" si="729"/>
        <v>14</v>
      </c>
      <c r="FY1655" s="101" t="str">
        <f t="shared" si="730"/>
        <v>专属强化石3</v>
      </c>
      <c r="FZ1655" s="101">
        <f t="shared" si="731"/>
        <v>9</v>
      </c>
      <c r="GA1655" s="101">
        <f t="shared" si="736"/>
        <v>0.02</v>
      </c>
      <c r="GB1655" s="101">
        <f t="shared" si="737"/>
        <v>1</v>
      </c>
      <c r="GC1655" s="101">
        <f t="shared" si="738"/>
        <v>91</v>
      </c>
      <c r="GD1655" s="101">
        <f t="shared" si="739"/>
        <v>0</v>
      </c>
      <c r="GE1655" s="101">
        <f t="shared" si="740"/>
        <v>1</v>
      </c>
      <c r="GF1655" s="101">
        <f t="shared" si="741"/>
        <v>21</v>
      </c>
      <c r="GG1655" s="101">
        <f t="shared" si="742"/>
        <v>8.3000000000000001E-3</v>
      </c>
      <c r="GH1655" s="101">
        <f t="shared" si="743"/>
        <v>1</v>
      </c>
      <c r="GI1655" s="101">
        <f t="shared" si="744"/>
        <v>42</v>
      </c>
      <c r="GJ1655" s="101">
        <f t="shared" si="745"/>
        <v>3.3099999999999997E-2</v>
      </c>
      <c r="GK1655" s="101">
        <f t="shared" si="746"/>
        <v>1</v>
      </c>
      <c r="GL1655" s="101">
        <f t="shared" si="747"/>
        <v>91</v>
      </c>
    </row>
    <row r="1656" spans="170:194" ht="16.5" x14ac:dyDescent="0.2">
      <c r="FN1656" s="101">
        <v>1651</v>
      </c>
      <c r="FO1656" s="101">
        <f t="shared" si="732"/>
        <v>0</v>
      </c>
      <c r="FP1656" s="101">
        <f t="shared" si="725"/>
        <v>21</v>
      </c>
      <c r="FQ1656" s="14">
        <f t="shared" si="726"/>
        <v>4</v>
      </c>
      <c r="FR1656" s="101" t="str">
        <f t="shared" si="733"/>
        <v>秦琼专属武器-魂珠-6 0级</v>
      </c>
      <c r="FS1656" s="101">
        <f t="shared" si="734"/>
        <v>6</v>
      </c>
      <c r="FT1656" s="101">
        <f t="shared" si="735"/>
        <v>0</v>
      </c>
      <c r="FU1656" s="101" t="str">
        <f t="shared" si="727"/>
        <v/>
      </c>
      <c r="FV1656" s="139" t="str">
        <f>IF($FT1656&gt;0,IF(INDEX($EI$6:$EI$77,$FO1656)&gt;=FV$3,ROUND(INDEX(EK$6:EK$77,$FO1656)*INDEX(卡牌消耗!$B$8:$F$8,FQ1656)/5,0)*5,""),"")</f>
        <v/>
      </c>
      <c r="FW1656" s="101" t="str">
        <f t="shared" si="728"/>
        <v/>
      </c>
      <c r="FX1656" s="101" t="str">
        <f t="shared" si="729"/>
        <v/>
      </c>
      <c r="FY1656" s="101" t="str">
        <f t="shared" si="730"/>
        <v/>
      </c>
      <c r="FZ1656" s="101" t="str">
        <f t="shared" si="731"/>
        <v/>
      </c>
      <c r="GA1656" s="101" t="str">
        <f t="shared" si="736"/>
        <v/>
      </c>
      <c r="GB1656" s="101" t="str">
        <f t="shared" si="737"/>
        <v/>
      </c>
      <c r="GC1656" s="101" t="str">
        <f t="shared" si="738"/>
        <v/>
      </c>
      <c r="GD1656" s="101" t="str">
        <f t="shared" si="739"/>
        <v/>
      </c>
      <c r="GE1656" s="101" t="str">
        <f t="shared" si="740"/>
        <v/>
      </c>
      <c r="GF1656" s="101" t="str">
        <f t="shared" si="741"/>
        <v/>
      </c>
      <c r="GG1656" s="101" t="str">
        <f t="shared" si="742"/>
        <v/>
      </c>
      <c r="GH1656" s="101" t="str">
        <f t="shared" si="743"/>
        <v/>
      </c>
      <c r="GI1656" s="101" t="str">
        <f t="shared" si="744"/>
        <v/>
      </c>
      <c r="GJ1656" s="101" t="str">
        <f t="shared" si="745"/>
        <v/>
      </c>
      <c r="GK1656" s="101" t="str">
        <f t="shared" si="746"/>
        <v/>
      </c>
      <c r="GL1656" s="101" t="str">
        <f t="shared" si="747"/>
        <v/>
      </c>
    </row>
    <row r="1657" spans="170:194" ht="16.5" x14ac:dyDescent="0.2">
      <c r="FN1657" s="101">
        <v>1652</v>
      </c>
      <c r="FO1657" s="101">
        <f t="shared" si="732"/>
        <v>46</v>
      </c>
      <c r="FP1657" s="101">
        <f t="shared" si="725"/>
        <v>21</v>
      </c>
      <c r="FQ1657" s="14">
        <f t="shared" si="726"/>
        <v>4</v>
      </c>
      <c r="FR1657" s="101" t="str">
        <f t="shared" si="733"/>
        <v>秦琼专属武器-魂珠-6 1级</v>
      </c>
      <c r="FS1657" s="101">
        <f t="shared" si="734"/>
        <v>6</v>
      </c>
      <c r="FT1657" s="101">
        <f t="shared" si="735"/>
        <v>1</v>
      </c>
      <c r="FU1657" s="101" t="str">
        <f t="shared" si="727"/>
        <v>金币</v>
      </c>
      <c r="FV1657" s="139">
        <f>IF($FT1657&gt;0,IF(INDEX($EI$6:$EI$77,$FO1657)&gt;=FV$3,ROUND(INDEX(EK$6:EK$77,$FO1657)*INDEX(卡牌消耗!$B$8:$F$8,FQ1657)/5,0)*5,""),"")</f>
        <v>2180</v>
      </c>
      <c r="FW1657" s="101" t="str">
        <f t="shared" si="728"/>
        <v>专属强化石3</v>
      </c>
      <c r="FX1657" s="101">
        <f t="shared" si="729"/>
        <v>5</v>
      </c>
      <c r="FY1657" s="101" t="str">
        <f t="shared" si="730"/>
        <v>专属强化石4</v>
      </c>
      <c r="FZ1657" s="101">
        <f t="shared" si="731"/>
        <v>1</v>
      </c>
      <c r="GA1657" s="101">
        <f t="shared" si="736"/>
        <v>0.17</v>
      </c>
      <c r="GB1657" s="101">
        <f t="shared" si="737"/>
        <v>1</v>
      </c>
      <c r="GC1657" s="101">
        <f t="shared" si="738"/>
        <v>9</v>
      </c>
      <c r="GD1657" s="101">
        <f t="shared" si="739"/>
        <v>0</v>
      </c>
      <c r="GE1657" s="101">
        <f t="shared" si="740"/>
        <v>1</v>
      </c>
      <c r="GF1657" s="101">
        <f t="shared" si="741"/>
        <v>2</v>
      </c>
      <c r="GG1657" s="101">
        <f t="shared" si="742"/>
        <v>8.2900000000000001E-2</v>
      </c>
      <c r="GH1657" s="101">
        <f t="shared" si="743"/>
        <v>1</v>
      </c>
      <c r="GI1657" s="101">
        <f t="shared" si="744"/>
        <v>4</v>
      </c>
      <c r="GJ1657" s="101">
        <f t="shared" si="745"/>
        <v>0.33139999999999997</v>
      </c>
      <c r="GK1657" s="101">
        <f t="shared" si="746"/>
        <v>1</v>
      </c>
      <c r="GL1657" s="101">
        <f t="shared" si="747"/>
        <v>9</v>
      </c>
    </row>
    <row r="1658" spans="170:194" ht="16.5" x14ac:dyDescent="0.2">
      <c r="FN1658" s="101">
        <v>1653</v>
      </c>
      <c r="FO1658" s="101">
        <f t="shared" si="732"/>
        <v>47</v>
      </c>
      <c r="FP1658" s="101">
        <f t="shared" si="725"/>
        <v>21</v>
      </c>
      <c r="FQ1658" s="14">
        <f t="shared" si="726"/>
        <v>4</v>
      </c>
      <c r="FR1658" s="101" t="str">
        <f t="shared" si="733"/>
        <v>秦琼专属武器-魂珠-6 2级</v>
      </c>
      <c r="FS1658" s="101">
        <f t="shared" si="734"/>
        <v>6</v>
      </c>
      <c r="FT1658" s="101">
        <f t="shared" si="735"/>
        <v>2</v>
      </c>
      <c r="FU1658" s="101" t="str">
        <f t="shared" si="727"/>
        <v>金币</v>
      </c>
      <c r="FV1658" s="139">
        <f>IF($FT1658&gt;0,IF(INDEX($EI$6:$EI$77,$FO1658)&gt;=FV$3,ROUND(INDEX(EK$6:EK$77,$FO1658)*INDEX(卡牌消耗!$B$8:$F$8,FQ1658)/5,0)*5,""),"")</f>
        <v>3270</v>
      </c>
      <c r="FW1658" s="101" t="str">
        <f t="shared" si="728"/>
        <v>专属强化石3</v>
      </c>
      <c r="FX1658" s="101">
        <f t="shared" si="729"/>
        <v>10</v>
      </c>
      <c r="FY1658" s="101" t="str">
        <f t="shared" si="730"/>
        <v>专属强化石4</v>
      </c>
      <c r="FZ1658" s="101">
        <f t="shared" si="731"/>
        <v>2</v>
      </c>
      <c r="GA1658" s="101">
        <f t="shared" si="736"/>
        <v>0.17</v>
      </c>
      <c r="GB1658" s="101">
        <f t="shared" si="737"/>
        <v>1</v>
      </c>
      <c r="GC1658" s="101">
        <f t="shared" si="738"/>
        <v>9</v>
      </c>
      <c r="GD1658" s="101">
        <f t="shared" si="739"/>
        <v>0</v>
      </c>
      <c r="GE1658" s="101">
        <f t="shared" si="740"/>
        <v>1</v>
      </c>
      <c r="GF1658" s="101">
        <f t="shared" si="741"/>
        <v>2</v>
      </c>
      <c r="GG1658" s="101">
        <f t="shared" si="742"/>
        <v>8.2900000000000001E-2</v>
      </c>
      <c r="GH1658" s="101">
        <f t="shared" si="743"/>
        <v>1</v>
      </c>
      <c r="GI1658" s="101">
        <f t="shared" si="744"/>
        <v>4</v>
      </c>
      <c r="GJ1658" s="101">
        <f t="shared" si="745"/>
        <v>0.33139999999999997</v>
      </c>
      <c r="GK1658" s="101">
        <f t="shared" si="746"/>
        <v>1</v>
      </c>
      <c r="GL1658" s="101">
        <f t="shared" si="747"/>
        <v>9</v>
      </c>
    </row>
    <row r="1659" spans="170:194" ht="16.5" x14ac:dyDescent="0.2">
      <c r="FN1659" s="101">
        <v>1654</v>
      </c>
      <c r="FO1659" s="101">
        <f t="shared" si="732"/>
        <v>48</v>
      </c>
      <c r="FP1659" s="101">
        <f t="shared" si="725"/>
        <v>21</v>
      </c>
      <c r="FQ1659" s="14">
        <f t="shared" si="726"/>
        <v>4</v>
      </c>
      <c r="FR1659" s="101" t="str">
        <f t="shared" si="733"/>
        <v>秦琼专属武器-魂珠-6 3级</v>
      </c>
      <c r="FS1659" s="101">
        <f t="shared" si="734"/>
        <v>6</v>
      </c>
      <c r="FT1659" s="101">
        <f t="shared" si="735"/>
        <v>3</v>
      </c>
      <c r="FU1659" s="101" t="str">
        <f t="shared" si="727"/>
        <v>金币</v>
      </c>
      <c r="FV1659" s="139">
        <f>IF($FT1659&gt;0,IF(INDEX($EI$6:$EI$77,$FO1659)&gt;=FV$3,ROUND(INDEX(EK$6:EK$77,$FO1659)*INDEX(卡牌消耗!$B$8:$F$8,FQ1659)/5,0)*5,""),"")</f>
        <v>3635</v>
      </c>
      <c r="FW1659" s="101" t="str">
        <f t="shared" si="728"/>
        <v>专属强化石3</v>
      </c>
      <c r="FX1659" s="101">
        <f t="shared" si="729"/>
        <v>10</v>
      </c>
      <c r="FY1659" s="101" t="str">
        <f t="shared" si="730"/>
        <v>专属强化石4</v>
      </c>
      <c r="FZ1659" s="101">
        <f t="shared" si="731"/>
        <v>2</v>
      </c>
      <c r="GA1659" s="101">
        <f t="shared" si="736"/>
        <v>0.11</v>
      </c>
      <c r="GB1659" s="101">
        <f t="shared" si="737"/>
        <v>1</v>
      </c>
      <c r="GC1659" s="101">
        <f t="shared" si="738"/>
        <v>14</v>
      </c>
      <c r="GD1659" s="101">
        <f t="shared" si="739"/>
        <v>0</v>
      </c>
      <c r="GE1659" s="101">
        <f t="shared" si="740"/>
        <v>1</v>
      </c>
      <c r="GF1659" s="101">
        <f t="shared" si="741"/>
        <v>3</v>
      </c>
      <c r="GG1659" s="101">
        <f t="shared" si="742"/>
        <v>5.5199999999999999E-2</v>
      </c>
      <c r="GH1659" s="101">
        <f t="shared" si="743"/>
        <v>1</v>
      </c>
      <c r="GI1659" s="101">
        <f t="shared" si="744"/>
        <v>6</v>
      </c>
      <c r="GJ1659" s="101">
        <f t="shared" si="745"/>
        <v>0.221</v>
      </c>
      <c r="GK1659" s="101">
        <f t="shared" si="746"/>
        <v>1</v>
      </c>
      <c r="GL1659" s="101">
        <f t="shared" si="747"/>
        <v>14</v>
      </c>
    </row>
    <row r="1660" spans="170:194" ht="16.5" x14ac:dyDescent="0.2">
      <c r="FN1660" s="101">
        <v>1655</v>
      </c>
      <c r="FO1660" s="101">
        <f t="shared" si="732"/>
        <v>49</v>
      </c>
      <c r="FP1660" s="101">
        <f t="shared" si="725"/>
        <v>21</v>
      </c>
      <c r="FQ1660" s="14">
        <f t="shared" si="726"/>
        <v>4</v>
      </c>
      <c r="FR1660" s="101" t="str">
        <f t="shared" si="733"/>
        <v>秦琼专属武器-魂珠-6 4级</v>
      </c>
      <c r="FS1660" s="101">
        <f t="shared" si="734"/>
        <v>6</v>
      </c>
      <c r="FT1660" s="101">
        <f t="shared" si="735"/>
        <v>4</v>
      </c>
      <c r="FU1660" s="101" t="str">
        <f t="shared" si="727"/>
        <v>金币</v>
      </c>
      <c r="FV1660" s="139">
        <f>IF($FT1660&gt;0,IF(INDEX($EI$6:$EI$77,$FO1660)&gt;=FV$3,ROUND(INDEX(EK$6:EK$77,$FO1660)*INDEX(卡牌消耗!$B$8:$F$8,FQ1660)/5,0)*5,""),"")</f>
        <v>5235</v>
      </c>
      <c r="FW1660" s="101" t="str">
        <f t="shared" si="728"/>
        <v>专属强化石3</v>
      </c>
      <c r="FX1660" s="101">
        <f t="shared" si="729"/>
        <v>15</v>
      </c>
      <c r="FY1660" s="101" t="str">
        <f t="shared" si="730"/>
        <v>专属强化石4</v>
      </c>
      <c r="FZ1660" s="101">
        <f t="shared" si="731"/>
        <v>3</v>
      </c>
      <c r="GA1660" s="101">
        <f t="shared" si="736"/>
        <v>0.1</v>
      </c>
      <c r="GB1660" s="101">
        <f t="shared" si="737"/>
        <v>1</v>
      </c>
      <c r="GC1660" s="101">
        <f t="shared" si="738"/>
        <v>15</v>
      </c>
      <c r="GD1660" s="101">
        <f t="shared" si="739"/>
        <v>0</v>
      </c>
      <c r="GE1660" s="101">
        <f t="shared" si="740"/>
        <v>1</v>
      </c>
      <c r="GF1660" s="101">
        <f t="shared" si="741"/>
        <v>4</v>
      </c>
      <c r="GG1660" s="101">
        <f t="shared" si="742"/>
        <v>4.9700000000000001E-2</v>
      </c>
      <c r="GH1660" s="101">
        <f t="shared" si="743"/>
        <v>1</v>
      </c>
      <c r="GI1660" s="101">
        <f t="shared" si="744"/>
        <v>7</v>
      </c>
      <c r="GJ1660" s="101">
        <f t="shared" si="745"/>
        <v>0.19889999999999999</v>
      </c>
      <c r="GK1660" s="101">
        <f t="shared" si="746"/>
        <v>1</v>
      </c>
      <c r="GL1660" s="101">
        <f t="shared" si="747"/>
        <v>15</v>
      </c>
    </row>
    <row r="1661" spans="170:194" ht="16.5" x14ac:dyDescent="0.2">
      <c r="FN1661" s="101">
        <v>1656</v>
      </c>
      <c r="FO1661" s="101">
        <f t="shared" si="732"/>
        <v>50</v>
      </c>
      <c r="FP1661" s="101">
        <f t="shared" si="725"/>
        <v>21</v>
      </c>
      <c r="FQ1661" s="14">
        <f t="shared" si="726"/>
        <v>4</v>
      </c>
      <c r="FR1661" s="101" t="str">
        <f t="shared" si="733"/>
        <v>秦琼专属武器-魂珠-6 5级</v>
      </c>
      <c r="FS1661" s="101">
        <f t="shared" si="734"/>
        <v>6</v>
      </c>
      <c r="FT1661" s="101">
        <f t="shared" si="735"/>
        <v>5</v>
      </c>
      <c r="FU1661" s="101" t="str">
        <f t="shared" si="727"/>
        <v>金币</v>
      </c>
      <c r="FV1661" s="139">
        <f>IF($FT1661&gt;0,IF(INDEX($EI$6:$EI$77,$FO1661)&gt;=FV$3,ROUND(INDEX(EK$6:EK$77,$FO1661)*INDEX(卡牌消耗!$B$8:$F$8,FQ1661)/5,0)*5,""),"")</f>
        <v>5315</v>
      </c>
      <c r="FW1661" s="101" t="str">
        <f t="shared" si="728"/>
        <v>专属强化石3</v>
      </c>
      <c r="FX1661" s="101">
        <f t="shared" si="729"/>
        <v>15</v>
      </c>
      <c r="FY1661" s="101" t="str">
        <f t="shared" si="730"/>
        <v>专属强化石4</v>
      </c>
      <c r="FZ1661" s="101">
        <f t="shared" si="731"/>
        <v>3</v>
      </c>
      <c r="GA1661" s="101">
        <f t="shared" si="736"/>
        <v>0.06</v>
      </c>
      <c r="GB1661" s="101">
        <f t="shared" si="737"/>
        <v>1</v>
      </c>
      <c r="GC1661" s="101">
        <f t="shared" si="738"/>
        <v>24</v>
      </c>
      <c r="GD1661" s="101">
        <f t="shared" si="739"/>
        <v>0</v>
      </c>
      <c r="GE1661" s="101">
        <f t="shared" si="740"/>
        <v>1</v>
      </c>
      <c r="GF1661" s="101">
        <f t="shared" si="741"/>
        <v>6</v>
      </c>
      <c r="GG1661" s="101">
        <f t="shared" si="742"/>
        <v>3.1099999999999999E-2</v>
      </c>
      <c r="GH1661" s="101">
        <f t="shared" si="743"/>
        <v>1</v>
      </c>
      <c r="GI1661" s="101">
        <f t="shared" si="744"/>
        <v>11</v>
      </c>
      <c r="GJ1661" s="101">
        <f t="shared" si="745"/>
        <v>0.12429999999999999</v>
      </c>
      <c r="GK1661" s="101">
        <f t="shared" si="746"/>
        <v>1</v>
      </c>
      <c r="GL1661" s="101">
        <f t="shared" si="747"/>
        <v>24</v>
      </c>
    </row>
    <row r="1662" spans="170:194" ht="16.5" x14ac:dyDescent="0.2">
      <c r="FN1662" s="101">
        <v>1657</v>
      </c>
      <c r="FO1662" s="101">
        <f t="shared" si="732"/>
        <v>51</v>
      </c>
      <c r="FP1662" s="101">
        <f t="shared" si="725"/>
        <v>21</v>
      </c>
      <c r="FQ1662" s="14">
        <f t="shared" si="726"/>
        <v>4</v>
      </c>
      <c r="FR1662" s="101" t="str">
        <f t="shared" si="733"/>
        <v>秦琼专属武器-魂珠-6 6级</v>
      </c>
      <c r="FS1662" s="101">
        <f t="shared" si="734"/>
        <v>6</v>
      </c>
      <c r="FT1662" s="101">
        <f t="shared" si="735"/>
        <v>6</v>
      </c>
      <c r="FU1662" s="101" t="str">
        <f t="shared" si="727"/>
        <v>金币</v>
      </c>
      <c r="FV1662" s="139">
        <f>IF($FT1662&gt;0,IF(INDEX($EI$6:$EI$77,$FO1662)&gt;=FV$3,ROUND(INDEX(EK$6:EK$77,$FO1662)*INDEX(卡牌消耗!$B$8:$F$8,FQ1662)/5,0)*5,""),"")</f>
        <v>7045</v>
      </c>
      <c r="FW1662" s="101" t="str">
        <f t="shared" si="728"/>
        <v>专属强化石3</v>
      </c>
      <c r="FX1662" s="101">
        <f t="shared" si="729"/>
        <v>20</v>
      </c>
      <c r="FY1662" s="101" t="str">
        <f t="shared" si="730"/>
        <v>专属强化石4</v>
      </c>
      <c r="FZ1662" s="101">
        <f t="shared" si="731"/>
        <v>4</v>
      </c>
      <c r="GA1662" s="101">
        <f t="shared" si="736"/>
        <v>0.05</v>
      </c>
      <c r="GB1662" s="101">
        <f t="shared" si="737"/>
        <v>1</v>
      </c>
      <c r="GC1662" s="101">
        <f t="shared" si="738"/>
        <v>29</v>
      </c>
      <c r="GD1662" s="101">
        <f t="shared" si="739"/>
        <v>0</v>
      </c>
      <c r="GE1662" s="101">
        <f t="shared" si="740"/>
        <v>1</v>
      </c>
      <c r="GF1662" s="101">
        <f t="shared" si="741"/>
        <v>7</v>
      </c>
      <c r="GG1662" s="101">
        <f t="shared" si="742"/>
        <v>2.5499999999999998E-2</v>
      </c>
      <c r="GH1662" s="101">
        <f t="shared" si="743"/>
        <v>1</v>
      </c>
      <c r="GI1662" s="101">
        <f t="shared" si="744"/>
        <v>14</v>
      </c>
      <c r="GJ1662" s="101">
        <f t="shared" si="745"/>
        <v>0.10199999999999999</v>
      </c>
      <c r="GK1662" s="101">
        <f t="shared" si="746"/>
        <v>1</v>
      </c>
      <c r="GL1662" s="101">
        <f t="shared" si="747"/>
        <v>29</v>
      </c>
    </row>
    <row r="1663" spans="170:194" ht="16.5" x14ac:dyDescent="0.2">
      <c r="FN1663" s="101">
        <v>1658</v>
      </c>
      <c r="FO1663" s="101">
        <f t="shared" si="732"/>
        <v>52</v>
      </c>
      <c r="FP1663" s="101">
        <f t="shared" si="725"/>
        <v>21</v>
      </c>
      <c r="FQ1663" s="14">
        <f t="shared" si="726"/>
        <v>4</v>
      </c>
      <c r="FR1663" s="101" t="str">
        <f t="shared" si="733"/>
        <v>秦琼专属武器-魂珠-6 7级</v>
      </c>
      <c r="FS1663" s="101">
        <f t="shared" si="734"/>
        <v>6</v>
      </c>
      <c r="FT1663" s="101">
        <f t="shared" si="735"/>
        <v>7</v>
      </c>
      <c r="FU1663" s="101" t="str">
        <f t="shared" si="727"/>
        <v>金币</v>
      </c>
      <c r="FV1663" s="139">
        <f>IF($FT1663&gt;0,IF(INDEX($EI$6:$EI$77,$FO1663)&gt;=FV$3,ROUND(INDEX(EK$6:EK$77,$FO1663)*INDEX(卡牌消耗!$B$8:$F$8,FQ1663)/5,0)*5,""),"")</f>
        <v>8830</v>
      </c>
      <c r="FW1663" s="101" t="str">
        <f t="shared" si="728"/>
        <v>专属强化石3</v>
      </c>
      <c r="FX1663" s="101">
        <f t="shared" si="729"/>
        <v>25</v>
      </c>
      <c r="FY1663" s="101" t="str">
        <f t="shared" si="730"/>
        <v>专属强化石4</v>
      </c>
      <c r="FZ1663" s="101">
        <f t="shared" si="731"/>
        <v>5</v>
      </c>
      <c r="GA1663" s="101">
        <f t="shared" si="736"/>
        <v>0.04</v>
      </c>
      <c r="GB1663" s="101">
        <f t="shared" si="737"/>
        <v>1</v>
      </c>
      <c r="GC1663" s="101">
        <f t="shared" si="738"/>
        <v>38</v>
      </c>
      <c r="GD1663" s="101">
        <f t="shared" si="739"/>
        <v>0</v>
      </c>
      <c r="GE1663" s="101">
        <f t="shared" si="740"/>
        <v>1</v>
      </c>
      <c r="GF1663" s="101">
        <f t="shared" si="741"/>
        <v>9</v>
      </c>
      <c r="GG1663" s="101">
        <f t="shared" si="742"/>
        <v>1.9699999999999999E-2</v>
      </c>
      <c r="GH1663" s="101">
        <f t="shared" si="743"/>
        <v>1</v>
      </c>
      <c r="GI1663" s="101">
        <f t="shared" si="744"/>
        <v>18</v>
      </c>
      <c r="GJ1663" s="101">
        <f t="shared" si="745"/>
        <v>7.8899999999999998E-2</v>
      </c>
      <c r="GK1663" s="101">
        <f t="shared" si="746"/>
        <v>1</v>
      </c>
      <c r="GL1663" s="101">
        <f t="shared" si="747"/>
        <v>38</v>
      </c>
    </row>
    <row r="1664" spans="170:194" ht="16.5" x14ac:dyDescent="0.2">
      <c r="FN1664" s="101">
        <v>1659</v>
      </c>
      <c r="FO1664" s="101">
        <f t="shared" si="732"/>
        <v>53</v>
      </c>
      <c r="FP1664" s="101">
        <f t="shared" si="725"/>
        <v>21</v>
      </c>
      <c r="FQ1664" s="14">
        <f t="shared" si="726"/>
        <v>4</v>
      </c>
      <c r="FR1664" s="101" t="str">
        <f t="shared" si="733"/>
        <v>秦琼专属武器-魂珠-6 8级</v>
      </c>
      <c r="FS1664" s="101">
        <f t="shared" si="734"/>
        <v>6</v>
      </c>
      <c r="FT1664" s="101">
        <f t="shared" si="735"/>
        <v>8</v>
      </c>
      <c r="FU1664" s="101" t="str">
        <f t="shared" si="727"/>
        <v>金币</v>
      </c>
      <c r="FV1664" s="139">
        <f>IF($FT1664&gt;0,IF(INDEX($EI$6:$EI$77,$FO1664)&gt;=FV$3,ROUND(INDEX(EK$6:EK$77,$FO1664)*INDEX(卡牌消耗!$B$8:$F$8,FQ1664)/5,0)*5,""),"")</f>
        <v>12350</v>
      </c>
      <c r="FW1664" s="101" t="str">
        <f t="shared" si="728"/>
        <v>专属强化石3</v>
      </c>
      <c r="FX1664" s="101">
        <f t="shared" si="729"/>
        <v>35</v>
      </c>
      <c r="FY1664" s="101" t="str">
        <f t="shared" si="730"/>
        <v>专属强化石4</v>
      </c>
      <c r="FZ1664" s="101">
        <f t="shared" si="731"/>
        <v>7</v>
      </c>
      <c r="GA1664" s="101">
        <f t="shared" si="736"/>
        <v>0.03</v>
      </c>
      <c r="GB1664" s="101">
        <f t="shared" si="737"/>
        <v>1</v>
      </c>
      <c r="GC1664" s="101">
        <f t="shared" si="738"/>
        <v>44</v>
      </c>
      <c r="GD1664" s="101">
        <f t="shared" si="739"/>
        <v>0</v>
      </c>
      <c r="GE1664" s="101">
        <f t="shared" si="740"/>
        <v>1</v>
      </c>
      <c r="GF1664" s="101">
        <f t="shared" si="741"/>
        <v>10</v>
      </c>
      <c r="GG1664" s="101">
        <f t="shared" si="742"/>
        <v>1.7100000000000001E-2</v>
      </c>
      <c r="GH1664" s="101">
        <f t="shared" si="743"/>
        <v>1</v>
      </c>
      <c r="GI1664" s="101">
        <f t="shared" si="744"/>
        <v>21</v>
      </c>
      <c r="GJ1664" s="101">
        <f t="shared" si="745"/>
        <v>6.8199999999999997E-2</v>
      </c>
      <c r="GK1664" s="101">
        <f t="shared" si="746"/>
        <v>1</v>
      </c>
      <c r="GL1664" s="101">
        <f t="shared" si="747"/>
        <v>44</v>
      </c>
    </row>
    <row r="1665" spans="170:194" ht="16.5" x14ac:dyDescent="0.2">
      <c r="FN1665" s="101">
        <v>1660</v>
      </c>
      <c r="FO1665" s="101">
        <f t="shared" si="732"/>
        <v>54</v>
      </c>
      <c r="FP1665" s="101">
        <f t="shared" si="725"/>
        <v>21</v>
      </c>
      <c r="FQ1665" s="14">
        <f t="shared" si="726"/>
        <v>4</v>
      </c>
      <c r="FR1665" s="101" t="str">
        <f t="shared" si="733"/>
        <v>秦琼专属武器-魂珠-6 9级</v>
      </c>
      <c r="FS1665" s="101">
        <f t="shared" si="734"/>
        <v>6</v>
      </c>
      <c r="FT1665" s="101">
        <f t="shared" si="735"/>
        <v>9</v>
      </c>
      <c r="FU1665" s="101" t="str">
        <f t="shared" si="727"/>
        <v>金币</v>
      </c>
      <c r="FV1665" s="139">
        <f>IF($FT1665&gt;0,IF(INDEX($EI$6:$EI$77,$FO1665)&gt;=FV$3,ROUND(INDEX(EK$6:EK$77,$FO1665)*INDEX(卡牌消耗!$B$8:$F$8,FQ1665)/5,0)*5,""),"")</f>
        <v>14120</v>
      </c>
      <c r="FW1665" s="101" t="str">
        <f t="shared" si="728"/>
        <v>专属强化石3</v>
      </c>
      <c r="FX1665" s="101">
        <f t="shared" si="729"/>
        <v>40</v>
      </c>
      <c r="FY1665" s="101" t="str">
        <f t="shared" si="730"/>
        <v>专属强化石4</v>
      </c>
      <c r="FZ1665" s="101">
        <f t="shared" si="731"/>
        <v>8</v>
      </c>
      <c r="GA1665" s="101">
        <f t="shared" si="736"/>
        <v>0.02</v>
      </c>
      <c r="GB1665" s="101">
        <f t="shared" si="737"/>
        <v>1</v>
      </c>
      <c r="GC1665" s="101">
        <f t="shared" si="738"/>
        <v>62</v>
      </c>
      <c r="GD1665" s="101">
        <f t="shared" si="739"/>
        <v>0</v>
      </c>
      <c r="GE1665" s="101">
        <f t="shared" si="740"/>
        <v>1</v>
      </c>
      <c r="GF1665" s="101">
        <f t="shared" si="741"/>
        <v>15</v>
      </c>
      <c r="GG1665" s="101">
        <f t="shared" si="742"/>
        <v>1.21E-2</v>
      </c>
      <c r="GH1665" s="101">
        <f t="shared" si="743"/>
        <v>1</v>
      </c>
      <c r="GI1665" s="101">
        <f t="shared" si="744"/>
        <v>29</v>
      </c>
      <c r="GJ1665" s="101">
        <f t="shared" si="745"/>
        <v>4.82E-2</v>
      </c>
      <c r="GK1665" s="101">
        <f t="shared" si="746"/>
        <v>1</v>
      </c>
      <c r="GL1665" s="101">
        <f t="shared" si="747"/>
        <v>62</v>
      </c>
    </row>
    <row r="1666" spans="170:194" ht="16.5" x14ac:dyDescent="0.2">
      <c r="FN1666" s="101">
        <v>1661</v>
      </c>
      <c r="FO1666" s="101">
        <f t="shared" si="732"/>
        <v>0</v>
      </c>
      <c r="FP1666" s="101">
        <f t="shared" si="725"/>
        <v>21</v>
      </c>
      <c r="FQ1666" s="14">
        <f t="shared" si="726"/>
        <v>4</v>
      </c>
      <c r="FR1666" s="101" t="str">
        <f t="shared" si="733"/>
        <v>秦琼专属武器-魂珠-7 0级</v>
      </c>
      <c r="FS1666" s="101">
        <f t="shared" si="734"/>
        <v>7</v>
      </c>
      <c r="FT1666" s="101">
        <f t="shared" si="735"/>
        <v>0</v>
      </c>
      <c r="FU1666" s="101" t="str">
        <f t="shared" si="727"/>
        <v/>
      </c>
      <c r="FV1666" s="139" t="str">
        <f>IF($FT1666&gt;0,IF(INDEX($EI$6:$EI$77,$FO1666)&gt;=FV$3,ROUND(INDEX(EK$6:EK$77,$FO1666)*INDEX(卡牌消耗!$B$8:$F$8,FQ1666)/5,0)*5,""),"")</f>
        <v/>
      </c>
      <c r="FW1666" s="101" t="str">
        <f t="shared" si="728"/>
        <v/>
      </c>
      <c r="FX1666" s="101" t="str">
        <f t="shared" si="729"/>
        <v/>
      </c>
      <c r="FY1666" s="101" t="str">
        <f t="shared" si="730"/>
        <v/>
      </c>
      <c r="FZ1666" s="101" t="str">
        <f t="shared" si="731"/>
        <v/>
      </c>
      <c r="GA1666" s="101" t="str">
        <f t="shared" si="736"/>
        <v/>
      </c>
      <c r="GB1666" s="101" t="str">
        <f t="shared" si="737"/>
        <v/>
      </c>
      <c r="GC1666" s="101" t="str">
        <f t="shared" si="738"/>
        <v/>
      </c>
      <c r="GD1666" s="101" t="str">
        <f t="shared" si="739"/>
        <v/>
      </c>
      <c r="GE1666" s="101" t="str">
        <f t="shared" si="740"/>
        <v/>
      </c>
      <c r="GF1666" s="101" t="str">
        <f t="shared" si="741"/>
        <v/>
      </c>
      <c r="GG1666" s="101" t="str">
        <f t="shared" si="742"/>
        <v/>
      </c>
      <c r="GH1666" s="101" t="str">
        <f t="shared" si="743"/>
        <v/>
      </c>
      <c r="GI1666" s="101" t="str">
        <f t="shared" si="744"/>
        <v/>
      </c>
      <c r="GJ1666" s="101" t="str">
        <f t="shared" si="745"/>
        <v/>
      </c>
      <c r="GK1666" s="101" t="str">
        <f t="shared" si="746"/>
        <v/>
      </c>
      <c r="GL1666" s="101" t="str">
        <f t="shared" si="747"/>
        <v/>
      </c>
    </row>
    <row r="1667" spans="170:194" ht="16.5" x14ac:dyDescent="0.2">
      <c r="FN1667" s="101">
        <v>1662</v>
      </c>
      <c r="FO1667" s="101">
        <f t="shared" si="732"/>
        <v>55</v>
      </c>
      <c r="FP1667" s="101">
        <f t="shared" si="725"/>
        <v>21</v>
      </c>
      <c r="FQ1667" s="14">
        <f t="shared" si="726"/>
        <v>4</v>
      </c>
      <c r="FR1667" s="101" t="str">
        <f t="shared" si="733"/>
        <v>秦琼专属武器-魂珠-7 1级</v>
      </c>
      <c r="FS1667" s="101">
        <f t="shared" si="734"/>
        <v>7</v>
      </c>
      <c r="FT1667" s="101">
        <f t="shared" si="735"/>
        <v>1</v>
      </c>
      <c r="FU1667" s="101" t="str">
        <f t="shared" si="727"/>
        <v>金币</v>
      </c>
      <c r="FV1667" s="139">
        <f>IF($FT1667&gt;0,IF(INDEX($EI$6:$EI$77,$FO1667)&gt;=FV$3,ROUND(INDEX(EK$6:EK$77,$FO1667)*INDEX(卡牌消耗!$B$8:$F$8,FQ1667)/5,0)*5,""),"")</f>
        <v>18130</v>
      </c>
      <c r="FW1667" s="101" t="str">
        <f t="shared" si="728"/>
        <v>专属强化石3</v>
      </c>
      <c r="FX1667" s="101">
        <f t="shared" si="729"/>
        <v>6</v>
      </c>
      <c r="FY1667" s="101" t="str">
        <f t="shared" si="730"/>
        <v>专属强化石4</v>
      </c>
      <c r="FZ1667" s="101">
        <f t="shared" si="731"/>
        <v>2</v>
      </c>
      <c r="GA1667" s="101">
        <f t="shared" si="736"/>
        <v>0.2</v>
      </c>
      <c r="GB1667" s="101">
        <f t="shared" si="737"/>
        <v>1</v>
      </c>
      <c r="GC1667" s="101">
        <f t="shared" si="738"/>
        <v>8</v>
      </c>
      <c r="GD1667" s="101">
        <f t="shared" si="739"/>
        <v>0</v>
      </c>
      <c r="GE1667" s="101">
        <f t="shared" si="740"/>
        <v>1</v>
      </c>
      <c r="GF1667" s="101">
        <f t="shared" si="741"/>
        <v>2</v>
      </c>
      <c r="GG1667" s="101">
        <f t="shared" si="742"/>
        <v>9.9400000000000002E-2</v>
      </c>
      <c r="GH1667" s="101">
        <f t="shared" si="743"/>
        <v>1</v>
      </c>
      <c r="GI1667" s="101">
        <f t="shared" si="744"/>
        <v>4</v>
      </c>
      <c r="GJ1667" s="101">
        <f t="shared" si="745"/>
        <v>0.3977</v>
      </c>
      <c r="GK1667" s="101">
        <f t="shared" si="746"/>
        <v>1</v>
      </c>
      <c r="GL1667" s="101">
        <f t="shared" si="747"/>
        <v>8</v>
      </c>
    </row>
    <row r="1668" spans="170:194" ht="16.5" x14ac:dyDescent="0.2">
      <c r="FN1668" s="101">
        <v>1663</v>
      </c>
      <c r="FO1668" s="101">
        <f t="shared" si="732"/>
        <v>56</v>
      </c>
      <c r="FP1668" s="101">
        <f t="shared" si="725"/>
        <v>21</v>
      </c>
      <c r="FQ1668" s="14">
        <f t="shared" si="726"/>
        <v>4</v>
      </c>
      <c r="FR1668" s="101" t="str">
        <f t="shared" si="733"/>
        <v>秦琼专属武器-魂珠-7 2级</v>
      </c>
      <c r="FS1668" s="101">
        <f t="shared" si="734"/>
        <v>7</v>
      </c>
      <c r="FT1668" s="101">
        <f t="shared" si="735"/>
        <v>2</v>
      </c>
      <c r="FU1668" s="101" t="str">
        <f t="shared" si="727"/>
        <v>金币</v>
      </c>
      <c r="FV1668" s="139">
        <f>IF($FT1668&gt;0,IF(INDEX($EI$6:$EI$77,$FO1668)&gt;=FV$3,ROUND(INDEX(EK$6:EK$77,$FO1668)*INDEX(卡牌消耗!$B$8:$F$8,FQ1668)/5,0)*5,""),"")</f>
        <v>13600</v>
      </c>
      <c r="FW1668" s="101" t="str">
        <f t="shared" si="728"/>
        <v>专属强化石3</v>
      </c>
      <c r="FX1668" s="101">
        <f t="shared" si="729"/>
        <v>6</v>
      </c>
      <c r="FY1668" s="101" t="str">
        <f t="shared" si="730"/>
        <v>专属强化石4</v>
      </c>
      <c r="FZ1668" s="101">
        <f t="shared" si="731"/>
        <v>2</v>
      </c>
      <c r="GA1668" s="101">
        <f t="shared" si="736"/>
        <v>0.1</v>
      </c>
      <c r="GB1668" s="101">
        <f t="shared" si="737"/>
        <v>1</v>
      </c>
      <c r="GC1668" s="101">
        <f t="shared" si="738"/>
        <v>15</v>
      </c>
      <c r="GD1668" s="101">
        <f t="shared" si="739"/>
        <v>0</v>
      </c>
      <c r="GE1668" s="101">
        <f t="shared" si="740"/>
        <v>1</v>
      </c>
      <c r="GF1668" s="101">
        <f t="shared" si="741"/>
        <v>4</v>
      </c>
      <c r="GG1668" s="101">
        <f t="shared" si="742"/>
        <v>4.9700000000000001E-2</v>
      </c>
      <c r="GH1668" s="101">
        <f t="shared" si="743"/>
        <v>1</v>
      </c>
      <c r="GI1668" s="101">
        <f t="shared" si="744"/>
        <v>7</v>
      </c>
      <c r="GJ1668" s="101">
        <f t="shared" si="745"/>
        <v>0.19889999999999999</v>
      </c>
      <c r="GK1668" s="101">
        <f t="shared" si="746"/>
        <v>1</v>
      </c>
      <c r="GL1668" s="101">
        <f t="shared" si="747"/>
        <v>15</v>
      </c>
    </row>
    <row r="1669" spans="170:194" ht="16.5" x14ac:dyDescent="0.2">
      <c r="FN1669" s="101">
        <v>1664</v>
      </c>
      <c r="FO1669" s="101">
        <f t="shared" si="732"/>
        <v>57</v>
      </c>
      <c r="FP1669" s="101">
        <f t="shared" si="725"/>
        <v>21</v>
      </c>
      <c r="FQ1669" s="14">
        <f t="shared" si="726"/>
        <v>4</v>
      </c>
      <c r="FR1669" s="101" t="str">
        <f t="shared" si="733"/>
        <v>秦琼专属武器-魂珠-7 3级</v>
      </c>
      <c r="FS1669" s="101">
        <f t="shared" si="734"/>
        <v>7</v>
      </c>
      <c r="FT1669" s="101">
        <f t="shared" si="735"/>
        <v>3</v>
      </c>
      <c r="FU1669" s="101" t="str">
        <f t="shared" si="727"/>
        <v>金币</v>
      </c>
      <c r="FV1669" s="139">
        <f>IF($FT1669&gt;0,IF(INDEX($EI$6:$EI$77,$FO1669)&gt;=FV$3,ROUND(INDEX(EK$6:EK$77,$FO1669)*INDEX(卡牌消耗!$B$8:$F$8,FQ1669)/5,0)*5,""),"")</f>
        <v>22665</v>
      </c>
      <c r="FW1669" s="101" t="str">
        <f t="shared" si="728"/>
        <v>专属强化石3</v>
      </c>
      <c r="FX1669" s="101">
        <f t="shared" si="729"/>
        <v>9</v>
      </c>
      <c r="FY1669" s="101" t="str">
        <f t="shared" si="730"/>
        <v>专属强化石4</v>
      </c>
      <c r="FZ1669" s="101">
        <f t="shared" si="731"/>
        <v>3</v>
      </c>
      <c r="GA1669" s="101">
        <f t="shared" si="736"/>
        <v>0.1</v>
      </c>
      <c r="GB1669" s="101">
        <f t="shared" si="737"/>
        <v>1</v>
      </c>
      <c r="GC1669" s="101">
        <f t="shared" si="738"/>
        <v>15</v>
      </c>
      <c r="GD1669" s="101">
        <f t="shared" si="739"/>
        <v>0</v>
      </c>
      <c r="GE1669" s="101">
        <f t="shared" si="740"/>
        <v>1</v>
      </c>
      <c r="GF1669" s="101">
        <f t="shared" si="741"/>
        <v>4</v>
      </c>
      <c r="GG1669" s="101">
        <f t="shared" si="742"/>
        <v>4.9700000000000001E-2</v>
      </c>
      <c r="GH1669" s="101">
        <f t="shared" si="743"/>
        <v>1</v>
      </c>
      <c r="GI1669" s="101">
        <f t="shared" si="744"/>
        <v>7</v>
      </c>
      <c r="GJ1669" s="101">
        <f t="shared" si="745"/>
        <v>0.19889999999999999</v>
      </c>
      <c r="GK1669" s="101">
        <f t="shared" si="746"/>
        <v>1</v>
      </c>
      <c r="GL1669" s="101">
        <f t="shared" si="747"/>
        <v>15</v>
      </c>
    </row>
    <row r="1670" spans="170:194" ht="16.5" x14ac:dyDescent="0.2">
      <c r="FN1670" s="101">
        <v>1665</v>
      </c>
      <c r="FO1670" s="101">
        <f t="shared" si="732"/>
        <v>58</v>
      </c>
      <c r="FP1670" s="101">
        <f t="shared" si="725"/>
        <v>21</v>
      </c>
      <c r="FQ1670" s="14">
        <f t="shared" si="726"/>
        <v>4</v>
      </c>
      <c r="FR1670" s="101" t="str">
        <f t="shared" si="733"/>
        <v>秦琼专属武器-魂珠-7 4级</v>
      </c>
      <c r="FS1670" s="101">
        <f t="shared" si="734"/>
        <v>7</v>
      </c>
      <c r="FT1670" s="101">
        <f t="shared" si="735"/>
        <v>4</v>
      </c>
      <c r="FU1670" s="101" t="str">
        <f t="shared" si="727"/>
        <v>金币</v>
      </c>
      <c r="FV1670" s="139">
        <f>IF($FT1670&gt;0,IF(INDEX($EI$6:$EI$77,$FO1670)&gt;=FV$3,ROUND(INDEX(EK$6:EK$77,$FO1670)*INDEX(卡牌消耗!$B$8:$F$8,FQ1670)/5,0)*5,""),"")</f>
        <v>29010</v>
      </c>
      <c r="FW1670" s="101" t="str">
        <f t="shared" si="728"/>
        <v>专属强化石3</v>
      </c>
      <c r="FX1670" s="101">
        <f t="shared" si="729"/>
        <v>12</v>
      </c>
      <c r="FY1670" s="101" t="str">
        <f t="shared" si="730"/>
        <v>专属强化石4</v>
      </c>
      <c r="FZ1670" s="101">
        <f t="shared" si="731"/>
        <v>4</v>
      </c>
      <c r="GA1670" s="101">
        <f t="shared" si="736"/>
        <v>0.08</v>
      </c>
      <c r="GB1670" s="101">
        <f t="shared" si="737"/>
        <v>1</v>
      </c>
      <c r="GC1670" s="101">
        <f t="shared" si="738"/>
        <v>19</v>
      </c>
      <c r="GD1670" s="101">
        <f t="shared" si="739"/>
        <v>0</v>
      </c>
      <c r="GE1670" s="101">
        <f t="shared" si="740"/>
        <v>1</v>
      </c>
      <c r="GF1670" s="101">
        <f t="shared" si="741"/>
        <v>4</v>
      </c>
      <c r="GG1670" s="101">
        <f t="shared" si="742"/>
        <v>3.9800000000000002E-2</v>
      </c>
      <c r="GH1670" s="101">
        <f t="shared" si="743"/>
        <v>1</v>
      </c>
      <c r="GI1670" s="101">
        <f t="shared" si="744"/>
        <v>9</v>
      </c>
      <c r="GJ1670" s="101">
        <f t="shared" si="745"/>
        <v>0.15909999999999999</v>
      </c>
      <c r="GK1670" s="101">
        <f t="shared" si="746"/>
        <v>1</v>
      </c>
      <c r="GL1670" s="101">
        <f t="shared" si="747"/>
        <v>19</v>
      </c>
    </row>
    <row r="1671" spans="170:194" ht="16.5" x14ac:dyDescent="0.2">
      <c r="FN1671" s="101">
        <v>1666</v>
      </c>
      <c r="FO1671" s="101">
        <f t="shared" si="732"/>
        <v>59</v>
      </c>
      <c r="FP1671" s="101">
        <f t="shared" ref="FP1671:FP1685" si="748">INT((FN1671-1)/80+1)</f>
        <v>21</v>
      </c>
      <c r="FQ1671" s="14">
        <f t="shared" ref="FQ1671:FQ1685" si="749">INDEX($FJ$6:$FJ$26,FP1671)</f>
        <v>4</v>
      </c>
      <c r="FR1671" s="101" t="str">
        <f t="shared" si="733"/>
        <v>秦琼专属武器-魂珠-7 5级</v>
      </c>
      <c r="FS1671" s="101">
        <f t="shared" si="734"/>
        <v>7</v>
      </c>
      <c r="FT1671" s="101">
        <f t="shared" si="735"/>
        <v>5</v>
      </c>
      <c r="FU1671" s="101" t="str">
        <f t="shared" ref="FU1671:FU1685" si="750">IF($FT1671&gt;0,IF(INDEX($EI$6:$EI$77,$FO1671)&gt;=FU$3,INDEX(EJ$6:EJ$77,$FO1671),""),"")</f>
        <v>金币</v>
      </c>
      <c r="FV1671" s="139">
        <f>IF($FT1671&gt;0,IF(INDEX($EI$6:$EI$77,$FO1671)&gt;=FV$3,ROUND(INDEX(EK$6:EK$77,$FO1671)*INDEX(卡牌消耗!$B$8:$F$8,FQ1671)/5,0)*5,""),"")</f>
        <v>29465</v>
      </c>
      <c r="FW1671" s="101" t="str">
        <f t="shared" ref="FW1671:FW1685" si="751">IF($FT1671&gt;0,IF(INDEX($EI$6:$EI$77,$FO1671)&gt;=FW$3,INDEX(EL$6:EL$77,$FO1671),""),"")</f>
        <v>专属强化石3</v>
      </c>
      <c r="FX1671" s="101">
        <f t="shared" ref="FX1671:FX1685" si="752">IF($FT1671&gt;0,IF(INDEX($EI$6:$EI$77,$FO1671)&gt;=FX$3,INDEX(EM$6:EM$77,$FO1671),""),"")</f>
        <v>12</v>
      </c>
      <c r="FY1671" s="101" t="str">
        <f t="shared" ref="FY1671:FY1685" si="753">IF($FT1671&gt;0,IF(INDEX($EI$6:$EI$77,$FO1671)&gt;=FY$3,INDEX(EN$6:EN$77,$FO1671),""),"")</f>
        <v>专属强化石4</v>
      </c>
      <c r="FZ1671" s="101">
        <f t="shared" ref="FZ1671:FZ1685" si="754">IF($FT1671&gt;0,IF(INDEX($EI$6:$EI$77,$FO1671)&gt;=FZ$3,INDEX(EO$6:EO$77,$FO1671),""),"")</f>
        <v>4</v>
      </c>
      <c r="GA1671" s="101">
        <f t="shared" si="736"/>
        <v>0.05</v>
      </c>
      <c r="GB1671" s="101">
        <f t="shared" si="737"/>
        <v>1</v>
      </c>
      <c r="GC1671" s="101">
        <f t="shared" si="738"/>
        <v>30</v>
      </c>
      <c r="GD1671" s="101">
        <f t="shared" si="739"/>
        <v>0</v>
      </c>
      <c r="GE1671" s="101">
        <f t="shared" si="740"/>
        <v>1</v>
      </c>
      <c r="GF1671" s="101">
        <f t="shared" si="741"/>
        <v>7</v>
      </c>
      <c r="GG1671" s="101">
        <f t="shared" si="742"/>
        <v>2.4899999999999999E-2</v>
      </c>
      <c r="GH1671" s="101">
        <f t="shared" si="743"/>
        <v>1</v>
      </c>
      <c r="GI1671" s="101">
        <f t="shared" si="744"/>
        <v>14</v>
      </c>
      <c r="GJ1671" s="101">
        <f t="shared" si="745"/>
        <v>9.9400000000000002E-2</v>
      </c>
      <c r="GK1671" s="101">
        <f t="shared" si="746"/>
        <v>1</v>
      </c>
      <c r="GL1671" s="101">
        <f t="shared" si="747"/>
        <v>30</v>
      </c>
    </row>
    <row r="1672" spans="170:194" ht="16.5" x14ac:dyDescent="0.2">
      <c r="FN1672" s="101">
        <v>1667</v>
      </c>
      <c r="FO1672" s="101">
        <f t="shared" si="732"/>
        <v>60</v>
      </c>
      <c r="FP1672" s="101">
        <f t="shared" si="748"/>
        <v>21</v>
      </c>
      <c r="FQ1672" s="14">
        <f t="shared" si="749"/>
        <v>4</v>
      </c>
      <c r="FR1672" s="101" t="str">
        <f t="shared" si="733"/>
        <v>秦琼专属武器-魂珠-7 6级</v>
      </c>
      <c r="FS1672" s="101">
        <f t="shared" si="734"/>
        <v>7</v>
      </c>
      <c r="FT1672" s="101">
        <f t="shared" si="735"/>
        <v>6</v>
      </c>
      <c r="FU1672" s="101" t="str">
        <f t="shared" si="750"/>
        <v>金币</v>
      </c>
      <c r="FV1672" s="139">
        <f>IF($FT1672&gt;0,IF(INDEX($EI$6:$EI$77,$FO1672)&gt;=FV$3,ROUND(INDEX(EK$6:EK$77,$FO1672)*INDEX(卡牌消耗!$B$8:$F$8,FQ1672)/5,0)*5,""),"")</f>
        <v>36610</v>
      </c>
      <c r="FW1672" s="101" t="str">
        <f t="shared" si="751"/>
        <v>专属强化石3</v>
      </c>
      <c r="FX1672" s="101">
        <f t="shared" si="752"/>
        <v>15</v>
      </c>
      <c r="FY1672" s="101" t="str">
        <f t="shared" si="753"/>
        <v>专属强化石4</v>
      </c>
      <c r="FZ1672" s="101">
        <f t="shared" si="754"/>
        <v>5</v>
      </c>
      <c r="GA1672" s="101">
        <f t="shared" si="736"/>
        <v>0.04</v>
      </c>
      <c r="GB1672" s="101">
        <f t="shared" si="737"/>
        <v>1</v>
      </c>
      <c r="GC1672" s="101">
        <f t="shared" si="738"/>
        <v>39</v>
      </c>
      <c r="GD1672" s="101">
        <f t="shared" si="739"/>
        <v>0</v>
      </c>
      <c r="GE1672" s="101">
        <f t="shared" si="740"/>
        <v>1</v>
      </c>
      <c r="GF1672" s="101">
        <f t="shared" si="741"/>
        <v>9</v>
      </c>
      <c r="GG1672" s="101">
        <f t="shared" si="742"/>
        <v>1.9099999999999999E-2</v>
      </c>
      <c r="GH1672" s="101">
        <f t="shared" si="743"/>
        <v>1</v>
      </c>
      <c r="GI1672" s="101">
        <f t="shared" si="744"/>
        <v>18</v>
      </c>
      <c r="GJ1672" s="101">
        <f t="shared" si="745"/>
        <v>7.6499999999999999E-2</v>
      </c>
      <c r="GK1672" s="101">
        <f t="shared" si="746"/>
        <v>1</v>
      </c>
      <c r="GL1672" s="101">
        <f t="shared" si="747"/>
        <v>39</v>
      </c>
    </row>
    <row r="1673" spans="170:194" ht="16.5" x14ac:dyDescent="0.2">
      <c r="FN1673" s="101">
        <v>1668</v>
      </c>
      <c r="FO1673" s="101">
        <f t="shared" si="732"/>
        <v>61</v>
      </c>
      <c r="FP1673" s="101">
        <f t="shared" si="748"/>
        <v>21</v>
      </c>
      <c r="FQ1673" s="14">
        <f t="shared" si="749"/>
        <v>4</v>
      </c>
      <c r="FR1673" s="101" t="str">
        <f t="shared" si="733"/>
        <v>秦琼专属武器-魂珠-7 7级</v>
      </c>
      <c r="FS1673" s="101">
        <f t="shared" si="734"/>
        <v>7</v>
      </c>
      <c r="FT1673" s="101">
        <f t="shared" si="735"/>
        <v>7</v>
      </c>
      <c r="FU1673" s="101" t="str">
        <f t="shared" si="750"/>
        <v>金币</v>
      </c>
      <c r="FV1673" s="139">
        <f>IF($FT1673&gt;0,IF(INDEX($EI$6:$EI$77,$FO1673)&gt;=FV$3,ROUND(INDEX(EK$6:EK$77,$FO1673)*INDEX(卡牌消耗!$B$8:$F$8,FQ1673)/5,0)*5,""),"")</f>
        <v>51370</v>
      </c>
      <c r="FW1673" s="101" t="str">
        <f t="shared" si="751"/>
        <v>专属强化石3</v>
      </c>
      <c r="FX1673" s="101">
        <f t="shared" si="752"/>
        <v>21</v>
      </c>
      <c r="FY1673" s="101" t="str">
        <f t="shared" si="753"/>
        <v>专属强化石4</v>
      </c>
      <c r="FZ1673" s="101">
        <f t="shared" si="754"/>
        <v>7</v>
      </c>
      <c r="GA1673" s="101">
        <f t="shared" si="736"/>
        <v>0.03</v>
      </c>
      <c r="GB1673" s="101">
        <f t="shared" si="737"/>
        <v>1</v>
      </c>
      <c r="GC1673" s="101">
        <f t="shared" si="738"/>
        <v>45</v>
      </c>
      <c r="GD1673" s="101">
        <f t="shared" si="739"/>
        <v>0</v>
      </c>
      <c r="GE1673" s="101">
        <f t="shared" si="740"/>
        <v>1</v>
      </c>
      <c r="GF1673" s="101">
        <f t="shared" si="741"/>
        <v>11</v>
      </c>
      <c r="GG1673" s="101">
        <f t="shared" si="742"/>
        <v>1.66E-2</v>
      </c>
      <c r="GH1673" s="101">
        <f t="shared" si="743"/>
        <v>1</v>
      </c>
      <c r="GI1673" s="101">
        <f t="shared" si="744"/>
        <v>21</v>
      </c>
      <c r="GJ1673" s="101">
        <f t="shared" si="745"/>
        <v>6.6299999999999998E-2</v>
      </c>
      <c r="GK1673" s="101">
        <f t="shared" si="746"/>
        <v>1</v>
      </c>
      <c r="GL1673" s="101">
        <f t="shared" si="747"/>
        <v>45</v>
      </c>
    </row>
    <row r="1674" spans="170:194" ht="16.5" x14ac:dyDescent="0.2">
      <c r="FN1674" s="101">
        <v>1669</v>
      </c>
      <c r="FO1674" s="101">
        <f t="shared" si="732"/>
        <v>62</v>
      </c>
      <c r="FP1674" s="101">
        <f t="shared" si="748"/>
        <v>21</v>
      </c>
      <c r="FQ1674" s="14">
        <f t="shared" si="749"/>
        <v>4</v>
      </c>
      <c r="FR1674" s="101" t="str">
        <f t="shared" si="733"/>
        <v>秦琼专属武器-魂珠-7 8级</v>
      </c>
      <c r="FS1674" s="101">
        <f t="shared" si="734"/>
        <v>7</v>
      </c>
      <c r="FT1674" s="101">
        <f t="shared" si="735"/>
        <v>8</v>
      </c>
      <c r="FU1674" s="101" t="str">
        <f t="shared" si="750"/>
        <v>金币</v>
      </c>
      <c r="FV1674" s="139">
        <f>IF($FT1674&gt;0,IF(INDEX($EI$6:$EI$77,$FO1674)&gt;=FV$3,ROUND(INDEX(EK$6:EK$77,$FO1674)*INDEX(卡牌消耗!$B$8:$F$8,FQ1674)/5,0)*5,""),"")</f>
        <v>58660</v>
      </c>
      <c r="FW1674" s="101" t="str">
        <f t="shared" si="751"/>
        <v>专属强化石3</v>
      </c>
      <c r="FX1674" s="101">
        <f t="shared" si="752"/>
        <v>24</v>
      </c>
      <c r="FY1674" s="101" t="str">
        <f t="shared" si="753"/>
        <v>专属强化石4</v>
      </c>
      <c r="FZ1674" s="101">
        <f t="shared" si="754"/>
        <v>8</v>
      </c>
      <c r="GA1674" s="101">
        <f t="shared" si="736"/>
        <v>0.02</v>
      </c>
      <c r="GB1674" s="101">
        <f t="shared" si="737"/>
        <v>1</v>
      </c>
      <c r="GC1674" s="101">
        <f t="shared" si="738"/>
        <v>64</v>
      </c>
      <c r="GD1674" s="101">
        <f t="shared" si="739"/>
        <v>0</v>
      </c>
      <c r="GE1674" s="101">
        <f t="shared" si="740"/>
        <v>1</v>
      </c>
      <c r="GF1674" s="101">
        <f t="shared" si="741"/>
        <v>15</v>
      </c>
      <c r="GG1674" s="101">
        <f t="shared" si="742"/>
        <v>1.17E-2</v>
      </c>
      <c r="GH1674" s="101">
        <f t="shared" si="743"/>
        <v>1</v>
      </c>
      <c r="GI1674" s="101">
        <f t="shared" si="744"/>
        <v>30</v>
      </c>
      <c r="GJ1674" s="101">
        <f t="shared" si="745"/>
        <v>4.6800000000000001E-2</v>
      </c>
      <c r="GK1674" s="101">
        <f t="shared" si="746"/>
        <v>1</v>
      </c>
      <c r="GL1674" s="101">
        <f t="shared" si="747"/>
        <v>64</v>
      </c>
    </row>
    <row r="1675" spans="170:194" ht="16.5" x14ac:dyDescent="0.2">
      <c r="FN1675" s="101">
        <v>1670</v>
      </c>
      <c r="FO1675" s="101">
        <f t="shared" si="732"/>
        <v>63</v>
      </c>
      <c r="FP1675" s="101">
        <f t="shared" si="748"/>
        <v>21</v>
      </c>
      <c r="FQ1675" s="14">
        <f t="shared" si="749"/>
        <v>4</v>
      </c>
      <c r="FR1675" s="101" t="str">
        <f t="shared" si="733"/>
        <v>秦琼专属武器-魂珠-7 9级</v>
      </c>
      <c r="FS1675" s="101">
        <f t="shared" si="734"/>
        <v>7</v>
      </c>
      <c r="FT1675" s="101">
        <f t="shared" si="735"/>
        <v>9</v>
      </c>
      <c r="FU1675" s="101" t="str">
        <f t="shared" si="750"/>
        <v>金币</v>
      </c>
      <c r="FV1675" s="139">
        <f>IF($FT1675&gt;0,IF(INDEX($EI$6:$EI$77,$FO1675)&gt;=FV$3,ROUND(INDEX(EK$6:EK$77,$FO1675)*INDEX(卡牌消耗!$B$8:$F$8,FQ1675)/5,0)*5,""),"")</f>
        <v>73350</v>
      </c>
      <c r="FW1675" s="101" t="str">
        <f t="shared" si="751"/>
        <v>专属强化石3</v>
      </c>
      <c r="FX1675" s="101">
        <f t="shared" si="752"/>
        <v>30</v>
      </c>
      <c r="FY1675" s="101" t="str">
        <f t="shared" si="753"/>
        <v>专属强化石4</v>
      </c>
      <c r="FZ1675" s="101">
        <f t="shared" si="754"/>
        <v>10</v>
      </c>
      <c r="GA1675" s="101">
        <f t="shared" si="736"/>
        <v>0.02</v>
      </c>
      <c r="GB1675" s="101">
        <f t="shared" si="737"/>
        <v>1</v>
      </c>
      <c r="GC1675" s="101">
        <f t="shared" si="738"/>
        <v>83</v>
      </c>
      <c r="GD1675" s="101">
        <f t="shared" si="739"/>
        <v>0</v>
      </c>
      <c r="GE1675" s="101">
        <f t="shared" si="740"/>
        <v>1</v>
      </c>
      <c r="GF1675" s="101">
        <f t="shared" si="741"/>
        <v>19</v>
      </c>
      <c r="GG1675" s="101">
        <f t="shared" si="742"/>
        <v>8.9999999999999993E-3</v>
      </c>
      <c r="GH1675" s="101">
        <f t="shared" si="743"/>
        <v>1</v>
      </c>
      <c r="GI1675" s="101">
        <f t="shared" si="744"/>
        <v>39</v>
      </c>
      <c r="GJ1675" s="101">
        <f t="shared" si="745"/>
        <v>3.6200000000000003E-2</v>
      </c>
      <c r="GK1675" s="101">
        <f t="shared" si="746"/>
        <v>1</v>
      </c>
      <c r="GL1675" s="101">
        <f t="shared" si="747"/>
        <v>83</v>
      </c>
    </row>
    <row r="1676" spans="170:194" ht="16.5" x14ac:dyDescent="0.2">
      <c r="FN1676" s="101">
        <v>1671</v>
      </c>
      <c r="FO1676" s="101">
        <f t="shared" si="732"/>
        <v>0</v>
      </c>
      <c r="FP1676" s="101">
        <f t="shared" si="748"/>
        <v>21</v>
      </c>
      <c r="FQ1676" s="14">
        <f t="shared" si="749"/>
        <v>4</v>
      </c>
      <c r="FR1676" s="101" t="str">
        <f t="shared" si="733"/>
        <v>秦琼专属武器-魂珠-8 0级</v>
      </c>
      <c r="FS1676" s="101">
        <f t="shared" si="734"/>
        <v>8</v>
      </c>
      <c r="FT1676" s="101">
        <f t="shared" si="735"/>
        <v>0</v>
      </c>
      <c r="FU1676" s="101" t="str">
        <f t="shared" si="750"/>
        <v/>
      </c>
      <c r="FV1676" s="139" t="str">
        <f>IF($FT1676&gt;0,IF(INDEX($EI$6:$EI$77,$FO1676)&gt;=FV$3,ROUND(INDEX(EK$6:EK$77,$FO1676)*INDEX(卡牌消耗!$B$8:$F$8,FQ1676)/5,0)*5,""),"")</f>
        <v/>
      </c>
      <c r="FW1676" s="101" t="str">
        <f t="shared" si="751"/>
        <v/>
      </c>
      <c r="FX1676" s="101" t="str">
        <f t="shared" si="752"/>
        <v/>
      </c>
      <c r="FY1676" s="101" t="str">
        <f t="shared" si="753"/>
        <v/>
      </c>
      <c r="FZ1676" s="101" t="str">
        <f t="shared" si="754"/>
        <v/>
      </c>
      <c r="GA1676" s="101" t="str">
        <f t="shared" si="736"/>
        <v/>
      </c>
      <c r="GB1676" s="101" t="str">
        <f t="shared" si="737"/>
        <v/>
      </c>
      <c r="GC1676" s="101" t="str">
        <f t="shared" si="738"/>
        <v/>
      </c>
      <c r="GD1676" s="101" t="str">
        <f t="shared" si="739"/>
        <v/>
      </c>
      <c r="GE1676" s="101" t="str">
        <f t="shared" si="740"/>
        <v/>
      </c>
      <c r="GF1676" s="101" t="str">
        <f t="shared" si="741"/>
        <v/>
      </c>
      <c r="GG1676" s="101" t="str">
        <f t="shared" si="742"/>
        <v/>
      </c>
      <c r="GH1676" s="101" t="str">
        <f t="shared" si="743"/>
        <v/>
      </c>
      <c r="GI1676" s="101" t="str">
        <f t="shared" si="744"/>
        <v/>
      </c>
      <c r="GJ1676" s="101" t="str">
        <f t="shared" si="745"/>
        <v/>
      </c>
      <c r="GK1676" s="101" t="str">
        <f t="shared" si="746"/>
        <v/>
      </c>
      <c r="GL1676" s="101" t="str">
        <f t="shared" si="747"/>
        <v/>
      </c>
    </row>
    <row r="1677" spans="170:194" ht="16.5" x14ac:dyDescent="0.2">
      <c r="FN1677" s="101">
        <v>1672</v>
      </c>
      <c r="FO1677" s="101">
        <f t="shared" si="732"/>
        <v>64</v>
      </c>
      <c r="FP1677" s="101">
        <f t="shared" si="748"/>
        <v>21</v>
      </c>
      <c r="FQ1677" s="14">
        <f t="shared" si="749"/>
        <v>4</v>
      </c>
      <c r="FR1677" s="101" t="str">
        <f t="shared" si="733"/>
        <v>秦琼专属武器-魂珠-8 1级</v>
      </c>
      <c r="FS1677" s="101">
        <f t="shared" si="734"/>
        <v>8</v>
      </c>
      <c r="FT1677" s="101">
        <f t="shared" si="735"/>
        <v>1</v>
      </c>
      <c r="FU1677" s="101" t="str">
        <f t="shared" si="750"/>
        <v>金币</v>
      </c>
      <c r="FV1677" s="139">
        <f>IF($FT1677&gt;0,IF(INDEX($EI$6:$EI$77,$FO1677)&gt;=FV$3,ROUND(INDEX(EK$6:EK$77,$FO1677)*INDEX(卡牌消耗!$B$8:$F$8,FQ1677)/5,0)*5,""),"")</f>
        <v>15455</v>
      </c>
      <c r="FW1677" s="101" t="str">
        <f t="shared" si="751"/>
        <v>专属强化石4</v>
      </c>
      <c r="FX1677" s="101">
        <f t="shared" si="752"/>
        <v>5</v>
      </c>
      <c r="FY1677" s="101" t="str">
        <f t="shared" si="753"/>
        <v/>
      </c>
      <c r="FZ1677" s="101" t="str">
        <f t="shared" si="754"/>
        <v/>
      </c>
      <c r="GA1677" s="101">
        <f t="shared" si="736"/>
        <v>0.11</v>
      </c>
      <c r="GB1677" s="101">
        <f t="shared" si="737"/>
        <v>1</v>
      </c>
      <c r="GC1677" s="101">
        <f t="shared" si="738"/>
        <v>13</v>
      </c>
      <c r="GD1677" s="101">
        <f t="shared" si="739"/>
        <v>0</v>
      </c>
      <c r="GE1677" s="101">
        <f t="shared" si="740"/>
        <v>1</v>
      </c>
      <c r="GF1677" s="101">
        <f t="shared" si="741"/>
        <v>3</v>
      </c>
      <c r="GG1677" s="101">
        <f t="shared" si="742"/>
        <v>5.6500000000000002E-2</v>
      </c>
      <c r="GH1677" s="101">
        <f t="shared" si="743"/>
        <v>1</v>
      </c>
      <c r="GI1677" s="101">
        <f t="shared" si="744"/>
        <v>6</v>
      </c>
      <c r="GJ1677" s="101">
        <f t="shared" si="745"/>
        <v>0.22600000000000001</v>
      </c>
      <c r="GK1677" s="101">
        <f t="shared" si="746"/>
        <v>1</v>
      </c>
      <c r="GL1677" s="101">
        <f t="shared" si="747"/>
        <v>13</v>
      </c>
    </row>
    <row r="1678" spans="170:194" ht="16.5" x14ac:dyDescent="0.2">
      <c r="FN1678" s="101">
        <v>1673</v>
      </c>
      <c r="FO1678" s="101">
        <f t="shared" si="732"/>
        <v>65</v>
      </c>
      <c r="FP1678" s="101">
        <f t="shared" si="748"/>
        <v>21</v>
      </c>
      <c r="FQ1678" s="14">
        <f t="shared" si="749"/>
        <v>4</v>
      </c>
      <c r="FR1678" s="101" t="str">
        <f t="shared" si="733"/>
        <v>秦琼专属武器-魂珠-8 2级</v>
      </c>
      <c r="FS1678" s="101">
        <f t="shared" si="734"/>
        <v>8</v>
      </c>
      <c r="FT1678" s="101">
        <f t="shared" si="735"/>
        <v>2</v>
      </c>
      <c r="FU1678" s="101" t="str">
        <f t="shared" si="750"/>
        <v>金币</v>
      </c>
      <c r="FV1678" s="139">
        <f>IF($FT1678&gt;0,IF(INDEX($EI$6:$EI$77,$FO1678)&gt;=FV$3,ROUND(INDEX(EK$6:EK$77,$FO1678)*INDEX(卡牌消耗!$B$8:$F$8,FQ1678)/5,0)*5,""),"")</f>
        <v>18545</v>
      </c>
      <c r="FW1678" s="101" t="str">
        <f t="shared" si="751"/>
        <v>专属强化石4</v>
      </c>
      <c r="FX1678" s="101">
        <f t="shared" si="752"/>
        <v>8</v>
      </c>
      <c r="FY1678" s="101" t="str">
        <f t="shared" si="753"/>
        <v/>
      </c>
      <c r="FZ1678" s="101" t="str">
        <f t="shared" si="754"/>
        <v/>
      </c>
      <c r="GA1678" s="101">
        <f t="shared" si="736"/>
        <v>0.09</v>
      </c>
      <c r="GB1678" s="101">
        <f t="shared" si="737"/>
        <v>1</v>
      </c>
      <c r="GC1678" s="101">
        <f t="shared" si="738"/>
        <v>17</v>
      </c>
      <c r="GD1678" s="101">
        <f t="shared" si="739"/>
        <v>0</v>
      </c>
      <c r="GE1678" s="101">
        <f t="shared" si="740"/>
        <v>1</v>
      </c>
      <c r="GF1678" s="101">
        <f t="shared" si="741"/>
        <v>4</v>
      </c>
      <c r="GG1678" s="101">
        <f t="shared" si="742"/>
        <v>4.5199999999999997E-2</v>
      </c>
      <c r="GH1678" s="101">
        <f t="shared" si="743"/>
        <v>1</v>
      </c>
      <c r="GI1678" s="101">
        <f t="shared" si="744"/>
        <v>8</v>
      </c>
      <c r="GJ1678" s="101">
        <f t="shared" si="745"/>
        <v>0.18079999999999999</v>
      </c>
      <c r="GK1678" s="101">
        <f t="shared" si="746"/>
        <v>1</v>
      </c>
      <c r="GL1678" s="101">
        <f t="shared" si="747"/>
        <v>17</v>
      </c>
    </row>
    <row r="1679" spans="170:194" ht="16.5" x14ac:dyDescent="0.2">
      <c r="FN1679" s="101">
        <v>1674</v>
      </c>
      <c r="FO1679" s="101">
        <f t="shared" si="732"/>
        <v>66</v>
      </c>
      <c r="FP1679" s="101">
        <f t="shared" si="748"/>
        <v>21</v>
      </c>
      <c r="FQ1679" s="14">
        <f t="shared" si="749"/>
        <v>4</v>
      </c>
      <c r="FR1679" s="101" t="str">
        <f t="shared" si="733"/>
        <v>秦琼专属武器-魂珠-8 3级</v>
      </c>
      <c r="FS1679" s="101">
        <f t="shared" si="734"/>
        <v>8</v>
      </c>
      <c r="FT1679" s="101">
        <f t="shared" si="735"/>
        <v>3</v>
      </c>
      <c r="FU1679" s="101" t="str">
        <f t="shared" si="750"/>
        <v>金币</v>
      </c>
      <c r="FV1679" s="139">
        <f>IF($FT1679&gt;0,IF(INDEX($EI$6:$EI$77,$FO1679)&gt;=FV$3,ROUND(INDEX(EK$6:EK$77,$FO1679)*INDEX(卡牌消耗!$B$8:$F$8,FQ1679)/5,0)*5,""),"")</f>
        <v>25755</v>
      </c>
      <c r="FW1679" s="101" t="str">
        <f t="shared" si="751"/>
        <v>专属强化石4</v>
      </c>
      <c r="FX1679" s="101">
        <f t="shared" si="752"/>
        <v>10</v>
      </c>
      <c r="FY1679" s="101" t="str">
        <f t="shared" si="753"/>
        <v/>
      </c>
      <c r="FZ1679" s="101" t="str">
        <f t="shared" si="754"/>
        <v/>
      </c>
      <c r="GA1679" s="101">
        <f t="shared" si="736"/>
        <v>0.08</v>
      </c>
      <c r="GB1679" s="101">
        <f t="shared" si="737"/>
        <v>1</v>
      </c>
      <c r="GC1679" s="101">
        <f t="shared" si="738"/>
        <v>20</v>
      </c>
      <c r="GD1679" s="101">
        <f t="shared" si="739"/>
        <v>0</v>
      </c>
      <c r="GE1679" s="101">
        <f t="shared" si="740"/>
        <v>1</v>
      </c>
      <c r="GF1679" s="101">
        <f t="shared" si="741"/>
        <v>5</v>
      </c>
      <c r="GG1679" s="101">
        <f t="shared" si="742"/>
        <v>3.7699999999999997E-2</v>
      </c>
      <c r="GH1679" s="101">
        <f t="shared" si="743"/>
        <v>1</v>
      </c>
      <c r="GI1679" s="101">
        <f t="shared" si="744"/>
        <v>9</v>
      </c>
      <c r="GJ1679" s="101">
        <f t="shared" si="745"/>
        <v>0.1507</v>
      </c>
      <c r="GK1679" s="101">
        <f t="shared" si="746"/>
        <v>1</v>
      </c>
      <c r="GL1679" s="101">
        <f t="shared" si="747"/>
        <v>20</v>
      </c>
    </row>
    <row r="1680" spans="170:194" ht="16.5" x14ac:dyDescent="0.2">
      <c r="FN1680" s="101">
        <v>1675</v>
      </c>
      <c r="FO1680" s="101">
        <f t="shared" si="732"/>
        <v>67</v>
      </c>
      <c r="FP1680" s="101">
        <f t="shared" si="748"/>
        <v>21</v>
      </c>
      <c r="FQ1680" s="14">
        <f t="shared" si="749"/>
        <v>4</v>
      </c>
      <c r="FR1680" s="101" t="str">
        <f t="shared" si="733"/>
        <v>秦琼专属武器-魂珠-8 4级</v>
      </c>
      <c r="FS1680" s="101">
        <f t="shared" si="734"/>
        <v>8</v>
      </c>
      <c r="FT1680" s="101">
        <f t="shared" si="735"/>
        <v>4</v>
      </c>
      <c r="FU1680" s="101" t="str">
        <f t="shared" si="750"/>
        <v>金币</v>
      </c>
      <c r="FV1680" s="139">
        <f>IF($FT1680&gt;0,IF(INDEX($EI$6:$EI$77,$FO1680)&gt;=FV$3,ROUND(INDEX(EK$6:EK$77,$FO1680)*INDEX(卡牌消耗!$B$8:$F$8,FQ1680)/5,0)*5,""),"")</f>
        <v>29670</v>
      </c>
      <c r="FW1680" s="101" t="str">
        <f t="shared" si="751"/>
        <v>专属强化石4</v>
      </c>
      <c r="FX1680" s="101">
        <f t="shared" si="752"/>
        <v>12</v>
      </c>
      <c r="FY1680" s="101" t="str">
        <f t="shared" si="753"/>
        <v/>
      </c>
      <c r="FZ1680" s="101" t="str">
        <f t="shared" si="754"/>
        <v/>
      </c>
      <c r="GA1680" s="101">
        <f t="shared" si="736"/>
        <v>0.05</v>
      </c>
      <c r="GB1680" s="101">
        <f t="shared" si="737"/>
        <v>1</v>
      </c>
      <c r="GC1680" s="101">
        <f t="shared" si="738"/>
        <v>28</v>
      </c>
      <c r="GD1680" s="101">
        <f t="shared" si="739"/>
        <v>0</v>
      </c>
      <c r="GE1680" s="101">
        <f t="shared" si="740"/>
        <v>1</v>
      </c>
      <c r="GF1680" s="101">
        <f t="shared" si="741"/>
        <v>6</v>
      </c>
      <c r="GG1680" s="101">
        <f t="shared" si="742"/>
        <v>2.7099999999999999E-2</v>
      </c>
      <c r="GH1680" s="101">
        <f t="shared" si="743"/>
        <v>1</v>
      </c>
      <c r="GI1680" s="101">
        <f t="shared" si="744"/>
        <v>13</v>
      </c>
      <c r="GJ1680" s="101">
        <f t="shared" si="745"/>
        <v>0.1085</v>
      </c>
      <c r="GK1680" s="101">
        <f t="shared" si="746"/>
        <v>1</v>
      </c>
      <c r="GL1680" s="101">
        <f t="shared" si="747"/>
        <v>28</v>
      </c>
    </row>
    <row r="1681" spans="170:194" ht="16.5" x14ac:dyDescent="0.2">
      <c r="FN1681" s="101">
        <v>1676</v>
      </c>
      <c r="FO1681" s="101">
        <f t="shared" si="732"/>
        <v>68</v>
      </c>
      <c r="FP1681" s="101">
        <f t="shared" si="748"/>
        <v>21</v>
      </c>
      <c r="FQ1681" s="14">
        <f t="shared" si="749"/>
        <v>4</v>
      </c>
      <c r="FR1681" s="101" t="str">
        <f t="shared" si="733"/>
        <v>秦琼专属武器-魂珠-8 5级</v>
      </c>
      <c r="FS1681" s="101">
        <f t="shared" si="734"/>
        <v>8</v>
      </c>
      <c r="FT1681" s="101">
        <f t="shared" si="735"/>
        <v>5</v>
      </c>
      <c r="FU1681" s="101" t="str">
        <f t="shared" si="750"/>
        <v>金币</v>
      </c>
      <c r="FV1681" s="139">
        <f>IF($FT1681&gt;0,IF(INDEX($EI$6:$EI$77,$FO1681)&gt;=FV$3,ROUND(INDEX(EK$6:EK$77,$FO1681)*INDEX(卡牌消耗!$B$8:$F$8,FQ1681)/5,0)*5,""),"")</f>
        <v>37665</v>
      </c>
      <c r="FW1681" s="101" t="str">
        <f t="shared" si="751"/>
        <v>专属强化石4</v>
      </c>
      <c r="FX1681" s="101">
        <f t="shared" si="752"/>
        <v>15</v>
      </c>
      <c r="FY1681" s="101" t="str">
        <f t="shared" si="753"/>
        <v/>
      </c>
      <c r="FZ1681" s="101" t="str">
        <f t="shared" si="754"/>
        <v/>
      </c>
      <c r="GA1681" s="101">
        <f t="shared" si="736"/>
        <v>0.04</v>
      </c>
      <c r="GB1681" s="101">
        <f t="shared" si="737"/>
        <v>1</v>
      </c>
      <c r="GC1681" s="101">
        <f t="shared" si="738"/>
        <v>35</v>
      </c>
      <c r="GD1681" s="101">
        <f t="shared" si="739"/>
        <v>0</v>
      </c>
      <c r="GE1681" s="101">
        <f t="shared" si="740"/>
        <v>1</v>
      </c>
      <c r="GF1681" s="101">
        <f t="shared" si="741"/>
        <v>8</v>
      </c>
      <c r="GG1681" s="101">
        <f t="shared" si="742"/>
        <v>2.12E-2</v>
      </c>
      <c r="GH1681" s="101">
        <f t="shared" si="743"/>
        <v>1</v>
      </c>
      <c r="GI1681" s="101">
        <f t="shared" si="744"/>
        <v>17</v>
      </c>
      <c r="GJ1681" s="101">
        <f t="shared" si="745"/>
        <v>8.4699999999999998E-2</v>
      </c>
      <c r="GK1681" s="101">
        <f t="shared" si="746"/>
        <v>1</v>
      </c>
      <c r="GL1681" s="101">
        <f t="shared" si="747"/>
        <v>35</v>
      </c>
    </row>
    <row r="1682" spans="170:194" ht="16.5" x14ac:dyDescent="0.2">
      <c r="FN1682" s="101">
        <v>1677</v>
      </c>
      <c r="FO1682" s="101">
        <f t="shared" si="732"/>
        <v>69</v>
      </c>
      <c r="FP1682" s="101">
        <f t="shared" si="748"/>
        <v>21</v>
      </c>
      <c r="FQ1682" s="14">
        <f t="shared" si="749"/>
        <v>4</v>
      </c>
      <c r="FR1682" s="101" t="str">
        <f t="shared" si="733"/>
        <v>秦琼专属武器-魂珠-8 6级</v>
      </c>
      <c r="FS1682" s="101">
        <f t="shared" si="734"/>
        <v>8</v>
      </c>
      <c r="FT1682" s="101">
        <f t="shared" si="735"/>
        <v>6</v>
      </c>
      <c r="FU1682" s="101" t="str">
        <f t="shared" si="750"/>
        <v>金币</v>
      </c>
      <c r="FV1682" s="139">
        <f>IF($FT1682&gt;0,IF(INDEX($EI$6:$EI$77,$FO1682)&gt;=FV$3,ROUND(INDEX(EK$6:EK$77,$FO1682)*INDEX(卡牌消耗!$B$8:$F$8,FQ1682)/5,0)*5,""),"")</f>
        <v>44935</v>
      </c>
      <c r="FW1682" s="101" t="str">
        <f t="shared" si="751"/>
        <v>专属强化石4</v>
      </c>
      <c r="FX1682" s="101">
        <f t="shared" si="752"/>
        <v>18</v>
      </c>
      <c r="FY1682" s="101" t="str">
        <f t="shared" si="753"/>
        <v/>
      </c>
      <c r="FZ1682" s="101" t="str">
        <f t="shared" si="754"/>
        <v/>
      </c>
      <c r="GA1682" s="101">
        <f t="shared" si="736"/>
        <v>0.03</v>
      </c>
      <c r="GB1682" s="101">
        <f t="shared" si="737"/>
        <v>1</v>
      </c>
      <c r="GC1682" s="101">
        <f t="shared" si="738"/>
        <v>48</v>
      </c>
      <c r="GD1682" s="101">
        <f t="shared" si="739"/>
        <v>0</v>
      </c>
      <c r="GE1682" s="101">
        <f t="shared" si="740"/>
        <v>1</v>
      </c>
      <c r="GF1682" s="101">
        <f t="shared" si="741"/>
        <v>11</v>
      </c>
      <c r="GG1682" s="101">
        <f t="shared" si="742"/>
        <v>1.5599999999999999E-2</v>
      </c>
      <c r="GH1682" s="101">
        <f t="shared" si="743"/>
        <v>1</v>
      </c>
      <c r="GI1682" s="101">
        <f t="shared" si="744"/>
        <v>22</v>
      </c>
      <c r="GJ1682" s="101">
        <f t="shared" si="745"/>
        <v>6.2600000000000003E-2</v>
      </c>
      <c r="GK1682" s="101">
        <f t="shared" si="746"/>
        <v>1</v>
      </c>
      <c r="GL1682" s="101">
        <f t="shared" si="747"/>
        <v>48</v>
      </c>
    </row>
    <row r="1683" spans="170:194" ht="16.5" x14ac:dyDescent="0.2">
      <c r="FN1683" s="101">
        <v>1678</v>
      </c>
      <c r="FO1683" s="101">
        <f t="shared" si="732"/>
        <v>70</v>
      </c>
      <c r="FP1683" s="101">
        <f t="shared" si="748"/>
        <v>21</v>
      </c>
      <c r="FQ1683" s="14">
        <f t="shared" si="749"/>
        <v>4</v>
      </c>
      <c r="FR1683" s="101" t="str">
        <f t="shared" si="733"/>
        <v>秦琼专属武器-魂珠-8 7级</v>
      </c>
      <c r="FS1683" s="101">
        <f t="shared" si="734"/>
        <v>8</v>
      </c>
      <c r="FT1683" s="101">
        <f t="shared" si="735"/>
        <v>7</v>
      </c>
      <c r="FU1683" s="101" t="str">
        <f t="shared" si="750"/>
        <v>金币</v>
      </c>
      <c r="FV1683" s="139">
        <f>IF($FT1683&gt;0,IF(INDEX($EI$6:$EI$77,$FO1683)&gt;=FV$3,ROUND(INDEX(EK$6:EK$77,$FO1683)*INDEX(卡牌消耗!$B$8:$F$8,FQ1683)/5,0)*5,""),"")</f>
        <v>62545</v>
      </c>
      <c r="FW1683" s="101" t="str">
        <f t="shared" si="751"/>
        <v>专属强化石4</v>
      </c>
      <c r="FX1683" s="101">
        <f t="shared" si="752"/>
        <v>25</v>
      </c>
      <c r="FY1683" s="101" t="str">
        <f t="shared" si="753"/>
        <v/>
      </c>
      <c r="FZ1683" s="101" t="str">
        <f t="shared" si="754"/>
        <v/>
      </c>
      <c r="GA1683" s="101">
        <f t="shared" si="736"/>
        <v>0.03</v>
      </c>
      <c r="GB1683" s="101">
        <f t="shared" si="737"/>
        <v>1</v>
      </c>
      <c r="GC1683" s="101">
        <f t="shared" si="738"/>
        <v>56</v>
      </c>
      <c r="GD1683" s="101">
        <f t="shared" si="739"/>
        <v>0</v>
      </c>
      <c r="GE1683" s="101">
        <f t="shared" si="740"/>
        <v>1</v>
      </c>
      <c r="GF1683" s="101">
        <f t="shared" si="741"/>
        <v>13</v>
      </c>
      <c r="GG1683" s="101">
        <f t="shared" si="742"/>
        <v>1.35E-2</v>
      </c>
      <c r="GH1683" s="101">
        <f t="shared" si="743"/>
        <v>1</v>
      </c>
      <c r="GI1683" s="101">
        <f t="shared" si="744"/>
        <v>26</v>
      </c>
      <c r="GJ1683" s="101">
        <f t="shared" si="745"/>
        <v>5.3800000000000001E-2</v>
      </c>
      <c r="GK1683" s="101">
        <f t="shared" si="746"/>
        <v>1</v>
      </c>
      <c r="GL1683" s="101">
        <f t="shared" si="747"/>
        <v>56</v>
      </c>
    </row>
    <row r="1684" spans="170:194" ht="16.5" x14ac:dyDescent="0.2">
      <c r="FN1684" s="101">
        <v>1679</v>
      </c>
      <c r="FO1684" s="101">
        <f t="shared" si="732"/>
        <v>71</v>
      </c>
      <c r="FP1684" s="101">
        <f t="shared" si="748"/>
        <v>21</v>
      </c>
      <c r="FQ1684" s="14">
        <f t="shared" si="749"/>
        <v>4</v>
      </c>
      <c r="FR1684" s="101" t="str">
        <f t="shared" si="733"/>
        <v>秦琼专属武器-魂珠-8 8级</v>
      </c>
      <c r="FS1684" s="101">
        <f t="shared" si="734"/>
        <v>8</v>
      </c>
      <c r="FT1684" s="101">
        <f t="shared" si="735"/>
        <v>8</v>
      </c>
      <c r="FU1684" s="101" t="str">
        <f t="shared" si="750"/>
        <v>金币</v>
      </c>
      <c r="FV1684" s="139">
        <f>IF($FT1684&gt;0,IF(INDEX($EI$6:$EI$77,$FO1684)&gt;=FV$3,ROUND(INDEX(EK$6:EK$77,$FO1684)*INDEX(卡牌消耗!$B$8:$F$8,FQ1684)/5,0)*5,""),"")</f>
        <v>74990</v>
      </c>
      <c r="FW1684" s="101" t="str">
        <f t="shared" si="751"/>
        <v>专属强化石4</v>
      </c>
      <c r="FX1684" s="101">
        <f t="shared" si="752"/>
        <v>30</v>
      </c>
      <c r="FY1684" s="101" t="str">
        <f t="shared" si="753"/>
        <v/>
      </c>
      <c r="FZ1684" s="101" t="str">
        <f t="shared" si="754"/>
        <v/>
      </c>
      <c r="GA1684" s="101">
        <f t="shared" si="736"/>
        <v>0.02</v>
      </c>
      <c r="GB1684" s="101">
        <f t="shared" si="737"/>
        <v>1</v>
      </c>
      <c r="GC1684" s="101">
        <f t="shared" si="738"/>
        <v>75</v>
      </c>
      <c r="GD1684" s="101">
        <f t="shared" si="739"/>
        <v>0</v>
      </c>
      <c r="GE1684" s="101">
        <f t="shared" si="740"/>
        <v>1</v>
      </c>
      <c r="GF1684" s="101">
        <f t="shared" si="741"/>
        <v>18</v>
      </c>
      <c r="GG1684" s="101">
        <f t="shared" si="742"/>
        <v>0.01</v>
      </c>
      <c r="GH1684" s="101">
        <f t="shared" si="743"/>
        <v>1</v>
      </c>
      <c r="GI1684" s="101">
        <f t="shared" si="744"/>
        <v>35</v>
      </c>
      <c r="GJ1684" s="101">
        <f t="shared" si="745"/>
        <v>3.9899999999999998E-2</v>
      </c>
      <c r="GK1684" s="101">
        <f t="shared" si="746"/>
        <v>1</v>
      </c>
      <c r="GL1684" s="101">
        <f t="shared" si="747"/>
        <v>75</v>
      </c>
    </row>
    <row r="1685" spans="170:194" ht="16.5" x14ac:dyDescent="0.2">
      <c r="FN1685" s="101">
        <v>1680</v>
      </c>
      <c r="FO1685" s="101">
        <f t="shared" si="732"/>
        <v>72</v>
      </c>
      <c r="FP1685" s="101">
        <f t="shared" si="748"/>
        <v>21</v>
      </c>
      <c r="FQ1685" s="14">
        <f t="shared" si="749"/>
        <v>4</v>
      </c>
      <c r="FR1685" s="101" t="str">
        <f t="shared" si="733"/>
        <v>秦琼专属武器-魂珠-8 9级</v>
      </c>
      <c r="FS1685" s="101">
        <f t="shared" si="734"/>
        <v>8</v>
      </c>
      <c r="FT1685" s="101">
        <f t="shared" si="735"/>
        <v>9</v>
      </c>
      <c r="FU1685" s="101" t="str">
        <f t="shared" si="750"/>
        <v>金币</v>
      </c>
      <c r="FV1685" s="139">
        <f>IF($FT1685&gt;0,IF(INDEX($EI$6:$EI$77,$FO1685)&gt;=FV$3,ROUND(INDEX(EK$6:EK$77,$FO1685)*INDEX(卡牌消耗!$B$8:$F$8,FQ1685)/5,0)*5,""),"")</f>
        <v>75015</v>
      </c>
      <c r="FW1685" s="101" t="str">
        <f t="shared" si="751"/>
        <v>专属强化石4</v>
      </c>
      <c r="FX1685" s="101">
        <f t="shared" si="752"/>
        <v>30</v>
      </c>
      <c r="FY1685" s="101" t="str">
        <f t="shared" si="753"/>
        <v/>
      </c>
      <c r="FZ1685" s="101" t="str">
        <f t="shared" si="754"/>
        <v/>
      </c>
      <c r="GA1685" s="101">
        <f t="shared" si="736"/>
        <v>0.01</v>
      </c>
      <c r="GB1685" s="101">
        <f t="shared" si="737"/>
        <v>1</v>
      </c>
      <c r="GC1685" s="101">
        <f t="shared" si="738"/>
        <v>122</v>
      </c>
      <c r="GD1685" s="101">
        <f t="shared" si="739"/>
        <v>0</v>
      </c>
      <c r="GE1685" s="101">
        <f t="shared" si="740"/>
        <v>1</v>
      </c>
      <c r="GF1685" s="101">
        <f t="shared" si="741"/>
        <v>28</v>
      </c>
      <c r="GG1685" s="101">
        <f t="shared" si="742"/>
        <v>6.1999999999999998E-3</v>
      </c>
      <c r="GH1685" s="101">
        <f t="shared" si="743"/>
        <v>1</v>
      </c>
      <c r="GI1685" s="101">
        <f t="shared" si="744"/>
        <v>57</v>
      </c>
      <c r="GJ1685" s="101">
        <f t="shared" si="745"/>
        <v>2.47E-2</v>
      </c>
      <c r="GK1685" s="101">
        <f t="shared" si="746"/>
        <v>1</v>
      </c>
      <c r="GL1685" s="101">
        <f t="shared" si="747"/>
        <v>122</v>
      </c>
    </row>
  </sheetData>
  <mergeCells count="7">
    <mergeCell ref="CW4:CZ4"/>
    <mergeCell ref="DC4:DF4"/>
    <mergeCell ref="DK4:DN4"/>
    <mergeCell ref="DG4:DJ4"/>
    <mergeCell ref="CG4:CJ4"/>
    <mergeCell ref="CO4:CR4"/>
    <mergeCell ref="CK4:CN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Q174"/>
  <sheetViews>
    <sheetView workbookViewId="0">
      <selection activeCell="N16" sqref="N16"/>
    </sheetView>
  </sheetViews>
  <sheetFormatPr defaultRowHeight="14.25" x14ac:dyDescent="0.2"/>
  <cols>
    <col min="2" max="2" width="12.625" customWidth="1"/>
    <col min="5" max="5" width="10.875" customWidth="1"/>
    <col min="6" max="7" width="14.375" customWidth="1"/>
    <col min="8" max="8" width="12.875" customWidth="1"/>
    <col min="9" max="9" width="9.5" customWidth="1"/>
    <col min="10" max="10" width="10.125" customWidth="1"/>
    <col min="17" max="17" width="15.25" customWidth="1"/>
    <col min="18" max="19" width="11.875" customWidth="1"/>
    <col min="20" max="20" width="14.625" customWidth="1"/>
    <col min="21" max="22" width="13" customWidth="1"/>
    <col min="23" max="27" width="11.375" customWidth="1"/>
    <col min="28" max="28" width="14.375" customWidth="1"/>
    <col min="29" max="33" width="11.375" customWidth="1"/>
    <col min="37" max="37" width="12.75" customWidth="1"/>
    <col min="38" max="39" width="10.125" customWidth="1"/>
    <col min="42" max="42" width="20.5" customWidth="1"/>
    <col min="43" max="43" width="16.25" customWidth="1"/>
    <col min="44" max="44" width="16.625" customWidth="1"/>
    <col min="45" max="45" width="14.125" customWidth="1"/>
    <col min="46" max="46" width="13.625" customWidth="1"/>
    <col min="47" max="47" width="15.25" customWidth="1"/>
    <col min="48" max="49" width="18.875" customWidth="1"/>
    <col min="50" max="50" width="16.75" customWidth="1"/>
    <col min="51" max="51" width="17.125" customWidth="1"/>
    <col min="52" max="52" width="20.5" customWidth="1"/>
    <col min="53" max="53" width="22.875" customWidth="1"/>
    <col min="54" max="54" width="20.125" customWidth="1"/>
    <col min="55" max="55" width="24.875" customWidth="1"/>
    <col min="56" max="56" width="12" customWidth="1"/>
    <col min="62" max="62" width="10.625" customWidth="1"/>
    <col min="63" max="63" width="21.75" customWidth="1"/>
    <col min="64" max="64" width="12.125" customWidth="1"/>
    <col min="65" max="65" width="42.75" customWidth="1"/>
    <col min="66" max="66" width="20.25" customWidth="1"/>
    <col min="67" max="67" width="13.375" customWidth="1"/>
    <col min="68" max="68" width="13.5" customWidth="1"/>
    <col min="69" max="75" width="10.625" customWidth="1"/>
  </cols>
  <sheetData>
    <row r="4" spans="1:69" ht="17.25" x14ac:dyDescent="0.2">
      <c r="A4" s="12" t="s">
        <v>203</v>
      </c>
      <c r="B4" s="12" t="s">
        <v>871</v>
      </c>
      <c r="C4" s="12" t="s">
        <v>872</v>
      </c>
      <c r="E4" s="12" t="s">
        <v>886</v>
      </c>
      <c r="F4" s="12" t="s">
        <v>887</v>
      </c>
      <c r="G4" s="12" t="s">
        <v>901</v>
      </c>
      <c r="H4" s="12" t="s">
        <v>320</v>
      </c>
      <c r="I4" s="12" t="s">
        <v>924</v>
      </c>
      <c r="J4" s="12" t="s">
        <v>927</v>
      </c>
      <c r="M4" s="12" t="s">
        <v>904</v>
      </c>
      <c r="N4" s="12" t="s">
        <v>905</v>
      </c>
      <c r="O4" s="12" t="s">
        <v>906</v>
      </c>
      <c r="P4" s="12" t="s">
        <v>917</v>
      </c>
      <c r="Q4" s="12" t="s">
        <v>909</v>
      </c>
      <c r="R4" s="12" t="s">
        <v>914</v>
      </c>
      <c r="S4" s="12" t="s">
        <v>913</v>
      </c>
      <c r="T4" s="12" t="s">
        <v>910</v>
      </c>
      <c r="U4" s="12" t="s">
        <v>915</v>
      </c>
      <c r="V4" s="12" t="s">
        <v>916</v>
      </c>
      <c r="X4" s="12" t="s">
        <v>925</v>
      </c>
      <c r="Y4" s="12" t="s">
        <v>922</v>
      </c>
      <c r="Z4" s="12" t="s">
        <v>923</v>
      </c>
      <c r="AA4" s="12" t="s">
        <v>929</v>
      </c>
      <c r="AB4" s="12" t="s">
        <v>909</v>
      </c>
      <c r="AC4" s="12" t="s">
        <v>914</v>
      </c>
      <c r="AD4" s="12" t="s">
        <v>913</v>
      </c>
      <c r="AI4" s="12" t="s">
        <v>902</v>
      </c>
      <c r="AJ4" s="12" t="s">
        <v>230</v>
      </c>
      <c r="AK4" s="12" t="s">
        <v>886</v>
      </c>
      <c r="AL4" s="12" t="s">
        <v>114</v>
      </c>
      <c r="AM4" s="12" t="s">
        <v>813</v>
      </c>
      <c r="AN4" s="12" t="s">
        <v>230</v>
      </c>
      <c r="AO4" s="12" t="s">
        <v>888</v>
      </c>
      <c r="AP4" s="12" t="s">
        <v>889</v>
      </c>
      <c r="AQ4" s="12" t="s">
        <v>890</v>
      </c>
      <c r="AR4" s="12" t="s">
        <v>891</v>
      </c>
      <c r="AS4" s="12" t="s">
        <v>935</v>
      </c>
      <c r="AT4" s="12" t="s">
        <v>892</v>
      </c>
      <c r="AU4" s="12" t="s">
        <v>893</v>
      </c>
      <c r="AV4" s="12" t="s">
        <v>918</v>
      </c>
      <c r="AW4" s="12" t="s">
        <v>919</v>
      </c>
      <c r="AX4" s="12" t="s">
        <v>894</v>
      </c>
      <c r="AY4" s="12" t="s">
        <v>895</v>
      </c>
      <c r="AZ4" s="12" t="s">
        <v>896</v>
      </c>
      <c r="BA4" s="12" t="s">
        <v>897</v>
      </c>
      <c r="BB4" s="12" t="s">
        <v>898</v>
      </c>
      <c r="BC4" s="12" t="s">
        <v>899</v>
      </c>
      <c r="BD4" s="12" t="s">
        <v>900</v>
      </c>
      <c r="BG4" s="12" t="s">
        <v>921</v>
      </c>
      <c r="BH4" s="12" t="s">
        <v>926</v>
      </c>
      <c r="BI4" s="12" t="s">
        <v>930</v>
      </c>
      <c r="BJ4" s="12" t="s">
        <v>920</v>
      </c>
      <c r="BK4" s="12" t="s">
        <v>928</v>
      </c>
      <c r="BM4" s="12" t="s">
        <v>928</v>
      </c>
      <c r="BN4" s="12" t="s">
        <v>931</v>
      </c>
      <c r="BO4" s="12" t="s">
        <v>932</v>
      </c>
      <c r="BP4" s="12" t="s">
        <v>933</v>
      </c>
      <c r="BQ4" s="12" t="s">
        <v>934</v>
      </c>
    </row>
    <row r="5" spans="1:69" ht="16.5" x14ac:dyDescent="0.2">
      <c r="A5" s="96">
        <v>0</v>
      </c>
      <c r="B5" s="96">
        <v>0</v>
      </c>
      <c r="C5" s="96">
        <v>0</v>
      </c>
      <c r="E5" s="92">
        <v>0</v>
      </c>
      <c r="F5" s="92">
        <v>0</v>
      </c>
      <c r="G5" s="92">
        <v>0</v>
      </c>
      <c r="H5" s="92">
        <v>0</v>
      </c>
      <c r="I5" s="97">
        <v>0</v>
      </c>
      <c r="J5" s="97">
        <v>0</v>
      </c>
      <c r="M5" s="97">
        <v>0</v>
      </c>
      <c r="N5" s="97"/>
      <c r="O5" s="97"/>
      <c r="P5" s="97"/>
      <c r="Q5" s="97"/>
      <c r="R5" s="97"/>
      <c r="S5" s="97"/>
      <c r="T5" s="97"/>
      <c r="U5" s="97"/>
      <c r="V5" s="97"/>
      <c r="X5" s="97">
        <v>1</v>
      </c>
      <c r="Y5" s="97">
        <v>1</v>
      </c>
      <c r="Z5" s="97">
        <v>1</v>
      </c>
      <c r="AA5" s="48" t="s">
        <v>936</v>
      </c>
      <c r="AB5" s="97" t="s">
        <v>908</v>
      </c>
      <c r="AC5" s="97">
        <v>1</v>
      </c>
      <c r="AD5" s="97">
        <v>1</v>
      </c>
      <c r="AI5" s="96">
        <v>1</v>
      </c>
      <c r="AJ5" s="14">
        <f>MATCH(AI5-1,$H$5:$H$22,1)</f>
        <v>1</v>
      </c>
      <c r="AK5" s="14">
        <f>AL5*100+AN5</f>
        <v>200201</v>
      </c>
      <c r="AL5" s="14">
        <f>INDEX($E$6:$E$22,AJ5)</f>
        <v>2002</v>
      </c>
      <c r="AM5" s="96" t="s">
        <v>903</v>
      </c>
      <c r="AN5" s="14">
        <f>AI5-INDEX($H$5:$H$22,AJ5)</f>
        <v>1</v>
      </c>
      <c r="AO5" s="14">
        <f>AK6</f>
        <v>200202</v>
      </c>
      <c r="AP5" s="14" t="str">
        <f>INDEX($F$6:$F$22,AJ5)&amp;"-"&amp;AN5</f>
        <v>许褚传记-1</v>
      </c>
      <c r="AQ5" s="14" t="str">
        <f>AP5</f>
        <v>许褚传记-1</v>
      </c>
      <c r="AR5" s="14">
        <f>INDEX($N$6:$N$13,AN5)</f>
        <v>30</v>
      </c>
      <c r="AS5" s="14" t="str">
        <f>IF(INDEX($O$6:$O$13,AN5)&gt;0,INDEX($O$6:$O$13,AN5),"")</f>
        <v/>
      </c>
      <c r="AT5" s="98">
        <v>3</v>
      </c>
      <c r="AU5" s="99" t="s">
        <v>907</v>
      </c>
      <c r="AV5" s="14" t="str">
        <f>"KP_KM_"&amp;INDEX($A$6:$A$22,AJ5)</f>
        <v>KP_KM_1102002</v>
      </c>
      <c r="AW5" s="14">
        <f>INDEX($A$6:$A$22,AJ5)</f>
        <v>1102002</v>
      </c>
      <c r="AX5" s="14" t="str">
        <f>INDEX($F$6:$F$22,AJ5)&amp;AN5&amp;"-1"</f>
        <v>许褚传记1-1</v>
      </c>
      <c r="AY5" s="14" t="str">
        <f>IF(INDEX($P$6:$P$13,AN5)&gt;=2,INDEX($F$6:$F$22,AJ5)&amp;AN5&amp;"-1","")</f>
        <v/>
      </c>
      <c r="AZ5" s="14" t="str">
        <f>INDEX($B$6:$B$22,AJ5)&amp;INDEX($Q$6:$Q$13,AN5)</f>
        <v>许褚碎片</v>
      </c>
      <c r="BA5" s="14">
        <f>IF(INDEX($R$6:$R$13,AN5)&lt;&gt;INDEX($S$6:$S$13,AN5),INDEX($R$6:$R$13,AN5)&amp;"~"&amp;INDEX($S$6:$S$13,AN5),INDEX($R$6:$R$13,AN5))</f>
        <v>1</v>
      </c>
      <c r="BB5" s="14" t="str">
        <f>IF(INDEX($P$6:$P$13,AN5)&gt;1,INDEX($B$6:$B$22,AJ5)&amp;INDEX($T$6:$T$13,AN5),"")</f>
        <v/>
      </c>
      <c r="BC5" s="14" t="str">
        <f>IF(INDEX($P$6:$P$13,AN5)&gt;1,IF(INDEX($U$6:$U$13,AN5)&lt;&gt;INDEX($V$6:$V$13,AN5),INDEX($U$6:$U$13,AN5)&amp;"~"&amp;INDEX($V$6:$V$13,AN5),INDEX($U$6:$U$13,AN5)),"")</f>
        <v/>
      </c>
      <c r="BD5" s="96"/>
      <c r="BG5" s="97">
        <v>1</v>
      </c>
      <c r="BH5" s="14">
        <f>MATCH(BG5-1,$J$5:$J$22,1)</f>
        <v>1</v>
      </c>
      <c r="BI5" s="14">
        <f>BG5-INDEX($J$5:$J$21,BH5)</f>
        <v>1</v>
      </c>
      <c r="BJ5" s="14">
        <f>3000+BG5</f>
        <v>3001</v>
      </c>
      <c r="BK5" s="14" t="str">
        <f>INDEX($F$6:$F$22,BH5)&amp;INDEX($AA$5:$AA$15,BI5)</f>
        <v>许褚传记1-1</v>
      </c>
      <c r="BM5" s="14" t="str">
        <f>BK5&amp;" "&amp;BN5</f>
        <v>许褚传记1-1 许褚碎片</v>
      </c>
      <c r="BN5" s="14" t="str">
        <f>INDEX($B$6:$B$22,BH5)&amp;INDEX($AB$5:$AB$15,BI5)</f>
        <v>许褚碎片</v>
      </c>
      <c r="BO5" s="14">
        <f>INDEX(AC$5:AC$15,$BI5)</f>
        <v>1</v>
      </c>
      <c r="BP5" s="14">
        <f>INDEX(AD$5:AD$15,$BI5)</f>
        <v>1</v>
      </c>
      <c r="BQ5" s="14">
        <v>10000</v>
      </c>
    </row>
    <row r="6" spans="1:69" ht="16.5" x14ac:dyDescent="0.2">
      <c r="A6" s="96">
        <v>1102002</v>
      </c>
      <c r="B6" s="96" t="s">
        <v>876</v>
      </c>
      <c r="C6" s="96">
        <v>3</v>
      </c>
      <c r="E6" s="96">
        <f>A6-1100000</f>
        <v>2002</v>
      </c>
      <c r="F6" s="96" t="str">
        <f>B6&amp;"传记"</f>
        <v>许褚传记</v>
      </c>
      <c r="G6" s="96">
        <v>5</v>
      </c>
      <c r="H6" s="96">
        <f>SUM(G$6:G6)</f>
        <v>5</v>
      </c>
      <c r="I6" s="97">
        <v>6</v>
      </c>
      <c r="J6" s="97">
        <f>SUM(I$5:I6)</f>
        <v>6</v>
      </c>
      <c r="M6" s="97">
        <v>1</v>
      </c>
      <c r="N6" s="97">
        <v>30</v>
      </c>
      <c r="O6" s="97"/>
      <c r="P6" s="97">
        <v>1</v>
      </c>
      <c r="Q6" s="97" t="s">
        <v>908</v>
      </c>
      <c r="R6" s="97">
        <v>1</v>
      </c>
      <c r="S6" s="97">
        <v>1</v>
      </c>
      <c r="T6" s="97"/>
      <c r="U6" s="97"/>
      <c r="V6" s="97"/>
      <c r="X6" s="97">
        <v>2</v>
      </c>
      <c r="Y6" s="97">
        <v>2</v>
      </c>
      <c r="Z6" s="97">
        <v>1</v>
      </c>
      <c r="AA6" s="48" t="s">
        <v>937</v>
      </c>
      <c r="AB6" s="97" t="s">
        <v>908</v>
      </c>
      <c r="AC6" s="97">
        <v>1</v>
      </c>
      <c r="AD6" s="97">
        <v>1</v>
      </c>
      <c r="AI6" s="96">
        <v>2</v>
      </c>
      <c r="AJ6" s="14">
        <f t="shared" ref="AJ6:AJ69" si="0">MATCH(AI6-1,$H$5:$H$22,1)</f>
        <v>1</v>
      </c>
      <c r="AK6" s="14">
        <f t="shared" ref="AK6:AK69" si="1">AL6*100+AN6</f>
        <v>200202</v>
      </c>
      <c r="AL6" s="14">
        <f t="shared" ref="AL6:AL69" si="2">INDEX($E$6:$E$22,AJ6)</f>
        <v>2002</v>
      </c>
      <c r="AM6" s="96" t="s">
        <v>903</v>
      </c>
      <c r="AN6" s="14">
        <f t="shared" ref="AN6:AN69" si="3">AI6-INDEX($H$5:$H$22,AJ6)</f>
        <v>2</v>
      </c>
      <c r="AO6" s="14">
        <f t="shared" ref="AO6:AO8" si="4">AK7</f>
        <v>200203</v>
      </c>
      <c r="AP6" s="14" t="str">
        <f t="shared" ref="AP6:AP69" si="5">INDEX($F$6:$F$22,AJ6)&amp;"-"&amp;AN6</f>
        <v>许褚传记-2</v>
      </c>
      <c r="AQ6" s="14" t="str">
        <f t="shared" ref="AQ6:AQ69" si="6">AP6</f>
        <v>许褚传记-2</v>
      </c>
      <c r="AR6" s="14">
        <f t="shared" ref="AR6:AR69" si="7">INDEX($N$6:$N$13,AN6)</f>
        <v>40</v>
      </c>
      <c r="AS6" s="14" t="str">
        <f t="shared" ref="AS6:AS69" si="8">IF(INDEX($O$6:$O$13,AN6)&gt;0,INDEX($O$6:$O$13,AN6),"")</f>
        <v/>
      </c>
      <c r="AT6" s="98">
        <v>3</v>
      </c>
      <c r="AU6" s="99" t="s">
        <v>907</v>
      </c>
      <c r="AV6" s="14" t="str">
        <f t="shared" ref="AV6:AV69" si="9">"KP_KM_"&amp;INDEX($A$6:$A$22,AJ6)</f>
        <v>KP_KM_1102002</v>
      </c>
      <c r="AW6" s="14">
        <f t="shared" ref="AW6:AW69" si="10">INDEX($A$6:$A$22,AJ6)</f>
        <v>1102002</v>
      </c>
      <c r="AX6" s="14" t="str">
        <f t="shared" ref="AX6:AX69" si="11">INDEX($F$6:$F$22,AJ6)&amp;AN6&amp;"-1"</f>
        <v>许褚传记2-1</v>
      </c>
      <c r="AY6" s="14" t="str">
        <f t="shared" ref="AY6:AY69" si="12">IF(INDEX($P$6:$P$13,AN6)&gt;=2,INDEX($F$6:$F$22,AJ6)&amp;AN6&amp;"-1","")</f>
        <v/>
      </c>
      <c r="AZ6" s="14" t="str">
        <f t="shared" ref="AZ6:AZ69" si="13">INDEX($B$6:$B$22,AJ6)&amp;INDEX($Q$6:$Q$13,AN6)</f>
        <v>许褚碎片</v>
      </c>
      <c r="BA6" s="14">
        <f t="shared" ref="BA6:BA69" si="14">IF(INDEX($R$6:$R$13,AN6)&lt;&gt;INDEX($S$6:$S$13,AN6),INDEX($R$6:$R$13,AN6)&amp;"~"&amp;INDEX($S$6:$S$13,AN6),INDEX($R$6:$R$13,AN6))</f>
        <v>1</v>
      </c>
      <c r="BB6" s="14" t="str">
        <f t="shared" ref="BB6:BB69" si="15">IF(INDEX($P$6:$P$13,AN6)&gt;1,INDEX($B$6:$B$22,AJ6)&amp;INDEX($T$6:$T$13,AN6),"")</f>
        <v/>
      </c>
      <c r="BC6" s="14" t="str">
        <f t="shared" ref="BC6:BC69" si="16">IF(INDEX($P$6:$P$13,AN6)&gt;1,IF(INDEX($U$6:$U$13,AN6)&lt;&gt;INDEX($V$6:$V$13,AN6),INDEX($U$6:$U$13,AN6)&amp;"~"&amp;INDEX($V$6:$V$13,AN6),INDEX($U$6:$U$13,AN6)),"")</f>
        <v/>
      </c>
      <c r="BD6" s="96"/>
      <c r="BG6" s="97">
        <v>2</v>
      </c>
      <c r="BH6" s="14">
        <f t="shared" ref="BH6:BH69" si="17">MATCH(BG6-1,$J$5:$J$22,1)</f>
        <v>1</v>
      </c>
      <c r="BI6" s="14">
        <f t="shared" ref="BI6:BI69" si="18">BG6-INDEX($J$5:$J$21,BH6)</f>
        <v>2</v>
      </c>
      <c r="BJ6" s="14">
        <f t="shared" ref="BJ6:BJ69" si="19">3000+BG6</f>
        <v>3002</v>
      </c>
      <c r="BK6" s="14" t="str">
        <f t="shared" ref="BK6:BK69" si="20">INDEX($F$6:$F$22,BH6)&amp;INDEX($AA$5:$AA$15,BI6)</f>
        <v>许褚传记2-1</v>
      </c>
      <c r="BM6" s="14" t="str">
        <f t="shared" ref="BM6:BM69" si="21">BK6&amp;" "&amp;BN6</f>
        <v>许褚传记2-1 许褚碎片</v>
      </c>
      <c r="BN6" s="14" t="str">
        <f t="shared" ref="BN6:BN69" si="22">INDEX($B$6:$B$22,BH6)&amp;INDEX($AB$5:$AB$15,BI6)</f>
        <v>许褚碎片</v>
      </c>
      <c r="BO6" s="14">
        <f t="shared" ref="BO6:BO69" si="23">INDEX(AC$5:AC$15,$BI6)</f>
        <v>1</v>
      </c>
      <c r="BP6" s="14">
        <f t="shared" ref="BP6:BP69" si="24">INDEX(AD$5:AD$15,$BI6)</f>
        <v>1</v>
      </c>
      <c r="BQ6" s="14">
        <v>10000</v>
      </c>
    </row>
    <row r="7" spans="1:69" ht="16.5" x14ac:dyDescent="0.2">
      <c r="A7" s="96">
        <v>1102003</v>
      </c>
      <c r="B7" s="96" t="s">
        <v>873</v>
      </c>
      <c r="C7" s="96">
        <v>4</v>
      </c>
      <c r="E7" s="96">
        <f t="shared" ref="E7:E22" si="25">A7-1100000</f>
        <v>2003</v>
      </c>
      <c r="F7" s="96" t="str">
        <f t="shared" ref="F7:F22" si="26">B7&amp;"传记"</f>
        <v>典韦传记</v>
      </c>
      <c r="G7" s="96">
        <v>8</v>
      </c>
      <c r="H7" s="96">
        <f>SUM(G$6:G7)</f>
        <v>13</v>
      </c>
      <c r="I7" s="97">
        <v>11</v>
      </c>
      <c r="J7" s="97">
        <f>SUM(I$5:I7)</f>
        <v>17</v>
      </c>
      <c r="M7" s="97">
        <v>2</v>
      </c>
      <c r="N7" s="97">
        <v>40</v>
      </c>
      <c r="O7" s="97"/>
      <c r="P7" s="97">
        <v>1</v>
      </c>
      <c r="Q7" s="97" t="s">
        <v>908</v>
      </c>
      <c r="R7" s="97">
        <v>1</v>
      </c>
      <c r="S7" s="97">
        <v>1</v>
      </c>
      <c r="T7" s="97"/>
      <c r="U7" s="97"/>
      <c r="V7" s="97"/>
      <c r="X7" s="97">
        <v>3</v>
      </c>
      <c r="Y7" s="97">
        <v>3</v>
      </c>
      <c r="Z7" s="97">
        <v>1</v>
      </c>
      <c r="AA7" s="48" t="s">
        <v>938</v>
      </c>
      <c r="AB7" s="97" t="s">
        <v>912</v>
      </c>
      <c r="AC7" s="97">
        <v>1</v>
      </c>
      <c r="AD7" s="97">
        <v>2</v>
      </c>
      <c r="AI7" s="96">
        <v>3</v>
      </c>
      <c r="AJ7" s="14">
        <f t="shared" si="0"/>
        <v>1</v>
      </c>
      <c r="AK7" s="14">
        <f t="shared" si="1"/>
        <v>200203</v>
      </c>
      <c r="AL7" s="14">
        <f t="shared" si="2"/>
        <v>2002</v>
      </c>
      <c r="AM7" s="96" t="s">
        <v>903</v>
      </c>
      <c r="AN7" s="14">
        <f t="shared" si="3"/>
        <v>3</v>
      </c>
      <c r="AO7" s="14">
        <f t="shared" si="4"/>
        <v>200204</v>
      </c>
      <c r="AP7" s="14" t="str">
        <f t="shared" si="5"/>
        <v>许褚传记-3</v>
      </c>
      <c r="AQ7" s="14" t="str">
        <f t="shared" si="6"/>
        <v>许褚传记-3</v>
      </c>
      <c r="AR7" s="14">
        <f t="shared" si="7"/>
        <v>55</v>
      </c>
      <c r="AS7" s="14" t="str">
        <f t="shared" si="8"/>
        <v/>
      </c>
      <c r="AT7" s="98">
        <v>3</v>
      </c>
      <c r="AU7" s="99" t="s">
        <v>907</v>
      </c>
      <c r="AV7" s="14" t="str">
        <f t="shared" si="9"/>
        <v>KP_KM_1102002</v>
      </c>
      <c r="AW7" s="14">
        <f t="shared" si="10"/>
        <v>1102002</v>
      </c>
      <c r="AX7" s="14" t="str">
        <f t="shared" si="11"/>
        <v>许褚传记3-1</v>
      </c>
      <c r="AY7" s="14" t="str">
        <f t="shared" si="12"/>
        <v/>
      </c>
      <c r="AZ7" s="14" t="str">
        <f t="shared" si="13"/>
        <v>许褚碎片</v>
      </c>
      <c r="BA7" s="14" t="str">
        <f t="shared" si="14"/>
        <v>1~2</v>
      </c>
      <c r="BB7" s="14" t="str">
        <f t="shared" si="15"/>
        <v/>
      </c>
      <c r="BC7" s="14" t="str">
        <f t="shared" si="16"/>
        <v/>
      </c>
      <c r="BD7" s="96"/>
      <c r="BG7" s="97">
        <v>3</v>
      </c>
      <c r="BH7" s="14">
        <f t="shared" si="17"/>
        <v>1</v>
      </c>
      <c r="BI7" s="14">
        <f t="shared" si="18"/>
        <v>3</v>
      </c>
      <c r="BJ7" s="14">
        <f t="shared" si="19"/>
        <v>3003</v>
      </c>
      <c r="BK7" s="14" t="str">
        <f t="shared" si="20"/>
        <v>许褚传记3-1</v>
      </c>
      <c r="BM7" s="14" t="str">
        <f t="shared" si="21"/>
        <v>许褚传记3-1 许褚碎片</v>
      </c>
      <c r="BN7" s="14" t="str">
        <f t="shared" si="22"/>
        <v>许褚碎片</v>
      </c>
      <c r="BO7" s="14">
        <f t="shared" si="23"/>
        <v>1</v>
      </c>
      <c r="BP7" s="14">
        <f t="shared" si="24"/>
        <v>2</v>
      </c>
      <c r="BQ7" s="14">
        <v>10000</v>
      </c>
    </row>
    <row r="8" spans="1:69" ht="16.5" x14ac:dyDescent="0.2">
      <c r="A8" s="96">
        <v>1102005</v>
      </c>
      <c r="B8" s="96" t="s">
        <v>877</v>
      </c>
      <c r="C8" s="96">
        <v>3</v>
      </c>
      <c r="E8" s="96">
        <f t="shared" si="25"/>
        <v>2005</v>
      </c>
      <c r="F8" s="96" t="str">
        <f t="shared" si="26"/>
        <v>李轩辕传记</v>
      </c>
      <c r="G8" s="96">
        <v>5</v>
      </c>
      <c r="H8" s="96">
        <f>SUM(G$6:G8)</f>
        <v>18</v>
      </c>
      <c r="I8" s="97">
        <v>6</v>
      </c>
      <c r="J8" s="97">
        <f>SUM(I$5:I8)</f>
        <v>23</v>
      </c>
      <c r="M8" s="97">
        <v>3</v>
      </c>
      <c r="N8" s="97">
        <v>55</v>
      </c>
      <c r="O8" s="97"/>
      <c r="P8" s="97">
        <v>1</v>
      </c>
      <c r="Q8" s="97" t="s">
        <v>912</v>
      </c>
      <c r="R8" s="97">
        <v>1</v>
      </c>
      <c r="S8" s="97">
        <v>2</v>
      </c>
      <c r="T8" s="97"/>
      <c r="U8" s="97"/>
      <c r="V8" s="97"/>
      <c r="X8" s="97">
        <v>4</v>
      </c>
      <c r="Y8" s="97">
        <v>4</v>
      </c>
      <c r="Z8" s="97">
        <v>1</v>
      </c>
      <c r="AA8" s="48" t="s">
        <v>939</v>
      </c>
      <c r="AB8" s="97" t="s">
        <v>911</v>
      </c>
      <c r="AC8" s="97">
        <v>1</v>
      </c>
      <c r="AD8" s="97">
        <v>1</v>
      </c>
      <c r="AI8" s="96">
        <v>4</v>
      </c>
      <c r="AJ8" s="14">
        <f t="shared" si="0"/>
        <v>1</v>
      </c>
      <c r="AK8" s="14">
        <f t="shared" si="1"/>
        <v>200204</v>
      </c>
      <c r="AL8" s="14">
        <f t="shared" si="2"/>
        <v>2002</v>
      </c>
      <c r="AM8" s="96" t="s">
        <v>903</v>
      </c>
      <c r="AN8" s="14">
        <f t="shared" si="3"/>
        <v>4</v>
      </c>
      <c r="AO8" s="14">
        <f t="shared" si="4"/>
        <v>200205</v>
      </c>
      <c r="AP8" s="14" t="str">
        <f t="shared" si="5"/>
        <v>许褚传记-4</v>
      </c>
      <c r="AQ8" s="14" t="str">
        <f t="shared" si="6"/>
        <v>许褚传记-4</v>
      </c>
      <c r="AR8" s="14">
        <f t="shared" si="7"/>
        <v>70</v>
      </c>
      <c r="AS8" s="14" t="str">
        <f t="shared" si="8"/>
        <v/>
      </c>
      <c r="AT8" s="98">
        <v>3</v>
      </c>
      <c r="AU8" s="99" t="s">
        <v>907</v>
      </c>
      <c r="AV8" s="14" t="str">
        <f t="shared" si="9"/>
        <v>KP_KM_1102002</v>
      </c>
      <c r="AW8" s="14">
        <f t="shared" si="10"/>
        <v>1102002</v>
      </c>
      <c r="AX8" s="14" t="str">
        <f t="shared" si="11"/>
        <v>许褚传记4-1</v>
      </c>
      <c r="AY8" s="14" t="str">
        <f t="shared" si="12"/>
        <v/>
      </c>
      <c r="AZ8" s="14" t="str">
        <f t="shared" si="13"/>
        <v>许褚专属武器碎片</v>
      </c>
      <c r="BA8" s="14">
        <f t="shared" si="14"/>
        <v>1</v>
      </c>
      <c r="BB8" s="14" t="str">
        <f t="shared" si="15"/>
        <v/>
      </c>
      <c r="BC8" s="14" t="str">
        <f t="shared" si="16"/>
        <v/>
      </c>
      <c r="BD8" s="96"/>
      <c r="BG8" s="97">
        <v>4</v>
      </c>
      <c r="BH8" s="14">
        <f t="shared" si="17"/>
        <v>1</v>
      </c>
      <c r="BI8" s="14">
        <f t="shared" si="18"/>
        <v>4</v>
      </c>
      <c r="BJ8" s="14">
        <f t="shared" si="19"/>
        <v>3004</v>
      </c>
      <c r="BK8" s="14" t="str">
        <f t="shared" si="20"/>
        <v>许褚传记4-1</v>
      </c>
      <c r="BM8" s="14" t="str">
        <f t="shared" si="21"/>
        <v>许褚传记4-1 许褚专属武器碎片</v>
      </c>
      <c r="BN8" s="14" t="str">
        <f t="shared" si="22"/>
        <v>许褚专属武器碎片</v>
      </c>
      <c r="BO8" s="14">
        <f t="shared" si="23"/>
        <v>1</v>
      </c>
      <c r="BP8" s="14">
        <f t="shared" si="24"/>
        <v>1</v>
      </c>
      <c r="BQ8" s="14">
        <v>10000</v>
      </c>
    </row>
    <row r="9" spans="1:69" ht="16.5" x14ac:dyDescent="0.2">
      <c r="A9" s="96">
        <v>1102007</v>
      </c>
      <c r="B9" s="96" t="s">
        <v>878</v>
      </c>
      <c r="C9" s="96">
        <v>4</v>
      </c>
      <c r="E9" s="96">
        <f t="shared" si="25"/>
        <v>2007</v>
      </c>
      <c r="F9" s="96" t="str">
        <f t="shared" si="26"/>
        <v>天使缇娜传记</v>
      </c>
      <c r="G9" s="96">
        <v>8</v>
      </c>
      <c r="H9" s="96">
        <f>SUM(G$6:G9)</f>
        <v>26</v>
      </c>
      <c r="I9" s="97">
        <v>11</v>
      </c>
      <c r="J9" s="97">
        <f>SUM(I$5:I9)</f>
        <v>34</v>
      </c>
      <c r="M9" s="97">
        <v>4</v>
      </c>
      <c r="N9" s="97">
        <v>70</v>
      </c>
      <c r="O9" s="97"/>
      <c r="P9" s="97">
        <v>1</v>
      </c>
      <c r="Q9" s="97" t="s">
        <v>911</v>
      </c>
      <c r="R9" s="97">
        <v>1</v>
      </c>
      <c r="S9" s="97">
        <v>1</v>
      </c>
      <c r="T9" s="97"/>
      <c r="U9" s="97"/>
      <c r="V9" s="97"/>
      <c r="X9" s="97">
        <v>5</v>
      </c>
      <c r="Y9" s="97">
        <v>5</v>
      </c>
      <c r="Z9" s="97">
        <v>1</v>
      </c>
      <c r="AA9" s="48" t="s">
        <v>940</v>
      </c>
      <c r="AB9" s="97" t="s">
        <v>908</v>
      </c>
      <c r="AC9" s="97">
        <v>1</v>
      </c>
      <c r="AD9" s="97">
        <v>2</v>
      </c>
      <c r="AI9" s="96">
        <v>5</v>
      </c>
      <c r="AJ9" s="14">
        <f t="shared" si="0"/>
        <v>1</v>
      </c>
      <c r="AK9" s="14">
        <f t="shared" si="1"/>
        <v>200205</v>
      </c>
      <c r="AL9" s="14">
        <f t="shared" si="2"/>
        <v>2002</v>
      </c>
      <c r="AM9" s="96" t="s">
        <v>903</v>
      </c>
      <c r="AN9" s="14">
        <f t="shared" si="3"/>
        <v>5</v>
      </c>
      <c r="AO9" s="14">
        <v>-1</v>
      </c>
      <c r="AP9" s="14" t="str">
        <f t="shared" si="5"/>
        <v>许褚传记-5</v>
      </c>
      <c r="AQ9" s="14" t="str">
        <f t="shared" si="6"/>
        <v>许褚传记-5</v>
      </c>
      <c r="AR9" s="14">
        <f t="shared" si="7"/>
        <v>80</v>
      </c>
      <c r="AS9" s="14" t="str">
        <f t="shared" si="8"/>
        <v/>
      </c>
      <c r="AT9" s="98">
        <v>3</v>
      </c>
      <c r="AU9" s="99" t="s">
        <v>907</v>
      </c>
      <c r="AV9" s="14" t="str">
        <f t="shared" si="9"/>
        <v>KP_KM_1102002</v>
      </c>
      <c r="AW9" s="14">
        <f t="shared" si="10"/>
        <v>1102002</v>
      </c>
      <c r="AX9" s="14" t="str">
        <f t="shared" si="11"/>
        <v>许褚传记5-1</v>
      </c>
      <c r="AY9" s="14" t="str">
        <f t="shared" si="12"/>
        <v>许褚传记5-1</v>
      </c>
      <c r="AZ9" s="14" t="str">
        <f t="shared" si="13"/>
        <v>许褚碎片</v>
      </c>
      <c r="BA9" s="14" t="str">
        <f t="shared" si="14"/>
        <v>1~2</v>
      </c>
      <c r="BB9" s="14" t="str">
        <f t="shared" si="15"/>
        <v>许褚专属武器碎片</v>
      </c>
      <c r="BC9" s="14">
        <f t="shared" si="16"/>
        <v>1</v>
      </c>
      <c r="BD9" s="96"/>
      <c r="BG9" s="97">
        <v>5</v>
      </c>
      <c r="BH9" s="14">
        <f t="shared" si="17"/>
        <v>1</v>
      </c>
      <c r="BI9" s="14">
        <f t="shared" si="18"/>
        <v>5</v>
      </c>
      <c r="BJ9" s="14">
        <f t="shared" si="19"/>
        <v>3005</v>
      </c>
      <c r="BK9" s="14" t="str">
        <f t="shared" si="20"/>
        <v>许褚传记5-1</v>
      </c>
      <c r="BM9" s="14" t="str">
        <f t="shared" si="21"/>
        <v>许褚传记5-1 许褚碎片</v>
      </c>
      <c r="BN9" s="14" t="str">
        <f t="shared" si="22"/>
        <v>许褚碎片</v>
      </c>
      <c r="BO9" s="14">
        <f t="shared" si="23"/>
        <v>1</v>
      </c>
      <c r="BP9" s="14">
        <f t="shared" si="24"/>
        <v>2</v>
      </c>
      <c r="BQ9" s="14">
        <v>10000</v>
      </c>
    </row>
    <row r="10" spans="1:69" ht="16.5" x14ac:dyDescent="0.2">
      <c r="A10" s="96">
        <v>1102008</v>
      </c>
      <c r="B10" s="96" t="s">
        <v>874</v>
      </c>
      <c r="C10" s="96">
        <v>4</v>
      </c>
      <c r="E10" s="96">
        <f t="shared" si="25"/>
        <v>2008</v>
      </c>
      <c r="F10" s="96" t="str">
        <f t="shared" si="26"/>
        <v>夏侯渊传记</v>
      </c>
      <c r="G10" s="96">
        <v>8</v>
      </c>
      <c r="H10" s="96">
        <f>SUM(G$6:G10)</f>
        <v>34</v>
      </c>
      <c r="I10" s="97">
        <v>11</v>
      </c>
      <c r="J10" s="97">
        <f>SUM(I$5:I10)</f>
        <v>45</v>
      </c>
      <c r="M10" s="97">
        <v>5</v>
      </c>
      <c r="N10" s="97">
        <v>80</v>
      </c>
      <c r="O10" s="97"/>
      <c r="P10" s="97">
        <v>2</v>
      </c>
      <c r="Q10" s="97" t="s">
        <v>908</v>
      </c>
      <c r="R10" s="97">
        <v>1</v>
      </c>
      <c r="S10" s="97">
        <v>2</v>
      </c>
      <c r="T10" s="97" t="s">
        <v>911</v>
      </c>
      <c r="U10" s="97">
        <v>1</v>
      </c>
      <c r="V10" s="97">
        <v>1</v>
      </c>
      <c r="X10" s="97">
        <v>6</v>
      </c>
      <c r="Y10" s="97">
        <v>5</v>
      </c>
      <c r="Z10" s="97">
        <v>2</v>
      </c>
      <c r="AA10" s="48" t="s">
        <v>941</v>
      </c>
      <c r="AB10" s="97" t="s">
        <v>911</v>
      </c>
      <c r="AC10" s="97">
        <v>1</v>
      </c>
      <c r="AD10" s="97">
        <v>1</v>
      </c>
      <c r="AI10" s="96">
        <v>6</v>
      </c>
      <c r="AJ10" s="14">
        <f t="shared" si="0"/>
        <v>2</v>
      </c>
      <c r="AK10" s="14">
        <f t="shared" si="1"/>
        <v>200301</v>
      </c>
      <c r="AL10" s="14">
        <f t="shared" si="2"/>
        <v>2003</v>
      </c>
      <c r="AM10" s="96" t="s">
        <v>903</v>
      </c>
      <c r="AN10" s="14">
        <f t="shared" si="3"/>
        <v>1</v>
      </c>
      <c r="AO10" s="14">
        <f>IF(AJ11=AJ10,AK11,-1)</f>
        <v>200302</v>
      </c>
      <c r="AP10" s="14" t="str">
        <f t="shared" si="5"/>
        <v>典韦传记-1</v>
      </c>
      <c r="AQ10" s="14" t="str">
        <f t="shared" si="6"/>
        <v>典韦传记-1</v>
      </c>
      <c r="AR10" s="14">
        <f t="shared" si="7"/>
        <v>30</v>
      </c>
      <c r="AS10" s="14" t="str">
        <f t="shared" si="8"/>
        <v/>
      </c>
      <c r="AT10" s="98">
        <v>3</v>
      </c>
      <c r="AU10" s="99" t="s">
        <v>907</v>
      </c>
      <c r="AV10" s="14" t="str">
        <f t="shared" si="9"/>
        <v>KP_KM_1102003</v>
      </c>
      <c r="AW10" s="14">
        <f t="shared" si="10"/>
        <v>1102003</v>
      </c>
      <c r="AX10" s="14" t="str">
        <f t="shared" si="11"/>
        <v>典韦传记1-1</v>
      </c>
      <c r="AY10" s="14" t="str">
        <f t="shared" si="12"/>
        <v/>
      </c>
      <c r="AZ10" s="14" t="str">
        <f t="shared" si="13"/>
        <v>典韦碎片</v>
      </c>
      <c r="BA10" s="14">
        <f t="shared" si="14"/>
        <v>1</v>
      </c>
      <c r="BB10" s="14" t="str">
        <f t="shared" si="15"/>
        <v/>
      </c>
      <c r="BC10" s="14" t="str">
        <f t="shared" si="16"/>
        <v/>
      </c>
      <c r="BD10" s="96"/>
      <c r="BG10" s="97">
        <v>6</v>
      </c>
      <c r="BH10" s="14">
        <f t="shared" si="17"/>
        <v>1</v>
      </c>
      <c r="BI10" s="14">
        <f t="shared" si="18"/>
        <v>6</v>
      </c>
      <c r="BJ10" s="14">
        <f t="shared" si="19"/>
        <v>3006</v>
      </c>
      <c r="BK10" s="14" t="str">
        <f t="shared" si="20"/>
        <v>许褚传记5-2</v>
      </c>
      <c r="BM10" s="14" t="str">
        <f t="shared" si="21"/>
        <v>许褚传记5-2 许褚专属武器碎片</v>
      </c>
      <c r="BN10" s="14" t="str">
        <f t="shared" si="22"/>
        <v>许褚专属武器碎片</v>
      </c>
      <c r="BO10" s="14">
        <f t="shared" si="23"/>
        <v>1</v>
      </c>
      <c r="BP10" s="14">
        <f t="shared" si="24"/>
        <v>1</v>
      </c>
      <c r="BQ10" s="14">
        <v>10000</v>
      </c>
    </row>
    <row r="11" spans="1:69" ht="16.5" x14ac:dyDescent="0.2">
      <c r="A11" s="96">
        <v>1102009</v>
      </c>
      <c r="B11" s="96" t="s">
        <v>879</v>
      </c>
      <c r="C11" s="96">
        <v>3</v>
      </c>
      <c r="E11" s="96">
        <f t="shared" si="25"/>
        <v>2009</v>
      </c>
      <c r="F11" s="96" t="str">
        <f t="shared" si="26"/>
        <v>徐晃传记</v>
      </c>
      <c r="G11" s="96">
        <v>5</v>
      </c>
      <c r="H11" s="96">
        <f>SUM(G$6:G11)</f>
        <v>39</v>
      </c>
      <c r="I11" s="97">
        <v>6</v>
      </c>
      <c r="J11" s="97">
        <f>SUM(I$5:I11)</f>
        <v>51</v>
      </c>
      <c r="M11" s="97">
        <v>6</v>
      </c>
      <c r="N11" s="97">
        <v>90</v>
      </c>
      <c r="O11" s="97">
        <v>2</v>
      </c>
      <c r="P11" s="97">
        <v>2</v>
      </c>
      <c r="Q11" s="97" t="s">
        <v>908</v>
      </c>
      <c r="R11" s="97">
        <v>1</v>
      </c>
      <c r="S11" s="97">
        <v>2</v>
      </c>
      <c r="T11" s="97" t="s">
        <v>911</v>
      </c>
      <c r="U11" s="97">
        <v>1</v>
      </c>
      <c r="V11" s="97">
        <v>1</v>
      </c>
      <c r="X11" s="97">
        <v>7</v>
      </c>
      <c r="Y11" s="97">
        <v>6</v>
      </c>
      <c r="Z11" s="97">
        <v>1</v>
      </c>
      <c r="AA11" s="48" t="s">
        <v>942</v>
      </c>
      <c r="AB11" s="97" t="s">
        <v>908</v>
      </c>
      <c r="AC11" s="97">
        <v>1</v>
      </c>
      <c r="AD11" s="97">
        <v>2</v>
      </c>
      <c r="AI11" s="96">
        <v>7</v>
      </c>
      <c r="AJ11" s="14">
        <f t="shared" si="0"/>
        <v>2</v>
      </c>
      <c r="AK11" s="14">
        <f t="shared" si="1"/>
        <v>200302</v>
      </c>
      <c r="AL11" s="14">
        <f t="shared" si="2"/>
        <v>2003</v>
      </c>
      <c r="AM11" s="96" t="s">
        <v>903</v>
      </c>
      <c r="AN11" s="14">
        <f t="shared" si="3"/>
        <v>2</v>
      </c>
      <c r="AO11" s="14">
        <f t="shared" ref="AO11:AO74" si="27">IF(AJ12=AJ11,AK12,-1)</f>
        <v>200303</v>
      </c>
      <c r="AP11" s="14" t="str">
        <f t="shared" si="5"/>
        <v>典韦传记-2</v>
      </c>
      <c r="AQ11" s="14" t="str">
        <f t="shared" si="6"/>
        <v>典韦传记-2</v>
      </c>
      <c r="AR11" s="14">
        <f t="shared" si="7"/>
        <v>40</v>
      </c>
      <c r="AS11" s="14" t="str">
        <f t="shared" si="8"/>
        <v/>
      </c>
      <c r="AT11" s="98">
        <v>3</v>
      </c>
      <c r="AU11" s="99" t="s">
        <v>907</v>
      </c>
      <c r="AV11" s="14" t="str">
        <f t="shared" si="9"/>
        <v>KP_KM_1102003</v>
      </c>
      <c r="AW11" s="14">
        <f t="shared" si="10"/>
        <v>1102003</v>
      </c>
      <c r="AX11" s="14" t="str">
        <f t="shared" si="11"/>
        <v>典韦传记2-1</v>
      </c>
      <c r="AY11" s="14" t="str">
        <f t="shared" si="12"/>
        <v/>
      </c>
      <c r="AZ11" s="14" t="str">
        <f t="shared" si="13"/>
        <v>典韦碎片</v>
      </c>
      <c r="BA11" s="14">
        <f t="shared" si="14"/>
        <v>1</v>
      </c>
      <c r="BB11" s="14" t="str">
        <f t="shared" si="15"/>
        <v/>
      </c>
      <c r="BC11" s="14" t="str">
        <f t="shared" si="16"/>
        <v/>
      </c>
      <c r="BD11" s="96"/>
      <c r="BG11" s="97">
        <v>7</v>
      </c>
      <c r="BH11" s="14">
        <f t="shared" si="17"/>
        <v>2</v>
      </c>
      <c r="BI11" s="14">
        <f t="shared" si="18"/>
        <v>1</v>
      </c>
      <c r="BJ11" s="14">
        <f t="shared" si="19"/>
        <v>3007</v>
      </c>
      <c r="BK11" s="14" t="str">
        <f t="shared" si="20"/>
        <v>典韦传记1-1</v>
      </c>
      <c r="BM11" s="14" t="str">
        <f t="shared" si="21"/>
        <v>典韦传记1-1 典韦碎片</v>
      </c>
      <c r="BN11" s="14" t="str">
        <f t="shared" si="22"/>
        <v>典韦碎片</v>
      </c>
      <c r="BO11" s="14">
        <f t="shared" si="23"/>
        <v>1</v>
      </c>
      <c r="BP11" s="14">
        <f t="shared" si="24"/>
        <v>1</v>
      </c>
      <c r="BQ11" s="14">
        <v>10000</v>
      </c>
    </row>
    <row r="12" spans="1:69" ht="16.5" x14ac:dyDescent="0.2">
      <c r="A12" s="96">
        <v>1102010</v>
      </c>
      <c r="B12" s="96" t="s">
        <v>880</v>
      </c>
      <c r="C12" s="96">
        <v>4</v>
      </c>
      <c r="E12" s="96">
        <f t="shared" si="25"/>
        <v>2010</v>
      </c>
      <c r="F12" s="96" t="str">
        <f t="shared" si="26"/>
        <v>张郃传记</v>
      </c>
      <c r="G12" s="96">
        <v>8</v>
      </c>
      <c r="H12" s="96">
        <f>SUM(G$6:G12)</f>
        <v>47</v>
      </c>
      <c r="I12" s="97">
        <v>11</v>
      </c>
      <c r="J12" s="97">
        <f>SUM(I$5:I12)</f>
        <v>62</v>
      </c>
      <c r="M12" s="97">
        <v>7</v>
      </c>
      <c r="N12" s="97">
        <v>100</v>
      </c>
      <c r="O12" s="97">
        <v>2</v>
      </c>
      <c r="P12" s="97">
        <v>2</v>
      </c>
      <c r="Q12" s="97" t="s">
        <v>908</v>
      </c>
      <c r="R12" s="97">
        <v>1</v>
      </c>
      <c r="S12" s="97">
        <v>2</v>
      </c>
      <c r="T12" s="97" t="s">
        <v>911</v>
      </c>
      <c r="U12" s="97">
        <v>1</v>
      </c>
      <c r="V12" s="97">
        <v>1</v>
      </c>
      <c r="X12" s="97">
        <v>8</v>
      </c>
      <c r="Y12" s="97">
        <v>6</v>
      </c>
      <c r="Z12" s="97">
        <v>2</v>
      </c>
      <c r="AA12" s="48" t="s">
        <v>943</v>
      </c>
      <c r="AB12" s="97" t="s">
        <v>911</v>
      </c>
      <c r="AC12" s="97">
        <v>1</v>
      </c>
      <c r="AD12" s="97">
        <v>1</v>
      </c>
      <c r="AI12" s="96">
        <v>8</v>
      </c>
      <c r="AJ12" s="14">
        <f t="shared" si="0"/>
        <v>2</v>
      </c>
      <c r="AK12" s="14">
        <f t="shared" si="1"/>
        <v>200303</v>
      </c>
      <c r="AL12" s="14">
        <f t="shared" si="2"/>
        <v>2003</v>
      </c>
      <c r="AM12" s="96" t="s">
        <v>903</v>
      </c>
      <c r="AN12" s="14">
        <f t="shared" si="3"/>
        <v>3</v>
      </c>
      <c r="AO12" s="14">
        <f t="shared" si="27"/>
        <v>200304</v>
      </c>
      <c r="AP12" s="14" t="str">
        <f t="shared" si="5"/>
        <v>典韦传记-3</v>
      </c>
      <c r="AQ12" s="14" t="str">
        <f t="shared" si="6"/>
        <v>典韦传记-3</v>
      </c>
      <c r="AR12" s="14">
        <f t="shared" si="7"/>
        <v>55</v>
      </c>
      <c r="AS12" s="14" t="str">
        <f t="shared" si="8"/>
        <v/>
      </c>
      <c r="AT12" s="98">
        <v>3</v>
      </c>
      <c r="AU12" s="99" t="s">
        <v>907</v>
      </c>
      <c r="AV12" s="14" t="str">
        <f t="shared" si="9"/>
        <v>KP_KM_1102003</v>
      </c>
      <c r="AW12" s="14">
        <f t="shared" si="10"/>
        <v>1102003</v>
      </c>
      <c r="AX12" s="14" t="str">
        <f t="shared" si="11"/>
        <v>典韦传记3-1</v>
      </c>
      <c r="AY12" s="14" t="str">
        <f t="shared" si="12"/>
        <v/>
      </c>
      <c r="AZ12" s="14" t="str">
        <f t="shared" si="13"/>
        <v>典韦碎片</v>
      </c>
      <c r="BA12" s="14" t="str">
        <f t="shared" si="14"/>
        <v>1~2</v>
      </c>
      <c r="BB12" s="14" t="str">
        <f t="shared" si="15"/>
        <v/>
      </c>
      <c r="BC12" s="14" t="str">
        <f t="shared" si="16"/>
        <v/>
      </c>
      <c r="BD12" s="96"/>
      <c r="BG12" s="97">
        <v>8</v>
      </c>
      <c r="BH12" s="14">
        <f t="shared" si="17"/>
        <v>2</v>
      </c>
      <c r="BI12" s="14">
        <f t="shared" si="18"/>
        <v>2</v>
      </c>
      <c r="BJ12" s="14">
        <f t="shared" si="19"/>
        <v>3008</v>
      </c>
      <c r="BK12" s="14" t="str">
        <f t="shared" si="20"/>
        <v>典韦传记2-1</v>
      </c>
      <c r="BM12" s="14" t="str">
        <f t="shared" si="21"/>
        <v>典韦传记2-1 典韦碎片</v>
      </c>
      <c r="BN12" s="14" t="str">
        <f t="shared" si="22"/>
        <v>典韦碎片</v>
      </c>
      <c r="BO12" s="14">
        <f t="shared" si="23"/>
        <v>1</v>
      </c>
      <c r="BP12" s="14">
        <f t="shared" si="24"/>
        <v>1</v>
      </c>
      <c r="BQ12" s="14">
        <v>10000</v>
      </c>
    </row>
    <row r="13" spans="1:69" ht="16.5" x14ac:dyDescent="0.2">
      <c r="A13" s="96">
        <v>1102011</v>
      </c>
      <c r="B13" s="96" t="s">
        <v>881</v>
      </c>
      <c r="C13" s="96">
        <v>4</v>
      </c>
      <c r="E13" s="96">
        <f t="shared" si="25"/>
        <v>2011</v>
      </c>
      <c r="F13" s="96" t="str">
        <f t="shared" si="26"/>
        <v>张飞传记</v>
      </c>
      <c r="G13" s="96">
        <v>8</v>
      </c>
      <c r="H13" s="96">
        <f>SUM(G$6:G13)</f>
        <v>55</v>
      </c>
      <c r="I13" s="97">
        <v>11</v>
      </c>
      <c r="J13" s="97">
        <f>SUM(I$5:I13)</f>
        <v>73</v>
      </c>
      <c r="M13" s="97">
        <v>8</v>
      </c>
      <c r="N13" s="97">
        <v>120</v>
      </c>
      <c r="O13" s="97">
        <v>2</v>
      </c>
      <c r="P13" s="97">
        <v>1</v>
      </c>
      <c r="Q13" s="97" t="s">
        <v>908</v>
      </c>
      <c r="R13" s="97">
        <v>2</v>
      </c>
      <c r="S13" s="97">
        <v>2</v>
      </c>
      <c r="T13" s="97"/>
      <c r="U13" s="97"/>
      <c r="V13" s="97"/>
      <c r="X13" s="97">
        <v>9</v>
      </c>
      <c r="Y13" s="97">
        <v>7</v>
      </c>
      <c r="Z13" s="97">
        <v>1</v>
      </c>
      <c r="AA13" s="48" t="s">
        <v>944</v>
      </c>
      <c r="AB13" s="97" t="s">
        <v>908</v>
      </c>
      <c r="AC13" s="97">
        <v>1</v>
      </c>
      <c r="AD13" s="97">
        <v>2</v>
      </c>
      <c r="AI13" s="96">
        <v>9</v>
      </c>
      <c r="AJ13" s="14">
        <f t="shared" si="0"/>
        <v>2</v>
      </c>
      <c r="AK13" s="14">
        <f t="shared" si="1"/>
        <v>200304</v>
      </c>
      <c r="AL13" s="14">
        <f t="shared" si="2"/>
        <v>2003</v>
      </c>
      <c r="AM13" s="96" t="s">
        <v>903</v>
      </c>
      <c r="AN13" s="14">
        <f t="shared" si="3"/>
        <v>4</v>
      </c>
      <c r="AO13" s="14">
        <f t="shared" si="27"/>
        <v>200305</v>
      </c>
      <c r="AP13" s="14" t="str">
        <f t="shared" si="5"/>
        <v>典韦传记-4</v>
      </c>
      <c r="AQ13" s="14" t="str">
        <f t="shared" si="6"/>
        <v>典韦传记-4</v>
      </c>
      <c r="AR13" s="14">
        <f t="shared" si="7"/>
        <v>70</v>
      </c>
      <c r="AS13" s="14" t="str">
        <f t="shared" si="8"/>
        <v/>
      </c>
      <c r="AT13" s="98">
        <v>3</v>
      </c>
      <c r="AU13" s="99" t="s">
        <v>907</v>
      </c>
      <c r="AV13" s="14" t="str">
        <f t="shared" si="9"/>
        <v>KP_KM_1102003</v>
      </c>
      <c r="AW13" s="14">
        <f t="shared" si="10"/>
        <v>1102003</v>
      </c>
      <c r="AX13" s="14" t="str">
        <f t="shared" si="11"/>
        <v>典韦传记4-1</v>
      </c>
      <c r="AY13" s="14" t="str">
        <f t="shared" si="12"/>
        <v/>
      </c>
      <c r="AZ13" s="14" t="str">
        <f t="shared" si="13"/>
        <v>典韦专属武器碎片</v>
      </c>
      <c r="BA13" s="14">
        <f t="shared" si="14"/>
        <v>1</v>
      </c>
      <c r="BB13" s="14" t="str">
        <f t="shared" si="15"/>
        <v/>
      </c>
      <c r="BC13" s="14" t="str">
        <f t="shared" si="16"/>
        <v/>
      </c>
      <c r="BD13" s="96"/>
      <c r="BG13" s="97">
        <v>9</v>
      </c>
      <c r="BH13" s="14">
        <f t="shared" si="17"/>
        <v>2</v>
      </c>
      <c r="BI13" s="14">
        <f t="shared" si="18"/>
        <v>3</v>
      </c>
      <c r="BJ13" s="14">
        <f t="shared" si="19"/>
        <v>3009</v>
      </c>
      <c r="BK13" s="14" t="str">
        <f t="shared" si="20"/>
        <v>典韦传记3-1</v>
      </c>
      <c r="BM13" s="14" t="str">
        <f t="shared" si="21"/>
        <v>典韦传记3-1 典韦碎片</v>
      </c>
      <c r="BN13" s="14" t="str">
        <f t="shared" si="22"/>
        <v>典韦碎片</v>
      </c>
      <c r="BO13" s="14">
        <f t="shared" si="23"/>
        <v>1</v>
      </c>
      <c r="BP13" s="14">
        <f t="shared" si="24"/>
        <v>2</v>
      </c>
      <c r="BQ13" s="14">
        <v>10000</v>
      </c>
    </row>
    <row r="14" spans="1:69" ht="16.5" x14ac:dyDescent="0.2">
      <c r="A14" s="96">
        <v>1102014</v>
      </c>
      <c r="B14" s="96" t="s">
        <v>882</v>
      </c>
      <c r="C14" s="96">
        <v>3</v>
      </c>
      <c r="E14" s="96">
        <f t="shared" si="25"/>
        <v>2014</v>
      </c>
      <c r="F14" s="96" t="str">
        <f t="shared" si="26"/>
        <v>石灵明传记</v>
      </c>
      <c r="G14" s="96">
        <v>5</v>
      </c>
      <c r="H14" s="96">
        <f>SUM(G$6:G14)</f>
        <v>60</v>
      </c>
      <c r="I14" s="97">
        <v>6</v>
      </c>
      <c r="J14" s="97">
        <f>SUM(I$5:I14)</f>
        <v>79</v>
      </c>
      <c r="X14" s="97">
        <v>10</v>
      </c>
      <c r="Y14" s="97">
        <v>7</v>
      </c>
      <c r="Z14" s="97">
        <v>2</v>
      </c>
      <c r="AA14" s="48" t="s">
        <v>945</v>
      </c>
      <c r="AB14" s="97" t="s">
        <v>911</v>
      </c>
      <c r="AC14" s="97">
        <v>1</v>
      </c>
      <c r="AD14" s="97">
        <v>1</v>
      </c>
      <c r="AI14" s="96">
        <v>10</v>
      </c>
      <c r="AJ14" s="14">
        <f t="shared" si="0"/>
        <v>2</v>
      </c>
      <c r="AK14" s="14">
        <f t="shared" si="1"/>
        <v>200305</v>
      </c>
      <c r="AL14" s="14">
        <f t="shared" si="2"/>
        <v>2003</v>
      </c>
      <c r="AM14" s="96" t="s">
        <v>903</v>
      </c>
      <c r="AN14" s="14">
        <f t="shared" si="3"/>
        <v>5</v>
      </c>
      <c r="AO14" s="14">
        <f t="shared" si="27"/>
        <v>200306</v>
      </c>
      <c r="AP14" s="14" t="str">
        <f t="shared" si="5"/>
        <v>典韦传记-5</v>
      </c>
      <c r="AQ14" s="14" t="str">
        <f t="shared" si="6"/>
        <v>典韦传记-5</v>
      </c>
      <c r="AR14" s="14">
        <f t="shared" si="7"/>
        <v>80</v>
      </c>
      <c r="AS14" s="14" t="str">
        <f t="shared" si="8"/>
        <v/>
      </c>
      <c r="AT14" s="98">
        <v>3</v>
      </c>
      <c r="AU14" s="99" t="s">
        <v>907</v>
      </c>
      <c r="AV14" s="14" t="str">
        <f t="shared" si="9"/>
        <v>KP_KM_1102003</v>
      </c>
      <c r="AW14" s="14">
        <f t="shared" si="10"/>
        <v>1102003</v>
      </c>
      <c r="AX14" s="14" t="str">
        <f t="shared" si="11"/>
        <v>典韦传记5-1</v>
      </c>
      <c r="AY14" s="14" t="str">
        <f t="shared" si="12"/>
        <v>典韦传记5-1</v>
      </c>
      <c r="AZ14" s="14" t="str">
        <f t="shared" si="13"/>
        <v>典韦碎片</v>
      </c>
      <c r="BA14" s="14" t="str">
        <f t="shared" si="14"/>
        <v>1~2</v>
      </c>
      <c r="BB14" s="14" t="str">
        <f t="shared" si="15"/>
        <v>典韦专属武器碎片</v>
      </c>
      <c r="BC14" s="14">
        <f t="shared" si="16"/>
        <v>1</v>
      </c>
      <c r="BD14" s="96"/>
      <c r="BG14" s="97">
        <v>10</v>
      </c>
      <c r="BH14" s="14">
        <f t="shared" si="17"/>
        <v>2</v>
      </c>
      <c r="BI14" s="14">
        <f t="shared" si="18"/>
        <v>4</v>
      </c>
      <c r="BJ14" s="14">
        <f t="shared" si="19"/>
        <v>3010</v>
      </c>
      <c r="BK14" s="14" t="str">
        <f t="shared" si="20"/>
        <v>典韦传记4-1</v>
      </c>
      <c r="BM14" s="14" t="str">
        <f t="shared" si="21"/>
        <v>典韦传记4-1 典韦专属武器碎片</v>
      </c>
      <c r="BN14" s="14" t="str">
        <f t="shared" si="22"/>
        <v>典韦专属武器碎片</v>
      </c>
      <c r="BO14" s="14">
        <f t="shared" si="23"/>
        <v>1</v>
      </c>
      <c r="BP14" s="14">
        <f t="shared" si="24"/>
        <v>1</v>
      </c>
      <c r="BQ14" s="14">
        <v>10000</v>
      </c>
    </row>
    <row r="15" spans="1:69" ht="16.5" x14ac:dyDescent="0.2">
      <c r="A15" s="96">
        <v>1102016</v>
      </c>
      <c r="B15" s="96" t="s">
        <v>197</v>
      </c>
      <c r="C15" s="96">
        <v>4</v>
      </c>
      <c r="E15" s="96">
        <f t="shared" si="25"/>
        <v>2016</v>
      </c>
      <c r="F15" s="96" t="str">
        <f t="shared" si="26"/>
        <v>西方龙传记</v>
      </c>
      <c r="G15" s="96">
        <v>8</v>
      </c>
      <c r="H15" s="96">
        <f>SUM(G$6:G15)</f>
        <v>68</v>
      </c>
      <c r="I15" s="97">
        <v>11</v>
      </c>
      <c r="J15" s="97">
        <f>SUM(I$5:I15)</f>
        <v>90</v>
      </c>
      <c r="X15" s="97">
        <v>11</v>
      </c>
      <c r="Y15" s="97">
        <v>8</v>
      </c>
      <c r="Z15" s="97">
        <v>1</v>
      </c>
      <c r="AA15" s="48" t="s">
        <v>946</v>
      </c>
      <c r="AB15" s="97" t="s">
        <v>908</v>
      </c>
      <c r="AC15" s="97">
        <v>2</v>
      </c>
      <c r="AD15" s="97">
        <v>2</v>
      </c>
      <c r="AI15" s="96">
        <v>11</v>
      </c>
      <c r="AJ15" s="14">
        <f t="shared" si="0"/>
        <v>2</v>
      </c>
      <c r="AK15" s="14">
        <f t="shared" si="1"/>
        <v>200306</v>
      </c>
      <c r="AL15" s="14">
        <f t="shared" si="2"/>
        <v>2003</v>
      </c>
      <c r="AM15" s="96" t="s">
        <v>903</v>
      </c>
      <c r="AN15" s="14">
        <f t="shared" si="3"/>
        <v>6</v>
      </c>
      <c r="AO15" s="14">
        <f t="shared" si="27"/>
        <v>200307</v>
      </c>
      <c r="AP15" s="14" t="str">
        <f t="shared" si="5"/>
        <v>典韦传记-6</v>
      </c>
      <c r="AQ15" s="14" t="str">
        <f t="shared" si="6"/>
        <v>典韦传记-6</v>
      </c>
      <c r="AR15" s="14">
        <f t="shared" si="7"/>
        <v>90</v>
      </c>
      <c r="AS15" s="14">
        <f t="shared" si="8"/>
        <v>2</v>
      </c>
      <c r="AT15" s="98">
        <v>3</v>
      </c>
      <c r="AU15" s="99" t="s">
        <v>907</v>
      </c>
      <c r="AV15" s="14" t="str">
        <f t="shared" si="9"/>
        <v>KP_KM_1102003</v>
      </c>
      <c r="AW15" s="14">
        <f t="shared" si="10"/>
        <v>1102003</v>
      </c>
      <c r="AX15" s="14" t="str">
        <f t="shared" si="11"/>
        <v>典韦传记6-1</v>
      </c>
      <c r="AY15" s="14" t="str">
        <f t="shared" si="12"/>
        <v>典韦传记6-1</v>
      </c>
      <c r="AZ15" s="14" t="str">
        <f t="shared" si="13"/>
        <v>典韦碎片</v>
      </c>
      <c r="BA15" s="14" t="str">
        <f t="shared" si="14"/>
        <v>1~2</v>
      </c>
      <c r="BB15" s="14" t="str">
        <f t="shared" si="15"/>
        <v>典韦专属武器碎片</v>
      </c>
      <c r="BC15" s="14">
        <f t="shared" si="16"/>
        <v>1</v>
      </c>
      <c r="BD15" s="96"/>
      <c r="BG15" s="97">
        <v>11</v>
      </c>
      <c r="BH15" s="14">
        <f t="shared" si="17"/>
        <v>2</v>
      </c>
      <c r="BI15" s="14">
        <f t="shared" si="18"/>
        <v>5</v>
      </c>
      <c r="BJ15" s="14">
        <f t="shared" si="19"/>
        <v>3011</v>
      </c>
      <c r="BK15" s="14" t="str">
        <f t="shared" si="20"/>
        <v>典韦传记5-1</v>
      </c>
      <c r="BM15" s="14" t="str">
        <f t="shared" si="21"/>
        <v>典韦传记5-1 典韦碎片</v>
      </c>
      <c r="BN15" s="14" t="str">
        <f t="shared" si="22"/>
        <v>典韦碎片</v>
      </c>
      <c r="BO15" s="14">
        <f t="shared" si="23"/>
        <v>1</v>
      </c>
      <c r="BP15" s="14">
        <f t="shared" si="24"/>
        <v>2</v>
      </c>
      <c r="BQ15" s="14">
        <v>10000</v>
      </c>
    </row>
    <row r="16" spans="1:69" ht="16.5" x14ac:dyDescent="0.2">
      <c r="A16" s="96">
        <v>1102017</v>
      </c>
      <c r="B16" s="96" t="s">
        <v>198</v>
      </c>
      <c r="C16" s="96">
        <v>3</v>
      </c>
      <c r="E16" s="96">
        <f t="shared" si="25"/>
        <v>2017</v>
      </c>
      <c r="F16" s="96" t="str">
        <f t="shared" si="26"/>
        <v>飞廉传记</v>
      </c>
      <c r="G16" s="96">
        <v>5</v>
      </c>
      <c r="H16" s="96">
        <f>SUM(G$6:G16)</f>
        <v>73</v>
      </c>
      <c r="I16" s="97">
        <v>6</v>
      </c>
      <c r="J16" s="97">
        <f>SUM(I$5:I16)</f>
        <v>96</v>
      </c>
      <c r="Y16" s="15"/>
      <c r="Z16" s="15"/>
      <c r="AA16" s="15"/>
      <c r="AB16" s="15"/>
      <c r="AC16" s="15"/>
      <c r="AD16" s="15"/>
      <c r="AI16" s="96">
        <v>12</v>
      </c>
      <c r="AJ16" s="14">
        <f t="shared" si="0"/>
        <v>2</v>
      </c>
      <c r="AK16" s="14">
        <f t="shared" si="1"/>
        <v>200307</v>
      </c>
      <c r="AL16" s="14">
        <f t="shared" si="2"/>
        <v>2003</v>
      </c>
      <c r="AM16" s="96" t="s">
        <v>903</v>
      </c>
      <c r="AN16" s="14">
        <f t="shared" si="3"/>
        <v>7</v>
      </c>
      <c r="AO16" s="14">
        <f t="shared" si="27"/>
        <v>200308</v>
      </c>
      <c r="AP16" s="14" t="str">
        <f t="shared" si="5"/>
        <v>典韦传记-7</v>
      </c>
      <c r="AQ16" s="14" t="str">
        <f t="shared" si="6"/>
        <v>典韦传记-7</v>
      </c>
      <c r="AR16" s="14">
        <f t="shared" si="7"/>
        <v>100</v>
      </c>
      <c r="AS16" s="14">
        <f t="shared" si="8"/>
        <v>2</v>
      </c>
      <c r="AT16" s="98">
        <v>3</v>
      </c>
      <c r="AU16" s="99" t="s">
        <v>907</v>
      </c>
      <c r="AV16" s="14" t="str">
        <f t="shared" si="9"/>
        <v>KP_KM_1102003</v>
      </c>
      <c r="AW16" s="14">
        <f t="shared" si="10"/>
        <v>1102003</v>
      </c>
      <c r="AX16" s="14" t="str">
        <f t="shared" si="11"/>
        <v>典韦传记7-1</v>
      </c>
      <c r="AY16" s="14" t="str">
        <f t="shared" si="12"/>
        <v>典韦传记7-1</v>
      </c>
      <c r="AZ16" s="14" t="str">
        <f t="shared" si="13"/>
        <v>典韦碎片</v>
      </c>
      <c r="BA16" s="14" t="str">
        <f t="shared" si="14"/>
        <v>1~2</v>
      </c>
      <c r="BB16" s="14" t="str">
        <f t="shared" si="15"/>
        <v>典韦专属武器碎片</v>
      </c>
      <c r="BC16" s="14">
        <f t="shared" si="16"/>
        <v>1</v>
      </c>
      <c r="BD16" s="96"/>
      <c r="BG16" s="97">
        <v>12</v>
      </c>
      <c r="BH16" s="14">
        <f t="shared" si="17"/>
        <v>2</v>
      </c>
      <c r="BI16" s="14">
        <f t="shared" si="18"/>
        <v>6</v>
      </c>
      <c r="BJ16" s="14">
        <f t="shared" si="19"/>
        <v>3012</v>
      </c>
      <c r="BK16" s="14" t="str">
        <f t="shared" si="20"/>
        <v>典韦传记5-2</v>
      </c>
      <c r="BM16" s="14" t="str">
        <f t="shared" si="21"/>
        <v>典韦传记5-2 典韦专属武器碎片</v>
      </c>
      <c r="BN16" s="14" t="str">
        <f t="shared" si="22"/>
        <v>典韦专属武器碎片</v>
      </c>
      <c r="BO16" s="14">
        <f t="shared" si="23"/>
        <v>1</v>
      </c>
      <c r="BP16" s="14">
        <f t="shared" si="24"/>
        <v>1</v>
      </c>
      <c r="BQ16" s="14">
        <v>10000</v>
      </c>
    </row>
    <row r="17" spans="1:69" ht="16.5" x14ac:dyDescent="0.2">
      <c r="A17" s="96">
        <v>1102020</v>
      </c>
      <c r="B17" s="96" t="s">
        <v>201</v>
      </c>
      <c r="C17" s="96">
        <v>3</v>
      </c>
      <c r="E17" s="96">
        <f t="shared" si="25"/>
        <v>2020</v>
      </c>
      <c r="F17" s="96" t="str">
        <f t="shared" si="26"/>
        <v>高顺传记</v>
      </c>
      <c r="G17" s="96">
        <v>5</v>
      </c>
      <c r="H17" s="96">
        <f>SUM(G$6:G17)</f>
        <v>78</v>
      </c>
      <c r="I17" s="97">
        <v>6</v>
      </c>
      <c r="J17" s="97">
        <f>SUM(I$5:I17)</f>
        <v>102</v>
      </c>
      <c r="AI17" s="96">
        <v>13</v>
      </c>
      <c r="AJ17" s="14">
        <f t="shared" si="0"/>
        <v>2</v>
      </c>
      <c r="AK17" s="14">
        <f t="shared" si="1"/>
        <v>200308</v>
      </c>
      <c r="AL17" s="14">
        <f t="shared" si="2"/>
        <v>2003</v>
      </c>
      <c r="AM17" s="96" t="s">
        <v>903</v>
      </c>
      <c r="AN17" s="14">
        <f t="shared" si="3"/>
        <v>8</v>
      </c>
      <c r="AO17" s="14">
        <f t="shared" si="27"/>
        <v>-1</v>
      </c>
      <c r="AP17" s="14" t="str">
        <f t="shared" si="5"/>
        <v>典韦传记-8</v>
      </c>
      <c r="AQ17" s="14" t="str">
        <f t="shared" si="6"/>
        <v>典韦传记-8</v>
      </c>
      <c r="AR17" s="14">
        <f t="shared" si="7"/>
        <v>120</v>
      </c>
      <c r="AS17" s="14">
        <f t="shared" si="8"/>
        <v>2</v>
      </c>
      <c r="AT17" s="98">
        <v>3</v>
      </c>
      <c r="AU17" s="99" t="s">
        <v>907</v>
      </c>
      <c r="AV17" s="14" t="str">
        <f t="shared" si="9"/>
        <v>KP_KM_1102003</v>
      </c>
      <c r="AW17" s="14">
        <f t="shared" si="10"/>
        <v>1102003</v>
      </c>
      <c r="AX17" s="14" t="str">
        <f t="shared" si="11"/>
        <v>典韦传记8-1</v>
      </c>
      <c r="AY17" s="14" t="str">
        <f t="shared" si="12"/>
        <v/>
      </c>
      <c r="AZ17" s="14" t="str">
        <f t="shared" si="13"/>
        <v>典韦碎片</v>
      </c>
      <c r="BA17" s="14">
        <f t="shared" si="14"/>
        <v>2</v>
      </c>
      <c r="BB17" s="14" t="str">
        <f t="shared" si="15"/>
        <v/>
      </c>
      <c r="BC17" s="14" t="str">
        <f t="shared" si="16"/>
        <v/>
      </c>
      <c r="BD17" s="96"/>
      <c r="BG17" s="97">
        <v>13</v>
      </c>
      <c r="BH17" s="14">
        <f t="shared" si="17"/>
        <v>2</v>
      </c>
      <c r="BI17" s="14">
        <f t="shared" si="18"/>
        <v>7</v>
      </c>
      <c r="BJ17" s="14">
        <f t="shared" si="19"/>
        <v>3013</v>
      </c>
      <c r="BK17" s="14" t="str">
        <f t="shared" si="20"/>
        <v>典韦传记6-1</v>
      </c>
      <c r="BM17" s="14" t="str">
        <f t="shared" si="21"/>
        <v>典韦传记6-1 典韦碎片</v>
      </c>
      <c r="BN17" s="14" t="str">
        <f t="shared" si="22"/>
        <v>典韦碎片</v>
      </c>
      <c r="BO17" s="14">
        <f t="shared" si="23"/>
        <v>1</v>
      </c>
      <c r="BP17" s="14">
        <f t="shared" si="24"/>
        <v>2</v>
      </c>
      <c r="BQ17" s="14">
        <v>10000</v>
      </c>
    </row>
    <row r="18" spans="1:69" ht="16.5" x14ac:dyDescent="0.2">
      <c r="A18" s="96">
        <v>1102021</v>
      </c>
      <c r="B18" s="96" t="s">
        <v>202</v>
      </c>
      <c r="C18" s="96">
        <v>3</v>
      </c>
      <c r="E18" s="96">
        <f t="shared" si="25"/>
        <v>2021</v>
      </c>
      <c r="F18" s="96" t="str">
        <f t="shared" si="26"/>
        <v>烈风螳螂传记</v>
      </c>
      <c r="G18" s="96">
        <v>5</v>
      </c>
      <c r="H18" s="96">
        <f>SUM(G$6:G18)</f>
        <v>83</v>
      </c>
      <c r="I18" s="97">
        <v>6</v>
      </c>
      <c r="J18" s="97">
        <f>SUM(I$5:I18)</f>
        <v>108</v>
      </c>
      <c r="AI18" s="96">
        <v>14</v>
      </c>
      <c r="AJ18" s="14">
        <f t="shared" si="0"/>
        <v>3</v>
      </c>
      <c r="AK18" s="14">
        <f t="shared" si="1"/>
        <v>200501</v>
      </c>
      <c r="AL18" s="14">
        <f t="shared" si="2"/>
        <v>2005</v>
      </c>
      <c r="AM18" s="96" t="s">
        <v>903</v>
      </c>
      <c r="AN18" s="14">
        <f t="shared" si="3"/>
        <v>1</v>
      </c>
      <c r="AO18" s="14">
        <f t="shared" si="27"/>
        <v>200502</v>
      </c>
      <c r="AP18" s="14" t="str">
        <f t="shared" si="5"/>
        <v>李轩辕传记-1</v>
      </c>
      <c r="AQ18" s="14" t="str">
        <f t="shared" si="6"/>
        <v>李轩辕传记-1</v>
      </c>
      <c r="AR18" s="14">
        <f t="shared" si="7"/>
        <v>30</v>
      </c>
      <c r="AS18" s="14" t="str">
        <f t="shared" si="8"/>
        <v/>
      </c>
      <c r="AT18" s="98">
        <v>3</v>
      </c>
      <c r="AU18" s="99" t="s">
        <v>907</v>
      </c>
      <c r="AV18" s="14" t="str">
        <f t="shared" si="9"/>
        <v>KP_KM_1102005</v>
      </c>
      <c r="AW18" s="14">
        <f t="shared" si="10"/>
        <v>1102005</v>
      </c>
      <c r="AX18" s="14" t="str">
        <f t="shared" si="11"/>
        <v>李轩辕传记1-1</v>
      </c>
      <c r="AY18" s="14" t="str">
        <f t="shared" si="12"/>
        <v/>
      </c>
      <c r="AZ18" s="14" t="str">
        <f t="shared" si="13"/>
        <v>李轩辕碎片</v>
      </c>
      <c r="BA18" s="14">
        <f t="shared" si="14"/>
        <v>1</v>
      </c>
      <c r="BB18" s="14" t="str">
        <f t="shared" si="15"/>
        <v/>
      </c>
      <c r="BC18" s="14" t="str">
        <f t="shared" si="16"/>
        <v/>
      </c>
      <c r="BD18" s="96"/>
      <c r="BG18" s="97">
        <v>14</v>
      </c>
      <c r="BH18" s="14">
        <f t="shared" si="17"/>
        <v>2</v>
      </c>
      <c r="BI18" s="14">
        <f t="shared" si="18"/>
        <v>8</v>
      </c>
      <c r="BJ18" s="14">
        <f t="shared" si="19"/>
        <v>3014</v>
      </c>
      <c r="BK18" s="14" t="str">
        <f t="shared" si="20"/>
        <v>典韦传记6-2</v>
      </c>
      <c r="BM18" s="14" t="str">
        <f t="shared" si="21"/>
        <v>典韦传记6-2 典韦专属武器碎片</v>
      </c>
      <c r="BN18" s="14" t="str">
        <f t="shared" si="22"/>
        <v>典韦专属武器碎片</v>
      </c>
      <c r="BO18" s="14">
        <f t="shared" si="23"/>
        <v>1</v>
      </c>
      <c r="BP18" s="14">
        <f t="shared" si="24"/>
        <v>1</v>
      </c>
      <c r="BQ18" s="14">
        <v>10000</v>
      </c>
    </row>
    <row r="19" spans="1:69" ht="16.5" x14ac:dyDescent="0.2">
      <c r="A19" s="96">
        <v>1102024</v>
      </c>
      <c r="B19" s="96" t="s">
        <v>883</v>
      </c>
      <c r="C19" s="96">
        <v>3</v>
      </c>
      <c r="E19" s="96">
        <f t="shared" si="25"/>
        <v>2024</v>
      </c>
      <c r="F19" s="96" t="str">
        <f t="shared" si="26"/>
        <v>朱仙传记</v>
      </c>
      <c r="G19" s="96">
        <v>5</v>
      </c>
      <c r="H19" s="96">
        <f>SUM(G$6:G19)</f>
        <v>88</v>
      </c>
      <c r="I19" s="97">
        <v>6</v>
      </c>
      <c r="J19" s="97">
        <f>SUM(I$5:I19)</f>
        <v>114</v>
      </c>
      <c r="AI19" s="96">
        <v>15</v>
      </c>
      <c r="AJ19" s="14">
        <f t="shared" si="0"/>
        <v>3</v>
      </c>
      <c r="AK19" s="14">
        <f t="shared" si="1"/>
        <v>200502</v>
      </c>
      <c r="AL19" s="14">
        <f t="shared" si="2"/>
        <v>2005</v>
      </c>
      <c r="AM19" s="96" t="s">
        <v>903</v>
      </c>
      <c r="AN19" s="14">
        <f t="shared" si="3"/>
        <v>2</v>
      </c>
      <c r="AO19" s="14">
        <f t="shared" si="27"/>
        <v>200503</v>
      </c>
      <c r="AP19" s="14" t="str">
        <f t="shared" si="5"/>
        <v>李轩辕传记-2</v>
      </c>
      <c r="AQ19" s="14" t="str">
        <f t="shared" si="6"/>
        <v>李轩辕传记-2</v>
      </c>
      <c r="AR19" s="14">
        <f t="shared" si="7"/>
        <v>40</v>
      </c>
      <c r="AS19" s="14" t="str">
        <f t="shared" si="8"/>
        <v/>
      </c>
      <c r="AT19" s="98">
        <v>3</v>
      </c>
      <c r="AU19" s="99" t="s">
        <v>907</v>
      </c>
      <c r="AV19" s="14" t="str">
        <f t="shared" si="9"/>
        <v>KP_KM_1102005</v>
      </c>
      <c r="AW19" s="14">
        <f t="shared" si="10"/>
        <v>1102005</v>
      </c>
      <c r="AX19" s="14" t="str">
        <f t="shared" si="11"/>
        <v>李轩辕传记2-1</v>
      </c>
      <c r="AY19" s="14" t="str">
        <f t="shared" si="12"/>
        <v/>
      </c>
      <c r="AZ19" s="14" t="str">
        <f t="shared" si="13"/>
        <v>李轩辕碎片</v>
      </c>
      <c r="BA19" s="14">
        <f t="shared" si="14"/>
        <v>1</v>
      </c>
      <c r="BB19" s="14" t="str">
        <f t="shared" si="15"/>
        <v/>
      </c>
      <c r="BC19" s="14" t="str">
        <f t="shared" si="16"/>
        <v/>
      </c>
      <c r="BD19" s="96"/>
      <c r="BG19" s="97">
        <v>15</v>
      </c>
      <c r="BH19" s="14">
        <f t="shared" si="17"/>
        <v>2</v>
      </c>
      <c r="BI19" s="14">
        <f t="shared" si="18"/>
        <v>9</v>
      </c>
      <c r="BJ19" s="14">
        <f t="shared" si="19"/>
        <v>3015</v>
      </c>
      <c r="BK19" s="14" t="str">
        <f t="shared" si="20"/>
        <v>典韦传记7-1</v>
      </c>
      <c r="BM19" s="14" t="str">
        <f t="shared" si="21"/>
        <v>典韦传记7-1 典韦碎片</v>
      </c>
      <c r="BN19" s="14" t="str">
        <f t="shared" si="22"/>
        <v>典韦碎片</v>
      </c>
      <c r="BO19" s="14">
        <f t="shared" si="23"/>
        <v>1</v>
      </c>
      <c r="BP19" s="14">
        <f t="shared" si="24"/>
        <v>2</v>
      </c>
      <c r="BQ19" s="14">
        <v>10000</v>
      </c>
    </row>
    <row r="20" spans="1:69" ht="16.5" x14ac:dyDescent="0.2">
      <c r="A20" s="96">
        <v>1102026</v>
      </c>
      <c r="B20" s="96" t="s">
        <v>875</v>
      </c>
      <c r="C20" s="96">
        <v>3</v>
      </c>
      <c r="E20" s="96">
        <f t="shared" si="25"/>
        <v>2026</v>
      </c>
      <c r="F20" s="96" t="str">
        <f t="shared" si="26"/>
        <v>雷震子传记</v>
      </c>
      <c r="G20" s="96">
        <v>5</v>
      </c>
      <c r="H20" s="96">
        <f>SUM(G$6:G20)</f>
        <v>93</v>
      </c>
      <c r="I20" s="97">
        <v>6</v>
      </c>
      <c r="J20" s="97">
        <f>SUM(I$5:I20)</f>
        <v>120</v>
      </c>
      <c r="AI20" s="96">
        <v>16</v>
      </c>
      <c r="AJ20" s="14">
        <f t="shared" si="0"/>
        <v>3</v>
      </c>
      <c r="AK20" s="14">
        <f t="shared" si="1"/>
        <v>200503</v>
      </c>
      <c r="AL20" s="14">
        <f t="shared" si="2"/>
        <v>2005</v>
      </c>
      <c r="AM20" s="96" t="s">
        <v>903</v>
      </c>
      <c r="AN20" s="14">
        <f t="shared" si="3"/>
        <v>3</v>
      </c>
      <c r="AO20" s="14">
        <f t="shared" si="27"/>
        <v>200504</v>
      </c>
      <c r="AP20" s="14" t="str">
        <f t="shared" si="5"/>
        <v>李轩辕传记-3</v>
      </c>
      <c r="AQ20" s="14" t="str">
        <f t="shared" si="6"/>
        <v>李轩辕传记-3</v>
      </c>
      <c r="AR20" s="14">
        <f t="shared" si="7"/>
        <v>55</v>
      </c>
      <c r="AS20" s="14" t="str">
        <f t="shared" si="8"/>
        <v/>
      </c>
      <c r="AT20" s="98">
        <v>3</v>
      </c>
      <c r="AU20" s="99" t="s">
        <v>907</v>
      </c>
      <c r="AV20" s="14" t="str">
        <f t="shared" si="9"/>
        <v>KP_KM_1102005</v>
      </c>
      <c r="AW20" s="14">
        <f t="shared" si="10"/>
        <v>1102005</v>
      </c>
      <c r="AX20" s="14" t="str">
        <f t="shared" si="11"/>
        <v>李轩辕传记3-1</v>
      </c>
      <c r="AY20" s="14" t="str">
        <f t="shared" si="12"/>
        <v/>
      </c>
      <c r="AZ20" s="14" t="str">
        <f t="shared" si="13"/>
        <v>李轩辕碎片</v>
      </c>
      <c r="BA20" s="14" t="str">
        <f t="shared" si="14"/>
        <v>1~2</v>
      </c>
      <c r="BB20" s="14" t="str">
        <f t="shared" si="15"/>
        <v/>
      </c>
      <c r="BC20" s="14" t="str">
        <f t="shared" si="16"/>
        <v/>
      </c>
      <c r="BD20" s="96"/>
      <c r="BG20" s="97">
        <v>16</v>
      </c>
      <c r="BH20" s="14">
        <f t="shared" si="17"/>
        <v>2</v>
      </c>
      <c r="BI20" s="14">
        <f t="shared" si="18"/>
        <v>10</v>
      </c>
      <c r="BJ20" s="14">
        <f t="shared" si="19"/>
        <v>3016</v>
      </c>
      <c r="BK20" s="14" t="str">
        <f t="shared" si="20"/>
        <v>典韦传记7-2</v>
      </c>
      <c r="BM20" s="14" t="str">
        <f t="shared" si="21"/>
        <v>典韦传记7-2 典韦专属武器碎片</v>
      </c>
      <c r="BN20" s="14" t="str">
        <f t="shared" si="22"/>
        <v>典韦专属武器碎片</v>
      </c>
      <c r="BO20" s="14">
        <f t="shared" si="23"/>
        <v>1</v>
      </c>
      <c r="BP20" s="14">
        <f t="shared" si="24"/>
        <v>1</v>
      </c>
      <c r="BQ20" s="14">
        <v>10000</v>
      </c>
    </row>
    <row r="21" spans="1:69" ht="16.5" x14ac:dyDescent="0.2">
      <c r="A21" s="96">
        <v>1102030</v>
      </c>
      <c r="B21" s="96" t="s">
        <v>884</v>
      </c>
      <c r="C21" s="96">
        <v>3</v>
      </c>
      <c r="E21" s="96">
        <f t="shared" si="25"/>
        <v>2030</v>
      </c>
      <c r="F21" s="96" t="str">
        <f t="shared" si="26"/>
        <v>燕青传记</v>
      </c>
      <c r="G21" s="96">
        <v>5</v>
      </c>
      <c r="H21" s="96">
        <f>SUM(G$6:G21)</f>
        <v>98</v>
      </c>
      <c r="I21" s="97">
        <v>6</v>
      </c>
      <c r="J21" s="97">
        <f>SUM(I$5:I21)</f>
        <v>126</v>
      </c>
      <c r="AI21" s="96">
        <v>17</v>
      </c>
      <c r="AJ21" s="14">
        <f t="shared" si="0"/>
        <v>3</v>
      </c>
      <c r="AK21" s="14">
        <f t="shared" si="1"/>
        <v>200504</v>
      </c>
      <c r="AL21" s="14">
        <f t="shared" si="2"/>
        <v>2005</v>
      </c>
      <c r="AM21" s="96" t="s">
        <v>903</v>
      </c>
      <c r="AN21" s="14">
        <f t="shared" si="3"/>
        <v>4</v>
      </c>
      <c r="AO21" s="14">
        <f t="shared" si="27"/>
        <v>200505</v>
      </c>
      <c r="AP21" s="14" t="str">
        <f t="shared" si="5"/>
        <v>李轩辕传记-4</v>
      </c>
      <c r="AQ21" s="14" t="str">
        <f t="shared" si="6"/>
        <v>李轩辕传记-4</v>
      </c>
      <c r="AR21" s="14">
        <f t="shared" si="7"/>
        <v>70</v>
      </c>
      <c r="AS21" s="14" t="str">
        <f t="shared" si="8"/>
        <v/>
      </c>
      <c r="AT21" s="98">
        <v>3</v>
      </c>
      <c r="AU21" s="99" t="s">
        <v>907</v>
      </c>
      <c r="AV21" s="14" t="str">
        <f t="shared" si="9"/>
        <v>KP_KM_1102005</v>
      </c>
      <c r="AW21" s="14">
        <f t="shared" si="10"/>
        <v>1102005</v>
      </c>
      <c r="AX21" s="14" t="str">
        <f t="shared" si="11"/>
        <v>李轩辕传记4-1</v>
      </c>
      <c r="AY21" s="14" t="str">
        <f t="shared" si="12"/>
        <v/>
      </c>
      <c r="AZ21" s="14" t="str">
        <f t="shared" si="13"/>
        <v>李轩辕专属武器碎片</v>
      </c>
      <c r="BA21" s="14">
        <f t="shared" si="14"/>
        <v>1</v>
      </c>
      <c r="BB21" s="14" t="str">
        <f t="shared" si="15"/>
        <v/>
      </c>
      <c r="BC21" s="14" t="str">
        <f t="shared" si="16"/>
        <v/>
      </c>
      <c r="BD21" s="96"/>
      <c r="BG21" s="97">
        <v>17</v>
      </c>
      <c r="BH21" s="14">
        <f t="shared" si="17"/>
        <v>2</v>
      </c>
      <c r="BI21" s="14">
        <f t="shared" si="18"/>
        <v>11</v>
      </c>
      <c r="BJ21" s="14">
        <f t="shared" si="19"/>
        <v>3017</v>
      </c>
      <c r="BK21" s="14" t="str">
        <f t="shared" si="20"/>
        <v>典韦传记8-1</v>
      </c>
      <c r="BM21" s="14" t="str">
        <f t="shared" si="21"/>
        <v>典韦传记8-1 典韦碎片</v>
      </c>
      <c r="BN21" s="14" t="str">
        <f t="shared" si="22"/>
        <v>典韦碎片</v>
      </c>
      <c r="BO21" s="14">
        <f t="shared" si="23"/>
        <v>2</v>
      </c>
      <c r="BP21" s="14">
        <f t="shared" si="24"/>
        <v>2</v>
      </c>
      <c r="BQ21" s="14">
        <v>10000</v>
      </c>
    </row>
    <row r="22" spans="1:69" ht="16.5" x14ac:dyDescent="0.2">
      <c r="A22" s="96">
        <v>1102031</v>
      </c>
      <c r="B22" s="96" t="s">
        <v>885</v>
      </c>
      <c r="C22" s="96">
        <v>4</v>
      </c>
      <c r="E22" s="96">
        <f t="shared" si="25"/>
        <v>2031</v>
      </c>
      <c r="F22" s="96" t="str">
        <f t="shared" si="26"/>
        <v>秦琼传记</v>
      </c>
      <c r="G22" s="96">
        <v>8</v>
      </c>
      <c r="H22" s="96">
        <f>SUM(G$6:G22)</f>
        <v>106</v>
      </c>
      <c r="I22" s="97">
        <v>11</v>
      </c>
      <c r="J22" s="97">
        <f>SUM(I$5:I22)</f>
        <v>137</v>
      </c>
      <c r="AI22" s="96">
        <v>18</v>
      </c>
      <c r="AJ22" s="14">
        <f t="shared" si="0"/>
        <v>3</v>
      </c>
      <c r="AK22" s="14">
        <f t="shared" si="1"/>
        <v>200505</v>
      </c>
      <c r="AL22" s="14">
        <f t="shared" si="2"/>
        <v>2005</v>
      </c>
      <c r="AM22" s="96" t="s">
        <v>903</v>
      </c>
      <c r="AN22" s="14">
        <f t="shared" si="3"/>
        <v>5</v>
      </c>
      <c r="AO22" s="14">
        <f t="shared" si="27"/>
        <v>-1</v>
      </c>
      <c r="AP22" s="14" t="str">
        <f t="shared" si="5"/>
        <v>李轩辕传记-5</v>
      </c>
      <c r="AQ22" s="14" t="str">
        <f t="shared" si="6"/>
        <v>李轩辕传记-5</v>
      </c>
      <c r="AR22" s="14">
        <f t="shared" si="7"/>
        <v>80</v>
      </c>
      <c r="AS22" s="14" t="str">
        <f t="shared" si="8"/>
        <v/>
      </c>
      <c r="AT22" s="98">
        <v>3</v>
      </c>
      <c r="AU22" s="99" t="s">
        <v>907</v>
      </c>
      <c r="AV22" s="14" t="str">
        <f t="shared" si="9"/>
        <v>KP_KM_1102005</v>
      </c>
      <c r="AW22" s="14">
        <f t="shared" si="10"/>
        <v>1102005</v>
      </c>
      <c r="AX22" s="14" t="str">
        <f t="shared" si="11"/>
        <v>李轩辕传记5-1</v>
      </c>
      <c r="AY22" s="14" t="str">
        <f t="shared" si="12"/>
        <v>李轩辕传记5-1</v>
      </c>
      <c r="AZ22" s="14" t="str">
        <f t="shared" si="13"/>
        <v>李轩辕碎片</v>
      </c>
      <c r="BA22" s="14" t="str">
        <f t="shared" si="14"/>
        <v>1~2</v>
      </c>
      <c r="BB22" s="14" t="str">
        <f t="shared" si="15"/>
        <v>李轩辕专属武器碎片</v>
      </c>
      <c r="BC22" s="14">
        <f t="shared" si="16"/>
        <v>1</v>
      </c>
      <c r="BD22" s="96"/>
      <c r="BG22" s="97">
        <v>18</v>
      </c>
      <c r="BH22" s="14">
        <f t="shared" si="17"/>
        <v>3</v>
      </c>
      <c r="BI22" s="14">
        <f t="shared" si="18"/>
        <v>1</v>
      </c>
      <c r="BJ22" s="14">
        <f t="shared" si="19"/>
        <v>3018</v>
      </c>
      <c r="BK22" s="14" t="str">
        <f t="shared" si="20"/>
        <v>李轩辕传记1-1</v>
      </c>
      <c r="BM22" s="14" t="str">
        <f t="shared" si="21"/>
        <v>李轩辕传记1-1 李轩辕碎片</v>
      </c>
      <c r="BN22" s="14" t="str">
        <f t="shared" si="22"/>
        <v>李轩辕碎片</v>
      </c>
      <c r="BO22" s="14">
        <f t="shared" si="23"/>
        <v>1</v>
      </c>
      <c r="BP22" s="14">
        <f t="shared" si="24"/>
        <v>1</v>
      </c>
      <c r="BQ22" s="14">
        <v>10000</v>
      </c>
    </row>
    <row r="23" spans="1:69" ht="16.5" x14ac:dyDescent="0.2">
      <c r="AI23" s="96">
        <v>19</v>
      </c>
      <c r="AJ23" s="14">
        <f t="shared" si="0"/>
        <v>4</v>
      </c>
      <c r="AK23" s="14">
        <f t="shared" si="1"/>
        <v>200701</v>
      </c>
      <c r="AL23" s="14">
        <f t="shared" si="2"/>
        <v>2007</v>
      </c>
      <c r="AM23" s="96" t="s">
        <v>903</v>
      </c>
      <c r="AN23" s="14">
        <f t="shared" si="3"/>
        <v>1</v>
      </c>
      <c r="AO23" s="14">
        <f t="shared" si="27"/>
        <v>200702</v>
      </c>
      <c r="AP23" s="14" t="str">
        <f t="shared" si="5"/>
        <v>天使缇娜传记-1</v>
      </c>
      <c r="AQ23" s="14" t="str">
        <f t="shared" si="6"/>
        <v>天使缇娜传记-1</v>
      </c>
      <c r="AR23" s="14">
        <f t="shared" si="7"/>
        <v>30</v>
      </c>
      <c r="AS23" s="14" t="str">
        <f t="shared" si="8"/>
        <v/>
      </c>
      <c r="AT23" s="98">
        <v>3</v>
      </c>
      <c r="AU23" s="99" t="s">
        <v>907</v>
      </c>
      <c r="AV23" s="14" t="str">
        <f t="shared" si="9"/>
        <v>KP_KM_1102007</v>
      </c>
      <c r="AW23" s="14">
        <f t="shared" si="10"/>
        <v>1102007</v>
      </c>
      <c r="AX23" s="14" t="str">
        <f t="shared" si="11"/>
        <v>天使缇娜传记1-1</v>
      </c>
      <c r="AY23" s="14" t="str">
        <f t="shared" si="12"/>
        <v/>
      </c>
      <c r="AZ23" s="14" t="str">
        <f t="shared" si="13"/>
        <v>天使缇娜碎片</v>
      </c>
      <c r="BA23" s="14">
        <f t="shared" si="14"/>
        <v>1</v>
      </c>
      <c r="BB23" s="14" t="str">
        <f t="shared" si="15"/>
        <v/>
      </c>
      <c r="BC23" s="14" t="str">
        <f t="shared" si="16"/>
        <v/>
      </c>
      <c r="BD23" s="96"/>
      <c r="BG23" s="97">
        <v>19</v>
      </c>
      <c r="BH23" s="14">
        <f t="shared" si="17"/>
        <v>3</v>
      </c>
      <c r="BI23" s="14">
        <f t="shared" si="18"/>
        <v>2</v>
      </c>
      <c r="BJ23" s="14">
        <f t="shared" si="19"/>
        <v>3019</v>
      </c>
      <c r="BK23" s="14" t="str">
        <f t="shared" si="20"/>
        <v>李轩辕传记2-1</v>
      </c>
      <c r="BM23" s="14" t="str">
        <f t="shared" si="21"/>
        <v>李轩辕传记2-1 李轩辕碎片</v>
      </c>
      <c r="BN23" s="14" t="str">
        <f t="shared" si="22"/>
        <v>李轩辕碎片</v>
      </c>
      <c r="BO23" s="14">
        <f t="shared" si="23"/>
        <v>1</v>
      </c>
      <c r="BP23" s="14">
        <f t="shared" si="24"/>
        <v>1</v>
      </c>
      <c r="BQ23" s="14">
        <v>10000</v>
      </c>
    </row>
    <row r="24" spans="1:69" ht="16.5" x14ac:dyDescent="0.2">
      <c r="AI24" s="96">
        <v>20</v>
      </c>
      <c r="AJ24" s="14">
        <f t="shared" si="0"/>
        <v>4</v>
      </c>
      <c r="AK24" s="14">
        <f t="shared" si="1"/>
        <v>200702</v>
      </c>
      <c r="AL24" s="14">
        <f t="shared" si="2"/>
        <v>2007</v>
      </c>
      <c r="AM24" s="96" t="s">
        <v>903</v>
      </c>
      <c r="AN24" s="14">
        <f t="shared" si="3"/>
        <v>2</v>
      </c>
      <c r="AO24" s="14">
        <f t="shared" si="27"/>
        <v>200703</v>
      </c>
      <c r="AP24" s="14" t="str">
        <f t="shared" si="5"/>
        <v>天使缇娜传记-2</v>
      </c>
      <c r="AQ24" s="14" t="str">
        <f t="shared" si="6"/>
        <v>天使缇娜传记-2</v>
      </c>
      <c r="AR24" s="14">
        <f t="shared" si="7"/>
        <v>40</v>
      </c>
      <c r="AS24" s="14" t="str">
        <f t="shared" si="8"/>
        <v/>
      </c>
      <c r="AT24" s="98">
        <v>3</v>
      </c>
      <c r="AU24" s="99" t="s">
        <v>907</v>
      </c>
      <c r="AV24" s="14" t="str">
        <f t="shared" si="9"/>
        <v>KP_KM_1102007</v>
      </c>
      <c r="AW24" s="14">
        <f t="shared" si="10"/>
        <v>1102007</v>
      </c>
      <c r="AX24" s="14" t="str">
        <f t="shared" si="11"/>
        <v>天使缇娜传记2-1</v>
      </c>
      <c r="AY24" s="14" t="str">
        <f t="shared" si="12"/>
        <v/>
      </c>
      <c r="AZ24" s="14" t="str">
        <f t="shared" si="13"/>
        <v>天使缇娜碎片</v>
      </c>
      <c r="BA24" s="14">
        <f t="shared" si="14"/>
        <v>1</v>
      </c>
      <c r="BB24" s="14" t="str">
        <f t="shared" si="15"/>
        <v/>
      </c>
      <c r="BC24" s="14" t="str">
        <f t="shared" si="16"/>
        <v/>
      </c>
      <c r="BD24" s="96"/>
      <c r="BG24" s="97">
        <v>20</v>
      </c>
      <c r="BH24" s="14">
        <f t="shared" si="17"/>
        <v>3</v>
      </c>
      <c r="BI24" s="14">
        <f t="shared" si="18"/>
        <v>3</v>
      </c>
      <c r="BJ24" s="14">
        <f t="shared" si="19"/>
        <v>3020</v>
      </c>
      <c r="BK24" s="14" t="str">
        <f t="shared" si="20"/>
        <v>李轩辕传记3-1</v>
      </c>
      <c r="BM24" s="14" t="str">
        <f t="shared" si="21"/>
        <v>李轩辕传记3-1 李轩辕碎片</v>
      </c>
      <c r="BN24" s="14" t="str">
        <f t="shared" si="22"/>
        <v>李轩辕碎片</v>
      </c>
      <c r="BO24" s="14">
        <f t="shared" si="23"/>
        <v>1</v>
      </c>
      <c r="BP24" s="14">
        <f t="shared" si="24"/>
        <v>2</v>
      </c>
      <c r="BQ24" s="14">
        <v>10000</v>
      </c>
    </row>
    <row r="25" spans="1:69" ht="16.5" x14ac:dyDescent="0.2">
      <c r="AI25" s="96">
        <v>21</v>
      </c>
      <c r="AJ25" s="14">
        <f t="shared" si="0"/>
        <v>4</v>
      </c>
      <c r="AK25" s="14">
        <f t="shared" si="1"/>
        <v>200703</v>
      </c>
      <c r="AL25" s="14">
        <f t="shared" si="2"/>
        <v>2007</v>
      </c>
      <c r="AM25" s="96" t="s">
        <v>903</v>
      </c>
      <c r="AN25" s="14">
        <f t="shared" si="3"/>
        <v>3</v>
      </c>
      <c r="AO25" s="14">
        <f t="shared" si="27"/>
        <v>200704</v>
      </c>
      <c r="AP25" s="14" t="str">
        <f t="shared" si="5"/>
        <v>天使缇娜传记-3</v>
      </c>
      <c r="AQ25" s="14" t="str">
        <f t="shared" si="6"/>
        <v>天使缇娜传记-3</v>
      </c>
      <c r="AR25" s="14">
        <f t="shared" si="7"/>
        <v>55</v>
      </c>
      <c r="AS25" s="14" t="str">
        <f t="shared" si="8"/>
        <v/>
      </c>
      <c r="AT25" s="98">
        <v>3</v>
      </c>
      <c r="AU25" s="99" t="s">
        <v>907</v>
      </c>
      <c r="AV25" s="14" t="str">
        <f t="shared" si="9"/>
        <v>KP_KM_1102007</v>
      </c>
      <c r="AW25" s="14">
        <f t="shared" si="10"/>
        <v>1102007</v>
      </c>
      <c r="AX25" s="14" t="str">
        <f t="shared" si="11"/>
        <v>天使缇娜传记3-1</v>
      </c>
      <c r="AY25" s="14" t="str">
        <f t="shared" si="12"/>
        <v/>
      </c>
      <c r="AZ25" s="14" t="str">
        <f t="shared" si="13"/>
        <v>天使缇娜碎片</v>
      </c>
      <c r="BA25" s="14" t="str">
        <f t="shared" si="14"/>
        <v>1~2</v>
      </c>
      <c r="BB25" s="14" t="str">
        <f t="shared" si="15"/>
        <v/>
      </c>
      <c r="BC25" s="14" t="str">
        <f t="shared" si="16"/>
        <v/>
      </c>
      <c r="BD25" s="96"/>
      <c r="BG25" s="97">
        <v>21</v>
      </c>
      <c r="BH25" s="14">
        <f t="shared" si="17"/>
        <v>3</v>
      </c>
      <c r="BI25" s="14">
        <f t="shared" si="18"/>
        <v>4</v>
      </c>
      <c r="BJ25" s="14">
        <f t="shared" si="19"/>
        <v>3021</v>
      </c>
      <c r="BK25" s="14" t="str">
        <f t="shared" si="20"/>
        <v>李轩辕传记4-1</v>
      </c>
      <c r="BM25" s="14" t="str">
        <f t="shared" si="21"/>
        <v>李轩辕传记4-1 李轩辕专属武器碎片</v>
      </c>
      <c r="BN25" s="14" t="str">
        <f t="shared" si="22"/>
        <v>李轩辕专属武器碎片</v>
      </c>
      <c r="BO25" s="14">
        <f t="shared" si="23"/>
        <v>1</v>
      </c>
      <c r="BP25" s="14">
        <f t="shared" si="24"/>
        <v>1</v>
      </c>
      <c r="BQ25" s="14">
        <v>10000</v>
      </c>
    </row>
    <row r="26" spans="1:69" ht="16.5" x14ac:dyDescent="0.2">
      <c r="AI26" s="96">
        <v>22</v>
      </c>
      <c r="AJ26" s="14">
        <f t="shared" si="0"/>
        <v>4</v>
      </c>
      <c r="AK26" s="14">
        <f t="shared" si="1"/>
        <v>200704</v>
      </c>
      <c r="AL26" s="14">
        <f t="shared" si="2"/>
        <v>2007</v>
      </c>
      <c r="AM26" s="96" t="s">
        <v>903</v>
      </c>
      <c r="AN26" s="14">
        <f t="shared" si="3"/>
        <v>4</v>
      </c>
      <c r="AO26" s="14">
        <f t="shared" si="27"/>
        <v>200705</v>
      </c>
      <c r="AP26" s="14" t="str">
        <f t="shared" si="5"/>
        <v>天使缇娜传记-4</v>
      </c>
      <c r="AQ26" s="14" t="str">
        <f t="shared" si="6"/>
        <v>天使缇娜传记-4</v>
      </c>
      <c r="AR26" s="14">
        <f t="shared" si="7"/>
        <v>70</v>
      </c>
      <c r="AS26" s="14" t="str">
        <f t="shared" si="8"/>
        <v/>
      </c>
      <c r="AT26" s="98">
        <v>3</v>
      </c>
      <c r="AU26" s="99" t="s">
        <v>907</v>
      </c>
      <c r="AV26" s="14" t="str">
        <f t="shared" si="9"/>
        <v>KP_KM_1102007</v>
      </c>
      <c r="AW26" s="14">
        <f t="shared" si="10"/>
        <v>1102007</v>
      </c>
      <c r="AX26" s="14" t="str">
        <f t="shared" si="11"/>
        <v>天使缇娜传记4-1</v>
      </c>
      <c r="AY26" s="14" t="str">
        <f t="shared" si="12"/>
        <v/>
      </c>
      <c r="AZ26" s="14" t="str">
        <f t="shared" si="13"/>
        <v>天使缇娜专属武器碎片</v>
      </c>
      <c r="BA26" s="14">
        <f t="shared" si="14"/>
        <v>1</v>
      </c>
      <c r="BB26" s="14" t="str">
        <f t="shared" si="15"/>
        <v/>
      </c>
      <c r="BC26" s="14" t="str">
        <f t="shared" si="16"/>
        <v/>
      </c>
      <c r="BD26" s="96"/>
      <c r="BG26" s="97">
        <v>22</v>
      </c>
      <c r="BH26" s="14">
        <f t="shared" si="17"/>
        <v>3</v>
      </c>
      <c r="BI26" s="14">
        <f t="shared" si="18"/>
        <v>5</v>
      </c>
      <c r="BJ26" s="14">
        <f t="shared" si="19"/>
        <v>3022</v>
      </c>
      <c r="BK26" s="14" t="str">
        <f t="shared" si="20"/>
        <v>李轩辕传记5-1</v>
      </c>
      <c r="BM26" s="14" t="str">
        <f t="shared" si="21"/>
        <v>李轩辕传记5-1 李轩辕碎片</v>
      </c>
      <c r="BN26" s="14" t="str">
        <f t="shared" si="22"/>
        <v>李轩辕碎片</v>
      </c>
      <c r="BO26" s="14">
        <f t="shared" si="23"/>
        <v>1</v>
      </c>
      <c r="BP26" s="14">
        <f t="shared" si="24"/>
        <v>2</v>
      </c>
      <c r="BQ26" s="14">
        <v>10000</v>
      </c>
    </row>
    <row r="27" spans="1:69" ht="16.5" x14ac:dyDescent="0.2">
      <c r="AI27" s="96">
        <v>23</v>
      </c>
      <c r="AJ27" s="14">
        <f t="shared" si="0"/>
        <v>4</v>
      </c>
      <c r="AK27" s="14">
        <f t="shared" si="1"/>
        <v>200705</v>
      </c>
      <c r="AL27" s="14">
        <f t="shared" si="2"/>
        <v>2007</v>
      </c>
      <c r="AM27" s="96" t="s">
        <v>903</v>
      </c>
      <c r="AN27" s="14">
        <f t="shared" si="3"/>
        <v>5</v>
      </c>
      <c r="AO27" s="14">
        <f t="shared" si="27"/>
        <v>200706</v>
      </c>
      <c r="AP27" s="14" t="str">
        <f t="shared" si="5"/>
        <v>天使缇娜传记-5</v>
      </c>
      <c r="AQ27" s="14" t="str">
        <f t="shared" si="6"/>
        <v>天使缇娜传记-5</v>
      </c>
      <c r="AR27" s="14">
        <f t="shared" si="7"/>
        <v>80</v>
      </c>
      <c r="AS27" s="14" t="str">
        <f t="shared" si="8"/>
        <v/>
      </c>
      <c r="AT27" s="98">
        <v>3</v>
      </c>
      <c r="AU27" s="99" t="s">
        <v>907</v>
      </c>
      <c r="AV27" s="14" t="str">
        <f t="shared" si="9"/>
        <v>KP_KM_1102007</v>
      </c>
      <c r="AW27" s="14">
        <f t="shared" si="10"/>
        <v>1102007</v>
      </c>
      <c r="AX27" s="14" t="str">
        <f t="shared" si="11"/>
        <v>天使缇娜传记5-1</v>
      </c>
      <c r="AY27" s="14" t="str">
        <f t="shared" si="12"/>
        <v>天使缇娜传记5-1</v>
      </c>
      <c r="AZ27" s="14" t="str">
        <f t="shared" si="13"/>
        <v>天使缇娜碎片</v>
      </c>
      <c r="BA27" s="14" t="str">
        <f t="shared" si="14"/>
        <v>1~2</v>
      </c>
      <c r="BB27" s="14" t="str">
        <f t="shared" si="15"/>
        <v>天使缇娜专属武器碎片</v>
      </c>
      <c r="BC27" s="14">
        <f t="shared" si="16"/>
        <v>1</v>
      </c>
      <c r="BD27" s="96"/>
      <c r="BG27" s="97">
        <v>23</v>
      </c>
      <c r="BH27" s="14">
        <f t="shared" si="17"/>
        <v>3</v>
      </c>
      <c r="BI27" s="14">
        <f t="shared" si="18"/>
        <v>6</v>
      </c>
      <c r="BJ27" s="14">
        <f t="shared" si="19"/>
        <v>3023</v>
      </c>
      <c r="BK27" s="14" t="str">
        <f t="shared" si="20"/>
        <v>李轩辕传记5-2</v>
      </c>
      <c r="BM27" s="14" t="str">
        <f t="shared" si="21"/>
        <v>李轩辕传记5-2 李轩辕专属武器碎片</v>
      </c>
      <c r="BN27" s="14" t="str">
        <f t="shared" si="22"/>
        <v>李轩辕专属武器碎片</v>
      </c>
      <c r="BO27" s="14">
        <f t="shared" si="23"/>
        <v>1</v>
      </c>
      <c r="BP27" s="14">
        <f t="shared" si="24"/>
        <v>1</v>
      </c>
      <c r="BQ27" s="14">
        <v>10000</v>
      </c>
    </row>
    <row r="28" spans="1:69" ht="16.5" x14ac:dyDescent="0.2">
      <c r="AI28" s="96">
        <v>24</v>
      </c>
      <c r="AJ28" s="14">
        <f t="shared" si="0"/>
        <v>4</v>
      </c>
      <c r="AK28" s="14">
        <f t="shared" si="1"/>
        <v>200706</v>
      </c>
      <c r="AL28" s="14">
        <f t="shared" si="2"/>
        <v>2007</v>
      </c>
      <c r="AM28" s="96" t="s">
        <v>903</v>
      </c>
      <c r="AN28" s="14">
        <f t="shared" si="3"/>
        <v>6</v>
      </c>
      <c r="AO28" s="14">
        <f t="shared" si="27"/>
        <v>200707</v>
      </c>
      <c r="AP28" s="14" t="str">
        <f t="shared" si="5"/>
        <v>天使缇娜传记-6</v>
      </c>
      <c r="AQ28" s="14" t="str">
        <f t="shared" si="6"/>
        <v>天使缇娜传记-6</v>
      </c>
      <c r="AR28" s="14">
        <f t="shared" si="7"/>
        <v>90</v>
      </c>
      <c r="AS28" s="14">
        <f t="shared" si="8"/>
        <v>2</v>
      </c>
      <c r="AT28" s="98">
        <v>3</v>
      </c>
      <c r="AU28" s="99" t="s">
        <v>907</v>
      </c>
      <c r="AV28" s="14" t="str">
        <f t="shared" si="9"/>
        <v>KP_KM_1102007</v>
      </c>
      <c r="AW28" s="14">
        <f t="shared" si="10"/>
        <v>1102007</v>
      </c>
      <c r="AX28" s="14" t="str">
        <f t="shared" si="11"/>
        <v>天使缇娜传记6-1</v>
      </c>
      <c r="AY28" s="14" t="str">
        <f t="shared" si="12"/>
        <v>天使缇娜传记6-1</v>
      </c>
      <c r="AZ28" s="14" t="str">
        <f t="shared" si="13"/>
        <v>天使缇娜碎片</v>
      </c>
      <c r="BA28" s="14" t="str">
        <f t="shared" si="14"/>
        <v>1~2</v>
      </c>
      <c r="BB28" s="14" t="str">
        <f t="shared" si="15"/>
        <v>天使缇娜专属武器碎片</v>
      </c>
      <c r="BC28" s="14">
        <f t="shared" si="16"/>
        <v>1</v>
      </c>
      <c r="BD28" s="96"/>
      <c r="BG28" s="97">
        <v>24</v>
      </c>
      <c r="BH28" s="14">
        <f t="shared" si="17"/>
        <v>4</v>
      </c>
      <c r="BI28" s="14">
        <f t="shared" si="18"/>
        <v>1</v>
      </c>
      <c r="BJ28" s="14">
        <f t="shared" si="19"/>
        <v>3024</v>
      </c>
      <c r="BK28" s="14" t="str">
        <f t="shared" si="20"/>
        <v>天使缇娜传记1-1</v>
      </c>
      <c r="BM28" s="14" t="str">
        <f t="shared" si="21"/>
        <v>天使缇娜传记1-1 天使缇娜碎片</v>
      </c>
      <c r="BN28" s="14" t="str">
        <f t="shared" si="22"/>
        <v>天使缇娜碎片</v>
      </c>
      <c r="BO28" s="14">
        <f t="shared" si="23"/>
        <v>1</v>
      </c>
      <c r="BP28" s="14">
        <f t="shared" si="24"/>
        <v>1</v>
      </c>
      <c r="BQ28" s="14">
        <v>10000</v>
      </c>
    </row>
    <row r="29" spans="1:69" ht="16.5" x14ac:dyDescent="0.2">
      <c r="AI29" s="96">
        <v>25</v>
      </c>
      <c r="AJ29" s="14">
        <f t="shared" si="0"/>
        <v>4</v>
      </c>
      <c r="AK29" s="14">
        <f t="shared" si="1"/>
        <v>200707</v>
      </c>
      <c r="AL29" s="14">
        <f t="shared" si="2"/>
        <v>2007</v>
      </c>
      <c r="AM29" s="96" t="s">
        <v>903</v>
      </c>
      <c r="AN29" s="14">
        <f t="shared" si="3"/>
        <v>7</v>
      </c>
      <c r="AO29" s="14">
        <f t="shared" si="27"/>
        <v>200708</v>
      </c>
      <c r="AP29" s="14" t="str">
        <f t="shared" si="5"/>
        <v>天使缇娜传记-7</v>
      </c>
      <c r="AQ29" s="14" t="str">
        <f t="shared" si="6"/>
        <v>天使缇娜传记-7</v>
      </c>
      <c r="AR29" s="14">
        <f t="shared" si="7"/>
        <v>100</v>
      </c>
      <c r="AS29" s="14">
        <f t="shared" si="8"/>
        <v>2</v>
      </c>
      <c r="AT29" s="98">
        <v>3</v>
      </c>
      <c r="AU29" s="99" t="s">
        <v>907</v>
      </c>
      <c r="AV29" s="14" t="str">
        <f t="shared" si="9"/>
        <v>KP_KM_1102007</v>
      </c>
      <c r="AW29" s="14">
        <f t="shared" si="10"/>
        <v>1102007</v>
      </c>
      <c r="AX29" s="14" t="str">
        <f t="shared" si="11"/>
        <v>天使缇娜传记7-1</v>
      </c>
      <c r="AY29" s="14" t="str">
        <f t="shared" si="12"/>
        <v>天使缇娜传记7-1</v>
      </c>
      <c r="AZ29" s="14" t="str">
        <f t="shared" si="13"/>
        <v>天使缇娜碎片</v>
      </c>
      <c r="BA29" s="14" t="str">
        <f t="shared" si="14"/>
        <v>1~2</v>
      </c>
      <c r="BB29" s="14" t="str">
        <f t="shared" si="15"/>
        <v>天使缇娜专属武器碎片</v>
      </c>
      <c r="BC29" s="14">
        <f t="shared" si="16"/>
        <v>1</v>
      </c>
      <c r="BD29" s="96"/>
      <c r="BG29" s="97">
        <v>25</v>
      </c>
      <c r="BH29" s="14">
        <f t="shared" si="17"/>
        <v>4</v>
      </c>
      <c r="BI29" s="14">
        <f t="shared" si="18"/>
        <v>2</v>
      </c>
      <c r="BJ29" s="14">
        <f t="shared" si="19"/>
        <v>3025</v>
      </c>
      <c r="BK29" s="14" t="str">
        <f t="shared" si="20"/>
        <v>天使缇娜传记2-1</v>
      </c>
      <c r="BM29" s="14" t="str">
        <f t="shared" si="21"/>
        <v>天使缇娜传记2-1 天使缇娜碎片</v>
      </c>
      <c r="BN29" s="14" t="str">
        <f t="shared" si="22"/>
        <v>天使缇娜碎片</v>
      </c>
      <c r="BO29" s="14">
        <f t="shared" si="23"/>
        <v>1</v>
      </c>
      <c r="BP29" s="14">
        <f t="shared" si="24"/>
        <v>1</v>
      </c>
      <c r="BQ29" s="14">
        <v>10000</v>
      </c>
    </row>
    <row r="30" spans="1:69" ht="16.5" x14ac:dyDescent="0.2">
      <c r="AI30" s="96">
        <v>26</v>
      </c>
      <c r="AJ30" s="14">
        <f t="shared" si="0"/>
        <v>4</v>
      </c>
      <c r="AK30" s="14">
        <f t="shared" si="1"/>
        <v>200708</v>
      </c>
      <c r="AL30" s="14">
        <f t="shared" si="2"/>
        <v>2007</v>
      </c>
      <c r="AM30" s="96" t="s">
        <v>903</v>
      </c>
      <c r="AN30" s="14">
        <f t="shared" si="3"/>
        <v>8</v>
      </c>
      <c r="AO30" s="14">
        <f t="shared" si="27"/>
        <v>-1</v>
      </c>
      <c r="AP30" s="14" t="str">
        <f t="shared" si="5"/>
        <v>天使缇娜传记-8</v>
      </c>
      <c r="AQ30" s="14" t="str">
        <f t="shared" si="6"/>
        <v>天使缇娜传记-8</v>
      </c>
      <c r="AR30" s="14">
        <f t="shared" si="7"/>
        <v>120</v>
      </c>
      <c r="AS30" s="14">
        <f t="shared" si="8"/>
        <v>2</v>
      </c>
      <c r="AT30" s="98">
        <v>3</v>
      </c>
      <c r="AU30" s="99" t="s">
        <v>907</v>
      </c>
      <c r="AV30" s="14" t="str">
        <f t="shared" si="9"/>
        <v>KP_KM_1102007</v>
      </c>
      <c r="AW30" s="14">
        <f t="shared" si="10"/>
        <v>1102007</v>
      </c>
      <c r="AX30" s="14" t="str">
        <f t="shared" si="11"/>
        <v>天使缇娜传记8-1</v>
      </c>
      <c r="AY30" s="14" t="str">
        <f t="shared" si="12"/>
        <v/>
      </c>
      <c r="AZ30" s="14" t="str">
        <f t="shared" si="13"/>
        <v>天使缇娜碎片</v>
      </c>
      <c r="BA30" s="14">
        <f t="shared" si="14"/>
        <v>2</v>
      </c>
      <c r="BB30" s="14" t="str">
        <f t="shared" si="15"/>
        <v/>
      </c>
      <c r="BC30" s="14" t="str">
        <f t="shared" si="16"/>
        <v/>
      </c>
      <c r="BD30" s="96"/>
      <c r="BG30" s="97">
        <v>26</v>
      </c>
      <c r="BH30" s="14">
        <f t="shared" si="17"/>
        <v>4</v>
      </c>
      <c r="BI30" s="14">
        <f t="shared" si="18"/>
        <v>3</v>
      </c>
      <c r="BJ30" s="14">
        <f t="shared" si="19"/>
        <v>3026</v>
      </c>
      <c r="BK30" s="14" t="str">
        <f t="shared" si="20"/>
        <v>天使缇娜传记3-1</v>
      </c>
      <c r="BM30" s="14" t="str">
        <f t="shared" si="21"/>
        <v>天使缇娜传记3-1 天使缇娜碎片</v>
      </c>
      <c r="BN30" s="14" t="str">
        <f t="shared" si="22"/>
        <v>天使缇娜碎片</v>
      </c>
      <c r="BO30" s="14">
        <f t="shared" si="23"/>
        <v>1</v>
      </c>
      <c r="BP30" s="14">
        <f t="shared" si="24"/>
        <v>2</v>
      </c>
      <c r="BQ30" s="14">
        <v>10000</v>
      </c>
    </row>
    <row r="31" spans="1:69" ht="16.5" x14ac:dyDescent="0.2">
      <c r="AI31" s="96">
        <v>27</v>
      </c>
      <c r="AJ31" s="14">
        <f t="shared" si="0"/>
        <v>5</v>
      </c>
      <c r="AK31" s="14">
        <f t="shared" si="1"/>
        <v>200801</v>
      </c>
      <c r="AL31" s="14">
        <f t="shared" si="2"/>
        <v>2008</v>
      </c>
      <c r="AM31" s="96" t="s">
        <v>903</v>
      </c>
      <c r="AN31" s="14">
        <f t="shared" si="3"/>
        <v>1</v>
      </c>
      <c r="AO31" s="14">
        <f t="shared" si="27"/>
        <v>200802</v>
      </c>
      <c r="AP31" s="14" t="str">
        <f t="shared" si="5"/>
        <v>夏侯渊传记-1</v>
      </c>
      <c r="AQ31" s="14" t="str">
        <f t="shared" si="6"/>
        <v>夏侯渊传记-1</v>
      </c>
      <c r="AR31" s="14">
        <f t="shared" si="7"/>
        <v>30</v>
      </c>
      <c r="AS31" s="14" t="str">
        <f t="shared" si="8"/>
        <v/>
      </c>
      <c r="AT31" s="98">
        <v>3</v>
      </c>
      <c r="AU31" s="99" t="s">
        <v>907</v>
      </c>
      <c r="AV31" s="14" t="str">
        <f t="shared" si="9"/>
        <v>KP_KM_1102008</v>
      </c>
      <c r="AW31" s="14">
        <f t="shared" si="10"/>
        <v>1102008</v>
      </c>
      <c r="AX31" s="14" t="str">
        <f t="shared" si="11"/>
        <v>夏侯渊传记1-1</v>
      </c>
      <c r="AY31" s="14" t="str">
        <f t="shared" si="12"/>
        <v/>
      </c>
      <c r="AZ31" s="14" t="str">
        <f t="shared" si="13"/>
        <v>夏侯渊碎片</v>
      </c>
      <c r="BA31" s="14">
        <f t="shared" si="14"/>
        <v>1</v>
      </c>
      <c r="BB31" s="14" t="str">
        <f t="shared" si="15"/>
        <v/>
      </c>
      <c r="BC31" s="14" t="str">
        <f t="shared" si="16"/>
        <v/>
      </c>
      <c r="BD31" s="96"/>
      <c r="BG31" s="97">
        <v>27</v>
      </c>
      <c r="BH31" s="14">
        <f t="shared" si="17"/>
        <v>4</v>
      </c>
      <c r="BI31" s="14">
        <f t="shared" si="18"/>
        <v>4</v>
      </c>
      <c r="BJ31" s="14">
        <f t="shared" si="19"/>
        <v>3027</v>
      </c>
      <c r="BK31" s="14" t="str">
        <f t="shared" si="20"/>
        <v>天使缇娜传记4-1</v>
      </c>
      <c r="BM31" s="14" t="str">
        <f t="shared" si="21"/>
        <v>天使缇娜传记4-1 天使缇娜专属武器碎片</v>
      </c>
      <c r="BN31" s="14" t="str">
        <f t="shared" si="22"/>
        <v>天使缇娜专属武器碎片</v>
      </c>
      <c r="BO31" s="14">
        <f t="shared" si="23"/>
        <v>1</v>
      </c>
      <c r="BP31" s="14">
        <f t="shared" si="24"/>
        <v>1</v>
      </c>
      <c r="BQ31" s="14">
        <v>10000</v>
      </c>
    </row>
    <row r="32" spans="1:69" ht="16.5" x14ac:dyDescent="0.2">
      <c r="AI32" s="96">
        <v>28</v>
      </c>
      <c r="AJ32" s="14">
        <f t="shared" si="0"/>
        <v>5</v>
      </c>
      <c r="AK32" s="14">
        <f t="shared" si="1"/>
        <v>200802</v>
      </c>
      <c r="AL32" s="14">
        <f t="shared" si="2"/>
        <v>2008</v>
      </c>
      <c r="AM32" s="96" t="s">
        <v>903</v>
      </c>
      <c r="AN32" s="14">
        <f t="shared" si="3"/>
        <v>2</v>
      </c>
      <c r="AO32" s="14">
        <f t="shared" si="27"/>
        <v>200803</v>
      </c>
      <c r="AP32" s="14" t="str">
        <f t="shared" si="5"/>
        <v>夏侯渊传记-2</v>
      </c>
      <c r="AQ32" s="14" t="str">
        <f t="shared" si="6"/>
        <v>夏侯渊传记-2</v>
      </c>
      <c r="AR32" s="14">
        <f t="shared" si="7"/>
        <v>40</v>
      </c>
      <c r="AS32" s="14" t="str">
        <f t="shared" si="8"/>
        <v/>
      </c>
      <c r="AT32" s="98">
        <v>3</v>
      </c>
      <c r="AU32" s="99" t="s">
        <v>907</v>
      </c>
      <c r="AV32" s="14" t="str">
        <f t="shared" si="9"/>
        <v>KP_KM_1102008</v>
      </c>
      <c r="AW32" s="14">
        <f t="shared" si="10"/>
        <v>1102008</v>
      </c>
      <c r="AX32" s="14" t="str">
        <f t="shared" si="11"/>
        <v>夏侯渊传记2-1</v>
      </c>
      <c r="AY32" s="14" t="str">
        <f t="shared" si="12"/>
        <v/>
      </c>
      <c r="AZ32" s="14" t="str">
        <f t="shared" si="13"/>
        <v>夏侯渊碎片</v>
      </c>
      <c r="BA32" s="14">
        <f t="shared" si="14"/>
        <v>1</v>
      </c>
      <c r="BB32" s="14" t="str">
        <f t="shared" si="15"/>
        <v/>
      </c>
      <c r="BC32" s="14" t="str">
        <f t="shared" si="16"/>
        <v/>
      </c>
      <c r="BD32" s="96"/>
      <c r="BG32" s="97">
        <v>28</v>
      </c>
      <c r="BH32" s="14">
        <f t="shared" si="17"/>
        <v>4</v>
      </c>
      <c r="BI32" s="14">
        <f t="shared" si="18"/>
        <v>5</v>
      </c>
      <c r="BJ32" s="14">
        <f t="shared" si="19"/>
        <v>3028</v>
      </c>
      <c r="BK32" s="14" t="str">
        <f t="shared" si="20"/>
        <v>天使缇娜传记5-1</v>
      </c>
      <c r="BM32" s="14" t="str">
        <f t="shared" si="21"/>
        <v>天使缇娜传记5-1 天使缇娜碎片</v>
      </c>
      <c r="BN32" s="14" t="str">
        <f t="shared" si="22"/>
        <v>天使缇娜碎片</v>
      </c>
      <c r="BO32" s="14">
        <f t="shared" si="23"/>
        <v>1</v>
      </c>
      <c r="BP32" s="14">
        <f t="shared" si="24"/>
        <v>2</v>
      </c>
      <c r="BQ32" s="14">
        <v>10000</v>
      </c>
    </row>
    <row r="33" spans="35:69" ht="16.5" x14ac:dyDescent="0.2">
      <c r="AI33" s="96">
        <v>29</v>
      </c>
      <c r="AJ33" s="14">
        <f t="shared" si="0"/>
        <v>5</v>
      </c>
      <c r="AK33" s="14">
        <f t="shared" si="1"/>
        <v>200803</v>
      </c>
      <c r="AL33" s="14">
        <f t="shared" si="2"/>
        <v>2008</v>
      </c>
      <c r="AM33" s="96" t="s">
        <v>903</v>
      </c>
      <c r="AN33" s="14">
        <f t="shared" si="3"/>
        <v>3</v>
      </c>
      <c r="AO33" s="14">
        <f t="shared" si="27"/>
        <v>200804</v>
      </c>
      <c r="AP33" s="14" t="str">
        <f t="shared" si="5"/>
        <v>夏侯渊传记-3</v>
      </c>
      <c r="AQ33" s="14" t="str">
        <f t="shared" si="6"/>
        <v>夏侯渊传记-3</v>
      </c>
      <c r="AR33" s="14">
        <f t="shared" si="7"/>
        <v>55</v>
      </c>
      <c r="AS33" s="14" t="str">
        <f t="shared" si="8"/>
        <v/>
      </c>
      <c r="AT33" s="98">
        <v>3</v>
      </c>
      <c r="AU33" s="99" t="s">
        <v>907</v>
      </c>
      <c r="AV33" s="14" t="str">
        <f t="shared" si="9"/>
        <v>KP_KM_1102008</v>
      </c>
      <c r="AW33" s="14">
        <f t="shared" si="10"/>
        <v>1102008</v>
      </c>
      <c r="AX33" s="14" t="str">
        <f t="shared" si="11"/>
        <v>夏侯渊传记3-1</v>
      </c>
      <c r="AY33" s="14" t="str">
        <f t="shared" si="12"/>
        <v/>
      </c>
      <c r="AZ33" s="14" t="str">
        <f t="shared" si="13"/>
        <v>夏侯渊碎片</v>
      </c>
      <c r="BA33" s="14" t="str">
        <f t="shared" si="14"/>
        <v>1~2</v>
      </c>
      <c r="BB33" s="14" t="str">
        <f t="shared" si="15"/>
        <v/>
      </c>
      <c r="BC33" s="14" t="str">
        <f t="shared" si="16"/>
        <v/>
      </c>
      <c r="BD33" s="96"/>
      <c r="BG33" s="97">
        <v>29</v>
      </c>
      <c r="BH33" s="14">
        <f t="shared" si="17"/>
        <v>4</v>
      </c>
      <c r="BI33" s="14">
        <f t="shared" si="18"/>
        <v>6</v>
      </c>
      <c r="BJ33" s="14">
        <f t="shared" si="19"/>
        <v>3029</v>
      </c>
      <c r="BK33" s="14" t="str">
        <f t="shared" si="20"/>
        <v>天使缇娜传记5-2</v>
      </c>
      <c r="BM33" s="14" t="str">
        <f t="shared" si="21"/>
        <v>天使缇娜传记5-2 天使缇娜专属武器碎片</v>
      </c>
      <c r="BN33" s="14" t="str">
        <f t="shared" si="22"/>
        <v>天使缇娜专属武器碎片</v>
      </c>
      <c r="BO33" s="14">
        <f t="shared" si="23"/>
        <v>1</v>
      </c>
      <c r="BP33" s="14">
        <f t="shared" si="24"/>
        <v>1</v>
      </c>
      <c r="BQ33" s="14">
        <v>10000</v>
      </c>
    </row>
    <row r="34" spans="35:69" ht="16.5" x14ac:dyDescent="0.2">
      <c r="AI34" s="96">
        <v>30</v>
      </c>
      <c r="AJ34" s="14">
        <f t="shared" si="0"/>
        <v>5</v>
      </c>
      <c r="AK34" s="14">
        <f t="shared" si="1"/>
        <v>200804</v>
      </c>
      <c r="AL34" s="14">
        <f t="shared" si="2"/>
        <v>2008</v>
      </c>
      <c r="AM34" s="96" t="s">
        <v>903</v>
      </c>
      <c r="AN34" s="14">
        <f t="shared" si="3"/>
        <v>4</v>
      </c>
      <c r="AO34" s="14">
        <f t="shared" si="27"/>
        <v>200805</v>
      </c>
      <c r="AP34" s="14" t="str">
        <f t="shared" si="5"/>
        <v>夏侯渊传记-4</v>
      </c>
      <c r="AQ34" s="14" t="str">
        <f t="shared" si="6"/>
        <v>夏侯渊传记-4</v>
      </c>
      <c r="AR34" s="14">
        <f t="shared" si="7"/>
        <v>70</v>
      </c>
      <c r="AS34" s="14" t="str">
        <f t="shared" si="8"/>
        <v/>
      </c>
      <c r="AT34" s="98">
        <v>3</v>
      </c>
      <c r="AU34" s="99" t="s">
        <v>907</v>
      </c>
      <c r="AV34" s="14" t="str">
        <f t="shared" si="9"/>
        <v>KP_KM_1102008</v>
      </c>
      <c r="AW34" s="14">
        <f t="shared" si="10"/>
        <v>1102008</v>
      </c>
      <c r="AX34" s="14" t="str">
        <f t="shared" si="11"/>
        <v>夏侯渊传记4-1</v>
      </c>
      <c r="AY34" s="14" t="str">
        <f t="shared" si="12"/>
        <v/>
      </c>
      <c r="AZ34" s="14" t="str">
        <f t="shared" si="13"/>
        <v>夏侯渊专属武器碎片</v>
      </c>
      <c r="BA34" s="14">
        <f t="shared" si="14"/>
        <v>1</v>
      </c>
      <c r="BB34" s="14" t="str">
        <f t="shared" si="15"/>
        <v/>
      </c>
      <c r="BC34" s="14" t="str">
        <f t="shared" si="16"/>
        <v/>
      </c>
      <c r="BD34" s="96"/>
      <c r="BG34" s="97">
        <v>30</v>
      </c>
      <c r="BH34" s="14">
        <f t="shared" si="17"/>
        <v>4</v>
      </c>
      <c r="BI34" s="14">
        <f t="shared" si="18"/>
        <v>7</v>
      </c>
      <c r="BJ34" s="14">
        <f t="shared" si="19"/>
        <v>3030</v>
      </c>
      <c r="BK34" s="14" t="str">
        <f t="shared" si="20"/>
        <v>天使缇娜传记6-1</v>
      </c>
      <c r="BM34" s="14" t="str">
        <f t="shared" si="21"/>
        <v>天使缇娜传记6-1 天使缇娜碎片</v>
      </c>
      <c r="BN34" s="14" t="str">
        <f t="shared" si="22"/>
        <v>天使缇娜碎片</v>
      </c>
      <c r="BO34" s="14">
        <f t="shared" si="23"/>
        <v>1</v>
      </c>
      <c r="BP34" s="14">
        <f t="shared" si="24"/>
        <v>2</v>
      </c>
      <c r="BQ34" s="14">
        <v>10000</v>
      </c>
    </row>
    <row r="35" spans="35:69" ht="16.5" x14ac:dyDescent="0.2">
      <c r="AI35" s="96">
        <v>31</v>
      </c>
      <c r="AJ35" s="14">
        <f t="shared" si="0"/>
        <v>5</v>
      </c>
      <c r="AK35" s="14">
        <f t="shared" si="1"/>
        <v>200805</v>
      </c>
      <c r="AL35" s="14">
        <f t="shared" si="2"/>
        <v>2008</v>
      </c>
      <c r="AM35" s="96" t="s">
        <v>903</v>
      </c>
      <c r="AN35" s="14">
        <f t="shared" si="3"/>
        <v>5</v>
      </c>
      <c r="AO35" s="14">
        <f t="shared" si="27"/>
        <v>200806</v>
      </c>
      <c r="AP35" s="14" t="str">
        <f t="shared" si="5"/>
        <v>夏侯渊传记-5</v>
      </c>
      <c r="AQ35" s="14" t="str">
        <f t="shared" si="6"/>
        <v>夏侯渊传记-5</v>
      </c>
      <c r="AR35" s="14">
        <f t="shared" si="7"/>
        <v>80</v>
      </c>
      <c r="AS35" s="14" t="str">
        <f t="shared" si="8"/>
        <v/>
      </c>
      <c r="AT35" s="98">
        <v>3</v>
      </c>
      <c r="AU35" s="99" t="s">
        <v>907</v>
      </c>
      <c r="AV35" s="14" t="str">
        <f t="shared" si="9"/>
        <v>KP_KM_1102008</v>
      </c>
      <c r="AW35" s="14">
        <f t="shared" si="10"/>
        <v>1102008</v>
      </c>
      <c r="AX35" s="14" t="str">
        <f t="shared" si="11"/>
        <v>夏侯渊传记5-1</v>
      </c>
      <c r="AY35" s="14" t="str">
        <f t="shared" si="12"/>
        <v>夏侯渊传记5-1</v>
      </c>
      <c r="AZ35" s="14" t="str">
        <f t="shared" si="13"/>
        <v>夏侯渊碎片</v>
      </c>
      <c r="BA35" s="14" t="str">
        <f t="shared" si="14"/>
        <v>1~2</v>
      </c>
      <c r="BB35" s="14" t="str">
        <f t="shared" si="15"/>
        <v>夏侯渊专属武器碎片</v>
      </c>
      <c r="BC35" s="14">
        <f t="shared" si="16"/>
        <v>1</v>
      </c>
      <c r="BD35" s="96"/>
      <c r="BG35" s="97">
        <v>31</v>
      </c>
      <c r="BH35" s="14">
        <f t="shared" si="17"/>
        <v>4</v>
      </c>
      <c r="BI35" s="14">
        <f t="shared" si="18"/>
        <v>8</v>
      </c>
      <c r="BJ35" s="14">
        <f t="shared" si="19"/>
        <v>3031</v>
      </c>
      <c r="BK35" s="14" t="str">
        <f t="shared" si="20"/>
        <v>天使缇娜传记6-2</v>
      </c>
      <c r="BM35" s="14" t="str">
        <f t="shared" si="21"/>
        <v>天使缇娜传记6-2 天使缇娜专属武器碎片</v>
      </c>
      <c r="BN35" s="14" t="str">
        <f t="shared" si="22"/>
        <v>天使缇娜专属武器碎片</v>
      </c>
      <c r="BO35" s="14">
        <f t="shared" si="23"/>
        <v>1</v>
      </c>
      <c r="BP35" s="14">
        <f t="shared" si="24"/>
        <v>1</v>
      </c>
      <c r="BQ35" s="14">
        <v>10000</v>
      </c>
    </row>
    <row r="36" spans="35:69" ht="16.5" x14ac:dyDescent="0.2">
      <c r="AI36" s="96">
        <v>32</v>
      </c>
      <c r="AJ36" s="14">
        <f t="shared" si="0"/>
        <v>5</v>
      </c>
      <c r="AK36" s="14">
        <f t="shared" si="1"/>
        <v>200806</v>
      </c>
      <c r="AL36" s="14">
        <f t="shared" si="2"/>
        <v>2008</v>
      </c>
      <c r="AM36" s="96" t="s">
        <v>903</v>
      </c>
      <c r="AN36" s="14">
        <f t="shared" si="3"/>
        <v>6</v>
      </c>
      <c r="AO36" s="14">
        <f t="shared" si="27"/>
        <v>200807</v>
      </c>
      <c r="AP36" s="14" t="str">
        <f t="shared" si="5"/>
        <v>夏侯渊传记-6</v>
      </c>
      <c r="AQ36" s="14" t="str">
        <f t="shared" si="6"/>
        <v>夏侯渊传记-6</v>
      </c>
      <c r="AR36" s="14">
        <f t="shared" si="7"/>
        <v>90</v>
      </c>
      <c r="AS36" s="14">
        <f t="shared" si="8"/>
        <v>2</v>
      </c>
      <c r="AT36" s="98">
        <v>3</v>
      </c>
      <c r="AU36" s="99" t="s">
        <v>907</v>
      </c>
      <c r="AV36" s="14" t="str">
        <f t="shared" si="9"/>
        <v>KP_KM_1102008</v>
      </c>
      <c r="AW36" s="14">
        <f t="shared" si="10"/>
        <v>1102008</v>
      </c>
      <c r="AX36" s="14" t="str">
        <f t="shared" si="11"/>
        <v>夏侯渊传记6-1</v>
      </c>
      <c r="AY36" s="14" t="str">
        <f t="shared" si="12"/>
        <v>夏侯渊传记6-1</v>
      </c>
      <c r="AZ36" s="14" t="str">
        <f t="shared" si="13"/>
        <v>夏侯渊碎片</v>
      </c>
      <c r="BA36" s="14" t="str">
        <f t="shared" si="14"/>
        <v>1~2</v>
      </c>
      <c r="BB36" s="14" t="str">
        <f t="shared" si="15"/>
        <v>夏侯渊专属武器碎片</v>
      </c>
      <c r="BC36" s="14">
        <f t="shared" si="16"/>
        <v>1</v>
      </c>
      <c r="BD36" s="96"/>
      <c r="BG36" s="97">
        <v>32</v>
      </c>
      <c r="BH36" s="14">
        <f t="shared" si="17"/>
        <v>4</v>
      </c>
      <c r="BI36" s="14">
        <f t="shared" si="18"/>
        <v>9</v>
      </c>
      <c r="BJ36" s="14">
        <f t="shared" si="19"/>
        <v>3032</v>
      </c>
      <c r="BK36" s="14" t="str">
        <f t="shared" si="20"/>
        <v>天使缇娜传记7-1</v>
      </c>
      <c r="BM36" s="14" t="str">
        <f t="shared" si="21"/>
        <v>天使缇娜传记7-1 天使缇娜碎片</v>
      </c>
      <c r="BN36" s="14" t="str">
        <f t="shared" si="22"/>
        <v>天使缇娜碎片</v>
      </c>
      <c r="BO36" s="14">
        <f t="shared" si="23"/>
        <v>1</v>
      </c>
      <c r="BP36" s="14">
        <f t="shared" si="24"/>
        <v>2</v>
      </c>
      <c r="BQ36" s="14">
        <v>10000</v>
      </c>
    </row>
    <row r="37" spans="35:69" ht="16.5" x14ac:dyDescent="0.2">
      <c r="AI37" s="96">
        <v>33</v>
      </c>
      <c r="AJ37" s="14">
        <f t="shared" si="0"/>
        <v>5</v>
      </c>
      <c r="AK37" s="14">
        <f t="shared" si="1"/>
        <v>200807</v>
      </c>
      <c r="AL37" s="14">
        <f t="shared" si="2"/>
        <v>2008</v>
      </c>
      <c r="AM37" s="96" t="s">
        <v>903</v>
      </c>
      <c r="AN37" s="14">
        <f t="shared" si="3"/>
        <v>7</v>
      </c>
      <c r="AO37" s="14">
        <f t="shared" si="27"/>
        <v>200808</v>
      </c>
      <c r="AP37" s="14" t="str">
        <f t="shared" si="5"/>
        <v>夏侯渊传记-7</v>
      </c>
      <c r="AQ37" s="14" t="str">
        <f t="shared" si="6"/>
        <v>夏侯渊传记-7</v>
      </c>
      <c r="AR37" s="14">
        <f t="shared" si="7"/>
        <v>100</v>
      </c>
      <c r="AS37" s="14">
        <f t="shared" si="8"/>
        <v>2</v>
      </c>
      <c r="AT37" s="98">
        <v>3</v>
      </c>
      <c r="AU37" s="99" t="s">
        <v>907</v>
      </c>
      <c r="AV37" s="14" t="str">
        <f t="shared" si="9"/>
        <v>KP_KM_1102008</v>
      </c>
      <c r="AW37" s="14">
        <f t="shared" si="10"/>
        <v>1102008</v>
      </c>
      <c r="AX37" s="14" t="str">
        <f t="shared" si="11"/>
        <v>夏侯渊传记7-1</v>
      </c>
      <c r="AY37" s="14" t="str">
        <f t="shared" si="12"/>
        <v>夏侯渊传记7-1</v>
      </c>
      <c r="AZ37" s="14" t="str">
        <f t="shared" si="13"/>
        <v>夏侯渊碎片</v>
      </c>
      <c r="BA37" s="14" t="str">
        <f t="shared" si="14"/>
        <v>1~2</v>
      </c>
      <c r="BB37" s="14" t="str">
        <f t="shared" si="15"/>
        <v>夏侯渊专属武器碎片</v>
      </c>
      <c r="BC37" s="14">
        <f t="shared" si="16"/>
        <v>1</v>
      </c>
      <c r="BD37" s="96"/>
      <c r="BG37" s="97">
        <v>33</v>
      </c>
      <c r="BH37" s="14">
        <f t="shared" si="17"/>
        <v>4</v>
      </c>
      <c r="BI37" s="14">
        <f t="shared" si="18"/>
        <v>10</v>
      </c>
      <c r="BJ37" s="14">
        <f t="shared" si="19"/>
        <v>3033</v>
      </c>
      <c r="BK37" s="14" t="str">
        <f t="shared" si="20"/>
        <v>天使缇娜传记7-2</v>
      </c>
      <c r="BM37" s="14" t="str">
        <f t="shared" si="21"/>
        <v>天使缇娜传记7-2 天使缇娜专属武器碎片</v>
      </c>
      <c r="BN37" s="14" t="str">
        <f t="shared" si="22"/>
        <v>天使缇娜专属武器碎片</v>
      </c>
      <c r="BO37" s="14">
        <f t="shared" si="23"/>
        <v>1</v>
      </c>
      <c r="BP37" s="14">
        <f t="shared" si="24"/>
        <v>1</v>
      </c>
      <c r="BQ37" s="14">
        <v>10000</v>
      </c>
    </row>
    <row r="38" spans="35:69" ht="16.5" x14ac:dyDescent="0.2">
      <c r="AI38" s="96">
        <v>34</v>
      </c>
      <c r="AJ38" s="14">
        <f t="shared" si="0"/>
        <v>5</v>
      </c>
      <c r="AK38" s="14">
        <f t="shared" si="1"/>
        <v>200808</v>
      </c>
      <c r="AL38" s="14">
        <f t="shared" si="2"/>
        <v>2008</v>
      </c>
      <c r="AM38" s="96" t="s">
        <v>903</v>
      </c>
      <c r="AN38" s="14">
        <f t="shared" si="3"/>
        <v>8</v>
      </c>
      <c r="AO38" s="14">
        <f t="shared" si="27"/>
        <v>-1</v>
      </c>
      <c r="AP38" s="14" t="str">
        <f t="shared" si="5"/>
        <v>夏侯渊传记-8</v>
      </c>
      <c r="AQ38" s="14" t="str">
        <f t="shared" si="6"/>
        <v>夏侯渊传记-8</v>
      </c>
      <c r="AR38" s="14">
        <f t="shared" si="7"/>
        <v>120</v>
      </c>
      <c r="AS38" s="14">
        <f t="shared" si="8"/>
        <v>2</v>
      </c>
      <c r="AT38" s="98">
        <v>3</v>
      </c>
      <c r="AU38" s="99" t="s">
        <v>907</v>
      </c>
      <c r="AV38" s="14" t="str">
        <f t="shared" si="9"/>
        <v>KP_KM_1102008</v>
      </c>
      <c r="AW38" s="14">
        <f t="shared" si="10"/>
        <v>1102008</v>
      </c>
      <c r="AX38" s="14" t="str">
        <f t="shared" si="11"/>
        <v>夏侯渊传记8-1</v>
      </c>
      <c r="AY38" s="14" t="str">
        <f t="shared" si="12"/>
        <v/>
      </c>
      <c r="AZ38" s="14" t="str">
        <f t="shared" si="13"/>
        <v>夏侯渊碎片</v>
      </c>
      <c r="BA38" s="14">
        <f t="shared" si="14"/>
        <v>2</v>
      </c>
      <c r="BB38" s="14" t="str">
        <f t="shared" si="15"/>
        <v/>
      </c>
      <c r="BC38" s="14" t="str">
        <f t="shared" si="16"/>
        <v/>
      </c>
      <c r="BD38" s="96"/>
      <c r="BG38" s="97">
        <v>34</v>
      </c>
      <c r="BH38" s="14">
        <f t="shared" si="17"/>
        <v>4</v>
      </c>
      <c r="BI38" s="14">
        <f t="shared" si="18"/>
        <v>11</v>
      </c>
      <c r="BJ38" s="14">
        <f t="shared" si="19"/>
        <v>3034</v>
      </c>
      <c r="BK38" s="14" t="str">
        <f t="shared" si="20"/>
        <v>天使缇娜传记8-1</v>
      </c>
      <c r="BM38" s="14" t="str">
        <f t="shared" si="21"/>
        <v>天使缇娜传记8-1 天使缇娜碎片</v>
      </c>
      <c r="BN38" s="14" t="str">
        <f t="shared" si="22"/>
        <v>天使缇娜碎片</v>
      </c>
      <c r="BO38" s="14">
        <f t="shared" si="23"/>
        <v>2</v>
      </c>
      <c r="BP38" s="14">
        <f t="shared" si="24"/>
        <v>2</v>
      </c>
      <c r="BQ38" s="14">
        <v>10000</v>
      </c>
    </row>
    <row r="39" spans="35:69" ht="16.5" x14ac:dyDescent="0.2">
      <c r="AI39" s="96">
        <v>35</v>
      </c>
      <c r="AJ39" s="14">
        <f t="shared" si="0"/>
        <v>6</v>
      </c>
      <c r="AK39" s="14">
        <f t="shared" si="1"/>
        <v>200901</v>
      </c>
      <c r="AL39" s="14">
        <f t="shared" si="2"/>
        <v>2009</v>
      </c>
      <c r="AM39" s="96" t="s">
        <v>903</v>
      </c>
      <c r="AN39" s="14">
        <f t="shared" si="3"/>
        <v>1</v>
      </c>
      <c r="AO39" s="14">
        <f t="shared" si="27"/>
        <v>200902</v>
      </c>
      <c r="AP39" s="14" t="str">
        <f t="shared" si="5"/>
        <v>徐晃传记-1</v>
      </c>
      <c r="AQ39" s="14" t="str">
        <f t="shared" si="6"/>
        <v>徐晃传记-1</v>
      </c>
      <c r="AR39" s="14">
        <f t="shared" si="7"/>
        <v>30</v>
      </c>
      <c r="AS39" s="14" t="str">
        <f t="shared" si="8"/>
        <v/>
      </c>
      <c r="AT39" s="98">
        <v>3</v>
      </c>
      <c r="AU39" s="99" t="s">
        <v>907</v>
      </c>
      <c r="AV39" s="14" t="str">
        <f t="shared" si="9"/>
        <v>KP_KM_1102009</v>
      </c>
      <c r="AW39" s="14">
        <f t="shared" si="10"/>
        <v>1102009</v>
      </c>
      <c r="AX39" s="14" t="str">
        <f t="shared" si="11"/>
        <v>徐晃传记1-1</v>
      </c>
      <c r="AY39" s="14" t="str">
        <f t="shared" si="12"/>
        <v/>
      </c>
      <c r="AZ39" s="14" t="str">
        <f t="shared" si="13"/>
        <v>徐晃碎片</v>
      </c>
      <c r="BA39" s="14">
        <f t="shared" si="14"/>
        <v>1</v>
      </c>
      <c r="BB39" s="14" t="str">
        <f t="shared" si="15"/>
        <v/>
      </c>
      <c r="BC39" s="14" t="str">
        <f t="shared" si="16"/>
        <v/>
      </c>
      <c r="BD39" s="96"/>
      <c r="BG39" s="97">
        <v>35</v>
      </c>
      <c r="BH39" s="14">
        <f t="shared" si="17"/>
        <v>5</v>
      </c>
      <c r="BI39" s="14">
        <f t="shared" si="18"/>
        <v>1</v>
      </c>
      <c r="BJ39" s="14">
        <f t="shared" si="19"/>
        <v>3035</v>
      </c>
      <c r="BK39" s="14" t="str">
        <f t="shared" si="20"/>
        <v>夏侯渊传记1-1</v>
      </c>
      <c r="BM39" s="14" t="str">
        <f t="shared" si="21"/>
        <v>夏侯渊传记1-1 夏侯渊碎片</v>
      </c>
      <c r="BN39" s="14" t="str">
        <f t="shared" si="22"/>
        <v>夏侯渊碎片</v>
      </c>
      <c r="BO39" s="14">
        <f t="shared" si="23"/>
        <v>1</v>
      </c>
      <c r="BP39" s="14">
        <f t="shared" si="24"/>
        <v>1</v>
      </c>
      <c r="BQ39" s="14">
        <v>10000</v>
      </c>
    </row>
    <row r="40" spans="35:69" ht="16.5" x14ac:dyDescent="0.2">
      <c r="AI40" s="96">
        <v>36</v>
      </c>
      <c r="AJ40" s="14">
        <f t="shared" si="0"/>
        <v>6</v>
      </c>
      <c r="AK40" s="14">
        <f t="shared" si="1"/>
        <v>200902</v>
      </c>
      <c r="AL40" s="14">
        <f t="shared" si="2"/>
        <v>2009</v>
      </c>
      <c r="AM40" s="96" t="s">
        <v>903</v>
      </c>
      <c r="AN40" s="14">
        <f t="shared" si="3"/>
        <v>2</v>
      </c>
      <c r="AO40" s="14">
        <f t="shared" si="27"/>
        <v>200903</v>
      </c>
      <c r="AP40" s="14" t="str">
        <f t="shared" si="5"/>
        <v>徐晃传记-2</v>
      </c>
      <c r="AQ40" s="14" t="str">
        <f t="shared" si="6"/>
        <v>徐晃传记-2</v>
      </c>
      <c r="AR40" s="14">
        <f t="shared" si="7"/>
        <v>40</v>
      </c>
      <c r="AS40" s="14" t="str">
        <f t="shared" si="8"/>
        <v/>
      </c>
      <c r="AT40" s="98">
        <v>3</v>
      </c>
      <c r="AU40" s="99" t="s">
        <v>907</v>
      </c>
      <c r="AV40" s="14" t="str">
        <f t="shared" si="9"/>
        <v>KP_KM_1102009</v>
      </c>
      <c r="AW40" s="14">
        <f t="shared" si="10"/>
        <v>1102009</v>
      </c>
      <c r="AX40" s="14" t="str">
        <f t="shared" si="11"/>
        <v>徐晃传记2-1</v>
      </c>
      <c r="AY40" s="14" t="str">
        <f t="shared" si="12"/>
        <v/>
      </c>
      <c r="AZ40" s="14" t="str">
        <f t="shared" si="13"/>
        <v>徐晃碎片</v>
      </c>
      <c r="BA40" s="14">
        <f t="shared" si="14"/>
        <v>1</v>
      </c>
      <c r="BB40" s="14" t="str">
        <f t="shared" si="15"/>
        <v/>
      </c>
      <c r="BC40" s="14" t="str">
        <f t="shared" si="16"/>
        <v/>
      </c>
      <c r="BD40" s="96"/>
      <c r="BG40" s="97">
        <v>36</v>
      </c>
      <c r="BH40" s="14">
        <f t="shared" si="17"/>
        <v>5</v>
      </c>
      <c r="BI40" s="14">
        <f t="shared" si="18"/>
        <v>2</v>
      </c>
      <c r="BJ40" s="14">
        <f t="shared" si="19"/>
        <v>3036</v>
      </c>
      <c r="BK40" s="14" t="str">
        <f t="shared" si="20"/>
        <v>夏侯渊传记2-1</v>
      </c>
      <c r="BM40" s="14" t="str">
        <f t="shared" si="21"/>
        <v>夏侯渊传记2-1 夏侯渊碎片</v>
      </c>
      <c r="BN40" s="14" t="str">
        <f t="shared" si="22"/>
        <v>夏侯渊碎片</v>
      </c>
      <c r="BO40" s="14">
        <f t="shared" si="23"/>
        <v>1</v>
      </c>
      <c r="BP40" s="14">
        <f t="shared" si="24"/>
        <v>1</v>
      </c>
      <c r="BQ40" s="14">
        <v>10000</v>
      </c>
    </row>
    <row r="41" spans="35:69" ht="16.5" x14ac:dyDescent="0.2">
      <c r="AI41" s="96">
        <v>37</v>
      </c>
      <c r="AJ41" s="14">
        <f t="shared" si="0"/>
        <v>6</v>
      </c>
      <c r="AK41" s="14">
        <f t="shared" si="1"/>
        <v>200903</v>
      </c>
      <c r="AL41" s="14">
        <f t="shared" si="2"/>
        <v>2009</v>
      </c>
      <c r="AM41" s="96" t="s">
        <v>903</v>
      </c>
      <c r="AN41" s="14">
        <f t="shared" si="3"/>
        <v>3</v>
      </c>
      <c r="AO41" s="14">
        <f t="shared" si="27"/>
        <v>200904</v>
      </c>
      <c r="AP41" s="14" t="str">
        <f t="shared" si="5"/>
        <v>徐晃传记-3</v>
      </c>
      <c r="AQ41" s="14" t="str">
        <f t="shared" si="6"/>
        <v>徐晃传记-3</v>
      </c>
      <c r="AR41" s="14">
        <f t="shared" si="7"/>
        <v>55</v>
      </c>
      <c r="AS41" s="14" t="str">
        <f t="shared" si="8"/>
        <v/>
      </c>
      <c r="AT41" s="98">
        <v>3</v>
      </c>
      <c r="AU41" s="99" t="s">
        <v>907</v>
      </c>
      <c r="AV41" s="14" t="str">
        <f t="shared" si="9"/>
        <v>KP_KM_1102009</v>
      </c>
      <c r="AW41" s="14">
        <f t="shared" si="10"/>
        <v>1102009</v>
      </c>
      <c r="AX41" s="14" t="str">
        <f t="shared" si="11"/>
        <v>徐晃传记3-1</v>
      </c>
      <c r="AY41" s="14" t="str">
        <f t="shared" si="12"/>
        <v/>
      </c>
      <c r="AZ41" s="14" t="str">
        <f t="shared" si="13"/>
        <v>徐晃碎片</v>
      </c>
      <c r="BA41" s="14" t="str">
        <f t="shared" si="14"/>
        <v>1~2</v>
      </c>
      <c r="BB41" s="14" t="str">
        <f t="shared" si="15"/>
        <v/>
      </c>
      <c r="BC41" s="14" t="str">
        <f t="shared" si="16"/>
        <v/>
      </c>
      <c r="BD41" s="96"/>
      <c r="BG41" s="97">
        <v>37</v>
      </c>
      <c r="BH41" s="14">
        <f t="shared" si="17"/>
        <v>5</v>
      </c>
      <c r="BI41" s="14">
        <f t="shared" si="18"/>
        <v>3</v>
      </c>
      <c r="BJ41" s="14">
        <f t="shared" si="19"/>
        <v>3037</v>
      </c>
      <c r="BK41" s="14" t="str">
        <f t="shared" si="20"/>
        <v>夏侯渊传记3-1</v>
      </c>
      <c r="BM41" s="14" t="str">
        <f t="shared" si="21"/>
        <v>夏侯渊传记3-1 夏侯渊碎片</v>
      </c>
      <c r="BN41" s="14" t="str">
        <f t="shared" si="22"/>
        <v>夏侯渊碎片</v>
      </c>
      <c r="BO41" s="14">
        <f t="shared" si="23"/>
        <v>1</v>
      </c>
      <c r="BP41" s="14">
        <f t="shared" si="24"/>
        <v>2</v>
      </c>
      <c r="BQ41" s="14">
        <v>10000</v>
      </c>
    </row>
    <row r="42" spans="35:69" ht="16.5" x14ac:dyDescent="0.2">
      <c r="AI42" s="96">
        <v>38</v>
      </c>
      <c r="AJ42" s="14">
        <f t="shared" si="0"/>
        <v>6</v>
      </c>
      <c r="AK42" s="14">
        <f t="shared" si="1"/>
        <v>200904</v>
      </c>
      <c r="AL42" s="14">
        <f t="shared" si="2"/>
        <v>2009</v>
      </c>
      <c r="AM42" s="96" t="s">
        <v>903</v>
      </c>
      <c r="AN42" s="14">
        <f t="shared" si="3"/>
        <v>4</v>
      </c>
      <c r="AO42" s="14">
        <f t="shared" si="27"/>
        <v>200905</v>
      </c>
      <c r="AP42" s="14" t="str">
        <f t="shared" si="5"/>
        <v>徐晃传记-4</v>
      </c>
      <c r="AQ42" s="14" t="str">
        <f t="shared" si="6"/>
        <v>徐晃传记-4</v>
      </c>
      <c r="AR42" s="14">
        <f t="shared" si="7"/>
        <v>70</v>
      </c>
      <c r="AS42" s="14" t="str">
        <f t="shared" si="8"/>
        <v/>
      </c>
      <c r="AT42" s="98">
        <v>3</v>
      </c>
      <c r="AU42" s="99" t="s">
        <v>907</v>
      </c>
      <c r="AV42" s="14" t="str">
        <f t="shared" si="9"/>
        <v>KP_KM_1102009</v>
      </c>
      <c r="AW42" s="14">
        <f t="shared" si="10"/>
        <v>1102009</v>
      </c>
      <c r="AX42" s="14" t="str">
        <f t="shared" si="11"/>
        <v>徐晃传记4-1</v>
      </c>
      <c r="AY42" s="14" t="str">
        <f t="shared" si="12"/>
        <v/>
      </c>
      <c r="AZ42" s="14" t="str">
        <f t="shared" si="13"/>
        <v>徐晃专属武器碎片</v>
      </c>
      <c r="BA42" s="14">
        <f t="shared" si="14"/>
        <v>1</v>
      </c>
      <c r="BB42" s="14" t="str">
        <f t="shared" si="15"/>
        <v/>
      </c>
      <c r="BC42" s="14" t="str">
        <f t="shared" si="16"/>
        <v/>
      </c>
      <c r="BD42" s="96"/>
      <c r="BG42" s="97">
        <v>38</v>
      </c>
      <c r="BH42" s="14">
        <f t="shared" si="17"/>
        <v>5</v>
      </c>
      <c r="BI42" s="14">
        <f t="shared" si="18"/>
        <v>4</v>
      </c>
      <c r="BJ42" s="14">
        <f t="shared" si="19"/>
        <v>3038</v>
      </c>
      <c r="BK42" s="14" t="str">
        <f t="shared" si="20"/>
        <v>夏侯渊传记4-1</v>
      </c>
      <c r="BM42" s="14" t="str">
        <f t="shared" si="21"/>
        <v>夏侯渊传记4-1 夏侯渊专属武器碎片</v>
      </c>
      <c r="BN42" s="14" t="str">
        <f t="shared" si="22"/>
        <v>夏侯渊专属武器碎片</v>
      </c>
      <c r="BO42" s="14">
        <f t="shared" si="23"/>
        <v>1</v>
      </c>
      <c r="BP42" s="14">
        <f t="shared" si="24"/>
        <v>1</v>
      </c>
      <c r="BQ42" s="14">
        <v>10000</v>
      </c>
    </row>
    <row r="43" spans="35:69" ht="16.5" x14ac:dyDescent="0.2">
      <c r="AI43" s="96">
        <v>39</v>
      </c>
      <c r="AJ43" s="14">
        <f t="shared" si="0"/>
        <v>6</v>
      </c>
      <c r="AK43" s="14">
        <f t="shared" si="1"/>
        <v>200905</v>
      </c>
      <c r="AL43" s="14">
        <f t="shared" si="2"/>
        <v>2009</v>
      </c>
      <c r="AM43" s="96" t="s">
        <v>903</v>
      </c>
      <c r="AN43" s="14">
        <f t="shared" si="3"/>
        <v>5</v>
      </c>
      <c r="AO43" s="14">
        <f t="shared" si="27"/>
        <v>-1</v>
      </c>
      <c r="AP43" s="14" t="str">
        <f t="shared" si="5"/>
        <v>徐晃传记-5</v>
      </c>
      <c r="AQ43" s="14" t="str">
        <f t="shared" si="6"/>
        <v>徐晃传记-5</v>
      </c>
      <c r="AR43" s="14">
        <f t="shared" si="7"/>
        <v>80</v>
      </c>
      <c r="AS43" s="14" t="str">
        <f t="shared" si="8"/>
        <v/>
      </c>
      <c r="AT43" s="98">
        <v>3</v>
      </c>
      <c r="AU43" s="99" t="s">
        <v>907</v>
      </c>
      <c r="AV43" s="14" t="str">
        <f t="shared" si="9"/>
        <v>KP_KM_1102009</v>
      </c>
      <c r="AW43" s="14">
        <f t="shared" si="10"/>
        <v>1102009</v>
      </c>
      <c r="AX43" s="14" t="str">
        <f t="shared" si="11"/>
        <v>徐晃传记5-1</v>
      </c>
      <c r="AY43" s="14" t="str">
        <f t="shared" si="12"/>
        <v>徐晃传记5-1</v>
      </c>
      <c r="AZ43" s="14" t="str">
        <f t="shared" si="13"/>
        <v>徐晃碎片</v>
      </c>
      <c r="BA43" s="14" t="str">
        <f t="shared" si="14"/>
        <v>1~2</v>
      </c>
      <c r="BB43" s="14" t="str">
        <f t="shared" si="15"/>
        <v>徐晃专属武器碎片</v>
      </c>
      <c r="BC43" s="14">
        <f t="shared" si="16"/>
        <v>1</v>
      </c>
      <c r="BD43" s="96"/>
      <c r="BG43" s="97">
        <v>39</v>
      </c>
      <c r="BH43" s="14">
        <f t="shared" si="17"/>
        <v>5</v>
      </c>
      <c r="BI43" s="14">
        <f t="shared" si="18"/>
        <v>5</v>
      </c>
      <c r="BJ43" s="14">
        <f t="shared" si="19"/>
        <v>3039</v>
      </c>
      <c r="BK43" s="14" t="str">
        <f t="shared" si="20"/>
        <v>夏侯渊传记5-1</v>
      </c>
      <c r="BM43" s="14" t="str">
        <f t="shared" si="21"/>
        <v>夏侯渊传记5-1 夏侯渊碎片</v>
      </c>
      <c r="BN43" s="14" t="str">
        <f t="shared" si="22"/>
        <v>夏侯渊碎片</v>
      </c>
      <c r="BO43" s="14">
        <f t="shared" si="23"/>
        <v>1</v>
      </c>
      <c r="BP43" s="14">
        <f t="shared" si="24"/>
        <v>2</v>
      </c>
      <c r="BQ43" s="14">
        <v>10000</v>
      </c>
    </row>
    <row r="44" spans="35:69" ht="16.5" x14ac:dyDescent="0.2">
      <c r="AI44" s="96">
        <v>40</v>
      </c>
      <c r="AJ44" s="14">
        <f t="shared" si="0"/>
        <v>7</v>
      </c>
      <c r="AK44" s="14">
        <f t="shared" si="1"/>
        <v>201001</v>
      </c>
      <c r="AL44" s="14">
        <f t="shared" si="2"/>
        <v>2010</v>
      </c>
      <c r="AM44" s="96" t="s">
        <v>903</v>
      </c>
      <c r="AN44" s="14">
        <f t="shared" si="3"/>
        <v>1</v>
      </c>
      <c r="AO44" s="14">
        <f t="shared" si="27"/>
        <v>201002</v>
      </c>
      <c r="AP44" s="14" t="str">
        <f t="shared" si="5"/>
        <v>张郃传记-1</v>
      </c>
      <c r="AQ44" s="14" t="str">
        <f t="shared" si="6"/>
        <v>张郃传记-1</v>
      </c>
      <c r="AR44" s="14">
        <f t="shared" si="7"/>
        <v>30</v>
      </c>
      <c r="AS44" s="14" t="str">
        <f t="shared" si="8"/>
        <v/>
      </c>
      <c r="AT44" s="98">
        <v>3</v>
      </c>
      <c r="AU44" s="99" t="s">
        <v>907</v>
      </c>
      <c r="AV44" s="14" t="str">
        <f t="shared" si="9"/>
        <v>KP_KM_1102010</v>
      </c>
      <c r="AW44" s="14">
        <f t="shared" si="10"/>
        <v>1102010</v>
      </c>
      <c r="AX44" s="14" t="str">
        <f t="shared" si="11"/>
        <v>张郃传记1-1</v>
      </c>
      <c r="AY44" s="14" t="str">
        <f t="shared" si="12"/>
        <v/>
      </c>
      <c r="AZ44" s="14" t="str">
        <f t="shared" si="13"/>
        <v>张郃碎片</v>
      </c>
      <c r="BA44" s="14">
        <f t="shared" si="14"/>
        <v>1</v>
      </c>
      <c r="BB44" s="14" t="str">
        <f t="shared" si="15"/>
        <v/>
      </c>
      <c r="BC44" s="14" t="str">
        <f t="shared" si="16"/>
        <v/>
      </c>
      <c r="BD44" s="96"/>
      <c r="BG44" s="97">
        <v>40</v>
      </c>
      <c r="BH44" s="14">
        <f t="shared" si="17"/>
        <v>5</v>
      </c>
      <c r="BI44" s="14">
        <f t="shared" si="18"/>
        <v>6</v>
      </c>
      <c r="BJ44" s="14">
        <f t="shared" si="19"/>
        <v>3040</v>
      </c>
      <c r="BK44" s="14" t="str">
        <f t="shared" si="20"/>
        <v>夏侯渊传记5-2</v>
      </c>
      <c r="BM44" s="14" t="str">
        <f t="shared" si="21"/>
        <v>夏侯渊传记5-2 夏侯渊专属武器碎片</v>
      </c>
      <c r="BN44" s="14" t="str">
        <f t="shared" si="22"/>
        <v>夏侯渊专属武器碎片</v>
      </c>
      <c r="BO44" s="14">
        <f t="shared" si="23"/>
        <v>1</v>
      </c>
      <c r="BP44" s="14">
        <f t="shared" si="24"/>
        <v>1</v>
      </c>
      <c r="BQ44" s="14">
        <v>10000</v>
      </c>
    </row>
    <row r="45" spans="35:69" ht="16.5" x14ac:dyDescent="0.2">
      <c r="AI45" s="96">
        <v>41</v>
      </c>
      <c r="AJ45" s="14">
        <f t="shared" si="0"/>
        <v>7</v>
      </c>
      <c r="AK45" s="14">
        <f t="shared" si="1"/>
        <v>201002</v>
      </c>
      <c r="AL45" s="14">
        <f t="shared" si="2"/>
        <v>2010</v>
      </c>
      <c r="AM45" s="96" t="s">
        <v>903</v>
      </c>
      <c r="AN45" s="14">
        <f t="shared" si="3"/>
        <v>2</v>
      </c>
      <c r="AO45" s="14">
        <f t="shared" si="27"/>
        <v>201003</v>
      </c>
      <c r="AP45" s="14" t="str">
        <f t="shared" si="5"/>
        <v>张郃传记-2</v>
      </c>
      <c r="AQ45" s="14" t="str">
        <f t="shared" si="6"/>
        <v>张郃传记-2</v>
      </c>
      <c r="AR45" s="14">
        <f t="shared" si="7"/>
        <v>40</v>
      </c>
      <c r="AS45" s="14" t="str">
        <f t="shared" si="8"/>
        <v/>
      </c>
      <c r="AT45" s="98">
        <v>3</v>
      </c>
      <c r="AU45" s="99" t="s">
        <v>907</v>
      </c>
      <c r="AV45" s="14" t="str">
        <f t="shared" si="9"/>
        <v>KP_KM_1102010</v>
      </c>
      <c r="AW45" s="14">
        <f t="shared" si="10"/>
        <v>1102010</v>
      </c>
      <c r="AX45" s="14" t="str">
        <f t="shared" si="11"/>
        <v>张郃传记2-1</v>
      </c>
      <c r="AY45" s="14" t="str">
        <f t="shared" si="12"/>
        <v/>
      </c>
      <c r="AZ45" s="14" t="str">
        <f t="shared" si="13"/>
        <v>张郃碎片</v>
      </c>
      <c r="BA45" s="14">
        <f t="shared" si="14"/>
        <v>1</v>
      </c>
      <c r="BB45" s="14" t="str">
        <f t="shared" si="15"/>
        <v/>
      </c>
      <c r="BC45" s="14" t="str">
        <f t="shared" si="16"/>
        <v/>
      </c>
      <c r="BD45" s="96"/>
      <c r="BG45" s="97">
        <v>41</v>
      </c>
      <c r="BH45" s="14">
        <f t="shared" si="17"/>
        <v>5</v>
      </c>
      <c r="BI45" s="14">
        <f t="shared" si="18"/>
        <v>7</v>
      </c>
      <c r="BJ45" s="14">
        <f t="shared" si="19"/>
        <v>3041</v>
      </c>
      <c r="BK45" s="14" t="str">
        <f t="shared" si="20"/>
        <v>夏侯渊传记6-1</v>
      </c>
      <c r="BM45" s="14" t="str">
        <f t="shared" si="21"/>
        <v>夏侯渊传记6-1 夏侯渊碎片</v>
      </c>
      <c r="BN45" s="14" t="str">
        <f t="shared" si="22"/>
        <v>夏侯渊碎片</v>
      </c>
      <c r="BO45" s="14">
        <f t="shared" si="23"/>
        <v>1</v>
      </c>
      <c r="BP45" s="14">
        <f t="shared" si="24"/>
        <v>2</v>
      </c>
      <c r="BQ45" s="14">
        <v>10000</v>
      </c>
    </row>
    <row r="46" spans="35:69" ht="16.5" x14ac:dyDescent="0.2">
      <c r="AI46" s="96">
        <v>42</v>
      </c>
      <c r="AJ46" s="14">
        <f t="shared" si="0"/>
        <v>7</v>
      </c>
      <c r="AK46" s="14">
        <f t="shared" si="1"/>
        <v>201003</v>
      </c>
      <c r="AL46" s="14">
        <f t="shared" si="2"/>
        <v>2010</v>
      </c>
      <c r="AM46" s="96" t="s">
        <v>903</v>
      </c>
      <c r="AN46" s="14">
        <f t="shared" si="3"/>
        <v>3</v>
      </c>
      <c r="AO46" s="14">
        <f t="shared" si="27"/>
        <v>201004</v>
      </c>
      <c r="AP46" s="14" t="str">
        <f t="shared" si="5"/>
        <v>张郃传记-3</v>
      </c>
      <c r="AQ46" s="14" t="str">
        <f t="shared" si="6"/>
        <v>张郃传记-3</v>
      </c>
      <c r="AR46" s="14">
        <f t="shared" si="7"/>
        <v>55</v>
      </c>
      <c r="AS46" s="14" t="str">
        <f t="shared" si="8"/>
        <v/>
      </c>
      <c r="AT46" s="98">
        <v>3</v>
      </c>
      <c r="AU46" s="99" t="s">
        <v>907</v>
      </c>
      <c r="AV46" s="14" t="str">
        <f t="shared" si="9"/>
        <v>KP_KM_1102010</v>
      </c>
      <c r="AW46" s="14">
        <f t="shared" si="10"/>
        <v>1102010</v>
      </c>
      <c r="AX46" s="14" t="str">
        <f t="shared" si="11"/>
        <v>张郃传记3-1</v>
      </c>
      <c r="AY46" s="14" t="str">
        <f t="shared" si="12"/>
        <v/>
      </c>
      <c r="AZ46" s="14" t="str">
        <f t="shared" si="13"/>
        <v>张郃碎片</v>
      </c>
      <c r="BA46" s="14" t="str">
        <f t="shared" si="14"/>
        <v>1~2</v>
      </c>
      <c r="BB46" s="14" t="str">
        <f t="shared" si="15"/>
        <v/>
      </c>
      <c r="BC46" s="14" t="str">
        <f t="shared" si="16"/>
        <v/>
      </c>
      <c r="BD46" s="96"/>
      <c r="BG46" s="97">
        <v>42</v>
      </c>
      <c r="BH46" s="14">
        <f t="shared" si="17"/>
        <v>5</v>
      </c>
      <c r="BI46" s="14">
        <f t="shared" si="18"/>
        <v>8</v>
      </c>
      <c r="BJ46" s="14">
        <f t="shared" si="19"/>
        <v>3042</v>
      </c>
      <c r="BK46" s="14" t="str">
        <f t="shared" si="20"/>
        <v>夏侯渊传记6-2</v>
      </c>
      <c r="BM46" s="14" t="str">
        <f t="shared" si="21"/>
        <v>夏侯渊传记6-2 夏侯渊专属武器碎片</v>
      </c>
      <c r="BN46" s="14" t="str">
        <f t="shared" si="22"/>
        <v>夏侯渊专属武器碎片</v>
      </c>
      <c r="BO46" s="14">
        <f t="shared" si="23"/>
        <v>1</v>
      </c>
      <c r="BP46" s="14">
        <f t="shared" si="24"/>
        <v>1</v>
      </c>
      <c r="BQ46" s="14">
        <v>10000</v>
      </c>
    </row>
    <row r="47" spans="35:69" ht="16.5" x14ac:dyDescent="0.2">
      <c r="AI47" s="96">
        <v>43</v>
      </c>
      <c r="AJ47" s="14">
        <f t="shared" si="0"/>
        <v>7</v>
      </c>
      <c r="AK47" s="14">
        <f t="shared" si="1"/>
        <v>201004</v>
      </c>
      <c r="AL47" s="14">
        <f t="shared" si="2"/>
        <v>2010</v>
      </c>
      <c r="AM47" s="96" t="s">
        <v>903</v>
      </c>
      <c r="AN47" s="14">
        <f t="shared" si="3"/>
        <v>4</v>
      </c>
      <c r="AO47" s="14">
        <f t="shared" si="27"/>
        <v>201005</v>
      </c>
      <c r="AP47" s="14" t="str">
        <f t="shared" si="5"/>
        <v>张郃传记-4</v>
      </c>
      <c r="AQ47" s="14" t="str">
        <f t="shared" si="6"/>
        <v>张郃传记-4</v>
      </c>
      <c r="AR47" s="14">
        <f t="shared" si="7"/>
        <v>70</v>
      </c>
      <c r="AS47" s="14" t="str">
        <f t="shared" si="8"/>
        <v/>
      </c>
      <c r="AT47" s="98">
        <v>3</v>
      </c>
      <c r="AU47" s="99" t="s">
        <v>907</v>
      </c>
      <c r="AV47" s="14" t="str">
        <f t="shared" si="9"/>
        <v>KP_KM_1102010</v>
      </c>
      <c r="AW47" s="14">
        <f t="shared" si="10"/>
        <v>1102010</v>
      </c>
      <c r="AX47" s="14" t="str">
        <f t="shared" si="11"/>
        <v>张郃传记4-1</v>
      </c>
      <c r="AY47" s="14" t="str">
        <f t="shared" si="12"/>
        <v/>
      </c>
      <c r="AZ47" s="14" t="str">
        <f t="shared" si="13"/>
        <v>张郃专属武器碎片</v>
      </c>
      <c r="BA47" s="14">
        <f t="shared" si="14"/>
        <v>1</v>
      </c>
      <c r="BB47" s="14" t="str">
        <f t="shared" si="15"/>
        <v/>
      </c>
      <c r="BC47" s="14" t="str">
        <f t="shared" si="16"/>
        <v/>
      </c>
      <c r="BD47" s="96"/>
      <c r="BG47" s="97">
        <v>43</v>
      </c>
      <c r="BH47" s="14">
        <f t="shared" si="17"/>
        <v>5</v>
      </c>
      <c r="BI47" s="14">
        <f t="shared" si="18"/>
        <v>9</v>
      </c>
      <c r="BJ47" s="14">
        <f t="shared" si="19"/>
        <v>3043</v>
      </c>
      <c r="BK47" s="14" t="str">
        <f t="shared" si="20"/>
        <v>夏侯渊传记7-1</v>
      </c>
      <c r="BM47" s="14" t="str">
        <f t="shared" si="21"/>
        <v>夏侯渊传记7-1 夏侯渊碎片</v>
      </c>
      <c r="BN47" s="14" t="str">
        <f t="shared" si="22"/>
        <v>夏侯渊碎片</v>
      </c>
      <c r="BO47" s="14">
        <f t="shared" si="23"/>
        <v>1</v>
      </c>
      <c r="BP47" s="14">
        <f t="shared" si="24"/>
        <v>2</v>
      </c>
      <c r="BQ47" s="14">
        <v>10000</v>
      </c>
    </row>
    <row r="48" spans="35:69" ht="16.5" x14ac:dyDescent="0.2">
      <c r="AI48" s="96">
        <v>44</v>
      </c>
      <c r="AJ48" s="14">
        <f t="shared" si="0"/>
        <v>7</v>
      </c>
      <c r="AK48" s="14">
        <f t="shared" si="1"/>
        <v>201005</v>
      </c>
      <c r="AL48" s="14">
        <f t="shared" si="2"/>
        <v>2010</v>
      </c>
      <c r="AM48" s="96" t="s">
        <v>903</v>
      </c>
      <c r="AN48" s="14">
        <f t="shared" si="3"/>
        <v>5</v>
      </c>
      <c r="AO48" s="14">
        <f t="shared" si="27"/>
        <v>201006</v>
      </c>
      <c r="AP48" s="14" t="str">
        <f t="shared" si="5"/>
        <v>张郃传记-5</v>
      </c>
      <c r="AQ48" s="14" t="str">
        <f t="shared" si="6"/>
        <v>张郃传记-5</v>
      </c>
      <c r="AR48" s="14">
        <f t="shared" si="7"/>
        <v>80</v>
      </c>
      <c r="AS48" s="14" t="str">
        <f t="shared" si="8"/>
        <v/>
      </c>
      <c r="AT48" s="98">
        <v>3</v>
      </c>
      <c r="AU48" s="99" t="s">
        <v>907</v>
      </c>
      <c r="AV48" s="14" t="str">
        <f t="shared" si="9"/>
        <v>KP_KM_1102010</v>
      </c>
      <c r="AW48" s="14">
        <f t="shared" si="10"/>
        <v>1102010</v>
      </c>
      <c r="AX48" s="14" t="str">
        <f t="shared" si="11"/>
        <v>张郃传记5-1</v>
      </c>
      <c r="AY48" s="14" t="str">
        <f t="shared" si="12"/>
        <v>张郃传记5-1</v>
      </c>
      <c r="AZ48" s="14" t="str">
        <f t="shared" si="13"/>
        <v>张郃碎片</v>
      </c>
      <c r="BA48" s="14" t="str">
        <f t="shared" si="14"/>
        <v>1~2</v>
      </c>
      <c r="BB48" s="14" t="str">
        <f t="shared" si="15"/>
        <v>张郃专属武器碎片</v>
      </c>
      <c r="BC48" s="14">
        <f t="shared" si="16"/>
        <v>1</v>
      </c>
      <c r="BD48" s="96"/>
      <c r="BG48" s="97">
        <v>44</v>
      </c>
      <c r="BH48" s="14">
        <f t="shared" si="17"/>
        <v>5</v>
      </c>
      <c r="BI48" s="14">
        <f t="shared" si="18"/>
        <v>10</v>
      </c>
      <c r="BJ48" s="14">
        <f t="shared" si="19"/>
        <v>3044</v>
      </c>
      <c r="BK48" s="14" t="str">
        <f t="shared" si="20"/>
        <v>夏侯渊传记7-2</v>
      </c>
      <c r="BM48" s="14" t="str">
        <f t="shared" si="21"/>
        <v>夏侯渊传记7-2 夏侯渊专属武器碎片</v>
      </c>
      <c r="BN48" s="14" t="str">
        <f t="shared" si="22"/>
        <v>夏侯渊专属武器碎片</v>
      </c>
      <c r="BO48" s="14">
        <f t="shared" si="23"/>
        <v>1</v>
      </c>
      <c r="BP48" s="14">
        <f t="shared" si="24"/>
        <v>1</v>
      </c>
      <c r="BQ48" s="14">
        <v>10000</v>
      </c>
    </row>
    <row r="49" spans="35:69" ht="16.5" x14ac:dyDescent="0.2">
      <c r="AI49" s="96">
        <v>45</v>
      </c>
      <c r="AJ49" s="14">
        <f t="shared" si="0"/>
        <v>7</v>
      </c>
      <c r="AK49" s="14">
        <f t="shared" si="1"/>
        <v>201006</v>
      </c>
      <c r="AL49" s="14">
        <f t="shared" si="2"/>
        <v>2010</v>
      </c>
      <c r="AM49" s="96" t="s">
        <v>903</v>
      </c>
      <c r="AN49" s="14">
        <f t="shared" si="3"/>
        <v>6</v>
      </c>
      <c r="AO49" s="14">
        <f t="shared" si="27"/>
        <v>201007</v>
      </c>
      <c r="AP49" s="14" t="str">
        <f t="shared" si="5"/>
        <v>张郃传记-6</v>
      </c>
      <c r="AQ49" s="14" t="str">
        <f t="shared" si="6"/>
        <v>张郃传记-6</v>
      </c>
      <c r="AR49" s="14">
        <f t="shared" si="7"/>
        <v>90</v>
      </c>
      <c r="AS49" s="14">
        <f t="shared" si="8"/>
        <v>2</v>
      </c>
      <c r="AT49" s="98">
        <v>3</v>
      </c>
      <c r="AU49" s="99" t="s">
        <v>907</v>
      </c>
      <c r="AV49" s="14" t="str">
        <f t="shared" si="9"/>
        <v>KP_KM_1102010</v>
      </c>
      <c r="AW49" s="14">
        <f t="shared" si="10"/>
        <v>1102010</v>
      </c>
      <c r="AX49" s="14" t="str">
        <f t="shared" si="11"/>
        <v>张郃传记6-1</v>
      </c>
      <c r="AY49" s="14" t="str">
        <f t="shared" si="12"/>
        <v>张郃传记6-1</v>
      </c>
      <c r="AZ49" s="14" t="str">
        <f t="shared" si="13"/>
        <v>张郃碎片</v>
      </c>
      <c r="BA49" s="14" t="str">
        <f t="shared" si="14"/>
        <v>1~2</v>
      </c>
      <c r="BB49" s="14" t="str">
        <f t="shared" si="15"/>
        <v>张郃专属武器碎片</v>
      </c>
      <c r="BC49" s="14">
        <f t="shared" si="16"/>
        <v>1</v>
      </c>
      <c r="BD49" s="96"/>
      <c r="BG49" s="97">
        <v>45</v>
      </c>
      <c r="BH49" s="14">
        <f t="shared" si="17"/>
        <v>5</v>
      </c>
      <c r="BI49" s="14">
        <f t="shared" si="18"/>
        <v>11</v>
      </c>
      <c r="BJ49" s="14">
        <f t="shared" si="19"/>
        <v>3045</v>
      </c>
      <c r="BK49" s="14" t="str">
        <f t="shared" si="20"/>
        <v>夏侯渊传记8-1</v>
      </c>
      <c r="BM49" s="14" t="str">
        <f t="shared" si="21"/>
        <v>夏侯渊传记8-1 夏侯渊碎片</v>
      </c>
      <c r="BN49" s="14" t="str">
        <f t="shared" si="22"/>
        <v>夏侯渊碎片</v>
      </c>
      <c r="BO49" s="14">
        <f t="shared" si="23"/>
        <v>2</v>
      </c>
      <c r="BP49" s="14">
        <f t="shared" si="24"/>
        <v>2</v>
      </c>
      <c r="BQ49" s="14">
        <v>10000</v>
      </c>
    </row>
    <row r="50" spans="35:69" ht="16.5" x14ac:dyDescent="0.2">
      <c r="AI50" s="96">
        <v>46</v>
      </c>
      <c r="AJ50" s="14">
        <f t="shared" si="0"/>
        <v>7</v>
      </c>
      <c r="AK50" s="14">
        <f t="shared" si="1"/>
        <v>201007</v>
      </c>
      <c r="AL50" s="14">
        <f t="shared" si="2"/>
        <v>2010</v>
      </c>
      <c r="AM50" s="96" t="s">
        <v>903</v>
      </c>
      <c r="AN50" s="14">
        <f t="shared" si="3"/>
        <v>7</v>
      </c>
      <c r="AO50" s="14">
        <f t="shared" si="27"/>
        <v>201008</v>
      </c>
      <c r="AP50" s="14" t="str">
        <f t="shared" si="5"/>
        <v>张郃传记-7</v>
      </c>
      <c r="AQ50" s="14" t="str">
        <f t="shared" si="6"/>
        <v>张郃传记-7</v>
      </c>
      <c r="AR50" s="14">
        <f t="shared" si="7"/>
        <v>100</v>
      </c>
      <c r="AS50" s="14">
        <f t="shared" si="8"/>
        <v>2</v>
      </c>
      <c r="AT50" s="98">
        <v>3</v>
      </c>
      <c r="AU50" s="99" t="s">
        <v>907</v>
      </c>
      <c r="AV50" s="14" t="str">
        <f t="shared" si="9"/>
        <v>KP_KM_1102010</v>
      </c>
      <c r="AW50" s="14">
        <f t="shared" si="10"/>
        <v>1102010</v>
      </c>
      <c r="AX50" s="14" t="str">
        <f t="shared" si="11"/>
        <v>张郃传记7-1</v>
      </c>
      <c r="AY50" s="14" t="str">
        <f t="shared" si="12"/>
        <v>张郃传记7-1</v>
      </c>
      <c r="AZ50" s="14" t="str">
        <f t="shared" si="13"/>
        <v>张郃碎片</v>
      </c>
      <c r="BA50" s="14" t="str">
        <f t="shared" si="14"/>
        <v>1~2</v>
      </c>
      <c r="BB50" s="14" t="str">
        <f t="shared" si="15"/>
        <v>张郃专属武器碎片</v>
      </c>
      <c r="BC50" s="14">
        <f t="shared" si="16"/>
        <v>1</v>
      </c>
      <c r="BD50" s="96"/>
      <c r="BG50" s="97">
        <v>46</v>
      </c>
      <c r="BH50" s="14">
        <f t="shared" si="17"/>
        <v>6</v>
      </c>
      <c r="BI50" s="14">
        <f t="shared" si="18"/>
        <v>1</v>
      </c>
      <c r="BJ50" s="14">
        <f t="shared" si="19"/>
        <v>3046</v>
      </c>
      <c r="BK50" s="14" t="str">
        <f t="shared" si="20"/>
        <v>徐晃传记1-1</v>
      </c>
      <c r="BM50" s="14" t="str">
        <f t="shared" si="21"/>
        <v>徐晃传记1-1 徐晃碎片</v>
      </c>
      <c r="BN50" s="14" t="str">
        <f t="shared" si="22"/>
        <v>徐晃碎片</v>
      </c>
      <c r="BO50" s="14">
        <f t="shared" si="23"/>
        <v>1</v>
      </c>
      <c r="BP50" s="14">
        <f t="shared" si="24"/>
        <v>1</v>
      </c>
      <c r="BQ50" s="14">
        <v>10000</v>
      </c>
    </row>
    <row r="51" spans="35:69" ht="16.5" x14ac:dyDescent="0.2">
      <c r="AI51" s="96">
        <v>47</v>
      </c>
      <c r="AJ51" s="14">
        <f t="shared" si="0"/>
        <v>7</v>
      </c>
      <c r="AK51" s="14">
        <f t="shared" si="1"/>
        <v>201008</v>
      </c>
      <c r="AL51" s="14">
        <f t="shared" si="2"/>
        <v>2010</v>
      </c>
      <c r="AM51" s="96" t="s">
        <v>903</v>
      </c>
      <c r="AN51" s="14">
        <f t="shared" si="3"/>
        <v>8</v>
      </c>
      <c r="AO51" s="14">
        <f t="shared" si="27"/>
        <v>-1</v>
      </c>
      <c r="AP51" s="14" t="str">
        <f t="shared" si="5"/>
        <v>张郃传记-8</v>
      </c>
      <c r="AQ51" s="14" t="str">
        <f t="shared" si="6"/>
        <v>张郃传记-8</v>
      </c>
      <c r="AR51" s="14">
        <f t="shared" si="7"/>
        <v>120</v>
      </c>
      <c r="AS51" s="14">
        <f t="shared" si="8"/>
        <v>2</v>
      </c>
      <c r="AT51" s="98">
        <v>3</v>
      </c>
      <c r="AU51" s="99" t="s">
        <v>907</v>
      </c>
      <c r="AV51" s="14" t="str">
        <f t="shared" si="9"/>
        <v>KP_KM_1102010</v>
      </c>
      <c r="AW51" s="14">
        <f t="shared" si="10"/>
        <v>1102010</v>
      </c>
      <c r="AX51" s="14" t="str">
        <f t="shared" si="11"/>
        <v>张郃传记8-1</v>
      </c>
      <c r="AY51" s="14" t="str">
        <f t="shared" si="12"/>
        <v/>
      </c>
      <c r="AZ51" s="14" t="str">
        <f t="shared" si="13"/>
        <v>张郃碎片</v>
      </c>
      <c r="BA51" s="14">
        <f t="shared" si="14"/>
        <v>2</v>
      </c>
      <c r="BB51" s="14" t="str">
        <f t="shared" si="15"/>
        <v/>
      </c>
      <c r="BC51" s="14" t="str">
        <f t="shared" si="16"/>
        <v/>
      </c>
      <c r="BD51" s="96"/>
      <c r="BG51" s="97">
        <v>47</v>
      </c>
      <c r="BH51" s="14">
        <f t="shared" si="17"/>
        <v>6</v>
      </c>
      <c r="BI51" s="14">
        <f t="shared" si="18"/>
        <v>2</v>
      </c>
      <c r="BJ51" s="14">
        <f t="shared" si="19"/>
        <v>3047</v>
      </c>
      <c r="BK51" s="14" t="str">
        <f t="shared" si="20"/>
        <v>徐晃传记2-1</v>
      </c>
      <c r="BM51" s="14" t="str">
        <f t="shared" si="21"/>
        <v>徐晃传记2-1 徐晃碎片</v>
      </c>
      <c r="BN51" s="14" t="str">
        <f t="shared" si="22"/>
        <v>徐晃碎片</v>
      </c>
      <c r="BO51" s="14">
        <f t="shared" si="23"/>
        <v>1</v>
      </c>
      <c r="BP51" s="14">
        <f t="shared" si="24"/>
        <v>1</v>
      </c>
      <c r="BQ51" s="14">
        <v>10000</v>
      </c>
    </row>
    <row r="52" spans="35:69" ht="16.5" x14ac:dyDescent="0.2">
      <c r="AI52" s="96">
        <v>48</v>
      </c>
      <c r="AJ52" s="14">
        <f t="shared" si="0"/>
        <v>8</v>
      </c>
      <c r="AK52" s="14">
        <f t="shared" si="1"/>
        <v>201101</v>
      </c>
      <c r="AL52" s="14">
        <f t="shared" si="2"/>
        <v>2011</v>
      </c>
      <c r="AM52" s="96" t="s">
        <v>903</v>
      </c>
      <c r="AN52" s="14">
        <f t="shared" si="3"/>
        <v>1</v>
      </c>
      <c r="AO52" s="14">
        <f t="shared" si="27"/>
        <v>201102</v>
      </c>
      <c r="AP52" s="14" t="str">
        <f t="shared" si="5"/>
        <v>张飞传记-1</v>
      </c>
      <c r="AQ52" s="14" t="str">
        <f t="shared" si="6"/>
        <v>张飞传记-1</v>
      </c>
      <c r="AR52" s="14">
        <f t="shared" si="7"/>
        <v>30</v>
      </c>
      <c r="AS52" s="14" t="str">
        <f t="shared" si="8"/>
        <v/>
      </c>
      <c r="AT52" s="98">
        <v>3</v>
      </c>
      <c r="AU52" s="99" t="s">
        <v>907</v>
      </c>
      <c r="AV52" s="14" t="str">
        <f t="shared" si="9"/>
        <v>KP_KM_1102011</v>
      </c>
      <c r="AW52" s="14">
        <f t="shared" si="10"/>
        <v>1102011</v>
      </c>
      <c r="AX52" s="14" t="str">
        <f t="shared" si="11"/>
        <v>张飞传记1-1</v>
      </c>
      <c r="AY52" s="14" t="str">
        <f t="shared" si="12"/>
        <v/>
      </c>
      <c r="AZ52" s="14" t="str">
        <f t="shared" si="13"/>
        <v>张飞碎片</v>
      </c>
      <c r="BA52" s="14">
        <f t="shared" si="14"/>
        <v>1</v>
      </c>
      <c r="BB52" s="14" t="str">
        <f t="shared" si="15"/>
        <v/>
      </c>
      <c r="BC52" s="14" t="str">
        <f t="shared" si="16"/>
        <v/>
      </c>
      <c r="BD52" s="96"/>
      <c r="BG52" s="97">
        <v>48</v>
      </c>
      <c r="BH52" s="14">
        <f t="shared" si="17"/>
        <v>6</v>
      </c>
      <c r="BI52" s="14">
        <f t="shared" si="18"/>
        <v>3</v>
      </c>
      <c r="BJ52" s="14">
        <f t="shared" si="19"/>
        <v>3048</v>
      </c>
      <c r="BK52" s="14" t="str">
        <f t="shared" si="20"/>
        <v>徐晃传记3-1</v>
      </c>
      <c r="BM52" s="14" t="str">
        <f t="shared" si="21"/>
        <v>徐晃传记3-1 徐晃碎片</v>
      </c>
      <c r="BN52" s="14" t="str">
        <f t="shared" si="22"/>
        <v>徐晃碎片</v>
      </c>
      <c r="BO52" s="14">
        <f t="shared" si="23"/>
        <v>1</v>
      </c>
      <c r="BP52" s="14">
        <f t="shared" si="24"/>
        <v>2</v>
      </c>
      <c r="BQ52" s="14">
        <v>10000</v>
      </c>
    </row>
    <row r="53" spans="35:69" ht="16.5" x14ac:dyDescent="0.2">
      <c r="AI53" s="96">
        <v>49</v>
      </c>
      <c r="AJ53" s="14">
        <f t="shared" si="0"/>
        <v>8</v>
      </c>
      <c r="AK53" s="14">
        <f t="shared" si="1"/>
        <v>201102</v>
      </c>
      <c r="AL53" s="14">
        <f t="shared" si="2"/>
        <v>2011</v>
      </c>
      <c r="AM53" s="96" t="s">
        <v>903</v>
      </c>
      <c r="AN53" s="14">
        <f t="shared" si="3"/>
        <v>2</v>
      </c>
      <c r="AO53" s="14">
        <f t="shared" si="27"/>
        <v>201103</v>
      </c>
      <c r="AP53" s="14" t="str">
        <f t="shared" si="5"/>
        <v>张飞传记-2</v>
      </c>
      <c r="AQ53" s="14" t="str">
        <f t="shared" si="6"/>
        <v>张飞传记-2</v>
      </c>
      <c r="AR53" s="14">
        <f t="shared" si="7"/>
        <v>40</v>
      </c>
      <c r="AS53" s="14" t="str">
        <f t="shared" si="8"/>
        <v/>
      </c>
      <c r="AT53" s="98">
        <v>3</v>
      </c>
      <c r="AU53" s="99" t="s">
        <v>907</v>
      </c>
      <c r="AV53" s="14" t="str">
        <f t="shared" si="9"/>
        <v>KP_KM_1102011</v>
      </c>
      <c r="AW53" s="14">
        <f t="shared" si="10"/>
        <v>1102011</v>
      </c>
      <c r="AX53" s="14" t="str">
        <f t="shared" si="11"/>
        <v>张飞传记2-1</v>
      </c>
      <c r="AY53" s="14" t="str">
        <f t="shared" si="12"/>
        <v/>
      </c>
      <c r="AZ53" s="14" t="str">
        <f t="shared" si="13"/>
        <v>张飞碎片</v>
      </c>
      <c r="BA53" s="14">
        <f t="shared" si="14"/>
        <v>1</v>
      </c>
      <c r="BB53" s="14" t="str">
        <f t="shared" si="15"/>
        <v/>
      </c>
      <c r="BC53" s="14" t="str">
        <f t="shared" si="16"/>
        <v/>
      </c>
      <c r="BD53" s="96"/>
      <c r="BG53" s="97">
        <v>49</v>
      </c>
      <c r="BH53" s="14">
        <f t="shared" si="17"/>
        <v>6</v>
      </c>
      <c r="BI53" s="14">
        <f t="shared" si="18"/>
        <v>4</v>
      </c>
      <c r="BJ53" s="14">
        <f t="shared" si="19"/>
        <v>3049</v>
      </c>
      <c r="BK53" s="14" t="str">
        <f t="shared" si="20"/>
        <v>徐晃传记4-1</v>
      </c>
      <c r="BM53" s="14" t="str">
        <f t="shared" si="21"/>
        <v>徐晃传记4-1 徐晃专属武器碎片</v>
      </c>
      <c r="BN53" s="14" t="str">
        <f t="shared" si="22"/>
        <v>徐晃专属武器碎片</v>
      </c>
      <c r="BO53" s="14">
        <f t="shared" si="23"/>
        <v>1</v>
      </c>
      <c r="BP53" s="14">
        <f t="shared" si="24"/>
        <v>1</v>
      </c>
      <c r="BQ53" s="14">
        <v>10000</v>
      </c>
    </row>
    <row r="54" spans="35:69" ht="16.5" x14ac:dyDescent="0.2">
      <c r="AI54" s="96">
        <v>50</v>
      </c>
      <c r="AJ54" s="14">
        <f t="shared" si="0"/>
        <v>8</v>
      </c>
      <c r="AK54" s="14">
        <f t="shared" si="1"/>
        <v>201103</v>
      </c>
      <c r="AL54" s="14">
        <f t="shared" si="2"/>
        <v>2011</v>
      </c>
      <c r="AM54" s="96" t="s">
        <v>903</v>
      </c>
      <c r="AN54" s="14">
        <f t="shared" si="3"/>
        <v>3</v>
      </c>
      <c r="AO54" s="14">
        <f t="shared" si="27"/>
        <v>201104</v>
      </c>
      <c r="AP54" s="14" t="str">
        <f t="shared" si="5"/>
        <v>张飞传记-3</v>
      </c>
      <c r="AQ54" s="14" t="str">
        <f t="shared" si="6"/>
        <v>张飞传记-3</v>
      </c>
      <c r="AR54" s="14">
        <f t="shared" si="7"/>
        <v>55</v>
      </c>
      <c r="AS54" s="14" t="str">
        <f t="shared" si="8"/>
        <v/>
      </c>
      <c r="AT54" s="98">
        <v>3</v>
      </c>
      <c r="AU54" s="99" t="s">
        <v>907</v>
      </c>
      <c r="AV54" s="14" t="str">
        <f t="shared" si="9"/>
        <v>KP_KM_1102011</v>
      </c>
      <c r="AW54" s="14">
        <f t="shared" si="10"/>
        <v>1102011</v>
      </c>
      <c r="AX54" s="14" t="str">
        <f t="shared" si="11"/>
        <v>张飞传记3-1</v>
      </c>
      <c r="AY54" s="14" t="str">
        <f t="shared" si="12"/>
        <v/>
      </c>
      <c r="AZ54" s="14" t="str">
        <f t="shared" si="13"/>
        <v>张飞碎片</v>
      </c>
      <c r="BA54" s="14" t="str">
        <f t="shared" si="14"/>
        <v>1~2</v>
      </c>
      <c r="BB54" s="14" t="str">
        <f t="shared" si="15"/>
        <v/>
      </c>
      <c r="BC54" s="14" t="str">
        <f t="shared" si="16"/>
        <v/>
      </c>
      <c r="BD54" s="96"/>
      <c r="BG54" s="97">
        <v>50</v>
      </c>
      <c r="BH54" s="14">
        <f t="shared" si="17"/>
        <v>6</v>
      </c>
      <c r="BI54" s="14">
        <f t="shared" si="18"/>
        <v>5</v>
      </c>
      <c r="BJ54" s="14">
        <f t="shared" si="19"/>
        <v>3050</v>
      </c>
      <c r="BK54" s="14" t="str">
        <f t="shared" si="20"/>
        <v>徐晃传记5-1</v>
      </c>
      <c r="BM54" s="14" t="str">
        <f t="shared" si="21"/>
        <v>徐晃传记5-1 徐晃碎片</v>
      </c>
      <c r="BN54" s="14" t="str">
        <f t="shared" si="22"/>
        <v>徐晃碎片</v>
      </c>
      <c r="BO54" s="14">
        <f t="shared" si="23"/>
        <v>1</v>
      </c>
      <c r="BP54" s="14">
        <f t="shared" si="24"/>
        <v>2</v>
      </c>
      <c r="BQ54" s="14">
        <v>10000</v>
      </c>
    </row>
    <row r="55" spans="35:69" ht="16.5" x14ac:dyDescent="0.2">
      <c r="AI55" s="96">
        <v>51</v>
      </c>
      <c r="AJ55" s="14">
        <f t="shared" si="0"/>
        <v>8</v>
      </c>
      <c r="AK55" s="14">
        <f t="shared" si="1"/>
        <v>201104</v>
      </c>
      <c r="AL55" s="14">
        <f t="shared" si="2"/>
        <v>2011</v>
      </c>
      <c r="AM55" s="96" t="s">
        <v>903</v>
      </c>
      <c r="AN55" s="14">
        <f t="shared" si="3"/>
        <v>4</v>
      </c>
      <c r="AO55" s="14">
        <f t="shared" si="27"/>
        <v>201105</v>
      </c>
      <c r="AP55" s="14" t="str">
        <f t="shared" si="5"/>
        <v>张飞传记-4</v>
      </c>
      <c r="AQ55" s="14" t="str">
        <f t="shared" si="6"/>
        <v>张飞传记-4</v>
      </c>
      <c r="AR55" s="14">
        <f t="shared" si="7"/>
        <v>70</v>
      </c>
      <c r="AS55" s="14" t="str">
        <f t="shared" si="8"/>
        <v/>
      </c>
      <c r="AT55" s="98">
        <v>3</v>
      </c>
      <c r="AU55" s="99" t="s">
        <v>907</v>
      </c>
      <c r="AV55" s="14" t="str">
        <f t="shared" si="9"/>
        <v>KP_KM_1102011</v>
      </c>
      <c r="AW55" s="14">
        <f t="shared" si="10"/>
        <v>1102011</v>
      </c>
      <c r="AX55" s="14" t="str">
        <f t="shared" si="11"/>
        <v>张飞传记4-1</v>
      </c>
      <c r="AY55" s="14" t="str">
        <f t="shared" si="12"/>
        <v/>
      </c>
      <c r="AZ55" s="14" t="str">
        <f t="shared" si="13"/>
        <v>张飞专属武器碎片</v>
      </c>
      <c r="BA55" s="14">
        <f t="shared" si="14"/>
        <v>1</v>
      </c>
      <c r="BB55" s="14" t="str">
        <f t="shared" si="15"/>
        <v/>
      </c>
      <c r="BC55" s="14" t="str">
        <f t="shared" si="16"/>
        <v/>
      </c>
      <c r="BD55" s="96"/>
      <c r="BG55" s="97">
        <v>51</v>
      </c>
      <c r="BH55" s="14">
        <f t="shared" si="17"/>
        <v>6</v>
      </c>
      <c r="BI55" s="14">
        <f t="shared" si="18"/>
        <v>6</v>
      </c>
      <c r="BJ55" s="14">
        <f t="shared" si="19"/>
        <v>3051</v>
      </c>
      <c r="BK55" s="14" t="str">
        <f t="shared" si="20"/>
        <v>徐晃传记5-2</v>
      </c>
      <c r="BM55" s="14" t="str">
        <f t="shared" si="21"/>
        <v>徐晃传记5-2 徐晃专属武器碎片</v>
      </c>
      <c r="BN55" s="14" t="str">
        <f t="shared" si="22"/>
        <v>徐晃专属武器碎片</v>
      </c>
      <c r="BO55" s="14">
        <f t="shared" si="23"/>
        <v>1</v>
      </c>
      <c r="BP55" s="14">
        <f t="shared" si="24"/>
        <v>1</v>
      </c>
      <c r="BQ55" s="14">
        <v>10000</v>
      </c>
    </row>
    <row r="56" spans="35:69" ht="16.5" x14ac:dyDescent="0.2">
      <c r="AI56" s="96">
        <v>52</v>
      </c>
      <c r="AJ56" s="14">
        <f t="shared" si="0"/>
        <v>8</v>
      </c>
      <c r="AK56" s="14">
        <f t="shared" si="1"/>
        <v>201105</v>
      </c>
      <c r="AL56" s="14">
        <f t="shared" si="2"/>
        <v>2011</v>
      </c>
      <c r="AM56" s="96" t="s">
        <v>903</v>
      </c>
      <c r="AN56" s="14">
        <f t="shared" si="3"/>
        <v>5</v>
      </c>
      <c r="AO56" s="14">
        <f t="shared" si="27"/>
        <v>201106</v>
      </c>
      <c r="AP56" s="14" t="str">
        <f t="shared" si="5"/>
        <v>张飞传记-5</v>
      </c>
      <c r="AQ56" s="14" t="str">
        <f t="shared" si="6"/>
        <v>张飞传记-5</v>
      </c>
      <c r="AR56" s="14">
        <f t="shared" si="7"/>
        <v>80</v>
      </c>
      <c r="AS56" s="14" t="str">
        <f t="shared" si="8"/>
        <v/>
      </c>
      <c r="AT56" s="98">
        <v>3</v>
      </c>
      <c r="AU56" s="99" t="s">
        <v>907</v>
      </c>
      <c r="AV56" s="14" t="str">
        <f t="shared" si="9"/>
        <v>KP_KM_1102011</v>
      </c>
      <c r="AW56" s="14">
        <f t="shared" si="10"/>
        <v>1102011</v>
      </c>
      <c r="AX56" s="14" t="str">
        <f t="shared" si="11"/>
        <v>张飞传记5-1</v>
      </c>
      <c r="AY56" s="14" t="str">
        <f t="shared" si="12"/>
        <v>张飞传记5-1</v>
      </c>
      <c r="AZ56" s="14" t="str">
        <f t="shared" si="13"/>
        <v>张飞碎片</v>
      </c>
      <c r="BA56" s="14" t="str">
        <f t="shared" si="14"/>
        <v>1~2</v>
      </c>
      <c r="BB56" s="14" t="str">
        <f t="shared" si="15"/>
        <v>张飞专属武器碎片</v>
      </c>
      <c r="BC56" s="14">
        <f t="shared" si="16"/>
        <v>1</v>
      </c>
      <c r="BD56" s="96"/>
      <c r="BG56" s="97">
        <v>52</v>
      </c>
      <c r="BH56" s="14">
        <f t="shared" si="17"/>
        <v>7</v>
      </c>
      <c r="BI56" s="14">
        <f t="shared" si="18"/>
        <v>1</v>
      </c>
      <c r="BJ56" s="14">
        <f t="shared" si="19"/>
        <v>3052</v>
      </c>
      <c r="BK56" s="14" t="str">
        <f t="shared" si="20"/>
        <v>张郃传记1-1</v>
      </c>
      <c r="BM56" s="14" t="str">
        <f t="shared" si="21"/>
        <v>张郃传记1-1 张郃碎片</v>
      </c>
      <c r="BN56" s="14" t="str">
        <f t="shared" si="22"/>
        <v>张郃碎片</v>
      </c>
      <c r="BO56" s="14">
        <f t="shared" si="23"/>
        <v>1</v>
      </c>
      <c r="BP56" s="14">
        <f t="shared" si="24"/>
        <v>1</v>
      </c>
      <c r="BQ56" s="14">
        <v>10000</v>
      </c>
    </row>
    <row r="57" spans="35:69" ht="16.5" x14ac:dyDescent="0.2">
      <c r="AI57" s="96">
        <v>53</v>
      </c>
      <c r="AJ57" s="14">
        <f t="shared" si="0"/>
        <v>8</v>
      </c>
      <c r="AK57" s="14">
        <f t="shared" si="1"/>
        <v>201106</v>
      </c>
      <c r="AL57" s="14">
        <f t="shared" si="2"/>
        <v>2011</v>
      </c>
      <c r="AM57" s="96" t="s">
        <v>903</v>
      </c>
      <c r="AN57" s="14">
        <f t="shared" si="3"/>
        <v>6</v>
      </c>
      <c r="AO57" s="14">
        <f t="shared" si="27"/>
        <v>201107</v>
      </c>
      <c r="AP57" s="14" t="str">
        <f t="shared" si="5"/>
        <v>张飞传记-6</v>
      </c>
      <c r="AQ57" s="14" t="str">
        <f t="shared" si="6"/>
        <v>张飞传记-6</v>
      </c>
      <c r="AR57" s="14">
        <f t="shared" si="7"/>
        <v>90</v>
      </c>
      <c r="AS57" s="14">
        <f t="shared" si="8"/>
        <v>2</v>
      </c>
      <c r="AT57" s="98">
        <v>3</v>
      </c>
      <c r="AU57" s="99" t="s">
        <v>907</v>
      </c>
      <c r="AV57" s="14" t="str">
        <f t="shared" si="9"/>
        <v>KP_KM_1102011</v>
      </c>
      <c r="AW57" s="14">
        <f t="shared" si="10"/>
        <v>1102011</v>
      </c>
      <c r="AX57" s="14" t="str">
        <f t="shared" si="11"/>
        <v>张飞传记6-1</v>
      </c>
      <c r="AY57" s="14" t="str">
        <f t="shared" si="12"/>
        <v>张飞传记6-1</v>
      </c>
      <c r="AZ57" s="14" t="str">
        <f t="shared" si="13"/>
        <v>张飞碎片</v>
      </c>
      <c r="BA57" s="14" t="str">
        <f t="shared" si="14"/>
        <v>1~2</v>
      </c>
      <c r="BB57" s="14" t="str">
        <f t="shared" si="15"/>
        <v>张飞专属武器碎片</v>
      </c>
      <c r="BC57" s="14">
        <f t="shared" si="16"/>
        <v>1</v>
      </c>
      <c r="BD57" s="96"/>
      <c r="BG57" s="97">
        <v>53</v>
      </c>
      <c r="BH57" s="14">
        <f t="shared" si="17"/>
        <v>7</v>
      </c>
      <c r="BI57" s="14">
        <f t="shared" si="18"/>
        <v>2</v>
      </c>
      <c r="BJ57" s="14">
        <f t="shared" si="19"/>
        <v>3053</v>
      </c>
      <c r="BK57" s="14" t="str">
        <f t="shared" si="20"/>
        <v>张郃传记2-1</v>
      </c>
      <c r="BM57" s="14" t="str">
        <f t="shared" si="21"/>
        <v>张郃传记2-1 张郃碎片</v>
      </c>
      <c r="BN57" s="14" t="str">
        <f t="shared" si="22"/>
        <v>张郃碎片</v>
      </c>
      <c r="BO57" s="14">
        <f t="shared" si="23"/>
        <v>1</v>
      </c>
      <c r="BP57" s="14">
        <f t="shared" si="24"/>
        <v>1</v>
      </c>
      <c r="BQ57" s="14">
        <v>10000</v>
      </c>
    </row>
    <row r="58" spans="35:69" ht="16.5" x14ac:dyDescent="0.2">
      <c r="AI58" s="96">
        <v>54</v>
      </c>
      <c r="AJ58" s="14">
        <f t="shared" si="0"/>
        <v>8</v>
      </c>
      <c r="AK58" s="14">
        <f t="shared" si="1"/>
        <v>201107</v>
      </c>
      <c r="AL58" s="14">
        <f t="shared" si="2"/>
        <v>2011</v>
      </c>
      <c r="AM58" s="96" t="s">
        <v>903</v>
      </c>
      <c r="AN58" s="14">
        <f t="shared" si="3"/>
        <v>7</v>
      </c>
      <c r="AO58" s="14">
        <f t="shared" si="27"/>
        <v>201108</v>
      </c>
      <c r="AP58" s="14" t="str">
        <f t="shared" si="5"/>
        <v>张飞传记-7</v>
      </c>
      <c r="AQ58" s="14" t="str">
        <f t="shared" si="6"/>
        <v>张飞传记-7</v>
      </c>
      <c r="AR58" s="14">
        <f t="shared" si="7"/>
        <v>100</v>
      </c>
      <c r="AS58" s="14">
        <f t="shared" si="8"/>
        <v>2</v>
      </c>
      <c r="AT58" s="98">
        <v>3</v>
      </c>
      <c r="AU58" s="99" t="s">
        <v>907</v>
      </c>
      <c r="AV58" s="14" t="str">
        <f t="shared" si="9"/>
        <v>KP_KM_1102011</v>
      </c>
      <c r="AW58" s="14">
        <f t="shared" si="10"/>
        <v>1102011</v>
      </c>
      <c r="AX58" s="14" t="str">
        <f t="shared" si="11"/>
        <v>张飞传记7-1</v>
      </c>
      <c r="AY58" s="14" t="str">
        <f t="shared" si="12"/>
        <v>张飞传记7-1</v>
      </c>
      <c r="AZ58" s="14" t="str">
        <f t="shared" si="13"/>
        <v>张飞碎片</v>
      </c>
      <c r="BA58" s="14" t="str">
        <f t="shared" si="14"/>
        <v>1~2</v>
      </c>
      <c r="BB58" s="14" t="str">
        <f t="shared" si="15"/>
        <v>张飞专属武器碎片</v>
      </c>
      <c r="BC58" s="14">
        <f t="shared" si="16"/>
        <v>1</v>
      </c>
      <c r="BD58" s="96"/>
      <c r="BG58" s="97">
        <v>54</v>
      </c>
      <c r="BH58" s="14">
        <f t="shared" si="17"/>
        <v>7</v>
      </c>
      <c r="BI58" s="14">
        <f t="shared" si="18"/>
        <v>3</v>
      </c>
      <c r="BJ58" s="14">
        <f t="shared" si="19"/>
        <v>3054</v>
      </c>
      <c r="BK58" s="14" t="str">
        <f t="shared" si="20"/>
        <v>张郃传记3-1</v>
      </c>
      <c r="BM58" s="14" t="str">
        <f t="shared" si="21"/>
        <v>张郃传记3-1 张郃碎片</v>
      </c>
      <c r="BN58" s="14" t="str">
        <f t="shared" si="22"/>
        <v>张郃碎片</v>
      </c>
      <c r="BO58" s="14">
        <f t="shared" si="23"/>
        <v>1</v>
      </c>
      <c r="BP58" s="14">
        <f t="shared" si="24"/>
        <v>2</v>
      </c>
      <c r="BQ58" s="14">
        <v>10000</v>
      </c>
    </row>
    <row r="59" spans="35:69" ht="16.5" x14ac:dyDescent="0.2">
      <c r="AI59" s="96">
        <v>55</v>
      </c>
      <c r="AJ59" s="14">
        <f t="shared" si="0"/>
        <v>8</v>
      </c>
      <c r="AK59" s="14">
        <f t="shared" si="1"/>
        <v>201108</v>
      </c>
      <c r="AL59" s="14">
        <f t="shared" si="2"/>
        <v>2011</v>
      </c>
      <c r="AM59" s="96" t="s">
        <v>903</v>
      </c>
      <c r="AN59" s="14">
        <f t="shared" si="3"/>
        <v>8</v>
      </c>
      <c r="AO59" s="14">
        <f t="shared" si="27"/>
        <v>-1</v>
      </c>
      <c r="AP59" s="14" t="str">
        <f t="shared" si="5"/>
        <v>张飞传记-8</v>
      </c>
      <c r="AQ59" s="14" t="str">
        <f t="shared" si="6"/>
        <v>张飞传记-8</v>
      </c>
      <c r="AR59" s="14">
        <f t="shared" si="7"/>
        <v>120</v>
      </c>
      <c r="AS59" s="14">
        <f t="shared" si="8"/>
        <v>2</v>
      </c>
      <c r="AT59" s="98">
        <v>3</v>
      </c>
      <c r="AU59" s="99" t="s">
        <v>907</v>
      </c>
      <c r="AV59" s="14" t="str">
        <f t="shared" si="9"/>
        <v>KP_KM_1102011</v>
      </c>
      <c r="AW59" s="14">
        <f t="shared" si="10"/>
        <v>1102011</v>
      </c>
      <c r="AX59" s="14" t="str">
        <f t="shared" si="11"/>
        <v>张飞传记8-1</v>
      </c>
      <c r="AY59" s="14" t="str">
        <f t="shared" si="12"/>
        <v/>
      </c>
      <c r="AZ59" s="14" t="str">
        <f t="shared" si="13"/>
        <v>张飞碎片</v>
      </c>
      <c r="BA59" s="14">
        <f t="shared" si="14"/>
        <v>2</v>
      </c>
      <c r="BB59" s="14" t="str">
        <f t="shared" si="15"/>
        <v/>
      </c>
      <c r="BC59" s="14" t="str">
        <f t="shared" si="16"/>
        <v/>
      </c>
      <c r="BD59" s="96"/>
      <c r="BG59" s="97">
        <v>55</v>
      </c>
      <c r="BH59" s="14">
        <f t="shared" si="17"/>
        <v>7</v>
      </c>
      <c r="BI59" s="14">
        <f t="shared" si="18"/>
        <v>4</v>
      </c>
      <c r="BJ59" s="14">
        <f t="shared" si="19"/>
        <v>3055</v>
      </c>
      <c r="BK59" s="14" t="str">
        <f t="shared" si="20"/>
        <v>张郃传记4-1</v>
      </c>
      <c r="BM59" s="14" t="str">
        <f t="shared" si="21"/>
        <v>张郃传记4-1 张郃专属武器碎片</v>
      </c>
      <c r="BN59" s="14" t="str">
        <f t="shared" si="22"/>
        <v>张郃专属武器碎片</v>
      </c>
      <c r="BO59" s="14">
        <f t="shared" si="23"/>
        <v>1</v>
      </c>
      <c r="BP59" s="14">
        <f t="shared" si="24"/>
        <v>1</v>
      </c>
      <c r="BQ59" s="14">
        <v>10000</v>
      </c>
    </row>
    <row r="60" spans="35:69" ht="16.5" x14ac:dyDescent="0.2">
      <c r="AI60" s="96">
        <v>56</v>
      </c>
      <c r="AJ60" s="14">
        <f t="shared" si="0"/>
        <v>9</v>
      </c>
      <c r="AK60" s="14">
        <f t="shared" si="1"/>
        <v>201401</v>
      </c>
      <c r="AL60" s="14">
        <f t="shared" si="2"/>
        <v>2014</v>
      </c>
      <c r="AM60" s="96" t="s">
        <v>903</v>
      </c>
      <c r="AN60" s="14">
        <f t="shared" si="3"/>
        <v>1</v>
      </c>
      <c r="AO60" s="14">
        <f t="shared" si="27"/>
        <v>201402</v>
      </c>
      <c r="AP60" s="14" t="str">
        <f t="shared" si="5"/>
        <v>石灵明传记-1</v>
      </c>
      <c r="AQ60" s="14" t="str">
        <f t="shared" si="6"/>
        <v>石灵明传记-1</v>
      </c>
      <c r="AR60" s="14">
        <f t="shared" si="7"/>
        <v>30</v>
      </c>
      <c r="AS60" s="14" t="str">
        <f t="shared" si="8"/>
        <v/>
      </c>
      <c r="AT60" s="98">
        <v>3</v>
      </c>
      <c r="AU60" s="99" t="s">
        <v>907</v>
      </c>
      <c r="AV60" s="14" t="str">
        <f t="shared" si="9"/>
        <v>KP_KM_1102014</v>
      </c>
      <c r="AW60" s="14">
        <f t="shared" si="10"/>
        <v>1102014</v>
      </c>
      <c r="AX60" s="14" t="str">
        <f t="shared" si="11"/>
        <v>石灵明传记1-1</v>
      </c>
      <c r="AY60" s="14" t="str">
        <f t="shared" si="12"/>
        <v/>
      </c>
      <c r="AZ60" s="14" t="str">
        <f t="shared" si="13"/>
        <v>石灵明碎片</v>
      </c>
      <c r="BA60" s="14">
        <f t="shared" si="14"/>
        <v>1</v>
      </c>
      <c r="BB60" s="14" t="str">
        <f t="shared" si="15"/>
        <v/>
      </c>
      <c r="BC60" s="14" t="str">
        <f t="shared" si="16"/>
        <v/>
      </c>
      <c r="BD60" s="96"/>
      <c r="BG60" s="97">
        <v>56</v>
      </c>
      <c r="BH60" s="14">
        <f t="shared" si="17"/>
        <v>7</v>
      </c>
      <c r="BI60" s="14">
        <f t="shared" si="18"/>
        <v>5</v>
      </c>
      <c r="BJ60" s="14">
        <f t="shared" si="19"/>
        <v>3056</v>
      </c>
      <c r="BK60" s="14" t="str">
        <f t="shared" si="20"/>
        <v>张郃传记5-1</v>
      </c>
      <c r="BM60" s="14" t="str">
        <f t="shared" si="21"/>
        <v>张郃传记5-1 张郃碎片</v>
      </c>
      <c r="BN60" s="14" t="str">
        <f t="shared" si="22"/>
        <v>张郃碎片</v>
      </c>
      <c r="BO60" s="14">
        <f t="shared" si="23"/>
        <v>1</v>
      </c>
      <c r="BP60" s="14">
        <f t="shared" si="24"/>
        <v>2</v>
      </c>
      <c r="BQ60" s="14">
        <v>10000</v>
      </c>
    </row>
    <row r="61" spans="35:69" ht="16.5" x14ac:dyDescent="0.2">
      <c r="AI61" s="96">
        <v>57</v>
      </c>
      <c r="AJ61" s="14">
        <f t="shared" si="0"/>
        <v>9</v>
      </c>
      <c r="AK61" s="14">
        <f t="shared" si="1"/>
        <v>201402</v>
      </c>
      <c r="AL61" s="14">
        <f t="shared" si="2"/>
        <v>2014</v>
      </c>
      <c r="AM61" s="96" t="s">
        <v>903</v>
      </c>
      <c r="AN61" s="14">
        <f t="shared" si="3"/>
        <v>2</v>
      </c>
      <c r="AO61" s="14">
        <f t="shared" si="27"/>
        <v>201403</v>
      </c>
      <c r="AP61" s="14" t="str">
        <f t="shared" si="5"/>
        <v>石灵明传记-2</v>
      </c>
      <c r="AQ61" s="14" t="str">
        <f t="shared" si="6"/>
        <v>石灵明传记-2</v>
      </c>
      <c r="AR61" s="14">
        <f t="shared" si="7"/>
        <v>40</v>
      </c>
      <c r="AS61" s="14" t="str">
        <f t="shared" si="8"/>
        <v/>
      </c>
      <c r="AT61" s="98">
        <v>3</v>
      </c>
      <c r="AU61" s="99" t="s">
        <v>907</v>
      </c>
      <c r="AV61" s="14" t="str">
        <f t="shared" si="9"/>
        <v>KP_KM_1102014</v>
      </c>
      <c r="AW61" s="14">
        <f t="shared" si="10"/>
        <v>1102014</v>
      </c>
      <c r="AX61" s="14" t="str">
        <f t="shared" si="11"/>
        <v>石灵明传记2-1</v>
      </c>
      <c r="AY61" s="14" t="str">
        <f t="shared" si="12"/>
        <v/>
      </c>
      <c r="AZ61" s="14" t="str">
        <f t="shared" si="13"/>
        <v>石灵明碎片</v>
      </c>
      <c r="BA61" s="14">
        <f t="shared" si="14"/>
        <v>1</v>
      </c>
      <c r="BB61" s="14" t="str">
        <f t="shared" si="15"/>
        <v/>
      </c>
      <c r="BC61" s="14" t="str">
        <f t="shared" si="16"/>
        <v/>
      </c>
      <c r="BD61" s="96"/>
      <c r="BG61" s="97">
        <v>57</v>
      </c>
      <c r="BH61" s="14">
        <f t="shared" si="17"/>
        <v>7</v>
      </c>
      <c r="BI61" s="14">
        <f t="shared" si="18"/>
        <v>6</v>
      </c>
      <c r="BJ61" s="14">
        <f t="shared" si="19"/>
        <v>3057</v>
      </c>
      <c r="BK61" s="14" t="str">
        <f t="shared" si="20"/>
        <v>张郃传记5-2</v>
      </c>
      <c r="BM61" s="14" t="str">
        <f t="shared" si="21"/>
        <v>张郃传记5-2 张郃专属武器碎片</v>
      </c>
      <c r="BN61" s="14" t="str">
        <f t="shared" si="22"/>
        <v>张郃专属武器碎片</v>
      </c>
      <c r="BO61" s="14">
        <f t="shared" si="23"/>
        <v>1</v>
      </c>
      <c r="BP61" s="14">
        <f t="shared" si="24"/>
        <v>1</v>
      </c>
      <c r="BQ61" s="14">
        <v>10000</v>
      </c>
    </row>
    <row r="62" spans="35:69" ht="16.5" x14ac:dyDescent="0.2">
      <c r="AI62" s="96">
        <v>58</v>
      </c>
      <c r="AJ62" s="14">
        <f t="shared" si="0"/>
        <v>9</v>
      </c>
      <c r="AK62" s="14">
        <f t="shared" si="1"/>
        <v>201403</v>
      </c>
      <c r="AL62" s="14">
        <f t="shared" si="2"/>
        <v>2014</v>
      </c>
      <c r="AM62" s="96" t="s">
        <v>903</v>
      </c>
      <c r="AN62" s="14">
        <f t="shared" si="3"/>
        <v>3</v>
      </c>
      <c r="AO62" s="14">
        <f t="shared" si="27"/>
        <v>201404</v>
      </c>
      <c r="AP62" s="14" t="str">
        <f t="shared" si="5"/>
        <v>石灵明传记-3</v>
      </c>
      <c r="AQ62" s="14" t="str">
        <f t="shared" si="6"/>
        <v>石灵明传记-3</v>
      </c>
      <c r="AR62" s="14">
        <f t="shared" si="7"/>
        <v>55</v>
      </c>
      <c r="AS62" s="14" t="str">
        <f t="shared" si="8"/>
        <v/>
      </c>
      <c r="AT62" s="98">
        <v>3</v>
      </c>
      <c r="AU62" s="99" t="s">
        <v>907</v>
      </c>
      <c r="AV62" s="14" t="str">
        <f t="shared" si="9"/>
        <v>KP_KM_1102014</v>
      </c>
      <c r="AW62" s="14">
        <f t="shared" si="10"/>
        <v>1102014</v>
      </c>
      <c r="AX62" s="14" t="str">
        <f t="shared" si="11"/>
        <v>石灵明传记3-1</v>
      </c>
      <c r="AY62" s="14" t="str">
        <f t="shared" si="12"/>
        <v/>
      </c>
      <c r="AZ62" s="14" t="str">
        <f t="shared" si="13"/>
        <v>石灵明碎片</v>
      </c>
      <c r="BA62" s="14" t="str">
        <f t="shared" si="14"/>
        <v>1~2</v>
      </c>
      <c r="BB62" s="14" t="str">
        <f t="shared" si="15"/>
        <v/>
      </c>
      <c r="BC62" s="14" t="str">
        <f t="shared" si="16"/>
        <v/>
      </c>
      <c r="BD62" s="96"/>
      <c r="BG62" s="97">
        <v>58</v>
      </c>
      <c r="BH62" s="14">
        <f t="shared" si="17"/>
        <v>7</v>
      </c>
      <c r="BI62" s="14">
        <f t="shared" si="18"/>
        <v>7</v>
      </c>
      <c r="BJ62" s="14">
        <f t="shared" si="19"/>
        <v>3058</v>
      </c>
      <c r="BK62" s="14" t="str">
        <f t="shared" si="20"/>
        <v>张郃传记6-1</v>
      </c>
      <c r="BM62" s="14" t="str">
        <f t="shared" si="21"/>
        <v>张郃传记6-1 张郃碎片</v>
      </c>
      <c r="BN62" s="14" t="str">
        <f t="shared" si="22"/>
        <v>张郃碎片</v>
      </c>
      <c r="BO62" s="14">
        <f t="shared" si="23"/>
        <v>1</v>
      </c>
      <c r="BP62" s="14">
        <f t="shared" si="24"/>
        <v>2</v>
      </c>
      <c r="BQ62" s="14">
        <v>10000</v>
      </c>
    </row>
    <row r="63" spans="35:69" ht="16.5" x14ac:dyDescent="0.2">
      <c r="AI63" s="96">
        <v>59</v>
      </c>
      <c r="AJ63" s="14">
        <f t="shared" si="0"/>
        <v>9</v>
      </c>
      <c r="AK63" s="14">
        <f t="shared" si="1"/>
        <v>201404</v>
      </c>
      <c r="AL63" s="14">
        <f t="shared" si="2"/>
        <v>2014</v>
      </c>
      <c r="AM63" s="96" t="s">
        <v>903</v>
      </c>
      <c r="AN63" s="14">
        <f t="shared" si="3"/>
        <v>4</v>
      </c>
      <c r="AO63" s="14">
        <f t="shared" si="27"/>
        <v>201405</v>
      </c>
      <c r="AP63" s="14" t="str">
        <f t="shared" si="5"/>
        <v>石灵明传记-4</v>
      </c>
      <c r="AQ63" s="14" t="str">
        <f t="shared" si="6"/>
        <v>石灵明传记-4</v>
      </c>
      <c r="AR63" s="14">
        <f t="shared" si="7"/>
        <v>70</v>
      </c>
      <c r="AS63" s="14" t="str">
        <f t="shared" si="8"/>
        <v/>
      </c>
      <c r="AT63" s="98">
        <v>3</v>
      </c>
      <c r="AU63" s="99" t="s">
        <v>907</v>
      </c>
      <c r="AV63" s="14" t="str">
        <f t="shared" si="9"/>
        <v>KP_KM_1102014</v>
      </c>
      <c r="AW63" s="14">
        <f t="shared" si="10"/>
        <v>1102014</v>
      </c>
      <c r="AX63" s="14" t="str">
        <f t="shared" si="11"/>
        <v>石灵明传记4-1</v>
      </c>
      <c r="AY63" s="14" t="str">
        <f t="shared" si="12"/>
        <v/>
      </c>
      <c r="AZ63" s="14" t="str">
        <f t="shared" si="13"/>
        <v>石灵明专属武器碎片</v>
      </c>
      <c r="BA63" s="14">
        <f t="shared" si="14"/>
        <v>1</v>
      </c>
      <c r="BB63" s="14" t="str">
        <f t="shared" si="15"/>
        <v/>
      </c>
      <c r="BC63" s="14" t="str">
        <f t="shared" si="16"/>
        <v/>
      </c>
      <c r="BD63" s="96"/>
      <c r="BG63" s="97">
        <v>59</v>
      </c>
      <c r="BH63" s="14">
        <f t="shared" si="17"/>
        <v>7</v>
      </c>
      <c r="BI63" s="14">
        <f t="shared" si="18"/>
        <v>8</v>
      </c>
      <c r="BJ63" s="14">
        <f t="shared" si="19"/>
        <v>3059</v>
      </c>
      <c r="BK63" s="14" t="str">
        <f t="shared" si="20"/>
        <v>张郃传记6-2</v>
      </c>
      <c r="BM63" s="14" t="str">
        <f t="shared" si="21"/>
        <v>张郃传记6-2 张郃专属武器碎片</v>
      </c>
      <c r="BN63" s="14" t="str">
        <f t="shared" si="22"/>
        <v>张郃专属武器碎片</v>
      </c>
      <c r="BO63" s="14">
        <f t="shared" si="23"/>
        <v>1</v>
      </c>
      <c r="BP63" s="14">
        <f t="shared" si="24"/>
        <v>1</v>
      </c>
      <c r="BQ63" s="14">
        <v>10000</v>
      </c>
    </row>
    <row r="64" spans="35:69" ht="16.5" x14ac:dyDescent="0.2">
      <c r="AI64" s="96">
        <v>60</v>
      </c>
      <c r="AJ64" s="14">
        <f t="shared" si="0"/>
        <v>9</v>
      </c>
      <c r="AK64" s="14">
        <f t="shared" si="1"/>
        <v>201405</v>
      </c>
      <c r="AL64" s="14">
        <f t="shared" si="2"/>
        <v>2014</v>
      </c>
      <c r="AM64" s="96" t="s">
        <v>903</v>
      </c>
      <c r="AN64" s="14">
        <f t="shared" si="3"/>
        <v>5</v>
      </c>
      <c r="AO64" s="14">
        <f t="shared" si="27"/>
        <v>-1</v>
      </c>
      <c r="AP64" s="14" t="str">
        <f t="shared" si="5"/>
        <v>石灵明传记-5</v>
      </c>
      <c r="AQ64" s="14" t="str">
        <f t="shared" si="6"/>
        <v>石灵明传记-5</v>
      </c>
      <c r="AR64" s="14">
        <f t="shared" si="7"/>
        <v>80</v>
      </c>
      <c r="AS64" s="14" t="str">
        <f t="shared" si="8"/>
        <v/>
      </c>
      <c r="AT64" s="98">
        <v>3</v>
      </c>
      <c r="AU64" s="99" t="s">
        <v>907</v>
      </c>
      <c r="AV64" s="14" t="str">
        <f t="shared" si="9"/>
        <v>KP_KM_1102014</v>
      </c>
      <c r="AW64" s="14">
        <f t="shared" si="10"/>
        <v>1102014</v>
      </c>
      <c r="AX64" s="14" t="str">
        <f t="shared" si="11"/>
        <v>石灵明传记5-1</v>
      </c>
      <c r="AY64" s="14" t="str">
        <f t="shared" si="12"/>
        <v>石灵明传记5-1</v>
      </c>
      <c r="AZ64" s="14" t="str">
        <f t="shared" si="13"/>
        <v>石灵明碎片</v>
      </c>
      <c r="BA64" s="14" t="str">
        <f t="shared" si="14"/>
        <v>1~2</v>
      </c>
      <c r="BB64" s="14" t="str">
        <f t="shared" si="15"/>
        <v>石灵明专属武器碎片</v>
      </c>
      <c r="BC64" s="14">
        <f t="shared" si="16"/>
        <v>1</v>
      </c>
      <c r="BD64" s="96"/>
      <c r="BG64" s="97">
        <v>60</v>
      </c>
      <c r="BH64" s="14">
        <f t="shared" si="17"/>
        <v>7</v>
      </c>
      <c r="BI64" s="14">
        <f t="shared" si="18"/>
        <v>9</v>
      </c>
      <c r="BJ64" s="14">
        <f t="shared" si="19"/>
        <v>3060</v>
      </c>
      <c r="BK64" s="14" t="str">
        <f t="shared" si="20"/>
        <v>张郃传记7-1</v>
      </c>
      <c r="BM64" s="14" t="str">
        <f t="shared" si="21"/>
        <v>张郃传记7-1 张郃碎片</v>
      </c>
      <c r="BN64" s="14" t="str">
        <f t="shared" si="22"/>
        <v>张郃碎片</v>
      </c>
      <c r="BO64" s="14">
        <f t="shared" si="23"/>
        <v>1</v>
      </c>
      <c r="BP64" s="14">
        <f t="shared" si="24"/>
        <v>2</v>
      </c>
      <c r="BQ64" s="14">
        <v>10000</v>
      </c>
    </row>
    <row r="65" spans="35:69" ht="16.5" x14ac:dyDescent="0.2">
      <c r="AI65" s="96">
        <v>61</v>
      </c>
      <c r="AJ65" s="14">
        <f t="shared" si="0"/>
        <v>10</v>
      </c>
      <c r="AK65" s="14">
        <f t="shared" si="1"/>
        <v>201601</v>
      </c>
      <c r="AL65" s="14">
        <f t="shared" si="2"/>
        <v>2016</v>
      </c>
      <c r="AM65" s="96" t="s">
        <v>903</v>
      </c>
      <c r="AN65" s="14">
        <f t="shared" si="3"/>
        <v>1</v>
      </c>
      <c r="AO65" s="14">
        <f t="shared" si="27"/>
        <v>201602</v>
      </c>
      <c r="AP65" s="14" t="str">
        <f t="shared" si="5"/>
        <v>西方龙传记-1</v>
      </c>
      <c r="AQ65" s="14" t="str">
        <f t="shared" si="6"/>
        <v>西方龙传记-1</v>
      </c>
      <c r="AR65" s="14">
        <f t="shared" si="7"/>
        <v>30</v>
      </c>
      <c r="AS65" s="14" t="str">
        <f t="shared" si="8"/>
        <v/>
      </c>
      <c r="AT65" s="98">
        <v>3</v>
      </c>
      <c r="AU65" s="99" t="s">
        <v>907</v>
      </c>
      <c r="AV65" s="14" t="str">
        <f t="shared" si="9"/>
        <v>KP_KM_1102016</v>
      </c>
      <c r="AW65" s="14">
        <f t="shared" si="10"/>
        <v>1102016</v>
      </c>
      <c r="AX65" s="14" t="str">
        <f t="shared" si="11"/>
        <v>西方龙传记1-1</v>
      </c>
      <c r="AY65" s="14" t="str">
        <f t="shared" si="12"/>
        <v/>
      </c>
      <c r="AZ65" s="14" t="str">
        <f t="shared" si="13"/>
        <v>西方龙碎片</v>
      </c>
      <c r="BA65" s="14">
        <f t="shared" si="14"/>
        <v>1</v>
      </c>
      <c r="BB65" s="14" t="str">
        <f t="shared" si="15"/>
        <v/>
      </c>
      <c r="BC65" s="14" t="str">
        <f t="shared" si="16"/>
        <v/>
      </c>
      <c r="BD65" s="96"/>
      <c r="BG65" s="97">
        <v>61</v>
      </c>
      <c r="BH65" s="14">
        <f t="shared" si="17"/>
        <v>7</v>
      </c>
      <c r="BI65" s="14">
        <f t="shared" si="18"/>
        <v>10</v>
      </c>
      <c r="BJ65" s="14">
        <f t="shared" si="19"/>
        <v>3061</v>
      </c>
      <c r="BK65" s="14" t="str">
        <f t="shared" si="20"/>
        <v>张郃传记7-2</v>
      </c>
      <c r="BM65" s="14" t="str">
        <f t="shared" si="21"/>
        <v>张郃传记7-2 张郃专属武器碎片</v>
      </c>
      <c r="BN65" s="14" t="str">
        <f t="shared" si="22"/>
        <v>张郃专属武器碎片</v>
      </c>
      <c r="BO65" s="14">
        <f t="shared" si="23"/>
        <v>1</v>
      </c>
      <c r="BP65" s="14">
        <f t="shared" si="24"/>
        <v>1</v>
      </c>
      <c r="BQ65" s="14">
        <v>10000</v>
      </c>
    </row>
    <row r="66" spans="35:69" ht="16.5" x14ac:dyDescent="0.2">
      <c r="AI66" s="96">
        <v>62</v>
      </c>
      <c r="AJ66" s="14">
        <f t="shared" si="0"/>
        <v>10</v>
      </c>
      <c r="AK66" s="14">
        <f t="shared" si="1"/>
        <v>201602</v>
      </c>
      <c r="AL66" s="14">
        <f t="shared" si="2"/>
        <v>2016</v>
      </c>
      <c r="AM66" s="96" t="s">
        <v>903</v>
      </c>
      <c r="AN66" s="14">
        <f t="shared" si="3"/>
        <v>2</v>
      </c>
      <c r="AO66" s="14">
        <f t="shared" si="27"/>
        <v>201603</v>
      </c>
      <c r="AP66" s="14" t="str">
        <f t="shared" si="5"/>
        <v>西方龙传记-2</v>
      </c>
      <c r="AQ66" s="14" t="str">
        <f t="shared" si="6"/>
        <v>西方龙传记-2</v>
      </c>
      <c r="AR66" s="14">
        <f t="shared" si="7"/>
        <v>40</v>
      </c>
      <c r="AS66" s="14" t="str">
        <f t="shared" si="8"/>
        <v/>
      </c>
      <c r="AT66" s="98">
        <v>3</v>
      </c>
      <c r="AU66" s="99" t="s">
        <v>907</v>
      </c>
      <c r="AV66" s="14" t="str">
        <f t="shared" si="9"/>
        <v>KP_KM_1102016</v>
      </c>
      <c r="AW66" s="14">
        <f t="shared" si="10"/>
        <v>1102016</v>
      </c>
      <c r="AX66" s="14" t="str">
        <f t="shared" si="11"/>
        <v>西方龙传记2-1</v>
      </c>
      <c r="AY66" s="14" t="str">
        <f t="shared" si="12"/>
        <v/>
      </c>
      <c r="AZ66" s="14" t="str">
        <f t="shared" si="13"/>
        <v>西方龙碎片</v>
      </c>
      <c r="BA66" s="14">
        <f t="shared" si="14"/>
        <v>1</v>
      </c>
      <c r="BB66" s="14" t="str">
        <f t="shared" si="15"/>
        <v/>
      </c>
      <c r="BC66" s="14" t="str">
        <f t="shared" si="16"/>
        <v/>
      </c>
      <c r="BD66" s="96"/>
      <c r="BG66" s="97">
        <v>62</v>
      </c>
      <c r="BH66" s="14">
        <f t="shared" si="17"/>
        <v>7</v>
      </c>
      <c r="BI66" s="14">
        <f t="shared" si="18"/>
        <v>11</v>
      </c>
      <c r="BJ66" s="14">
        <f t="shared" si="19"/>
        <v>3062</v>
      </c>
      <c r="BK66" s="14" t="str">
        <f t="shared" si="20"/>
        <v>张郃传记8-1</v>
      </c>
      <c r="BM66" s="14" t="str">
        <f t="shared" si="21"/>
        <v>张郃传记8-1 张郃碎片</v>
      </c>
      <c r="BN66" s="14" t="str">
        <f t="shared" si="22"/>
        <v>张郃碎片</v>
      </c>
      <c r="BO66" s="14">
        <f t="shared" si="23"/>
        <v>2</v>
      </c>
      <c r="BP66" s="14">
        <f t="shared" si="24"/>
        <v>2</v>
      </c>
      <c r="BQ66" s="14">
        <v>10000</v>
      </c>
    </row>
    <row r="67" spans="35:69" ht="16.5" x14ac:dyDescent="0.2">
      <c r="AI67" s="96">
        <v>63</v>
      </c>
      <c r="AJ67" s="14">
        <f t="shared" si="0"/>
        <v>10</v>
      </c>
      <c r="AK67" s="14">
        <f t="shared" si="1"/>
        <v>201603</v>
      </c>
      <c r="AL67" s="14">
        <f t="shared" si="2"/>
        <v>2016</v>
      </c>
      <c r="AM67" s="96" t="s">
        <v>903</v>
      </c>
      <c r="AN67" s="14">
        <f t="shared" si="3"/>
        <v>3</v>
      </c>
      <c r="AO67" s="14">
        <f t="shared" si="27"/>
        <v>201604</v>
      </c>
      <c r="AP67" s="14" t="str">
        <f t="shared" si="5"/>
        <v>西方龙传记-3</v>
      </c>
      <c r="AQ67" s="14" t="str">
        <f t="shared" si="6"/>
        <v>西方龙传记-3</v>
      </c>
      <c r="AR67" s="14">
        <f t="shared" si="7"/>
        <v>55</v>
      </c>
      <c r="AS67" s="14" t="str">
        <f t="shared" si="8"/>
        <v/>
      </c>
      <c r="AT67" s="98">
        <v>3</v>
      </c>
      <c r="AU67" s="99" t="s">
        <v>907</v>
      </c>
      <c r="AV67" s="14" t="str">
        <f t="shared" si="9"/>
        <v>KP_KM_1102016</v>
      </c>
      <c r="AW67" s="14">
        <f t="shared" si="10"/>
        <v>1102016</v>
      </c>
      <c r="AX67" s="14" t="str">
        <f t="shared" si="11"/>
        <v>西方龙传记3-1</v>
      </c>
      <c r="AY67" s="14" t="str">
        <f t="shared" si="12"/>
        <v/>
      </c>
      <c r="AZ67" s="14" t="str">
        <f t="shared" si="13"/>
        <v>西方龙碎片</v>
      </c>
      <c r="BA67" s="14" t="str">
        <f t="shared" si="14"/>
        <v>1~2</v>
      </c>
      <c r="BB67" s="14" t="str">
        <f t="shared" si="15"/>
        <v/>
      </c>
      <c r="BC67" s="14" t="str">
        <f t="shared" si="16"/>
        <v/>
      </c>
      <c r="BD67" s="96"/>
      <c r="BG67" s="97">
        <v>63</v>
      </c>
      <c r="BH67" s="14">
        <f t="shared" si="17"/>
        <v>8</v>
      </c>
      <c r="BI67" s="14">
        <f t="shared" si="18"/>
        <v>1</v>
      </c>
      <c r="BJ67" s="14">
        <f t="shared" si="19"/>
        <v>3063</v>
      </c>
      <c r="BK67" s="14" t="str">
        <f t="shared" si="20"/>
        <v>张飞传记1-1</v>
      </c>
      <c r="BM67" s="14" t="str">
        <f t="shared" si="21"/>
        <v>张飞传记1-1 张飞碎片</v>
      </c>
      <c r="BN67" s="14" t="str">
        <f t="shared" si="22"/>
        <v>张飞碎片</v>
      </c>
      <c r="BO67" s="14">
        <f t="shared" si="23"/>
        <v>1</v>
      </c>
      <c r="BP67" s="14">
        <f t="shared" si="24"/>
        <v>1</v>
      </c>
      <c r="BQ67" s="14">
        <v>10000</v>
      </c>
    </row>
    <row r="68" spans="35:69" ht="16.5" x14ac:dyDescent="0.2">
      <c r="AI68" s="96">
        <v>64</v>
      </c>
      <c r="AJ68" s="14">
        <f t="shared" si="0"/>
        <v>10</v>
      </c>
      <c r="AK68" s="14">
        <f t="shared" si="1"/>
        <v>201604</v>
      </c>
      <c r="AL68" s="14">
        <f t="shared" si="2"/>
        <v>2016</v>
      </c>
      <c r="AM68" s="96" t="s">
        <v>903</v>
      </c>
      <c r="AN68" s="14">
        <f t="shared" si="3"/>
        <v>4</v>
      </c>
      <c r="AO68" s="14">
        <f t="shared" si="27"/>
        <v>201605</v>
      </c>
      <c r="AP68" s="14" t="str">
        <f t="shared" si="5"/>
        <v>西方龙传记-4</v>
      </c>
      <c r="AQ68" s="14" t="str">
        <f t="shared" si="6"/>
        <v>西方龙传记-4</v>
      </c>
      <c r="AR68" s="14">
        <f t="shared" si="7"/>
        <v>70</v>
      </c>
      <c r="AS68" s="14" t="str">
        <f t="shared" si="8"/>
        <v/>
      </c>
      <c r="AT68" s="98">
        <v>3</v>
      </c>
      <c r="AU68" s="99" t="s">
        <v>907</v>
      </c>
      <c r="AV68" s="14" t="str">
        <f t="shared" si="9"/>
        <v>KP_KM_1102016</v>
      </c>
      <c r="AW68" s="14">
        <f t="shared" si="10"/>
        <v>1102016</v>
      </c>
      <c r="AX68" s="14" t="str">
        <f t="shared" si="11"/>
        <v>西方龙传记4-1</v>
      </c>
      <c r="AY68" s="14" t="str">
        <f t="shared" si="12"/>
        <v/>
      </c>
      <c r="AZ68" s="14" t="str">
        <f t="shared" si="13"/>
        <v>西方龙专属武器碎片</v>
      </c>
      <c r="BA68" s="14">
        <f t="shared" si="14"/>
        <v>1</v>
      </c>
      <c r="BB68" s="14" t="str">
        <f t="shared" si="15"/>
        <v/>
      </c>
      <c r="BC68" s="14" t="str">
        <f t="shared" si="16"/>
        <v/>
      </c>
      <c r="BD68" s="96"/>
      <c r="BG68" s="97">
        <v>64</v>
      </c>
      <c r="BH68" s="14">
        <f t="shared" si="17"/>
        <v>8</v>
      </c>
      <c r="BI68" s="14">
        <f t="shared" si="18"/>
        <v>2</v>
      </c>
      <c r="BJ68" s="14">
        <f t="shared" si="19"/>
        <v>3064</v>
      </c>
      <c r="BK68" s="14" t="str">
        <f t="shared" si="20"/>
        <v>张飞传记2-1</v>
      </c>
      <c r="BM68" s="14" t="str">
        <f t="shared" si="21"/>
        <v>张飞传记2-1 张飞碎片</v>
      </c>
      <c r="BN68" s="14" t="str">
        <f t="shared" si="22"/>
        <v>张飞碎片</v>
      </c>
      <c r="BO68" s="14">
        <f t="shared" si="23"/>
        <v>1</v>
      </c>
      <c r="BP68" s="14">
        <f t="shared" si="24"/>
        <v>1</v>
      </c>
      <c r="BQ68" s="14">
        <v>10000</v>
      </c>
    </row>
    <row r="69" spans="35:69" ht="16.5" x14ac:dyDescent="0.2">
      <c r="AI69" s="96">
        <v>65</v>
      </c>
      <c r="AJ69" s="14">
        <f t="shared" si="0"/>
        <v>10</v>
      </c>
      <c r="AK69" s="14">
        <f t="shared" si="1"/>
        <v>201605</v>
      </c>
      <c r="AL69" s="14">
        <f t="shared" si="2"/>
        <v>2016</v>
      </c>
      <c r="AM69" s="96" t="s">
        <v>903</v>
      </c>
      <c r="AN69" s="14">
        <f t="shared" si="3"/>
        <v>5</v>
      </c>
      <c r="AO69" s="14">
        <f t="shared" si="27"/>
        <v>201606</v>
      </c>
      <c r="AP69" s="14" t="str">
        <f t="shared" si="5"/>
        <v>西方龙传记-5</v>
      </c>
      <c r="AQ69" s="14" t="str">
        <f t="shared" si="6"/>
        <v>西方龙传记-5</v>
      </c>
      <c r="AR69" s="14">
        <f t="shared" si="7"/>
        <v>80</v>
      </c>
      <c r="AS69" s="14" t="str">
        <f t="shared" si="8"/>
        <v/>
      </c>
      <c r="AT69" s="98">
        <v>3</v>
      </c>
      <c r="AU69" s="99" t="s">
        <v>907</v>
      </c>
      <c r="AV69" s="14" t="str">
        <f t="shared" si="9"/>
        <v>KP_KM_1102016</v>
      </c>
      <c r="AW69" s="14">
        <f t="shared" si="10"/>
        <v>1102016</v>
      </c>
      <c r="AX69" s="14" t="str">
        <f t="shared" si="11"/>
        <v>西方龙传记5-1</v>
      </c>
      <c r="AY69" s="14" t="str">
        <f t="shared" si="12"/>
        <v>西方龙传记5-1</v>
      </c>
      <c r="AZ69" s="14" t="str">
        <f t="shared" si="13"/>
        <v>西方龙碎片</v>
      </c>
      <c r="BA69" s="14" t="str">
        <f t="shared" si="14"/>
        <v>1~2</v>
      </c>
      <c r="BB69" s="14" t="str">
        <f t="shared" si="15"/>
        <v>西方龙专属武器碎片</v>
      </c>
      <c r="BC69" s="14">
        <f t="shared" si="16"/>
        <v>1</v>
      </c>
      <c r="BD69" s="96"/>
      <c r="BG69" s="97">
        <v>65</v>
      </c>
      <c r="BH69" s="14">
        <f t="shared" si="17"/>
        <v>8</v>
      </c>
      <c r="BI69" s="14">
        <f t="shared" si="18"/>
        <v>3</v>
      </c>
      <c r="BJ69" s="14">
        <f t="shared" si="19"/>
        <v>3065</v>
      </c>
      <c r="BK69" s="14" t="str">
        <f t="shared" si="20"/>
        <v>张飞传记3-1</v>
      </c>
      <c r="BM69" s="14" t="str">
        <f t="shared" si="21"/>
        <v>张飞传记3-1 张飞碎片</v>
      </c>
      <c r="BN69" s="14" t="str">
        <f t="shared" si="22"/>
        <v>张飞碎片</v>
      </c>
      <c r="BO69" s="14">
        <f t="shared" si="23"/>
        <v>1</v>
      </c>
      <c r="BP69" s="14">
        <f t="shared" si="24"/>
        <v>2</v>
      </c>
      <c r="BQ69" s="14">
        <v>10000</v>
      </c>
    </row>
    <row r="70" spans="35:69" ht="16.5" x14ac:dyDescent="0.2">
      <c r="AI70" s="96">
        <v>66</v>
      </c>
      <c r="AJ70" s="14">
        <f t="shared" ref="AJ70:AJ110" si="28">MATCH(AI70-1,$H$5:$H$22,1)</f>
        <v>10</v>
      </c>
      <c r="AK70" s="14">
        <f t="shared" ref="AK70:AK110" si="29">AL70*100+AN70</f>
        <v>201606</v>
      </c>
      <c r="AL70" s="14">
        <f t="shared" ref="AL70:AL110" si="30">INDEX($E$6:$E$22,AJ70)</f>
        <v>2016</v>
      </c>
      <c r="AM70" s="96" t="s">
        <v>903</v>
      </c>
      <c r="AN70" s="14">
        <f t="shared" ref="AN70:AN110" si="31">AI70-INDEX($H$5:$H$22,AJ70)</f>
        <v>6</v>
      </c>
      <c r="AO70" s="14">
        <f t="shared" si="27"/>
        <v>201607</v>
      </c>
      <c r="AP70" s="14" t="str">
        <f t="shared" ref="AP70:AP110" si="32">INDEX($F$6:$F$22,AJ70)&amp;"-"&amp;AN70</f>
        <v>西方龙传记-6</v>
      </c>
      <c r="AQ70" s="14" t="str">
        <f t="shared" ref="AQ70:AQ110" si="33">AP70</f>
        <v>西方龙传记-6</v>
      </c>
      <c r="AR70" s="14">
        <f t="shared" ref="AR70:AR110" si="34">INDEX($N$6:$N$13,AN70)</f>
        <v>90</v>
      </c>
      <c r="AS70" s="14">
        <f t="shared" ref="AS70:AS110" si="35">IF(INDEX($O$6:$O$13,AN70)&gt;0,INDEX($O$6:$O$13,AN70),"")</f>
        <v>2</v>
      </c>
      <c r="AT70" s="98">
        <v>3</v>
      </c>
      <c r="AU70" s="99" t="s">
        <v>907</v>
      </c>
      <c r="AV70" s="14" t="str">
        <f t="shared" ref="AV70:AV110" si="36">"KP_KM_"&amp;INDEX($A$6:$A$22,AJ70)</f>
        <v>KP_KM_1102016</v>
      </c>
      <c r="AW70" s="14">
        <f t="shared" ref="AW70:AW110" si="37">INDEX($A$6:$A$22,AJ70)</f>
        <v>1102016</v>
      </c>
      <c r="AX70" s="14" t="str">
        <f t="shared" ref="AX70:AX110" si="38">INDEX($F$6:$F$22,AJ70)&amp;AN70&amp;"-1"</f>
        <v>西方龙传记6-1</v>
      </c>
      <c r="AY70" s="14" t="str">
        <f t="shared" ref="AY70:AY110" si="39">IF(INDEX($P$6:$P$13,AN70)&gt;=2,INDEX($F$6:$F$22,AJ70)&amp;AN70&amp;"-1","")</f>
        <v>西方龙传记6-1</v>
      </c>
      <c r="AZ70" s="14" t="str">
        <f t="shared" ref="AZ70:AZ110" si="40">INDEX($B$6:$B$22,AJ70)&amp;INDEX($Q$6:$Q$13,AN70)</f>
        <v>西方龙碎片</v>
      </c>
      <c r="BA70" s="14" t="str">
        <f t="shared" ref="BA70:BA110" si="41">IF(INDEX($R$6:$R$13,AN70)&lt;&gt;INDEX($S$6:$S$13,AN70),INDEX($R$6:$R$13,AN70)&amp;"~"&amp;INDEX($S$6:$S$13,AN70),INDEX($R$6:$R$13,AN70))</f>
        <v>1~2</v>
      </c>
      <c r="BB70" s="14" t="str">
        <f t="shared" ref="BB70:BB110" si="42">IF(INDEX($P$6:$P$13,AN70)&gt;1,INDEX($B$6:$B$22,AJ70)&amp;INDEX($T$6:$T$13,AN70),"")</f>
        <v>西方龙专属武器碎片</v>
      </c>
      <c r="BC70" s="14">
        <f t="shared" ref="BC70:BC110" si="43">IF(INDEX($P$6:$P$13,AN70)&gt;1,IF(INDEX($U$6:$U$13,AN70)&lt;&gt;INDEX($V$6:$V$13,AN70),INDEX($U$6:$U$13,AN70)&amp;"~"&amp;INDEX($V$6:$V$13,AN70),INDEX($U$6:$U$13,AN70)),"")</f>
        <v>1</v>
      </c>
      <c r="BD70" s="96"/>
      <c r="BG70" s="97">
        <v>66</v>
      </c>
      <c r="BH70" s="14">
        <f t="shared" ref="BH70:BH133" si="44">MATCH(BG70-1,$J$5:$J$22,1)</f>
        <v>8</v>
      </c>
      <c r="BI70" s="14">
        <f t="shared" ref="BI70:BI110" si="45">BG70-INDEX($J$5:$J$21,BH70)</f>
        <v>4</v>
      </c>
      <c r="BJ70" s="14">
        <f t="shared" ref="BJ70:BJ110" si="46">3000+BG70</f>
        <v>3066</v>
      </c>
      <c r="BK70" s="14" t="str">
        <f t="shared" ref="BK70:BK110" si="47">INDEX($F$6:$F$22,BH70)&amp;INDEX($AA$5:$AA$15,BI70)</f>
        <v>张飞传记4-1</v>
      </c>
      <c r="BM70" s="14" t="str">
        <f t="shared" ref="BM70:BM133" si="48">BK70&amp;" "&amp;BN70</f>
        <v>张飞传记4-1 张飞专属武器碎片</v>
      </c>
      <c r="BN70" s="14" t="str">
        <f t="shared" ref="BN70:BN133" si="49">INDEX($B$6:$B$22,BH70)&amp;INDEX($AB$5:$AB$15,BI70)</f>
        <v>张飞专属武器碎片</v>
      </c>
      <c r="BO70" s="14">
        <f t="shared" ref="BO70:BO133" si="50">INDEX(AC$5:AC$15,$BI70)</f>
        <v>1</v>
      </c>
      <c r="BP70" s="14">
        <f t="shared" ref="BP70:BP133" si="51">INDEX(AD$5:AD$15,$BI70)</f>
        <v>1</v>
      </c>
      <c r="BQ70" s="14">
        <v>10000</v>
      </c>
    </row>
    <row r="71" spans="35:69" ht="16.5" x14ac:dyDescent="0.2">
      <c r="AI71" s="96">
        <v>67</v>
      </c>
      <c r="AJ71" s="14">
        <f t="shared" si="28"/>
        <v>10</v>
      </c>
      <c r="AK71" s="14">
        <f t="shared" si="29"/>
        <v>201607</v>
      </c>
      <c r="AL71" s="14">
        <f t="shared" si="30"/>
        <v>2016</v>
      </c>
      <c r="AM71" s="96" t="s">
        <v>903</v>
      </c>
      <c r="AN71" s="14">
        <f t="shared" si="31"/>
        <v>7</v>
      </c>
      <c r="AO71" s="14">
        <f t="shared" si="27"/>
        <v>201608</v>
      </c>
      <c r="AP71" s="14" t="str">
        <f t="shared" si="32"/>
        <v>西方龙传记-7</v>
      </c>
      <c r="AQ71" s="14" t="str">
        <f t="shared" si="33"/>
        <v>西方龙传记-7</v>
      </c>
      <c r="AR71" s="14">
        <f t="shared" si="34"/>
        <v>100</v>
      </c>
      <c r="AS71" s="14">
        <f t="shared" si="35"/>
        <v>2</v>
      </c>
      <c r="AT71" s="98">
        <v>3</v>
      </c>
      <c r="AU71" s="99" t="s">
        <v>907</v>
      </c>
      <c r="AV71" s="14" t="str">
        <f t="shared" si="36"/>
        <v>KP_KM_1102016</v>
      </c>
      <c r="AW71" s="14">
        <f t="shared" si="37"/>
        <v>1102016</v>
      </c>
      <c r="AX71" s="14" t="str">
        <f t="shared" si="38"/>
        <v>西方龙传记7-1</v>
      </c>
      <c r="AY71" s="14" t="str">
        <f t="shared" si="39"/>
        <v>西方龙传记7-1</v>
      </c>
      <c r="AZ71" s="14" t="str">
        <f t="shared" si="40"/>
        <v>西方龙碎片</v>
      </c>
      <c r="BA71" s="14" t="str">
        <f t="shared" si="41"/>
        <v>1~2</v>
      </c>
      <c r="BB71" s="14" t="str">
        <f t="shared" si="42"/>
        <v>西方龙专属武器碎片</v>
      </c>
      <c r="BC71" s="14">
        <f t="shared" si="43"/>
        <v>1</v>
      </c>
      <c r="BD71" s="96"/>
      <c r="BG71" s="97">
        <v>67</v>
      </c>
      <c r="BH71" s="14">
        <f t="shared" si="44"/>
        <v>8</v>
      </c>
      <c r="BI71" s="14">
        <f t="shared" si="45"/>
        <v>5</v>
      </c>
      <c r="BJ71" s="14">
        <f t="shared" si="46"/>
        <v>3067</v>
      </c>
      <c r="BK71" s="14" t="str">
        <f t="shared" si="47"/>
        <v>张飞传记5-1</v>
      </c>
      <c r="BM71" s="14" t="str">
        <f t="shared" si="48"/>
        <v>张飞传记5-1 张飞碎片</v>
      </c>
      <c r="BN71" s="14" t="str">
        <f t="shared" si="49"/>
        <v>张飞碎片</v>
      </c>
      <c r="BO71" s="14">
        <f t="shared" si="50"/>
        <v>1</v>
      </c>
      <c r="BP71" s="14">
        <f t="shared" si="51"/>
        <v>2</v>
      </c>
      <c r="BQ71" s="14">
        <v>10000</v>
      </c>
    </row>
    <row r="72" spans="35:69" ht="16.5" x14ac:dyDescent="0.2">
      <c r="AI72" s="96">
        <v>68</v>
      </c>
      <c r="AJ72" s="14">
        <f t="shared" si="28"/>
        <v>10</v>
      </c>
      <c r="AK72" s="14">
        <f t="shared" si="29"/>
        <v>201608</v>
      </c>
      <c r="AL72" s="14">
        <f t="shared" si="30"/>
        <v>2016</v>
      </c>
      <c r="AM72" s="96" t="s">
        <v>903</v>
      </c>
      <c r="AN72" s="14">
        <f t="shared" si="31"/>
        <v>8</v>
      </c>
      <c r="AO72" s="14">
        <f t="shared" si="27"/>
        <v>-1</v>
      </c>
      <c r="AP72" s="14" t="str">
        <f t="shared" si="32"/>
        <v>西方龙传记-8</v>
      </c>
      <c r="AQ72" s="14" t="str">
        <f t="shared" si="33"/>
        <v>西方龙传记-8</v>
      </c>
      <c r="AR72" s="14">
        <f t="shared" si="34"/>
        <v>120</v>
      </c>
      <c r="AS72" s="14">
        <f t="shared" si="35"/>
        <v>2</v>
      </c>
      <c r="AT72" s="98">
        <v>3</v>
      </c>
      <c r="AU72" s="99" t="s">
        <v>907</v>
      </c>
      <c r="AV72" s="14" t="str">
        <f t="shared" si="36"/>
        <v>KP_KM_1102016</v>
      </c>
      <c r="AW72" s="14">
        <f t="shared" si="37"/>
        <v>1102016</v>
      </c>
      <c r="AX72" s="14" t="str">
        <f t="shared" si="38"/>
        <v>西方龙传记8-1</v>
      </c>
      <c r="AY72" s="14" t="str">
        <f t="shared" si="39"/>
        <v/>
      </c>
      <c r="AZ72" s="14" t="str">
        <f t="shared" si="40"/>
        <v>西方龙碎片</v>
      </c>
      <c r="BA72" s="14">
        <f t="shared" si="41"/>
        <v>2</v>
      </c>
      <c r="BB72" s="14" t="str">
        <f t="shared" si="42"/>
        <v/>
      </c>
      <c r="BC72" s="14" t="str">
        <f t="shared" si="43"/>
        <v/>
      </c>
      <c r="BD72" s="96"/>
      <c r="BG72" s="97">
        <v>68</v>
      </c>
      <c r="BH72" s="14">
        <f t="shared" si="44"/>
        <v>8</v>
      </c>
      <c r="BI72" s="14">
        <f t="shared" si="45"/>
        <v>6</v>
      </c>
      <c r="BJ72" s="14">
        <f t="shared" si="46"/>
        <v>3068</v>
      </c>
      <c r="BK72" s="14" t="str">
        <f t="shared" si="47"/>
        <v>张飞传记5-2</v>
      </c>
      <c r="BM72" s="14" t="str">
        <f t="shared" si="48"/>
        <v>张飞传记5-2 张飞专属武器碎片</v>
      </c>
      <c r="BN72" s="14" t="str">
        <f t="shared" si="49"/>
        <v>张飞专属武器碎片</v>
      </c>
      <c r="BO72" s="14">
        <f t="shared" si="50"/>
        <v>1</v>
      </c>
      <c r="BP72" s="14">
        <f t="shared" si="51"/>
        <v>1</v>
      </c>
      <c r="BQ72" s="14">
        <v>10000</v>
      </c>
    </row>
    <row r="73" spans="35:69" ht="16.5" x14ac:dyDescent="0.2">
      <c r="AI73" s="96">
        <v>69</v>
      </c>
      <c r="AJ73" s="14">
        <f t="shared" si="28"/>
        <v>11</v>
      </c>
      <c r="AK73" s="14">
        <f t="shared" si="29"/>
        <v>201701</v>
      </c>
      <c r="AL73" s="14">
        <f t="shared" si="30"/>
        <v>2017</v>
      </c>
      <c r="AM73" s="96" t="s">
        <v>903</v>
      </c>
      <c r="AN73" s="14">
        <f t="shared" si="31"/>
        <v>1</v>
      </c>
      <c r="AO73" s="14">
        <f t="shared" si="27"/>
        <v>201702</v>
      </c>
      <c r="AP73" s="14" t="str">
        <f t="shared" si="32"/>
        <v>飞廉传记-1</v>
      </c>
      <c r="AQ73" s="14" t="str">
        <f t="shared" si="33"/>
        <v>飞廉传记-1</v>
      </c>
      <c r="AR73" s="14">
        <f t="shared" si="34"/>
        <v>30</v>
      </c>
      <c r="AS73" s="14" t="str">
        <f t="shared" si="35"/>
        <v/>
      </c>
      <c r="AT73" s="98">
        <v>3</v>
      </c>
      <c r="AU73" s="99" t="s">
        <v>907</v>
      </c>
      <c r="AV73" s="14" t="str">
        <f t="shared" si="36"/>
        <v>KP_KM_1102017</v>
      </c>
      <c r="AW73" s="14">
        <f t="shared" si="37"/>
        <v>1102017</v>
      </c>
      <c r="AX73" s="14" t="str">
        <f t="shared" si="38"/>
        <v>飞廉传记1-1</v>
      </c>
      <c r="AY73" s="14" t="str">
        <f t="shared" si="39"/>
        <v/>
      </c>
      <c r="AZ73" s="14" t="str">
        <f t="shared" si="40"/>
        <v>飞廉碎片</v>
      </c>
      <c r="BA73" s="14">
        <f t="shared" si="41"/>
        <v>1</v>
      </c>
      <c r="BB73" s="14" t="str">
        <f t="shared" si="42"/>
        <v/>
      </c>
      <c r="BC73" s="14" t="str">
        <f t="shared" si="43"/>
        <v/>
      </c>
      <c r="BD73" s="96"/>
      <c r="BG73" s="97">
        <v>69</v>
      </c>
      <c r="BH73" s="14">
        <f t="shared" si="44"/>
        <v>8</v>
      </c>
      <c r="BI73" s="14">
        <f t="shared" si="45"/>
        <v>7</v>
      </c>
      <c r="BJ73" s="14">
        <f t="shared" si="46"/>
        <v>3069</v>
      </c>
      <c r="BK73" s="14" t="str">
        <f t="shared" si="47"/>
        <v>张飞传记6-1</v>
      </c>
      <c r="BM73" s="14" t="str">
        <f t="shared" si="48"/>
        <v>张飞传记6-1 张飞碎片</v>
      </c>
      <c r="BN73" s="14" t="str">
        <f t="shared" si="49"/>
        <v>张飞碎片</v>
      </c>
      <c r="BO73" s="14">
        <f t="shared" si="50"/>
        <v>1</v>
      </c>
      <c r="BP73" s="14">
        <f t="shared" si="51"/>
        <v>2</v>
      </c>
      <c r="BQ73" s="14">
        <v>10000</v>
      </c>
    </row>
    <row r="74" spans="35:69" ht="16.5" x14ac:dyDescent="0.2">
      <c r="AI74" s="96">
        <v>70</v>
      </c>
      <c r="AJ74" s="14">
        <f t="shared" si="28"/>
        <v>11</v>
      </c>
      <c r="AK74" s="14">
        <f t="shared" si="29"/>
        <v>201702</v>
      </c>
      <c r="AL74" s="14">
        <f t="shared" si="30"/>
        <v>2017</v>
      </c>
      <c r="AM74" s="96" t="s">
        <v>903</v>
      </c>
      <c r="AN74" s="14">
        <f t="shared" si="31"/>
        <v>2</v>
      </c>
      <c r="AO74" s="14">
        <f t="shared" si="27"/>
        <v>201703</v>
      </c>
      <c r="AP74" s="14" t="str">
        <f t="shared" si="32"/>
        <v>飞廉传记-2</v>
      </c>
      <c r="AQ74" s="14" t="str">
        <f t="shared" si="33"/>
        <v>飞廉传记-2</v>
      </c>
      <c r="AR74" s="14">
        <f t="shared" si="34"/>
        <v>40</v>
      </c>
      <c r="AS74" s="14" t="str">
        <f t="shared" si="35"/>
        <v/>
      </c>
      <c r="AT74" s="98">
        <v>3</v>
      </c>
      <c r="AU74" s="99" t="s">
        <v>907</v>
      </c>
      <c r="AV74" s="14" t="str">
        <f t="shared" si="36"/>
        <v>KP_KM_1102017</v>
      </c>
      <c r="AW74" s="14">
        <f t="shared" si="37"/>
        <v>1102017</v>
      </c>
      <c r="AX74" s="14" t="str">
        <f t="shared" si="38"/>
        <v>飞廉传记2-1</v>
      </c>
      <c r="AY74" s="14" t="str">
        <f t="shared" si="39"/>
        <v/>
      </c>
      <c r="AZ74" s="14" t="str">
        <f t="shared" si="40"/>
        <v>飞廉碎片</v>
      </c>
      <c r="BA74" s="14">
        <f t="shared" si="41"/>
        <v>1</v>
      </c>
      <c r="BB74" s="14" t="str">
        <f t="shared" si="42"/>
        <v/>
      </c>
      <c r="BC74" s="14" t="str">
        <f t="shared" si="43"/>
        <v/>
      </c>
      <c r="BD74" s="96"/>
      <c r="BG74" s="97">
        <v>70</v>
      </c>
      <c r="BH74" s="14">
        <f t="shared" si="44"/>
        <v>8</v>
      </c>
      <c r="BI74" s="14">
        <f t="shared" si="45"/>
        <v>8</v>
      </c>
      <c r="BJ74" s="14">
        <f t="shared" si="46"/>
        <v>3070</v>
      </c>
      <c r="BK74" s="14" t="str">
        <f t="shared" si="47"/>
        <v>张飞传记6-2</v>
      </c>
      <c r="BM74" s="14" t="str">
        <f t="shared" si="48"/>
        <v>张飞传记6-2 张飞专属武器碎片</v>
      </c>
      <c r="BN74" s="14" t="str">
        <f t="shared" si="49"/>
        <v>张飞专属武器碎片</v>
      </c>
      <c r="BO74" s="14">
        <f t="shared" si="50"/>
        <v>1</v>
      </c>
      <c r="BP74" s="14">
        <f t="shared" si="51"/>
        <v>1</v>
      </c>
      <c r="BQ74" s="14">
        <v>10000</v>
      </c>
    </row>
    <row r="75" spans="35:69" ht="16.5" x14ac:dyDescent="0.2">
      <c r="AI75" s="96">
        <v>71</v>
      </c>
      <c r="AJ75" s="14">
        <f t="shared" si="28"/>
        <v>11</v>
      </c>
      <c r="AK75" s="14">
        <f t="shared" si="29"/>
        <v>201703</v>
      </c>
      <c r="AL75" s="14">
        <f t="shared" si="30"/>
        <v>2017</v>
      </c>
      <c r="AM75" s="96" t="s">
        <v>903</v>
      </c>
      <c r="AN75" s="14">
        <f t="shared" si="31"/>
        <v>3</v>
      </c>
      <c r="AO75" s="14">
        <f t="shared" ref="AO75:AO110" si="52">IF(AJ76=AJ75,AK76,-1)</f>
        <v>201704</v>
      </c>
      <c r="AP75" s="14" t="str">
        <f t="shared" si="32"/>
        <v>飞廉传记-3</v>
      </c>
      <c r="AQ75" s="14" t="str">
        <f t="shared" si="33"/>
        <v>飞廉传记-3</v>
      </c>
      <c r="AR75" s="14">
        <f t="shared" si="34"/>
        <v>55</v>
      </c>
      <c r="AS75" s="14" t="str">
        <f t="shared" si="35"/>
        <v/>
      </c>
      <c r="AT75" s="98">
        <v>3</v>
      </c>
      <c r="AU75" s="99" t="s">
        <v>907</v>
      </c>
      <c r="AV75" s="14" t="str">
        <f t="shared" si="36"/>
        <v>KP_KM_1102017</v>
      </c>
      <c r="AW75" s="14">
        <f t="shared" si="37"/>
        <v>1102017</v>
      </c>
      <c r="AX75" s="14" t="str">
        <f t="shared" si="38"/>
        <v>飞廉传记3-1</v>
      </c>
      <c r="AY75" s="14" t="str">
        <f t="shared" si="39"/>
        <v/>
      </c>
      <c r="AZ75" s="14" t="str">
        <f t="shared" si="40"/>
        <v>飞廉碎片</v>
      </c>
      <c r="BA75" s="14" t="str">
        <f t="shared" si="41"/>
        <v>1~2</v>
      </c>
      <c r="BB75" s="14" t="str">
        <f t="shared" si="42"/>
        <v/>
      </c>
      <c r="BC75" s="14" t="str">
        <f t="shared" si="43"/>
        <v/>
      </c>
      <c r="BD75" s="96"/>
      <c r="BG75" s="97">
        <v>71</v>
      </c>
      <c r="BH75" s="14">
        <f t="shared" si="44"/>
        <v>8</v>
      </c>
      <c r="BI75" s="14">
        <f t="shared" si="45"/>
        <v>9</v>
      </c>
      <c r="BJ75" s="14">
        <f t="shared" si="46"/>
        <v>3071</v>
      </c>
      <c r="BK75" s="14" t="str">
        <f t="shared" si="47"/>
        <v>张飞传记7-1</v>
      </c>
      <c r="BM75" s="14" t="str">
        <f t="shared" si="48"/>
        <v>张飞传记7-1 张飞碎片</v>
      </c>
      <c r="BN75" s="14" t="str">
        <f t="shared" si="49"/>
        <v>张飞碎片</v>
      </c>
      <c r="BO75" s="14">
        <f t="shared" si="50"/>
        <v>1</v>
      </c>
      <c r="BP75" s="14">
        <f t="shared" si="51"/>
        <v>2</v>
      </c>
      <c r="BQ75" s="14">
        <v>10000</v>
      </c>
    </row>
    <row r="76" spans="35:69" ht="16.5" x14ac:dyDescent="0.2">
      <c r="AI76" s="96">
        <v>72</v>
      </c>
      <c r="AJ76" s="14">
        <f t="shared" si="28"/>
        <v>11</v>
      </c>
      <c r="AK76" s="14">
        <f t="shared" si="29"/>
        <v>201704</v>
      </c>
      <c r="AL76" s="14">
        <f t="shared" si="30"/>
        <v>2017</v>
      </c>
      <c r="AM76" s="96" t="s">
        <v>903</v>
      </c>
      <c r="AN76" s="14">
        <f t="shared" si="31"/>
        <v>4</v>
      </c>
      <c r="AO76" s="14">
        <f t="shared" si="52"/>
        <v>201705</v>
      </c>
      <c r="AP76" s="14" t="str">
        <f t="shared" si="32"/>
        <v>飞廉传记-4</v>
      </c>
      <c r="AQ76" s="14" t="str">
        <f t="shared" si="33"/>
        <v>飞廉传记-4</v>
      </c>
      <c r="AR76" s="14">
        <f t="shared" si="34"/>
        <v>70</v>
      </c>
      <c r="AS76" s="14" t="str">
        <f t="shared" si="35"/>
        <v/>
      </c>
      <c r="AT76" s="98">
        <v>3</v>
      </c>
      <c r="AU76" s="99" t="s">
        <v>907</v>
      </c>
      <c r="AV76" s="14" t="str">
        <f t="shared" si="36"/>
        <v>KP_KM_1102017</v>
      </c>
      <c r="AW76" s="14">
        <f t="shared" si="37"/>
        <v>1102017</v>
      </c>
      <c r="AX76" s="14" t="str">
        <f t="shared" si="38"/>
        <v>飞廉传记4-1</v>
      </c>
      <c r="AY76" s="14" t="str">
        <f t="shared" si="39"/>
        <v/>
      </c>
      <c r="AZ76" s="14" t="str">
        <f t="shared" si="40"/>
        <v>飞廉专属武器碎片</v>
      </c>
      <c r="BA76" s="14">
        <f t="shared" si="41"/>
        <v>1</v>
      </c>
      <c r="BB76" s="14" t="str">
        <f t="shared" si="42"/>
        <v/>
      </c>
      <c r="BC76" s="14" t="str">
        <f t="shared" si="43"/>
        <v/>
      </c>
      <c r="BD76" s="96"/>
      <c r="BG76" s="97">
        <v>72</v>
      </c>
      <c r="BH76" s="14">
        <f t="shared" si="44"/>
        <v>8</v>
      </c>
      <c r="BI76" s="14">
        <f t="shared" si="45"/>
        <v>10</v>
      </c>
      <c r="BJ76" s="14">
        <f t="shared" si="46"/>
        <v>3072</v>
      </c>
      <c r="BK76" s="14" t="str">
        <f t="shared" si="47"/>
        <v>张飞传记7-2</v>
      </c>
      <c r="BM76" s="14" t="str">
        <f t="shared" si="48"/>
        <v>张飞传记7-2 张飞专属武器碎片</v>
      </c>
      <c r="BN76" s="14" t="str">
        <f t="shared" si="49"/>
        <v>张飞专属武器碎片</v>
      </c>
      <c r="BO76" s="14">
        <f t="shared" si="50"/>
        <v>1</v>
      </c>
      <c r="BP76" s="14">
        <f t="shared" si="51"/>
        <v>1</v>
      </c>
      <c r="BQ76" s="14">
        <v>10000</v>
      </c>
    </row>
    <row r="77" spans="35:69" ht="16.5" x14ac:dyDescent="0.2">
      <c r="AI77" s="96">
        <v>73</v>
      </c>
      <c r="AJ77" s="14">
        <f t="shared" si="28"/>
        <v>11</v>
      </c>
      <c r="AK77" s="14">
        <f t="shared" si="29"/>
        <v>201705</v>
      </c>
      <c r="AL77" s="14">
        <f t="shared" si="30"/>
        <v>2017</v>
      </c>
      <c r="AM77" s="96" t="s">
        <v>903</v>
      </c>
      <c r="AN77" s="14">
        <f t="shared" si="31"/>
        <v>5</v>
      </c>
      <c r="AO77" s="14">
        <f t="shared" si="52"/>
        <v>-1</v>
      </c>
      <c r="AP77" s="14" t="str">
        <f t="shared" si="32"/>
        <v>飞廉传记-5</v>
      </c>
      <c r="AQ77" s="14" t="str">
        <f t="shared" si="33"/>
        <v>飞廉传记-5</v>
      </c>
      <c r="AR77" s="14">
        <f t="shared" si="34"/>
        <v>80</v>
      </c>
      <c r="AS77" s="14" t="str">
        <f t="shared" si="35"/>
        <v/>
      </c>
      <c r="AT77" s="98">
        <v>3</v>
      </c>
      <c r="AU77" s="99" t="s">
        <v>907</v>
      </c>
      <c r="AV77" s="14" t="str">
        <f t="shared" si="36"/>
        <v>KP_KM_1102017</v>
      </c>
      <c r="AW77" s="14">
        <f t="shared" si="37"/>
        <v>1102017</v>
      </c>
      <c r="AX77" s="14" t="str">
        <f t="shared" si="38"/>
        <v>飞廉传记5-1</v>
      </c>
      <c r="AY77" s="14" t="str">
        <f t="shared" si="39"/>
        <v>飞廉传记5-1</v>
      </c>
      <c r="AZ77" s="14" t="str">
        <f t="shared" si="40"/>
        <v>飞廉碎片</v>
      </c>
      <c r="BA77" s="14" t="str">
        <f t="shared" si="41"/>
        <v>1~2</v>
      </c>
      <c r="BB77" s="14" t="str">
        <f t="shared" si="42"/>
        <v>飞廉专属武器碎片</v>
      </c>
      <c r="BC77" s="14">
        <f t="shared" si="43"/>
        <v>1</v>
      </c>
      <c r="BD77" s="96"/>
      <c r="BG77" s="97">
        <v>73</v>
      </c>
      <c r="BH77" s="14">
        <f t="shared" si="44"/>
        <v>8</v>
      </c>
      <c r="BI77" s="14">
        <f t="shared" si="45"/>
        <v>11</v>
      </c>
      <c r="BJ77" s="14">
        <f t="shared" si="46"/>
        <v>3073</v>
      </c>
      <c r="BK77" s="14" t="str">
        <f t="shared" si="47"/>
        <v>张飞传记8-1</v>
      </c>
      <c r="BM77" s="14" t="str">
        <f t="shared" si="48"/>
        <v>张飞传记8-1 张飞碎片</v>
      </c>
      <c r="BN77" s="14" t="str">
        <f t="shared" si="49"/>
        <v>张飞碎片</v>
      </c>
      <c r="BO77" s="14">
        <f t="shared" si="50"/>
        <v>2</v>
      </c>
      <c r="BP77" s="14">
        <f t="shared" si="51"/>
        <v>2</v>
      </c>
      <c r="BQ77" s="14">
        <v>10000</v>
      </c>
    </row>
    <row r="78" spans="35:69" ht="16.5" x14ac:dyDescent="0.2">
      <c r="AI78" s="96">
        <v>74</v>
      </c>
      <c r="AJ78" s="14">
        <f t="shared" si="28"/>
        <v>12</v>
      </c>
      <c r="AK78" s="14">
        <f t="shared" si="29"/>
        <v>202001</v>
      </c>
      <c r="AL78" s="14">
        <f t="shared" si="30"/>
        <v>2020</v>
      </c>
      <c r="AM78" s="96" t="s">
        <v>903</v>
      </c>
      <c r="AN78" s="14">
        <f t="shared" si="31"/>
        <v>1</v>
      </c>
      <c r="AO78" s="14">
        <f t="shared" si="52"/>
        <v>202002</v>
      </c>
      <c r="AP78" s="14" t="str">
        <f t="shared" si="32"/>
        <v>高顺传记-1</v>
      </c>
      <c r="AQ78" s="14" t="str">
        <f t="shared" si="33"/>
        <v>高顺传记-1</v>
      </c>
      <c r="AR78" s="14">
        <f t="shared" si="34"/>
        <v>30</v>
      </c>
      <c r="AS78" s="14" t="str">
        <f t="shared" si="35"/>
        <v/>
      </c>
      <c r="AT78" s="98">
        <v>3</v>
      </c>
      <c r="AU78" s="99" t="s">
        <v>907</v>
      </c>
      <c r="AV78" s="14" t="str">
        <f t="shared" si="36"/>
        <v>KP_KM_1102020</v>
      </c>
      <c r="AW78" s="14">
        <f t="shared" si="37"/>
        <v>1102020</v>
      </c>
      <c r="AX78" s="14" t="str">
        <f t="shared" si="38"/>
        <v>高顺传记1-1</v>
      </c>
      <c r="AY78" s="14" t="str">
        <f t="shared" si="39"/>
        <v/>
      </c>
      <c r="AZ78" s="14" t="str">
        <f t="shared" si="40"/>
        <v>高顺碎片</v>
      </c>
      <c r="BA78" s="14">
        <f t="shared" si="41"/>
        <v>1</v>
      </c>
      <c r="BB78" s="14" t="str">
        <f t="shared" si="42"/>
        <v/>
      </c>
      <c r="BC78" s="14" t="str">
        <f t="shared" si="43"/>
        <v/>
      </c>
      <c r="BD78" s="96"/>
      <c r="BG78" s="97">
        <v>74</v>
      </c>
      <c r="BH78" s="14">
        <f t="shared" si="44"/>
        <v>9</v>
      </c>
      <c r="BI78" s="14">
        <f t="shared" si="45"/>
        <v>1</v>
      </c>
      <c r="BJ78" s="14">
        <f t="shared" si="46"/>
        <v>3074</v>
      </c>
      <c r="BK78" s="14" t="str">
        <f t="shared" si="47"/>
        <v>石灵明传记1-1</v>
      </c>
      <c r="BM78" s="14" t="str">
        <f t="shared" si="48"/>
        <v>石灵明传记1-1 石灵明碎片</v>
      </c>
      <c r="BN78" s="14" t="str">
        <f t="shared" si="49"/>
        <v>石灵明碎片</v>
      </c>
      <c r="BO78" s="14">
        <f t="shared" si="50"/>
        <v>1</v>
      </c>
      <c r="BP78" s="14">
        <f t="shared" si="51"/>
        <v>1</v>
      </c>
      <c r="BQ78" s="14">
        <v>10000</v>
      </c>
    </row>
    <row r="79" spans="35:69" ht="16.5" x14ac:dyDescent="0.2">
      <c r="AI79" s="96">
        <v>75</v>
      </c>
      <c r="AJ79" s="14">
        <f t="shared" si="28"/>
        <v>12</v>
      </c>
      <c r="AK79" s="14">
        <f t="shared" si="29"/>
        <v>202002</v>
      </c>
      <c r="AL79" s="14">
        <f t="shared" si="30"/>
        <v>2020</v>
      </c>
      <c r="AM79" s="96" t="s">
        <v>903</v>
      </c>
      <c r="AN79" s="14">
        <f t="shared" si="31"/>
        <v>2</v>
      </c>
      <c r="AO79" s="14">
        <f t="shared" si="52"/>
        <v>202003</v>
      </c>
      <c r="AP79" s="14" t="str">
        <f t="shared" si="32"/>
        <v>高顺传记-2</v>
      </c>
      <c r="AQ79" s="14" t="str">
        <f t="shared" si="33"/>
        <v>高顺传记-2</v>
      </c>
      <c r="AR79" s="14">
        <f t="shared" si="34"/>
        <v>40</v>
      </c>
      <c r="AS79" s="14" t="str">
        <f t="shared" si="35"/>
        <v/>
      </c>
      <c r="AT79" s="98">
        <v>3</v>
      </c>
      <c r="AU79" s="99" t="s">
        <v>907</v>
      </c>
      <c r="AV79" s="14" t="str">
        <f t="shared" si="36"/>
        <v>KP_KM_1102020</v>
      </c>
      <c r="AW79" s="14">
        <f t="shared" si="37"/>
        <v>1102020</v>
      </c>
      <c r="AX79" s="14" t="str">
        <f t="shared" si="38"/>
        <v>高顺传记2-1</v>
      </c>
      <c r="AY79" s="14" t="str">
        <f t="shared" si="39"/>
        <v/>
      </c>
      <c r="AZ79" s="14" t="str">
        <f t="shared" si="40"/>
        <v>高顺碎片</v>
      </c>
      <c r="BA79" s="14">
        <f t="shared" si="41"/>
        <v>1</v>
      </c>
      <c r="BB79" s="14" t="str">
        <f t="shared" si="42"/>
        <v/>
      </c>
      <c r="BC79" s="14" t="str">
        <f t="shared" si="43"/>
        <v/>
      </c>
      <c r="BD79" s="96"/>
      <c r="BG79" s="97">
        <v>75</v>
      </c>
      <c r="BH79" s="14">
        <f t="shared" si="44"/>
        <v>9</v>
      </c>
      <c r="BI79" s="14">
        <f t="shared" si="45"/>
        <v>2</v>
      </c>
      <c r="BJ79" s="14">
        <f t="shared" si="46"/>
        <v>3075</v>
      </c>
      <c r="BK79" s="14" t="str">
        <f t="shared" si="47"/>
        <v>石灵明传记2-1</v>
      </c>
      <c r="BM79" s="14" t="str">
        <f t="shared" si="48"/>
        <v>石灵明传记2-1 石灵明碎片</v>
      </c>
      <c r="BN79" s="14" t="str">
        <f t="shared" si="49"/>
        <v>石灵明碎片</v>
      </c>
      <c r="BO79" s="14">
        <f t="shared" si="50"/>
        <v>1</v>
      </c>
      <c r="BP79" s="14">
        <f t="shared" si="51"/>
        <v>1</v>
      </c>
      <c r="BQ79" s="14">
        <v>10000</v>
      </c>
    </row>
    <row r="80" spans="35:69" ht="16.5" x14ac:dyDescent="0.2">
      <c r="AI80" s="96">
        <v>76</v>
      </c>
      <c r="AJ80" s="14">
        <f t="shared" si="28"/>
        <v>12</v>
      </c>
      <c r="AK80" s="14">
        <f t="shared" si="29"/>
        <v>202003</v>
      </c>
      <c r="AL80" s="14">
        <f t="shared" si="30"/>
        <v>2020</v>
      </c>
      <c r="AM80" s="96" t="s">
        <v>903</v>
      </c>
      <c r="AN80" s="14">
        <f t="shared" si="31"/>
        <v>3</v>
      </c>
      <c r="AO80" s="14">
        <f t="shared" si="52"/>
        <v>202004</v>
      </c>
      <c r="AP80" s="14" t="str">
        <f t="shared" si="32"/>
        <v>高顺传记-3</v>
      </c>
      <c r="AQ80" s="14" t="str">
        <f t="shared" si="33"/>
        <v>高顺传记-3</v>
      </c>
      <c r="AR80" s="14">
        <f t="shared" si="34"/>
        <v>55</v>
      </c>
      <c r="AS80" s="14" t="str">
        <f t="shared" si="35"/>
        <v/>
      </c>
      <c r="AT80" s="98">
        <v>3</v>
      </c>
      <c r="AU80" s="99" t="s">
        <v>907</v>
      </c>
      <c r="AV80" s="14" t="str">
        <f t="shared" si="36"/>
        <v>KP_KM_1102020</v>
      </c>
      <c r="AW80" s="14">
        <f t="shared" si="37"/>
        <v>1102020</v>
      </c>
      <c r="AX80" s="14" t="str">
        <f t="shared" si="38"/>
        <v>高顺传记3-1</v>
      </c>
      <c r="AY80" s="14" t="str">
        <f t="shared" si="39"/>
        <v/>
      </c>
      <c r="AZ80" s="14" t="str">
        <f t="shared" si="40"/>
        <v>高顺碎片</v>
      </c>
      <c r="BA80" s="14" t="str">
        <f t="shared" si="41"/>
        <v>1~2</v>
      </c>
      <c r="BB80" s="14" t="str">
        <f t="shared" si="42"/>
        <v/>
      </c>
      <c r="BC80" s="14" t="str">
        <f t="shared" si="43"/>
        <v/>
      </c>
      <c r="BD80" s="96"/>
      <c r="BG80" s="97">
        <v>76</v>
      </c>
      <c r="BH80" s="14">
        <f t="shared" si="44"/>
        <v>9</v>
      </c>
      <c r="BI80" s="14">
        <f t="shared" si="45"/>
        <v>3</v>
      </c>
      <c r="BJ80" s="14">
        <f t="shared" si="46"/>
        <v>3076</v>
      </c>
      <c r="BK80" s="14" t="str">
        <f t="shared" si="47"/>
        <v>石灵明传记3-1</v>
      </c>
      <c r="BM80" s="14" t="str">
        <f t="shared" si="48"/>
        <v>石灵明传记3-1 石灵明碎片</v>
      </c>
      <c r="BN80" s="14" t="str">
        <f t="shared" si="49"/>
        <v>石灵明碎片</v>
      </c>
      <c r="BO80" s="14">
        <f t="shared" si="50"/>
        <v>1</v>
      </c>
      <c r="BP80" s="14">
        <f t="shared" si="51"/>
        <v>2</v>
      </c>
      <c r="BQ80" s="14">
        <v>10000</v>
      </c>
    </row>
    <row r="81" spans="35:69" ht="16.5" x14ac:dyDescent="0.2">
      <c r="AI81" s="96">
        <v>77</v>
      </c>
      <c r="AJ81" s="14">
        <f t="shared" si="28"/>
        <v>12</v>
      </c>
      <c r="AK81" s="14">
        <f t="shared" si="29"/>
        <v>202004</v>
      </c>
      <c r="AL81" s="14">
        <f t="shared" si="30"/>
        <v>2020</v>
      </c>
      <c r="AM81" s="96" t="s">
        <v>903</v>
      </c>
      <c r="AN81" s="14">
        <f t="shared" si="31"/>
        <v>4</v>
      </c>
      <c r="AO81" s="14">
        <f t="shared" si="52"/>
        <v>202005</v>
      </c>
      <c r="AP81" s="14" t="str">
        <f t="shared" si="32"/>
        <v>高顺传记-4</v>
      </c>
      <c r="AQ81" s="14" t="str">
        <f t="shared" si="33"/>
        <v>高顺传记-4</v>
      </c>
      <c r="AR81" s="14">
        <f t="shared" si="34"/>
        <v>70</v>
      </c>
      <c r="AS81" s="14" t="str">
        <f t="shared" si="35"/>
        <v/>
      </c>
      <c r="AT81" s="98">
        <v>3</v>
      </c>
      <c r="AU81" s="99" t="s">
        <v>907</v>
      </c>
      <c r="AV81" s="14" t="str">
        <f t="shared" si="36"/>
        <v>KP_KM_1102020</v>
      </c>
      <c r="AW81" s="14">
        <f t="shared" si="37"/>
        <v>1102020</v>
      </c>
      <c r="AX81" s="14" t="str">
        <f t="shared" si="38"/>
        <v>高顺传记4-1</v>
      </c>
      <c r="AY81" s="14" t="str">
        <f t="shared" si="39"/>
        <v/>
      </c>
      <c r="AZ81" s="14" t="str">
        <f t="shared" si="40"/>
        <v>高顺专属武器碎片</v>
      </c>
      <c r="BA81" s="14">
        <f t="shared" si="41"/>
        <v>1</v>
      </c>
      <c r="BB81" s="14" t="str">
        <f t="shared" si="42"/>
        <v/>
      </c>
      <c r="BC81" s="14" t="str">
        <f t="shared" si="43"/>
        <v/>
      </c>
      <c r="BD81" s="96"/>
      <c r="BG81" s="97">
        <v>77</v>
      </c>
      <c r="BH81" s="14">
        <f t="shared" si="44"/>
        <v>9</v>
      </c>
      <c r="BI81" s="14">
        <f t="shared" si="45"/>
        <v>4</v>
      </c>
      <c r="BJ81" s="14">
        <f t="shared" si="46"/>
        <v>3077</v>
      </c>
      <c r="BK81" s="14" t="str">
        <f t="shared" si="47"/>
        <v>石灵明传记4-1</v>
      </c>
      <c r="BM81" s="14" t="str">
        <f t="shared" si="48"/>
        <v>石灵明传记4-1 石灵明专属武器碎片</v>
      </c>
      <c r="BN81" s="14" t="str">
        <f t="shared" si="49"/>
        <v>石灵明专属武器碎片</v>
      </c>
      <c r="BO81" s="14">
        <f t="shared" si="50"/>
        <v>1</v>
      </c>
      <c r="BP81" s="14">
        <f t="shared" si="51"/>
        <v>1</v>
      </c>
      <c r="BQ81" s="14">
        <v>10000</v>
      </c>
    </row>
    <row r="82" spans="35:69" ht="16.5" x14ac:dyDescent="0.2">
      <c r="AI82" s="96">
        <v>78</v>
      </c>
      <c r="AJ82" s="14">
        <f t="shared" si="28"/>
        <v>12</v>
      </c>
      <c r="AK82" s="14">
        <f t="shared" si="29"/>
        <v>202005</v>
      </c>
      <c r="AL82" s="14">
        <f t="shared" si="30"/>
        <v>2020</v>
      </c>
      <c r="AM82" s="96" t="s">
        <v>903</v>
      </c>
      <c r="AN82" s="14">
        <f t="shared" si="31"/>
        <v>5</v>
      </c>
      <c r="AO82" s="14">
        <f t="shared" si="52"/>
        <v>-1</v>
      </c>
      <c r="AP82" s="14" t="str">
        <f t="shared" si="32"/>
        <v>高顺传记-5</v>
      </c>
      <c r="AQ82" s="14" t="str">
        <f t="shared" si="33"/>
        <v>高顺传记-5</v>
      </c>
      <c r="AR82" s="14">
        <f t="shared" si="34"/>
        <v>80</v>
      </c>
      <c r="AS82" s="14" t="str">
        <f t="shared" si="35"/>
        <v/>
      </c>
      <c r="AT82" s="98">
        <v>3</v>
      </c>
      <c r="AU82" s="99" t="s">
        <v>907</v>
      </c>
      <c r="AV82" s="14" t="str">
        <f t="shared" si="36"/>
        <v>KP_KM_1102020</v>
      </c>
      <c r="AW82" s="14">
        <f t="shared" si="37"/>
        <v>1102020</v>
      </c>
      <c r="AX82" s="14" t="str">
        <f t="shared" si="38"/>
        <v>高顺传记5-1</v>
      </c>
      <c r="AY82" s="14" t="str">
        <f t="shared" si="39"/>
        <v>高顺传记5-1</v>
      </c>
      <c r="AZ82" s="14" t="str">
        <f t="shared" si="40"/>
        <v>高顺碎片</v>
      </c>
      <c r="BA82" s="14" t="str">
        <f t="shared" si="41"/>
        <v>1~2</v>
      </c>
      <c r="BB82" s="14" t="str">
        <f t="shared" si="42"/>
        <v>高顺专属武器碎片</v>
      </c>
      <c r="BC82" s="14">
        <f t="shared" si="43"/>
        <v>1</v>
      </c>
      <c r="BD82" s="96"/>
      <c r="BG82" s="97">
        <v>78</v>
      </c>
      <c r="BH82" s="14">
        <f t="shared" si="44"/>
        <v>9</v>
      </c>
      <c r="BI82" s="14">
        <f t="shared" si="45"/>
        <v>5</v>
      </c>
      <c r="BJ82" s="14">
        <f t="shared" si="46"/>
        <v>3078</v>
      </c>
      <c r="BK82" s="14" t="str">
        <f t="shared" si="47"/>
        <v>石灵明传记5-1</v>
      </c>
      <c r="BM82" s="14" t="str">
        <f t="shared" si="48"/>
        <v>石灵明传记5-1 石灵明碎片</v>
      </c>
      <c r="BN82" s="14" t="str">
        <f t="shared" si="49"/>
        <v>石灵明碎片</v>
      </c>
      <c r="BO82" s="14">
        <f t="shared" si="50"/>
        <v>1</v>
      </c>
      <c r="BP82" s="14">
        <f t="shared" si="51"/>
        <v>2</v>
      </c>
      <c r="BQ82" s="14">
        <v>10000</v>
      </c>
    </row>
    <row r="83" spans="35:69" ht="16.5" x14ac:dyDescent="0.2">
      <c r="AI83" s="96">
        <v>79</v>
      </c>
      <c r="AJ83" s="14">
        <f t="shared" si="28"/>
        <v>13</v>
      </c>
      <c r="AK83" s="14">
        <f t="shared" si="29"/>
        <v>202101</v>
      </c>
      <c r="AL83" s="14">
        <f t="shared" si="30"/>
        <v>2021</v>
      </c>
      <c r="AM83" s="96" t="s">
        <v>903</v>
      </c>
      <c r="AN83" s="14">
        <f t="shared" si="31"/>
        <v>1</v>
      </c>
      <c r="AO83" s="14">
        <f t="shared" si="52"/>
        <v>202102</v>
      </c>
      <c r="AP83" s="14" t="str">
        <f t="shared" si="32"/>
        <v>烈风螳螂传记-1</v>
      </c>
      <c r="AQ83" s="14" t="str">
        <f t="shared" si="33"/>
        <v>烈风螳螂传记-1</v>
      </c>
      <c r="AR83" s="14">
        <f t="shared" si="34"/>
        <v>30</v>
      </c>
      <c r="AS83" s="14" t="str">
        <f t="shared" si="35"/>
        <v/>
      </c>
      <c r="AT83" s="98">
        <v>3</v>
      </c>
      <c r="AU83" s="99" t="s">
        <v>907</v>
      </c>
      <c r="AV83" s="14" t="str">
        <f t="shared" si="36"/>
        <v>KP_KM_1102021</v>
      </c>
      <c r="AW83" s="14">
        <f t="shared" si="37"/>
        <v>1102021</v>
      </c>
      <c r="AX83" s="14" t="str">
        <f t="shared" si="38"/>
        <v>烈风螳螂传记1-1</v>
      </c>
      <c r="AY83" s="14" t="str">
        <f t="shared" si="39"/>
        <v/>
      </c>
      <c r="AZ83" s="14" t="str">
        <f t="shared" si="40"/>
        <v>烈风螳螂碎片</v>
      </c>
      <c r="BA83" s="14">
        <f t="shared" si="41"/>
        <v>1</v>
      </c>
      <c r="BB83" s="14" t="str">
        <f t="shared" si="42"/>
        <v/>
      </c>
      <c r="BC83" s="14" t="str">
        <f t="shared" si="43"/>
        <v/>
      </c>
      <c r="BD83" s="96"/>
      <c r="BG83" s="97">
        <v>79</v>
      </c>
      <c r="BH83" s="14">
        <f t="shared" si="44"/>
        <v>9</v>
      </c>
      <c r="BI83" s="14">
        <f t="shared" si="45"/>
        <v>6</v>
      </c>
      <c r="BJ83" s="14">
        <f t="shared" si="46"/>
        <v>3079</v>
      </c>
      <c r="BK83" s="14" t="str">
        <f t="shared" si="47"/>
        <v>石灵明传记5-2</v>
      </c>
      <c r="BM83" s="14" t="str">
        <f t="shared" si="48"/>
        <v>石灵明传记5-2 石灵明专属武器碎片</v>
      </c>
      <c r="BN83" s="14" t="str">
        <f t="shared" si="49"/>
        <v>石灵明专属武器碎片</v>
      </c>
      <c r="BO83" s="14">
        <f t="shared" si="50"/>
        <v>1</v>
      </c>
      <c r="BP83" s="14">
        <f t="shared" si="51"/>
        <v>1</v>
      </c>
      <c r="BQ83" s="14">
        <v>10000</v>
      </c>
    </row>
    <row r="84" spans="35:69" ht="16.5" x14ac:dyDescent="0.2">
      <c r="AI84" s="96">
        <v>80</v>
      </c>
      <c r="AJ84" s="14">
        <f t="shared" si="28"/>
        <v>13</v>
      </c>
      <c r="AK84" s="14">
        <f t="shared" si="29"/>
        <v>202102</v>
      </c>
      <c r="AL84" s="14">
        <f t="shared" si="30"/>
        <v>2021</v>
      </c>
      <c r="AM84" s="96" t="s">
        <v>903</v>
      </c>
      <c r="AN84" s="14">
        <f t="shared" si="31"/>
        <v>2</v>
      </c>
      <c r="AO84" s="14">
        <f t="shared" si="52"/>
        <v>202103</v>
      </c>
      <c r="AP84" s="14" t="str">
        <f t="shared" si="32"/>
        <v>烈风螳螂传记-2</v>
      </c>
      <c r="AQ84" s="14" t="str">
        <f t="shared" si="33"/>
        <v>烈风螳螂传记-2</v>
      </c>
      <c r="AR84" s="14">
        <f t="shared" si="34"/>
        <v>40</v>
      </c>
      <c r="AS84" s="14" t="str">
        <f t="shared" si="35"/>
        <v/>
      </c>
      <c r="AT84" s="98">
        <v>3</v>
      </c>
      <c r="AU84" s="99" t="s">
        <v>907</v>
      </c>
      <c r="AV84" s="14" t="str">
        <f t="shared" si="36"/>
        <v>KP_KM_1102021</v>
      </c>
      <c r="AW84" s="14">
        <f t="shared" si="37"/>
        <v>1102021</v>
      </c>
      <c r="AX84" s="14" t="str">
        <f t="shared" si="38"/>
        <v>烈风螳螂传记2-1</v>
      </c>
      <c r="AY84" s="14" t="str">
        <f t="shared" si="39"/>
        <v/>
      </c>
      <c r="AZ84" s="14" t="str">
        <f t="shared" si="40"/>
        <v>烈风螳螂碎片</v>
      </c>
      <c r="BA84" s="14">
        <f t="shared" si="41"/>
        <v>1</v>
      </c>
      <c r="BB84" s="14" t="str">
        <f t="shared" si="42"/>
        <v/>
      </c>
      <c r="BC84" s="14" t="str">
        <f t="shared" si="43"/>
        <v/>
      </c>
      <c r="BD84" s="96"/>
      <c r="BG84" s="97">
        <v>80</v>
      </c>
      <c r="BH84" s="14">
        <f t="shared" si="44"/>
        <v>10</v>
      </c>
      <c r="BI84" s="14">
        <f t="shared" si="45"/>
        <v>1</v>
      </c>
      <c r="BJ84" s="14">
        <f t="shared" si="46"/>
        <v>3080</v>
      </c>
      <c r="BK84" s="14" t="str">
        <f t="shared" si="47"/>
        <v>西方龙传记1-1</v>
      </c>
      <c r="BM84" s="14" t="str">
        <f t="shared" si="48"/>
        <v>西方龙传记1-1 西方龙碎片</v>
      </c>
      <c r="BN84" s="14" t="str">
        <f t="shared" si="49"/>
        <v>西方龙碎片</v>
      </c>
      <c r="BO84" s="14">
        <f t="shared" si="50"/>
        <v>1</v>
      </c>
      <c r="BP84" s="14">
        <f t="shared" si="51"/>
        <v>1</v>
      </c>
      <c r="BQ84" s="14">
        <v>10000</v>
      </c>
    </row>
    <row r="85" spans="35:69" ht="16.5" x14ac:dyDescent="0.2">
      <c r="AI85" s="96">
        <v>81</v>
      </c>
      <c r="AJ85" s="14">
        <f t="shared" si="28"/>
        <v>13</v>
      </c>
      <c r="AK85" s="14">
        <f t="shared" si="29"/>
        <v>202103</v>
      </c>
      <c r="AL85" s="14">
        <f t="shared" si="30"/>
        <v>2021</v>
      </c>
      <c r="AM85" s="96" t="s">
        <v>903</v>
      </c>
      <c r="AN85" s="14">
        <f t="shared" si="31"/>
        <v>3</v>
      </c>
      <c r="AO85" s="14">
        <f t="shared" si="52"/>
        <v>202104</v>
      </c>
      <c r="AP85" s="14" t="str">
        <f t="shared" si="32"/>
        <v>烈风螳螂传记-3</v>
      </c>
      <c r="AQ85" s="14" t="str">
        <f t="shared" si="33"/>
        <v>烈风螳螂传记-3</v>
      </c>
      <c r="AR85" s="14">
        <f t="shared" si="34"/>
        <v>55</v>
      </c>
      <c r="AS85" s="14" t="str">
        <f t="shared" si="35"/>
        <v/>
      </c>
      <c r="AT85" s="98">
        <v>3</v>
      </c>
      <c r="AU85" s="99" t="s">
        <v>907</v>
      </c>
      <c r="AV85" s="14" t="str">
        <f t="shared" si="36"/>
        <v>KP_KM_1102021</v>
      </c>
      <c r="AW85" s="14">
        <f t="shared" si="37"/>
        <v>1102021</v>
      </c>
      <c r="AX85" s="14" t="str">
        <f t="shared" si="38"/>
        <v>烈风螳螂传记3-1</v>
      </c>
      <c r="AY85" s="14" t="str">
        <f t="shared" si="39"/>
        <v/>
      </c>
      <c r="AZ85" s="14" t="str">
        <f t="shared" si="40"/>
        <v>烈风螳螂碎片</v>
      </c>
      <c r="BA85" s="14" t="str">
        <f t="shared" si="41"/>
        <v>1~2</v>
      </c>
      <c r="BB85" s="14" t="str">
        <f t="shared" si="42"/>
        <v/>
      </c>
      <c r="BC85" s="14" t="str">
        <f t="shared" si="43"/>
        <v/>
      </c>
      <c r="BD85" s="96"/>
      <c r="BG85" s="97">
        <v>81</v>
      </c>
      <c r="BH85" s="14">
        <f t="shared" si="44"/>
        <v>10</v>
      </c>
      <c r="BI85" s="14">
        <f t="shared" si="45"/>
        <v>2</v>
      </c>
      <c r="BJ85" s="14">
        <f t="shared" si="46"/>
        <v>3081</v>
      </c>
      <c r="BK85" s="14" t="str">
        <f t="shared" si="47"/>
        <v>西方龙传记2-1</v>
      </c>
      <c r="BM85" s="14" t="str">
        <f t="shared" si="48"/>
        <v>西方龙传记2-1 西方龙碎片</v>
      </c>
      <c r="BN85" s="14" t="str">
        <f t="shared" si="49"/>
        <v>西方龙碎片</v>
      </c>
      <c r="BO85" s="14">
        <f t="shared" si="50"/>
        <v>1</v>
      </c>
      <c r="BP85" s="14">
        <f t="shared" si="51"/>
        <v>1</v>
      </c>
      <c r="BQ85" s="14">
        <v>10000</v>
      </c>
    </row>
    <row r="86" spans="35:69" ht="16.5" x14ac:dyDescent="0.2">
      <c r="AI86" s="96">
        <v>82</v>
      </c>
      <c r="AJ86" s="14">
        <f t="shared" si="28"/>
        <v>13</v>
      </c>
      <c r="AK86" s="14">
        <f t="shared" si="29"/>
        <v>202104</v>
      </c>
      <c r="AL86" s="14">
        <f t="shared" si="30"/>
        <v>2021</v>
      </c>
      <c r="AM86" s="96" t="s">
        <v>903</v>
      </c>
      <c r="AN86" s="14">
        <f t="shared" si="31"/>
        <v>4</v>
      </c>
      <c r="AO86" s="14">
        <f t="shared" si="52"/>
        <v>202105</v>
      </c>
      <c r="AP86" s="14" t="str">
        <f t="shared" si="32"/>
        <v>烈风螳螂传记-4</v>
      </c>
      <c r="AQ86" s="14" t="str">
        <f t="shared" si="33"/>
        <v>烈风螳螂传记-4</v>
      </c>
      <c r="AR86" s="14">
        <f t="shared" si="34"/>
        <v>70</v>
      </c>
      <c r="AS86" s="14" t="str">
        <f t="shared" si="35"/>
        <v/>
      </c>
      <c r="AT86" s="98">
        <v>3</v>
      </c>
      <c r="AU86" s="99" t="s">
        <v>907</v>
      </c>
      <c r="AV86" s="14" t="str">
        <f t="shared" si="36"/>
        <v>KP_KM_1102021</v>
      </c>
      <c r="AW86" s="14">
        <f t="shared" si="37"/>
        <v>1102021</v>
      </c>
      <c r="AX86" s="14" t="str">
        <f t="shared" si="38"/>
        <v>烈风螳螂传记4-1</v>
      </c>
      <c r="AY86" s="14" t="str">
        <f t="shared" si="39"/>
        <v/>
      </c>
      <c r="AZ86" s="14" t="str">
        <f t="shared" si="40"/>
        <v>烈风螳螂专属武器碎片</v>
      </c>
      <c r="BA86" s="14">
        <f t="shared" si="41"/>
        <v>1</v>
      </c>
      <c r="BB86" s="14" t="str">
        <f t="shared" si="42"/>
        <v/>
      </c>
      <c r="BC86" s="14" t="str">
        <f t="shared" si="43"/>
        <v/>
      </c>
      <c r="BD86" s="96"/>
      <c r="BG86" s="97">
        <v>82</v>
      </c>
      <c r="BH86" s="14">
        <f t="shared" si="44"/>
        <v>10</v>
      </c>
      <c r="BI86" s="14">
        <f t="shared" si="45"/>
        <v>3</v>
      </c>
      <c r="BJ86" s="14">
        <f t="shared" si="46"/>
        <v>3082</v>
      </c>
      <c r="BK86" s="14" t="str">
        <f t="shared" si="47"/>
        <v>西方龙传记3-1</v>
      </c>
      <c r="BM86" s="14" t="str">
        <f t="shared" si="48"/>
        <v>西方龙传记3-1 西方龙碎片</v>
      </c>
      <c r="BN86" s="14" t="str">
        <f t="shared" si="49"/>
        <v>西方龙碎片</v>
      </c>
      <c r="BO86" s="14">
        <f t="shared" si="50"/>
        <v>1</v>
      </c>
      <c r="BP86" s="14">
        <f t="shared" si="51"/>
        <v>2</v>
      </c>
      <c r="BQ86" s="14">
        <v>10000</v>
      </c>
    </row>
    <row r="87" spans="35:69" ht="16.5" x14ac:dyDescent="0.2">
      <c r="AI87" s="96">
        <v>83</v>
      </c>
      <c r="AJ87" s="14">
        <f t="shared" si="28"/>
        <v>13</v>
      </c>
      <c r="AK87" s="14">
        <f t="shared" si="29"/>
        <v>202105</v>
      </c>
      <c r="AL87" s="14">
        <f t="shared" si="30"/>
        <v>2021</v>
      </c>
      <c r="AM87" s="96" t="s">
        <v>903</v>
      </c>
      <c r="AN87" s="14">
        <f t="shared" si="31"/>
        <v>5</v>
      </c>
      <c r="AO87" s="14">
        <f t="shared" si="52"/>
        <v>-1</v>
      </c>
      <c r="AP87" s="14" t="str">
        <f t="shared" si="32"/>
        <v>烈风螳螂传记-5</v>
      </c>
      <c r="AQ87" s="14" t="str">
        <f t="shared" si="33"/>
        <v>烈风螳螂传记-5</v>
      </c>
      <c r="AR87" s="14">
        <f t="shared" si="34"/>
        <v>80</v>
      </c>
      <c r="AS87" s="14" t="str">
        <f t="shared" si="35"/>
        <v/>
      </c>
      <c r="AT87" s="98">
        <v>3</v>
      </c>
      <c r="AU87" s="99" t="s">
        <v>907</v>
      </c>
      <c r="AV87" s="14" t="str">
        <f t="shared" si="36"/>
        <v>KP_KM_1102021</v>
      </c>
      <c r="AW87" s="14">
        <f t="shared" si="37"/>
        <v>1102021</v>
      </c>
      <c r="AX87" s="14" t="str">
        <f t="shared" si="38"/>
        <v>烈风螳螂传记5-1</v>
      </c>
      <c r="AY87" s="14" t="str">
        <f t="shared" si="39"/>
        <v>烈风螳螂传记5-1</v>
      </c>
      <c r="AZ87" s="14" t="str">
        <f t="shared" si="40"/>
        <v>烈风螳螂碎片</v>
      </c>
      <c r="BA87" s="14" t="str">
        <f t="shared" si="41"/>
        <v>1~2</v>
      </c>
      <c r="BB87" s="14" t="str">
        <f t="shared" si="42"/>
        <v>烈风螳螂专属武器碎片</v>
      </c>
      <c r="BC87" s="14">
        <f t="shared" si="43"/>
        <v>1</v>
      </c>
      <c r="BD87" s="96"/>
      <c r="BG87" s="97">
        <v>83</v>
      </c>
      <c r="BH87" s="14">
        <f t="shared" si="44"/>
        <v>10</v>
      </c>
      <c r="BI87" s="14">
        <f t="shared" si="45"/>
        <v>4</v>
      </c>
      <c r="BJ87" s="14">
        <f t="shared" si="46"/>
        <v>3083</v>
      </c>
      <c r="BK87" s="14" t="str">
        <f t="shared" si="47"/>
        <v>西方龙传记4-1</v>
      </c>
      <c r="BM87" s="14" t="str">
        <f t="shared" si="48"/>
        <v>西方龙传记4-1 西方龙专属武器碎片</v>
      </c>
      <c r="BN87" s="14" t="str">
        <f t="shared" si="49"/>
        <v>西方龙专属武器碎片</v>
      </c>
      <c r="BO87" s="14">
        <f t="shared" si="50"/>
        <v>1</v>
      </c>
      <c r="BP87" s="14">
        <f t="shared" si="51"/>
        <v>1</v>
      </c>
      <c r="BQ87" s="14">
        <v>10000</v>
      </c>
    </row>
    <row r="88" spans="35:69" ht="16.5" x14ac:dyDescent="0.2">
      <c r="AI88" s="96">
        <v>84</v>
      </c>
      <c r="AJ88" s="14">
        <f t="shared" si="28"/>
        <v>14</v>
      </c>
      <c r="AK88" s="14">
        <f t="shared" si="29"/>
        <v>202401</v>
      </c>
      <c r="AL88" s="14">
        <f t="shared" si="30"/>
        <v>2024</v>
      </c>
      <c r="AM88" s="96" t="s">
        <v>903</v>
      </c>
      <c r="AN88" s="14">
        <f t="shared" si="31"/>
        <v>1</v>
      </c>
      <c r="AO88" s="14">
        <f t="shared" si="52"/>
        <v>202402</v>
      </c>
      <c r="AP88" s="14" t="str">
        <f t="shared" si="32"/>
        <v>朱仙传记-1</v>
      </c>
      <c r="AQ88" s="14" t="str">
        <f t="shared" si="33"/>
        <v>朱仙传记-1</v>
      </c>
      <c r="AR88" s="14">
        <f t="shared" si="34"/>
        <v>30</v>
      </c>
      <c r="AS88" s="14" t="str">
        <f t="shared" si="35"/>
        <v/>
      </c>
      <c r="AT88" s="98">
        <v>3</v>
      </c>
      <c r="AU88" s="99" t="s">
        <v>907</v>
      </c>
      <c r="AV88" s="14" t="str">
        <f t="shared" si="36"/>
        <v>KP_KM_1102024</v>
      </c>
      <c r="AW88" s="14">
        <f t="shared" si="37"/>
        <v>1102024</v>
      </c>
      <c r="AX88" s="14" t="str">
        <f t="shared" si="38"/>
        <v>朱仙传记1-1</v>
      </c>
      <c r="AY88" s="14" t="str">
        <f t="shared" si="39"/>
        <v/>
      </c>
      <c r="AZ88" s="14" t="str">
        <f t="shared" si="40"/>
        <v>朱仙碎片</v>
      </c>
      <c r="BA88" s="14">
        <f t="shared" si="41"/>
        <v>1</v>
      </c>
      <c r="BB88" s="14" t="str">
        <f t="shared" si="42"/>
        <v/>
      </c>
      <c r="BC88" s="14" t="str">
        <f t="shared" si="43"/>
        <v/>
      </c>
      <c r="BD88" s="96"/>
      <c r="BG88" s="97">
        <v>84</v>
      </c>
      <c r="BH88" s="14">
        <f t="shared" si="44"/>
        <v>10</v>
      </c>
      <c r="BI88" s="14">
        <f t="shared" si="45"/>
        <v>5</v>
      </c>
      <c r="BJ88" s="14">
        <f t="shared" si="46"/>
        <v>3084</v>
      </c>
      <c r="BK88" s="14" t="str">
        <f t="shared" si="47"/>
        <v>西方龙传记5-1</v>
      </c>
      <c r="BM88" s="14" t="str">
        <f t="shared" si="48"/>
        <v>西方龙传记5-1 西方龙碎片</v>
      </c>
      <c r="BN88" s="14" t="str">
        <f t="shared" si="49"/>
        <v>西方龙碎片</v>
      </c>
      <c r="BO88" s="14">
        <f t="shared" si="50"/>
        <v>1</v>
      </c>
      <c r="BP88" s="14">
        <f t="shared" si="51"/>
        <v>2</v>
      </c>
      <c r="BQ88" s="14">
        <v>10000</v>
      </c>
    </row>
    <row r="89" spans="35:69" ht="16.5" x14ac:dyDescent="0.2">
      <c r="AI89" s="96">
        <v>85</v>
      </c>
      <c r="AJ89" s="14">
        <f t="shared" si="28"/>
        <v>14</v>
      </c>
      <c r="AK89" s="14">
        <f t="shared" si="29"/>
        <v>202402</v>
      </c>
      <c r="AL89" s="14">
        <f t="shared" si="30"/>
        <v>2024</v>
      </c>
      <c r="AM89" s="96" t="s">
        <v>903</v>
      </c>
      <c r="AN89" s="14">
        <f t="shared" si="31"/>
        <v>2</v>
      </c>
      <c r="AO89" s="14">
        <f t="shared" si="52"/>
        <v>202403</v>
      </c>
      <c r="AP89" s="14" t="str">
        <f t="shared" si="32"/>
        <v>朱仙传记-2</v>
      </c>
      <c r="AQ89" s="14" t="str">
        <f t="shared" si="33"/>
        <v>朱仙传记-2</v>
      </c>
      <c r="AR89" s="14">
        <f t="shared" si="34"/>
        <v>40</v>
      </c>
      <c r="AS89" s="14" t="str">
        <f t="shared" si="35"/>
        <v/>
      </c>
      <c r="AT89" s="98">
        <v>3</v>
      </c>
      <c r="AU89" s="99" t="s">
        <v>907</v>
      </c>
      <c r="AV89" s="14" t="str">
        <f t="shared" si="36"/>
        <v>KP_KM_1102024</v>
      </c>
      <c r="AW89" s="14">
        <f t="shared" si="37"/>
        <v>1102024</v>
      </c>
      <c r="AX89" s="14" t="str">
        <f t="shared" si="38"/>
        <v>朱仙传记2-1</v>
      </c>
      <c r="AY89" s="14" t="str">
        <f t="shared" si="39"/>
        <v/>
      </c>
      <c r="AZ89" s="14" t="str">
        <f t="shared" si="40"/>
        <v>朱仙碎片</v>
      </c>
      <c r="BA89" s="14">
        <f t="shared" si="41"/>
        <v>1</v>
      </c>
      <c r="BB89" s="14" t="str">
        <f t="shared" si="42"/>
        <v/>
      </c>
      <c r="BC89" s="14" t="str">
        <f t="shared" si="43"/>
        <v/>
      </c>
      <c r="BD89" s="96"/>
      <c r="BG89" s="97">
        <v>85</v>
      </c>
      <c r="BH89" s="14">
        <f t="shared" si="44"/>
        <v>10</v>
      </c>
      <c r="BI89" s="14">
        <f t="shared" si="45"/>
        <v>6</v>
      </c>
      <c r="BJ89" s="14">
        <f t="shared" si="46"/>
        <v>3085</v>
      </c>
      <c r="BK89" s="14" t="str">
        <f t="shared" si="47"/>
        <v>西方龙传记5-2</v>
      </c>
      <c r="BM89" s="14" t="str">
        <f t="shared" si="48"/>
        <v>西方龙传记5-2 西方龙专属武器碎片</v>
      </c>
      <c r="BN89" s="14" t="str">
        <f t="shared" si="49"/>
        <v>西方龙专属武器碎片</v>
      </c>
      <c r="BO89" s="14">
        <f t="shared" si="50"/>
        <v>1</v>
      </c>
      <c r="BP89" s="14">
        <f t="shared" si="51"/>
        <v>1</v>
      </c>
      <c r="BQ89" s="14">
        <v>10000</v>
      </c>
    </row>
    <row r="90" spans="35:69" ht="16.5" x14ac:dyDescent="0.2">
      <c r="AI90" s="96">
        <v>86</v>
      </c>
      <c r="AJ90" s="14">
        <f t="shared" si="28"/>
        <v>14</v>
      </c>
      <c r="AK90" s="14">
        <f t="shared" si="29"/>
        <v>202403</v>
      </c>
      <c r="AL90" s="14">
        <f t="shared" si="30"/>
        <v>2024</v>
      </c>
      <c r="AM90" s="96" t="s">
        <v>903</v>
      </c>
      <c r="AN90" s="14">
        <f t="shared" si="31"/>
        <v>3</v>
      </c>
      <c r="AO90" s="14">
        <f t="shared" si="52"/>
        <v>202404</v>
      </c>
      <c r="AP90" s="14" t="str">
        <f t="shared" si="32"/>
        <v>朱仙传记-3</v>
      </c>
      <c r="AQ90" s="14" t="str">
        <f t="shared" si="33"/>
        <v>朱仙传记-3</v>
      </c>
      <c r="AR90" s="14">
        <f t="shared" si="34"/>
        <v>55</v>
      </c>
      <c r="AS90" s="14" t="str">
        <f t="shared" si="35"/>
        <v/>
      </c>
      <c r="AT90" s="98">
        <v>3</v>
      </c>
      <c r="AU90" s="99" t="s">
        <v>907</v>
      </c>
      <c r="AV90" s="14" t="str">
        <f t="shared" si="36"/>
        <v>KP_KM_1102024</v>
      </c>
      <c r="AW90" s="14">
        <f t="shared" si="37"/>
        <v>1102024</v>
      </c>
      <c r="AX90" s="14" t="str">
        <f t="shared" si="38"/>
        <v>朱仙传记3-1</v>
      </c>
      <c r="AY90" s="14" t="str">
        <f t="shared" si="39"/>
        <v/>
      </c>
      <c r="AZ90" s="14" t="str">
        <f t="shared" si="40"/>
        <v>朱仙碎片</v>
      </c>
      <c r="BA90" s="14" t="str">
        <f t="shared" si="41"/>
        <v>1~2</v>
      </c>
      <c r="BB90" s="14" t="str">
        <f t="shared" si="42"/>
        <v/>
      </c>
      <c r="BC90" s="14" t="str">
        <f t="shared" si="43"/>
        <v/>
      </c>
      <c r="BD90" s="96"/>
      <c r="BG90" s="97">
        <v>86</v>
      </c>
      <c r="BH90" s="14">
        <f t="shared" si="44"/>
        <v>10</v>
      </c>
      <c r="BI90" s="14">
        <f t="shared" si="45"/>
        <v>7</v>
      </c>
      <c r="BJ90" s="14">
        <f t="shared" si="46"/>
        <v>3086</v>
      </c>
      <c r="BK90" s="14" t="str">
        <f t="shared" si="47"/>
        <v>西方龙传记6-1</v>
      </c>
      <c r="BM90" s="14" t="str">
        <f t="shared" si="48"/>
        <v>西方龙传记6-1 西方龙碎片</v>
      </c>
      <c r="BN90" s="14" t="str">
        <f t="shared" si="49"/>
        <v>西方龙碎片</v>
      </c>
      <c r="BO90" s="14">
        <f t="shared" si="50"/>
        <v>1</v>
      </c>
      <c r="BP90" s="14">
        <f t="shared" si="51"/>
        <v>2</v>
      </c>
      <c r="BQ90" s="14">
        <v>10000</v>
      </c>
    </row>
    <row r="91" spans="35:69" ht="16.5" x14ac:dyDescent="0.2">
      <c r="AI91" s="96">
        <v>87</v>
      </c>
      <c r="AJ91" s="14">
        <f t="shared" si="28"/>
        <v>14</v>
      </c>
      <c r="AK91" s="14">
        <f t="shared" si="29"/>
        <v>202404</v>
      </c>
      <c r="AL91" s="14">
        <f t="shared" si="30"/>
        <v>2024</v>
      </c>
      <c r="AM91" s="96" t="s">
        <v>903</v>
      </c>
      <c r="AN91" s="14">
        <f t="shared" si="31"/>
        <v>4</v>
      </c>
      <c r="AO91" s="14">
        <f t="shared" si="52"/>
        <v>202405</v>
      </c>
      <c r="AP91" s="14" t="str">
        <f t="shared" si="32"/>
        <v>朱仙传记-4</v>
      </c>
      <c r="AQ91" s="14" t="str">
        <f t="shared" si="33"/>
        <v>朱仙传记-4</v>
      </c>
      <c r="AR91" s="14">
        <f t="shared" si="34"/>
        <v>70</v>
      </c>
      <c r="AS91" s="14" t="str">
        <f t="shared" si="35"/>
        <v/>
      </c>
      <c r="AT91" s="98">
        <v>3</v>
      </c>
      <c r="AU91" s="99" t="s">
        <v>907</v>
      </c>
      <c r="AV91" s="14" t="str">
        <f t="shared" si="36"/>
        <v>KP_KM_1102024</v>
      </c>
      <c r="AW91" s="14">
        <f t="shared" si="37"/>
        <v>1102024</v>
      </c>
      <c r="AX91" s="14" t="str">
        <f t="shared" si="38"/>
        <v>朱仙传记4-1</v>
      </c>
      <c r="AY91" s="14" t="str">
        <f t="shared" si="39"/>
        <v/>
      </c>
      <c r="AZ91" s="14" t="str">
        <f t="shared" si="40"/>
        <v>朱仙专属武器碎片</v>
      </c>
      <c r="BA91" s="14">
        <f t="shared" si="41"/>
        <v>1</v>
      </c>
      <c r="BB91" s="14" t="str">
        <f t="shared" si="42"/>
        <v/>
      </c>
      <c r="BC91" s="14" t="str">
        <f t="shared" si="43"/>
        <v/>
      </c>
      <c r="BD91" s="96"/>
      <c r="BG91" s="97">
        <v>87</v>
      </c>
      <c r="BH91" s="14">
        <f t="shared" si="44"/>
        <v>10</v>
      </c>
      <c r="BI91" s="14">
        <f t="shared" si="45"/>
        <v>8</v>
      </c>
      <c r="BJ91" s="14">
        <f t="shared" si="46"/>
        <v>3087</v>
      </c>
      <c r="BK91" s="14" t="str">
        <f t="shared" si="47"/>
        <v>西方龙传记6-2</v>
      </c>
      <c r="BM91" s="14" t="str">
        <f t="shared" si="48"/>
        <v>西方龙传记6-2 西方龙专属武器碎片</v>
      </c>
      <c r="BN91" s="14" t="str">
        <f t="shared" si="49"/>
        <v>西方龙专属武器碎片</v>
      </c>
      <c r="BO91" s="14">
        <f t="shared" si="50"/>
        <v>1</v>
      </c>
      <c r="BP91" s="14">
        <f t="shared" si="51"/>
        <v>1</v>
      </c>
      <c r="BQ91" s="14">
        <v>10000</v>
      </c>
    </row>
    <row r="92" spans="35:69" ht="16.5" x14ac:dyDescent="0.2">
      <c r="AI92" s="96">
        <v>88</v>
      </c>
      <c r="AJ92" s="14">
        <f t="shared" si="28"/>
        <v>14</v>
      </c>
      <c r="AK92" s="14">
        <f t="shared" si="29"/>
        <v>202405</v>
      </c>
      <c r="AL92" s="14">
        <f t="shared" si="30"/>
        <v>2024</v>
      </c>
      <c r="AM92" s="96" t="s">
        <v>903</v>
      </c>
      <c r="AN92" s="14">
        <f t="shared" si="31"/>
        <v>5</v>
      </c>
      <c r="AO92" s="14">
        <f t="shared" si="52"/>
        <v>-1</v>
      </c>
      <c r="AP92" s="14" t="str">
        <f t="shared" si="32"/>
        <v>朱仙传记-5</v>
      </c>
      <c r="AQ92" s="14" t="str">
        <f t="shared" si="33"/>
        <v>朱仙传记-5</v>
      </c>
      <c r="AR92" s="14">
        <f t="shared" si="34"/>
        <v>80</v>
      </c>
      <c r="AS92" s="14" t="str">
        <f t="shared" si="35"/>
        <v/>
      </c>
      <c r="AT92" s="98">
        <v>3</v>
      </c>
      <c r="AU92" s="99" t="s">
        <v>907</v>
      </c>
      <c r="AV92" s="14" t="str">
        <f t="shared" si="36"/>
        <v>KP_KM_1102024</v>
      </c>
      <c r="AW92" s="14">
        <f t="shared" si="37"/>
        <v>1102024</v>
      </c>
      <c r="AX92" s="14" t="str">
        <f t="shared" si="38"/>
        <v>朱仙传记5-1</v>
      </c>
      <c r="AY92" s="14" t="str">
        <f t="shared" si="39"/>
        <v>朱仙传记5-1</v>
      </c>
      <c r="AZ92" s="14" t="str">
        <f t="shared" si="40"/>
        <v>朱仙碎片</v>
      </c>
      <c r="BA92" s="14" t="str">
        <f t="shared" si="41"/>
        <v>1~2</v>
      </c>
      <c r="BB92" s="14" t="str">
        <f t="shared" si="42"/>
        <v>朱仙专属武器碎片</v>
      </c>
      <c r="BC92" s="14">
        <f t="shared" si="43"/>
        <v>1</v>
      </c>
      <c r="BD92" s="96"/>
      <c r="BG92" s="97">
        <v>88</v>
      </c>
      <c r="BH92" s="14">
        <f t="shared" si="44"/>
        <v>10</v>
      </c>
      <c r="BI92" s="14">
        <f t="shared" si="45"/>
        <v>9</v>
      </c>
      <c r="BJ92" s="14">
        <f t="shared" si="46"/>
        <v>3088</v>
      </c>
      <c r="BK92" s="14" t="str">
        <f t="shared" si="47"/>
        <v>西方龙传记7-1</v>
      </c>
      <c r="BM92" s="14" t="str">
        <f t="shared" si="48"/>
        <v>西方龙传记7-1 西方龙碎片</v>
      </c>
      <c r="BN92" s="14" t="str">
        <f t="shared" si="49"/>
        <v>西方龙碎片</v>
      </c>
      <c r="BO92" s="14">
        <f t="shared" si="50"/>
        <v>1</v>
      </c>
      <c r="BP92" s="14">
        <f t="shared" si="51"/>
        <v>2</v>
      </c>
      <c r="BQ92" s="14">
        <v>10000</v>
      </c>
    </row>
    <row r="93" spans="35:69" ht="16.5" x14ac:dyDescent="0.2">
      <c r="AI93" s="96">
        <v>89</v>
      </c>
      <c r="AJ93" s="14">
        <f t="shared" si="28"/>
        <v>15</v>
      </c>
      <c r="AK93" s="14">
        <f t="shared" si="29"/>
        <v>202601</v>
      </c>
      <c r="AL93" s="14">
        <f t="shared" si="30"/>
        <v>2026</v>
      </c>
      <c r="AM93" s="96" t="s">
        <v>903</v>
      </c>
      <c r="AN93" s="14">
        <f t="shared" si="31"/>
        <v>1</v>
      </c>
      <c r="AO93" s="14">
        <f t="shared" si="52"/>
        <v>202602</v>
      </c>
      <c r="AP93" s="14" t="str">
        <f t="shared" si="32"/>
        <v>雷震子传记-1</v>
      </c>
      <c r="AQ93" s="14" t="str">
        <f t="shared" si="33"/>
        <v>雷震子传记-1</v>
      </c>
      <c r="AR93" s="14">
        <f t="shared" si="34"/>
        <v>30</v>
      </c>
      <c r="AS93" s="14" t="str">
        <f t="shared" si="35"/>
        <v/>
      </c>
      <c r="AT93" s="98">
        <v>3</v>
      </c>
      <c r="AU93" s="99" t="s">
        <v>907</v>
      </c>
      <c r="AV93" s="14" t="str">
        <f t="shared" si="36"/>
        <v>KP_KM_1102026</v>
      </c>
      <c r="AW93" s="14">
        <f t="shared" si="37"/>
        <v>1102026</v>
      </c>
      <c r="AX93" s="14" t="str">
        <f t="shared" si="38"/>
        <v>雷震子传记1-1</v>
      </c>
      <c r="AY93" s="14" t="str">
        <f t="shared" si="39"/>
        <v/>
      </c>
      <c r="AZ93" s="14" t="str">
        <f t="shared" si="40"/>
        <v>雷震子碎片</v>
      </c>
      <c r="BA93" s="14">
        <f t="shared" si="41"/>
        <v>1</v>
      </c>
      <c r="BB93" s="14" t="str">
        <f t="shared" si="42"/>
        <v/>
      </c>
      <c r="BC93" s="14" t="str">
        <f t="shared" si="43"/>
        <v/>
      </c>
      <c r="BD93" s="96"/>
      <c r="BG93" s="97">
        <v>89</v>
      </c>
      <c r="BH93" s="14">
        <f t="shared" si="44"/>
        <v>10</v>
      </c>
      <c r="BI93" s="14">
        <f t="shared" si="45"/>
        <v>10</v>
      </c>
      <c r="BJ93" s="14">
        <f t="shared" si="46"/>
        <v>3089</v>
      </c>
      <c r="BK93" s="14" t="str">
        <f t="shared" si="47"/>
        <v>西方龙传记7-2</v>
      </c>
      <c r="BM93" s="14" t="str">
        <f t="shared" si="48"/>
        <v>西方龙传记7-2 西方龙专属武器碎片</v>
      </c>
      <c r="BN93" s="14" t="str">
        <f t="shared" si="49"/>
        <v>西方龙专属武器碎片</v>
      </c>
      <c r="BO93" s="14">
        <f t="shared" si="50"/>
        <v>1</v>
      </c>
      <c r="BP93" s="14">
        <f t="shared" si="51"/>
        <v>1</v>
      </c>
      <c r="BQ93" s="14">
        <v>10000</v>
      </c>
    </row>
    <row r="94" spans="35:69" ht="16.5" x14ac:dyDescent="0.2">
      <c r="AI94" s="96">
        <v>90</v>
      </c>
      <c r="AJ94" s="14">
        <f t="shared" si="28"/>
        <v>15</v>
      </c>
      <c r="AK94" s="14">
        <f t="shared" si="29"/>
        <v>202602</v>
      </c>
      <c r="AL94" s="14">
        <f t="shared" si="30"/>
        <v>2026</v>
      </c>
      <c r="AM94" s="96" t="s">
        <v>903</v>
      </c>
      <c r="AN94" s="14">
        <f t="shared" si="31"/>
        <v>2</v>
      </c>
      <c r="AO94" s="14">
        <f t="shared" si="52"/>
        <v>202603</v>
      </c>
      <c r="AP94" s="14" t="str">
        <f t="shared" si="32"/>
        <v>雷震子传记-2</v>
      </c>
      <c r="AQ94" s="14" t="str">
        <f t="shared" si="33"/>
        <v>雷震子传记-2</v>
      </c>
      <c r="AR94" s="14">
        <f t="shared" si="34"/>
        <v>40</v>
      </c>
      <c r="AS94" s="14" t="str">
        <f t="shared" si="35"/>
        <v/>
      </c>
      <c r="AT94" s="98">
        <v>3</v>
      </c>
      <c r="AU94" s="99" t="s">
        <v>907</v>
      </c>
      <c r="AV94" s="14" t="str">
        <f t="shared" si="36"/>
        <v>KP_KM_1102026</v>
      </c>
      <c r="AW94" s="14">
        <f t="shared" si="37"/>
        <v>1102026</v>
      </c>
      <c r="AX94" s="14" t="str">
        <f t="shared" si="38"/>
        <v>雷震子传记2-1</v>
      </c>
      <c r="AY94" s="14" t="str">
        <f t="shared" si="39"/>
        <v/>
      </c>
      <c r="AZ94" s="14" t="str">
        <f t="shared" si="40"/>
        <v>雷震子碎片</v>
      </c>
      <c r="BA94" s="14">
        <f t="shared" si="41"/>
        <v>1</v>
      </c>
      <c r="BB94" s="14" t="str">
        <f t="shared" si="42"/>
        <v/>
      </c>
      <c r="BC94" s="14" t="str">
        <f t="shared" si="43"/>
        <v/>
      </c>
      <c r="BD94" s="96"/>
      <c r="BG94" s="97">
        <v>90</v>
      </c>
      <c r="BH94" s="14">
        <f t="shared" si="44"/>
        <v>10</v>
      </c>
      <c r="BI94" s="14">
        <f t="shared" si="45"/>
        <v>11</v>
      </c>
      <c r="BJ94" s="14">
        <f t="shared" si="46"/>
        <v>3090</v>
      </c>
      <c r="BK94" s="14" t="str">
        <f t="shared" si="47"/>
        <v>西方龙传记8-1</v>
      </c>
      <c r="BM94" s="14" t="str">
        <f t="shared" si="48"/>
        <v>西方龙传记8-1 西方龙碎片</v>
      </c>
      <c r="BN94" s="14" t="str">
        <f t="shared" si="49"/>
        <v>西方龙碎片</v>
      </c>
      <c r="BO94" s="14">
        <f t="shared" si="50"/>
        <v>2</v>
      </c>
      <c r="BP94" s="14">
        <f t="shared" si="51"/>
        <v>2</v>
      </c>
      <c r="BQ94" s="14">
        <v>10000</v>
      </c>
    </row>
    <row r="95" spans="35:69" ht="16.5" x14ac:dyDescent="0.2">
      <c r="AI95" s="96">
        <v>91</v>
      </c>
      <c r="AJ95" s="14">
        <f t="shared" si="28"/>
        <v>15</v>
      </c>
      <c r="AK95" s="14">
        <f t="shared" si="29"/>
        <v>202603</v>
      </c>
      <c r="AL95" s="14">
        <f t="shared" si="30"/>
        <v>2026</v>
      </c>
      <c r="AM95" s="96" t="s">
        <v>903</v>
      </c>
      <c r="AN95" s="14">
        <f t="shared" si="31"/>
        <v>3</v>
      </c>
      <c r="AO95" s="14">
        <f t="shared" si="52"/>
        <v>202604</v>
      </c>
      <c r="AP95" s="14" t="str">
        <f t="shared" si="32"/>
        <v>雷震子传记-3</v>
      </c>
      <c r="AQ95" s="14" t="str">
        <f t="shared" si="33"/>
        <v>雷震子传记-3</v>
      </c>
      <c r="AR95" s="14">
        <f t="shared" si="34"/>
        <v>55</v>
      </c>
      <c r="AS95" s="14" t="str">
        <f t="shared" si="35"/>
        <v/>
      </c>
      <c r="AT95" s="98">
        <v>3</v>
      </c>
      <c r="AU95" s="99" t="s">
        <v>907</v>
      </c>
      <c r="AV95" s="14" t="str">
        <f t="shared" si="36"/>
        <v>KP_KM_1102026</v>
      </c>
      <c r="AW95" s="14">
        <f t="shared" si="37"/>
        <v>1102026</v>
      </c>
      <c r="AX95" s="14" t="str">
        <f t="shared" si="38"/>
        <v>雷震子传记3-1</v>
      </c>
      <c r="AY95" s="14" t="str">
        <f t="shared" si="39"/>
        <v/>
      </c>
      <c r="AZ95" s="14" t="str">
        <f t="shared" si="40"/>
        <v>雷震子碎片</v>
      </c>
      <c r="BA95" s="14" t="str">
        <f t="shared" si="41"/>
        <v>1~2</v>
      </c>
      <c r="BB95" s="14" t="str">
        <f t="shared" si="42"/>
        <v/>
      </c>
      <c r="BC95" s="14" t="str">
        <f t="shared" si="43"/>
        <v/>
      </c>
      <c r="BD95" s="96"/>
      <c r="BG95" s="97">
        <v>91</v>
      </c>
      <c r="BH95" s="14">
        <f t="shared" si="44"/>
        <v>11</v>
      </c>
      <c r="BI95" s="14">
        <f t="shared" si="45"/>
        <v>1</v>
      </c>
      <c r="BJ95" s="14">
        <f t="shared" si="46"/>
        <v>3091</v>
      </c>
      <c r="BK95" s="14" t="str">
        <f t="shared" si="47"/>
        <v>飞廉传记1-1</v>
      </c>
      <c r="BM95" s="14" t="str">
        <f t="shared" si="48"/>
        <v>飞廉传记1-1 飞廉碎片</v>
      </c>
      <c r="BN95" s="14" t="str">
        <f t="shared" si="49"/>
        <v>飞廉碎片</v>
      </c>
      <c r="BO95" s="14">
        <f t="shared" si="50"/>
        <v>1</v>
      </c>
      <c r="BP95" s="14">
        <f t="shared" si="51"/>
        <v>1</v>
      </c>
      <c r="BQ95" s="14">
        <v>10000</v>
      </c>
    </row>
    <row r="96" spans="35:69" ht="16.5" x14ac:dyDescent="0.2">
      <c r="AI96" s="96">
        <v>92</v>
      </c>
      <c r="AJ96" s="14">
        <f t="shared" si="28"/>
        <v>15</v>
      </c>
      <c r="AK96" s="14">
        <f t="shared" si="29"/>
        <v>202604</v>
      </c>
      <c r="AL96" s="14">
        <f t="shared" si="30"/>
        <v>2026</v>
      </c>
      <c r="AM96" s="96" t="s">
        <v>903</v>
      </c>
      <c r="AN96" s="14">
        <f t="shared" si="31"/>
        <v>4</v>
      </c>
      <c r="AO96" s="14">
        <f t="shared" si="52"/>
        <v>202605</v>
      </c>
      <c r="AP96" s="14" t="str">
        <f t="shared" si="32"/>
        <v>雷震子传记-4</v>
      </c>
      <c r="AQ96" s="14" t="str">
        <f t="shared" si="33"/>
        <v>雷震子传记-4</v>
      </c>
      <c r="AR96" s="14">
        <f t="shared" si="34"/>
        <v>70</v>
      </c>
      <c r="AS96" s="14" t="str">
        <f t="shared" si="35"/>
        <v/>
      </c>
      <c r="AT96" s="98">
        <v>3</v>
      </c>
      <c r="AU96" s="99" t="s">
        <v>907</v>
      </c>
      <c r="AV96" s="14" t="str">
        <f t="shared" si="36"/>
        <v>KP_KM_1102026</v>
      </c>
      <c r="AW96" s="14">
        <f t="shared" si="37"/>
        <v>1102026</v>
      </c>
      <c r="AX96" s="14" t="str">
        <f t="shared" si="38"/>
        <v>雷震子传记4-1</v>
      </c>
      <c r="AY96" s="14" t="str">
        <f t="shared" si="39"/>
        <v/>
      </c>
      <c r="AZ96" s="14" t="str">
        <f t="shared" si="40"/>
        <v>雷震子专属武器碎片</v>
      </c>
      <c r="BA96" s="14">
        <f t="shared" si="41"/>
        <v>1</v>
      </c>
      <c r="BB96" s="14" t="str">
        <f t="shared" si="42"/>
        <v/>
      </c>
      <c r="BC96" s="14" t="str">
        <f t="shared" si="43"/>
        <v/>
      </c>
      <c r="BD96" s="96"/>
      <c r="BG96" s="97">
        <v>92</v>
      </c>
      <c r="BH96" s="14">
        <f t="shared" si="44"/>
        <v>11</v>
      </c>
      <c r="BI96" s="14">
        <f t="shared" si="45"/>
        <v>2</v>
      </c>
      <c r="BJ96" s="14">
        <f t="shared" si="46"/>
        <v>3092</v>
      </c>
      <c r="BK96" s="14" t="str">
        <f t="shared" si="47"/>
        <v>飞廉传记2-1</v>
      </c>
      <c r="BM96" s="14" t="str">
        <f t="shared" si="48"/>
        <v>飞廉传记2-1 飞廉碎片</v>
      </c>
      <c r="BN96" s="14" t="str">
        <f t="shared" si="49"/>
        <v>飞廉碎片</v>
      </c>
      <c r="BO96" s="14">
        <f t="shared" si="50"/>
        <v>1</v>
      </c>
      <c r="BP96" s="14">
        <f t="shared" si="51"/>
        <v>1</v>
      </c>
      <c r="BQ96" s="14">
        <v>10000</v>
      </c>
    </row>
    <row r="97" spans="35:69" ht="16.5" x14ac:dyDescent="0.2">
      <c r="AI97" s="96">
        <v>93</v>
      </c>
      <c r="AJ97" s="14">
        <f t="shared" si="28"/>
        <v>15</v>
      </c>
      <c r="AK97" s="14">
        <f t="shared" si="29"/>
        <v>202605</v>
      </c>
      <c r="AL97" s="14">
        <f t="shared" si="30"/>
        <v>2026</v>
      </c>
      <c r="AM97" s="96" t="s">
        <v>903</v>
      </c>
      <c r="AN97" s="14">
        <f t="shared" si="31"/>
        <v>5</v>
      </c>
      <c r="AO97" s="14">
        <f t="shared" si="52"/>
        <v>-1</v>
      </c>
      <c r="AP97" s="14" t="str">
        <f t="shared" si="32"/>
        <v>雷震子传记-5</v>
      </c>
      <c r="AQ97" s="14" t="str">
        <f t="shared" si="33"/>
        <v>雷震子传记-5</v>
      </c>
      <c r="AR97" s="14">
        <f t="shared" si="34"/>
        <v>80</v>
      </c>
      <c r="AS97" s="14" t="str">
        <f t="shared" si="35"/>
        <v/>
      </c>
      <c r="AT97" s="98">
        <v>3</v>
      </c>
      <c r="AU97" s="99" t="s">
        <v>907</v>
      </c>
      <c r="AV97" s="14" t="str">
        <f t="shared" si="36"/>
        <v>KP_KM_1102026</v>
      </c>
      <c r="AW97" s="14">
        <f t="shared" si="37"/>
        <v>1102026</v>
      </c>
      <c r="AX97" s="14" t="str">
        <f t="shared" si="38"/>
        <v>雷震子传记5-1</v>
      </c>
      <c r="AY97" s="14" t="str">
        <f t="shared" si="39"/>
        <v>雷震子传记5-1</v>
      </c>
      <c r="AZ97" s="14" t="str">
        <f t="shared" si="40"/>
        <v>雷震子碎片</v>
      </c>
      <c r="BA97" s="14" t="str">
        <f t="shared" si="41"/>
        <v>1~2</v>
      </c>
      <c r="BB97" s="14" t="str">
        <f t="shared" si="42"/>
        <v>雷震子专属武器碎片</v>
      </c>
      <c r="BC97" s="14">
        <f t="shared" si="43"/>
        <v>1</v>
      </c>
      <c r="BD97" s="96"/>
      <c r="BG97" s="97">
        <v>93</v>
      </c>
      <c r="BH97" s="14">
        <f t="shared" si="44"/>
        <v>11</v>
      </c>
      <c r="BI97" s="14">
        <f t="shared" si="45"/>
        <v>3</v>
      </c>
      <c r="BJ97" s="14">
        <f t="shared" si="46"/>
        <v>3093</v>
      </c>
      <c r="BK97" s="14" t="str">
        <f t="shared" si="47"/>
        <v>飞廉传记3-1</v>
      </c>
      <c r="BM97" s="14" t="str">
        <f t="shared" si="48"/>
        <v>飞廉传记3-1 飞廉碎片</v>
      </c>
      <c r="BN97" s="14" t="str">
        <f t="shared" si="49"/>
        <v>飞廉碎片</v>
      </c>
      <c r="BO97" s="14">
        <f t="shared" si="50"/>
        <v>1</v>
      </c>
      <c r="BP97" s="14">
        <f t="shared" si="51"/>
        <v>2</v>
      </c>
      <c r="BQ97" s="14">
        <v>10000</v>
      </c>
    </row>
    <row r="98" spans="35:69" ht="16.5" x14ac:dyDescent="0.2">
      <c r="AI98" s="96">
        <v>94</v>
      </c>
      <c r="AJ98" s="14">
        <f t="shared" si="28"/>
        <v>16</v>
      </c>
      <c r="AK98" s="14">
        <f t="shared" si="29"/>
        <v>203001</v>
      </c>
      <c r="AL98" s="14">
        <f t="shared" si="30"/>
        <v>2030</v>
      </c>
      <c r="AM98" s="96" t="s">
        <v>903</v>
      </c>
      <c r="AN98" s="14">
        <f t="shared" si="31"/>
        <v>1</v>
      </c>
      <c r="AO98" s="14">
        <f t="shared" si="52"/>
        <v>203002</v>
      </c>
      <c r="AP98" s="14" t="str">
        <f t="shared" si="32"/>
        <v>燕青传记-1</v>
      </c>
      <c r="AQ98" s="14" t="str">
        <f t="shared" si="33"/>
        <v>燕青传记-1</v>
      </c>
      <c r="AR98" s="14">
        <f t="shared" si="34"/>
        <v>30</v>
      </c>
      <c r="AS98" s="14" t="str">
        <f t="shared" si="35"/>
        <v/>
      </c>
      <c r="AT98" s="98">
        <v>3</v>
      </c>
      <c r="AU98" s="99" t="s">
        <v>907</v>
      </c>
      <c r="AV98" s="14" t="str">
        <f t="shared" si="36"/>
        <v>KP_KM_1102030</v>
      </c>
      <c r="AW98" s="14">
        <f t="shared" si="37"/>
        <v>1102030</v>
      </c>
      <c r="AX98" s="14" t="str">
        <f t="shared" si="38"/>
        <v>燕青传记1-1</v>
      </c>
      <c r="AY98" s="14" t="str">
        <f t="shared" si="39"/>
        <v/>
      </c>
      <c r="AZ98" s="14" t="str">
        <f t="shared" si="40"/>
        <v>燕青碎片</v>
      </c>
      <c r="BA98" s="14">
        <f t="shared" si="41"/>
        <v>1</v>
      </c>
      <c r="BB98" s="14" t="str">
        <f t="shared" si="42"/>
        <v/>
      </c>
      <c r="BC98" s="14" t="str">
        <f t="shared" si="43"/>
        <v/>
      </c>
      <c r="BD98" s="96"/>
      <c r="BG98" s="97">
        <v>94</v>
      </c>
      <c r="BH98" s="14">
        <f t="shared" si="44"/>
        <v>11</v>
      </c>
      <c r="BI98" s="14">
        <f t="shared" si="45"/>
        <v>4</v>
      </c>
      <c r="BJ98" s="14">
        <f t="shared" si="46"/>
        <v>3094</v>
      </c>
      <c r="BK98" s="14" t="str">
        <f t="shared" si="47"/>
        <v>飞廉传记4-1</v>
      </c>
      <c r="BM98" s="14" t="str">
        <f t="shared" si="48"/>
        <v>飞廉传记4-1 飞廉专属武器碎片</v>
      </c>
      <c r="BN98" s="14" t="str">
        <f t="shared" si="49"/>
        <v>飞廉专属武器碎片</v>
      </c>
      <c r="BO98" s="14">
        <f t="shared" si="50"/>
        <v>1</v>
      </c>
      <c r="BP98" s="14">
        <f t="shared" si="51"/>
        <v>1</v>
      </c>
      <c r="BQ98" s="14">
        <v>10000</v>
      </c>
    </row>
    <row r="99" spans="35:69" ht="16.5" x14ac:dyDescent="0.2">
      <c r="AI99" s="96">
        <v>95</v>
      </c>
      <c r="AJ99" s="14">
        <f t="shared" si="28"/>
        <v>16</v>
      </c>
      <c r="AK99" s="14">
        <f t="shared" si="29"/>
        <v>203002</v>
      </c>
      <c r="AL99" s="14">
        <f t="shared" si="30"/>
        <v>2030</v>
      </c>
      <c r="AM99" s="96" t="s">
        <v>903</v>
      </c>
      <c r="AN99" s="14">
        <f t="shared" si="31"/>
        <v>2</v>
      </c>
      <c r="AO99" s="14">
        <f t="shared" si="52"/>
        <v>203003</v>
      </c>
      <c r="AP99" s="14" t="str">
        <f t="shared" si="32"/>
        <v>燕青传记-2</v>
      </c>
      <c r="AQ99" s="14" t="str">
        <f t="shared" si="33"/>
        <v>燕青传记-2</v>
      </c>
      <c r="AR99" s="14">
        <f t="shared" si="34"/>
        <v>40</v>
      </c>
      <c r="AS99" s="14" t="str">
        <f t="shared" si="35"/>
        <v/>
      </c>
      <c r="AT99" s="98">
        <v>3</v>
      </c>
      <c r="AU99" s="99" t="s">
        <v>907</v>
      </c>
      <c r="AV99" s="14" t="str">
        <f t="shared" si="36"/>
        <v>KP_KM_1102030</v>
      </c>
      <c r="AW99" s="14">
        <f t="shared" si="37"/>
        <v>1102030</v>
      </c>
      <c r="AX99" s="14" t="str">
        <f t="shared" si="38"/>
        <v>燕青传记2-1</v>
      </c>
      <c r="AY99" s="14" t="str">
        <f t="shared" si="39"/>
        <v/>
      </c>
      <c r="AZ99" s="14" t="str">
        <f t="shared" si="40"/>
        <v>燕青碎片</v>
      </c>
      <c r="BA99" s="14">
        <f t="shared" si="41"/>
        <v>1</v>
      </c>
      <c r="BB99" s="14" t="str">
        <f t="shared" si="42"/>
        <v/>
      </c>
      <c r="BC99" s="14" t="str">
        <f t="shared" si="43"/>
        <v/>
      </c>
      <c r="BD99" s="96"/>
      <c r="BG99" s="97">
        <v>95</v>
      </c>
      <c r="BH99" s="14">
        <f t="shared" si="44"/>
        <v>11</v>
      </c>
      <c r="BI99" s="14">
        <f t="shared" si="45"/>
        <v>5</v>
      </c>
      <c r="BJ99" s="14">
        <f t="shared" si="46"/>
        <v>3095</v>
      </c>
      <c r="BK99" s="14" t="str">
        <f t="shared" si="47"/>
        <v>飞廉传记5-1</v>
      </c>
      <c r="BM99" s="14" t="str">
        <f t="shared" si="48"/>
        <v>飞廉传记5-1 飞廉碎片</v>
      </c>
      <c r="BN99" s="14" t="str">
        <f t="shared" si="49"/>
        <v>飞廉碎片</v>
      </c>
      <c r="BO99" s="14">
        <f t="shared" si="50"/>
        <v>1</v>
      </c>
      <c r="BP99" s="14">
        <f t="shared" si="51"/>
        <v>2</v>
      </c>
      <c r="BQ99" s="14">
        <v>10000</v>
      </c>
    </row>
    <row r="100" spans="35:69" ht="16.5" x14ac:dyDescent="0.2">
      <c r="AI100" s="96">
        <v>96</v>
      </c>
      <c r="AJ100" s="14">
        <f t="shared" si="28"/>
        <v>16</v>
      </c>
      <c r="AK100" s="14">
        <f t="shared" si="29"/>
        <v>203003</v>
      </c>
      <c r="AL100" s="14">
        <f t="shared" si="30"/>
        <v>2030</v>
      </c>
      <c r="AM100" s="96" t="s">
        <v>903</v>
      </c>
      <c r="AN100" s="14">
        <f t="shared" si="31"/>
        <v>3</v>
      </c>
      <c r="AO100" s="14">
        <f t="shared" si="52"/>
        <v>203004</v>
      </c>
      <c r="AP100" s="14" t="str">
        <f t="shared" si="32"/>
        <v>燕青传记-3</v>
      </c>
      <c r="AQ100" s="14" t="str">
        <f t="shared" si="33"/>
        <v>燕青传记-3</v>
      </c>
      <c r="AR100" s="14">
        <f t="shared" si="34"/>
        <v>55</v>
      </c>
      <c r="AS100" s="14" t="str">
        <f t="shared" si="35"/>
        <v/>
      </c>
      <c r="AT100" s="98">
        <v>3</v>
      </c>
      <c r="AU100" s="99" t="s">
        <v>907</v>
      </c>
      <c r="AV100" s="14" t="str">
        <f t="shared" si="36"/>
        <v>KP_KM_1102030</v>
      </c>
      <c r="AW100" s="14">
        <f t="shared" si="37"/>
        <v>1102030</v>
      </c>
      <c r="AX100" s="14" t="str">
        <f t="shared" si="38"/>
        <v>燕青传记3-1</v>
      </c>
      <c r="AY100" s="14" t="str">
        <f t="shared" si="39"/>
        <v/>
      </c>
      <c r="AZ100" s="14" t="str">
        <f t="shared" si="40"/>
        <v>燕青碎片</v>
      </c>
      <c r="BA100" s="14" t="str">
        <f t="shared" si="41"/>
        <v>1~2</v>
      </c>
      <c r="BB100" s="14" t="str">
        <f t="shared" si="42"/>
        <v/>
      </c>
      <c r="BC100" s="14" t="str">
        <f t="shared" si="43"/>
        <v/>
      </c>
      <c r="BD100" s="96"/>
      <c r="BG100" s="97">
        <v>96</v>
      </c>
      <c r="BH100" s="14">
        <f t="shared" si="44"/>
        <v>11</v>
      </c>
      <c r="BI100" s="14">
        <f t="shared" si="45"/>
        <v>6</v>
      </c>
      <c r="BJ100" s="14">
        <f t="shared" si="46"/>
        <v>3096</v>
      </c>
      <c r="BK100" s="14" t="str">
        <f t="shared" si="47"/>
        <v>飞廉传记5-2</v>
      </c>
      <c r="BM100" s="14" t="str">
        <f t="shared" si="48"/>
        <v>飞廉传记5-2 飞廉专属武器碎片</v>
      </c>
      <c r="BN100" s="14" t="str">
        <f t="shared" si="49"/>
        <v>飞廉专属武器碎片</v>
      </c>
      <c r="BO100" s="14">
        <f t="shared" si="50"/>
        <v>1</v>
      </c>
      <c r="BP100" s="14">
        <f t="shared" si="51"/>
        <v>1</v>
      </c>
      <c r="BQ100" s="14">
        <v>10000</v>
      </c>
    </row>
    <row r="101" spans="35:69" ht="16.5" x14ac:dyDescent="0.2">
      <c r="AI101" s="96">
        <v>97</v>
      </c>
      <c r="AJ101" s="14">
        <f t="shared" si="28"/>
        <v>16</v>
      </c>
      <c r="AK101" s="14">
        <f t="shared" si="29"/>
        <v>203004</v>
      </c>
      <c r="AL101" s="14">
        <f t="shared" si="30"/>
        <v>2030</v>
      </c>
      <c r="AM101" s="96" t="s">
        <v>903</v>
      </c>
      <c r="AN101" s="14">
        <f t="shared" si="31"/>
        <v>4</v>
      </c>
      <c r="AO101" s="14">
        <f t="shared" si="52"/>
        <v>203005</v>
      </c>
      <c r="AP101" s="14" t="str">
        <f t="shared" si="32"/>
        <v>燕青传记-4</v>
      </c>
      <c r="AQ101" s="14" t="str">
        <f t="shared" si="33"/>
        <v>燕青传记-4</v>
      </c>
      <c r="AR101" s="14">
        <f t="shared" si="34"/>
        <v>70</v>
      </c>
      <c r="AS101" s="14" t="str">
        <f t="shared" si="35"/>
        <v/>
      </c>
      <c r="AT101" s="98">
        <v>3</v>
      </c>
      <c r="AU101" s="99" t="s">
        <v>907</v>
      </c>
      <c r="AV101" s="14" t="str">
        <f t="shared" si="36"/>
        <v>KP_KM_1102030</v>
      </c>
      <c r="AW101" s="14">
        <f t="shared" si="37"/>
        <v>1102030</v>
      </c>
      <c r="AX101" s="14" t="str">
        <f t="shared" si="38"/>
        <v>燕青传记4-1</v>
      </c>
      <c r="AY101" s="14" t="str">
        <f t="shared" si="39"/>
        <v/>
      </c>
      <c r="AZ101" s="14" t="str">
        <f t="shared" si="40"/>
        <v>燕青专属武器碎片</v>
      </c>
      <c r="BA101" s="14">
        <f t="shared" si="41"/>
        <v>1</v>
      </c>
      <c r="BB101" s="14" t="str">
        <f t="shared" si="42"/>
        <v/>
      </c>
      <c r="BC101" s="14" t="str">
        <f t="shared" si="43"/>
        <v/>
      </c>
      <c r="BD101" s="96"/>
      <c r="BG101" s="97">
        <v>97</v>
      </c>
      <c r="BH101" s="14">
        <f t="shared" si="44"/>
        <v>12</v>
      </c>
      <c r="BI101" s="14">
        <f t="shared" si="45"/>
        <v>1</v>
      </c>
      <c r="BJ101" s="14">
        <f t="shared" si="46"/>
        <v>3097</v>
      </c>
      <c r="BK101" s="14" t="str">
        <f t="shared" si="47"/>
        <v>高顺传记1-1</v>
      </c>
      <c r="BM101" s="14" t="str">
        <f t="shared" si="48"/>
        <v>高顺传记1-1 高顺碎片</v>
      </c>
      <c r="BN101" s="14" t="str">
        <f t="shared" si="49"/>
        <v>高顺碎片</v>
      </c>
      <c r="BO101" s="14">
        <f t="shared" si="50"/>
        <v>1</v>
      </c>
      <c r="BP101" s="14">
        <f t="shared" si="51"/>
        <v>1</v>
      </c>
      <c r="BQ101" s="14">
        <v>10000</v>
      </c>
    </row>
    <row r="102" spans="35:69" ht="16.5" x14ac:dyDescent="0.2">
      <c r="AI102" s="96">
        <v>98</v>
      </c>
      <c r="AJ102" s="14">
        <f t="shared" si="28"/>
        <v>16</v>
      </c>
      <c r="AK102" s="14">
        <f t="shared" si="29"/>
        <v>203005</v>
      </c>
      <c r="AL102" s="14">
        <f t="shared" si="30"/>
        <v>2030</v>
      </c>
      <c r="AM102" s="96" t="s">
        <v>903</v>
      </c>
      <c r="AN102" s="14">
        <f t="shared" si="31"/>
        <v>5</v>
      </c>
      <c r="AO102" s="14">
        <f t="shared" si="52"/>
        <v>-1</v>
      </c>
      <c r="AP102" s="14" t="str">
        <f t="shared" si="32"/>
        <v>燕青传记-5</v>
      </c>
      <c r="AQ102" s="14" t="str">
        <f t="shared" si="33"/>
        <v>燕青传记-5</v>
      </c>
      <c r="AR102" s="14">
        <f t="shared" si="34"/>
        <v>80</v>
      </c>
      <c r="AS102" s="14" t="str">
        <f t="shared" si="35"/>
        <v/>
      </c>
      <c r="AT102" s="98">
        <v>3</v>
      </c>
      <c r="AU102" s="99" t="s">
        <v>907</v>
      </c>
      <c r="AV102" s="14" t="str">
        <f t="shared" si="36"/>
        <v>KP_KM_1102030</v>
      </c>
      <c r="AW102" s="14">
        <f t="shared" si="37"/>
        <v>1102030</v>
      </c>
      <c r="AX102" s="14" t="str">
        <f t="shared" si="38"/>
        <v>燕青传记5-1</v>
      </c>
      <c r="AY102" s="14" t="str">
        <f t="shared" si="39"/>
        <v>燕青传记5-1</v>
      </c>
      <c r="AZ102" s="14" t="str">
        <f t="shared" si="40"/>
        <v>燕青碎片</v>
      </c>
      <c r="BA102" s="14" t="str">
        <f t="shared" si="41"/>
        <v>1~2</v>
      </c>
      <c r="BB102" s="14" t="str">
        <f t="shared" si="42"/>
        <v>燕青专属武器碎片</v>
      </c>
      <c r="BC102" s="14">
        <f t="shared" si="43"/>
        <v>1</v>
      </c>
      <c r="BD102" s="96"/>
      <c r="BG102" s="97">
        <v>98</v>
      </c>
      <c r="BH102" s="14">
        <f t="shared" si="44"/>
        <v>12</v>
      </c>
      <c r="BI102" s="14">
        <f t="shared" si="45"/>
        <v>2</v>
      </c>
      <c r="BJ102" s="14">
        <f t="shared" si="46"/>
        <v>3098</v>
      </c>
      <c r="BK102" s="14" t="str">
        <f t="shared" si="47"/>
        <v>高顺传记2-1</v>
      </c>
      <c r="BM102" s="14" t="str">
        <f t="shared" si="48"/>
        <v>高顺传记2-1 高顺碎片</v>
      </c>
      <c r="BN102" s="14" t="str">
        <f t="shared" si="49"/>
        <v>高顺碎片</v>
      </c>
      <c r="BO102" s="14">
        <f t="shared" si="50"/>
        <v>1</v>
      </c>
      <c r="BP102" s="14">
        <f t="shared" si="51"/>
        <v>1</v>
      </c>
      <c r="BQ102" s="14">
        <v>10000</v>
      </c>
    </row>
    <row r="103" spans="35:69" ht="16.5" x14ac:dyDescent="0.2">
      <c r="AI103" s="96">
        <v>99</v>
      </c>
      <c r="AJ103" s="14">
        <f t="shared" si="28"/>
        <v>17</v>
      </c>
      <c r="AK103" s="14">
        <f t="shared" si="29"/>
        <v>203101</v>
      </c>
      <c r="AL103" s="14">
        <f t="shared" si="30"/>
        <v>2031</v>
      </c>
      <c r="AM103" s="96" t="s">
        <v>903</v>
      </c>
      <c r="AN103" s="14">
        <f t="shared" si="31"/>
        <v>1</v>
      </c>
      <c r="AO103" s="14">
        <f t="shared" si="52"/>
        <v>203102</v>
      </c>
      <c r="AP103" s="14" t="str">
        <f t="shared" si="32"/>
        <v>秦琼传记-1</v>
      </c>
      <c r="AQ103" s="14" t="str">
        <f t="shared" si="33"/>
        <v>秦琼传记-1</v>
      </c>
      <c r="AR103" s="14">
        <f t="shared" si="34"/>
        <v>30</v>
      </c>
      <c r="AS103" s="14" t="str">
        <f t="shared" si="35"/>
        <v/>
      </c>
      <c r="AT103" s="98">
        <v>3</v>
      </c>
      <c r="AU103" s="99" t="s">
        <v>907</v>
      </c>
      <c r="AV103" s="14" t="str">
        <f t="shared" si="36"/>
        <v>KP_KM_1102031</v>
      </c>
      <c r="AW103" s="14">
        <f t="shared" si="37"/>
        <v>1102031</v>
      </c>
      <c r="AX103" s="14" t="str">
        <f t="shared" si="38"/>
        <v>秦琼传记1-1</v>
      </c>
      <c r="AY103" s="14" t="str">
        <f t="shared" si="39"/>
        <v/>
      </c>
      <c r="AZ103" s="14" t="str">
        <f t="shared" si="40"/>
        <v>秦琼碎片</v>
      </c>
      <c r="BA103" s="14">
        <f t="shared" si="41"/>
        <v>1</v>
      </c>
      <c r="BB103" s="14" t="str">
        <f t="shared" si="42"/>
        <v/>
      </c>
      <c r="BC103" s="14" t="str">
        <f t="shared" si="43"/>
        <v/>
      </c>
      <c r="BD103" s="96"/>
      <c r="BG103" s="97">
        <v>99</v>
      </c>
      <c r="BH103" s="14">
        <f t="shared" si="44"/>
        <v>12</v>
      </c>
      <c r="BI103" s="14">
        <f t="shared" si="45"/>
        <v>3</v>
      </c>
      <c r="BJ103" s="14">
        <f t="shared" si="46"/>
        <v>3099</v>
      </c>
      <c r="BK103" s="14" t="str">
        <f t="shared" si="47"/>
        <v>高顺传记3-1</v>
      </c>
      <c r="BM103" s="14" t="str">
        <f t="shared" si="48"/>
        <v>高顺传记3-1 高顺碎片</v>
      </c>
      <c r="BN103" s="14" t="str">
        <f t="shared" si="49"/>
        <v>高顺碎片</v>
      </c>
      <c r="BO103" s="14">
        <f t="shared" si="50"/>
        <v>1</v>
      </c>
      <c r="BP103" s="14">
        <f t="shared" si="51"/>
        <v>2</v>
      </c>
      <c r="BQ103" s="14">
        <v>10000</v>
      </c>
    </row>
    <row r="104" spans="35:69" ht="16.5" x14ac:dyDescent="0.2">
      <c r="AI104" s="96">
        <v>100</v>
      </c>
      <c r="AJ104" s="14">
        <f t="shared" si="28"/>
        <v>17</v>
      </c>
      <c r="AK104" s="14">
        <f t="shared" si="29"/>
        <v>203102</v>
      </c>
      <c r="AL104" s="14">
        <f t="shared" si="30"/>
        <v>2031</v>
      </c>
      <c r="AM104" s="96" t="s">
        <v>903</v>
      </c>
      <c r="AN104" s="14">
        <f t="shared" si="31"/>
        <v>2</v>
      </c>
      <c r="AO104" s="14">
        <f t="shared" si="52"/>
        <v>203103</v>
      </c>
      <c r="AP104" s="14" t="str">
        <f t="shared" si="32"/>
        <v>秦琼传记-2</v>
      </c>
      <c r="AQ104" s="14" t="str">
        <f t="shared" si="33"/>
        <v>秦琼传记-2</v>
      </c>
      <c r="AR104" s="14">
        <f t="shared" si="34"/>
        <v>40</v>
      </c>
      <c r="AS104" s="14" t="str">
        <f t="shared" si="35"/>
        <v/>
      </c>
      <c r="AT104" s="98">
        <v>3</v>
      </c>
      <c r="AU104" s="99" t="s">
        <v>907</v>
      </c>
      <c r="AV104" s="14" t="str">
        <f t="shared" si="36"/>
        <v>KP_KM_1102031</v>
      </c>
      <c r="AW104" s="14">
        <f t="shared" si="37"/>
        <v>1102031</v>
      </c>
      <c r="AX104" s="14" t="str">
        <f t="shared" si="38"/>
        <v>秦琼传记2-1</v>
      </c>
      <c r="AY104" s="14" t="str">
        <f t="shared" si="39"/>
        <v/>
      </c>
      <c r="AZ104" s="14" t="str">
        <f t="shared" si="40"/>
        <v>秦琼碎片</v>
      </c>
      <c r="BA104" s="14">
        <f t="shared" si="41"/>
        <v>1</v>
      </c>
      <c r="BB104" s="14" t="str">
        <f t="shared" si="42"/>
        <v/>
      </c>
      <c r="BC104" s="14" t="str">
        <f t="shared" si="43"/>
        <v/>
      </c>
      <c r="BD104" s="96"/>
      <c r="BG104" s="97">
        <v>100</v>
      </c>
      <c r="BH104" s="14">
        <f t="shared" si="44"/>
        <v>12</v>
      </c>
      <c r="BI104" s="14">
        <f t="shared" si="45"/>
        <v>4</v>
      </c>
      <c r="BJ104" s="14">
        <f t="shared" si="46"/>
        <v>3100</v>
      </c>
      <c r="BK104" s="14" t="str">
        <f t="shared" si="47"/>
        <v>高顺传记4-1</v>
      </c>
      <c r="BM104" s="14" t="str">
        <f t="shared" si="48"/>
        <v>高顺传记4-1 高顺专属武器碎片</v>
      </c>
      <c r="BN104" s="14" t="str">
        <f t="shared" si="49"/>
        <v>高顺专属武器碎片</v>
      </c>
      <c r="BO104" s="14">
        <f t="shared" si="50"/>
        <v>1</v>
      </c>
      <c r="BP104" s="14">
        <f t="shared" si="51"/>
        <v>1</v>
      </c>
      <c r="BQ104" s="14">
        <v>10000</v>
      </c>
    </row>
    <row r="105" spans="35:69" ht="16.5" x14ac:dyDescent="0.2">
      <c r="AI105" s="96">
        <v>101</v>
      </c>
      <c r="AJ105" s="14">
        <f t="shared" si="28"/>
        <v>17</v>
      </c>
      <c r="AK105" s="14">
        <f t="shared" si="29"/>
        <v>203103</v>
      </c>
      <c r="AL105" s="14">
        <f t="shared" si="30"/>
        <v>2031</v>
      </c>
      <c r="AM105" s="96" t="s">
        <v>903</v>
      </c>
      <c r="AN105" s="14">
        <f t="shared" si="31"/>
        <v>3</v>
      </c>
      <c r="AO105" s="14">
        <f t="shared" si="52"/>
        <v>203104</v>
      </c>
      <c r="AP105" s="14" t="str">
        <f t="shared" si="32"/>
        <v>秦琼传记-3</v>
      </c>
      <c r="AQ105" s="14" t="str">
        <f t="shared" si="33"/>
        <v>秦琼传记-3</v>
      </c>
      <c r="AR105" s="14">
        <f t="shared" si="34"/>
        <v>55</v>
      </c>
      <c r="AS105" s="14" t="str">
        <f t="shared" si="35"/>
        <v/>
      </c>
      <c r="AT105" s="98">
        <v>3</v>
      </c>
      <c r="AU105" s="99" t="s">
        <v>907</v>
      </c>
      <c r="AV105" s="14" t="str">
        <f t="shared" si="36"/>
        <v>KP_KM_1102031</v>
      </c>
      <c r="AW105" s="14">
        <f t="shared" si="37"/>
        <v>1102031</v>
      </c>
      <c r="AX105" s="14" t="str">
        <f t="shared" si="38"/>
        <v>秦琼传记3-1</v>
      </c>
      <c r="AY105" s="14" t="str">
        <f t="shared" si="39"/>
        <v/>
      </c>
      <c r="AZ105" s="14" t="str">
        <f t="shared" si="40"/>
        <v>秦琼碎片</v>
      </c>
      <c r="BA105" s="14" t="str">
        <f t="shared" si="41"/>
        <v>1~2</v>
      </c>
      <c r="BB105" s="14" t="str">
        <f t="shared" si="42"/>
        <v/>
      </c>
      <c r="BC105" s="14" t="str">
        <f t="shared" si="43"/>
        <v/>
      </c>
      <c r="BD105" s="96"/>
      <c r="BG105" s="97">
        <v>101</v>
      </c>
      <c r="BH105" s="14">
        <f t="shared" si="44"/>
        <v>12</v>
      </c>
      <c r="BI105" s="14">
        <f t="shared" si="45"/>
        <v>5</v>
      </c>
      <c r="BJ105" s="14">
        <f t="shared" si="46"/>
        <v>3101</v>
      </c>
      <c r="BK105" s="14" t="str">
        <f t="shared" si="47"/>
        <v>高顺传记5-1</v>
      </c>
      <c r="BM105" s="14" t="str">
        <f t="shared" si="48"/>
        <v>高顺传记5-1 高顺碎片</v>
      </c>
      <c r="BN105" s="14" t="str">
        <f t="shared" si="49"/>
        <v>高顺碎片</v>
      </c>
      <c r="BO105" s="14">
        <f t="shared" si="50"/>
        <v>1</v>
      </c>
      <c r="BP105" s="14">
        <f t="shared" si="51"/>
        <v>2</v>
      </c>
      <c r="BQ105" s="14">
        <v>10000</v>
      </c>
    </row>
    <row r="106" spans="35:69" ht="16.5" x14ac:dyDescent="0.2">
      <c r="AI106" s="96">
        <v>102</v>
      </c>
      <c r="AJ106" s="14">
        <f t="shared" si="28"/>
        <v>17</v>
      </c>
      <c r="AK106" s="14">
        <f t="shared" si="29"/>
        <v>203104</v>
      </c>
      <c r="AL106" s="14">
        <f t="shared" si="30"/>
        <v>2031</v>
      </c>
      <c r="AM106" s="96" t="s">
        <v>903</v>
      </c>
      <c r="AN106" s="14">
        <f t="shared" si="31"/>
        <v>4</v>
      </c>
      <c r="AO106" s="14">
        <f t="shared" si="52"/>
        <v>203105</v>
      </c>
      <c r="AP106" s="14" t="str">
        <f t="shared" si="32"/>
        <v>秦琼传记-4</v>
      </c>
      <c r="AQ106" s="14" t="str">
        <f t="shared" si="33"/>
        <v>秦琼传记-4</v>
      </c>
      <c r="AR106" s="14">
        <f t="shared" si="34"/>
        <v>70</v>
      </c>
      <c r="AS106" s="14" t="str">
        <f t="shared" si="35"/>
        <v/>
      </c>
      <c r="AT106" s="98">
        <v>3</v>
      </c>
      <c r="AU106" s="99" t="s">
        <v>907</v>
      </c>
      <c r="AV106" s="14" t="str">
        <f t="shared" si="36"/>
        <v>KP_KM_1102031</v>
      </c>
      <c r="AW106" s="14">
        <f t="shared" si="37"/>
        <v>1102031</v>
      </c>
      <c r="AX106" s="14" t="str">
        <f t="shared" si="38"/>
        <v>秦琼传记4-1</v>
      </c>
      <c r="AY106" s="14" t="str">
        <f t="shared" si="39"/>
        <v/>
      </c>
      <c r="AZ106" s="14" t="str">
        <f t="shared" si="40"/>
        <v>秦琼专属武器碎片</v>
      </c>
      <c r="BA106" s="14">
        <f t="shared" si="41"/>
        <v>1</v>
      </c>
      <c r="BB106" s="14" t="str">
        <f t="shared" si="42"/>
        <v/>
      </c>
      <c r="BC106" s="14" t="str">
        <f t="shared" si="43"/>
        <v/>
      </c>
      <c r="BD106" s="96"/>
      <c r="BG106" s="97">
        <v>102</v>
      </c>
      <c r="BH106" s="14">
        <f t="shared" si="44"/>
        <v>12</v>
      </c>
      <c r="BI106" s="14">
        <f t="shared" si="45"/>
        <v>6</v>
      </c>
      <c r="BJ106" s="14">
        <f t="shared" si="46"/>
        <v>3102</v>
      </c>
      <c r="BK106" s="14" t="str">
        <f t="shared" si="47"/>
        <v>高顺传记5-2</v>
      </c>
      <c r="BM106" s="14" t="str">
        <f t="shared" si="48"/>
        <v>高顺传记5-2 高顺专属武器碎片</v>
      </c>
      <c r="BN106" s="14" t="str">
        <f t="shared" si="49"/>
        <v>高顺专属武器碎片</v>
      </c>
      <c r="BO106" s="14">
        <f t="shared" si="50"/>
        <v>1</v>
      </c>
      <c r="BP106" s="14">
        <f t="shared" si="51"/>
        <v>1</v>
      </c>
      <c r="BQ106" s="14">
        <v>10000</v>
      </c>
    </row>
    <row r="107" spans="35:69" ht="16.5" x14ac:dyDescent="0.2">
      <c r="AI107" s="96">
        <v>103</v>
      </c>
      <c r="AJ107" s="14">
        <f t="shared" si="28"/>
        <v>17</v>
      </c>
      <c r="AK107" s="14">
        <f t="shared" si="29"/>
        <v>203105</v>
      </c>
      <c r="AL107" s="14">
        <f t="shared" si="30"/>
        <v>2031</v>
      </c>
      <c r="AM107" s="96" t="s">
        <v>903</v>
      </c>
      <c r="AN107" s="14">
        <f t="shared" si="31"/>
        <v>5</v>
      </c>
      <c r="AO107" s="14">
        <f t="shared" si="52"/>
        <v>203106</v>
      </c>
      <c r="AP107" s="14" t="str">
        <f t="shared" si="32"/>
        <v>秦琼传记-5</v>
      </c>
      <c r="AQ107" s="14" t="str">
        <f t="shared" si="33"/>
        <v>秦琼传记-5</v>
      </c>
      <c r="AR107" s="14">
        <f t="shared" si="34"/>
        <v>80</v>
      </c>
      <c r="AS107" s="14" t="str">
        <f t="shared" si="35"/>
        <v/>
      </c>
      <c r="AT107" s="98">
        <v>3</v>
      </c>
      <c r="AU107" s="99" t="s">
        <v>907</v>
      </c>
      <c r="AV107" s="14" t="str">
        <f t="shared" si="36"/>
        <v>KP_KM_1102031</v>
      </c>
      <c r="AW107" s="14">
        <f t="shared" si="37"/>
        <v>1102031</v>
      </c>
      <c r="AX107" s="14" t="str">
        <f t="shared" si="38"/>
        <v>秦琼传记5-1</v>
      </c>
      <c r="AY107" s="14" t="str">
        <f t="shared" si="39"/>
        <v>秦琼传记5-1</v>
      </c>
      <c r="AZ107" s="14" t="str">
        <f t="shared" si="40"/>
        <v>秦琼碎片</v>
      </c>
      <c r="BA107" s="14" t="str">
        <f t="shared" si="41"/>
        <v>1~2</v>
      </c>
      <c r="BB107" s="14" t="str">
        <f t="shared" si="42"/>
        <v>秦琼专属武器碎片</v>
      </c>
      <c r="BC107" s="14">
        <f t="shared" si="43"/>
        <v>1</v>
      </c>
      <c r="BD107" s="96"/>
      <c r="BG107" s="97">
        <v>103</v>
      </c>
      <c r="BH107" s="14">
        <f t="shared" si="44"/>
        <v>13</v>
      </c>
      <c r="BI107" s="14">
        <f t="shared" si="45"/>
        <v>1</v>
      </c>
      <c r="BJ107" s="14">
        <f t="shared" si="46"/>
        <v>3103</v>
      </c>
      <c r="BK107" s="14" t="str">
        <f t="shared" si="47"/>
        <v>烈风螳螂传记1-1</v>
      </c>
      <c r="BM107" s="14" t="str">
        <f t="shared" si="48"/>
        <v>烈风螳螂传记1-1 烈风螳螂碎片</v>
      </c>
      <c r="BN107" s="14" t="str">
        <f t="shared" si="49"/>
        <v>烈风螳螂碎片</v>
      </c>
      <c r="BO107" s="14">
        <f t="shared" si="50"/>
        <v>1</v>
      </c>
      <c r="BP107" s="14">
        <f t="shared" si="51"/>
        <v>1</v>
      </c>
      <c r="BQ107" s="14">
        <v>10000</v>
      </c>
    </row>
    <row r="108" spans="35:69" ht="16.5" x14ac:dyDescent="0.2">
      <c r="AI108" s="96">
        <v>104</v>
      </c>
      <c r="AJ108" s="14">
        <f t="shared" si="28"/>
        <v>17</v>
      </c>
      <c r="AK108" s="14">
        <f t="shared" si="29"/>
        <v>203106</v>
      </c>
      <c r="AL108" s="14">
        <f t="shared" si="30"/>
        <v>2031</v>
      </c>
      <c r="AM108" s="96" t="s">
        <v>903</v>
      </c>
      <c r="AN108" s="14">
        <f t="shared" si="31"/>
        <v>6</v>
      </c>
      <c r="AO108" s="14">
        <f t="shared" si="52"/>
        <v>203107</v>
      </c>
      <c r="AP108" s="14" t="str">
        <f t="shared" si="32"/>
        <v>秦琼传记-6</v>
      </c>
      <c r="AQ108" s="14" t="str">
        <f t="shared" si="33"/>
        <v>秦琼传记-6</v>
      </c>
      <c r="AR108" s="14">
        <f t="shared" si="34"/>
        <v>90</v>
      </c>
      <c r="AS108" s="14">
        <f t="shared" si="35"/>
        <v>2</v>
      </c>
      <c r="AT108" s="98">
        <v>3</v>
      </c>
      <c r="AU108" s="99" t="s">
        <v>907</v>
      </c>
      <c r="AV108" s="14" t="str">
        <f t="shared" si="36"/>
        <v>KP_KM_1102031</v>
      </c>
      <c r="AW108" s="14">
        <f t="shared" si="37"/>
        <v>1102031</v>
      </c>
      <c r="AX108" s="14" t="str">
        <f t="shared" si="38"/>
        <v>秦琼传记6-1</v>
      </c>
      <c r="AY108" s="14" t="str">
        <f t="shared" si="39"/>
        <v>秦琼传记6-1</v>
      </c>
      <c r="AZ108" s="14" t="str">
        <f t="shared" si="40"/>
        <v>秦琼碎片</v>
      </c>
      <c r="BA108" s="14" t="str">
        <f t="shared" si="41"/>
        <v>1~2</v>
      </c>
      <c r="BB108" s="14" t="str">
        <f t="shared" si="42"/>
        <v>秦琼专属武器碎片</v>
      </c>
      <c r="BC108" s="14">
        <f t="shared" si="43"/>
        <v>1</v>
      </c>
      <c r="BD108" s="96"/>
      <c r="BG108" s="97">
        <v>104</v>
      </c>
      <c r="BH108" s="14">
        <f t="shared" si="44"/>
        <v>13</v>
      </c>
      <c r="BI108" s="14">
        <f t="shared" si="45"/>
        <v>2</v>
      </c>
      <c r="BJ108" s="14">
        <f t="shared" si="46"/>
        <v>3104</v>
      </c>
      <c r="BK108" s="14" t="str">
        <f t="shared" si="47"/>
        <v>烈风螳螂传记2-1</v>
      </c>
      <c r="BM108" s="14" t="str">
        <f t="shared" si="48"/>
        <v>烈风螳螂传记2-1 烈风螳螂碎片</v>
      </c>
      <c r="BN108" s="14" t="str">
        <f t="shared" si="49"/>
        <v>烈风螳螂碎片</v>
      </c>
      <c r="BO108" s="14">
        <f t="shared" si="50"/>
        <v>1</v>
      </c>
      <c r="BP108" s="14">
        <f t="shared" si="51"/>
        <v>1</v>
      </c>
      <c r="BQ108" s="14">
        <v>10000</v>
      </c>
    </row>
    <row r="109" spans="35:69" ht="16.5" x14ac:dyDescent="0.2">
      <c r="AI109" s="96">
        <v>105</v>
      </c>
      <c r="AJ109" s="14">
        <f t="shared" si="28"/>
        <v>17</v>
      </c>
      <c r="AK109" s="14">
        <f t="shared" si="29"/>
        <v>203107</v>
      </c>
      <c r="AL109" s="14">
        <f t="shared" si="30"/>
        <v>2031</v>
      </c>
      <c r="AM109" s="96" t="s">
        <v>903</v>
      </c>
      <c r="AN109" s="14">
        <f t="shared" si="31"/>
        <v>7</v>
      </c>
      <c r="AO109" s="14">
        <f t="shared" si="52"/>
        <v>203108</v>
      </c>
      <c r="AP109" s="14" t="str">
        <f t="shared" si="32"/>
        <v>秦琼传记-7</v>
      </c>
      <c r="AQ109" s="14" t="str">
        <f t="shared" si="33"/>
        <v>秦琼传记-7</v>
      </c>
      <c r="AR109" s="14">
        <f t="shared" si="34"/>
        <v>100</v>
      </c>
      <c r="AS109" s="14">
        <f t="shared" si="35"/>
        <v>2</v>
      </c>
      <c r="AT109" s="98">
        <v>3</v>
      </c>
      <c r="AU109" s="99" t="s">
        <v>907</v>
      </c>
      <c r="AV109" s="14" t="str">
        <f t="shared" si="36"/>
        <v>KP_KM_1102031</v>
      </c>
      <c r="AW109" s="14">
        <f t="shared" si="37"/>
        <v>1102031</v>
      </c>
      <c r="AX109" s="14" t="str">
        <f t="shared" si="38"/>
        <v>秦琼传记7-1</v>
      </c>
      <c r="AY109" s="14" t="str">
        <f t="shared" si="39"/>
        <v>秦琼传记7-1</v>
      </c>
      <c r="AZ109" s="14" t="str">
        <f t="shared" si="40"/>
        <v>秦琼碎片</v>
      </c>
      <c r="BA109" s="14" t="str">
        <f t="shared" si="41"/>
        <v>1~2</v>
      </c>
      <c r="BB109" s="14" t="str">
        <f t="shared" si="42"/>
        <v>秦琼专属武器碎片</v>
      </c>
      <c r="BC109" s="14">
        <f t="shared" si="43"/>
        <v>1</v>
      </c>
      <c r="BD109" s="96"/>
      <c r="BG109" s="97">
        <v>105</v>
      </c>
      <c r="BH109" s="14">
        <f t="shared" si="44"/>
        <v>13</v>
      </c>
      <c r="BI109" s="14">
        <f t="shared" si="45"/>
        <v>3</v>
      </c>
      <c r="BJ109" s="14">
        <f t="shared" si="46"/>
        <v>3105</v>
      </c>
      <c r="BK109" s="14" t="str">
        <f t="shared" si="47"/>
        <v>烈风螳螂传记3-1</v>
      </c>
      <c r="BM109" s="14" t="str">
        <f t="shared" si="48"/>
        <v>烈风螳螂传记3-1 烈风螳螂碎片</v>
      </c>
      <c r="BN109" s="14" t="str">
        <f t="shared" si="49"/>
        <v>烈风螳螂碎片</v>
      </c>
      <c r="BO109" s="14">
        <f t="shared" si="50"/>
        <v>1</v>
      </c>
      <c r="BP109" s="14">
        <f t="shared" si="51"/>
        <v>2</v>
      </c>
      <c r="BQ109" s="14">
        <v>10000</v>
      </c>
    </row>
    <row r="110" spans="35:69" ht="16.5" x14ac:dyDescent="0.2">
      <c r="AI110" s="96">
        <v>106</v>
      </c>
      <c r="AJ110" s="14">
        <f t="shared" si="28"/>
        <v>17</v>
      </c>
      <c r="AK110" s="14">
        <f t="shared" si="29"/>
        <v>203108</v>
      </c>
      <c r="AL110" s="14">
        <f t="shared" si="30"/>
        <v>2031</v>
      </c>
      <c r="AM110" s="96" t="s">
        <v>903</v>
      </c>
      <c r="AN110" s="14">
        <f t="shared" si="31"/>
        <v>8</v>
      </c>
      <c r="AO110" s="14">
        <f t="shared" si="52"/>
        <v>-1</v>
      </c>
      <c r="AP110" s="14" t="str">
        <f t="shared" si="32"/>
        <v>秦琼传记-8</v>
      </c>
      <c r="AQ110" s="14" t="str">
        <f t="shared" si="33"/>
        <v>秦琼传记-8</v>
      </c>
      <c r="AR110" s="14">
        <f t="shared" si="34"/>
        <v>120</v>
      </c>
      <c r="AS110" s="14">
        <f t="shared" si="35"/>
        <v>2</v>
      </c>
      <c r="AT110" s="98">
        <v>3</v>
      </c>
      <c r="AU110" s="99" t="s">
        <v>907</v>
      </c>
      <c r="AV110" s="14" t="str">
        <f t="shared" si="36"/>
        <v>KP_KM_1102031</v>
      </c>
      <c r="AW110" s="14">
        <f t="shared" si="37"/>
        <v>1102031</v>
      </c>
      <c r="AX110" s="14" t="str">
        <f t="shared" si="38"/>
        <v>秦琼传记8-1</v>
      </c>
      <c r="AY110" s="14" t="str">
        <f t="shared" si="39"/>
        <v/>
      </c>
      <c r="AZ110" s="14" t="str">
        <f t="shared" si="40"/>
        <v>秦琼碎片</v>
      </c>
      <c r="BA110" s="14">
        <f t="shared" si="41"/>
        <v>2</v>
      </c>
      <c r="BB110" s="14" t="str">
        <f t="shared" si="42"/>
        <v/>
      </c>
      <c r="BC110" s="14" t="str">
        <f t="shared" si="43"/>
        <v/>
      </c>
      <c r="BD110" s="96"/>
      <c r="BG110" s="97">
        <v>106</v>
      </c>
      <c r="BH110" s="14">
        <f t="shared" si="44"/>
        <v>13</v>
      </c>
      <c r="BI110" s="14">
        <f t="shared" si="45"/>
        <v>4</v>
      </c>
      <c r="BJ110" s="14">
        <f t="shared" si="46"/>
        <v>3106</v>
      </c>
      <c r="BK110" s="14" t="str">
        <f t="shared" si="47"/>
        <v>烈风螳螂传记4-1</v>
      </c>
      <c r="BM110" s="14" t="str">
        <f t="shared" si="48"/>
        <v>烈风螳螂传记4-1 烈风螳螂专属武器碎片</v>
      </c>
      <c r="BN110" s="14" t="str">
        <f t="shared" si="49"/>
        <v>烈风螳螂专属武器碎片</v>
      </c>
      <c r="BO110" s="14">
        <f t="shared" si="50"/>
        <v>1</v>
      </c>
      <c r="BP110" s="14">
        <f t="shared" si="51"/>
        <v>1</v>
      </c>
      <c r="BQ110" s="14">
        <v>10000</v>
      </c>
    </row>
    <row r="111" spans="35:69" ht="16.5" x14ac:dyDescent="0.2">
      <c r="BG111" s="97">
        <v>107</v>
      </c>
      <c r="BH111" s="14">
        <f t="shared" si="44"/>
        <v>13</v>
      </c>
      <c r="BI111" s="14">
        <f t="shared" ref="BI111:BI141" si="53">BG111-INDEX($J$5:$J$21,BH111)</f>
        <v>5</v>
      </c>
      <c r="BJ111" s="14">
        <f t="shared" ref="BJ111:BJ141" si="54">3000+BG111</f>
        <v>3107</v>
      </c>
      <c r="BK111" s="14" t="str">
        <f t="shared" ref="BK111:BK141" si="55">INDEX($F$6:$F$22,BH111)&amp;INDEX($AA$5:$AA$15,BI111)</f>
        <v>烈风螳螂传记5-1</v>
      </c>
      <c r="BM111" s="14" t="str">
        <f t="shared" si="48"/>
        <v>烈风螳螂传记5-1 烈风螳螂碎片</v>
      </c>
      <c r="BN111" s="14" t="str">
        <f t="shared" si="49"/>
        <v>烈风螳螂碎片</v>
      </c>
      <c r="BO111" s="14">
        <f t="shared" si="50"/>
        <v>1</v>
      </c>
      <c r="BP111" s="14">
        <f t="shared" si="51"/>
        <v>2</v>
      </c>
      <c r="BQ111" s="14">
        <v>10000</v>
      </c>
    </row>
    <row r="112" spans="35:69" ht="16.5" x14ac:dyDescent="0.2">
      <c r="BG112" s="97">
        <v>108</v>
      </c>
      <c r="BH112" s="14">
        <f t="shared" si="44"/>
        <v>13</v>
      </c>
      <c r="BI112" s="14">
        <f t="shared" si="53"/>
        <v>6</v>
      </c>
      <c r="BJ112" s="14">
        <f t="shared" si="54"/>
        <v>3108</v>
      </c>
      <c r="BK112" s="14" t="str">
        <f t="shared" si="55"/>
        <v>烈风螳螂传记5-2</v>
      </c>
      <c r="BM112" s="14" t="str">
        <f t="shared" si="48"/>
        <v>烈风螳螂传记5-2 烈风螳螂专属武器碎片</v>
      </c>
      <c r="BN112" s="14" t="str">
        <f t="shared" si="49"/>
        <v>烈风螳螂专属武器碎片</v>
      </c>
      <c r="BO112" s="14">
        <f t="shared" si="50"/>
        <v>1</v>
      </c>
      <c r="BP112" s="14">
        <f t="shared" si="51"/>
        <v>1</v>
      </c>
      <c r="BQ112" s="14">
        <v>10000</v>
      </c>
    </row>
    <row r="113" spans="59:69" ht="16.5" x14ac:dyDescent="0.2">
      <c r="BG113" s="97">
        <v>109</v>
      </c>
      <c r="BH113" s="14">
        <f t="shared" si="44"/>
        <v>14</v>
      </c>
      <c r="BI113" s="14">
        <f t="shared" si="53"/>
        <v>1</v>
      </c>
      <c r="BJ113" s="14">
        <f t="shared" si="54"/>
        <v>3109</v>
      </c>
      <c r="BK113" s="14" t="str">
        <f t="shared" si="55"/>
        <v>朱仙传记1-1</v>
      </c>
      <c r="BM113" s="14" t="str">
        <f t="shared" si="48"/>
        <v>朱仙传记1-1 朱仙碎片</v>
      </c>
      <c r="BN113" s="14" t="str">
        <f t="shared" si="49"/>
        <v>朱仙碎片</v>
      </c>
      <c r="BO113" s="14">
        <f t="shared" si="50"/>
        <v>1</v>
      </c>
      <c r="BP113" s="14">
        <f t="shared" si="51"/>
        <v>1</v>
      </c>
      <c r="BQ113" s="14">
        <v>10000</v>
      </c>
    </row>
    <row r="114" spans="59:69" ht="16.5" x14ac:dyDescent="0.2">
      <c r="BG114" s="97">
        <v>110</v>
      </c>
      <c r="BH114" s="14">
        <f t="shared" si="44"/>
        <v>14</v>
      </c>
      <c r="BI114" s="14">
        <f t="shared" si="53"/>
        <v>2</v>
      </c>
      <c r="BJ114" s="14">
        <f t="shared" si="54"/>
        <v>3110</v>
      </c>
      <c r="BK114" s="14" t="str">
        <f t="shared" si="55"/>
        <v>朱仙传记2-1</v>
      </c>
      <c r="BM114" s="14" t="str">
        <f t="shared" si="48"/>
        <v>朱仙传记2-1 朱仙碎片</v>
      </c>
      <c r="BN114" s="14" t="str">
        <f t="shared" si="49"/>
        <v>朱仙碎片</v>
      </c>
      <c r="BO114" s="14">
        <f t="shared" si="50"/>
        <v>1</v>
      </c>
      <c r="BP114" s="14">
        <f t="shared" si="51"/>
        <v>1</v>
      </c>
      <c r="BQ114" s="14">
        <v>10000</v>
      </c>
    </row>
    <row r="115" spans="59:69" ht="16.5" x14ac:dyDescent="0.2">
      <c r="BG115" s="97">
        <v>111</v>
      </c>
      <c r="BH115" s="14">
        <f t="shared" si="44"/>
        <v>14</v>
      </c>
      <c r="BI115" s="14">
        <f t="shared" si="53"/>
        <v>3</v>
      </c>
      <c r="BJ115" s="14">
        <f t="shared" si="54"/>
        <v>3111</v>
      </c>
      <c r="BK115" s="14" t="str">
        <f t="shared" si="55"/>
        <v>朱仙传记3-1</v>
      </c>
      <c r="BM115" s="14" t="str">
        <f t="shared" si="48"/>
        <v>朱仙传记3-1 朱仙碎片</v>
      </c>
      <c r="BN115" s="14" t="str">
        <f t="shared" si="49"/>
        <v>朱仙碎片</v>
      </c>
      <c r="BO115" s="14">
        <f t="shared" si="50"/>
        <v>1</v>
      </c>
      <c r="BP115" s="14">
        <f t="shared" si="51"/>
        <v>2</v>
      </c>
      <c r="BQ115" s="14">
        <v>10000</v>
      </c>
    </row>
    <row r="116" spans="59:69" ht="16.5" x14ac:dyDescent="0.2">
      <c r="BG116" s="97">
        <v>112</v>
      </c>
      <c r="BH116" s="14">
        <f t="shared" si="44"/>
        <v>14</v>
      </c>
      <c r="BI116" s="14">
        <f t="shared" si="53"/>
        <v>4</v>
      </c>
      <c r="BJ116" s="14">
        <f t="shared" si="54"/>
        <v>3112</v>
      </c>
      <c r="BK116" s="14" t="str">
        <f t="shared" si="55"/>
        <v>朱仙传记4-1</v>
      </c>
      <c r="BM116" s="14" t="str">
        <f t="shared" si="48"/>
        <v>朱仙传记4-1 朱仙专属武器碎片</v>
      </c>
      <c r="BN116" s="14" t="str">
        <f t="shared" si="49"/>
        <v>朱仙专属武器碎片</v>
      </c>
      <c r="BO116" s="14">
        <f t="shared" si="50"/>
        <v>1</v>
      </c>
      <c r="BP116" s="14">
        <f t="shared" si="51"/>
        <v>1</v>
      </c>
      <c r="BQ116" s="14">
        <v>10000</v>
      </c>
    </row>
    <row r="117" spans="59:69" ht="16.5" x14ac:dyDescent="0.2">
      <c r="BG117" s="97">
        <v>113</v>
      </c>
      <c r="BH117" s="14">
        <f t="shared" si="44"/>
        <v>14</v>
      </c>
      <c r="BI117" s="14">
        <f t="shared" si="53"/>
        <v>5</v>
      </c>
      <c r="BJ117" s="14">
        <f t="shared" si="54"/>
        <v>3113</v>
      </c>
      <c r="BK117" s="14" t="str">
        <f t="shared" si="55"/>
        <v>朱仙传记5-1</v>
      </c>
      <c r="BM117" s="14" t="str">
        <f t="shared" si="48"/>
        <v>朱仙传记5-1 朱仙碎片</v>
      </c>
      <c r="BN117" s="14" t="str">
        <f t="shared" si="49"/>
        <v>朱仙碎片</v>
      </c>
      <c r="BO117" s="14">
        <f t="shared" si="50"/>
        <v>1</v>
      </c>
      <c r="BP117" s="14">
        <f t="shared" si="51"/>
        <v>2</v>
      </c>
      <c r="BQ117" s="14">
        <v>10000</v>
      </c>
    </row>
    <row r="118" spans="59:69" ht="16.5" x14ac:dyDescent="0.2">
      <c r="BG118" s="97">
        <v>114</v>
      </c>
      <c r="BH118" s="14">
        <f t="shared" si="44"/>
        <v>14</v>
      </c>
      <c r="BI118" s="14">
        <f t="shared" si="53"/>
        <v>6</v>
      </c>
      <c r="BJ118" s="14">
        <f t="shared" si="54"/>
        <v>3114</v>
      </c>
      <c r="BK118" s="14" t="str">
        <f t="shared" si="55"/>
        <v>朱仙传记5-2</v>
      </c>
      <c r="BM118" s="14" t="str">
        <f t="shared" si="48"/>
        <v>朱仙传记5-2 朱仙专属武器碎片</v>
      </c>
      <c r="BN118" s="14" t="str">
        <f t="shared" si="49"/>
        <v>朱仙专属武器碎片</v>
      </c>
      <c r="BO118" s="14">
        <f t="shared" si="50"/>
        <v>1</v>
      </c>
      <c r="BP118" s="14">
        <f t="shared" si="51"/>
        <v>1</v>
      </c>
      <c r="BQ118" s="14">
        <v>10000</v>
      </c>
    </row>
    <row r="119" spans="59:69" ht="16.5" x14ac:dyDescent="0.2">
      <c r="BG119" s="97">
        <v>115</v>
      </c>
      <c r="BH119" s="14">
        <f t="shared" si="44"/>
        <v>15</v>
      </c>
      <c r="BI119" s="14">
        <f t="shared" si="53"/>
        <v>1</v>
      </c>
      <c r="BJ119" s="14">
        <f t="shared" si="54"/>
        <v>3115</v>
      </c>
      <c r="BK119" s="14" t="str">
        <f t="shared" si="55"/>
        <v>雷震子传记1-1</v>
      </c>
      <c r="BM119" s="14" t="str">
        <f t="shared" si="48"/>
        <v>雷震子传记1-1 雷震子碎片</v>
      </c>
      <c r="BN119" s="14" t="str">
        <f t="shared" si="49"/>
        <v>雷震子碎片</v>
      </c>
      <c r="BO119" s="14">
        <f t="shared" si="50"/>
        <v>1</v>
      </c>
      <c r="BP119" s="14">
        <f t="shared" si="51"/>
        <v>1</v>
      </c>
      <c r="BQ119" s="14">
        <v>10000</v>
      </c>
    </row>
    <row r="120" spans="59:69" ht="16.5" x14ac:dyDescent="0.2">
      <c r="BG120" s="97">
        <v>116</v>
      </c>
      <c r="BH120" s="14">
        <f t="shared" si="44"/>
        <v>15</v>
      </c>
      <c r="BI120" s="14">
        <f t="shared" si="53"/>
        <v>2</v>
      </c>
      <c r="BJ120" s="14">
        <f t="shared" si="54"/>
        <v>3116</v>
      </c>
      <c r="BK120" s="14" t="str">
        <f t="shared" si="55"/>
        <v>雷震子传记2-1</v>
      </c>
      <c r="BM120" s="14" t="str">
        <f t="shared" si="48"/>
        <v>雷震子传记2-1 雷震子碎片</v>
      </c>
      <c r="BN120" s="14" t="str">
        <f t="shared" si="49"/>
        <v>雷震子碎片</v>
      </c>
      <c r="BO120" s="14">
        <f t="shared" si="50"/>
        <v>1</v>
      </c>
      <c r="BP120" s="14">
        <f t="shared" si="51"/>
        <v>1</v>
      </c>
      <c r="BQ120" s="14">
        <v>10000</v>
      </c>
    </row>
    <row r="121" spans="59:69" ht="16.5" x14ac:dyDescent="0.2">
      <c r="BG121" s="97">
        <v>117</v>
      </c>
      <c r="BH121" s="14">
        <f t="shared" si="44"/>
        <v>15</v>
      </c>
      <c r="BI121" s="14">
        <f t="shared" si="53"/>
        <v>3</v>
      </c>
      <c r="BJ121" s="14">
        <f t="shared" si="54"/>
        <v>3117</v>
      </c>
      <c r="BK121" s="14" t="str">
        <f t="shared" si="55"/>
        <v>雷震子传记3-1</v>
      </c>
      <c r="BM121" s="14" t="str">
        <f t="shared" si="48"/>
        <v>雷震子传记3-1 雷震子碎片</v>
      </c>
      <c r="BN121" s="14" t="str">
        <f t="shared" si="49"/>
        <v>雷震子碎片</v>
      </c>
      <c r="BO121" s="14">
        <f t="shared" si="50"/>
        <v>1</v>
      </c>
      <c r="BP121" s="14">
        <f t="shared" si="51"/>
        <v>2</v>
      </c>
      <c r="BQ121" s="14">
        <v>10000</v>
      </c>
    </row>
    <row r="122" spans="59:69" ht="16.5" x14ac:dyDescent="0.2">
      <c r="BG122" s="97">
        <v>118</v>
      </c>
      <c r="BH122" s="14">
        <f t="shared" si="44"/>
        <v>15</v>
      </c>
      <c r="BI122" s="14">
        <f t="shared" si="53"/>
        <v>4</v>
      </c>
      <c r="BJ122" s="14">
        <f t="shared" si="54"/>
        <v>3118</v>
      </c>
      <c r="BK122" s="14" t="str">
        <f t="shared" si="55"/>
        <v>雷震子传记4-1</v>
      </c>
      <c r="BM122" s="14" t="str">
        <f t="shared" si="48"/>
        <v>雷震子传记4-1 雷震子专属武器碎片</v>
      </c>
      <c r="BN122" s="14" t="str">
        <f t="shared" si="49"/>
        <v>雷震子专属武器碎片</v>
      </c>
      <c r="BO122" s="14">
        <f t="shared" si="50"/>
        <v>1</v>
      </c>
      <c r="BP122" s="14">
        <f t="shared" si="51"/>
        <v>1</v>
      </c>
      <c r="BQ122" s="14">
        <v>10000</v>
      </c>
    </row>
    <row r="123" spans="59:69" ht="16.5" x14ac:dyDescent="0.2">
      <c r="BG123" s="97">
        <v>119</v>
      </c>
      <c r="BH123" s="14">
        <f t="shared" si="44"/>
        <v>15</v>
      </c>
      <c r="BI123" s="14">
        <f t="shared" si="53"/>
        <v>5</v>
      </c>
      <c r="BJ123" s="14">
        <f t="shared" si="54"/>
        <v>3119</v>
      </c>
      <c r="BK123" s="14" t="str">
        <f t="shared" si="55"/>
        <v>雷震子传记5-1</v>
      </c>
      <c r="BM123" s="14" t="str">
        <f t="shared" si="48"/>
        <v>雷震子传记5-1 雷震子碎片</v>
      </c>
      <c r="BN123" s="14" t="str">
        <f t="shared" si="49"/>
        <v>雷震子碎片</v>
      </c>
      <c r="BO123" s="14">
        <f t="shared" si="50"/>
        <v>1</v>
      </c>
      <c r="BP123" s="14">
        <f t="shared" si="51"/>
        <v>2</v>
      </c>
      <c r="BQ123" s="14">
        <v>10000</v>
      </c>
    </row>
    <row r="124" spans="59:69" ht="16.5" x14ac:dyDescent="0.2">
      <c r="BG124" s="97">
        <v>120</v>
      </c>
      <c r="BH124" s="14">
        <f t="shared" si="44"/>
        <v>15</v>
      </c>
      <c r="BI124" s="14">
        <f t="shared" si="53"/>
        <v>6</v>
      </c>
      <c r="BJ124" s="14">
        <f t="shared" si="54"/>
        <v>3120</v>
      </c>
      <c r="BK124" s="14" t="str">
        <f t="shared" si="55"/>
        <v>雷震子传记5-2</v>
      </c>
      <c r="BM124" s="14" t="str">
        <f t="shared" si="48"/>
        <v>雷震子传记5-2 雷震子专属武器碎片</v>
      </c>
      <c r="BN124" s="14" t="str">
        <f t="shared" si="49"/>
        <v>雷震子专属武器碎片</v>
      </c>
      <c r="BO124" s="14">
        <f t="shared" si="50"/>
        <v>1</v>
      </c>
      <c r="BP124" s="14">
        <f t="shared" si="51"/>
        <v>1</v>
      </c>
      <c r="BQ124" s="14">
        <v>10000</v>
      </c>
    </row>
    <row r="125" spans="59:69" ht="16.5" x14ac:dyDescent="0.2">
      <c r="BG125" s="97">
        <v>121</v>
      </c>
      <c r="BH125" s="14">
        <f t="shared" si="44"/>
        <v>16</v>
      </c>
      <c r="BI125" s="14">
        <f t="shared" si="53"/>
        <v>1</v>
      </c>
      <c r="BJ125" s="14">
        <f t="shared" si="54"/>
        <v>3121</v>
      </c>
      <c r="BK125" s="14" t="str">
        <f t="shared" si="55"/>
        <v>燕青传记1-1</v>
      </c>
      <c r="BM125" s="14" t="str">
        <f t="shared" si="48"/>
        <v>燕青传记1-1 燕青碎片</v>
      </c>
      <c r="BN125" s="14" t="str">
        <f t="shared" si="49"/>
        <v>燕青碎片</v>
      </c>
      <c r="BO125" s="14">
        <f t="shared" si="50"/>
        <v>1</v>
      </c>
      <c r="BP125" s="14">
        <f t="shared" si="51"/>
        <v>1</v>
      </c>
      <c r="BQ125" s="14">
        <v>10000</v>
      </c>
    </row>
    <row r="126" spans="59:69" ht="16.5" x14ac:dyDescent="0.2">
      <c r="BG126" s="97">
        <v>122</v>
      </c>
      <c r="BH126" s="14">
        <f t="shared" si="44"/>
        <v>16</v>
      </c>
      <c r="BI126" s="14">
        <f t="shared" si="53"/>
        <v>2</v>
      </c>
      <c r="BJ126" s="14">
        <f t="shared" si="54"/>
        <v>3122</v>
      </c>
      <c r="BK126" s="14" t="str">
        <f t="shared" si="55"/>
        <v>燕青传记2-1</v>
      </c>
      <c r="BM126" s="14" t="str">
        <f t="shared" si="48"/>
        <v>燕青传记2-1 燕青碎片</v>
      </c>
      <c r="BN126" s="14" t="str">
        <f t="shared" si="49"/>
        <v>燕青碎片</v>
      </c>
      <c r="BO126" s="14">
        <f t="shared" si="50"/>
        <v>1</v>
      </c>
      <c r="BP126" s="14">
        <f t="shared" si="51"/>
        <v>1</v>
      </c>
      <c r="BQ126" s="14">
        <v>10000</v>
      </c>
    </row>
    <row r="127" spans="59:69" ht="16.5" x14ac:dyDescent="0.2">
      <c r="BG127" s="97">
        <v>123</v>
      </c>
      <c r="BH127" s="14">
        <f t="shared" si="44"/>
        <v>16</v>
      </c>
      <c r="BI127" s="14">
        <f t="shared" si="53"/>
        <v>3</v>
      </c>
      <c r="BJ127" s="14">
        <f t="shared" si="54"/>
        <v>3123</v>
      </c>
      <c r="BK127" s="14" t="str">
        <f t="shared" si="55"/>
        <v>燕青传记3-1</v>
      </c>
      <c r="BM127" s="14" t="str">
        <f t="shared" si="48"/>
        <v>燕青传记3-1 燕青碎片</v>
      </c>
      <c r="BN127" s="14" t="str">
        <f t="shared" si="49"/>
        <v>燕青碎片</v>
      </c>
      <c r="BO127" s="14">
        <f t="shared" si="50"/>
        <v>1</v>
      </c>
      <c r="BP127" s="14">
        <f t="shared" si="51"/>
        <v>2</v>
      </c>
      <c r="BQ127" s="14">
        <v>10000</v>
      </c>
    </row>
    <row r="128" spans="59:69" ht="16.5" x14ac:dyDescent="0.2">
      <c r="BG128" s="97">
        <v>124</v>
      </c>
      <c r="BH128" s="14">
        <f t="shared" si="44"/>
        <v>16</v>
      </c>
      <c r="BI128" s="14">
        <f t="shared" si="53"/>
        <v>4</v>
      </c>
      <c r="BJ128" s="14">
        <f t="shared" si="54"/>
        <v>3124</v>
      </c>
      <c r="BK128" s="14" t="str">
        <f t="shared" si="55"/>
        <v>燕青传记4-1</v>
      </c>
      <c r="BM128" s="14" t="str">
        <f t="shared" si="48"/>
        <v>燕青传记4-1 燕青专属武器碎片</v>
      </c>
      <c r="BN128" s="14" t="str">
        <f t="shared" si="49"/>
        <v>燕青专属武器碎片</v>
      </c>
      <c r="BO128" s="14">
        <f t="shared" si="50"/>
        <v>1</v>
      </c>
      <c r="BP128" s="14">
        <f t="shared" si="51"/>
        <v>1</v>
      </c>
      <c r="BQ128" s="14">
        <v>10000</v>
      </c>
    </row>
    <row r="129" spans="59:69" ht="16.5" x14ac:dyDescent="0.2">
      <c r="BG129" s="97">
        <v>125</v>
      </c>
      <c r="BH129" s="14">
        <f t="shared" si="44"/>
        <v>16</v>
      </c>
      <c r="BI129" s="14">
        <f t="shared" si="53"/>
        <v>5</v>
      </c>
      <c r="BJ129" s="14">
        <f t="shared" si="54"/>
        <v>3125</v>
      </c>
      <c r="BK129" s="14" t="str">
        <f t="shared" si="55"/>
        <v>燕青传记5-1</v>
      </c>
      <c r="BM129" s="14" t="str">
        <f t="shared" si="48"/>
        <v>燕青传记5-1 燕青碎片</v>
      </c>
      <c r="BN129" s="14" t="str">
        <f t="shared" si="49"/>
        <v>燕青碎片</v>
      </c>
      <c r="BO129" s="14">
        <f t="shared" si="50"/>
        <v>1</v>
      </c>
      <c r="BP129" s="14">
        <f t="shared" si="51"/>
        <v>2</v>
      </c>
      <c r="BQ129" s="14">
        <v>10000</v>
      </c>
    </row>
    <row r="130" spans="59:69" ht="16.5" x14ac:dyDescent="0.2">
      <c r="BG130" s="97">
        <v>126</v>
      </c>
      <c r="BH130" s="14">
        <f t="shared" si="44"/>
        <v>16</v>
      </c>
      <c r="BI130" s="14">
        <f t="shared" si="53"/>
        <v>6</v>
      </c>
      <c r="BJ130" s="14">
        <f t="shared" si="54"/>
        <v>3126</v>
      </c>
      <c r="BK130" s="14" t="str">
        <f t="shared" si="55"/>
        <v>燕青传记5-2</v>
      </c>
      <c r="BM130" s="14" t="str">
        <f t="shared" si="48"/>
        <v>燕青传记5-2 燕青专属武器碎片</v>
      </c>
      <c r="BN130" s="14" t="str">
        <f t="shared" si="49"/>
        <v>燕青专属武器碎片</v>
      </c>
      <c r="BO130" s="14">
        <f t="shared" si="50"/>
        <v>1</v>
      </c>
      <c r="BP130" s="14">
        <f t="shared" si="51"/>
        <v>1</v>
      </c>
      <c r="BQ130" s="14">
        <v>10000</v>
      </c>
    </row>
    <row r="131" spans="59:69" ht="16.5" x14ac:dyDescent="0.2">
      <c r="BG131" s="97">
        <v>127</v>
      </c>
      <c r="BH131" s="14">
        <f t="shared" si="44"/>
        <v>17</v>
      </c>
      <c r="BI131" s="14">
        <f t="shared" si="53"/>
        <v>1</v>
      </c>
      <c r="BJ131" s="14">
        <f t="shared" si="54"/>
        <v>3127</v>
      </c>
      <c r="BK131" s="14" t="str">
        <f t="shared" si="55"/>
        <v>秦琼传记1-1</v>
      </c>
      <c r="BM131" s="14" t="str">
        <f t="shared" si="48"/>
        <v>秦琼传记1-1 秦琼碎片</v>
      </c>
      <c r="BN131" s="14" t="str">
        <f t="shared" si="49"/>
        <v>秦琼碎片</v>
      </c>
      <c r="BO131" s="14">
        <f t="shared" si="50"/>
        <v>1</v>
      </c>
      <c r="BP131" s="14">
        <f t="shared" si="51"/>
        <v>1</v>
      </c>
      <c r="BQ131" s="14">
        <v>10000</v>
      </c>
    </row>
    <row r="132" spans="59:69" ht="16.5" x14ac:dyDescent="0.2">
      <c r="BG132" s="97">
        <v>128</v>
      </c>
      <c r="BH132" s="14">
        <f t="shared" si="44"/>
        <v>17</v>
      </c>
      <c r="BI132" s="14">
        <f t="shared" si="53"/>
        <v>2</v>
      </c>
      <c r="BJ132" s="14">
        <f t="shared" si="54"/>
        <v>3128</v>
      </c>
      <c r="BK132" s="14" t="str">
        <f t="shared" si="55"/>
        <v>秦琼传记2-1</v>
      </c>
      <c r="BM132" s="14" t="str">
        <f t="shared" si="48"/>
        <v>秦琼传记2-1 秦琼碎片</v>
      </c>
      <c r="BN132" s="14" t="str">
        <f t="shared" si="49"/>
        <v>秦琼碎片</v>
      </c>
      <c r="BO132" s="14">
        <f t="shared" si="50"/>
        <v>1</v>
      </c>
      <c r="BP132" s="14">
        <f t="shared" si="51"/>
        <v>1</v>
      </c>
      <c r="BQ132" s="14">
        <v>10000</v>
      </c>
    </row>
    <row r="133" spans="59:69" ht="16.5" x14ac:dyDescent="0.2">
      <c r="BG133" s="97">
        <v>129</v>
      </c>
      <c r="BH133" s="14">
        <f t="shared" si="44"/>
        <v>17</v>
      </c>
      <c r="BI133" s="14">
        <f t="shared" si="53"/>
        <v>3</v>
      </c>
      <c r="BJ133" s="14">
        <f t="shared" si="54"/>
        <v>3129</v>
      </c>
      <c r="BK133" s="14" t="str">
        <f t="shared" si="55"/>
        <v>秦琼传记3-1</v>
      </c>
      <c r="BM133" s="14" t="str">
        <f t="shared" si="48"/>
        <v>秦琼传记3-1 秦琼碎片</v>
      </c>
      <c r="BN133" s="14" t="str">
        <f t="shared" si="49"/>
        <v>秦琼碎片</v>
      </c>
      <c r="BO133" s="14">
        <f t="shared" si="50"/>
        <v>1</v>
      </c>
      <c r="BP133" s="14">
        <f t="shared" si="51"/>
        <v>2</v>
      </c>
      <c r="BQ133" s="14">
        <v>10000</v>
      </c>
    </row>
    <row r="134" spans="59:69" ht="16.5" x14ac:dyDescent="0.2">
      <c r="BG134" s="97">
        <v>130</v>
      </c>
      <c r="BH134" s="14">
        <f t="shared" ref="BH134:BH141" si="56">MATCH(BG134-1,$J$5:$J$22,1)</f>
        <v>17</v>
      </c>
      <c r="BI134" s="14">
        <f t="shared" si="53"/>
        <v>4</v>
      </c>
      <c r="BJ134" s="14">
        <f t="shared" si="54"/>
        <v>3130</v>
      </c>
      <c r="BK134" s="14" t="str">
        <f t="shared" si="55"/>
        <v>秦琼传记4-1</v>
      </c>
      <c r="BM134" s="14" t="str">
        <f t="shared" ref="BM134:BM141" si="57">BK134&amp;" "&amp;BN134</f>
        <v>秦琼传记4-1 秦琼专属武器碎片</v>
      </c>
      <c r="BN134" s="14" t="str">
        <f t="shared" ref="BN134:BN141" si="58">INDEX($B$6:$B$22,BH134)&amp;INDEX($AB$5:$AB$15,BI134)</f>
        <v>秦琼专属武器碎片</v>
      </c>
      <c r="BO134" s="14">
        <f t="shared" ref="BO134:BO141" si="59">INDEX(AC$5:AC$15,$BI134)</f>
        <v>1</v>
      </c>
      <c r="BP134" s="14">
        <f t="shared" ref="BP134:BP141" si="60">INDEX(AD$5:AD$15,$BI134)</f>
        <v>1</v>
      </c>
      <c r="BQ134" s="14">
        <v>10000</v>
      </c>
    </row>
    <row r="135" spans="59:69" ht="16.5" x14ac:dyDescent="0.2">
      <c r="BG135" s="97">
        <v>131</v>
      </c>
      <c r="BH135" s="14">
        <f t="shared" si="56"/>
        <v>17</v>
      </c>
      <c r="BI135" s="14">
        <f t="shared" si="53"/>
        <v>5</v>
      </c>
      <c r="BJ135" s="14">
        <f t="shared" si="54"/>
        <v>3131</v>
      </c>
      <c r="BK135" s="14" t="str">
        <f t="shared" si="55"/>
        <v>秦琼传记5-1</v>
      </c>
      <c r="BM135" s="14" t="str">
        <f t="shared" si="57"/>
        <v>秦琼传记5-1 秦琼碎片</v>
      </c>
      <c r="BN135" s="14" t="str">
        <f t="shared" si="58"/>
        <v>秦琼碎片</v>
      </c>
      <c r="BO135" s="14">
        <f t="shared" si="59"/>
        <v>1</v>
      </c>
      <c r="BP135" s="14">
        <f t="shared" si="60"/>
        <v>2</v>
      </c>
      <c r="BQ135" s="14">
        <v>10000</v>
      </c>
    </row>
    <row r="136" spans="59:69" ht="16.5" x14ac:dyDescent="0.2">
      <c r="BG136" s="97">
        <v>132</v>
      </c>
      <c r="BH136" s="14">
        <f t="shared" si="56"/>
        <v>17</v>
      </c>
      <c r="BI136" s="14">
        <f t="shared" si="53"/>
        <v>6</v>
      </c>
      <c r="BJ136" s="14">
        <f t="shared" si="54"/>
        <v>3132</v>
      </c>
      <c r="BK136" s="14" t="str">
        <f t="shared" si="55"/>
        <v>秦琼传记5-2</v>
      </c>
      <c r="BM136" s="14" t="str">
        <f t="shared" si="57"/>
        <v>秦琼传记5-2 秦琼专属武器碎片</v>
      </c>
      <c r="BN136" s="14" t="str">
        <f t="shared" si="58"/>
        <v>秦琼专属武器碎片</v>
      </c>
      <c r="BO136" s="14">
        <f t="shared" si="59"/>
        <v>1</v>
      </c>
      <c r="BP136" s="14">
        <f t="shared" si="60"/>
        <v>1</v>
      </c>
      <c r="BQ136" s="14">
        <v>10000</v>
      </c>
    </row>
    <row r="137" spans="59:69" ht="16.5" x14ac:dyDescent="0.2">
      <c r="BG137" s="97">
        <v>133</v>
      </c>
      <c r="BH137" s="14">
        <f t="shared" si="56"/>
        <v>17</v>
      </c>
      <c r="BI137" s="14">
        <f t="shared" si="53"/>
        <v>7</v>
      </c>
      <c r="BJ137" s="14">
        <f t="shared" si="54"/>
        <v>3133</v>
      </c>
      <c r="BK137" s="14" t="str">
        <f t="shared" si="55"/>
        <v>秦琼传记6-1</v>
      </c>
      <c r="BM137" s="14" t="str">
        <f t="shared" si="57"/>
        <v>秦琼传记6-1 秦琼碎片</v>
      </c>
      <c r="BN137" s="14" t="str">
        <f t="shared" si="58"/>
        <v>秦琼碎片</v>
      </c>
      <c r="BO137" s="14">
        <f t="shared" si="59"/>
        <v>1</v>
      </c>
      <c r="BP137" s="14">
        <f t="shared" si="60"/>
        <v>2</v>
      </c>
      <c r="BQ137" s="14">
        <v>10000</v>
      </c>
    </row>
    <row r="138" spans="59:69" ht="16.5" x14ac:dyDescent="0.2">
      <c r="BG138" s="97">
        <v>134</v>
      </c>
      <c r="BH138" s="14">
        <f t="shared" si="56"/>
        <v>17</v>
      </c>
      <c r="BI138" s="14">
        <f t="shared" si="53"/>
        <v>8</v>
      </c>
      <c r="BJ138" s="14">
        <f t="shared" si="54"/>
        <v>3134</v>
      </c>
      <c r="BK138" s="14" t="str">
        <f t="shared" si="55"/>
        <v>秦琼传记6-2</v>
      </c>
      <c r="BM138" s="14" t="str">
        <f t="shared" si="57"/>
        <v>秦琼传记6-2 秦琼专属武器碎片</v>
      </c>
      <c r="BN138" s="14" t="str">
        <f t="shared" si="58"/>
        <v>秦琼专属武器碎片</v>
      </c>
      <c r="BO138" s="14">
        <f t="shared" si="59"/>
        <v>1</v>
      </c>
      <c r="BP138" s="14">
        <f t="shared" si="60"/>
        <v>1</v>
      </c>
      <c r="BQ138" s="14">
        <v>10000</v>
      </c>
    </row>
    <row r="139" spans="59:69" ht="16.5" x14ac:dyDescent="0.2">
      <c r="BG139" s="97">
        <v>135</v>
      </c>
      <c r="BH139" s="14">
        <f t="shared" si="56"/>
        <v>17</v>
      </c>
      <c r="BI139" s="14">
        <f t="shared" si="53"/>
        <v>9</v>
      </c>
      <c r="BJ139" s="14">
        <f t="shared" si="54"/>
        <v>3135</v>
      </c>
      <c r="BK139" s="14" t="str">
        <f t="shared" si="55"/>
        <v>秦琼传记7-1</v>
      </c>
      <c r="BM139" s="14" t="str">
        <f t="shared" si="57"/>
        <v>秦琼传记7-1 秦琼碎片</v>
      </c>
      <c r="BN139" s="14" t="str">
        <f t="shared" si="58"/>
        <v>秦琼碎片</v>
      </c>
      <c r="BO139" s="14">
        <f t="shared" si="59"/>
        <v>1</v>
      </c>
      <c r="BP139" s="14">
        <f t="shared" si="60"/>
        <v>2</v>
      </c>
      <c r="BQ139" s="14">
        <v>10000</v>
      </c>
    </row>
    <row r="140" spans="59:69" ht="16.5" x14ac:dyDescent="0.2">
      <c r="BG140" s="97">
        <v>136</v>
      </c>
      <c r="BH140" s="14">
        <f t="shared" si="56"/>
        <v>17</v>
      </c>
      <c r="BI140" s="14">
        <f t="shared" si="53"/>
        <v>10</v>
      </c>
      <c r="BJ140" s="14">
        <f t="shared" si="54"/>
        <v>3136</v>
      </c>
      <c r="BK140" s="14" t="str">
        <f t="shared" si="55"/>
        <v>秦琼传记7-2</v>
      </c>
      <c r="BM140" s="14" t="str">
        <f t="shared" si="57"/>
        <v>秦琼传记7-2 秦琼专属武器碎片</v>
      </c>
      <c r="BN140" s="14" t="str">
        <f t="shared" si="58"/>
        <v>秦琼专属武器碎片</v>
      </c>
      <c r="BO140" s="14">
        <f t="shared" si="59"/>
        <v>1</v>
      </c>
      <c r="BP140" s="14">
        <f t="shared" si="60"/>
        <v>1</v>
      </c>
      <c r="BQ140" s="14">
        <v>10000</v>
      </c>
    </row>
    <row r="141" spans="59:69" ht="16.5" x14ac:dyDescent="0.2">
      <c r="BG141" s="97">
        <v>137</v>
      </c>
      <c r="BH141" s="14">
        <f t="shared" si="56"/>
        <v>17</v>
      </c>
      <c r="BI141" s="14">
        <f t="shared" si="53"/>
        <v>11</v>
      </c>
      <c r="BJ141" s="14">
        <f t="shared" si="54"/>
        <v>3137</v>
      </c>
      <c r="BK141" s="14" t="str">
        <f t="shared" si="55"/>
        <v>秦琼传记8-1</v>
      </c>
      <c r="BM141" s="14" t="str">
        <f t="shared" si="57"/>
        <v>秦琼传记8-1 秦琼碎片</v>
      </c>
      <c r="BN141" s="14" t="str">
        <f t="shared" si="58"/>
        <v>秦琼碎片</v>
      </c>
      <c r="BO141" s="14">
        <f t="shared" si="59"/>
        <v>2</v>
      </c>
      <c r="BP141" s="14">
        <f t="shared" si="60"/>
        <v>2</v>
      </c>
      <c r="BQ141" s="14">
        <v>10000</v>
      </c>
    </row>
    <row r="142" spans="59:69" x14ac:dyDescent="0.2">
      <c r="BG142" s="15"/>
      <c r="BH142" s="15"/>
      <c r="BI142" s="15"/>
      <c r="BJ142" s="15"/>
      <c r="BK142" s="15"/>
    </row>
    <row r="143" spans="59:69" x14ac:dyDescent="0.2">
      <c r="BG143" s="15"/>
      <c r="BH143" s="15"/>
      <c r="BI143" s="15"/>
      <c r="BJ143" s="15"/>
      <c r="BK143" s="15"/>
    </row>
    <row r="144" spans="59:69" x14ac:dyDescent="0.2">
      <c r="BG144" s="15"/>
      <c r="BH144" s="15"/>
      <c r="BI144" s="15"/>
      <c r="BJ144" s="15"/>
      <c r="BK144" s="15"/>
    </row>
    <row r="145" spans="59:63" x14ac:dyDescent="0.2">
      <c r="BG145" s="15"/>
      <c r="BH145" s="15"/>
      <c r="BI145" s="15"/>
      <c r="BJ145" s="15"/>
      <c r="BK145" s="15"/>
    </row>
    <row r="146" spans="59:63" x14ac:dyDescent="0.2">
      <c r="BG146" s="15"/>
      <c r="BH146" s="15"/>
      <c r="BI146" s="15"/>
      <c r="BJ146" s="15"/>
      <c r="BK146" s="15"/>
    </row>
    <row r="147" spans="59:63" x14ac:dyDescent="0.2">
      <c r="BG147" s="15"/>
      <c r="BH147" s="15"/>
      <c r="BI147" s="15"/>
      <c r="BJ147" s="15"/>
      <c r="BK147" s="15"/>
    </row>
    <row r="148" spans="59:63" x14ac:dyDescent="0.2">
      <c r="BG148" s="15"/>
      <c r="BH148" s="15"/>
      <c r="BI148" s="15"/>
      <c r="BJ148" s="15"/>
      <c r="BK148" s="15"/>
    </row>
    <row r="149" spans="59:63" x14ac:dyDescent="0.2">
      <c r="BG149" s="15"/>
      <c r="BH149" s="15"/>
      <c r="BI149" s="15"/>
      <c r="BJ149" s="15"/>
      <c r="BK149" s="15"/>
    </row>
    <row r="150" spans="59:63" x14ac:dyDescent="0.2">
      <c r="BG150" s="15"/>
      <c r="BH150" s="15"/>
      <c r="BI150" s="15"/>
      <c r="BJ150" s="15"/>
      <c r="BK150" s="15"/>
    </row>
    <row r="151" spans="59:63" x14ac:dyDescent="0.2">
      <c r="BG151" s="15"/>
      <c r="BH151" s="15"/>
      <c r="BI151" s="15"/>
      <c r="BJ151" s="15"/>
      <c r="BK151" s="15"/>
    </row>
    <row r="152" spans="59:63" x14ac:dyDescent="0.2">
      <c r="BG152" s="15"/>
      <c r="BH152" s="15"/>
      <c r="BI152" s="15"/>
      <c r="BJ152" s="15"/>
      <c r="BK152" s="15"/>
    </row>
    <row r="153" spans="59:63" x14ac:dyDescent="0.2">
      <c r="BG153" s="15"/>
      <c r="BH153" s="15"/>
      <c r="BI153" s="15"/>
      <c r="BJ153" s="15"/>
      <c r="BK153" s="15"/>
    </row>
    <row r="154" spans="59:63" x14ac:dyDescent="0.2">
      <c r="BG154" s="15"/>
      <c r="BH154" s="15"/>
      <c r="BI154" s="15"/>
      <c r="BJ154" s="15"/>
      <c r="BK154" s="15"/>
    </row>
    <row r="155" spans="59:63" x14ac:dyDescent="0.2">
      <c r="BG155" s="15"/>
      <c r="BH155" s="15"/>
      <c r="BI155" s="15"/>
      <c r="BJ155" s="15"/>
      <c r="BK155" s="15"/>
    </row>
    <row r="156" spans="59:63" x14ac:dyDescent="0.2">
      <c r="BG156" s="15"/>
      <c r="BH156" s="15"/>
      <c r="BI156" s="15"/>
      <c r="BJ156" s="15"/>
      <c r="BK156" s="15"/>
    </row>
    <row r="157" spans="59:63" x14ac:dyDescent="0.2">
      <c r="BG157" s="15"/>
      <c r="BH157" s="15"/>
      <c r="BI157" s="15"/>
      <c r="BJ157" s="15"/>
      <c r="BK157" s="15"/>
    </row>
    <row r="158" spans="59:63" x14ac:dyDescent="0.2">
      <c r="BG158" s="15"/>
      <c r="BH158" s="15"/>
      <c r="BI158" s="15"/>
      <c r="BJ158" s="15"/>
      <c r="BK158" s="15"/>
    </row>
    <row r="159" spans="59:63" x14ac:dyDescent="0.2">
      <c r="BG159" s="15"/>
      <c r="BH159" s="15"/>
      <c r="BI159" s="15"/>
      <c r="BJ159" s="15"/>
      <c r="BK159" s="15"/>
    </row>
    <row r="160" spans="59:63" x14ac:dyDescent="0.2">
      <c r="BG160" s="15"/>
      <c r="BH160" s="15"/>
      <c r="BI160" s="15"/>
      <c r="BJ160" s="15"/>
      <c r="BK160" s="15"/>
    </row>
    <row r="161" spans="59:63" x14ac:dyDescent="0.2">
      <c r="BG161" s="15"/>
      <c r="BH161" s="15"/>
      <c r="BI161" s="15"/>
      <c r="BJ161" s="15"/>
      <c r="BK161" s="15"/>
    </row>
    <row r="162" spans="59:63" x14ac:dyDescent="0.2">
      <c r="BG162" s="15"/>
      <c r="BH162" s="15"/>
      <c r="BI162" s="15"/>
      <c r="BJ162" s="15"/>
      <c r="BK162" s="15"/>
    </row>
    <row r="163" spans="59:63" x14ac:dyDescent="0.2">
      <c r="BG163" s="15"/>
      <c r="BH163" s="15"/>
      <c r="BI163" s="15"/>
      <c r="BJ163" s="15"/>
      <c r="BK163" s="15"/>
    </row>
    <row r="164" spans="59:63" x14ac:dyDescent="0.2">
      <c r="BG164" s="15"/>
      <c r="BH164" s="15"/>
      <c r="BI164" s="15"/>
      <c r="BJ164" s="15"/>
      <c r="BK164" s="15"/>
    </row>
    <row r="165" spans="59:63" x14ac:dyDescent="0.2">
      <c r="BG165" s="15"/>
      <c r="BH165" s="15"/>
      <c r="BI165" s="15"/>
      <c r="BJ165" s="15"/>
      <c r="BK165" s="15"/>
    </row>
    <row r="166" spans="59:63" x14ac:dyDescent="0.2">
      <c r="BG166" s="15"/>
      <c r="BH166" s="15"/>
      <c r="BI166" s="15"/>
      <c r="BJ166" s="15"/>
      <c r="BK166" s="15"/>
    </row>
    <row r="167" spans="59:63" x14ac:dyDescent="0.2">
      <c r="BG167" s="15"/>
      <c r="BH167" s="15"/>
      <c r="BI167" s="15"/>
      <c r="BJ167" s="15"/>
      <c r="BK167" s="15"/>
    </row>
    <row r="168" spans="59:63" x14ac:dyDescent="0.2">
      <c r="BG168" s="15"/>
      <c r="BH168" s="15"/>
      <c r="BI168" s="15"/>
      <c r="BJ168" s="15"/>
      <c r="BK168" s="15"/>
    </row>
    <row r="169" spans="59:63" x14ac:dyDescent="0.2">
      <c r="BG169" s="15"/>
      <c r="BH169" s="15"/>
      <c r="BI169" s="15"/>
      <c r="BJ169" s="15"/>
      <c r="BK169" s="15"/>
    </row>
    <row r="170" spans="59:63" x14ac:dyDescent="0.2">
      <c r="BG170" s="15"/>
      <c r="BH170" s="15"/>
      <c r="BI170" s="15"/>
      <c r="BJ170" s="15"/>
      <c r="BK170" s="15"/>
    </row>
    <row r="171" spans="59:63" x14ac:dyDescent="0.2">
      <c r="BG171" s="15"/>
      <c r="BH171" s="15"/>
      <c r="BI171" s="15"/>
      <c r="BJ171" s="15"/>
      <c r="BK171" s="15"/>
    </row>
    <row r="172" spans="59:63" x14ac:dyDescent="0.2">
      <c r="BG172" s="15"/>
      <c r="BH172" s="15"/>
      <c r="BI172" s="15"/>
      <c r="BJ172" s="15"/>
      <c r="BK172" s="15"/>
    </row>
    <row r="173" spans="59:63" x14ac:dyDescent="0.2">
      <c r="BG173" s="15"/>
      <c r="BH173" s="15"/>
      <c r="BI173" s="15"/>
      <c r="BJ173" s="15"/>
      <c r="BK173" s="15"/>
    </row>
    <row r="174" spans="59:63" x14ac:dyDescent="0.2">
      <c r="BG174" s="15"/>
      <c r="BH174" s="15"/>
      <c r="BI174" s="15"/>
      <c r="BJ174" s="15"/>
      <c r="BK174" s="15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D122"/>
  <sheetViews>
    <sheetView workbookViewId="0">
      <selection activeCell="CV15" sqref="CV15"/>
    </sheetView>
  </sheetViews>
  <sheetFormatPr defaultRowHeight="14.25" x14ac:dyDescent="0.2"/>
  <cols>
    <col min="26" max="26" width="9.125" customWidth="1"/>
    <col min="34" max="34" width="10.625" customWidth="1"/>
    <col min="35" max="35" width="30.25" customWidth="1"/>
    <col min="36" max="36" width="10" customWidth="1"/>
    <col min="39" max="40" width="9.125" customWidth="1"/>
    <col min="41" max="44" width="9.875" customWidth="1"/>
    <col min="45" max="45" width="9.125" customWidth="1"/>
    <col min="46" max="46" width="9.875" customWidth="1"/>
    <col min="47" max="47" width="8.5" customWidth="1"/>
    <col min="51" max="51" width="9.625" bestFit="1" customWidth="1"/>
    <col min="56" max="142" width="9" customWidth="1"/>
  </cols>
  <sheetData>
    <row r="2" spans="1:186" ht="16.5" x14ac:dyDescent="0.2">
      <c r="BF2" s="86">
        <v>1</v>
      </c>
      <c r="BG2" s="86">
        <v>2</v>
      </c>
      <c r="BH2" s="86">
        <v>3</v>
      </c>
      <c r="BI2" s="86">
        <v>4</v>
      </c>
      <c r="BJ2" s="86">
        <v>5</v>
      </c>
      <c r="BK2" s="86">
        <v>6</v>
      </c>
      <c r="BL2" s="86">
        <v>7</v>
      </c>
      <c r="BM2" s="86">
        <v>8</v>
      </c>
      <c r="BN2" s="86">
        <v>9</v>
      </c>
      <c r="BO2" s="86">
        <v>10</v>
      </c>
      <c r="BP2" s="86">
        <v>11</v>
      </c>
      <c r="BQ2" s="86">
        <v>12</v>
      </c>
      <c r="BR2" s="86">
        <v>13</v>
      </c>
      <c r="BS2" s="86">
        <v>14</v>
      </c>
      <c r="BT2" s="86">
        <v>15</v>
      </c>
      <c r="BU2" s="86">
        <v>16</v>
      </c>
      <c r="BV2" s="86">
        <v>17</v>
      </c>
      <c r="BW2" s="86">
        <v>18</v>
      </c>
      <c r="BX2" s="86">
        <v>19</v>
      </c>
      <c r="BY2" s="86">
        <v>20</v>
      </c>
      <c r="BZ2" s="86">
        <v>21</v>
      </c>
      <c r="CA2" s="86">
        <v>22</v>
      </c>
      <c r="CB2" s="86">
        <v>23</v>
      </c>
      <c r="CC2" s="86">
        <v>24</v>
      </c>
      <c r="CD2" s="86">
        <v>25</v>
      </c>
      <c r="CE2" s="86">
        <v>26</v>
      </c>
      <c r="CF2" s="86">
        <v>27</v>
      </c>
      <c r="CG2" s="86">
        <v>28</v>
      </c>
      <c r="CH2" s="86">
        <v>29</v>
      </c>
      <c r="CI2" s="86">
        <v>30</v>
      </c>
      <c r="CJ2" s="86">
        <v>31</v>
      </c>
      <c r="CK2" s="86">
        <v>32</v>
      </c>
      <c r="CL2" s="86">
        <v>33</v>
      </c>
      <c r="CM2" s="86">
        <v>34</v>
      </c>
      <c r="CN2" s="86">
        <v>35</v>
      </c>
      <c r="CO2" s="86">
        <v>36</v>
      </c>
      <c r="CP2" s="86">
        <v>37</v>
      </c>
      <c r="CQ2" s="86">
        <v>38</v>
      </c>
      <c r="CR2" s="86">
        <v>39</v>
      </c>
      <c r="CS2" s="86">
        <v>40</v>
      </c>
      <c r="CT2" s="86">
        <v>41</v>
      </c>
      <c r="CU2" s="86">
        <v>42</v>
      </c>
    </row>
    <row r="3" spans="1:186" ht="20.25" x14ac:dyDescent="0.2">
      <c r="A3" s="27" t="s">
        <v>652</v>
      </c>
      <c r="B3" s="86">
        <v>5</v>
      </c>
      <c r="AB3" s="186" t="s">
        <v>737</v>
      </c>
      <c r="AC3" s="186"/>
      <c r="AD3" s="186"/>
      <c r="AF3" s="186" t="s">
        <v>637</v>
      </c>
      <c r="AG3" s="186"/>
      <c r="AH3" s="186"/>
      <c r="AI3" s="186"/>
      <c r="AJ3" s="186"/>
      <c r="AK3" s="186"/>
      <c r="AL3" s="186"/>
      <c r="AO3" s="186" t="s">
        <v>739</v>
      </c>
      <c r="AP3" s="186"/>
      <c r="AQ3" s="186"/>
      <c r="AR3" s="186"/>
      <c r="AS3" s="186"/>
      <c r="AT3" s="186"/>
      <c r="AU3" s="186"/>
      <c r="AV3" s="186"/>
      <c r="AW3" s="186"/>
      <c r="AX3" s="186"/>
      <c r="AY3" s="186"/>
      <c r="AZ3" s="186"/>
      <c r="BA3" s="186"/>
      <c r="BB3" s="186"/>
      <c r="BC3" s="186"/>
      <c r="BD3" s="186"/>
      <c r="BE3" s="186"/>
      <c r="BF3" s="186"/>
      <c r="BG3" s="186"/>
      <c r="BH3" s="186"/>
      <c r="BI3" s="186"/>
      <c r="BJ3" s="186"/>
      <c r="BK3" s="186"/>
      <c r="BL3" s="186"/>
      <c r="BM3" s="186"/>
      <c r="BN3" s="186"/>
      <c r="BO3" s="186"/>
      <c r="BP3" s="186"/>
      <c r="BQ3" s="186"/>
      <c r="BR3" s="186"/>
      <c r="BS3" s="186"/>
      <c r="BT3" s="186"/>
      <c r="BU3" s="186"/>
      <c r="BV3" s="186"/>
      <c r="BW3" s="186"/>
      <c r="BX3" s="186"/>
      <c r="BY3" s="186"/>
      <c r="BZ3" s="186"/>
      <c r="CA3" s="186"/>
      <c r="CB3" s="186"/>
      <c r="CC3" s="186"/>
      <c r="CD3" s="186"/>
      <c r="CE3" s="186"/>
      <c r="CF3" s="186"/>
      <c r="CG3" s="186"/>
      <c r="CH3" s="186"/>
      <c r="CI3" s="186"/>
      <c r="CJ3" s="186"/>
      <c r="CK3" s="186"/>
      <c r="CL3" s="186"/>
      <c r="CM3" s="186"/>
      <c r="CN3" s="186"/>
      <c r="CO3" s="186"/>
      <c r="CP3" s="186"/>
      <c r="CQ3" s="186"/>
      <c r="CR3" s="186"/>
      <c r="CS3" s="186"/>
      <c r="CT3" s="186"/>
      <c r="CU3" s="186"/>
      <c r="CV3" s="186"/>
      <c r="CW3" s="186"/>
      <c r="CX3" s="186"/>
      <c r="CY3" s="186"/>
      <c r="CZ3" s="186"/>
      <c r="DA3" s="186"/>
      <c r="DB3" s="186"/>
      <c r="DC3" s="186"/>
      <c r="DD3" s="186"/>
      <c r="DE3" s="186"/>
      <c r="DF3" s="186"/>
      <c r="DG3" s="186"/>
      <c r="DH3" s="186"/>
      <c r="DI3" s="186"/>
      <c r="DJ3" s="186"/>
      <c r="DK3" s="186"/>
      <c r="DL3" s="186"/>
      <c r="DM3" s="186"/>
      <c r="DN3" s="186"/>
      <c r="DO3" s="186"/>
      <c r="DP3" s="186"/>
      <c r="DQ3" s="186"/>
      <c r="DR3" s="186"/>
      <c r="DS3" s="186"/>
      <c r="DT3" s="186"/>
      <c r="DU3" s="186"/>
      <c r="DV3" s="186"/>
      <c r="DW3" s="186"/>
      <c r="DX3" s="186"/>
      <c r="DY3" s="186"/>
      <c r="DZ3" s="186"/>
      <c r="EA3" s="186"/>
      <c r="EB3" s="186"/>
      <c r="EC3" s="186"/>
      <c r="ED3" s="186"/>
      <c r="EE3" s="186"/>
      <c r="EF3" s="186"/>
      <c r="EG3" s="186"/>
      <c r="EH3" s="186"/>
      <c r="EI3" s="186"/>
      <c r="EJ3" s="186"/>
      <c r="EK3" s="186"/>
      <c r="EL3" s="186"/>
    </row>
    <row r="4" spans="1:186" ht="17.25" x14ac:dyDescent="0.2">
      <c r="A4" s="45" t="s">
        <v>642</v>
      </c>
      <c r="B4" s="12" t="s">
        <v>643</v>
      </c>
      <c r="C4" s="12" t="s">
        <v>651</v>
      </c>
      <c r="E4" s="12" t="s">
        <v>178</v>
      </c>
      <c r="F4" s="12" t="s">
        <v>644</v>
      </c>
      <c r="G4" s="12" t="s">
        <v>645</v>
      </c>
      <c r="H4" s="12" t="s">
        <v>650</v>
      </c>
      <c r="I4" s="12" t="s">
        <v>657</v>
      </c>
      <c r="K4" s="12" t="s">
        <v>654</v>
      </c>
      <c r="L4" s="12" t="s">
        <v>639</v>
      </c>
      <c r="M4" s="12" t="s">
        <v>640</v>
      </c>
      <c r="N4" s="12" t="s">
        <v>655</v>
      </c>
      <c r="O4" s="12" t="s">
        <v>641</v>
      </c>
      <c r="P4" s="12" t="s">
        <v>653</v>
      </c>
      <c r="Q4" s="12" t="s">
        <v>670</v>
      </c>
      <c r="R4" s="12" t="s">
        <v>671</v>
      </c>
      <c r="S4" s="12" t="s">
        <v>672</v>
      </c>
      <c r="T4" s="12" t="s">
        <v>673</v>
      </c>
      <c r="U4" s="12" t="s">
        <v>674</v>
      </c>
      <c r="V4" s="12" t="s">
        <v>675</v>
      </c>
      <c r="W4" s="12" t="s">
        <v>676</v>
      </c>
      <c r="X4" s="12" t="s">
        <v>677</v>
      </c>
      <c r="Y4" s="12" t="s">
        <v>678</v>
      </c>
      <c r="AB4" s="12" t="s">
        <v>689</v>
      </c>
      <c r="AC4" s="12" t="s">
        <v>690</v>
      </c>
      <c r="AD4" s="12" t="s">
        <v>736</v>
      </c>
      <c r="AF4" s="12" t="s">
        <v>638</v>
      </c>
      <c r="AG4" s="12" t="s">
        <v>649</v>
      </c>
      <c r="AH4" s="12" t="s">
        <v>656</v>
      </c>
      <c r="AI4" s="12" t="s">
        <v>648</v>
      </c>
      <c r="AJ4" s="12" t="s">
        <v>659</v>
      </c>
      <c r="AK4" s="12" t="s">
        <v>659</v>
      </c>
      <c r="AL4" s="12" t="s">
        <v>659</v>
      </c>
      <c r="AO4" s="12" t="s">
        <v>638</v>
      </c>
      <c r="AP4" s="12" t="s">
        <v>686</v>
      </c>
      <c r="AQ4" s="12" t="s">
        <v>688</v>
      </c>
      <c r="AR4" s="12" t="s">
        <v>687</v>
      </c>
      <c r="AS4" s="12" t="s">
        <v>660</v>
      </c>
      <c r="AT4" s="12" t="s">
        <v>659</v>
      </c>
      <c r="AU4" s="12" t="s">
        <v>661</v>
      </c>
      <c r="AV4" s="12" t="s">
        <v>662</v>
      </c>
      <c r="AW4" s="12" t="s">
        <v>738</v>
      </c>
      <c r="AX4" s="12" t="s">
        <v>651</v>
      </c>
      <c r="BA4" s="12" t="s">
        <v>700</v>
      </c>
      <c r="BB4" s="12" t="s">
        <v>701</v>
      </c>
      <c r="BC4" s="12" t="s">
        <v>698</v>
      </c>
      <c r="BD4" s="12" t="s">
        <v>699</v>
      </c>
      <c r="BE4" s="12" t="s">
        <v>740</v>
      </c>
      <c r="BF4" s="12" t="s">
        <v>691</v>
      </c>
      <c r="BG4" s="12" t="s">
        <v>231</v>
      </c>
      <c r="BH4" s="12" t="s">
        <v>692</v>
      </c>
      <c r="BI4" s="12" t="s">
        <v>693</v>
      </c>
      <c r="BJ4" s="12" t="s">
        <v>694</v>
      </c>
      <c r="BK4" s="12" t="s">
        <v>695</v>
      </c>
      <c r="BL4" s="12" t="s">
        <v>696</v>
      </c>
      <c r="BM4" s="12" t="s">
        <v>697</v>
      </c>
      <c r="BN4" s="12" t="s">
        <v>702</v>
      </c>
      <c r="BO4" s="12" t="s">
        <v>703</v>
      </c>
      <c r="BP4" s="12" t="s">
        <v>704</v>
      </c>
      <c r="BQ4" s="12" t="s">
        <v>705</v>
      </c>
      <c r="BR4" s="12" t="s">
        <v>706</v>
      </c>
      <c r="BS4" s="12" t="s">
        <v>707</v>
      </c>
      <c r="BT4" s="12" t="s">
        <v>708</v>
      </c>
      <c r="BU4" s="12" t="s">
        <v>709</v>
      </c>
      <c r="BV4" s="12" t="s">
        <v>710</v>
      </c>
      <c r="BW4" s="12" t="s">
        <v>711</v>
      </c>
      <c r="BX4" s="12" t="s">
        <v>712</v>
      </c>
      <c r="BY4" s="12" t="s">
        <v>713</v>
      </c>
      <c r="BZ4" s="12" t="s">
        <v>714</v>
      </c>
      <c r="CA4" s="12" t="s">
        <v>715</v>
      </c>
      <c r="CB4" s="12" t="s">
        <v>716</v>
      </c>
      <c r="CC4" s="12" t="s">
        <v>717</v>
      </c>
      <c r="CD4" s="12" t="s">
        <v>718</v>
      </c>
      <c r="CE4" s="12" t="s">
        <v>719</v>
      </c>
      <c r="CF4" s="12" t="s">
        <v>720</v>
      </c>
      <c r="CG4" s="12" t="s">
        <v>721</v>
      </c>
      <c r="CH4" s="12" t="s">
        <v>722</v>
      </c>
      <c r="CI4" s="12" t="s">
        <v>723</v>
      </c>
      <c r="CJ4" s="12" t="s">
        <v>724</v>
      </c>
      <c r="CK4" s="12" t="s">
        <v>725</v>
      </c>
      <c r="CL4" s="12" t="s">
        <v>726</v>
      </c>
      <c r="CM4" s="12" t="s">
        <v>727</v>
      </c>
      <c r="CN4" s="12" t="s">
        <v>728</v>
      </c>
      <c r="CO4" s="12" t="s">
        <v>729</v>
      </c>
      <c r="CP4" s="12" t="s">
        <v>730</v>
      </c>
      <c r="CQ4" s="12" t="s">
        <v>731</v>
      </c>
      <c r="CR4" s="12" t="s">
        <v>732</v>
      </c>
      <c r="CS4" s="12" t="s">
        <v>733</v>
      </c>
      <c r="CT4" s="12" t="s">
        <v>734</v>
      </c>
      <c r="CU4" s="12" t="s">
        <v>735</v>
      </c>
      <c r="CW4" s="12" t="s">
        <v>691</v>
      </c>
      <c r="CX4" s="12" t="s">
        <v>231</v>
      </c>
      <c r="CY4" s="12" t="s">
        <v>692</v>
      </c>
      <c r="CZ4" s="12" t="s">
        <v>693</v>
      </c>
      <c r="DA4" s="12" t="s">
        <v>694</v>
      </c>
      <c r="DB4" s="12" t="s">
        <v>695</v>
      </c>
      <c r="DC4" s="12" t="s">
        <v>696</v>
      </c>
      <c r="DD4" s="12" t="s">
        <v>697</v>
      </c>
      <c r="DE4" s="12" t="s">
        <v>702</v>
      </c>
      <c r="DF4" s="12" t="s">
        <v>703</v>
      </c>
      <c r="DG4" s="12" t="s">
        <v>704</v>
      </c>
      <c r="DH4" s="12" t="s">
        <v>705</v>
      </c>
      <c r="DI4" s="12" t="s">
        <v>706</v>
      </c>
      <c r="DJ4" s="12" t="s">
        <v>707</v>
      </c>
      <c r="DK4" s="12" t="s">
        <v>708</v>
      </c>
      <c r="DL4" s="12" t="s">
        <v>709</v>
      </c>
      <c r="DM4" s="12" t="s">
        <v>710</v>
      </c>
      <c r="DN4" s="12" t="s">
        <v>711</v>
      </c>
      <c r="DO4" s="12" t="s">
        <v>712</v>
      </c>
      <c r="DP4" s="12" t="s">
        <v>713</v>
      </c>
      <c r="DQ4" s="12" t="s">
        <v>714</v>
      </c>
      <c r="DR4" s="12" t="s">
        <v>715</v>
      </c>
      <c r="DS4" s="12" t="s">
        <v>716</v>
      </c>
      <c r="DT4" s="12" t="s">
        <v>717</v>
      </c>
      <c r="DU4" s="12" t="s">
        <v>718</v>
      </c>
      <c r="DV4" s="12" t="s">
        <v>719</v>
      </c>
      <c r="DW4" s="12" t="s">
        <v>720</v>
      </c>
      <c r="DX4" s="12" t="s">
        <v>721</v>
      </c>
      <c r="DY4" s="12" t="s">
        <v>722</v>
      </c>
      <c r="DZ4" s="12" t="s">
        <v>723</v>
      </c>
      <c r="EA4" s="12" t="s">
        <v>724</v>
      </c>
      <c r="EB4" s="12" t="s">
        <v>725</v>
      </c>
      <c r="EC4" s="12" t="s">
        <v>726</v>
      </c>
      <c r="ED4" s="12" t="s">
        <v>727</v>
      </c>
      <c r="EE4" s="12" t="s">
        <v>728</v>
      </c>
      <c r="EF4" s="12" t="s">
        <v>729</v>
      </c>
      <c r="EG4" s="12" t="s">
        <v>730</v>
      </c>
      <c r="EH4" s="12" t="s">
        <v>731</v>
      </c>
      <c r="EI4" s="12" t="s">
        <v>732</v>
      </c>
      <c r="EJ4" s="12" t="s">
        <v>733</v>
      </c>
      <c r="EK4" s="12" t="s">
        <v>734</v>
      </c>
      <c r="EL4" s="12" t="s">
        <v>735</v>
      </c>
      <c r="EO4" s="12" t="s">
        <v>691</v>
      </c>
      <c r="EP4" s="12" t="s">
        <v>231</v>
      </c>
      <c r="EQ4" s="12" t="s">
        <v>692</v>
      </c>
      <c r="ER4" s="12" t="s">
        <v>693</v>
      </c>
      <c r="ES4" s="12" t="s">
        <v>694</v>
      </c>
      <c r="ET4" s="12" t="s">
        <v>695</v>
      </c>
      <c r="EU4" s="12" t="s">
        <v>696</v>
      </c>
      <c r="EV4" s="12" t="s">
        <v>697</v>
      </c>
      <c r="EW4" s="12" t="s">
        <v>702</v>
      </c>
      <c r="EX4" s="12" t="s">
        <v>703</v>
      </c>
      <c r="EY4" s="12" t="s">
        <v>704</v>
      </c>
      <c r="EZ4" s="12" t="s">
        <v>705</v>
      </c>
      <c r="FA4" s="12" t="s">
        <v>706</v>
      </c>
      <c r="FB4" s="12" t="s">
        <v>707</v>
      </c>
      <c r="FC4" s="12" t="s">
        <v>708</v>
      </c>
      <c r="FD4" s="12" t="s">
        <v>709</v>
      </c>
      <c r="FE4" s="12" t="s">
        <v>710</v>
      </c>
      <c r="FF4" s="12" t="s">
        <v>711</v>
      </c>
      <c r="FG4" s="12" t="s">
        <v>712</v>
      </c>
      <c r="FH4" s="12" t="s">
        <v>713</v>
      </c>
      <c r="FI4" s="12" t="s">
        <v>714</v>
      </c>
      <c r="FJ4" s="12" t="s">
        <v>715</v>
      </c>
      <c r="FK4" s="12" t="s">
        <v>716</v>
      </c>
      <c r="FL4" s="12" t="s">
        <v>717</v>
      </c>
      <c r="FM4" s="12" t="s">
        <v>718</v>
      </c>
      <c r="FN4" s="12" t="s">
        <v>719</v>
      </c>
      <c r="FO4" s="12" t="s">
        <v>720</v>
      </c>
      <c r="FP4" s="12" t="s">
        <v>721</v>
      </c>
      <c r="FQ4" s="12" t="s">
        <v>722</v>
      </c>
      <c r="FR4" s="12" t="s">
        <v>723</v>
      </c>
      <c r="FS4" s="12" t="s">
        <v>724</v>
      </c>
      <c r="FT4" s="12" t="s">
        <v>725</v>
      </c>
      <c r="FU4" s="12" t="s">
        <v>726</v>
      </c>
      <c r="FV4" s="12" t="s">
        <v>727</v>
      </c>
      <c r="FW4" s="12" t="s">
        <v>728</v>
      </c>
      <c r="FX4" s="12" t="s">
        <v>729</v>
      </c>
      <c r="FY4" s="12" t="s">
        <v>730</v>
      </c>
      <c r="FZ4" s="12" t="s">
        <v>731</v>
      </c>
      <c r="GA4" s="12" t="s">
        <v>732</v>
      </c>
      <c r="GB4" s="12" t="s">
        <v>733</v>
      </c>
      <c r="GC4" s="12" t="s">
        <v>734</v>
      </c>
      <c r="GD4" s="12" t="s">
        <v>735</v>
      </c>
    </row>
    <row r="5" spans="1:186" ht="16.5" x14ac:dyDescent="0.2">
      <c r="A5" s="86">
        <v>1</v>
      </c>
      <c r="B5" s="86">
        <v>2</v>
      </c>
      <c r="C5" s="86">
        <v>2</v>
      </c>
      <c r="E5" s="86">
        <v>1</v>
      </c>
      <c r="F5" s="86" t="s">
        <v>646</v>
      </c>
      <c r="G5" s="86">
        <v>1</v>
      </c>
      <c r="H5" s="86">
        <v>1</v>
      </c>
      <c r="I5" s="86"/>
      <c r="K5" s="86">
        <v>1</v>
      </c>
      <c r="L5" s="86">
        <v>1</v>
      </c>
      <c r="M5" s="86">
        <v>1</v>
      </c>
      <c r="N5" s="86" t="str">
        <f>"神器"&amp;L5&amp;"-"&amp;M5</f>
        <v>神器1-1</v>
      </c>
      <c r="O5" s="86">
        <v>1</v>
      </c>
      <c r="P5" s="14">
        <f>INDEX($H$5:$H$8,O5)*INDEX($C$5:$C$11,L5)*$B$3</f>
        <v>10</v>
      </c>
      <c r="Q5" s="88">
        <v>0.35</v>
      </c>
      <c r="R5" s="14">
        <v>1</v>
      </c>
      <c r="S5" s="14">
        <v>3</v>
      </c>
      <c r="T5" s="88">
        <v>0.35</v>
      </c>
      <c r="U5" s="14">
        <v>2</v>
      </c>
      <c r="V5" s="14">
        <v>4</v>
      </c>
      <c r="W5" s="88">
        <v>0.35</v>
      </c>
      <c r="X5" s="14">
        <v>3</v>
      </c>
      <c r="Y5" s="14">
        <v>5</v>
      </c>
      <c r="AB5" s="87">
        <v>0</v>
      </c>
      <c r="AC5" s="87">
        <v>0</v>
      </c>
      <c r="AD5" s="87">
        <v>0</v>
      </c>
      <c r="AF5" s="86">
        <v>0</v>
      </c>
      <c r="AG5" s="86">
        <v>1</v>
      </c>
      <c r="AH5" s="86"/>
      <c r="AI5" s="86"/>
      <c r="AJ5" s="86">
        <v>0</v>
      </c>
      <c r="AK5" s="86">
        <v>0</v>
      </c>
      <c r="AL5" s="86">
        <v>0</v>
      </c>
      <c r="AO5" s="86">
        <v>1</v>
      </c>
      <c r="AP5" s="86">
        <v>1</v>
      </c>
      <c r="AQ5" s="86">
        <v>1</v>
      </c>
      <c r="AR5" s="86">
        <v>1</v>
      </c>
      <c r="AS5" s="86" t="s">
        <v>321</v>
      </c>
      <c r="AT5" s="21">
        <f t="shared" ref="AT5:AT36" si="0">INDEX($AJ$6:$AL$13,AO5,AQ5)*INDEX($Q$5:$Y$46,AP5,(AR5-1)*3+1)</f>
        <v>0.35</v>
      </c>
      <c r="AU5" s="86">
        <f>INDEX($Q$5:$Y$46,AP5,(AR5-1)*3+2)</f>
        <v>1</v>
      </c>
      <c r="AV5" s="86">
        <f>INDEX($Q$5:$Y$46,AP5,(AR5-1)*3+3)</f>
        <v>3</v>
      </c>
      <c r="AW5" s="87">
        <f>AT5*(AU5+AV5)/2</f>
        <v>0.7</v>
      </c>
      <c r="AX5" s="86">
        <f>INDEX($P$5:$P$46,AP5)*AT5*(AU5+AV5)/2</f>
        <v>7</v>
      </c>
      <c r="BA5" s="86">
        <v>1</v>
      </c>
      <c r="BB5" s="14" t="e">
        <f>INDEX(节奏总表!#REF!,神器!BA5)</f>
        <v>#REF!</v>
      </c>
      <c r="BC5" s="14" t="e">
        <f>INDEX($AF$5:$AF$13,MATCH(BB5,$AG$5:$AG$13,1))</f>
        <v>#REF!</v>
      </c>
      <c r="BD5" s="14">
        <v>5</v>
      </c>
      <c r="BE5" s="14">
        <v>3</v>
      </c>
      <c r="BF5" s="14">
        <f>SUMIFS($AT$5:$AT$122,$AO$5:$AO$122,"="&amp;$BC5,$AP$5:$AP$122,"="&amp;BF$2) * (SUMIFS($AU$5:$AU$122,$AO$5:$AO$122,"="&amp;$BC5,$AP$5:$AP$122,"="&amp;BF$2)+SUMIFS($AV$5:$AV$122,$AO$5:$AO$122,"="&amp;$BC5,$AP$5:$AP$122,"="&amp;BF$2))/2*$BD5*$BE5</f>
        <v>0</v>
      </c>
      <c r="BG5" s="14">
        <f t="shared" ref="BG5:CU11" si="1">SUMIFS($AT$5:$AT$122,$AO$5:$AO$122,"="&amp;$BC5,$AP$5:$AP$122,"="&amp;BG$2) * (SUMIFS($AU$5:$AU$122,$AO$5:$AO$122,"="&amp;$BC5,$AP$5:$AP$122,"="&amp;BG$2)+SUMIFS($AV$5:$AV$122,$AO$5:$AO$122,"="&amp;$BC5,$AP$5:$AP$122,"="&amp;BG$2))/2*$BD5*$BE5</f>
        <v>0</v>
      </c>
      <c r="BH5" s="14">
        <f t="shared" si="1"/>
        <v>0</v>
      </c>
      <c r="BI5" s="14">
        <f t="shared" si="1"/>
        <v>0</v>
      </c>
      <c r="BJ5" s="14">
        <f t="shared" si="1"/>
        <v>0</v>
      </c>
      <c r="BK5" s="14">
        <f t="shared" si="1"/>
        <v>0</v>
      </c>
      <c r="BL5" s="14">
        <f t="shared" si="1"/>
        <v>0</v>
      </c>
      <c r="BM5" s="14">
        <f t="shared" si="1"/>
        <v>0</v>
      </c>
      <c r="BN5" s="14">
        <f t="shared" si="1"/>
        <v>0</v>
      </c>
      <c r="BO5" s="14">
        <f t="shared" si="1"/>
        <v>0</v>
      </c>
      <c r="BP5" s="14">
        <f t="shared" si="1"/>
        <v>0</v>
      </c>
      <c r="BQ5" s="14">
        <f t="shared" si="1"/>
        <v>0</v>
      </c>
      <c r="BR5" s="14">
        <f t="shared" si="1"/>
        <v>0</v>
      </c>
      <c r="BS5" s="14">
        <f t="shared" si="1"/>
        <v>0</v>
      </c>
      <c r="BT5" s="14">
        <f t="shared" si="1"/>
        <v>0</v>
      </c>
      <c r="BU5" s="14">
        <f t="shared" si="1"/>
        <v>0</v>
      </c>
      <c r="BV5" s="14">
        <f t="shared" si="1"/>
        <v>0</v>
      </c>
      <c r="BW5" s="14">
        <f t="shared" si="1"/>
        <v>0</v>
      </c>
      <c r="BX5" s="14">
        <f t="shared" si="1"/>
        <v>0</v>
      </c>
      <c r="BY5" s="14">
        <f t="shared" si="1"/>
        <v>0</v>
      </c>
      <c r="BZ5" s="14">
        <f t="shared" si="1"/>
        <v>0</v>
      </c>
      <c r="CA5" s="14">
        <f t="shared" si="1"/>
        <v>0</v>
      </c>
      <c r="CB5" s="14">
        <f t="shared" si="1"/>
        <v>0</v>
      </c>
      <c r="CC5" s="14">
        <f t="shared" si="1"/>
        <v>0</v>
      </c>
      <c r="CD5" s="14">
        <f t="shared" si="1"/>
        <v>0</v>
      </c>
      <c r="CE5" s="14">
        <f t="shared" si="1"/>
        <v>0</v>
      </c>
      <c r="CF5" s="14">
        <f t="shared" si="1"/>
        <v>0</v>
      </c>
      <c r="CG5" s="14">
        <f t="shared" si="1"/>
        <v>0</v>
      </c>
      <c r="CH5" s="14">
        <f t="shared" si="1"/>
        <v>0</v>
      </c>
      <c r="CI5" s="14">
        <f t="shared" si="1"/>
        <v>0</v>
      </c>
      <c r="CJ5" s="14">
        <f t="shared" si="1"/>
        <v>0</v>
      </c>
      <c r="CK5" s="14">
        <f t="shared" si="1"/>
        <v>0</v>
      </c>
      <c r="CL5" s="14">
        <f t="shared" si="1"/>
        <v>0</v>
      </c>
      <c r="CM5" s="14">
        <f t="shared" si="1"/>
        <v>0</v>
      </c>
      <c r="CN5" s="14">
        <f t="shared" si="1"/>
        <v>0</v>
      </c>
      <c r="CO5" s="14">
        <f t="shared" si="1"/>
        <v>0</v>
      </c>
      <c r="CP5" s="14">
        <f t="shared" si="1"/>
        <v>0</v>
      </c>
      <c r="CQ5" s="14">
        <f t="shared" si="1"/>
        <v>0</v>
      </c>
      <c r="CR5" s="14">
        <f t="shared" si="1"/>
        <v>0</v>
      </c>
      <c r="CS5" s="14">
        <f t="shared" si="1"/>
        <v>0</v>
      </c>
      <c r="CT5" s="14">
        <f t="shared" si="1"/>
        <v>0</v>
      </c>
      <c r="CU5" s="14">
        <f t="shared" si="1"/>
        <v>0</v>
      </c>
      <c r="CW5" s="14">
        <f>SUM(BF$5:BF5)</f>
        <v>0</v>
      </c>
      <c r="CX5" s="14">
        <f>SUM(BG$5:BG5)</f>
        <v>0</v>
      </c>
      <c r="CY5" s="14">
        <f>SUM(BH$5:BH5)</f>
        <v>0</v>
      </c>
      <c r="CZ5" s="14">
        <f>SUM(BI$5:BI5)</f>
        <v>0</v>
      </c>
      <c r="DA5" s="14">
        <f>SUM(BJ$5:BJ5)</f>
        <v>0</v>
      </c>
      <c r="DB5" s="14">
        <f>SUM(BK$5:BK5)</f>
        <v>0</v>
      </c>
      <c r="DC5" s="14">
        <f>SUM(BL$5:BL5)</f>
        <v>0</v>
      </c>
      <c r="DD5" s="14">
        <f>SUM(BM$5:BM5)</f>
        <v>0</v>
      </c>
      <c r="DE5" s="14">
        <f>SUM(BN$5:BN5)</f>
        <v>0</v>
      </c>
      <c r="DF5" s="14">
        <f>SUM(BO$5:BO5)</f>
        <v>0</v>
      </c>
      <c r="DG5" s="14">
        <f>SUM(BP$5:BP5)</f>
        <v>0</v>
      </c>
      <c r="DH5" s="14">
        <f>SUM(BQ$5:BQ5)</f>
        <v>0</v>
      </c>
      <c r="DI5" s="14">
        <f>SUM(BR$5:BR5)</f>
        <v>0</v>
      </c>
      <c r="DJ5" s="14">
        <f>SUM(BS$5:BS5)</f>
        <v>0</v>
      </c>
      <c r="DK5" s="14">
        <f>SUM(BT$5:BT5)</f>
        <v>0</v>
      </c>
      <c r="DL5" s="14">
        <f>SUM(BU$5:BU5)</f>
        <v>0</v>
      </c>
      <c r="DM5" s="14">
        <f>SUM(BV$5:BV5)</f>
        <v>0</v>
      </c>
      <c r="DN5" s="14">
        <f>SUM(BW$5:BW5)</f>
        <v>0</v>
      </c>
      <c r="DO5" s="14">
        <f>SUM(BX$5:BX5)</f>
        <v>0</v>
      </c>
      <c r="DP5" s="14">
        <f>SUM(BY$5:BY5)</f>
        <v>0</v>
      </c>
      <c r="DQ5" s="14">
        <f>SUM(BZ$5:BZ5)</f>
        <v>0</v>
      </c>
      <c r="DR5" s="14">
        <f>SUM(CA$5:CA5)</f>
        <v>0</v>
      </c>
      <c r="DS5" s="14">
        <f>SUM(CB$5:CB5)</f>
        <v>0</v>
      </c>
      <c r="DT5" s="14">
        <f>SUM(CC$5:CC5)</f>
        <v>0</v>
      </c>
      <c r="DU5" s="14">
        <f>SUM(CD$5:CD5)</f>
        <v>0</v>
      </c>
      <c r="DV5" s="14">
        <f>SUM(CE$5:CE5)</f>
        <v>0</v>
      </c>
      <c r="DW5" s="14">
        <f>SUM(CF$5:CF5)</f>
        <v>0</v>
      </c>
      <c r="DX5" s="14">
        <f>SUM(CG$5:CG5)</f>
        <v>0</v>
      </c>
      <c r="DY5" s="14">
        <f>SUM(CH$5:CH5)</f>
        <v>0</v>
      </c>
      <c r="DZ5" s="14">
        <f>SUM(CI$5:CI5)</f>
        <v>0</v>
      </c>
      <c r="EA5" s="14">
        <f>SUM(CJ$5:CJ5)</f>
        <v>0</v>
      </c>
      <c r="EB5" s="14">
        <f>SUM(CK$5:CK5)</f>
        <v>0</v>
      </c>
      <c r="EC5" s="14">
        <f>SUM(CL$5:CL5)</f>
        <v>0</v>
      </c>
      <c r="ED5" s="14">
        <f>SUM(CM$5:CM5)</f>
        <v>0</v>
      </c>
      <c r="EE5" s="14">
        <f>SUM(CN$5:CN5)</f>
        <v>0</v>
      </c>
      <c r="EF5" s="14">
        <f>SUM(CO$5:CO5)</f>
        <v>0</v>
      </c>
      <c r="EG5" s="14">
        <f>SUM(CP$5:CP5)</f>
        <v>0</v>
      </c>
      <c r="EH5" s="14">
        <f>SUM(CQ$5:CQ5)</f>
        <v>0</v>
      </c>
      <c r="EI5" s="14">
        <f>SUM(CR$5:CR5)</f>
        <v>0</v>
      </c>
      <c r="EJ5" s="14">
        <f>SUM(CS$5:CS5)</f>
        <v>0</v>
      </c>
      <c r="EK5" s="14">
        <f>SUM(CT$5:CT5)</f>
        <v>0</v>
      </c>
      <c r="EL5" s="14">
        <f>SUM(CU$5:CU5)</f>
        <v>0</v>
      </c>
      <c r="EO5" s="87">
        <f>MATCH(CW5,$AD$5:$AD$26,1)-1</f>
        <v>0</v>
      </c>
      <c r="EP5" s="87">
        <f t="shared" ref="EP5:GD5" si="2">MATCH(CX5,$AD$5:$AD$26,1)-1</f>
        <v>0</v>
      </c>
      <c r="EQ5" s="87">
        <f t="shared" si="2"/>
        <v>0</v>
      </c>
      <c r="ER5" s="87">
        <f t="shared" si="2"/>
        <v>0</v>
      </c>
      <c r="ES5" s="87">
        <f t="shared" si="2"/>
        <v>0</v>
      </c>
      <c r="ET5" s="87">
        <f t="shared" si="2"/>
        <v>0</v>
      </c>
      <c r="EU5" s="87">
        <f t="shared" si="2"/>
        <v>0</v>
      </c>
      <c r="EV5" s="87">
        <f t="shared" si="2"/>
        <v>0</v>
      </c>
      <c r="EW5" s="87">
        <f t="shared" si="2"/>
        <v>0</v>
      </c>
      <c r="EX5" s="87">
        <f t="shared" si="2"/>
        <v>0</v>
      </c>
      <c r="EY5" s="87">
        <f t="shared" si="2"/>
        <v>0</v>
      </c>
      <c r="EZ5" s="87">
        <f t="shared" si="2"/>
        <v>0</v>
      </c>
      <c r="FA5" s="87">
        <f t="shared" si="2"/>
        <v>0</v>
      </c>
      <c r="FB5" s="87">
        <f t="shared" si="2"/>
        <v>0</v>
      </c>
      <c r="FC5" s="87">
        <f t="shared" si="2"/>
        <v>0</v>
      </c>
      <c r="FD5" s="87">
        <f t="shared" si="2"/>
        <v>0</v>
      </c>
      <c r="FE5" s="87">
        <f t="shared" si="2"/>
        <v>0</v>
      </c>
      <c r="FF5" s="87">
        <f t="shared" si="2"/>
        <v>0</v>
      </c>
      <c r="FG5" s="87">
        <f t="shared" si="2"/>
        <v>0</v>
      </c>
      <c r="FH5" s="87">
        <f t="shared" si="2"/>
        <v>0</v>
      </c>
      <c r="FI5" s="87">
        <f t="shared" si="2"/>
        <v>0</v>
      </c>
      <c r="FJ5" s="87">
        <f t="shared" si="2"/>
        <v>0</v>
      </c>
      <c r="FK5" s="87">
        <f t="shared" si="2"/>
        <v>0</v>
      </c>
      <c r="FL5" s="87">
        <f t="shared" si="2"/>
        <v>0</v>
      </c>
      <c r="FM5" s="87">
        <f t="shared" si="2"/>
        <v>0</v>
      </c>
      <c r="FN5" s="87">
        <f t="shared" si="2"/>
        <v>0</v>
      </c>
      <c r="FO5" s="87">
        <f t="shared" si="2"/>
        <v>0</v>
      </c>
      <c r="FP5" s="87">
        <f t="shared" si="2"/>
        <v>0</v>
      </c>
      <c r="FQ5" s="87">
        <f t="shared" si="2"/>
        <v>0</v>
      </c>
      <c r="FR5" s="87">
        <f t="shared" si="2"/>
        <v>0</v>
      </c>
      <c r="FS5" s="87">
        <f t="shared" si="2"/>
        <v>0</v>
      </c>
      <c r="FT5" s="87">
        <f t="shared" si="2"/>
        <v>0</v>
      </c>
      <c r="FU5" s="87">
        <f t="shared" si="2"/>
        <v>0</v>
      </c>
      <c r="FV5" s="87">
        <f t="shared" si="2"/>
        <v>0</v>
      </c>
      <c r="FW5" s="87">
        <f t="shared" si="2"/>
        <v>0</v>
      </c>
      <c r="FX5" s="87">
        <f t="shared" si="2"/>
        <v>0</v>
      </c>
      <c r="FY5" s="87">
        <f t="shared" si="2"/>
        <v>0</v>
      </c>
      <c r="FZ5" s="87">
        <f t="shared" si="2"/>
        <v>0</v>
      </c>
      <c r="GA5" s="87">
        <f t="shared" si="2"/>
        <v>0</v>
      </c>
      <c r="GB5" s="87">
        <f t="shared" si="2"/>
        <v>0</v>
      </c>
      <c r="GC5" s="87">
        <f t="shared" si="2"/>
        <v>0</v>
      </c>
      <c r="GD5" s="87">
        <f t="shared" si="2"/>
        <v>0</v>
      </c>
    </row>
    <row r="6" spans="1:186" ht="16.5" x14ac:dyDescent="0.2">
      <c r="A6" s="86">
        <v>2</v>
      </c>
      <c r="B6" s="86">
        <v>3</v>
      </c>
      <c r="C6" s="86">
        <v>3</v>
      </c>
      <c r="E6" s="86">
        <v>2</v>
      </c>
      <c r="F6" s="86" t="s">
        <v>212</v>
      </c>
      <c r="G6" s="86">
        <v>1.5</v>
      </c>
      <c r="H6" s="86">
        <v>3</v>
      </c>
      <c r="I6" s="86"/>
      <c r="K6" s="86">
        <v>2</v>
      </c>
      <c r="L6" s="86">
        <v>1</v>
      </c>
      <c r="M6" s="86">
        <v>2</v>
      </c>
      <c r="N6" s="86" t="str">
        <f t="shared" ref="N6:N46" si="3">"神器"&amp;L6&amp;"-"&amp;M6</f>
        <v>神器1-2</v>
      </c>
      <c r="O6" s="86">
        <v>1</v>
      </c>
      <c r="P6" s="14">
        <f t="shared" ref="P6:P46" si="4">INDEX($H$5:$H$8,O6)*INDEX($C$5:$C$11,L6)*$B$3</f>
        <v>10</v>
      </c>
      <c r="Q6" s="88">
        <v>0.35</v>
      </c>
      <c r="R6" s="14">
        <v>1</v>
      </c>
      <c r="S6" s="14">
        <v>3</v>
      </c>
      <c r="T6" s="88">
        <v>0.35</v>
      </c>
      <c r="U6" s="14">
        <v>2</v>
      </c>
      <c r="V6" s="14">
        <v>4</v>
      </c>
      <c r="W6" s="88">
        <v>0.35</v>
      </c>
      <c r="X6" s="14">
        <v>3</v>
      </c>
      <c r="Y6" s="14">
        <v>5</v>
      </c>
      <c r="AB6" s="86">
        <v>1</v>
      </c>
      <c r="AC6" s="86">
        <v>1</v>
      </c>
      <c r="AD6" s="86">
        <f>SUM(AC$6:AC6)</f>
        <v>1</v>
      </c>
      <c r="AF6" s="86">
        <v>1</v>
      </c>
      <c r="AG6" s="86">
        <v>43</v>
      </c>
      <c r="AH6" s="86">
        <f>SUMIFS($AX$5:$AX$122,$AO$5:$AO$122,"="&amp;AF6)</f>
        <v>27.5</v>
      </c>
      <c r="AI6" s="86" t="s">
        <v>658</v>
      </c>
      <c r="AJ6" s="21">
        <v>1</v>
      </c>
      <c r="AK6" s="21"/>
      <c r="AL6" s="21"/>
      <c r="AO6" s="86">
        <v>1</v>
      </c>
      <c r="AP6" s="86">
        <v>2</v>
      </c>
      <c r="AQ6" s="86">
        <v>1</v>
      </c>
      <c r="AR6" s="86">
        <v>1</v>
      </c>
      <c r="AS6" s="86" t="s">
        <v>322</v>
      </c>
      <c r="AT6" s="21">
        <f t="shared" si="0"/>
        <v>0.35</v>
      </c>
      <c r="AU6" s="86">
        <f t="shared" ref="AU6:AU69" si="5">INDEX($Q$5:$Y$46,AP6,(AR6-1)*3+2)</f>
        <v>1</v>
      </c>
      <c r="AV6" s="86">
        <f t="shared" ref="AV6:AV69" si="6">INDEX($Q$5:$Y$46,AP6,(AR6-1)*3+3)</f>
        <v>3</v>
      </c>
      <c r="AW6" s="87">
        <f t="shared" ref="AW6:AW69" si="7">AT6*(AU6+AV6)/2</f>
        <v>0.7</v>
      </c>
      <c r="AX6" s="86">
        <f t="shared" ref="AX6:AX69" si="8">INDEX($P$5:$P$46,AP6)*AT6*(AU6+AV6)/2</f>
        <v>7</v>
      </c>
      <c r="BA6" s="86">
        <v>2</v>
      </c>
      <c r="BB6" s="14" t="e">
        <f>INDEX(节奏总表!#REF!,神器!BA6)</f>
        <v>#REF!</v>
      </c>
      <c r="BC6" s="14" t="e">
        <f t="shared" ref="BC6:BC64" si="9">INDEX($AF$5:$AF$13,MATCH(BB6,$AG$5:$AG$13,1))</f>
        <v>#REF!</v>
      </c>
      <c r="BD6" s="14">
        <v>5</v>
      </c>
      <c r="BE6" s="14">
        <v>3</v>
      </c>
      <c r="BF6" s="14">
        <f t="shared" ref="BF6:BU35" si="10">SUMIFS($AT$5:$AT$122,$AO$5:$AO$122,"="&amp;$BC6,$AP$5:$AP$122,"="&amp;BF$2) * (SUMIFS($AU$5:$AU$122,$AO$5:$AO$122,"="&amp;$BC6,$AP$5:$AP$122,"="&amp;BF$2)+SUMIFS($AV$5:$AV$122,$AO$5:$AO$122,"="&amp;$BC6,$AP$5:$AP$122,"="&amp;BF$2))/2*$BD6*$BE6</f>
        <v>0</v>
      </c>
      <c r="BG6" s="14">
        <f t="shared" si="1"/>
        <v>0</v>
      </c>
      <c r="BH6" s="14">
        <f t="shared" si="1"/>
        <v>0</v>
      </c>
      <c r="BI6" s="14">
        <f t="shared" si="1"/>
        <v>0</v>
      </c>
      <c r="BJ6" s="14">
        <f t="shared" si="1"/>
        <v>0</v>
      </c>
      <c r="BK6" s="14">
        <f t="shared" si="1"/>
        <v>0</v>
      </c>
      <c r="BL6" s="14">
        <f t="shared" si="1"/>
        <v>0</v>
      </c>
      <c r="BM6" s="14">
        <f t="shared" si="1"/>
        <v>0</v>
      </c>
      <c r="BN6" s="14">
        <f t="shared" si="1"/>
        <v>0</v>
      </c>
      <c r="BO6" s="14">
        <f t="shared" si="1"/>
        <v>0</v>
      </c>
      <c r="BP6" s="14">
        <f t="shared" si="1"/>
        <v>0</v>
      </c>
      <c r="BQ6" s="14">
        <f t="shared" si="1"/>
        <v>0</v>
      </c>
      <c r="BR6" s="14">
        <f t="shared" si="1"/>
        <v>0</v>
      </c>
      <c r="BS6" s="14">
        <f t="shared" si="1"/>
        <v>0</v>
      </c>
      <c r="BT6" s="14">
        <f t="shared" si="1"/>
        <v>0</v>
      </c>
      <c r="BU6" s="14">
        <f t="shared" si="1"/>
        <v>0</v>
      </c>
      <c r="BV6" s="14">
        <f t="shared" si="1"/>
        <v>0</v>
      </c>
      <c r="BW6" s="14">
        <f t="shared" si="1"/>
        <v>0</v>
      </c>
      <c r="BX6" s="14">
        <f t="shared" si="1"/>
        <v>0</v>
      </c>
      <c r="BY6" s="14">
        <f t="shared" si="1"/>
        <v>0</v>
      </c>
      <c r="BZ6" s="14">
        <f t="shared" si="1"/>
        <v>0</v>
      </c>
      <c r="CA6" s="14">
        <f t="shared" si="1"/>
        <v>0</v>
      </c>
      <c r="CB6" s="14">
        <f t="shared" si="1"/>
        <v>0</v>
      </c>
      <c r="CC6" s="14">
        <f t="shared" si="1"/>
        <v>0</v>
      </c>
      <c r="CD6" s="14">
        <f t="shared" si="1"/>
        <v>0</v>
      </c>
      <c r="CE6" s="14">
        <f t="shared" si="1"/>
        <v>0</v>
      </c>
      <c r="CF6" s="14">
        <f t="shared" si="1"/>
        <v>0</v>
      </c>
      <c r="CG6" s="14">
        <f t="shared" si="1"/>
        <v>0</v>
      </c>
      <c r="CH6" s="14">
        <f t="shared" si="1"/>
        <v>0</v>
      </c>
      <c r="CI6" s="14">
        <f t="shared" si="1"/>
        <v>0</v>
      </c>
      <c r="CJ6" s="14">
        <f t="shared" si="1"/>
        <v>0</v>
      </c>
      <c r="CK6" s="14">
        <f t="shared" si="1"/>
        <v>0</v>
      </c>
      <c r="CL6" s="14">
        <f t="shared" si="1"/>
        <v>0</v>
      </c>
      <c r="CM6" s="14">
        <f t="shared" si="1"/>
        <v>0</v>
      </c>
      <c r="CN6" s="14">
        <f t="shared" si="1"/>
        <v>0</v>
      </c>
      <c r="CO6" s="14">
        <f t="shared" si="1"/>
        <v>0</v>
      </c>
      <c r="CP6" s="14">
        <f t="shared" si="1"/>
        <v>0</v>
      </c>
      <c r="CQ6" s="14">
        <f t="shared" si="1"/>
        <v>0</v>
      </c>
      <c r="CR6" s="14">
        <f t="shared" si="1"/>
        <v>0</v>
      </c>
      <c r="CS6" s="14">
        <f t="shared" si="1"/>
        <v>0</v>
      </c>
      <c r="CT6" s="14">
        <f t="shared" si="1"/>
        <v>0</v>
      </c>
      <c r="CU6" s="14">
        <f t="shared" si="1"/>
        <v>0</v>
      </c>
      <c r="CW6" s="14">
        <f>SUM(BF$5:BF6)</f>
        <v>0</v>
      </c>
      <c r="CX6" s="14">
        <f>SUM(BG$5:BG6)</f>
        <v>0</v>
      </c>
      <c r="CY6" s="14">
        <f>SUM(BH$5:BH6)</f>
        <v>0</v>
      </c>
      <c r="CZ6" s="14">
        <f>SUM(BI$5:BI6)</f>
        <v>0</v>
      </c>
      <c r="DA6" s="14">
        <f>SUM(BJ$5:BJ6)</f>
        <v>0</v>
      </c>
      <c r="DB6" s="14">
        <f>SUM(BK$5:BK6)</f>
        <v>0</v>
      </c>
      <c r="DC6" s="14">
        <f>SUM(BL$5:BL6)</f>
        <v>0</v>
      </c>
      <c r="DD6" s="14">
        <f>SUM(BM$5:BM6)</f>
        <v>0</v>
      </c>
      <c r="DE6" s="14">
        <f>SUM(BN$5:BN6)</f>
        <v>0</v>
      </c>
      <c r="DF6" s="14">
        <f>SUM(BO$5:BO6)</f>
        <v>0</v>
      </c>
      <c r="DG6" s="14">
        <f>SUM(BP$5:BP6)</f>
        <v>0</v>
      </c>
      <c r="DH6" s="14">
        <f>SUM(BQ$5:BQ6)</f>
        <v>0</v>
      </c>
      <c r="DI6" s="14">
        <f>SUM(BR$5:BR6)</f>
        <v>0</v>
      </c>
      <c r="DJ6" s="14">
        <f>SUM(BS$5:BS6)</f>
        <v>0</v>
      </c>
      <c r="DK6" s="14">
        <f>SUM(BT$5:BT6)</f>
        <v>0</v>
      </c>
      <c r="DL6" s="14">
        <f>SUM(BU$5:BU6)</f>
        <v>0</v>
      </c>
      <c r="DM6" s="14">
        <f>SUM(BV$5:BV6)</f>
        <v>0</v>
      </c>
      <c r="DN6" s="14">
        <f>SUM(BW$5:BW6)</f>
        <v>0</v>
      </c>
      <c r="DO6" s="14">
        <f>SUM(BX$5:BX6)</f>
        <v>0</v>
      </c>
      <c r="DP6" s="14">
        <f>SUM(BY$5:BY6)</f>
        <v>0</v>
      </c>
      <c r="DQ6" s="14">
        <f>SUM(BZ$5:BZ6)</f>
        <v>0</v>
      </c>
      <c r="DR6" s="14">
        <f>SUM(CA$5:CA6)</f>
        <v>0</v>
      </c>
      <c r="DS6" s="14">
        <f>SUM(CB$5:CB6)</f>
        <v>0</v>
      </c>
      <c r="DT6" s="14">
        <f>SUM(CC$5:CC6)</f>
        <v>0</v>
      </c>
      <c r="DU6" s="14">
        <f>SUM(CD$5:CD6)</f>
        <v>0</v>
      </c>
      <c r="DV6" s="14">
        <f>SUM(CE$5:CE6)</f>
        <v>0</v>
      </c>
      <c r="DW6" s="14">
        <f>SUM(CF$5:CF6)</f>
        <v>0</v>
      </c>
      <c r="DX6" s="14">
        <f>SUM(CG$5:CG6)</f>
        <v>0</v>
      </c>
      <c r="DY6" s="14">
        <f>SUM(CH$5:CH6)</f>
        <v>0</v>
      </c>
      <c r="DZ6" s="14">
        <f>SUM(CI$5:CI6)</f>
        <v>0</v>
      </c>
      <c r="EA6" s="14">
        <f>SUM(CJ$5:CJ6)</f>
        <v>0</v>
      </c>
      <c r="EB6" s="14">
        <f>SUM(CK$5:CK6)</f>
        <v>0</v>
      </c>
      <c r="EC6" s="14">
        <f>SUM(CL$5:CL6)</f>
        <v>0</v>
      </c>
      <c r="ED6" s="14">
        <f>SUM(CM$5:CM6)</f>
        <v>0</v>
      </c>
      <c r="EE6" s="14">
        <f>SUM(CN$5:CN6)</f>
        <v>0</v>
      </c>
      <c r="EF6" s="14">
        <f>SUM(CO$5:CO6)</f>
        <v>0</v>
      </c>
      <c r="EG6" s="14">
        <f>SUM(CP$5:CP6)</f>
        <v>0</v>
      </c>
      <c r="EH6" s="14">
        <f>SUM(CQ$5:CQ6)</f>
        <v>0</v>
      </c>
      <c r="EI6" s="14">
        <f>SUM(CR$5:CR6)</f>
        <v>0</v>
      </c>
      <c r="EJ6" s="14">
        <f>SUM(CS$5:CS6)</f>
        <v>0</v>
      </c>
      <c r="EK6" s="14">
        <f>SUM(CT$5:CT6)</f>
        <v>0</v>
      </c>
      <c r="EL6" s="14">
        <f>SUM(CU$5:CU6)</f>
        <v>0</v>
      </c>
      <c r="EO6" s="87">
        <f t="shared" ref="EO6:EO47" si="11">MATCH(CW6,$AD$5:$AD$26,1)-1</f>
        <v>0</v>
      </c>
      <c r="EP6" s="87">
        <f t="shared" ref="EP6:EP47" si="12">MATCH(CX6,$AD$5:$AD$26,1)-1</f>
        <v>0</v>
      </c>
      <c r="EQ6" s="87">
        <f t="shared" ref="EQ6:EQ47" si="13">MATCH(CY6,$AD$5:$AD$26,1)-1</f>
        <v>0</v>
      </c>
      <c r="ER6" s="87">
        <f t="shared" ref="ER6:ER47" si="14">MATCH(CZ6,$AD$5:$AD$26,1)-1</f>
        <v>0</v>
      </c>
      <c r="ES6" s="87">
        <f t="shared" ref="ES6:ES47" si="15">MATCH(DA6,$AD$5:$AD$26,1)-1</f>
        <v>0</v>
      </c>
      <c r="ET6" s="87">
        <f t="shared" ref="ET6:ET47" si="16">MATCH(DB6,$AD$5:$AD$26,1)-1</f>
        <v>0</v>
      </c>
      <c r="EU6" s="87">
        <f t="shared" ref="EU6:EU47" si="17">MATCH(DC6,$AD$5:$AD$26,1)-1</f>
        <v>0</v>
      </c>
      <c r="EV6" s="87">
        <f t="shared" ref="EV6:EV47" si="18">MATCH(DD6,$AD$5:$AD$26,1)-1</f>
        <v>0</v>
      </c>
      <c r="EW6" s="87">
        <f t="shared" ref="EW6:EW47" si="19">MATCH(DE6,$AD$5:$AD$26,1)-1</f>
        <v>0</v>
      </c>
      <c r="EX6" s="87">
        <f t="shared" ref="EX6:EX47" si="20">MATCH(DF6,$AD$5:$AD$26,1)-1</f>
        <v>0</v>
      </c>
      <c r="EY6" s="87">
        <f t="shared" ref="EY6:EY47" si="21">MATCH(DG6,$AD$5:$AD$26,1)-1</f>
        <v>0</v>
      </c>
      <c r="EZ6" s="87">
        <f t="shared" ref="EZ6:EZ47" si="22">MATCH(DH6,$AD$5:$AD$26,1)-1</f>
        <v>0</v>
      </c>
      <c r="FA6" s="87">
        <f t="shared" ref="FA6:FA47" si="23">MATCH(DI6,$AD$5:$AD$26,1)-1</f>
        <v>0</v>
      </c>
      <c r="FB6" s="87">
        <f t="shared" ref="FB6:FB47" si="24">MATCH(DJ6,$AD$5:$AD$26,1)-1</f>
        <v>0</v>
      </c>
      <c r="FC6" s="87">
        <f t="shared" ref="FC6:FC47" si="25">MATCH(DK6,$AD$5:$AD$26,1)-1</f>
        <v>0</v>
      </c>
      <c r="FD6" s="87">
        <f t="shared" ref="FD6:FD47" si="26">MATCH(DL6,$AD$5:$AD$26,1)-1</f>
        <v>0</v>
      </c>
      <c r="FE6" s="87">
        <f t="shared" ref="FE6:FE47" si="27">MATCH(DM6,$AD$5:$AD$26,1)-1</f>
        <v>0</v>
      </c>
      <c r="FF6" s="87">
        <f t="shared" ref="FF6:FF47" si="28">MATCH(DN6,$AD$5:$AD$26,1)-1</f>
        <v>0</v>
      </c>
      <c r="FG6" s="87">
        <f t="shared" ref="FG6:FG47" si="29">MATCH(DO6,$AD$5:$AD$26,1)-1</f>
        <v>0</v>
      </c>
      <c r="FH6" s="87">
        <f t="shared" ref="FH6:FH47" si="30">MATCH(DP6,$AD$5:$AD$26,1)-1</f>
        <v>0</v>
      </c>
      <c r="FI6" s="87">
        <f t="shared" ref="FI6:FI47" si="31">MATCH(DQ6,$AD$5:$AD$26,1)-1</f>
        <v>0</v>
      </c>
      <c r="FJ6" s="87">
        <f t="shared" ref="FJ6:FJ47" si="32">MATCH(DR6,$AD$5:$AD$26,1)-1</f>
        <v>0</v>
      </c>
      <c r="FK6" s="87">
        <f t="shared" ref="FK6:FK47" si="33">MATCH(DS6,$AD$5:$AD$26,1)-1</f>
        <v>0</v>
      </c>
      <c r="FL6" s="87">
        <f t="shared" ref="FL6:FL47" si="34">MATCH(DT6,$AD$5:$AD$26,1)-1</f>
        <v>0</v>
      </c>
      <c r="FM6" s="87">
        <f t="shared" ref="FM6:FM47" si="35">MATCH(DU6,$AD$5:$AD$26,1)-1</f>
        <v>0</v>
      </c>
      <c r="FN6" s="87">
        <f t="shared" ref="FN6:FN47" si="36">MATCH(DV6,$AD$5:$AD$26,1)-1</f>
        <v>0</v>
      </c>
      <c r="FO6" s="87">
        <f t="shared" ref="FO6:FO47" si="37">MATCH(DW6,$AD$5:$AD$26,1)-1</f>
        <v>0</v>
      </c>
      <c r="FP6" s="87">
        <f t="shared" ref="FP6:FP47" si="38">MATCH(DX6,$AD$5:$AD$26,1)-1</f>
        <v>0</v>
      </c>
      <c r="FQ6" s="87">
        <f t="shared" ref="FQ6:FQ47" si="39">MATCH(DY6,$AD$5:$AD$26,1)-1</f>
        <v>0</v>
      </c>
      <c r="FR6" s="87">
        <f t="shared" ref="FR6:FR47" si="40">MATCH(DZ6,$AD$5:$AD$26,1)-1</f>
        <v>0</v>
      </c>
      <c r="FS6" s="87">
        <f t="shared" ref="FS6:FS47" si="41">MATCH(EA6,$AD$5:$AD$26,1)-1</f>
        <v>0</v>
      </c>
      <c r="FT6" s="87">
        <f t="shared" ref="FT6:FT47" si="42">MATCH(EB6,$AD$5:$AD$26,1)-1</f>
        <v>0</v>
      </c>
      <c r="FU6" s="87">
        <f t="shared" ref="FU6:FU47" si="43">MATCH(EC6,$AD$5:$AD$26,1)-1</f>
        <v>0</v>
      </c>
      <c r="FV6" s="87">
        <f t="shared" ref="FV6:FV47" si="44">MATCH(ED6,$AD$5:$AD$26,1)-1</f>
        <v>0</v>
      </c>
      <c r="FW6" s="87">
        <f t="shared" ref="FW6:FW47" si="45">MATCH(EE6,$AD$5:$AD$26,1)-1</f>
        <v>0</v>
      </c>
      <c r="FX6" s="87">
        <f t="shared" ref="FX6:FX47" si="46">MATCH(EF6,$AD$5:$AD$26,1)-1</f>
        <v>0</v>
      </c>
      <c r="FY6" s="87">
        <f t="shared" ref="FY6:FY47" si="47">MATCH(EG6,$AD$5:$AD$26,1)-1</f>
        <v>0</v>
      </c>
      <c r="FZ6" s="87">
        <f t="shared" ref="FZ6:FZ47" si="48">MATCH(EH6,$AD$5:$AD$26,1)-1</f>
        <v>0</v>
      </c>
      <c r="GA6" s="87">
        <f t="shared" ref="GA6:GA47" si="49">MATCH(EI6,$AD$5:$AD$26,1)-1</f>
        <v>0</v>
      </c>
      <c r="GB6" s="87">
        <f t="shared" ref="GB6:GB47" si="50">MATCH(EJ6,$AD$5:$AD$26,1)-1</f>
        <v>0</v>
      </c>
      <c r="GC6" s="87">
        <f t="shared" ref="GC6:GC47" si="51">MATCH(EK6,$AD$5:$AD$26,1)-1</f>
        <v>0</v>
      </c>
      <c r="GD6" s="87">
        <f t="shared" ref="GD6:GD47" si="52">MATCH(EL6,$AD$5:$AD$26,1)-1</f>
        <v>0</v>
      </c>
    </row>
    <row r="7" spans="1:186" ht="16.5" x14ac:dyDescent="0.2">
      <c r="A7" s="86">
        <v>3</v>
      </c>
      <c r="B7" s="86">
        <v>4</v>
      </c>
      <c r="C7" s="86">
        <v>4</v>
      </c>
      <c r="E7" s="86">
        <v>3</v>
      </c>
      <c r="F7" s="86" t="s">
        <v>647</v>
      </c>
      <c r="G7" s="86">
        <v>2</v>
      </c>
      <c r="H7" s="86">
        <v>7</v>
      </c>
      <c r="I7" s="86"/>
      <c r="K7" s="86">
        <v>3</v>
      </c>
      <c r="L7" s="86">
        <v>1</v>
      </c>
      <c r="M7" s="86">
        <v>3</v>
      </c>
      <c r="N7" s="86" t="str">
        <f t="shared" si="3"/>
        <v>神器1-3</v>
      </c>
      <c r="O7" s="86">
        <v>2</v>
      </c>
      <c r="P7" s="14">
        <f t="shared" si="4"/>
        <v>30</v>
      </c>
      <c r="Q7" s="88">
        <v>0.3</v>
      </c>
      <c r="R7" s="14">
        <v>1</v>
      </c>
      <c r="S7" s="14">
        <v>2</v>
      </c>
      <c r="T7" s="88">
        <v>0.3</v>
      </c>
      <c r="U7" s="14">
        <v>1</v>
      </c>
      <c r="V7" s="14">
        <v>3</v>
      </c>
      <c r="W7" s="88">
        <v>0.3</v>
      </c>
      <c r="X7" s="14">
        <v>2</v>
      </c>
      <c r="Y7" s="14">
        <v>4</v>
      </c>
      <c r="AB7" s="86">
        <v>2</v>
      </c>
      <c r="AC7" s="86">
        <v>1</v>
      </c>
      <c r="AD7" s="86">
        <f>SUM(AC$6:AC7)</f>
        <v>2</v>
      </c>
      <c r="AF7" s="86">
        <v>2</v>
      </c>
      <c r="AG7" s="86">
        <v>63</v>
      </c>
      <c r="AH7" s="86">
        <f t="shared" ref="AH7:AH13" si="53">SUMIFS($AX$5:$AX$122,$AO$5:$AO$122,"="&amp;AF7)</f>
        <v>44.4</v>
      </c>
      <c r="AI7" s="86" t="s">
        <v>663</v>
      </c>
      <c r="AJ7" s="19">
        <v>0.6</v>
      </c>
      <c r="AK7" s="19">
        <v>0.4</v>
      </c>
      <c r="AL7" s="19"/>
      <c r="AO7" s="86">
        <v>1</v>
      </c>
      <c r="AP7" s="86">
        <v>3</v>
      </c>
      <c r="AQ7" s="86">
        <v>1</v>
      </c>
      <c r="AR7" s="86">
        <v>1</v>
      </c>
      <c r="AS7" s="86" t="s">
        <v>323</v>
      </c>
      <c r="AT7" s="21">
        <f t="shared" si="0"/>
        <v>0.3</v>
      </c>
      <c r="AU7" s="86">
        <f t="shared" si="5"/>
        <v>1</v>
      </c>
      <c r="AV7" s="86">
        <f t="shared" si="6"/>
        <v>2</v>
      </c>
      <c r="AW7" s="87">
        <f t="shared" si="7"/>
        <v>0.44999999999999996</v>
      </c>
      <c r="AX7" s="86">
        <f t="shared" si="8"/>
        <v>13.5</v>
      </c>
      <c r="BA7" s="86">
        <v>3</v>
      </c>
      <c r="BB7" s="14" t="e">
        <f>INDEX(节奏总表!#REF!,神器!BA7)</f>
        <v>#REF!</v>
      </c>
      <c r="BC7" s="14" t="e">
        <f t="shared" si="9"/>
        <v>#REF!</v>
      </c>
      <c r="BD7" s="14">
        <v>5</v>
      </c>
      <c r="BE7" s="14">
        <v>3</v>
      </c>
      <c r="BF7" s="14">
        <f t="shared" si="10"/>
        <v>0</v>
      </c>
      <c r="BG7" s="14">
        <f t="shared" si="1"/>
        <v>0</v>
      </c>
      <c r="BH7" s="14">
        <f t="shared" si="1"/>
        <v>0</v>
      </c>
      <c r="BI7" s="14">
        <f t="shared" si="1"/>
        <v>0</v>
      </c>
      <c r="BJ7" s="14">
        <f t="shared" si="1"/>
        <v>0</v>
      </c>
      <c r="BK7" s="14">
        <f t="shared" si="1"/>
        <v>0</v>
      </c>
      <c r="BL7" s="14">
        <f t="shared" si="1"/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si="1"/>
        <v>0</v>
      </c>
      <c r="BW7" s="14">
        <f t="shared" si="1"/>
        <v>0</v>
      </c>
      <c r="BX7" s="14">
        <f t="shared" si="1"/>
        <v>0</v>
      </c>
      <c r="BY7" s="14">
        <f t="shared" si="1"/>
        <v>0</v>
      </c>
      <c r="BZ7" s="14">
        <f t="shared" si="1"/>
        <v>0</v>
      </c>
      <c r="CA7" s="14">
        <f t="shared" si="1"/>
        <v>0</v>
      </c>
      <c r="CB7" s="14">
        <f t="shared" si="1"/>
        <v>0</v>
      </c>
      <c r="CC7" s="14">
        <f t="shared" si="1"/>
        <v>0</v>
      </c>
      <c r="CD7" s="14">
        <f t="shared" si="1"/>
        <v>0</v>
      </c>
      <c r="CE7" s="14">
        <f t="shared" si="1"/>
        <v>0</v>
      </c>
      <c r="CF7" s="14">
        <f t="shared" si="1"/>
        <v>0</v>
      </c>
      <c r="CG7" s="14">
        <f t="shared" si="1"/>
        <v>0</v>
      </c>
      <c r="CH7" s="14">
        <f t="shared" si="1"/>
        <v>0</v>
      </c>
      <c r="CI7" s="14">
        <f t="shared" si="1"/>
        <v>0</v>
      </c>
      <c r="CJ7" s="14">
        <f t="shared" si="1"/>
        <v>0</v>
      </c>
      <c r="CK7" s="14">
        <f t="shared" si="1"/>
        <v>0</v>
      </c>
      <c r="CL7" s="14">
        <f t="shared" si="1"/>
        <v>0</v>
      </c>
      <c r="CM7" s="14">
        <f t="shared" si="1"/>
        <v>0</v>
      </c>
      <c r="CN7" s="14">
        <f t="shared" si="1"/>
        <v>0</v>
      </c>
      <c r="CO7" s="14">
        <f t="shared" si="1"/>
        <v>0</v>
      </c>
      <c r="CP7" s="14">
        <f t="shared" si="1"/>
        <v>0</v>
      </c>
      <c r="CQ7" s="14">
        <f t="shared" si="1"/>
        <v>0</v>
      </c>
      <c r="CR7" s="14">
        <f t="shared" si="1"/>
        <v>0</v>
      </c>
      <c r="CS7" s="14">
        <f t="shared" si="1"/>
        <v>0</v>
      </c>
      <c r="CT7" s="14">
        <f t="shared" si="1"/>
        <v>0</v>
      </c>
      <c r="CU7" s="14">
        <f t="shared" si="1"/>
        <v>0</v>
      </c>
      <c r="CW7" s="14">
        <f>SUM(BF$5:BF7)</f>
        <v>0</v>
      </c>
      <c r="CX7" s="14">
        <f>SUM(BG$5:BG7)</f>
        <v>0</v>
      </c>
      <c r="CY7" s="14">
        <f>SUM(BH$5:BH7)</f>
        <v>0</v>
      </c>
      <c r="CZ7" s="14">
        <f>SUM(BI$5:BI7)</f>
        <v>0</v>
      </c>
      <c r="DA7" s="14">
        <f>SUM(BJ$5:BJ7)</f>
        <v>0</v>
      </c>
      <c r="DB7" s="14">
        <f>SUM(BK$5:BK7)</f>
        <v>0</v>
      </c>
      <c r="DC7" s="14">
        <f>SUM(BL$5:BL7)</f>
        <v>0</v>
      </c>
      <c r="DD7" s="14">
        <f>SUM(BM$5:BM7)</f>
        <v>0</v>
      </c>
      <c r="DE7" s="14">
        <f>SUM(BN$5:BN7)</f>
        <v>0</v>
      </c>
      <c r="DF7" s="14">
        <f>SUM(BO$5:BO7)</f>
        <v>0</v>
      </c>
      <c r="DG7" s="14">
        <f>SUM(BP$5:BP7)</f>
        <v>0</v>
      </c>
      <c r="DH7" s="14">
        <f>SUM(BQ$5:BQ7)</f>
        <v>0</v>
      </c>
      <c r="DI7" s="14">
        <f>SUM(BR$5:BR7)</f>
        <v>0</v>
      </c>
      <c r="DJ7" s="14">
        <f>SUM(BS$5:BS7)</f>
        <v>0</v>
      </c>
      <c r="DK7" s="14">
        <f>SUM(BT$5:BT7)</f>
        <v>0</v>
      </c>
      <c r="DL7" s="14">
        <f>SUM(BU$5:BU7)</f>
        <v>0</v>
      </c>
      <c r="DM7" s="14">
        <f>SUM(BV$5:BV7)</f>
        <v>0</v>
      </c>
      <c r="DN7" s="14">
        <f>SUM(BW$5:BW7)</f>
        <v>0</v>
      </c>
      <c r="DO7" s="14">
        <f>SUM(BX$5:BX7)</f>
        <v>0</v>
      </c>
      <c r="DP7" s="14">
        <f>SUM(BY$5:BY7)</f>
        <v>0</v>
      </c>
      <c r="DQ7" s="14">
        <f>SUM(BZ$5:BZ7)</f>
        <v>0</v>
      </c>
      <c r="DR7" s="14">
        <f>SUM(CA$5:CA7)</f>
        <v>0</v>
      </c>
      <c r="DS7" s="14">
        <f>SUM(CB$5:CB7)</f>
        <v>0</v>
      </c>
      <c r="DT7" s="14">
        <f>SUM(CC$5:CC7)</f>
        <v>0</v>
      </c>
      <c r="DU7" s="14">
        <f>SUM(CD$5:CD7)</f>
        <v>0</v>
      </c>
      <c r="DV7" s="14">
        <f>SUM(CE$5:CE7)</f>
        <v>0</v>
      </c>
      <c r="DW7" s="14">
        <f>SUM(CF$5:CF7)</f>
        <v>0</v>
      </c>
      <c r="DX7" s="14">
        <f>SUM(CG$5:CG7)</f>
        <v>0</v>
      </c>
      <c r="DY7" s="14">
        <f>SUM(CH$5:CH7)</f>
        <v>0</v>
      </c>
      <c r="DZ7" s="14">
        <f>SUM(CI$5:CI7)</f>
        <v>0</v>
      </c>
      <c r="EA7" s="14">
        <f>SUM(CJ$5:CJ7)</f>
        <v>0</v>
      </c>
      <c r="EB7" s="14">
        <f>SUM(CK$5:CK7)</f>
        <v>0</v>
      </c>
      <c r="EC7" s="14">
        <f>SUM(CL$5:CL7)</f>
        <v>0</v>
      </c>
      <c r="ED7" s="14">
        <f>SUM(CM$5:CM7)</f>
        <v>0</v>
      </c>
      <c r="EE7" s="14">
        <f>SUM(CN$5:CN7)</f>
        <v>0</v>
      </c>
      <c r="EF7" s="14">
        <f>SUM(CO$5:CO7)</f>
        <v>0</v>
      </c>
      <c r="EG7" s="14">
        <f>SUM(CP$5:CP7)</f>
        <v>0</v>
      </c>
      <c r="EH7" s="14">
        <f>SUM(CQ$5:CQ7)</f>
        <v>0</v>
      </c>
      <c r="EI7" s="14">
        <f>SUM(CR$5:CR7)</f>
        <v>0</v>
      </c>
      <c r="EJ7" s="14">
        <f>SUM(CS$5:CS7)</f>
        <v>0</v>
      </c>
      <c r="EK7" s="14">
        <f>SUM(CT$5:CT7)</f>
        <v>0</v>
      </c>
      <c r="EL7" s="14">
        <f>SUM(CU$5:CU7)</f>
        <v>0</v>
      </c>
      <c r="EO7" s="87">
        <f t="shared" si="11"/>
        <v>0</v>
      </c>
      <c r="EP7" s="87">
        <f t="shared" si="12"/>
        <v>0</v>
      </c>
      <c r="EQ7" s="87">
        <f t="shared" si="13"/>
        <v>0</v>
      </c>
      <c r="ER7" s="87">
        <f t="shared" si="14"/>
        <v>0</v>
      </c>
      <c r="ES7" s="87">
        <f t="shared" si="15"/>
        <v>0</v>
      </c>
      <c r="ET7" s="87">
        <f t="shared" si="16"/>
        <v>0</v>
      </c>
      <c r="EU7" s="87">
        <f t="shared" si="17"/>
        <v>0</v>
      </c>
      <c r="EV7" s="87">
        <f t="shared" si="18"/>
        <v>0</v>
      </c>
      <c r="EW7" s="87">
        <f t="shared" si="19"/>
        <v>0</v>
      </c>
      <c r="EX7" s="87">
        <f t="shared" si="20"/>
        <v>0</v>
      </c>
      <c r="EY7" s="87">
        <f t="shared" si="21"/>
        <v>0</v>
      </c>
      <c r="EZ7" s="87">
        <f t="shared" si="22"/>
        <v>0</v>
      </c>
      <c r="FA7" s="87">
        <f t="shared" si="23"/>
        <v>0</v>
      </c>
      <c r="FB7" s="87">
        <f t="shared" si="24"/>
        <v>0</v>
      </c>
      <c r="FC7" s="87">
        <f t="shared" si="25"/>
        <v>0</v>
      </c>
      <c r="FD7" s="87">
        <f t="shared" si="26"/>
        <v>0</v>
      </c>
      <c r="FE7" s="87">
        <f t="shared" si="27"/>
        <v>0</v>
      </c>
      <c r="FF7" s="87">
        <f t="shared" si="28"/>
        <v>0</v>
      </c>
      <c r="FG7" s="87">
        <f t="shared" si="29"/>
        <v>0</v>
      </c>
      <c r="FH7" s="87">
        <f t="shared" si="30"/>
        <v>0</v>
      </c>
      <c r="FI7" s="87">
        <f t="shared" si="31"/>
        <v>0</v>
      </c>
      <c r="FJ7" s="87">
        <f t="shared" si="32"/>
        <v>0</v>
      </c>
      <c r="FK7" s="87">
        <f t="shared" si="33"/>
        <v>0</v>
      </c>
      <c r="FL7" s="87">
        <f t="shared" si="34"/>
        <v>0</v>
      </c>
      <c r="FM7" s="87">
        <f t="shared" si="35"/>
        <v>0</v>
      </c>
      <c r="FN7" s="87">
        <f t="shared" si="36"/>
        <v>0</v>
      </c>
      <c r="FO7" s="87">
        <f t="shared" si="37"/>
        <v>0</v>
      </c>
      <c r="FP7" s="87">
        <f t="shared" si="38"/>
        <v>0</v>
      </c>
      <c r="FQ7" s="87">
        <f t="shared" si="39"/>
        <v>0</v>
      </c>
      <c r="FR7" s="87">
        <f t="shared" si="40"/>
        <v>0</v>
      </c>
      <c r="FS7" s="87">
        <f t="shared" si="41"/>
        <v>0</v>
      </c>
      <c r="FT7" s="87">
        <f t="shared" si="42"/>
        <v>0</v>
      </c>
      <c r="FU7" s="87">
        <f t="shared" si="43"/>
        <v>0</v>
      </c>
      <c r="FV7" s="87">
        <f t="shared" si="44"/>
        <v>0</v>
      </c>
      <c r="FW7" s="87">
        <f t="shared" si="45"/>
        <v>0</v>
      </c>
      <c r="FX7" s="87">
        <f t="shared" si="46"/>
        <v>0</v>
      </c>
      <c r="FY7" s="87">
        <f t="shared" si="47"/>
        <v>0</v>
      </c>
      <c r="FZ7" s="87">
        <f t="shared" si="48"/>
        <v>0</v>
      </c>
      <c r="GA7" s="87">
        <f t="shared" si="49"/>
        <v>0</v>
      </c>
      <c r="GB7" s="87">
        <f t="shared" si="50"/>
        <v>0</v>
      </c>
      <c r="GC7" s="87">
        <f t="shared" si="51"/>
        <v>0</v>
      </c>
      <c r="GD7" s="87">
        <f t="shared" si="52"/>
        <v>0</v>
      </c>
    </row>
    <row r="8" spans="1:186" ht="16.5" x14ac:dyDescent="0.2">
      <c r="A8" s="86">
        <v>4</v>
      </c>
      <c r="B8" s="86">
        <v>5</v>
      </c>
      <c r="C8" s="86">
        <v>5</v>
      </c>
      <c r="E8" s="86">
        <v>4</v>
      </c>
      <c r="F8" s="86" t="s">
        <v>376</v>
      </c>
      <c r="G8" s="86">
        <v>3</v>
      </c>
      <c r="H8" s="86">
        <v>15</v>
      </c>
      <c r="I8" s="19">
        <v>0.1</v>
      </c>
      <c r="K8" s="86">
        <v>4</v>
      </c>
      <c r="L8" s="86">
        <v>2</v>
      </c>
      <c r="M8" s="86">
        <v>1</v>
      </c>
      <c r="N8" s="86" t="str">
        <f t="shared" si="3"/>
        <v>神器2-1</v>
      </c>
      <c r="O8" s="86">
        <v>1</v>
      </c>
      <c r="P8" s="14">
        <f t="shared" si="4"/>
        <v>15</v>
      </c>
      <c r="Q8" s="88">
        <v>0.26</v>
      </c>
      <c r="R8" s="14">
        <v>1</v>
      </c>
      <c r="S8" s="14">
        <v>3</v>
      </c>
      <c r="T8" s="88">
        <v>0.26</v>
      </c>
      <c r="U8" s="14">
        <v>2</v>
      </c>
      <c r="V8" s="14">
        <v>4</v>
      </c>
      <c r="W8" s="88">
        <v>0.26</v>
      </c>
      <c r="X8" s="14">
        <v>3</v>
      </c>
      <c r="Y8" s="14">
        <v>5</v>
      </c>
      <c r="AB8" s="86">
        <v>3</v>
      </c>
      <c r="AC8" s="86">
        <v>1</v>
      </c>
      <c r="AD8" s="86">
        <f>SUM(AC$6:AC8)</f>
        <v>3</v>
      </c>
      <c r="AF8" s="86">
        <v>3</v>
      </c>
      <c r="AG8" s="86">
        <v>83</v>
      </c>
      <c r="AH8" s="86">
        <f t="shared" si="53"/>
        <v>65.199999999999989</v>
      </c>
      <c r="AI8" s="86" t="s">
        <v>664</v>
      </c>
      <c r="AJ8" s="19">
        <v>0.55000000000000004</v>
      </c>
      <c r="AK8" s="19">
        <v>0.3</v>
      </c>
      <c r="AL8" s="19">
        <v>0.15</v>
      </c>
      <c r="AO8" s="86">
        <v>2</v>
      </c>
      <c r="AP8" s="86">
        <v>1</v>
      </c>
      <c r="AQ8" s="86">
        <v>1</v>
      </c>
      <c r="AR8" s="86">
        <v>2</v>
      </c>
      <c r="AS8" s="86" t="s">
        <v>321</v>
      </c>
      <c r="AT8" s="21">
        <f t="shared" si="0"/>
        <v>0.21</v>
      </c>
      <c r="AU8" s="86">
        <f t="shared" si="5"/>
        <v>2</v>
      </c>
      <c r="AV8" s="86">
        <f t="shared" si="6"/>
        <v>4</v>
      </c>
      <c r="AW8" s="87">
        <f t="shared" si="7"/>
        <v>0.63</v>
      </c>
      <c r="AX8" s="86">
        <f t="shared" si="8"/>
        <v>6.3000000000000007</v>
      </c>
      <c r="BA8" s="86">
        <v>4</v>
      </c>
      <c r="BB8" s="14" t="e">
        <f>INDEX(节奏总表!#REF!,神器!BA8)</f>
        <v>#REF!</v>
      </c>
      <c r="BC8" s="14" t="e">
        <f t="shared" si="9"/>
        <v>#REF!</v>
      </c>
      <c r="BD8" s="14">
        <v>5</v>
      </c>
      <c r="BE8" s="14">
        <v>3</v>
      </c>
      <c r="BF8" s="14">
        <f t="shared" si="10"/>
        <v>0</v>
      </c>
      <c r="BG8" s="14">
        <f t="shared" si="1"/>
        <v>0</v>
      </c>
      <c r="BH8" s="14">
        <f t="shared" si="1"/>
        <v>0</v>
      </c>
      <c r="BI8" s="14">
        <f t="shared" si="1"/>
        <v>0</v>
      </c>
      <c r="BJ8" s="14">
        <f t="shared" si="1"/>
        <v>0</v>
      </c>
      <c r="BK8" s="14">
        <f t="shared" si="1"/>
        <v>0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1"/>
        <v>0</v>
      </c>
      <c r="BW8" s="14">
        <f t="shared" si="1"/>
        <v>0</v>
      </c>
      <c r="BX8" s="14">
        <f t="shared" si="1"/>
        <v>0</v>
      </c>
      <c r="BY8" s="14">
        <f t="shared" si="1"/>
        <v>0</v>
      </c>
      <c r="BZ8" s="14">
        <f t="shared" si="1"/>
        <v>0</v>
      </c>
      <c r="CA8" s="14">
        <f t="shared" si="1"/>
        <v>0</v>
      </c>
      <c r="CB8" s="14">
        <f t="shared" si="1"/>
        <v>0</v>
      </c>
      <c r="CC8" s="14">
        <f t="shared" si="1"/>
        <v>0</v>
      </c>
      <c r="CD8" s="14">
        <f t="shared" si="1"/>
        <v>0</v>
      </c>
      <c r="CE8" s="14">
        <f t="shared" si="1"/>
        <v>0</v>
      </c>
      <c r="CF8" s="14">
        <f t="shared" si="1"/>
        <v>0</v>
      </c>
      <c r="CG8" s="14">
        <f t="shared" si="1"/>
        <v>0</v>
      </c>
      <c r="CH8" s="14">
        <f t="shared" si="1"/>
        <v>0</v>
      </c>
      <c r="CI8" s="14">
        <f t="shared" si="1"/>
        <v>0</v>
      </c>
      <c r="CJ8" s="14">
        <f t="shared" si="1"/>
        <v>0</v>
      </c>
      <c r="CK8" s="14">
        <f t="shared" si="1"/>
        <v>0</v>
      </c>
      <c r="CL8" s="14">
        <f t="shared" si="1"/>
        <v>0</v>
      </c>
      <c r="CM8" s="14">
        <f t="shared" si="1"/>
        <v>0</v>
      </c>
      <c r="CN8" s="14">
        <f t="shared" si="1"/>
        <v>0</v>
      </c>
      <c r="CO8" s="14">
        <f t="shared" si="1"/>
        <v>0</v>
      </c>
      <c r="CP8" s="14">
        <f t="shared" si="1"/>
        <v>0</v>
      </c>
      <c r="CQ8" s="14">
        <f t="shared" si="1"/>
        <v>0</v>
      </c>
      <c r="CR8" s="14">
        <f t="shared" si="1"/>
        <v>0</v>
      </c>
      <c r="CS8" s="14">
        <f t="shared" si="1"/>
        <v>0</v>
      </c>
      <c r="CT8" s="14">
        <f t="shared" si="1"/>
        <v>0</v>
      </c>
      <c r="CU8" s="14">
        <f t="shared" si="1"/>
        <v>0</v>
      </c>
      <c r="CW8" s="14">
        <f>SUM(BF$5:BF8)</f>
        <v>0</v>
      </c>
      <c r="CX8" s="14">
        <f>SUM(BG$5:BG8)</f>
        <v>0</v>
      </c>
      <c r="CY8" s="14">
        <f>SUM(BH$5:BH8)</f>
        <v>0</v>
      </c>
      <c r="CZ8" s="14">
        <f>SUM(BI$5:BI8)</f>
        <v>0</v>
      </c>
      <c r="DA8" s="14">
        <f>SUM(BJ$5:BJ8)</f>
        <v>0</v>
      </c>
      <c r="DB8" s="14">
        <f>SUM(BK$5:BK8)</f>
        <v>0</v>
      </c>
      <c r="DC8" s="14">
        <f>SUM(BL$5:BL8)</f>
        <v>0</v>
      </c>
      <c r="DD8" s="14">
        <f>SUM(BM$5:BM8)</f>
        <v>0</v>
      </c>
      <c r="DE8" s="14">
        <f>SUM(BN$5:BN8)</f>
        <v>0</v>
      </c>
      <c r="DF8" s="14">
        <f>SUM(BO$5:BO8)</f>
        <v>0</v>
      </c>
      <c r="DG8" s="14">
        <f>SUM(BP$5:BP8)</f>
        <v>0</v>
      </c>
      <c r="DH8" s="14">
        <f>SUM(BQ$5:BQ8)</f>
        <v>0</v>
      </c>
      <c r="DI8" s="14">
        <f>SUM(BR$5:BR8)</f>
        <v>0</v>
      </c>
      <c r="DJ8" s="14">
        <f>SUM(BS$5:BS8)</f>
        <v>0</v>
      </c>
      <c r="DK8" s="14">
        <f>SUM(BT$5:BT8)</f>
        <v>0</v>
      </c>
      <c r="DL8" s="14">
        <f>SUM(BU$5:BU8)</f>
        <v>0</v>
      </c>
      <c r="DM8" s="14">
        <f>SUM(BV$5:BV8)</f>
        <v>0</v>
      </c>
      <c r="DN8" s="14">
        <f>SUM(BW$5:BW8)</f>
        <v>0</v>
      </c>
      <c r="DO8" s="14">
        <f>SUM(BX$5:BX8)</f>
        <v>0</v>
      </c>
      <c r="DP8" s="14">
        <f>SUM(BY$5:BY8)</f>
        <v>0</v>
      </c>
      <c r="DQ8" s="14">
        <f>SUM(BZ$5:BZ8)</f>
        <v>0</v>
      </c>
      <c r="DR8" s="14">
        <f>SUM(CA$5:CA8)</f>
        <v>0</v>
      </c>
      <c r="DS8" s="14">
        <f>SUM(CB$5:CB8)</f>
        <v>0</v>
      </c>
      <c r="DT8" s="14">
        <f>SUM(CC$5:CC8)</f>
        <v>0</v>
      </c>
      <c r="DU8" s="14">
        <f>SUM(CD$5:CD8)</f>
        <v>0</v>
      </c>
      <c r="DV8" s="14">
        <f>SUM(CE$5:CE8)</f>
        <v>0</v>
      </c>
      <c r="DW8" s="14">
        <f>SUM(CF$5:CF8)</f>
        <v>0</v>
      </c>
      <c r="DX8" s="14">
        <f>SUM(CG$5:CG8)</f>
        <v>0</v>
      </c>
      <c r="DY8" s="14">
        <f>SUM(CH$5:CH8)</f>
        <v>0</v>
      </c>
      <c r="DZ8" s="14">
        <f>SUM(CI$5:CI8)</f>
        <v>0</v>
      </c>
      <c r="EA8" s="14">
        <f>SUM(CJ$5:CJ8)</f>
        <v>0</v>
      </c>
      <c r="EB8" s="14">
        <f>SUM(CK$5:CK8)</f>
        <v>0</v>
      </c>
      <c r="EC8" s="14">
        <f>SUM(CL$5:CL8)</f>
        <v>0</v>
      </c>
      <c r="ED8" s="14">
        <f>SUM(CM$5:CM8)</f>
        <v>0</v>
      </c>
      <c r="EE8" s="14">
        <f>SUM(CN$5:CN8)</f>
        <v>0</v>
      </c>
      <c r="EF8" s="14">
        <f>SUM(CO$5:CO8)</f>
        <v>0</v>
      </c>
      <c r="EG8" s="14">
        <f>SUM(CP$5:CP8)</f>
        <v>0</v>
      </c>
      <c r="EH8" s="14">
        <f>SUM(CQ$5:CQ8)</f>
        <v>0</v>
      </c>
      <c r="EI8" s="14">
        <f>SUM(CR$5:CR8)</f>
        <v>0</v>
      </c>
      <c r="EJ8" s="14">
        <f>SUM(CS$5:CS8)</f>
        <v>0</v>
      </c>
      <c r="EK8" s="14">
        <f>SUM(CT$5:CT8)</f>
        <v>0</v>
      </c>
      <c r="EL8" s="14">
        <f>SUM(CU$5:CU8)</f>
        <v>0</v>
      </c>
      <c r="EO8" s="87">
        <f t="shared" si="11"/>
        <v>0</v>
      </c>
      <c r="EP8" s="87">
        <f t="shared" si="12"/>
        <v>0</v>
      </c>
      <c r="EQ8" s="87">
        <f t="shared" si="13"/>
        <v>0</v>
      </c>
      <c r="ER8" s="87">
        <f t="shared" si="14"/>
        <v>0</v>
      </c>
      <c r="ES8" s="87">
        <f t="shared" si="15"/>
        <v>0</v>
      </c>
      <c r="ET8" s="87">
        <f t="shared" si="16"/>
        <v>0</v>
      </c>
      <c r="EU8" s="87">
        <f t="shared" si="17"/>
        <v>0</v>
      </c>
      <c r="EV8" s="87">
        <f t="shared" si="18"/>
        <v>0</v>
      </c>
      <c r="EW8" s="87">
        <f t="shared" si="19"/>
        <v>0</v>
      </c>
      <c r="EX8" s="87">
        <f t="shared" si="20"/>
        <v>0</v>
      </c>
      <c r="EY8" s="87">
        <f t="shared" si="21"/>
        <v>0</v>
      </c>
      <c r="EZ8" s="87">
        <f t="shared" si="22"/>
        <v>0</v>
      </c>
      <c r="FA8" s="87">
        <f t="shared" si="23"/>
        <v>0</v>
      </c>
      <c r="FB8" s="87">
        <f t="shared" si="24"/>
        <v>0</v>
      </c>
      <c r="FC8" s="87">
        <f t="shared" si="25"/>
        <v>0</v>
      </c>
      <c r="FD8" s="87">
        <f t="shared" si="26"/>
        <v>0</v>
      </c>
      <c r="FE8" s="87">
        <f t="shared" si="27"/>
        <v>0</v>
      </c>
      <c r="FF8" s="87">
        <f t="shared" si="28"/>
        <v>0</v>
      </c>
      <c r="FG8" s="87">
        <f t="shared" si="29"/>
        <v>0</v>
      </c>
      <c r="FH8" s="87">
        <f t="shared" si="30"/>
        <v>0</v>
      </c>
      <c r="FI8" s="87">
        <f t="shared" si="31"/>
        <v>0</v>
      </c>
      <c r="FJ8" s="87">
        <f t="shared" si="32"/>
        <v>0</v>
      </c>
      <c r="FK8" s="87">
        <f t="shared" si="33"/>
        <v>0</v>
      </c>
      <c r="FL8" s="87">
        <f t="shared" si="34"/>
        <v>0</v>
      </c>
      <c r="FM8" s="87">
        <f t="shared" si="35"/>
        <v>0</v>
      </c>
      <c r="FN8" s="87">
        <f t="shared" si="36"/>
        <v>0</v>
      </c>
      <c r="FO8" s="87">
        <f t="shared" si="37"/>
        <v>0</v>
      </c>
      <c r="FP8" s="87">
        <f t="shared" si="38"/>
        <v>0</v>
      </c>
      <c r="FQ8" s="87">
        <f t="shared" si="39"/>
        <v>0</v>
      </c>
      <c r="FR8" s="87">
        <f t="shared" si="40"/>
        <v>0</v>
      </c>
      <c r="FS8" s="87">
        <f t="shared" si="41"/>
        <v>0</v>
      </c>
      <c r="FT8" s="87">
        <f t="shared" si="42"/>
        <v>0</v>
      </c>
      <c r="FU8" s="87">
        <f t="shared" si="43"/>
        <v>0</v>
      </c>
      <c r="FV8" s="87">
        <f t="shared" si="44"/>
        <v>0</v>
      </c>
      <c r="FW8" s="87">
        <f t="shared" si="45"/>
        <v>0</v>
      </c>
      <c r="FX8" s="87">
        <f t="shared" si="46"/>
        <v>0</v>
      </c>
      <c r="FY8" s="87">
        <f t="shared" si="47"/>
        <v>0</v>
      </c>
      <c r="FZ8" s="87">
        <f t="shared" si="48"/>
        <v>0</v>
      </c>
      <c r="GA8" s="87">
        <f t="shared" si="49"/>
        <v>0</v>
      </c>
      <c r="GB8" s="87">
        <f t="shared" si="50"/>
        <v>0</v>
      </c>
      <c r="GC8" s="87">
        <f t="shared" si="51"/>
        <v>0</v>
      </c>
      <c r="GD8" s="87">
        <f t="shared" si="52"/>
        <v>0</v>
      </c>
    </row>
    <row r="9" spans="1:186" ht="16.5" x14ac:dyDescent="0.2">
      <c r="A9" s="86">
        <v>5</v>
      </c>
      <c r="B9" s="86">
        <v>6</v>
      </c>
      <c r="C9" s="86">
        <v>6</v>
      </c>
      <c r="K9" s="86">
        <v>5</v>
      </c>
      <c r="L9" s="86">
        <v>2</v>
      </c>
      <c r="M9" s="86">
        <v>2</v>
      </c>
      <c r="N9" s="86" t="str">
        <f t="shared" si="3"/>
        <v>神器2-2</v>
      </c>
      <c r="O9" s="86">
        <v>1</v>
      </c>
      <c r="P9" s="14">
        <f t="shared" si="4"/>
        <v>15</v>
      </c>
      <c r="Q9" s="88">
        <v>0.26</v>
      </c>
      <c r="R9" s="14">
        <v>1</v>
      </c>
      <c r="S9" s="14">
        <v>3</v>
      </c>
      <c r="T9" s="88">
        <v>0.26</v>
      </c>
      <c r="U9" s="14">
        <v>2</v>
      </c>
      <c r="V9" s="14">
        <v>4</v>
      </c>
      <c r="W9" s="88">
        <v>0.26</v>
      </c>
      <c r="X9" s="14">
        <v>3</v>
      </c>
      <c r="Y9" s="14">
        <v>5</v>
      </c>
      <c r="AB9" s="86">
        <v>4</v>
      </c>
      <c r="AC9" s="86">
        <v>2</v>
      </c>
      <c r="AD9" s="86">
        <f>SUM(AC$6:AC9)</f>
        <v>5</v>
      </c>
      <c r="AF9" s="86">
        <v>4</v>
      </c>
      <c r="AG9" s="86">
        <v>93</v>
      </c>
      <c r="AH9" s="86">
        <f t="shared" si="53"/>
        <v>109.60500000000002</v>
      </c>
      <c r="AI9" s="86" t="s">
        <v>665</v>
      </c>
      <c r="AJ9" s="19">
        <v>0.55000000000000004</v>
      </c>
      <c r="AK9" s="19">
        <v>0.3</v>
      </c>
      <c r="AL9" s="19">
        <v>0.15</v>
      </c>
      <c r="AO9" s="86">
        <v>2</v>
      </c>
      <c r="AP9" s="86">
        <v>2</v>
      </c>
      <c r="AQ9" s="86">
        <v>1</v>
      </c>
      <c r="AR9" s="86">
        <v>2</v>
      </c>
      <c r="AS9" s="86" t="s">
        <v>322</v>
      </c>
      <c r="AT9" s="21">
        <f t="shared" si="0"/>
        <v>0.21</v>
      </c>
      <c r="AU9" s="86">
        <f t="shared" si="5"/>
        <v>2</v>
      </c>
      <c r="AV9" s="86">
        <f t="shared" si="6"/>
        <v>4</v>
      </c>
      <c r="AW9" s="87">
        <f t="shared" si="7"/>
        <v>0.63</v>
      </c>
      <c r="AX9" s="86">
        <f t="shared" si="8"/>
        <v>6.3000000000000007</v>
      </c>
      <c r="BA9" s="86">
        <v>5</v>
      </c>
      <c r="BB9" s="14" t="e">
        <f>INDEX(节奏总表!#REF!,神器!BA9)</f>
        <v>#REF!</v>
      </c>
      <c r="BC9" s="14" t="e">
        <f t="shared" si="9"/>
        <v>#REF!</v>
      </c>
      <c r="BD9" s="14">
        <v>5</v>
      </c>
      <c r="BE9" s="14">
        <v>3</v>
      </c>
      <c r="BF9" s="14">
        <f t="shared" si="10"/>
        <v>0</v>
      </c>
      <c r="BG9" s="14">
        <f t="shared" si="1"/>
        <v>0</v>
      </c>
      <c r="BH9" s="14">
        <f t="shared" si="1"/>
        <v>0</v>
      </c>
      <c r="BI9" s="14">
        <f t="shared" si="1"/>
        <v>0</v>
      </c>
      <c r="BJ9" s="14">
        <f t="shared" si="1"/>
        <v>0</v>
      </c>
      <c r="BK9" s="14">
        <f t="shared" si="1"/>
        <v>0</v>
      </c>
      <c r="BL9" s="14">
        <f t="shared" si="1"/>
        <v>0</v>
      </c>
      <c r="BM9" s="14">
        <f t="shared" si="1"/>
        <v>0</v>
      </c>
      <c r="BN9" s="14">
        <f t="shared" si="1"/>
        <v>0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1"/>
        <v>0</v>
      </c>
      <c r="BW9" s="14">
        <f t="shared" si="1"/>
        <v>0</v>
      </c>
      <c r="BX9" s="14">
        <f t="shared" si="1"/>
        <v>0</v>
      </c>
      <c r="BY9" s="14">
        <f t="shared" si="1"/>
        <v>0</v>
      </c>
      <c r="BZ9" s="14">
        <f t="shared" si="1"/>
        <v>0</v>
      </c>
      <c r="CA9" s="14">
        <f t="shared" si="1"/>
        <v>0</v>
      </c>
      <c r="CB9" s="14">
        <f t="shared" si="1"/>
        <v>0</v>
      </c>
      <c r="CC9" s="14">
        <f t="shared" si="1"/>
        <v>0</v>
      </c>
      <c r="CD9" s="14">
        <f t="shared" si="1"/>
        <v>0</v>
      </c>
      <c r="CE9" s="14">
        <f t="shared" si="1"/>
        <v>0</v>
      </c>
      <c r="CF9" s="14">
        <f t="shared" si="1"/>
        <v>0</v>
      </c>
      <c r="CG9" s="14">
        <f t="shared" si="1"/>
        <v>0</v>
      </c>
      <c r="CH9" s="14">
        <f t="shared" si="1"/>
        <v>0</v>
      </c>
      <c r="CI9" s="14">
        <f t="shared" si="1"/>
        <v>0</v>
      </c>
      <c r="CJ9" s="14">
        <f t="shared" si="1"/>
        <v>0</v>
      </c>
      <c r="CK9" s="14">
        <f t="shared" si="1"/>
        <v>0</v>
      </c>
      <c r="CL9" s="14">
        <f t="shared" si="1"/>
        <v>0</v>
      </c>
      <c r="CM9" s="14">
        <f t="shared" si="1"/>
        <v>0</v>
      </c>
      <c r="CN9" s="14">
        <f t="shared" si="1"/>
        <v>0</v>
      </c>
      <c r="CO9" s="14">
        <f t="shared" si="1"/>
        <v>0</v>
      </c>
      <c r="CP9" s="14">
        <f t="shared" si="1"/>
        <v>0</v>
      </c>
      <c r="CQ9" s="14">
        <f t="shared" si="1"/>
        <v>0</v>
      </c>
      <c r="CR9" s="14">
        <f t="shared" si="1"/>
        <v>0</v>
      </c>
      <c r="CS9" s="14">
        <f t="shared" si="1"/>
        <v>0</v>
      </c>
      <c r="CT9" s="14">
        <f t="shared" si="1"/>
        <v>0</v>
      </c>
      <c r="CU9" s="14">
        <f t="shared" si="1"/>
        <v>0</v>
      </c>
      <c r="CW9" s="14">
        <f>SUM(BF$5:BF9)</f>
        <v>0</v>
      </c>
      <c r="CX9" s="14">
        <f>SUM(BG$5:BG9)</f>
        <v>0</v>
      </c>
      <c r="CY9" s="14">
        <f>SUM(BH$5:BH9)</f>
        <v>0</v>
      </c>
      <c r="CZ9" s="14">
        <f>SUM(BI$5:BI9)</f>
        <v>0</v>
      </c>
      <c r="DA9" s="14">
        <f>SUM(BJ$5:BJ9)</f>
        <v>0</v>
      </c>
      <c r="DB9" s="14">
        <f>SUM(BK$5:BK9)</f>
        <v>0</v>
      </c>
      <c r="DC9" s="14">
        <f>SUM(BL$5:BL9)</f>
        <v>0</v>
      </c>
      <c r="DD9" s="14">
        <f>SUM(BM$5:BM9)</f>
        <v>0</v>
      </c>
      <c r="DE9" s="14">
        <f>SUM(BN$5:BN9)</f>
        <v>0</v>
      </c>
      <c r="DF9" s="14">
        <f>SUM(BO$5:BO9)</f>
        <v>0</v>
      </c>
      <c r="DG9" s="14">
        <f>SUM(BP$5:BP9)</f>
        <v>0</v>
      </c>
      <c r="DH9" s="14">
        <f>SUM(BQ$5:BQ9)</f>
        <v>0</v>
      </c>
      <c r="DI9" s="14">
        <f>SUM(BR$5:BR9)</f>
        <v>0</v>
      </c>
      <c r="DJ9" s="14">
        <f>SUM(BS$5:BS9)</f>
        <v>0</v>
      </c>
      <c r="DK9" s="14">
        <f>SUM(BT$5:BT9)</f>
        <v>0</v>
      </c>
      <c r="DL9" s="14">
        <f>SUM(BU$5:BU9)</f>
        <v>0</v>
      </c>
      <c r="DM9" s="14">
        <f>SUM(BV$5:BV9)</f>
        <v>0</v>
      </c>
      <c r="DN9" s="14">
        <f>SUM(BW$5:BW9)</f>
        <v>0</v>
      </c>
      <c r="DO9" s="14">
        <f>SUM(BX$5:BX9)</f>
        <v>0</v>
      </c>
      <c r="DP9" s="14">
        <f>SUM(BY$5:BY9)</f>
        <v>0</v>
      </c>
      <c r="DQ9" s="14">
        <f>SUM(BZ$5:BZ9)</f>
        <v>0</v>
      </c>
      <c r="DR9" s="14">
        <f>SUM(CA$5:CA9)</f>
        <v>0</v>
      </c>
      <c r="DS9" s="14">
        <f>SUM(CB$5:CB9)</f>
        <v>0</v>
      </c>
      <c r="DT9" s="14">
        <f>SUM(CC$5:CC9)</f>
        <v>0</v>
      </c>
      <c r="DU9" s="14">
        <f>SUM(CD$5:CD9)</f>
        <v>0</v>
      </c>
      <c r="DV9" s="14">
        <f>SUM(CE$5:CE9)</f>
        <v>0</v>
      </c>
      <c r="DW9" s="14">
        <f>SUM(CF$5:CF9)</f>
        <v>0</v>
      </c>
      <c r="DX9" s="14">
        <f>SUM(CG$5:CG9)</f>
        <v>0</v>
      </c>
      <c r="DY9" s="14">
        <f>SUM(CH$5:CH9)</f>
        <v>0</v>
      </c>
      <c r="DZ9" s="14">
        <f>SUM(CI$5:CI9)</f>
        <v>0</v>
      </c>
      <c r="EA9" s="14">
        <f>SUM(CJ$5:CJ9)</f>
        <v>0</v>
      </c>
      <c r="EB9" s="14">
        <f>SUM(CK$5:CK9)</f>
        <v>0</v>
      </c>
      <c r="EC9" s="14">
        <f>SUM(CL$5:CL9)</f>
        <v>0</v>
      </c>
      <c r="ED9" s="14">
        <f>SUM(CM$5:CM9)</f>
        <v>0</v>
      </c>
      <c r="EE9" s="14">
        <f>SUM(CN$5:CN9)</f>
        <v>0</v>
      </c>
      <c r="EF9" s="14">
        <f>SUM(CO$5:CO9)</f>
        <v>0</v>
      </c>
      <c r="EG9" s="14">
        <f>SUM(CP$5:CP9)</f>
        <v>0</v>
      </c>
      <c r="EH9" s="14">
        <f>SUM(CQ$5:CQ9)</f>
        <v>0</v>
      </c>
      <c r="EI9" s="14">
        <f>SUM(CR$5:CR9)</f>
        <v>0</v>
      </c>
      <c r="EJ9" s="14">
        <f>SUM(CS$5:CS9)</f>
        <v>0</v>
      </c>
      <c r="EK9" s="14">
        <f>SUM(CT$5:CT9)</f>
        <v>0</v>
      </c>
      <c r="EL9" s="14">
        <f>SUM(CU$5:CU9)</f>
        <v>0</v>
      </c>
      <c r="EO9" s="87">
        <f t="shared" si="11"/>
        <v>0</v>
      </c>
      <c r="EP9" s="87">
        <f t="shared" si="12"/>
        <v>0</v>
      </c>
      <c r="EQ9" s="87">
        <f t="shared" si="13"/>
        <v>0</v>
      </c>
      <c r="ER9" s="87">
        <f t="shared" si="14"/>
        <v>0</v>
      </c>
      <c r="ES9" s="87">
        <f t="shared" si="15"/>
        <v>0</v>
      </c>
      <c r="ET9" s="87">
        <f t="shared" si="16"/>
        <v>0</v>
      </c>
      <c r="EU9" s="87">
        <f t="shared" si="17"/>
        <v>0</v>
      </c>
      <c r="EV9" s="87">
        <f t="shared" si="18"/>
        <v>0</v>
      </c>
      <c r="EW9" s="87">
        <f t="shared" si="19"/>
        <v>0</v>
      </c>
      <c r="EX9" s="87">
        <f t="shared" si="20"/>
        <v>0</v>
      </c>
      <c r="EY9" s="87">
        <f t="shared" si="21"/>
        <v>0</v>
      </c>
      <c r="EZ9" s="87">
        <f t="shared" si="22"/>
        <v>0</v>
      </c>
      <c r="FA9" s="87">
        <f t="shared" si="23"/>
        <v>0</v>
      </c>
      <c r="FB9" s="87">
        <f t="shared" si="24"/>
        <v>0</v>
      </c>
      <c r="FC9" s="87">
        <f t="shared" si="25"/>
        <v>0</v>
      </c>
      <c r="FD9" s="87">
        <f t="shared" si="26"/>
        <v>0</v>
      </c>
      <c r="FE9" s="87">
        <f t="shared" si="27"/>
        <v>0</v>
      </c>
      <c r="FF9" s="87">
        <f t="shared" si="28"/>
        <v>0</v>
      </c>
      <c r="FG9" s="87">
        <f t="shared" si="29"/>
        <v>0</v>
      </c>
      <c r="FH9" s="87">
        <f t="shared" si="30"/>
        <v>0</v>
      </c>
      <c r="FI9" s="87">
        <f t="shared" si="31"/>
        <v>0</v>
      </c>
      <c r="FJ9" s="87">
        <f t="shared" si="32"/>
        <v>0</v>
      </c>
      <c r="FK9" s="87">
        <f t="shared" si="33"/>
        <v>0</v>
      </c>
      <c r="FL9" s="87">
        <f t="shared" si="34"/>
        <v>0</v>
      </c>
      <c r="FM9" s="87">
        <f t="shared" si="35"/>
        <v>0</v>
      </c>
      <c r="FN9" s="87">
        <f t="shared" si="36"/>
        <v>0</v>
      </c>
      <c r="FO9" s="87">
        <f t="shared" si="37"/>
        <v>0</v>
      </c>
      <c r="FP9" s="87">
        <f t="shared" si="38"/>
        <v>0</v>
      </c>
      <c r="FQ9" s="87">
        <f t="shared" si="39"/>
        <v>0</v>
      </c>
      <c r="FR9" s="87">
        <f t="shared" si="40"/>
        <v>0</v>
      </c>
      <c r="FS9" s="87">
        <f t="shared" si="41"/>
        <v>0</v>
      </c>
      <c r="FT9" s="87">
        <f t="shared" si="42"/>
        <v>0</v>
      </c>
      <c r="FU9" s="87">
        <f t="shared" si="43"/>
        <v>0</v>
      </c>
      <c r="FV9" s="87">
        <f t="shared" si="44"/>
        <v>0</v>
      </c>
      <c r="FW9" s="87">
        <f t="shared" si="45"/>
        <v>0</v>
      </c>
      <c r="FX9" s="87">
        <f t="shared" si="46"/>
        <v>0</v>
      </c>
      <c r="FY9" s="87">
        <f t="shared" si="47"/>
        <v>0</v>
      </c>
      <c r="FZ9" s="87">
        <f t="shared" si="48"/>
        <v>0</v>
      </c>
      <c r="GA9" s="87">
        <f t="shared" si="49"/>
        <v>0</v>
      </c>
      <c r="GB9" s="87">
        <f t="shared" si="50"/>
        <v>0</v>
      </c>
      <c r="GC9" s="87">
        <f t="shared" si="51"/>
        <v>0</v>
      </c>
      <c r="GD9" s="87">
        <f t="shared" si="52"/>
        <v>0</v>
      </c>
    </row>
    <row r="10" spans="1:186" ht="16.5" x14ac:dyDescent="0.2">
      <c r="A10" s="86">
        <v>6</v>
      </c>
      <c r="B10" s="86">
        <v>8</v>
      </c>
      <c r="C10" s="86">
        <v>8</v>
      </c>
      <c r="K10" s="86">
        <v>6</v>
      </c>
      <c r="L10" s="86">
        <v>2</v>
      </c>
      <c r="M10" s="86">
        <v>3</v>
      </c>
      <c r="N10" s="86" t="str">
        <f t="shared" si="3"/>
        <v>神器2-3</v>
      </c>
      <c r="O10" s="86">
        <v>2</v>
      </c>
      <c r="P10" s="14">
        <f t="shared" si="4"/>
        <v>45</v>
      </c>
      <c r="Q10" s="88">
        <v>0.18</v>
      </c>
      <c r="R10" s="14">
        <v>1</v>
      </c>
      <c r="S10" s="14">
        <v>2</v>
      </c>
      <c r="T10" s="88">
        <v>0.18</v>
      </c>
      <c r="U10" s="14">
        <v>1</v>
      </c>
      <c r="V10" s="14">
        <v>3</v>
      </c>
      <c r="W10" s="88">
        <v>0.18</v>
      </c>
      <c r="X10" s="14">
        <v>2</v>
      </c>
      <c r="Y10" s="14">
        <v>4</v>
      </c>
      <c r="AB10" s="86">
        <v>5</v>
      </c>
      <c r="AC10" s="86">
        <v>2</v>
      </c>
      <c r="AD10" s="86">
        <f>SUM(AC$6:AC10)</f>
        <v>7</v>
      </c>
      <c r="AF10" s="86">
        <v>5</v>
      </c>
      <c r="AG10" s="86">
        <v>103</v>
      </c>
      <c r="AH10" s="86">
        <f t="shared" si="53"/>
        <v>155.99500000000003</v>
      </c>
      <c r="AI10" s="86" t="s">
        <v>666</v>
      </c>
      <c r="AJ10" s="19">
        <v>0.55000000000000004</v>
      </c>
      <c r="AK10" s="19">
        <v>0.3</v>
      </c>
      <c r="AL10" s="19">
        <v>0.15</v>
      </c>
      <c r="AO10" s="86">
        <v>2</v>
      </c>
      <c r="AP10" s="86">
        <v>3</v>
      </c>
      <c r="AQ10" s="86">
        <v>1</v>
      </c>
      <c r="AR10" s="86">
        <v>2</v>
      </c>
      <c r="AS10" s="86" t="s">
        <v>323</v>
      </c>
      <c r="AT10" s="21">
        <f t="shared" si="0"/>
        <v>0.18</v>
      </c>
      <c r="AU10" s="86">
        <f t="shared" si="5"/>
        <v>1</v>
      </c>
      <c r="AV10" s="86">
        <f t="shared" si="6"/>
        <v>3</v>
      </c>
      <c r="AW10" s="87">
        <f t="shared" si="7"/>
        <v>0.36</v>
      </c>
      <c r="AX10" s="86">
        <f t="shared" si="8"/>
        <v>10.799999999999999</v>
      </c>
      <c r="BA10" s="86">
        <v>6</v>
      </c>
      <c r="BB10" s="14" t="e">
        <f>INDEX(节奏总表!#REF!,神器!BA10)</f>
        <v>#REF!</v>
      </c>
      <c r="BC10" s="14" t="e">
        <f t="shared" si="9"/>
        <v>#REF!</v>
      </c>
      <c r="BD10" s="14">
        <v>5</v>
      </c>
      <c r="BE10" s="14">
        <v>3</v>
      </c>
      <c r="BF10" s="14">
        <f t="shared" si="10"/>
        <v>0</v>
      </c>
      <c r="BG10" s="14">
        <f t="shared" si="1"/>
        <v>0</v>
      </c>
      <c r="BH10" s="14">
        <f t="shared" si="1"/>
        <v>0</v>
      </c>
      <c r="BI10" s="14">
        <f t="shared" si="1"/>
        <v>0</v>
      </c>
      <c r="BJ10" s="14">
        <f t="shared" si="1"/>
        <v>0</v>
      </c>
      <c r="BK10" s="14">
        <f t="shared" si="1"/>
        <v>0</v>
      </c>
      <c r="BL10" s="14">
        <f t="shared" si="1"/>
        <v>0</v>
      </c>
      <c r="BM10" s="14">
        <f t="shared" si="1"/>
        <v>0</v>
      </c>
      <c r="BN10" s="14">
        <f t="shared" si="1"/>
        <v>0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1"/>
        <v>0</v>
      </c>
      <c r="BW10" s="14">
        <f t="shared" si="1"/>
        <v>0</v>
      </c>
      <c r="BX10" s="14">
        <f t="shared" si="1"/>
        <v>0</v>
      </c>
      <c r="BY10" s="14">
        <f t="shared" si="1"/>
        <v>0</v>
      </c>
      <c r="BZ10" s="14">
        <f t="shared" si="1"/>
        <v>0</v>
      </c>
      <c r="CA10" s="14">
        <f t="shared" si="1"/>
        <v>0</v>
      </c>
      <c r="CB10" s="14">
        <f t="shared" si="1"/>
        <v>0</v>
      </c>
      <c r="CC10" s="14">
        <f t="shared" si="1"/>
        <v>0</v>
      </c>
      <c r="CD10" s="14">
        <f t="shared" si="1"/>
        <v>0</v>
      </c>
      <c r="CE10" s="14">
        <f t="shared" si="1"/>
        <v>0</v>
      </c>
      <c r="CF10" s="14">
        <f t="shared" si="1"/>
        <v>0</v>
      </c>
      <c r="CG10" s="14">
        <f t="shared" si="1"/>
        <v>0</v>
      </c>
      <c r="CH10" s="14">
        <f t="shared" si="1"/>
        <v>0</v>
      </c>
      <c r="CI10" s="14">
        <f t="shared" si="1"/>
        <v>0</v>
      </c>
      <c r="CJ10" s="14">
        <f t="shared" si="1"/>
        <v>0</v>
      </c>
      <c r="CK10" s="14">
        <f t="shared" si="1"/>
        <v>0</v>
      </c>
      <c r="CL10" s="14">
        <f t="shared" si="1"/>
        <v>0</v>
      </c>
      <c r="CM10" s="14">
        <f t="shared" si="1"/>
        <v>0</v>
      </c>
      <c r="CN10" s="14">
        <f t="shared" si="1"/>
        <v>0</v>
      </c>
      <c r="CO10" s="14">
        <f t="shared" si="1"/>
        <v>0</v>
      </c>
      <c r="CP10" s="14">
        <f t="shared" si="1"/>
        <v>0</v>
      </c>
      <c r="CQ10" s="14">
        <f t="shared" si="1"/>
        <v>0</v>
      </c>
      <c r="CR10" s="14">
        <f t="shared" si="1"/>
        <v>0</v>
      </c>
      <c r="CS10" s="14">
        <f t="shared" si="1"/>
        <v>0</v>
      </c>
      <c r="CT10" s="14">
        <f t="shared" si="1"/>
        <v>0</v>
      </c>
      <c r="CU10" s="14">
        <f t="shared" si="1"/>
        <v>0</v>
      </c>
      <c r="CW10" s="14">
        <f>SUM(BF$5:BF10)</f>
        <v>0</v>
      </c>
      <c r="CX10" s="14">
        <f>SUM(BG$5:BG10)</f>
        <v>0</v>
      </c>
      <c r="CY10" s="14">
        <f>SUM(BH$5:BH10)</f>
        <v>0</v>
      </c>
      <c r="CZ10" s="14">
        <f>SUM(BI$5:BI10)</f>
        <v>0</v>
      </c>
      <c r="DA10" s="14">
        <f>SUM(BJ$5:BJ10)</f>
        <v>0</v>
      </c>
      <c r="DB10" s="14">
        <f>SUM(BK$5:BK10)</f>
        <v>0</v>
      </c>
      <c r="DC10" s="14">
        <f>SUM(BL$5:BL10)</f>
        <v>0</v>
      </c>
      <c r="DD10" s="14">
        <f>SUM(BM$5:BM10)</f>
        <v>0</v>
      </c>
      <c r="DE10" s="14">
        <f>SUM(BN$5:BN10)</f>
        <v>0</v>
      </c>
      <c r="DF10" s="14">
        <f>SUM(BO$5:BO10)</f>
        <v>0</v>
      </c>
      <c r="DG10" s="14">
        <f>SUM(BP$5:BP10)</f>
        <v>0</v>
      </c>
      <c r="DH10" s="14">
        <f>SUM(BQ$5:BQ10)</f>
        <v>0</v>
      </c>
      <c r="DI10" s="14">
        <f>SUM(BR$5:BR10)</f>
        <v>0</v>
      </c>
      <c r="DJ10" s="14">
        <f>SUM(BS$5:BS10)</f>
        <v>0</v>
      </c>
      <c r="DK10" s="14">
        <f>SUM(BT$5:BT10)</f>
        <v>0</v>
      </c>
      <c r="DL10" s="14">
        <f>SUM(BU$5:BU10)</f>
        <v>0</v>
      </c>
      <c r="DM10" s="14">
        <f>SUM(BV$5:BV10)</f>
        <v>0</v>
      </c>
      <c r="DN10" s="14">
        <f>SUM(BW$5:BW10)</f>
        <v>0</v>
      </c>
      <c r="DO10" s="14">
        <f>SUM(BX$5:BX10)</f>
        <v>0</v>
      </c>
      <c r="DP10" s="14">
        <f>SUM(BY$5:BY10)</f>
        <v>0</v>
      </c>
      <c r="DQ10" s="14">
        <f>SUM(BZ$5:BZ10)</f>
        <v>0</v>
      </c>
      <c r="DR10" s="14">
        <f>SUM(CA$5:CA10)</f>
        <v>0</v>
      </c>
      <c r="DS10" s="14">
        <f>SUM(CB$5:CB10)</f>
        <v>0</v>
      </c>
      <c r="DT10" s="14">
        <f>SUM(CC$5:CC10)</f>
        <v>0</v>
      </c>
      <c r="DU10" s="14">
        <f>SUM(CD$5:CD10)</f>
        <v>0</v>
      </c>
      <c r="DV10" s="14">
        <f>SUM(CE$5:CE10)</f>
        <v>0</v>
      </c>
      <c r="DW10" s="14">
        <f>SUM(CF$5:CF10)</f>
        <v>0</v>
      </c>
      <c r="DX10" s="14">
        <f>SUM(CG$5:CG10)</f>
        <v>0</v>
      </c>
      <c r="DY10" s="14">
        <f>SUM(CH$5:CH10)</f>
        <v>0</v>
      </c>
      <c r="DZ10" s="14">
        <f>SUM(CI$5:CI10)</f>
        <v>0</v>
      </c>
      <c r="EA10" s="14">
        <f>SUM(CJ$5:CJ10)</f>
        <v>0</v>
      </c>
      <c r="EB10" s="14">
        <f>SUM(CK$5:CK10)</f>
        <v>0</v>
      </c>
      <c r="EC10" s="14">
        <f>SUM(CL$5:CL10)</f>
        <v>0</v>
      </c>
      <c r="ED10" s="14">
        <f>SUM(CM$5:CM10)</f>
        <v>0</v>
      </c>
      <c r="EE10" s="14">
        <f>SUM(CN$5:CN10)</f>
        <v>0</v>
      </c>
      <c r="EF10" s="14">
        <f>SUM(CO$5:CO10)</f>
        <v>0</v>
      </c>
      <c r="EG10" s="14">
        <f>SUM(CP$5:CP10)</f>
        <v>0</v>
      </c>
      <c r="EH10" s="14">
        <f>SUM(CQ$5:CQ10)</f>
        <v>0</v>
      </c>
      <c r="EI10" s="14">
        <f>SUM(CR$5:CR10)</f>
        <v>0</v>
      </c>
      <c r="EJ10" s="14">
        <f>SUM(CS$5:CS10)</f>
        <v>0</v>
      </c>
      <c r="EK10" s="14">
        <f>SUM(CT$5:CT10)</f>
        <v>0</v>
      </c>
      <c r="EL10" s="14">
        <f>SUM(CU$5:CU10)</f>
        <v>0</v>
      </c>
      <c r="EO10" s="87">
        <f t="shared" si="11"/>
        <v>0</v>
      </c>
      <c r="EP10" s="87">
        <f t="shared" si="12"/>
        <v>0</v>
      </c>
      <c r="EQ10" s="87">
        <f t="shared" si="13"/>
        <v>0</v>
      </c>
      <c r="ER10" s="87">
        <f t="shared" si="14"/>
        <v>0</v>
      </c>
      <c r="ES10" s="87">
        <f t="shared" si="15"/>
        <v>0</v>
      </c>
      <c r="ET10" s="87">
        <f t="shared" si="16"/>
        <v>0</v>
      </c>
      <c r="EU10" s="87">
        <f t="shared" si="17"/>
        <v>0</v>
      </c>
      <c r="EV10" s="87">
        <f t="shared" si="18"/>
        <v>0</v>
      </c>
      <c r="EW10" s="87">
        <f t="shared" si="19"/>
        <v>0</v>
      </c>
      <c r="EX10" s="87">
        <f t="shared" si="20"/>
        <v>0</v>
      </c>
      <c r="EY10" s="87">
        <f t="shared" si="21"/>
        <v>0</v>
      </c>
      <c r="EZ10" s="87">
        <f t="shared" si="22"/>
        <v>0</v>
      </c>
      <c r="FA10" s="87">
        <f t="shared" si="23"/>
        <v>0</v>
      </c>
      <c r="FB10" s="87">
        <f t="shared" si="24"/>
        <v>0</v>
      </c>
      <c r="FC10" s="87">
        <f t="shared" si="25"/>
        <v>0</v>
      </c>
      <c r="FD10" s="87">
        <f t="shared" si="26"/>
        <v>0</v>
      </c>
      <c r="FE10" s="87">
        <f t="shared" si="27"/>
        <v>0</v>
      </c>
      <c r="FF10" s="87">
        <f t="shared" si="28"/>
        <v>0</v>
      </c>
      <c r="FG10" s="87">
        <f t="shared" si="29"/>
        <v>0</v>
      </c>
      <c r="FH10" s="87">
        <f t="shared" si="30"/>
        <v>0</v>
      </c>
      <c r="FI10" s="87">
        <f t="shared" si="31"/>
        <v>0</v>
      </c>
      <c r="FJ10" s="87">
        <f t="shared" si="32"/>
        <v>0</v>
      </c>
      <c r="FK10" s="87">
        <f t="shared" si="33"/>
        <v>0</v>
      </c>
      <c r="FL10" s="87">
        <f t="shared" si="34"/>
        <v>0</v>
      </c>
      <c r="FM10" s="87">
        <f t="shared" si="35"/>
        <v>0</v>
      </c>
      <c r="FN10" s="87">
        <f t="shared" si="36"/>
        <v>0</v>
      </c>
      <c r="FO10" s="87">
        <f t="shared" si="37"/>
        <v>0</v>
      </c>
      <c r="FP10" s="87">
        <f t="shared" si="38"/>
        <v>0</v>
      </c>
      <c r="FQ10" s="87">
        <f t="shared" si="39"/>
        <v>0</v>
      </c>
      <c r="FR10" s="87">
        <f t="shared" si="40"/>
        <v>0</v>
      </c>
      <c r="FS10" s="87">
        <f t="shared" si="41"/>
        <v>0</v>
      </c>
      <c r="FT10" s="87">
        <f t="shared" si="42"/>
        <v>0</v>
      </c>
      <c r="FU10" s="87">
        <f t="shared" si="43"/>
        <v>0</v>
      </c>
      <c r="FV10" s="87">
        <f t="shared" si="44"/>
        <v>0</v>
      </c>
      <c r="FW10" s="87">
        <f t="shared" si="45"/>
        <v>0</v>
      </c>
      <c r="FX10" s="87">
        <f t="shared" si="46"/>
        <v>0</v>
      </c>
      <c r="FY10" s="87">
        <f t="shared" si="47"/>
        <v>0</v>
      </c>
      <c r="FZ10" s="87">
        <f t="shared" si="48"/>
        <v>0</v>
      </c>
      <c r="GA10" s="87">
        <f t="shared" si="49"/>
        <v>0</v>
      </c>
      <c r="GB10" s="87">
        <f t="shared" si="50"/>
        <v>0</v>
      </c>
      <c r="GC10" s="87">
        <f t="shared" si="51"/>
        <v>0</v>
      </c>
      <c r="GD10" s="87">
        <f t="shared" si="52"/>
        <v>0</v>
      </c>
    </row>
    <row r="11" spans="1:186" ht="16.5" x14ac:dyDescent="0.2">
      <c r="A11" s="86">
        <v>7</v>
      </c>
      <c r="B11" s="86">
        <v>10</v>
      </c>
      <c r="C11" s="86">
        <v>10</v>
      </c>
      <c r="K11" s="86">
        <v>7</v>
      </c>
      <c r="L11" s="86">
        <v>2</v>
      </c>
      <c r="M11" s="86">
        <v>4</v>
      </c>
      <c r="N11" s="86" t="str">
        <f t="shared" si="3"/>
        <v>神器2-4</v>
      </c>
      <c r="O11" s="86">
        <v>2</v>
      </c>
      <c r="P11" s="14">
        <f t="shared" si="4"/>
        <v>45</v>
      </c>
      <c r="Q11" s="88">
        <v>0.18</v>
      </c>
      <c r="R11" s="14">
        <v>1</v>
      </c>
      <c r="S11" s="14">
        <v>2</v>
      </c>
      <c r="T11" s="88">
        <v>0.18</v>
      </c>
      <c r="U11" s="14">
        <v>1</v>
      </c>
      <c r="V11" s="14">
        <v>3</v>
      </c>
      <c r="W11" s="88">
        <v>0.18</v>
      </c>
      <c r="X11" s="14">
        <v>2</v>
      </c>
      <c r="Y11" s="14">
        <v>4</v>
      </c>
      <c r="AB11" s="86">
        <v>6</v>
      </c>
      <c r="AC11" s="86">
        <v>2</v>
      </c>
      <c r="AD11" s="86">
        <f>SUM(AC$6:AC11)</f>
        <v>9</v>
      </c>
      <c r="AF11" s="86">
        <v>6</v>
      </c>
      <c r="AG11" s="86">
        <v>113</v>
      </c>
      <c r="AH11" s="86">
        <f t="shared" si="53"/>
        <v>207.92000000000004</v>
      </c>
      <c r="AI11" s="86" t="s">
        <v>667</v>
      </c>
      <c r="AJ11" s="19">
        <v>0.55000000000000004</v>
      </c>
      <c r="AK11" s="19">
        <v>0.3</v>
      </c>
      <c r="AL11" s="19">
        <v>0.15</v>
      </c>
      <c r="AO11" s="86">
        <v>2</v>
      </c>
      <c r="AP11" s="86">
        <v>4</v>
      </c>
      <c r="AQ11" s="86">
        <v>2</v>
      </c>
      <c r="AR11" s="86">
        <v>1</v>
      </c>
      <c r="AS11" s="86" t="s">
        <v>324</v>
      </c>
      <c r="AT11" s="21">
        <f t="shared" si="0"/>
        <v>0.10400000000000001</v>
      </c>
      <c r="AU11" s="86">
        <f t="shared" si="5"/>
        <v>1</v>
      </c>
      <c r="AV11" s="86">
        <f t="shared" si="6"/>
        <v>3</v>
      </c>
      <c r="AW11" s="87">
        <f t="shared" si="7"/>
        <v>0.20800000000000002</v>
      </c>
      <c r="AX11" s="86">
        <f t="shared" si="8"/>
        <v>3.12</v>
      </c>
      <c r="BA11" s="86">
        <v>7</v>
      </c>
      <c r="BB11" s="14" t="e">
        <f>INDEX(节奏总表!#REF!,神器!BA11)</f>
        <v>#REF!</v>
      </c>
      <c r="BC11" s="14" t="e">
        <f t="shared" si="9"/>
        <v>#REF!</v>
      </c>
      <c r="BD11" s="14">
        <v>5</v>
      </c>
      <c r="BE11" s="14">
        <v>3</v>
      </c>
      <c r="BF11" s="14">
        <f t="shared" si="10"/>
        <v>0</v>
      </c>
      <c r="BG11" s="14">
        <f t="shared" si="1"/>
        <v>0</v>
      </c>
      <c r="BH11" s="14">
        <f t="shared" si="1"/>
        <v>0</v>
      </c>
      <c r="BI11" s="14">
        <f t="shared" si="1"/>
        <v>0</v>
      </c>
      <c r="BJ11" s="14">
        <f t="shared" si="1"/>
        <v>0</v>
      </c>
      <c r="BK11" s="14">
        <f t="shared" si="1"/>
        <v>0</v>
      </c>
      <c r="BL11" s="14">
        <f t="shared" si="1"/>
        <v>0</v>
      </c>
      <c r="BM11" s="14">
        <f t="shared" si="1"/>
        <v>0</v>
      </c>
      <c r="BN11" s="14">
        <f t="shared" si="1"/>
        <v>0</v>
      </c>
      <c r="BO11" s="14">
        <f t="shared" si="1"/>
        <v>0</v>
      </c>
      <c r="BP11" s="14">
        <f t="shared" ref="BP11:CE26" si="54">SUMIFS($AT$5:$AT$122,$AO$5:$AO$122,"="&amp;$BC11,$AP$5:$AP$122,"="&amp;BP$2) * (SUMIFS($AU$5:$AU$122,$AO$5:$AO$122,"="&amp;$BC11,$AP$5:$AP$122,"="&amp;BP$2)+SUMIFS($AV$5:$AV$122,$AO$5:$AO$122,"="&amp;$BC11,$AP$5:$AP$122,"="&amp;BP$2))/2*$BD11*$BE11</f>
        <v>0</v>
      </c>
      <c r="BQ11" s="14">
        <f t="shared" si="54"/>
        <v>0</v>
      </c>
      <c r="BR11" s="14">
        <f t="shared" si="54"/>
        <v>0</v>
      </c>
      <c r="BS11" s="14">
        <f t="shared" si="54"/>
        <v>0</v>
      </c>
      <c r="BT11" s="14">
        <f t="shared" si="54"/>
        <v>0</v>
      </c>
      <c r="BU11" s="14">
        <f t="shared" si="54"/>
        <v>0</v>
      </c>
      <c r="BV11" s="14">
        <f t="shared" si="54"/>
        <v>0</v>
      </c>
      <c r="BW11" s="14">
        <f t="shared" si="54"/>
        <v>0</v>
      </c>
      <c r="BX11" s="14">
        <f t="shared" si="54"/>
        <v>0</v>
      </c>
      <c r="BY11" s="14">
        <f t="shared" si="54"/>
        <v>0</v>
      </c>
      <c r="BZ11" s="14">
        <f t="shared" si="54"/>
        <v>0</v>
      </c>
      <c r="CA11" s="14">
        <f t="shared" si="54"/>
        <v>0</v>
      </c>
      <c r="CB11" s="14">
        <f t="shared" si="54"/>
        <v>0</v>
      </c>
      <c r="CC11" s="14">
        <f t="shared" si="54"/>
        <v>0</v>
      </c>
      <c r="CD11" s="14">
        <f t="shared" si="54"/>
        <v>0</v>
      </c>
      <c r="CE11" s="14">
        <f t="shared" si="54"/>
        <v>0</v>
      </c>
      <c r="CF11" s="14">
        <f t="shared" ref="CF11:CU26" si="55">SUMIFS($AT$5:$AT$122,$AO$5:$AO$122,"="&amp;$BC11,$AP$5:$AP$122,"="&amp;CF$2) * (SUMIFS($AU$5:$AU$122,$AO$5:$AO$122,"="&amp;$BC11,$AP$5:$AP$122,"="&amp;CF$2)+SUMIFS($AV$5:$AV$122,$AO$5:$AO$122,"="&amp;$BC11,$AP$5:$AP$122,"="&amp;CF$2))/2*$BD11*$BE11</f>
        <v>0</v>
      </c>
      <c r="CG11" s="14">
        <f t="shared" si="55"/>
        <v>0</v>
      </c>
      <c r="CH11" s="14">
        <f t="shared" si="55"/>
        <v>0</v>
      </c>
      <c r="CI11" s="14">
        <f t="shared" si="55"/>
        <v>0</v>
      </c>
      <c r="CJ11" s="14">
        <f t="shared" si="55"/>
        <v>0</v>
      </c>
      <c r="CK11" s="14">
        <f t="shared" si="55"/>
        <v>0</v>
      </c>
      <c r="CL11" s="14">
        <f t="shared" si="55"/>
        <v>0</v>
      </c>
      <c r="CM11" s="14">
        <f t="shared" si="55"/>
        <v>0</v>
      </c>
      <c r="CN11" s="14">
        <f t="shared" si="55"/>
        <v>0</v>
      </c>
      <c r="CO11" s="14">
        <f t="shared" si="55"/>
        <v>0</v>
      </c>
      <c r="CP11" s="14">
        <f t="shared" si="55"/>
        <v>0</v>
      </c>
      <c r="CQ11" s="14">
        <f t="shared" si="55"/>
        <v>0</v>
      </c>
      <c r="CR11" s="14">
        <f t="shared" si="55"/>
        <v>0</v>
      </c>
      <c r="CS11" s="14">
        <f t="shared" si="55"/>
        <v>0</v>
      </c>
      <c r="CT11" s="14">
        <f t="shared" si="55"/>
        <v>0</v>
      </c>
      <c r="CU11" s="14">
        <f t="shared" si="55"/>
        <v>0</v>
      </c>
      <c r="CW11" s="14">
        <f>SUM(BF$5:BF11)</f>
        <v>0</v>
      </c>
      <c r="CX11" s="14">
        <f>SUM(BG$5:BG11)</f>
        <v>0</v>
      </c>
      <c r="CY11" s="14">
        <f>SUM(BH$5:BH11)</f>
        <v>0</v>
      </c>
      <c r="CZ11" s="14">
        <f>SUM(BI$5:BI11)</f>
        <v>0</v>
      </c>
      <c r="DA11" s="14">
        <f>SUM(BJ$5:BJ11)</f>
        <v>0</v>
      </c>
      <c r="DB11" s="14">
        <f>SUM(BK$5:BK11)</f>
        <v>0</v>
      </c>
      <c r="DC11" s="14">
        <f>SUM(BL$5:BL11)</f>
        <v>0</v>
      </c>
      <c r="DD11" s="14">
        <f>SUM(BM$5:BM11)</f>
        <v>0</v>
      </c>
      <c r="DE11" s="14">
        <f>SUM(BN$5:BN11)</f>
        <v>0</v>
      </c>
      <c r="DF11" s="14">
        <f>SUM(BO$5:BO11)</f>
        <v>0</v>
      </c>
      <c r="DG11" s="14">
        <f>SUM(BP$5:BP11)</f>
        <v>0</v>
      </c>
      <c r="DH11" s="14">
        <f>SUM(BQ$5:BQ11)</f>
        <v>0</v>
      </c>
      <c r="DI11" s="14">
        <f>SUM(BR$5:BR11)</f>
        <v>0</v>
      </c>
      <c r="DJ11" s="14">
        <f>SUM(BS$5:BS11)</f>
        <v>0</v>
      </c>
      <c r="DK11" s="14">
        <f>SUM(BT$5:BT11)</f>
        <v>0</v>
      </c>
      <c r="DL11" s="14">
        <f>SUM(BU$5:BU11)</f>
        <v>0</v>
      </c>
      <c r="DM11" s="14">
        <f>SUM(BV$5:BV11)</f>
        <v>0</v>
      </c>
      <c r="DN11" s="14">
        <f>SUM(BW$5:BW11)</f>
        <v>0</v>
      </c>
      <c r="DO11" s="14">
        <f>SUM(BX$5:BX11)</f>
        <v>0</v>
      </c>
      <c r="DP11" s="14">
        <f>SUM(BY$5:BY11)</f>
        <v>0</v>
      </c>
      <c r="DQ11" s="14">
        <f>SUM(BZ$5:BZ11)</f>
        <v>0</v>
      </c>
      <c r="DR11" s="14">
        <f>SUM(CA$5:CA11)</f>
        <v>0</v>
      </c>
      <c r="DS11" s="14">
        <f>SUM(CB$5:CB11)</f>
        <v>0</v>
      </c>
      <c r="DT11" s="14">
        <f>SUM(CC$5:CC11)</f>
        <v>0</v>
      </c>
      <c r="DU11" s="14">
        <f>SUM(CD$5:CD11)</f>
        <v>0</v>
      </c>
      <c r="DV11" s="14">
        <f>SUM(CE$5:CE11)</f>
        <v>0</v>
      </c>
      <c r="DW11" s="14">
        <f>SUM(CF$5:CF11)</f>
        <v>0</v>
      </c>
      <c r="DX11" s="14">
        <f>SUM(CG$5:CG11)</f>
        <v>0</v>
      </c>
      <c r="DY11" s="14">
        <f>SUM(CH$5:CH11)</f>
        <v>0</v>
      </c>
      <c r="DZ11" s="14">
        <f>SUM(CI$5:CI11)</f>
        <v>0</v>
      </c>
      <c r="EA11" s="14">
        <f>SUM(CJ$5:CJ11)</f>
        <v>0</v>
      </c>
      <c r="EB11" s="14">
        <f>SUM(CK$5:CK11)</f>
        <v>0</v>
      </c>
      <c r="EC11" s="14">
        <f>SUM(CL$5:CL11)</f>
        <v>0</v>
      </c>
      <c r="ED11" s="14">
        <f>SUM(CM$5:CM11)</f>
        <v>0</v>
      </c>
      <c r="EE11" s="14">
        <f>SUM(CN$5:CN11)</f>
        <v>0</v>
      </c>
      <c r="EF11" s="14">
        <f>SUM(CO$5:CO11)</f>
        <v>0</v>
      </c>
      <c r="EG11" s="14">
        <f>SUM(CP$5:CP11)</f>
        <v>0</v>
      </c>
      <c r="EH11" s="14">
        <f>SUM(CQ$5:CQ11)</f>
        <v>0</v>
      </c>
      <c r="EI11" s="14">
        <f>SUM(CR$5:CR11)</f>
        <v>0</v>
      </c>
      <c r="EJ11" s="14">
        <f>SUM(CS$5:CS11)</f>
        <v>0</v>
      </c>
      <c r="EK11" s="14">
        <f>SUM(CT$5:CT11)</f>
        <v>0</v>
      </c>
      <c r="EL11" s="14">
        <f>SUM(CU$5:CU11)</f>
        <v>0</v>
      </c>
      <c r="EO11" s="87">
        <f t="shared" si="11"/>
        <v>0</v>
      </c>
      <c r="EP11" s="87">
        <f t="shared" si="12"/>
        <v>0</v>
      </c>
      <c r="EQ11" s="87">
        <f t="shared" si="13"/>
        <v>0</v>
      </c>
      <c r="ER11" s="87">
        <f t="shared" si="14"/>
        <v>0</v>
      </c>
      <c r="ES11" s="87">
        <f t="shared" si="15"/>
        <v>0</v>
      </c>
      <c r="ET11" s="87">
        <f t="shared" si="16"/>
        <v>0</v>
      </c>
      <c r="EU11" s="87">
        <f t="shared" si="17"/>
        <v>0</v>
      </c>
      <c r="EV11" s="87">
        <f t="shared" si="18"/>
        <v>0</v>
      </c>
      <c r="EW11" s="87">
        <f t="shared" si="19"/>
        <v>0</v>
      </c>
      <c r="EX11" s="87">
        <f t="shared" si="20"/>
        <v>0</v>
      </c>
      <c r="EY11" s="87">
        <f t="shared" si="21"/>
        <v>0</v>
      </c>
      <c r="EZ11" s="87">
        <f t="shared" si="22"/>
        <v>0</v>
      </c>
      <c r="FA11" s="87">
        <f t="shared" si="23"/>
        <v>0</v>
      </c>
      <c r="FB11" s="87">
        <f t="shared" si="24"/>
        <v>0</v>
      </c>
      <c r="FC11" s="87">
        <f t="shared" si="25"/>
        <v>0</v>
      </c>
      <c r="FD11" s="87">
        <f t="shared" si="26"/>
        <v>0</v>
      </c>
      <c r="FE11" s="87">
        <f t="shared" si="27"/>
        <v>0</v>
      </c>
      <c r="FF11" s="87">
        <f t="shared" si="28"/>
        <v>0</v>
      </c>
      <c r="FG11" s="87">
        <f t="shared" si="29"/>
        <v>0</v>
      </c>
      <c r="FH11" s="87">
        <f t="shared" si="30"/>
        <v>0</v>
      </c>
      <c r="FI11" s="87">
        <f t="shared" si="31"/>
        <v>0</v>
      </c>
      <c r="FJ11" s="87">
        <f t="shared" si="32"/>
        <v>0</v>
      </c>
      <c r="FK11" s="87">
        <f t="shared" si="33"/>
        <v>0</v>
      </c>
      <c r="FL11" s="87">
        <f t="shared" si="34"/>
        <v>0</v>
      </c>
      <c r="FM11" s="87">
        <f t="shared" si="35"/>
        <v>0</v>
      </c>
      <c r="FN11" s="87">
        <f t="shared" si="36"/>
        <v>0</v>
      </c>
      <c r="FO11" s="87">
        <f t="shared" si="37"/>
        <v>0</v>
      </c>
      <c r="FP11" s="87">
        <f t="shared" si="38"/>
        <v>0</v>
      </c>
      <c r="FQ11" s="87">
        <f t="shared" si="39"/>
        <v>0</v>
      </c>
      <c r="FR11" s="87">
        <f t="shared" si="40"/>
        <v>0</v>
      </c>
      <c r="FS11" s="87">
        <f t="shared" si="41"/>
        <v>0</v>
      </c>
      <c r="FT11" s="87">
        <f t="shared" si="42"/>
        <v>0</v>
      </c>
      <c r="FU11" s="87">
        <f t="shared" si="43"/>
        <v>0</v>
      </c>
      <c r="FV11" s="87">
        <f t="shared" si="44"/>
        <v>0</v>
      </c>
      <c r="FW11" s="87">
        <f t="shared" si="45"/>
        <v>0</v>
      </c>
      <c r="FX11" s="87">
        <f t="shared" si="46"/>
        <v>0</v>
      </c>
      <c r="FY11" s="87">
        <f t="shared" si="47"/>
        <v>0</v>
      </c>
      <c r="FZ11" s="87">
        <f t="shared" si="48"/>
        <v>0</v>
      </c>
      <c r="GA11" s="87">
        <f t="shared" si="49"/>
        <v>0</v>
      </c>
      <c r="GB11" s="87">
        <f t="shared" si="50"/>
        <v>0</v>
      </c>
      <c r="GC11" s="87">
        <f t="shared" si="51"/>
        <v>0</v>
      </c>
      <c r="GD11" s="87">
        <f t="shared" si="52"/>
        <v>0</v>
      </c>
    </row>
    <row r="12" spans="1:186" ht="16.5" x14ac:dyDescent="0.2">
      <c r="K12" s="86">
        <v>8</v>
      </c>
      <c r="L12" s="86">
        <v>2</v>
      </c>
      <c r="M12" s="86">
        <v>5</v>
      </c>
      <c r="N12" s="86" t="str">
        <f t="shared" si="3"/>
        <v>神器2-5</v>
      </c>
      <c r="O12" s="86">
        <v>3</v>
      </c>
      <c r="P12" s="14">
        <f t="shared" si="4"/>
        <v>105</v>
      </c>
      <c r="Q12" s="88">
        <v>0.12</v>
      </c>
      <c r="R12" s="14">
        <v>1</v>
      </c>
      <c r="S12" s="14">
        <v>1</v>
      </c>
      <c r="T12" s="88">
        <v>0.12</v>
      </c>
      <c r="U12" s="14">
        <v>1</v>
      </c>
      <c r="V12" s="14">
        <v>2</v>
      </c>
      <c r="W12" s="88">
        <v>0.12</v>
      </c>
      <c r="X12" s="14">
        <v>1</v>
      </c>
      <c r="Y12" s="14">
        <v>3</v>
      </c>
      <c r="AB12" s="86">
        <v>7</v>
      </c>
      <c r="AC12" s="86">
        <v>3</v>
      </c>
      <c r="AD12" s="86">
        <f>SUM(AC$6:AC12)</f>
        <v>12</v>
      </c>
      <c r="AF12" s="86">
        <v>7</v>
      </c>
      <c r="AG12" s="86">
        <v>123</v>
      </c>
      <c r="AH12" s="86">
        <f t="shared" si="53"/>
        <v>297.55500000000006</v>
      </c>
      <c r="AI12" s="86" t="s">
        <v>668</v>
      </c>
      <c r="AJ12" s="19">
        <v>0.55000000000000004</v>
      </c>
      <c r="AK12" s="19">
        <v>0.3</v>
      </c>
      <c r="AL12" s="19">
        <v>0.15</v>
      </c>
      <c r="AO12" s="86">
        <v>2</v>
      </c>
      <c r="AP12" s="86">
        <v>5</v>
      </c>
      <c r="AQ12" s="86">
        <v>2</v>
      </c>
      <c r="AR12" s="86">
        <v>1</v>
      </c>
      <c r="AS12" s="86" t="s">
        <v>325</v>
      </c>
      <c r="AT12" s="21">
        <f t="shared" si="0"/>
        <v>0.10400000000000001</v>
      </c>
      <c r="AU12" s="86">
        <f t="shared" si="5"/>
        <v>1</v>
      </c>
      <c r="AV12" s="86">
        <f t="shared" si="6"/>
        <v>3</v>
      </c>
      <c r="AW12" s="87">
        <f t="shared" si="7"/>
        <v>0.20800000000000002</v>
      </c>
      <c r="AX12" s="86">
        <f t="shared" si="8"/>
        <v>3.12</v>
      </c>
      <c r="BA12" s="86">
        <v>8</v>
      </c>
      <c r="BB12" s="14" t="e">
        <f>INDEX(节奏总表!#REF!,神器!BA12)</f>
        <v>#REF!</v>
      </c>
      <c r="BC12" s="14" t="e">
        <f t="shared" si="9"/>
        <v>#REF!</v>
      </c>
      <c r="BD12" s="14">
        <v>5</v>
      </c>
      <c r="BE12" s="14">
        <v>3</v>
      </c>
      <c r="BF12" s="14">
        <f t="shared" si="10"/>
        <v>0</v>
      </c>
      <c r="BG12" s="14">
        <f t="shared" si="10"/>
        <v>0</v>
      </c>
      <c r="BH12" s="14">
        <f t="shared" si="10"/>
        <v>0</v>
      </c>
      <c r="BI12" s="14">
        <f t="shared" si="10"/>
        <v>0</v>
      </c>
      <c r="BJ12" s="14">
        <f t="shared" si="10"/>
        <v>0</v>
      </c>
      <c r="BK12" s="14">
        <f t="shared" si="10"/>
        <v>0</v>
      </c>
      <c r="BL12" s="14">
        <f t="shared" si="10"/>
        <v>0</v>
      </c>
      <c r="BM12" s="14">
        <f t="shared" si="10"/>
        <v>0</v>
      </c>
      <c r="BN12" s="14">
        <f t="shared" si="10"/>
        <v>0</v>
      </c>
      <c r="BO12" s="14">
        <f t="shared" si="10"/>
        <v>0</v>
      </c>
      <c r="BP12" s="14">
        <f t="shared" si="10"/>
        <v>0</v>
      </c>
      <c r="BQ12" s="14">
        <f t="shared" si="10"/>
        <v>0</v>
      </c>
      <c r="BR12" s="14">
        <f t="shared" si="10"/>
        <v>0</v>
      </c>
      <c r="BS12" s="14">
        <f t="shared" si="10"/>
        <v>0</v>
      </c>
      <c r="BT12" s="14">
        <f t="shared" si="10"/>
        <v>0</v>
      </c>
      <c r="BU12" s="14">
        <f t="shared" si="10"/>
        <v>0</v>
      </c>
      <c r="BV12" s="14">
        <f t="shared" si="54"/>
        <v>0</v>
      </c>
      <c r="BW12" s="14">
        <f t="shared" si="54"/>
        <v>0</v>
      </c>
      <c r="BX12" s="14">
        <f t="shared" si="54"/>
        <v>0</v>
      </c>
      <c r="BY12" s="14">
        <f t="shared" si="54"/>
        <v>0</v>
      </c>
      <c r="BZ12" s="14">
        <f t="shared" si="54"/>
        <v>0</v>
      </c>
      <c r="CA12" s="14">
        <f t="shared" si="54"/>
        <v>0</v>
      </c>
      <c r="CB12" s="14">
        <f t="shared" si="54"/>
        <v>0</v>
      </c>
      <c r="CC12" s="14">
        <f t="shared" si="54"/>
        <v>0</v>
      </c>
      <c r="CD12" s="14">
        <f t="shared" si="54"/>
        <v>0</v>
      </c>
      <c r="CE12" s="14">
        <f t="shared" si="54"/>
        <v>0</v>
      </c>
      <c r="CF12" s="14">
        <f t="shared" si="55"/>
        <v>0</v>
      </c>
      <c r="CG12" s="14">
        <f t="shared" si="55"/>
        <v>0</v>
      </c>
      <c r="CH12" s="14">
        <f t="shared" si="55"/>
        <v>0</v>
      </c>
      <c r="CI12" s="14">
        <f t="shared" si="55"/>
        <v>0</v>
      </c>
      <c r="CJ12" s="14">
        <f t="shared" si="55"/>
        <v>0</v>
      </c>
      <c r="CK12" s="14">
        <f t="shared" si="55"/>
        <v>0</v>
      </c>
      <c r="CL12" s="14">
        <f t="shared" si="55"/>
        <v>0</v>
      </c>
      <c r="CM12" s="14">
        <f t="shared" si="55"/>
        <v>0</v>
      </c>
      <c r="CN12" s="14">
        <f t="shared" si="55"/>
        <v>0</v>
      </c>
      <c r="CO12" s="14">
        <f t="shared" si="55"/>
        <v>0</v>
      </c>
      <c r="CP12" s="14">
        <f t="shared" si="55"/>
        <v>0</v>
      </c>
      <c r="CQ12" s="14">
        <f t="shared" si="55"/>
        <v>0</v>
      </c>
      <c r="CR12" s="14">
        <f t="shared" si="55"/>
        <v>0</v>
      </c>
      <c r="CS12" s="14">
        <f t="shared" si="55"/>
        <v>0</v>
      </c>
      <c r="CT12" s="14">
        <f t="shared" si="55"/>
        <v>0</v>
      </c>
      <c r="CU12" s="14">
        <f t="shared" si="55"/>
        <v>0</v>
      </c>
      <c r="CW12" s="14">
        <f>SUM(BF$5:BF12)</f>
        <v>0</v>
      </c>
      <c r="CX12" s="14">
        <f>SUM(BG$5:BG12)</f>
        <v>0</v>
      </c>
      <c r="CY12" s="14">
        <f>SUM(BH$5:BH12)</f>
        <v>0</v>
      </c>
      <c r="CZ12" s="14">
        <f>SUM(BI$5:BI12)</f>
        <v>0</v>
      </c>
      <c r="DA12" s="14">
        <f>SUM(BJ$5:BJ12)</f>
        <v>0</v>
      </c>
      <c r="DB12" s="14">
        <f>SUM(BK$5:BK12)</f>
        <v>0</v>
      </c>
      <c r="DC12" s="14">
        <f>SUM(BL$5:BL12)</f>
        <v>0</v>
      </c>
      <c r="DD12" s="14">
        <f>SUM(BM$5:BM12)</f>
        <v>0</v>
      </c>
      <c r="DE12" s="14">
        <f>SUM(BN$5:BN12)</f>
        <v>0</v>
      </c>
      <c r="DF12" s="14">
        <f>SUM(BO$5:BO12)</f>
        <v>0</v>
      </c>
      <c r="DG12" s="14">
        <f>SUM(BP$5:BP12)</f>
        <v>0</v>
      </c>
      <c r="DH12" s="14">
        <f>SUM(BQ$5:BQ12)</f>
        <v>0</v>
      </c>
      <c r="DI12" s="14">
        <f>SUM(BR$5:BR12)</f>
        <v>0</v>
      </c>
      <c r="DJ12" s="14">
        <f>SUM(BS$5:BS12)</f>
        <v>0</v>
      </c>
      <c r="DK12" s="14">
        <f>SUM(BT$5:BT12)</f>
        <v>0</v>
      </c>
      <c r="DL12" s="14">
        <f>SUM(BU$5:BU12)</f>
        <v>0</v>
      </c>
      <c r="DM12" s="14">
        <f>SUM(BV$5:BV12)</f>
        <v>0</v>
      </c>
      <c r="DN12" s="14">
        <f>SUM(BW$5:BW12)</f>
        <v>0</v>
      </c>
      <c r="DO12" s="14">
        <f>SUM(BX$5:BX12)</f>
        <v>0</v>
      </c>
      <c r="DP12" s="14">
        <f>SUM(BY$5:BY12)</f>
        <v>0</v>
      </c>
      <c r="DQ12" s="14">
        <f>SUM(BZ$5:BZ12)</f>
        <v>0</v>
      </c>
      <c r="DR12" s="14">
        <f>SUM(CA$5:CA12)</f>
        <v>0</v>
      </c>
      <c r="DS12" s="14">
        <f>SUM(CB$5:CB12)</f>
        <v>0</v>
      </c>
      <c r="DT12" s="14">
        <f>SUM(CC$5:CC12)</f>
        <v>0</v>
      </c>
      <c r="DU12" s="14">
        <f>SUM(CD$5:CD12)</f>
        <v>0</v>
      </c>
      <c r="DV12" s="14">
        <f>SUM(CE$5:CE12)</f>
        <v>0</v>
      </c>
      <c r="DW12" s="14">
        <f>SUM(CF$5:CF12)</f>
        <v>0</v>
      </c>
      <c r="DX12" s="14">
        <f>SUM(CG$5:CG12)</f>
        <v>0</v>
      </c>
      <c r="DY12" s="14">
        <f>SUM(CH$5:CH12)</f>
        <v>0</v>
      </c>
      <c r="DZ12" s="14">
        <f>SUM(CI$5:CI12)</f>
        <v>0</v>
      </c>
      <c r="EA12" s="14">
        <f>SUM(CJ$5:CJ12)</f>
        <v>0</v>
      </c>
      <c r="EB12" s="14">
        <f>SUM(CK$5:CK12)</f>
        <v>0</v>
      </c>
      <c r="EC12" s="14">
        <f>SUM(CL$5:CL12)</f>
        <v>0</v>
      </c>
      <c r="ED12" s="14">
        <f>SUM(CM$5:CM12)</f>
        <v>0</v>
      </c>
      <c r="EE12" s="14">
        <f>SUM(CN$5:CN12)</f>
        <v>0</v>
      </c>
      <c r="EF12" s="14">
        <f>SUM(CO$5:CO12)</f>
        <v>0</v>
      </c>
      <c r="EG12" s="14">
        <f>SUM(CP$5:CP12)</f>
        <v>0</v>
      </c>
      <c r="EH12" s="14">
        <f>SUM(CQ$5:CQ12)</f>
        <v>0</v>
      </c>
      <c r="EI12" s="14">
        <f>SUM(CR$5:CR12)</f>
        <v>0</v>
      </c>
      <c r="EJ12" s="14">
        <f>SUM(CS$5:CS12)</f>
        <v>0</v>
      </c>
      <c r="EK12" s="14">
        <f>SUM(CT$5:CT12)</f>
        <v>0</v>
      </c>
      <c r="EL12" s="14">
        <f>SUM(CU$5:CU12)</f>
        <v>0</v>
      </c>
      <c r="EO12" s="87">
        <f t="shared" si="11"/>
        <v>0</v>
      </c>
      <c r="EP12" s="87">
        <f t="shared" si="12"/>
        <v>0</v>
      </c>
      <c r="EQ12" s="87">
        <f t="shared" si="13"/>
        <v>0</v>
      </c>
      <c r="ER12" s="87">
        <f t="shared" si="14"/>
        <v>0</v>
      </c>
      <c r="ES12" s="87">
        <f t="shared" si="15"/>
        <v>0</v>
      </c>
      <c r="ET12" s="87">
        <f t="shared" si="16"/>
        <v>0</v>
      </c>
      <c r="EU12" s="87">
        <f t="shared" si="17"/>
        <v>0</v>
      </c>
      <c r="EV12" s="87">
        <f t="shared" si="18"/>
        <v>0</v>
      </c>
      <c r="EW12" s="87">
        <f t="shared" si="19"/>
        <v>0</v>
      </c>
      <c r="EX12" s="87">
        <f t="shared" si="20"/>
        <v>0</v>
      </c>
      <c r="EY12" s="87">
        <f t="shared" si="21"/>
        <v>0</v>
      </c>
      <c r="EZ12" s="87">
        <f t="shared" si="22"/>
        <v>0</v>
      </c>
      <c r="FA12" s="87">
        <f t="shared" si="23"/>
        <v>0</v>
      </c>
      <c r="FB12" s="87">
        <f t="shared" si="24"/>
        <v>0</v>
      </c>
      <c r="FC12" s="87">
        <f t="shared" si="25"/>
        <v>0</v>
      </c>
      <c r="FD12" s="87">
        <f t="shared" si="26"/>
        <v>0</v>
      </c>
      <c r="FE12" s="87">
        <f t="shared" si="27"/>
        <v>0</v>
      </c>
      <c r="FF12" s="87">
        <f t="shared" si="28"/>
        <v>0</v>
      </c>
      <c r="FG12" s="87">
        <f t="shared" si="29"/>
        <v>0</v>
      </c>
      <c r="FH12" s="87">
        <f t="shared" si="30"/>
        <v>0</v>
      </c>
      <c r="FI12" s="87">
        <f t="shared" si="31"/>
        <v>0</v>
      </c>
      <c r="FJ12" s="87">
        <f t="shared" si="32"/>
        <v>0</v>
      </c>
      <c r="FK12" s="87">
        <f t="shared" si="33"/>
        <v>0</v>
      </c>
      <c r="FL12" s="87">
        <f t="shared" si="34"/>
        <v>0</v>
      </c>
      <c r="FM12" s="87">
        <f t="shared" si="35"/>
        <v>0</v>
      </c>
      <c r="FN12" s="87">
        <f t="shared" si="36"/>
        <v>0</v>
      </c>
      <c r="FO12" s="87">
        <f t="shared" si="37"/>
        <v>0</v>
      </c>
      <c r="FP12" s="87">
        <f t="shared" si="38"/>
        <v>0</v>
      </c>
      <c r="FQ12" s="87">
        <f t="shared" si="39"/>
        <v>0</v>
      </c>
      <c r="FR12" s="87">
        <f t="shared" si="40"/>
        <v>0</v>
      </c>
      <c r="FS12" s="87">
        <f t="shared" si="41"/>
        <v>0</v>
      </c>
      <c r="FT12" s="87">
        <f t="shared" si="42"/>
        <v>0</v>
      </c>
      <c r="FU12" s="87">
        <f t="shared" si="43"/>
        <v>0</v>
      </c>
      <c r="FV12" s="87">
        <f t="shared" si="44"/>
        <v>0</v>
      </c>
      <c r="FW12" s="87">
        <f t="shared" si="45"/>
        <v>0</v>
      </c>
      <c r="FX12" s="87">
        <f t="shared" si="46"/>
        <v>0</v>
      </c>
      <c r="FY12" s="87">
        <f t="shared" si="47"/>
        <v>0</v>
      </c>
      <c r="FZ12" s="87">
        <f t="shared" si="48"/>
        <v>0</v>
      </c>
      <c r="GA12" s="87">
        <f t="shared" si="49"/>
        <v>0</v>
      </c>
      <c r="GB12" s="87">
        <f t="shared" si="50"/>
        <v>0</v>
      </c>
      <c r="GC12" s="87">
        <f t="shared" si="51"/>
        <v>0</v>
      </c>
      <c r="GD12" s="87">
        <f t="shared" si="52"/>
        <v>0</v>
      </c>
    </row>
    <row r="13" spans="1:186" ht="16.5" x14ac:dyDescent="0.2">
      <c r="K13" s="86">
        <v>9</v>
      </c>
      <c r="L13" s="86">
        <v>3</v>
      </c>
      <c r="M13" s="86">
        <v>1</v>
      </c>
      <c r="N13" s="86" t="str">
        <f t="shared" si="3"/>
        <v>神器3-1</v>
      </c>
      <c r="O13" s="86">
        <v>1</v>
      </c>
      <c r="P13" s="14">
        <f t="shared" si="4"/>
        <v>20</v>
      </c>
      <c r="Q13" s="88">
        <v>0.25</v>
      </c>
      <c r="R13" s="14">
        <v>1</v>
      </c>
      <c r="S13" s="14">
        <v>3</v>
      </c>
      <c r="T13" s="88">
        <v>0.25</v>
      </c>
      <c r="U13" s="14">
        <v>2</v>
      </c>
      <c r="V13" s="14">
        <v>4</v>
      </c>
      <c r="W13" s="88">
        <v>0.25</v>
      </c>
      <c r="X13" s="14">
        <v>3</v>
      </c>
      <c r="Y13" s="14">
        <v>5</v>
      </c>
      <c r="AB13" s="86">
        <v>8</v>
      </c>
      <c r="AC13" s="86">
        <v>3</v>
      </c>
      <c r="AD13" s="86">
        <f>SUM(AC$6:AC13)</f>
        <v>15</v>
      </c>
      <c r="AF13" s="86">
        <v>8</v>
      </c>
      <c r="AG13" s="86">
        <v>133</v>
      </c>
      <c r="AH13" s="86">
        <f t="shared" si="53"/>
        <v>495</v>
      </c>
      <c r="AI13" s="86" t="s">
        <v>669</v>
      </c>
      <c r="AJ13" s="19">
        <v>0.6</v>
      </c>
      <c r="AK13" s="19">
        <v>0.4</v>
      </c>
      <c r="AL13" s="86"/>
      <c r="AO13" s="86">
        <v>2</v>
      </c>
      <c r="AP13" s="86">
        <v>6</v>
      </c>
      <c r="AQ13" s="86">
        <v>2</v>
      </c>
      <c r="AR13" s="86">
        <v>1</v>
      </c>
      <c r="AS13" s="86" t="s">
        <v>326</v>
      </c>
      <c r="AT13" s="21">
        <f t="shared" si="0"/>
        <v>7.1999999999999995E-2</v>
      </c>
      <c r="AU13" s="86">
        <f t="shared" si="5"/>
        <v>1</v>
      </c>
      <c r="AV13" s="86">
        <f t="shared" si="6"/>
        <v>2</v>
      </c>
      <c r="AW13" s="87">
        <f t="shared" si="7"/>
        <v>0.10799999999999998</v>
      </c>
      <c r="AX13" s="86">
        <f t="shared" si="8"/>
        <v>4.8599999999999994</v>
      </c>
      <c r="BA13" s="86">
        <v>9</v>
      </c>
      <c r="BB13" s="14" t="e">
        <f>INDEX(节奏总表!#REF!,神器!BA13)</f>
        <v>#REF!</v>
      </c>
      <c r="BC13" s="14" t="e">
        <f t="shared" si="9"/>
        <v>#REF!</v>
      </c>
      <c r="BD13" s="14">
        <v>5</v>
      </c>
      <c r="BE13" s="14">
        <v>3</v>
      </c>
      <c r="BF13" s="14">
        <f t="shared" si="10"/>
        <v>0</v>
      </c>
      <c r="BG13" s="14">
        <f t="shared" si="10"/>
        <v>0</v>
      </c>
      <c r="BH13" s="14">
        <f t="shared" si="10"/>
        <v>0</v>
      </c>
      <c r="BI13" s="14">
        <f t="shared" si="10"/>
        <v>0</v>
      </c>
      <c r="BJ13" s="14">
        <f t="shared" si="10"/>
        <v>0</v>
      </c>
      <c r="BK13" s="14">
        <f t="shared" si="10"/>
        <v>0</v>
      </c>
      <c r="BL13" s="14">
        <f t="shared" si="10"/>
        <v>0</v>
      </c>
      <c r="BM13" s="14">
        <f t="shared" si="10"/>
        <v>0</v>
      </c>
      <c r="BN13" s="14">
        <f t="shared" si="10"/>
        <v>0</v>
      </c>
      <c r="BO13" s="14">
        <f t="shared" si="10"/>
        <v>0</v>
      </c>
      <c r="BP13" s="14">
        <f t="shared" si="10"/>
        <v>0</v>
      </c>
      <c r="BQ13" s="14">
        <f t="shared" si="10"/>
        <v>0</v>
      </c>
      <c r="BR13" s="14">
        <f t="shared" si="10"/>
        <v>0</v>
      </c>
      <c r="BS13" s="14">
        <f t="shared" si="10"/>
        <v>0</v>
      </c>
      <c r="BT13" s="14">
        <f t="shared" si="10"/>
        <v>0</v>
      </c>
      <c r="BU13" s="14">
        <f t="shared" si="10"/>
        <v>0</v>
      </c>
      <c r="BV13" s="14">
        <f t="shared" si="54"/>
        <v>0</v>
      </c>
      <c r="BW13" s="14">
        <f t="shared" si="54"/>
        <v>0</v>
      </c>
      <c r="BX13" s="14">
        <f t="shared" si="54"/>
        <v>0</v>
      </c>
      <c r="BY13" s="14">
        <f t="shared" si="54"/>
        <v>0</v>
      </c>
      <c r="BZ13" s="14">
        <f t="shared" si="54"/>
        <v>0</v>
      </c>
      <c r="CA13" s="14">
        <f t="shared" si="54"/>
        <v>0</v>
      </c>
      <c r="CB13" s="14">
        <f t="shared" si="54"/>
        <v>0</v>
      </c>
      <c r="CC13" s="14">
        <f t="shared" si="54"/>
        <v>0</v>
      </c>
      <c r="CD13" s="14">
        <f t="shared" si="54"/>
        <v>0</v>
      </c>
      <c r="CE13" s="14">
        <f t="shared" si="54"/>
        <v>0</v>
      </c>
      <c r="CF13" s="14">
        <f t="shared" si="55"/>
        <v>0</v>
      </c>
      <c r="CG13" s="14">
        <f t="shared" si="55"/>
        <v>0</v>
      </c>
      <c r="CH13" s="14">
        <f t="shared" si="55"/>
        <v>0</v>
      </c>
      <c r="CI13" s="14">
        <f t="shared" si="55"/>
        <v>0</v>
      </c>
      <c r="CJ13" s="14">
        <f t="shared" si="55"/>
        <v>0</v>
      </c>
      <c r="CK13" s="14">
        <f t="shared" si="55"/>
        <v>0</v>
      </c>
      <c r="CL13" s="14">
        <f t="shared" si="55"/>
        <v>0</v>
      </c>
      <c r="CM13" s="14">
        <f t="shared" si="55"/>
        <v>0</v>
      </c>
      <c r="CN13" s="14">
        <f t="shared" si="55"/>
        <v>0</v>
      </c>
      <c r="CO13" s="14">
        <f t="shared" si="55"/>
        <v>0</v>
      </c>
      <c r="CP13" s="14">
        <f t="shared" si="55"/>
        <v>0</v>
      </c>
      <c r="CQ13" s="14">
        <f t="shared" si="55"/>
        <v>0</v>
      </c>
      <c r="CR13" s="14">
        <f t="shared" si="55"/>
        <v>0</v>
      </c>
      <c r="CS13" s="14">
        <f t="shared" si="55"/>
        <v>0</v>
      </c>
      <c r="CT13" s="14">
        <f t="shared" si="55"/>
        <v>0</v>
      </c>
      <c r="CU13" s="14">
        <f t="shared" si="55"/>
        <v>0</v>
      </c>
      <c r="CW13" s="14">
        <f>SUM(BF$5:BF13)</f>
        <v>0</v>
      </c>
      <c r="CX13" s="14">
        <f>SUM(BG$5:BG13)</f>
        <v>0</v>
      </c>
      <c r="CY13" s="14">
        <f>SUM(BH$5:BH13)</f>
        <v>0</v>
      </c>
      <c r="CZ13" s="14">
        <f>SUM(BI$5:BI13)</f>
        <v>0</v>
      </c>
      <c r="DA13" s="14">
        <f>SUM(BJ$5:BJ13)</f>
        <v>0</v>
      </c>
      <c r="DB13" s="14">
        <f>SUM(BK$5:BK13)</f>
        <v>0</v>
      </c>
      <c r="DC13" s="14">
        <f>SUM(BL$5:BL13)</f>
        <v>0</v>
      </c>
      <c r="DD13" s="14">
        <f>SUM(BM$5:BM13)</f>
        <v>0</v>
      </c>
      <c r="DE13" s="14">
        <f>SUM(BN$5:BN13)</f>
        <v>0</v>
      </c>
      <c r="DF13" s="14">
        <f>SUM(BO$5:BO13)</f>
        <v>0</v>
      </c>
      <c r="DG13" s="14">
        <f>SUM(BP$5:BP13)</f>
        <v>0</v>
      </c>
      <c r="DH13" s="14">
        <f>SUM(BQ$5:BQ13)</f>
        <v>0</v>
      </c>
      <c r="DI13" s="14">
        <f>SUM(BR$5:BR13)</f>
        <v>0</v>
      </c>
      <c r="DJ13" s="14">
        <f>SUM(BS$5:BS13)</f>
        <v>0</v>
      </c>
      <c r="DK13" s="14">
        <f>SUM(BT$5:BT13)</f>
        <v>0</v>
      </c>
      <c r="DL13" s="14">
        <f>SUM(BU$5:BU13)</f>
        <v>0</v>
      </c>
      <c r="DM13" s="14">
        <f>SUM(BV$5:BV13)</f>
        <v>0</v>
      </c>
      <c r="DN13" s="14">
        <f>SUM(BW$5:BW13)</f>
        <v>0</v>
      </c>
      <c r="DO13" s="14">
        <f>SUM(BX$5:BX13)</f>
        <v>0</v>
      </c>
      <c r="DP13" s="14">
        <f>SUM(BY$5:BY13)</f>
        <v>0</v>
      </c>
      <c r="DQ13" s="14">
        <f>SUM(BZ$5:BZ13)</f>
        <v>0</v>
      </c>
      <c r="DR13" s="14">
        <f>SUM(CA$5:CA13)</f>
        <v>0</v>
      </c>
      <c r="DS13" s="14">
        <f>SUM(CB$5:CB13)</f>
        <v>0</v>
      </c>
      <c r="DT13" s="14">
        <f>SUM(CC$5:CC13)</f>
        <v>0</v>
      </c>
      <c r="DU13" s="14">
        <f>SUM(CD$5:CD13)</f>
        <v>0</v>
      </c>
      <c r="DV13" s="14">
        <f>SUM(CE$5:CE13)</f>
        <v>0</v>
      </c>
      <c r="DW13" s="14">
        <f>SUM(CF$5:CF13)</f>
        <v>0</v>
      </c>
      <c r="DX13" s="14">
        <f>SUM(CG$5:CG13)</f>
        <v>0</v>
      </c>
      <c r="DY13" s="14">
        <f>SUM(CH$5:CH13)</f>
        <v>0</v>
      </c>
      <c r="DZ13" s="14">
        <f>SUM(CI$5:CI13)</f>
        <v>0</v>
      </c>
      <c r="EA13" s="14">
        <f>SUM(CJ$5:CJ13)</f>
        <v>0</v>
      </c>
      <c r="EB13" s="14">
        <f>SUM(CK$5:CK13)</f>
        <v>0</v>
      </c>
      <c r="EC13" s="14">
        <f>SUM(CL$5:CL13)</f>
        <v>0</v>
      </c>
      <c r="ED13" s="14">
        <f>SUM(CM$5:CM13)</f>
        <v>0</v>
      </c>
      <c r="EE13" s="14">
        <f>SUM(CN$5:CN13)</f>
        <v>0</v>
      </c>
      <c r="EF13" s="14">
        <f>SUM(CO$5:CO13)</f>
        <v>0</v>
      </c>
      <c r="EG13" s="14">
        <f>SUM(CP$5:CP13)</f>
        <v>0</v>
      </c>
      <c r="EH13" s="14">
        <f>SUM(CQ$5:CQ13)</f>
        <v>0</v>
      </c>
      <c r="EI13" s="14">
        <f>SUM(CR$5:CR13)</f>
        <v>0</v>
      </c>
      <c r="EJ13" s="14">
        <f>SUM(CS$5:CS13)</f>
        <v>0</v>
      </c>
      <c r="EK13" s="14">
        <f>SUM(CT$5:CT13)</f>
        <v>0</v>
      </c>
      <c r="EL13" s="14">
        <f>SUM(CU$5:CU13)</f>
        <v>0</v>
      </c>
      <c r="EO13" s="87">
        <f t="shared" si="11"/>
        <v>0</v>
      </c>
      <c r="EP13" s="87">
        <f t="shared" si="12"/>
        <v>0</v>
      </c>
      <c r="EQ13" s="87">
        <f t="shared" si="13"/>
        <v>0</v>
      </c>
      <c r="ER13" s="87">
        <f t="shared" si="14"/>
        <v>0</v>
      </c>
      <c r="ES13" s="87">
        <f t="shared" si="15"/>
        <v>0</v>
      </c>
      <c r="ET13" s="87">
        <f t="shared" si="16"/>
        <v>0</v>
      </c>
      <c r="EU13" s="87">
        <f t="shared" si="17"/>
        <v>0</v>
      </c>
      <c r="EV13" s="87">
        <f t="shared" si="18"/>
        <v>0</v>
      </c>
      <c r="EW13" s="87">
        <f t="shared" si="19"/>
        <v>0</v>
      </c>
      <c r="EX13" s="87">
        <f t="shared" si="20"/>
        <v>0</v>
      </c>
      <c r="EY13" s="87">
        <f t="shared" si="21"/>
        <v>0</v>
      </c>
      <c r="EZ13" s="87">
        <f t="shared" si="22"/>
        <v>0</v>
      </c>
      <c r="FA13" s="87">
        <f t="shared" si="23"/>
        <v>0</v>
      </c>
      <c r="FB13" s="87">
        <f t="shared" si="24"/>
        <v>0</v>
      </c>
      <c r="FC13" s="87">
        <f t="shared" si="25"/>
        <v>0</v>
      </c>
      <c r="FD13" s="87">
        <f t="shared" si="26"/>
        <v>0</v>
      </c>
      <c r="FE13" s="87">
        <f t="shared" si="27"/>
        <v>0</v>
      </c>
      <c r="FF13" s="87">
        <f t="shared" si="28"/>
        <v>0</v>
      </c>
      <c r="FG13" s="87">
        <f t="shared" si="29"/>
        <v>0</v>
      </c>
      <c r="FH13" s="87">
        <f t="shared" si="30"/>
        <v>0</v>
      </c>
      <c r="FI13" s="87">
        <f t="shared" si="31"/>
        <v>0</v>
      </c>
      <c r="FJ13" s="87">
        <f t="shared" si="32"/>
        <v>0</v>
      </c>
      <c r="FK13" s="87">
        <f t="shared" si="33"/>
        <v>0</v>
      </c>
      <c r="FL13" s="87">
        <f t="shared" si="34"/>
        <v>0</v>
      </c>
      <c r="FM13" s="87">
        <f t="shared" si="35"/>
        <v>0</v>
      </c>
      <c r="FN13" s="87">
        <f t="shared" si="36"/>
        <v>0</v>
      </c>
      <c r="FO13" s="87">
        <f t="shared" si="37"/>
        <v>0</v>
      </c>
      <c r="FP13" s="87">
        <f t="shared" si="38"/>
        <v>0</v>
      </c>
      <c r="FQ13" s="87">
        <f t="shared" si="39"/>
        <v>0</v>
      </c>
      <c r="FR13" s="87">
        <f t="shared" si="40"/>
        <v>0</v>
      </c>
      <c r="FS13" s="87">
        <f t="shared" si="41"/>
        <v>0</v>
      </c>
      <c r="FT13" s="87">
        <f t="shared" si="42"/>
        <v>0</v>
      </c>
      <c r="FU13" s="87">
        <f t="shared" si="43"/>
        <v>0</v>
      </c>
      <c r="FV13" s="87">
        <f t="shared" si="44"/>
        <v>0</v>
      </c>
      <c r="FW13" s="87">
        <f t="shared" si="45"/>
        <v>0</v>
      </c>
      <c r="FX13" s="87">
        <f t="shared" si="46"/>
        <v>0</v>
      </c>
      <c r="FY13" s="87">
        <f t="shared" si="47"/>
        <v>0</v>
      </c>
      <c r="FZ13" s="87">
        <f t="shared" si="48"/>
        <v>0</v>
      </c>
      <c r="GA13" s="87">
        <f t="shared" si="49"/>
        <v>0</v>
      </c>
      <c r="GB13" s="87">
        <f t="shared" si="50"/>
        <v>0</v>
      </c>
      <c r="GC13" s="87">
        <f t="shared" si="51"/>
        <v>0</v>
      </c>
      <c r="GD13" s="87">
        <f t="shared" si="52"/>
        <v>0</v>
      </c>
    </row>
    <row r="14" spans="1:186" ht="16.5" x14ac:dyDescent="0.2">
      <c r="K14" s="86">
        <v>10</v>
      </c>
      <c r="L14" s="86">
        <v>3</v>
      </c>
      <c r="M14" s="86">
        <v>2</v>
      </c>
      <c r="N14" s="86" t="str">
        <f t="shared" si="3"/>
        <v>神器3-2</v>
      </c>
      <c r="O14" s="86">
        <v>1</v>
      </c>
      <c r="P14" s="14">
        <f t="shared" si="4"/>
        <v>20</v>
      </c>
      <c r="Q14" s="88">
        <v>0.25</v>
      </c>
      <c r="R14" s="14">
        <v>1</v>
      </c>
      <c r="S14" s="14">
        <v>3</v>
      </c>
      <c r="T14" s="88">
        <v>0.25</v>
      </c>
      <c r="U14" s="14">
        <v>2</v>
      </c>
      <c r="V14" s="14">
        <v>4</v>
      </c>
      <c r="W14" s="88">
        <v>0.25</v>
      </c>
      <c r="X14" s="14">
        <v>3</v>
      </c>
      <c r="Y14" s="14">
        <v>5</v>
      </c>
      <c r="AB14" s="86">
        <v>9</v>
      </c>
      <c r="AC14" s="86">
        <v>3</v>
      </c>
      <c r="AD14" s="86">
        <f>SUM(AC$6:AC14)</f>
        <v>18</v>
      </c>
      <c r="AM14" s="89"/>
      <c r="AO14" s="86">
        <v>2</v>
      </c>
      <c r="AP14" s="86">
        <v>7</v>
      </c>
      <c r="AQ14" s="86">
        <v>2</v>
      </c>
      <c r="AR14" s="86">
        <v>1</v>
      </c>
      <c r="AS14" s="86" t="s">
        <v>327</v>
      </c>
      <c r="AT14" s="21">
        <f t="shared" si="0"/>
        <v>7.1999999999999995E-2</v>
      </c>
      <c r="AU14" s="86">
        <f t="shared" si="5"/>
        <v>1</v>
      </c>
      <c r="AV14" s="86">
        <f t="shared" si="6"/>
        <v>2</v>
      </c>
      <c r="AW14" s="87">
        <f t="shared" si="7"/>
        <v>0.10799999999999998</v>
      </c>
      <c r="AX14" s="86">
        <f t="shared" si="8"/>
        <v>4.8599999999999994</v>
      </c>
      <c r="BA14" s="86">
        <v>10</v>
      </c>
      <c r="BB14" s="14" t="e">
        <f>INDEX(节奏总表!#REF!,神器!BA14)</f>
        <v>#REF!</v>
      </c>
      <c r="BC14" s="14" t="e">
        <f t="shared" si="9"/>
        <v>#REF!</v>
      </c>
      <c r="BD14" s="14">
        <v>5</v>
      </c>
      <c r="BE14" s="14">
        <v>3</v>
      </c>
      <c r="BF14" s="14">
        <f t="shared" si="10"/>
        <v>0</v>
      </c>
      <c r="BG14" s="14">
        <f t="shared" si="10"/>
        <v>0</v>
      </c>
      <c r="BH14" s="14">
        <f t="shared" si="10"/>
        <v>0</v>
      </c>
      <c r="BI14" s="14">
        <f t="shared" si="10"/>
        <v>0</v>
      </c>
      <c r="BJ14" s="14">
        <f t="shared" si="10"/>
        <v>0</v>
      </c>
      <c r="BK14" s="14">
        <f t="shared" si="10"/>
        <v>0</v>
      </c>
      <c r="BL14" s="14">
        <f t="shared" si="10"/>
        <v>0</v>
      </c>
      <c r="BM14" s="14">
        <f t="shared" si="10"/>
        <v>0</v>
      </c>
      <c r="BN14" s="14">
        <f t="shared" si="10"/>
        <v>0</v>
      </c>
      <c r="BO14" s="14">
        <f t="shared" si="10"/>
        <v>0</v>
      </c>
      <c r="BP14" s="14">
        <f t="shared" si="10"/>
        <v>0</v>
      </c>
      <c r="BQ14" s="14">
        <f t="shared" si="10"/>
        <v>0</v>
      </c>
      <c r="BR14" s="14">
        <f t="shared" si="10"/>
        <v>0</v>
      </c>
      <c r="BS14" s="14">
        <f t="shared" si="10"/>
        <v>0</v>
      </c>
      <c r="BT14" s="14">
        <f t="shared" si="10"/>
        <v>0</v>
      </c>
      <c r="BU14" s="14">
        <f t="shared" si="10"/>
        <v>0</v>
      </c>
      <c r="BV14" s="14">
        <f t="shared" si="54"/>
        <v>0</v>
      </c>
      <c r="BW14" s="14">
        <f t="shared" si="54"/>
        <v>0</v>
      </c>
      <c r="BX14" s="14">
        <f t="shared" si="54"/>
        <v>0</v>
      </c>
      <c r="BY14" s="14">
        <f t="shared" si="54"/>
        <v>0</v>
      </c>
      <c r="BZ14" s="14">
        <f t="shared" si="54"/>
        <v>0</v>
      </c>
      <c r="CA14" s="14">
        <f t="shared" si="54"/>
        <v>0</v>
      </c>
      <c r="CB14" s="14">
        <f t="shared" si="54"/>
        <v>0</v>
      </c>
      <c r="CC14" s="14">
        <f t="shared" si="54"/>
        <v>0</v>
      </c>
      <c r="CD14" s="14">
        <f t="shared" si="54"/>
        <v>0</v>
      </c>
      <c r="CE14" s="14">
        <f t="shared" si="54"/>
        <v>0</v>
      </c>
      <c r="CF14" s="14">
        <f t="shared" si="55"/>
        <v>0</v>
      </c>
      <c r="CG14" s="14">
        <f t="shared" si="55"/>
        <v>0</v>
      </c>
      <c r="CH14" s="14">
        <f t="shared" si="55"/>
        <v>0</v>
      </c>
      <c r="CI14" s="14">
        <f t="shared" si="55"/>
        <v>0</v>
      </c>
      <c r="CJ14" s="14">
        <f t="shared" si="55"/>
        <v>0</v>
      </c>
      <c r="CK14" s="14">
        <f t="shared" si="55"/>
        <v>0</v>
      </c>
      <c r="CL14" s="14">
        <f t="shared" si="55"/>
        <v>0</v>
      </c>
      <c r="CM14" s="14">
        <f t="shared" si="55"/>
        <v>0</v>
      </c>
      <c r="CN14" s="14">
        <f t="shared" si="55"/>
        <v>0</v>
      </c>
      <c r="CO14" s="14">
        <f t="shared" si="55"/>
        <v>0</v>
      </c>
      <c r="CP14" s="14">
        <f t="shared" si="55"/>
        <v>0</v>
      </c>
      <c r="CQ14" s="14">
        <f t="shared" si="55"/>
        <v>0</v>
      </c>
      <c r="CR14" s="14">
        <f t="shared" si="55"/>
        <v>0</v>
      </c>
      <c r="CS14" s="14">
        <f t="shared" si="55"/>
        <v>0</v>
      </c>
      <c r="CT14" s="14">
        <f t="shared" si="55"/>
        <v>0</v>
      </c>
      <c r="CU14" s="14">
        <f t="shared" si="55"/>
        <v>0</v>
      </c>
      <c r="CW14" s="14">
        <f>SUM(BF$5:BF14)</f>
        <v>0</v>
      </c>
      <c r="CX14" s="14">
        <f>SUM(BG$5:BG14)</f>
        <v>0</v>
      </c>
      <c r="CY14" s="14">
        <f>SUM(BH$5:BH14)</f>
        <v>0</v>
      </c>
      <c r="CZ14" s="14">
        <f>SUM(BI$5:BI14)</f>
        <v>0</v>
      </c>
      <c r="DA14" s="14">
        <f>SUM(BJ$5:BJ14)</f>
        <v>0</v>
      </c>
      <c r="DB14" s="14">
        <f>SUM(BK$5:BK14)</f>
        <v>0</v>
      </c>
      <c r="DC14" s="14">
        <f>SUM(BL$5:BL14)</f>
        <v>0</v>
      </c>
      <c r="DD14" s="14">
        <f>SUM(BM$5:BM14)</f>
        <v>0</v>
      </c>
      <c r="DE14" s="14">
        <f>SUM(BN$5:BN14)</f>
        <v>0</v>
      </c>
      <c r="DF14" s="14">
        <f>SUM(BO$5:BO14)</f>
        <v>0</v>
      </c>
      <c r="DG14" s="14">
        <f>SUM(BP$5:BP14)</f>
        <v>0</v>
      </c>
      <c r="DH14" s="14">
        <f>SUM(BQ$5:BQ14)</f>
        <v>0</v>
      </c>
      <c r="DI14" s="14">
        <f>SUM(BR$5:BR14)</f>
        <v>0</v>
      </c>
      <c r="DJ14" s="14">
        <f>SUM(BS$5:BS14)</f>
        <v>0</v>
      </c>
      <c r="DK14" s="14">
        <f>SUM(BT$5:BT14)</f>
        <v>0</v>
      </c>
      <c r="DL14" s="14">
        <f>SUM(BU$5:BU14)</f>
        <v>0</v>
      </c>
      <c r="DM14" s="14">
        <f>SUM(BV$5:BV14)</f>
        <v>0</v>
      </c>
      <c r="DN14" s="14">
        <f>SUM(BW$5:BW14)</f>
        <v>0</v>
      </c>
      <c r="DO14" s="14">
        <f>SUM(BX$5:BX14)</f>
        <v>0</v>
      </c>
      <c r="DP14" s="14">
        <f>SUM(BY$5:BY14)</f>
        <v>0</v>
      </c>
      <c r="DQ14" s="14">
        <f>SUM(BZ$5:BZ14)</f>
        <v>0</v>
      </c>
      <c r="DR14" s="14">
        <f>SUM(CA$5:CA14)</f>
        <v>0</v>
      </c>
      <c r="DS14" s="14">
        <f>SUM(CB$5:CB14)</f>
        <v>0</v>
      </c>
      <c r="DT14" s="14">
        <f>SUM(CC$5:CC14)</f>
        <v>0</v>
      </c>
      <c r="DU14" s="14">
        <f>SUM(CD$5:CD14)</f>
        <v>0</v>
      </c>
      <c r="DV14" s="14">
        <f>SUM(CE$5:CE14)</f>
        <v>0</v>
      </c>
      <c r="DW14" s="14">
        <f>SUM(CF$5:CF14)</f>
        <v>0</v>
      </c>
      <c r="DX14" s="14">
        <f>SUM(CG$5:CG14)</f>
        <v>0</v>
      </c>
      <c r="DY14" s="14">
        <f>SUM(CH$5:CH14)</f>
        <v>0</v>
      </c>
      <c r="DZ14" s="14">
        <f>SUM(CI$5:CI14)</f>
        <v>0</v>
      </c>
      <c r="EA14" s="14">
        <f>SUM(CJ$5:CJ14)</f>
        <v>0</v>
      </c>
      <c r="EB14" s="14">
        <f>SUM(CK$5:CK14)</f>
        <v>0</v>
      </c>
      <c r="EC14" s="14">
        <f>SUM(CL$5:CL14)</f>
        <v>0</v>
      </c>
      <c r="ED14" s="14">
        <f>SUM(CM$5:CM14)</f>
        <v>0</v>
      </c>
      <c r="EE14" s="14">
        <f>SUM(CN$5:CN14)</f>
        <v>0</v>
      </c>
      <c r="EF14" s="14">
        <f>SUM(CO$5:CO14)</f>
        <v>0</v>
      </c>
      <c r="EG14" s="14">
        <f>SUM(CP$5:CP14)</f>
        <v>0</v>
      </c>
      <c r="EH14" s="14">
        <f>SUM(CQ$5:CQ14)</f>
        <v>0</v>
      </c>
      <c r="EI14" s="14">
        <f>SUM(CR$5:CR14)</f>
        <v>0</v>
      </c>
      <c r="EJ14" s="14">
        <f>SUM(CS$5:CS14)</f>
        <v>0</v>
      </c>
      <c r="EK14" s="14">
        <f>SUM(CT$5:CT14)</f>
        <v>0</v>
      </c>
      <c r="EL14" s="14">
        <f>SUM(CU$5:CU14)</f>
        <v>0</v>
      </c>
      <c r="EO14" s="87">
        <f t="shared" si="11"/>
        <v>0</v>
      </c>
      <c r="EP14" s="87">
        <f t="shared" si="12"/>
        <v>0</v>
      </c>
      <c r="EQ14" s="87">
        <f t="shared" si="13"/>
        <v>0</v>
      </c>
      <c r="ER14" s="87">
        <f t="shared" si="14"/>
        <v>0</v>
      </c>
      <c r="ES14" s="87">
        <f t="shared" si="15"/>
        <v>0</v>
      </c>
      <c r="ET14" s="87">
        <f t="shared" si="16"/>
        <v>0</v>
      </c>
      <c r="EU14" s="87">
        <f t="shared" si="17"/>
        <v>0</v>
      </c>
      <c r="EV14" s="87">
        <f t="shared" si="18"/>
        <v>0</v>
      </c>
      <c r="EW14" s="87">
        <f t="shared" si="19"/>
        <v>0</v>
      </c>
      <c r="EX14" s="87">
        <f t="shared" si="20"/>
        <v>0</v>
      </c>
      <c r="EY14" s="87">
        <f t="shared" si="21"/>
        <v>0</v>
      </c>
      <c r="EZ14" s="87">
        <f t="shared" si="22"/>
        <v>0</v>
      </c>
      <c r="FA14" s="87">
        <f t="shared" si="23"/>
        <v>0</v>
      </c>
      <c r="FB14" s="87">
        <f t="shared" si="24"/>
        <v>0</v>
      </c>
      <c r="FC14" s="87">
        <f t="shared" si="25"/>
        <v>0</v>
      </c>
      <c r="FD14" s="87">
        <f t="shared" si="26"/>
        <v>0</v>
      </c>
      <c r="FE14" s="87">
        <f t="shared" si="27"/>
        <v>0</v>
      </c>
      <c r="FF14" s="87">
        <f t="shared" si="28"/>
        <v>0</v>
      </c>
      <c r="FG14" s="87">
        <f t="shared" si="29"/>
        <v>0</v>
      </c>
      <c r="FH14" s="87">
        <f t="shared" si="30"/>
        <v>0</v>
      </c>
      <c r="FI14" s="87">
        <f t="shared" si="31"/>
        <v>0</v>
      </c>
      <c r="FJ14" s="87">
        <f t="shared" si="32"/>
        <v>0</v>
      </c>
      <c r="FK14" s="87">
        <f t="shared" si="33"/>
        <v>0</v>
      </c>
      <c r="FL14" s="87">
        <f t="shared" si="34"/>
        <v>0</v>
      </c>
      <c r="FM14" s="87">
        <f t="shared" si="35"/>
        <v>0</v>
      </c>
      <c r="FN14" s="87">
        <f t="shared" si="36"/>
        <v>0</v>
      </c>
      <c r="FO14" s="87">
        <f t="shared" si="37"/>
        <v>0</v>
      </c>
      <c r="FP14" s="87">
        <f t="shared" si="38"/>
        <v>0</v>
      </c>
      <c r="FQ14" s="87">
        <f t="shared" si="39"/>
        <v>0</v>
      </c>
      <c r="FR14" s="87">
        <f t="shared" si="40"/>
        <v>0</v>
      </c>
      <c r="FS14" s="87">
        <f t="shared" si="41"/>
        <v>0</v>
      </c>
      <c r="FT14" s="87">
        <f t="shared" si="42"/>
        <v>0</v>
      </c>
      <c r="FU14" s="87">
        <f t="shared" si="43"/>
        <v>0</v>
      </c>
      <c r="FV14" s="87">
        <f t="shared" si="44"/>
        <v>0</v>
      </c>
      <c r="FW14" s="87">
        <f t="shared" si="45"/>
        <v>0</v>
      </c>
      <c r="FX14" s="87">
        <f t="shared" si="46"/>
        <v>0</v>
      </c>
      <c r="FY14" s="87">
        <f t="shared" si="47"/>
        <v>0</v>
      </c>
      <c r="FZ14" s="87">
        <f t="shared" si="48"/>
        <v>0</v>
      </c>
      <c r="GA14" s="87">
        <f t="shared" si="49"/>
        <v>0</v>
      </c>
      <c r="GB14" s="87">
        <f t="shared" si="50"/>
        <v>0</v>
      </c>
      <c r="GC14" s="87">
        <f t="shared" si="51"/>
        <v>0</v>
      </c>
      <c r="GD14" s="87">
        <f t="shared" si="52"/>
        <v>0</v>
      </c>
    </row>
    <row r="15" spans="1:186" ht="16.5" x14ac:dyDescent="0.2">
      <c r="K15" s="86">
        <v>11</v>
      </c>
      <c r="L15" s="86">
        <v>3</v>
      </c>
      <c r="M15" s="86">
        <v>3</v>
      </c>
      <c r="N15" s="86" t="str">
        <f t="shared" si="3"/>
        <v>神器3-3</v>
      </c>
      <c r="O15" s="86">
        <v>2</v>
      </c>
      <c r="P15" s="14">
        <f t="shared" si="4"/>
        <v>60</v>
      </c>
      <c r="Q15" s="88">
        <v>0.16</v>
      </c>
      <c r="R15" s="14">
        <v>1</v>
      </c>
      <c r="S15" s="14">
        <v>2</v>
      </c>
      <c r="T15" s="88">
        <v>0.16</v>
      </c>
      <c r="U15" s="14">
        <v>1</v>
      </c>
      <c r="V15" s="14">
        <v>3</v>
      </c>
      <c r="W15" s="88">
        <v>0.16</v>
      </c>
      <c r="X15" s="14">
        <v>2</v>
      </c>
      <c r="Y15" s="14">
        <v>4</v>
      </c>
      <c r="AB15" s="86">
        <v>10</v>
      </c>
      <c r="AC15" s="86">
        <v>5</v>
      </c>
      <c r="AD15" s="86">
        <f>SUM(AC$6:AC15)</f>
        <v>23</v>
      </c>
      <c r="AM15" s="89"/>
      <c r="AO15" s="86">
        <v>2</v>
      </c>
      <c r="AP15" s="86">
        <v>8</v>
      </c>
      <c r="AQ15" s="86">
        <v>2</v>
      </c>
      <c r="AR15" s="86">
        <v>1</v>
      </c>
      <c r="AS15" s="86" t="s">
        <v>328</v>
      </c>
      <c r="AT15" s="21">
        <f t="shared" si="0"/>
        <v>4.8000000000000001E-2</v>
      </c>
      <c r="AU15" s="86">
        <f t="shared" si="5"/>
        <v>1</v>
      </c>
      <c r="AV15" s="86">
        <f t="shared" si="6"/>
        <v>1</v>
      </c>
      <c r="AW15" s="87">
        <f t="shared" si="7"/>
        <v>4.8000000000000001E-2</v>
      </c>
      <c r="AX15" s="86">
        <f t="shared" si="8"/>
        <v>5.04</v>
      </c>
      <c r="BA15" s="86">
        <v>11</v>
      </c>
      <c r="BB15" s="14" t="e">
        <f>INDEX(节奏总表!#REF!,神器!BA15)</f>
        <v>#REF!</v>
      </c>
      <c r="BC15" s="14" t="e">
        <f t="shared" si="9"/>
        <v>#REF!</v>
      </c>
      <c r="BD15" s="14">
        <v>5</v>
      </c>
      <c r="BE15" s="14">
        <v>3</v>
      </c>
      <c r="BF15" s="14">
        <f t="shared" si="10"/>
        <v>0</v>
      </c>
      <c r="BG15" s="14">
        <f t="shared" si="10"/>
        <v>0</v>
      </c>
      <c r="BH15" s="14">
        <f t="shared" si="10"/>
        <v>0</v>
      </c>
      <c r="BI15" s="14">
        <f t="shared" si="10"/>
        <v>0</v>
      </c>
      <c r="BJ15" s="14">
        <f t="shared" si="10"/>
        <v>0</v>
      </c>
      <c r="BK15" s="14">
        <f t="shared" si="10"/>
        <v>0</v>
      </c>
      <c r="BL15" s="14">
        <f t="shared" si="10"/>
        <v>0</v>
      </c>
      <c r="BM15" s="14">
        <f t="shared" si="10"/>
        <v>0</v>
      </c>
      <c r="BN15" s="14">
        <f t="shared" si="10"/>
        <v>0</v>
      </c>
      <c r="BO15" s="14">
        <f t="shared" si="10"/>
        <v>0</v>
      </c>
      <c r="BP15" s="14">
        <f t="shared" si="10"/>
        <v>0</v>
      </c>
      <c r="BQ15" s="14">
        <f t="shared" si="10"/>
        <v>0</v>
      </c>
      <c r="BR15" s="14">
        <f t="shared" si="10"/>
        <v>0</v>
      </c>
      <c r="BS15" s="14">
        <f t="shared" si="10"/>
        <v>0</v>
      </c>
      <c r="BT15" s="14">
        <f t="shared" si="10"/>
        <v>0</v>
      </c>
      <c r="BU15" s="14">
        <f t="shared" si="10"/>
        <v>0</v>
      </c>
      <c r="BV15" s="14">
        <f t="shared" si="54"/>
        <v>0</v>
      </c>
      <c r="BW15" s="14">
        <f t="shared" si="54"/>
        <v>0</v>
      </c>
      <c r="BX15" s="14">
        <f t="shared" si="54"/>
        <v>0</v>
      </c>
      <c r="BY15" s="14">
        <f t="shared" si="54"/>
        <v>0</v>
      </c>
      <c r="BZ15" s="14">
        <f t="shared" si="54"/>
        <v>0</v>
      </c>
      <c r="CA15" s="14">
        <f t="shared" si="54"/>
        <v>0</v>
      </c>
      <c r="CB15" s="14">
        <f t="shared" si="54"/>
        <v>0</v>
      </c>
      <c r="CC15" s="14">
        <f t="shared" si="54"/>
        <v>0</v>
      </c>
      <c r="CD15" s="14">
        <f t="shared" si="54"/>
        <v>0</v>
      </c>
      <c r="CE15" s="14">
        <f t="shared" si="54"/>
        <v>0</v>
      </c>
      <c r="CF15" s="14">
        <f t="shared" si="55"/>
        <v>0</v>
      </c>
      <c r="CG15" s="14">
        <f t="shared" si="55"/>
        <v>0</v>
      </c>
      <c r="CH15" s="14">
        <f t="shared" si="55"/>
        <v>0</v>
      </c>
      <c r="CI15" s="14">
        <f t="shared" si="55"/>
        <v>0</v>
      </c>
      <c r="CJ15" s="14">
        <f t="shared" si="55"/>
        <v>0</v>
      </c>
      <c r="CK15" s="14">
        <f t="shared" si="55"/>
        <v>0</v>
      </c>
      <c r="CL15" s="14">
        <f t="shared" si="55"/>
        <v>0</v>
      </c>
      <c r="CM15" s="14">
        <f t="shared" si="55"/>
        <v>0</v>
      </c>
      <c r="CN15" s="14">
        <f t="shared" si="55"/>
        <v>0</v>
      </c>
      <c r="CO15" s="14">
        <f t="shared" si="55"/>
        <v>0</v>
      </c>
      <c r="CP15" s="14">
        <f t="shared" si="55"/>
        <v>0</v>
      </c>
      <c r="CQ15" s="14">
        <f t="shared" si="55"/>
        <v>0</v>
      </c>
      <c r="CR15" s="14">
        <f t="shared" si="55"/>
        <v>0</v>
      </c>
      <c r="CS15" s="14">
        <f t="shared" si="55"/>
        <v>0</v>
      </c>
      <c r="CT15" s="14">
        <f t="shared" si="55"/>
        <v>0</v>
      </c>
      <c r="CU15" s="14">
        <f t="shared" si="55"/>
        <v>0</v>
      </c>
      <c r="CW15" s="14">
        <f>SUM(BF$5:BF15)</f>
        <v>0</v>
      </c>
      <c r="CX15" s="14">
        <f>SUM(BG$5:BG15)</f>
        <v>0</v>
      </c>
      <c r="CY15" s="14">
        <f>SUM(BH$5:BH15)</f>
        <v>0</v>
      </c>
      <c r="CZ15" s="14">
        <f>SUM(BI$5:BI15)</f>
        <v>0</v>
      </c>
      <c r="DA15" s="14">
        <f>SUM(BJ$5:BJ15)</f>
        <v>0</v>
      </c>
      <c r="DB15" s="14">
        <f>SUM(BK$5:BK15)</f>
        <v>0</v>
      </c>
      <c r="DC15" s="14">
        <f>SUM(BL$5:BL15)</f>
        <v>0</v>
      </c>
      <c r="DD15" s="14">
        <f>SUM(BM$5:BM15)</f>
        <v>0</v>
      </c>
      <c r="DE15" s="14">
        <f>SUM(BN$5:BN15)</f>
        <v>0</v>
      </c>
      <c r="DF15" s="14">
        <f>SUM(BO$5:BO15)</f>
        <v>0</v>
      </c>
      <c r="DG15" s="14">
        <f>SUM(BP$5:BP15)</f>
        <v>0</v>
      </c>
      <c r="DH15" s="14">
        <f>SUM(BQ$5:BQ15)</f>
        <v>0</v>
      </c>
      <c r="DI15" s="14">
        <f>SUM(BR$5:BR15)</f>
        <v>0</v>
      </c>
      <c r="DJ15" s="14">
        <f>SUM(BS$5:BS15)</f>
        <v>0</v>
      </c>
      <c r="DK15" s="14">
        <f>SUM(BT$5:BT15)</f>
        <v>0</v>
      </c>
      <c r="DL15" s="14">
        <f>SUM(BU$5:BU15)</f>
        <v>0</v>
      </c>
      <c r="DM15" s="14">
        <f>SUM(BV$5:BV15)</f>
        <v>0</v>
      </c>
      <c r="DN15" s="14">
        <f>SUM(BW$5:BW15)</f>
        <v>0</v>
      </c>
      <c r="DO15" s="14">
        <f>SUM(BX$5:BX15)</f>
        <v>0</v>
      </c>
      <c r="DP15" s="14">
        <f>SUM(BY$5:BY15)</f>
        <v>0</v>
      </c>
      <c r="DQ15" s="14">
        <f>SUM(BZ$5:BZ15)</f>
        <v>0</v>
      </c>
      <c r="DR15" s="14">
        <f>SUM(CA$5:CA15)</f>
        <v>0</v>
      </c>
      <c r="DS15" s="14">
        <f>SUM(CB$5:CB15)</f>
        <v>0</v>
      </c>
      <c r="DT15" s="14">
        <f>SUM(CC$5:CC15)</f>
        <v>0</v>
      </c>
      <c r="DU15" s="14">
        <f>SUM(CD$5:CD15)</f>
        <v>0</v>
      </c>
      <c r="DV15" s="14">
        <f>SUM(CE$5:CE15)</f>
        <v>0</v>
      </c>
      <c r="DW15" s="14">
        <f>SUM(CF$5:CF15)</f>
        <v>0</v>
      </c>
      <c r="DX15" s="14">
        <f>SUM(CG$5:CG15)</f>
        <v>0</v>
      </c>
      <c r="DY15" s="14">
        <f>SUM(CH$5:CH15)</f>
        <v>0</v>
      </c>
      <c r="DZ15" s="14">
        <f>SUM(CI$5:CI15)</f>
        <v>0</v>
      </c>
      <c r="EA15" s="14">
        <f>SUM(CJ$5:CJ15)</f>
        <v>0</v>
      </c>
      <c r="EB15" s="14">
        <f>SUM(CK$5:CK15)</f>
        <v>0</v>
      </c>
      <c r="EC15" s="14">
        <f>SUM(CL$5:CL15)</f>
        <v>0</v>
      </c>
      <c r="ED15" s="14">
        <f>SUM(CM$5:CM15)</f>
        <v>0</v>
      </c>
      <c r="EE15" s="14">
        <f>SUM(CN$5:CN15)</f>
        <v>0</v>
      </c>
      <c r="EF15" s="14">
        <f>SUM(CO$5:CO15)</f>
        <v>0</v>
      </c>
      <c r="EG15" s="14">
        <f>SUM(CP$5:CP15)</f>
        <v>0</v>
      </c>
      <c r="EH15" s="14">
        <f>SUM(CQ$5:CQ15)</f>
        <v>0</v>
      </c>
      <c r="EI15" s="14">
        <f>SUM(CR$5:CR15)</f>
        <v>0</v>
      </c>
      <c r="EJ15" s="14">
        <f>SUM(CS$5:CS15)</f>
        <v>0</v>
      </c>
      <c r="EK15" s="14">
        <f>SUM(CT$5:CT15)</f>
        <v>0</v>
      </c>
      <c r="EL15" s="14">
        <f>SUM(CU$5:CU15)</f>
        <v>0</v>
      </c>
      <c r="EO15" s="87">
        <f t="shared" si="11"/>
        <v>0</v>
      </c>
      <c r="EP15" s="87">
        <f t="shared" si="12"/>
        <v>0</v>
      </c>
      <c r="EQ15" s="87">
        <f t="shared" si="13"/>
        <v>0</v>
      </c>
      <c r="ER15" s="87">
        <f t="shared" si="14"/>
        <v>0</v>
      </c>
      <c r="ES15" s="87">
        <f t="shared" si="15"/>
        <v>0</v>
      </c>
      <c r="ET15" s="87">
        <f t="shared" si="16"/>
        <v>0</v>
      </c>
      <c r="EU15" s="87">
        <f t="shared" si="17"/>
        <v>0</v>
      </c>
      <c r="EV15" s="87">
        <f t="shared" si="18"/>
        <v>0</v>
      </c>
      <c r="EW15" s="87">
        <f t="shared" si="19"/>
        <v>0</v>
      </c>
      <c r="EX15" s="87">
        <f t="shared" si="20"/>
        <v>0</v>
      </c>
      <c r="EY15" s="87">
        <f t="shared" si="21"/>
        <v>0</v>
      </c>
      <c r="EZ15" s="87">
        <f t="shared" si="22"/>
        <v>0</v>
      </c>
      <c r="FA15" s="87">
        <f t="shared" si="23"/>
        <v>0</v>
      </c>
      <c r="FB15" s="87">
        <f t="shared" si="24"/>
        <v>0</v>
      </c>
      <c r="FC15" s="87">
        <f t="shared" si="25"/>
        <v>0</v>
      </c>
      <c r="FD15" s="87">
        <f t="shared" si="26"/>
        <v>0</v>
      </c>
      <c r="FE15" s="87">
        <f t="shared" si="27"/>
        <v>0</v>
      </c>
      <c r="FF15" s="87">
        <f t="shared" si="28"/>
        <v>0</v>
      </c>
      <c r="FG15" s="87">
        <f t="shared" si="29"/>
        <v>0</v>
      </c>
      <c r="FH15" s="87">
        <f t="shared" si="30"/>
        <v>0</v>
      </c>
      <c r="FI15" s="87">
        <f t="shared" si="31"/>
        <v>0</v>
      </c>
      <c r="FJ15" s="87">
        <f t="shared" si="32"/>
        <v>0</v>
      </c>
      <c r="FK15" s="87">
        <f t="shared" si="33"/>
        <v>0</v>
      </c>
      <c r="FL15" s="87">
        <f t="shared" si="34"/>
        <v>0</v>
      </c>
      <c r="FM15" s="87">
        <f t="shared" si="35"/>
        <v>0</v>
      </c>
      <c r="FN15" s="87">
        <f t="shared" si="36"/>
        <v>0</v>
      </c>
      <c r="FO15" s="87">
        <f t="shared" si="37"/>
        <v>0</v>
      </c>
      <c r="FP15" s="87">
        <f t="shared" si="38"/>
        <v>0</v>
      </c>
      <c r="FQ15" s="87">
        <f t="shared" si="39"/>
        <v>0</v>
      </c>
      <c r="FR15" s="87">
        <f t="shared" si="40"/>
        <v>0</v>
      </c>
      <c r="FS15" s="87">
        <f t="shared" si="41"/>
        <v>0</v>
      </c>
      <c r="FT15" s="87">
        <f t="shared" si="42"/>
        <v>0</v>
      </c>
      <c r="FU15" s="87">
        <f t="shared" si="43"/>
        <v>0</v>
      </c>
      <c r="FV15" s="87">
        <f t="shared" si="44"/>
        <v>0</v>
      </c>
      <c r="FW15" s="87">
        <f t="shared" si="45"/>
        <v>0</v>
      </c>
      <c r="FX15" s="87">
        <f t="shared" si="46"/>
        <v>0</v>
      </c>
      <c r="FY15" s="87">
        <f t="shared" si="47"/>
        <v>0</v>
      </c>
      <c r="FZ15" s="87">
        <f t="shared" si="48"/>
        <v>0</v>
      </c>
      <c r="GA15" s="87">
        <f t="shared" si="49"/>
        <v>0</v>
      </c>
      <c r="GB15" s="87">
        <f t="shared" si="50"/>
        <v>0</v>
      </c>
      <c r="GC15" s="87">
        <f t="shared" si="51"/>
        <v>0</v>
      </c>
      <c r="GD15" s="87">
        <f t="shared" si="52"/>
        <v>0</v>
      </c>
    </row>
    <row r="16" spans="1:186" ht="16.5" x14ac:dyDescent="0.2">
      <c r="K16" s="86">
        <v>12</v>
      </c>
      <c r="L16" s="86">
        <v>3</v>
      </c>
      <c r="M16" s="86">
        <v>4</v>
      </c>
      <c r="N16" s="86" t="str">
        <f t="shared" si="3"/>
        <v>神器3-4</v>
      </c>
      <c r="O16" s="86">
        <v>2</v>
      </c>
      <c r="P16" s="14">
        <f t="shared" si="4"/>
        <v>60</v>
      </c>
      <c r="Q16" s="88">
        <v>0.16</v>
      </c>
      <c r="R16" s="14">
        <v>1</v>
      </c>
      <c r="S16" s="14">
        <v>2</v>
      </c>
      <c r="T16" s="88">
        <v>0.16</v>
      </c>
      <c r="U16" s="14">
        <v>1</v>
      </c>
      <c r="V16" s="14">
        <v>3</v>
      </c>
      <c r="W16" s="88">
        <v>0.16</v>
      </c>
      <c r="X16" s="14">
        <v>2</v>
      </c>
      <c r="Y16" s="14">
        <v>4</v>
      </c>
      <c r="AB16" s="86">
        <v>11</v>
      </c>
      <c r="AC16" s="86">
        <v>5</v>
      </c>
      <c r="AD16" s="86">
        <f>SUM(AC$6:AC16)</f>
        <v>28</v>
      </c>
      <c r="AO16" s="48">
        <v>3</v>
      </c>
      <c r="AP16" s="86">
        <v>1</v>
      </c>
      <c r="AQ16" s="86">
        <v>1</v>
      </c>
      <c r="AR16" s="48">
        <v>3</v>
      </c>
      <c r="AS16" s="86" t="s">
        <v>321</v>
      </c>
      <c r="AT16" s="21">
        <f t="shared" si="0"/>
        <v>0.1925</v>
      </c>
      <c r="AU16" s="86">
        <f t="shared" si="5"/>
        <v>3</v>
      </c>
      <c r="AV16" s="86">
        <f t="shared" si="6"/>
        <v>5</v>
      </c>
      <c r="AW16" s="87">
        <f t="shared" si="7"/>
        <v>0.77</v>
      </c>
      <c r="AX16" s="86">
        <f t="shared" si="8"/>
        <v>7.7</v>
      </c>
      <c r="BA16" s="86">
        <v>12</v>
      </c>
      <c r="BB16" s="14" t="e">
        <f>INDEX(节奏总表!#REF!,神器!BA16)</f>
        <v>#REF!</v>
      </c>
      <c r="BC16" s="14" t="e">
        <f t="shared" si="9"/>
        <v>#REF!</v>
      </c>
      <c r="BD16" s="14">
        <v>5</v>
      </c>
      <c r="BE16" s="14">
        <v>3</v>
      </c>
      <c r="BF16" s="14">
        <f t="shared" si="10"/>
        <v>0</v>
      </c>
      <c r="BG16" s="14">
        <f t="shared" si="10"/>
        <v>0</v>
      </c>
      <c r="BH16" s="14">
        <f t="shared" si="10"/>
        <v>0</v>
      </c>
      <c r="BI16" s="14">
        <f t="shared" si="10"/>
        <v>0</v>
      </c>
      <c r="BJ16" s="14">
        <f t="shared" si="10"/>
        <v>0</v>
      </c>
      <c r="BK16" s="14">
        <f t="shared" si="10"/>
        <v>0</v>
      </c>
      <c r="BL16" s="14">
        <f t="shared" si="10"/>
        <v>0</v>
      </c>
      <c r="BM16" s="14">
        <f t="shared" si="10"/>
        <v>0</v>
      </c>
      <c r="BN16" s="14">
        <f t="shared" si="10"/>
        <v>0</v>
      </c>
      <c r="BO16" s="14">
        <f t="shared" si="10"/>
        <v>0</v>
      </c>
      <c r="BP16" s="14">
        <f t="shared" si="10"/>
        <v>0</v>
      </c>
      <c r="BQ16" s="14">
        <f t="shared" si="10"/>
        <v>0</v>
      </c>
      <c r="BR16" s="14">
        <f t="shared" si="10"/>
        <v>0</v>
      </c>
      <c r="BS16" s="14">
        <f t="shared" si="10"/>
        <v>0</v>
      </c>
      <c r="BT16" s="14">
        <f t="shared" si="10"/>
        <v>0</v>
      </c>
      <c r="BU16" s="14">
        <f t="shared" si="10"/>
        <v>0</v>
      </c>
      <c r="BV16" s="14">
        <f t="shared" si="54"/>
        <v>0</v>
      </c>
      <c r="BW16" s="14">
        <f t="shared" si="54"/>
        <v>0</v>
      </c>
      <c r="BX16" s="14">
        <f t="shared" si="54"/>
        <v>0</v>
      </c>
      <c r="BY16" s="14">
        <f t="shared" si="54"/>
        <v>0</v>
      </c>
      <c r="BZ16" s="14">
        <f t="shared" si="54"/>
        <v>0</v>
      </c>
      <c r="CA16" s="14">
        <f t="shared" si="54"/>
        <v>0</v>
      </c>
      <c r="CB16" s="14">
        <f t="shared" si="54"/>
        <v>0</v>
      </c>
      <c r="CC16" s="14">
        <f t="shared" si="54"/>
        <v>0</v>
      </c>
      <c r="CD16" s="14">
        <f t="shared" si="54"/>
        <v>0</v>
      </c>
      <c r="CE16" s="14">
        <f t="shared" si="54"/>
        <v>0</v>
      </c>
      <c r="CF16" s="14">
        <f t="shared" si="55"/>
        <v>0</v>
      </c>
      <c r="CG16" s="14">
        <f t="shared" si="55"/>
        <v>0</v>
      </c>
      <c r="CH16" s="14">
        <f t="shared" si="55"/>
        <v>0</v>
      </c>
      <c r="CI16" s="14">
        <f t="shared" si="55"/>
        <v>0</v>
      </c>
      <c r="CJ16" s="14">
        <f t="shared" si="55"/>
        <v>0</v>
      </c>
      <c r="CK16" s="14">
        <f t="shared" si="55"/>
        <v>0</v>
      </c>
      <c r="CL16" s="14">
        <f t="shared" si="55"/>
        <v>0</v>
      </c>
      <c r="CM16" s="14">
        <f t="shared" si="55"/>
        <v>0</v>
      </c>
      <c r="CN16" s="14">
        <f t="shared" si="55"/>
        <v>0</v>
      </c>
      <c r="CO16" s="14">
        <f t="shared" si="55"/>
        <v>0</v>
      </c>
      <c r="CP16" s="14">
        <f t="shared" si="55"/>
        <v>0</v>
      </c>
      <c r="CQ16" s="14">
        <f t="shared" si="55"/>
        <v>0</v>
      </c>
      <c r="CR16" s="14">
        <f t="shared" si="55"/>
        <v>0</v>
      </c>
      <c r="CS16" s="14">
        <f t="shared" si="55"/>
        <v>0</v>
      </c>
      <c r="CT16" s="14">
        <f t="shared" si="55"/>
        <v>0</v>
      </c>
      <c r="CU16" s="14">
        <f t="shared" si="55"/>
        <v>0</v>
      </c>
      <c r="CW16" s="14">
        <f>SUM(BF$5:BF16)</f>
        <v>0</v>
      </c>
      <c r="CX16" s="14">
        <f>SUM(BG$5:BG16)</f>
        <v>0</v>
      </c>
      <c r="CY16" s="14">
        <f>SUM(BH$5:BH16)</f>
        <v>0</v>
      </c>
      <c r="CZ16" s="14">
        <f>SUM(BI$5:BI16)</f>
        <v>0</v>
      </c>
      <c r="DA16" s="14">
        <f>SUM(BJ$5:BJ16)</f>
        <v>0</v>
      </c>
      <c r="DB16" s="14">
        <f>SUM(BK$5:BK16)</f>
        <v>0</v>
      </c>
      <c r="DC16" s="14">
        <f>SUM(BL$5:BL16)</f>
        <v>0</v>
      </c>
      <c r="DD16" s="14">
        <f>SUM(BM$5:BM16)</f>
        <v>0</v>
      </c>
      <c r="DE16" s="14">
        <f>SUM(BN$5:BN16)</f>
        <v>0</v>
      </c>
      <c r="DF16" s="14">
        <f>SUM(BO$5:BO16)</f>
        <v>0</v>
      </c>
      <c r="DG16" s="14">
        <f>SUM(BP$5:BP16)</f>
        <v>0</v>
      </c>
      <c r="DH16" s="14">
        <f>SUM(BQ$5:BQ16)</f>
        <v>0</v>
      </c>
      <c r="DI16" s="14">
        <f>SUM(BR$5:BR16)</f>
        <v>0</v>
      </c>
      <c r="DJ16" s="14">
        <f>SUM(BS$5:BS16)</f>
        <v>0</v>
      </c>
      <c r="DK16" s="14">
        <f>SUM(BT$5:BT16)</f>
        <v>0</v>
      </c>
      <c r="DL16" s="14">
        <f>SUM(BU$5:BU16)</f>
        <v>0</v>
      </c>
      <c r="DM16" s="14">
        <f>SUM(BV$5:BV16)</f>
        <v>0</v>
      </c>
      <c r="DN16" s="14">
        <f>SUM(BW$5:BW16)</f>
        <v>0</v>
      </c>
      <c r="DO16" s="14">
        <f>SUM(BX$5:BX16)</f>
        <v>0</v>
      </c>
      <c r="DP16" s="14">
        <f>SUM(BY$5:BY16)</f>
        <v>0</v>
      </c>
      <c r="DQ16" s="14">
        <f>SUM(BZ$5:BZ16)</f>
        <v>0</v>
      </c>
      <c r="DR16" s="14">
        <f>SUM(CA$5:CA16)</f>
        <v>0</v>
      </c>
      <c r="DS16" s="14">
        <f>SUM(CB$5:CB16)</f>
        <v>0</v>
      </c>
      <c r="DT16" s="14">
        <f>SUM(CC$5:CC16)</f>
        <v>0</v>
      </c>
      <c r="DU16" s="14">
        <f>SUM(CD$5:CD16)</f>
        <v>0</v>
      </c>
      <c r="DV16" s="14">
        <f>SUM(CE$5:CE16)</f>
        <v>0</v>
      </c>
      <c r="DW16" s="14">
        <f>SUM(CF$5:CF16)</f>
        <v>0</v>
      </c>
      <c r="DX16" s="14">
        <f>SUM(CG$5:CG16)</f>
        <v>0</v>
      </c>
      <c r="DY16" s="14">
        <f>SUM(CH$5:CH16)</f>
        <v>0</v>
      </c>
      <c r="DZ16" s="14">
        <f>SUM(CI$5:CI16)</f>
        <v>0</v>
      </c>
      <c r="EA16" s="14">
        <f>SUM(CJ$5:CJ16)</f>
        <v>0</v>
      </c>
      <c r="EB16" s="14">
        <f>SUM(CK$5:CK16)</f>
        <v>0</v>
      </c>
      <c r="EC16" s="14">
        <f>SUM(CL$5:CL16)</f>
        <v>0</v>
      </c>
      <c r="ED16" s="14">
        <f>SUM(CM$5:CM16)</f>
        <v>0</v>
      </c>
      <c r="EE16" s="14">
        <f>SUM(CN$5:CN16)</f>
        <v>0</v>
      </c>
      <c r="EF16" s="14">
        <f>SUM(CO$5:CO16)</f>
        <v>0</v>
      </c>
      <c r="EG16" s="14">
        <f>SUM(CP$5:CP16)</f>
        <v>0</v>
      </c>
      <c r="EH16" s="14">
        <f>SUM(CQ$5:CQ16)</f>
        <v>0</v>
      </c>
      <c r="EI16" s="14">
        <f>SUM(CR$5:CR16)</f>
        <v>0</v>
      </c>
      <c r="EJ16" s="14">
        <f>SUM(CS$5:CS16)</f>
        <v>0</v>
      </c>
      <c r="EK16" s="14">
        <f>SUM(CT$5:CT16)</f>
        <v>0</v>
      </c>
      <c r="EL16" s="14">
        <f>SUM(CU$5:CU16)</f>
        <v>0</v>
      </c>
      <c r="EO16" s="87">
        <f t="shared" si="11"/>
        <v>0</v>
      </c>
      <c r="EP16" s="87">
        <f t="shared" si="12"/>
        <v>0</v>
      </c>
      <c r="EQ16" s="87">
        <f t="shared" si="13"/>
        <v>0</v>
      </c>
      <c r="ER16" s="87">
        <f t="shared" si="14"/>
        <v>0</v>
      </c>
      <c r="ES16" s="87">
        <f t="shared" si="15"/>
        <v>0</v>
      </c>
      <c r="ET16" s="87">
        <f t="shared" si="16"/>
        <v>0</v>
      </c>
      <c r="EU16" s="87">
        <f t="shared" si="17"/>
        <v>0</v>
      </c>
      <c r="EV16" s="87">
        <f t="shared" si="18"/>
        <v>0</v>
      </c>
      <c r="EW16" s="87">
        <f t="shared" si="19"/>
        <v>0</v>
      </c>
      <c r="EX16" s="87">
        <f t="shared" si="20"/>
        <v>0</v>
      </c>
      <c r="EY16" s="87">
        <f t="shared" si="21"/>
        <v>0</v>
      </c>
      <c r="EZ16" s="87">
        <f t="shared" si="22"/>
        <v>0</v>
      </c>
      <c r="FA16" s="87">
        <f t="shared" si="23"/>
        <v>0</v>
      </c>
      <c r="FB16" s="87">
        <f t="shared" si="24"/>
        <v>0</v>
      </c>
      <c r="FC16" s="87">
        <f t="shared" si="25"/>
        <v>0</v>
      </c>
      <c r="FD16" s="87">
        <f t="shared" si="26"/>
        <v>0</v>
      </c>
      <c r="FE16" s="87">
        <f t="shared" si="27"/>
        <v>0</v>
      </c>
      <c r="FF16" s="87">
        <f t="shared" si="28"/>
        <v>0</v>
      </c>
      <c r="FG16" s="87">
        <f t="shared" si="29"/>
        <v>0</v>
      </c>
      <c r="FH16" s="87">
        <f t="shared" si="30"/>
        <v>0</v>
      </c>
      <c r="FI16" s="87">
        <f t="shared" si="31"/>
        <v>0</v>
      </c>
      <c r="FJ16" s="87">
        <f t="shared" si="32"/>
        <v>0</v>
      </c>
      <c r="FK16" s="87">
        <f t="shared" si="33"/>
        <v>0</v>
      </c>
      <c r="FL16" s="87">
        <f t="shared" si="34"/>
        <v>0</v>
      </c>
      <c r="FM16" s="87">
        <f t="shared" si="35"/>
        <v>0</v>
      </c>
      <c r="FN16" s="87">
        <f t="shared" si="36"/>
        <v>0</v>
      </c>
      <c r="FO16" s="87">
        <f t="shared" si="37"/>
        <v>0</v>
      </c>
      <c r="FP16" s="87">
        <f t="shared" si="38"/>
        <v>0</v>
      </c>
      <c r="FQ16" s="87">
        <f t="shared" si="39"/>
        <v>0</v>
      </c>
      <c r="FR16" s="87">
        <f t="shared" si="40"/>
        <v>0</v>
      </c>
      <c r="FS16" s="87">
        <f t="shared" si="41"/>
        <v>0</v>
      </c>
      <c r="FT16" s="87">
        <f t="shared" si="42"/>
        <v>0</v>
      </c>
      <c r="FU16" s="87">
        <f t="shared" si="43"/>
        <v>0</v>
      </c>
      <c r="FV16" s="87">
        <f t="shared" si="44"/>
        <v>0</v>
      </c>
      <c r="FW16" s="87">
        <f t="shared" si="45"/>
        <v>0</v>
      </c>
      <c r="FX16" s="87">
        <f t="shared" si="46"/>
        <v>0</v>
      </c>
      <c r="FY16" s="87">
        <f t="shared" si="47"/>
        <v>0</v>
      </c>
      <c r="FZ16" s="87">
        <f t="shared" si="48"/>
        <v>0</v>
      </c>
      <c r="GA16" s="87">
        <f t="shared" si="49"/>
        <v>0</v>
      </c>
      <c r="GB16" s="87">
        <f t="shared" si="50"/>
        <v>0</v>
      </c>
      <c r="GC16" s="87">
        <f t="shared" si="51"/>
        <v>0</v>
      </c>
      <c r="GD16" s="87">
        <f t="shared" si="52"/>
        <v>0</v>
      </c>
    </row>
    <row r="17" spans="11:186" ht="16.5" x14ac:dyDescent="0.2">
      <c r="K17" s="86">
        <v>13</v>
      </c>
      <c r="L17" s="86">
        <v>3</v>
      </c>
      <c r="M17" s="86">
        <v>5</v>
      </c>
      <c r="N17" s="86" t="str">
        <f t="shared" si="3"/>
        <v>神器3-5</v>
      </c>
      <c r="O17" s="86">
        <v>3</v>
      </c>
      <c r="P17" s="14">
        <f t="shared" si="4"/>
        <v>140</v>
      </c>
      <c r="Q17" s="88">
        <v>0.12</v>
      </c>
      <c r="R17" s="14">
        <v>1</v>
      </c>
      <c r="S17" s="14">
        <v>1</v>
      </c>
      <c r="T17" s="88">
        <v>0.12</v>
      </c>
      <c r="U17" s="14">
        <v>1</v>
      </c>
      <c r="V17" s="14">
        <v>2</v>
      </c>
      <c r="W17" s="88">
        <v>0.12</v>
      </c>
      <c r="X17" s="14">
        <v>1</v>
      </c>
      <c r="Y17" s="14">
        <v>3</v>
      </c>
      <c r="AB17" s="86">
        <v>12</v>
      </c>
      <c r="AC17" s="86">
        <v>6</v>
      </c>
      <c r="AD17" s="86">
        <f>SUM(AC$6:AC17)</f>
        <v>34</v>
      </c>
      <c r="AO17" s="48">
        <v>3</v>
      </c>
      <c r="AP17" s="86">
        <v>2</v>
      </c>
      <c r="AQ17" s="86">
        <v>1</v>
      </c>
      <c r="AR17" s="48">
        <v>3</v>
      </c>
      <c r="AS17" s="86" t="s">
        <v>322</v>
      </c>
      <c r="AT17" s="21">
        <f t="shared" si="0"/>
        <v>0.1925</v>
      </c>
      <c r="AU17" s="86">
        <f t="shared" si="5"/>
        <v>3</v>
      </c>
      <c r="AV17" s="86">
        <f t="shared" si="6"/>
        <v>5</v>
      </c>
      <c r="AW17" s="87">
        <f t="shared" si="7"/>
        <v>0.77</v>
      </c>
      <c r="AX17" s="86">
        <f t="shared" si="8"/>
        <v>7.7</v>
      </c>
      <c r="BA17" s="86">
        <v>13</v>
      </c>
      <c r="BB17" s="14" t="e">
        <f>INDEX(节奏总表!#REF!,神器!BA17)</f>
        <v>#REF!</v>
      </c>
      <c r="BC17" s="14" t="e">
        <f t="shared" si="9"/>
        <v>#REF!</v>
      </c>
      <c r="BD17" s="14">
        <v>5</v>
      </c>
      <c r="BE17" s="14">
        <v>3</v>
      </c>
      <c r="BF17" s="14">
        <f t="shared" si="10"/>
        <v>0</v>
      </c>
      <c r="BG17" s="14">
        <f t="shared" si="10"/>
        <v>0</v>
      </c>
      <c r="BH17" s="14">
        <f t="shared" si="10"/>
        <v>0</v>
      </c>
      <c r="BI17" s="14">
        <f t="shared" si="10"/>
        <v>0</v>
      </c>
      <c r="BJ17" s="14">
        <f t="shared" si="10"/>
        <v>0</v>
      </c>
      <c r="BK17" s="14">
        <f t="shared" si="10"/>
        <v>0</v>
      </c>
      <c r="BL17" s="14">
        <f t="shared" si="10"/>
        <v>0</v>
      </c>
      <c r="BM17" s="14">
        <f t="shared" si="10"/>
        <v>0</v>
      </c>
      <c r="BN17" s="14">
        <f t="shared" si="10"/>
        <v>0</v>
      </c>
      <c r="BO17" s="14">
        <f t="shared" si="10"/>
        <v>0</v>
      </c>
      <c r="BP17" s="14">
        <f t="shared" si="10"/>
        <v>0</v>
      </c>
      <c r="BQ17" s="14">
        <f t="shared" si="10"/>
        <v>0</v>
      </c>
      <c r="BR17" s="14">
        <f t="shared" si="10"/>
        <v>0</v>
      </c>
      <c r="BS17" s="14">
        <f t="shared" si="10"/>
        <v>0</v>
      </c>
      <c r="BT17" s="14">
        <f t="shared" si="10"/>
        <v>0</v>
      </c>
      <c r="BU17" s="14">
        <f t="shared" si="10"/>
        <v>0</v>
      </c>
      <c r="BV17" s="14">
        <f t="shared" si="54"/>
        <v>0</v>
      </c>
      <c r="BW17" s="14">
        <f t="shared" si="54"/>
        <v>0</v>
      </c>
      <c r="BX17" s="14">
        <f t="shared" si="54"/>
        <v>0</v>
      </c>
      <c r="BY17" s="14">
        <f t="shared" si="54"/>
        <v>0</v>
      </c>
      <c r="BZ17" s="14">
        <f t="shared" si="54"/>
        <v>0</v>
      </c>
      <c r="CA17" s="14">
        <f t="shared" si="54"/>
        <v>0</v>
      </c>
      <c r="CB17" s="14">
        <f t="shared" si="54"/>
        <v>0</v>
      </c>
      <c r="CC17" s="14">
        <f t="shared" si="54"/>
        <v>0</v>
      </c>
      <c r="CD17" s="14">
        <f t="shared" si="54"/>
        <v>0</v>
      </c>
      <c r="CE17" s="14">
        <f t="shared" si="54"/>
        <v>0</v>
      </c>
      <c r="CF17" s="14">
        <f t="shared" si="55"/>
        <v>0</v>
      </c>
      <c r="CG17" s="14">
        <f t="shared" si="55"/>
        <v>0</v>
      </c>
      <c r="CH17" s="14">
        <f t="shared" si="55"/>
        <v>0</v>
      </c>
      <c r="CI17" s="14">
        <f t="shared" si="55"/>
        <v>0</v>
      </c>
      <c r="CJ17" s="14">
        <f t="shared" si="55"/>
        <v>0</v>
      </c>
      <c r="CK17" s="14">
        <f t="shared" si="55"/>
        <v>0</v>
      </c>
      <c r="CL17" s="14">
        <f t="shared" si="55"/>
        <v>0</v>
      </c>
      <c r="CM17" s="14">
        <f t="shared" si="55"/>
        <v>0</v>
      </c>
      <c r="CN17" s="14">
        <f t="shared" si="55"/>
        <v>0</v>
      </c>
      <c r="CO17" s="14">
        <f t="shared" si="55"/>
        <v>0</v>
      </c>
      <c r="CP17" s="14">
        <f t="shared" si="55"/>
        <v>0</v>
      </c>
      <c r="CQ17" s="14">
        <f t="shared" si="55"/>
        <v>0</v>
      </c>
      <c r="CR17" s="14">
        <f t="shared" si="55"/>
        <v>0</v>
      </c>
      <c r="CS17" s="14">
        <f t="shared" si="55"/>
        <v>0</v>
      </c>
      <c r="CT17" s="14">
        <f t="shared" si="55"/>
        <v>0</v>
      </c>
      <c r="CU17" s="14">
        <f t="shared" si="55"/>
        <v>0</v>
      </c>
      <c r="CW17" s="14">
        <f>SUM(BF$5:BF17)</f>
        <v>0</v>
      </c>
      <c r="CX17" s="14">
        <f>SUM(BG$5:BG17)</f>
        <v>0</v>
      </c>
      <c r="CY17" s="14">
        <f>SUM(BH$5:BH17)</f>
        <v>0</v>
      </c>
      <c r="CZ17" s="14">
        <f>SUM(BI$5:BI17)</f>
        <v>0</v>
      </c>
      <c r="DA17" s="14">
        <f>SUM(BJ$5:BJ17)</f>
        <v>0</v>
      </c>
      <c r="DB17" s="14">
        <f>SUM(BK$5:BK17)</f>
        <v>0</v>
      </c>
      <c r="DC17" s="14">
        <f>SUM(BL$5:BL17)</f>
        <v>0</v>
      </c>
      <c r="DD17" s="14">
        <f>SUM(BM$5:BM17)</f>
        <v>0</v>
      </c>
      <c r="DE17" s="14">
        <f>SUM(BN$5:BN17)</f>
        <v>0</v>
      </c>
      <c r="DF17" s="14">
        <f>SUM(BO$5:BO17)</f>
        <v>0</v>
      </c>
      <c r="DG17" s="14">
        <f>SUM(BP$5:BP17)</f>
        <v>0</v>
      </c>
      <c r="DH17" s="14">
        <f>SUM(BQ$5:BQ17)</f>
        <v>0</v>
      </c>
      <c r="DI17" s="14">
        <f>SUM(BR$5:BR17)</f>
        <v>0</v>
      </c>
      <c r="DJ17" s="14">
        <f>SUM(BS$5:BS17)</f>
        <v>0</v>
      </c>
      <c r="DK17" s="14">
        <f>SUM(BT$5:BT17)</f>
        <v>0</v>
      </c>
      <c r="DL17" s="14">
        <f>SUM(BU$5:BU17)</f>
        <v>0</v>
      </c>
      <c r="DM17" s="14">
        <f>SUM(BV$5:BV17)</f>
        <v>0</v>
      </c>
      <c r="DN17" s="14">
        <f>SUM(BW$5:BW17)</f>
        <v>0</v>
      </c>
      <c r="DO17" s="14">
        <f>SUM(BX$5:BX17)</f>
        <v>0</v>
      </c>
      <c r="DP17" s="14">
        <f>SUM(BY$5:BY17)</f>
        <v>0</v>
      </c>
      <c r="DQ17" s="14">
        <f>SUM(BZ$5:BZ17)</f>
        <v>0</v>
      </c>
      <c r="DR17" s="14">
        <f>SUM(CA$5:CA17)</f>
        <v>0</v>
      </c>
      <c r="DS17" s="14">
        <f>SUM(CB$5:CB17)</f>
        <v>0</v>
      </c>
      <c r="DT17" s="14">
        <f>SUM(CC$5:CC17)</f>
        <v>0</v>
      </c>
      <c r="DU17" s="14">
        <f>SUM(CD$5:CD17)</f>
        <v>0</v>
      </c>
      <c r="DV17" s="14">
        <f>SUM(CE$5:CE17)</f>
        <v>0</v>
      </c>
      <c r="DW17" s="14">
        <f>SUM(CF$5:CF17)</f>
        <v>0</v>
      </c>
      <c r="DX17" s="14">
        <f>SUM(CG$5:CG17)</f>
        <v>0</v>
      </c>
      <c r="DY17" s="14">
        <f>SUM(CH$5:CH17)</f>
        <v>0</v>
      </c>
      <c r="DZ17" s="14">
        <f>SUM(CI$5:CI17)</f>
        <v>0</v>
      </c>
      <c r="EA17" s="14">
        <f>SUM(CJ$5:CJ17)</f>
        <v>0</v>
      </c>
      <c r="EB17" s="14">
        <f>SUM(CK$5:CK17)</f>
        <v>0</v>
      </c>
      <c r="EC17" s="14">
        <f>SUM(CL$5:CL17)</f>
        <v>0</v>
      </c>
      <c r="ED17" s="14">
        <f>SUM(CM$5:CM17)</f>
        <v>0</v>
      </c>
      <c r="EE17" s="14">
        <f>SUM(CN$5:CN17)</f>
        <v>0</v>
      </c>
      <c r="EF17" s="14">
        <f>SUM(CO$5:CO17)</f>
        <v>0</v>
      </c>
      <c r="EG17" s="14">
        <f>SUM(CP$5:CP17)</f>
        <v>0</v>
      </c>
      <c r="EH17" s="14">
        <f>SUM(CQ$5:CQ17)</f>
        <v>0</v>
      </c>
      <c r="EI17" s="14">
        <f>SUM(CR$5:CR17)</f>
        <v>0</v>
      </c>
      <c r="EJ17" s="14">
        <f>SUM(CS$5:CS17)</f>
        <v>0</v>
      </c>
      <c r="EK17" s="14">
        <f>SUM(CT$5:CT17)</f>
        <v>0</v>
      </c>
      <c r="EL17" s="14">
        <f>SUM(CU$5:CU17)</f>
        <v>0</v>
      </c>
      <c r="EO17" s="87">
        <f t="shared" si="11"/>
        <v>0</v>
      </c>
      <c r="EP17" s="87">
        <f t="shared" si="12"/>
        <v>0</v>
      </c>
      <c r="EQ17" s="87">
        <f t="shared" si="13"/>
        <v>0</v>
      </c>
      <c r="ER17" s="87">
        <f t="shared" si="14"/>
        <v>0</v>
      </c>
      <c r="ES17" s="87">
        <f t="shared" si="15"/>
        <v>0</v>
      </c>
      <c r="ET17" s="87">
        <f t="shared" si="16"/>
        <v>0</v>
      </c>
      <c r="EU17" s="87">
        <f t="shared" si="17"/>
        <v>0</v>
      </c>
      <c r="EV17" s="87">
        <f t="shared" si="18"/>
        <v>0</v>
      </c>
      <c r="EW17" s="87">
        <f t="shared" si="19"/>
        <v>0</v>
      </c>
      <c r="EX17" s="87">
        <f t="shared" si="20"/>
        <v>0</v>
      </c>
      <c r="EY17" s="87">
        <f t="shared" si="21"/>
        <v>0</v>
      </c>
      <c r="EZ17" s="87">
        <f t="shared" si="22"/>
        <v>0</v>
      </c>
      <c r="FA17" s="87">
        <f t="shared" si="23"/>
        <v>0</v>
      </c>
      <c r="FB17" s="87">
        <f t="shared" si="24"/>
        <v>0</v>
      </c>
      <c r="FC17" s="87">
        <f t="shared" si="25"/>
        <v>0</v>
      </c>
      <c r="FD17" s="87">
        <f t="shared" si="26"/>
        <v>0</v>
      </c>
      <c r="FE17" s="87">
        <f t="shared" si="27"/>
        <v>0</v>
      </c>
      <c r="FF17" s="87">
        <f t="shared" si="28"/>
        <v>0</v>
      </c>
      <c r="FG17" s="87">
        <f t="shared" si="29"/>
        <v>0</v>
      </c>
      <c r="FH17" s="87">
        <f t="shared" si="30"/>
        <v>0</v>
      </c>
      <c r="FI17" s="87">
        <f t="shared" si="31"/>
        <v>0</v>
      </c>
      <c r="FJ17" s="87">
        <f t="shared" si="32"/>
        <v>0</v>
      </c>
      <c r="FK17" s="87">
        <f t="shared" si="33"/>
        <v>0</v>
      </c>
      <c r="FL17" s="87">
        <f t="shared" si="34"/>
        <v>0</v>
      </c>
      <c r="FM17" s="87">
        <f t="shared" si="35"/>
        <v>0</v>
      </c>
      <c r="FN17" s="87">
        <f t="shared" si="36"/>
        <v>0</v>
      </c>
      <c r="FO17" s="87">
        <f t="shared" si="37"/>
        <v>0</v>
      </c>
      <c r="FP17" s="87">
        <f t="shared" si="38"/>
        <v>0</v>
      </c>
      <c r="FQ17" s="87">
        <f t="shared" si="39"/>
        <v>0</v>
      </c>
      <c r="FR17" s="87">
        <f t="shared" si="40"/>
        <v>0</v>
      </c>
      <c r="FS17" s="87">
        <f t="shared" si="41"/>
        <v>0</v>
      </c>
      <c r="FT17" s="87">
        <f t="shared" si="42"/>
        <v>0</v>
      </c>
      <c r="FU17" s="87">
        <f t="shared" si="43"/>
        <v>0</v>
      </c>
      <c r="FV17" s="87">
        <f t="shared" si="44"/>
        <v>0</v>
      </c>
      <c r="FW17" s="87">
        <f t="shared" si="45"/>
        <v>0</v>
      </c>
      <c r="FX17" s="87">
        <f t="shared" si="46"/>
        <v>0</v>
      </c>
      <c r="FY17" s="87">
        <f t="shared" si="47"/>
        <v>0</v>
      </c>
      <c r="FZ17" s="87">
        <f t="shared" si="48"/>
        <v>0</v>
      </c>
      <c r="GA17" s="87">
        <f t="shared" si="49"/>
        <v>0</v>
      </c>
      <c r="GB17" s="87">
        <f t="shared" si="50"/>
        <v>0</v>
      </c>
      <c r="GC17" s="87">
        <f t="shared" si="51"/>
        <v>0</v>
      </c>
      <c r="GD17" s="87">
        <f t="shared" si="52"/>
        <v>0</v>
      </c>
    </row>
    <row r="18" spans="11:186" ht="16.5" x14ac:dyDescent="0.2">
      <c r="K18" s="86">
        <v>14</v>
      </c>
      <c r="L18" s="86">
        <v>3</v>
      </c>
      <c r="M18" s="86">
        <v>6</v>
      </c>
      <c r="N18" s="86" t="str">
        <f t="shared" si="3"/>
        <v>神器3-6</v>
      </c>
      <c r="O18" s="86">
        <v>4</v>
      </c>
      <c r="P18" s="14">
        <f t="shared" si="4"/>
        <v>300</v>
      </c>
      <c r="Q18" s="88">
        <v>0.06</v>
      </c>
      <c r="R18" s="14">
        <v>1</v>
      </c>
      <c r="S18" s="14">
        <v>1</v>
      </c>
      <c r="T18" s="88">
        <v>0.06</v>
      </c>
      <c r="U18" s="14">
        <v>1</v>
      </c>
      <c r="V18" s="14">
        <v>2</v>
      </c>
      <c r="W18" s="88">
        <v>0.06</v>
      </c>
      <c r="X18" s="14">
        <v>1</v>
      </c>
      <c r="Y18" s="14">
        <v>3</v>
      </c>
      <c r="AB18" s="86">
        <v>13</v>
      </c>
      <c r="AC18" s="86">
        <v>7</v>
      </c>
      <c r="AD18" s="86">
        <f>SUM(AC$6:AC18)</f>
        <v>41</v>
      </c>
      <c r="AO18" s="48">
        <v>3</v>
      </c>
      <c r="AP18" s="86">
        <v>3</v>
      </c>
      <c r="AQ18" s="86">
        <v>1</v>
      </c>
      <c r="AR18" s="48">
        <v>3</v>
      </c>
      <c r="AS18" s="86" t="s">
        <v>323</v>
      </c>
      <c r="AT18" s="21">
        <f t="shared" si="0"/>
        <v>0.16500000000000001</v>
      </c>
      <c r="AU18" s="86">
        <f t="shared" si="5"/>
        <v>2</v>
      </c>
      <c r="AV18" s="86">
        <f t="shared" si="6"/>
        <v>4</v>
      </c>
      <c r="AW18" s="87">
        <f t="shared" si="7"/>
        <v>0.495</v>
      </c>
      <c r="AX18" s="86">
        <f t="shared" si="8"/>
        <v>14.850000000000001</v>
      </c>
      <c r="BA18" s="86">
        <v>14</v>
      </c>
      <c r="BB18" s="14" t="e">
        <f>INDEX(节奏总表!#REF!,神器!BA18)</f>
        <v>#REF!</v>
      </c>
      <c r="BC18" s="14" t="e">
        <f t="shared" si="9"/>
        <v>#REF!</v>
      </c>
      <c r="BD18" s="14">
        <v>5</v>
      </c>
      <c r="BE18" s="14">
        <v>3</v>
      </c>
      <c r="BF18" s="14">
        <f t="shared" si="10"/>
        <v>0</v>
      </c>
      <c r="BG18" s="14">
        <f t="shared" si="10"/>
        <v>0</v>
      </c>
      <c r="BH18" s="14">
        <f t="shared" si="10"/>
        <v>0</v>
      </c>
      <c r="BI18" s="14">
        <f t="shared" si="10"/>
        <v>0</v>
      </c>
      <c r="BJ18" s="14">
        <f t="shared" si="10"/>
        <v>0</v>
      </c>
      <c r="BK18" s="14">
        <f t="shared" si="10"/>
        <v>0</v>
      </c>
      <c r="BL18" s="14">
        <f t="shared" si="10"/>
        <v>0</v>
      </c>
      <c r="BM18" s="14">
        <f t="shared" si="10"/>
        <v>0</v>
      </c>
      <c r="BN18" s="14">
        <f t="shared" si="10"/>
        <v>0</v>
      </c>
      <c r="BO18" s="14">
        <f t="shared" si="10"/>
        <v>0</v>
      </c>
      <c r="BP18" s="14">
        <f t="shared" si="10"/>
        <v>0</v>
      </c>
      <c r="BQ18" s="14">
        <f t="shared" si="10"/>
        <v>0</v>
      </c>
      <c r="BR18" s="14">
        <f t="shared" si="10"/>
        <v>0</v>
      </c>
      <c r="BS18" s="14">
        <f t="shared" si="10"/>
        <v>0</v>
      </c>
      <c r="BT18" s="14">
        <f t="shared" si="10"/>
        <v>0</v>
      </c>
      <c r="BU18" s="14">
        <f t="shared" si="10"/>
        <v>0</v>
      </c>
      <c r="BV18" s="14">
        <f t="shared" si="54"/>
        <v>0</v>
      </c>
      <c r="BW18" s="14">
        <f t="shared" si="54"/>
        <v>0</v>
      </c>
      <c r="BX18" s="14">
        <f t="shared" si="54"/>
        <v>0</v>
      </c>
      <c r="BY18" s="14">
        <f t="shared" si="54"/>
        <v>0</v>
      </c>
      <c r="BZ18" s="14">
        <f t="shared" si="54"/>
        <v>0</v>
      </c>
      <c r="CA18" s="14">
        <f t="shared" si="54"/>
        <v>0</v>
      </c>
      <c r="CB18" s="14">
        <f t="shared" si="54"/>
        <v>0</v>
      </c>
      <c r="CC18" s="14">
        <f t="shared" si="54"/>
        <v>0</v>
      </c>
      <c r="CD18" s="14">
        <f t="shared" si="54"/>
        <v>0</v>
      </c>
      <c r="CE18" s="14">
        <f t="shared" si="54"/>
        <v>0</v>
      </c>
      <c r="CF18" s="14">
        <f t="shared" si="55"/>
        <v>0</v>
      </c>
      <c r="CG18" s="14">
        <f t="shared" si="55"/>
        <v>0</v>
      </c>
      <c r="CH18" s="14">
        <f t="shared" si="55"/>
        <v>0</v>
      </c>
      <c r="CI18" s="14">
        <f t="shared" si="55"/>
        <v>0</v>
      </c>
      <c r="CJ18" s="14">
        <f t="shared" si="55"/>
        <v>0</v>
      </c>
      <c r="CK18" s="14">
        <f t="shared" si="55"/>
        <v>0</v>
      </c>
      <c r="CL18" s="14">
        <f t="shared" si="55"/>
        <v>0</v>
      </c>
      <c r="CM18" s="14">
        <f t="shared" si="55"/>
        <v>0</v>
      </c>
      <c r="CN18" s="14">
        <f t="shared" si="55"/>
        <v>0</v>
      </c>
      <c r="CO18" s="14">
        <f t="shared" si="55"/>
        <v>0</v>
      </c>
      <c r="CP18" s="14">
        <f t="shared" si="55"/>
        <v>0</v>
      </c>
      <c r="CQ18" s="14">
        <f t="shared" si="55"/>
        <v>0</v>
      </c>
      <c r="CR18" s="14">
        <f t="shared" si="55"/>
        <v>0</v>
      </c>
      <c r="CS18" s="14">
        <f t="shared" si="55"/>
        <v>0</v>
      </c>
      <c r="CT18" s="14">
        <f t="shared" si="55"/>
        <v>0</v>
      </c>
      <c r="CU18" s="14">
        <f t="shared" si="55"/>
        <v>0</v>
      </c>
      <c r="CW18" s="14">
        <f>SUM(BF$5:BF18)</f>
        <v>0</v>
      </c>
      <c r="CX18" s="14">
        <f>SUM(BG$5:BG18)</f>
        <v>0</v>
      </c>
      <c r="CY18" s="14">
        <f>SUM(BH$5:BH18)</f>
        <v>0</v>
      </c>
      <c r="CZ18" s="14">
        <f>SUM(BI$5:BI18)</f>
        <v>0</v>
      </c>
      <c r="DA18" s="14">
        <f>SUM(BJ$5:BJ18)</f>
        <v>0</v>
      </c>
      <c r="DB18" s="14">
        <f>SUM(BK$5:BK18)</f>
        <v>0</v>
      </c>
      <c r="DC18" s="14">
        <f>SUM(BL$5:BL18)</f>
        <v>0</v>
      </c>
      <c r="DD18" s="14">
        <f>SUM(BM$5:BM18)</f>
        <v>0</v>
      </c>
      <c r="DE18" s="14">
        <f>SUM(BN$5:BN18)</f>
        <v>0</v>
      </c>
      <c r="DF18" s="14">
        <f>SUM(BO$5:BO18)</f>
        <v>0</v>
      </c>
      <c r="DG18" s="14">
        <f>SUM(BP$5:BP18)</f>
        <v>0</v>
      </c>
      <c r="DH18" s="14">
        <f>SUM(BQ$5:BQ18)</f>
        <v>0</v>
      </c>
      <c r="DI18" s="14">
        <f>SUM(BR$5:BR18)</f>
        <v>0</v>
      </c>
      <c r="DJ18" s="14">
        <f>SUM(BS$5:BS18)</f>
        <v>0</v>
      </c>
      <c r="DK18" s="14">
        <f>SUM(BT$5:BT18)</f>
        <v>0</v>
      </c>
      <c r="DL18" s="14">
        <f>SUM(BU$5:BU18)</f>
        <v>0</v>
      </c>
      <c r="DM18" s="14">
        <f>SUM(BV$5:BV18)</f>
        <v>0</v>
      </c>
      <c r="DN18" s="14">
        <f>SUM(BW$5:BW18)</f>
        <v>0</v>
      </c>
      <c r="DO18" s="14">
        <f>SUM(BX$5:BX18)</f>
        <v>0</v>
      </c>
      <c r="DP18" s="14">
        <f>SUM(BY$5:BY18)</f>
        <v>0</v>
      </c>
      <c r="DQ18" s="14">
        <f>SUM(BZ$5:BZ18)</f>
        <v>0</v>
      </c>
      <c r="DR18" s="14">
        <f>SUM(CA$5:CA18)</f>
        <v>0</v>
      </c>
      <c r="DS18" s="14">
        <f>SUM(CB$5:CB18)</f>
        <v>0</v>
      </c>
      <c r="DT18" s="14">
        <f>SUM(CC$5:CC18)</f>
        <v>0</v>
      </c>
      <c r="DU18" s="14">
        <f>SUM(CD$5:CD18)</f>
        <v>0</v>
      </c>
      <c r="DV18" s="14">
        <f>SUM(CE$5:CE18)</f>
        <v>0</v>
      </c>
      <c r="DW18" s="14">
        <f>SUM(CF$5:CF18)</f>
        <v>0</v>
      </c>
      <c r="DX18" s="14">
        <f>SUM(CG$5:CG18)</f>
        <v>0</v>
      </c>
      <c r="DY18" s="14">
        <f>SUM(CH$5:CH18)</f>
        <v>0</v>
      </c>
      <c r="DZ18" s="14">
        <f>SUM(CI$5:CI18)</f>
        <v>0</v>
      </c>
      <c r="EA18" s="14">
        <f>SUM(CJ$5:CJ18)</f>
        <v>0</v>
      </c>
      <c r="EB18" s="14">
        <f>SUM(CK$5:CK18)</f>
        <v>0</v>
      </c>
      <c r="EC18" s="14">
        <f>SUM(CL$5:CL18)</f>
        <v>0</v>
      </c>
      <c r="ED18" s="14">
        <f>SUM(CM$5:CM18)</f>
        <v>0</v>
      </c>
      <c r="EE18" s="14">
        <f>SUM(CN$5:CN18)</f>
        <v>0</v>
      </c>
      <c r="EF18" s="14">
        <f>SUM(CO$5:CO18)</f>
        <v>0</v>
      </c>
      <c r="EG18" s="14">
        <f>SUM(CP$5:CP18)</f>
        <v>0</v>
      </c>
      <c r="EH18" s="14">
        <f>SUM(CQ$5:CQ18)</f>
        <v>0</v>
      </c>
      <c r="EI18" s="14">
        <f>SUM(CR$5:CR18)</f>
        <v>0</v>
      </c>
      <c r="EJ18" s="14">
        <f>SUM(CS$5:CS18)</f>
        <v>0</v>
      </c>
      <c r="EK18" s="14">
        <f>SUM(CT$5:CT18)</f>
        <v>0</v>
      </c>
      <c r="EL18" s="14">
        <f>SUM(CU$5:CU18)</f>
        <v>0</v>
      </c>
      <c r="EO18" s="87">
        <f t="shared" si="11"/>
        <v>0</v>
      </c>
      <c r="EP18" s="87">
        <f t="shared" si="12"/>
        <v>0</v>
      </c>
      <c r="EQ18" s="87">
        <f t="shared" si="13"/>
        <v>0</v>
      </c>
      <c r="ER18" s="87">
        <f t="shared" si="14"/>
        <v>0</v>
      </c>
      <c r="ES18" s="87">
        <f t="shared" si="15"/>
        <v>0</v>
      </c>
      <c r="ET18" s="87">
        <f t="shared" si="16"/>
        <v>0</v>
      </c>
      <c r="EU18" s="87">
        <f t="shared" si="17"/>
        <v>0</v>
      </c>
      <c r="EV18" s="87">
        <f t="shared" si="18"/>
        <v>0</v>
      </c>
      <c r="EW18" s="87">
        <f t="shared" si="19"/>
        <v>0</v>
      </c>
      <c r="EX18" s="87">
        <f t="shared" si="20"/>
        <v>0</v>
      </c>
      <c r="EY18" s="87">
        <f t="shared" si="21"/>
        <v>0</v>
      </c>
      <c r="EZ18" s="87">
        <f t="shared" si="22"/>
        <v>0</v>
      </c>
      <c r="FA18" s="87">
        <f t="shared" si="23"/>
        <v>0</v>
      </c>
      <c r="FB18" s="87">
        <f t="shared" si="24"/>
        <v>0</v>
      </c>
      <c r="FC18" s="87">
        <f t="shared" si="25"/>
        <v>0</v>
      </c>
      <c r="FD18" s="87">
        <f t="shared" si="26"/>
        <v>0</v>
      </c>
      <c r="FE18" s="87">
        <f t="shared" si="27"/>
        <v>0</v>
      </c>
      <c r="FF18" s="87">
        <f t="shared" si="28"/>
        <v>0</v>
      </c>
      <c r="FG18" s="87">
        <f t="shared" si="29"/>
        <v>0</v>
      </c>
      <c r="FH18" s="87">
        <f t="shared" si="30"/>
        <v>0</v>
      </c>
      <c r="FI18" s="87">
        <f t="shared" si="31"/>
        <v>0</v>
      </c>
      <c r="FJ18" s="87">
        <f t="shared" si="32"/>
        <v>0</v>
      </c>
      <c r="FK18" s="87">
        <f t="shared" si="33"/>
        <v>0</v>
      </c>
      <c r="FL18" s="87">
        <f t="shared" si="34"/>
        <v>0</v>
      </c>
      <c r="FM18" s="87">
        <f t="shared" si="35"/>
        <v>0</v>
      </c>
      <c r="FN18" s="87">
        <f t="shared" si="36"/>
        <v>0</v>
      </c>
      <c r="FO18" s="87">
        <f t="shared" si="37"/>
        <v>0</v>
      </c>
      <c r="FP18" s="87">
        <f t="shared" si="38"/>
        <v>0</v>
      </c>
      <c r="FQ18" s="87">
        <f t="shared" si="39"/>
        <v>0</v>
      </c>
      <c r="FR18" s="87">
        <f t="shared" si="40"/>
        <v>0</v>
      </c>
      <c r="FS18" s="87">
        <f t="shared" si="41"/>
        <v>0</v>
      </c>
      <c r="FT18" s="87">
        <f t="shared" si="42"/>
        <v>0</v>
      </c>
      <c r="FU18" s="87">
        <f t="shared" si="43"/>
        <v>0</v>
      </c>
      <c r="FV18" s="87">
        <f t="shared" si="44"/>
        <v>0</v>
      </c>
      <c r="FW18" s="87">
        <f t="shared" si="45"/>
        <v>0</v>
      </c>
      <c r="FX18" s="87">
        <f t="shared" si="46"/>
        <v>0</v>
      </c>
      <c r="FY18" s="87">
        <f t="shared" si="47"/>
        <v>0</v>
      </c>
      <c r="FZ18" s="87">
        <f t="shared" si="48"/>
        <v>0</v>
      </c>
      <c r="GA18" s="87">
        <f t="shared" si="49"/>
        <v>0</v>
      </c>
      <c r="GB18" s="87">
        <f t="shared" si="50"/>
        <v>0</v>
      </c>
      <c r="GC18" s="87">
        <f t="shared" si="51"/>
        <v>0</v>
      </c>
      <c r="GD18" s="87">
        <f t="shared" si="52"/>
        <v>0</v>
      </c>
    </row>
    <row r="19" spans="11:186" ht="16.5" x14ac:dyDescent="0.2">
      <c r="K19" s="86">
        <v>15</v>
      </c>
      <c r="L19" s="86">
        <v>4</v>
      </c>
      <c r="M19" s="86">
        <v>1</v>
      </c>
      <c r="N19" s="86" t="str">
        <f t="shared" si="3"/>
        <v>神器4-1</v>
      </c>
      <c r="O19" s="86">
        <v>1</v>
      </c>
      <c r="P19" s="14">
        <f t="shared" si="4"/>
        <v>25</v>
      </c>
      <c r="Q19" s="88">
        <v>0.25</v>
      </c>
      <c r="R19" s="14">
        <v>1</v>
      </c>
      <c r="S19" s="14">
        <v>3</v>
      </c>
      <c r="T19" s="88">
        <v>0.25</v>
      </c>
      <c r="U19" s="14">
        <v>2</v>
      </c>
      <c r="V19" s="14">
        <v>4</v>
      </c>
      <c r="W19" s="88">
        <v>0.25</v>
      </c>
      <c r="X19" s="14">
        <v>3</v>
      </c>
      <c r="Y19" s="14">
        <v>5</v>
      </c>
      <c r="AB19" s="86">
        <v>14</v>
      </c>
      <c r="AC19" s="86">
        <v>7</v>
      </c>
      <c r="AD19" s="86">
        <f>SUM(AC$6:AC19)</f>
        <v>48</v>
      </c>
      <c r="AO19" s="48">
        <v>3</v>
      </c>
      <c r="AP19" s="86">
        <v>4</v>
      </c>
      <c r="AQ19" s="86">
        <v>2</v>
      </c>
      <c r="AR19" s="48">
        <v>2</v>
      </c>
      <c r="AS19" s="86" t="s">
        <v>324</v>
      </c>
      <c r="AT19" s="21">
        <f t="shared" si="0"/>
        <v>7.8E-2</v>
      </c>
      <c r="AU19" s="86">
        <f t="shared" si="5"/>
        <v>2</v>
      </c>
      <c r="AV19" s="86">
        <f t="shared" si="6"/>
        <v>4</v>
      </c>
      <c r="AW19" s="87">
        <f t="shared" si="7"/>
        <v>0.23399999999999999</v>
      </c>
      <c r="AX19" s="86">
        <f t="shared" si="8"/>
        <v>3.51</v>
      </c>
      <c r="BA19" s="86">
        <v>15</v>
      </c>
      <c r="BB19" s="14" t="e">
        <f>INDEX(节奏总表!#REF!,神器!BA19)</f>
        <v>#REF!</v>
      </c>
      <c r="BC19" s="14" t="e">
        <f t="shared" si="9"/>
        <v>#REF!</v>
      </c>
      <c r="BD19" s="14">
        <v>5</v>
      </c>
      <c r="BE19" s="14">
        <v>3</v>
      </c>
      <c r="BF19" s="14">
        <f t="shared" si="10"/>
        <v>0</v>
      </c>
      <c r="BG19" s="14">
        <f t="shared" si="10"/>
        <v>0</v>
      </c>
      <c r="BH19" s="14">
        <f t="shared" si="10"/>
        <v>0</v>
      </c>
      <c r="BI19" s="14">
        <f t="shared" si="10"/>
        <v>0</v>
      </c>
      <c r="BJ19" s="14">
        <f t="shared" si="10"/>
        <v>0</v>
      </c>
      <c r="BK19" s="14">
        <f t="shared" si="10"/>
        <v>0</v>
      </c>
      <c r="BL19" s="14">
        <f t="shared" si="10"/>
        <v>0</v>
      </c>
      <c r="BM19" s="14">
        <f t="shared" si="10"/>
        <v>0</v>
      </c>
      <c r="BN19" s="14">
        <f t="shared" si="10"/>
        <v>0</v>
      </c>
      <c r="BO19" s="14">
        <f t="shared" si="10"/>
        <v>0</v>
      </c>
      <c r="BP19" s="14">
        <f t="shared" si="10"/>
        <v>0</v>
      </c>
      <c r="BQ19" s="14">
        <f t="shared" si="10"/>
        <v>0</v>
      </c>
      <c r="BR19" s="14">
        <f t="shared" si="10"/>
        <v>0</v>
      </c>
      <c r="BS19" s="14">
        <f t="shared" si="10"/>
        <v>0</v>
      </c>
      <c r="BT19" s="14">
        <f t="shared" si="10"/>
        <v>0</v>
      </c>
      <c r="BU19" s="14">
        <f t="shared" si="10"/>
        <v>0</v>
      </c>
      <c r="BV19" s="14">
        <f t="shared" si="54"/>
        <v>0</v>
      </c>
      <c r="BW19" s="14">
        <f t="shared" si="54"/>
        <v>0</v>
      </c>
      <c r="BX19" s="14">
        <f t="shared" si="54"/>
        <v>0</v>
      </c>
      <c r="BY19" s="14">
        <f t="shared" si="54"/>
        <v>0</v>
      </c>
      <c r="BZ19" s="14">
        <f t="shared" si="54"/>
        <v>0</v>
      </c>
      <c r="CA19" s="14">
        <f t="shared" si="54"/>
        <v>0</v>
      </c>
      <c r="CB19" s="14">
        <f t="shared" si="54"/>
        <v>0</v>
      </c>
      <c r="CC19" s="14">
        <f t="shared" si="54"/>
        <v>0</v>
      </c>
      <c r="CD19" s="14">
        <f t="shared" si="54"/>
        <v>0</v>
      </c>
      <c r="CE19" s="14">
        <f t="shared" si="54"/>
        <v>0</v>
      </c>
      <c r="CF19" s="14">
        <f t="shared" si="55"/>
        <v>0</v>
      </c>
      <c r="CG19" s="14">
        <f t="shared" si="55"/>
        <v>0</v>
      </c>
      <c r="CH19" s="14">
        <f t="shared" si="55"/>
        <v>0</v>
      </c>
      <c r="CI19" s="14">
        <f t="shared" si="55"/>
        <v>0</v>
      </c>
      <c r="CJ19" s="14">
        <f t="shared" si="55"/>
        <v>0</v>
      </c>
      <c r="CK19" s="14">
        <f t="shared" si="55"/>
        <v>0</v>
      </c>
      <c r="CL19" s="14">
        <f t="shared" si="55"/>
        <v>0</v>
      </c>
      <c r="CM19" s="14">
        <f t="shared" si="55"/>
        <v>0</v>
      </c>
      <c r="CN19" s="14">
        <f t="shared" si="55"/>
        <v>0</v>
      </c>
      <c r="CO19" s="14">
        <f t="shared" si="55"/>
        <v>0</v>
      </c>
      <c r="CP19" s="14">
        <f t="shared" si="55"/>
        <v>0</v>
      </c>
      <c r="CQ19" s="14">
        <f t="shared" si="55"/>
        <v>0</v>
      </c>
      <c r="CR19" s="14">
        <f t="shared" si="55"/>
        <v>0</v>
      </c>
      <c r="CS19" s="14">
        <f t="shared" si="55"/>
        <v>0</v>
      </c>
      <c r="CT19" s="14">
        <f t="shared" si="55"/>
        <v>0</v>
      </c>
      <c r="CU19" s="14">
        <f t="shared" si="55"/>
        <v>0</v>
      </c>
      <c r="CW19" s="14">
        <f>SUM(BF$5:BF19)</f>
        <v>0</v>
      </c>
      <c r="CX19" s="14">
        <f>SUM(BG$5:BG19)</f>
        <v>0</v>
      </c>
      <c r="CY19" s="14">
        <f>SUM(BH$5:BH19)</f>
        <v>0</v>
      </c>
      <c r="CZ19" s="14">
        <f>SUM(BI$5:BI19)</f>
        <v>0</v>
      </c>
      <c r="DA19" s="14">
        <f>SUM(BJ$5:BJ19)</f>
        <v>0</v>
      </c>
      <c r="DB19" s="14">
        <f>SUM(BK$5:BK19)</f>
        <v>0</v>
      </c>
      <c r="DC19" s="14">
        <f>SUM(BL$5:BL19)</f>
        <v>0</v>
      </c>
      <c r="DD19" s="14">
        <f>SUM(BM$5:BM19)</f>
        <v>0</v>
      </c>
      <c r="DE19" s="14">
        <f>SUM(BN$5:BN19)</f>
        <v>0</v>
      </c>
      <c r="DF19" s="14">
        <f>SUM(BO$5:BO19)</f>
        <v>0</v>
      </c>
      <c r="DG19" s="14">
        <f>SUM(BP$5:BP19)</f>
        <v>0</v>
      </c>
      <c r="DH19" s="14">
        <f>SUM(BQ$5:BQ19)</f>
        <v>0</v>
      </c>
      <c r="DI19" s="14">
        <f>SUM(BR$5:BR19)</f>
        <v>0</v>
      </c>
      <c r="DJ19" s="14">
        <f>SUM(BS$5:BS19)</f>
        <v>0</v>
      </c>
      <c r="DK19" s="14">
        <f>SUM(BT$5:BT19)</f>
        <v>0</v>
      </c>
      <c r="DL19" s="14">
        <f>SUM(BU$5:BU19)</f>
        <v>0</v>
      </c>
      <c r="DM19" s="14">
        <f>SUM(BV$5:BV19)</f>
        <v>0</v>
      </c>
      <c r="DN19" s="14">
        <f>SUM(BW$5:BW19)</f>
        <v>0</v>
      </c>
      <c r="DO19" s="14">
        <f>SUM(BX$5:BX19)</f>
        <v>0</v>
      </c>
      <c r="DP19" s="14">
        <f>SUM(BY$5:BY19)</f>
        <v>0</v>
      </c>
      <c r="DQ19" s="14">
        <f>SUM(BZ$5:BZ19)</f>
        <v>0</v>
      </c>
      <c r="DR19" s="14">
        <f>SUM(CA$5:CA19)</f>
        <v>0</v>
      </c>
      <c r="DS19" s="14">
        <f>SUM(CB$5:CB19)</f>
        <v>0</v>
      </c>
      <c r="DT19" s="14">
        <f>SUM(CC$5:CC19)</f>
        <v>0</v>
      </c>
      <c r="DU19" s="14">
        <f>SUM(CD$5:CD19)</f>
        <v>0</v>
      </c>
      <c r="DV19" s="14">
        <f>SUM(CE$5:CE19)</f>
        <v>0</v>
      </c>
      <c r="DW19" s="14">
        <f>SUM(CF$5:CF19)</f>
        <v>0</v>
      </c>
      <c r="DX19" s="14">
        <f>SUM(CG$5:CG19)</f>
        <v>0</v>
      </c>
      <c r="DY19" s="14">
        <f>SUM(CH$5:CH19)</f>
        <v>0</v>
      </c>
      <c r="DZ19" s="14">
        <f>SUM(CI$5:CI19)</f>
        <v>0</v>
      </c>
      <c r="EA19" s="14">
        <f>SUM(CJ$5:CJ19)</f>
        <v>0</v>
      </c>
      <c r="EB19" s="14">
        <f>SUM(CK$5:CK19)</f>
        <v>0</v>
      </c>
      <c r="EC19" s="14">
        <f>SUM(CL$5:CL19)</f>
        <v>0</v>
      </c>
      <c r="ED19" s="14">
        <f>SUM(CM$5:CM19)</f>
        <v>0</v>
      </c>
      <c r="EE19" s="14">
        <f>SUM(CN$5:CN19)</f>
        <v>0</v>
      </c>
      <c r="EF19" s="14">
        <f>SUM(CO$5:CO19)</f>
        <v>0</v>
      </c>
      <c r="EG19" s="14">
        <f>SUM(CP$5:CP19)</f>
        <v>0</v>
      </c>
      <c r="EH19" s="14">
        <f>SUM(CQ$5:CQ19)</f>
        <v>0</v>
      </c>
      <c r="EI19" s="14">
        <f>SUM(CR$5:CR19)</f>
        <v>0</v>
      </c>
      <c r="EJ19" s="14">
        <f>SUM(CS$5:CS19)</f>
        <v>0</v>
      </c>
      <c r="EK19" s="14">
        <f>SUM(CT$5:CT19)</f>
        <v>0</v>
      </c>
      <c r="EL19" s="14">
        <f>SUM(CU$5:CU19)</f>
        <v>0</v>
      </c>
      <c r="EO19" s="87">
        <f t="shared" si="11"/>
        <v>0</v>
      </c>
      <c r="EP19" s="87">
        <f t="shared" si="12"/>
        <v>0</v>
      </c>
      <c r="EQ19" s="87">
        <f t="shared" si="13"/>
        <v>0</v>
      </c>
      <c r="ER19" s="87">
        <f t="shared" si="14"/>
        <v>0</v>
      </c>
      <c r="ES19" s="87">
        <f t="shared" si="15"/>
        <v>0</v>
      </c>
      <c r="ET19" s="87">
        <f t="shared" si="16"/>
        <v>0</v>
      </c>
      <c r="EU19" s="87">
        <f t="shared" si="17"/>
        <v>0</v>
      </c>
      <c r="EV19" s="87">
        <f t="shared" si="18"/>
        <v>0</v>
      </c>
      <c r="EW19" s="87">
        <f t="shared" si="19"/>
        <v>0</v>
      </c>
      <c r="EX19" s="87">
        <f t="shared" si="20"/>
        <v>0</v>
      </c>
      <c r="EY19" s="87">
        <f t="shared" si="21"/>
        <v>0</v>
      </c>
      <c r="EZ19" s="87">
        <f t="shared" si="22"/>
        <v>0</v>
      </c>
      <c r="FA19" s="87">
        <f t="shared" si="23"/>
        <v>0</v>
      </c>
      <c r="FB19" s="87">
        <f t="shared" si="24"/>
        <v>0</v>
      </c>
      <c r="FC19" s="87">
        <f t="shared" si="25"/>
        <v>0</v>
      </c>
      <c r="FD19" s="87">
        <f t="shared" si="26"/>
        <v>0</v>
      </c>
      <c r="FE19" s="87">
        <f t="shared" si="27"/>
        <v>0</v>
      </c>
      <c r="FF19" s="87">
        <f t="shared" si="28"/>
        <v>0</v>
      </c>
      <c r="FG19" s="87">
        <f t="shared" si="29"/>
        <v>0</v>
      </c>
      <c r="FH19" s="87">
        <f t="shared" si="30"/>
        <v>0</v>
      </c>
      <c r="FI19" s="87">
        <f t="shared" si="31"/>
        <v>0</v>
      </c>
      <c r="FJ19" s="87">
        <f t="shared" si="32"/>
        <v>0</v>
      </c>
      <c r="FK19" s="87">
        <f t="shared" si="33"/>
        <v>0</v>
      </c>
      <c r="FL19" s="87">
        <f t="shared" si="34"/>
        <v>0</v>
      </c>
      <c r="FM19" s="87">
        <f t="shared" si="35"/>
        <v>0</v>
      </c>
      <c r="FN19" s="87">
        <f t="shared" si="36"/>
        <v>0</v>
      </c>
      <c r="FO19" s="87">
        <f t="shared" si="37"/>
        <v>0</v>
      </c>
      <c r="FP19" s="87">
        <f t="shared" si="38"/>
        <v>0</v>
      </c>
      <c r="FQ19" s="87">
        <f t="shared" si="39"/>
        <v>0</v>
      </c>
      <c r="FR19" s="87">
        <f t="shared" si="40"/>
        <v>0</v>
      </c>
      <c r="FS19" s="87">
        <f t="shared" si="41"/>
        <v>0</v>
      </c>
      <c r="FT19" s="87">
        <f t="shared" si="42"/>
        <v>0</v>
      </c>
      <c r="FU19" s="87">
        <f t="shared" si="43"/>
        <v>0</v>
      </c>
      <c r="FV19" s="87">
        <f t="shared" si="44"/>
        <v>0</v>
      </c>
      <c r="FW19" s="87">
        <f t="shared" si="45"/>
        <v>0</v>
      </c>
      <c r="FX19" s="87">
        <f t="shared" si="46"/>
        <v>0</v>
      </c>
      <c r="FY19" s="87">
        <f t="shared" si="47"/>
        <v>0</v>
      </c>
      <c r="FZ19" s="87">
        <f t="shared" si="48"/>
        <v>0</v>
      </c>
      <c r="GA19" s="87">
        <f t="shared" si="49"/>
        <v>0</v>
      </c>
      <c r="GB19" s="87">
        <f t="shared" si="50"/>
        <v>0</v>
      </c>
      <c r="GC19" s="87">
        <f t="shared" si="51"/>
        <v>0</v>
      </c>
      <c r="GD19" s="87">
        <f t="shared" si="52"/>
        <v>0</v>
      </c>
    </row>
    <row r="20" spans="11:186" ht="16.5" x14ac:dyDescent="0.2">
      <c r="K20" s="86">
        <v>16</v>
      </c>
      <c r="L20" s="86">
        <v>4</v>
      </c>
      <c r="M20" s="86">
        <v>2</v>
      </c>
      <c r="N20" s="86" t="str">
        <f t="shared" si="3"/>
        <v>神器4-2</v>
      </c>
      <c r="O20" s="86">
        <v>1</v>
      </c>
      <c r="P20" s="14">
        <f t="shared" si="4"/>
        <v>25</v>
      </c>
      <c r="Q20" s="88">
        <v>0.25</v>
      </c>
      <c r="R20" s="14">
        <v>1</v>
      </c>
      <c r="S20" s="14">
        <v>3</v>
      </c>
      <c r="T20" s="88">
        <v>0.25</v>
      </c>
      <c r="U20" s="14">
        <v>2</v>
      </c>
      <c r="V20" s="14">
        <v>4</v>
      </c>
      <c r="W20" s="88">
        <v>0.25</v>
      </c>
      <c r="X20" s="14">
        <v>3</v>
      </c>
      <c r="Y20" s="14">
        <v>5</v>
      </c>
      <c r="AB20" s="86">
        <v>15</v>
      </c>
      <c r="AC20" s="86">
        <v>7</v>
      </c>
      <c r="AD20" s="86">
        <f>SUM(AC$6:AC20)</f>
        <v>55</v>
      </c>
      <c r="AO20" s="48">
        <v>3</v>
      </c>
      <c r="AP20" s="86">
        <v>5</v>
      </c>
      <c r="AQ20" s="86">
        <v>2</v>
      </c>
      <c r="AR20" s="48">
        <v>2</v>
      </c>
      <c r="AS20" s="86" t="s">
        <v>325</v>
      </c>
      <c r="AT20" s="21">
        <f t="shared" si="0"/>
        <v>7.8E-2</v>
      </c>
      <c r="AU20" s="86">
        <f t="shared" si="5"/>
        <v>2</v>
      </c>
      <c r="AV20" s="86">
        <f t="shared" si="6"/>
        <v>4</v>
      </c>
      <c r="AW20" s="87">
        <f t="shared" si="7"/>
        <v>0.23399999999999999</v>
      </c>
      <c r="AX20" s="86">
        <f t="shared" si="8"/>
        <v>3.51</v>
      </c>
      <c r="BA20" s="86">
        <v>16</v>
      </c>
      <c r="BB20" s="14" t="e">
        <f>INDEX(节奏总表!#REF!,神器!BA20)</f>
        <v>#REF!</v>
      </c>
      <c r="BC20" s="14" t="e">
        <f t="shared" si="9"/>
        <v>#REF!</v>
      </c>
      <c r="BD20" s="14">
        <v>5</v>
      </c>
      <c r="BE20" s="14">
        <v>3</v>
      </c>
      <c r="BF20" s="14">
        <f t="shared" si="10"/>
        <v>0</v>
      </c>
      <c r="BG20" s="14">
        <f t="shared" si="10"/>
        <v>0</v>
      </c>
      <c r="BH20" s="14">
        <f t="shared" si="10"/>
        <v>0</v>
      </c>
      <c r="BI20" s="14">
        <f t="shared" si="10"/>
        <v>0</v>
      </c>
      <c r="BJ20" s="14">
        <f t="shared" si="10"/>
        <v>0</v>
      </c>
      <c r="BK20" s="14">
        <f t="shared" si="10"/>
        <v>0</v>
      </c>
      <c r="BL20" s="14">
        <f t="shared" si="10"/>
        <v>0</v>
      </c>
      <c r="BM20" s="14">
        <f t="shared" si="10"/>
        <v>0</v>
      </c>
      <c r="BN20" s="14">
        <f t="shared" si="10"/>
        <v>0</v>
      </c>
      <c r="BO20" s="14">
        <f t="shared" si="10"/>
        <v>0</v>
      </c>
      <c r="BP20" s="14">
        <f t="shared" si="10"/>
        <v>0</v>
      </c>
      <c r="BQ20" s="14">
        <f t="shared" si="10"/>
        <v>0</v>
      </c>
      <c r="BR20" s="14">
        <f t="shared" si="10"/>
        <v>0</v>
      </c>
      <c r="BS20" s="14">
        <f t="shared" si="10"/>
        <v>0</v>
      </c>
      <c r="BT20" s="14">
        <f t="shared" si="10"/>
        <v>0</v>
      </c>
      <c r="BU20" s="14">
        <f t="shared" si="10"/>
        <v>0</v>
      </c>
      <c r="BV20" s="14">
        <f t="shared" si="54"/>
        <v>0</v>
      </c>
      <c r="BW20" s="14">
        <f t="shared" si="54"/>
        <v>0</v>
      </c>
      <c r="BX20" s="14">
        <f t="shared" si="54"/>
        <v>0</v>
      </c>
      <c r="BY20" s="14">
        <f t="shared" si="54"/>
        <v>0</v>
      </c>
      <c r="BZ20" s="14">
        <f t="shared" si="54"/>
        <v>0</v>
      </c>
      <c r="CA20" s="14">
        <f t="shared" si="54"/>
        <v>0</v>
      </c>
      <c r="CB20" s="14">
        <f t="shared" si="54"/>
        <v>0</v>
      </c>
      <c r="CC20" s="14">
        <f t="shared" si="54"/>
        <v>0</v>
      </c>
      <c r="CD20" s="14">
        <f t="shared" si="54"/>
        <v>0</v>
      </c>
      <c r="CE20" s="14">
        <f t="shared" si="54"/>
        <v>0</v>
      </c>
      <c r="CF20" s="14">
        <f t="shared" si="55"/>
        <v>0</v>
      </c>
      <c r="CG20" s="14">
        <f t="shared" si="55"/>
        <v>0</v>
      </c>
      <c r="CH20" s="14">
        <f t="shared" si="55"/>
        <v>0</v>
      </c>
      <c r="CI20" s="14">
        <f t="shared" si="55"/>
        <v>0</v>
      </c>
      <c r="CJ20" s="14">
        <f t="shared" si="55"/>
        <v>0</v>
      </c>
      <c r="CK20" s="14">
        <f t="shared" si="55"/>
        <v>0</v>
      </c>
      <c r="CL20" s="14">
        <f t="shared" si="55"/>
        <v>0</v>
      </c>
      <c r="CM20" s="14">
        <f t="shared" si="55"/>
        <v>0</v>
      </c>
      <c r="CN20" s="14">
        <f t="shared" si="55"/>
        <v>0</v>
      </c>
      <c r="CO20" s="14">
        <f t="shared" si="55"/>
        <v>0</v>
      </c>
      <c r="CP20" s="14">
        <f t="shared" si="55"/>
        <v>0</v>
      </c>
      <c r="CQ20" s="14">
        <f t="shared" si="55"/>
        <v>0</v>
      </c>
      <c r="CR20" s="14">
        <f t="shared" si="55"/>
        <v>0</v>
      </c>
      <c r="CS20" s="14">
        <f t="shared" si="55"/>
        <v>0</v>
      </c>
      <c r="CT20" s="14">
        <f t="shared" si="55"/>
        <v>0</v>
      </c>
      <c r="CU20" s="14">
        <f t="shared" si="55"/>
        <v>0</v>
      </c>
      <c r="CW20" s="14">
        <f>SUM(BF$5:BF20)</f>
        <v>0</v>
      </c>
      <c r="CX20" s="14">
        <f>SUM(BG$5:BG20)</f>
        <v>0</v>
      </c>
      <c r="CY20" s="14">
        <f>SUM(BH$5:BH20)</f>
        <v>0</v>
      </c>
      <c r="CZ20" s="14">
        <f>SUM(BI$5:BI20)</f>
        <v>0</v>
      </c>
      <c r="DA20" s="14">
        <f>SUM(BJ$5:BJ20)</f>
        <v>0</v>
      </c>
      <c r="DB20" s="14">
        <f>SUM(BK$5:BK20)</f>
        <v>0</v>
      </c>
      <c r="DC20" s="14">
        <f>SUM(BL$5:BL20)</f>
        <v>0</v>
      </c>
      <c r="DD20" s="14">
        <f>SUM(BM$5:BM20)</f>
        <v>0</v>
      </c>
      <c r="DE20" s="14">
        <f>SUM(BN$5:BN20)</f>
        <v>0</v>
      </c>
      <c r="DF20" s="14">
        <f>SUM(BO$5:BO20)</f>
        <v>0</v>
      </c>
      <c r="DG20" s="14">
        <f>SUM(BP$5:BP20)</f>
        <v>0</v>
      </c>
      <c r="DH20" s="14">
        <f>SUM(BQ$5:BQ20)</f>
        <v>0</v>
      </c>
      <c r="DI20" s="14">
        <f>SUM(BR$5:BR20)</f>
        <v>0</v>
      </c>
      <c r="DJ20" s="14">
        <f>SUM(BS$5:BS20)</f>
        <v>0</v>
      </c>
      <c r="DK20" s="14">
        <f>SUM(BT$5:BT20)</f>
        <v>0</v>
      </c>
      <c r="DL20" s="14">
        <f>SUM(BU$5:BU20)</f>
        <v>0</v>
      </c>
      <c r="DM20" s="14">
        <f>SUM(BV$5:BV20)</f>
        <v>0</v>
      </c>
      <c r="DN20" s="14">
        <f>SUM(BW$5:BW20)</f>
        <v>0</v>
      </c>
      <c r="DO20" s="14">
        <f>SUM(BX$5:BX20)</f>
        <v>0</v>
      </c>
      <c r="DP20" s="14">
        <f>SUM(BY$5:BY20)</f>
        <v>0</v>
      </c>
      <c r="DQ20" s="14">
        <f>SUM(BZ$5:BZ20)</f>
        <v>0</v>
      </c>
      <c r="DR20" s="14">
        <f>SUM(CA$5:CA20)</f>
        <v>0</v>
      </c>
      <c r="DS20" s="14">
        <f>SUM(CB$5:CB20)</f>
        <v>0</v>
      </c>
      <c r="DT20" s="14">
        <f>SUM(CC$5:CC20)</f>
        <v>0</v>
      </c>
      <c r="DU20" s="14">
        <f>SUM(CD$5:CD20)</f>
        <v>0</v>
      </c>
      <c r="DV20" s="14">
        <f>SUM(CE$5:CE20)</f>
        <v>0</v>
      </c>
      <c r="DW20" s="14">
        <f>SUM(CF$5:CF20)</f>
        <v>0</v>
      </c>
      <c r="DX20" s="14">
        <f>SUM(CG$5:CG20)</f>
        <v>0</v>
      </c>
      <c r="DY20" s="14">
        <f>SUM(CH$5:CH20)</f>
        <v>0</v>
      </c>
      <c r="DZ20" s="14">
        <f>SUM(CI$5:CI20)</f>
        <v>0</v>
      </c>
      <c r="EA20" s="14">
        <f>SUM(CJ$5:CJ20)</f>
        <v>0</v>
      </c>
      <c r="EB20" s="14">
        <f>SUM(CK$5:CK20)</f>
        <v>0</v>
      </c>
      <c r="EC20" s="14">
        <f>SUM(CL$5:CL20)</f>
        <v>0</v>
      </c>
      <c r="ED20" s="14">
        <f>SUM(CM$5:CM20)</f>
        <v>0</v>
      </c>
      <c r="EE20" s="14">
        <f>SUM(CN$5:CN20)</f>
        <v>0</v>
      </c>
      <c r="EF20" s="14">
        <f>SUM(CO$5:CO20)</f>
        <v>0</v>
      </c>
      <c r="EG20" s="14">
        <f>SUM(CP$5:CP20)</f>
        <v>0</v>
      </c>
      <c r="EH20" s="14">
        <f>SUM(CQ$5:CQ20)</f>
        <v>0</v>
      </c>
      <c r="EI20" s="14">
        <f>SUM(CR$5:CR20)</f>
        <v>0</v>
      </c>
      <c r="EJ20" s="14">
        <f>SUM(CS$5:CS20)</f>
        <v>0</v>
      </c>
      <c r="EK20" s="14">
        <f>SUM(CT$5:CT20)</f>
        <v>0</v>
      </c>
      <c r="EL20" s="14">
        <f>SUM(CU$5:CU20)</f>
        <v>0</v>
      </c>
      <c r="EO20" s="87">
        <f t="shared" si="11"/>
        <v>0</v>
      </c>
      <c r="EP20" s="87">
        <f t="shared" si="12"/>
        <v>0</v>
      </c>
      <c r="EQ20" s="87">
        <f t="shared" si="13"/>
        <v>0</v>
      </c>
      <c r="ER20" s="87">
        <f t="shared" si="14"/>
        <v>0</v>
      </c>
      <c r="ES20" s="87">
        <f t="shared" si="15"/>
        <v>0</v>
      </c>
      <c r="ET20" s="87">
        <f t="shared" si="16"/>
        <v>0</v>
      </c>
      <c r="EU20" s="87">
        <f t="shared" si="17"/>
        <v>0</v>
      </c>
      <c r="EV20" s="87">
        <f t="shared" si="18"/>
        <v>0</v>
      </c>
      <c r="EW20" s="87">
        <f t="shared" si="19"/>
        <v>0</v>
      </c>
      <c r="EX20" s="87">
        <f t="shared" si="20"/>
        <v>0</v>
      </c>
      <c r="EY20" s="87">
        <f t="shared" si="21"/>
        <v>0</v>
      </c>
      <c r="EZ20" s="87">
        <f t="shared" si="22"/>
        <v>0</v>
      </c>
      <c r="FA20" s="87">
        <f t="shared" si="23"/>
        <v>0</v>
      </c>
      <c r="FB20" s="87">
        <f t="shared" si="24"/>
        <v>0</v>
      </c>
      <c r="FC20" s="87">
        <f t="shared" si="25"/>
        <v>0</v>
      </c>
      <c r="FD20" s="87">
        <f t="shared" si="26"/>
        <v>0</v>
      </c>
      <c r="FE20" s="87">
        <f t="shared" si="27"/>
        <v>0</v>
      </c>
      <c r="FF20" s="87">
        <f t="shared" si="28"/>
        <v>0</v>
      </c>
      <c r="FG20" s="87">
        <f t="shared" si="29"/>
        <v>0</v>
      </c>
      <c r="FH20" s="87">
        <f t="shared" si="30"/>
        <v>0</v>
      </c>
      <c r="FI20" s="87">
        <f t="shared" si="31"/>
        <v>0</v>
      </c>
      <c r="FJ20" s="87">
        <f t="shared" si="32"/>
        <v>0</v>
      </c>
      <c r="FK20" s="87">
        <f t="shared" si="33"/>
        <v>0</v>
      </c>
      <c r="FL20" s="87">
        <f t="shared" si="34"/>
        <v>0</v>
      </c>
      <c r="FM20" s="87">
        <f t="shared" si="35"/>
        <v>0</v>
      </c>
      <c r="FN20" s="87">
        <f t="shared" si="36"/>
        <v>0</v>
      </c>
      <c r="FO20" s="87">
        <f t="shared" si="37"/>
        <v>0</v>
      </c>
      <c r="FP20" s="87">
        <f t="shared" si="38"/>
        <v>0</v>
      </c>
      <c r="FQ20" s="87">
        <f t="shared" si="39"/>
        <v>0</v>
      </c>
      <c r="FR20" s="87">
        <f t="shared" si="40"/>
        <v>0</v>
      </c>
      <c r="FS20" s="87">
        <f t="shared" si="41"/>
        <v>0</v>
      </c>
      <c r="FT20" s="87">
        <f t="shared" si="42"/>
        <v>0</v>
      </c>
      <c r="FU20" s="87">
        <f t="shared" si="43"/>
        <v>0</v>
      </c>
      <c r="FV20" s="87">
        <f t="shared" si="44"/>
        <v>0</v>
      </c>
      <c r="FW20" s="87">
        <f t="shared" si="45"/>
        <v>0</v>
      </c>
      <c r="FX20" s="87">
        <f t="shared" si="46"/>
        <v>0</v>
      </c>
      <c r="FY20" s="87">
        <f t="shared" si="47"/>
        <v>0</v>
      </c>
      <c r="FZ20" s="87">
        <f t="shared" si="48"/>
        <v>0</v>
      </c>
      <c r="GA20" s="87">
        <f t="shared" si="49"/>
        <v>0</v>
      </c>
      <c r="GB20" s="87">
        <f t="shared" si="50"/>
        <v>0</v>
      </c>
      <c r="GC20" s="87">
        <f t="shared" si="51"/>
        <v>0</v>
      </c>
      <c r="GD20" s="87">
        <f t="shared" si="52"/>
        <v>0</v>
      </c>
    </row>
    <row r="21" spans="11:186" ht="16.5" x14ac:dyDescent="0.2">
      <c r="K21" s="86">
        <v>17</v>
      </c>
      <c r="L21" s="86">
        <v>4</v>
      </c>
      <c r="M21" s="86">
        <v>3</v>
      </c>
      <c r="N21" s="86" t="str">
        <f t="shared" si="3"/>
        <v>神器4-3</v>
      </c>
      <c r="O21" s="86">
        <v>2</v>
      </c>
      <c r="P21" s="14">
        <f t="shared" si="4"/>
        <v>75</v>
      </c>
      <c r="Q21" s="88">
        <v>0.16</v>
      </c>
      <c r="R21" s="14">
        <v>1</v>
      </c>
      <c r="S21" s="14">
        <v>2</v>
      </c>
      <c r="T21" s="88">
        <v>0.16</v>
      </c>
      <c r="U21" s="14">
        <v>1</v>
      </c>
      <c r="V21" s="14">
        <v>3</v>
      </c>
      <c r="W21" s="88">
        <v>0.16</v>
      </c>
      <c r="X21" s="14">
        <v>2</v>
      </c>
      <c r="Y21" s="14">
        <v>4</v>
      </c>
      <c r="AB21" s="86">
        <v>16</v>
      </c>
      <c r="AC21" s="86">
        <v>10</v>
      </c>
      <c r="AD21" s="86">
        <f>SUM(AC$6:AC21)</f>
        <v>65</v>
      </c>
      <c r="AO21" s="48">
        <v>3</v>
      </c>
      <c r="AP21" s="86">
        <v>6</v>
      </c>
      <c r="AQ21" s="86">
        <v>2</v>
      </c>
      <c r="AR21" s="48">
        <v>2</v>
      </c>
      <c r="AS21" s="86" t="s">
        <v>326</v>
      </c>
      <c r="AT21" s="21">
        <f t="shared" si="0"/>
        <v>5.3999999999999999E-2</v>
      </c>
      <c r="AU21" s="86">
        <f t="shared" si="5"/>
        <v>1</v>
      </c>
      <c r="AV21" s="86">
        <f t="shared" si="6"/>
        <v>3</v>
      </c>
      <c r="AW21" s="87">
        <f t="shared" si="7"/>
        <v>0.108</v>
      </c>
      <c r="AX21" s="86">
        <f t="shared" si="8"/>
        <v>4.8600000000000003</v>
      </c>
      <c r="BA21" s="86">
        <v>17</v>
      </c>
      <c r="BB21" s="14" t="e">
        <f>INDEX(节奏总表!#REF!,神器!BA21)</f>
        <v>#REF!</v>
      </c>
      <c r="BC21" s="14" t="e">
        <f t="shared" si="9"/>
        <v>#REF!</v>
      </c>
      <c r="BD21" s="14">
        <v>5</v>
      </c>
      <c r="BE21" s="14">
        <v>3</v>
      </c>
      <c r="BF21" s="14">
        <f t="shared" si="10"/>
        <v>0</v>
      </c>
      <c r="BG21" s="14">
        <f t="shared" si="10"/>
        <v>0</v>
      </c>
      <c r="BH21" s="14">
        <f t="shared" si="10"/>
        <v>0</v>
      </c>
      <c r="BI21" s="14">
        <f t="shared" si="10"/>
        <v>0</v>
      </c>
      <c r="BJ21" s="14">
        <f t="shared" si="10"/>
        <v>0</v>
      </c>
      <c r="BK21" s="14">
        <f t="shared" si="10"/>
        <v>0</v>
      </c>
      <c r="BL21" s="14">
        <f t="shared" si="10"/>
        <v>0</v>
      </c>
      <c r="BM21" s="14">
        <f t="shared" si="10"/>
        <v>0</v>
      </c>
      <c r="BN21" s="14">
        <f t="shared" si="10"/>
        <v>0</v>
      </c>
      <c r="BO21" s="14">
        <f t="shared" si="10"/>
        <v>0</v>
      </c>
      <c r="BP21" s="14">
        <f t="shared" si="10"/>
        <v>0</v>
      </c>
      <c r="BQ21" s="14">
        <f t="shared" si="10"/>
        <v>0</v>
      </c>
      <c r="BR21" s="14">
        <f t="shared" si="10"/>
        <v>0</v>
      </c>
      <c r="BS21" s="14">
        <f t="shared" si="10"/>
        <v>0</v>
      </c>
      <c r="BT21" s="14">
        <f t="shared" si="10"/>
        <v>0</v>
      </c>
      <c r="BU21" s="14">
        <f t="shared" si="10"/>
        <v>0</v>
      </c>
      <c r="BV21" s="14">
        <f t="shared" si="54"/>
        <v>0</v>
      </c>
      <c r="BW21" s="14">
        <f t="shared" si="54"/>
        <v>0</v>
      </c>
      <c r="BX21" s="14">
        <f t="shared" si="54"/>
        <v>0</v>
      </c>
      <c r="BY21" s="14">
        <f t="shared" si="54"/>
        <v>0</v>
      </c>
      <c r="BZ21" s="14">
        <f t="shared" si="54"/>
        <v>0</v>
      </c>
      <c r="CA21" s="14">
        <f t="shared" si="54"/>
        <v>0</v>
      </c>
      <c r="CB21" s="14">
        <f t="shared" si="54"/>
        <v>0</v>
      </c>
      <c r="CC21" s="14">
        <f t="shared" si="54"/>
        <v>0</v>
      </c>
      <c r="CD21" s="14">
        <f t="shared" si="54"/>
        <v>0</v>
      </c>
      <c r="CE21" s="14">
        <f t="shared" si="54"/>
        <v>0</v>
      </c>
      <c r="CF21" s="14">
        <f t="shared" si="55"/>
        <v>0</v>
      </c>
      <c r="CG21" s="14">
        <f t="shared" si="55"/>
        <v>0</v>
      </c>
      <c r="CH21" s="14">
        <f t="shared" si="55"/>
        <v>0</v>
      </c>
      <c r="CI21" s="14">
        <f t="shared" si="55"/>
        <v>0</v>
      </c>
      <c r="CJ21" s="14">
        <f t="shared" si="55"/>
        <v>0</v>
      </c>
      <c r="CK21" s="14">
        <f t="shared" si="55"/>
        <v>0</v>
      </c>
      <c r="CL21" s="14">
        <f t="shared" si="55"/>
        <v>0</v>
      </c>
      <c r="CM21" s="14">
        <f t="shared" si="55"/>
        <v>0</v>
      </c>
      <c r="CN21" s="14">
        <f t="shared" si="55"/>
        <v>0</v>
      </c>
      <c r="CO21" s="14">
        <f t="shared" si="55"/>
        <v>0</v>
      </c>
      <c r="CP21" s="14">
        <f t="shared" si="55"/>
        <v>0</v>
      </c>
      <c r="CQ21" s="14">
        <f t="shared" si="55"/>
        <v>0</v>
      </c>
      <c r="CR21" s="14">
        <f t="shared" si="55"/>
        <v>0</v>
      </c>
      <c r="CS21" s="14">
        <f t="shared" si="55"/>
        <v>0</v>
      </c>
      <c r="CT21" s="14">
        <f t="shared" si="55"/>
        <v>0</v>
      </c>
      <c r="CU21" s="14">
        <f t="shared" si="55"/>
        <v>0</v>
      </c>
      <c r="CW21" s="14">
        <f>SUM(BF$5:BF21)</f>
        <v>0</v>
      </c>
      <c r="CX21" s="14">
        <f>SUM(BG$5:BG21)</f>
        <v>0</v>
      </c>
      <c r="CY21" s="14">
        <f>SUM(BH$5:BH21)</f>
        <v>0</v>
      </c>
      <c r="CZ21" s="14">
        <f>SUM(BI$5:BI21)</f>
        <v>0</v>
      </c>
      <c r="DA21" s="14">
        <f>SUM(BJ$5:BJ21)</f>
        <v>0</v>
      </c>
      <c r="DB21" s="14">
        <f>SUM(BK$5:BK21)</f>
        <v>0</v>
      </c>
      <c r="DC21" s="14">
        <f>SUM(BL$5:BL21)</f>
        <v>0</v>
      </c>
      <c r="DD21" s="14">
        <f>SUM(BM$5:BM21)</f>
        <v>0</v>
      </c>
      <c r="DE21" s="14">
        <f>SUM(BN$5:BN21)</f>
        <v>0</v>
      </c>
      <c r="DF21" s="14">
        <f>SUM(BO$5:BO21)</f>
        <v>0</v>
      </c>
      <c r="DG21" s="14">
        <f>SUM(BP$5:BP21)</f>
        <v>0</v>
      </c>
      <c r="DH21" s="14">
        <f>SUM(BQ$5:BQ21)</f>
        <v>0</v>
      </c>
      <c r="DI21" s="14">
        <f>SUM(BR$5:BR21)</f>
        <v>0</v>
      </c>
      <c r="DJ21" s="14">
        <f>SUM(BS$5:BS21)</f>
        <v>0</v>
      </c>
      <c r="DK21" s="14">
        <f>SUM(BT$5:BT21)</f>
        <v>0</v>
      </c>
      <c r="DL21" s="14">
        <f>SUM(BU$5:BU21)</f>
        <v>0</v>
      </c>
      <c r="DM21" s="14">
        <f>SUM(BV$5:BV21)</f>
        <v>0</v>
      </c>
      <c r="DN21" s="14">
        <f>SUM(BW$5:BW21)</f>
        <v>0</v>
      </c>
      <c r="DO21" s="14">
        <f>SUM(BX$5:BX21)</f>
        <v>0</v>
      </c>
      <c r="DP21" s="14">
        <f>SUM(BY$5:BY21)</f>
        <v>0</v>
      </c>
      <c r="DQ21" s="14">
        <f>SUM(BZ$5:BZ21)</f>
        <v>0</v>
      </c>
      <c r="DR21" s="14">
        <f>SUM(CA$5:CA21)</f>
        <v>0</v>
      </c>
      <c r="DS21" s="14">
        <f>SUM(CB$5:CB21)</f>
        <v>0</v>
      </c>
      <c r="DT21" s="14">
        <f>SUM(CC$5:CC21)</f>
        <v>0</v>
      </c>
      <c r="DU21" s="14">
        <f>SUM(CD$5:CD21)</f>
        <v>0</v>
      </c>
      <c r="DV21" s="14">
        <f>SUM(CE$5:CE21)</f>
        <v>0</v>
      </c>
      <c r="DW21" s="14">
        <f>SUM(CF$5:CF21)</f>
        <v>0</v>
      </c>
      <c r="DX21" s="14">
        <f>SUM(CG$5:CG21)</f>
        <v>0</v>
      </c>
      <c r="DY21" s="14">
        <f>SUM(CH$5:CH21)</f>
        <v>0</v>
      </c>
      <c r="DZ21" s="14">
        <f>SUM(CI$5:CI21)</f>
        <v>0</v>
      </c>
      <c r="EA21" s="14">
        <f>SUM(CJ$5:CJ21)</f>
        <v>0</v>
      </c>
      <c r="EB21" s="14">
        <f>SUM(CK$5:CK21)</f>
        <v>0</v>
      </c>
      <c r="EC21" s="14">
        <f>SUM(CL$5:CL21)</f>
        <v>0</v>
      </c>
      <c r="ED21" s="14">
        <f>SUM(CM$5:CM21)</f>
        <v>0</v>
      </c>
      <c r="EE21" s="14">
        <f>SUM(CN$5:CN21)</f>
        <v>0</v>
      </c>
      <c r="EF21" s="14">
        <f>SUM(CO$5:CO21)</f>
        <v>0</v>
      </c>
      <c r="EG21" s="14">
        <f>SUM(CP$5:CP21)</f>
        <v>0</v>
      </c>
      <c r="EH21" s="14">
        <f>SUM(CQ$5:CQ21)</f>
        <v>0</v>
      </c>
      <c r="EI21" s="14">
        <f>SUM(CR$5:CR21)</f>
        <v>0</v>
      </c>
      <c r="EJ21" s="14">
        <f>SUM(CS$5:CS21)</f>
        <v>0</v>
      </c>
      <c r="EK21" s="14">
        <f>SUM(CT$5:CT21)</f>
        <v>0</v>
      </c>
      <c r="EL21" s="14">
        <f>SUM(CU$5:CU21)</f>
        <v>0</v>
      </c>
      <c r="EO21" s="87">
        <f t="shared" si="11"/>
        <v>0</v>
      </c>
      <c r="EP21" s="87">
        <f t="shared" si="12"/>
        <v>0</v>
      </c>
      <c r="EQ21" s="87">
        <f t="shared" si="13"/>
        <v>0</v>
      </c>
      <c r="ER21" s="87">
        <f t="shared" si="14"/>
        <v>0</v>
      </c>
      <c r="ES21" s="87">
        <f t="shared" si="15"/>
        <v>0</v>
      </c>
      <c r="ET21" s="87">
        <f t="shared" si="16"/>
        <v>0</v>
      </c>
      <c r="EU21" s="87">
        <f t="shared" si="17"/>
        <v>0</v>
      </c>
      <c r="EV21" s="87">
        <f t="shared" si="18"/>
        <v>0</v>
      </c>
      <c r="EW21" s="87">
        <f t="shared" si="19"/>
        <v>0</v>
      </c>
      <c r="EX21" s="87">
        <f t="shared" si="20"/>
        <v>0</v>
      </c>
      <c r="EY21" s="87">
        <f t="shared" si="21"/>
        <v>0</v>
      </c>
      <c r="EZ21" s="87">
        <f t="shared" si="22"/>
        <v>0</v>
      </c>
      <c r="FA21" s="87">
        <f t="shared" si="23"/>
        <v>0</v>
      </c>
      <c r="FB21" s="87">
        <f t="shared" si="24"/>
        <v>0</v>
      </c>
      <c r="FC21" s="87">
        <f t="shared" si="25"/>
        <v>0</v>
      </c>
      <c r="FD21" s="87">
        <f t="shared" si="26"/>
        <v>0</v>
      </c>
      <c r="FE21" s="87">
        <f t="shared" si="27"/>
        <v>0</v>
      </c>
      <c r="FF21" s="87">
        <f t="shared" si="28"/>
        <v>0</v>
      </c>
      <c r="FG21" s="87">
        <f t="shared" si="29"/>
        <v>0</v>
      </c>
      <c r="FH21" s="87">
        <f t="shared" si="30"/>
        <v>0</v>
      </c>
      <c r="FI21" s="87">
        <f t="shared" si="31"/>
        <v>0</v>
      </c>
      <c r="FJ21" s="87">
        <f t="shared" si="32"/>
        <v>0</v>
      </c>
      <c r="FK21" s="87">
        <f t="shared" si="33"/>
        <v>0</v>
      </c>
      <c r="FL21" s="87">
        <f t="shared" si="34"/>
        <v>0</v>
      </c>
      <c r="FM21" s="87">
        <f t="shared" si="35"/>
        <v>0</v>
      </c>
      <c r="FN21" s="87">
        <f t="shared" si="36"/>
        <v>0</v>
      </c>
      <c r="FO21" s="87">
        <f t="shared" si="37"/>
        <v>0</v>
      </c>
      <c r="FP21" s="87">
        <f t="shared" si="38"/>
        <v>0</v>
      </c>
      <c r="FQ21" s="87">
        <f t="shared" si="39"/>
        <v>0</v>
      </c>
      <c r="FR21" s="87">
        <f t="shared" si="40"/>
        <v>0</v>
      </c>
      <c r="FS21" s="87">
        <f t="shared" si="41"/>
        <v>0</v>
      </c>
      <c r="FT21" s="87">
        <f t="shared" si="42"/>
        <v>0</v>
      </c>
      <c r="FU21" s="87">
        <f t="shared" si="43"/>
        <v>0</v>
      </c>
      <c r="FV21" s="87">
        <f t="shared" si="44"/>
        <v>0</v>
      </c>
      <c r="FW21" s="87">
        <f t="shared" si="45"/>
        <v>0</v>
      </c>
      <c r="FX21" s="87">
        <f t="shared" si="46"/>
        <v>0</v>
      </c>
      <c r="FY21" s="87">
        <f t="shared" si="47"/>
        <v>0</v>
      </c>
      <c r="FZ21" s="87">
        <f t="shared" si="48"/>
        <v>0</v>
      </c>
      <c r="GA21" s="87">
        <f t="shared" si="49"/>
        <v>0</v>
      </c>
      <c r="GB21" s="87">
        <f t="shared" si="50"/>
        <v>0</v>
      </c>
      <c r="GC21" s="87">
        <f t="shared" si="51"/>
        <v>0</v>
      </c>
      <c r="GD21" s="87">
        <f t="shared" si="52"/>
        <v>0</v>
      </c>
    </row>
    <row r="22" spans="11:186" ht="16.5" x14ac:dyDescent="0.2">
      <c r="K22" s="86">
        <v>18</v>
      </c>
      <c r="L22" s="86">
        <v>4</v>
      </c>
      <c r="M22" s="86">
        <v>4</v>
      </c>
      <c r="N22" s="86" t="str">
        <f t="shared" si="3"/>
        <v>神器4-4</v>
      </c>
      <c r="O22" s="86">
        <v>2</v>
      </c>
      <c r="P22" s="14">
        <f t="shared" si="4"/>
        <v>75</v>
      </c>
      <c r="Q22" s="88">
        <v>0.16</v>
      </c>
      <c r="R22" s="14">
        <v>1</v>
      </c>
      <c r="S22" s="14">
        <v>2</v>
      </c>
      <c r="T22" s="88">
        <v>0.16</v>
      </c>
      <c r="U22" s="14">
        <v>1</v>
      </c>
      <c r="V22" s="14">
        <v>3</v>
      </c>
      <c r="W22" s="88">
        <v>0.16</v>
      </c>
      <c r="X22" s="14">
        <v>2</v>
      </c>
      <c r="Y22" s="14">
        <v>4</v>
      </c>
      <c r="AB22" s="86">
        <v>17</v>
      </c>
      <c r="AC22" s="86">
        <v>10</v>
      </c>
      <c r="AD22" s="86">
        <f>SUM(AC$6:AC22)</f>
        <v>75</v>
      </c>
      <c r="AO22" s="48">
        <v>3</v>
      </c>
      <c r="AP22" s="86">
        <v>7</v>
      </c>
      <c r="AQ22" s="86">
        <v>2</v>
      </c>
      <c r="AR22" s="48">
        <v>2</v>
      </c>
      <c r="AS22" s="86" t="s">
        <v>327</v>
      </c>
      <c r="AT22" s="21">
        <f t="shared" si="0"/>
        <v>5.3999999999999999E-2</v>
      </c>
      <c r="AU22" s="86">
        <f t="shared" si="5"/>
        <v>1</v>
      </c>
      <c r="AV22" s="86">
        <f t="shared" si="6"/>
        <v>3</v>
      </c>
      <c r="AW22" s="87">
        <f t="shared" si="7"/>
        <v>0.108</v>
      </c>
      <c r="AX22" s="86">
        <f t="shared" si="8"/>
        <v>4.8600000000000003</v>
      </c>
      <c r="BA22" s="86">
        <v>18</v>
      </c>
      <c r="BB22" s="14" t="e">
        <f>INDEX(节奏总表!#REF!,神器!BA22)</f>
        <v>#REF!</v>
      </c>
      <c r="BC22" s="14" t="e">
        <f t="shared" si="9"/>
        <v>#REF!</v>
      </c>
      <c r="BD22" s="14">
        <v>5</v>
      </c>
      <c r="BE22" s="14">
        <v>3</v>
      </c>
      <c r="BF22" s="14">
        <f t="shared" si="10"/>
        <v>0</v>
      </c>
      <c r="BG22" s="14">
        <f t="shared" si="10"/>
        <v>0</v>
      </c>
      <c r="BH22" s="14">
        <f t="shared" si="10"/>
        <v>0</v>
      </c>
      <c r="BI22" s="14">
        <f t="shared" si="10"/>
        <v>0</v>
      </c>
      <c r="BJ22" s="14">
        <f t="shared" si="10"/>
        <v>0</v>
      </c>
      <c r="BK22" s="14">
        <f t="shared" si="10"/>
        <v>0</v>
      </c>
      <c r="BL22" s="14">
        <f t="shared" si="10"/>
        <v>0</v>
      </c>
      <c r="BM22" s="14">
        <f t="shared" si="10"/>
        <v>0</v>
      </c>
      <c r="BN22" s="14">
        <f t="shared" si="10"/>
        <v>0</v>
      </c>
      <c r="BO22" s="14">
        <f t="shared" si="10"/>
        <v>0</v>
      </c>
      <c r="BP22" s="14">
        <f t="shared" si="10"/>
        <v>0</v>
      </c>
      <c r="BQ22" s="14">
        <f t="shared" si="10"/>
        <v>0</v>
      </c>
      <c r="BR22" s="14">
        <f t="shared" si="10"/>
        <v>0</v>
      </c>
      <c r="BS22" s="14">
        <f t="shared" si="10"/>
        <v>0</v>
      </c>
      <c r="BT22" s="14">
        <f t="shared" si="10"/>
        <v>0</v>
      </c>
      <c r="BU22" s="14">
        <f t="shared" si="10"/>
        <v>0</v>
      </c>
      <c r="BV22" s="14">
        <f t="shared" si="54"/>
        <v>0</v>
      </c>
      <c r="BW22" s="14">
        <f t="shared" si="54"/>
        <v>0</v>
      </c>
      <c r="BX22" s="14">
        <f t="shared" si="54"/>
        <v>0</v>
      </c>
      <c r="BY22" s="14">
        <f t="shared" si="54"/>
        <v>0</v>
      </c>
      <c r="BZ22" s="14">
        <f t="shared" si="54"/>
        <v>0</v>
      </c>
      <c r="CA22" s="14">
        <f t="shared" si="54"/>
        <v>0</v>
      </c>
      <c r="CB22" s="14">
        <f t="shared" si="54"/>
        <v>0</v>
      </c>
      <c r="CC22" s="14">
        <f t="shared" si="54"/>
        <v>0</v>
      </c>
      <c r="CD22" s="14">
        <f t="shared" si="54"/>
        <v>0</v>
      </c>
      <c r="CE22" s="14">
        <f t="shared" si="54"/>
        <v>0</v>
      </c>
      <c r="CF22" s="14">
        <f t="shared" si="55"/>
        <v>0</v>
      </c>
      <c r="CG22" s="14">
        <f t="shared" si="55"/>
        <v>0</v>
      </c>
      <c r="CH22" s="14">
        <f t="shared" si="55"/>
        <v>0</v>
      </c>
      <c r="CI22" s="14">
        <f t="shared" si="55"/>
        <v>0</v>
      </c>
      <c r="CJ22" s="14">
        <f t="shared" si="55"/>
        <v>0</v>
      </c>
      <c r="CK22" s="14">
        <f t="shared" si="55"/>
        <v>0</v>
      </c>
      <c r="CL22" s="14">
        <f t="shared" si="55"/>
        <v>0</v>
      </c>
      <c r="CM22" s="14">
        <f t="shared" si="55"/>
        <v>0</v>
      </c>
      <c r="CN22" s="14">
        <f t="shared" si="55"/>
        <v>0</v>
      </c>
      <c r="CO22" s="14">
        <f t="shared" si="55"/>
        <v>0</v>
      </c>
      <c r="CP22" s="14">
        <f t="shared" si="55"/>
        <v>0</v>
      </c>
      <c r="CQ22" s="14">
        <f t="shared" si="55"/>
        <v>0</v>
      </c>
      <c r="CR22" s="14">
        <f t="shared" si="55"/>
        <v>0</v>
      </c>
      <c r="CS22" s="14">
        <f t="shared" si="55"/>
        <v>0</v>
      </c>
      <c r="CT22" s="14">
        <f t="shared" si="55"/>
        <v>0</v>
      </c>
      <c r="CU22" s="14">
        <f t="shared" si="55"/>
        <v>0</v>
      </c>
      <c r="CW22" s="14">
        <f>SUM(BF$5:BF22)</f>
        <v>0</v>
      </c>
      <c r="CX22" s="14">
        <f>SUM(BG$5:BG22)</f>
        <v>0</v>
      </c>
      <c r="CY22" s="14">
        <f>SUM(BH$5:BH22)</f>
        <v>0</v>
      </c>
      <c r="CZ22" s="14">
        <f>SUM(BI$5:BI22)</f>
        <v>0</v>
      </c>
      <c r="DA22" s="14">
        <f>SUM(BJ$5:BJ22)</f>
        <v>0</v>
      </c>
      <c r="DB22" s="14">
        <f>SUM(BK$5:BK22)</f>
        <v>0</v>
      </c>
      <c r="DC22" s="14">
        <f>SUM(BL$5:BL22)</f>
        <v>0</v>
      </c>
      <c r="DD22" s="14">
        <f>SUM(BM$5:BM22)</f>
        <v>0</v>
      </c>
      <c r="DE22" s="14">
        <f>SUM(BN$5:BN22)</f>
        <v>0</v>
      </c>
      <c r="DF22" s="14">
        <f>SUM(BO$5:BO22)</f>
        <v>0</v>
      </c>
      <c r="DG22" s="14">
        <f>SUM(BP$5:BP22)</f>
        <v>0</v>
      </c>
      <c r="DH22" s="14">
        <f>SUM(BQ$5:BQ22)</f>
        <v>0</v>
      </c>
      <c r="DI22" s="14">
        <f>SUM(BR$5:BR22)</f>
        <v>0</v>
      </c>
      <c r="DJ22" s="14">
        <f>SUM(BS$5:BS22)</f>
        <v>0</v>
      </c>
      <c r="DK22" s="14">
        <f>SUM(BT$5:BT22)</f>
        <v>0</v>
      </c>
      <c r="DL22" s="14">
        <f>SUM(BU$5:BU22)</f>
        <v>0</v>
      </c>
      <c r="DM22" s="14">
        <f>SUM(BV$5:BV22)</f>
        <v>0</v>
      </c>
      <c r="DN22" s="14">
        <f>SUM(BW$5:BW22)</f>
        <v>0</v>
      </c>
      <c r="DO22" s="14">
        <f>SUM(BX$5:BX22)</f>
        <v>0</v>
      </c>
      <c r="DP22" s="14">
        <f>SUM(BY$5:BY22)</f>
        <v>0</v>
      </c>
      <c r="DQ22" s="14">
        <f>SUM(BZ$5:BZ22)</f>
        <v>0</v>
      </c>
      <c r="DR22" s="14">
        <f>SUM(CA$5:CA22)</f>
        <v>0</v>
      </c>
      <c r="DS22" s="14">
        <f>SUM(CB$5:CB22)</f>
        <v>0</v>
      </c>
      <c r="DT22" s="14">
        <f>SUM(CC$5:CC22)</f>
        <v>0</v>
      </c>
      <c r="DU22" s="14">
        <f>SUM(CD$5:CD22)</f>
        <v>0</v>
      </c>
      <c r="DV22" s="14">
        <f>SUM(CE$5:CE22)</f>
        <v>0</v>
      </c>
      <c r="DW22" s="14">
        <f>SUM(CF$5:CF22)</f>
        <v>0</v>
      </c>
      <c r="DX22" s="14">
        <f>SUM(CG$5:CG22)</f>
        <v>0</v>
      </c>
      <c r="DY22" s="14">
        <f>SUM(CH$5:CH22)</f>
        <v>0</v>
      </c>
      <c r="DZ22" s="14">
        <f>SUM(CI$5:CI22)</f>
        <v>0</v>
      </c>
      <c r="EA22" s="14">
        <f>SUM(CJ$5:CJ22)</f>
        <v>0</v>
      </c>
      <c r="EB22" s="14">
        <f>SUM(CK$5:CK22)</f>
        <v>0</v>
      </c>
      <c r="EC22" s="14">
        <f>SUM(CL$5:CL22)</f>
        <v>0</v>
      </c>
      <c r="ED22" s="14">
        <f>SUM(CM$5:CM22)</f>
        <v>0</v>
      </c>
      <c r="EE22" s="14">
        <f>SUM(CN$5:CN22)</f>
        <v>0</v>
      </c>
      <c r="EF22" s="14">
        <f>SUM(CO$5:CO22)</f>
        <v>0</v>
      </c>
      <c r="EG22" s="14">
        <f>SUM(CP$5:CP22)</f>
        <v>0</v>
      </c>
      <c r="EH22" s="14">
        <f>SUM(CQ$5:CQ22)</f>
        <v>0</v>
      </c>
      <c r="EI22" s="14">
        <f>SUM(CR$5:CR22)</f>
        <v>0</v>
      </c>
      <c r="EJ22" s="14">
        <f>SUM(CS$5:CS22)</f>
        <v>0</v>
      </c>
      <c r="EK22" s="14">
        <f>SUM(CT$5:CT22)</f>
        <v>0</v>
      </c>
      <c r="EL22" s="14">
        <f>SUM(CU$5:CU22)</f>
        <v>0</v>
      </c>
      <c r="EO22" s="87">
        <f t="shared" si="11"/>
        <v>0</v>
      </c>
      <c r="EP22" s="87">
        <f t="shared" si="12"/>
        <v>0</v>
      </c>
      <c r="EQ22" s="87">
        <f t="shared" si="13"/>
        <v>0</v>
      </c>
      <c r="ER22" s="87">
        <f t="shared" si="14"/>
        <v>0</v>
      </c>
      <c r="ES22" s="87">
        <f t="shared" si="15"/>
        <v>0</v>
      </c>
      <c r="ET22" s="87">
        <f t="shared" si="16"/>
        <v>0</v>
      </c>
      <c r="EU22" s="87">
        <f t="shared" si="17"/>
        <v>0</v>
      </c>
      <c r="EV22" s="87">
        <f t="shared" si="18"/>
        <v>0</v>
      </c>
      <c r="EW22" s="87">
        <f t="shared" si="19"/>
        <v>0</v>
      </c>
      <c r="EX22" s="87">
        <f t="shared" si="20"/>
        <v>0</v>
      </c>
      <c r="EY22" s="87">
        <f t="shared" si="21"/>
        <v>0</v>
      </c>
      <c r="EZ22" s="87">
        <f t="shared" si="22"/>
        <v>0</v>
      </c>
      <c r="FA22" s="87">
        <f t="shared" si="23"/>
        <v>0</v>
      </c>
      <c r="FB22" s="87">
        <f t="shared" si="24"/>
        <v>0</v>
      </c>
      <c r="FC22" s="87">
        <f t="shared" si="25"/>
        <v>0</v>
      </c>
      <c r="FD22" s="87">
        <f t="shared" si="26"/>
        <v>0</v>
      </c>
      <c r="FE22" s="87">
        <f t="shared" si="27"/>
        <v>0</v>
      </c>
      <c r="FF22" s="87">
        <f t="shared" si="28"/>
        <v>0</v>
      </c>
      <c r="FG22" s="87">
        <f t="shared" si="29"/>
        <v>0</v>
      </c>
      <c r="FH22" s="87">
        <f t="shared" si="30"/>
        <v>0</v>
      </c>
      <c r="FI22" s="87">
        <f t="shared" si="31"/>
        <v>0</v>
      </c>
      <c r="FJ22" s="87">
        <f t="shared" si="32"/>
        <v>0</v>
      </c>
      <c r="FK22" s="87">
        <f t="shared" si="33"/>
        <v>0</v>
      </c>
      <c r="FL22" s="87">
        <f t="shared" si="34"/>
        <v>0</v>
      </c>
      <c r="FM22" s="87">
        <f t="shared" si="35"/>
        <v>0</v>
      </c>
      <c r="FN22" s="87">
        <f t="shared" si="36"/>
        <v>0</v>
      </c>
      <c r="FO22" s="87">
        <f t="shared" si="37"/>
        <v>0</v>
      </c>
      <c r="FP22" s="87">
        <f t="shared" si="38"/>
        <v>0</v>
      </c>
      <c r="FQ22" s="87">
        <f t="shared" si="39"/>
        <v>0</v>
      </c>
      <c r="FR22" s="87">
        <f t="shared" si="40"/>
        <v>0</v>
      </c>
      <c r="FS22" s="87">
        <f t="shared" si="41"/>
        <v>0</v>
      </c>
      <c r="FT22" s="87">
        <f t="shared" si="42"/>
        <v>0</v>
      </c>
      <c r="FU22" s="87">
        <f t="shared" si="43"/>
        <v>0</v>
      </c>
      <c r="FV22" s="87">
        <f t="shared" si="44"/>
        <v>0</v>
      </c>
      <c r="FW22" s="87">
        <f t="shared" si="45"/>
        <v>0</v>
      </c>
      <c r="FX22" s="87">
        <f t="shared" si="46"/>
        <v>0</v>
      </c>
      <c r="FY22" s="87">
        <f t="shared" si="47"/>
        <v>0</v>
      </c>
      <c r="FZ22" s="87">
        <f t="shared" si="48"/>
        <v>0</v>
      </c>
      <c r="GA22" s="87">
        <f t="shared" si="49"/>
        <v>0</v>
      </c>
      <c r="GB22" s="87">
        <f t="shared" si="50"/>
        <v>0</v>
      </c>
      <c r="GC22" s="87">
        <f t="shared" si="51"/>
        <v>0</v>
      </c>
      <c r="GD22" s="87">
        <f t="shared" si="52"/>
        <v>0</v>
      </c>
    </row>
    <row r="23" spans="11:186" ht="16.5" x14ac:dyDescent="0.2">
      <c r="K23" s="86">
        <v>19</v>
      </c>
      <c r="L23" s="86">
        <v>4</v>
      </c>
      <c r="M23" s="86">
        <v>5</v>
      </c>
      <c r="N23" s="86" t="str">
        <f t="shared" si="3"/>
        <v>神器4-5</v>
      </c>
      <c r="O23" s="86">
        <v>3</v>
      </c>
      <c r="P23" s="14">
        <f t="shared" si="4"/>
        <v>175</v>
      </c>
      <c r="Q23" s="88">
        <v>0.12</v>
      </c>
      <c r="R23" s="14">
        <v>1</v>
      </c>
      <c r="S23" s="14">
        <v>1</v>
      </c>
      <c r="T23" s="88">
        <v>0.12</v>
      </c>
      <c r="U23" s="14">
        <v>1</v>
      </c>
      <c r="V23" s="14">
        <v>2</v>
      </c>
      <c r="W23" s="88">
        <v>0.12</v>
      </c>
      <c r="X23" s="14">
        <v>1</v>
      </c>
      <c r="Y23" s="14">
        <v>3</v>
      </c>
      <c r="AB23" s="86">
        <v>18</v>
      </c>
      <c r="AC23" s="86">
        <v>10</v>
      </c>
      <c r="AD23" s="86">
        <f>SUM(AC$6:AC23)</f>
        <v>85</v>
      </c>
      <c r="AO23" s="48">
        <v>3</v>
      </c>
      <c r="AP23" s="86">
        <v>8</v>
      </c>
      <c r="AQ23" s="86">
        <v>2</v>
      </c>
      <c r="AR23" s="48">
        <v>2</v>
      </c>
      <c r="AS23" s="86" t="s">
        <v>328</v>
      </c>
      <c r="AT23" s="21">
        <f t="shared" si="0"/>
        <v>3.5999999999999997E-2</v>
      </c>
      <c r="AU23" s="86">
        <f t="shared" si="5"/>
        <v>1</v>
      </c>
      <c r="AV23" s="86">
        <f t="shared" si="6"/>
        <v>2</v>
      </c>
      <c r="AW23" s="87">
        <f t="shared" si="7"/>
        <v>5.3999999999999992E-2</v>
      </c>
      <c r="AX23" s="86">
        <f t="shared" si="8"/>
        <v>5.67</v>
      </c>
      <c r="BA23" s="86">
        <v>19</v>
      </c>
      <c r="BB23" s="14" t="e">
        <f>INDEX(节奏总表!#REF!,神器!BA23)</f>
        <v>#REF!</v>
      </c>
      <c r="BC23" s="14" t="e">
        <f t="shared" si="9"/>
        <v>#REF!</v>
      </c>
      <c r="BD23" s="14">
        <v>5</v>
      </c>
      <c r="BE23" s="14">
        <v>3</v>
      </c>
      <c r="BF23" s="14">
        <f t="shared" si="10"/>
        <v>0</v>
      </c>
      <c r="BG23" s="14">
        <f t="shared" si="10"/>
        <v>0</v>
      </c>
      <c r="BH23" s="14">
        <f t="shared" si="10"/>
        <v>0</v>
      </c>
      <c r="BI23" s="14">
        <f t="shared" si="10"/>
        <v>0</v>
      </c>
      <c r="BJ23" s="14">
        <f t="shared" si="10"/>
        <v>0</v>
      </c>
      <c r="BK23" s="14">
        <f t="shared" si="10"/>
        <v>0</v>
      </c>
      <c r="BL23" s="14">
        <f t="shared" si="10"/>
        <v>0</v>
      </c>
      <c r="BM23" s="14">
        <f t="shared" si="10"/>
        <v>0</v>
      </c>
      <c r="BN23" s="14">
        <f t="shared" si="10"/>
        <v>0</v>
      </c>
      <c r="BO23" s="14">
        <f t="shared" si="10"/>
        <v>0</v>
      </c>
      <c r="BP23" s="14">
        <f t="shared" si="10"/>
        <v>0</v>
      </c>
      <c r="BQ23" s="14">
        <f t="shared" si="10"/>
        <v>0</v>
      </c>
      <c r="BR23" s="14">
        <f t="shared" si="10"/>
        <v>0</v>
      </c>
      <c r="BS23" s="14">
        <f t="shared" si="10"/>
        <v>0</v>
      </c>
      <c r="BT23" s="14">
        <f t="shared" si="10"/>
        <v>0</v>
      </c>
      <c r="BU23" s="14">
        <f t="shared" si="10"/>
        <v>0</v>
      </c>
      <c r="BV23" s="14">
        <f t="shared" si="54"/>
        <v>0</v>
      </c>
      <c r="BW23" s="14">
        <f t="shared" si="54"/>
        <v>0</v>
      </c>
      <c r="BX23" s="14">
        <f t="shared" si="54"/>
        <v>0</v>
      </c>
      <c r="BY23" s="14">
        <f t="shared" si="54"/>
        <v>0</v>
      </c>
      <c r="BZ23" s="14">
        <f t="shared" si="54"/>
        <v>0</v>
      </c>
      <c r="CA23" s="14">
        <f t="shared" si="54"/>
        <v>0</v>
      </c>
      <c r="CB23" s="14">
        <f t="shared" si="54"/>
        <v>0</v>
      </c>
      <c r="CC23" s="14">
        <f t="shared" si="54"/>
        <v>0</v>
      </c>
      <c r="CD23" s="14">
        <f t="shared" si="54"/>
        <v>0</v>
      </c>
      <c r="CE23" s="14">
        <f t="shared" si="54"/>
        <v>0</v>
      </c>
      <c r="CF23" s="14">
        <f t="shared" si="55"/>
        <v>0</v>
      </c>
      <c r="CG23" s="14">
        <f t="shared" si="55"/>
        <v>0</v>
      </c>
      <c r="CH23" s="14">
        <f t="shared" si="55"/>
        <v>0</v>
      </c>
      <c r="CI23" s="14">
        <f t="shared" si="55"/>
        <v>0</v>
      </c>
      <c r="CJ23" s="14">
        <f t="shared" si="55"/>
        <v>0</v>
      </c>
      <c r="CK23" s="14">
        <f t="shared" si="55"/>
        <v>0</v>
      </c>
      <c r="CL23" s="14">
        <f t="shared" si="55"/>
        <v>0</v>
      </c>
      <c r="CM23" s="14">
        <f t="shared" si="55"/>
        <v>0</v>
      </c>
      <c r="CN23" s="14">
        <f t="shared" si="55"/>
        <v>0</v>
      </c>
      <c r="CO23" s="14">
        <f t="shared" si="55"/>
        <v>0</v>
      </c>
      <c r="CP23" s="14">
        <f t="shared" si="55"/>
        <v>0</v>
      </c>
      <c r="CQ23" s="14">
        <f t="shared" si="55"/>
        <v>0</v>
      </c>
      <c r="CR23" s="14">
        <f t="shared" si="55"/>
        <v>0</v>
      </c>
      <c r="CS23" s="14">
        <f t="shared" si="55"/>
        <v>0</v>
      </c>
      <c r="CT23" s="14">
        <f t="shared" si="55"/>
        <v>0</v>
      </c>
      <c r="CU23" s="14">
        <f t="shared" si="55"/>
        <v>0</v>
      </c>
      <c r="CW23" s="14">
        <f>SUM(BF$5:BF23)</f>
        <v>0</v>
      </c>
      <c r="CX23" s="14">
        <f>SUM(BG$5:BG23)</f>
        <v>0</v>
      </c>
      <c r="CY23" s="14">
        <f>SUM(BH$5:BH23)</f>
        <v>0</v>
      </c>
      <c r="CZ23" s="14">
        <f>SUM(BI$5:BI23)</f>
        <v>0</v>
      </c>
      <c r="DA23" s="14">
        <f>SUM(BJ$5:BJ23)</f>
        <v>0</v>
      </c>
      <c r="DB23" s="14">
        <f>SUM(BK$5:BK23)</f>
        <v>0</v>
      </c>
      <c r="DC23" s="14">
        <f>SUM(BL$5:BL23)</f>
        <v>0</v>
      </c>
      <c r="DD23" s="14">
        <f>SUM(BM$5:BM23)</f>
        <v>0</v>
      </c>
      <c r="DE23" s="14">
        <f>SUM(BN$5:BN23)</f>
        <v>0</v>
      </c>
      <c r="DF23" s="14">
        <f>SUM(BO$5:BO23)</f>
        <v>0</v>
      </c>
      <c r="DG23" s="14">
        <f>SUM(BP$5:BP23)</f>
        <v>0</v>
      </c>
      <c r="DH23" s="14">
        <f>SUM(BQ$5:BQ23)</f>
        <v>0</v>
      </c>
      <c r="DI23" s="14">
        <f>SUM(BR$5:BR23)</f>
        <v>0</v>
      </c>
      <c r="DJ23" s="14">
        <f>SUM(BS$5:BS23)</f>
        <v>0</v>
      </c>
      <c r="DK23" s="14">
        <f>SUM(BT$5:BT23)</f>
        <v>0</v>
      </c>
      <c r="DL23" s="14">
        <f>SUM(BU$5:BU23)</f>
        <v>0</v>
      </c>
      <c r="DM23" s="14">
        <f>SUM(BV$5:BV23)</f>
        <v>0</v>
      </c>
      <c r="DN23" s="14">
        <f>SUM(BW$5:BW23)</f>
        <v>0</v>
      </c>
      <c r="DO23" s="14">
        <f>SUM(BX$5:BX23)</f>
        <v>0</v>
      </c>
      <c r="DP23" s="14">
        <f>SUM(BY$5:BY23)</f>
        <v>0</v>
      </c>
      <c r="DQ23" s="14">
        <f>SUM(BZ$5:BZ23)</f>
        <v>0</v>
      </c>
      <c r="DR23" s="14">
        <f>SUM(CA$5:CA23)</f>
        <v>0</v>
      </c>
      <c r="DS23" s="14">
        <f>SUM(CB$5:CB23)</f>
        <v>0</v>
      </c>
      <c r="DT23" s="14">
        <f>SUM(CC$5:CC23)</f>
        <v>0</v>
      </c>
      <c r="DU23" s="14">
        <f>SUM(CD$5:CD23)</f>
        <v>0</v>
      </c>
      <c r="DV23" s="14">
        <f>SUM(CE$5:CE23)</f>
        <v>0</v>
      </c>
      <c r="DW23" s="14">
        <f>SUM(CF$5:CF23)</f>
        <v>0</v>
      </c>
      <c r="DX23" s="14">
        <f>SUM(CG$5:CG23)</f>
        <v>0</v>
      </c>
      <c r="DY23" s="14">
        <f>SUM(CH$5:CH23)</f>
        <v>0</v>
      </c>
      <c r="DZ23" s="14">
        <f>SUM(CI$5:CI23)</f>
        <v>0</v>
      </c>
      <c r="EA23" s="14">
        <f>SUM(CJ$5:CJ23)</f>
        <v>0</v>
      </c>
      <c r="EB23" s="14">
        <f>SUM(CK$5:CK23)</f>
        <v>0</v>
      </c>
      <c r="EC23" s="14">
        <f>SUM(CL$5:CL23)</f>
        <v>0</v>
      </c>
      <c r="ED23" s="14">
        <f>SUM(CM$5:CM23)</f>
        <v>0</v>
      </c>
      <c r="EE23" s="14">
        <f>SUM(CN$5:CN23)</f>
        <v>0</v>
      </c>
      <c r="EF23" s="14">
        <f>SUM(CO$5:CO23)</f>
        <v>0</v>
      </c>
      <c r="EG23" s="14">
        <f>SUM(CP$5:CP23)</f>
        <v>0</v>
      </c>
      <c r="EH23" s="14">
        <f>SUM(CQ$5:CQ23)</f>
        <v>0</v>
      </c>
      <c r="EI23" s="14">
        <f>SUM(CR$5:CR23)</f>
        <v>0</v>
      </c>
      <c r="EJ23" s="14">
        <f>SUM(CS$5:CS23)</f>
        <v>0</v>
      </c>
      <c r="EK23" s="14">
        <f>SUM(CT$5:CT23)</f>
        <v>0</v>
      </c>
      <c r="EL23" s="14">
        <f>SUM(CU$5:CU23)</f>
        <v>0</v>
      </c>
      <c r="EO23" s="87">
        <f t="shared" si="11"/>
        <v>0</v>
      </c>
      <c r="EP23" s="87">
        <f t="shared" si="12"/>
        <v>0</v>
      </c>
      <c r="EQ23" s="87">
        <f t="shared" si="13"/>
        <v>0</v>
      </c>
      <c r="ER23" s="87">
        <f t="shared" si="14"/>
        <v>0</v>
      </c>
      <c r="ES23" s="87">
        <f t="shared" si="15"/>
        <v>0</v>
      </c>
      <c r="ET23" s="87">
        <f t="shared" si="16"/>
        <v>0</v>
      </c>
      <c r="EU23" s="87">
        <f t="shared" si="17"/>
        <v>0</v>
      </c>
      <c r="EV23" s="87">
        <f t="shared" si="18"/>
        <v>0</v>
      </c>
      <c r="EW23" s="87">
        <f t="shared" si="19"/>
        <v>0</v>
      </c>
      <c r="EX23" s="87">
        <f t="shared" si="20"/>
        <v>0</v>
      </c>
      <c r="EY23" s="87">
        <f t="shared" si="21"/>
        <v>0</v>
      </c>
      <c r="EZ23" s="87">
        <f t="shared" si="22"/>
        <v>0</v>
      </c>
      <c r="FA23" s="87">
        <f t="shared" si="23"/>
        <v>0</v>
      </c>
      <c r="FB23" s="87">
        <f t="shared" si="24"/>
        <v>0</v>
      </c>
      <c r="FC23" s="87">
        <f t="shared" si="25"/>
        <v>0</v>
      </c>
      <c r="FD23" s="87">
        <f t="shared" si="26"/>
        <v>0</v>
      </c>
      <c r="FE23" s="87">
        <f t="shared" si="27"/>
        <v>0</v>
      </c>
      <c r="FF23" s="87">
        <f t="shared" si="28"/>
        <v>0</v>
      </c>
      <c r="FG23" s="87">
        <f t="shared" si="29"/>
        <v>0</v>
      </c>
      <c r="FH23" s="87">
        <f t="shared" si="30"/>
        <v>0</v>
      </c>
      <c r="FI23" s="87">
        <f t="shared" si="31"/>
        <v>0</v>
      </c>
      <c r="FJ23" s="87">
        <f t="shared" si="32"/>
        <v>0</v>
      </c>
      <c r="FK23" s="87">
        <f t="shared" si="33"/>
        <v>0</v>
      </c>
      <c r="FL23" s="87">
        <f t="shared" si="34"/>
        <v>0</v>
      </c>
      <c r="FM23" s="87">
        <f t="shared" si="35"/>
        <v>0</v>
      </c>
      <c r="FN23" s="87">
        <f t="shared" si="36"/>
        <v>0</v>
      </c>
      <c r="FO23" s="87">
        <f t="shared" si="37"/>
        <v>0</v>
      </c>
      <c r="FP23" s="87">
        <f t="shared" si="38"/>
        <v>0</v>
      </c>
      <c r="FQ23" s="87">
        <f t="shared" si="39"/>
        <v>0</v>
      </c>
      <c r="FR23" s="87">
        <f t="shared" si="40"/>
        <v>0</v>
      </c>
      <c r="FS23" s="87">
        <f t="shared" si="41"/>
        <v>0</v>
      </c>
      <c r="FT23" s="87">
        <f t="shared" si="42"/>
        <v>0</v>
      </c>
      <c r="FU23" s="87">
        <f t="shared" si="43"/>
        <v>0</v>
      </c>
      <c r="FV23" s="87">
        <f t="shared" si="44"/>
        <v>0</v>
      </c>
      <c r="FW23" s="87">
        <f t="shared" si="45"/>
        <v>0</v>
      </c>
      <c r="FX23" s="87">
        <f t="shared" si="46"/>
        <v>0</v>
      </c>
      <c r="FY23" s="87">
        <f t="shared" si="47"/>
        <v>0</v>
      </c>
      <c r="FZ23" s="87">
        <f t="shared" si="48"/>
        <v>0</v>
      </c>
      <c r="GA23" s="87">
        <f t="shared" si="49"/>
        <v>0</v>
      </c>
      <c r="GB23" s="87">
        <f t="shared" si="50"/>
        <v>0</v>
      </c>
      <c r="GC23" s="87">
        <f t="shared" si="51"/>
        <v>0</v>
      </c>
      <c r="GD23" s="87">
        <f t="shared" si="52"/>
        <v>0</v>
      </c>
    </row>
    <row r="24" spans="11:186" ht="16.5" x14ac:dyDescent="0.2">
      <c r="K24" s="86">
        <v>20</v>
      </c>
      <c r="L24" s="86">
        <v>4</v>
      </c>
      <c r="M24" s="86">
        <v>6</v>
      </c>
      <c r="N24" s="86" t="str">
        <f t="shared" si="3"/>
        <v>神器4-6</v>
      </c>
      <c r="O24" s="86">
        <v>4</v>
      </c>
      <c r="P24" s="14">
        <f t="shared" si="4"/>
        <v>375</v>
      </c>
      <c r="Q24" s="88">
        <v>0.06</v>
      </c>
      <c r="R24" s="14">
        <v>1</v>
      </c>
      <c r="S24" s="14">
        <v>1</v>
      </c>
      <c r="T24" s="88">
        <v>0.06</v>
      </c>
      <c r="U24" s="14">
        <v>1</v>
      </c>
      <c r="V24" s="14">
        <v>2</v>
      </c>
      <c r="W24" s="88">
        <v>0.06</v>
      </c>
      <c r="X24" s="14">
        <v>1</v>
      </c>
      <c r="Y24" s="14">
        <v>3</v>
      </c>
      <c r="AB24" s="86">
        <v>19</v>
      </c>
      <c r="AC24" s="86">
        <v>15</v>
      </c>
      <c r="AD24" s="86">
        <f>SUM(AC$6:AC24)</f>
        <v>100</v>
      </c>
      <c r="AO24" s="48">
        <v>3</v>
      </c>
      <c r="AP24" s="86">
        <v>9</v>
      </c>
      <c r="AQ24" s="86">
        <v>3</v>
      </c>
      <c r="AR24" s="48">
        <v>1</v>
      </c>
      <c r="AS24" s="86" t="s">
        <v>329</v>
      </c>
      <c r="AT24" s="21">
        <f t="shared" si="0"/>
        <v>3.7499999999999999E-2</v>
      </c>
      <c r="AU24" s="86">
        <f t="shared" si="5"/>
        <v>1</v>
      </c>
      <c r="AV24" s="86">
        <f t="shared" si="6"/>
        <v>3</v>
      </c>
      <c r="AW24" s="87">
        <f t="shared" si="7"/>
        <v>7.4999999999999997E-2</v>
      </c>
      <c r="AX24" s="86">
        <f t="shared" si="8"/>
        <v>1.5</v>
      </c>
      <c r="BA24" s="86">
        <v>20</v>
      </c>
      <c r="BB24" s="14" t="e">
        <f>INDEX(节奏总表!#REF!,神器!BA24)</f>
        <v>#REF!</v>
      </c>
      <c r="BC24" s="14" t="e">
        <f t="shared" si="9"/>
        <v>#REF!</v>
      </c>
      <c r="BD24" s="14">
        <v>5</v>
      </c>
      <c r="BE24" s="14">
        <v>3</v>
      </c>
      <c r="BF24" s="14">
        <f t="shared" si="10"/>
        <v>0</v>
      </c>
      <c r="BG24" s="14">
        <f t="shared" si="10"/>
        <v>0</v>
      </c>
      <c r="BH24" s="14">
        <f t="shared" si="10"/>
        <v>0</v>
      </c>
      <c r="BI24" s="14">
        <f t="shared" si="10"/>
        <v>0</v>
      </c>
      <c r="BJ24" s="14">
        <f t="shared" si="10"/>
        <v>0</v>
      </c>
      <c r="BK24" s="14">
        <f t="shared" si="10"/>
        <v>0</v>
      </c>
      <c r="BL24" s="14">
        <f t="shared" si="10"/>
        <v>0</v>
      </c>
      <c r="BM24" s="14">
        <f t="shared" si="10"/>
        <v>0</v>
      </c>
      <c r="BN24" s="14">
        <f t="shared" si="10"/>
        <v>0</v>
      </c>
      <c r="BO24" s="14">
        <f t="shared" si="10"/>
        <v>0</v>
      </c>
      <c r="BP24" s="14">
        <f t="shared" si="10"/>
        <v>0</v>
      </c>
      <c r="BQ24" s="14">
        <f t="shared" si="10"/>
        <v>0</v>
      </c>
      <c r="BR24" s="14">
        <f t="shared" si="10"/>
        <v>0</v>
      </c>
      <c r="BS24" s="14">
        <f t="shared" si="10"/>
        <v>0</v>
      </c>
      <c r="BT24" s="14">
        <f t="shared" si="10"/>
        <v>0</v>
      </c>
      <c r="BU24" s="14">
        <f t="shared" si="10"/>
        <v>0</v>
      </c>
      <c r="BV24" s="14">
        <f t="shared" si="54"/>
        <v>0</v>
      </c>
      <c r="BW24" s="14">
        <f t="shared" si="54"/>
        <v>0</v>
      </c>
      <c r="BX24" s="14">
        <f t="shared" si="54"/>
        <v>0</v>
      </c>
      <c r="BY24" s="14">
        <f t="shared" si="54"/>
        <v>0</v>
      </c>
      <c r="BZ24" s="14">
        <f t="shared" si="54"/>
        <v>0</v>
      </c>
      <c r="CA24" s="14">
        <f t="shared" si="54"/>
        <v>0</v>
      </c>
      <c r="CB24" s="14">
        <f t="shared" si="54"/>
        <v>0</v>
      </c>
      <c r="CC24" s="14">
        <f t="shared" si="54"/>
        <v>0</v>
      </c>
      <c r="CD24" s="14">
        <f t="shared" si="54"/>
        <v>0</v>
      </c>
      <c r="CE24" s="14">
        <f t="shared" si="54"/>
        <v>0</v>
      </c>
      <c r="CF24" s="14">
        <f t="shared" si="55"/>
        <v>0</v>
      </c>
      <c r="CG24" s="14">
        <f t="shared" si="55"/>
        <v>0</v>
      </c>
      <c r="CH24" s="14">
        <f t="shared" si="55"/>
        <v>0</v>
      </c>
      <c r="CI24" s="14">
        <f t="shared" si="55"/>
        <v>0</v>
      </c>
      <c r="CJ24" s="14">
        <f t="shared" si="55"/>
        <v>0</v>
      </c>
      <c r="CK24" s="14">
        <f t="shared" si="55"/>
        <v>0</v>
      </c>
      <c r="CL24" s="14">
        <f t="shared" si="55"/>
        <v>0</v>
      </c>
      <c r="CM24" s="14">
        <f t="shared" si="55"/>
        <v>0</v>
      </c>
      <c r="CN24" s="14">
        <f t="shared" si="55"/>
        <v>0</v>
      </c>
      <c r="CO24" s="14">
        <f t="shared" si="55"/>
        <v>0</v>
      </c>
      <c r="CP24" s="14">
        <f t="shared" si="55"/>
        <v>0</v>
      </c>
      <c r="CQ24" s="14">
        <f t="shared" si="55"/>
        <v>0</v>
      </c>
      <c r="CR24" s="14">
        <f t="shared" si="55"/>
        <v>0</v>
      </c>
      <c r="CS24" s="14">
        <f t="shared" si="55"/>
        <v>0</v>
      </c>
      <c r="CT24" s="14">
        <f t="shared" si="55"/>
        <v>0</v>
      </c>
      <c r="CU24" s="14">
        <f t="shared" si="55"/>
        <v>0</v>
      </c>
      <c r="CW24" s="14">
        <f>SUM(BF$5:BF24)</f>
        <v>0</v>
      </c>
      <c r="CX24" s="14">
        <f>SUM(BG$5:BG24)</f>
        <v>0</v>
      </c>
      <c r="CY24" s="14">
        <f>SUM(BH$5:BH24)</f>
        <v>0</v>
      </c>
      <c r="CZ24" s="14">
        <f>SUM(BI$5:BI24)</f>
        <v>0</v>
      </c>
      <c r="DA24" s="14">
        <f>SUM(BJ$5:BJ24)</f>
        <v>0</v>
      </c>
      <c r="DB24" s="14">
        <f>SUM(BK$5:BK24)</f>
        <v>0</v>
      </c>
      <c r="DC24" s="14">
        <f>SUM(BL$5:BL24)</f>
        <v>0</v>
      </c>
      <c r="DD24" s="14">
        <f>SUM(BM$5:BM24)</f>
        <v>0</v>
      </c>
      <c r="DE24" s="14">
        <f>SUM(BN$5:BN24)</f>
        <v>0</v>
      </c>
      <c r="DF24" s="14">
        <f>SUM(BO$5:BO24)</f>
        <v>0</v>
      </c>
      <c r="DG24" s="14">
        <f>SUM(BP$5:BP24)</f>
        <v>0</v>
      </c>
      <c r="DH24" s="14">
        <f>SUM(BQ$5:BQ24)</f>
        <v>0</v>
      </c>
      <c r="DI24" s="14">
        <f>SUM(BR$5:BR24)</f>
        <v>0</v>
      </c>
      <c r="DJ24" s="14">
        <f>SUM(BS$5:BS24)</f>
        <v>0</v>
      </c>
      <c r="DK24" s="14">
        <f>SUM(BT$5:BT24)</f>
        <v>0</v>
      </c>
      <c r="DL24" s="14">
        <f>SUM(BU$5:BU24)</f>
        <v>0</v>
      </c>
      <c r="DM24" s="14">
        <f>SUM(BV$5:BV24)</f>
        <v>0</v>
      </c>
      <c r="DN24" s="14">
        <f>SUM(BW$5:BW24)</f>
        <v>0</v>
      </c>
      <c r="DO24" s="14">
        <f>SUM(BX$5:BX24)</f>
        <v>0</v>
      </c>
      <c r="DP24" s="14">
        <f>SUM(BY$5:BY24)</f>
        <v>0</v>
      </c>
      <c r="DQ24" s="14">
        <f>SUM(BZ$5:BZ24)</f>
        <v>0</v>
      </c>
      <c r="DR24" s="14">
        <f>SUM(CA$5:CA24)</f>
        <v>0</v>
      </c>
      <c r="DS24" s="14">
        <f>SUM(CB$5:CB24)</f>
        <v>0</v>
      </c>
      <c r="DT24" s="14">
        <f>SUM(CC$5:CC24)</f>
        <v>0</v>
      </c>
      <c r="DU24" s="14">
        <f>SUM(CD$5:CD24)</f>
        <v>0</v>
      </c>
      <c r="DV24" s="14">
        <f>SUM(CE$5:CE24)</f>
        <v>0</v>
      </c>
      <c r="DW24" s="14">
        <f>SUM(CF$5:CF24)</f>
        <v>0</v>
      </c>
      <c r="DX24" s="14">
        <f>SUM(CG$5:CG24)</f>
        <v>0</v>
      </c>
      <c r="DY24" s="14">
        <f>SUM(CH$5:CH24)</f>
        <v>0</v>
      </c>
      <c r="DZ24" s="14">
        <f>SUM(CI$5:CI24)</f>
        <v>0</v>
      </c>
      <c r="EA24" s="14">
        <f>SUM(CJ$5:CJ24)</f>
        <v>0</v>
      </c>
      <c r="EB24" s="14">
        <f>SUM(CK$5:CK24)</f>
        <v>0</v>
      </c>
      <c r="EC24" s="14">
        <f>SUM(CL$5:CL24)</f>
        <v>0</v>
      </c>
      <c r="ED24" s="14">
        <f>SUM(CM$5:CM24)</f>
        <v>0</v>
      </c>
      <c r="EE24" s="14">
        <f>SUM(CN$5:CN24)</f>
        <v>0</v>
      </c>
      <c r="EF24" s="14">
        <f>SUM(CO$5:CO24)</f>
        <v>0</v>
      </c>
      <c r="EG24" s="14">
        <f>SUM(CP$5:CP24)</f>
        <v>0</v>
      </c>
      <c r="EH24" s="14">
        <f>SUM(CQ$5:CQ24)</f>
        <v>0</v>
      </c>
      <c r="EI24" s="14">
        <f>SUM(CR$5:CR24)</f>
        <v>0</v>
      </c>
      <c r="EJ24" s="14">
        <f>SUM(CS$5:CS24)</f>
        <v>0</v>
      </c>
      <c r="EK24" s="14">
        <f>SUM(CT$5:CT24)</f>
        <v>0</v>
      </c>
      <c r="EL24" s="14">
        <f>SUM(CU$5:CU24)</f>
        <v>0</v>
      </c>
      <c r="EO24" s="87">
        <f t="shared" si="11"/>
        <v>0</v>
      </c>
      <c r="EP24" s="87">
        <f t="shared" si="12"/>
        <v>0</v>
      </c>
      <c r="EQ24" s="87">
        <f t="shared" si="13"/>
        <v>0</v>
      </c>
      <c r="ER24" s="87">
        <f t="shared" si="14"/>
        <v>0</v>
      </c>
      <c r="ES24" s="87">
        <f t="shared" si="15"/>
        <v>0</v>
      </c>
      <c r="ET24" s="87">
        <f t="shared" si="16"/>
        <v>0</v>
      </c>
      <c r="EU24" s="87">
        <f t="shared" si="17"/>
        <v>0</v>
      </c>
      <c r="EV24" s="87">
        <f t="shared" si="18"/>
        <v>0</v>
      </c>
      <c r="EW24" s="87">
        <f t="shared" si="19"/>
        <v>0</v>
      </c>
      <c r="EX24" s="87">
        <f t="shared" si="20"/>
        <v>0</v>
      </c>
      <c r="EY24" s="87">
        <f t="shared" si="21"/>
        <v>0</v>
      </c>
      <c r="EZ24" s="87">
        <f t="shared" si="22"/>
        <v>0</v>
      </c>
      <c r="FA24" s="87">
        <f t="shared" si="23"/>
        <v>0</v>
      </c>
      <c r="FB24" s="87">
        <f t="shared" si="24"/>
        <v>0</v>
      </c>
      <c r="FC24" s="87">
        <f t="shared" si="25"/>
        <v>0</v>
      </c>
      <c r="FD24" s="87">
        <f t="shared" si="26"/>
        <v>0</v>
      </c>
      <c r="FE24" s="87">
        <f t="shared" si="27"/>
        <v>0</v>
      </c>
      <c r="FF24" s="87">
        <f t="shared" si="28"/>
        <v>0</v>
      </c>
      <c r="FG24" s="87">
        <f t="shared" si="29"/>
        <v>0</v>
      </c>
      <c r="FH24" s="87">
        <f t="shared" si="30"/>
        <v>0</v>
      </c>
      <c r="FI24" s="87">
        <f t="shared" si="31"/>
        <v>0</v>
      </c>
      <c r="FJ24" s="87">
        <f t="shared" si="32"/>
        <v>0</v>
      </c>
      <c r="FK24" s="87">
        <f t="shared" si="33"/>
        <v>0</v>
      </c>
      <c r="FL24" s="87">
        <f t="shared" si="34"/>
        <v>0</v>
      </c>
      <c r="FM24" s="87">
        <f t="shared" si="35"/>
        <v>0</v>
      </c>
      <c r="FN24" s="87">
        <f t="shared" si="36"/>
        <v>0</v>
      </c>
      <c r="FO24" s="87">
        <f t="shared" si="37"/>
        <v>0</v>
      </c>
      <c r="FP24" s="87">
        <f t="shared" si="38"/>
        <v>0</v>
      </c>
      <c r="FQ24" s="87">
        <f t="shared" si="39"/>
        <v>0</v>
      </c>
      <c r="FR24" s="87">
        <f t="shared" si="40"/>
        <v>0</v>
      </c>
      <c r="FS24" s="87">
        <f t="shared" si="41"/>
        <v>0</v>
      </c>
      <c r="FT24" s="87">
        <f t="shared" si="42"/>
        <v>0</v>
      </c>
      <c r="FU24" s="87">
        <f t="shared" si="43"/>
        <v>0</v>
      </c>
      <c r="FV24" s="87">
        <f t="shared" si="44"/>
        <v>0</v>
      </c>
      <c r="FW24" s="87">
        <f t="shared" si="45"/>
        <v>0</v>
      </c>
      <c r="FX24" s="87">
        <f t="shared" si="46"/>
        <v>0</v>
      </c>
      <c r="FY24" s="87">
        <f t="shared" si="47"/>
        <v>0</v>
      </c>
      <c r="FZ24" s="87">
        <f t="shared" si="48"/>
        <v>0</v>
      </c>
      <c r="GA24" s="87">
        <f t="shared" si="49"/>
        <v>0</v>
      </c>
      <c r="GB24" s="87">
        <f t="shared" si="50"/>
        <v>0</v>
      </c>
      <c r="GC24" s="87">
        <f t="shared" si="51"/>
        <v>0</v>
      </c>
      <c r="GD24" s="87">
        <f t="shared" si="52"/>
        <v>0</v>
      </c>
    </row>
    <row r="25" spans="11:186" ht="16.5" x14ac:dyDescent="0.2">
      <c r="K25" s="86">
        <v>21</v>
      </c>
      <c r="L25" s="86">
        <v>5</v>
      </c>
      <c r="M25" s="86">
        <v>1</v>
      </c>
      <c r="N25" s="86" t="str">
        <f t="shared" si="3"/>
        <v>神器5-1</v>
      </c>
      <c r="O25" s="86">
        <v>1</v>
      </c>
      <c r="P25" s="14">
        <f t="shared" si="4"/>
        <v>30</v>
      </c>
      <c r="Q25" s="88">
        <v>0.25</v>
      </c>
      <c r="R25" s="14">
        <v>1</v>
      </c>
      <c r="S25" s="14">
        <v>3</v>
      </c>
      <c r="T25" s="88">
        <v>0.25</v>
      </c>
      <c r="U25" s="14">
        <v>2</v>
      </c>
      <c r="V25" s="14">
        <v>4</v>
      </c>
      <c r="W25" s="88">
        <v>0.25</v>
      </c>
      <c r="X25" s="14">
        <v>3</v>
      </c>
      <c r="Y25" s="14">
        <v>5</v>
      </c>
      <c r="AB25" s="86">
        <v>20</v>
      </c>
      <c r="AC25" s="86">
        <v>15</v>
      </c>
      <c r="AD25" s="86">
        <f>SUM(AC$6:AC25)</f>
        <v>115</v>
      </c>
      <c r="AO25" s="48">
        <v>3</v>
      </c>
      <c r="AP25" s="86">
        <v>10</v>
      </c>
      <c r="AQ25" s="86">
        <v>3</v>
      </c>
      <c r="AR25" s="48">
        <v>1</v>
      </c>
      <c r="AS25" s="86" t="s">
        <v>330</v>
      </c>
      <c r="AT25" s="21">
        <f t="shared" si="0"/>
        <v>3.7499999999999999E-2</v>
      </c>
      <c r="AU25" s="86">
        <f t="shared" si="5"/>
        <v>1</v>
      </c>
      <c r="AV25" s="86">
        <f t="shared" si="6"/>
        <v>3</v>
      </c>
      <c r="AW25" s="87">
        <f t="shared" si="7"/>
        <v>7.4999999999999997E-2</v>
      </c>
      <c r="AX25" s="86">
        <f t="shared" si="8"/>
        <v>1.5</v>
      </c>
      <c r="BA25" s="86">
        <v>21</v>
      </c>
      <c r="BB25" s="14" t="e">
        <f>INDEX(节奏总表!#REF!,神器!BA25)</f>
        <v>#REF!</v>
      </c>
      <c r="BC25" s="14" t="e">
        <f t="shared" si="9"/>
        <v>#REF!</v>
      </c>
      <c r="BD25" s="14">
        <v>5</v>
      </c>
      <c r="BE25" s="14">
        <v>3</v>
      </c>
      <c r="BF25" s="14">
        <f t="shared" si="10"/>
        <v>0</v>
      </c>
      <c r="BG25" s="14">
        <f t="shared" si="10"/>
        <v>0</v>
      </c>
      <c r="BH25" s="14">
        <f t="shared" si="10"/>
        <v>0</v>
      </c>
      <c r="BI25" s="14">
        <f t="shared" si="10"/>
        <v>0</v>
      </c>
      <c r="BJ25" s="14">
        <f t="shared" si="10"/>
        <v>0</v>
      </c>
      <c r="BK25" s="14">
        <f t="shared" si="10"/>
        <v>0</v>
      </c>
      <c r="BL25" s="14">
        <f t="shared" si="10"/>
        <v>0</v>
      </c>
      <c r="BM25" s="14">
        <f t="shared" si="10"/>
        <v>0</v>
      </c>
      <c r="BN25" s="14">
        <f t="shared" si="10"/>
        <v>0</v>
      </c>
      <c r="BO25" s="14">
        <f t="shared" si="10"/>
        <v>0</v>
      </c>
      <c r="BP25" s="14">
        <f t="shared" si="10"/>
        <v>0</v>
      </c>
      <c r="BQ25" s="14">
        <f t="shared" si="10"/>
        <v>0</v>
      </c>
      <c r="BR25" s="14">
        <f t="shared" si="10"/>
        <v>0</v>
      </c>
      <c r="BS25" s="14">
        <f t="shared" si="10"/>
        <v>0</v>
      </c>
      <c r="BT25" s="14">
        <f t="shared" si="10"/>
        <v>0</v>
      </c>
      <c r="BU25" s="14">
        <f t="shared" si="10"/>
        <v>0</v>
      </c>
      <c r="BV25" s="14">
        <f t="shared" si="54"/>
        <v>0</v>
      </c>
      <c r="BW25" s="14">
        <f t="shared" si="54"/>
        <v>0</v>
      </c>
      <c r="BX25" s="14">
        <f t="shared" si="54"/>
        <v>0</v>
      </c>
      <c r="BY25" s="14">
        <f t="shared" si="54"/>
        <v>0</v>
      </c>
      <c r="BZ25" s="14">
        <f t="shared" si="54"/>
        <v>0</v>
      </c>
      <c r="CA25" s="14">
        <f t="shared" si="54"/>
        <v>0</v>
      </c>
      <c r="CB25" s="14">
        <f t="shared" si="54"/>
        <v>0</v>
      </c>
      <c r="CC25" s="14">
        <f t="shared" si="54"/>
        <v>0</v>
      </c>
      <c r="CD25" s="14">
        <f t="shared" si="54"/>
        <v>0</v>
      </c>
      <c r="CE25" s="14">
        <f t="shared" si="54"/>
        <v>0</v>
      </c>
      <c r="CF25" s="14">
        <f t="shared" si="55"/>
        <v>0</v>
      </c>
      <c r="CG25" s="14">
        <f t="shared" si="55"/>
        <v>0</v>
      </c>
      <c r="CH25" s="14">
        <f t="shared" si="55"/>
        <v>0</v>
      </c>
      <c r="CI25" s="14">
        <f t="shared" si="55"/>
        <v>0</v>
      </c>
      <c r="CJ25" s="14">
        <f t="shared" si="55"/>
        <v>0</v>
      </c>
      <c r="CK25" s="14">
        <f t="shared" si="55"/>
        <v>0</v>
      </c>
      <c r="CL25" s="14">
        <f t="shared" si="55"/>
        <v>0</v>
      </c>
      <c r="CM25" s="14">
        <f t="shared" si="55"/>
        <v>0</v>
      </c>
      <c r="CN25" s="14">
        <f t="shared" si="55"/>
        <v>0</v>
      </c>
      <c r="CO25" s="14">
        <f t="shared" si="55"/>
        <v>0</v>
      </c>
      <c r="CP25" s="14">
        <f t="shared" si="55"/>
        <v>0</v>
      </c>
      <c r="CQ25" s="14">
        <f t="shared" si="55"/>
        <v>0</v>
      </c>
      <c r="CR25" s="14">
        <f t="shared" si="55"/>
        <v>0</v>
      </c>
      <c r="CS25" s="14">
        <f t="shared" si="55"/>
        <v>0</v>
      </c>
      <c r="CT25" s="14">
        <f t="shared" si="55"/>
        <v>0</v>
      </c>
      <c r="CU25" s="14">
        <f t="shared" si="55"/>
        <v>0</v>
      </c>
      <c r="CW25" s="14">
        <f>SUM(BF$5:BF25)</f>
        <v>0</v>
      </c>
      <c r="CX25" s="14">
        <f>SUM(BG$5:BG25)</f>
        <v>0</v>
      </c>
      <c r="CY25" s="14">
        <f>SUM(BH$5:BH25)</f>
        <v>0</v>
      </c>
      <c r="CZ25" s="14">
        <f>SUM(BI$5:BI25)</f>
        <v>0</v>
      </c>
      <c r="DA25" s="14">
        <f>SUM(BJ$5:BJ25)</f>
        <v>0</v>
      </c>
      <c r="DB25" s="14">
        <f>SUM(BK$5:BK25)</f>
        <v>0</v>
      </c>
      <c r="DC25" s="14">
        <f>SUM(BL$5:BL25)</f>
        <v>0</v>
      </c>
      <c r="DD25" s="14">
        <f>SUM(BM$5:BM25)</f>
        <v>0</v>
      </c>
      <c r="DE25" s="14">
        <f>SUM(BN$5:BN25)</f>
        <v>0</v>
      </c>
      <c r="DF25" s="14">
        <f>SUM(BO$5:BO25)</f>
        <v>0</v>
      </c>
      <c r="DG25" s="14">
        <f>SUM(BP$5:BP25)</f>
        <v>0</v>
      </c>
      <c r="DH25" s="14">
        <f>SUM(BQ$5:BQ25)</f>
        <v>0</v>
      </c>
      <c r="DI25" s="14">
        <f>SUM(BR$5:BR25)</f>
        <v>0</v>
      </c>
      <c r="DJ25" s="14">
        <f>SUM(BS$5:BS25)</f>
        <v>0</v>
      </c>
      <c r="DK25" s="14">
        <f>SUM(BT$5:BT25)</f>
        <v>0</v>
      </c>
      <c r="DL25" s="14">
        <f>SUM(BU$5:BU25)</f>
        <v>0</v>
      </c>
      <c r="DM25" s="14">
        <f>SUM(BV$5:BV25)</f>
        <v>0</v>
      </c>
      <c r="DN25" s="14">
        <f>SUM(BW$5:BW25)</f>
        <v>0</v>
      </c>
      <c r="DO25" s="14">
        <f>SUM(BX$5:BX25)</f>
        <v>0</v>
      </c>
      <c r="DP25" s="14">
        <f>SUM(BY$5:BY25)</f>
        <v>0</v>
      </c>
      <c r="DQ25" s="14">
        <f>SUM(BZ$5:BZ25)</f>
        <v>0</v>
      </c>
      <c r="DR25" s="14">
        <f>SUM(CA$5:CA25)</f>
        <v>0</v>
      </c>
      <c r="DS25" s="14">
        <f>SUM(CB$5:CB25)</f>
        <v>0</v>
      </c>
      <c r="DT25" s="14">
        <f>SUM(CC$5:CC25)</f>
        <v>0</v>
      </c>
      <c r="DU25" s="14">
        <f>SUM(CD$5:CD25)</f>
        <v>0</v>
      </c>
      <c r="DV25" s="14">
        <f>SUM(CE$5:CE25)</f>
        <v>0</v>
      </c>
      <c r="DW25" s="14">
        <f>SUM(CF$5:CF25)</f>
        <v>0</v>
      </c>
      <c r="DX25" s="14">
        <f>SUM(CG$5:CG25)</f>
        <v>0</v>
      </c>
      <c r="DY25" s="14">
        <f>SUM(CH$5:CH25)</f>
        <v>0</v>
      </c>
      <c r="DZ25" s="14">
        <f>SUM(CI$5:CI25)</f>
        <v>0</v>
      </c>
      <c r="EA25" s="14">
        <f>SUM(CJ$5:CJ25)</f>
        <v>0</v>
      </c>
      <c r="EB25" s="14">
        <f>SUM(CK$5:CK25)</f>
        <v>0</v>
      </c>
      <c r="EC25" s="14">
        <f>SUM(CL$5:CL25)</f>
        <v>0</v>
      </c>
      <c r="ED25" s="14">
        <f>SUM(CM$5:CM25)</f>
        <v>0</v>
      </c>
      <c r="EE25" s="14">
        <f>SUM(CN$5:CN25)</f>
        <v>0</v>
      </c>
      <c r="EF25" s="14">
        <f>SUM(CO$5:CO25)</f>
        <v>0</v>
      </c>
      <c r="EG25" s="14">
        <f>SUM(CP$5:CP25)</f>
        <v>0</v>
      </c>
      <c r="EH25" s="14">
        <f>SUM(CQ$5:CQ25)</f>
        <v>0</v>
      </c>
      <c r="EI25" s="14">
        <f>SUM(CR$5:CR25)</f>
        <v>0</v>
      </c>
      <c r="EJ25" s="14">
        <f>SUM(CS$5:CS25)</f>
        <v>0</v>
      </c>
      <c r="EK25" s="14">
        <f>SUM(CT$5:CT25)</f>
        <v>0</v>
      </c>
      <c r="EL25" s="14">
        <f>SUM(CU$5:CU25)</f>
        <v>0</v>
      </c>
      <c r="EO25" s="87">
        <f t="shared" si="11"/>
        <v>0</v>
      </c>
      <c r="EP25" s="87">
        <f t="shared" si="12"/>
        <v>0</v>
      </c>
      <c r="EQ25" s="87">
        <f t="shared" si="13"/>
        <v>0</v>
      </c>
      <c r="ER25" s="87">
        <f t="shared" si="14"/>
        <v>0</v>
      </c>
      <c r="ES25" s="87">
        <f t="shared" si="15"/>
        <v>0</v>
      </c>
      <c r="ET25" s="87">
        <f t="shared" si="16"/>
        <v>0</v>
      </c>
      <c r="EU25" s="87">
        <f t="shared" si="17"/>
        <v>0</v>
      </c>
      <c r="EV25" s="87">
        <f t="shared" si="18"/>
        <v>0</v>
      </c>
      <c r="EW25" s="87">
        <f t="shared" si="19"/>
        <v>0</v>
      </c>
      <c r="EX25" s="87">
        <f t="shared" si="20"/>
        <v>0</v>
      </c>
      <c r="EY25" s="87">
        <f t="shared" si="21"/>
        <v>0</v>
      </c>
      <c r="EZ25" s="87">
        <f t="shared" si="22"/>
        <v>0</v>
      </c>
      <c r="FA25" s="87">
        <f t="shared" si="23"/>
        <v>0</v>
      </c>
      <c r="FB25" s="87">
        <f t="shared" si="24"/>
        <v>0</v>
      </c>
      <c r="FC25" s="87">
        <f t="shared" si="25"/>
        <v>0</v>
      </c>
      <c r="FD25" s="87">
        <f t="shared" si="26"/>
        <v>0</v>
      </c>
      <c r="FE25" s="87">
        <f t="shared" si="27"/>
        <v>0</v>
      </c>
      <c r="FF25" s="87">
        <f t="shared" si="28"/>
        <v>0</v>
      </c>
      <c r="FG25" s="87">
        <f t="shared" si="29"/>
        <v>0</v>
      </c>
      <c r="FH25" s="87">
        <f t="shared" si="30"/>
        <v>0</v>
      </c>
      <c r="FI25" s="87">
        <f t="shared" si="31"/>
        <v>0</v>
      </c>
      <c r="FJ25" s="87">
        <f t="shared" si="32"/>
        <v>0</v>
      </c>
      <c r="FK25" s="87">
        <f t="shared" si="33"/>
        <v>0</v>
      </c>
      <c r="FL25" s="87">
        <f t="shared" si="34"/>
        <v>0</v>
      </c>
      <c r="FM25" s="87">
        <f t="shared" si="35"/>
        <v>0</v>
      </c>
      <c r="FN25" s="87">
        <f t="shared" si="36"/>
        <v>0</v>
      </c>
      <c r="FO25" s="87">
        <f t="shared" si="37"/>
        <v>0</v>
      </c>
      <c r="FP25" s="87">
        <f t="shared" si="38"/>
        <v>0</v>
      </c>
      <c r="FQ25" s="87">
        <f t="shared" si="39"/>
        <v>0</v>
      </c>
      <c r="FR25" s="87">
        <f t="shared" si="40"/>
        <v>0</v>
      </c>
      <c r="FS25" s="87">
        <f t="shared" si="41"/>
        <v>0</v>
      </c>
      <c r="FT25" s="87">
        <f t="shared" si="42"/>
        <v>0</v>
      </c>
      <c r="FU25" s="87">
        <f t="shared" si="43"/>
        <v>0</v>
      </c>
      <c r="FV25" s="87">
        <f t="shared" si="44"/>
        <v>0</v>
      </c>
      <c r="FW25" s="87">
        <f t="shared" si="45"/>
        <v>0</v>
      </c>
      <c r="FX25" s="87">
        <f t="shared" si="46"/>
        <v>0</v>
      </c>
      <c r="FY25" s="87">
        <f t="shared" si="47"/>
        <v>0</v>
      </c>
      <c r="FZ25" s="87">
        <f t="shared" si="48"/>
        <v>0</v>
      </c>
      <c r="GA25" s="87">
        <f t="shared" si="49"/>
        <v>0</v>
      </c>
      <c r="GB25" s="87">
        <f t="shared" si="50"/>
        <v>0</v>
      </c>
      <c r="GC25" s="87">
        <f t="shared" si="51"/>
        <v>0</v>
      </c>
      <c r="GD25" s="87">
        <f t="shared" si="52"/>
        <v>0</v>
      </c>
    </row>
    <row r="26" spans="11:186" ht="16.5" x14ac:dyDescent="0.2">
      <c r="K26" s="86">
        <v>22</v>
      </c>
      <c r="L26" s="86">
        <v>5</v>
      </c>
      <c r="M26" s="86">
        <v>2</v>
      </c>
      <c r="N26" s="86" t="str">
        <f t="shared" si="3"/>
        <v>神器5-2</v>
      </c>
      <c r="O26" s="86">
        <v>1</v>
      </c>
      <c r="P26" s="14">
        <f t="shared" si="4"/>
        <v>30</v>
      </c>
      <c r="Q26" s="88">
        <v>0.25</v>
      </c>
      <c r="R26" s="14">
        <v>1</v>
      </c>
      <c r="S26" s="14">
        <v>3</v>
      </c>
      <c r="T26" s="88">
        <v>0.25</v>
      </c>
      <c r="U26" s="14">
        <v>2</v>
      </c>
      <c r="V26" s="14">
        <v>4</v>
      </c>
      <c r="W26" s="88">
        <v>0.25</v>
      </c>
      <c r="X26" s="14">
        <v>3</v>
      </c>
      <c r="Y26" s="14">
        <v>5</v>
      </c>
      <c r="AB26" s="86">
        <v>21</v>
      </c>
      <c r="AC26" s="86">
        <v>15</v>
      </c>
      <c r="AD26" s="86">
        <f>SUM(AC$6:AC26)</f>
        <v>130</v>
      </c>
      <c r="AO26" s="48">
        <v>3</v>
      </c>
      <c r="AP26" s="86">
        <v>11</v>
      </c>
      <c r="AQ26" s="86">
        <v>3</v>
      </c>
      <c r="AR26" s="48">
        <v>1</v>
      </c>
      <c r="AS26" s="86" t="s">
        <v>331</v>
      </c>
      <c r="AT26" s="21">
        <f t="shared" si="0"/>
        <v>2.4E-2</v>
      </c>
      <c r="AU26" s="86">
        <f t="shared" si="5"/>
        <v>1</v>
      </c>
      <c r="AV26" s="86">
        <f t="shared" si="6"/>
        <v>2</v>
      </c>
      <c r="AW26" s="87">
        <f t="shared" si="7"/>
        <v>3.6000000000000004E-2</v>
      </c>
      <c r="AX26" s="86">
        <f t="shared" si="8"/>
        <v>2.16</v>
      </c>
      <c r="BA26" s="86">
        <v>22</v>
      </c>
      <c r="BB26" s="14" t="e">
        <f>INDEX(节奏总表!#REF!,神器!BA26)</f>
        <v>#REF!</v>
      </c>
      <c r="BC26" s="14" t="e">
        <f t="shared" si="9"/>
        <v>#REF!</v>
      </c>
      <c r="BD26" s="14">
        <v>5</v>
      </c>
      <c r="BE26" s="14">
        <v>3</v>
      </c>
      <c r="BF26" s="14">
        <f t="shared" si="10"/>
        <v>0</v>
      </c>
      <c r="BG26" s="14">
        <f t="shared" si="10"/>
        <v>0</v>
      </c>
      <c r="BH26" s="14">
        <f t="shared" si="10"/>
        <v>0</v>
      </c>
      <c r="BI26" s="14">
        <f t="shared" si="10"/>
        <v>0</v>
      </c>
      <c r="BJ26" s="14">
        <f t="shared" si="10"/>
        <v>0</v>
      </c>
      <c r="BK26" s="14">
        <f t="shared" si="10"/>
        <v>0</v>
      </c>
      <c r="BL26" s="14">
        <f t="shared" si="10"/>
        <v>0</v>
      </c>
      <c r="BM26" s="14">
        <f t="shared" si="10"/>
        <v>0</v>
      </c>
      <c r="BN26" s="14">
        <f t="shared" si="10"/>
        <v>0</v>
      </c>
      <c r="BO26" s="14">
        <f t="shared" si="10"/>
        <v>0</v>
      </c>
      <c r="BP26" s="14">
        <f t="shared" si="10"/>
        <v>0</v>
      </c>
      <c r="BQ26" s="14">
        <f t="shared" si="10"/>
        <v>0</v>
      </c>
      <c r="BR26" s="14">
        <f t="shared" si="10"/>
        <v>0</v>
      </c>
      <c r="BS26" s="14">
        <f t="shared" si="10"/>
        <v>0</v>
      </c>
      <c r="BT26" s="14">
        <f t="shared" si="10"/>
        <v>0</v>
      </c>
      <c r="BU26" s="14">
        <f t="shared" si="10"/>
        <v>0</v>
      </c>
      <c r="BV26" s="14">
        <f t="shared" si="54"/>
        <v>0</v>
      </c>
      <c r="BW26" s="14">
        <f t="shared" si="54"/>
        <v>0</v>
      </c>
      <c r="BX26" s="14">
        <f t="shared" si="54"/>
        <v>0</v>
      </c>
      <c r="BY26" s="14">
        <f t="shared" si="54"/>
        <v>0</v>
      </c>
      <c r="BZ26" s="14">
        <f t="shared" si="54"/>
        <v>0</v>
      </c>
      <c r="CA26" s="14">
        <f t="shared" si="54"/>
        <v>0</v>
      </c>
      <c r="CB26" s="14">
        <f t="shared" si="54"/>
        <v>0</v>
      </c>
      <c r="CC26" s="14">
        <f t="shared" si="54"/>
        <v>0</v>
      </c>
      <c r="CD26" s="14">
        <f t="shared" si="54"/>
        <v>0</v>
      </c>
      <c r="CE26" s="14">
        <f t="shared" si="54"/>
        <v>0</v>
      </c>
      <c r="CF26" s="14">
        <f t="shared" si="55"/>
        <v>0</v>
      </c>
      <c r="CG26" s="14">
        <f t="shared" si="55"/>
        <v>0</v>
      </c>
      <c r="CH26" s="14">
        <f t="shared" si="55"/>
        <v>0</v>
      </c>
      <c r="CI26" s="14">
        <f t="shared" si="55"/>
        <v>0</v>
      </c>
      <c r="CJ26" s="14">
        <f t="shared" si="55"/>
        <v>0</v>
      </c>
      <c r="CK26" s="14">
        <f t="shared" si="55"/>
        <v>0</v>
      </c>
      <c r="CL26" s="14">
        <f t="shared" si="55"/>
        <v>0</v>
      </c>
      <c r="CM26" s="14">
        <f t="shared" si="55"/>
        <v>0</v>
      </c>
      <c r="CN26" s="14">
        <f t="shared" si="55"/>
        <v>0</v>
      </c>
      <c r="CO26" s="14">
        <f t="shared" si="55"/>
        <v>0</v>
      </c>
      <c r="CP26" s="14">
        <f t="shared" si="55"/>
        <v>0</v>
      </c>
      <c r="CQ26" s="14">
        <f t="shared" si="55"/>
        <v>0</v>
      </c>
      <c r="CR26" s="14">
        <f t="shared" si="55"/>
        <v>0</v>
      </c>
      <c r="CS26" s="14">
        <f t="shared" si="55"/>
        <v>0</v>
      </c>
      <c r="CT26" s="14">
        <f t="shared" si="55"/>
        <v>0</v>
      </c>
      <c r="CU26" s="14">
        <f t="shared" ref="BG26:CU33" si="56">SUMIFS($AT$5:$AT$122,$AO$5:$AO$122,"="&amp;$BC26,$AP$5:$AP$122,"="&amp;CU$2) * (SUMIFS($AU$5:$AU$122,$AO$5:$AO$122,"="&amp;$BC26,$AP$5:$AP$122,"="&amp;CU$2)+SUMIFS($AV$5:$AV$122,$AO$5:$AO$122,"="&amp;$BC26,$AP$5:$AP$122,"="&amp;CU$2))/2*$BD26*$BE26</f>
        <v>0</v>
      </c>
      <c r="CW26" s="14">
        <f>SUM(BF$5:BF26)</f>
        <v>0</v>
      </c>
      <c r="CX26" s="14">
        <f>SUM(BG$5:BG26)</f>
        <v>0</v>
      </c>
      <c r="CY26" s="14">
        <f>SUM(BH$5:BH26)</f>
        <v>0</v>
      </c>
      <c r="CZ26" s="14">
        <f>SUM(BI$5:BI26)</f>
        <v>0</v>
      </c>
      <c r="DA26" s="14">
        <f>SUM(BJ$5:BJ26)</f>
        <v>0</v>
      </c>
      <c r="DB26" s="14">
        <f>SUM(BK$5:BK26)</f>
        <v>0</v>
      </c>
      <c r="DC26" s="14">
        <f>SUM(BL$5:BL26)</f>
        <v>0</v>
      </c>
      <c r="DD26" s="14">
        <f>SUM(BM$5:BM26)</f>
        <v>0</v>
      </c>
      <c r="DE26" s="14">
        <f>SUM(BN$5:BN26)</f>
        <v>0</v>
      </c>
      <c r="DF26" s="14">
        <f>SUM(BO$5:BO26)</f>
        <v>0</v>
      </c>
      <c r="DG26" s="14">
        <f>SUM(BP$5:BP26)</f>
        <v>0</v>
      </c>
      <c r="DH26" s="14">
        <f>SUM(BQ$5:BQ26)</f>
        <v>0</v>
      </c>
      <c r="DI26" s="14">
        <f>SUM(BR$5:BR26)</f>
        <v>0</v>
      </c>
      <c r="DJ26" s="14">
        <f>SUM(BS$5:BS26)</f>
        <v>0</v>
      </c>
      <c r="DK26" s="14">
        <f>SUM(BT$5:BT26)</f>
        <v>0</v>
      </c>
      <c r="DL26" s="14">
        <f>SUM(BU$5:BU26)</f>
        <v>0</v>
      </c>
      <c r="DM26" s="14">
        <f>SUM(BV$5:BV26)</f>
        <v>0</v>
      </c>
      <c r="DN26" s="14">
        <f>SUM(BW$5:BW26)</f>
        <v>0</v>
      </c>
      <c r="DO26" s="14">
        <f>SUM(BX$5:BX26)</f>
        <v>0</v>
      </c>
      <c r="DP26" s="14">
        <f>SUM(BY$5:BY26)</f>
        <v>0</v>
      </c>
      <c r="DQ26" s="14">
        <f>SUM(BZ$5:BZ26)</f>
        <v>0</v>
      </c>
      <c r="DR26" s="14">
        <f>SUM(CA$5:CA26)</f>
        <v>0</v>
      </c>
      <c r="DS26" s="14">
        <f>SUM(CB$5:CB26)</f>
        <v>0</v>
      </c>
      <c r="DT26" s="14">
        <f>SUM(CC$5:CC26)</f>
        <v>0</v>
      </c>
      <c r="DU26" s="14">
        <f>SUM(CD$5:CD26)</f>
        <v>0</v>
      </c>
      <c r="DV26" s="14">
        <f>SUM(CE$5:CE26)</f>
        <v>0</v>
      </c>
      <c r="DW26" s="14">
        <f>SUM(CF$5:CF26)</f>
        <v>0</v>
      </c>
      <c r="DX26" s="14">
        <f>SUM(CG$5:CG26)</f>
        <v>0</v>
      </c>
      <c r="DY26" s="14">
        <f>SUM(CH$5:CH26)</f>
        <v>0</v>
      </c>
      <c r="DZ26" s="14">
        <f>SUM(CI$5:CI26)</f>
        <v>0</v>
      </c>
      <c r="EA26" s="14">
        <f>SUM(CJ$5:CJ26)</f>
        <v>0</v>
      </c>
      <c r="EB26" s="14">
        <f>SUM(CK$5:CK26)</f>
        <v>0</v>
      </c>
      <c r="EC26" s="14">
        <f>SUM(CL$5:CL26)</f>
        <v>0</v>
      </c>
      <c r="ED26" s="14">
        <f>SUM(CM$5:CM26)</f>
        <v>0</v>
      </c>
      <c r="EE26" s="14">
        <f>SUM(CN$5:CN26)</f>
        <v>0</v>
      </c>
      <c r="EF26" s="14">
        <f>SUM(CO$5:CO26)</f>
        <v>0</v>
      </c>
      <c r="EG26" s="14">
        <f>SUM(CP$5:CP26)</f>
        <v>0</v>
      </c>
      <c r="EH26" s="14">
        <f>SUM(CQ$5:CQ26)</f>
        <v>0</v>
      </c>
      <c r="EI26" s="14">
        <f>SUM(CR$5:CR26)</f>
        <v>0</v>
      </c>
      <c r="EJ26" s="14">
        <f>SUM(CS$5:CS26)</f>
        <v>0</v>
      </c>
      <c r="EK26" s="14">
        <f>SUM(CT$5:CT26)</f>
        <v>0</v>
      </c>
      <c r="EL26" s="14">
        <f>SUM(CU$5:CU26)</f>
        <v>0</v>
      </c>
      <c r="EO26" s="87">
        <f t="shared" si="11"/>
        <v>0</v>
      </c>
      <c r="EP26" s="87">
        <f t="shared" si="12"/>
        <v>0</v>
      </c>
      <c r="EQ26" s="87">
        <f t="shared" si="13"/>
        <v>0</v>
      </c>
      <c r="ER26" s="87">
        <f t="shared" si="14"/>
        <v>0</v>
      </c>
      <c r="ES26" s="87">
        <f t="shared" si="15"/>
        <v>0</v>
      </c>
      <c r="ET26" s="87">
        <f t="shared" si="16"/>
        <v>0</v>
      </c>
      <c r="EU26" s="87">
        <f t="shared" si="17"/>
        <v>0</v>
      </c>
      <c r="EV26" s="87">
        <f t="shared" si="18"/>
        <v>0</v>
      </c>
      <c r="EW26" s="87">
        <f t="shared" si="19"/>
        <v>0</v>
      </c>
      <c r="EX26" s="87">
        <f t="shared" si="20"/>
        <v>0</v>
      </c>
      <c r="EY26" s="87">
        <f t="shared" si="21"/>
        <v>0</v>
      </c>
      <c r="EZ26" s="87">
        <f t="shared" si="22"/>
        <v>0</v>
      </c>
      <c r="FA26" s="87">
        <f t="shared" si="23"/>
        <v>0</v>
      </c>
      <c r="FB26" s="87">
        <f t="shared" si="24"/>
        <v>0</v>
      </c>
      <c r="FC26" s="87">
        <f t="shared" si="25"/>
        <v>0</v>
      </c>
      <c r="FD26" s="87">
        <f t="shared" si="26"/>
        <v>0</v>
      </c>
      <c r="FE26" s="87">
        <f t="shared" si="27"/>
        <v>0</v>
      </c>
      <c r="FF26" s="87">
        <f t="shared" si="28"/>
        <v>0</v>
      </c>
      <c r="FG26" s="87">
        <f t="shared" si="29"/>
        <v>0</v>
      </c>
      <c r="FH26" s="87">
        <f t="shared" si="30"/>
        <v>0</v>
      </c>
      <c r="FI26" s="87">
        <f t="shared" si="31"/>
        <v>0</v>
      </c>
      <c r="FJ26" s="87">
        <f t="shared" si="32"/>
        <v>0</v>
      </c>
      <c r="FK26" s="87">
        <f t="shared" si="33"/>
        <v>0</v>
      </c>
      <c r="FL26" s="87">
        <f t="shared" si="34"/>
        <v>0</v>
      </c>
      <c r="FM26" s="87">
        <f t="shared" si="35"/>
        <v>0</v>
      </c>
      <c r="FN26" s="87">
        <f t="shared" si="36"/>
        <v>0</v>
      </c>
      <c r="FO26" s="87">
        <f t="shared" si="37"/>
        <v>0</v>
      </c>
      <c r="FP26" s="87">
        <f t="shared" si="38"/>
        <v>0</v>
      </c>
      <c r="FQ26" s="87">
        <f t="shared" si="39"/>
        <v>0</v>
      </c>
      <c r="FR26" s="87">
        <f t="shared" si="40"/>
        <v>0</v>
      </c>
      <c r="FS26" s="87">
        <f t="shared" si="41"/>
        <v>0</v>
      </c>
      <c r="FT26" s="87">
        <f t="shared" si="42"/>
        <v>0</v>
      </c>
      <c r="FU26" s="87">
        <f t="shared" si="43"/>
        <v>0</v>
      </c>
      <c r="FV26" s="87">
        <f t="shared" si="44"/>
        <v>0</v>
      </c>
      <c r="FW26" s="87">
        <f t="shared" si="45"/>
        <v>0</v>
      </c>
      <c r="FX26" s="87">
        <f t="shared" si="46"/>
        <v>0</v>
      </c>
      <c r="FY26" s="87">
        <f t="shared" si="47"/>
        <v>0</v>
      </c>
      <c r="FZ26" s="87">
        <f t="shared" si="48"/>
        <v>0</v>
      </c>
      <c r="GA26" s="87">
        <f t="shared" si="49"/>
        <v>0</v>
      </c>
      <c r="GB26" s="87">
        <f t="shared" si="50"/>
        <v>0</v>
      </c>
      <c r="GC26" s="87">
        <f t="shared" si="51"/>
        <v>0</v>
      </c>
      <c r="GD26" s="87">
        <f t="shared" si="52"/>
        <v>0</v>
      </c>
    </row>
    <row r="27" spans="11:186" ht="16.5" x14ac:dyDescent="0.2">
      <c r="K27" s="86">
        <v>23</v>
      </c>
      <c r="L27" s="86">
        <v>5</v>
      </c>
      <c r="M27" s="86">
        <v>3</v>
      </c>
      <c r="N27" s="86" t="str">
        <f t="shared" si="3"/>
        <v>神器5-3</v>
      </c>
      <c r="O27" s="86">
        <v>2</v>
      </c>
      <c r="P27" s="14">
        <f t="shared" si="4"/>
        <v>90</v>
      </c>
      <c r="Q27" s="88">
        <v>0.16</v>
      </c>
      <c r="R27" s="14">
        <v>1</v>
      </c>
      <c r="S27" s="14">
        <v>2</v>
      </c>
      <c r="T27" s="88">
        <v>0.16</v>
      </c>
      <c r="U27" s="14">
        <v>1</v>
      </c>
      <c r="V27" s="14">
        <v>3</v>
      </c>
      <c r="W27" s="88">
        <v>0.16</v>
      </c>
      <c r="X27" s="14">
        <v>2</v>
      </c>
      <c r="Y27" s="14">
        <v>4</v>
      </c>
      <c r="AO27" s="48">
        <v>3</v>
      </c>
      <c r="AP27" s="86">
        <v>12</v>
      </c>
      <c r="AQ27" s="86">
        <v>3</v>
      </c>
      <c r="AR27" s="48">
        <v>1</v>
      </c>
      <c r="AS27" s="86" t="s">
        <v>332</v>
      </c>
      <c r="AT27" s="21">
        <f t="shared" si="0"/>
        <v>2.4E-2</v>
      </c>
      <c r="AU27" s="86">
        <f t="shared" si="5"/>
        <v>1</v>
      </c>
      <c r="AV27" s="86">
        <f t="shared" si="6"/>
        <v>2</v>
      </c>
      <c r="AW27" s="87">
        <f t="shared" si="7"/>
        <v>3.6000000000000004E-2</v>
      </c>
      <c r="AX27" s="86">
        <f t="shared" si="8"/>
        <v>2.16</v>
      </c>
      <c r="BA27" s="86">
        <v>23</v>
      </c>
      <c r="BB27" s="14" t="e">
        <f>INDEX(节奏总表!#REF!,神器!BA27)</f>
        <v>#REF!</v>
      </c>
      <c r="BC27" s="14" t="e">
        <f t="shared" si="9"/>
        <v>#REF!</v>
      </c>
      <c r="BD27" s="14">
        <v>5</v>
      </c>
      <c r="BE27" s="14">
        <v>3</v>
      </c>
      <c r="BF27" s="14">
        <f t="shared" si="10"/>
        <v>0</v>
      </c>
      <c r="BG27" s="14">
        <f t="shared" si="56"/>
        <v>0</v>
      </c>
      <c r="BH27" s="14">
        <f t="shared" si="56"/>
        <v>0</v>
      </c>
      <c r="BI27" s="14">
        <f t="shared" si="56"/>
        <v>0</v>
      </c>
      <c r="BJ27" s="14">
        <f t="shared" si="56"/>
        <v>0</v>
      </c>
      <c r="BK27" s="14">
        <f t="shared" si="56"/>
        <v>0</v>
      </c>
      <c r="BL27" s="14">
        <f t="shared" si="56"/>
        <v>0</v>
      </c>
      <c r="BM27" s="14">
        <f t="shared" si="56"/>
        <v>0</v>
      </c>
      <c r="BN27" s="14">
        <f t="shared" si="56"/>
        <v>0</v>
      </c>
      <c r="BO27" s="14">
        <f t="shared" si="56"/>
        <v>0</v>
      </c>
      <c r="BP27" s="14">
        <f t="shared" si="56"/>
        <v>0</v>
      </c>
      <c r="BQ27" s="14">
        <f t="shared" si="56"/>
        <v>0</v>
      </c>
      <c r="BR27" s="14">
        <f t="shared" si="56"/>
        <v>0</v>
      </c>
      <c r="BS27" s="14">
        <f t="shared" si="56"/>
        <v>0</v>
      </c>
      <c r="BT27" s="14">
        <f t="shared" si="56"/>
        <v>0</v>
      </c>
      <c r="BU27" s="14">
        <f t="shared" si="56"/>
        <v>0</v>
      </c>
      <c r="BV27" s="14">
        <f t="shared" si="56"/>
        <v>0</v>
      </c>
      <c r="BW27" s="14">
        <f t="shared" si="56"/>
        <v>0</v>
      </c>
      <c r="BX27" s="14">
        <f t="shared" si="56"/>
        <v>0</v>
      </c>
      <c r="BY27" s="14">
        <f t="shared" si="56"/>
        <v>0</v>
      </c>
      <c r="BZ27" s="14">
        <f t="shared" si="56"/>
        <v>0</v>
      </c>
      <c r="CA27" s="14">
        <f t="shared" si="56"/>
        <v>0</v>
      </c>
      <c r="CB27" s="14">
        <f t="shared" si="56"/>
        <v>0</v>
      </c>
      <c r="CC27" s="14">
        <f t="shared" si="56"/>
        <v>0</v>
      </c>
      <c r="CD27" s="14">
        <f t="shared" si="56"/>
        <v>0</v>
      </c>
      <c r="CE27" s="14">
        <f t="shared" si="56"/>
        <v>0</v>
      </c>
      <c r="CF27" s="14">
        <f t="shared" si="56"/>
        <v>0</v>
      </c>
      <c r="CG27" s="14">
        <f t="shared" si="56"/>
        <v>0</v>
      </c>
      <c r="CH27" s="14">
        <f t="shared" si="56"/>
        <v>0</v>
      </c>
      <c r="CI27" s="14">
        <f t="shared" si="56"/>
        <v>0</v>
      </c>
      <c r="CJ27" s="14">
        <f t="shared" si="56"/>
        <v>0</v>
      </c>
      <c r="CK27" s="14">
        <f t="shared" si="56"/>
        <v>0</v>
      </c>
      <c r="CL27" s="14">
        <f t="shared" si="56"/>
        <v>0</v>
      </c>
      <c r="CM27" s="14">
        <f t="shared" si="56"/>
        <v>0</v>
      </c>
      <c r="CN27" s="14">
        <f t="shared" si="56"/>
        <v>0</v>
      </c>
      <c r="CO27" s="14">
        <f t="shared" si="56"/>
        <v>0</v>
      </c>
      <c r="CP27" s="14">
        <f t="shared" si="56"/>
        <v>0</v>
      </c>
      <c r="CQ27" s="14">
        <f t="shared" si="56"/>
        <v>0</v>
      </c>
      <c r="CR27" s="14">
        <f t="shared" si="56"/>
        <v>0</v>
      </c>
      <c r="CS27" s="14">
        <f t="shared" si="56"/>
        <v>0</v>
      </c>
      <c r="CT27" s="14">
        <f t="shared" si="56"/>
        <v>0</v>
      </c>
      <c r="CU27" s="14">
        <f t="shared" si="56"/>
        <v>0</v>
      </c>
      <c r="CW27" s="14">
        <f>SUM(BF$5:BF27)</f>
        <v>0</v>
      </c>
      <c r="CX27" s="14">
        <f>SUM(BG$5:BG27)</f>
        <v>0</v>
      </c>
      <c r="CY27" s="14">
        <f>SUM(BH$5:BH27)</f>
        <v>0</v>
      </c>
      <c r="CZ27" s="14">
        <f>SUM(BI$5:BI27)</f>
        <v>0</v>
      </c>
      <c r="DA27" s="14">
        <f>SUM(BJ$5:BJ27)</f>
        <v>0</v>
      </c>
      <c r="DB27" s="14">
        <f>SUM(BK$5:BK27)</f>
        <v>0</v>
      </c>
      <c r="DC27" s="14">
        <f>SUM(BL$5:BL27)</f>
        <v>0</v>
      </c>
      <c r="DD27" s="14">
        <f>SUM(BM$5:BM27)</f>
        <v>0</v>
      </c>
      <c r="DE27" s="14">
        <f>SUM(BN$5:BN27)</f>
        <v>0</v>
      </c>
      <c r="DF27" s="14">
        <f>SUM(BO$5:BO27)</f>
        <v>0</v>
      </c>
      <c r="DG27" s="14">
        <f>SUM(BP$5:BP27)</f>
        <v>0</v>
      </c>
      <c r="DH27" s="14">
        <f>SUM(BQ$5:BQ27)</f>
        <v>0</v>
      </c>
      <c r="DI27" s="14">
        <f>SUM(BR$5:BR27)</f>
        <v>0</v>
      </c>
      <c r="DJ27" s="14">
        <f>SUM(BS$5:BS27)</f>
        <v>0</v>
      </c>
      <c r="DK27" s="14">
        <f>SUM(BT$5:BT27)</f>
        <v>0</v>
      </c>
      <c r="DL27" s="14">
        <f>SUM(BU$5:BU27)</f>
        <v>0</v>
      </c>
      <c r="DM27" s="14">
        <f>SUM(BV$5:BV27)</f>
        <v>0</v>
      </c>
      <c r="DN27" s="14">
        <f>SUM(BW$5:BW27)</f>
        <v>0</v>
      </c>
      <c r="DO27" s="14">
        <f>SUM(BX$5:BX27)</f>
        <v>0</v>
      </c>
      <c r="DP27" s="14">
        <f>SUM(BY$5:BY27)</f>
        <v>0</v>
      </c>
      <c r="DQ27" s="14">
        <f>SUM(BZ$5:BZ27)</f>
        <v>0</v>
      </c>
      <c r="DR27" s="14">
        <f>SUM(CA$5:CA27)</f>
        <v>0</v>
      </c>
      <c r="DS27" s="14">
        <f>SUM(CB$5:CB27)</f>
        <v>0</v>
      </c>
      <c r="DT27" s="14">
        <f>SUM(CC$5:CC27)</f>
        <v>0</v>
      </c>
      <c r="DU27" s="14">
        <f>SUM(CD$5:CD27)</f>
        <v>0</v>
      </c>
      <c r="DV27" s="14">
        <f>SUM(CE$5:CE27)</f>
        <v>0</v>
      </c>
      <c r="DW27" s="14">
        <f>SUM(CF$5:CF27)</f>
        <v>0</v>
      </c>
      <c r="DX27" s="14">
        <f>SUM(CG$5:CG27)</f>
        <v>0</v>
      </c>
      <c r="DY27" s="14">
        <f>SUM(CH$5:CH27)</f>
        <v>0</v>
      </c>
      <c r="DZ27" s="14">
        <f>SUM(CI$5:CI27)</f>
        <v>0</v>
      </c>
      <c r="EA27" s="14">
        <f>SUM(CJ$5:CJ27)</f>
        <v>0</v>
      </c>
      <c r="EB27" s="14">
        <f>SUM(CK$5:CK27)</f>
        <v>0</v>
      </c>
      <c r="EC27" s="14">
        <f>SUM(CL$5:CL27)</f>
        <v>0</v>
      </c>
      <c r="ED27" s="14">
        <f>SUM(CM$5:CM27)</f>
        <v>0</v>
      </c>
      <c r="EE27" s="14">
        <f>SUM(CN$5:CN27)</f>
        <v>0</v>
      </c>
      <c r="EF27" s="14">
        <f>SUM(CO$5:CO27)</f>
        <v>0</v>
      </c>
      <c r="EG27" s="14">
        <f>SUM(CP$5:CP27)</f>
        <v>0</v>
      </c>
      <c r="EH27" s="14">
        <f>SUM(CQ$5:CQ27)</f>
        <v>0</v>
      </c>
      <c r="EI27" s="14">
        <f>SUM(CR$5:CR27)</f>
        <v>0</v>
      </c>
      <c r="EJ27" s="14">
        <f>SUM(CS$5:CS27)</f>
        <v>0</v>
      </c>
      <c r="EK27" s="14">
        <f>SUM(CT$5:CT27)</f>
        <v>0</v>
      </c>
      <c r="EL27" s="14">
        <f>SUM(CU$5:CU27)</f>
        <v>0</v>
      </c>
      <c r="EO27" s="87">
        <f t="shared" si="11"/>
        <v>0</v>
      </c>
      <c r="EP27" s="87">
        <f t="shared" si="12"/>
        <v>0</v>
      </c>
      <c r="EQ27" s="87">
        <f t="shared" si="13"/>
        <v>0</v>
      </c>
      <c r="ER27" s="87">
        <f t="shared" si="14"/>
        <v>0</v>
      </c>
      <c r="ES27" s="87">
        <f t="shared" si="15"/>
        <v>0</v>
      </c>
      <c r="ET27" s="87">
        <f t="shared" si="16"/>
        <v>0</v>
      </c>
      <c r="EU27" s="87">
        <f t="shared" si="17"/>
        <v>0</v>
      </c>
      <c r="EV27" s="87">
        <f t="shared" si="18"/>
        <v>0</v>
      </c>
      <c r="EW27" s="87">
        <f t="shared" si="19"/>
        <v>0</v>
      </c>
      <c r="EX27" s="87">
        <f t="shared" si="20"/>
        <v>0</v>
      </c>
      <c r="EY27" s="87">
        <f t="shared" si="21"/>
        <v>0</v>
      </c>
      <c r="EZ27" s="87">
        <f t="shared" si="22"/>
        <v>0</v>
      </c>
      <c r="FA27" s="87">
        <f t="shared" si="23"/>
        <v>0</v>
      </c>
      <c r="FB27" s="87">
        <f t="shared" si="24"/>
        <v>0</v>
      </c>
      <c r="FC27" s="87">
        <f t="shared" si="25"/>
        <v>0</v>
      </c>
      <c r="FD27" s="87">
        <f t="shared" si="26"/>
        <v>0</v>
      </c>
      <c r="FE27" s="87">
        <f t="shared" si="27"/>
        <v>0</v>
      </c>
      <c r="FF27" s="87">
        <f t="shared" si="28"/>
        <v>0</v>
      </c>
      <c r="FG27" s="87">
        <f t="shared" si="29"/>
        <v>0</v>
      </c>
      <c r="FH27" s="87">
        <f t="shared" si="30"/>
        <v>0</v>
      </c>
      <c r="FI27" s="87">
        <f t="shared" si="31"/>
        <v>0</v>
      </c>
      <c r="FJ27" s="87">
        <f t="shared" si="32"/>
        <v>0</v>
      </c>
      <c r="FK27" s="87">
        <f t="shared" si="33"/>
        <v>0</v>
      </c>
      <c r="FL27" s="87">
        <f t="shared" si="34"/>
        <v>0</v>
      </c>
      <c r="FM27" s="87">
        <f t="shared" si="35"/>
        <v>0</v>
      </c>
      <c r="FN27" s="87">
        <f t="shared" si="36"/>
        <v>0</v>
      </c>
      <c r="FO27" s="87">
        <f t="shared" si="37"/>
        <v>0</v>
      </c>
      <c r="FP27" s="87">
        <f t="shared" si="38"/>
        <v>0</v>
      </c>
      <c r="FQ27" s="87">
        <f t="shared" si="39"/>
        <v>0</v>
      </c>
      <c r="FR27" s="87">
        <f t="shared" si="40"/>
        <v>0</v>
      </c>
      <c r="FS27" s="87">
        <f t="shared" si="41"/>
        <v>0</v>
      </c>
      <c r="FT27" s="87">
        <f t="shared" si="42"/>
        <v>0</v>
      </c>
      <c r="FU27" s="87">
        <f t="shared" si="43"/>
        <v>0</v>
      </c>
      <c r="FV27" s="87">
        <f t="shared" si="44"/>
        <v>0</v>
      </c>
      <c r="FW27" s="87">
        <f t="shared" si="45"/>
        <v>0</v>
      </c>
      <c r="FX27" s="87">
        <f t="shared" si="46"/>
        <v>0</v>
      </c>
      <c r="FY27" s="87">
        <f t="shared" si="47"/>
        <v>0</v>
      </c>
      <c r="FZ27" s="87">
        <f t="shared" si="48"/>
        <v>0</v>
      </c>
      <c r="GA27" s="87">
        <f t="shared" si="49"/>
        <v>0</v>
      </c>
      <c r="GB27" s="87">
        <f t="shared" si="50"/>
        <v>0</v>
      </c>
      <c r="GC27" s="87">
        <f t="shared" si="51"/>
        <v>0</v>
      </c>
      <c r="GD27" s="87">
        <f t="shared" si="52"/>
        <v>0</v>
      </c>
    </row>
    <row r="28" spans="11:186" ht="16.5" x14ac:dyDescent="0.2">
      <c r="K28" s="86">
        <v>24</v>
      </c>
      <c r="L28" s="86">
        <v>5</v>
      </c>
      <c r="M28" s="86">
        <v>4</v>
      </c>
      <c r="N28" s="86" t="str">
        <f t="shared" si="3"/>
        <v>神器5-4</v>
      </c>
      <c r="O28" s="86">
        <v>2</v>
      </c>
      <c r="P28" s="14">
        <f t="shared" si="4"/>
        <v>90</v>
      </c>
      <c r="Q28" s="88">
        <v>0.16</v>
      </c>
      <c r="R28" s="14">
        <v>1</v>
      </c>
      <c r="S28" s="14">
        <v>2</v>
      </c>
      <c r="T28" s="88">
        <v>0.16</v>
      </c>
      <c r="U28" s="14">
        <v>1</v>
      </c>
      <c r="V28" s="14">
        <v>3</v>
      </c>
      <c r="W28" s="88">
        <v>0.16</v>
      </c>
      <c r="X28" s="14">
        <v>2</v>
      </c>
      <c r="Y28" s="14">
        <v>4</v>
      </c>
      <c r="AO28" s="48">
        <v>3</v>
      </c>
      <c r="AP28" s="86">
        <v>13</v>
      </c>
      <c r="AQ28" s="86">
        <v>3</v>
      </c>
      <c r="AR28" s="48">
        <v>1</v>
      </c>
      <c r="AS28" s="86" t="s">
        <v>333</v>
      </c>
      <c r="AT28" s="21">
        <f t="shared" si="0"/>
        <v>1.7999999999999999E-2</v>
      </c>
      <c r="AU28" s="86">
        <f t="shared" si="5"/>
        <v>1</v>
      </c>
      <c r="AV28" s="86">
        <f t="shared" si="6"/>
        <v>1</v>
      </c>
      <c r="AW28" s="87">
        <f t="shared" si="7"/>
        <v>1.7999999999999999E-2</v>
      </c>
      <c r="AX28" s="86">
        <f t="shared" si="8"/>
        <v>2.52</v>
      </c>
      <c r="BA28" s="86">
        <v>24</v>
      </c>
      <c r="BB28" s="14" t="e">
        <f>INDEX(节奏总表!#REF!,神器!BA28)</f>
        <v>#REF!</v>
      </c>
      <c r="BC28" s="14" t="e">
        <f t="shared" si="9"/>
        <v>#REF!</v>
      </c>
      <c r="BD28" s="14">
        <v>5</v>
      </c>
      <c r="BE28" s="14">
        <v>3</v>
      </c>
      <c r="BF28" s="14">
        <f t="shared" si="10"/>
        <v>0</v>
      </c>
      <c r="BG28" s="14">
        <f t="shared" si="56"/>
        <v>0</v>
      </c>
      <c r="BH28" s="14">
        <f t="shared" si="56"/>
        <v>0</v>
      </c>
      <c r="BI28" s="14">
        <f t="shared" si="56"/>
        <v>0</v>
      </c>
      <c r="BJ28" s="14">
        <f t="shared" si="56"/>
        <v>0</v>
      </c>
      <c r="BK28" s="14">
        <f t="shared" si="56"/>
        <v>0</v>
      </c>
      <c r="BL28" s="14">
        <f t="shared" si="56"/>
        <v>0</v>
      </c>
      <c r="BM28" s="14">
        <f t="shared" si="56"/>
        <v>0</v>
      </c>
      <c r="BN28" s="14">
        <f t="shared" si="56"/>
        <v>0</v>
      </c>
      <c r="BO28" s="14">
        <f t="shared" si="56"/>
        <v>0</v>
      </c>
      <c r="BP28" s="14">
        <f t="shared" si="56"/>
        <v>0</v>
      </c>
      <c r="BQ28" s="14">
        <f t="shared" si="56"/>
        <v>0</v>
      </c>
      <c r="BR28" s="14">
        <f t="shared" si="56"/>
        <v>0</v>
      </c>
      <c r="BS28" s="14">
        <f t="shared" si="56"/>
        <v>0</v>
      </c>
      <c r="BT28" s="14">
        <f t="shared" si="56"/>
        <v>0</v>
      </c>
      <c r="BU28" s="14">
        <f t="shared" si="56"/>
        <v>0</v>
      </c>
      <c r="BV28" s="14">
        <f t="shared" si="56"/>
        <v>0</v>
      </c>
      <c r="BW28" s="14">
        <f t="shared" si="56"/>
        <v>0</v>
      </c>
      <c r="BX28" s="14">
        <f t="shared" si="56"/>
        <v>0</v>
      </c>
      <c r="BY28" s="14">
        <f t="shared" si="56"/>
        <v>0</v>
      </c>
      <c r="BZ28" s="14">
        <f t="shared" si="56"/>
        <v>0</v>
      </c>
      <c r="CA28" s="14">
        <f t="shared" si="56"/>
        <v>0</v>
      </c>
      <c r="CB28" s="14">
        <f t="shared" si="56"/>
        <v>0</v>
      </c>
      <c r="CC28" s="14">
        <f t="shared" si="56"/>
        <v>0</v>
      </c>
      <c r="CD28" s="14">
        <f t="shared" si="56"/>
        <v>0</v>
      </c>
      <c r="CE28" s="14">
        <f t="shared" si="56"/>
        <v>0</v>
      </c>
      <c r="CF28" s="14">
        <f t="shared" si="56"/>
        <v>0</v>
      </c>
      <c r="CG28" s="14">
        <f t="shared" si="56"/>
        <v>0</v>
      </c>
      <c r="CH28" s="14">
        <f t="shared" si="56"/>
        <v>0</v>
      </c>
      <c r="CI28" s="14">
        <f t="shared" si="56"/>
        <v>0</v>
      </c>
      <c r="CJ28" s="14">
        <f t="shared" si="56"/>
        <v>0</v>
      </c>
      <c r="CK28" s="14">
        <f t="shared" si="56"/>
        <v>0</v>
      </c>
      <c r="CL28" s="14">
        <f t="shared" si="56"/>
        <v>0</v>
      </c>
      <c r="CM28" s="14">
        <f t="shared" si="56"/>
        <v>0</v>
      </c>
      <c r="CN28" s="14">
        <f t="shared" si="56"/>
        <v>0</v>
      </c>
      <c r="CO28" s="14">
        <f t="shared" si="56"/>
        <v>0</v>
      </c>
      <c r="CP28" s="14">
        <f t="shared" si="56"/>
        <v>0</v>
      </c>
      <c r="CQ28" s="14">
        <f t="shared" si="56"/>
        <v>0</v>
      </c>
      <c r="CR28" s="14">
        <f t="shared" si="56"/>
        <v>0</v>
      </c>
      <c r="CS28" s="14">
        <f t="shared" si="56"/>
        <v>0</v>
      </c>
      <c r="CT28" s="14">
        <f t="shared" si="56"/>
        <v>0</v>
      </c>
      <c r="CU28" s="14">
        <f t="shared" si="56"/>
        <v>0</v>
      </c>
      <c r="CW28" s="14">
        <f>SUM(BF$5:BF28)</f>
        <v>0</v>
      </c>
      <c r="CX28" s="14">
        <f>SUM(BG$5:BG28)</f>
        <v>0</v>
      </c>
      <c r="CY28" s="14">
        <f>SUM(BH$5:BH28)</f>
        <v>0</v>
      </c>
      <c r="CZ28" s="14">
        <f>SUM(BI$5:BI28)</f>
        <v>0</v>
      </c>
      <c r="DA28" s="14">
        <f>SUM(BJ$5:BJ28)</f>
        <v>0</v>
      </c>
      <c r="DB28" s="14">
        <f>SUM(BK$5:BK28)</f>
        <v>0</v>
      </c>
      <c r="DC28" s="14">
        <f>SUM(BL$5:BL28)</f>
        <v>0</v>
      </c>
      <c r="DD28" s="14">
        <f>SUM(BM$5:BM28)</f>
        <v>0</v>
      </c>
      <c r="DE28" s="14">
        <f>SUM(BN$5:BN28)</f>
        <v>0</v>
      </c>
      <c r="DF28" s="14">
        <f>SUM(BO$5:BO28)</f>
        <v>0</v>
      </c>
      <c r="DG28" s="14">
        <f>SUM(BP$5:BP28)</f>
        <v>0</v>
      </c>
      <c r="DH28" s="14">
        <f>SUM(BQ$5:BQ28)</f>
        <v>0</v>
      </c>
      <c r="DI28" s="14">
        <f>SUM(BR$5:BR28)</f>
        <v>0</v>
      </c>
      <c r="DJ28" s="14">
        <f>SUM(BS$5:BS28)</f>
        <v>0</v>
      </c>
      <c r="DK28" s="14">
        <f>SUM(BT$5:BT28)</f>
        <v>0</v>
      </c>
      <c r="DL28" s="14">
        <f>SUM(BU$5:BU28)</f>
        <v>0</v>
      </c>
      <c r="DM28" s="14">
        <f>SUM(BV$5:BV28)</f>
        <v>0</v>
      </c>
      <c r="DN28" s="14">
        <f>SUM(BW$5:BW28)</f>
        <v>0</v>
      </c>
      <c r="DO28" s="14">
        <f>SUM(BX$5:BX28)</f>
        <v>0</v>
      </c>
      <c r="DP28" s="14">
        <f>SUM(BY$5:BY28)</f>
        <v>0</v>
      </c>
      <c r="DQ28" s="14">
        <f>SUM(BZ$5:BZ28)</f>
        <v>0</v>
      </c>
      <c r="DR28" s="14">
        <f>SUM(CA$5:CA28)</f>
        <v>0</v>
      </c>
      <c r="DS28" s="14">
        <f>SUM(CB$5:CB28)</f>
        <v>0</v>
      </c>
      <c r="DT28" s="14">
        <f>SUM(CC$5:CC28)</f>
        <v>0</v>
      </c>
      <c r="DU28" s="14">
        <f>SUM(CD$5:CD28)</f>
        <v>0</v>
      </c>
      <c r="DV28" s="14">
        <f>SUM(CE$5:CE28)</f>
        <v>0</v>
      </c>
      <c r="DW28" s="14">
        <f>SUM(CF$5:CF28)</f>
        <v>0</v>
      </c>
      <c r="DX28" s="14">
        <f>SUM(CG$5:CG28)</f>
        <v>0</v>
      </c>
      <c r="DY28" s="14">
        <f>SUM(CH$5:CH28)</f>
        <v>0</v>
      </c>
      <c r="DZ28" s="14">
        <f>SUM(CI$5:CI28)</f>
        <v>0</v>
      </c>
      <c r="EA28" s="14">
        <f>SUM(CJ$5:CJ28)</f>
        <v>0</v>
      </c>
      <c r="EB28" s="14">
        <f>SUM(CK$5:CK28)</f>
        <v>0</v>
      </c>
      <c r="EC28" s="14">
        <f>SUM(CL$5:CL28)</f>
        <v>0</v>
      </c>
      <c r="ED28" s="14">
        <f>SUM(CM$5:CM28)</f>
        <v>0</v>
      </c>
      <c r="EE28" s="14">
        <f>SUM(CN$5:CN28)</f>
        <v>0</v>
      </c>
      <c r="EF28" s="14">
        <f>SUM(CO$5:CO28)</f>
        <v>0</v>
      </c>
      <c r="EG28" s="14">
        <f>SUM(CP$5:CP28)</f>
        <v>0</v>
      </c>
      <c r="EH28" s="14">
        <f>SUM(CQ$5:CQ28)</f>
        <v>0</v>
      </c>
      <c r="EI28" s="14">
        <f>SUM(CR$5:CR28)</f>
        <v>0</v>
      </c>
      <c r="EJ28" s="14">
        <f>SUM(CS$5:CS28)</f>
        <v>0</v>
      </c>
      <c r="EK28" s="14">
        <f>SUM(CT$5:CT28)</f>
        <v>0</v>
      </c>
      <c r="EL28" s="14">
        <f>SUM(CU$5:CU28)</f>
        <v>0</v>
      </c>
      <c r="EO28" s="87">
        <f t="shared" si="11"/>
        <v>0</v>
      </c>
      <c r="EP28" s="87">
        <f t="shared" si="12"/>
        <v>0</v>
      </c>
      <c r="EQ28" s="87">
        <f t="shared" si="13"/>
        <v>0</v>
      </c>
      <c r="ER28" s="87">
        <f t="shared" si="14"/>
        <v>0</v>
      </c>
      <c r="ES28" s="87">
        <f t="shared" si="15"/>
        <v>0</v>
      </c>
      <c r="ET28" s="87">
        <f t="shared" si="16"/>
        <v>0</v>
      </c>
      <c r="EU28" s="87">
        <f t="shared" si="17"/>
        <v>0</v>
      </c>
      <c r="EV28" s="87">
        <f t="shared" si="18"/>
        <v>0</v>
      </c>
      <c r="EW28" s="87">
        <f t="shared" si="19"/>
        <v>0</v>
      </c>
      <c r="EX28" s="87">
        <f t="shared" si="20"/>
        <v>0</v>
      </c>
      <c r="EY28" s="87">
        <f t="shared" si="21"/>
        <v>0</v>
      </c>
      <c r="EZ28" s="87">
        <f t="shared" si="22"/>
        <v>0</v>
      </c>
      <c r="FA28" s="87">
        <f t="shared" si="23"/>
        <v>0</v>
      </c>
      <c r="FB28" s="87">
        <f t="shared" si="24"/>
        <v>0</v>
      </c>
      <c r="FC28" s="87">
        <f t="shared" si="25"/>
        <v>0</v>
      </c>
      <c r="FD28" s="87">
        <f t="shared" si="26"/>
        <v>0</v>
      </c>
      <c r="FE28" s="87">
        <f t="shared" si="27"/>
        <v>0</v>
      </c>
      <c r="FF28" s="87">
        <f t="shared" si="28"/>
        <v>0</v>
      </c>
      <c r="FG28" s="87">
        <f t="shared" si="29"/>
        <v>0</v>
      </c>
      <c r="FH28" s="87">
        <f t="shared" si="30"/>
        <v>0</v>
      </c>
      <c r="FI28" s="87">
        <f t="shared" si="31"/>
        <v>0</v>
      </c>
      <c r="FJ28" s="87">
        <f t="shared" si="32"/>
        <v>0</v>
      </c>
      <c r="FK28" s="87">
        <f t="shared" si="33"/>
        <v>0</v>
      </c>
      <c r="FL28" s="87">
        <f t="shared" si="34"/>
        <v>0</v>
      </c>
      <c r="FM28" s="87">
        <f t="shared" si="35"/>
        <v>0</v>
      </c>
      <c r="FN28" s="87">
        <f t="shared" si="36"/>
        <v>0</v>
      </c>
      <c r="FO28" s="87">
        <f t="shared" si="37"/>
        <v>0</v>
      </c>
      <c r="FP28" s="87">
        <f t="shared" si="38"/>
        <v>0</v>
      </c>
      <c r="FQ28" s="87">
        <f t="shared" si="39"/>
        <v>0</v>
      </c>
      <c r="FR28" s="87">
        <f t="shared" si="40"/>
        <v>0</v>
      </c>
      <c r="FS28" s="87">
        <f t="shared" si="41"/>
        <v>0</v>
      </c>
      <c r="FT28" s="87">
        <f t="shared" si="42"/>
        <v>0</v>
      </c>
      <c r="FU28" s="87">
        <f t="shared" si="43"/>
        <v>0</v>
      </c>
      <c r="FV28" s="87">
        <f t="shared" si="44"/>
        <v>0</v>
      </c>
      <c r="FW28" s="87">
        <f t="shared" si="45"/>
        <v>0</v>
      </c>
      <c r="FX28" s="87">
        <f t="shared" si="46"/>
        <v>0</v>
      </c>
      <c r="FY28" s="87">
        <f t="shared" si="47"/>
        <v>0</v>
      </c>
      <c r="FZ28" s="87">
        <f t="shared" si="48"/>
        <v>0</v>
      </c>
      <c r="GA28" s="87">
        <f t="shared" si="49"/>
        <v>0</v>
      </c>
      <c r="GB28" s="87">
        <f t="shared" si="50"/>
        <v>0</v>
      </c>
      <c r="GC28" s="87">
        <f t="shared" si="51"/>
        <v>0</v>
      </c>
      <c r="GD28" s="87">
        <f t="shared" si="52"/>
        <v>0</v>
      </c>
    </row>
    <row r="29" spans="11:186" ht="16.5" x14ac:dyDescent="0.2">
      <c r="K29" s="86">
        <v>25</v>
      </c>
      <c r="L29" s="86">
        <v>5</v>
      </c>
      <c r="M29" s="86">
        <v>5</v>
      </c>
      <c r="N29" s="86" t="str">
        <f t="shared" si="3"/>
        <v>神器5-5</v>
      </c>
      <c r="O29" s="86">
        <v>3</v>
      </c>
      <c r="P29" s="14">
        <f t="shared" si="4"/>
        <v>210</v>
      </c>
      <c r="Q29" s="88">
        <v>0.12</v>
      </c>
      <c r="R29" s="14">
        <v>1</v>
      </c>
      <c r="S29" s="14">
        <v>1</v>
      </c>
      <c r="T29" s="88">
        <v>0.12</v>
      </c>
      <c r="U29" s="14">
        <v>1</v>
      </c>
      <c r="V29" s="14">
        <v>2</v>
      </c>
      <c r="W29" s="88">
        <v>0.12</v>
      </c>
      <c r="X29" s="14">
        <v>1</v>
      </c>
      <c r="Y29" s="14">
        <v>3</v>
      </c>
      <c r="AO29" s="48">
        <v>3</v>
      </c>
      <c r="AP29" s="86">
        <v>14</v>
      </c>
      <c r="AQ29" s="86">
        <v>3</v>
      </c>
      <c r="AR29" s="48">
        <v>1</v>
      </c>
      <c r="AS29" s="86" t="s">
        <v>334</v>
      </c>
      <c r="AT29" s="21">
        <f t="shared" si="0"/>
        <v>8.9999999999999993E-3</v>
      </c>
      <c r="AU29" s="86">
        <f t="shared" si="5"/>
        <v>1</v>
      </c>
      <c r="AV29" s="86">
        <f t="shared" si="6"/>
        <v>1</v>
      </c>
      <c r="AW29" s="87">
        <f t="shared" si="7"/>
        <v>8.9999999999999993E-3</v>
      </c>
      <c r="AX29" s="86">
        <f t="shared" si="8"/>
        <v>2.6999999999999997</v>
      </c>
      <c r="BA29" s="86">
        <v>25</v>
      </c>
      <c r="BB29" s="14" t="e">
        <f>INDEX(节奏总表!#REF!,神器!BA29)</f>
        <v>#REF!</v>
      </c>
      <c r="BC29" s="14" t="e">
        <f t="shared" si="9"/>
        <v>#REF!</v>
      </c>
      <c r="BD29" s="14">
        <v>5</v>
      </c>
      <c r="BE29" s="14">
        <v>3</v>
      </c>
      <c r="BF29" s="14">
        <f t="shared" si="10"/>
        <v>0</v>
      </c>
      <c r="BG29" s="14">
        <f t="shared" si="56"/>
        <v>0</v>
      </c>
      <c r="BH29" s="14">
        <f t="shared" si="56"/>
        <v>0</v>
      </c>
      <c r="BI29" s="14">
        <f t="shared" si="56"/>
        <v>0</v>
      </c>
      <c r="BJ29" s="14">
        <f t="shared" si="56"/>
        <v>0</v>
      </c>
      <c r="BK29" s="14">
        <f t="shared" si="56"/>
        <v>0</v>
      </c>
      <c r="BL29" s="14">
        <f t="shared" si="56"/>
        <v>0</v>
      </c>
      <c r="BM29" s="14">
        <f t="shared" si="56"/>
        <v>0</v>
      </c>
      <c r="BN29" s="14">
        <f t="shared" si="56"/>
        <v>0</v>
      </c>
      <c r="BO29" s="14">
        <f t="shared" si="56"/>
        <v>0</v>
      </c>
      <c r="BP29" s="14">
        <f t="shared" si="56"/>
        <v>0</v>
      </c>
      <c r="BQ29" s="14">
        <f t="shared" si="56"/>
        <v>0</v>
      </c>
      <c r="BR29" s="14">
        <f t="shared" si="56"/>
        <v>0</v>
      </c>
      <c r="BS29" s="14">
        <f t="shared" si="56"/>
        <v>0</v>
      </c>
      <c r="BT29" s="14">
        <f t="shared" si="56"/>
        <v>0</v>
      </c>
      <c r="BU29" s="14">
        <f t="shared" si="56"/>
        <v>0</v>
      </c>
      <c r="BV29" s="14">
        <f t="shared" si="56"/>
        <v>0</v>
      </c>
      <c r="BW29" s="14">
        <f t="shared" si="56"/>
        <v>0</v>
      </c>
      <c r="BX29" s="14">
        <f t="shared" si="56"/>
        <v>0</v>
      </c>
      <c r="BY29" s="14">
        <f t="shared" si="56"/>
        <v>0</v>
      </c>
      <c r="BZ29" s="14">
        <f t="shared" si="56"/>
        <v>0</v>
      </c>
      <c r="CA29" s="14">
        <f t="shared" si="56"/>
        <v>0</v>
      </c>
      <c r="CB29" s="14">
        <f t="shared" si="56"/>
        <v>0</v>
      </c>
      <c r="CC29" s="14">
        <f t="shared" si="56"/>
        <v>0</v>
      </c>
      <c r="CD29" s="14">
        <f t="shared" si="56"/>
        <v>0</v>
      </c>
      <c r="CE29" s="14">
        <f t="shared" si="56"/>
        <v>0</v>
      </c>
      <c r="CF29" s="14">
        <f t="shared" si="56"/>
        <v>0</v>
      </c>
      <c r="CG29" s="14">
        <f t="shared" si="56"/>
        <v>0</v>
      </c>
      <c r="CH29" s="14">
        <f t="shared" si="56"/>
        <v>0</v>
      </c>
      <c r="CI29" s="14">
        <f t="shared" si="56"/>
        <v>0</v>
      </c>
      <c r="CJ29" s="14">
        <f t="shared" si="56"/>
        <v>0</v>
      </c>
      <c r="CK29" s="14">
        <f t="shared" si="56"/>
        <v>0</v>
      </c>
      <c r="CL29" s="14">
        <f t="shared" si="56"/>
        <v>0</v>
      </c>
      <c r="CM29" s="14">
        <f t="shared" si="56"/>
        <v>0</v>
      </c>
      <c r="CN29" s="14">
        <f t="shared" si="56"/>
        <v>0</v>
      </c>
      <c r="CO29" s="14">
        <f t="shared" si="56"/>
        <v>0</v>
      </c>
      <c r="CP29" s="14">
        <f t="shared" si="56"/>
        <v>0</v>
      </c>
      <c r="CQ29" s="14">
        <f t="shared" si="56"/>
        <v>0</v>
      </c>
      <c r="CR29" s="14">
        <f t="shared" si="56"/>
        <v>0</v>
      </c>
      <c r="CS29" s="14">
        <f t="shared" si="56"/>
        <v>0</v>
      </c>
      <c r="CT29" s="14">
        <f t="shared" si="56"/>
        <v>0</v>
      </c>
      <c r="CU29" s="14">
        <f t="shared" si="56"/>
        <v>0</v>
      </c>
      <c r="CW29" s="14">
        <f>SUM(BF$5:BF29)</f>
        <v>0</v>
      </c>
      <c r="CX29" s="14">
        <f>SUM(BG$5:BG29)</f>
        <v>0</v>
      </c>
      <c r="CY29" s="14">
        <f>SUM(BH$5:BH29)</f>
        <v>0</v>
      </c>
      <c r="CZ29" s="14">
        <f>SUM(BI$5:BI29)</f>
        <v>0</v>
      </c>
      <c r="DA29" s="14">
        <f>SUM(BJ$5:BJ29)</f>
        <v>0</v>
      </c>
      <c r="DB29" s="14">
        <f>SUM(BK$5:BK29)</f>
        <v>0</v>
      </c>
      <c r="DC29" s="14">
        <f>SUM(BL$5:BL29)</f>
        <v>0</v>
      </c>
      <c r="DD29" s="14">
        <f>SUM(BM$5:BM29)</f>
        <v>0</v>
      </c>
      <c r="DE29" s="14">
        <f>SUM(BN$5:BN29)</f>
        <v>0</v>
      </c>
      <c r="DF29" s="14">
        <f>SUM(BO$5:BO29)</f>
        <v>0</v>
      </c>
      <c r="DG29" s="14">
        <f>SUM(BP$5:BP29)</f>
        <v>0</v>
      </c>
      <c r="DH29" s="14">
        <f>SUM(BQ$5:BQ29)</f>
        <v>0</v>
      </c>
      <c r="DI29" s="14">
        <f>SUM(BR$5:BR29)</f>
        <v>0</v>
      </c>
      <c r="DJ29" s="14">
        <f>SUM(BS$5:BS29)</f>
        <v>0</v>
      </c>
      <c r="DK29" s="14">
        <f>SUM(BT$5:BT29)</f>
        <v>0</v>
      </c>
      <c r="DL29" s="14">
        <f>SUM(BU$5:BU29)</f>
        <v>0</v>
      </c>
      <c r="DM29" s="14">
        <f>SUM(BV$5:BV29)</f>
        <v>0</v>
      </c>
      <c r="DN29" s="14">
        <f>SUM(BW$5:BW29)</f>
        <v>0</v>
      </c>
      <c r="DO29" s="14">
        <f>SUM(BX$5:BX29)</f>
        <v>0</v>
      </c>
      <c r="DP29" s="14">
        <f>SUM(BY$5:BY29)</f>
        <v>0</v>
      </c>
      <c r="DQ29" s="14">
        <f>SUM(BZ$5:BZ29)</f>
        <v>0</v>
      </c>
      <c r="DR29" s="14">
        <f>SUM(CA$5:CA29)</f>
        <v>0</v>
      </c>
      <c r="DS29" s="14">
        <f>SUM(CB$5:CB29)</f>
        <v>0</v>
      </c>
      <c r="DT29" s="14">
        <f>SUM(CC$5:CC29)</f>
        <v>0</v>
      </c>
      <c r="DU29" s="14">
        <f>SUM(CD$5:CD29)</f>
        <v>0</v>
      </c>
      <c r="DV29" s="14">
        <f>SUM(CE$5:CE29)</f>
        <v>0</v>
      </c>
      <c r="DW29" s="14">
        <f>SUM(CF$5:CF29)</f>
        <v>0</v>
      </c>
      <c r="DX29" s="14">
        <f>SUM(CG$5:CG29)</f>
        <v>0</v>
      </c>
      <c r="DY29" s="14">
        <f>SUM(CH$5:CH29)</f>
        <v>0</v>
      </c>
      <c r="DZ29" s="14">
        <f>SUM(CI$5:CI29)</f>
        <v>0</v>
      </c>
      <c r="EA29" s="14">
        <f>SUM(CJ$5:CJ29)</f>
        <v>0</v>
      </c>
      <c r="EB29" s="14">
        <f>SUM(CK$5:CK29)</f>
        <v>0</v>
      </c>
      <c r="EC29" s="14">
        <f>SUM(CL$5:CL29)</f>
        <v>0</v>
      </c>
      <c r="ED29" s="14">
        <f>SUM(CM$5:CM29)</f>
        <v>0</v>
      </c>
      <c r="EE29" s="14">
        <f>SUM(CN$5:CN29)</f>
        <v>0</v>
      </c>
      <c r="EF29" s="14">
        <f>SUM(CO$5:CO29)</f>
        <v>0</v>
      </c>
      <c r="EG29" s="14">
        <f>SUM(CP$5:CP29)</f>
        <v>0</v>
      </c>
      <c r="EH29" s="14">
        <f>SUM(CQ$5:CQ29)</f>
        <v>0</v>
      </c>
      <c r="EI29" s="14">
        <f>SUM(CR$5:CR29)</f>
        <v>0</v>
      </c>
      <c r="EJ29" s="14">
        <f>SUM(CS$5:CS29)</f>
        <v>0</v>
      </c>
      <c r="EK29" s="14">
        <f>SUM(CT$5:CT29)</f>
        <v>0</v>
      </c>
      <c r="EL29" s="14">
        <f>SUM(CU$5:CU29)</f>
        <v>0</v>
      </c>
      <c r="EO29" s="87">
        <f t="shared" si="11"/>
        <v>0</v>
      </c>
      <c r="EP29" s="87">
        <f t="shared" si="12"/>
        <v>0</v>
      </c>
      <c r="EQ29" s="87">
        <f t="shared" si="13"/>
        <v>0</v>
      </c>
      <c r="ER29" s="87">
        <f t="shared" si="14"/>
        <v>0</v>
      </c>
      <c r="ES29" s="87">
        <f t="shared" si="15"/>
        <v>0</v>
      </c>
      <c r="ET29" s="87">
        <f t="shared" si="16"/>
        <v>0</v>
      </c>
      <c r="EU29" s="87">
        <f t="shared" si="17"/>
        <v>0</v>
      </c>
      <c r="EV29" s="87">
        <f t="shared" si="18"/>
        <v>0</v>
      </c>
      <c r="EW29" s="87">
        <f t="shared" si="19"/>
        <v>0</v>
      </c>
      <c r="EX29" s="87">
        <f t="shared" si="20"/>
        <v>0</v>
      </c>
      <c r="EY29" s="87">
        <f t="shared" si="21"/>
        <v>0</v>
      </c>
      <c r="EZ29" s="87">
        <f t="shared" si="22"/>
        <v>0</v>
      </c>
      <c r="FA29" s="87">
        <f t="shared" si="23"/>
        <v>0</v>
      </c>
      <c r="FB29" s="87">
        <f t="shared" si="24"/>
        <v>0</v>
      </c>
      <c r="FC29" s="87">
        <f t="shared" si="25"/>
        <v>0</v>
      </c>
      <c r="FD29" s="87">
        <f t="shared" si="26"/>
        <v>0</v>
      </c>
      <c r="FE29" s="87">
        <f t="shared" si="27"/>
        <v>0</v>
      </c>
      <c r="FF29" s="87">
        <f t="shared" si="28"/>
        <v>0</v>
      </c>
      <c r="FG29" s="87">
        <f t="shared" si="29"/>
        <v>0</v>
      </c>
      <c r="FH29" s="87">
        <f t="shared" si="30"/>
        <v>0</v>
      </c>
      <c r="FI29" s="87">
        <f t="shared" si="31"/>
        <v>0</v>
      </c>
      <c r="FJ29" s="87">
        <f t="shared" si="32"/>
        <v>0</v>
      </c>
      <c r="FK29" s="87">
        <f t="shared" si="33"/>
        <v>0</v>
      </c>
      <c r="FL29" s="87">
        <f t="shared" si="34"/>
        <v>0</v>
      </c>
      <c r="FM29" s="87">
        <f t="shared" si="35"/>
        <v>0</v>
      </c>
      <c r="FN29" s="87">
        <f t="shared" si="36"/>
        <v>0</v>
      </c>
      <c r="FO29" s="87">
        <f t="shared" si="37"/>
        <v>0</v>
      </c>
      <c r="FP29" s="87">
        <f t="shared" si="38"/>
        <v>0</v>
      </c>
      <c r="FQ29" s="87">
        <f t="shared" si="39"/>
        <v>0</v>
      </c>
      <c r="FR29" s="87">
        <f t="shared" si="40"/>
        <v>0</v>
      </c>
      <c r="FS29" s="87">
        <f t="shared" si="41"/>
        <v>0</v>
      </c>
      <c r="FT29" s="87">
        <f t="shared" si="42"/>
        <v>0</v>
      </c>
      <c r="FU29" s="87">
        <f t="shared" si="43"/>
        <v>0</v>
      </c>
      <c r="FV29" s="87">
        <f t="shared" si="44"/>
        <v>0</v>
      </c>
      <c r="FW29" s="87">
        <f t="shared" si="45"/>
        <v>0</v>
      </c>
      <c r="FX29" s="87">
        <f t="shared" si="46"/>
        <v>0</v>
      </c>
      <c r="FY29" s="87">
        <f t="shared" si="47"/>
        <v>0</v>
      </c>
      <c r="FZ29" s="87">
        <f t="shared" si="48"/>
        <v>0</v>
      </c>
      <c r="GA29" s="87">
        <f t="shared" si="49"/>
        <v>0</v>
      </c>
      <c r="GB29" s="87">
        <f t="shared" si="50"/>
        <v>0</v>
      </c>
      <c r="GC29" s="87">
        <f t="shared" si="51"/>
        <v>0</v>
      </c>
      <c r="GD29" s="87">
        <f t="shared" si="52"/>
        <v>0</v>
      </c>
    </row>
    <row r="30" spans="11:186" ht="16.5" x14ac:dyDescent="0.2">
      <c r="K30" s="86">
        <v>26</v>
      </c>
      <c r="L30" s="86">
        <v>5</v>
      </c>
      <c r="M30" s="86">
        <v>6</v>
      </c>
      <c r="N30" s="86" t="str">
        <f t="shared" si="3"/>
        <v>神器5-6</v>
      </c>
      <c r="O30" s="86">
        <v>4</v>
      </c>
      <c r="P30" s="14">
        <f t="shared" si="4"/>
        <v>450</v>
      </c>
      <c r="Q30" s="88">
        <v>0.06</v>
      </c>
      <c r="R30" s="14">
        <v>1</v>
      </c>
      <c r="S30" s="14">
        <v>1</v>
      </c>
      <c r="T30" s="88">
        <v>0.06</v>
      </c>
      <c r="U30" s="14">
        <v>1</v>
      </c>
      <c r="V30" s="14">
        <v>2</v>
      </c>
      <c r="W30" s="88">
        <v>0.06</v>
      </c>
      <c r="X30" s="14">
        <v>1</v>
      </c>
      <c r="Y30" s="14">
        <v>3</v>
      </c>
      <c r="AO30" s="48">
        <v>4</v>
      </c>
      <c r="AP30" s="86">
        <v>4</v>
      </c>
      <c r="AQ30" s="86">
        <v>1</v>
      </c>
      <c r="AR30" s="48">
        <v>3</v>
      </c>
      <c r="AS30" s="86" t="s">
        <v>324</v>
      </c>
      <c r="AT30" s="21">
        <f t="shared" si="0"/>
        <v>0.14300000000000002</v>
      </c>
      <c r="AU30" s="86">
        <f t="shared" si="5"/>
        <v>3</v>
      </c>
      <c r="AV30" s="86">
        <f t="shared" si="6"/>
        <v>5</v>
      </c>
      <c r="AW30" s="87">
        <f t="shared" si="7"/>
        <v>0.57200000000000006</v>
      </c>
      <c r="AX30" s="86">
        <f t="shared" si="8"/>
        <v>8.5800000000000018</v>
      </c>
      <c r="BA30" s="86">
        <v>26</v>
      </c>
      <c r="BB30" s="14" t="e">
        <f>INDEX(节奏总表!#REF!,神器!BA30)</f>
        <v>#REF!</v>
      </c>
      <c r="BC30" s="14" t="e">
        <f t="shared" si="9"/>
        <v>#REF!</v>
      </c>
      <c r="BD30" s="14">
        <v>5</v>
      </c>
      <c r="BE30" s="14">
        <v>3</v>
      </c>
      <c r="BF30" s="14">
        <f t="shared" si="10"/>
        <v>0</v>
      </c>
      <c r="BG30" s="14">
        <f t="shared" si="56"/>
        <v>0</v>
      </c>
      <c r="BH30" s="14">
        <f t="shared" si="56"/>
        <v>0</v>
      </c>
      <c r="BI30" s="14">
        <f t="shared" si="56"/>
        <v>0</v>
      </c>
      <c r="BJ30" s="14">
        <f t="shared" si="56"/>
        <v>0</v>
      </c>
      <c r="BK30" s="14">
        <f t="shared" si="56"/>
        <v>0</v>
      </c>
      <c r="BL30" s="14">
        <f t="shared" si="56"/>
        <v>0</v>
      </c>
      <c r="BM30" s="14">
        <f t="shared" si="56"/>
        <v>0</v>
      </c>
      <c r="BN30" s="14">
        <f t="shared" si="56"/>
        <v>0</v>
      </c>
      <c r="BO30" s="14">
        <f t="shared" si="56"/>
        <v>0</v>
      </c>
      <c r="BP30" s="14">
        <f t="shared" si="56"/>
        <v>0</v>
      </c>
      <c r="BQ30" s="14">
        <f t="shared" si="56"/>
        <v>0</v>
      </c>
      <c r="BR30" s="14">
        <f t="shared" si="56"/>
        <v>0</v>
      </c>
      <c r="BS30" s="14">
        <f t="shared" si="56"/>
        <v>0</v>
      </c>
      <c r="BT30" s="14">
        <f t="shared" si="56"/>
        <v>0</v>
      </c>
      <c r="BU30" s="14">
        <f t="shared" si="56"/>
        <v>0</v>
      </c>
      <c r="BV30" s="14">
        <f t="shared" si="56"/>
        <v>0</v>
      </c>
      <c r="BW30" s="14">
        <f t="shared" si="56"/>
        <v>0</v>
      </c>
      <c r="BX30" s="14">
        <f t="shared" si="56"/>
        <v>0</v>
      </c>
      <c r="BY30" s="14">
        <f t="shared" si="56"/>
        <v>0</v>
      </c>
      <c r="BZ30" s="14">
        <f t="shared" si="56"/>
        <v>0</v>
      </c>
      <c r="CA30" s="14">
        <f t="shared" si="56"/>
        <v>0</v>
      </c>
      <c r="CB30" s="14">
        <f t="shared" si="56"/>
        <v>0</v>
      </c>
      <c r="CC30" s="14">
        <f t="shared" si="56"/>
        <v>0</v>
      </c>
      <c r="CD30" s="14">
        <f t="shared" si="56"/>
        <v>0</v>
      </c>
      <c r="CE30" s="14">
        <f t="shared" si="56"/>
        <v>0</v>
      </c>
      <c r="CF30" s="14">
        <f t="shared" si="56"/>
        <v>0</v>
      </c>
      <c r="CG30" s="14">
        <f t="shared" si="56"/>
        <v>0</v>
      </c>
      <c r="CH30" s="14">
        <f t="shared" si="56"/>
        <v>0</v>
      </c>
      <c r="CI30" s="14">
        <f t="shared" si="56"/>
        <v>0</v>
      </c>
      <c r="CJ30" s="14">
        <f t="shared" si="56"/>
        <v>0</v>
      </c>
      <c r="CK30" s="14">
        <f t="shared" si="56"/>
        <v>0</v>
      </c>
      <c r="CL30" s="14">
        <f t="shared" si="56"/>
        <v>0</v>
      </c>
      <c r="CM30" s="14">
        <f t="shared" si="56"/>
        <v>0</v>
      </c>
      <c r="CN30" s="14">
        <f t="shared" si="56"/>
        <v>0</v>
      </c>
      <c r="CO30" s="14">
        <f t="shared" si="56"/>
        <v>0</v>
      </c>
      <c r="CP30" s="14">
        <f t="shared" si="56"/>
        <v>0</v>
      </c>
      <c r="CQ30" s="14">
        <f t="shared" si="56"/>
        <v>0</v>
      </c>
      <c r="CR30" s="14">
        <f t="shared" si="56"/>
        <v>0</v>
      </c>
      <c r="CS30" s="14">
        <f t="shared" si="56"/>
        <v>0</v>
      </c>
      <c r="CT30" s="14">
        <f t="shared" si="56"/>
        <v>0</v>
      </c>
      <c r="CU30" s="14">
        <f t="shared" si="56"/>
        <v>0</v>
      </c>
      <c r="CW30" s="14">
        <f>SUM(BF$5:BF30)</f>
        <v>0</v>
      </c>
      <c r="CX30" s="14">
        <f>SUM(BG$5:BG30)</f>
        <v>0</v>
      </c>
      <c r="CY30" s="14">
        <f>SUM(BH$5:BH30)</f>
        <v>0</v>
      </c>
      <c r="CZ30" s="14">
        <f>SUM(BI$5:BI30)</f>
        <v>0</v>
      </c>
      <c r="DA30" s="14">
        <f>SUM(BJ$5:BJ30)</f>
        <v>0</v>
      </c>
      <c r="DB30" s="14">
        <f>SUM(BK$5:BK30)</f>
        <v>0</v>
      </c>
      <c r="DC30" s="14">
        <f>SUM(BL$5:BL30)</f>
        <v>0</v>
      </c>
      <c r="DD30" s="14">
        <f>SUM(BM$5:BM30)</f>
        <v>0</v>
      </c>
      <c r="DE30" s="14">
        <f>SUM(BN$5:BN30)</f>
        <v>0</v>
      </c>
      <c r="DF30" s="14">
        <f>SUM(BO$5:BO30)</f>
        <v>0</v>
      </c>
      <c r="DG30" s="14">
        <f>SUM(BP$5:BP30)</f>
        <v>0</v>
      </c>
      <c r="DH30" s="14">
        <f>SUM(BQ$5:BQ30)</f>
        <v>0</v>
      </c>
      <c r="DI30" s="14">
        <f>SUM(BR$5:BR30)</f>
        <v>0</v>
      </c>
      <c r="DJ30" s="14">
        <f>SUM(BS$5:BS30)</f>
        <v>0</v>
      </c>
      <c r="DK30" s="14">
        <f>SUM(BT$5:BT30)</f>
        <v>0</v>
      </c>
      <c r="DL30" s="14">
        <f>SUM(BU$5:BU30)</f>
        <v>0</v>
      </c>
      <c r="DM30" s="14">
        <f>SUM(BV$5:BV30)</f>
        <v>0</v>
      </c>
      <c r="DN30" s="14">
        <f>SUM(BW$5:BW30)</f>
        <v>0</v>
      </c>
      <c r="DO30" s="14">
        <f>SUM(BX$5:BX30)</f>
        <v>0</v>
      </c>
      <c r="DP30" s="14">
        <f>SUM(BY$5:BY30)</f>
        <v>0</v>
      </c>
      <c r="DQ30" s="14">
        <f>SUM(BZ$5:BZ30)</f>
        <v>0</v>
      </c>
      <c r="DR30" s="14">
        <f>SUM(CA$5:CA30)</f>
        <v>0</v>
      </c>
      <c r="DS30" s="14">
        <f>SUM(CB$5:CB30)</f>
        <v>0</v>
      </c>
      <c r="DT30" s="14">
        <f>SUM(CC$5:CC30)</f>
        <v>0</v>
      </c>
      <c r="DU30" s="14">
        <f>SUM(CD$5:CD30)</f>
        <v>0</v>
      </c>
      <c r="DV30" s="14">
        <f>SUM(CE$5:CE30)</f>
        <v>0</v>
      </c>
      <c r="DW30" s="14">
        <f>SUM(CF$5:CF30)</f>
        <v>0</v>
      </c>
      <c r="DX30" s="14">
        <f>SUM(CG$5:CG30)</f>
        <v>0</v>
      </c>
      <c r="DY30" s="14">
        <f>SUM(CH$5:CH30)</f>
        <v>0</v>
      </c>
      <c r="DZ30" s="14">
        <f>SUM(CI$5:CI30)</f>
        <v>0</v>
      </c>
      <c r="EA30" s="14">
        <f>SUM(CJ$5:CJ30)</f>
        <v>0</v>
      </c>
      <c r="EB30" s="14">
        <f>SUM(CK$5:CK30)</f>
        <v>0</v>
      </c>
      <c r="EC30" s="14">
        <f>SUM(CL$5:CL30)</f>
        <v>0</v>
      </c>
      <c r="ED30" s="14">
        <f>SUM(CM$5:CM30)</f>
        <v>0</v>
      </c>
      <c r="EE30" s="14">
        <f>SUM(CN$5:CN30)</f>
        <v>0</v>
      </c>
      <c r="EF30" s="14">
        <f>SUM(CO$5:CO30)</f>
        <v>0</v>
      </c>
      <c r="EG30" s="14">
        <f>SUM(CP$5:CP30)</f>
        <v>0</v>
      </c>
      <c r="EH30" s="14">
        <f>SUM(CQ$5:CQ30)</f>
        <v>0</v>
      </c>
      <c r="EI30" s="14">
        <f>SUM(CR$5:CR30)</f>
        <v>0</v>
      </c>
      <c r="EJ30" s="14">
        <f>SUM(CS$5:CS30)</f>
        <v>0</v>
      </c>
      <c r="EK30" s="14">
        <f>SUM(CT$5:CT30)</f>
        <v>0</v>
      </c>
      <c r="EL30" s="14">
        <f>SUM(CU$5:CU30)</f>
        <v>0</v>
      </c>
      <c r="EO30" s="87">
        <f t="shared" si="11"/>
        <v>0</v>
      </c>
      <c r="EP30" s="87">
        <f t="shared" si="12"/>
        <v>0</v>
      </c>
      <c r="EQ30" s="87">
        <f t="shared" si="13"/>
        <v>0</v>
      </c>
      <c r="ER30" s="87">
        <f t="shared" si="14"/>
        <v>0</v>
      </c>
      <c r="ES30" s="87">
        <f t="shared" si="15"/>
        <v>0</v>
      </c>
      <c r="ET30" s="87">
        <f t="shared" si="16"/>
        <v>0</v>
      </c>
      <c r="EU30" s="87">
        <f t="shared" si="17"/>
        <v>0</v>
      </c>
      <c r="EV30" s="87">
        <f t="shared" si="18"/>
        <v>0</v>
      </c>
      <c r="EW30" s="87">
        <f t="shared" si="19"/>
        <v>0</v>
      </c>
      <c r="EX30" s="87">
        <f t="shared" si="20"/>
        <v>0</v>
      </c>
      <c r="EY30" s="87">
        <f t="shared" si="21"/>
        <v>0</v>
      </c>
      <c r="EZ30" s="87">
        <f t="shared" si="22"/>
        <v>0</v>
      </c>
      <c r="FA30" s="87">
        <f t="shared" si="23"/>
        <v>0</v>
      </c>
      <c r="FB30" s="87">
        <f t="shared" si="24"/>
        <v>0</v>
      </c>
      <c r="FC30" s="87">
        <f t="shared" si="25"/>
        <v>0</v>
      </c>
      <c r="FD30" s="87">
        <f t="shared" si="26"/>
        <v>0</v>
      </c>
      <c r="FE30" s="87">
        <f t="shared" si="27"/>
        <v>0</v>
      </c>
      <c r="FF30" s="87">
        <f t="shared" si="28"/>
        <v>0</v>
      </c>
      <c r="FG30" s="87">
        <f t="shared" si="29"/>
        <v>0</v>
      </c>
      <c r="FH30" s="87">
        <f t="shared" si="30"/>
        <v>0</v>
      </c>
      <c r="FI30" s="87">
        <f t="shared" si="31"/>
        <v>0</v>
      </c>
      <c r="FJ30" s="87">
        <f t="shared" si="32"/>
        <v>0</v>
      </c>
      <c r="FK30" s="87">
        <f t="shared" si="33"/>
        <v>0</v>
      </c>
      <c r="FL30" s="87">
        <f t="shared" si="34"/>
        <v>0</v>
      </c>
      <c r="FM30" s="87">
        <f t="shared" si="35"/>
        <v>0</v>
      </c>
      <c r="FN30" s="87">
        <f t="shared" si="36"/>
        <v>0</v>
      </c>
      <c r="FO30" s="87">
        <f t="shared" si="37"/>
        <v>0</v>
      </c>
      <c r="FP30" s="87">
        <f t="shared" si="38"/>
        <v>0</v>
      </c>
      <c r="FQ30" s="87">
        <f t="shared" si="39"/>
        <v>0</v>
      </c>
      <c r="FR30" s="87">
        <f t="shared" si="40"/>
        <v>0</v>
      </c>
      <c r="FS30" s="87">
        <f t="shared" si="41"/>
        <v>0</v>
      </c>
      <c r="FT30" s="87">
        <f t="shared" si="42"/>
        <v>0</v>
      </c>
      <c r="FU30" s="87">
        <f t="shared" si="43"/>
        <v>0</v>
      </c>
      <c r="FV30" s="87">
        <f t="shared" si="44"/>
        <v>0</v>
      </c>
      <c r="FW30" s="87">
        <f t="shared" si="45"/>
        <v>0</v>
      </c>
      <c r="FX30" s="87">
        <f t="shared" si="46"/>
        <v>0</v>
      </c>
      <c r="FY30" s="87">
        <f t="shared" si="47"/>
        <v>0</v>
      </c>
      <c r="FZ30" s="87">
        <f t="shared" si="48"/>
        <v>0</v>
      </c>
      <c r="GA30" s="87">
        <f t="shared" si="49"/>
        <v>0</v>
      </c>
      <c r="GB30" s="87">
        <f t="shared" si="50"/>
        <v>0</v>
      </c>
      <c r="GC30" s="87">
        <f t="shared" si="51"/>
        <v>0</v>
      </c>
      <c r="GD30" s="87">
        <f t="shared" si="52"/>
        <v>0</v>
      </c>
    </row>
    <row r="31" spans="11:186" ht="16.5" x14ac:dyDescent="0.2">
      <c r="K31" s="86">
        <v>27</v>
      </c>
      <c r="L31" s="86">
        <v>6</v>
      </c>
      <c r="M31" s="86">
        <v>1</v>
      </c>
      <c r="N31" s="86" t="str">
        <f t="shared" si="3"/>
        <v>神器6-1</v>
      </c>
      <c r="O31" s="86">
        <v>2</v>
      </c>
      <c r="P31" s="14">
        <f t="shared" si="4"/>
        <v>120</v>
      </c>
      <c r="Q31" s="88">
        <v>0.18</v>
      </c>
      <c r="R31" s="14">
        <v>1</v>
      </c>
      <c r="S31" s="14">
        <v>2</v>
      </c>
      <c r="T31" s="88">
        <v>0.18</v>
      </c>
      <c r="U31" s="14">
        <v>1</v>
      </c>
      <c r="V31" s="14">
        <v>3</v>
      </c>
      <c r="W31" s="88">
        <v>0.18</v>
      </c>
      <c r="X31" s="14">
        <v>2</v>
      </c>
      <c r="Y31" s="14">
        <v>4</v>
      </c>
      <c r="AO31" s="48">
        <v>4</v>
      </c>
      <c r="AP31" s="86">
        <v>5</v>
      </c>
      <c r="AQ31" s="86">
        <v>1</v>
      </c>
      <c r="AR31" s="48">
        <v>3</v>
      </c>
      <c r="AS31" s="86" t="s">
        <v>325</v>
      </c>
      <c r="AT31" s="21">
        <f t="shared" si="0"/>
        <v>0.14300000000000002</v>
      </c>
      <c r="AU31" s="86">
        <f t="shared" si="5"/>
        <v>3</v>
      </c>
      <c r="AV31" s="86">
        <f t="shared" si="6"/>
        <v>5</v>
      </c>
      <c r="AW31" s="87">
        <f t="shared" si="7"/>
        <v>0.57200000000000006</v>
      </c>
      <c r="AX31" s="86">
        <f t="shared" si="8"/>
        <v>8.5800000000000018</v>
      </c>
      <c r="BA31" s="86">
        <v>27</v>
      </c>
      <c r="BB31" s="14" t="e">
        <f>INDEX(节奏总表!#REF!,神器!BA31)</f>
        <v>#REF!</v>
      </c>
      <c r="BC31" s="14" t="e">
        <f t="shared" si="9"/>
        <v>#REF!</v>
      </c>
      <c r="BD31" s="14">
        <v>5</v>
      </c>
      <c r="BE31" s="14">
        <v>3</v>
      </c>
      <c r="BF31" s="14">
        <f t="shared" si="10"/>
        <v>0</v>
      </c>
      <c r="BG31" s="14">
        <f t="shared" si="56"/>
        <v>0</v>
      </c>
      <c r="BH31" s="14">
        <f t="shared" si="56"/>
        <v>0</v>
      </c>
      <c r="BI31" s="14">
        <f t="shared" si="56"/>
        <v>0</v>
      </c>
      <c r="BJ31" s="14">
        <f t="shared" si="56"/>
        <v>0</v>
      </c>
      <c r="BK31" s="14">
        <f t="shared" si="56"/>
        <v>0</v>
      </c>
      <c r="BL31" s="14">
        <f t="shared" si="56"/>
        <v>0</v>
      </c>
      <c r="BM31" s="14">
        <f t="shared" si="56"/>
        <v>0</v>
      </c>
      <c r="BN31" s="14">
        <f t="shared" si="56"/>
        <v>0</v>
      </c>
      <c r="BO31" s="14">
        <f t="shared" si="56"/>
        <v>0</v>
      </c>
      <c r="BP31" s="14">
        <f t="shared" si="56"/>
        <v>0</v>
      </c>
      <c r="BQ31" s="14">
        <f t="shared" si="56"/>
        <v>0</v>
      </c>
      <c r="BR31" s="14">
        <f t="shared" si="56"/>
        <v>0</v>
      </c>
      <c r="BS31" s="14">
        <f t="shared" si="56"/>
        <v>0</v>
      </c>
      <c r="BT31" s="14">
        <f t="shared" si="56"/>
        <v>0</v>
      </c>
      <c r="BU31" s="14">
        <f t="shared" si="56"/>
        <v>0</v>
      </c>
      <c r="BV31" s="14">
        <f t="shared" si="56"/>
        <v>0</v>
      </c>
      <c r="BW31" s="14">
        <f t="shared" si="56"/>
        <v>0</v>
      </c>
      <c r="BX31" s="14">
        <f t="shared" si="56"/>
        <v>0</v>
      </c>
      <c r="BY31" s="14">
        <f t="shared" si="56"/>
        <v>0</v>
      </c>
      <c r="BZ31" s="14">
        <f t="shared" si="56"/>
        <v>0</v>
      </c>
      <c r="CA31" s="14">
        <f t="shared" si="56"/>
        <v>0</v>
      </c>
      <c r="CB31" s="14">
        <f t="shared" si="56"/>
        <v>0</v>
      </c>
      <c r="CC31" s="14">
        <f t="shared" si="56"/>
        <v>0</v>
      </c>
      <c r="CD31" s="14">
        <f t="shared" si="56"/>
        <v>0</v>
      </c>
      <c r="CE31" s="14">
        <f t="shared" si="56"/>
        <v>0</v>
      </c>
      <c r="CF31" s="14">
        <f t="shared" si="56"/>
        <v>0</v>
      </c>
      <c r="CG31" s="14">
        <f t="shared" si="56"/>
        <v>0</v>
      </c>
      <c r="CH31" s="14">
        <f t="shared" si="56"/>
        <v>0</v>
      </c>
      <c r="CI31" s="14">
        <f t="shared" si="56"/>
        <v>0</v>
      </c>
      <c r="CJ31" s="14">
        <f t="shared" si="56"/>
        <v>0</v>
      </c>
      <c r="CK31" s="14">
        <f t="shared" si="56"/>
        <v>0</v>
      </c>
      <c r="CL31" s="14">
        <f t="shared" si="56"/>
        <v>0</v>
      </c>
      <c r="CM31" s="14">
        <f t="shared" si="56"/>
        <v>0</v>
      </c>
      <c r="CN31" s="14">
        <f t="shared" si="56"/>
        <v>0</v>
      </c>
      <c r="CO31" s="14">
        <f t="shared" si="56"/>
        <v>0</v>
      </c>
      <c r="CP31" s="14">
        <f t="shared" si="56"/>
        <v>0</v>
      </c>
      <c r="CQ31" s="14">
        <f t="shared" si="56"/>
        <v>0</v>
      </c>
      <c r="CR31" s="14">
        <f t="shared" si="56"/>
        <v>0</v>
      </c>
      <c r="CS31" s="14">
        <f t="shared" si="56"/>
        <v>0</v>
      </c>
      <c r="CT31" s="14">
        <f t="shared" si="56"/>
        <v>0</v>
      </c>
      <c r="CU31" s="14">
        <f t="shared" si="56"/>
        <v>0</v>
      </c>
      <c r="CW31" s="14">
        <f>SUM(BF$5:BF31)</f>
        <v>0</v>
      </c>
      <c r="CX31" s="14">
        <f>SUM(BG$5:BG31)</f>
        <v>0</v>
      </c>
      <c r="CY31" s="14">
        <f>SUM(BH$5:BH31)</f>
        <v>0</v>
      </c>
      <c r="CZ31" s="14">
        <f>SUM(BI$5:BI31)</f>
        <v>0</v>
      </c>
      <c r="DA31" s="14">
        <f>SUM(BJ$5:BJ31)</f>
        <v>0</v>
      </c>
      <c r="DB31" s="14">
        <f>SUM(BK$5:BK31)</f>
        <v>0</v>
      </c>
      <c r="DC31" s="14">
        <f>SUM(BL$5:BL31)</f>
        <v>0</v>
      </c>
      <c r="DD31" s="14">
        <f>SUM(BM$5:BM31)</f>
        <v>0</v>
      </c>
      <c r="DE31" s="14">
        <f>SUM(BN$5:BN31)</f>
        <v>0</v>
      </c>
      <c r="DF31" s="14">
        <f>SUM(BO$5:BO31)</f>
        <v>0</v>
      </c>
      <c r="DG31" s="14">
        <f>SUM(BP$5:BP31)</f>
        <v>0</v>
      </c>
      <c r="DH31" s="14">
        <f>SUM(BQ$5:BQ31)</f>
        <v>0</v>
      </c>
      <c r="DI31" s="14">
        <f>SUM(BR$5:BR31)</f>
        <v>0</v>
      </c>
      <c r="DJ31" s="14">
        <f>SUM(BS$5:BS31)</f>
        <v>0</v>
      </c>
      <c r="DK31" s="14">
        <f>SUM(BT$5:BT31)</f>
        <v>0</v>
      </c>
      <c r="DL31" s="14">
        <f>SUM(BU$5:BU31)</f>
        <v>0</v>
      </c>
      <c r="DM31" s="14">
        <f>SUM(BV$5:BV31)</f>
        <v>0</v>
      </c>
      <c r="DN31" s="14">
        <f>SUM(BW$5:BW31)</f>
        <v>0</v>
      </c>
      <c r="DO31" s="14">
        <f>SUM(BX$5:BX31)</f>
        <v>0</v>
      </c>
      <c r="DP31" s="14">
        <f>SUM(BY$5:BY31)</f>
        <v>0</v>
      </c>
      <c r="DQ31" s="14">
        <f>SUM(BZ$5:BZ31)</f>
        <v>0</v>
      </c>
      <c r="DR31" s="14">
        <f>SUM(CA$5:CA31)</f>
        <v>0</v>
      </c>
      <c r="DS31" s="14">
        <f>SUM(CB$5:CB31)</f>
        <v>0</v>
      </c>
      <c r="DT31" s="14">
        <f>SUM(CC$5:CC31)</f>
        <v>0</v>
      </c>
      <c r="DU31" s="14">
        <f>SUM(CD$5:CD31)</f>
        <v>0</v>
      </c>
      <c r="DV31" s="14">
        <f>SUM(CE$5:CE31)</f>
        <v>0</v>
      </c>
      <c r="DW31" s="14">
        <f>SUM(CF$5:CF31)</f>
        <v>0</v>
      </c>
      <c r="DX31" s="14">
        <f>SUM(CG$5:CG31)</f>
        <v>0</v>
      </c>
      <c r="DY31" s="14">
        <f>SUM(CH$5:CH31)</f>
        <v>0</v>
      </c>
      <c r="DZ31" s="14">
        <f>SUM(CI$5:CI31)</f>
        <v>0</v>
      </c>
      <c r="EA31" s="14">
        <f>SUM(CJ$5:CJ31)</f>
        <v>0</v>
      </c>
      <c r="EB31" s="14">
        <f>SUM(CK$5:CK31)</f>
        <v>0</v>
      </c>
      <c r="EC31" s="14">
        <f>SUM(CL$5:CL31)</f>
        <v>0</v>
      </c>
      <c r="ED31" s="14">
        <f>SUM(CM$5:CM31)</f>
        <v>0</v>
      </c>
      <c r="EE31" s="14">
        <f>SUM(CN$5:CN31)</f>
        <v>0</v>
      </c>
      <c r="EF31" s="14">
        <f>SUM(CO$5:CO31)</f>
        <v>0</v>
      </c>
      <c r="EG31" s="14">
        <f>SUM(CP$5:CP31)</f>
        <v>0</v>
      </c>
      <c r="EH31" s="14">
        <f>SUM(CQ$5:CQ31)</f>
        <v>0</v>
      </c>
      <c r="EI31" s="14">
        <f>SUM(CR$5:CR31)</f>
        <v>0</v>
      </c>
      <c r="EJ31" s="14">
        <f>SUM(CS$5:CS31)</f>
        <v>0</v>
      </c>
      <c r="EK31" s="14">
        <f>SUM(CT$5:CT31)</f>
        <v>0</v>
      </c>
      <c r="EL31" s="14">
        <f>SUM(CU$5:CU31)</f>
        <v>0</v>
      </c>
      <c r="EO31" s="87">
        <f t="shared" si="11"/>
        <v>0</v>
      </c>
      <c r="EP31" s="87">
        <f t="shared" si="12"/>
        <v>0</v>
      </c>
      <c r="EQ31" s="87">
        <f t="shared" si="13"/>
        <v>0</v>
      </c>
      <c r="ER31" s="87">
        <f t="shared" si="14"/>
        <v>0</v>
      </c>
      <c r="ES31" s="87">
        <f t="shared" si="15"/>
        <v>0</v>
      </c>
      <c r="ET31" s="87">
        <f t="shared" si="16"/>
        <v>0</v>
      </c>
      <c r="EU31" s="87">
        <f t="shared" si="17"/>
        <v>0</v>
      </c>
      <c r="EV31" s="87">
        <f t="shared" si="18"/>
        <v>0</v>
      </c>
      <c r="EW31" s="87">
        <f t="shared" si="19"/>
        <v>0</v>
      </c>
      <c r="EX31" s="87">
        <f t="shared" si="20"/>
        <v>0</v>
      </c>
      <c r="EY31" s="87">
        <f t="shared" si="21"/>
        <v>0</v>
      </c>
      <c r="EZ31" s="87">
        <f t="shared" si="22"/>
        <v>0</v>
      </c>
      <c r="FA31" s="87">
        <f t="shared" si="23"/>
        <v>0</v>
      </c>
      <c r="FB31" s="87">
        <f t="shared" si="24"/>
        <v>0</v>
      </c>
      <c r="FC31" s="87">
        <f t="shared" si="25"/>
        <v>0</v>
      </c>
      <c r="FD31" s="87">
        <f t="shared" si="26"/>
        <v>0</v>
      </c>
      <c r="FE31" s="87">
        <f t="shared" si="27"/>
        <v>0</v>
      </c>
      <c r="FF31" s="87">
        <f t="shared" si="28"/>
        <v>0</v>
      </c>
      <c r="FG31" s="87">
        <f t="shared" si="29"/>
        <v>0</v>
      </c>
      <c r="FH31" s="87">
        <f t="shared" si="30"/>
        <v>0</v>
      </c>
      <c r="FI31" s="87">
        <f t="shared" si="31"/>
        <v>0</v>
      </c>
      <c r="FJ31" s="87">
        <f t="shared" si="32"/>
        <v>0</v>
      </c>
      <c r="FK31" s="87">
        <f t="shared" si="33"/>
        <v>0</v>
      </c>
      <c r="FL31" s="87">
        <f t="shared" si="34"/>
        <v>0</v>
      </c>
      <c r="FM31" s="87">
        <f t="shared" si="35"/>
        <v>0</v>
      </c>
      <c r="FN31" s="87">
        <f t="shared" si="36"/>
        <v>0</v>
      </c>
      <c r="FO31" s="87">
        <f t="shared" si="37"/>
        <v>0</v>
      </c>
      <c r="FP31" s="87">
        <f t="shared" si="38"/>
        <v>0</v>
      </c>
      <c r="FQ31" s="87">
        <f t="shared" si="39"/>
        <v>0</v>
      </c>
      <c r="FR31" s="87">
        <f t="shared" si="40"/>
        <v>0</v>
      </c>
      <c r="FS31" s="87">
        <f t="shared" si="41"/>
        <v>0</v>
      </c>
      <c r="FT31" s="87">
        <f t="shared" si="42"/>
        <v>0</v>
      </c>
      <c r="FU31" s="87">
        <f t="shared" si="43"/>
        <v>0</v>
      </c>
      <c r="FV31" s="87">
        <f t="shared" si="44"/>
        <v>0</v>
      </c>
      <c r="FW31" s="87">
        <f t="shared" si="45"/>
        <v>0</v>
      </c>
      <c r="FX31" s="87">
        <f t="shared" si="46"/>
        <v>0</v>
      </c>
      <c r="FY31" s="87">
        <f t="shared" si="47"/>
        <v>0</v>
      </c>
      <c r="FZ31" s="87">
        <f t="shared" si="48"/>
        <v>0</v>
      </c>
      <c r="GA31" s="87">
        <f t="shared" si="49"/>
        <v>0</v>
      </c>
      <c r="GB31" s="87">
        <f t="shared" si="50"/>
        <v>0</v>
      </c>
      <c r="GC31" s="87">
        <f t="shared" si="51"/>
        <v>0</v>
      </c>
      <c r="GD31" s="87">
        <f t="shared" si="52"/>
        <v>0</v>
      </c>
    </row>
    <row r="32" spans="11:186" ht="16.5" x14ac:dyDescent="0.2">
      <c r="K32" s="86">
        <v>28</v>
      </c>
      <c r="L32" s="86">
        <v>6</v>
      </c>
      <c r="M32" s="86">
        <v>2</v>
      </c>
      <c r="N32" s="86" t="str">
        <f t="shared" si="3"/>
        <v>神器6-2</v>
      </c>
      <c r="O32" s="86">
        <v>2</v>
      </c>
      <c r="P32" s="14">
        <f t="shared" si="4"/>
        <v>120</v>
      </c>
      <c r="Q32" s="88">
        <v>0.18</v>
      </c>
      <c r="R32" s="14">
        <v>1</v>
      </c>
      <c r="S32" s="14">
        <v>2</v>
      </c>
      <c r="T32" s="88">
        <v>0.18</v>
      </c>
      <c r="U32" s="14">
        <v>1</v>
      </c>
      <c r="V32" s="14">
        <v>3</v>
      </c>
      <c r="W32" s="88">
        <v>0.18</v>
      </c>
      <c r="X32" s="14">
        <v>2</v>
      </c>
      <c r="Y32" s="14">
        <v>4</v>
      </c>
      <c r="AO32" s="48">
        <v>4</v>
      </c>
      <c r="AP32" s="86">
        <v>6</v>
      </c>
      <c r="AQ32" s="86">
        <v>1</v>
      </c>
      <c r="AR32" s="48">
        <v>3</v>
      </c>
      <c r="AS32" s="86" t="s">
        <v>326</v>
      </c>
      <c r="AT32" s="21">
        <f t="shared" si="0"/>
        <v>9.9000000000000005E-2</v>
      </c>
      <c r="AU32" s="86">
        <f t="shared" si="5"/>
        <v>2</v>
      </c>
      <c r="AV32" s="86">
        <f t="shared" si="6"/>
        <v>4</v>
      </c>
      <c r="AW32" s="87">
        <f t="shared" si="7"/>
        <v>0.29700000000000004</v>
      </c>
      <c r="AX32" s="86">
        <f t="shared" si="8"/>
        <v>13.365</v>
      </c>
      <c r="BA32" s="86">
        <v>28</v>
      </c>
      <c r="BB32" s="14" t="e">
        <f>INDEX(节奏总表!#REF!,神器!BA32)</f>
        <v>#REF!</v>
      </c>
      <c r="BC32" s="14" t="e">
        <f t="shared" si="9"/>
        <v>#REF!</v>
      </c>
      <c r="BD32" s="14">
        <v>5</v>
      </c>
      <c r="BE32" s="14">
        <v>3</v>
      </c>
      <c r="BF32" s="14">
        <f t="shared" si="10"/>
        <v>0</v>
      </c>
      <c r="BG32" s="14">
        <f t="shared" si="56"/>
        <v>0</v>
      </c>
      <c r="BH32" s="14">
        <f t="shared" si="56"/>
        <v>0</v>
      </c>
      <c r="BI32" s="14">
        <f t="shared" si="56"/>
        <v>0</v>
      </c>
      <c r="BJ32" s="14">
        <f t="shared" si="56"/>
        <v>0</v>
      </c>
      <c r="BK32" s="14">
        <f t="shared" si="56"/>
        <v>0</v>
      </c>
      <c r="BL32" s="14">
        <f t="shared" si="56"/>
        <v>0</v>
      </c>
      <c r="BM32" s="14">
        <f t="shared" si="56"/>
        <v>0</v>
      </c>
      <c r="BN32" s="14">
        <f t="shared" si="56"/>
        <v>0</v>
      </c>
      <c r="BO32" s="14">
        <f t="shared" si="56"/>
        <v>0</v>
      </c>
      <c r="BP32" s="14">
        <f t="shared" si="56"/>
        <v>0</v>
      </c>
      <c r="BQ32" s="14">
        <f t="shared" si="56"/>
        <v>0</v>
      </c>
      <c r="BR32" s="14">
        <f t="shared" si="56"/>
        <v>0</v>
      </c>
      <c r="BS32" s="14">
        <f t="shared" si="56"/>
        <v>0</v>
      </c>
      <c r="BT32" s="14">
        <f t="shared" si="56"/>
        <v>0</v>
      </c>
      <c r="BU32" s="14">
        <f t="shared" si="56"/>
        <v>0</v>
      </c>
      <c r="BV32" s="14">
        <f t="shared" si="56"/>
        <v>0</v>
      </c>
      <c r="BW32" s="14">
        <f t="shared" si="56"/>
        <v>0</v>
      </c>
      <c r="BX32" s="14">
        <f t="shared" si="56"/>
        <v>0</v>
      </c>
      <c r="BY32" s="14">
        <f t="shared" si="56"/>
        <v>0</v>
      </c>
      <c r="BZ32" s="14">
        <f t="shared" si="56"/>
        <v>0</v>
      </c>
      <c r="CA32" s="14">
        <f t="shared" si="56"/>
        <v>0</v>
      </c>
      <c r="CB32" s="14">
        <f t="shared" si="56"/>
        <v>0</v>
      </c>
      <c r="CC32" s="14">
        <f t="shared" si="56"/>
        <v>0</v>
      </c>
      <c r="CD32" s="14">
        <f t="shared" si="56"/>
        <v>0</v>
      </c>
      <c r="CE32" s="14">
        <f t="shared" si="56"/>
        <v>0</v>
      </c>
      <c r="CF32" s="14">
        <f t="shared" si="56"/>
        <v>0</v>
      </c>
      <c r="CG32" s="14">
        <f t="shared" si="56"/>
        <v>0</v>
      </c>
      <c r="CH32" s="14">
        <f t="shared" si="56"/>
        <v>0</v>
      </c>
      <c r="CI32" s="14">
        <f t="shared" si="56"/>
        <v>0</v>
      </c>
      <c r="CJ32" s="14">
        <f t="shared" si="56"/>
        <v>0</v>
      </c>
      <c r="CK32" s="14">
        <f t="shared" si="56"/>
        <v>0</v>
      </c>
      <c r="CL32" s="14">
        <f t="shared" si="56"/>
        <v>0</v>
      </c>
      <c r="CM32" s="14">
        <f t="shared" si="56"/>
        <v>0</v>
      </c>
      <c r="CN32" s="14">
        <f t="shared" si="56"/>
        <v>0</v>
      </c>
      <c r="CO32" s="14">
        <f t="shared" si="56"/>
        <v>0</v>
      </c>
      <c r="CP32" s="14">
        <f t="shared" si="56"/>
        <v>0</v>
      </c>
      <c r="CQ32" s="14">
        <f t="shared" si="56"/>
        <v>0</v>
      </c>
      <c r="CR32" s="14">
        <f t="shared" si="56"/>
        <v>0</v>
      </c>
      <c r="CS32" s="14">
        <f t="shared" si="56"/>
        <v>0</v>
      </c>
      <c r="CT32" s="14">
        <f t="shared" si="56"/>
        <v>0</v>
      </c>
      <c r="CU32" s="14">
        <f t="shared" si="56"/>
        <v>0</v>
      </c>
      <c r="CW32" s="14">
        <f>SUM(BF$5:BF32)</f>
        <v>0</v>
      </c>
      <c r="CX32" s="14">
        <f>SUM(BG$5:BG32)</f>
        <v>0</v>
      </c>
      <c r="CY32" s="14">
        <f>SUM(BH$5:BH32)</f>
        <v>0</v>
      </c>
      <c r="CZ32" s="14">
        <f>SUM(BI$5:BI32)</f>
        <v>0</v>
      </c>
      <c r="DA32" s="14">
        <f>SUM(BJ$5:BJ32)</f>
        <v>0</v>
      </c>
      <c r="DB32" s="14">
        <f>SUM(BK$5:BK32)</f>
        <v>0</v>
      </c>
      <c r="DC32" s="14">
        <f>SUM(BL$5:BL32)</f>
        <v>0</v>
      </c>
      <c r="DD32" s="14">
        <f>SUM(BM$5:BM32)</f>
        <v>0</v>
      </c>
      <c r="DE32" s="14">
        <f>SUM(BN$5:BN32)</f>
        <v>0</v>
      </c>
      <c r="DF32" s="14">
        <f>SUM(BO$5:BO32)</f>
        <v>0</v>
      </c>
      <c r="DG32" s="14">
        <f>SUM(BP$5:BP32)</f>
        <v>0</v>
      </c>
      <c r="DH32" s="14">
        <f>SUM(BQ$5:BQ32)</f>
        <v>0</v>
      </c>
      <c r="DI32" s="14">
        <f>SUM(BR$5:BR32)</f>
        <v>0</v>
      </c>
      <c r="DJ32" s="14">
        <f>SUM(BS$5:BS32)</f>
        <v>0</v>
      </c>
      <c r="DK32" s="14">
        <f>SUM(BT$5:BT32)</f>
        <v>0</v>
      </c>
      <c r="DL32" s="14">
        <f>SUM(BU$5:BU32)</f>
        <v>0</v>
      </c>
      <c r="DM32" s="14">
        <f>SUM(BV$5:BV32)</f>
        <v>0</v>
      </c>
      <c r="DN32" s="14">
        <f>SUM(BW$5:BW32)</f>
        <v>0</v>
      </c>
      <c r="DO32" s="14">
        <f>SUM(BX$5:BX32)</f>
        <v>0</v>
      </c>
      <c r="DP32" s="14">
        <f>SUM(BY$5:BY32)</f>
        <v>0</v>
      </c>
      <c r="DQ32" s="14">
        <f>SUM(BZ$5:BZ32)</f>
        <v>0</v>
      </c>
      <c r="DR32" s="14">
        <f>SUM(CA$5:CA32)</f>
        <v>0</v>
      </c>
      <c r="DS32" s="14">
        <f>SUM(CB$5:CB32)</f>
        <v>0</v>
      </c>
      <c r="DT32" s="14">
        <f>SUM(CC$5:CC32)</f>
        <v>0</v>
      </c>
      <c r="DU32" s="14">
        <f>SUM(CD$5:CD32)</f>
        <v>0</v>
      </c>
      <c r="DV32" s="14">
        <f>SUM(CE$5:CE32)</f>
        <v>0</v>
      </c>
      <c r="DW32" s="14">
        <f>SUM(CF$5:CF32)</f>
        <v>0</v>
      </c>
      <c r="DX32" s="14">
        <f>SUM(CG$5:CG32)</f>
        <v>0</v>
      </c>
      <c r="DY32" s="14">
        <f>SUM(CH$5:CH32)</f>
        <v>0</v>
      </c>
      <c r="DZ32" s="14">
        <f>SUM(CI$5:CI32)</f>
        <v>0</v>
      </c>
      <c r="EA32" s="14">
        <f>SUM(CJ$5:CJ32)</f>
        <v>0</v>
      </c>
      <c r="EB32" s="14">
        <f>SUM(CK$5:CK32)</f>
        <v>0</v>
      </c>
      <c r="EC32" s="14">
        <f>SUM(CL$5:CL32)</f>
        <v>0</v>
      </c>
      <c r="ED32" s="14">
        <f>SUM(CM$5:CM32)</f>
        <v>0</v>
      </c>
      <c r="EE32" s="14">
        <f>SUM(CN$5:CN32)</f>
        <v>0</v>
      </c>
      <c r="EF32" s="14">
        <f>SUM(CO$5:CO32)</f>
        <v>0</v>
      </c>
      <c r="EG32" s="14">
        <f>SUM(CP$5:CP32)</f>
        <v>0</v>
      </c>
      <c r="EH32" s="14">
        <f>SUM(CQ$5:CQ32)</f>
        <v>0</v>
      </c>
      <c r="EI32" s="14">
        <f>SUM(CR$5:CR32)</f>
        <v>0</v>
      </c>
      <c r="EJ32" s="14">
        <f>SUM(CS$5:CS32)</f>
        <v>0</v>
      </c>
      <c r="EK32" s="14">
        <f>SUM(CT$5:CT32)</f>
        <v>0</v>
      </c>
      <c r="EL32" s="14">
        <f>SUM(CU$5:CU32)</f>
        <v>0</v>
      </c>
      <c r="EO32" s="87">
        <f t="shared" si="11"/>
        <v>0</v>
      </c>
      <c r="EP32" s="87">
        <f t="shared" si="12"/>
        <v>0</v>
      </c>
      <c r="EQ32" s="87">
        <f t="shared" si="13"/>
        <v>0</v>
      </c>
      <c r="ER32" s="87">
        <f t="shared" si="14"/>
        <v>0</v>
      </c>
      <c r="ES32" s="87">
        <f t="shared" si="15"/>
        <v>0</v>
      </c>
      <c r="ET32" s="87">
        <f t="shared" si="16"/>
        <v>0</v>
      </c>
      <c r="EU32" s="87">
        <f t="shared" si="17"/>
        <v>0</v>
      </c>
      <c r="EV32" s="87">
        <f t="shared" si="18"/>
        <v>0</v>
      </c>
      <c r="EW32" s="87">
        <f t="shared" si="19"/>
        <v>0</v>
      </c>
      <c r="EX32" s="87">
        <f t="shared" si="20"/>
        <v>0</v>
      </c>
      <c r="EY32" s="87">
        <f t="shared" si="21"/>
        <v>0</v>
      </c>
      <c r="EZ32" s="87">
        <f t="shared" si="22"/>
        <v>0</v>
      </c>
      <c r="FA32" s="87">
        <f t="shared" si="23"/>
        <v>0</v>
      </c>
      <c r="FB32" s="87">
        <f t="shared" si="24"/>
        <v>0</v>
      </c>
      <c r="FC32" s="87">
        <f t="shared" si="25"/>
        <v>0</v>
      </c>
      <c r="FD32" s="87">
        <f t="shared" si="26"/>
        <v>0</v>
      </c>
      <c r="FE32" s="87">
        <f t="shared" si="27"/>
        <v>0</v>
      </c>
      <c r="FF32" s="87">
        <f t="shared" si="28"/>
        <v>0</v>
      </c>
      <c r="FG32" s="87">
        <f t="shared" si="29"/>
        <v>0</v>
      </c>
      <c r="FH32" s="87">
        <f t="shared" si="30"/>
        <v>0</v>
      </c>
      <c r="FI32" s="87">
        <f t="shared" si="31"/>
        <v>0</v>
      </c>
      <c r="FJ32" s="87">
        <f t="shared" si="32"/>
        <v>0</v>
      </c>
      <c r="FK32" s="87">
        <f t="shared" si="33"/>
        <v>0</v>
      </c>
      <c r="FL32" s="87">
        <f t="shared" si="34"/>
        <v>0</v>
      </c>
      <c r="FM32" s="87">
        <f t="shared" si="35"/>
        <v>0</v>
      </c>
      <c r="FN32" s="87">
        <f t="shared" si="36"/>
        <v>0</v>
      </c>
      <c r="FO32" s="87">
        <f t="shared" si="37"/>
        <v>0</v>
      </c>
      <c r="FP32" s="87">
        <f t="shared" si="38"/>
        <v>0</v>
      </c>
      <c r="FQ32" s="87">
        <f t="shared" si="39"/>
        <v>0</v>
      </c>
      <c r="FR32" s="87">
        <f t="shared" si="40"/>
        <v>0</v>
      </c>
      <c r="FS32" s="87">
        <f t="shared" si="41"/>
        <v>0</v>
      </c>
      <c r="FT32" s="87">
        <f t="shared" si="42"/>
        <v>0</v>
      </c>
      <c r="FU32" s="87">
        <f t="shared" si="43"/>
        <v>0</v>
      </c>
      <c r="FV32" s="87">
        <f t="shared" si="44"/>
        <v>0</v>
      </c>
      <c r="FW32" s="87">
        <f t="shared" si="45"/>
        <v>0</v>
      </c>
      <c r="FX32" s="87">
        <f t="shared" si="46"/>
        <v>0</v>
      </c>
      <c r="FY32" s="87">
        <f t="shared" si="47"/>
        <v>0</v>
      </c>
      <c r="FZ32" s="87">
        <f t="shared" si="48"/>
        <v>0</v>
      </c>
      <c r="GA32" s="87">
        <f t="shared" si="49"/>
        <v>0</v>
      </c>
      <c r="GB32" s="87">
        <f t="shared" si="50"/>
        <v>0</v>
      </c>
      <c r="GC32" s="87">
        <f t="shared" si="51"/>
        <v>0</v>
      </c>
      <c r="GD32" s="87">
        <f t="shared" si="52"/>
        <v>0</v>
      </c>
    </row>
    <row r="33" spans="11:186" ht="16.5" x14ac:dyDescent="0.2">
      <c r="K33" s="86">
        <v>29</v>
      </c>
      <c r="L33" s="86">
        <v>6</v>
      </c>
      <c r="M33" s="86">
        <v>3</v>
      </c>
      <c r="N33" s="86" t="str">
        <f t="shared" si="3"/>
        <v>神器6-3</v>
      </c>
      <c r="O33" s="86">
        <v>2</v>
      </c>
      <c r="P33" s="14">
        <f t="shared" si="4"/>
        <v>120</v>
      </c>
      <c r="Q33" s="88">
        <v>0.18</v>
      </c>
      <c r="R33" s="14">
        <v>1</v>
      </c>
      <c r="S33" s="14">
        <v>2</v>
      </c>
      <c r="T33" s="88">
        <v>0.18</v>
      </c>
      <c r="U33" s="14">
        <v>1</v>
      </c>
      <c r="V33" s="14">
        <v>3</v>
      </c>
      <c r="W33" s="88">
        <v>0.18</v>
      </c>
      <c r="X33" s="14">
        <v>2</v>
      </c>
      <c r="Y33" s="14">
        <v>4</v>
      </c>
      <c r="AO33" s="48">
        <v>4</v>
      </c>
      <c r="AP33" s="86">
        <v>7</v>
      </c>
      <c r="AQ33" s="86">
        <v>1</v>
      </c>
      <c r="AR33" s="48">
        <v>3</v>
      </c>
      <c r="AS33" s="86" t="s">
        <v>327</v>
      </c>
      <c r="AT33" s="21">
        <f t="shared" si="0"/>
        <v>9.9000000000000005E-2</v>
      </c>
      <c r="AU33" s="86">
        <f t="shared" si="5"/>
        <v>2</v>
      </c>
      <c r="AV33" s="86">
        <f t="shared" si="6"/>
        <v>4</v>
      </c>
      <c r="AW33" s="87">
        <f t="shared" si="7"/>
        <v>0.29700000000000004</v>
      </c>
      <c r="AX33" s="86">
        <f t="shared" si="8"/>
        <v>13.365</v>
      </c>
      <c r="BA33" s="86">
        <v>29</v>
      </c>
      <c r="BB33" s="14" t="e">
        <f>INDEX(节奏总表!#REF!,神器!BA33)</f>
        <v>#REF!</v>
      </c>
      <c r="BC33" s="14" t="e">
        <f t="shared" si="9"/>
        <v>#REF!</v>
      </c>
      <c r="BD33" s="14">
        <v>5</v>
      </c>
      <c r="BE33" s="14">
        <v>3</v>
      </c>
      <c r="BF33" s="14">
        <f t="shared" si="10"/>
        <v>0</v>
      </c>
      <c r="BG33" s="14">
        <f t="shared" si="56"/>
        <v>0</v>
      </c>
      <c r="BH33" s="14">
        <f t="shared" si="56"/>
        <v>0</v>
      </c>
      <c r="BI33" s="14">
        <f t="shared" si="56"/>
        <v>0</v>
      </c>
      <c r="BJ33" s="14">
        <f t="shared" si="56"/>
        <v>0</v>
      </c>
      <c r="BK33" s="14">
        <f t="shared" si="56"/>
        <v>0</v>
      </c>
      <c r="BL33" s="14">
        <f t="shared" si="56"/>
        <v>0</v>
      </c>
      <c r="BM33" s="14">
        <f t="shared" si="56"/>
        <v>0</v>
      </c>
      <c r="BN33" s="14">
        <f t="shared" si="56"/>
        <v>0</v>
      </c>
      <c r="BO33" s="14">
        <f t="shared" ref="BO33:CD33" si="57">SUMIFS($AT$5:$AT$122,$AO$5:$AO$122,"="&amp;$BC33,$AP$5:$AP$122,"="&amp;BO$2) * (SUMIFS($AU$5:$AU$122,$AO$5:$AO$122,"="&amp;$BC33,$AP$5:$AP$122,"="&amp;BO$2)+SUMIFS($AV$5:$AV$122,$AO$5:$AO$122,"="&amp;$BC33,$AP$5:$AP$122,"="&amp;BO$2))/2*$BD33*$BE33</f>
        <v>0</v>
      </c>
      <c r="BP33" s="14">
        <f t="shared" si="57"/>
        <v>0</v>
      </c>
      <c r="BQ33" s="14">
        <f t="shared" si="57"/>
        <v>0</v>
      </c>
      <c r="BR33" s="14">
        <f t="shared" si="57"/>
        <v>0</v>
      </c>
      <c r="BS33" s="14">
        <f t="shared" si="57"/>
        <v>0</v>
      </c>
      <c r="BT33" s="14">
        <f t="shared" si="57"/>
        <v>0</v>
      </c>
      <c r="BU33" s="14">
        <f t="shared" si="57"/>
        <v>0</v>
      </c>
      <c r="BV33" s="14">
        <f t="shared" si="57"/>
        <v>0</v>
      </c>
      <c r="BW33" s="14">
        <f t="shared" si="57"/>
        <v>0</v>
      </c>
      <c r="BX33" s="14">
        <f t="shared" si="57"/>
        <v>0</v>
      </c>
      <c r="BY33" s="14">
        <f t="shared" si="57"/>
        <v>0</v>
      </c>
      <c r="BZ33" s="14">
        <f t="shared" si="57"/>
        <v>0</v>
      </c>
      <c r="CA33" s="14">
        <f t="shared" si="57"/>
        <v>0</v>
      </c>
      <c r="CB33" s="14">
        <f t="shared" si="57"/>
        <v>0</v>
      </c>
      <c r="CC33" s="14">
        <f t="shared" si="57"/>
        <v>0</v>
      </c>
      <c r="CD33" s="14">
        <f t="shared" si="57"/>
        <v>0</v>
      </c>
      <c r="CE33" s="14">
        <f t="shared" ref="CE33:CT33" si="58">SUMIFS($AT$5:$AT$122,$AO$5:$AO$122,"="&amp;$BC33,$AP$5:$AP$122,"="&amp;CE$2) * (SUMIFS($AU$5:$AU$122,$AO$5:$AO$122,"="&amp;$BC33,$AP$5:$AP$122,"="&amp;CE$2)+SUMIFS($AV$5:$AV$122,$AO$5:$AO$122,"="&amp;$BC33,$AP$5:$AP$122,"="&amp;CE$2))/2*$BD33*$BE33</f>
        <v>0</v>
      </c>
      <c r="CF33" s="14">
        <f t="shared" si="58"/>
        <v>0</v>
      </c>
      <c r="CG33" s="14">
        <f t="shared" si="58"/>
        <v>0</v>
      </c>
      <c r="CH33" s="14">
        <f t="shared" si="58"/>
        <v>0</v>
      </c>
      <c r="CI33" s="14">
        <f t="shared" si="58"/>
        <v>0</v>
      </c>
      <c r="CJ33" s="14">
        <f t="shared" si="58"/>
        <v>0</v>
      </c>
      <c r="CK33" s="14">
        <f t="shared" si="58"/>
        <v>0</v>
      </c>
      <c r="CL33" s="14">
        <f t="shared" si="58"/>
        <v>0</v>
      </c>
      <c r="CM33" s="14">
        <f t="shared" si="58"/>
        <v>0</v>
      </c>
      <c r="CN33" s="14">
        <f t="shared" si="58"/>
        <v>0</v>
      </c>
      <c r="CO33" s="14">
        <f t="shared" si="58"/>
        <v>0</v>
      </c>
      <c r="CP33" s="14">
        <f t="shared" si="58"/>
        <v>0</v>
      </c>
      <c r="CQ33" s="14">
        <f t="shared" si="58"/>
        <v>0</v>
      </c>
      <c r="CR33" s="14">
        <f t="shared" si="58"/>
        <v>0</v>
      </c>
      <c r="CS33" s="14">
        <f t="shared" si="58"/>
        <v>0</v>
      </c>
      <c r="CT33" s="14">
        <f t="shared" si="58"/>
        <v>0</v>
      </c>
      <c r="CU33" s="14">
        <f t="shared" ref="BG33:CU40" si="59">SUMIFS($AT$5:$AT$122,$AO$5:$AO$122,"="&amp;$BC33,$AP$5:$AP$122,"="&amp;CU$2) * (SUMIFS($AU$5:$AU$122,$AO$5:$AO$122,"="&amp;$BC33,$AP$5:$AP$122,"="&amp;CU$2)+SUMIFS($AV$5:$AV$122,$AO$5:$AO$122,"="&amp;$BC33,$AP$5:$AP$122,"="&amp;CU$2))/2*$BD33*$BE33</f>
        <v>0</v>
      </c>
      <c r="CW33" s="14">
        <f>SUM(BF$5:BF33)</f>
        <v>0</v>
      </c>
      <c r="CX33" s="14">
        <f>SUM(BG$5:BG33)</f>
        <v>0</v>
      </c>
      <c r="CY33" s="14">
        <f>SUM(BH$5:BH33)</f>
        <v>0</v>
      </c>
      <c r="CZ33" s="14">
        <f>SUM(BI$5:BI33)</f>
        <v>0</v>
      </c>
      <c r="DA33" s="14">
        <f>SUM(BJ$5:BJ33)</f>
        <v>0</v>
      </c>
      <c r="DB33" s="14">
        <f>SUM(BK$5:BK33)</f>
        <v>0</v>
      </c>
      <c r="DC33" s="14">
        <f>SUM(BL$5:BL33)</f>
        <v>0</v>
      </c>
      <c r="DD33" s="14">
        <f>SUM(BM$5:BM33)</f>
        <v>0</v>
      </c>
      <c r="DE33" s="14">
        <f>SUM(BN$5:BN33)</f>
        <v>0</v>
      </c>
      <c r="DF33" s="14">
        <f>SUM(BO$5:BO33)</f>
        <v>0</v>
      </c>
      <c r="DG33" s="14">
        <f>SUM(BP$5:BP33)</f>
        <v>0</v>
      </c>
      <c r="DH33" s="14">
        <f>SUM(BQ$5:BQ33)</f>
        <v>0</v>
      </c>
      <c r="DI33" s="14">
        <f>SUM(BR$5:BR33)</f>
        <v>0</v>
      </c>
      <c r="DJ33" s="14">
        <f>SUM(BS$5:BS33)</f>
        <v>0</v>
      </c>
      <c r="DK33" s="14">
        <f>SUM(BT$5:BT33)</f>
        <v>0</v>
      </c>
      <c r="DL33" s="14">
        <f>SUM(BU$5:BU33)</f>
        <v>0</v>
      </c>
      <c r="DM33" s="14">
        <f>SUM(BV$5:BV33)</f>
        <v>0</v>
      </c>
      <c r="DN33" s="14">
        <f>SUM(BW$5:BW33)</f>
        <v>0</v>
      </c>
      <c r="DO33" s="14">
        <f>SUM(BX$5:BX33)</f>
        <v>0</v>
      </c>
      <c r="DP33" s="14">
        <f>SUM(BY$5:BY33)</f>
        <v>0</v>
      </c>
      <c r="DQ33" s="14">
        <f>SUM(BZ$5:BZ33)</f>
        <v>0</v>
      </c>
      <c r="DR33" s="14">
        <f>SUM(CA$5:CA33)</f>
        <v>0</v>
      </c>
      <c r="DS33" s="14">
        <f>SUM(CB$5:CB33)</f>
        <v>0</v>
      </c>
      <c r="DT33" s="14">
        <f>SUM(CC$5:CC33)</f>
        <v>0</v>
      </c>
      <c r="DU33" s="14">
        <f>SUM(CD$5:CD33)</f>
        <v>0</v>
      </c>
      <c r="DV33" s="14">
        <f>SUM(CE$5:CE33)</f>
        <v>0</v>
      </c>
      <c r="DW33" s="14">
        <f>SUM(CF$5:CF33)</f>
        <v>0</v>
      </c>
      <c r="DX33" s="14">
        <f>SUM(CG$5:CG33)</f>
        <v>0</v>
      </c>
      <c r="DY33" s="14">
        <f>SUM(CH$5:CH33)</f>
        <v>0</v>
      </c>
      <c r="DZ33" s="14">
        <f>SUM(CI$5:CI33)</f>
        <v>0</v>
      </c>
      <c r="EA33" s="14">
        <f>SUM(CJ$5:CJ33)</f>
        <v>0</v>
      </c>
      <c r="EB33" s="14">
        <f>SUM(CK$5:CK33)</f>
        <v>0</v>
      </c>
      <c r="EC33" s="14">
        <f>SUM(CL$5:CL33)</f>
        <v>0</v>
      </c>
      <c r="ED33" s="14">
        <f>SUM(CM$5:CM33)</f>
        <v>0</v>
      </c>
      <c r="EE33" s="14">
        <f>SUM(CN$5:CN33)</f>
        <v>0</v>
      </c>
      <c r="EF33" s="14">
        <f>SUM(CO$5:CO33)</f>
        <v>0</v>
      </c>
      <c r="EG33" s="14">
        <f>SUM(CP$5:CP33)</f>
        <v>0</v>
      </c>
      <c r="EH33" s="14">
        <f>SUM(CQ$5:CQ33)</f>
        <v>0</v>
      </c>
      <c r="EI33" s="14">
        <f>SUM(CR$5:CR33)</f>
        <v>0</v>
      </c>
      <c r="EJ33" s="14">
        <f>SUM(CS$5:CS33)</f>
        <v>0</v>
      </c>
      <c r="EK33" s="14">
        <f>SUM(CT$5:CT33)</f>
        <v>0</v>
      </c>
      <c r="EL33" s="14">
        <f>SUM(CU$5:CU33)</f>
        <v>0</v>
      </c>
      <c r="EO33" s="87">
        <f t="shared" si="11"/>
        <v>0</v>
      </c>
      <c r="EP33" s="87">
        <f t="shared" si="12"/>
        <v>0</v>
      </c>
      <c r="EQ33" s="87">
        <f t="shared" si="13"/>
        <v>0</v>
      </c>
      <c r="ER33" s="87">
        <f t="shared" si="14"/>
        <v>0</v>
      </c>
      <c r="ES33" s="87">
        <f t="shared" si="15"/>
        <v>0</v>
      </c>
      <c r="ET33" s="87">
        <f t="shared" si="16"/>
        <v>0</v>
      </c>
      <c r="EU33" s="87">
        <f t="shared" si="17"/>
        <v>0</v>
      </c>
      <c r="EV33" s="87">
        <f t="shared" si="18"/>
        <v>0</v>
      </c>
      <c r="EW33" s="87">
        <f t="shared" si="19"/>
        <v>0</v>
      </c>
      <c r="EX33" s="87">
        <f t="shared" si="20"/>
        <v>0</v>
      </c>
      <c r="EY33" s="87">
        <f t="shared" si="21"/>
        <v>0</v>
      </c>
      <c r="EZ33" s="87">
        <f t="shared" si="22"/>
        <v>0</v>
      </c>
      <c r="FA33" s="87">
        <f t="shared" si="23"/>
        <v>0</v>
      </c>
      <c r="FB33" s="87">
        <f t="shared" si="24"/>
        <v>0</v>
      </c>
      <c r="FC33" s="87">
        <f t="shared" si="25"/>
        <v>0</v>
      </c>
      <c r="FD33" s="87">
        <f t="shared" si="26"/>
        <v>0</v>
      </c>
      <c r="FE33" s="87">
        <f t="shared" si="27"/>
        <v>0</v>
      </c>
      <c r="FF33" s="87">
        <f t="shared" si="28"/>
        <v>0</v>
      </c>
      <c r="FG33" s="87">
        <f t="shared" si="29"/>
        <v>0</v>
      </c>
      <c r="FH33" s="87">
        <f t="shared" si="30"/>
        <v>0</v>
      </c>
      <c r="FI33" s="87">
        <f t="shared" si="31"/>
        <v>0</v>
      </c>
      <c r="FJ33" s="87">
        <f t="shared" si="32"/>
        <v>0</v>
      </c>
      <c r="FK33" s="87">
        <f t="shared" si="33"/>
        <v>0</v>
      </c>
      <c r="FL33" s="87">
        <f t="shared" si="34"/>
        <v>0</v>
      </c>
      <c r="FM33" s="87">
        <f t="shared" si="35"/>
        <v>0</v>
      </c>
      <c r="FN33" s="87">
        <f t="shared" si="36"/>
        <v>0</v>
      </c>
      <c r="FO33" s="87">
        <f t="shared" si="37"/>
        <v>0</v>
      </c>
      <c r="FP33" s="87">
        <f t="shared" si="38"/>
        <v>0</v>
      </c>
      <c r="FQ33" s="87">
        <f t="shared" si="39"/>
        <v>0</v>
      </c>
      <c r="FR33" s="87">
        <f t="shared" si="40"/>
        <v>0</v>
      </c>
      <c r="FS33" s="87">
        <f t="shared" si="41"/>
        <v>0</v>
      </c>
      <c r="FT33" s="87">
        <f t="shared" si="42"/>
        <v>0</v>
      </c>
      <c r="FU33" s="87">
        <f t="shared" si="43"/>
        <v>0</v>
      </c>
      <c r="FV33" s="87">
        <f t="shared" si="44"/>
        <v>0</v>
      </c>
      <c r="FW33" s="87">
        <f t="shared" si="45"/>
        <v>0</v>
      </c>
      <c r="FX33" s="87">
        <f t="shared" si="46"/>
        <v>0</v>
      </c>
      <c r="FY33" s="87">
        <f t="shared" si="47"/>
        <v>0</v>
      </c>
      <c r="FZ33" s="87">
        <f t="shared" si="48"/>
        <v>0</v>
      </c>
      <c r="GA33" s="87">
        <f t="shared" si="49"/>
        <v>0</v>
      </c>
      <c r="GB33" s="87">
        <f t="shared" si="50"/>
        <v>0</v>
      </c>
      <c r="GC33" s="87">
        <f t="shared" si="51"/>
        <v>0</v>
      </c>
      <c r="GD33" s="87">
        <f t="shared" si="52"/>
        <v>0</v>
      </c>
    </row>
    <row r="34" spans="11:186" ht="16.5" x14ac:dyDescent="0.2">
      <c r="K34" s="86">
        <v>30</v>
      </c>
      <c r="L34" s="86">
        <v>6</v>
      </c>
      <c r="M34" s="86">
        <v>4</v>
      </c>
      <c r="N34" s="86" t="str">
        <f t="shared" si="3"/>
        <v>神器6-4</v>
      </c>
      <c r="O34" s="86">
        <v>3</v>
      </c>
      <c r="P34" s="14">
        <f t="shared" si="4"/>
        <v>280</v>
      </c>
      <c r="Q34" s="88">
        <v>0.12</v>
      </c>
      <c r="R34" s="14">
        <v>1</v>
      </c>
      <c r="S34" s="14">
        <v>1</v>
      </c>
      <c r="T34" s="88">
        <v>0.12</v>
      </c>
      <c r="U34" s="14">
        <v>1</v>
      </c>
      <c r="V34" s="14">
        <v>2</v>
      </c>
      <c r="W34" s="88">
        <v>0.12</v>
      </c>
      <c r="X34" s="14">
        <v>1</v>
      </c>
      <c r="Y34" s="14">
        <v>3</v>
      </c>
      <c r="AO34" s="48">
        <v>4</v>
      </c>
      <c r="AP34" s="86">
        <v>8</v>
      </c>
      <c r="AQ34" s="86">
        <v>1</v>
      </c>
      <c r="AR34" s="48">
        <v>3</v>
      </c>
      <c r="AS34" s="86" t="s">
        <v>328</v>
      </c>
      <c r="AT34" s="21">
        <f t="shared" si="0"/>
        <v>6.6000000000000003E-2</v>
      </c>
      <c r="AU34" s="86">
        <f t="shared" si="5"/>
        <v>1</v>
      </c>
      <c r="AV34" s="86">
        <f t="shared" si="6"/>
        <v>3</v>
      </c>
      <c r="AW34" s="87">
        <f t="shared" si="7"/>
        <v>0.13200000000000001</v>
      </c>
      <c r="AX34" s="86">
        <f t="shared" si="8"/>
        <v>13.860000000000001</v>
      </c>
      <c r="BA34" s="86">
        <v>30</v>
      </c>
      <c r="BB34" s="14" t="e">
        <f>INDEX(节奏总表!#REF!,神器!BA34)</f>
        <v>#REF!</v>
      </c>
      <c r="BC34" s="14" t="e">
        <f t="shared" si="9"/>
        <v>#REF!</v>
      </c>
      <c r="BD34" s="14">
        <v>5</v>
      </c>
      <c r="BE34" s="14">
        <v>3</v>
      </c>
      <c r="BF34" s="14">
        <f t="shared" si="10"/>
        <v>0</v>
      </c>
      <c r="BG34" s="14">
        <f t="shared" si="59"/>
        <v>0</v>
      </c>
      <c r="BH34" s="14">
        <f t="shared" si="59"/>
        <v>0</v>
      </c>
      <c r="BI34" s="14">
        <f t="shared" si="59"/>
        <v>0</v>
      </c>
      <c r="BJ34" s="14">
        <f t="shared" si="59"/>
        <v>0</v>
      </c>
      <c r="BK34" s="14">
        <f t="shared" si="59"/>
        <v>0</v>
      </c>
      <c r="BL34" s="14">
        <f t="shared" si="59"/>
        <v>0</v>
      </c>
      <c r="BM34" s="14">
        <f t="shared" si="59"/>
        <v>0</v>
      </c>
      <c r="BN34" s="14">
        <f t="shared" si="59"/>
        <v>0</v>
      </c>
      <c r="BO34" s="14">
        <f t="shared" si="59"/>
        <v>0</v>
      </c>
      <c r="BP34" s="14">
        <f t="shared" si="59"/>
        <v>0</v>
      </c>
      <c r="BQ34" s="14">
        <f t="shared" si="59"/>
        <v>0</v>
      </c>
      <c r="BR34" s="14">
        <f t="shared" si="59"/>
        <v>0</v>
      </c>
      <c r="BS34" s="14">
        <f t="shared" si="59"/>
        <v>0</v>
      </c>
      <c r="BT34" s="14">
        <f t="shared" si="59"/>
        <v>0</v>
      </c>
      <c r="BU34" s="14">
        <f t="shared" si="59"/>
        <v>0</v>
      </c>
      <c r="BV34" s="14">
        <f t="shared" si="59"/>
        <v>0</v>
      </c>
      <c r="BW34" s="14">
        <f t="shared" si="59"/>
        <v>0</v>
      </c>
      <c r="BX34" s="14">
        <f t="shared" si="59"/>
        <v>0</v>
      </c>
      <c r="BY34" s="14">
        <f t="shared" si="59"/>
        <v>0</v>
      </c>
      <c r="BZ34" s="14">
        <f t="shared" si="59"/>
        <v>0</v>
      </c>
      <c r="CA34" s="14">
        <f t="shared" si="59"/>
        <v>0</v>
      </c>
      <c r="CB34" s="14">
        <f t="shared" si="59"/>
        <v>0</v>
      </c>
      <c r="CC34" s="14">
        <f t="shared" si="59"/>
        <v>0</v>
      </c>
      <c r="CD34" s="14">
        <f t="shared" si="59"/>
        <v>0</v>
      </c>
      <c r="CE34" s="14">
        <f t="shared" si="59"/>
        <v>0</v>
      </c>
      <c r="CF34" s="14">
        <f t="shared" si="59"/>
        <v>0</v>
      </c>
      <c r="CG34" s="14">
        <f t="shared" si="59"/>
        <v>0</v>
      </c>
      <c r="CH34" s="14">
        <f t="shared" si="59"/>
        <v>0</v>
      </c>
      <c r="CI34" s="14">
        <f t="shared" si="59"/>
        <v>0</v>
      </c>
      <c r="CJ34" s="14">
        <f t="shared" si="59"/>
        <v>0</v>
      </c>
      <c r="CK34" s="14">
        <f t="shared" si="59"/>
        <v>0</v>
      </c>
      <c r="CL34" s="14">
        <f t="shared" si="59"/>
        <v>0</v>
      </c>
      <c r="CM34" s="14">
        <f t="shared" si="59"/>
        <v>0</v>
      </c>
      <c r="CN34" s="14">
        <f t="shared" si="59"/>
        <v>0</v>
      </c>
      <c r="CO34" s="14">
        <f t="shared" si="59"/>
        <v>0</v>
      </c>
      <c r="CP34" s="14">
        <f t="shared" si="59"/>
        <v>0</v>
      </c>
      <c r="CQ34" s="14">
        <f t="shared" si="59"/>
        <v>0</v>
      </c>
      <c r="CR34" s="14">
        <f t="shared" si="59"/>
        <v>0</v>
      </c>
      <c r="CS34" s="14">
        <f t="shared" si="59"/>
        <v>0</v>
      </c>
      <c r="CT34" s="14">
        <f t="shared" si="59"/>
        <v>0</v>
      </c>
      <c r="CU34" s="14">
        <f t="shared" si="59"/>
        <v>0</v>
      </c>
      <c r="CW34" s="14">
        <f>SUM(BF$5:BF34)</f>
        <v>0</v>
      </c>
      <c r="CX34" s="14">
        <f>SUM(BG$5:BG34)</f>
        <v>0</v>
      </c>
      <c r="CY34" s="14">
        <f>SUM(BH$5:BH34)</f>
        <v>0</v>
      </c>
      <c r="CZ34" s="14">
        <f>SUM(BI$5:BI34)</f>
        <v>0</v>
      </c>
      <c r="DA34" s="14">
        <f>SUM(BJ$5:BJ34)</f>
        <v>0</v>
      </c>
      <c r="DB34" s="14">
        <f>SUM(BK$5:BK34)</f>
        <v>0</v>
      </c>
      <c r="DC34" s="14">
        <f>SUM(BL$5:BL34)</f>
        <v>0</v>
      </c>
      <c r="DD34" s="14">
        <f>SUM(BM$5:BM34)</f>
        <v>0</v>
      </c>
      <c r="DE34" s="14">
        <f>SUM(BN$5:BN34)</f>
        <v>0</v>
      </c>
      <c r="DF34" s="14">
        <f>SUM(BO$5:BO34)</f>
        <v>0</v>
      </c>
      <c r="DG34" s="14">
        <f>SUM(BP$5:BP34)</f>
        <v>0</v>
      </c>
      <c r="DH34" s="14">
        <f>SUM(BQ$5:BQ34)</f>
        <v>0</v>
      </c>
      <c r="DI34" s="14">
        <f>SUM(BR$5:BR34)</f>
        <v>0</v>
      </c>
      <c r="DJ34" s="14">
        <f>SUM(BS$5:BS34)</f>
        <v>0</v>
      </c>
      <c r="DK34" s="14">
        <f>SUM(BT$5:BT34)</f>
        <v>0</v>
      </c>
      <c r="DL34" s="14">
        <f>SUM(BU$5:BU34)</f>
        <v>0</v>
      </c>
      <c r="DM34" s="14">
        <f>SUM(BV$5:BV34)</f>
        <v>0</v>
      </c>
      <c r="DN34" s="14">
        <f>SUM(BW$5:BW34)</f>
        <v>0</v>
      </c>
      <c r="DO34" s="14">
        <f>SUM(BX$5:BX34)</f>
        <v>0</v>
      </c>
      <c r="DP34" s="14">
        <f>SUM(BY$5:BY34)</f>
        <v>0</v>
      </c>
      <c r="DQ34" s="14">
        <f>SUM(BZ$5:BZ34)</f>
        <v>0</v>
      </c>
      <c r="DR34" s="14">
        <f>SUM(CA$5:CA34)</f>
        <v>0</v>
      </c>
      <c r="DS34" s="14">
        <f>SUM(CB$5:CB34)</f>
        <v>0</v>
      </c>
      <c r="DT34" s="14">
        <f>SUM(CC$5:CC34)</f>
        <v>0</v>
      </c>
      <c r="DU34" s="14">
        <f>SUM(CD$5:CD34)</f>
        <v>0</v>
      </c>
      <c r="DV34" s="14">
        <f>SUM(CE$5:CE34)</f>
        <v>0</v>
      </c>
      <c r="DW34" s="14">
        <f>SUM(CF$5:CF34)</f>
        <v>0</v>
      </c>
      <c r="DX34" s="14">
        <f>SUM(CG$5:CG34)</f>
        <v>0</v>
      </c>
      <c r="DY34" s="14">
        <f>SUM(CH$5:CH34)</f>
        <v>0</v>
      </c>
      <c r="DZ34" s="14">
        <f>SUM(CI$5:CI34)</f>
        <v>0</v>
      </c>
      <c r="EA34" s="14">
        <f>SUM(CJ$5:CJ34)</f>
        <v>0</v>
      </c>
      <c r="EB34" s="14">
        <f>SUM(CK$5:CK34)</f>
        <v>0</v>
      </c>
      <c r="EC34" s="14">
        <f>SUM(CL$5:CL34)</f>
        <v>0</v>
      </c>
      <c r="ED34" s="14">
        <f>SUM(CM$5:CM34)</f>
        <v>0</v>
      </c>
      <c r="EE34" s="14">
        <f>SUM(CN$5:CN34)</f>
        <v>0</v>
      </c>
      <c r="EF34" s="14">
        <f>SUM(CO$5:CO34)</f>
        <v>0</v>
      </c>
      <c r="EG34" s="14">
        <f>SUM(CP$5:CP34)</f>
        <v>0</v>
      </c>
      <c r="EH34" s="14">
        <f>SUM(CQ$5:CQ34)</f>
        <v>0</v>
      </c>
      <c r="EI34" s="14">
        <f>SUM(CR$5:CR34)</f>
        <v>0</v>
      </c>
      <c r="EJ34" s="14">
        <f>SUM(CS$5:CS34)</f>
        <v>0</v>
      </c>
      <c r="EK34" s="14">
        <f>SUM(CT$5:CT34)</f>
        <v>0</v>
      </c>
      <c r="EL34" s="14">
        <f>SUM(CU$5:CU34)</f>
        <v>0</v>
      </c>
      <c r="EO34" s="87">
        <f t="shared" si="11"/>
        <v>0</v>
      </c>
      <c r="EP34" s="87">
        <f t="shared" si="12"/>
        <v>0</v>
      </c>
      <c r="EQ34" s="87">
        <f t="shared" si="13"/>
        <v>0</v>
      </c>
      <c r="ER34" s="87">
        <f t="shared" si="14"/>
        <v>0</v>
      </c>
      <c r="ES34" s="87">
        <f t="shared" si="15"/>
        <v>0</v>
      </c>
      <c r="ET34" s="87">
        <f t="shared" si="16"/>
        <v>0</v>
      </c>
      <c r="EU34" s="87">
        <f t="shared" si="17"/>
        <v>0</v>
      </c>
      <c r="EV34" s="87">
        <f t="shared" si="18"/>
        <v>0</v>
      </c>
      <c r="EW34" s="87">
        <f t="shared" si="19"/>
        <v>0</v>
      </c>
      <c r="EX34" s="87">
        <f t="shared" si="20"/>
        <v>0</v>
      </c>
      <c r="EY34" s="87">
        <f t="shared" si="21"/>
        <v>0</v>
      </c>
      <c r="EZ34" s="87">
        <f t="shared" si="22"/>
        <v>0</v>
      </c>
      <c r="FA34" s="87">
        <f t="shared" si="23"/>
        <v>0</v>
      </c>
      <c r="FB34" s="87">
        <f t="shared" si="24"/>
        <v>0</v>
      </c>
      <c r="FC34" s="87">
        <f t="shared" si="25"/>
        <v>0</v>
      </c>
      <c r="FD34" s="87">
        <f t="shared" si="26"/>
        <v>0</v>
      </c>
      <c r="FE34" s="87">
        <f t="shared" si="27"/>
        <v>0</v>
      </c>
      <c r="FF34" s="87">
        <f t="shared" si="28"/>
        <v>0</v>
      </c>
      <c r="FG34" s="87">
        <f t="shared" si="29"/>
        <v>0</v>
      </c>
      <c r="FH34" s="87">
        <f t="shared" si="30"/>
        <v>0</v>
      </c>
      <c r="FI34" s="87">
        <f t="shared" si="31"/>
        <v>0</v>
      </c>
      <c r="FJ34" s="87">
        <f t="shared" si="32"/>
        <v>0</v>
      </c>
      <c r="FK34" s="87">
        <f t="shared" si="33"/>
        <v>0</v>
      </c>
      <c r="FL34" s="87">
        <f t="shared" si="34"/>
        <v>0</v>
      </c>
      <c r="FM34" s="87">
        <f t="shared" si="35"/>
        <v>0</v>
      </c>
      <c r="FN34" s="87">
        <f t="shared" si="36"/>
        <v>0</v>
      </c>
      <c r="FO34" s="87">
        <f t="shared" si="37"/>
        <v>0</v>
      </c>
      <c r="FP34" s="87">
        <f t="shared" si="38"/>
        <v>0</v>
      </c>
      <c r="FQ34" s="87">
        <f t="shared" si="39"/>
        <v>0</v>
      </c>
      <c r="FR34" s="87">
        <f t="shared" si="40"/>
        <v>0</v>
      </c>
      <c r="FS34" s="87">
        <f t="shared" si="41"/>
        <v>0</v>
      </c>
      <c r="FT34" s="87">
        <f t="shared" si="42"/>
        <v>0</v>
      </c>
      <c r="FU34" s="87">
        <f t="shared" si="43"/>
        <v>0</v>
      </c>
      <c r="FV34" s="87">
        <f t="shared" si="44"/>
        <v>0</v>
      </c>
      <c r="FW34" s="87">
        <f t="shared" si="45"/>
        <v>0</v>
      </c>
      <c r="FX34" s="87">
        <f t="shared" si="46"/>
        <v>0</v>
      </c>
      <c r="FY34" s="87">
        <f t="shared" si="47"/>
        <v>0</v>
      </c>
      <c r="FZ34" s="87">
        <f t="shared" si="48"/>
        <v>0</v>
      </c>
      <c r="GA34" s="87">
        <f t="shared" si="49"/>
        <v>0</v>
      </c>
      <c r="GB34" s="87">
        <f t="shared" si="50"/>
        <v>0</v>
      </c>
      <c r="GC34" s="87">
        <f t="shared" si="51"/>
        <v>0</v>
      </c>
      <c r="GD34" s="87">
        <f t="shared" si="52"/>
        <v>0</v>
      </c>
    </row>
    <row r="35" spans="11:186" ht="16.5" x14ac:dyDescent="0.2">
      <c r="K35" s="86">
        <v>31</v>
      </c>
      <c r="L35" s="86">
        <v>6</v>
      </c>
      <c r="M35" s="86">
        <v>5</v>
      </c>
      <c r="N35" s="86" t="str">
        <f t="shared" si="3"/>
        <v>神器6-5</v>
      </c>
      <c r="O35" s="86">
        <v>3</v>
      </c>
      <c r="P35" s="14">
        <f t="shared" si="4"/>
        <v>280</v>
      </c>
      <c r="Q35" s="88">
        <v>0.12</v>
      </c>
      <c r="R35" s="14">
        <v>1</v>
      </c>
      <c r="S35" s="14">
        <v>1</v>
      </c>
      <c r="T35" s="88">
        <v>0.12</v>
      </c>
      <c r="U35" s="14">
        <v>1</v>
      </c>
      <c r="V35" s="14">
        <v>2</v>
      </c>
      <c r="W35" s="88">
        <v>0.12</v>
      </c>
      <c r="X35" s="14">
        <v>1</v>
      </c>
      <c r="Y35" s="14">
        <v>3</v>
      </c>
      <c r="AO35" s="48">
        <v>4</v>
      </c>
      <c r="AP35" s="86">
        <v>9</v>
      </c>
      <c r="AQ35" s="86">
        <v>2</v>
      </c>
      <c r="AR35" s="48">
        <v>2</v>
      </c>
      <c r="AS35" s="86" t="s">
        <v>329</v>
      </c>
      <c r="AT35" s="21">
        <f t="shared" si="0"/>
        <v>7.4999999999999997E-2</v>
      </c>
      <c r="AU35" s="86">
        <f t="shared" si="5"/>
        <v>2</v>
      </c>
      <c r="AV35" s="86">
        <f t="shared" si="6"/>
        <v>4</v>
      </c>
      <c r="AW35" s="87">
        <f t="shared" si="7"/>
        <v>0.22499999999999998</v>
      </c>
      <c r="AX35" s="86">
        <f t="shared" si="8"/>
        <v>4.5</v>
      </c>
      <c r="BA35" s="86">
        <v>31</v>
      </c>
      <c r="BB35" s="14" t="e">
        <f>INDEX(节奏总表!#REF!,神器!BA35)</f>
        <v>#REF!</v>
      </c>
      <c r="BC35" s="14" t="e">
        <f t="shared" si="9"/>
        <v>#REF!</v>
      </c>
      <c r="BD35" s="14">
        <v>5</v>
      </c>
      <c r="BE35" s="14">
        <v>3</v>
      </c>
      <c r="BF35" s="14">
        <f t="shared" si="10"/>
        <v>0</v>
      </c>
      <c r="BG35" s="14">
        <f t="shared" si="59"/>
        <v>0</v>
      </c>
      <c r="BH35" s="14">
        <f t="shared" si="59"/>
        <v>0</v>
      </c>
      <c r="BI35" s="14">
        <f t="shared" si="59"/>
        <v>0</v>
      </c>
      <c r="BJ35" s="14">
        <f t="shared" si="59"/>
        <v>0</v>
      </c>
      <c r="BK35" s="14">
        <f t="shared" si="59"/>
        <v>0</v>
      </c>
      <c r="BL35" s="14">
        <f t="shared" si="59"/>
        <v>0</v>
      </c>
      <c r="BM35" s="14">
        <f t="shared" si="59"/>
        <v>0</v>
      </c>
      <c r="BN35" s="14">
        <f t="shared" si="59"/>
        <v>0</v>
      </c>
      <c r="BO35" s="14">
        <f t="shared" si="59"/>
        <v>0</v>
      </c>
      <c r="BP35" s="14">
        <f t="shared" si="59"/>
        <v>0</v>
      </c>
      <c r="BQ35" s="14">
        <f t="shared" si="59"/>
        <v>0</v>
      </c>
      <c r="BR35" s="14">
        <f t="shared" si="59"/>
        <v>0</v>
      </c>
      <c r="BS35" s="14">
        <f t="shared" si="59"/>
        <v>0</v>
      </c>
      <c r="BT35" s="14">
        <f t="shared" si="59"/>
        <v>0</v>
      </c>
      <c r="BU35" s="14">
        <f t="shared" si="59"/>
        <v>0</v>
      </c>
      <c r="BV35" s="14">
        <f t="shared" si="59"/>
        <v>0</v>
      </c>
      <c r="BW35" s="14">
        <f t="shared" si="59"/>
        <v>0</v>
      </c>
      <c r="BX35" s="14">
        <f t="shared" si="59"/>
        <v>0</v>
      </c>
      <c r="BY35" s="14">
        <f t="shared" si="59"/>
        <v>0</v>
      </c>
      <c r="BZ35" s="14">
        <f t="shared" si="59"/>
        <v>0</v>
      </c>
      <c r="CA35" s="14">
        <f t="shared" si="59"/>
        <v>0</v>
      </c>
      <c r="CB35" s="14">
        <f t="shared" si="59"/>
        <v>0</v>
      </c>
      <c r="CC35" s="14">
        <f t="shared" si="59"/>
        <v>0</v>
      </c>
      <c r="CD35" s="14">
        <f t="shared" si="59"/>
        <v>0</v>
      </c>
      <c r="CE35" s="14">
        <f t="shared" si="59"/>
        <v>0</v>
      </c>
      <c r="CF35" s="14">
        <f t="shared" si="59"/>
        <v>0</v>
      </c>
      <c r="CG35" s="14">
        <f t="shared" si="59"/>
        <v>0</v>
      </c>
      <c r="CH35" s="14">
        <f t="shared" si="59"/>
        <v>0</v>
      </c>
      <c r="CI35" s="14">
        <f t="shared" si="59"/>
        <v>0</v>
      </c>
      <c r="CJ35" s="14">
        <f t="shared" si="59"/>
        <v>0</v>
      </c>
      <c r="CK35" s="14">
        <f t="shared" si="59"/>
        <v>0</v>
      </c>
      <c r="CL35" s="14">
        <f t="shared" si="59"/>
        <v>0</v>
      </c>
      <c r="CM35" s="14">
        <f t="shared" si="59"/>
        <v>0</v>
      </c>
      <c r="CN35" s="14">
        <f t="shared" si="59"/>
        <v>0</v>
      </c>
      <c r="CO35" s="14">
        <f t="shared" si="59"/>
        <v>0</v>
      </c>
      <c r="CP35" s="14">
        <f t="shared" si="59"/>
        <v>0</v>
      </c>
      <c r="CQ35" s="14">
        <f t="shared" si="59"/>
        <v>0</v>
      </c>
      <c r="CR35" s="14">
        <f t="shared" si="59"/>
        <v>0</v>
      </c>
      <c r="CS35" s="14">
        <f t="shared" si="59"/>
        <v>0</v>
      </c>
      <c r="CT35" s="14">
        <f t="shared" si="59"/>
        <v>0</v>
      </c>
      <c r="CU35" s="14">
        <f t="shared" si="59"/>
        <v>0</v>
      </c>
      <c r="CW35" s="14">
        <f>SUM(BF$5:BF35)</f>
        <v>0</v>
      </c>
      <c r="CX35" s="14">
        <f>SUM(BG$5:BG35)</f>
        <v>0</v>
      </c>
      <c r="CY35" s="14">
        <f>SUM(BH$5:BH35)</f>
        <v>0</v>
      </c>
      <c r="CZ35" s="14">
        <f>SUM(BI$5:BI35)</f>
        <v>0</v>
      </c>
      <c r="DA35" s="14">
        <f>SUM(BJ$5:BJ35)</f>
        <v>0</v>
      </c>
      <c r="DB35" s="14">
        <f>SUM(BK$5:BK35)</f>
        <v>0</v>
      </c>
      <c r="DC35" s="14">
        <f>SUM(BL$5:BL35)</f>
        <v>0</v>
      </c>
      <c r="DD35" s="14">
        <f>SUM(BM$5:BM35)</f>
        <v>0</v>
      </c>
      <c r="DE35" s="14">
        <f>SUM(BN$5:BN35)</f>
        <v>0</v>
      </c>
      <c r="DF35" s="14">
        <f>SUM(BO$5:BO35)</f>
        <v>0</v>
      </c>
      <c r="DG35" s="14">
        <f>SUM(BP$5:BP35)</f>
        <v>0</v>
      </c>
      <c r="DH35" s="14">
        <f>SUM(BQ$5:BQ35)</f>
        <v>0</v>
      </c>
      <c r="DI35" s="14">
        <f>SUM(BR$5:BR35)</f>
        <v>0</v>
      </c>
      <c r="DJ35" s="14">
        <f>SUM(BS$5:BS35)</f>
        <v>0</v>
      </c>
      <c r="DK35" s="14">
        <f>SUM(BT$5:BT35)</f>
        <v>0</v>
      </c>
      <c r="DL35" s="14">
        <f>SUM(BU$5:BU35)</f>
        <v>0</v>
      </c>
      <c r="DM35" s="14">
        <f>SUM(BV$5:BV35)</f>
        <v>0</v>
      </c>
      <c r="DN35" s="14">
        <f>SUM(BW$5:BW35)</f>
        <v>0</v>
      </c>
      <c r="DO35" s="14">
        <f>SUM(BX$5:BX35)</f>
        <v>0</v>
      </c>
      <c r="DP35" s="14">
        <f>SUM(BY$5:BY35)</f>
        <v>0</v>
      </c>
      <c r="DQ35" s="14">
        <f>SUM(BZ$5:BZ35)</f>
        <v>0</v>
      </c>
      <c r="DR35" s="14">
        <f>SUM(CA$5:CA35)</f>
        <v>0</v>
      </c>
      <c r="DS35" s="14">
        <f>SUM(CB$5:CB35)</f>
        <v>0</v>
      </c>
      <c r="DT35" s="14">
        <f>SUM(CC$5:CC35)</f>
        <v>0</v>
      </c>
      <c r="DU35" s="14">
        <f>SUM(CD$5:CD35)</f>
        <v>0</v>
      </c>
      <c r="DV35" s="14">
        <f>SUM(CE$5:CE35)</f>
        <v>0</v>
      </c>
      <c r="DW35" s="14">
        <f>SUM(CF$5:CF35)</f>
        <v>0</v>
      </c>
      <c r="DX35" s="14">
        <f>SUM(CG$5:CG35)</f>
        <v>0</v>
      </c>
      <c r="DY35" s="14">
        <f>SUM(CH$5:CH35)</f>
        <v>0</v>
      </c>
      <c r="DZ35" s="14">
        <f>SUM(CI$5:CI35)</f>
        <v>0</v>
      </c>
      <c r="EA35" s="14">
        <f>SUM(CJ$5:CJ35)</f>
        <v>0</v>
      </c>
      <c r="EB35" s="14">
        <f>SUM(CK$5:CK35)</f>
        <v>0</v>
      </c>
      <c r="EC35" s="14">
        <f>SUM(CL$5:CL35)</f>
        <v>0</v>
      </c>
      <c r="ED35" s="14">
        <f>SUM(CM$5:CM35)</f>
        <v>0</v>
      </c>
      <c r="EE35" s="14">
        <f>SUM(CN$5:CN35)</f>
        <v>0</v>
      </c>
      <c r="EF35" s="14">
        <f>SUM(CO$5:CO35)</f>
        <v>0</v>
      </c>
      <c r="EG35" s="14">
        <f>SUM(CP$5:CP35)</f>
        <v>0</v>
      </c>
      <c r="EH35" s="14">
        <f>SUM(CQ$5:CQ35)</f>
        <v>0</v>
      </c>
      <c r="EI35" s="14">
        <f>SUM(CR$5:CR35)</f>
        <v>0</v>
      </c>
      <c r="EJ35" s="14">
        <f>SUM(CS$5:CS35)</f>
        <v>0</v>
      </c>
      <c r="EK35" s="14">
        <f>SUM(CT$5:CT35)</f>
        <v>0</v>
      </c>
      <c r="EL35" s="14">
        <f>SUM(CU$5:CU35)</f>
        <v>0</v>
      </c>
      <c r="EO35" s="87">
        <f t="shared" si="11"/>
        <v>0</v>
      </c>
      <c r="EP35" s="87">
        <f t="shared" si="12"/>
        <v>0</v>
      </c>
      <c r="EQ35" s="87">
        <f t="shared" si="13"/>
        <v>0</v>
      </c>
      <c r="ER35" s="87">
        <f t="shared" si="14"/>
        <v>0</v>
      </c>
      <c r="ES35" s="87">
        <f t="shared" si="15"/>
        <v>0</v>
      </c>
      <c r="ET35" s="87">
        <f t="shared" si="16"/>
        <v>0</v>
      </c>
      <c r="EU35" s="87">
        <f t="shared" si="17"/>
        <v>0</v>
      </c>
      <c r="EV35" s="87">
        <f t="shared" si="18"/>
        <v>0</v>
      </c>
      <c r="EW35" s="87">
        <f t="shared" si="19"/>
        <v>0</v>
      </c>
      <c r="EX35" s="87">
        <f t="shared" si="20"/>
        <v>0</v>
      </c>
      <c r="EY35" s="87">
        <f t="shared" si="21"/>
        <v>0</v>
      </c>
      <c r="EZ35" s="87">
        <f t="shared" si="22"/>
        <v>0</v>
      </c>
      <c r="FA35" s="87">
        <f t="shared" si="23"/>
        <v>0</v>
      </c>
      <c r="FB35" s="87">
        <f t="shared" si="24"/>
        <v>0</v>
      </c>
      <c r="FC35" s="87">
        <f t="shared" si="25"/>
        <v>0</v>
      </c>
      <c r="FD35" s="87">
        <f t="shared" si="26"/>
        <v>0</v>
      </c>
      <c r="FE35" s="87">
        <f t="shared" si="27"/>
        <v>0</v>
      </c>
      <c r="FF35" s="87">
        <f t="shared" si="28"/>
        <v>0</v>
      </c>
      <c r="FG35" s="87">
        <f t="shared" si="29"/>
        <v>0</v>
      </c>
      <c r="FH35" s="87">
        <f t="shared" si="30"/>
        <v>0</v>
      </c>
      <c r="FI35" s="87">
        <f t="shared" si="31"/>
        <v>0</v>
      </c>
      <c r="FJ35" s="87">
        <f t="shared" si="32"/>
        <v>0</v>
      </c>
      <c r="FK35" s="87">
        <f t="shared" si="33"/>
        <v>0</v>
      </c>
      <c r="FL35" s="87">
        <f t="shared" si="34"/>
        <v>0</v>
      </c>
      <c r="FM35" s="87">
        <f t="shared" si="35"/>
        <v>0</v>
      </c>
      <c r="FN35" s="87">
        <f t="shared" si="36"/>
        <v>0</v>
      </c>
      <c r="FO35" s="87">
        <f t="shared" si="37"/>
        <v>0</v>
      </c>
      <c r="FP35" s="87">
        <f t="shared" si="38"/>
        <v>0</v>
      </c>
      <c r="FQ35" s="87">
        <f t="shared" si="39"/>
        <v>0</v>
      </c>
      <c r="FR35" s="87">
        <f t="shared" si="40"/>
        <v>0</v>
      </c>
      <c r="FS35" s="87">
        <f t="shared" si="41"/>
        <v>0</v>
      </c>
      <c r="FT35" s="87">
        <f t="shared" si="42"/>
        <v>0</v>
      </c>
      <c r="FU35" s="87">
        <f t="shared" si="43"/>
        <v>0</v>
      </c>
      <c r="FV35" s="87">
        <f t="shared" si="44"/>
        <v>0</v>
      </c>
      <c r="FW35" s="87">
        <f t="shared" si="45"/>
        <v>0</v>
      </c>
      <c r="FX35" s="87">
        <f t="shared" si="46"/>
        <v>0</v>
      </c>
      <c r="FY35" s="87">
        <f t="shared" si="47"/>
        <v>0</v>
      </c>
      <c r="FZ35" s="87">
        <f t="shared" si="48"/>
        <v>0</v>
      </c>
      <c r="GA35" s="87">
        <f t="shared" si="49"/>
        <v>0</v>
      </c>
      <c r="GB35" s="87">
        <f t="shared" si="50"/>
        <v>0</v>
      </c>
      <c r="GC35" s="87">
        <f t="shared" si="51"/>
        <v>0</v>
      </c>
      <c r="GD35" s="87">
        <f t="shared" si="52"/>
        <v>0</v>
      </c>
    </row>
    <row r="36" spans="11:186" ht="16.5" x14ac:dyDescent="0.2">
      <c r="K36" s="86">
        <v>32</v>
      </c>
      <c r="L36" s="86">
        <v>6</v>
      </c>
      <c r="M36" s="86">
        <v>6</v>
      </c>
      <c r="N36" s="86" t="str">
        <f t="shared" si="3"/>
        <v>神器6-6</v>
      </c>
      <c r="O36" s="86">
        <v>3</v>
      </c>
      <c r="P36" s="14">
        <f t="shared" si="4"/>
        <v>280</v>
      </c>
      <c r="Q36" s="88">
        <v>0.12</v>
      </c>
      <c r="R36" s="14">
        <v>1</v>
      </c>
      <c r="S36" s="14">
        <v>1</v>
      </c>
      <c r="T36" s="88">
        <v>0.12</v>
      </c>
      <c r="U36" s="14">
        <v>1</v>
      </c>
      <c r="V36" s="14">
        <v>2</v>
      </c>
      <c r="W36" s="88">
        <v>0.12</v>
      </c>
      <c r="X36" s="14">
        <v>1</v>
      </c>
      <c r="Y36" s="14">
        <v>3</v>
      </c>
      <c r="AO36" s="48">
        <v>4</v>
      </c>
      <c r="AP36" s="86">
        <v>10</v>
      </c>
      <c r="AQ36" s="86">
        <v>2</v>
      </c>
      <c r="AR36" s="48">
        <v>2</v>
      </c>
      <c r="AS36" s="86" t="s">
        <v>330</v>
      </c>
      <c r="AT36" s="21">
        <f t="shared" si="0"/>
        <v>7.4999999999999997E-2</v>
      </c>
      <c r="AU36" s="86">
        <f t="shared" si="5"/>
        <v>2</v>
      </c>
      <c r="AV36" s="86">
        <f t="shared" si="6"/>
        <v>4</v>
      </c>
      <c r="AW36" s="87">
        <f t="shared" si="7"/>
        <v>0.22499999999999998</v>
      </c>
      <c r="AX36" s="86">
        <f t="shared" si="8"/>
        <v>4.5</v>
      </c>
      <c r="BA36" s="86">
        <v>32</v>
      </c>
      <c r="BB36" s="14" t="e">
        <f>INDEX(节奏总表!#REF!,神器!BA36)</f>
        <v>#REF!</v>
      </c>
      <c r="BC36" s="14" t="e">
        <f t="shared" si="9"/>
        <v>#REF!</v>
      </c>
      <c r="BD36" s="14">
        <v>5</v>
      </c>
      <c r="BE36" s="14">
        <v>3</v>
      </c>
      <c r="BF36" s="14">
        <f t="shared" ref="BF36:BF64" si="60">SUMIFS($AT$5:$AT$122,$AO$5:$AO$122,"="&amp;$BC36,$AP$5:$AP$122,"="&amp;BF$2) * (SUMIFS($AU$5:$AU$122,$AO$5:$AO$122,"="&amp;$BC36,$AP$5:$AP$122,"="&amp;BF$2)+SUMIFS($AV$5:$AV$122,$AO$5:$AO$122,"="&amp;$BC36,$AP$5:$AP$122,"="&amp;BF$2))/2*$BD36*$BE36</f>
        <v>0</v>
      </c>
      <c r="BG36" s="14">
        <f t="shared" si="59"/>
        <v>0</v>
      </c>
      <c r="BH36" s="14">
        <f t="shared" si="59"/>
        <v>0</v>
      </c>
      <c r="BI36" s="14">
        <f t="shared" si="59"/>
        <v>0</v>
      </c>
      <c r="BJ36" s="14">
        <f t="shared" si="59"/>
        <v>0</v>
      </c>
      <c r="BK36" s="14">
        <f t="shared" si="59"/>
        <v>0</v>
      </c>
      <c r="BL36" s="14">
        <f t="shared" si="59"/>
        <v>0</v>
      </c>
      <c r="BM36" s="14">
        <f t="shared" si="59"/>
        <v>0</v>
      </c>
      <c r="BN36" s="14">
        <f t="shared" si="59"/>
        <v>0</v>
      </c>
      <c r="BO36" s="14">
        <f t="shared" si="59"/>
        <v>0</v>
      </c>
      <c r="BP36" s="14">
        <f t="shared" si="59"/>
        <v>0</v>
      </c>
      <c r="BQ36" s="14">
        <f t="shared" si="59"/>
        <v>0</v>
      </c>
      <c r="BR36" s="14">
        <f t="shared" si="59"/>
        <v>0</v>
      </c>
      <c r="BS36" s="14">
        <f t="shared" si="59"/>
        <v>0</v>
      </c>
      <c r="BT36" s="14">
        <f t="shared" si="59"/>
        <v>0</v>
      </c>
      <c r="BU36" s="14">
        <f t="shared" si="59"/>
        <v>0</v>
      </c>
      <c r="BV36" s="14">
        <f t="shared" si="59"/>
        <v>0</v>
      </c>
      <c r="BW36" s="14">
        <f t="shared" si="59"/>
        <v>0</v>
      </c>
      <c r="BX36" s="14">
        <f t="shared" si="59"/>
        <v>0</v>
      </c>
      <c r="BY36" s="14">
        <f t="shared" si="59"/>
        <v>0</v>
      </c>
      <c r="BZ36" s="14">
        <f t="shared" si="59"/>
        <v>0</v>
      </c>
      <c r="CA36" s="14">
        <f t="shared" si="59"/>
        <v>0</v>
      </c>
      <c r="CB36" s="14">
        <f t="shared" si="59"/>
        <v>0</v>
      </c>
      <c r="CC36" s="14">
        <f t="shared" si="59"/>
        <v>0</v>
      </c>
      <c r="CD36" s="14">
        <f t="shared" si="59"/>
        <v>0</v>
      </c>
      <c r="CE36" s="14">
        <f t="shared" si="59"/>
        <v>0</v>
      </c>
      <c r="CF36" s="14">
        <f t="shared" si="59"/>
        <v>0</v>
      </c>
      <c r="CG36" s="14">
        <f t="shared" si="59"/>
        <v>0</v>
      </c>
      <c r="CH36" s="14">
        <f t="shared" si="59"/>
        <v>0</v>
      </c>
      <c r="CI36" s="14">
        <f t="shared" si="59"/>
        <v>0</v>
      </c>
      <c r="CJ36" s="14">
        <f t="shared" si="59"/>
        <v>0</v>
      </c>
      <c r="CK36" s="14">
        <f t="shared" si="59"/>
        <v>0</v>
      </c>
      <c r="CL36" s="14">
        <f t="shared" si="59"/>
        <v>0</v>
      </c>
      <c r="CM36" s="14">
        <f t="shared" si="59"/>
        <v>0</v>
      </c>
      <c r="CN36" s="14">
        <f t="shared" si="59"/>
        <v>0</v>
      </c>
      <c r="CO36" s="14">
        <f t="shared" si="59"/>
        <v>0</v>
      </c>
      <c r="CP36" s="14">
        <f t="shared" si="59"/>
        <v>0</v>
      </c>
      <c r="CQ36" s="14">
        <f t="shared" si="59"/>
        <v>0</v>
      </c>
      <c r="CR36" s="14">
        <f t="shared" si="59"/>
        <v>0</v>
      </c>
      <c r="CS36" s="14">
        <f t="shared" si="59"/>
        <v>0</v>
      </c>
      <c r="CT36" s="14">
        <f t="shared" si="59"/>
        <v>0</v>
      </c>
      <c r="CU36" s="14">
        <f t="shared" si="59"/>
        <v>0</v>
      </c>
      <c r="CW36" s="14">
        <f>SUM(BF$5:BF36)</f>
        <v>0</v>
      </c>
      <c r="CX36" s="14">
        <f>SUM(BG$5:BG36)</f>
        <v>0</v>
      </c>
      <c r="CY36" s="14">
        <f>SUM(BH$5:BH36)</f>
        <v>0</v>
      </c>
      <c r="CZ36" s="14">
        <f>SUM(BI$5:BI36)</f>
        <v>0</v>
      </c>
      <c r="DA36" s="14">
        <f>SUM(BJ$5:BJ36)</f>
        <v>0</v>
      </c>
      <c r="DB36" s="14">
        <f>SUM(BK$5:BK36)</f>
        <v>0</v>
      </c>
      <c r="DC36" s="14">
        <f>SUM(BL$5:BL36)</f>
        <v>0</v>
      </c>
      <c r="DD36" s="14">
        <f>SUM(BM$5:BM36)</f>
        <v>0</v>
      </c>
      <c r="DE36" s="14">
        <f>SUM(BN$5:BN36)</f>
        <v>0</v>
      </c>
      <c r="DF36" s="14">
        <f>SUM(BO$5:BO36)</f>
        <v>0</v>
      </c>
      <c r="DG36" s="14">
        <f>SUM(BP$5:BP36)</f>
        <v>0</v>
      </c>
      <c r="DH36" s="14">
        <f>SUM(BQ$5:BQ36)</f>
        <v>0</v>
      </c>
      <c r="DI36" s="14">
        <f>SUM(BR$5:BR36)</f>
        <v>0</v>
      </c>
      <c r="DJ36" s="14">
        <f>SUM(BS$5:BS36)</f>
        <v>0</v>
      </c>
      <c r="DK36" s="14">
        <f>SUM(BT$5:BT36)</f>
        <v>0</v>
      </c>
      <c r="DL36" s="14">
        <f>SUM(BU$5:BU36)</f>
        <v>0</v>
      </c>
      <c r="DM36" s="14">
        <f>SUM(BV$5:BV36)</f>
        <v>0</v>
      </c>
      <c r="DN36" s="14">
        <f>SUM(BW$5:BW36)</f>
        <v>0</v>
      </c>
      <c r="DO36" s="14">
        <f>SUM(BX$5:BX36)</f>
        <v>0</v>
      </c>
      <c r="DP36" s="14">
        <f>SUM(BY$5:BY36)</f>
        <v>0</v>
      </c>
      <c r="DQ36" s="14">
        <f>SUM(BZ$5:BZ36)</f>
        <v>0</v>
      </c>
      <c r="DR36" s="14">
        <f>SUM(CA$5:CA36)</f>
        <v>0</v>
      </c>
      <c r="DS36" s="14">
        <f>SUM(CB$5:CB36)</f>
        <v>0</v>
      </c>
      <c r="DT36" s="14">
        <f>SUM(CC$5:CC36)</f>
        <v>0</v>
      </c>
      <c r="DU36" s="14">
        <f>SUM(CD$5:CD36)</f>
        <v>0</v>
      </c>
      <c r="DV36" s="14">
        <f>SUM(CE$5:CE36)</f>
        <v>0</v>
      </c>
      <c r="DW36" s="14">
        <f>SUM(CF$5:CF36)</f>
        <v>0</v>
      </c>
      <c r="DX36" s="14">
        <f>SUM(CG$5:CG36)</f>
        <v>0</v>
      </c>
      <c r="DY36" s="14">
        <f>SUM(CH$5:CH36)</f>
        <v>0</v>
      </c>
      <c r="DZ36" s="14">
        <f>SUM(CI$5:CI36)</f>
        <v>0</v>
      </c>
      <c r="EA36" s="14">
        <f>SUM(CJ$5:CJ36)</f>
        <v>0</v>
      </c>
      <c r="EB36" s="14">
        <f>SUM(CK$5:CK36)</f>
        <v>0</v>
      </c>
      <c r="EC36" s="14">
        <f>SUM(CL$5:CL36)</f>
        <v>0</v>
      </c>
      <c r="ED36" s="14">
        <f>SUM(CM$5:CM36)</f>
        <v>0</v>
      </c>
      <c r="EE36" s="14">
        <f>SUM(CN$5:CN36)</f>
        <v>0</v>
      </c>
      <c r="EF36" s="14">
        <f>SUM(CO$5:CO36)</f>
        <v>0</v>
      </c>
      <c r="EG36" s="14">
        <f>SUM(CP$5:CP36)</f>
        <v>0</v>
      </c>
      <c r="EH36" s="14">
        <f>SUM(CQ$5:CQ36)</f>
        <v>0</v>
      </c>
      <c r="EI36" s="14">
        <f>SUM(CR$5:CR36)</f>
        <v>0</v>
      </c>
      <c r="EJ36" s="14">
        <f>SUM(CS$5:CS36)</f>
        <v>0</v>
      </c>
      <c r="EK36" s="14">
        <f>SUM(CT$5:CT36)</f>
        <v>0</v>
      </c>
      <c r="EL36" s="14">
        <f>SUM(CU$5:CU36)</f>
        <v>0</v>
      </c>
      <c r="EO36" s="87">
        <f t="shared" si="11"/>
        <v>0</v>
      </c>
      <c r="EP36" s="87">
        <f t="shared" si="12"/>
        <v>0</v>
      </c>
      <c r="EQ36" s="87">
        <f t="shared" si="13"/>
        <v>0</v>
      </c>
      <c r="ER36" s="87">
        <f t="shared" si="14"/>
        <v>0</v>
      </c>
      <c r="ES36" s="87">
        <f t="shared" si="15"/>
        <v>0</v>
      </c>
      <c r="ET36" s="87">
        <f t="shared" si="16"/>
        <v>0</v>
      </c>
      <c r="EU36" s="87">
        <f t="shared" si="17"/>
        <v>0</v>
      </c>
      <c r="EV36" s="87">
        <f t="shared" si="18"/>
        <v>0</v>
      </c>
      <c r="EW36" s="87">
        <f t="shared" si="19"/>
        <v>0</v>
      </c>
      <c r="EX36" s="87">
        <f t="shared" si="20"/>
        <v>0</v>
      </c>
      <c r="EY36" s="87">
        <f t="shared" si="21"/>
        <v>0</v>
      </c>
      <c r="EZ36" s="87">
        <f t="shared" si="22"/>
        <v>0</v>
      </c>
      <c r="FA36" s="87">
        <f t="shared" si="23"/>
        <v>0</v>
      </c>
      <c r="FB36" s="87">
        <f t="shared" si="24"/>
        <v>0</v>
      </c>
      <c r="FC36" s="87">
        <f t="shared" si="25"/>
        <v>0</v>
      </c>
      <c r="FD36" s="87">
        <f t="shared" si="26"/>
        <v>0</v>
      </c>
      <c r="FE36" s="87">
        <f t="shared" si="27"/>
        <v>0</v>
      </c>
      <c r="FF36" s="87">
        <f t="shared" si="28"/>
        <v>0</v>
      </c>
      <c r="FG36" s="87">
        <f t="shared" si="29"/>
        <v>0</v>
      </c>
      <c r="FH36" s="87">
        <f t="shared" si="30"/>
        <v>0</v>
      </c>
      <c r="FI36" s="87">
        <f t="shared" si="31"/>
        <v>0</v>
      </c>
      <c r="FJ36" s="87">
        <f t="shared" si="32"/>
        <v>0</v>
      </c>
      <c r="FK36" s="87">
        <f t="shared" si="33"/>
        <v>0</v>
      </c>
      <c r="FL36" s="87">
        <f t="shared" si="34"/>
        <v>0</v>
      </c>
      <c r="FM36" s="87">
        <f t="shared" si="35"/>
        <v>0</v>
      </c>
      <c r="FN36" s="87">
        <f t="shared" si="36"/>
        <v>0</v>
      </c>
      <c r="FO36" s="87">
        <f t="shared" si="37"/>
        <v>0</v>
      </c>
      <c r="FP36" s="87">
        <f t="shared" si="38"/>
        <v>0</v>
      </c>
      <c r="FQ36" s="87">
        <f t="shared" si="39"/>
        <v>0</v>
      </c>
      <c r="FR36" s="87">
        <f t="shared" si="40"/>
        <v>0</v>
      </c>
      <c r="FS36" s="87">
        <f t="shared" si="41"/>
        <v>0</v>
      </c>
      <c r="FT36" s="87">
        <f t="shared" si="42"/>
        <v>0</v>
      </c>
      <c r="FU36" s="87">
        <f t="shared" si="43"/>
        <v>0</v>
      </c>
      <c r="FV36" s="87">
        <f t="shared" si="44"/>
        <v>0</v>
      </c>
      <c r="FW36" s="87">
        <f t="shared" si="45"/>
        <v>0</v>
      </c>
      <c r="FX36" s="87">
        <f t="shared" si="46"/>
        <v>0</v>
      </c>
      <c r="FY36" s="87">
        <f t="shared" si="47"/>
        <v>0</v>
      </c>
      <c r="FZ36" s="87">
        <f t="shared" si="48"/>
        <v>0</v>
      </c>
      <c r="GA36" s="87">
        <f t="shared" si="49"/>
        <v>0</v>
      </c>
      <c r="GB36" s="87">
        <f t="shared" si="50"/>
        <v>0</v>
      </c>
      <c r="GC36" s="87">
        <f t="shared" si="51"/>
        <v>0</v>
      </c>
      <c r="GD36" s="87">
        <f t="shared" si="52"/>
        <v>0</v>
      </c>
    </row>
    <row r="37" spans="11:186" ht="16.5" x14ac:dyDescent="0.2">
      <c r="K37" s="86">
        <v>33</v>
      </c>
      <c r="L37" s="86">
        <v>6</v>
      </c>
      <c r="M37" s="86">
        <v>7</v>
      </c>
      <c r="N37" s="86" t="str">
        <f t="shared" si="3"/>
        <v>神器6-7</v>
      </c>
      <c r="O37" s="86">
        <v>4</v>
      </c>
      <c r="P37" s="14">
        <f t="shared" si="4"/>
        <v>600</v>
      </c>
      <c r="Q37" s="88">
        <v>0.05</v>
      </c>
      <c r="R37" s="14">
        <v>1</v>
      </c>
      <c r="S37" s="14">
        <v>1</v>
      </c>
      <c r="T37" s="88">
        <v>0.05</v>
      </c>
      <c r="U37" s="14">
        <v>1</v>
      </c>
      <c r="V37" s="14">
        <v>2</v>
      </c>
      <c r="W37" s="88">
        <v>0.05</v>
      </c>
      <c r="X37" s="14">
        <v>1</v>
      </c>
      <c r="Y37" s="14">
        <v>3</v>
      </c>
      <c r="AO37" s="48">
        <v>4</v>
      </c>
      <c r="AP37" s="86">
        <v>11</v>
      </c>
      <c r="AQ37" s="86">
        <v>2</v>
      </c>
      <c r="AR37" s="48">
        <v>2</v>
      </c>
      <c r="AS37" s="86" t="s">
        <v>331</v>
      </c>
      <c r="AT37" s="21">
        <f t="shared" ref="AT37:AT68" si="61">INDEX($AJ$6:$AL$13,AO37,AQ37)*INDEX($Q$5:$Y$46,AP37,(AR37-1)*3+1)</f>
        <v>4.8000000000000001E-2</v>
      </c>
      <c r="AU37" s="86">
        <f t="shared" si="5"/>
        <v>1</v>
      </c>
      <c r="AV37" s="86">
        <f t="shared" si="6"/>
        <v>3</v>
      </c>
      <c r="AW37" s="87">
        <f t="shared" si="7"/>
        <v>9.6000000000000002E-2</v>
      </c>
      <c r="AX37" s="86">
        <f t="shared" si="8"/>
        <v>5.76</v>
      </c>
      <c r="BA37" s="86">
        <v>33</v>
      </c>
      <c r="BB37" s="14" t="e">
        <f>INDEX(节奏总表!#REF!,神器!BA37)</f>
        <v>#REF!</v>
      </c>
      <c r="BC37" s="14" t="e">
        <f t="shared" si="9"/>
        <v>#REF!</v>
      </c>
      <c r="BD37" s="14">
        <v>5</v>
      </c>
      <c r="BE37" s="14">
        <v>3</v>
      </c>
      <c r="BF37" s="14">
        <f t="shared" si="60"/>
        <v>0</v>
      </c>
      <c r="BG37" s="14">
        <f t="shared" si="59"/>
        <v>0</v>
      </c>
      <c r="BH37" s="14">
        <f t="shared" si="59"/>
        <v>0</v>
      </c>
      <c r="BI37" s="14">
        <f t="shared" si="59"/>
        <v>0</v>
      </c>
      <c r="BJ37" s="14">
        <f t="shared" si="59"/>
        <v>0</v>
      </c>
      <c r="BK37" s="14">
        <f t="shared" si="59"/>
        <v>0</v>
      </c>
      <c r="BL37" s="14">
        <f t="shared" si="59"/>
        <v>0</v>
      </c>
      <c r="BM37" s="14">
        <f t="shared" si="59"/>
        <v>0</v>
      </c>
      <c r="BN37" s="14">
        <f t="shared" si="59"/>
        <v>0</v>
      </c>
      <c r="BO37" s="14">
        <f t="shared" si="59"/>
        <v>0</v>
      </c>
      <c r="BP37" s="14">
        <f t="shared" si="59"/>
        <v>0</v>
      </c>
      <c r="BQ37" s="14">
        <f t="shared" si="59"/>
        <v>0</v>
      </c>
      <c r="BR37" s="14">
        <f t="shared" si="59"/>
        <v>0</v>
      </c>
      <c r="BS37" s="14">
        <f t="shared" si="59"/>
        <v>0</v>
      </c>
      <c r="BT37" s="14">
        <f t="shared" si="59"/>
        <v>0</v>
      </c>
      <c r="BU37" s="14">
        <f t="shared" si="59"/>
        <v>0</v>
      </c>
      <c r="BV37" s="14">
        <f t="shared" si="59"/>
        <v>0</v>
      </c>
      <c r="BW37" s="14">
        <f t="shared" si="59"/>
        <v>0</v>
      </c>
      <c r="BX37" s="14">
        <f t="shared" si="59"/>
        <v>0</v>
      </c>
      <c r="BY37" s="14">
        <f t="shared" si="59"/>
        <v>0</v>
      </c>
      <c r="BZ37" s="14">
        <f t="shared" si="59"/>
        <v>0</v>
      </c>
      <c r="CA37" s="14">
        <f t="shared" si="59"/>
        <v>0</v>
      </c>
      <c r="CB37" s="14">
        <f t="shared" si="59"/>
        <v>0</v>
      </c>
      <c r="CC37" s="14">
        <f t="shared" si="59"/>
        <v>0</v>
      </c>
      <c r="CD37" s="14">
        <f t="shared" si="59"/>
        <v>0</v>
      </c>
      <c r="CE37" s="14">
        <f t="shared" si="59"/>
        <v>0</v>
      </c>
      <c r="CF37" s="14">
        <f t="shared" si="59"/>
        <v>0</v>
      </c>
      <c r="CG37" s="14">
        <f t="shared" si="59"/>
        <v>0</v>
      </c>
      <c r="CH37" s="14">
        <f t="shared" si="59"/>
        <v>0</v>
      </c>
      <c r="CI37" s="14">
        <f t="shared" si="59"/>
        <v>0</v>
      </c>
      <c r="CJ37" s="14">
        <f t="shared" si="59"/>
        <v>0</v>
      </c>
      <c r="CK37" s="14">
        <f t="shared" si="59"/>
        <v>0</v>
      </c>
      <c r="CL37" s="14">
        <f t="shared" si="59"/>
        <v>0</v>
      </c>
      <c r="CM37" s="14">
        <f t="shared" si="59"/>
        <v>0</v>
      </c>
      <c r="CN37" s="14">
        <f t="shared" si="59"/>
        <v>0</v>
      </c>
      <c r="CO37" s="14">
        <f t="shared" si="59"/>
        <v>0</v>
      </c>
      <c r="CP37" s="14">
        <f t="shared" si="59"/>
        <v>0</v>
      </c>
      <c r="CQ37" s="14">
        <f t="shared" si="59"/>
        <v>0</v>
      </c>
      <c r="CR37" s="14">
        <f t="shared" si="59"/>
        <v>0</v>
      </c>
      <c r="CS37" s="14">
        <f t="shared" si="59"/>
        <v>0</v>
      </c>
      <c r="CT37" s="14">
        <f t="shared" si="59"/>
        <v>0</v>
      </c>
      <c r="CU37" s="14">
        <f t="shared" si="59"/>
        <v>0</v>
      </c>
      <c r="CW37" s="14">
        <f>SUM(BF$5:BF37)</f>
        <v>0</v>
      </c>
      <c r="CX37" s="14">
        <f>SUM(BG$5:BG37)</f>
        <v>0</v>
      </c>
      <c r="CY37" s="14">
        <f>SUM(BH$5:BH37)</f>
        <v>0</v>
      </c>
      <c r="CZ37" s="14">
        <f>SUM(BI$5:BI37)</f>
        <v>0</v>
      </c>
      <c r="DA37" s="14">
        <f>SUM(BJ$5:BJ37)</f>
        <v>0</v>
      </c>
      <c r="DB37" s="14">
        <f>SUM(BK$5:BK37)</f>
        <v>0</v>
      </c>
      <c r="DC37" s="14">
        <f>SUM(BL$5:BL37)</f>
        <v>0</v>
      </c>
      <c r="DD37" s="14">
        <f>SUM(BM$5:BM37)</f>
        <v>0</v>
      </c>
      <c r="DE37" s="14">
        <f>SUM(BN$5:BN37)</f>
        <v>0</v>
      </c>
      <c r="DF37" s="14">
        <f>SUM(BO$5:BO37)</f>
        <v>0</v>
      </c>
      <c r="DG37" s="14">
        <f>SUM(BP$5:BP37)</f>
        <v>0</v>
      </c>
      <c r="DH37" s="14">
        <f>SUM(BQ$5:BQ37)</f>
        <v>0</v>
      </c>
      <c r="DI37" s="14">
        <f>SUM(BR$5:BR37)</f>
        <v>0</v>
      </c>
      <c r="DJ37" s="14">
        <f>SUM(BS$5:BS37)</f>
        <v>0</v>
      </c>
      <c r="DK37" s="14">
        <f>SUM(BT$5:BT37)</f>
        <v>0</v>
      </c>
      <c r="DL37" s="14">
        <f>SUM(BU$5:BU37)</f>
        <v>0</v>
      </c>
      <c r="DM37" s="14">
        <f>SUM(BV$5:BV37)</f>
        <v>0</v>
      </c>
      <c r="DN37" s="14">
        <f>SUM(BW$5:BW37)</f>
        <v>0</v>
      </c>
      <c r="DO37" s="14">
        <f>SUM(BX$5:BX37)</f>
        <v>0</v>
      </c>
      <c r="DP37" s="14">
        <f>SUM(BY$5:BY37)</f>
        <v>0</v>
      </c>
      <c r="DQ37" s="14">
        <f>SUM(BZ$5:BZ37)</f>
        <v>0</v>
      </c>
      <c r="DR37" s="14">
        <f>SUM(CA$5:CA37)</f>
        <v>0</v>
      </c>
      <c r="DS37" s="14">
        <f>SUM(CB$5:CB37)</f>
        <v>0</v>
      </c>
      <c r="DT37" s="14">
        <f>SUM(CC$5:CC37)</f>
        <v>0</v>
      </c>
      <c r="DU37" s="14">
        <f>SUM(CD$5:CD37)</f>
        <v>0</v>
      </c>
      <c r="DV37" s="14">
        <f>SUM(CE$5:CE37)</f>
        <v>0</v>
      </c>
      <c r="DW37" s="14">
        <f>SUM(CF$5:CF37)</f>
        <v>0</v>
      </c>
      <c r="DX37" s="14">
        <f>SUM(CG$5:CG37)</f>
        <v>0</v>
      </c>
      <c r="DY37" s="14">
        <f>SUM(CH$5:CH37)</f>
        <v>0</v>
      </c>
      <c r="DZ37" s="14">
        <f>SUM(CI$5:CI37)</f>
        <v>0</v>
      </c>
      <c r="EA37" s="14">
        <f>SUM(CJ$5:CJ37)</f>
        <v>0</v>
      </c>
      <c r="EB37" s="14">
        <f>SUM(CK$5:CK37)</f>
        <v>0</v>
      </c>
      <c r="EC37" s="14">
        <f>SUM(CL$5:CL37)</f>
        <v>0</v>
      </c>
      <c r="ED37" s="14">
        <f>SUM(CM$5:CM37)</f>
        <v>0</v>
      </c>
      <c r="EE37" s="14">
        <f>SUM(CN$5:CN37)</f>
        <v>0</v>
      </c>
      <c r="EF37" s="14">
        <f>SUM(CO$5:CO37)</f>
        <v>0</v>
      </c>
      <c r="EG37" s="14">
        <f>SUM(CP$5:CP37)</f>
        <v>0</v>
      </c>
      <c r="EH37" s="14">
        <f>SUM(CQ$5:CQ37)</f>
        <v>0</v>
      </c>
      <c r="EI37" s="14">
        <f>SUM(CR$5:CR37)</f>
        <v>0</v>
      </c>
      <c r="EJ37" s="14">
        <f>SUM(CS$5:CS37)</f>
        <v>0</v>
      </c>
      <c r="EK37" s="14">
        <f>SUM(CT$5:CT37)</f>
        <v>0</v>
      </c>
      <c r="EL37" s="14">
        <f>SUM(CU$5:CU37)</f>
        <v>0</v>
      </c>
      <c r="EO37" s="87">
        <f t="shared" si="11"/>
        <v>0</v>
      </c>
      <c r="EP37" s="87">
        <f t="shared" si="12"/>
        <v>0</v>
      </c>
      <c r="EQ37" s="87">
        <f t="shared" si="13"/>
        <v>0</v>
      </c>
      <c r="ER37" s="87">
        <f t="shared" si="14"/>
        <v>0</v>
      </c>
      <c r="ES37" s="87">
        <f t="shared" si="15"/>
        <v>0</v>
      </c>
      <c r="ET37" s="87">
        <f t="shared" si="16"/>
        <v>0</v>
      </c>
      <c r="EU37" s="87">
        <f t="shared" si="17"/>
        <v>0</v>
      </c>
      <c r="EV37" s="87">
        <f t="shared" si="18"/>
        <v>0</v>
      </c>
      <c r="EW37" s="87">
        <f t="shared" si="19"/>
        <v>0</v>
      </c>
      <c r="EX37" s="87">
        <f t="shared" si="20"/>
        <v>0</v>
      </c>
      <c r="EY37" s="87">
        <f t="shared" si="21"/>
        <v>0</v>
      </c>
      <c r="EZ37" s="87">
        <f t="shared" si="22"/>
        <v>0</v>
      </c>
      <c r="FA37" s="87">
        <f t="shared" si="23"/>
        <v>0</v>
      </c>
      <c r="FB37" s="87">
        <f t="shared" si="24"/>
        <v>0</v>
      </c>
      <c r="FC37" s="87">
        <f t="shared" si="25"/>
        <v>0</v>
      </c>
      <c r="FD37" s="87">
        <f t="shared" si="26"/>
        <v>0</v>
      </c>
      <c r="FE37" s="87">
        <f t="shared" si="27"/>
        <v>0</v>
      </c>
      <c r="FF37" s="87">
        <f t="shared" si="28"/>
        <v>0</v>
      </c>
      <c r="FG37" s="87">
        <f t="shared" si="29"/>
        <v>0</v>
      </c>
      <c r="FH37" s="87">
        <f t="shared" si="30"/>
        <v>0</v>
      </c>
      <c r="FI37" s="87">
        <f t="shared" si="31"/>
        <v>0</v>
      </c>
      <c r="FJ37" s="87">
        <f t="shared" si="32"/>
        <v>0</v>
      </c>
      <c r="FK37" s="87">
        <f t="shared" si="33"/>
        <v>0</v>
      </c>
      <c r="FL37" s="87">
        <f t="shared" si="34"/>
        <v>0</v>
      </c>
      <c r="FM37" s="87">
        <f t="shared" si="35"/>
        <v>0</v>
      </c>
      <c r="FN37" s="87">
        <f t="shared" si="36"/>
        <v>0</v>
      </c>
      <c r="FO37" s="87">
        <f t="shared" si="37"/>
        <v>0</v>
      </c>
      <c r="FP37" s="87">
        <f t="shared" si="38"/>
        <v>0</v>
      </c>
      <c r="FQ37" s="87">
        <f t="shared" si="39"/>
        <v>0</v>
      </c>
      <c r="FR37" s="87">
        <f t="shared" si="40"/>
        <v>0</v>
      </c>
      <c r="FS37" s="87">
        <f t="shared" si="41"/>
        <v>0</v>
      </c>
      <c r="FT37" s="87">
        <f t="shared" si="42"/>
        <v>0</v>
      </c>
      <c r="FU37" s="87">
        <f t="shared" si="43"/>
        <v>0</v>
      </c>
      <c r="FV37" s="87">
        <f t="shared" si="44"/>
        <v>0</v>
      </c>
      <c r="FW37" s="87">
        <f t="shared" si="45"/>
        <v>0</v>
      </c>
      <c r="FX37" s="87">
        <f t="shared" si="46"/>
        <v>0</v>
      </c>
      <c r="FY37" s="87">
        <f t="shared" si="47"/>
        <v>0</v>
      </c>
      <c r="FZ37" s="87">
        <f t="shared" si="48"/>
        <v>0</v>
      </c>
      <c r="GA37" s="87">
        <f t="shared" si="49"/>
        <v>0</v>
      </c>
      <c r="GB37" s="87">
        <f t="shared" si="50"/>
        <v>0</v>
      </c>
      <c r="GC37" s="87">
        <f t="shared" si="51"/>
        <v>0</v>
      </c>
      <c r="GD37" s="87">
        <f t="shared" si="52"/>
        <v>0</v>
      </c>
    </row>
    <row r="38" spans="11:186" ht="16.5" x14ac:dyDescent="0.2">
      <c r="K38" s="86">
        <v>34</v>
      </c>
      <c r="L38" s="86">
        <v>6</v>
      </c>
      <c r="M38" s="86">
        <v>8</v>
      </c>
      <c r="N38" s="86" t="str">
        <f t="shared" si="3"/>
        <v>神器6-8</v>
      </c>
      <c r="O38" s="86">
        <v>4</v>
      </c>
      <c r="P38" s="14">
        <f t="shared" si="4"/>
        <v>600</v>
      </c>
      <c r="Q38" s="88">
        <v>0.05</v>
      </c>
      <c r="R38" s="14">
        <v>1</v>
      </c>
      <c r="S38" s="14">
        <v>1</v>
      </c>
      <c r="T38" s="88">
        <v>0.05</v>
      </c>
      <c r="U38" s="14">
        <v>1</v>
      </c>
      <c r="V38" s="14">
        <v>2</v>
      </c>
      <c r="W38" s="88">
        <v>0.05</v>
      </c>
      <c r="X38" s="14">
        <v>1</v>
      </c>
      <c r="Y38" s="14">
        <v>3</v>
      </c>
      <c r="AO38" s="48">
        <v>4</v>
      </c>
      <c r="AP38" s="86">
        <v>12</v>
      </c>
      <c r="AQ38" s="86">
        <v>2</v>
      </c>
      <c r="AR38" s="48">
        <v>2</v>
      </c>
      <c r="AS38" s="86" t="s">
        <v>332</v>
      </c>
      <c r="AT38" s="21">
        <f t="shared" si="61"/>
        <v>4.8000000000000001E-2</v>
      </c>
      <c r="AU38" s="86">
        <f t="shared" si="5"/>
        <v>1</v>
      </c>
      <c r="AV38" s="86">
        <f t="shared" si="6"/>
        <v>3</v>
      </c>
      <c r="AW38" s="87">
        <f t="shared" si="7"/>
        <v>9.6000000000000002E-2</v>
      </c>
      <c r="AX38" s="86">
        <f t="shared" si="8"/>
        <v>5.76</v>
      </c>
      <c r="BA38" s="86">
        <v>34</v>
      </c>
      <c r="BB38" s="14" t="e">
        <f>INDEX(节奏总表!#REF!,神器!BA38)</f>
        <v>#REF!</v>
      </c>
      <c r="BC38" s="14" t="e">
        <f t="shared" si="9"/>
        <v>#REF!</v>
      </c>
      <c r="BD38" s="14">
        <v>5</v>
      </c>
      <c r="BE38" s="14">
        <v>3</v>
      </c>
      <c r="BF38" s="14">
        <f t="shared" si="60"/>
        <v>0</v>
      </c>
      <c r="BG38" s="14">
        <f t="shared" si="59"/>
        <v>0</v>
      </c>
      <c r="BH38" s="14">
        <f t="shared" si="59"/>
        <v>0</v>
      </c>
      <c r="BI38" s="14">
        <f t="shared" si="59"/>
        <v>0</v>
      </c>
      <c r="BJ38" s="14">
        <f t="shared" si="59"/>
        <v>0</v>
      </c>
      <c r="BK38" s="14">
        <f t="shared" si="59"/>
        <v>0</v>
      </c>
      <c r="BL38" s="14">
        <f t="shared" si="59"/>
        <v>0</v>
      </c>
      <c r="BM38" s="14">
        <f t="shared" si="59"/>
        <v>0</v>
      </c>
      <c r="BN38" s="14">
        <f t="shared" si="59"/>
        <v>0</v>
      </c>
      <c r="BO38" s="14">
        <f t="shared" si="59"/>
        <v>0</v>
      </c>
      <c r="BP38" s="14">
        <f t="shared" si="59"/>
        <v>0</v>
      </c>
      <c r="BQ38" s="14">
        <f t="shared" si="59"/>
        <v>0</v>
      </c>
      <c r="BR38" s="14">
        <f t="shared" si="59"/>
        <v>0</v>
      </c>
      <c r="BS38" s="14">
        <f t="shared" si="59"/>
        <v>0</v>
      </c>
      <c r="BT38" s="14">
        <f t="shared" si="59"/>
        <v>0</v>
      </c>
      <c r="BU38" s="14">
        <f t="shared" si="59"/>
        <v>0</v>
      </c>
      <c r="BV38" s="14">
        <f t="shared" si="59"/>
        <v>0</v>
      </c>
      <c r="BW38" s="14">
        <f t="shared" si="59"/>
        <v>0</v>
      </c>
      <c r="BX38" s="14">
        <f t="shared" si="59"/>
        <v>0</v>
      </c>
      <c r="BY38" s="14">
        <f t="shared" si="59"/>
        <v>0</v>
      </c>
      <c r="BZ38" s="14">
        <f t="shared" si="59"/>
        <v>0</v>
      </c>
      <c r="CA38" s="14">
        <f t="shared" si="59"/>
        <v>0</v>
      </c>
      <c r="CB38" s="14">
        <f t="shared" si="59"/>
        <v>0</v>
      </c>
      <c r="CC38" s="14">
        <f t="shared" si="59"/>
        <v>0</v>
      </c>
      <c r="CD38" s="14">
        <f t="shared" si="59"/>
        <v>0</v>
      </c>
      <c r="CE38" s="14">
        <f t="shared" si="59"/>
        <v>0</v>
      </c>
      <c r="CF38" s="14">
        <f t="shared" si="59"/>
        <v>0</v>
      </c>
      <c r="CG38" s="14">
        <f t="shared" si="59"/>
        <v>0</v>
      </c>
      <c r="CH38" s="14">
        <f t="shared" si="59"/>
        <v>0</v>
      </c>
      <c r="CI38" s="14">
        <f t="shared" si="59"/>
        <v>0</v>
      </c>
      <c r="CJ38" s="14">
        <f t="shared" si="59"/>
        <v>0</v>
      </c>
      <c r="CK38" s="14">
        <f t="shared" si="59"/>
        <v>0</v>
      </c>
      <c r="CL38" s="14">
        <f t="shared" si="59"/>
        <v>0</v>
      </c>
      <c r="CM38" s="14">
        <f t="shared" si="59"/>
        <v>0</v>
      </c>
      <c r="CN38" s="14">
        <f t="shared" si="59"/>
        <v>0</v>
      </c>
      <c r="CO38" s="14">
        <f t="shared" si="59"/>
        <v>0</v>
      </c>
      <c r="CP38" s="14">
        <f t="shared" si="59"/>
        <v>0</v>
      </c>
      <c r="CQ38" s="14">
        <f t="shared" si="59"/>
        <v>0</v>
      </c>
      <c r="CR38" s="14">
        <f t="shared" si="59"/>
        <v>0</v>
      </c>
      <c r="CS38" s="14">
        <f t="shared" si="59"/>
        <v>0</v>
      </c>
      <c r="CT38" s="14">
        <f t="shared" si="59"/>
        <v>0</v>
      </c>
      <c r="CU38" s="14">
        <f t="shared" si="59"/>
        <v>0</v>
      </c>
      <c r="CW38" s="14">
        <f>SUM(BF$5:BF38)</f>
        <v>0</v>
      </c>
      <c r="CX38" s="14">
        <f>SUM(BG$5:BG38)</f>
        <v>0</v>
      </c>
      <c r="CY38" s="14">
        <f>SUM(BH$5:BH38)</f>
        <v>0</v>
      </c>
      <c r="CZ38" s="14">
        <f>SUM(BI$5:BI38)</f>
        <v>0</v>
      </c>
      <c r="DA38" s="14">
        <f>SUM(BJ$5:BJ38)</f>
        <v>0</v>
      </c>
      <c r="DB38" s="14">
        <f>SUM(BK$5:BK38)</f>
        <v>0</v>
      </c>
      <c r="DC38" s="14">
        <f>SUM(BL$5:BL38)</f>
        <v>0</v>
      </c>
      <c r="DD38" s="14">
        <f>SUM(BM$5:BM38)</f>
        <v>0</v>
      </c>
      <c r="DE38" s="14">
        <f>SUM(BN$5:BN38)</f>
        <v>0</v>
      </c>
      <c r="DF38" s="14">
        <f>SUM(BO$5:BO38)</f>
        <v>0</v>
      </c>
      <c r="DG38" s="14">
        <f>SUM(BP$5:BP38)</f>
        <v>0</v>
      </c>
      <c r="DH38" s="14">
        <f>SUM(BQ$5:BQ38)</f>
        <v>0</v>
      </c>
      <c r="DI38" s="14">
        <f>SUM(BR$5:BR38)</f>
        <v>0</v>
      </c>
      <c r="DJ38" s="14">
        <f>SUM(BS$5:BS38)</f>
        <v>0</v>
      </c>
      <c r="DK38" s="14">
        <f>SUM(BT$5:BT38)</f>
        <v>0</v>
      </c>
      <c r="DL38" s="14">
        <f>SUM(BU$5:BU38)</f>
        <v>0</v>
      </c>
      <c r="DM38" s="14">
        <f>SUM(BV$5:BV38)</f>
        <v>0</v>
      </c>
      <c r="DN38" s="14">
        <f>SUM(BW$5:BW38)</f>
        <v>0</v>
      </c>
      <c r="DO38" s="14">
        <f>SUM(BX$5:BX38)</f>
        <v>0</v>
      </c>
      <c r="DP38" s="14">
        <f>SUM(BY$5:BY38)</f>
        <v>0</v>
      </c>
      <c r="DQ38" s="14">
        <f>SUM(BZ$5:BZ38)</f>
        <v>0</v>
      </c>
      <c r="DR38" s="14">
        <f>SUM(CA$5:CA38)</f>
        <v>0</v>
      </c>
      <c r="DS38" s="14">
        <f>SUM(CB$5:CB38)</f>
        <v>0</v>
      </c>
      <c r="DT38" s="14">
        <f>SUM(CC$5:CC38)</f>
        <v>0</v>
      </c>
      <c r="DU38" s="14">
        <f>SUM(CD$5:CD38)</f>
        <v>0</v>
      </c>
      <c r="DV38" s="14">
        <f>SUM(CE$5:CE38)</f>
        <v>0</v>
      </c>
      <c r="DW38" s="14">
        <f>SUM(CF$5:CF38)</f>
        <v>0</v>
      </c>
      <c r="DX38" s="14">
        <f>SUM(CG$5:CG38)</f>
        <v>0</v>
      </c>
      <c r="DY38" s="14">
        <f>SUM(CH$5:CH38)</f>
        <v>0</v>
      </c>
      <c r="DZ38" s="14">
        <f>SUM(CI$5:CI38)</f>
        <v>0</v>
      </c>
      <c r="EA38" s="14">
        <f>SUM(CJ$5:CJ38)</f>
        <v>0</v>
      </c>
      <c r="EB38" s="14">
        <f>SUM(CK$5:CK38)</f>
        <v>0</v>
      </c>
      <c r="EC38" s="14">
        <f>SUM(CL$5:CL38)</f>
        <v>0</v>
      </c>
      <c r="ED38" s="14">
        <f>SUM(CM$5:CM38)</f>
        <v>0</v>
      </c>
      <c r="EE38" s="14">
        <f>SUM(CN$5:CN38)</f>
        <v>0</v>
      </c>
      <c r="EF38" s="14">
        <f>SUM(CO$5:CO38)</f>
        <v>0</v>
      </c>
      <c r="EG38" s="14">
        <f>SUM(CP$5:CP38)</f>
        <v>0</v>
      </c>
      <c r="EH38" s="14">
        <f>SUM(CQ$5:CQ38)</f>
        <v>0</v>
      </c>
      <c r="EI38" s="14">
        <f>SUM(CR$5:CR38)</f>
        <v>0</v>
      </c>
      <c r="EJ38" s="14">
        <f>SUM(CS$5:CS38)</f>
        <v>0</v>
      </c>
      <c r="EK38" s="14">
        <f>SUM(CT$5:CT38)</f>
        <v>0</v>
      </c>
      <c r="EL38" s="14">
        <f>SUM(CU$5:CU38)</f>
        <v>0</v>
      </c>
      <c r="EO38" s="87">
        <f t="shared" si="11"/>
        <v>0</v>
      </c>
      <c r="EP38" s="87">
        <f t="shared" si="12"/>
        <v>0</v>
      </c>
      <c r="EQ38" s="87">
        <f t="shared" si="13"/>
        <v>0</v>
      </c>
      <c r="ER38" s="87">
        <f t="shared" si="14"/>
        <v>0</v>
      </c>
      <c r="ES38" s="87">
        <f t="shared" si="15"/>
        <v>0</v>
      </c>
      <c r="ET38" s="87">
        <f t="shared" si="16"/>
        <v>0</v>
      </c>
      <c r="EU38" s="87">
        <f t="shared" si="17"/>
        <v>0</v>
      </c>
      <c r="EV38" s="87">
        <f t="shared" si="18"/>
        <v>0</v>
      </c>
      <c r="EW38" s="87">
        <f t="shared" si="19"/>
        <v>0</v>
      </c>
      <c r="EX38" s="87">
        <f t="shared" si="20"/>
        <v>0</v>
      </c>
      <c r="EY38" s="87">
        <f t="shared" si="21"/>
        <v>0</v>
      </c>
      <c r="EZ38" s="87">
        <f t="shared" si="22"/>
        <v>0</v>
      </c>
      <c r="FA38" s="87">
        <f t="shared" si="23"/>
        <v>0</v>
      </c>
      <c r="FB38" s="87">
        <f t="shared" si="24"/>
        <v>0</v>
      </c>
      <c r="FC38" s="87">
        <f t="shared" si="25"/>
        <v>0</v>
      </c>
      <c r="FD38" s="87">
        <f t="shared" si="26"/>
        <v>0</v>
      </c>
      <c r="FE38" s="87">
        <f t="shared" si="27"/>
        <v>0</v>
      </c>
      <c r="FF38" s="87">
        <f t="shared" si="28"/>
        <v>0</v>
      </c>
      <c r="FG38" s="87">
        <f t="shared" si="29"/>
        <v>0</v>
      </c>
      <c r="FH38" s="87">
        <f t="shared" si="30"/>
        <v>0</v>
      </c>
      <c r="FI38" s="87">
        <f t="shared" si="31"/>
        <v>0</v>
      </c>
      <c r="FJ38" s="87">
        <f t="shared" si="32"/>
        <v>0</v>
      </c>
      <c r="FK38" s="87">
        <f t="shared" si="33"/>
        <v>0</v>
      </c>
      <c r="FL38" s="87">
        <f t="shared" si="34"/>
        <v>0</v>
      </c>
      <c r="FM38" s="87">
        <f t="shared" si="35"/>
        <v>0</v>
      </c>
      <c r="FN38" s="87">
        <f t="shared" si="36"/>
        <v>0</v>
      </c>
      <c r="FO38" s="87">
        <f t="shared" si="37"/>
        <v>0</v>
      </c>
      <c r="FP38" s="87">
        <f t="shared" si="38"/>
        <v>0</v>
      </c>
      <c r="FQ38" s="87">
        <f t="shared" si="39"/>
        <v>0</v>
      </c>
      <c r="FR38" s="87">
        <f t="shared" si="40"/>
        <v>0</v>
      </c>
      <c r="FS38" s="87">
        <f t="shared" si="41"/>
        <v>0</v>
      </c>
      <c r="FT38" s="87">
        <f t="shared" si="42"/>
        <v>0</v>
      </c>
      <c r="FU38" s="87">
        <f t="shared" si="43"/>
        <v>0</v>
      </c>
      <c r="FV38" s="87">
        <f t="shared" si="44"/>
        <v>0</v>
      </c>
      <c r="FW38" s="87">
        <f t="shared" si="45"/>
        <v>0</v>
      </c>
      <c r="FX38" s="87">
        <f t="shared" si="46"/>
        <v>0</v>
      </c>
      <c r="FY38" s="87">
        <f t="shared" si="47"/>
        <v>0</v>
      </c>
      <c r="FZ38" s="87">
        <f t="shared" si="48"/>
        <v>0</v>
      </c>
      <c r="GA38" s="87">
        <f t="shared" si="49"/>
        <v>0</v>
      </c>
      <c r="GB38" s="87">
        <f t="shared" si="50"/>
        <v>0</v>
      </c>
      <c r="GC38" s="87">
        <f t="shared" si="51"/>
        <v>0</v>
      </c>
      <c r="GD38" s="87">
        <f t="shared" si="52"/>
        <v>0</v>
      </c>
    </row>
    <row r="39" spans="11:186" ht="16.5" x14ac:dyDescent="0.2">
      <c r="K39" s="86">
        <v>35</v>
      </c>
      <c r="L39" s="86">
        <v>7</v>
      </c>
      <c r="M39" s="86">
        <v>1</v>
      </c>
      <c r="N39" s="86" t="str">
        <f t="shared" si="3"/>
        <v>神器7-1</v>
      </c>
      <c r="O39" s="86">
        <v>2</v>
      </c>
      <c r="P39" s="14">
        <f t="shared" si="4"/>
        <v>150</v>
      </c>
      <c r="Q39" s="88">
        <v>0.18</v>
      </c>
      <c r="R39" s="14">
        <v>1</v>
      </c>
      <c r="S39" s="14">
        <v>2</v>
      </c>
      <c r="T39" s="88">
        <v>0.18</v>
      </c>
      <c r="U39" s="14">
        <v>1</v>
      </c>
      <c r="V39" s="14">
        <v>3</v>
      </c>
      <c r="W39" s="88">
        <v>0.18</v>
      </c>
      <c r="X39" s="14">
        <v>2</v>
      </c>
      <c r="Y39" s="14">
        <v>4</v>
      </c>
      <c r="AO39" s="48">
        <v>4</v>
      </c>
      <c r="AP39" s="86">
        <v>13</v>
      </c>
      <c r="AQ39" s="86">
        <v>2</v>
      </c>
      <c r="AR39" s="48">
        <v>2</v>
      </c>
      <c r="AS39" s="86" t="s">
        <v>333</v>
      </c>
      <c r="AT39" s="21">
        <f t="shared" si="61"/>
        <v>3.5999999999999997E-2</v>
      </c>
      <c r="AU39" s="86">
        <f t="shared" si="5"/>
        <v>1</v>
      </c>
      <c r="AV39" s="86">
        <f t="shared" si="6"/>
        <v>2</v>
      </c>
      <c r="AW39" s="87">
        <f t="shared" si="7"/>
        <v>5.3999999999999992E-2</v>
      </c>
      <c r="AX39" s="86">
        <f t="shared" si="8"/>
        <v>7.5600000000000005</v>
      </c>
      <c r="BA39" s="86">
        <v>35</v>
      </c>
      <c r="BB39" s="14" t="e">
        <f>INDEX(节奏总表!#REF!,神器!BA39)</f>
        <v>#REF!</v>
      </c>
      <c r="BC39" s="14" t="e">
        <f t="shared" si="9"/>
        <v>#REF!</v>
      </c>
      <c r="BD39" s="14">
        <v>5</v>
      </c>
      <c r="BE39" s="14">
        <v>3</v>
      </c>
      <c r="BF39" s="14">
        <f t="shared" si="60"/>
        <v>0</v>
      </c>
      <c r="BG39" s="14">
        <f t="shared" si="59"/>
        <v>0</v>
      </c>
      <c r="BH39" s="14">
        <f t="shared" si="59"/>
        <v>0</v>
      </c>
      <c r="BI39" s="14">
        <f t="shared" si="59"/>
        <v>0</v>
      </c>
      <c r="BJ39" s="14">
        <f t="shared" si="59"/>
        <v>0</v>
      </c>
      <c r="BK39" s="14">
        <f t="shared" si="59"/>
        <v>0</v>
      </c>
      <c r="BL39" s="14">
        <f t="shared" si="59"/>
        <v>0</v>
      </c>
      <c r="BM39" s="14">
        <f t="shared" si="59"/>
        <v>0</v>
      </c>
      <c r="BN39" s="14">
        <f t="shared" si="59"/>
        <v>0</v>
      </c>
      <c r="BO39" s="14">
        <f t="shared" si="59"/>
        <v>0</v>
      </c>
      <c r="BP39" s="14">
        <f t="shared" si="59"/>
        <v>0</v>
      </c>
      <c r="BQ39" s="14">
        <f t="shared" si="59"/>
        <v>0</v>
      </c>
      <c r="BR39" s="14">
        <f t="shared" si="59"/>
        <v>0</v>
      </c>
      <c r="BS39" s="14">
        <f t="shared" si="59"/>
        <v>0</v>
      </c>
      <c r="BT39" s="14">
        <f t="shared" si="59"/>
        <v>0</v>
      </c>
      <c r="BU39" s="14">
        <f t="shared" si="59"/>
        <v>0</v>
      </c>
      <c r="BV39" s="14">
        <f t="shared" si="59"/>
        <v>0</v>
      </c>
      <c r="BW39" s="14">
        <f t="shared" si="59"/>
        <v>0</v>
      </c>
      <c r="BX39" s="14">
        <f t="shared" si="59"/>
        <v>0</v>
      </c>
      <c r="BY39" s="14">
        <f t="shared" si="59"/>
        <v>0</v>
      </c>
      <c r="BZ39" s="14">
        <f t="shared" si="59"/>
        <v>0</v>
      </c>
      <c r="CA39" s="14">
        <f t="shared" si="59"/>
        <v>0</v>
      </c>
      <c r="CB39" s="14">
        <f t="shared" si="59"/>
        <v>0</v>
      </c>
      <c r="CC39" s="14">
        <f t="shared" si="59"/>
        <v>0</v>
      </c>
      <c r="CD39" s="14">
        <f t="shared" si="59"/>
        <v>0</v>
      </c>
      <c r="CE39" s="14">
        <f t="shared" si="59"/>
        <v>0</v>
      </c>
      <c r="CF39" s="14">
        <f t="shared" si="59"/>
        <v>0</v>
      </c>
      <c r="CG39" s="14">
        <f t="shared" si="59"/>
        <v>0</v>
      </c>
      <c r="CH39" s="14">
        <f t="shared" si="59"/>
        <v>0</v>
      </c>
      <c r="CI39" s="14">
        <f t="shared" si="59"/>
        <v>0</v>
      </c>
      <c r="CJ39" s="14">
        <f t="shared" si="59"/>
        <v>0</v>
      </c>
      <c r="CK39" s="14">
        <f t="shared" si="59"/>
        <v>0</v>
      </c>
      <c r="CL39" s="14">
        <f t="shared" si="59"/>
        <v>0</v>
      </c>
      <c r="CM39" s="14">
        <f t="shared" si="59"/>
        <v>0</v>
      </c>
      <c r="CN39" s="14">
        <f t="shared" si="59"/>
        <v>0</v>
      </c>
      <c r="CO39" s="14">
        <f t="shared" si="59"/>
        <v>0</v>
      </c>
      <c r="CP39" s="14">
        <f t="shared" si="59"/>
        <v>0</v>
      </c>
      <c r="CQ39" s="14">
        <f t="shared" si="59"/>
        <v>0</v>
      </c>
      <c r="CR39" s="14">
        <f t="shared" si="59"/>
        <v>0</v>
      </c>
      <c r="CS39" s="14">
        <f t="shared" si="59"/>
        <v>0</v>
      </c>
      <c r="CT39" s="14">
        <f t="shared" si="59"/>
        <v>0</v>
      </c>
      <c r="CU39" s="14">
        <f t="shared" si="59"/>
        <v>0</v>
      </c>
      <c r="CW39" s="14">
        <f>SUM(BF$5:BF39)</f>
        <v>0</v>
      </c>
      <c r="CX39" s="14">
        <f>SUM(BG$5:BG39)</f>
        <v>0</v>
      </c>
      <c r="CY39" s="14">
        <f>SUM(BH$5:BH39)</f>
        <v>0</v>
      </c>
      <c r="CZ39" s="14">
        <f>SUM(BI$5:BI39)</f>
        <v>0</v>
      </c>
      <c r="DA39" s="14">
        <f>SUM(BJ$5:BJ39)</f>
        <v>0</v>
      </c>
      <c r="DB39" s="14">
        <f>SUM(BK$5:BK39)</f>
        <v>0</v>
      </c>
      <c r="DC39" s="14">
        <f>SUM(BL$5:BL39)</f>
        <v>0</v>
      </c>
      <c r="DD39" s="14">
        <f>SUM(BM$5:BM39)</f>
        <v>0</v>
      </c>
      <c r="DE39" s="14">
        <f>SUM(BN$5:BN39)</f>
        <v>0</v>
      </c>
      <c r="DF39" s="14">
        <f>SUM(BO$5:BO39)</f>
        <v>0</v>
      </c>
      <c r="DG39" s="14">
        <f>SUM(BP$5:BP39)</f>
        <v>0</v>
      </c>
      <c r="DH39" s="14">
        <f>SUM(BQ$5:BQ39)</f>
        <v>0</v>
      </c>
      <c r="DI39" s="14">
        <f>SUM(BR$5:BR39)</f>
        <v>0</v>
      </c>
      <c r="DJ39" s="14">
        <f>SUM(BS$5:BS39)</f>
        <v>0</v>
      </c>
      <c r="DK39" s="14">
        <f>SUM(BT$5:BT39)</f>
        <v>0</v>
      </c>
      <c r="DL39" s="14">
        <f>SUM(BU$5:BU39)</f>
        <v>0</v>
      </c>
      <c r="DM39" s="14">
        <f>SUM(BV$5:BV39)</f>
        <v>0</v>
      </c>
      <c r="DN39" s="14">
        <f>SUM(BW$5:BW39)</f>
        <v>0</v>
      </c>
      <c r="DO39" s="14">
        <f>SUM(BX$5:BX39)</f>
        <v>0</v>
      </c>
      <c r="DP39" s="14">
        <f>SUM(BY$5:BY39)</f>
        <v>0</v>
      </c>
      <c r="DQ39" s="14">
        <f>SUM(BZ$5:BZ39)</f>
        <v>0</v>
      </c>
      <c r="DR39" s="14">
        <f>SUM(CA$5:CA39)</f>
        <v>0</v>
      </c>
      <c r="DS39" s="14">
        <f>SUM(CB$5:CB39)</f>
        <v>0</v>
      </c>
      <c r="DT39" s="14">
        <f>SUM(CC$5:CC39)</f>
        <v>0</v>
      </c>
      <c r="DU39" s="14">
        <f>SUM(CD$5:CD39)</f>
        <v>0</v>
      </c>
      <c r="DV39" s="14">
        <f>SUM(CE$5:CE39)</f>
        <v>0</v>
      </c>
      <c r="DW39" s="14">
        <f>SUM(CF$5:CF39)</f>
        <v>0</v>
      </c>
      <c r="DX39" s="14">
        <f>SUM(CG$5:CG39)</f>
        <v>0</v>
      </c>
      <c r="DY39" s="14">
        <f>SUM(CH$5:CH39)</f>
        <v>0</v>
      </c>
      <c r="DZ39" s="14">
        <f>SUM(CI$5:CI39)</f>
        <v>0</v>
      </c>
      <c r="EA39" s="14">
        <f>SUM(CJ$5:CJ39)</f>
        <v>0</v>
      </c>
      <c r="EB39" s="14">
        <f>SUM(CK$5:CK39)</f>
        <v>0</v>
      </c>
      <c r="EC39" s="14">
        <f>SUM(CL$5:CL39)</f>
        <v>0</v>
      </c>
      <c r="ED39" s="14">
        <f>SUM(CM$5:CM39)</f>
        <v>0</v>
      </c>
      <c r="EE39" s="14">
        <f>SUM(CN$5:CN39)</f>
        <v>0</v>
      </c>
      <c r="EF39" s="14">
        <f>SUM(CO$5:CO39)</f>
        <v>0</v>
      </c>
      <c r="EG39" s="14">
        <f>SUM(CP$5:CP39)</f>
        <v>0</v>
      </c>
      <c r="EH39" s="14">
        <f>SUM(CQ$5:CQ39)</f>
        <v>0</v>
      </c>
      <c r="EI39" s="14">
        <f>SUM(CR$5:CR39)</f>
        <v>0</v>
      </c>
      <c r="EJ39" s="14">
        <f>SUM(CS$5:CS39)</f>
        <v>0</v>
      </c>
      <c r="EK39" s="14">
        <f>SUM(CT$5:CT39)</f>
        <v>0</v>
      </c>
      <c r="EL39" s="14">
        <f>SUM(CU$5:CU39)</f>
        <v>0</v>
      </c>
      <c r="EO39" s="87">
        <f t="shared" si="11"/>
        <v>0</v>
      </c>
      <c r="EP39" s="87">
        <f t="shared" si="12"/>
        <v>0</v>
      </c>
      <c r="EQ39" s="87">
        <f t="shared" si="13"/>
        <v>0</v>
      </c>
      <c r="ER39" s="87">
        <f t="shared" si="14"/>
        <v>0</v>
      </c>
      <c r="ES39" s="87">
        <f t="shared" si="15"/>
        <v>0</v>
      </c>
      <c r="ET39" s="87">
        <f t="shared" si="16"/>
        <v>0</v>
      </c>
      <c r="EU39" s="87">
        <f t="shared" si="17"/>
        <v>0</v>
      </c>
      <c r="EV39" s="87">
        <f t="shared" si="18"/>
        <v>0</v>
      </c>
      <c r="EW39" s="87">
        <f t="shared" si="19"/>
        <v>0</v>
      </c>
      <c r="EX39" s="87">
        <f t="shared" si="20"/>
        <v>0</v>
      </c>
      <c r="EY39" s="87">
        <f t="shared" si="21"/>
        <v>0</v>
      </c>
      <c r="EZ39" s="87">
        <f t="shared" si="22"/>
        <v>0</v>
      </c>
      <c r="FA39" s="87">
        <f t="shared" si="23"/>
        <v>0</v>
      </c>
      <c r="FB39" s="87">
        <f t="shared" si="24"/>
        <v>0</v>
      </c>
      <c r="FC39" s="87">
        <f t="shared" si="25"/>
        <v>0</v>
      </c>
      <c r="FD39" s="87">
        <f t="shared" si="26"/>
        <v>0</v>
      </c>
      <c r="FE39" s="87">
        <f t="shared" si="27"/>
        <v>0</v>
      </c>
      <c r="FF39" s="87">
        <f t="shared" si="28"/>
        <v>0</v>
      </c>
      <c r="FG39" s="87">
        <f t="shared" si="29"/>
        <v>0</v>
      </c>
      <c r="FH39" s="87">
        <f t="shared" si="30"/>
        <v>0</v>
      </c>
      <c r="FI39" s="87">
        <f t="shared" si="31"/>
        <v>0</v>
      </c>
      <c r="FJ39" s="87">
        <f t="shared" si="32"/>
        <v>0</v>
      </c>
      <c r="FK39" s="87">
        <f t="shared" si="33"/>
        <v>0</v>
      </c>
      <c r="FL39" s="87">
        <f t="shared" si="34"/>
        <v>0</v>
      </c>
      <c r="FM39" s="87">
        <f t="shared" si="35"/>
        <v>0</v>
      </c>
      <c r="FN39" s="87">
        <f t="shared" si="36"/>
        <v>0</v>
      </c>
      <c r="FO39" s="87">
        <f t="shared" si="37"/>
        <v>0</v>
      </c>
      <c r="FP39" s="87">
        <f t="shared" si="38"/>
        <v>0</v>
      </c>
      <c r="FQ39" s="87">
        <f t="shared" si="39"/>
        <v>0</v>
      </c>
      <c r="FR39" s="87">
        <f t="shared" si="40"/>
        <v>0</v>
      </c>
      <c r="FS39" s="87">
        <f t="shared" si="41"/>
        <v>0</v>
      </c>
      <c r="FT39" s="87">
        <f t="shared" si="42"/>
        <v>0</v>
      </c>
      <c r="FU39" s="87">
        <f t="shared" si="43"/>
        <v>0</v>
      </c>
      <c r="FV39" s="87">
        <f t="shared" si="44"/>
        <v>0</v>
      </c>
      <c r="FW39" s="87">
        <f t="shared" si="45"/>
        <v>0</v>
      </c>
      <c r="FX39" s="87">
        <f t="shared" si="46"/>
        <v>0</v>
      </c>
      <c r="FY39" s="87">
        <f t="shared" si="47"/>
        <v>0</v>
      </c>
      <c r="FZ39" s="87">
        <f t="shared" si="48"/>
        <v>0</v>
      </c>
      <c r="GA39" s="87">
        <f t="shared" si="49"/>
        <v>0</v>
      </c>
      <c r="GB39" s="87">
        <f t="shared" si="50"/>
        <v>0</v>
      </c>
      <c r="GC39" s="87">
        <f t="shared" si="51"/>
        <v>0</v>
      </c>
      <c r="GD39" s="87">
        <f t="shared" si="52"/>
        <v>0</v>
      </c>
    </row>
    <row r="40" spans="11:186" ht="16.5" x14ac:dyDescent="0.2">
      <c r="K40" s="86">
        <v>36</v>
      </c>
      <c r="L40" s="86">
        <v>7</v>
      </c>
      <c r="M40" s="86">
        <v>2</v>
      </c>
      <c r="N40" s="86" t="str">
        <f t="shared" si="3"/>
        <v>神器7-2</v>
      </c>
      <c r="O40" s="86">
        <v>2</v>
      </c>
      <c r="P40" s="14">
        <f t="shared" si="4"/>
        <v>150</v>
      </c>
      <c r="Q40" s="88">
        <v>0.18</v>
      </c>
      <c r="R40" s="14">
        <v>1</v>
      </c>
      <c r="S40" s="14">
        <v>2</v>
      </c>
      <c r="T40" s="88">
        <v>0.18</v>
      </c>
      <c r="U40" s="14">
        <v>1</v>
      </c>
      <c r="V40" s="14">
        <v>3</v>
      </c>
      <c r="W40" s="88">
        <v>0.18</v>
      </c>
      <c r="X40" s="14">
        <v>2</v>
      </c>
      <c r="Y40" s="14">
        <v>4</v>
      </c>
      <c r="AO40" s="48">
        <v>4</v>
      </c>
      <c r="AP40" s="86">
        <v>14</v>
      </c>
      <c r="AQ40" s="86">
        <v>2</v>
      </c>
      <c r="AR40" s="48">
        <v>2</v>
      </c>
      <c r="AS40" s="86" t="s">
        <v>334</v>
      </c>
      <c r="AT40" s="21">
        <f t="shared" si="61"/>
        <v>1.7999999999999999E-2</v>
      </c>
      <c r="AU40" s="86">
        <f t="shared" si="5"/>
        <v>1</v>
      </c>
      <c r="AV40" s="86">
        <f t="shared" si="6"/>
        <v>2</v>
      </c>
      <c r="AW40" s="87">
        <f t="shared" si="7"/>
        <v>2.6999999999999996E-2</v>
      </c>
      <c r="AX40" s="86">
        <f t="shared" si="8"/>
        <v>8.1</v>
      </c>
      <c r="BA40" s="86">
        <v>36</v>
      </c>
      <c r="BB40" s="14" t="e">
        <f>INDEX(节奏总表!#REF!,神器!BA40)</f>
        <v>#REF!</v>
      </c>
      <c r="BC40" s="14" t="e">
        <f t="shared" si="9"/>
        <v>#REF!</v>
      </c>
      <c r="BD40" s="14">
        <v>5</v>
      </c>
      <c r="BE40" s="14">
        <v>3</v>
      </c>
      <c r="BF40" s="14">
        <f t="shared" si="60"/>
        <v>0</v>
      </c>
      <c r="BG40" s="14">
        <f t="shared" si="59"/>
        <v>0</v>
      </c>
      <c r="BH40" s="14">
        <f t="shared" si="59"/>
        <v>0</v>
      </c>
      <c r="BI40" s="14">
        <f t="shared" si="59"/>
        <v>0</v>
      </c>
      <c r="BJ40" s="14">
        <f t="shared" si="59"/>
        <v>0</v>
      </c>
      <c r="BK40" s="14">
        <f t="shared" si="59"/>
        <v>0</v>
      </c>
      <c r="BL40" s="14">
        <f t="shared" si="59"/>
        <v>0</v>
      </c>
      <c r="BM40" s="14">
        <f t="shared" si="59"/>
        <v>0</v>
      </c>
      <c r="BN40" s="14">
        <f t="shared" si="59"/>
        <v>0</v>
      </c>
      <c r="BO40" s="14">
        <f t="shared" ref="BO40:CD40" si="62">SUMIFS($AT$5:$AT$122,$AO$5:$AO$122,"="&amp;$BC40,$AP$5:$AP$122,"="&amp;BO$2) * (SUMIFS($AU$5:$AU$122,$AO$5:$AO$122,"="&amp;$BC40,$AP$5:$AP$122,"="&amp;BO$2)+SUMIFS($AV$5:$AV$122,$AO$5:$AO$122,"="&amp;$BC40,$AP$5:$AP$122,"="&amp;BO$2))/2*$BD40*$BE40</f>
        <v>0</v>
      </c>
      <c r="BP40" s="14">
        <f t="shared" si="62"/>
        <v>0</v>
      </c>
      <c r="BQ40" s="14">
        <f t="shared" si="62"/>
        <v>0</v>
      </c>
      <c r="BR40" s="14">
        <f t="shared" si="62"/>
        <v>0</v>
      </c>
      <c r="BS40" s="14">
        <f t="shared" si="62"/>
        <v>0</v>
      </c>
      <c r="BT40" s="14">
        <f t="shared" si="62"/>
        <v>0</v>
      </c>
      <c r="BU40" s="14">
        <f t="shared" si="62"/>
        <v>0</v>
      </c>
      <c r="BV40" s="14">
        <f t="shared" si="62"/>
        <v>0</v>
      </c>
      <c r="BW40" s="14">
        <f t="shared" si="62"/>
        <v>0</v>
      </c>
      <c r="BX40" s="14">
        <f t="shared" si="62"/>
        <v>0</v>
      </c>
      <c r="BY40" s="14">
        <f t="shared" si="62"/>
        <v>0</v>
      </c>
      <c r="BZ40" s="14">
        <f t="shared" si="62"/>
        <v>0</v>
      </c>
      <c r="CA40" s="14">
        <f t="shared" si="62"/>
        <v>0</v>
      </c>
      <c r="CB40" s="14">
        <f t="shared" si="62"/>
        <v>0</v>
      </c>
      <c r="CC40" s="14">
        <f t="shared" si="62"/>
        <v>0</v>
      </c>
      <c r="CD40" s="14">
        <f t="shared" si="62"/>
        <v>0</v>
      </c>
      <c r="CE40" s="14">
        <f t="shared" ref="CE40:CT40" si="63">SUMIFS($AT$5:$AT$122,$AO$5:$AO$122,"="&amp;$BC40,$AP$5:$AP$122,"="&amp;CE$2) * (SUMIFS($AU$5:$AU$122,$AO$5:$AO$122,"="&amp;$BC40,$AP$5:$AP$122,"="&amp;CE$2)+SUMIFS($AV$5:$AV$122,$AO$5:$AO$122,"="&amp;$BC40,$AP$5:$AP$122,"="&amp;CE$2))/2*$BD40*$BE40</f>
        <v>0</v>
      </c>
      <c r="CF40" s="14">
        <f t="shared" si="63"/>
        <v>0</v>
      </c>
      <c r="CG40" s="14">
        <f t="shared" si="63"/>
        <v>0</v>
      </c>
      <c r="CH40" s="14">
        <f t="shared" si="63"/>
        <v>0</v>
      </c>
      <c r="CI40" s="14">
        <f t="shared" si="63"/>
        <v>0</v>
      </c>
      <c r="CJ40" s="14">
        <f t="shared" si="63"/>
        <v>0</v>
      </c>
      <c r="CK40" s="14">
        <f t="shared" si="63"/>
        <v>0</v>
      </c>
      <c r="CL40" s="14">
        <f t="shared" si="63"/>
        <v>0</v>
      </c>
      <c r="CM40" s="14">
        <f t="shared" si="63"/>
        <v>0</v>
      </c>
      <c r="CN40" s="14">
        <f t="shared" si="63"/>
        <v>0</v>
      </c>
      <c r="CO40" s="14">
        <f t="shared" si="63"/>
        <v>0</v>
      </c>
      <c r="CP40" s="14">
        <f t="shared" si="63"/>
        <v>0</v>
      </c>
      <c r="CQ40" s="14">
        <f t="shared" si="63"/>
        <v>0</v>
      </c>
      <c r="CR40" s="14">
        <f t="shared" si="63"/>
        <v>0</v>
      </c>
      <c r="CS40" s="14">
        <f t="shared" si="63"/>
        <v>0</v>
      </c>
      <c r="CT40" s="14">
        <f t="shared" si="63"/>
        <v>0</v>
      </c>
      <c r="CU40" s="14">
        <f t="shared" ref="BG40:CU47" si="64">SUMIFS($AT$5:$AT$122,$AO$5:$AO$122,"="&amp;$BC40,$AP$5:$AP$122,"="&amp;CU$2) * (SUMIFS($AU$5:$AU$122,$AO$5:$AO$122,"="&amp;$BC40,$AP$5:$AP$122,"="&amp;CU$2)+SUMIFS($AV$5:$AV$122,$AO$5:$AO$122,"="&amp;$BC40,$AP$5:$AP$122,"="&amp;CU$2))/2*$BD40*$BE40</f>
        <v>0</v>
      </c>
      <c r="CW40" s="14">
        <f>SUM(BF$5:BF40)</f>
        <v>0</v>
      </c>
      <c r="CX40" s="14">
        <f>SUM(BG$5:BG40)</f>
        <v>0</v>
      </c>
      <c r="CY40" s="14">
        <f>SUM(BH$5:BH40)</f>
        <v>0</v>
      </c>
      <c r="CZ40" s="14">
        <f>SUM(BI$5:BI40)</f>
        <v>0</v>
      </c>
      <c r="DA40" s="14">
        <f>SUM(BJ$5:BJ40)</f>
        <v>0</v>
      </c>
      <c r="DB40" s="14">
        <f>SUM(BK$5:BK40)</f>
        <v>0</v>
      </c>
      <c r="DC40" s="14">
        <f>SUM(BL$5:BL40)</f>
        <v>0</v>
      </c>
      <c r="DD40" s="14">
        <f>SUM(BM$5:BM40)</f>
        <v>0</v>
      </c>
      <c r="DE40" s="14">
        <f>SUM(BN$5:BN40)</f>
        <v>0</v>
      </c>
      <c r="DF40" s="14">
        <f>SUM(BO$5:BO40)</f>
        <v>0</v>
      </c>
      <c r="DG40" s="14">
        <f>SUM(BP$5:BP40)</f>
        <v>0</v>
      </c>
      <c r="DH40" s="14">
        <f>SUM(BQ$5:BQ40)</f>
        <v>0</v>
      </c>
      <c r="DI40" s="14">
        <f>SUM(BR$5:BR40)</f>
        <v>0</v>
      </c>
      <c r="DJ40" s="14">
        <f>SUM(BS$5:BS40)</f>
        <v>0</v>
      </c>
      <c r="DK40" s="14">
        <f>SUM(BT$5:BT40)</f>
        <v>0</v>
      </c>
      <c r="DL40" s="14">
        <f>SUM(BU$5:BU40)</f>
        <v>0</v>
      </c>
      <c r="DM40" s="14">
        <f>SUM(BV$5:BV40)</f>
        <v>0</v>
      </c>
      <c r="DN40" s="14">
        <f>SUM(BW$5:BW40)</f>
        <v>0</v>
      </c>
      <c r="DO40" s="14">
        <f>SUM(BX$5:BX40)</f>
        <v>0</v>
      </c>
      <c r="DP40" s="14">
        <f>SUM(BY$5:BY40)</f>
        <v>0</v>
      </c>
      <c r="DQ40" s="14">
        <f>SUM(BZ$5:BZ40)</f>
        <v>0</v>
      </c>
      <c r="DR40" s="14">
        <f>SUM(CA$5:CA40)</f>
        <v>0</v>
      </c>
      <c r="DS40" s="14">
        <f>SUM(CB$5:CB40)</f>
        <v>0</v>
      </c>
      <c r="DT40" s="14">
        <f>SUM(CC$5:CC40)</f>
        <v>0</v>
      </c>
      <c r="DU40" s="14">
        <f>SUM(CD$5:CD40)</f>
        <v>0</v>
      </c>
      <c r="DV40" s="14">
        <f>SUM(CE$5:CE40)</f>
        <v>0</v>
      </c>
      <c r="DW40" s="14">
        <f>SUM(CF$5:CF40)</f>
        <v>0</v>
      </c>
      <c r="DX40" s="14">
        <f>SUM(CG$5:CG40)</f>
        <v>0</v>
      </c>
      <c r="DY40" s="14">
        <f>SUM(CH$5:CH40)</f>
        <v>0</v>
      </c>
      <c r="DZ40" s="14">
        <f>SUM(CI$5:CI40)</f>
        <v>0</v>
      </c>
      <c r="EA40" s="14">
        <f>SUM(CJ$5:CJ40)</f>
        <v>0</v>
      </c>
      <c r="EB40" s="14">
        <f>SUM(CK$5:CK40)</f>
        <v>0</v>
      </c>
      <c r="EC40" s="14">
        <f>SUM(CL$5:CL40)</f>
        <v>0</v>
      </c>
      <c r="ED40" s="14">
        <f>SUM(CM$5:CM40)</f>
        <v>0</v>
      </c>
      <c r="EE40" s="14">
        <f>SUM(CN$5:CN40)</f>
        <v>0</v>
      </c>
      <c r="EF40" s="14">
        <f>SUM(CO$5:CO40)</f>
        <v>0</v>
      </c>
      <c r="EG40" s="14">
        <f>SUM(CP$5:CP40)</f>
        <v>0</v>
      </c>
      <c r="EH40" s="14">
        <f>SUM(CQ$5:CQ40)</f>
        <v>0</v>
      </c>
      <c r="EI40" s="14">
        <f>SUM(CR$5:CR40)</f>
        <v>0</v>
      </c>
      <c r="EJ40" s="14">
        <f>SUM(CS$5:CS40)</f>
        <v>0</v>
      </c>
      <c r="EK40" s="14">
        <f>SUM(CT$5:CT40)</f>
        <v>0</v>
      </c>
      <c r="EL40" s="14">
        <f>SUM(CU$5:CU40)</f>
        <v>0</v>
      </c>
      <c r="EO40" s="87">
        <f t="shared" si="11"/>
        <v>0</v>
      </c>
      <c r="EP40" s="87">
        <f t="shared" si="12"/>
        <v>0</v>
      </c>
      <c r="EQ40" s="87">
        <f t="shared" si="13"/>
        <v>0</v>
      </c>
      <c r="ER40" s="87">
        <f t="shared" si="14"/>
        <v>0</v>
      </c>
      <c r="ES40" s="87">
        <f t="shared" si="15"/>
        <v>0</v>
      </c>
      <c r="ET40" s="87">
        <f t="shared" si="16"/>
        <v>0</v>
      </c>
      <c r="EU40" s="87">
        <f t="shared" si="17"/>
        <v>0</v>
      </c>
      <c r="EV40" s="87">
        <f t="shared" si="18"/>
        <v>0</v>
      </c>
      <c r="EW40" s="87">
        <f t="shared" si="19"/>
        <v>0</v>
      </c>
      <c r="EX40" s="87">
        <f t="shared" si="20"/>
        <v>0</v>
      </c>
      <c r="EY40" s="87">
        <f t="shared" si="21"/>
        <v>0</v>
      </c>
      <c r="EZ40" s="87">
        <f t="shared" si="22"/>
        <v>0</v>
      </c>
      <c r="FA40" s="87">
        <f t="shared" si="23"/>
        <v>0</v>
      </c>
      <c r="FB40" s="87">
        <f t="shared" si="24"/>
        <v>0</v>
      </c>
      <c r="FC40" s="87">
        <f t="shared" si="25"/>
        <v>0</v>
      </c>
      <c r="FD40" s="87">
        <f t="shared" si="26"/>
        <v>0</v>
      </c>
      <c r="FE40" s="87">
        <f t="shared" si="27"/>
        <v>0</v>
      </c>
      <c r="FF40" s="87">
        <f t="shared" si="28"/>
        <v>0</v>
      </c>
      <c r="FG40" s="87">
        <f t="shared" si="29"/>
        <v>0</v>
      </c>
      <c r="FH40" s="87">
        <f t="shared" si="30"/>
        <v>0</v>
      </c>
      <c r="FI40" s="87">
        <f t="shared" si="31"/>
        <v>0</v>
      </c>
      <c r="FJ40" s="87">
        <f t="shared" si="32"/>
        <v>0</v>
      </c>
      <c r="FK40" s="87">
        <f t="shared" si="33"/>
        <v>0</v>
      </c>
      <c r="FL40" s="87">
        <f t="shared" si="34"/>
        <v>0</v>
      </c>
      <c r="FM40" s="87">
        <f t="shared" si="35"/>
        <v>0</v>
      </c>
      <c r="FN40" s="87">
        <f t="shared" si="36"/>
        <v>0</v>
      </c>
      <c r="FO40" s="87">
        <f t="shared" si="37"/>
        <v>0</v>
      </c>
      <c r="FP40" s="87">
        <f t="shared" si="38"/>
        <v>0</v>
      </c>
      <c r="FQ40" s="87">
        <f t="shared" si="39"/>
        <v>0</v>
      </c>
      <c r="FR40" s="87">
        <f t="shared" si="40"/>
        <v>0</v>
      </c>
      <c r="FS40" s="87">
        <f t="shared" si="41"/>
        <v>0</v>
      </c>
      <c r="FT40" s="87">
        <f t="shared" si="42"/>
        <v>0</v>
      </c>
      <c r="FU40" s="87">
        <f t="shared" si="43"/>
        <v>0</v>
      </c>
      <c r="FV40" s="87">
        <f t="shared" si="44"/>
        <v>0</v>
      </c>
      <c r="FW40" s="87">
        <f t="shared" si="45"/>
        <v>0</v>
      </c>
      <c r="FX40" s="87">
        <f t="shared" si="46"/>
        <v>0</v>
      </c>
      <c r="FY40" s="87">
        <f t="shared" si="47"/>
        <v>0</v>
      </c>
      <c r="FZ40" s="87">
        <f t="shared" si="48"/>
        <v>0</v>
      </c>
      <c r="GA40" s="87">
        <f t="shared" si="49"/>
        <v>0</v>
      </c>
      <c r="GB40" s="87">
        <f t="shared" si="50"/>
        <v>0</v>
      </c>
      <c r="GC40" s="87">
        <f t="shared" si="51"/>
        <v>0</v>
      </c>
      <c r="GD40" s="87">
        <f t="shared" si="52"/>
        <v>0</v>
      </c>
    </row>
    <row r="41" spans="11:186" ht="16.5" x14ac:dyDescent="0.2">
      <c r="K41" s="86">
        <v>37</v>
      </c>
      <c r="L41" s="86">
        <v>7</v>
      </c>
      <c r="M41" s="86">
        <v>3</v>
      </c>
      <c r="N41" s="86" t="str">
        <f t="shared" si="3"/>
        <v>神器7-3</v>
      </c>
      <c r="O41" s="86">
        <v>2</v>
      </c>
      <c r="P41" s="14">
        <f t="shared" si="4"/>
        <v>150</v>
      </c>
      <c r="Q41" s="88">
        <v>0.18</v>
      </c>
      <c r="R41" s="14">
        <v>1</v>
      </c>
      <c r="S41" s="14">
        <v>2</v>
      </c>
      <c r="T41" s="88">
        <v>0.18</v>
      </c>
      <c r="U41" s="14">
        <v>1</v>
      </c>
      <c r="V41" s="14">
        <v>3</v>
      </c>
      <c r="W41" s="88">
        <v>0.18</v>
      </c>
      <c r="X41" s="14">
        <v>2</v>
      </c>
      <c r="Y41" s="14">
        <v>4</v>
      </c>
      <c r="AO41" s="48">
        <v>4</v>
      </c>
      <c r="AP41" s="86">
        <v>15</v>
      </c>
      <c r="AQ41" s="86">
        <v>3</v>
      </c>
      <c r="AR41" s="48">
        <v>1</v>
      </c>
      <c r="AS41" s="86" t="s">
        <v>335</v>
      </c>
      <c r="AT41" s="21">
        <f t="shared" si="61"/>
        <v>3.7499999999999999E-2</v>
      </c>
      <c r="AU41" s="86">
        <f t="shared" si="5"/>
        <v>1</v>
      </c>
      <c r="AV41" s="86">
        <f t="shared" si="6"/>
        <v>3</v>
      </c>
      <c r="AW41" s="87">
        <f t="shared" si="7"/>
        <v>7.4999999999999997E-2</v>
      </c>
      <c r="AX41" s="86">
        <f t="shared" si="8"/>
        <v>1.875</v>
      </c>
      <c r="BA41" s="86">
        <v>37</v>
      </c>
      <c r="BB41" s="14" t="e">
        <f>INDEX(节奏总表!#REF!,神器!BA41)</f>
        <v>#REF!</v>
      </c>
      <c r="BC41" s="14" t="e">
        <f t="shared" si="9"/>
        <v>#REF!</v>
      </c>
      <c r="BD41" s="14">
        <v>5</v>
      </c>
      <c r="BE41" s="14">
        <v>3</v>
      </c>
      <c r="BF41" s="14">
        <f t="shared" si="60"/>
        <v>0</v>
      </c>
      <c r="BG41" s="14">
        <f t="shared" si="64"/>
        <v>0</v>
      </c>
      <c r="BH41" s="14">
        <f t="shared" si="64"/>
        <v>0</v>
      </c>
      <c r="BI41" s="14">
        <f t="shared" si="64"/>
        <v>0</v>
      </c>
      <c r="BJ41" s="14">
        <f t="shared" si="64"/>
        <v>0</v>
      </c>
      <c r="BK41" s="14">
        <f t="shared" si="64"/>
        <v>0</v>
      </c>
      <c r="BL41" s="14">
        <f t="shared" si="64"/>
        <v>0</v>
      </c>
      <c r="BM41" s="14">
        <f t="shared" si="64"/>
        <v>0</v>
      </c>
      <c r="BN41" s="14">
        <f t="shared" si="64"/>
        <v>0</v>
      </c>
      <c r="BO41" s="14">
        <f t="shared" si="64"/>
        <v>0</v>
      </c>
      <c r="BP41" s="14">
        <f t="shared" si="64"/>
        <v>0</v>
      </c>
      <c r="BQ41" s="14">
        <f t="shared" si="64"/>
        <v>0</v>
      </c>
      <c r="BR41" s="14">
        <f t="shared" si="64"/>
        <v>0</v>
      </c>
      <c r="BS41" s="14">
        <f t="shared" si="64"/>
        <v>0</v>
      </c>
      <c r="BT41" s="14">
        <f t="shared" si="64"/>
        <v>0</v>
      </c>
      <c r="BU41" s="14">
        <f t="shared" si="64"/>
        <v>0</v>
      </c>
      <c r="BV41" s="14">
        <f t="shared" si="64"/>
        <v>0</v>
      </c>
      <c r="BW41" s="14">
        <f t="shared" si="64"/>
        <v>0</v>
      </c>
      <c r="BX41" s="14">
        <f t="shared" si="64"/>
        <v>0</v>
      </c>
      <c r="BY41" s="14">
        <f t="shared" si="64"/>
        <v>0</v>
      </c>
      <c r="BZ41" s="14">
        <f t="shared" si="64"/>
        <v>0</v>
      </c>
      <c r="CA41" s="14">
        <f t="shared" si="64"/>
        <v>0</v>
      </c>
      <c r="CB41" s="14">
        <f t="shared" si="64"/>
        <v>0</v>
      </c>
      <c r="CC41" s="14">
        <f t="shared" si="64"/>
        <v>0</v>
      </c>
      <c r="CD41" s="14">
        <f t="shared" si="64"/>
        <v>0</v>
      </c>
      <c r="CE41" s="14">
        <f t="shared" si="64"/>
        <v>0</v>
      </c>
      <c r="CF41" s="14">
        <f t="shared" si="64"/>
        <v>0</v>
      </c>
      <c r="CG41" s="14">
        <f t="shared" si="64"/>
        <v>0</v>
      </c>
      <c r="CH41" s="14">
        <f t="shared" si="64"/>
        <v>0</v>
      </c>
      <c r="CI41" s="14">
        <f t="shared" si="64"/>
        <v>0</v>
      </c>
      <c r="CJ41" s="14">
        <f t="shared" si="64"/>
        <v>0</v>
      </c>
      <c r="CK41" s="14">
        <f t="shared" si="64"/>
        <v>0</v>
      </c>
      <c r="CL41" s="14">
        <f t="shared" si="64"/>
        <v>0</v>
      </c>
      <c r="CM41" s="14">
        <f t="shared" si="64"/>
        <v>0</v>
      </c>
      <c r="CN41" s="14">
        <f t="shared" si="64"/>
        <v>0</v>
      </c>
      <c r="CO41" s="14">
        <f t="shared" si="64"/>
        <v>0</v>
      </c>
      <c r="CP41" s="14">
        <f t="shared" si="64"/>
        <v>0</v>
      </c>
      <c r="CQ41" s="14">
        <f t="shared" si="64"/>
        <v>0</v>
      </c>
      <c r="CR41" s="14">
        <f t="shared" si="64"/>
        <v>0</v>
      </c>
      <c r="CS41" s="14">
        <f t="shared" si="64"/>
        <v>0</v>
      </c>
      <c r="CT41" s="14">
        <f t="shared" si="64"/>
        <v>0</v>
      </c>
      <c r="CU41" s="14">
        <f t="shared" si="64"/>
        <v>0</v>
      </c>
      <c r="CW41" s="14">
        <f>SUM(BF$5:BF41)</f>
        <v>0</v>
      </c>
      <c r="CX41" s="14">
        <f>SUM(BG$5:BG41)</f>
        <v>0</v>
      </c>
      <c r="CY41" s="14">
        <f>SUM(BH$5:BH41)</f>
        <v>0</v>
      </c>
      <c r="CZ41" s="14">
        <f>SUM(BI$5:BI41)</f>
        <v>0</v>
      </c>
      <c r="DA41" s="14">
        <f>SUM(BJ$5:BJ41)</f>
        <v>0</v>
      </c>
      <c r="DB41" s="14">
        <f>SUM(BK$5:BK41)</f>
        <v>0</v>
      </c>
      <c r="DC41" s="14">
        <f>SUM(BL$5:BL41)</f>
        <v>0</v>
      </c>
      <c r="DD41" s="14">
        <f>SUM(BM$5:BM41)</f>
        <v>0</v>
      </c>
      <c r="DE41" s="14">
        <f>SUM(BN$5:BN41)</f>
        <v>0</v>
      </c>
      <c r="DF41" s="14">
        <f>SUM(BO$5:BO41)</f>
        <v>0</v>
      </c>
      <c r="DG41" s="14">
        <f>SUM(BP$5:BP41)</f>
        <v>0</v>
      </c>
      <c r="DH41" s="14">
        <f>SUM(BQ$5:BQ41)</f>
        <v>0</v>
      </c>
      <c r="DI41" s="14">
        <f>SUM(BR$5:BR41)</f>
        <v>0</v>
      </c>
      <c r="DJ41" s="14">
        <f>SUM(BS$5:BS41)</f>
        <v>0</v>
      </c>
      <c r="DK41" s="14">
        <f>SUM(BT$5:BT41)</f>
        <v>0</v>
      </c>
      <c r="DL41" s="14">
        <f>SUM(BU$5:BU41)</f>
        <v>0</v>
      </c>
      <c r="DM41" s="14">
        <f>SUM(BV$5:BV41)</f>
        <v>0</v>
      </c>
      <c r="DN41" s="14">
        <f>SUM(BW$5:BW41)</f>
        <v>0</v>
      </c>
      <c r="DO41" s="14">
        <f>SUM(BX$5:BX41)</f>
        <v>0</v>
      </c>
      <c r="DP41" s="14">
        <f>SUM(BY$5:BY41)</f>
        <v>0</v>
      </c>
      <c r="DQ41" s="14">
        <f>SUM(BZ$5:BZ41)</f>
        <v>0</v>
      </c>
      <c r="DR41" s="14">
        <f>SUM(CA$5:CA41)</f>
        <v>0</v>
      </c>
      <c r="DS41" s="14">
        <f>SUM(CB$5:CB41)</f>
        <v>0</v>
      </c>
      <c r="DT41" s="14">
        <f>SUM(CC$5:CC41)</f>
        <v>0</v>
      </c>
      <c r="DU41" s="14">
        <f>SUM(CD$5:CD41)</f>
        <v>0</v>
      </c>
      <c r="DV41" s="14">
        <f>SUM(CE$5:CE41)</f>
        <v>0</v>
      </c>
      <c r="DW41" s="14">
        <f>SUM(CF$5:CF41)</f>
        <v>0</v>
      </c>
      <c r="DX41" s="14">
        <f>SUM(CG$5:CG41)</f>
        <v>0</v>
      </c>
      <c r="DY41" s="14">
        <f>SUM(CH$5:CH41)</f>
        <v>0</v>
      </c>
      <c r="DZ41" s="14">
        <f>SUM(CI$5:CI41)</f>
        <v>0</v>
      </c>
      <c r="EA41" s="14">
        <f>SUM(CJ$5:CJ41)</f>
        <v>0</v>
      </c>
      <c r="EB41" s="14">
        <f>SUM(CK$5:CK41)</f>
        <v>0</v>
      </c>
      <c r="EC41" s="14">
        <f>SUM(CL$5:CL41)</f>
        <v>0</v>
      </c>
      <c r="ED41" s="14">
        <f>SUM(CM$5:CM41)</f>
        <v>0</v>
      </c>
      <c r="EE41" s="14">
        <f>SUM(CN$5:CN41)</f>
        <v>0</v>
      </c>
      <c r="EF41" s="14">
        <f>SUM(CO$5:CO41)</f>
        <v>0</v>
      </c>
      <c r="EG41" s="14">
        <f>SUM(CP$5:CP41)</f>
        <v>0</v>
      </c>
      <c r="EH41" s="14">
        <f>SUM(CQ$5:CQ41)</f>
        <v>0</v>
      </c>
      <c r="EI41" s="14">
        <f>SUM(CR$5:CR41)</f>
        <v>0</v>
      </c>
      <c r="EJ41" s="14">
        <f>SUM(CS$5:CS41)</f>
        <v>0</v>
      </c>
      <c r="EK41" s="14">
        <f>SUM(CT$5:CT41)</f>
        <v>0</v>
      </c>
      <c r="EL41" s="14">
        <f>SUM(CU$5:CU41)</f>
        <v>0</v>
      </c>
      <c r="EO41" s="87">
        <f t="shared" si="11"/>
        <v>0</v>
      </c>
      <c r="EP41" s="87">
        <f t="shared" si="12"/>
        <v>0</v>
      </c>
      <c r="EQ41" s="87">
        <f t="shared" si="13"/>
        <v>0</v>
      </c>
      <c r="ER41" s="87">
        <f t="shared" si="14"/>
        <v>0</v>
      </c>
      <c r="ES41" s="87">
        <f t="shared" si="15"/>
        <v>0</v>
      </c>
      <c r="ET41" s="87">
        <f t="shared" si="16"/>
        <v>0</v>
      </c>
      <c r="EU41" s="87">
        <f t="shared" si="17"/>
        <v>0</v>
      </c>
      <c r="EV41" s="87">
        <f t="shared" si="18"/>
        <v>0</v>
      </c>
      <c r="EW41" s="87">
        <f t="shared" si="19"/>
        <v>0</v>
      </c>
      <c r="EX41" s="87">
        <f t="shared" si="20"/>
        <v>0</v>
      </c>
      <c r="EY41" s="87">
        <f t="shared" si="21"/>
        <v>0</v>
      </c>
      <c r="EZ41" s="87">
        <f t="shared" si="22"/>
        <v>0</v>
      </c>
      <c r="FA41" s="87">
        <f t="shared" si="23"/>
        <v>0</v>
      </c>
      <c r="FB41" s="87">
        <f t="shared" si="24"/>
        <v>0</v>
      </c>
      <c r="FC41" s="87">
        <f t="shared" si="25"/>
        <v>0</v>
      </c>
      <c r="FD41" s="87">
        <f t="shared" si="26"/>
        <v>0</v>
      </c>
      <c r="FE41" s="87">
        <f t="shared" si="27"/>
        <v>0</v>
      </c>
      <c r="FF41" s="87">
        <f t="shared" si="28"/>
        <v>0</v>
      </c>
      <c r="FG41" s="87">
        <f t="shared" si="29"/>
        <v>0</v>
      </c>
      <c r="FH41" s="87">
        <f t="shared" si="30"/>
        <v>0</v>
      </c>
      <c r="FI41" s="87">
        <f t="shared" si="31"/>
        <v>0</v>
      </c>
      <c r="FJ41" s="87">
        <f t="shared" si="32"/>
        <v>0</v>
      </c>
      <c r="FK41" s="87">
        <f t="shared" si="33"/>
        <v>0</v>
      </c>
      <c r="FL41" s="87">
        <f t="shared" si="34"/>
        <v>0</v>
      </c>
      <c r="FM41" s="87">
        <f t="shared" si="35"/>
        <v>0</v>
      </c>
      <c r="FN41" s="87">
        <f t="shared" si="36"/>
        <v>0</v>
      </c>
      <c r="FO41" s="87">
        <f t="shared" si="37"/>
        <v>0</v>
      </c>
      <c r="FP41" s="87">
        <f t="shared" si="38"/>
        <v>0</v>
      </c>
      <c r="FQ41" s="87">
        <f t="shared" si="39"/>
        <v>0</v>
      </c>
      <c r="FR41" s="87">
        <f t="shared" si="40"/>
        <v>0</v>
      </c>
      <c r="FS41" s="87">
        <f t="shared" si="41"/>
        <v>0</v>
      </c>
      <c r="FT41" s="87">
        <f t="shared" si="42"/>
        <v>0</v>
      </c>
      <c r="FU41" s="87">
        <f t="shared" si="43"/>
        <v>0</v>
      </c>
      <c r="FV41" s="87">
        <f t="shared" si="44"/>
        <v>0</v>
      </c>
      <c r="FW41" s="87">
        <f t="shared" si="45"/>
        <v>0</v>
      </c>
      <c r="FX41" s="87">
        <f t="shared" si="46"/>
        <v>0</v>
      </c>
      <c r="FY41" s="87">
        <f t="shared" si="47"/>
        <v>0</v>
      </c>
      <c r="FZ41" s="87">
        <f t="shared" si="48"/>
        <v>0</v>
      </c>
      <c r="GA41" s="87">
        <f t="shared" si="49"/>
        <v>0</v>
      </c>
      <c r="GB41" s="87">
        <f t="shared" si="50"/>
        <v>0</v>
      </c>
      <c r="GC41" s="87">
        <f t="shared" si="51"/>
        <v>0</v>
      </c>
      <c r="GD41" s="87">
        <f t="shared" si="52"/>
        <v>0</v>
      </c>
    </row>
    <row r="42" spans="11:186" ht="16.5" x14ac:dyDescent="0.2">
      <c r="K42" s="86">
        <v>38</v>
      </c>
      <c r="L42" s="86">
        <v>7</v>
      </c>
      <c r="M42" s="86">
        <v>4</v>
      </c>
      <c r="N42" s="86" t="str">
        <f t="shared" si="3"/>
        <v>神器7-4</v>
      </c>
      <c r="O42" s="86">
        <v>3</v>
      </c>
      <c r="P42" s="14">
        <f t="shared" si="4"/>
        <v>350</v>
      </c>
      <c r="Q42" s="88">
        <v>0.12</v>
      </c>
      <c r="R42" s="14">
        <v>1</v>
      </c>
      <c r="S42" s="14">
        <v>1</v>
      </c>
      <c r="T42" s="88">
        <v>0.12</v>
      </c>
      <c r="U42" s="14">
        <v>1</v>
      </c>
      <c r="V42" s="14">
        <v>2</v>
      </c>
      <c r="W42" s="88">
        <v>0.12</v>
      </c>
      <c r="X42" s="14">
        <v>1</v>
      </c>
      <c r="Y42" s="14">
        <v>3</v>
      </c>
      <c r="AO42" s="48">
        <v>4</v>
      </c>
      <c r="AP42" s="86">
        <v>16</v>
      </c>
      <c r="AQ42" s="86">
        <v>3</v>
      </c>
      <c r="AR42" s="48">
        <v>1</v>
      </c>
      <c r="AS42" s="86" t="s">
        <v>336</v>
      </c>
      <c r="AT42" s="21">
        <f t="shared" si="61"/>
        <v>3.7499999999999999E-2</v>
      </c>
      <c r="AU42" s="86">
        <f t="shared" si="5"/>
        <v>1</v>
      </c>
      <c r="AV42" s="86">
        <f t="shared" si="6"/>
        <v>3</v>
      </c>
      <c r="AW42" s="87">
        <f t="shared" si="7"/>
        <v>7.4999999999999997E-2</v>
      </c>
      <c r="AX42" s="86">
        <f t="shared" si="8"/>
        <v>1.875</v>
      </c>
      <c r="BA42" s="86">
        <v>38</v>
      </c>
      <c r="BB42" s="14" t="e">
        <f>INDEX(节奏总表!#REF!,神器!BA42)</f>
        <v>#REF!</v>
      </c>
      <c r="BC42" s="14" t="e">
        <f t="shared" si="9"/>
        <v>#REF!</v>
      </c>
      <c r="BD42" s="14">
        <v>5</v>
      </c>
      <c r="BE42" s="14">
        <v>3</v>
      </c>
      <c r="BF42" s="14">
        <f t="shared" si="60"/>
        <v>0</v>
      </c>
      <c r="BG42" s="14">
        <f t="shared" si="64"/>
        <v>0</v>
      </c>
      <c r="BH42" s="14">
        <f t="shared" si="64"/>
        <v>0</v>
      </c>
      <c r="BI42" s="14">
        <f t="shared" si="64"/>
        <v>0</v>
      </c>
      <c r="BJ42" s="14">
        <f t="shared" si="64"/>
        <v>0</v>
      </c>
      <c r="BK42" s="14">
        <f t="shared" si="64"/>
        <v>0</v>
      </c>
      <c r="BL42" s="14">
        <f t="shared" si="64"/>
        <v>0</v>
      </c>
      <c r="BM42" s="14">
        <f t="shared" si="64"/>
        <v>0</v>
      </c>
      <c r="BN42" s="14">
        <f t="shared" si="64"/>
        <v>0</v>
      </c>
      <c r="BO42" s="14">
        <f t="shared" si="64"/>
        <v>0</v>
      </c>
      <c r="BP42" s="14">
        <f t="shared" si="64"/>
        <v>0</v>
      </c>
      <c r="BQ42" s="14">
        <f t="shared" si="64"/>
        <v>0</v>
      </c>
      <c r="BR42" s="14">
        <f t="shared" si="64"/>
        <v>0</v>
      </c>
      <c r="BS42" s="14">
        <f t="shared" si="64"/>
        <v>0</v>
      </c>
      <c r="BT42" s="14">
        <f t="shared" si="64"/>
        <v>0</v>
      </c>
      <c r="BU42" s="14">
        <f t="shared" si="64"/>
        <v>0</v>
      </c>
      <c r="BV42" s="14">
        <f t="shared" si="64"/>
        <v>0</v>
      </c>
      <c r="BW42" s="14">
        <f t="shared" si="64"/>
        <v>0</v>
      </c>
      <c r="BX42" s="14">
        <f t="shared" si="64"/>
        <v>0</v>
      </c>
      <c r="BY42" s="14">
        <f t="shared" si="64"/>
        <v>0</v>
      </c>
      <c r="BZ42" s="14">
        <f t="shared" si="64"/>
        <v>0</v>
      </c>
      <c r="CA42" s="14">
        <f t="shared" si="64"/>
        <v>0</v>
      </c>
      <c r="CB42" s="14">
        <f t="shared" si="64"/>
        <v>0</v>
      </c>
      <c r="CC42" s="14">
        <f t="shared" si="64"/>
        <v>0</v>
      </c>
      <c r="CD42" s="14">
        <f t="shared" si="64"/>
        <v>0</v>
      </c>
      <c r="CE42" s="14">
        <f t="shared" si="64"/>
        <v>0</v>
      </c>
      <c r="CF42" s="14">
        <f t="shared" si="64"/>
        <v>0</v>
      </c>
      <c r="CG42" s="14">
        <f t="shared" si="64"/>
        <v>0</v>
      </c>
      <c r="CH42" s="14">
        <f t="shared" si="64"/>
        <v>0</v>
      </c>
      <c r="CI42" s="14">
        <f t="shared" si="64"/>
        <v>0</v>
      </c>
      <c r="CJ42" s="14">
        <f t="shared" si="64"/>
        <v>0</v>
      </c>
      <c r="CK42" s="14">
        <f t="shared" si="64"/>
        <v>0</v>
      </c>
      <c r="CL42" s="14">
        <f t="shared" si="64"/>
        <v>0</v>
      </c>
      <c r="CM42" s="14">
        <f t="shared" si="64"/>
        <v>0</v>
      </c>
      <c r="CN42" s="14">
        <f t="shared" si="64"/>
        <v>0</v>
      </c>
      <c r="CO42" s="14">
        <f t="shared" si="64"/>
        <v>0</v>
      </c>
      <c r="CP42" s="14">
        <f t="shared" si="64"/>
        <v>0</v>
      </c>
      <c r="CQ42" s="14">
        <f t="shared" si="64"/>
        <v>0</v>
      </c>
      <c r="CR42" s="14">
        <f t="shared" si="64"/>
        <v>0</v>
      </c>
      <c r="CS42" s="14">
        <f t="shared" si="64"/>
        <v>0</v>
      </c>
      <c r="CT42" s="14">
        <f t="shared" si="64"/>
        <v>0</v>
      </c>
      <c r="CU42" s="14">
        <f t="shared" si="64"/>
        <v>0</v>
      </c>
      <c r="CW42" s="14">
        <f>SUM(BF$5:BF42)</f>
        <v>0</v>
      </c>
      <c r="CX42" s="14">
        <f>SUM(BG$5:BG42)</f>
        <v>0</v>
      </c>
      <c r="CY42" s="14">
        <f>SUM(BH$5:BH42)</f>
        <v>0</v>
      </c>
      <c r="CZ42" s="14">
        <f>SUM(BI$5:BI42)</f>
        <v>0</v>
      </c>
      <c r="DA42" s="14">
        <f>SUM(BJ$5:BJ42)</f>
        <v>0</v>
      </c>
      <c r="DB42" s="14">
        <f>SUM(BK$5:BK42)</f>
        <v>0</v>
      </c>
      <c r="DC42" s="14">
        <f>SUM(BL$5:BL42)</f>
        <v>0</v>
      </c>
      <c r="DD42" s="14">
        <f>SUM(BM$5:BM42)</f>
        <v>0</v>
      </c>
      <c r="DE42" s="14">
        <f>SUM(BN$5:BN42)</f>
        <v>0</v>
      </c>
      <c r="DF42" s="14">
        <f>SUM(BO$5:BO42)</f>
        <v>0</v>
      </c>
      <c r="DG42" s="14">
        <f>SUM(BP$5:BP42)</f>
        <v>0</v>
      </c>
      <c r="DH42" s="14">
        <f>SUM(BQ$5:BQ42)</f>
        <v>0</v>
      </c>
      <c r="DI42" s="14">
        <f>SUM(BR$5:BR42)</f>
        <v>0</v>
      </c>
      <c r="DJ42" s="14">
        <f>SUM(BS$5:BS42)</f>
        <v>0</v>
      </c>
      <c r="DK42" s="14">
        <f>SUM(BT$5:BT42)</f>
        <v>0</v>
      </c>
      <c r="DL42" s="14">
        <f>SUM(BU$5:BU42)</f>
        <v>0</v>
      </c>
      <c r="DM42" s="14">
        <f>SUM(BV$5:BV42)</f>
        <v>0</v>
      </c>
      <c r="DN42" s="14">
        <f>SUM(BW$5:BW42)</f>
        <v>0</v>
      </c>
      <c r="DO42" s="14">
        <f>SUM(BX$5:BX42)</f>
        <v>0</v>
      </c>
      <c r="DP42" s="14">
        <f>SUM(BY$5:BY42)</f>
        <v>0</v>
      </c>
      <c r="DQ42" s="14">
        <f>SUM(BZ$5:BZ42)</f>
        <v>0</v>
      </c>
      <c r="DR42" s="14">
        <f>SUM(CA$5:CA42)</f>
        <v>0</v>
      </c>
      <c r="DS42" s="14">
        <f>SUM(CB$5:CB42)</f>
        <v>0</v>
      </c>
      <c r="DT42" s="14">
        <f>SUM(CC$5:CC42)</f>
        <v>0</v>
      </c>
      <c r="DU42" s="14">
        <f>SUM(CD$5:CD42)</f>
        <v>0</v>
      </c>
      <c r="DV42" s="14">
        <f>SUM(CE$5:CE42)</f>
        <v>0</v>
      </c>
      <c r="DW42" s="14">
        <f>SUM(CF$5:CF42)</f>
        <v>0</v>
      </c>
      <c r="DX42" s="14">
        <f>SUM(CG$5:CG42)</f>
        <v>0</v>
      </c>
      <c r="DY42" s="14">
        <f>SUM(CH$5:CH42)</f>
        <v>0</v>
      </c>
      <c r="DZ42" s="14">
        <f>SUM(CI$5:CI42)</f>
        <v>0</v>
      </c>
      <c r="EA42" s="14">
        <f>SUM(CJ$5:CJ42)</f>
        <v>0</v>
      </c>
      <c r="EB42" s="14">
        <f>SUM(CK$5:CK42)</f>
        <v>0</v>
      </c>
      <c r="EC42" s="14">
        <f>SUM(CL$5:CL42)</f>
        <v>0</v>
      </c>
      <c r="ED42" s="14">
        <f>SUM(CM$5:CM42)</f>
        <v>0</v>
      </c>
      <c r="EE42" s="14">
        <f>SUM(CN$5:CN42)</f>
        <v>0</v>
      </c>
      <c r="EF42" s="14">
        <f>SUM(CO$5:CO42)</f>
        <v>0</v>
      </c>
      <c r="EG42" s="14">
        <f>SUM(CP$5:CP42)</f>
        <v>0</v>
      </c>
      <c r="EH42" s="14">
        <f>SUM(CQ$5:CQ42)</f>
        <v>0</v>
      </c>
      <c r="EI42" s="14">
        <f>SUM(CR$5:CR42)</f>
        <v>0</v>
      </c>
      <c r="EJ42" s="14">
        <f>SUM(CS$5:CS42)</f>
        <v>0</v>
      </c>
      <c r="EK42" s="14">
        <f>SUM(CT$5:CT42)</f>
        <v>0</v>
      </c>
      <c r="EL42" s="14">
        <f>SUM(CU$5:CU42)</f>
        <v>0</v>
      </c>
      <c r="EO42" s="87">
        <f t="shared" si="11"/>
        <v>0</v>
      </c>
      <c r="EP42" s="87">
        <f t="shared" si="12"/>
        <v>0</v>
      </c>
      <c r="EQ42" s="87">
        <f t="shared" si="13"/>
        <v>0</v>
      </c>
      <c r="ER42" s="87">
        <f t="shared" si="14"/>
        <v>0</v>
      </c>
      <c r="ES42" s="87">
        <f t="shared" si="15"/>
        <v>0</v>
      </c>
      <c r="ET42" s="87">
        <f t="shared" si="16"/>
        <v>0</v>
      </c>
      <c r="EU42" s="87">
        <f t="shared" si="17"/>
        <v>0</v>
      </c>
      <c r="EV42" s="87">
        <f t="shared" si="18"/>
        <v>0</v>
      </c>
      <c r="EW42" s="87">
        <f t="shared" si="19"/>
        <v>0</v>
      </c>
      <c r="EX42" s="87">
        <f t="shared" si="20"/>
        <v>0</v>
      </c>
      <c r="EY42" s="87">
        <f t="shared" si="21"/>
        <v>0</v>
      </c>
      <c r="EZ42" s="87">
        <f t="shared" si="22"/>
        <v>0</v>
      </c>
      <c r="FA42" s="87">
        <f t="shared" si="23"/>
        <v>0</v>
      </c>
      <c r="FB42" s="87">
        <f t="shared" si="24"/>
        <v>0</v>
      </c>
      <c r="FC42" s="87">
        <f t="shared" si="25"/>
        <v>0</v>
      </c>
      <c r="FD42" s="87">
        <f t="shared" si="26"/>
        <v>0</v>
      </c>
      <c r="FE42" s="87">
        <f t="shared" si="27"/>
        <v>0</v>
      </c>
      <c r="FF42" s="87">
        <f t="shared" si="28"/>
        <v>0</v>
      </c>
      <c r="FG42" s="87">
        <f t="shared" si="29"/>
        <v>0</v>
      </c>
      <c r="FH42" s="87">
        <f t="shared" si="30"/>
        <v>0</v>
      </c>
      <c r="FI42" s="87">
        <f t="shared" si="31"/>
        <v>0</v>
      </c>
      <c r="FJ42" s="87">
        <f t="shared" si="32"/>
        <v>0</v>
      </c>
      <c r="FK42" s="87">
        <f t="shared" si="33"/>
        <v>0</v>
      </c>
      <c r="FL42" s="87">
        <f t="shared" si="34"/>
        <v>0</v>
      </c>
      <c r="FM42" s="87">
        <f t="shared" si="35"/>
        <v>0</v>
      </c>
      <c r="FN42" s="87">
        <f t="shared" si="36"/>
        <v>0</v>
      </c>
      <c r="FO42" s="87">
        <f t="shared" si="37"/>
        <v>0</v>
      </c>
      <c r="FP42" s="87">
        <f t="shared" si="38"/>
        <v>0</v>
      </c>
      <c r="FQ42" s="87">
        <f t="shared" si="39"/>
        <v>0</v>
      </c>
      <c r="FR42" s="87">
        <f t="shared" si="40"/>
        <v>0</v>
      </c>
      <c r="FS42" s="87">
        <f t="shared" si="41"/>
        <v>0</v>
      </c>
      <c r="FT42" s="87">
        <f t="shared" si="42"/>
        <v>0</v>
      </c>
      <c r="FU42" s="87">
        <f t="shared" si="43"/>
        <v>0</v>
      </c>
      <c r="FV42" s="87">
        <f t="shared" si="44"/>
        <v>0</v>
      </c>
      <c r="FW42" s="87">
        <f t="shared" si="45"/>
        <v>0</v>
      </c>
      <c r="FX42" s="87">
        <f t="shared" si="46"/>
        <v>0</v>
      </c>
      <c r="FY42" s="87">
        <f t="shared" si="47"/>
        <v>0</v>
      </c>
      <c r="FZ42" s="87">
        <f t="shared" si="48"/>
        <v>0</v>
      </c>
      <c r="GA42" s="87">
        <f t="shared" si="49"/>
        <v>0</v>
      </c>
      <c r="GB42" s="87">
        <f t="shared" si="50"/>
        <v>0</v>
      </c>
      <c r="GC42" s="87">
        <f t="shared" si="51"/>
        <v>0</v>
      </c>
      <c r="GD42" s="87">
        <f t="shared" si="52"/>
        <v>0</v>
      </c>
    </row>
    <row r="43" spans="11:186" ht="16.5" x14ac:dyDescent="0.2">
      <c r="K43" s="86">
        <v>39</v>
      </c>
      <c r="L43" s="86">
        <v>7</v>
      </c>
      <c r="M43" s="86">
        <v>5</v>
      </c>
      <c r="N43" s="86" t="str">
        <f t="shared" si="3"/>
        <v>神器7-5</v>
      </c>
      <c r="O43" s="86">
        <v>3</v>
      </c>
      <c r="P43" s="14">
        <f t="shared" si="4"/>
        <v>350</v>
      </c>
      <c r="Q43" s="88">
        <v>0.12</v>
      </c>
      <c r="R43" s="14">
        <v>1</v>
      </c>
      <c r="S43" s="14">
        <v>1</v>
      </c>
      <c r="T43" s="88">
        <v>0.12</v>
      </c>
      <c r="U43" s="14">
        <v>1</v>
      </c>
      <c r="V43" s="14">
        <v>2</v>
      </c>
      <c r="W43" s="88">
        <v>0.12</v>
      </c>
      <c r="X43" s="14">
        <v>1</v>
      </c>
      <c r="Y43" s="14">
        <v>3</v>
      </c>
      <c r="AO43" s="48">
        <v>4</v>
      </c>
      <c r="AP43" s="86">
        <v>17</v>
      </c>
      <c r="AQ43" s="86">
        <v>3</v>
      </c>
      <c r="AR43" s="48">
        <v>1</v>
      </c>
      <c r="AS43" s="86" t="s">
        <v>337</v>
      </c>
      <c r="AT43" s="21">
        <f t="shared" si="61"/>
        <v>2.4E-2</v>
      </c>
      <c r="AU43" s="86">
        <f t="shared" si="5"/>
        <v>1</v>
      </c>
      <c r="AV43" s="86">
        <f t="shared" si="6"/>
        <v>2</v>
      </c>
      <c r="AW43" s="87">
        <f t="shared" si="7"/>
        <v>3.6000000000000004E-2</v>
      </c>
      <c r="AX43" s="86">
        <f t="shared" si="8"/>
        <v>2.7</v>
      </c>
      <c r="BA43" s="86">
        <v>39</v>
      </c>
      <c r="BB43" s="14" t="e">
        <f>INDEX(节奏总表!#REF!,神器!BA43)</f>
        <v>#REF!</v>
      </c>
      <c r="BC43" s="14" t="e">
        <f t="shared" si="9"/>
        <v>#REF!</v>
      </c>
      <c r="BD43" s="14">
        <v>5</v>
      </c>
      <c r="BE43" s="14">
        <v>3</v>
      </c>
      <c r="BF43" s="14">
        <f t="shared" si="60"/>
        <v>0</v>
      </c>
      <c r="BG43" s="14">
        <f t="shared" si="64"/>
        <v>0</v>
      </c>
      <c r="BH43" s="14">
        <f t="shared" si="64"/>
        <v>0</v>
      </c>
      <c r="BI43" s="14">
        <f t="shared" si="64"/>
        <v>0</v>
      </c>
      <c r="BJ43" s="14">
        <f t="shared" si="64"/>
        <v>0</v>
      </c>
      <c r="BK43" s="14">
        <f t="shared" si="64"/>
        <v>0</v>
      </c>
      <c r="BL43" s="14">
        <f t="shared" si="64"/>
        <v>0</v>
      </c>
      <c r="BM43" s="14">
        <f t="shared" si="64"/>
        <v>0</v>
      </c>
      <c r="BN43" s="14">
        <f t="shared" si="64"/>
        <v>0</v>
      </c>
      <c r="BO43" s="14">
        <f t="shared" si="64"/>
        <v>0</v>
      </c>
      <c r="BP43" s="14">
        <f t="shared" si="64"/>
        <v>0</v>
      </c>
      <c r="BQ43" s="14">
        <f t="shared" si="64"/>
        <v>0</v>
      </c>
      <c r="BR43" s="14">
        <f t="shared" si="64"/>
        <v>0</v>
      </c>
      <c r="BS43" s="14">
        <f t="shared" si="64"/>
        <v>0</v>
      </c>
      <c r="BT43" s="14">
        <f t="shared" si="64"/>
        <v>0</v>
      </c>
      <c r="BU43" s="14">
        <f t="shared" si="64"/>
        <v>0</v>
      </c>
      <c r="BV43" s="14">
        <f t="shared" si="64"/>
        <v>0</v>
      </c>
      <c r="BW43" s="14">
        <f t="shared" si="64"/>
        <v>0</v>
      </c>
      <c r="BX43" s="14">
        <f t="shared" si="64"/>
        <v>0</v>
      </c>
      <c r="BY43" s="14">
        <f t="shared" si="64"/>
        <v>0</v>
      </c>
      <c r="BZ43" s="14">
        <f t="shared" si="64"/>
        <v>0</v>
      </c>
      <c r="CA43" s="14">
        <f t="shared" si="64"/>
        <v>0</v>
      </c>
      <c r="CB43" s="14">
        <f t="shared" si="64"/>
        <v>0</v>
      </c>
      <c r="CC43" s="14">
        <f t="shared" si="64"/>
        <v>0</v>
      </c>
      <c r="CD43" s="14">
        <f t="shared" si="64"/>
        <v>0</v>
      </c>
      <c r="CE43" s="14">
        <f t="shared" si="64"/>
        <v>0</v>
      </c>
      <c r="CF43" s="14">
        <f t="shared" si="64"/>
        <v>0</v>
      </c>
      <c r="CG43" s="14">
        <f t="shared" si="64"/>
        <v>0</v>
      </c>
      <c r="CH43" s="14">
        <f t="shared" si="64"/>
        <v>0</v>
      </c>
      <c r="CI43" s="14">
        <f t="shared" si="64"/>
        <v>0</v>
      </c>
      <c r="CJ43" s="14">
        <f t="shared" si="64"/>
        <v>0</v>
      </c>
      <c r="CK43" s="14">
        <f t="shared" si="64"/>
        <v>0</v>
      </c>
      <c r="CL43" s="14">
        <f t="shared" si="64"/>
        <v>0</v>
      </c>
      <c r="CM43" s="14">
        <f t="shared" si="64"/>
        <v>0</v>
      </c>
      <c r="CN43" s="14">
        <f t="shared" si="64"/>
        <v>0</v>
      </c>
      <c r="CO43" s="14">
        <f t="shared" si="64"/>
        <v>0</v>
      </c>
      <c r="CP43" s="14">
        <f t="shared" si="64"/>
        <v>0</v>
      </c>
      <c r="CQ43" s="14">
        <f t="shared" si="64"/>
        <v>0</v>
      </c>
      <c r="CR43" s="14">
        <f t="shared" si="64"/>
        <v>0</v>
      </c>
      <c r="CS43" s="14">
        <f t="shared" si="64"/>
        <v>0</v>
      </c>
      <c r="CT43" s="14">
        <f t="shared" si="64"/>
        <v>0</v>
      </c>
      <c r="CU43" s="14">
        <f t="shared" si="64"/>
        <v>0</v>
      </c>
      <c r="CW43" s="14">
        <f>SUM(BF$5:BF43)</f>
        <v>0</v>
      </c>
      <c r="CX43" s="14">
        <f>SUM(BG$5:BG43)</f>
        <v>0</v>
      </c>
      <c r="CY43" s="14">
        <f>SUM(BH$5:BH43)</f>
        <v>0</v>
      </c>
      <c r="CZ43" s="14">
        <f>SUM(BI$5:BI43)</f>
        <v>0</v>
      </c>
      <c r="DA43" s="14">
        <f>SUM(BJ$5:BJ43)</f>
        <v>0</v>
      </c>
      <c r="DB43" s="14">
        <f>SUM(BK$5:BK43)</f>
        <v>0</v>
      </c>
      <c r="DC43" s="14">
        <f>SUM(BL$5:BL43)</f>
        <v>0</v>
      </c>
      <c r="DD43" s="14">
        <f>SUM(BM$5:BM43)</f>
        <v>0</v>
      </c>
      <c r="DE43" s="14">
        <f>SUM(BN$5:BN43)</f>
        <v>0</v>
      </c>
      <c r="DF43" s="14">
        <f>SUM(BO$5:BO43)</f>
        <v>0</v>
      </c>
      <c r="DG43" s="14">
        <f>SUM(BP$5:BP43)</f>
        <v>0</v>
      </c>
      <c r="DH43" s="14">
        <f>SUM(BQ$5:BQ43)</f>
        <v>0</v>
      </c>
      <c r="DI43" s="14">
        <f>SUM(BR$5:BR43)</f>
        <v>0</v>
      </c>
      <c r="DJ43" s="14">
        <f>SUM(BS$5:BS43)</f>
        <v>0</v>
      </c>
      <c r="DK43" s="14">
        <f>SUM(BT$5:BT43)</f>
        <v>0</v>
      </c>
      <c r="DL43" s="14">
        <f>SUM(BU$5:BU43)</f>
        <v>0</v>
      </c>
      <c r="DM43" s="14">
        <f>SUM(BV$5:BV43)</f>
        <v>0</v>
      </c>
      <c r="DN43" s="14">
        <f>SUM(BW$5:BW43)</f>
        <v>0</v>
      </c>
      <c r="DO43" s="14">
        <f>SUM(BX$5:BX43)</f>
        <v>0</v>
      </c>
      <c r="DP43" s="14">
        <f>SUM(BY$5:BY43)</f>
        <v>0</v>
      </c>
      <c r="DQ43" s="14">
        <f>SUM(BZ$5:BZ43)</f>
        <v>0</v>
      </c>
      <c r="DR43" s="14">
        <f>SUM(CA$5:CA43)</f>
        <v>0</v>
      </c>
      <c r="DS43" s="14">
        <f>SUM(CB$5:CB43)</f>
        <v>0</v>
      </c>
      <c r="DT43" s="14">
        <f>SUM(CC$5:CC43)</f>
        <v>0</v>
      </c>
      <c r="DU43" s="14">
        <f>SUM(CD$5:CD43)</f>
        <v>0</v>
      </c>
      <c r="DV43" s="14">
        <f>SUM(CE$5:CE43)</f>
        <v>0</v>
      </c>
      <c r="DW43" s="14">
        <f>SUM(CF$5:CF43)</f>
        <v>0</v>
      </c>
      <c r="DX43" s="14">
        <f>SUM(CG$5:CG43)</f>
        <v>0</v>
      </c>
      <c r="DY43" s="14">
        <f>SUM(CH$5:CH43)</f>
        <v>0</v>
      </c>
      <c r="DZ43" s="14">
        <f>SUM(CI$5:CI43)</f>
        <v>0</v>
      </c>
      <c r="EA43" s="14">
        <f>SUM(CJ$5:CJ43)</f>
        <v>0</v>
      </c>
      <c r="EB43" s="14">
        <f>SUM(CK$5:CK43)</f>
        <v>0</v>
      </c>
      <c r="EC43" s="14">
        <f>SUM(CL$5:CL43)</f>
        <v>0</v>
      </c>
      <c r="ED43" s="14">
        <f>SUM(CM$5:CM43)</f>
        <v>0</v>
      </c>
      <c r="EE43" s="14">
        <f>SUM(CN$5:CN43)</f>
        <v>0</v>
      </c>
      <c r="EF43" s="14">
        <f>SUM(CO$5:CO43)</f>
        <v>0</v>
      </c>
      <c r="EG43" s="14">
        <f>SUM(CP$5:CP43)</f>
        <v>0</v>
      </c>
      <c r="EH43" s="14">
        <f>SUM(CQ$5:CQ43)</f>
        <v>0</v>
      </c>
      <c r="EI43" s="14">
        <f>SUM(CR$5:CR43)</f>
        <v>0</v>
      </c>
      <c r="EJ43" s="14">
        <f>SUM(CS$5:CS43)</f>
        <v>0</v>
      </c>
      <c r="EK43" s="14">
        <f>SUM(CT$5:CT43)</f>
        <v>0</v>
      </c>
      <c r="EL43" s="14">
        <f>SUM(CU$5:CU43)</f>
        <v>0</v>
      </c>
      <c r="EO43" s="87">
        <f t="shared" si="11"/>
        <v>0</v>
      </c>
      <c r="EP43" s="87">
        <f t="shared" si="12"/>
        <v>0</v>
      </c>
      <c r="EQ43" s="87">
        <f t="shared" si="13"/>
        <v>0</v>
      </c>
      <c r="ER43" s="87">
        <f t="shared" si="14"/>
        <v>0</v>
      </c>
      <c r="ES43" s="87">
        <f t="shared" si="15"/>
        <v>0</v>
      </c>
      <c r="ET43" s="87">
        <f t="shared" si="16"/>
        <v>0</v>
      </c>
      <c r="EU43" s="87">
        <f t="shared" si="17"/>
        <v>0</v>
      </c>
      <c r="EV43" s="87">
        <f t="shared" si="18"/>
        <v>0</v>
      </c>
      <c r="EW43" s="87">
        <f t="shared" si="19"/>
        <v>0</v>
      </c>
      <c r="EX43" s="87">
        <f t="shared" si="20"/>
        <v>0</v>
      </c>
      <c r="EY43" s="87">
        <f t="shared" si="21"/>
        <v>0</v>
      </c>
      <c r="EZ43" s="87">
        <f t="shared" si="22"/>
        <v>0</v>
      </c>
      <c r="FA43" s="87">
        <f t="shared" si="23"/>
        <v>0</v>
      </c>
      <c r="FB43" s="87">
        <f t="shared" si="24"/>
        <v>0</v>
      </c>
      <c r="FC43" s="87">
        <f t="shared" si="25"/>
        <v>0</v>
      </c>
      <c r="FD43" s="87">
        <f t="shared" si="26"/>
        <v>0</v>
      </c>
      <c r="FE43" s="87">
        <f t="shared" si="27"/>
        <v>0</v>
      </c>
      <c r="FF43" s="87">
        <f t="shared" si="28"/>
        <v>0</v>
      </c>
      <c r="FG43" s="87">
        <f t="shared" si="29"/>
        <v>0</v>
      </c>
      <c r="FH43" s="87">
        <f t="shared" si="30"/>
        <v>0</v>
      </c>
      <c r="FI43" s="87">
        <f t="shared" si="31"/>
        <v>0</v>
      </c>
      <c r="FJ43" s="87">
        <f t="shared" si="32"/>
        <v>0</v>
      </c>
      <c r="FK43" s="87">
        <f t="shared" si="33"/>
        <v>0</v>
      </c>
      <c r="FL43" s="87">
        <f t="shared" si="34"/>
        <v>0</v>
      </c>
      <c r="FM43" s="87">
        <f t="shared" si="35"/>
        <v>0</v>
      </c>
      <c r="FN43" s="87">
        <f t="shared" si="36"/>
        <v>0</v>
      </c>
      <c r="FO43" s="87">
        <f t="shared" si="37"/>
        <v>0</v>
      </c>
      <c r="FP43" s="87">
        <f t="shared" si="38"/>
        <v>0</v>
      </c>
      <c r="FQ43" s="87">
        <f t="shared" si="39"/>
        <v>0</v>
      </c>
      <c r="FR43" s="87">
        <f t="shared" si="40"/>
        <v>0</v>
      </c>
      <c r="FS43" s="87">
        <f t="shared" si="41"/>
        <v>0</v>
      </c>
      <c r="FT43" s="87">
        <f t="shared" si="42"/>
        <v>0</v>
      </c>
      <c r="FU43" s="87">
        <f t="shared" si="43"/>
        <v>0</v>
      </c>
      <c r="FV43" s="87">
        <f t="shared" si="44"/>
        <v>0</v>
      </c>
      <c r="FW43" s="87">
        <f t="shared" si="45"/>
        <v>0</v>
      </c>
      <c r="FX43" s="87">
        <f t="shared" si="46"/>
        <v>0</v>
      </c>
      <c r="FY43" s="87">
        <f t="shared" si="47"/>
        <v>0</v>
      </c>
      <c r="FZ43" s="87">
        <f t="shared" si="48"/>
        <v>0</v>
      </c>
      <c r="GA43" s="87">
        <f t="shared" si="49"/>
        <v>0</v>
      </c>
      <c r="GB43" s="87">
        <f t="shared" si="50"/>
        <v>0</v>
      </c>
      <c r="GC43" s="87">
        <f t="shared" si="51"/>
        <v>0</v>
      </c>
      <c r="GD43" s="87">
        <f t="shared" si="52"/>
        <v>0</v>
      </c>
    </row>
    <row r="44" spans="11:186" ht="16.5" x14ac:dyDescent="0.2">
      <c r="K44" s="86">
        <v>40</v>
      </c>
      <c r="L44" s="86">
        <v>7</v>
      </c>
      <c r="M44" s="86">
        <v>6</v>
      </c>
      <c r="N44" s="86" t="str">
        <f t="shared" si="3"/>
        <v>神器7-6</v>
      </c>
      <c r="O44" s="86">
        <v>3</v>
      </c>
      <c r="P44" s="14">
        <f t="shared" si="4"/>
        <v>350</v>
      </c>
      <c r="Q44" s="88">
        <v>0.12</v>
      </c>
      <c r="R44" s="14">
        <v>1</v>
      </c>
      <c r="S44" s="14">
        <v>1</v>
      </c>
      <c r="T44" s="88">
        <v>0.12</v>
      </c>
      <c r="U44" s="14">
        <v>1</v>
      </c>
      <c r="V44" s="14">
        <v>2</v>
      </c>
      <c r="W44" s="88">
        <v>0.12</v>
      </c>
      <c r="X44" s="14">
        <v>1</v>
      </c>
      <c r="Y44" s="14">
        <v>3</v>
      </c>
      <c r="AO44" s="48">
        <v>4</v>
      </c>
      <c r="AP44" s="86">
        <v>18</v>
      </c>
      <c r="AQ44" s="86">
        <v>3</v>
      </c>
      <c r="AR44" s="48">
        <v>1</v>
      </c>
      <c r="AS44" s="86" t="s">
        <v>338</v>
      </c>
      <c r="AT44" s="21">
        <f t="shared" si="61"/>
        <v>2.4E-2</v>
      </c>
      <c r="AU44" s="86">
        <f t="shared" si="5"/>
        <v>1</v>
      </c>
      <c r="AV44" s="86">
        <f t="shared" si="6"/>
        <v>2</v>
      </c>
      <c r="AW44" s="87">
        <f t="shared" si="7"/>
        <v>3.6000000000000004E-2</v>
      </c>
      <c r="AX44" s="86">
        <f t="shared" si="8"/>
        <v>2.7</v>
      </c>
      <c r="BA44" s="86">
        <v>40</v>
      </c>
      <c r="BB44" s="14" t="e">
        <f>INDEX(节奏总表!#REF!,神器!BA44)</f>
        <v>#REF!</v>
      </c>
      <c r="BC44" s="14" t="e">
        <f t="shared" si="9"/>
        <v>#REF!</v>
      </c>
      <c r="BD44" s="14">
        <v>5</v>
      </c>
      <c r="BE44" s="14">
        <v>3</v>
      </c>
      <c r="BF44" s="14">
        <f t="shared" si="60"/>
        <v>0</v>
      </c>
      <c r="BG44" s="14">
        <f t="shared" si="64"/>
        <v>0</v>
      </c>
      <c r="BH44" s="14">
        <f t="shared" si="64"/>
        <v>0</v>
      </c>
      <c r="BI44" s="14">
        <f t="shared" si="64"/>
        <v>0</v>
      </c>
      <c r="BJ44" s="14">
        <f t="shared" si="64"/>
        <v>0</v>
      </c>
      <c r="BK44" s="14">
        <f t="shared" si="64"/>
        <v>0</v>
      </c>
      <c r="BL44" s="14">
        <f t="shared" si="64"/>
        <v>0</v>
      </c>
      <c r="BM44" s="14">
        <f t="shared" si="64"/>
        <v>0</v>
      </c>
      <c r="BN44" s="14">
        <f t="shared" si="64"/>
        <v>0</v>
      </c>
      <c r="BO44" s="14">
        <f t="shared" si="64"/>
        <v>0</v>
      </c>
      <c r="BP44" s="14">
        <f t="shared" si="64"/>
        <v>0</v>
      </c>
      <c r="BQ44" s="14">
        <f t="shared" si="64"/>
        <v>0</v>
      </c>
      <c r="BR44" s="14">
        <f t="shared" si="64"/>
        <v>0</v>
      </c>
      <c r="BS44" s="14">
        <f t="shared" si="64"/>
        <v>0</v>
      </c>
      <c r="BT44" s="14">
        <f t="shared" si="64"/>
        <v>0</v>
      </c>
      <c r="BU44" s="14">
        <f t="shared" si="64"/>
        <v>0</v>
      </c>
      <c r="BV44" s="14">
        <f t="shared" si="64"/>
        <v>0</v>
      </c>
      <c r="BW44" s="14">
        <f t="shared" si="64"/>
        <v>0</v>
      </c>
      <c r="BX44" s="14">
        <f t="shared" si="64"/>
        <v>0</v>
      </c>
      <c r="BY44" s="14">
        <f t="shared" si="64"/>
        <v>0</v>
      </c>
      <c r="BZ44" s="14">
        <f t="shared" si="64"/>
        <v>0</v>
      </c>
      <c r="CA44" s="14">
        <f t="shared" si="64"/>
        <v>0</v>
      </c>
      <c r="CB44" s="14">
        <f t="shared" si="64"/>
        <v>0</v>
      </c>
      <c r="CC44" s="14">
        <f t="shared" si="64"/>
        <v>0</v>
      </c>
      <c r="CD44" s="14">
        <f t="shared" si="64"/>
        <v>0</v>
      </c>
      <c r="CE44" s="14">
        <f t="shared" si="64"/>
        <v>0</v>
      </c>
      <c r="CF44" s="14">
        <f t="shared" si="64"/>
        <v>0</v>
      </c>
      <c r="CG44" s="14">
        <f t="shared" si="64"/>
        <v>0</v>
      </c>
      <c r="CH44" s="14">
        <f t="shared" si="64"/>
        <v>0</v>
      </c>
      <c r="CI44" s="14">
        <f t="shared" si="64"/>
        <v>0</v>
      </c>
      <c r="CJ44" s="14">
        <f t="shared" si="64"/>
        <v>0</v>
      </c>
      <c r="CK44" s="14">
        <f t="shared" si="64"/>
        <v>0</v>
      </c>
      <c r="CL44" s="14">
        <f t="shared" si="64"/>
        <v>0</v>
      </c>
      <c r="CM44" s="14">
        <f t="shared" si="64"/>
        <v>0</v>
      </c>
      <c r="CN44" s="14">
        <f t="shared" si="64"/>
        <v>0</v>
      </c>
      <c r="CO44" s="14">
        <f t="shared" si="64"/>
        <v>0</v>
      </c>
      <c r="CP44" s="14">
        <f t="shared" si="64"/>
        <v>0</v>
      </c>
      <c r="CQ44" s="14">
        <f t="shared" si="64"/>
        <v>0</v>
      </c>
      <c r="CR44" s="14">
        <f t="shared" si="64"/>
        <v>0</v>
      </c>
      <c r="CS44" s="14">
        <f t="shared" si="64"/>
        <v>0</v>
      </c>
      <c r="CT44" s="14">
        <f t="shared" si="64"/>
        <v>0</v>
      </c>
      <c r="CU44" s="14">
        <f t="shared" si="64"/>
        <v>0</v>
      </c>
      <c r="CW44" s="14">
        <f>SUM(BF$5:BF44)</f>
        <v>0</v>
      </c>
      <c r="CX44" s="14">
        <f>SUM(BG$5:BG44)</f>
        <v>0</v>
      </c>
      <c r="CY44" s="14">
        <f>SUM(BH$5:BH44)</f>
        <v>0</v>
      </c>
      <c r="CZ44" s="14">
        <f>SUM(BI$5:BI44)</f>
        <v>0</v>
      </c>
      <c r="DA44" s="14">
        <f>SUM(BJ$5:BJ44)</f>
        <v>0</v>
      </c>
      <c r="DB44" s="14">
        <f>SUM(BK$5:BK44)</f>
        <v>0</v>
      </c>
      <c r="DC44" s="14">
        <f>SUM(BL$5:BL44)</f>
        <v>0</v>
      </c>
      <c r="DD44" s="14">
        <f>SUM(BM$5:BM44)</f>
        <v>0</v>
      </c>
      <c r="DE44" s="14">
        <f>SUM(BN$5:BN44)</f>
        <v>0</v>
      </c>
      <c r="DF44" s="14">
        <f>SUM(BO$5:BO44)</f>
        <v>0</v>
      </c>
      <c r="DG44" s="14">
        <f>SUM(BP$5:BP44)</f>
        <v>0</v>
      </c>
      <c r="DH44" s="14">
        <f>SUM(BQ$5:BQ44)</f>
        <v>0</v>
      </c>
      <c r="DI44" s="14">
        <f>SUM(BR$5:BR44)</f>
        <v>0</v>
      </c>
      <c r="DJ44" s="14">
        <f>SUM(BS$5:BS44)</f>
        <v>0</v>
      </c>
      <c r="DK44" s="14">
        <f>SUM(BT$5:BT44)</f>
        <v>0</v>
      </c>
      <c r="DL44" s="14">
        <f>SUM(BU$5:BU44)</f>
        <v>0</v>
      </c>
      <c r="DM44" s="14">
        <f>SUM(BV$5:BV44)</f>
        <v>0</v>
      </c>
      <c r="DN44" s="14">
        <f>SUM(BW$5:BW44)</f>
        <v>0</v>
      </c>
      <c r="DO44" s="14">
        <f>SUM(BX$5:BX44)</f>
        <v>0</v>
      </c>
      <c r="DP44" s="14">
        <f>SUM(BY$5:BY44)</f>
        <v>0</v>
      </c>
      <c r="DQ44" s="14">
        <f>SUM(BZ$5:BZ44)</f>
        <v>0</v>
      </c>
      <c r="DR44" s="14">
        <f>SUM(CA$5:CA44)</f>
        <v>0</v>
      </c>
      <c r="DS44" s="14">
        <f>SUM(CB$5:CB44)</f>
        <v>0</v>
      </c>
      <c r="DT44" s="14">
        <f>SUM(CC$5:CC44)</f>
        <v>0</v>
      </c>
      <c r="DU44" s="14">
        <f>SUM(CD$5:CD44)</f>
        <v>0</v>
      </c>
      <c r="DV44" s="14">
        <f>SUM(CE$5:CE44)</f>
        <v>0</v>
      </c>
      <c r="DW44" s="14">
        <f>SUM(CF$5:CF44)</f>
        <v>0</v>
      </c>
      <c r="DX44" s="14">
        <f>SUM(CG$5:CG44)</f>
        <v>0</v>
      </c>
      <c r="DY44" s="14">
        <f>SUM(CH$5:CH44)</f>
        <v>0</v>
      </c>
      <c r="DZ44" s="14">
        <f>SUM(CI$5:CI44)</f>
        <v>0</v>
      </c>
      <c r="EA44" s="14">
        <f>SUM(CJ$5:CJ44)</f>
        <v>0</v>
      </c>
      <c r="EB44" s="14">
        <f>SUM(CK$5:CK44)</f>
        <v>0</v>
      </c>
      <c r="EC44" s="14">
        <f>SUM(CL$5:CL44)</f>
        <v>0</v>
      </c>
      <c r="ED44" s="14">
        <f>SUM(CM$5:CM44)</f>
        <v>0</v>
      </c>
      <c r="EE44" s="14">
        <f>SUM(CN$5:CN44)</f>
        <v>0</v>
      </c>
      <c r="EF44" s="14">
        <f>SUM(CO$5:CO44)</f>
        <v>0</v>
      </c>
      <c r="EG44" s="14">
        <f>SUM(CP$5:CP44)</f>
        <v>0</v>
      </c>
      <c r="EH44" s="14">
        <f>SUM(CQ$5:CQ44)</f>
        <v>0</v>
      </c>
      <c r="EI44" s="14">
        <f>SUM(CR$5:CR44)</f>
        <v>0</v>
      </c>
      <c r="EJ44" s="14">
        <f>SUM(CS$5:CS44)</f>
        <v>0</v>
      </c>
      <c r="EK44" s="14">
        <f>SUM(CT$5:CT44)</f>
        <v>0</v>
      </c>
      <c r="EL44" s="14">
        <f>SUM(CU$5:CU44)</f>
        <v>0</v>
      </c>
      <c r="EO44" s="87">
        <f t="shared" si="11"/>
        <v>0</v>
      </c>
      <c r="EP44" s="87">
        <f t="shared" si="12"/>
        <v>0</v>
      </c>
      <c r="EQ44" s="87">
        <f t="shared" si="13"/>
        <v>0</v>
      </c>
      <c r="ER44" s="87">
        <f t="shared" si="14"/>
        <v>0</v>
      </c>
      <c r="ES44" s="87">
        <f t="shared" si="15"/>
        <v>0</v>
      </c>
      <c r="ET44" s="87">
        <f t="shared" si="16"/>
        <v>0</v>
      </c>
      <c r="EU44" s="87">
        <f t="shared" si="17"/>
        <v>0</v>
      </c>
      <c r="EV44" s="87">
        <f t="shared" si="18"/>
        <v>0</v>
      </c>
      <c r="EW44" s="87">
        <f t="shared" si="19"/>
        <v>0</v>
      </c>
      <c r="EX44" s="87">
        <f t="shared" si="20"/>
        <v>0</v>
      </c>
      <c r="EY44" s="87">
        <f t="shared" si="21"/>
        <v>0</v>
      </c>
      <c r="EZ44" s="87">
        <f t="shared" si="22"/>
        <v>0</v>
      </c>
      <c r="FA44" s="87">
        <f t="shared" si="23"/>
        <v>0</v>
      </c>
      <c r="FB44" s="87">
        <f t="shared" si="24"/>
        <v>0</v>
      </c>
      <c r="FC44" s="87">
        <f t="shared" si="25"/>
        <v>0</v>
      </c>
      <c r="FD44" s="87">
        <f t="shared" si="26"/>
        <v>0</v>
      </c>
      <c r="FE44" s="87">
        <f t="shared" si="27"/>
        <v>0</v>
      </c>
      <c r="FF44" s="87">
        <f t="shared" si="28"/>
        <v>0</v>
      </c>
      <c r="FG44" s="87">
        <f t="shared" si="29"/>
        <v>0</v>
      </c>
      <c r="FH44" s="87">
        <f t="shared" si="30"/>
        <v>0</v>
      </c>
      <c r="FI44" s="87">
        <f t="shared" si="31"/>
        <v>0</v>
      </c>
      <c r="FJ44" s="87">
        <f t="shared" si="32"/>
        <v>0</v>
      </c>
      <c r="FK44" s="87">
        <f t="shared" si="33"/>
        <v>0</v>
      </c>
      <c r="FL44" s="87">
        <f t="shared" si="34"/>
        <v>0</v>
      </c>
      <c r="FM44" s="87">
        <f t="shared" si="35"/>
        <v>0</v>
      </c>
      <c r="FN44" s="87">
        <f t="shared" si="36"/>
        <v>0</v>
      </c>
      <c r="FO44" s="87">
        <f t="shared" si="37"/>
        <v>0</v>
      </c>
      <c r="FP44" s="87">
        <f t="shared" si="38"/>
        <v>0</v>
      </c>
      <c r="FQ44" s="87">
        <f t="shared" si="39"/>
        <v>0</v>
      </c>
      <c r="FR44" s="87">
        <f t="shared" si="40"/>
        <v>0</v>
      </c>
      <c r="FS44" s="87">
        <f t="shared" si="41"/>
        <v>0</v>
      </c>
      <c r="FT44" s="87">
        <f t="shared" si="42"/>
        <v>0</v>
      </c>
      <c r="FU44" s="87">
        <f t="shared" si="43"/>
        <v>0</v>
      </c>
      <c r="FV44" s="87">
        <f t="shared" si="44"/>
        <v>0</v>
      </c>
      <c r="FW44" s="87">
        <f t="shared" si="45"/>
        <v>0</v>
      </c>
      <c r="FX44" s="87">
        <f t="shared" si="46"/>
        <v>0</v>
      </c>
      <c r="FY44" s="87">
        <f t="shared" si="47"/>
        <v>0</v>
      </c>
      <c r="FZ44" s="87">
        <f t="shared" si="48"/>
        <v>0</v>
      </c>
      <c r="GA44" s="87">
        <f t="shared" si="49"/>
        <v>0</v>
      </c>
      <c r="GB44" s="87">
        <f t="shared" si="50"/>
        <v>0</v>
      </c>
      <c r="GC44" s="87">
        <f t="shared" si="51"/>
        <v>0</v>
      </c>
      <c r="GD44" s="87">
        <f t="shared" si="52"/>
        <v>0</v>
      </c>
    </row>
    <row r="45" spans="11:186" ht="16.5" x14ac:dyDescent="0.2">
      <c r="K45" s="86">
        <v>41</v>
      </c>
      <c r="L45" s="86">
        <v>7</v>
      </c>
      <c r="M45" s="86">
        <v>7</v>
      </c>
      <c r="N45" s="86" t="str">
        <f t="shared" si="3"/>
        <v>神器7-7</v>
      </c>
      <c r="O45" s="86">
        <v>4</v>
      </c>
      <c r="P45" s="14">
        <f t="shared" si="4"/>
        <v>750</v>
      </c>
      <c r="Q45" s="88">
        <v>0.05</v>
      </c>
      <c r="R45" s="14">
        <v>1</v>
      </c>
      <c r="S45" s="14">
        <v>1</v>
      </c>
      <c r="T45" s="88">
        <v>0.05</v>
      </c>
      <c r="U45" s="14">
        <v>1</v>
      </c>
      <c r="V45" s="14">
        <v>2</v>
      </c>
      <c r="W45" s="88">
        <v>0.05</v>
      </c>
      <c r="X45" s="14">
        <v>1</v>
      </c>
      <c r="Y45" s="14">
        <v>3</v>
      </c>
      <c r="AO45" s="48">
        <v>4</v>
      </c>
      <c r="AP45" s="86">
        <v>19</v>
      </c>
      <c r="AQ45" s="86">
        <v>3</v>
      </c>
      <c r="AR45" s="48">
        <v>1</v>
      </c>
      <c r="AS45" s="86" t="s">
        <v>339</v>
      </c>
      <c r="AT45" s="21">
        <f t="shared" si="61"/>
        <v>1.7999999999999999E-2</v>
      </c>
      <c r="AU45" s="86">
        <f t="shared" si="5"/>
        <v>1</v>
      </c>
      <c r="AV45" s="86">
        <f t="shared" si="6"/>
        <v>1</v>
      </c>
      <c r="AW45" s="87">
        <f t="shared" si="7"/>
        <v>1.7999999999999999E-2</v>
      </c>
      <c r="AX45" s="86">
        <f t="shared" si="8"/>
        <v>3.15</v>
      </c>
      <c r="BA45" s="86">
        <v>41</v>
      </c>
      <c r="BB45" s="14" t="e">
        <f>INDEX(节奏总表!#REF!,神器!BA45)</f>
        <v>#REF!</v>
      </c>
      <c r="BC45" s="14" t="e">
        <f t="shared" si="9"/>
        <v>#REF!</v>
      </c>
      <c r="BD45" s="14">
        <v>5</v>
      </c>
      <c r="BE45" s="14">
        <v>3</v>
      </c>
      <c r="BF45" s="14">
        <f t="shared" si="60"/>
        <v>0</v>
      </c>
      <c r="BG45" s="14">
        <f t="shared" si="64"/>
        <v>0</v>
      </c>
      <c r="BH45" s="14">
        <f t="shared" si="64"/>
        <v>0</v>
      </c>
      <c r="BI45" s="14">
        <f t="shared" si="64"/>
        <v>0</v>
      </c>
      <c r="BJ45" s="14">
        <f t="shared" si="64"/>
        <v>0</v>
      </c>
      <c r="BK45" s="14">
        <f t="shared" si="64"/>
        <v>0</v>
      </c>
      <c r="BL45" s="14">
        <f t="shared" si="64"/>
        <v>0</v>
      </c>
      <c r="BM45" s="14">
        <f t="shared" si="64"/>
        <v>0</v>
      </c>
      <c r="BN45" s="14">
        <f t="shared" si="64"/>
        <v>0</v>
      </c>
      <c r="BO45" s="14">
        <f t="shared" si="64"/>
        <v>0</v>
      </c>
      <c r="BP45" s="14">
        <f t="shared" si="64"/>
        <v>0</v>
      </c>
      <c r="BQ45" s="14">
        <f t="shared" si="64"/>
        <v>0</v>
      </c>
      <c r="BR45" s="14">
        <f t="shared" si="64"/>
        <v>0</v>
      </c>
      <c r="BS45" s="14">
        <f t="shared" si="64"/>
        <v>0</v>
      </c>
      <c r="BT45" s="14">
        <f t="shared" si="64"/>
        <v>0</v>
      </c>
      <c r="BU45" s="14">
        <f t="shared" si="64"/>
        <v>0</v>
      </c>
      <c r="BV45" s="14">
        <f t="shared" si="64"/>
        <v>0</v>
      </c>
      <c r="BW45" s="14">
        <f t="shared" si="64"/>
        <v>0</v>
      </c>
      <c r="BX45" s="14">
        <f t="shared" si="64"/>
        <v>0</v>
      </c>
      <c r="BY45" s="14">
        <f t="shared" si="64"/>
        <v>0</v>
      </c>
      <c r="BZ45" s="14">
        <f t="shared" si="64"/>
        <v>0</v>
      </c>
      <c r="CA45" s="14">
        <f t="shared" si="64"/>
        <v>0</v>
      </c>
      <c r="CB45" s="14">
        <f t="shared" si="64"/>
        <v>0</v>
      </c>
      <c r="CC45" s="14">
        <f t="shared" si="64"/>
        <v>0</v>
      </c>
      <c r="CD45" s="14">
        <f t="shared" si="64"/>
        <v>0</v>
      </c>
      <c r="CE45" s="14">
        <f t="shared" si="64"/>
        <v>0</v>
      </c>
      <c r="CF45" s="14">
        <f t="shared" si="64"/>
        <v>0</v>
      </c>
      <c r="CG45" s="14">
        <f t="shared" si="64"/>
        <v>0</v>
      </c>
      <c r="CH45" s="14">
        <f t="shared" si="64"/>
        <v>0</v>
      </c>
      <c r="CI45" s="14">
        <f t="shared" si="64"/>
        <v>0</v>
      </c>
      <c r="CJ45" s="14">
        <f t="shared" si="64"/>
        <v>0</v>
      </c>
      <c r="CK45" s="14">
        <f t="shared" si="64"/>
        <v>0</v>
      </c>
      <c r="CL45" s="14">
        <f t="shared" si="64"/>
        <v>0</v>
      </c>
      <c r="CM45" s="14">
        <f t="shared" si="64"/>
        <v>0</v>
      </c>
      <c r="CN45" s="14">
        <f t="shared" si="64"/>
        <v>0</v>
      </c>
      <c r="CO45" s="14">
        <f t="shared" si="64"/>
        <v>0</v>
      </c>
      <c r="CP45" s="14">
        <f t="shared" si="64"/>
        <v>0</v>
      </c>
      <c r="CQ45" s="14">
        <f t="shared" si="64"/>
        <v>0</v>
      </c>
      <c r="CR45" s="14">
        <f t="shared" si="64"/>
        <v>0</v>
      </c>
      <c r="CS45" s="14">
        <f t="shared" si="64"/>
        <v>0</v>
      </c>
      <c r="CT45" s="14">
        <f t="shared" si="64"/>
        <v>0</v>
      </c>
      <c r="CU45" s="14">
        <f t="shared" si="64"/>
        <v>0</v>
      </c>
      <c r="CW45" s="14">
        <f>SUM(BF$5:BF45)</f>
        <v>0</v>
      </c>
      <c r="CX45" s="14">
        <f>SUM(BG$5:BG45)</f>
        <v>0</v>
      </c>
      <c r="CY45" s="14">
        <f>SUM(BH$5:BH45)</f>
        <v>0</v>
      </c>
      <c r="CZ45" s="14">
        <f>SUM(BI$5:BI45)</f>
        <v>0</v>
      </c>
      <c r="DA45" s="14">
        <f>SUM(BJ$5:BJ45)</f>
        <v>0</v>
      </c>
      <c r="DB45" s="14">
        <f>SUM(BK$5:BK45)</f>
        <v>0</v>
      </c>
      <c r="DC45" s="14">
        <f>SUM(BL$5:BL45)</f>
        <v>0</v>
      </c>
      <c r="DD45" s="14">
        <f>SUM(BM$5:BM45)</f>
        <v>0</v>
      </c>
      <c r="DE45" s="14">
        <f>SUM(BN$5:BN45)</f>
        <v>0</v>
      </c>
      <c r="DF45" s="14">
        <f>SUM(BO$5:BO45)</f>
        <v>0</v>
      </c>
      <c r="DG45" s="14">
        <f>SUM(BP$5:BP45)</f>
        <v>0</v>
      </c>
      <c r="DH45" s="14">
        <f>SUM(BQ$5:BQ45)</f>
        <v>0</v>
      </c>
      <c r="DI45" s="14">
        <f>SUM(BR$5:BR45)</f>
        <v>0</v>
      </c>
      <c r="DJ45" s="14">
        <f>SUM(BS$5:BS45)</f>
        <v>0</v>
      </c>
      <c r="DK45" s="14">
        <f>SUM(BT$5:BT45)</f>
        <v>0</v>
      </c>
      <c r="DL45" s="14">
        <f>SUM(BU$5:BU45)</f>
        <v>0</v>
      </c>
      <c r="DM45" s="14">
        <f>SUM(BV$5:BV45)</f>
        <v>0</v>
      </c>
      <c r="DN45" s="14">
        <f>SUM(BW$5:BW45)</f>
        <v>0</v>
      </c>
      <c r="DO45" s="14">
        <f>SUM(BX$5:BX45)</f>
        <v>0</v>
      </c>
      <c r="DP45" s="14">
        <f>SUM(BY$5:BY45)</f>
        <v>0</v>
      </c>
      <c r="DQ45" s="14">
        <f>SUM(BZ$5:BZ45)</f>
        <v>0</v>
      </c>
      <c r="DR45" s="14">
        <f>SUM(CA$5:CA45)</f>
        <v>0</v>
      </c>
      <c r="DS45" s="14">
        <f>SUM(CB$5:CB45)</f>
        <v>0</v>
      </c>
      <c r="DT45" s="14">
        <f>SUM(CC$5:CC45)</f>
        <v>0</v>
      </c>
      <c r="DU45" s="14">
        <f>SUM(CD$5:CD45)</f>
        <v>0</v>
      </c>
      <c r="DV45" s="14">
        <f>SUM(CE$5:CE45)</f>
        <v>0</v>
      </c>
      <c r="DW45" s="14">
        <f>SUM(CF$5:CF45)</f>
        <v>0</v>
      </c>
      <c r="DX45" s="14">
        <f>SUM(CG$5:CG45)</f>
        <v>0</v>
      </c>
      <c r="DY45" s="14">
        <f>SUM(CH$5:CH45)</f>
        <v>0</v>
      </c>
      <c r="DZ45" s="14">
        <f>SUM(CI$5:CI45)</f>
        <v>0</v>
      </c>
      <c r="EA45" s="14">
        <f>SUM(CJ$5:CJ45)</f>
        <v>0</v>
      </c>
      <c r="EB45" s="14">
        <f>SUM(CK$5:CK45)</f>
        <v>0</v>
      </c>
      <c r="EC45" s="14">
        <f>SUM(CL$5:CL45)</f>
        <v>0</v>
      </c>
      <c r="ED45" s="14">
        <f>SUM(CM$5:CM45)</f>
        <v>0</v>
      </c>
      <c r="EE45" s="14">
        <f>SUM(CN$5:CN45)</f>
        <v>0</v>
      </c>
      <c r="EF45" s="14">
        <f>SUM(CO$5:CO45)</f>
        <v>0</v>
      </c>
      <c r="EG45" s="14">
        <f>SUM(CP$5:CP45)</f>
        <v>0</v>
      </c>
      <c r="EH45" s="14">
        <f>SUM(CQ$5:CQ45)</f>
        <v>0</v>
      </c>
      <c r="EI45" s="14">
        <f>SUM(CR$5:CR45)</f>
        <v>0</v>
      </c>
      <c r="EJ45" s="14">
        <f>SUM(CS$5:CS45)</f>
        <v>0</v>
      </c>
      <c r="EK45" s="14">
        <f>SUM(CT$5:CT45)</f>
        <v>0</v>
      </c>
      <c r="EL45" s="14">
        <f>SUM(CU$5:CU45)</f>
        <v>0</v>
      </c>
      <c r="EO45" s="87">
        <f t="shared" si="11"/>
        <v>0</v>
      </c>
      <c r="EP45" s="87">
        <f t="shared" si="12"/>
        <v>0</v>
      </c>
      <c r="EQ45" s="87">
        <f t="shared" si="13"/>
        <v>0</v>
      </c>
      <c r="ER45" s="87">
        <f t="shared" si="14"/>
        <v>0</v>
      </c>
      <c r="ES45" s="87">
        <f t="shared" si="15"/>
        <v>0</v>
      </c>
      <c r="ET45" s="87">
        <f t="shared" si="16"/>
        <v>0</v>
      </c>
      <c r="EU45" s="87">
        <f t="shared" si="17"/>
        <v>0</v>
      </c>
      <c r="EV45" s="87">
        <f t="shared" si="18"/>
        <v>0</v>
      </c>
      <c r="EW45" s="87">
        <f t="shared" si="19"/>
        <v>0</v>
      </c>
      <c r="EX45" s="87">
        <f t="shared" si="20"/>
        <v>0</v>
      </c>
      <c r="EY45" s="87">
        <f t="shared" si="21"/>
        <v>0</v>
      </c>
      <c r="EZ45" s="87">
        <f t="shared" si="22"/>
        <v>0</v>
      </c>
      <c r="FA45" s="87">
        <f t="shared" si="23"/>
        <v>0</v>
      </c>
      <c r="FB45" s="87">
        <f t="shared" si="24"/>
        <v>0</v>
      </c>
      <c r="FC45" s="87">
        <f t="shared" si="25"/>
        <v>0</v>
      </c>
      <c r="FD45" s="87">
        <f t="shared" si="26"/>
        <v>0</v>
      </c>
      <c r="FE45" s="87">
        <f t="shared" si="27"/>
        <v>0</v>
      </c>
      <c r="FF45" s="87">
        <f t="shared" si="28"/>
        <v>0</v>
      </c>
      <c r="FG45" s="87">
        <f t="shared" si="29"/>
        <v>0</v>
      </c>
      <c r="FH45" s="87">
        <f t="shared" si="30"/>
        <v>0</v>
      </c>
      <c r="FI45" s="87">
        <f t="shared" si="31"/>
        <v>0</v>
      </c>
      <c r="FJ45" s="87">
        <f t="shared" si="32"/>
        <v>0</v>
      </c>
      <c r="FK45" s="87">
        <f t="shared" si="33"/>
        <v>0</v>
      </c>
      <c r="FL45" s="87">
        <f t="shared" si="34"/>
        <v>0</v>
      </c>
      <c r="FM45" s="87">
        <f t="shared" si="35"/>
        <v>0</v>
      </c>
      <c r="FN45" s="87">
        <f t="shared" si="36"/>
        <v>0</v>
      </c>
      <c r="FO45" s="87">
        <f t="shared" si="37"/>
        <v>0</v>
      </c>
      <c r="FP45" s="87">
        <f t="shared" si="38"/>
        <v>0</v>
      </c>
      <c r="FQ45" s="87">
        <f t="shared" si="39"/>
        <v>0</v>
      </c>
      <c r="FR45" s="87">
        <f t="shared" si="40"/>
        <v>0</v>
      </c>
      <c r="FS45" s="87">
        <f t="shared" si="41"/>
        <v>0</v>
      </c>
      <c r="FT45" s="87">
        <f t="shared" si="42"/>
        <v>0</v>
      </c>
      <c r="FU45" s="87">
        <f t="shared" si="43"/>
        <v>0</v>
      </c>
      <c r="FV45" s="87">
        <f t="shared" si="44"/>
        <v>0</v>
      </c>
      <c r="FW45" s="87">
        <f t="shared" si="45"/>
        <v>0</v>
      </c>
      <c r="FX45" s="87">
        <f t="shared" si="46"/>
        <v>0</v>
      </c>
      <c r="FY45" s="87">
        <f t="shared" si="47"/>
        <v>0</v>
      </c>
      <c r="FZ45" s="87">
        <f t="shared" si="48"/>
        <v>0</v>
      </c>
      <c r="GA45" s="87">
        <f t="shared" si="49"/>
        <v>0</v>
      </c>
      <c r="GB45" s="87">
        <f t="shared" si="50"/>
        <v>0</v>
      </c>
      <c r="GC45" s="87">
        <f t="shared" si="51"/>
        <v>0</v>
      </c>
      <c r="GD45" s="87">
        <f t="shared" si="52"/>
        <v>0</v>
      </c>
    </row>
    <row r="46" spans="11:186" ht="16.5" x14ac:dyDescent="0.2">
      <c r="K46" s="86">
        <v>42</v>
      </c>
      <c r="L46" s="86">
        <v>7</v>
      </c>
      <c r="M46" s="86">
        <v>8</v>
      </c>
      <c r="N46" s="86" t="str">
        <f t="shared" si="3"/>
        <v>神器7-8</v>
      </c>
      <c r="O46" s="86">
        <v>4</v>
      </c>
      <c r="P46" s="14">
        <f t="shared" si="4"/>
        <v>750</v>
      </c>
      <c r="Q46" s="88">
        <v>0.05</v>
      </c>
      <c r="R46" s="14">
        <v>1</v>
      </c>
      <c r="S46" s="14">
        <v>1</v>
      </c>
      <c r="T46" s="88">
        <v>0.05</v>
      </c>
      <c r="U46" s="14">
        <v>1</v>
      </c>
      <c r="V46" s="14">
        <v>2</v>
      </c>
      <c r="W46" s="88">
        <v>0.05</v>
      </c>
      <c r="X46" s="14">
        <v>1</v>
      </c>
      <c r="Y46" s="14">
        <v>3</v>
      </c>
      <c r="AO46" s="48">
        <v>4</v>
      </c>
      <c r="AP46" s="86">
        <v>20</v>
      </c>
      <c r="AQ46" s="86">
        <v>3</v>
      </c>
      <c r="AR46" s="48">
        <v>1</v>
      </c>
      <c r="AS46" s="86" t="s">
        <v>340</v>
      </c>
      <c r="AT46" s="21">
        <f t="shared" si="61"/>
        <v>8.9999999999999993E-3</v>
      </c>
      <c r="AU46" s="86">
        <f t="shared" si="5"/>
        <v>1</v>
      </c>
      <c r="AV46" s="86">
        <f t="shared" si="6"/>
        <v>1</v>
      </c>
      <c r="AW46" s="87">
        <f t="shared" si="7"/>
        <v>8.9999999999999993E-3</v>
      </c>
      <c r="AX46" s="86">
        <f t="shared" si="8"/>
        <v>3.3749999999999996</v>
      </c>
      <c r="BA46" s="86">
        <v>42</v>
      </c>
      <c r="BB46" s="14" t="e">
        <f>INDEX(节奏总表!#REF!,神器!BA46)</f>
        <v>#REF!</v>
      </c>
      <c r="BC46" s="14" t="e">
        <f t="shared" si="9"/>
        <v>#REF!</v>
      </c>
      <c r="BD46" s="14">
        <v>5</v>
      </c>
      <c r="BE46" s="14">
        <v>3</v>
      </c>
      <c r="BF46" s="14">
        <f t="shared" si="60"/>
        <v>0</v>
      </c>
      <c r="BG46" s="14">
        <f t="shared" si="64"/>
        <v>0</v>
      </c>
      <c r="BH46" s="14">
        <f t="shared" si="64"/>
        <v>0</v>
      </c>
      <c r="BI46" s="14">
        <f t="shared" si="64"/>
        <v>0</v>
      </c>
      <c r="BJ46" s="14">
        <f t="shared" si="64"/>
        <v>0</v>
      </c>
      <c r="BK46" s="14">
        <f t="shared" si="64"/>
        <v>0</v>
      </c>
      <c r="BL46" s="14">
        <f t="shared" si="64"/>
        <v>0</v>
      </c>
      <c r="BM46" s="14">
        <f t="shared" si="64"/>
        <v>0</v>
      </c>
      <c r="BN46" s="14">
        <f t="shared" si="64"/>
        <v>0</v>
      </c>
      <c r="BO46" s="14">
        <f t="shared" si="64"/>
        <v>0</v>
      </c>
      <c r="BP46" s="14">
        <f t="shared" si="64"/>
        <v>0</v>
      </c>
      <c r="BQ46" s="14">
        <f t="shared" si="64"/>
        <v>0</v>
      </c>
      <c r="BR46" s="14">
        <f t="shared" si="64"/>
        <v>0</v>
      </c>
      <c r="BS46" s="14">
        <f t="shared" si="64"/>
        <v>0</v>
      </c>
      <c r="BT46" s="14">
        <f t="shared" si="64"/>
        <v>0</v>
      </c>
      <c r="BU46" s="14">
        <f t="shared" si="64"/>
        <v>0</v>
      </c>
      <c r="BV46" s="14">
        <f t="shared" si="64"/>
        <v>0</v>
      </c>
      <c r="BW46" s="14">
        <f t="shared" si="64"/>
        <v>0</v>
      </c>
      <c r="BX46" s="14">
        <f t="shared" si="64"/>
        <v>0</v>
      </c>
      <c r="BY46" s="14">
        <f t="shared" si="64"/>
        <v>0</v>
      </c>
      <c r="BZ46" s="14">
        <f t="shared" si="64"/>
        <v>0</v>
      </c>
      <c r="CA46" s="14">
        <f t="shared" si="64"/>
        <v>0</v>
      </c>
      <c r="CB46" s="14">
        <f t="shared" si="64"/>
        <v>0</v>
      </c>
      <c r="CC46" s="14">
        <f t="shared" si="64"/>
        <v>0</v>
      </c>
      <c r="CD46" s="14">
        <f t="shared" si="64"/>
        <v>0</v>
      </c>
      <c r="CE46" s="14">
        <f t="shared" si="64"/>
        <v>0</v>
      </c>
      <c r="CF46" s="14">
        <f t="shared" si="64"/>
        <v>0</v>
      </c>
      <c r="CG46" s="14">
        <f t="shared" si="64"/>
        <v>0</v>
      </c>
      <c r="CH46" s="14">
        <f t="shared" si="64"/>
        <v>0</v>
      </c>
      <c r="CI46" s="14">
        <f t="shared" si="64"/>
        <v>0</v>
      </c>
      <c r="CJ46" s="14">
        <f t="shared" si="64"/>
        <v>0</v>
      </c>
      <c r="CK46" s="14">
        <f t="shared" si="64"/>
        <v>0</v>
      </c>
      <c r="CL46" s="14">
        <f t="shared" si="64"/>
        <v>0</v>
      </c>
      <c r="CM46" s="14">
        <f t="shared" si="64"/>
        <v>0</v>
      </c>
      <c r="CN46" s="14">
        <f t="shared" si="64"/>
        <v>0</v>
      </c>
      <c r="CO46" s="14">
        <f t="shared" si="64"/>
        <v>0</v>
      </c>
      <c r="CP46" s="14">
        <f t="shared" si="64"/>
        <v>0</v>
      </c>
      <c r="CQ46" s="14">
        <f t="shared" si="64"/>
        <v>0</v>
      </c>
      <c r="CR46" s="14">
        <f t="shared" si="64"/>
        <v>0</v>
      </c>
      <c r="CS46" s="14">
        <f t="shared" si="64"/>
        <v>0</v>
      </c>
      <c r="CT46" s="14">
        <f t="shared" si="64"/>
        <v>0</v>
      </c>
      <c r="CU46" s="14">
        <f t="shared" si="64"/>
        <v>0</v>
      </c>
      <c r="CW46" s="14">
        <f>SUM(BF$5:BF46)</f>
        <v>0</v>
      </c>
      <c r="CX46" s="14">
        <f>SUM(BG$5:BG46)</f>
        <v>0</v>
      </c>
      <c r="CY46" s="14">
        <f>SUM(BH$5:BH46)</f>
        <v>0</v>
      </c>
      <c r="CZ46" s="14">
        <f>SUM(BI$5:BI46)</f>
        <v>0</v>
      </c>
      <c r="DA46" s="14">
        <f>SUM(BJ$5:BJ46)</f>
        <v>0</v>
      </c>
      <c r="DB46" s="14">
        <f>SUM(BK$5:BK46)</f>
        <v>0</v>
      </c>
      <c r="DC46" s="14">
        <f>SUM(BL$5:BL46)</f>
        <v>0</v>
      </c>
      <c r="DD46" s="14">
        <f>SUM(BM$5:BM46)</f>
        <v>0</v>
      </c>
      <c r="DE46" s="14">
        <f>SUM(BN$5:BN46)</f>
        <v>0</v>
      </c>
      <c r="DF46" s="14">
        <f>SUM(BO$5:BO46)</f>
        <v>0</v>
      </c>
      <c r="DG46" s="14">
        <f>SUM(BP$5:BP46)</f>
        <v>0</v>
      </c>
      <c r="DH46" s="14">
        <f>SUM(BQ$5:BQ46)</f>
        <v>0</v>
      </c>
      <c r="DI46" s="14">
        <f>SUM(BR$5:BR46)</f>
        <v>0</v>
      </c>
      <c r="DJ46" s="14">
        <f>SUM(BS$5:BS46)</f>
        <v>0</v>
      </c>
      <c r="DK46" s="14">
        <f>SUM(BT$5:BT46)</f>
        <v>0</v>
      </c>
      <c r="DL46" s="14">
        <f>SUM(BU$5:BU46)</f>
        <v>0</v>
      </c>
      <c r="DM46" s="14">
        <f>SUM(BV$5:BV46)</f>
        <v>0</v>
      </c>
      <c r="DN46" s="14">
        <f>SUM(BW$5:BW46)</f>
        <v>0</v>
      </c>
      <c r="DO46" s="14">
        <f>SUM(BX$5:BX46)</f>
        <v>0</v>
      </c>
      <c r="DP46" s="14">
        <f>SUM(BY$5:BY46)</f>
        <v>0</v>
      </c>
      <c r="DQ46" s="14">
        <f>SUM(BZ$5:BZ46)</f>
        <v>0</v>
      </c>
      <c r="DR46" s="14">
        <f>SUM(CA$5:CA46)</f>
        <v>0</v>
      </c>
      <c r="DS46" s="14">
        <f>SUM(CB$5:CB46)</f>
        <v>0</v>
      </c>
      <c r="DT46" s="14">
        <f>SUM(CC$5:CC46)</f>
        <v>0</v>
      </c>
      <c r="DU46" s="14">
        <f>SUM(CD$5:CD46)</f>
        <v>0</v>
      </c>
      <c r="DV46" s="14">
        <f>SUM(CE$5:CE46)</f>
        <v>0</v>
      </c>
      <c r="DW46" s="14">
        <f>SUM(CF$5:CF46)</f>
        <v>0</v>
      </c>
      <c r="DX46" s="14">
        <f>SUM(CG$5:CG46)</f>
        <v>0</v>
      </c>
      <c r="DY46" s="14">
        <f>SUM(CH$5:CH46)</f>
        <v>0</v>
      </c>
      <c r="DZ46" s="14">
        <f>SUM(CI$5:CI46)</f>
        <v>0</v>
      </c>
      <c r="EA46" s="14">
        <f>SUM(CJ$5:CJ46)</f>
        <v>0</v>
      </c>
      <c r="EB46" s="14">
        <f>SUM(CK$5:CK46)</f>
        <v>0</v>
      </c>
      <c r="EC46" s="14">
        <f>SUM(CL$5:CL46)</f>
        <v>0</v>
      </c>
      <c r="ED46" s="14">
        <f>SUM(CM$5:CM46)</f>
        <v>0</v>
      </c>
      <c r="EE46" s="14">
        <f>SUM(CN$5:CN46)</f>
        <v>0</v>
      </c>
      <c r="EF46" s="14">
        <f>SUM(CO$5:CO46)</f>
        <v>0</v>
      </c>
      <c r="EG46" s="14">
        <f>SUM(CP$5:CP46)</f>
        <v>0</v>
      </c>
      <c r="EH46" s="14">
        <f>SUM(CQ$5:CQ46)</f>
        <v>0</v>
      </c>
      <c r="EI46" s="14">
        <f>SUM(CR$5:CR46)</f>
        <v>0</v>
      </c>
      <c r="EJ46" s="14">
        <f>SUM(CS$5:CS46)</f>
        <v>0</v>
      </c>
      <c r="EK46" s="14">
        <f>SUM(CT$5:CT46)</f>
        <v>0</v>
      </c>
      <c r="EL46" s="14">
        <f>SUM(CU$5:CU46)</f>
        <v>0</v>
      </c>
      <c r="EO46" s="87">
        <f t="shared" si="11"/>
        <v>0</v>
      </c>
      <c r="EP46" s="87">
        <f t="shared" si="12"/>
        <v>0</v>
      </c>
      <c r="EQ46" s="87">
        <f t="shared" si="13"/>
        <v>0</v>
      </c>
      <c r="ER46" s="87">
        <f t="shared" si="14"/>
        <v>0</v>
      </c>
      <c r="ES46" s="87">
        <f t="shared" si="15"/>
        <v>0</v>
      </c>
      <c r="ET46" s="87">
        <f t="shared" si="16"/>
        <v>0</v>
      </c>
      <c r="EU46" s="87">
        <f t="shared" si="17"/>
        <v>0</v>
      </c>
      <c r="EV46" s="87">
        <f t="shared" si="18"/>
        <v>0</v>
      </c>
      <c r="EW46" s="87">
        <f t="shared" si="19"/>
        <v>0</v>
      </c>
      <c r="EX46" s="87">
        <f t="shared" si="20"/>
        <v>0</v>
      </c>
      <c r="EY46" s="87">
        <f t="shared" si="21"/>
        <v>0</v>
      </c>
      <c r="EZ46" s="87">
        <f t="shared" si="22"/>
        <v>0</v>
      </c>
      <c r="FA46" s="87">
        <f t="shared" si="23"/>
        <v>0</v>
      </c>
      <c r="FB46" s="87">
        <f t="shared" si="24"/>
        <v>0</v>
      </c>
      <c r="FC46" s="87">
        <f t="shared" si="25"/>
        <v>0</v>
      </c>
      <c r="FD46" s="87">
        <f t="shared" si="26"/>
        <v>0</v>
      </c>
      <c r="FE46" s="87">
        <f t="shared" si="27"/>
        <v>0</v>
      </c>
      <c r="FF46" s="87">
        <f t="shared" si="28"/>
        <v>0</v>
      </c>
      <c r="FG46" s="87">
        <f t="shared" si="29"/>
        <v>0</v>
      </c>
      <c r="FH46" s="87">
        <f t="shared" si="30"/>
        <v>0</v>
      </c>
      <c r="FI46" s="87">
        <f t="shared" si="31"/>
        <v>0</v>
      </c>
      <c r="FJ46" s="87">
        <f t="shared" si="32"/>
        <v>0</v>
      </c>
      <c r="FK46" s="87">
        <f t="shared" si="33"/>
        <v>0</v>
      </c>
      <c r="FL46" s="87">
        <f t="shared" si="34"/>
        <v>0</v>
      </c>
      <c r="FM46" s="87">
        <f t="shared" si="35"/>
        <v>0</v>
      </c>
      <c r="FN46" s="87">
        <f t="shared" si="36"/>
        <v>0</v>
      </c>
      <c r="FO46" s="87">
        <f t="shared" si="37"/>
        <v>0</v>
      </c>
      <c r="FP46" s="87">
        <f t="shared" si="38"/>
        <v>0</v>
      </c>
      <c r="FQ46" s="87">
        <f t="shared" si="39"/>
        <v>0</v>
      </c>
      <c r="FR46" s="87">
        <f t="shared" si="40"/>
        <v>0</v>
      </c>
      <c r="FS46" s="87">
        <f t="shared" si="41"/>
        <v>0</v>
      </c>
      <c r="FT46" s="87">
        <f t="shared" si="42"/>
        <v>0</v>
      </c>
      <c r="FU46" s="87">
        <f t="shared" si="43"/>
        <v>0</v>
      </c>
      <c r="FV46" s="87">
        <f t="shared" si="44"/>
        <v>0</v>
      </c>
      <c r="FW46" s="87">
        <f t="shared" si="45"/>
        <v>0</v>
      </c>
      <c r="FX46" s="87">
        <f t="shared" si="46"/>
        <v>0</v>
      </c>
      <c r="FY46" s="87">
        <f t="shared" si="47"/>
        <v>0</v>
      </c>
      <c r="FZ46" s="87">
        <f t="shared" si="48"/>
        <v>0</v>
      </c>
      <c r="GA46" s="87">
        <f t="shared" si="49"/>
        <v>0</v>
      </c>
      <c r="GB46" s="87">
        <f t="shared" si="50"/>
        <v>0</v>
      </c>
      <c r="GC46" s="87">
        <f t="shared" si="51"/>
        <v>0</v>
      </c>
      <c r="GD46" s="87">
        <f t="shared" si="52"/>
        <v>0</v>
      </c>
    </row>
    <row r="47" spans="11:186" ht="16.5" x14ac:dyDescent="0.2">
      <c r="AO47" s="48">
        <v>5</v>
      </c>
      <c r="AP47" s="86">
        <v>9</v>
      </c>
      <c r="AQ47" s="86">
        <v>1</v>
      </c>
      <c r="AR47" s="48">
        <v>3</v>
      </c>
      <c r="AS47" s="86" t="s">
        <v>329</v>
      </c>
      <c r="AT47" s="21">
        <f t="shared" si="61"/>
        <v>0.13750000000000001</v>
      </c>
      <c r="AU47" s="86">
        <f t="shared" si="5"/>
        <v>3</v>
      </c>
      <c r="AV47" s="86">
        <f t="shared" si="6"/>
        <v>5</v>
      </c>
      <c r="AW47" s="87">
        <f t="shared" si="7"/>
        <v>0.55000000000000004</v>
      </c>
      <c r="AX47" s="86">
        <f t="shared" si="8"/>
        <v>11</v>
      </c>
      <c r="BA47" s="86">
        <v>43</v>
      </c>
      <c r="BB47" s="14" t="e">
        <f>INDEX(节奏总表!#REF!,神器!BA47)</f>
        <v>#REF!</v>
      </c>
      <c r="BC47" s="14" t="e">
        <f t="shared" si="9"/>
        <v>#REF!</v>
      </c>
      <c r="BD47" s="14">
        <v>5</v>
      </c>
      <c r="BE47" s="14">
        <v>3</v>
      </c>
      <c r="BF47" s="14">
        <f t="shared" si="60"/>
        <v>0</v>
      </c>
      <c r="BG47" s="14">
        <f t="shared" si="64"/>
        <v>0</v>
      </c>
      <c r="BH47" s="14">
        <f t="shared" si="64"/>
        <v>0</v>
      </c>
      <c r="BI47" s="14">
        <f t="shared" si="64"/>
        <v>0</v>
      </c>
      <c r="BJ47" s="14">
        <f t="shared" si="64"/>
        <v>0</v>
      </c>
      <c r="BK47" s="14">
        <f t="shared" si="64"/>
        <v>0</v>
      </c>
      <c r="BL47" s="14">
        <f t="shared" si="64"/>
        <v>0</v>
      </c>
      <c r="BM47" s="14">
        <f t="shared" si="64"/>
        <v>0</v>
      </c>
      <c r="BN47" s="14">
        <f t="shared" si="64"/>
        <v>0</v>
      </c>
      <c r="BO47" s="14">
        <f t="shared" ref="BO47:CD47" si="65">SUMIFS($AT$5:$AT$122,$AO$5:$AO$122,"="&amp;$BC47,$AP$5:$AP$122,"="&amp;BO$2) * (SUMIFS($AU$5:$AU$122,$AO$5:$AO$122,"="&amp;$BC47,$AP$5:$AP$122,"="&amp;BO$2)+SUMIFS($AV$5:$AV$122,$AO$5:$AO$122,"="&amp;$BC47,$AP$5:$AP$122,"="&amp;BO$2))/2*$BD47*$BE47</f>
        <v>0</v>
      </c>
      <c r="BP47" s="14">
        <f t="shared" si="65"/>
        <v>0</v>
      </c>
      <c r="BQ47" s="14">
        <f t="shared" si="65"/>
        <v>0</v>
      </c>
      <c r="BR47" s="14">
        <f t="shared" si="65"/>
        <v>0</v>
      </c>
      <c r="BS47" s="14">
        <f t="shared" si="65"/>
        <v>0</v>
      </c>
      <c r="BT47" s="14">
        <f t="shared" si="65"/>
        <v>0</v>
      </c>
      <c r="BU47" s="14">
        <f t="shared" si="65"/>
        <v>0</v>
      </c>
      <c r="BV47" s="14">
        <f t="shared" si="65"/>
        <v>0</v>
      </c>
      <c r="BW47" s="14">
        <f t="shared" si="65"/>
        <v>0</v>
      </c>
      <c r="BX47" s="14">
        <f t="shared" si="65"/>
        <v>0</v>
      </c>
      <c r="BY47" s="14">
        <f t="shared" si="65"/>
        <v>0</v>
      </c>
      <c r="BZ47" s="14">
        <f t="shared" si="65"/>
        <v>0</v>
      </c>
      <c r="CA47" s="14">
        <f t="shared" si="65"/>
        <v>0</v>
      </c>
      <c r="CB47" s="14">
        <f t="shared" si="65"/>
        <v>0</v>
      </c>
      <c r="CC47" s="14">
        <f t="shared" si="65"/>
        <v>0</v>
      </c>
      <c r="CD47" s="14">
        <f t="shared" si="65"/>
        <v>0</v>
      </c>
      <c r="CE47" s="14">
        <f t="shared" ref="CE47:CT47" si="66">SUMIFS($AT$5:$AT$122,$AO$5:$AO$122,"="&amp;$BC47,$AP$5:$AP$122,"="&amp;CE$2) * (SUMIFS($AU$5:$AU$122,$AO$5:$AO$122,"="&amp;$BC47,$AP$5:$AP$122,"="&amp;CE$2)+SUMIFS($AV$5:$AV$122,$AO$5:$AO$122,"="&amp;$BC47,$AP$5:$AP$122,"="&amp;CE$2))/2*$BD47*$BE47</f>
        <v>0</v>
      </c>
      <c r="CF47" s="14">
        <f t="shared" si="66"/>
        <v>0</v>
      </c>
      <c r="CG47" s="14">
        <f t="shared" si="66"/>
        <v>0</v>
      </c>
      <c r="CH47" s="14">
        <f t="shared" si="66"/>
        <v>0</v>
      </c>
      <c r="CI47" s="14">
        <f t="shared" si="66"/>
        <v>0</v>
      </c>
      <c r="CJ47" s="14">
        <f t="shared" si="66"/>
        <v>0</v>
      </c>
      <c r="CK47" s="14">
        <f t="shared" si="66"/>
        <v>0</v>
      </c>
      <c r="CL47" s="14">
        <f t="shared" si="66"/>
        <v>0</v>
      </c>
      <c r="CM47" s="14">
        <f t="shared" si="66"/>
        <v>0</v>
      </c>
      <c r="CN47" s="14">
        <f t="shared" si="66"/>
        <v>0</v>
      </c>
      <c r="CO47" s="14">
        <f t="shared" si="66"/>
        <v>0</v>
      </c>
      <c r="CP47" s="14">
        <f t="shared" si="66"/>
        <v>0</v>
      </c>
      <c r="CQ47" s="14">
        <f t="shared" si="66"/>
        <v>0</v>
      </c>
      <c r="CR47" s="14">
        <f t="shared" si="66"/>
        <v>0</v>
      </c>
      <c r="CS47" s="14">
        <f t="shared" si="66"/>
        <v>0</v>
      </c>
      <c r="CT47" s="14">
        <f t="shared" si="66"/>
        <v>0</v>
      </c>
      <c r="CU47" s="14">
        <f t="shared" ref="BG47:CU54" si="67">SUMIFS($AT$5:$AT$122,$AO$5:$AO$122,"="&amp;$BC47,$AP$5:$AP$122,"="&amp;CU$2) * (SUMIFS($AU$5:$AU$122,$AO$5:$AO$122,"="&amp;$BC47,$AP$5:$AP$122,"="&amp;CU$2)+SUMIFS($AV$5:$AV$122,$AO$5:$AO$122,"="&amp;$BC47,$AP$5:$AP$122,"="&amp;CU$2))/2*$BD47*$BE47</f>
        <v>0</v>
      </c>
      <c r="CW47" s="14">
        <f>SUM(BF$5:BF47)</f>
        <v>0</v>
      </c>
      <c r="CX47" s="14">
        <f>SUM(BG$5:BG47)</f>
        <v>0</v>
      </c>
      <c r="CY47" s="14">
        <f>SUM(BH$5:BH47)</f>
        <v>0</v>
      </c>
      <c r="CZ47" s="14">
        <f>SUM(BI$5:BI47)</f>
        <v>0</v>
      </c>
      <c r="DA47" s="14">
        <f>SUM(BJ$5:BJ47)</f>
        <v>0</v>
      </c>
      <c r="DB47" s="14">
        <f>SUM(BK$5:BK47)</f>
        <v>0</v>
      </c>
      <c r="DC47" s="14">
        <f>SUM(BL$5:BL47)</f>
        <v>0</v>
      </c>
      <c r="DD47" s="14">
        <f>SUM(BM$5:BM47)</f>
        <v>0</v>
      </c>
      <c r="DE47" s="14">
        <f>SUM(BN$5:BN47)</f>
        <v>0</v>
      </c>
      <c r="DF47" s="14">
        <f>SUM(BO$5:BO47)</f>
        <v>0</v>
      </c>
      <c r="DG47" s="14">
        <f>SUM(BP$5:BP47)</f>
        <v>0</v>
      </c>
      <c r="DH47" s="14">
        <f>SUM(BQ$5:BQ47)</f>
        <v>0</v>
      </c>
      <c r="DI47" s="14">
        <f>SUM(BR$5:BR47)</f>
        <v>0</v>
      </c>
      <c r="DJ47" s="14">
        <f>SUM(BS$5:BS47)</f>
        <v>0</v>
      </c>
      <c r="DK47" s="14">
        <f>SUM(BT$5:BT47)</f>
        <v>0</v>
      </c>
      <c r="DL47" s="14">
        <f>SUM(BU$5:BU47)</f>
        <v>0</v>
      </c>
      <c r="DM47" s="14">
        <f>SUM(BV$5:BV47)</f>
        <v>0</v>
      </c>
      <c r="DN47" s="14">
        <f>SUM(BW$5:BW47)</f>
        <v>0</v>
      </c>
      <c r="DO47" s="14">
        <f>SUM(BX$5:BX47)</f>
        <v>0</v>
      </c>
      <c r="DP47" s="14">
        <f>SUM(BY$5:BY47)</f>
        <v>0</v>
      </c>
      <c r="DQ47" s="14">
        <f>SUM(BZ$5:BZ47)</f>
        <v>0</v>
      </c>
      <c r="DR47" s="14">
        <f>SUM(CA$5:CA47)</f>
        <v>0</v>
      </c>
      <c r="DS47" s="14">
        <f>SUM(CB$5:CB47)</f>
        <v>0</v>
      </c>
      <c r="DT47" s="14">
        <f>SUM(CC$5:CC47)</f>
        <v>0</v>
      </c>
      <c r="DU47" s="14">
        <f>SUM(CD$5:CD47)</f>
        <v>0</v>
      </c>
      <c r="DV47" s="14">
        <f>SUM(CE$5:CE47)</f>
        <v>0</v>
      </c>
      <c r="DW47" s="14">
        <f>SUM(CF$5:CF47)</f>
        <v>0</v>
      </c>
      <c r="DX47" s="14">
        <f>SUM(CG$5:CG47)</f>
        <v>0</v>
      </c>
      <c r="DY47" s="14">
        <f>SUM(CH$5:CH47)</f>
        <v>0</v>
      </c>
      <c r="DZ47" s="14">
        <f>SUM(CI$5:CI47)</f>
        <v>0</v>
      </c>
      <c r="EA47" s="14">
        <f>SUM(CJ$5:CJ47)</f>
        <v>0</v>
      </c>
      <c r="EB47" s="14">
        <f>SUM(CK$5:CK47)</f>
        <v>0</v>
      </c>
      <c r="EC47" s="14">
        <f>SUM(CL$5:CL47)</f>
        <v>0</v>
      </c>
      <c r="ED47" s="14">
        <f>SUM(CM$5:CM47)</f>
        <v>0</v>
      </c>
      <c r="EE47" s="14">
        <f>SUM(CN$5:CN47)</f>
        <v>0</v>
      </c>
      <c r="EF47" s="14">
        <f>SUM(CO$5:CO47)</f>
        <v>0</v>
      </c>
      <c r="EG47" s="14">
        <f>SUM(CP$5:CP47)</f>
        <v>0</v>
      </c>
      <c r="EH47" s="14">
        <f>SUM(CQ$5:CQ47)</f>
        <v>0</v>
      </c>
      <c r="EI47" s="14">
        <f>SUM(CR$5:CR47)</f>
        <v>0</v>
      </c>
      <c r="EJ47" s="14">
        <f>SUM(CS$5:CS47)</f>
        <v>0</v>
      </c>
      <c r="EK47" s="14">
        <f>SUM(CT$5:CT47)</f>
        <v>0</v>
      </c>
      <c r="EL47" s="14">
        <f>SUM(CU$5:CU47)</f>
        <v>0</v>
      </c>
      <c r="EO47" s="87">
        <f t="shared" si="11"/>
        <v>0</v>
      </c>
      <c r="EP47" s="87">
        <f t="shared" si="12"/>
        <v>0</v>
      </c>
      <c r="EQ47" s="87">
        <f t="shared" si="13"/>
        <v>0</v>
      </c>
      <c r="ER47" s="87">
        <f t="shared" si="14"/>
        <v>0</v>
      </c>
      <c r="ES47" s="87">
        <f t="shared" si="15"/>
        <v>0</v>
      </c>
      <c r="ET47" s="87">
        <f t="shared" si="16"/>
        <v>0</v>
      </c>
      <c r="EU47" s="87">
        <f t="shared" si="17"/>
        <v>0</v>
      </c>
      <c r="EV47" s="87">
        <f t="shared" si="18"/>
        <v>0</v>
      </c>
      <c r="EW47" s="87">
        <f t="shared" si="19"/>
        <v>0</v>
      </c>
      <c r="EX47" s="87">
        <f t="shared" si="20"/>
        <v>0</v>
      </c>
      <c r="EY47" s="87">
        <f t="shared" si="21"/>
        <v>0</v>
      </c>
      <c r="EZ47" s="87">
        <f t="shared" si="22"/>
        <v>0</v>
      </c>
      <c r="FA47" s="87">
        <f t="shared" si="23"/>
        <v>0</v>
      </c>
      <c r="FB47" s="87">
        <f t="shared" si="24"/>
        <v>0</v>
      </c>
      <c r="FC47" s="87">
        <f t="shared" si="25"/>
        <v>0</v>
      </c>
      <c r="FD47" s="87">
        <f t="shared" si="26"/>
        <v>0</v>
      </c>
      <c r="FE47" s="87">
        <f t="shared" si="27"/>
        <v>0</v>
      </c>
      <c r="FF47" s="87">
        <f t="shared" si="28"/>
        <v>0</v>
      </c>
      <c r="FG47" s="87">
        <f t="shared" si="29"/>
        <v>0</v>
      </c>
      <c r="FH47" s="87">
        <f t="shared" si="30"/>
        <v>0</v>
      </c>
      <c r="FI47" s="87">
        <f t="shared" si="31"/>
        <v>0</v>
      </c>
      <c r="FJ47" s="87">
        <f t="shared" si="32"/>
        <v>0</v>
      </c>
      <c r="FK47" s="87">
        <f t="shared" si="33"/>
        <v>0</v>
      </c>
      <c r="FL47" s="87">
        <f t="shared" si="34"/>
        <v>0</v>
      </c>
      <c r="FM47" s="87">
        <f t="shared" si="35"/>
        <v>0</v>
      </c>
      <c r="FN47" s="87">
        <f t="shared" si="36"/>
        <v>0</v>
      </c>
      <c r="FO47" s="87">
        <f t="shared" si="37"/>
        <v>0</v>
      </c>
      <c r="FP47" s="87">
        <f t="shared" si="38"/>
        <v>0</v>
      </c>
      <c r="FQ47" s="87">
        <f t="shared" si="39"/>
        <v>0</v>
      </c>
      <c r="FR47" s="87">
        <f t="shared" si="40"/>
        <v>0</v>
      </c>
      <c r="FS47" s="87">
        <f t="shared" si="41"/>
        <v>0</v>
      </c>
      <c r="FT47" s="87">
        <f t="shared" si="42"/>
        <v>0</v>
      </c>
      <c r="FU47" s="87">
        <f t="shared" si="43"/>
        <v>0</v>
      </c>
      <c r="FV47" s="87">
        <f t="shared" si="44"/>
        <v>0</v>
      </c>
      <c r="FW47" s="87">
        <f t="shared" si="45"/>
        <v>0</v>
      </c>
      <c r="FX47" s="87">
        <f t="shared" si="46"/>
        <v>0</v>
      </c>
      <c r="FY47" s="87">
        <f t="shared" si="47"/>
        <v>0</v>
      </c>
      <c r="FZ47" s="87">
        <f t="shared" si="48"/>
        <v>0</v>
      </c>
      <c r="GA47" s="87">
        <f t="shared" si="49"/>
        <v>0</v>
      </c>
      <c r="GB47" s="87">
        <f t="shared" si="50"/>
        <v>0</v>
      </c>
      <c r="GC47" s="87">
        <f t="shared" si="51"/>
        <v>0</v>
      </c>
      <c r="GD47" s="87">
        <f t="shared" si="52"/>
        <v>0</v>
      </c>
    </row>
    <row r="48" spans="11:186" ht="16.5" x14ac:dyDescent="0.2">
      <c r="AO48" s="48">
        <v>5</v>
      </c>
      <c r="AP48" s="86">
        <v>10</v>
      </c>
      <c r="AQ48" s="86">
        <v>1</v>
      </c>
      <c r="AR48" s="48">
        <v>3</v>
      </c>
      <c r="AS48" s="86" t="s">
        <v>330</v>
      </c>
      <c r="AT48" s="21">
        <f t="shared" si="61"/>
        <v>0.13750000000000001</v>
      </c>
      <c r="AU48" s="86">
        <f t="shared" si="5"/>
        <v>3</v>
      </c>
      <c r="AV48" s="86">
        <f t="shared" si="6"/>
        <v>5</v>
      </c>
      <c r="AW48" s="87">
        <f t="shared" si="7"/>
        <v>0.55000000000000004</v>
      </c>
      <c r="AX48" s="86">
        <f t="shared" si="8"/>
        <v>11</v>
      </c>
      <c r="BA48" s="86">
        <v>44</v>
      </c>
      <c r="BB48" s="14" t="e">
        <f>INDEX(节奏总表!#REF!,神器!BA48)</f>
        <v>#REF!</v>
      </c>
      <c r="BC48" s="14" t="e">
        <f t="shared" si="9"/>
        <v>#REF!</v>
      </c>
      <c r="BD48" s="14">
        <v>5</v>
      </c>
      <c r="BE48" s="14">
        <v>3</v>
      </c>
      <c r="BF48" s="14">
        <f t="shared" si="60"/>
        <v>0</v>
      </c>
      <c r="BG48" s="14">
        <f t="shared" si="67"/>
        <v>0</v>
      </c>
      <c r="BH48" s="14">
        <f t="shared" si="67"/>
        <v>0</v>
      </c>
      <c r="BI48" s="14">
        <f t="shared" si="67"/>
        <v>0</v>
      </c>
      <c r="BJ48" s="14">
        <f t="shared" si="67"/>
        <v>0</v>
      </c>
      <c r="BK48" s="14">
        <f t="shared" si="67"/>
        <v>0</v>
      </c>
      <c r="BL48" s="14">
        <f t="shared" si="67"/>
        <v>0</v>
      </c>
      <c r="BM48" s="14">
        <f t="shared" si="67"/>
        <v>0</v>
      </c>
      <c r="BN48" s="14">
        <f t="shared" si="67"/>
        <v>0</v>
      </c>
      <c r="BO48" s="14">
        <f t="shared" si="67"/>
        <v>0</v>
      </c>
      <c r="BP48" s="14">
        <f t="shared" si="67"/>
        <v>0</v>
      </c>
      <c r="BQ48" s="14">
        <f t="shared" si="67"/>
        <v>0</v>
      </c>
      <c r="BR48" s="14">
        <f t="shared" si="67"/>
        <v>0</v>
      </c>
      <c r="BS48" s="14">
        <f t="shared" si="67"/>
        <v>0</v>
      </c>
      <c r="BT48" s="14">
        <f t="shared" si="67"/>
        <v>0</v>
      </c>
      <c r="BU48" s="14">
        <f t="shared" si="67"/>
        <v>0</v>
      </c>
      <c r="BV48" s="14">
        <f t="shared" si="67"/>
        <v>0</v>
      </c>
      <c r="BW48" s="14">
        <f t="shared" si="67"/>
        <v>0</v>
      </c>
      <c r="BX48" s="14">
        <f t="shared" si="67"/>
        <v>0</v>
      </c>
      <c r="BY48" s="14">
        <f t="shared" si="67"/>
        <v>0</v>
      </c>
      <c r="BZ48" s="14">
        <f t="shared" si="67"/>
        <v>0</v>
      </c>
      <c r="CA48" s="14">
        <f t="shared" si="67"/>
        <v>0</v>
      </c>
      <c r="CB48" s="14">
        <f t="shared" si="67"/>
        <v>0</v>
      </c>
      <c r="CC48" s="14">
        <f t="shared" si="67"/>
        <v>0</v>
      </c>
      <c r="CD48" s="14">
        <f t="shared" si="67"/>
        <v>0</v>
      </c>
      <c r="CE48" s="14">
        <f t="shared" si="67"/>
        <v>0</v>
      </c>
      <c r="CF48" s="14">
        <f t="shared" si="67"/>
        <v>0</v>
      </c>
      <c r="CG48" s="14">
        <f t="shared" si="67"/>
        <v>0</v>
      </c>
      <c r="CH48" s="14">
        <f t="shared" si="67"/>
        <v>0</v>
      </c>
      <c r="CI48" s="14">
        <f t="shared" si="67"/>
        <v>0</v>
      </c>
      <c r="CJ48" s="14">
        <f t="shared" si="67"/>
        <v>0</v>
      </c>
      <c r="CK48" s="14">
        <f t="shared" si="67"/>
        <v>0</v>
      </c>
      <c r="CL48" s="14">
        <f t="shared" si="67"/>
        <v>0</v>
      </c>
      <c r="CM48" s="14">
        <f t="shared" si="67"/>
        <v>0</v>
      </c>
      <c r="CN48" s="14">
        <f t="shared" si="67"/>
        <v>0</v>
      </c>
      <c r="CO48" s="14">
        <f t="shared" si="67"/>
        <v>0</v>
      </c>
      <c r="CP48" s="14">
        <f t="shared" si="67"/>
        <v>0</v>
      </c>
      <c r="CQ48" s="14">
        <f t="shared" si="67"/>
        <v>0</v>
      </c>
      <c r="CR48" s="14">
        <f t="shared" si="67"/>
        <v>0</v>
      </c>
      <c r="CS48" s="14">
        <f t="shared" si="67"/>
        <v>0</v>
      </c>
      <c r="CT48" s="14">
        <f t="shared" si="67"/>
        <v>0</v>
      </c>
      <c r="CU48" s="14">
        <f t="shared" si="67"/>
        <v>0</v>
      </c>
      <c r="CW48" s="14">
        <f>SUM(BF$5:BF48)</f>
        <v>0</v>
      </c>
      <c r="CX48" s="14">
        <f>SUM(BG$5:BG48)</f>
        <v>0</v>
      </c>
      <c r="CY48" s="14">
        <f>SUM(BH$5:BH48)</f>
        <v>0</v>
      </c>
      <c r="CZ48" s="14">
        <f>SUM(BI$5:BI48)</f>
        <v>0</v>
      </c>
      <c r="DA48" s="14">
        <f>SUM(BJ$5:BJ48)</f>
        <v>0</v>
      </c>
      <c r="DB48" s="14">
        <f>SUM(BK$5:BK48)</f>
        <v>0</v>
      </c>
      <c r="DC48" s="14">
        <f>SUM(BL$5:BL48)</f>
        <v>0</v>
      </c>
      <c r="DD48" s="14">
        <f>SUM(BM$5:BM48)</f>
        <v>0</v>
      </c>
      <c r="DE48" s="14">
        <f>SUM(BN$5:BN48)</f>
        <v>0</v>
      </c>
      <c r="DF48" s="14">
        <f>SUM(BO$5:BO48)</f>
        <v>0</v>
      </c>
      <c r="DG48" s="14">
        <f>SUM(BP$5:BP48)</f>
        <v>0</v>
      </c>
      <c r="DH48" s="14">
        <f>SUM(BQ$5:BQ48)</f>
        <v>0</v>
      </c>
      <c r="DI48" s="14">
        <f>SUM(BR$5:BR48)</f>
        <v>0</v>
      </c>
      <c r="DJ48" s="14">
        <f>SUM(BS$5:BS48)</f>
        <v>0</v>
      </c>
      <c r="DK48" s="14">
        <f>SUM(BT$5:BT48)</f>
        <v>0</v>
      </c>
      <c r="DL48" s="14">
        <f>SUM(BU$5:BU48)</f>
        <v>0</v>
      </c>
      <c r="DM48" s="14">
        <f>SUM(BV$5:BV48)</f>
        <v>0</v>
      </c>
      <c r="DN48" s="14">
        <f>SUM(BW$5:BW48)</f>
        <v>0</v>
      </c>
      <c r="DO48" s="14">
        <f>SUM(BX$5:BX48)</f>
        <v>0</v>
      </c>
      <c r="DP48" s="14">
        <f>SUM(BY$5:BY48)</f>
        <v>0</v>
      </c>
      <c r="DQ48" s="14">
        <f>SUM(BZ$5:BZ48)</f>
        <v>0</v>
      </c>
      <c r="DR48" s="14">
        <f>SUM(CA$5:CA48)</f>
        <v>0</v>
      </c>
      <c r="DS48" s="14">
        <f>SUM(CB$5:CB48)</f>
        <v>0</v>
      </c>
      <c r="DT48" s="14">
        <f>SUM(CC$5:CC48)</f>
        <v>0</v>
      </c>
      <c r="DU48" s="14">
        <f>SUM(CD$5:CD48)</f>
        <v>0</v>
      </c>
      <c r="DV48" s="14">
        <f>SUM(CE$5:CE48)</f>
        <v>0</v>
      </c>
      <c r="DW48" s="14">
        <f>SUM(CF$5:CF48)</f>
        <v>0</v>
      </c>
      <c r="DX48" s="14">
        <f>SUM(CG$5:CG48)</f>
        <v>0</v>
      </c>
      <c r="DY48" s="14">
        <f>SUM(CH$5:CH48)</f>
        <v>0</v>
      </c>
      <c r="DZ48" s="14">
        <f>SUM(CI$5:CI48)</f>
        <v>0</v>
      </c>
      <c r="EA48" s="14">
        <f>SUM(CJ$5:CJ48)</f>
        <v>0</v>
      </c>
      <c r="EB48" s="14">
        <f>SUM(CK$5:CK48)</f>
        <v>0</v>
      </c>
      <c r="EC48" s="14">
        <f>SUM(CL$5:CL48)</f>
        <v>0</v>
      </c>
      <c r="ED48" s="14">
        <f>SUM(CM$5:CM48)</f>
        <v>0</v>
      </c>
      <c r="EE48" s="14">
        <f>SUM(CN$5:CN48)</f>
        <v>0</v>
      </c>
      <c r="EF48" s="14">
        <f>SUM(CO$5:CO48)</f>
        <v>0</v>
      </c>
      <c r="EG48" s="14">
        <f>SUM(CP$5:CP48)</f>
        <v>0</v>
      </c>
      <c r="EH48" s="14">
        <f>SUM(CQ$5:CQ48)</f>
        <v>0</v>
      </c>
      <c r="EI48" s="14">
        <f>SUM(CR$5:CR48)</f>
        <v>0</v>
      </c>
      <c r="EJ48" s="14">
        <f>SUM(CS$5:CS48)</f>
        <v>0</v>
      </c>
      <c r="EK48" s="14">
        <f>SUM(CT$5:CT48)</f>
        <v>0</v>
      </c>
      <c r="EL48" s="14">
        <f>SUM(CU$5:CU48)</f>
        <v>0</v>
      </c>
      <c r="EO48" s="87">
        <f t="shared" ref="EO48:EO64" si="68">MATCH(CW48,$AD$5:$AD$26,1)-1</f>
        <v>0</v>
      </c>
      <c r="EP48" s="87">
        <f t="shared" ref="EP48:EP62" si="69">MATCH(CX48,$AD$5:$AD$26,1)-1</f>
        <v>0</v>
      </c>
      <c r="EQ48" s="87">
        <f t="shared" ref="EQ48:EQ62" si="70">MATCH(CY48,$AD$5:$AD$26,1)-1</f>
        <v>0</v>
      </c>
      <c r="ER48" s="87">
        <f t="shared" ref="ER48:ER62" si="71">MATCH(CZ48,$AD$5:$AD$26,1)-1</f>
        <v>0</v>
      </c>
      <c r="ES48" s="87">
        <f t="shared" ref="ES48:ES62" si="72">MATCH(DA48,$AD$5:$AD$26,1)-1</f>
        <v>0</v>
      </c>
      <c r="ET48" s="87">
        <f t="shared" ref="ET48:ET62" si="73">MATCH(DB48,$AD$5:$AD$26,1)-1</f>
        <v>0</v>
      </c>
      <c r="EU48" s="87">
        <f t="shared" ref="EU48:EU62" si="74">MATCH(DC48,$AD$5:$AD$26,1)-1</f>
        <v>0</v>
      </c>
      <c r="EV48" s="87">
        <f t="shared" ref="EV48:EV62" si="75">MATCH(DD48,$AD$5:$AD$26,1)-1</f>
        <v>0</v>
      </c>
      <c r="EW48" s="87">
        <f t="shared" ref="EW48:EW62" si="76">MATCH(DE48,$AD$5:$AD$26,1)-1</f>
        <v>0</v>
      </c>
      <c r="EX48" s="87">
        <f t="shared" ref="EX48:EX62" si="77">MATCH(DF48,$AD$5:$AD$26,1)-1</f>
        <v>0</v>
      </c>
      <c r="EY48" s="87">
        <f t="shared" ref="EY48:EY62" si="78">MATCH(DG48,$AD$5:$AD$26,1)-1</f>
        <v>0</v>
      </c>
      <c r="EZ48" s="87">
        <f t="shared" ref="EZ48:EZ62" si="79">MATCH(DH48,$AD$5:$AD$26,1)-1</f>
        <v>0</v>
      </c>
      <c r="FA48" s="87">
        <f t="shared" ref="FA48:FA62" si="80">MATCH(DI48,$AD$5:$AD$26,1)-1</f>
        <v>0</v>
      </c>
      <c r="FB48" s="87">
        <f t="shared" ref="FB48:FB62" si="81">MATCH(DJ48,$AD$5:$AD$26,1)-1</f>
        <v>0</v>
      </c>
      <c r="FC48" s="87">
        <f t="shared" ref="FC48:FC62" si="82">MATCH(DK48,$AD$5:$AD$26,1)-1</f>
        <v>0</v>
      </c>
      <c r="FD48" s="87">
        <f t="shared" ref="FD48:FD62" si="83">MATCH(DL48,$AD$5:$AD$26,1)-1</f>
        <v>0</v>
      </c>
      <c r="FE48" s="87">
        <f t="shared" ref="FE48:FE62" si="84">MATCH(DM48,$AD$5:$AD$26,1)-1</f>
        <v>0</v>
      </c>
      <c r="FF48" s="87">
        <f t="shared" ref="FF48:FF62" si="85">MATCH(DN48,$AD$5:$AD$26,1)-1</f>
        <v>0</v>
      </c>
      <c r="FG48" s="87">
        <f t="shared" ref="FG48:FG62" si="86">MATCH(DO48,$AD$5:$AD$26,1)-1</f>
        <v>0</v>
      </c>
      <c r="FH48" s="87">
        <f t="shared" ref="FH48:FH62" si="87">MATCH(DP48,$AD$5:$AD$26,1)-1</f>
        <v>0</v>
      </c>
      <c r="FI48" s="87">
        <f t="shared" ref="FI48:FI62" si="88">MATCH(DQ48,$AD$5:$AD$26,1)-1</f>
        <v>0</v>
      </c>
      <c r="FJ48" s="87">
        <f t="shared" ref="FJ48:FJ62" si="89">MATCH(DR48,$AD$5:$AD$26,1)-1</f>
        <v>0</v>
      </c>
      <c r="FK48" s="87">
        <f t="shared" ref="FK48:FK62" si="90">MATCH(DS48,$AD$5:$AD$26,1)-1</f>
        <v>0</v>
      </c>
      <c r="FL48" s="87">
        <f t="shared" ref="FL48:FL62" si="91">MATCH(DT48,$AD$5:$AD$26,1)-1</f>
        <v>0</v>
      </c>
      <c r="FM48" s="87">
        <f t="shared" ref="FM48:FM62" si="92">MATCH(DU48,$AD$5:$AD$26,1)-1</f>
        <v>0</v>
      </c>
      <c r="FN48" s="87">
        <f t="shared" ref="FN48:FN62" si="93">MATCH(DV48,$AD$5:$AD$26,1)-1</f>
        <v>0</v>
      </c>
      <c r="FO48" s="87">
        <f t="shared" ref="FO48:FO62" si="94">MATCH(DW48,$AD$5:$AD$26,1)-1</f>
        <v>0</v>
      </c>
      <c r="FP48" s="87">
        <f t="shared" ref="FP48:FP62" si="95">MATCH(DX48,$AD$5:$AD$26,1)-1</f>
        <v>0</v>
      </c>
      <c r="FQ48" s="87">
        <f t="shared" ref="FQ48:FQ62" si="96">MATCH(DY48,$AD$5:$AD$26,1)-1</f>
        <v>0</v>
      </c>
      <c r="FR48" s="87">
        <f t="shared" ref="FR48:FR62" si="97">MATCH(DZ48,$AD$5:$AD$26,1)-1</f>
        <v>0</v>
      </c>
      <c r="FS48" s="87">
        <f t="shared" ref="FS48:FS62" si="98">MATCH(EA48,$AD$5:$AD$26,1)-1</f>
        <v>0</v>
      </c>
      <c r="FT48" s="87">
        <f t="shared" ref="FT48:FT62" si="99">MATCH(EB48,$AD$5:$AD$26,1)-1</f>
        <v>0</v>
      </c>
      <c r="FU48" s="87">
        <f t="shared" ref="FU48:FU62" si="100">MATCH(EC48,$AD$5:$AD$26,1)-1</f>
        <v>0</v>
      </c>
      <c r="FV48" s="87">
        <f t="shared" ref="FV48:FV62" si="101">MATCH(ED48,$AD$5:$AD$26,1)-1</f>
        <v>0</v>
      </c>
      <c r="FW48" s="87">
        <f t="shared" ref="FW48:FW62" si="102">MATCH(EE48,$AD$5:$AD$26,1)-1</f>
        <v>0</v>
      </c>
      <c r="FX48" s="87">
        <f t="shared" ref="FX48:FX62" si="103">MATCH(EF48,$AD$5:$AD$26,1)-1</f>
        <v>0</v>
      </c>
      <c r="FY48" s="87">
        <f t="shared" ref="FY48:FY62" si="104">MATCH(EG48,$AD$5:$AD$26,1)-1</f>
        <v>0</v>
      </c>
      <c r="FZ48" s="87">
        <f t="shared" ref="FZ48:FZ62" si="105">MATCH(EH48,$AD$5:$AD$26,1)-1</f>
        <v>0</v>
      </c>
      <c r="GA48" s="87">
        <f t="shared" ref="GA48:GA62" si="106">MATCH(EI48,$AD$5:$AD$26,1)-1</f>
        <v>0</v>
      </c>
      <c r="GB48" s="87">
        <f t="shared" ref="GB48:GB62" si="107">MATCH(EJ48,$AD$5:$AD$26,1)-1</f>
        <v>0</v>
      </c>
      <c r="GC48" s="87">
        <f t="shared" ref="GC48:GC62" si="108">MATCH(EK48,$AD$5:$AD$26,1)-1</f>
        <v>0</v>
      </c>
      <c r="GD48" s="87">
        <f t="shared" ref="GD48:GD62" si="109">MATCH(EL48,$AD$5:$AD$26,1)-1</f>
        <v>0</v>
      </c>
    </row>
    <row r="49" spans="41:186" ht="16.5" x14ac:dyDescent="0.2">
      <c r="AO49" s="48">
        <v>5</v>
      </c>
      <c r="AP49" s="86">
        <v>11</v>
      </c>
      <c r="AQ49" s="86">
        <v>1</v>
      </c>
      <c r="AR49" s="48">
        <v>3</v>
      </c>
      <c r="AS49" s="86" t="s">
        <v>331</v>
      </c>
      <c r="AT49" s="21">
        <f t="shared" si="61"/>
        <v>8.8000000000000009E-2</v>
      </c>
      <c r="AU49" s="86">
        <f t="shared" si="5"/>
        <v>2</v>
      </c>
      <c r="AV49" s="86">
        <f t="shared" si="6"/>
        <v>4</v>
      </c>
      <c r="AW49" s="87">
        <f t="shared" si="7"/>
        <v>0.26400000000000001</v>
      </c>
      <c r="AX49" s="86">
        <f t="shared" si="8"/>
        <v>15.84</v>
      </c>
      <c r="BA49" s="86">
        <v>45</v>
      </c>
      <c r="BB49" s="14" t="e">
        <f>INDEX(节奏总表!#REF!,神器!BA49)</f>
        <v>#REF!</v>
      </c>
      <c r="BC49" s="14" t="e">
        <f t="shared" si="9"/>
        <v>#REF!</v>
      </c>
      <c r="BD49" s="14">
        <v>5</v>
      </c>
      <c r="BE49" s="14">
        <v>3</v>
      </c>
      <c r="BF49" s="14">
        <f t="shared" si="60"/>
        <v>0</v>
      </c>
      <c r="BG49" s="14">
        <f t="shared" si="67"/>
        <v>0</v>
      </c>
      <c r="BH49" s="14">
        <f t="shared" si="67"/>
        <v>0</v>
      </c>
      <c r="BI49" s="14">
        <f t="shared" si="67"/>
        <v>0</v>
      </c>
      <c r="BJ49" s="14">
        <f t="shared" si="67"/>
        <v>0</v>
      </c>
      <c r="BK49" s="14">
        <f t="shared" si="67"/>
        <v>0</v>
      </c>
      <c r="BL49" s="14">
        <f t="shared" si="67"/>
        <v>0</v>
      </c>
      <c r="BM49" s="14">
        <f t="shared" si="67"/>
        <v>0</v>
      </c>
      <c r="BN49" s="14">
        <f t="shared" si="67"/>
        <v>0</v>
      </c>
      <c r="BO49" s="14">
        <f t="shared" si="67"/>
        <v>0</v>
      </c>
      <c r="BP49" s="14">
        <f t="shared" si="67"/>
        <v>0</v>
      </c>
      <c r="BQ49" s="14">
        <f t="shared" si="67"/>
        <v>0</v>
      </c>
      <c r="BR49" s="14">
        <f t="shared" si="67"/>
        <v>0</v>
      </c>
      <c r="BS49" s="14">
        <f t="shared" si="67"/>
        <v>0</v>
      </c>
      <c r="BT49" s="14">
        <f t="shared" si="67"/>
        <v>0</v>
      </c>
      <c r="BU49" s="14">
        <f t="shared" si="67"/>
        <v>0</v>
      </c>
      <c r="BV49" s="14">
        <f t="shared" si="67"/>
        <v>0</v>
      </c>
      <c r="BW49" s="14">
        <f t="shared" si="67"/>
        <v>0</v>
      </c>
      <c r="BX49" s="14">
        <f t="shared" si="67"/>
        <v>0</v>
      </c>
      <c r="BY49" s="14">
        <f t="shared" si="67"/>
        <v>0</v>
      </c>
      <c r="BZ49" s="14">
        <f t="shared" si="67"/>
        <v>0</v>
      </c>
      <c r="CA49" s="14">
        <f t="shared" si="67"/>
        <v>0</v>
      </c>
      <c r="CB49" s="14">
        <f t="shared" si="67"/>
        <v>0</v>
      </c>
      <c r="CC49" s="14">
        <f t="shared" si="67"/>
        <v>0</v>
      </c>
      <c r="CD49" s="14">
        <f t="shared" si="67"/>
        <v>0</v>
      </c>
      <c r="CE49" s="14">
        <f t="shared" si="67"/>
        <v>0</v>
      </c>
      <c r="CF49" s="14">
        <f t="shared" si="67"/>
        <v>0</v>
      </c>
      <c r="CG49" s="14">
        <f t="shared" si="67"/>
        <v>0</v>
      </c>
      <c r="CH49" s="14">
        <f t="shared" si="67"/>
        <v>0</v>
      </c>
      <c r="CI49" s="14">
        <f t="shared" si="67"/>
        <v>0</v>
      </c>
      <c r="CJ49" s="14">
        <f t="shared" si="67"/>
        <v>0</v>
      </c>
      <c r="CK49" s="14">
        <f t="shared" si="67"/>
        <v>0</v>
      </c>
      <c r="CL49" s="14">
        <f t="shared" si="67"/>
        <v>0</v>
      </c>
      <c r="CM49" s="14">
        <f t="shared" si="67"/>
        <v>0</v>
      </c>
      <c r="CN49" s="14">
        <f t="shared" si="67"/>
        <v>0</v>
      </c>
      <c r="CO49" s="14">
        <f t="shared" si="67"/>
        <v>0</v>
      </c>
      <c r="CP49" s="14">
        <f t="shared" si="67"/>
        <v>0</v>
      </c>
      <c r="CQ49" s="14">
        <f t="shared" si="67"/>
        <v>0</v>
      </c>
      <c r="CR49" s="14">
        <f t="shared" si="67"/>
        <v>0</v>
      </c>
      <c r="CS49" s="14">
        <f t="shared" si="67"/>
        <v>0</v>
      </c>
      <c r="CT49" s="14">
        <f t="shared" si="67"/>
        <v>0</v>
      </c>
      <c r="CU49" s="14">
        <f t="shared" si="67"/>
        <v>0</v>
      </c>
      <c r="CW49" s="14">
        <f>SUM(BF$5:BF49)</f>
        <v>0</v>
      </c>
      <c r="CX49" s="14">
        <f>SUM(BG$5:BG49)</f>
        <v>0</v>
      </c>
      <c r="CY49" s="14">
        <f>SUM(BH$5:BH49)</f>
        <v>0</v>
      </c>
      <c r="CZ49" s="14">
        <f>SUM(BI$5:BI49)</f>
        <v>0</v>
      </c>
      <c r="DA49" s="14">
        <f>SUM(BJ$5:BJ49)</f>
        <v>0</v>
      </c>
      <c r="DB49" s="14">
        <f>SUM(BK$5:BK49)</f>
        <v>0</v>
      </c>
      <c r="DC49" s="14">
        <f>SUM(BL$5:BL49)</f>
        <v>0</v>
      </c>
      <c r="DD49" s="14">
        <f>SUM(BM$5:BM49)</f>
        <v>0</v>
      </c>
      <c r="DE49" s="14">
        <f>SUM(BN$5:BN49)</f>
        <v>0</v>
      </c>
      <c r="DF49" s="14">
        <f>SUM(BO$5:BO49)</f>
        <v>0</v>
      </c>
      <c r="DG49" s="14">
        <f>SUM(BP$5:BP49)</f>
        <v>0</v>
      </c>
      <c r="DH49" s="14">
        <f>SUM(BQ$5:BQ49)</f>
        <v>0</v>
      </c>
      <c r="DI49" s="14">
        <f>SUM(BR$5:BR49)</f>
        <v>0</v>
      </c>
      <c r="DJ49" s="14">
        <f>SUM(BS$5:BS49)</f>
        <v>0</v>
      </c>
      <c r="DK49" s="14">
        <f>SUM(BT$5:BT49)</f>
        <v>0</v>
      </c>
      <c r="DL49" s="14">
        <f>SUM(BU$5:BU49)</f>
        <v>0</v>
      </c>
      <c r="DM49" s="14">
        <f>SUM(BV$5:BV49)</f>
        <v>0</v>
      </c>
      <c r="DN49" s="14">
        <f>SUM(BW$5:BW49)</f>
        <v>0</v>
      </c>
      <c r="DO49" s="14">
        <f>SUM(BX$5:BX49)</f>
        <v>0</v>
      </c>
      <c r="DP49" s="14">
        <f>SUM(BY$5:BY49)</f>
        <v>0</v>
      </c>
      <c r="DQ49" s="14">
        <f>SUM(BZ$5:BZ49)</f>
        <v>0</v>
      </c>
      <c r="DR49" s="14">
        <f>SUM(CA$5:CA49)</f>
        <v>0</v>
      </c>
      <c r="DS49" s="14">
        <f>SUM(CB$5:CB49)</f>
        <v>0</v>
      </c>
      <c r="DT49" s="14">
        <f>SUM(CC$5:CC49)</f>
        <v>0</v>
      </c>
      <c r="DU49" s="14">
        <f>SUM(CD$5:CD49)</f>
        <v>0</v>
      </c>
      <c r="DV49" s="14">
        <f>SUM(CE$5:CE49)</f>
        <v>0</v>
      </c>
      <c r="DW49" s="14">
        <f>SUM(CF$5:CF49)</f>
        <v>0</v>
      </c>
      <c r="DX49" s="14">
        <f>SUM(CG$5:CG49)</f>
        <v>0</v>
      </c>
      <c r="DY49" s="14">
        <f>SUM(CH$5:CH49)</f>
        <v>0</v>
      </c>
      <c r="DZ49" s="14">
        <f>SUM(CI$5:CI49)</f>
        <v>0</v>
      </c>
      <c r="EA49" s="14">
        <f>SUM(CJ$5:CJ49)</f>
        <v>0</v>
      </c>
      <c r="EB49" s="14">
        <f>SUM(CK$5:CK49)</f>
        <v>0</v>
      </c>
      <c r="EC49" s="14">
        <f>SUM(CL$5:CL49)</f>
        <v>0</v>
      </c>
      <c r="ED49" s="14">
        <f>SUM(CM$5:CM49)</f>
        <v>0</v>
      </c>
      <c r="EE49" s="14">
        <f>SUM(CN$5:CN49)</f>
        <v>0</v>
      </c>
      <c r="EF49" s="14">
        <f>SUM(CO$5:CO49)</f>
        <v>0</v>
      </c>
      <c r="EG49" s="14">
        <f>SUM(CP$5:CP49)</f>
        <v>0</v>
      </c>
      <c r="EH49" s="14">
        <f>SUM(CQ$5:CQ49)</f>
        <v>0</v>
      </c>
      <c r="EI49" s="14">
        <f>SUM(CR$5:CR49)</f>
        <v>0</v>
      </c>
      <c r="EJ49" s="14">
        <f>SUM(CS$5:CS49)</f>
        <v>0</v>
      </c>
      <c r="EK49" s="14">
        <f>SUM(CT$5:CT49)</f>
        <v>0</v>
      </c>
      <c r="EL49" s="14">
        <f>SUM(CU$5:CU49)</f>
        <v>0</v>
      </c>
      <c r="EO49" s="87">
        <f t="shared" si="68"/>
        <v>0</v>
      </c>
      <c r="EP49" s="87">
        <f t="shared" si="69"/>
        <v>0</v>
      </c>
      <c r="EQ49" s="87">
        <f t="shared" si="70"/>
        <v>0</v>
      </c>
      <c r="ER49" s="87">
        <f t="shared" si="71"/>
        <v>0</v>
      </c>
      <c r="ES49" s="87">
        <f t="shared" si="72"/>
        <v>0</v>
      </c>
      <c r="ET49" s="87">
        <f t="shared" si="73"/>
        <v>0</v>
      </c>
      <c r="EU49" s="87">
        <f t="shared" si="74"/>
        <v>0</v>
      </c>
      <c r="EV49" s="87">
        <f t="shared" si="75"/>
        <v>0</v>
      </c>
      <c r="EW49" s="87">
        <f t="shared" si="76"/>
        <v>0</v>
      </c>
      <c r="EX49" s="87">
        <f t="shared" si="77"/>
        <v>0</v>
      </c>
      <c r="EY49" s="87">
        <f t="shared" si="78"/>
        <v>0</v>
      </c>
      <c r="EZ49" s="87">
        <f t="shared" si="79"/>
        <v>0</v>
      </c>
      <c r="FA49" s="87">
        <f t="shared" si="80"/>
        <v>0</v>
      </c>
      <c r="FB49" s="87">
        <f t="shared" si="81"/>
        <v>0</v>
      </c>
      <c r="FC49" s="87">
        <f t="shared" si="82"/>
        <v>0</v>
      </c>
      <c r="FD49" s="87">
        <f t="shared" si="83"/>
        <v>0</v>
      </c>
      <c r="FE49" s="87">
        <f t="shared" si="84"/>
        <v>0</v>
      </c>
      <c r="FF49" s="87">
        <f t="shared" si="85"/>
        <v>0</v>
      </c>
      <c r="FG49" s="87">
        <f t="shared" si="86"/>
        <v>0</v>
      </c>
      <c r="FH49" s="87">
        <f t="shared" si="87"/>
        <v>0</v>
      </c>
      <c r="FI49" s="87">
        <f t="shared" si="88"/>
        <v>0</v>
      </c>
      <c r="FJ49" s="87">
        <f t="shared" si="89"/>
        <v>0</v>
      </c>
      <c r="FK49" s="87">
        <f t="shared" si="90"/>
        <v>0</v>
      </c>
      <c r="FL49" s="87">
        <f t="shared" si="91"/>
        <v>0</v>
      </c>
      <c r="FM49" s="87">
        <f t="shared" si="92"/>
        <v>0</v>
      </c>
      <c r="FN49" s="87">
        <f t="shared" si="93"/>
        <v>0</v>
      </c>
      <c r="FO49" s="87">
        <f t="shared" si="94"/>
        <v>0</v>
      </c>
      <c r="FP49" s="87">
        <f t="shared" si="95"/>
        <v>0</v>
      </c>
      <c r="FQ49" s="87">
        <f t="shared" si="96"/>
        <v>0</v>
      </c>
      <c r="FR49" s="87">
        <f t="shared" si="97"/>
        <v>0</v>
      </c>
      <c r="FS49" s="87">
        <f t="shared" si="98"/>
        <v>0</v>
      </c>
      <c r="FT49" s="87">
        <f t="shared" si="99"/>
        <v>0</v>
      </c>
      <c r="FU49" s="87">
        <f t="shared" si="100"/>
        <v>0</v>
      </c>
      <c r="FV49" s="87">
        <f t="shared" si="101"/>
        <v>0</v>
      </c>
      <c r="FW49" s="87">
        <f t="shared" si="102"/>
        <v>0</v>
      </c>
      <c r="FX49" s="87">
        <f t="shared" si="103"/>
        <v>0</v>
      </c>
      <c r="FY49" s="87">
        <f t="shared" si="104"/>
        <v>0</v>
      </c>
      <c r="FZ49" s="87">
        <f t="shared" si="105"/>
        <v>0</v>
      </c>
      <c r="GA49" s="87">
        <f t="shared" si="106"/>
        <v>0</v>
      </c>
      <c r="GB49" s="87">
        <f t="shared" si="107"/>
        <v>0</v>
      </c>
      <c r="GC49" s="87">
        <f t="shared" si="108"/>
        <v>0</v>
      </c>
      <c r="GD49" s="87">
        <f t="shared" si="109"/>
        <v>0</v>
      </c>
    </row>
    <row r="50" spans="41:186" ht="16.5" x14ac:dyDescent="0.2">
      <c r="AO50" s="48">
        <v>5</v>
      </c>
      <c r="AP50" s="86">
        <v>12</v>
      </c>
      <c r="AQ50" s="86">
        <v>1</v>
      </c>
      <c r="AR50" s="48">
        <v>3</v>
      </c>
      <c r="AS50" s="86" t="s">
        <v>332</v>
      </c>
      <c r="AT50" s="21">
        <f t="shared" si="61"/>
        <v>8.8000000000000009E-2</v>
      </c>
      <c r="AU50" s="86">
        <f t="shared" si="5"/>
        <v>2</v>
      </c>
      <c r="AV50" s="86">
        <f t="shared" si="6"/>
        <v>4</v>
      </c>
      <c r="AW50" s="87">
        <f t="shared" si="7"/>
        <v>0.26400000000000001</v>
      </c>
      <c r="AX50" s="86">
        <f t="shared" si="8"/>
        <v>15.84</v>
      </c>
      <c r="BA50" s="86">
        <v>46</v>
      </c>
      <c r="BB50" s="14" t="e">
        <f>INDEX(节奏总表!#REF!,神器!BA50)</f>
        <v>#REF!</v>
      </c>
      <c r="BC50" s="14" t="e">
        <f t="shared" si="9"/>
        <v>#REF!</v>
      </c>
      <c r="BD50" s="14">
        <v>5</v>
      </c>
      <c r="BE50" s="14">
        <v>3</v>
      </c>
      <c r="BF50" s="14">
        <f t="shared" si="60"/>
        <v>0</v>
      </c>
      <c r="BG50" s="14">
        <f t="shared" si="67"/>
        <v>0</v>
      </c>
      <c r="BH50" s="14">
        <f t="shared" si="67"/>
        <v>0</v>
      </c>
      <c r="BI50" s="14">
        <f t="shared" si="67"/>
        <v>0</v>
      </c>
      <c r="BJ50" s="14">
        <f t="shared" si="67"/>
        <v>0</v>
      </c>
      <c r="BK50" s="14">
        <f t="shared" si="67"/>
        <v>0</v>
      </c>
      <c r="BL50" s="14">
        <f t="shared" si="67"/>
        <v>0</v>
      </c>
      <c r="BM50" s="14">
        <f t="shared" si="67"/>
        <v>0</v>
      </c>
      <c r="BN50" s="14">
        <f t="shared" si="67"/>
        <v>0</v>
      </c>
      <c r="BO50" s="14">
        <f t="shared" si="67"/>
        <v>0</v>
      </c>
      <c r="BP50" s="14">
        <f t="shared" si="67"/>
        <v>0</v>
      </c>
      <c r="BQ50" s="14">
        <f t="shared" si="67"/>
        <v>0</v>
      </c>
      <c r="BR50" s="14">
        <f t="shared" si="67"/>
        <v>0</v>
      </c>
      <c r="BS50" s="14">
        <f t="shared" si="67"/>
        <v>0</v>
      </c>
      <c r="BT50" s="14">
        <f t="shared" si="67"/>
        <v>0</v>
      </c>
      <c r="BU50" s="14">
        <f t="shared" si="67"/>
        <v>0</v>
      </c>
      <c r="BV50" s="14">
        <f t="shared" si="67"/>
        <v>0</v>
      </c>
      <c r="BW50" s="14">
        <f t="shared" si="67"/>
        <v>0</v>
      </c>
      <c r="BX50" s="14">
        <f t="shared" si="67"/>
        <v>0</v>
      </c>
      <c r="BY50" s="14">
        <f t="shared" si="67"/>
        <v>0</v>
      </c>
      <c r="BZ50" s="14">
        <f t="shared" si="67"/>
        <v>0</v>
      </c>
      <c r="CA50" s="14">
        <f t="shared" si="67"/>
        <v>0</v>
      </c>
      <c r="CB50" s="14">
        <f t="shared" si="67"/>
        <v>0</v>
      </c>
      <c r="CC50" s="14">
        <f t="shared" si="67"/>
        <v>0</v>
      </c>
      <c r="CD50" s="14">
        <f t="shared" si="67"/>
        <v>0</v>
      </c>
      <c r="CE50" s="14">
        <f t="shared" si="67"/>
        <v>0</v>
      </c>
      <c r="CF50" s="14">
        <f t="shared" si="67"/>
        <v>0</v>
      </c>
      <c r="CG50" s="14">
        <f t="shared" si="67"/>
        <v>0</v>
      </c>
      <c r="CH50" s="14">
        <f t="shared" si="67"/>
        <v>0</v>
      </c>
      <c r="CI50" s="14">
        <f t="shared" si="67"/>
        <v>0</v>
      </c>
      <c r="CJ50" s="14">
        <f t="shared" si="67"/>
        <v>0</v>
      </c>
      <c r="CK50" s="14">
        <f t="shared" si="67"/>
        <v>0</v>
      </c>
      <c r="CL50" s="14">
        <f t="shared" si="67"/>
        <v>0</v>
      </c>
      <c r="CM50" s="14">
        <f t="shared" si="67"/>
        <v>0</v>
      </c>
      <c r="CN50" s="14">
        <f t="shared" si="67"/>
        <v>0</v>
      </c>
      <c r="CO50" s="14">
        <f t="shared" si="67"/>
        <v>0</v>
      </c>
      <c r="CP50" s="14">
        <f t="shared" si="67"/>
        <v>0</v>
      </c>
      <c r="CQ50" s="14">
        <f t="shared" si="67"/>
        <v>0</v>
      </c>
      <c r="CR50" s="14">
        <f t="shared" si="67"/>
        <v>0</v>
      </c>
      <c r="CS50" s="14">
        <f t="shared" si="67"/>
        <v>0</v>
      </c>
      <c r="CT50" s="14">
        <f t="shared" si="67"/>
        <v>0</v>
      </c>
      <c r="CU50" s="14">
        <f t="shared" si="67"/>
        <v>0</v>
      </c>
      <c r="CW50" s="14">
        <f>SUM(BF$5:BF50)</f>
        <v>0</v>
      </c>
      <c r="CX50" s="14">
        <f>SUM(BG$5:BG50)</f>
        <v>0</v>
      </c>
      <c r="CY50" s="14">
        <f>SUM(BH$5:BH50)</f>
        <v>0</v>
      </c>
      <c r="CZ50" s="14">
        <f>SUM(BI$5:BI50)</f>
        <v>0</v>
      </c>
      <c r="DA50" s="14">
        <f>SUM(BJ$5:BJ50)</f>
        <v>0</v>
      </c>
      <c r="DB50" s="14">
        <f>SUM(BK$5:BK50)</f>
        <v>0</v>
      </c>
      <c r="DC50" s="14">
        <f>SUM(BL$5:BL50)</f>
        <v>0</v>
      </c>
      <c r="DD50" s="14">
        <f>SUM(BM$5:BM50)</f>
        <v>0</v>
      </c>
      <c r="DE50" s="14">
        <f>SUM(BN$5:BN50)</f>
        <v>0</v>
      </c>
      <c r="DF50" s="14">
        <f>SUM(BO$5:BO50)</f>
        <v>0</v>
      </c>
      <c r="DG50" s="14">
        <f>SUM(BP$5:BP50)</f>
        <v>0</v>
      </c>
      <c r="DH50" s="14">
        <f>SUM(BQ$5:BQ50)</f>
        <v>0</v>
      </c>
      <c r="DI50" s="14">
        <f>SUM(BR$5:BR50)</f>
        <v>0</v>
      </c>
      <c r="DJ50" s="14">
        <f>SUM(BS$5:BS50)</f>
        <v>0</v>
      </c>
      <c r="DK50" s="14">
        <f>SUM(BT$5:BT50)</f>
        <v>0</v>
      </c>
      <c r="DL50" s="14">
        <f>SUM(BU$5:BU50)</f>
        <v>0</v>
      </c>
      <c r="DM50" s="14">
        <f>SUM(BV$5:BV50)</f>
        <v>0</v>
      </c>
      <c r="DN50" s="14">
        <f>SUM(BW$5:BW50)</f>
        <v>0</v>
      </c>
      <c r="DO50" s="14">
        <f>SUM(BX$5:BX50)</f>
        <v>0</v>
      </c>
      <c r="DP50" s="14">
        <f>SUM(BY$5:BY50)</f>
        <v>0</v>
      </c>
      <c r="DQ50" s="14">
        <f>SUM(BZ$5:BZ50)</f>
        <v>0</v>
      </c>
      <c r="DR50" s="14">
        <f>SUM(CA$5:CA50)</f>
        <v>0</v>
      </c>
      <c r="DS50" s="14">
        <f>SUM(CB$5:CB50)</f>
        <v>0</v>
      </c>
      <c r="DT50" s="14">
        <f>SUM(CC$5:CC50)</f>
        <v>0</v>
      </c>
      <c r="DU50" s="14">
        <f>SUM(CD$5:CD50)</f>
        <v>0</v>
      </c>
      <c r="DV50" s="14">
        <f>SUM(CE$5:CE50)</f>
        <v>0</v>
      </c>
      <c r="DW50" s="14">
        <f>SUM(CF$5:CF50)</f>
        <v>0</v>
      </c>
      <c r="DX50" s="14">
        <f>SUM(CG$5:CG50)</f>
        <v>0</v>
      </c>
      <c r="DY50" s="14">
        <f>SUM(CH$5:CH50)</f>
        <v>0</v>
      </c>
      <c r="DZ50" s="14">
        <f>SUM(CI$5:CI50)</f>
        <v>0</v>
      </c>
      <c r="EA50" s="14">
        <f>SUM(CJ$5:CJ50)</f>
        <v>0</v>
      </c>
      <c r="EB50" s="14">
        <f>SUM(CK$5:CK50)</f>
        <v>0</v>
      </c>
      <c r="EC50" s="14">
        <f>SUM(CL$5:CL50)</f>
        <v>0</v>
      </c>
      <c r="ED50" s="14">
        <f>SUM(CM$5:CM50)</f>
        <v>0</v>
      </c>
      <c r="EE50" s="14">
        <f>SUM(CN$5:CN50)</f>
        <v>0</v>
      </c>
      <c r="EF50" s="14">
        <f>SUM(CO$5:CO50)</f>
        <v>0</v>
      </c>
      <c r="EG50" s="14">
        <f>SUM(CP$5:CP50)</f>
        <v>0</v>
      </c>
      <c r="EH50" s="14">
        <f>SUM(CQ$5:CQ50)</f>
        <v>0</v>
      </c>
      <c r="EI50" s="14">
        <f>SUM(CR$5:CR50)</f>
        <v>0</v>
      </c>
      <c r="EJ50" s="14">
        <f>SUM(CS$5:CS50)</f>
        <v>0</v>
      </c>
      <c r="EK50" s="14">
        <f>SUM(CT$5:CT50)</f>
        <v>0</v>
      </c>
      <c r="EL50" s="14">
        <f>SUM(CU$5:CU50)</f>
        <v>0</v>
      </c>
      <c r="EO50" s="87">
        <f t="shared" si="68"/>
        <v>0</v>
      </c>
      <c r="EP50" s="87">
        <f t="shared" si="69"/>
        <v>0</v>
      </c>
      <c r="EQ50" s="87">
        <f t="shared" si="70"/>
        <v>0</v>
      </c>
      <c r="ER50" s="87">
        <f t="shared" si="71"/>
        <v>0</v>
      </c>
      <c r="ES50" s="87">
        <f t="shared" si="72"/>
        <v>0</v>
      </c>
      <c r="ET50" s="87">
        <f t="shared" si="73"/>
        <v>0</v>
      </c>
      <c r="EU50" s="87">
        <f t="shared" si="74"/>
        <v>0</v>
      </c>
      <c r="EV50" s="87">
        <f t="shared" si="75"/>
        <v>0</v>
      </c>
      <c r="EW50" s="87">
        <f t="shared" si="76"/>
        <v>0</v>
      </c>
      <c r="EX50" s="87">
        <f t="shared" si="77"/>
        <v>0</v>
      </c>
      <c r="EY50" s="87">
        <f t="shared" si="78"/>
        <v>0</v>
      </c>
      <c r="EZ50" s="87">
        <f t="shared" si="79"/>
        <v>0</v>
      </c>
      <c r="FA50" s="87">
        <f t="shared" si="80"/>
        <v>0</v>
      </c>
      <c r="FB50" s="87">
        <f t="shared" si="81"/>
        <v>0</v>
      </c>
      <c r="FC50" s="87">
        <f t="shared" si="82"/>
        <v>0</v>
      </c>
      <c r="FD50" s="87">
        <f t="shared" si="83"/>
        <v>0</v>
      </c>
      <c r="FE50" s="87">
        <f t="shared" si="84"/>
        <v>0</v>
      </c>
      <c r="FF50" s="87">
        <f t="shared" si="85"/>
        <v>0</v>
      </c>
      <c r="FG50" s="87">
        <f t="shared" si="86"/>
        <v>0</v>
      </c>
      <c r="FH50" s="87">
        <f t="shared" si="87"/>
        <v>0</v>
      </c>
      <c r="FI50" s="87">
        <f t="shared" si="88"/>
        <v>0</v>
      </c>
      <c r="FJ50" s="87">
        <f t="shared" si="89"/>
        <v>0</v>
      </c>
      <c r="FK50" s="87">
        <f t="shared" si="90"/>
        <v>0</v>
      </c>
      <c r="FL50" s="87">
        <f t="shared" si="91"/>
        <v>0</v>
      </c>
      <c r="FM50" s="87">
        <f t="shared" si="92"/>
        <v>0</v>
      </c>
      <c r="FN50" s="87">
        <f t="shared" si="93"/>
        <v>0</v>
      </c>
      <c r="FO50" s="87">
        <f t="shared" si="94"/>
        <v>0</v>
      </c>
      <c r="FP50" s="87">
        <f t="shared" si="95"/>
        <v>0</v>
      </c>
      <c r="FQ50" s="87">
        <f t="shared" si="96"/>
        <v>0</v>
      </c>
      <c r="FR50" s="87">
        <f t="shared" si="97"/>
        <v>0</v>
      </c>
      <c r="FS50" s="87">
        <f t="shared" si="98"/>
        <v>0</v>
      </c>
      <c r="FT50" s="87">
        <f t="shared" si="99"/>
        <v>0</v>
      </c>
      <c r="FU50" s="87">
        <f t="shared" si="100"/>
        <v>0</v>
      </c>
      <c r="FV50" s="87">
        <f t="shared" si="101"/>
        <v>0</v>
      </c>
      <c r="FW50" s="87">
        <f t="shared" si="102"/>
        <v>0</v>
      </c>
      <c r="FX50" s="87">
        <f t="shared" si="103"/>
        <v>0</v>
      </c>
      <c r="FY50" s="87">
        <f t="shared" si="104"/>
        <v>0</v>
      </c>
      <c r="FZ50" s="87">
        <f t="shared" si="105"/>
        <v>0</v>
      </c>
      <c r="GA50" s="87">
        <f t="shared" si="106"/>
        <v>0</v>
      </c>
      <c r="GB50" s="87">
        <f t="shared" si="107"/>
        <v>0</v>
      </c>
      <c r="GC50" s="87">
        <f t="shared" si="108"/>
        <v>0</v>
      </c>
      <c r="GD50" s="87">
        <f t="shared" si="109"/>
        <v>0</v>
      </c>
    </row>
    <row r="51" spans="41:186" ht="16.5" x14ac:dyDescent="0.2">
      <c r="AO51" s="48">
        <v>5</v>
      </c>
      <c r="AP51" s="86">
        <v>13</v>
      </c>
      <c r="AQ51" s="86">
        <v>1</v>
      </c>
      <c r="AR51" s="48">
        <v>3</v>
      </c>
      <c r="AS51" s="86" t="s">
        <v>333</v>
      </c>
      <c r="AT51" s="21">
        <f t="shared" si="61"/>
        <v>6.6000000000000003E-2</v>
      </c>
      <c r="AU51" s="86">
        <f t="shared" si="5"/>
        <v>1</v>
      </c>
      <c r="AV51" s="86">
        <f t="shared" si="6"/>
        <v>3</v>
      </c>
      <c r="AW51" s="87">
        <f t="shared" si="7"/>
        <v>0.13200000000000001</v>
      </c>
      <c r="AX51" s="86">
        <f t="shared" si="8"/>
        <v>18.48</v>
      </c>
      <c r="BA51" s="86">
        <v>47</v>
      </c>
      <c r="BB51" s="14" t="e">
        <f>INDEX(节奏总表!#REF!,神器!BA51)</f>
        <v>#REF!</v>
      </c>
      <c r="BC51" s="14" t="e">
        <f t="shared" si="9"/>
        <v>#REF!</v>
      </c>
      <c r="BD51" s="14">
        <v>5</v>
      </c>
      <c r="BE51" s="14">
        <v>3</v>
      </c>
      <c r="BF51" s="14">
        <f t="shared" si="60"/>
        <v>0</v>
      </c>
      <c r="BG51" s="14">
        <f t="shared" si="67"/>
        <v>0</v>
      </c>
      <c r="BH51" s="14">
        <f t="shared" si="67"/>
        <v>0</v>
      </c>
      <c r="BI51" s="14">
        <f t="shared" si="67"/>
        <v>0</v>
      </c>
      <c r="BJ51" s="14">
        <f t="shared" si="67"/>
        <v>0</v>
      </c>
      <c r="BK51" s="14">
        <f t="shared" si="67"/>
        <v>0</v>
      </c>
      <c r="BL51" s="14">
        <f t="shared" si="67"/>
        <v>0</v>
      </c>
      <c r="BM51" s="14">
        <f t="shared" si="67"/>
        <v>0</v>
      </c>
      <c r="BN51" s="14">
        <f t="shared" si="67"/>
        <v>0</v>
      </c>
      <c r="BO51" s="14">
        <f t="shared" si="67"/>
        <v>0</v>
      </c>
      <c r="BP51" s="14">
        <f t="shared" si="67"/>
        <v>0</v>
      </c>
      <c r="BQ51" s="14">
        <f t="shared" si="67"/>
        <v>0</v>
      </c>
      <c r="BR51" s="14">
        <f t="shared" si="67"/>
        <v>0</v>
      </c>
      <c r="BS51" s="14">
        <f t="shared" si="67"/>
        <v>0</v>
      </c>
      <c r="BT51" s="14">
        <f t="shared" si="67"/>
        <v>0</v>
      </c>
      <c r="BU51" s="14">
        <f t="shared" si="67"/>
        <v>0</v>
      </c>
      <c r="BV51" s="14">
        <f t="shared" si="67"/>
        <v>0</v>
      </c>
      <c r="BW51" s="14">
        <f t="shared" si="67"/>
        <v>0</v>
      </c>
      <c r="BX51" s="14">
        <f t="shared" si="67"/>
        <v>0</v>
      </c>
      <c r="BY51" s="14">
        <f t="shared" si="67"/>
        <v>0</v>
      </c>
      <c r="BZ51" s="14">
        <f t="shared" si="67"/>
        <v>0</v>
      </c>
      <c r="CA51" s="14">
        <f t="shared" si="67"/>
        <v>0</v>
      </c>
      <c r="CB51" s="14">
        <f t="shared" si="67"/>
        <v>0</v>
      </c>
      <c r="CC51" s="14">
        <f t="shared" si="67"/>
        <v>0</v>
      </c>
      <c r="CD51" s="14">
        <f t="shared" si="67"/>
        <v>0</v>
      </c>
      <c r="CE51" s="14">
        <f t="shared" si="67"/>
        <v>0</v>
      </c>
      <c r="CF51" s="14">
        <f t="shared" si="67"/>
        <v>0</v>
      </c>
      <c r="CG51" s="14">
        <f t="shared" si="67"/>
        <v>0</v>
      </c>
      <c r="CH51" s="14">
        <f t="shared" si="67"/>
        <v>0</v>
      </c>
      <c r="CI51" s="14">
        <f t="shared" si="67"/>
        <v>0</v>
      </c>
      <c r="CJ51" s="14">
        <f t="shared" si="67"/>
        <v>0</v>
      </c>
      <c r="CK51" s="14">
        <f t="shared" si="67"/>
        <v>0</v>
      </c>
      <c r="CL51" s="14">
        <f t="shared" si="67"/>
        <v>0</v>
      </c>
      <c r="CM51" s="14">
        <f t="shared" si="67"/>
        <v>0</v>
      </c>
      <c r="CN51" s="14">
        <f t="shared" si="67"/>
        <v>0</v>
      </c>
      <c r="CO51" s="14">
        <f t="shared" si="67"/>
        <v>0</v>
      </c>
      <c r="CP51" s="14">
        <f t="shared" si="67"/>
        <v>0</v>
      </c>
      <c r="CQ51" s="14">
        <f t="shared" si="67"/>
        <v>0</v>
      </c>
      <c r="CR51" s="14">
        <f t="shared" si="67"/>
        <v>0</v>
      </c>
      <c r="CS51" s="14">
        <f t="shared" si="67"/>
        <v>0</v>
      </c>
      <c r="CT51" s="14">
        <f t="shared" si="67"/>
        <v>0</v>
      </c>
      <c r="CU51" s="14">
        <f t="shared" si="67"/>
        <v>0</v>
      </c>
      <c r="CW51" s="14">
        <f>SUM(BF$5:BF51)</f>
        <v>0</v>
      </c>
      <c r="CX51" s="14">
        <f>SUM(BG$5:BG51)</f>
        <v>0</v>
      </c>
      <c r="CY51" s="14">
        <f>SUM(BH$5:BH51)</f>
        <v>0</v>
      </c>
      <c r="CZ51" s="14">
        <f>SUM(BI$5:BI51)</f>
        <v>0</v>
      </c>
      <c r="DA51" s="14">
        <f>SUM(BJ$5:BJ51)</f>
        <v>0</v>
      </c>
      <c r="DB51" s="14">
        <f>SUM(BK$5:BK51)</f>
        <v>0</v>
      </c>
      <c r="DC51" s="14">
        <f>SUM(BL$5:BL51)</f>
        <v>0</v>
      </c>
      <c r="DD51" s="14">
        <f>SUM(BM$5:BM51)</f>
        <v>0</v>
      </c>
      <c r="DE51" s="14">
        <f>SUM(BN$5:BN51)</f>
        <v>0</v>
      </c>
      <c r="DF51" s="14">
        <f>SUM(BO$5:BO51)</f>
        <v>0</v>
      </c>
      <c r="DG51" s="14">
        <f>SUM(BP$5:BP51)</f>
        <v>0</v>
      </c>
      <c r="DH51" s="14">
        <f>SUM(BQ$5:BQ51)</f>
        <v>0</v>
      </c>
      <c r="DI51" s="14">
        <f>SUM(BR$5:BR51)</f>
        <v>0</v>
      </c>
      <c r="DJ51" s="14">
        <f>SUM(BS$5:BS51)</f>
        <v>0</v>
      </c>
      <c r="DK51" s="14">
        <f>SUM(BT$5:BT51)</f>
        <v>0</v>
      </c>
      <c r="DL51" s="14">
        <f>SUM(BU$5:BU51)</f>
        <v>0</v>
      </c>
      <c r="DM51" s="14">
        <f>SUM(BV$5:BV51)</f>
        <v>0</v>
      </c>
      <c r="DN51" s="14">
        <f>SUM(BW$5:BW51)</f>
        <v>0</v>
      </c>
      <c r="DO51" s="14">
        <f>SUM(BX$5:BX51)</f>
        <v>0</v>
      </c>
      <c r="DP51" s="14">
        <f>SUM(BY$5:BY51)</f>
        <v>0</v>
      </c>
      <c r="DQ51" s="14">
        <f>SUM(BZ$5:BZ51)</f>
        <v>0</v>
      </c>
      <c r="DR51" s="14">
        <f>SUM(CA$5:CA51)</f>
        <v>0</v>
      </c>
      <c r="DS51" s="14">
        <f>SUM(CB$5:CB51)</f>
        <v>0</v>
      </c>
      <c r="DT51" s="14">
        <f>SUM(CC$5:CC51)</f>
        <v>0</v>
      </c>
      <c r="DU51" s="14">
        <f>SUM(CD$5:CD51)</f>
        <v>0</v>
      </c>
      <c r="DV51" s="14">
        <f>SUM(CE$5:CE51)</f>
        <v>0</v>
      </c>
      <c r="DW51" s="14">
        <f>SUM(CF$5:CF51)</f>
        <v>0</v>
      </c>
      <c r="DX51" s="14">
        <f>SUM(CG$5:CG51)</f>
        <v>0</v>
      </c>
      <c r="DY51" s="14">
        <f>SUM(CH$5:CH51)</f>
        <v>0</v>
      </c>
      <c r="DZ51" s="14">
        <f>SUM(CI$5:CI51)</f>
        <v>0</v>
      </c>
      <c r="EA51" s="14">
        <f>SUM(CJ$5:CJ51)</f>
        <v>0</v>
      </c>
      <c r="EB51" s="14">
        <f>SUM(CK$5:CK51)</f>
        <v>0</v>
      </c>
      <c r="EC51" s="14">
        <f>SUM(CL$5:CL51)</f>
        <v>0</v>
      </c>
      <c r="ED51" s="14">
        <f>SUM(CM$5:CM51)</f>
        <v>0</v>
      </c>
      <c r="EE51" s="14">
        <f>SUM(CN$5:CN51)</f>
        <v>0</v>
      </c>
      <c r="EF51" s="14">
        <f>SUM(CO$5:CO51)</f>
        <v>0</v>
      </c>
      <c r="EG51" s="14">
        <f>SUM(CP$5:CP51)</f>
        <v>0</v>
      </c>
      <c r="EH51" s="14">
        <f>SUM(CQ$5:CQ51)</f>
        <v>0</v>
      </c>
      <c r="EI51" s="14">
        <f>SUM(CR$5:CR51)</f>
        <v>0</v>
      </c>
      <c r="EJ51" s="14">
        <f>SUM(CS$5:CS51)</f>
        <v>0</v>
      </c>
      <c r="EK51" s="14">
        <f>SUM(CT$5:CT51)</f>
        <v>0</v>
      </c>
      <c r="EL51" s="14">
        <f>SUM(CU$5:CU51)</f>
        <v>0</v>
      </c>
      <c r="EO51" s="87">
        <f t="shared" si="68"/>
        <v>0</v>
      </c>
      <c r="EP51" s="87">
        <f t="shared" si="69"/>
        <v>0</v>
      </c>
      <c r="EQ51" s="87">
        <f t="shared" si="70"/>
        <v>0</v>
      </c>
      <c r="ER51" s="87">
        <f t="shared" si="71"/>
        <v>0</v>
      </c>
      <c r="ES51" s="87">
        <f t="shared" si="72"/>
        <v>0</v>
      </c>
      <c r="ET51" s="87">
        <f t="shared" si="73"/>
        <v>0</v>
      </c>
      <c r="EU51" s="87">
        <f t="shared" si="74"/>
        <v>0</v>
      </c>
      <c r="EV51" s="87">
        <f t="shared" si="75"/>
        <v>0</v>
      </c>
      <c r="EW51" s="87">
        <f t="shared" si="76"/>
        <v>0</v>
      </c>
      <c r="EX51" s="87">
        <f t="shared" si="77"/>
        <v>0</v>
      </c>
      <c r="EY51" s="87">
        <f t="shared" si="78"/>
        <v>0</v>
      </c>
      <c r="EZ51" s="87">
        <f t="shared" si="79"/>
        <v>0</v>
      </c>
      <c r="FA51" s="87">
        <f t="shared" si="80"/>
        <v>0</v>
      </c>
      <c r="FB51" s="87">
        <f t="shared" si="81"/>
        <v>0</v>
      </c>
      <c r="FC51" s="87">
        <f t="shared" si="82"/>
        <v>0</v>
      </c>
      <c r="FD51" s="87">
        <f t="shared" si="83"/>
        <v>0</v>
      </c>
      <c r="FE51" s="87">
        <f t="shared" si="84"/>
        <v>0</v>
      </c>
      <c r="FF51" s="87">
        <f t="shared" si="85"/>
        <v>0</v>
      </c>
      <c r="FG51" s="87">
        <f t="shared" si="86"/>
        <v>0</v>
      </c>
      <c r="FH51" s="87">
        <f t="shared" si="87"/>
        <v>0</v>
      </c>
      <c r="FI51" s="87">
        <f t="shared" si="88"/>
        <v>0</v>
      </c>
      <c r="FJ51" s="87">
        <f t="shared" si="89"/>
        <v>0</v>
      </c>
      <c r="FK51" s="87">
        <f t="shared" si="90"/>
        <v>0</v>
      </c>
      <c r="FL51" s="87">
        <f t="shared" si="91"/>
        <v>0</v>
      </c>
      <c r="FM51" s="87">
        <f t="shared" si="92"/>
        <v>0</v>
      </c>
      <c r="FN51" s="87">
        <f t="shared" si="93"/>
        <v>0</v>
      </c>
      <c r="FO51" s="87">
        <f t="shared" si="94"/>
        <v>0</v>
      </c>
      <c r="FP51" s="87">
        <f t="shared" si="95"/>
        <v>0</v>
      </c>
      <c r="FQ51" s="87">
        <f t="shared" si="96"/>
        <v>0</v>
      </c>
      <c r="FR51" s="87">
        <f t="shared" si="97"/>
        <v>0</v>
      </c>
      <c r="FS51" s="87">
        <f t="shared" si="98"/>
        <v>0</v>
      </c>
      <c r="FT51" s="87">
        <f t="shared" si="99"/>
        <v>0</v>
      </c>
      <c r="FU51" s="87">
        <f t="shared" si="100"/>
        <v>0</v>
      </c>
      <c r="FV51" s="87">
        <f t="shared" si="101"/>
        <v>0</v>
      </c>
      <c r="FW51" s="87">
        <f t="shared" si="102"/>
        <v>0</v>
      </c>
      <c r="FX51" s="87">
        <f t="shared" si="103"/>
        <v>0</v>
      </c>
      <c r="FY51" s="87">
        <f t="shared" si="104"/>
        <v>0</v>
      </c>
      <c r="FZ51" s="87">
        <f t="shared" si="105"/>
        <v>0</v>
      </c>
      <c r="GA51" s="87">
        <f t="shared" si="106"/>
        <v>0</v>
      </c>
      <c r="GB51" s="87">
        <f t="shared" si="107"/>
        <v>0</v>
      </c>
      <c r="GC51" s="87">
        <f t="shared" si="108"/>
        <v>0</v>
      </c>
      <c r="GD51" s="87">
        <f t="shared" si="109"/>
        <v>0</v>
      </c>
    </row>
    <row r="52" spans="41:186" ht="16.5" x14ac:dyDescent="0.2">
      <c r="AO52" s="48">
        <v>5</v>
      </c>
      <c r="AP52" s="86">
        <v>14</v>
      </c>
      <c r="AQ52" s="86">
        <v>1</v>
      </c>
      <c r="AR52" s="48">
        <v>3</v>
      </c>
      <c r="AS52" s="86" t="s">
        <v>334</v>
      </c>
      <c r="AT52" s="21">
        <f t="shared" si="61"/>
        <v>3.3000000000000002E-2</v>
      </c>
      <c r="AU52" s="86">
        <f t="shared" si="5"/>
        <v>1</v>
      </c>
      <c r="AV52" s="86">
        <f t="shared" si="6"/>
        <v>3</v>
      </c>
      <c r="AW52" s="87">
        <f t="shared" si="7"/>
        <v>6.6000000000000003E-2</v>
      </c>
      <c r="AX52" s="86">
        <f t="shared" si="8"/>
        <v>19.8</v>
      </c>
      <c r="BA52" s="86">
        <v>48</v>
      </c>
      <c r="BB52" s="14" t="e">
        <f>INDEX(节奏总表!#REF!,神器!BA52)</f>
        <v>#REF!</v>
      </c>
      <c r="BC52" s="14" t="e">
        <f t="shared" si="9"/>
        <v>#REF!</v>
      </c>
      <c r="BD52" s="14">
        <v>5</v>
      </c>
      <c r="BE52" s="14">
        <v>3</v>
      </c>
      <c r="BF52" s="14">
        <f t="shared" si="60"/>
        <v>0</v>
      </c>
      <c r="BG52" s="14">
        <f t="shared" si="67"/>
        <v>0</v>
      </c>
      <c r="BH52" s="14">
        <f t="shared" si="67"/>
        <v>0</v>
      </c>
      <c r="BI52" s="14">
        <f t="shared" si="67"/>
        <v>0</v>
      </c>
      <c r="BJ52" s="14">
        <f t="shared" si="67"/>
        <v>0</v>
      </c>
      <c r="BK52" s="14">
        <f t="shared" si="67"/>
        <v>0</v>
      </c>
      <c r="BL52" s="14">
        <f t="shared" si="67"/>
        <v>0</v>
      </c>
      <c r="BM52" s="14">
        <f t="shared" si="67"/>
        <v>0</v>
      </c>
      <c r="BN52" s="14">
        <f t="shared" si="67"/>
        <v>0</v>
      </c>
      <c r="BO52" s="14">
        <f t="shared" si="67"/>
        <v>0</v>
      </c>
      <c r="BP52" s="14">
        <f t="shared" si="67"/>
        <v>0</v>
      </c>
      <c r="BQ52" s="14">
        <f t="shared" si="67"/>
        <v>0</v>
      </c>
      <c r="BR52" s="14">
        <f t="shared" si="67"/>
        <v>0</v>
      </c>
      <c r="BS52" s="14">
        <f t="shared" si="67"/>
        <v>0</v>
      </c>
      <c r="BT52" s="14">
        <f t="shared" si="67"/>
        <v>0</v>
      </c>
      <c r="BU52" s="14">
        <f t="shared" si="67"/>
        <v>0</v>
      </c>
      <c r="BV52" s="14">
        <f t="shared" si="67"/>
        <v>0</v>
      </c>
      <c r="BW52" s="14">
        <f t="shared" si="67"/>
        <v>0</v>
      </c>
      <c r="BX52" s="14">
        <f t="shared" si="67"/>
        <v>0</v>
      </c>
      <c r="BY52" s="14">
        <f t="shared" si="67"/>
        <v>0</v>
      </c>
      <c r="BZ52" s="14">
        <f t="shared" si="67"/>
        <v>0</v>
      </c>
      <c r="CA52" s="14">
        <f t="shared" si="67"/>
        <v>0</v>
      </c>
      <c r="CB52" s="14">
        <f t="shared" si="67"/>
        <v>0</v>
      </c>
      <c r="CC52" s="14">
        <f t="shared" si="67"/>
        <v>0</v>
      </c>
      <c r="CD52" s="14">
        <f t="shared" si="67"/>
        <v>0</v>
      </c>
      <c r="CE52" s="14">
        <f t="shared" si="67"/>
        <v>0</v>
      </c>
      <c r="CF52" s="14">
        <f t="shared" si="67"/>
        <v>0</v>
      </c>
      <c r="CG52" s="14">
        <f t="shared" si="67"/>
        <v>0</v>
      </c>
      <c r="CH52" s="14">
        <f t="shared" si="67"/>
        <v>0</v>
      </c>
      <c r="CI52" s="14">
        <f t="shared" si="67"/>
        <v>0</v>
      </c>
      <c r="CJ52" s="14">
        <f t="shared" si="67"/>
        <v>0</v>
      </c>
      <c r="CK52" s="14">
        <f t="shared" si="67"/>
        <v>0</v>
      </c>
      <c r="CL52" s="14">
        <f t="shared" si="67"/>
        <v>0</v>
      </c>
      <c r="CM52" s="14">
        <f t="shared" si="67"/>
        <v>0</v>
      </c>
      <c r="CN52" s="14">
        <f t="shared" si="67"/>
        <v>0</v>
      </c>
      <c r="CO52" s="14">
        <f t="shared" si="67"/>
        <v>0</v>
      </c>
      <c r="CP52" s="14">
        <f t="shared" si="67"/>
        <v>0</v>
      </c>
      <c r="CQ52" s="14">
        <f t="shared" si="67"/>
        <v>0</v>
      </c>
      <c r="CR52" s="14">
        <f t="shared" si="67"/>
        <v>0</v>
      </c>
      <c r="CS52" s="14">
        <f t="shared" si="67"/>
        <v>0</v>
      </c>
      <c r="CT52" s="14">
        <f t="shared" si="67"/>
        <v>0</v>
      </c>
      <c r="CU52" s="14">
        <f t="shared" si="67"/>
        <v>0</v>
      </c>
      <c r="CW52" s="14">
        <f>SUM(BF$5:BF52)</f>
        <v>0</v>
      </c>
      <c r="CX52" s="14">
        <f>SUM(BG$5:BG52)</f>
        <v>0</v>
      </c>
      <c r="CY52" s="14">
        <f>SUM(BH$5:BH52)</f>
        <v>0</v>
      </c>
      <c r="CZ52" s="14">
        <f>SUM(BI$5:BI52)</f>
        <v>0</v>
      </c>
      <c r="DA52" s="14">
        <f>SUM(BJ$5:BJ52)</f>
        <v>0</v>
      </c>
      <c r="DB52" s="14">
        <f>SUM(BK$5:BK52)</f>
        <v>0</v>
      </c>
      <c r="DC52" s="14">
        <f>SUM(BL$5:BL52)</f>
        <v>0</v>
      </c>
      <c r="DD52" s="14">
        <f>SUM(BM$5:BM52)</f>
        <v>0</v>
      </c>
      <c r="DE52" s="14">
        <f>SUM(BN$5:BN52)</f>
        <v>0</v>
      </c>
      <c r="DF52" s="14">
        <f>SUM(BO$5:BO52)</f>
        <v>0</v>
      </c>
      <c r="DG52" s="14">
        <f>SUM(BP$5:BP52)</f>
        <v>0</v>
      </c>
      <c r="DH52" s="14">
        <f>SUM(BQ$5:BQ52)</f>
        <v>0</v>
      </c>
      <c r="DI52" s="14">
        <f>SUM(BR$5:BR52)</f>
        <v>0</v>
      </c>
      <c r="DJ52" s="14">
        <f>SUM(BS$5:BS52)</f>
        <v>0</v>
      </c>
      <c r="DK52" s="14">
        <f>SUM(BT$5:BT52)</f>
        <v>0</v>
      </c>
      <c r="DL52" s="14">
        <f>SUM(BU$5:BU52)</f>
        <v>0</v>
      </c>
      <c r="DM52" s="14">
        <f>SUM(BV$5:BV52)</f>
        <v>0</v>
      </c>
      <c r="DN52" s="14">
        <f>SUM(BW$5:BW52)</f>
        <v>0</v>
      </c>
      <c r="DO52" s="14">
        <f>SUM(BX$5:BX52)</f>
        <v>0</v>
      </c>
      <c r="DP52" s="14">
        <f>SUM(BY$5:BY52)</f>
        <v>0</v>
      </c>
      <c r="DQ52" s="14">
        <f>SUM(BZ$5:BZ52)</f>
        <v>0</v>
      </c>
      <c r="DR52" s="14">
        <f>SUM(CA$5:CA52)</f>
        <v>0</v>
      </c>
      <c r="DS52" s="14">
        <f>SUM(CB$5:CB52)</f>
        <v>0</v>
      </c>
      <c r="DT52" s="14">
        <f>SUM(CC$5:CC52)</f>
        <v>0</v>
      </c>
      <c r="DU52" s="14">
        <f>SUM(CD$5:CD52)</f>
        <v>0</v>
      </c>
      <c r="DV52" s="14">
        <f>SUM(CE$5:CE52)</f>
        <v>0</v>
      </c>
      <c r="DW52" s="14">
        <f>SUM(CF$5:CF52)</f>
        <v>0</v>
      </c>
      <c r="DX52" s="14">
        <f>SUM(CG$5:CG52)</f>
        <v>0</v>
      </c>
      <c r="DY52" s="14">
        <f>SUM(CH$5:CH52)</f>
        <v>0</v>
      </c>
      <c r="DZ52" s="14">
        <f>SUM(CI$5:CI52)</f>
        <v>0</v>
      </c>
      <c r="EA52" s="14">
        <f>SUM(CJ$5:CJ52)</f>
        <v>0</v>
      </c>
      <c r="EB52" s="14">
        <f>SUM(CK$5:CK52)</f>
        <v>0</v>
      </c>
      <c r="EC52" s="14">
        <f>SUM(CL$5:CL52)</f>
        <v>0</v>
      </c>
      <c r="ED52" s="14">
        <f>SUM(CM$5:CM52)</f>
        <v>0</v>
      </c>
      <c r="EE52" s="14">
        <f>SUM(CN$5:CN52)</f>
        <v>0</v>
      </c>
      <c r="EF52" s="14">
        <f>SUM(CO$5:CO52)</f>
        <v>0</v>
      </c>
      <c r="EG52" s="14">
        <f>SUM(CP$5:CP52)</f>
        <v>0</v>
      </c>
      <c r="EH52" s="14">
        <f>SUM(CQ$5:CQ52)</f>
        <v>0</v>
      </c>
      <c r="EI52" s="14">
        <f>SUM(CR$5:CR52)</f>
        <v>0</v>
      </c>
      <c r="EJ52" s="14">
        <f>SUM(CS$5:CS52)</f>
        <v>0</v>
      </c>
      <c r="EK52" s="14">
        <f>SUM(CT$5:CT52)</f>
        <v>0</v>
      </c>
      <c r="EL52" s="14">
        <f>SUM(CU$5:CU52)</f>
        <v>0</v>
      </c>
      <c r="EO52" s="87">
        <f t="shared" si="68"/>
        <v>0</v>
      </c>
      <c r="EP52" s="87">
        <f t="shared" si="69"/>
        <v>0</v>
      </c>
      <c r="EQ52" s="87">
        <f t="shared" si="70"/>
        <v>0</v>
      </c>
      <c r="ER52" s="87">
        <f t="shared" si="71"/>
        <v>0</v>
      </c>
      <c r="ES52" s="87">
        <f t="shared" si="72"/>
        <v>0</v>
      </c>
      <c r="ET52" s="87">
        <f t="shared" si="73"/>
        <v>0</v>
      </c>
      <c r="EU52" s="87">
        <f t="shared" si="74"/>
        <v>0</v>
      </c>
      <c r="EV52" s="87">
        <f t="shared" si="75"/>
        <v>0</v>
      </c>
      <c r="EW52" s="87">
        <f t="shared" si="76"/>
        <v>0</v>
      </c>
      <c r="EX52" s="87">
        <f t="shared" si="77"/>
        <v>0</v>
      </c>
      <c r="EY52" s="87">
        <f t="shared" si="78"/>
        <v>0</v>
      </c>
      <c r="EZ52" s="87">
        <f t="shared" si="79"/>
        <v>0</v>
      </c>
      <c r="FA52" s="87">
        <f t="shared" si="80"/>
        <v>0</v>
      </c>
      <c r="FB52" s="87">
        <f t="shared" si="81"/>
        <v>0</v>
      </c>
      <c r="FC52" s="87">
        <f t="shared" si="82"/>
        <v>0</v>
      </c>
      <c r="FD52" s="87">
        <f t="shared" si="83"/>
        <v>0</v>
      </c>
      <c r="FE52" s="87">
        <f t="shared" si="84"/>
        <v>0</v>
      </c>
      <c r="FF52" s="87">
        <f t="shared" si="85"/>
        <v>0</v>
      </c>
      <c r="FG52" s="87">
        <f t="shared" si="86"/>
        <v>0</v>
      </c>
      <c r="FH52" s="87">
        <f t="shared" si="87"/>
        <v>0</v>
      </c>
      <c r="FI52" s="87">
        <f t="shared" si="88"/>
        <v>0</v>
      </c>
      <c r="FJ52" s="87">
        <f t="shared" si="89"/>
        <v>0</v>
      </c>
      <c r="FK52" s="87">
        <f t="shared" si="90"/>
        <v>0</v>
      </c>
      <c r="FL52" s="87">
        <f t="shared" si="91"/>
        <v>0</v>
      </c>
      <c r="FM52" s="87">
        <f t="shared" si="92"/>
        <v>0</v>
      </c>
      <c r="FN52" s="87">
        <f t="shared" si="93"/>
        <v>0</v>
      </c>
      <c r="FO52" s="87">
        <f t="shared" si="94"/>
        <v>0</v>
      </c>
      <c r="FP52" s="87">
        <f t="shared" si="95"/>
        <v>0</v>
      </c>
      <c r="FQ52" s="87">
        <f t="shared" si="96"/>
        <v>0</v>
      </c>
      <c r="FR52" s="87">
        <f t="shared" si="97"/>
        <v>0</v>
      </c>
      <c r="FS52" s="87">
        <f t="shared" si="98"/>
        <v>0</v>
      </c>
      <c r="FT52" s="87">
        <f t="shared" si="99"/>
        <v>0</v>
      </c>
      <c r="FU52" s="87">
        <f t="shared" si="100"/>
        <v>0</v>
      </c>
      <c r="FV52" s="87">
        <f t="shared" si="101"/>
        <v>0</v>
      </c>
      <c r="FW52" s="87">
        <f t="shared" si="102"/>
        <v>0</v>
      </c>
      <c r="FX52" s="87">
        <f t="shared" si="103"/>
        <v>0</v>
      </c>
      <c r="FY52" s="87">
        <f t="shared" si="104"/>
        <v>0</v>
      </c>
      <c r="FZ52" s="87">
        <f t="shared" si="105"/>
        <v>0</v>
      </c>
      <c r="GA52" s="87">
        <f t="shared" si="106"/>
        <v>0</v>
      </c>
      <c r="GB52" s="87">
        <f t="shared" si="107"/>
        <v>0</v>
      </c>
      <c r="GC52" s="87">
        <f t="shared" si="108"/>
        <v>0</v>
      </c>
      <c r="GD52" s="87">
        <f t="shared" si="109"/>
        <v>0</v>
      </c>
    </row>
    <row r="53" spans="41:186" ht="16.5" x14ac:dyDescent="0.2">
      <c r="AO53" s="48">
        <v>5</v>
      </c>
      <c r="AP53" s="86">
        <v>15</v>
      </c>
      <c r="AQ53" s="86">
        <v>2</v>
      </c>
      <c r="AR53" s="48">
        <v>2</v>
      </c>
      <c r="AS53" s="86" t="s">
        <v>335</v>
      </c>
      <c r="AT53" s="21">
        <f t="shared" si="61"/>
        <v>7.4999999999999997E-2</v>
      </c>
      <c r="AU53" s="86">
        <f t="shared" si="5"/>
        <v>2</v>
      </c>
      <c r="AV53" s="86">
        <f t="shared" si="6"/>
        <v>4</v>
      </c>
      <c r="AW53" s="87">
        <f t="shared" si="7"/>
        <v>0.22499999999999998</v>
      </c>
      <c r="AX53" s="86">
        <f t="shared" si="8"/>
        <v>5.625</v>
      </c>
      <c r="BA53" s="86">
        <v>49</v>
      </c>
      <c r="BB53" s="14" t="e">
        <f>INDEX(节奏总表!#REF!,神器!BA53)</f>
        <v>#REF!</v>
      </c>
      <c r="BC53" s="14" t="e">
        <f t="shared" si="9"/>
        <v>#REF!</v>
      </c>
      <c r="BD53" s="14">
        <v>5</v>
      </c>
      <c r="BE53" s="14">
        <v>3</v>
      </c>
      <c r="BF53" s="14">
        <f t="shared" si="60"/>
        <v>0</v>
      </c>
      <c r="BG53" s="14">
        <f t="shared" si="67"/>
        <v>0</v>
      </c>
      <c r="BH53" s="14">
        <f t="shared" si="67"/>
        <v>0</v>
      </c>
      <c r="BI53" s="14">
        <f t="shared" si="67"/>
        <v>0</v>
      </c>
      <c r="BJ53" s="14">
        <f t="shared" si="67"/>
        <v>0</v>
      </c>
      <c r="BK53" s="14">
        <f t="shared" si="67"/>
        <v>0</v>
      </c>
      <c r="BL53" s="14">
        <f t="shared" si="67"/>
        <v>0</v>
      </c>
      <c r="BM53" s="14">
        <f t="shared" si="67"/>
        <v>0</v>
      </c>
      <c r="BN53" s="14">
        <f t="shared" si="67"/>
        <v>0</v>
      </c>
      <c r="BO53" s="14">
        <f t="shared" si="67"/>
        <v>0</v>
      </c>
      <c r="BP53" s="14">
        <f t="shared" si="67"/>
        <v>0</v>
      </c>
      <c r="BQ53" s="14">
        <f t="shared" si="67"/>
        <v>0</v>
      </c>
      <c r="BR53" s="14">
        <f t="shared" si="67"/>
        <v>0</v>
      </c>
      <c r="BS53" s="14">
        <f t="shared" si="67"/>
        <v>0</v>
      </c>
      <c r="BT53" s="14">
        <f t="shared" si="67"/>
        <v>0</v>
      </c>
      <c r="BU53" s="14">
        <f t="shared" si="67"/>
        <v>0</v>
      </c>
      <c r="BV53" s="14">
        <f t="shared" si="67"/>
        <v>0</v>
      </c>
      <c r="BW53" s="14">
        <f t="shared" si="67"/>
        <v>0</v>
      </c>
      <c r="BX53" s="14">
        <f t="shared" si="67"/>
        <v>0</v>
      </c>
      <c r="BY53" s="14">
        <f t="shared" si="67"/>
        <v>0</v>
      </c>
      <c r="BZ53" s="14">
        <f t="shared" si="67"/>
        <v>0</v>
      </c>
      <c r="CA53" s="14">
        <f t="shared" si="67"/>
        <v>0</v>
      </c>
      <c r="CB53" s="14">
        <f t="shared" si="67"/>
        <v>0</v>
      </c>
      <c r="CC53" s="14">
        <f t="shared" si="67"/>
        <v>0</v>
      </c>
      <c r="CD53" s="14">
        <f t="shared" si="67"/>
        <v>0</v>
      </c>
      <c r="CE53" s="14">
        <f t="shared" si="67"/>
        <v>0</v>
      </c>
      <c r="CF53" s="14">
        <f t="shared" si="67"/>
        <v>0</v>
      </c>
      <c r="CG53" s="14">
        <f t="shared" si="67"/>
        <v>0</v>
      </c>
      <c r="CH53" s="14">
        <f t="shared" si="67"/>
        <v>0</v>
      </c>
      <c r="CI53" s="14">
        <f t="shared" si="67"/>
        <v>0</v>
      </c>
      <c r="CJ53" s="14">
        <f t="shared" si="67"/>
        <v>0</v>
      </c>
      <c r="CK53" s="14">
        <f t="shared" si="67"/>
        <v>0</v>
      </c>
      <c r="CL53" s="14">
        <f t="shared" si="67"/>
        <v>0</v>
      </c>
      <c r="CM53" s="14">
        <f t="shared" si="67"/>
        <v>0</v>
      </c>
      <c r="CN53" s="14">
        <f t="shared" si="67"/>
        <v>0</v>
      </c>
      <c r="CO53" s="14">
        <f t="shared" si="67"/>
        <v>0</v>
      </c>
      <c r="CP53" s="14">
        <f t="shared" si="67"/>
        <v>0</v>
      </c>
      <c r="CQ53" s="14">
        <f t="shared" si="67"/>
        <v>0</v>
      </c>
      <c r="CR53" s="14">
        <f t="shared" si="67"/>
        <v>0</v>
      </c>
      <c r="CS53" s="14">
        <f t="shared" si="67"/>
        <v>0</v>
      </c>
      <c r="CT53" s="14">
        <f t="shared" si="67"/>
        <v>0</v>
      </c>
      <c r="CU53" s="14">
        <f t="shared" si="67"/>
        <v>0</v>
      </c>
      <c r="CW53" s="14">
        <f>SUM(BF$5:BF53)</f>
        <v>0</v>
      </c>
      <c r="CX53" s="14">
        <f>SUM(BG$5:BG53)</f>
        <v>0</v>
      </c>
      <c r="CY53" s="14">
        <f>SUM(BH$5:BH53)</f>
        <v>0</v>
      </c>
      <c r="CZ53" s="14">
        <f>SUM(BI$5:BI53)</f>
        <v>0</v>
      </c>
      <c r="DA53" s="14">
        <f>SUM(BJ$5:BJ53)</f>
        <v>0</v>
      </c>
      <c r="DB53" s="14">
        <f>SUM(BK$5:BK53)</f>
        <v>0</v>
      </c>
      <c r="DC53" s="14">
        <f>SUM(BL$5:BL53)</f>
        <v>0</v>
      </c>
      <c r="DD53" s="14">
        <f>SUM(BM$5:BM53)</f>
        <v>0</v>
      </c>
      <c r="DE53" s="14">
        <f>SUM(BN$5:BN53)</f>
        <v>0</v>
      </c>
      <c r="DF53" s="14">
        <f>SUM(BO$5:BO53)</f>
        <v>0</v>
      </c>
      <c r="DG53" s="14">
        <f>SUM(BP$5:BP53)</f>
        <v>0</v>
      </c>
      <c r="DH53" s="14">
        <f>SUM(BQ$5:BQ53)</f>
        <v>0</v>
      </c>
      <c r="DI53" s="14">
        <f>SUM(BR$5:BR53)</f>
        <v>0</v>
      </c>
      <c r="DJ53" s="14">
        <f>SUM(BS$5:BS53)</f>
        <v>0</v>
      </c>
      <c r="DK53" s="14">
        <f>SUM(BT$5:BT53)</f>
        <v>0</v>
      </c>
      <c r="DL53" s="14">
        <f>SUM(BU$5:BU53)</f>
        <v>0</v>
      </c>
      <c r="DM53" s="14">
        <f>SUM(BV$5:BV53)</f>
        <v>0</v>
      </c>
      <c r="DN53" s="14">
        <f>SUM(BW$5:BW53)</f>
        <v>0</v>
      </c>
      <c r="DO53" s="14">
        <f>SUM(BX$5:BX53)</f>
        <v>0</v>
      </c>
      <c r="DP53" s="14">
        <f>SUM(BY$5:BY53)</f>
        <v>0</v>
      </c>
      <c r="DQ53" s="14">
        <f>SUM(BZ$5:BZ53)</f>
        <v>0</v>
      </c>
      <c r="DR53" s="14">
        <f>SUM(CA$5:CA53)</f>
        <v>0</v>
      </c>
      <c r="DS53" s="14">
        <f>SUM(CB$5:CB53)</f>
        <v>0</v>
      </c>
      <c r="DT53" s="14">
        <f>SUM(CC$5:CC53)</f>
        <v>0</v>
      </c>
      <c r="DU53" s="14">
        <f>SUM(CD$5:CD53)</f>
        <v>0</v>
      </c>
      <c r="DV53" s="14">
        <f>SUM(CE$5:CE53)</f>
        <v>0</v>
      </c>
      <c r="DW53" s="14">
        <f>SUM(CF$5:CF53)</f>
        <v>0</v>
      </c>
      <c r="DX53" s="14">
        <f>SUM(CG$5:CG53)</f>
        <v>0</v>
      </c>
      <c r="DY53" s="14">
        <f>SUM(CH$5:CH53)</f>
        <v>0</v>
      </c>
      <c r="DZ53" s="14">
        <f>SUM(CI$5:CI53)</f>
        <v>0</v>
      </c>
      <c r="EA53" s="14">
        <f>SUM(CJ$5:CJ53)</f>
        <v>0</v>
      </c>
      <c r="EB53" s="14">
        <f>SUM(CK$5:CK53)</f>
        <v>0</v>
      </c>
      <c r="EC53" s="14">
        <f>SUM(CL$5:CL53)</f>
        <v>0</v>
      </c>
      <c r="ED53" s="14">
        <f>SUM(CM$5:CM53)</f>
        <v>0</v>
      </c>
      <c r="EE53" s="14">
        <f>SUM(CN$5:CN53)</f>
        <v>0</v>
      </c>
      <c r="EF53" s="14">
        <f>SUM(CO$5:CO53)</f>
        <v>0</v>
      </c>
      <c r="EG53" s="14">
        <f>SUM(CP$5:CP53)</f>
        <v>0</v>
      </c>
      <c r="EH53" s="14">
        <f>SUM(CQ$5:CQ53)</f>
        <v>0</v>
      </c>
      <c r="EI53" s="14">
        <f>SUM(CR$5:CR53)</f>
        <v>0</v>
      </c>
      <c r="EJ53" s="14">
        <f>SUM(CS$5:CS53)</f>
        <v>0</v>
      </c>
      <c r="EK53" s="14">
        <f>SUM(CT$5:CT53)</f>
        <v>0</v>
      </c>
      <c r="EL53" s="14">
        <f>SUM(CU$5:CU53)</f>
        <v>0</v>
      </c>
      <c r="EO53" s="87">
        <f t="shared" si="68"/>
        <v>0</v>
      </c>
      <c r="EP53" s="87">
        <f t="shared" si="69"/>
        <v>0</v>
      </c>
      <c r="EQ53" s="87">
        <f t="shared" si="70"/>
        <v>0</v>
      </c>
      <c r="ER53" s="87">
        <f t="shared" si="71"/>
        <v>0</v>
      </c>
      <c r="ES53" s="87">
        <f t="shared" si="72"/>
        <v>0</v>
      </c>
      <c r="ET53" s="87">
        <f t="shared" si="73"/>
        <v>0</v>
      </c>
      <c r="EU53" s="87">
        <f t="shared" si="74"/>
        <v>0</v>
      </c>
      <c r="EV53" s="87">
        <f t="shared" si="75"/>
        <v>0</v>
      </c>
      <c r="EW53" s="87">
        <f t="shared" si="76"/>
        <v>0</v>
      </c>
      <c r="EX53" s="87">
        <f t="shared" si="77"/>
        <v>0</v>
      </c>
      <c r="EY53" s="87">
        <f t="shared" si="78"/>
        <v>0</v>
      </c>
      <c r="EZ53" s="87">
        <f t="shared" si="79"/>
        <v>0</v>
      </c>
      <c r="FA53" s="87">
        <f t="shared" si="80"/>
        <v>0</v>
      </c>
      <c r="FB53" s="87">
        <f t="shared" si="81"/>
        <v>0</v>
      </c>
      <c r="FC53" s="87">
        <f t="shared" si="82"/>
        <v>0</v>
      </c>
      <c r="FD53" s="87">
        <f t="shared" si="83"/>
        <v>0</v>
      </c>
      <c r="FE53" s="87">
        <f t="shared" si="84"/>
        <v>0</v>
      </c>
      <c r="FF53" s="87">
        <f t="shared" si="85"/>
        <v>0</v>
      </c>
      <c r="FG53" s="87">
        <f t="shared" si="86"/>
        <v>0</v>
      </c>
      <c r="FH53" s="87">
        <f t="shared" si="87"/>
        <v>0</v>
      </c>
      <c r="FI53" s="87">
        <f t="shared" si="88"/>
        <v>0</v>
      </c>
      <c r="FJ53" s="87">
        <f t="shared" si="89"/>
        <v>0</v>
      </c>
      <c r="FK53" s="87">
        <f t="shared" si="90"/>
        <v>0</v>
      </c>
      <c r="FL53" s="87">
        <f t="shared" si="91"/>
        <v>0</v>
      </c>
      <c r="FM53" s="87">
        <f t="shared" si="92"/>
        <v>0</v>
      </c>
      <c r="FN53" s="87">
        <f t="shared" si="93"/>
        <v>0</v>
      </c>
      <c r="FO53" s="87">
        <f t="shared" si="94"/>
        <v>0</v>
      </c>
      <c r="FP53" s="87">
        <f t="shared" si="95"/>
        <v>0</v>
      </c>
      <c r="FQ53" s="87">
        <f t="shared" si="96"/>
        <v>0</v>
      </c>
      <c r="FR53" s="87">
        <f t="shared" si="97"/>
        <v>0</v>
      </c>
      <c r="FS53" s="87">
        <f t="shared" si="98"/>
        <v>0</v>
      </c>
      <c r="FT53" s="87">
        <f t="shared" si="99"/>
        <v>0</v>
      </c>
      <c r="FU53" s="87">
        <f t="shared" si="100"/>
        <v>0</v>
      </c>
      <c r="FV53" s="87">
        <f t="shared" si="101"/>
        <v>0</v>
      </c>
      <c r="FW53" s="87">
        <f t="shared" si="102"/>
        <v>0</v>
      </c>
      <c r="FX53" s="87">
        <f t="shared" si="103"/>
        <v>0</v>
      </c>
      <c r="FY53" s="87">
        <f t="shared" si="104"/>
        <v>0</v>
      </c>
      <c r="FZ53" s="87">
        <f t="shared" si="105"/>
        <v>0</v>
      </c>
      <c r="GA53" s="87">
        <f t="shared" si="106"/>
        <v>0</v>
      </c>
      <c r="GB53" s="87">
        <f t="shared" si="107"/>
        <v>0</v>
      </c>
      <c r="GC53" s="87">
        <f t="shared" si="108"/>
        <v>0</v>
      </c>
      <c r="GD53" s="87">
        <f t="shared" si="109"/>
        <v>0</v>
      </c>
    </row>
    <row r="54" spans="41:186" ht="16.5" x14ac:dyDescent="0.2">
      <c r="AO54" s="48">
        <v>5</v>
      </c>
      <c r="AP54" s="86">
        <v>16</v>
      </c>
      <c r="AQ54" s="86">
        <v>2</v>
      </c>
      <c r="AR54" s="48">
        <v>2</v>
      </c>
      <c r="AS54" s="86" t="s">
        <v>336</v>
      </c>
      <c r="AT54" s="21">
        <f t="shared" si="61"/>
        <v>7.4999999999999997E-2</v>
      </c>
      <c r="AU54" s="86">
        <f t="shared" si="5"/>
        <v>2</v>
      </c>
      <c r="AV54" s="86">
        <f t="shared" si="6"/>
        <v>4</v>
      </c>
      <c r="AW54" s="87">
        <f t="shared" si="7"/>
        <v>0.22499999999999998</v>
      </c>
      <c r="AX54" s="86">
        <f t="shared" si="8"/>
        <v>5.625</v>
      </c>
      <c r="BA54" s="86">
        <v>50</v>
      </c>
      <c r="BB54" s="14" t="e">
        <f>INDEX(节奏总表!#REF!,神器!BA54)</f>
        <v>#REF!</v>
      </c>
      <c r="BC54" s="14" t="e">
        <f t="shared" si="9"/>
        <v>#REF!</v>
      </c>
      <c r="BD54" s="14">
        <v>5</v>
      </c>
      <c r="BE54" s="14">
        <v>3</v>
      </c>
      <c r="BF54" s="14">
        <f t="shared" si="60"/>
        <v>0</v>
      </c>
      <c r="BG54" s="14">
        <f t="shared" si="67"/>
        <v>0</v>
      </c>
      <c r="BH54" s="14">
        <f t="shared" si="67"/>
        <v>0</v>
      </c>
      <c r="BI54" s="14">
        <f t="shared" si="67"/>
        <v>0</v>
      </c>
      <c r="BJ54" s="14">
        <f t="shared" si="67"/>
        <v>0</v>
      </c>
      <c r="BK54" s="14">
        <f t="shared" si="67"/>
        <v>0</v>
      </c>
      <c r="BL54" s="14">
        <f t="shared" si="67"/>
        <v>0</v>
      </c>
      <c r="BM54" s="14">
        <f t="shared" si="67"/>
        <v>0</v>
      </c>
      <c r="BN54" s="14">
        <f t="shared" si="67"/>
        <v>0</v>
      </c>
      <c r="BO54" s="14">
        <f t="shared" ref="BO54:CD54" si="110">SUMIFS($AT$5:$AT$122,$AO$5:$AO$122,"="&amp;$BC54,$AP$5:$AP$122,"="&amp;BO$2) * (SUMIFS($AU$5:$AU$122,$AO$5:$AO$122,"="&amp;$BC54,$AP$5:$AP$122,"="&amp;BO$2)+SUMIFS($AV$5:$AV$122,$AO$5:$AO$122,"="&amp;$BC54,$AP$5:$AP$122,"="&amp;BO$2))/2*$BD54*$BE54</f>
        <v>0</v>
      </c>
      <c r="BP54" s="14">
        <f t="shared" si="110"/>
        <v>0</v>
      </c>
      <c r="BQ54" s="14">
        <f t="shared" si="110"/>
        <v>0</v>
      </c>
      <c r="BR54" s="14">
        <f t="shared" si="110"/>
        <v>0</v>
      </c>
      <c r="BS54" s="14">
        <f t="shared" si="110"/>
        <v>0</v>
      </c>
      <c r="BT54" s="14">
        <f t="shared" si="110"/>
        <v>0</v>
      </c>
      <c r="BU54" s="14">
        <f t="shared" si="110"/>
        <v>0</v>
      </c>
      <c r="BV54" s="14">
        <f t="shared" si="110"/>
        <v>0</v>
      </c>
      <c r="BW54" s="14">
        <f t="shared" si="110"/>
        <v>0</v>
      </c>
      <c r="BX54" s="14">
        <f t="shared" si="110"/>
        <v>0</v>
      </c>
      <c r="BY54" s="14">
        <f t="shared" si="110"/>
        <v>0</v>
      </c>
      <c r="BZ54" s="14">
        <f t="shared" si="110"/>
        <v>0</v>
      </c>
      <c r="CA54" s="14">
        <f t="shared" si="110"/>
        <v>0</v>
      </c>
      <c r="CB54" s="14">
        <f t="shared" si="110"/>
        <v>0</v>
      </c>
      <c r="CC54" s="14">
        <f t="shared" si="110"/>
        <v>0</v>
      </c>
      <c r="CD54" s="14">
        <f t="shared" si="110"/>
        <v>0</v>
      </c>
      <c r="CE54" s="14">
        <f t="shared" ref="CE54:CT54" si="111">SUMIFS($AT$5:$AT$122,$AO$5:$AO$122,"="&amp;$BC54,$AP$5:$AP$122,"="&amp;CE$2) * (SUMIFS($AU$5:$AU$122,$AO$5:$AO$122,"="&amp;$BC54,$AP$5:$AP$122,"="&amp;CE$2)+SUMIFS($AV$5:$AV$122,$AO$5:$AO$122,"="&amp;$BC54,$AP$5:$AP$122,"="&amp;CE$2))/2*$BD54*$BE54</f>
        <v>0</v>
      </c>
      <c r="CF54" s="14">
        <f t="shared" si="111"/>
        <v>0</v>
      </c>
      <c r="CG54" s="14">
        <f t="shared" si="111"/>
        <v>0</v>
      </c>
      <c r="CH54" s="14">
        <f t="shared" si="111"/>
        <v>0</v>
      </c>
      <c r="CI54" s="14">
        <f t="shared" si="111"/>
        <v>0</v>
      </c>
      <c r="CJ54" s="14">
        <f t="shared" si="111"/>
        <v>0</v>
      </c>
      <c r="CK54" s="14">
        <f t="shared" si="111"/>
        <v>0</v>
      </c>
      <c r="CL54" s="14">
        <f t="shared" si="111"/>
        <v>0</v>
      </c>
      <c r="CM54" s="14">
        <f t="shared" si="111"/>
        <v>0</v>
      </c>
      <c r="CN54" s="14">
        <f t="shared" si="111"/>
        <v>0</v>
      </c>
      <c r="CO54" s="14">
        <f t="shared" si="111"/>
        <v>0</v>
      </c>
      <c r="CP54" s="14">
        <f t="shared" si="111"/>
        <v>0</v>
      </c>
      <c r="CQ54" s="14">
        <f t="shared" si="111"/>
        <v>0</v>
      </c>
      <c r="CR54" s="14">
        <f t="shared" si="111"/>
        <v>0</v>
      </c>
      <c r="CS54" s="14">
        <f t="shared" si="111"/>
        <v>0</v>
      </c>
      <c r="CT54" s="14">
        <f t="shared" si="111"/>
        <v>0</v>
      </c>
      <c r="CU54" s="14">
        <f t="shared" ref="BG54:CU61" si="112">SUMIFS($AT$5:$AT$122,$AO$5:$AO$122,"="&amp;$BC54,$AP$5:$AP$122,"="&amp;CU$2) * (SUMIFS($AU$5:$AU$122,$AO$5:$AO$122,"="&amp;$BC54,$AP$5:$AP$122,"="&amp;CU$2)+SUMIFS($AV$5:$AV$122,$AO$5:$AO$122,"="&amp;$BC54,$AP$5:$AP$122,"="&amp;CU$2))/2*$BD54*$BE54</f>
        <v>0</v>
      </c>
      <c r="CW54" s="14">
        <f>SUM(BF$5:BF54)</f>
        <v>0</v>
      </c>
      <c r="CX54" s="14">
        <f>SUM(BG$5:BG54)</f>
        <v>0</v>
      </c>
      <c r="CY54" s="14">
        <f>SUM(BH$5:BH54)</f>
        <v>0</v>
      </c>
      <c r="CZ54" s="14">
        <f>SUM(BI$5:BI54)</f>
        <v>0</v>
      </c>
      <c r="DA54" s="14">
        <f>SUM(BJ$5:BJ54)</f>
        <v>0</v>
      </c>
      <c r="DB54" s="14">
        <f>SUM(BK$5:BK54)</f>
        <v>0</v>
      </c>
      <c r="DC54" s="14">
        <f>SUM(BL$5:BL54)</f>
        <v>0</v>
      </c>
      <c r="DD54" s="14">
        <f>SUM(BM$5:BM54)</f>
        <v>0</v>
      </c>
      <c r="DE54" s="14">
        <f>SUM(BN$5:BN54)</f>
        <v>0</v>
      </c>
      <c r="DF54" s="14">
        <f>SUM(BO$5:BO54)</f>
        <v>0</v>
      </c>
      <c r="DG54" s="14">
        <f>SUM(BP$5:BP54)</f>
        <v>0</v>
      </c>
      <c r="DH54" s="14">
        <f>SUM(BQ$5:BQ54)</f>
        <v>0</v>
      </c>
      <c r="DI54" s="14">
        <f>SUM(BR$5:BR54)</f>
        <v>0</v>
      </c>
      <c r="DJ54" s="14">
        <f>SUM(BS$5:BS54)</f>
        <v>0</v>
      </c>
      <c r="DK54" s="14">
        <f>SUM(BT$5:BT54)</f>
        <v>0</v>
      </c>
      <c r="DL54" s="14">
        <f>SUM(BU$5:BU54)</f>
        <v>0</v>
      </c>
      <c r="DM54" s="14">
        <f>SUM(BV$5:BV54)</f>
        <v>0</v>
      </c>
      <c r="DN54" s="14">
        <f>SUM(BW$5:BW54)</f>
        <v>0</v>
      </c>
      <c r="DO54" s="14">
        <f>SUM(BX$5:BX54)</f>
        <v>0</v>
      </c>
      <c r="DP54" s="14">
        <f>SUM(BY$5:BY54)</f>
        <v>0</v>
      </c>
      <c r="DQ54" s="14">
        <f>SUM(BZ$5:BZ54)</f>
        <v>0</v>
      </c>
      <c r="DR54" s="14">
        <f>SUM(CA$5:CA54)</f>
        <v>0</v>
      </c>
      <c r="DS54" s="14">
        <f>SUM(CB$5:CB54)</f>
        <v>0</v>
      </c>
      <c r="DT54" s="14">
        <f>SUM(CC$5:CC54)</f>
        <v>0</v>
      </c>
      <c r="DU54" s="14">
        <f>SUM(CD$5:CD54)</f>
        <v>0</v>
      </c>
      <c r="DV54" s="14">
        <f>SUM(CE$5:CE54)</f>
        <v>0</v>
      </c>
      <c r="DW54" s="14">
        <f>SUM(CF$5:CF54)</f>
        <v>0</v>
      </c>
      <c r="DX54" s="14">
        <f>SUM(CG$5:CG54)</f>
        <v>0</v>
      </c>
      <c r="DY54" s="14">
        <f>SUM(CH$5:CH54)</f>
        <v>0</v>
      </c>
      <c r="DZ54" s="14">
        <f>SUM(CI$5:CI54)</f>
        <v>0</v>
      </c>
      <c r="EA54" s="14">
        <f>SUM(CJ$5:CJ54)</f>
        <v>0</v>
      </c>
      <c r="EB54" s="14">
        <f>SUM(CK$5:CK54)</f>
        <v>0</v>
      </c>
      <c r="EC54" s="14">
        <f>SUM(CL$5:CL54)</f>
        <v>0</v>
      </c>
      <c r="ED54" s="14">
        <f>SUM(CM$5:CM54)</f>
        <v>0</v>
      </c>
      <c r="EE54" s="14">
        <f>SUM(CN$5:CN54)</f>
        <v>0</v>
      </c>
      <c r="EF54" s="14">
        <f>SUM(CO$5:CO54)</f>
        <v>0</v>
      </c>
      <c r="EG54" s="14">
        <f>SUM(CP$5:CP54)</f>
        <v>0</v>
      </c>
      <c r="EH54" s="14">
        <f>SUM(CQ$5:CQ54)</f>
        <v>0</v>
      </c>
      <c r="EI54" s="14">
        <f>SUM(CR$5:CR54)</f>
        <v>0</v>
      </c>
      <c r="EJ54" s="14">
        <f>SUM(CS$5:CS54)</f>
        <v>0</v>
      </c>
      <c r="EK54" s="14">
        <f>SUM(CT$5:CT54)</f>
        <v>0</v>
      </c>
      <c r="EL54" s="14">
        <f>SUM(CU$5:CU54)</f>
        <v>0</v>
      </c>
      <c r="EO54" s="87">
        <f t="shared" si="68"/>
        <v>0</v>
      </c>
      <c r="EP54" s="87">
        <f t="shared" si="69"/>
        <v>0</v>
      </c>
      <c r="EQ54" s="87">
        <f t="shared" si="70"/>
        <v>0</v>
      </c>
      <c r="ER54" s="87">
        <f t="shared" si="71"/>
        <v>0</v>
      </c>
      <c r="ES54" s="87">
        <f t="shared" si="72"/>
        <v>0</v>
      </c>
      <c r="ET54" s="87">
        <f t="shared" si="73"/>
        <v>0</v>
      </c>
      <c r="EU54" s="87">
        <f t="shared" si="74"/>
        <v>0</v>
      </c>
      <c r="EV54" s="87">
        <f t="shared" si="75"/>
        <v>0</v>
      </c>
      <c r="EW54" s="87">
        <f t="shared" si="76"/>
        <v>0</v>
      </c>
      <c r="EX54" s="87">
        <f t="shared" si="77"/>
        <v>0</v>
      </c>
      <c r="EY54" s="87">
        <f t="shared" si="78"/>
        <v>0</v>
      </c>
      <c r="EZ54" s="87">
        <f t="shared" si="79"/>
        <v>0</v>
      </c>
      <c r="FA54" s="87">
        <f t="shared" si="80"/>
        <v>0</v>
      </c>
      <c r="FB54" s="87">
        <f t="shared" si="81"/>
        <v>0</v>
      </c>
      <c r="FC54" s="87">
        <f t="shared" si="82"/>
        <v>0</v>
      </c>
      <c r="FD54" s="87">
        <f t="shared" si="83"/>
        <v>0</v>
      </c>
      <c r="FE54" s="87">
        <f t="shared" si="84"/>
        <v>0</v>
      </c>
      <c r="FF54" s="87">
        <f t="shared" si="85"/>
        <v>0</v>
      </c>
      <c r="FG54" s="87">
        <f t="shared" si="86"/>
        <v>0</v>
      </c>
      <c r="FH54" s="87">
        <f t="shared" si="87"/>
        <v>0</v>
      </c>
      <c r="FI54" s="87">
        <f t="shared" si="88"/>
        <v>0</v>
      </c>
      <c r="FJ54" s="87">
        <f t="shared" si="89"/>
        <v>0</v>
      </c>
      <c r="FK54" s="87">
        <f t="shared" si="90"/>
        <v>0</v>
      </c>
      <c r="FL54" s="87">
        <f t="shared" si="91"/>
        <v>0</v>
      </c>
      <c r="FM54" s="87">
        <f t="shared" si="92"/>
        <v>0</v>
      </c>
      <c r="FN54" s="87">
        <f t="shared" si="93"/>
        <v>0</v>
      </c>
      <c r="FO54" s="87">
        <f t="shared" si="94"/>
        <v>0</v>
      </c>
      <c r="FP54" s="87">
        <f t="shared" si="95"/>
        <v>0</v>
      </c>
      <c r="FQ54" s="87">
        <f t="shared" si="96"/>
        <v>0</v>
      </c>
      <c r="FR54" s="87">
        <f t="shared" si="97"/>
        <v>0</v>
      </c>
      <c r="FS54" s="87">
        <f t="shared" si="98"/>
        <v>0</v>
      </c>
      <c r="FT54" s="87">
        <f t="shared" si="99"/>
        <v>0</v>
      </c>
      <c r="FU54" s="87">
        <f t="shared" si="100"/>
        <v>0</v>
      </c>
      <c r="FV54" s="87">
        <f t="shared" si="101"/>
        <v>0</v>
      </c>
      <c r="FW54" s="87">
        <f t="shared" si="102"/>
        <v>0</v>
      </c>
      <c r="FX54" s="87">
        <f t="shared" si="103"/>
        <v>0</v>
      </c>
      <c r="FY54" s="87">
        <f t="shared" si="104"/>
        <v>0</v>
      </c>
      <c r="FZ54" s="87">
        <f t="shared" si="105"/>
        <v>0</v>
      </c>
      <c r="GA54" s="87">
        <f t="shared" si="106"/>
        <v>0</v>
      </c>
      <c r="GB54" s="87">
        <f t="shared" si="107"/>
        <v>0</v>
      </c>
      <c r="GC54" s="87">
        <f t="shared" si="108"/>
        <v>0</v>
      </c>
      <c r="GD54" s="87">
        <f t="shared" si="109"/>
        <v>0</v>
      </c>
    </row>
    <row r="55" spans="41:186" ht="16.5" x14ac:dyDescent="0.2">
      <c r="AO55" s="48">
        <v>5</v>
      </c>
      <c r="AP55" s="86">
        <v>17</v>
      </c>
      <c r="AQ55" s="86">
        <v>2</v>
      </c>
      <c r="AR55" s="48">
        <v>2</v>
      </c>
      <c r="AS55" s="86" t="s">
        <v>337</v>
      </c>
      <c r="AT55" s="21">
        <f t="shared" si="61"/>
        <v>4.8000000000000001E-2</v>
      </c>
      <c r="AU55" s="86">
        <f t="shared" si="5"/>
        <v>1</v>
      </c>
      <c r="AV55" s="86">
        <f t="shared" si="6"/>
        <v>3</v>
      </c>
      <c r="AW55" s="87">
        <f t="shared" si="7"/>
        <v>9.6000000000000002E-2</v>
      </c>
      <c r="AX55" s="86">
        <f t="shared" si="8"/>
        <v>7.2</v>
      </c>
      <c r="BA55" s="86">
        <v>51</v>
      </c>
      <c r="BB55" s="14" t="e">
        <f>INDEX(节奏总表!#REF!,神器!BA55)</f>
        <v>#REF!</v>
      </c>
      <c r="BC55" s="14" t="e">
        <f t="shared" si="9"/>
        <v>#REF!</v>
      </c>
      <c r="BD55" s="14">
        <v>5</v>
      </c>
      <c r="BE55" s="14">
        <v>3</v>
      </c>
      <c r="BF55" s="14">
        <f t="shared" si="60"/>
        <v>0</v>
      </c>
      <c r="BG55" s="14">
        <f t="shared" si="112"/>
        <v>0</v>
      </c>
      <c r="BH55" s="14">
        <f t="shared" si="112"/>
        <v>0</v>
      </c>
      <c r="BI55" s="14">
        <f t="shared" si="112"/>
        <v>0</v>
      </c>
      <c r="BJ55" s="14">
        <f t="shared" si="112"/>
        <v>0</v>
      </c>
      <c r="BK55" s="14">
        <f t="shared" si="112"/>
        <v>0</v>
      </c>
      <c r="BL55" s="14">
        <f t="shared" si="112"/>
        <v>0</v>
      </c>
      <c r="BM55" s="14">
        <f t="shared" si="112"/>
        <v>0</v>
      </c>
      <c r="BN55" s="14">
        <f t="shared" si="112"/>
        <v>0</v>
      </c>
      <c r="BO55" s="14">
        <f t="shared" si="112"/>
        <v>0</v>
      </c>
      <c r="BP55" s="14">
        <f t="shared" si="112"/>
        <v>0</v>
      </c>
      <c r="BQ55" s="14">
        <f t="shared" si="112"/>
        <v>0</v>
      </c>
      <c r="BR55" s="14">
        <f t="shared" si="112"/>
        <v>0</v>
      </c>
      <c r="BS55" s="14">
        <f t="shared" si="112"/>
        <v>0</v>
      </c>
      <c r="BT55" s="14">
        <f t="shared" si="112"/>
        <v>0</v>
      </c>
      <c r="BU55" s="14">
        <f t="shared" si="112"/>
        <v>0</v>
      </c>
      <c r="BV55" s="14">
        <f t="shared" si="112"/>
        <v>0</v>
      </c>
      <c r="BW55" s="14">
        <f t="shared" si="112"/>
        <v>0</v>
      </c>
      <c r="BX55" s="14">
        <f t="shared" si="112"/>
        <v>0</v>
      </c>
      <c r="BY55" s="14">
        <f t="shared" si="112"/>
        <v>0</v>
      </c>
      <c r="BZ55" s="14">
        <f t="shared" si="112"/>
        <v>0</v>
      </c>
      <c r="CA55" s="14">
        <f t="shared" si="112"/>
        <v>0</v>
      </c>
      <c r="CB55" s="14">
        <f t="shared" si="112"/>
        <v>0</v>
      </c>
      <c r="CC55" s="14">
        <f t="shared" si="112"/>
        <v>0</v>
      </c>
      <c r="CD55" s="14">
        <f t="shared" si="112"/>
        <v>0</v>
      </c>
      <c r="CE55" s="14">
        <f t="shared" si="112"/>
        <v>0</v>
      </c>
      <c r="CF55" s="14">
        <f t="shared" si="112"/>
        <v>0</v>
      </c>
      <c r="CG55" s="14">
        <f t="shared" si="112"/>
        <v>0</v>
      </c>
      <c r="CH55" s="14">
        <f t="shared" si="112"/>
        <v>0</v>
      </c>
      <c r="CI55" s="14">
        <f t="shared" si="112"/>
        <v>0</v>
      </c>
      <c r="CJ55" s="14">
        <f t="shared" si="112"/>
        <v>0</v>
      </c>
      <c r="CK55" s="14">
        <f t="shared" si="112"/>
        <v>0</v>
      </c>
      <c r="CL55" s="14">
        <f t="shared" si="112"/>
        <v>0</v>
      </c>
      <c r="CM55" s="14">
        <f t="shared" si="112"/>
        <v>0</v>
      </c>
      <c r="CN55" s="14">
        <f t="shared" si="112"/>
        <v>0</v>
      </c>
      <c r="CO55" s="14">
        <f t="shared" si="112"/>
        <v>0</v>
      </c>
      <c r="CP55" s="14">
        <f t="shared" si="112"/>
        <v>0</v>
      </c>
      <c r="CQ55" s="14">
        <f t="shared" si="112"/>
        <v>0</v>
      </c>
      <c r="CR55" s="14">
        <f t="shared" si="112"/>
        <v>0</v>
      </c>
      <c r="CS55" s="14">
        <f t="shared" si="112"/>
        <v>0</v>
      </c>
      <c r="CT55" s="14">
        <f t="shared" si="112"/>
        <v>0</v>
      </c>
      <c r="CU55" s="14">
        <f t="shared" si="112"/>
        <v>0</v>
      </c>
      <c r="CW55" s="14">
        <f>SUM(BF$5:BF55)</f>
        <v>0</v>
      </c>
      <c r="CX55" s="14">
        <f>SUM(BG$5:BG55)</f>
        <v>0</v>
      </c>
      <c r="CY55" s="14">
        <f>SUM(BH$5:BH55)</f>
        <v>0</v>
      </c>
      <c r="CZ55" s="14">
        <f>SUM(BI$5:BI55)</f>
        <v>0</v>
      </c>
      <c r="DA55" s="14">
        <f>SUM(BJ$5:BJ55)</f>
        <v>0</v>
      </c>
      <c r="DB55" s="14">
        <f>SUM(BK$5:BK55)</f>
        <v>0</v>
      </c>
      <c r="DC55" s="14">
        <f>SUM(BL$5:BL55)</f>
        <v>0</v>
      </c>
      <c r="DD55" s="14">
        <f>SUM(BM$5:BM55)</f>
        <v>0</v>
      </c>
      <c r="DE55" s="14">
        <f>SUM(BN$5:BN55)</f>
        <v>0</v>
      </c>
      <c r="DF55" s="14">
        <f>SUM(BO$5:BO55)</f>
        <v>0</v>
      </c>
      <c r="DG55" s="14">
        <f>SUM(BP$5:BP55)</f>
        <v>0</v>
      </c>
      <c r="DH55" s="14">
        <f>SUM(BQ$5:BQ55)</f>
        <v>0</v>
      </c>
      <c r="DI55" s="14">
        <f>SUM(BR$5:BR55)</f>
        <v>0</v>
      </c>
      <c r="DJ55" s="14">
        <f>SUM(BS$5:BS55)</f>
        <v>0</v>
      </c>
      <c r="DK55" s="14">
        <f>SUM(BT$5:BT55)</f>
        <v>0</v>
      </c>
      <c r="DL55" s="14">
        <f>SUM(BU$5:BU55)</f>
        <v>0</v>
      </c>
      <c r="DM55" s="14">
        <f>SUM(BV$5:BV55)</f>
        <v>0</v>
      </c>
      <c r="DN55" s="14">
        <f>SUM(BW$5:BW55)</f>
        <v>0</v>
      </c>
      <c r="DO55" s="14">
        <f>SUM(BX$5:BX55)</f>
        <v>0</v>
      </c>
      <c r="DP55" s="14">
        <f>SUM(BY$5:BY55)</f>
        <v>0</v>
      </c>
      <c r="DQ55" s="14">
        <f>SUM(BZ$5:BZ55)</f>
        <v>0</v>
      </c>
      <c r="DR55" s="14">
        <f>SUM(CA$5:CA55)</f>
        <v>0</v>
      </c>
      <c r="DS55" s="14">
        <f>SUM(CB$5:CB55)</f>
        <v>0</v>
      </c>
      <c r="DT55" s="14">
        <f>SUM(CC$5:CC55)</f>
        <v>0</v>
      </c>
      <c r="DU55" s="14">
        <f>SUM(CD$5:CD55)</f>
        <v>0</v>
      </c>
      <c r="DV55" s="14">
        <f>SUM(CE$5:CE55)</f>
        <v>0</v>
      </c>
      <c r="DW55" s="14">
        <f>SUM(CF$5:CF55)</f>
        <v>0</v>
      </c>
      <c r="DX55" s="14">
        <f>SUM(CG$5:CG55)</f>
        <v>0</v>
      </c>
      <c r="DY55" s="14">
        <f>SUM(CH$5:CH55)</f>
        <v>0</v>
      </c>
      <c r="DZ55" s="14">
        <f>SUM(CI$5:CI55)</f>
        <v>0</v>
      </c>
      <c r="EA55" s="14">
        <f>SUM(CJ$5:CJ55)</f>
        <v>0</v>
      </c>
      <c r="EB55" s="14">
        <f>SUM(CK$5:CK55)</f>
        <v>0</v>
      </c>
      <c r="EC55" s="14">
        <f>SUM(CL$5:CL55)</f>
        <v>0</v>
      </c>
      <c r="ED55" s="14">
        <f>SUM(CM$5:CM55)</f>
        <v>0</v>
      </c>
      <c r="EE55" s="14">
        <f>SUM(CN$5:CN55)</f>
        <v>0</v>
      </c>
      <c r="EF55" s="14">
        <f>SUM(CO$5:CO55)</f>
        <v>0</v>
      </c>
      <c r="EG55" s="14">
        <f>SUM(CP$5:CP55)</f>
        <v>0</v>
      </c>
      <c r="EH55" s="14">
        <f>SUM(CQ$5:CQ55)</f>
        <v>0</v>
      </c>
      <c r="EI55" s="14">
        <f>SUM(CR$5:CR55)</f>
        <v>0</v>
      </c>
      <c r="EJ55" s="14">
        <f>SUM(CS$5:CS55)</f>
        <v>0</v>
      </c>
      <c r="EK55" s="14">
        <f>SUM(CT$5:CT55)</f>
        <v>0</v>
      </c>
      <c r="EL55" s="14">
        <f>SUM(CU$5:CU55)</f>
        <v>0</v>
      </c>
      <c r="EO55" s="87">
        <f t="shared" si="68"/>
        <v>0</v>
      </c>
      <c r="EP55" s="87">
        <f t="shared" si="69"/>
        <v>0</v>
      </c>
      <c r="EQ55" s="87">
        <f t="shared" si="70"/>
        <v>0</v>
      </c>
      <c r="ER55" s="87">
        <f t="shared" si="71"/>
        <v>0</v>
      </c>
      <c r="ES55" s="87">
        <f t="shared" si="72"/>
        <v>0</v>
      </c>
      <c r="ET55" s="87">
        <f t="shared" si="73"/>
        <v>0</v>
      </c>
      <c r="EU55" s="87">
        <f t="shared" si="74"/>
        <v>0</v>
      </c>
      <c r="EV55" s="87">
        <f t="shared" si="75"/>
        <v>0</v>
      </c>
      <c r="EW55" s="87">
        <f t="shared" si="76"/>
        <v>0</v>
      </c>
      <c r="EX55" s="87">
        <f t="shared" si="77"/>
        <v>0</v>
      </c>
      <c r="EY55" s="87">
        <f t="shared" si="78"/>
        <v>0</v>
      </c>
      <c r="EZ55" s="87">
        <f t="shared" si="79"/>
        <v>0</v>
      </c>
      <c r="FA55" s="87">
        <f t="shared" si="80"/>
        <v>0</v>
      </c>
      <c r="FB55" s="87">
        <f t="shared" si="81"/>
        <v>0</v>
      </c>
      <c r="FC55" s="87">
        <f t="shared" si="82"/>
        <v>0</v>
      </c>
      <c r="FD55" s="87">
        <f t="shared" si="83"/>
        <v>0</v>
      </c>
      <c r="FE55" s="87">
        <f t="shared" si="84"/>
        <v>0</v>
      </c>
      <c r="FF55" s="87">
        <f t="shared" si="85"/>
        <v>0</v>
      </c>
      <c r="FG55" s="87">
        <f t="shared" si="86"/>
        <v>0</v>
      </c>
      <c r="FH55" s="87">
        <f t="shared" si="87"/>
        <v>0</v>
      </c>
      <c r="FI55" s="87">
        <f t="shared" si="88"/>
        <v>0</v>
      </c>
      <c r="FJ55" s="87">
        <f t="shared" si="89"/>
        <v>0</v>
      </c>
      <c r="FK55" s="87">
        <f t="shared" si="90"/>
        <v>0</v>
      </c>
      <c r="FL55" s="87">
        <f t="shared" si="91"/>
        <v>0</v>
      </c>
      <c r="FM55" s="87">
        <f t="shared" si="92"/>
        <v>0</v>
      </c>
      <c r="FN55" s="87">
        <f t="shared" si="93"/>
        <v>0</v>
      </c>
      <c r="FO55" s="87">
        <f t="shared" si="94"/>
        <v>0</v>
      </c>
      <c r="FP55" s="87">
        <f t="shared" si="95"/>
        <v>0</v>
      </c>
      <c r="FQ55" s="87">
        <f t="shared" si="96"/>
        <v>0</v>
      </c>
      <c r="FR55" s="87">
        <f t="shared" si="97"/>
        <v>0</v>
      </c>
      <c r="FS55" s="87">
        <f t="shared" si="98"/>
        <v>0</v>
      </c>
      <c r="FT55" s="87">
        <f t="shared" si="99"/>
        <v>0</v>
      </c>
      <c r="FU55" s="87">
        <f t="shared" si="100"/>
        <v>0</v>
      </c>
      <c r="FV55" s="87">
        <f t="shared" si="101"/>
        <v>0</v>
      </c>
      <c r="FW55" s="87">
        <f t="shared" si="102"/>
        <v>0</v>
      </c>
      <c r="FX55" s="87">
        <f t="shared" si="103"/>
        <v>0</v>
      </c>
      <c r="FY55" s="87">
        <f t="shared" si="104"/>
        <v>0</v>
      </c>
      <c r="FZ55" s="87">
        <f t="shared" si="105"/>
        <v>0</v>
      </c>
      <c r="GA55" s="87">
        <f t="shared" si="106"/>
        <v>0</v>
      </c>
      <c r="GB55" s="87">
        <f t="shared" si="107"/>
        <v>0</v>
      </c>
      <c r="GC55" s="87">
        <f t="shared" si="108"/>
        <v>0</v>
      </c>
      <c r="GD55" s="87">
        <f t="shared" si="109"/>
        <v>0</v>
      </c>
    </row>
    <row r="56" spans="41:186" ht="16.5" x14ac:dyDescent="0.2">
      <c r="AO56" s="48">
        <v>5</v>
      </c>
      <c r="AP56" s="86">
        <v>18</v>
      </c>
      <c r="AQ56" s="86">
        <v>2</v>
      </c>
      <c r="AR56" s="48">
        <v>2</v>
      </c>
      <c r="AS56" s="86" t="s">
        <v>338</v>
      </c>
      <c r="AT56" s="21">
        <f t="shared" si="61"/>
        <v>4.8000000000000001E-2</v>
      </c>
      <c r="AU56" s="86">
        <f t="shared" si="5"/>
        <v>1</v>
      </c>
      <c r="AV56" s="86">
        <f t="shared" si="6"/>
        <v>3</v>
      </c>
      <c r="AW56" s="87">
        <f t="shared" si="7"/>
        <v>9.6000000000000002E-2</v>
      </c>
      <c r="AX56" s="86">
        <f t="shared" si="8"/>
        <v>7.2</v>
      </c>
      <c r="BA56" s="86">
        <v>52</v>
      </c>
      <c r="BB56" s="14" t="e">
        <f>INDEX(节奏总表!#REF!,神器!BA56)</f>
        <v>#REF!</v>
      </c>
      <c r="BC56" s="14" t="e">
        <f t="shared" si="9"/>
        <v>#REF!</v>
      </c>
      <c r="BD56" s="14">
        <v>5</v>
      </c>
      <c r="BE56" s="14">
        <v>3</v>
      </c>
      <c r="BF56" s="14">
        <f t="shared" si="60"/>
        <v>0</v>
      </c>
      <c r="BG56" s="14">
        <f t="shared" si="112"/>
        <v>0</v>
      </c>
      <c r="BH56" s="14">
        <f t="shared" si="112"/>
        <v>0</v>
      </c>
      <c r="BI56" s="14">
        <f t="shared" si="112"/>
        <v>0</v>
      </c>
      <c r="BJ56" s="14">
        <f t="shared" si="112"/>
        <v>0</v>
      </c>
      <c r="BK56" s="14">
        <f t="shared" si="112"/>
        <v>0</v>
      </c>
      <c r="BL56" s="14">
        <f t="shared" si="112"/>
        <v>0</v>
      </c>
      <c r="BM56" s="14">
        <f t="shared" si="112"/>
        <v>0</v>
      </c>
      <c r="BN56" s="14">
        <f t="shared" si="112"/>
        <v>0</v>
      </c>
      <c r="BO56" s="14">
        <f t="shared" si="112"/>
        <v>0</v>
      </c>
      <c r="BP56" s="14">
        <f t="shared" si="112"/>
        <v>0</v>
      </c>
      <c r="BQ56" s="14">
        <f t="shared" si="112"/>
        <v>0</v>
      </c>
      <c r="BR56" s="14">
        <f t="shared" si="112"/>
        <v>0</v>
      </c>
      <c r="BS56" s="14">
        <f t="shared" si="112"/>
        <v>0</v>
      </c>
      <c r="BT56" s="14">
        <f t="shared" si="112"/>
        <v>0</v>
      </c>
      <c r="BU56" s="14">
        <f t="shared" si="112"/>
        <v>0</v>
      </c>
      <c r="BV56" s="14">
        <f t="shared" si="112"/>
        <v>0</v>
      </c>
      <c r="BW56" s="14">
        <f t="shared" si="112"/>
        <v>0</v>
      </c>
      <c r="BX56" s="14">
        <f t="shared" si="112"/>
        <v>0</v>
      </c>
      <c r="BY56" s="14">
        <f t="shared" si="112"/>
        <v>0</v>
      </c>
      <c r="BZ56" s="14">
        <f t="shared" si="112"/>
        <v>0</v>
      </c>
      <c r="CA56" s="14">
        <f t="shared" si="112"/>
        <v>0</v>
      </c>
      <c r="CB56" s="14">
        <f t="shared" si="112"/>
        <v>0</v>
      </c>
      <c r="CC56" s="14">
        <f t="shared" si="112"/>
        <v>0</v>
      </c>
      <c r="CD56" s="14">
        <f t="shared" si="112"/>
        <v>0</v>
      </c>
      <c r="CE56" s="14">
        <f t="shared" si="112"/>
        <v>0</v>
      </c>
      <c r="CF56" s="14">
        <f t="shared" si="112"/>
        <v>0</v>
      </c>
      <c r="CG56" s="14">
        <f t="shared" si="112"/>
        <v>0</v>
      </c>
      <c r="CH56" s="14">
        <f t="shared" si="112"/>
        <v>0</v>
      </c>
      <c r="CI56" s="14">
        <f t="shared" si="112"/>
        <v>0</v>
      </c>
      <c r="CJ56" s="14">
        <f t="shared" si="112"/>
        <v>0</v>
      </c>
      <c r="CK56" s="14">
        <f t="shared" si="112"/>
        <v>0</v>
      </c>
      <c r="CL56" s="14">
        <f t="shared" si="112"/>
        <v>0</v>
      </c>
      <c r="CM56" s="14">
        <f t="shared" si="112"/>
        <v>0</v>
      </c>
      <c r="CN56" s="14">
        <f t="shared" si="112"/>
        <v>0</v>
      </c>
      <c r="CO56" s="14">
        <f t="shared" si="112"/>
        <v>0</v>
      </c>
      <c r="CP56" s="14">
        <f t="shared" si="112"/>
        <v>0</v>
      </c>
      <c r="CQ56" s="14">
        <f t="shared" si="112"/>
        <v>0</v>
      </c>
      <c r="CR56" s="14">
        <f t="shared" si="112"/>
        <v>0</v>
      </c>
      <c r="CS56" s="14">
        <f t="shared" si="112"/>
        <v>0</v>
      </c>
      <c r="CT56" s="14">
        <f t="shared" si="112"/>
        <v>0</v>
      </c>
      <c r="CU56" s="14">
        <f t="shared" si="112"/>
        <v>0</v>
      </c>
      <c r="CW56" s="14">
        <f>SUM(BF$5:BF56)</f>
        <v>0</v>
      </c>
      <c r="CX56" s="14">
        <f>SUM(BG$5:BG56)</f>
        <v>0</v>
      </c>
      <c r="CY56" s="14">
        <f>SUM(BH$5:BH56)</f>
        <v>0</v>
      </c>
      <c r="CZ56" s="14">
        <f>SUM(BI$5:BI56)</f>
        <v>0</v>
      </c>
      <c r="DA56" s="14">
        <f>SUM(BJ$5:BJ56)</f>
        <v>0</v>
      </c>
      <c r="DB56" s="14">
        <f>SUM(BK$5:BK56)</f>
        <v>0</v>
      </c>
      <c r="DC56" s="14">
        <f>SUM(BL$5:BL56)</f>
        <v>0</v>
      </c>
      <c r="DD56" s="14">
        <f>SUM(BM$5:BM56)</f>
        <v>0</v>
      </c>
      <c r="DE56" s="14">
        <f>SUM(BN$5:BN56)</f>
        <v>0</v>
      </c>
      <c r="DF56" s="14">
        <f>SUM(BO$5:BO56)</f>
        <v>0</v>
      </c>
      <c r="DG56" s="14">
        <f>SUM(BP$5:BP56)</f>
        <v>0</v>
      </c>
      <c r="DH56" s="14">
        <f>SUM(BQ$5:BQ56)</f>
        <v>0</v>
      </c>
      <c r="DI56" s="14">
        <f>SUM(BR$5:BR56)</f>
        <v>0</v>
      </c>
      <c r="DJ56" s="14">
        <f>SUM(BS$5:BS56)</f>
        <v>0</v>
      </c>
      <c r="DK56" s="14">
        <f>SUM(BT$5:BT56)</f>
        <v>0</v>
      </c>
      <c r="DL56" s="14">
        <f>SUM(BU$5:BU56)</f>
        <v>0</v>
      </c>
      <c r="DM56" s="14">
        <f>SUM(BV$5:BV56)</f>
        <v>0</v>
      </c>
      <c r="DN56" s="14">
        <f>SUM(BW$5:BW56)</f>
        <v>0</v>
      </c>
      <c r="DO56" s="14">
        <f>SUM(BX$5:BX56)</f>
        <v>0</v>
      </c>
      <c r="DP56" s="14">
        <f>SUM(BY$5:BY56)</f>
        <v>0</v>
      </c>
      <c r="DQ56" s="14">
        <f>SUM(BZ$5:BZ56)</f>
        <v>0</v>
      </c>
      <c r="DR56" s="14">
        <f>SUM(CA$5:CA56)</f>
        <v>0</v>
      </c>
      <c r="DS56" s="14">
        <f>SUM(CB$5:CB56)</f>
        <v>0</v>
      </c>
      <c r="DT56" s="14">
        <f>SUM(CC$5:CC56)</f>
        <v>0</v>
      </c>
      <c r="DU56" s="14">
        <f>SUM(CD$5:CD56)</f>
        <v>0</v>
      </c>
      <c r="DV56" s="14">
        <f>SUM(CE$5:CE56)</f>
        <v>0</v>
      </c>
      <c r="DW56" s="14">
        <f>SUM(CF$5:CF56)</f>
        <v>0</v>
      </c>
      <c r="DX56" s="14">
        <f>SUM(CG$5:CG56)</f>
        <v>0</v>
      </c>
      <c r="DY56" s="14">
        <f>SUM(CH$5:CH56)</f>
        <v>0</v>
      </c>
      <c r="DZ56" s="14">
        <f>SUM(CI$5:CI56)</f>
        <v>0</v>
      </c>
      <c r="EA56" s="14">
        <f>SUM(CJ$5:CJ56)</f>
        <v>0</v>
      </c>
      <c r="EB56" s="14">
        <f>SUM(CK$5:CK56)</f>
        <v>0</v>
      </c>
      <c r="EC56" s="14">
        <f>SUM(CL$5:CL56)</f>
        <v>0</v>
      </c>
      <c r="ED56" s="14">
        <f>SUM(CM$5:CM56)</f>
        <v>0</v>
      </c>
      <c r="EE56" s="14">
        <f>SUM(CN$5:CN56)</f>
        <v>0</v>
      </c>
      <c r="EF56" s="14">
        <f>SUM(CO$5:CO56)</f>
        <v>0</v>
      </c>
      <c r="EG56" s="14">
        <f>SUM(CP$5:CP56)</f>
        <v>0</v>
      </c>
      <c r="EH56" s="14">
        <f>SUM(CQ$5:CQ56)</f>
        <v>0</v>
      </c>
      <c r="EI56" s="14">
        <f>SUM(CR$5:CR56)</f>
        <v>0</v>
      </c>
      <c r="EJ56" s="14">
        <f>SUM(CS$5:CS56)</f>
        <v>0</v>
      </c>
      <c r="EK56" s="14">
        <f>SUM(CT$5:CT56)</f>
        <v>0</v>
      </c>
      <c r="EL56" s="14">
        <f>SUM(CU$5:CU56)</f>
        <v>0</v>
      </c>
      <c r="EO56" s="87">
        <f t="shared" si="68"/>
        <v>0</v>
      </c>
      <c r="EP56" s="87">
        <f t="shared" si="69"/>
        <v>0</v>
      </c>
      <c r="EQ56" s="87">
        <f t="shared" si="70"/>
        <v>0</v>
      </c>
      <c r="ER56" s="87">
        <f t="shared" si="71"/>
        <v>0</v>
      </c>
      <c r="ES56" s="87">
        <f t="shared" si="72"/>
        <v>0</v>
      </c>
      <c r="ET56" s="87">
        <f t="shared" si="73"/>
        <v>0</v>
      </c>
      <c r="EU56" s="87">
        <f t="shared" si="74"/>
        <v>0</v>
      </c>
      <c r="EV56" s="87">
        <f t="shared" si="75"/>
        <v>0</v>
      </c>
      <c r="EW56" s="87">
        <f t="shared" si="76"/>
        <v>0</v>
      </c>
      <c r="EX56" s="87">
        <f t="shared" si="77"/>
        <v>0</v>
      </c>
      <c r="EY56" s="87">
        <f t="shared" si="78"/>
        <v>0</v>
      </c>
      <c r="EZ56" s="87">
        <f t="shared" si="79"/>
        <v>0</v>
      </c>
      <c r="FA56" s="87">
        <f t="shared" si="80"/>
        <v>0</v>
      </c>
      <c r="FB56" s="87">
        <f t="shared" si="81"/>
        <v>0</v>
      </c>
      <c r="FC56" s="87">
        <f t="shared" si="82"/>
        <v>0</v>
      </c>
      <c r="FD56" s="87">
        <f t="shared" si="83"/>
        <v>0</v>
      </c>
      <c r="FE56" s="87">
        <f t="shared" si="84"/>
        <v>0</v>
      </c>
      <c r="FF56" s="87">
        <f t="shared" si="85"/>
        <v>0</v>
      </c>
      <c r="FG56" s="87">
        <f t="shared" si="86"/>
        <v>0</v>
      </c>
      <c r="FH56" s="87">
        <f t="shared" si="87"/>
        <v>0</v>
      </c>
      <c r="FI56" s="87">
        <f t="shared" si="88"/>
        <v>0</v>
      </c>
      <c r="FJ56" s="87">
        <f t="shared" si="89"/>
        <v>0</v>
      </c>
      <c r="FK56" s="87">
        <f t="shared" si="90"/>
        <v>0</v>
      </c>
      <c r="FL56" s="87">
        <f t="shared" si="91"/>
        <v>0</v>
      </c>
      <c r="FM56" s="87">
        <f t="shared" si="92"/>
        <v>0</v>
      </c>
      <c r="FN56" s="87">
        <f t="shared" si="93"/>
        <v>0</v>
      </c>
      <c r="FO56" s="87">
        <f t="shared" si="94"/>
        <v>0</v>
      </c>
      <c r="FP56" s="87">
        <f t="shared" si="95"/>
        <v>0</v>
      </c>
      <c r="FQ56" s="87">
        <f t="shared" si="96"/>
        <v>0</v>
      </c>
      <c r="FR56" s="87">
        <f t="shared" si="97"/>
        <v>0</v>
      </c>
      <c r="FS56" s="87">
        <f t="shared" si="98"/>
        <v>0</v>
      </c>
      <c r="FT56" s="87">
        <f t="shared" si="99"/>
        <v>0</v>
      </c>
      <c r="FU56" s="87">
        <f t="shared" si="100"/>
        <v>0</v>
      </c>
      <c r="FV56" s="87">
        <f t="shared" si="101"/>
        <v>0</v>
      </c>
      <c r="FW56" s="87">
        <f t="shared" si="102"/>
        <v>0</v>
      </c>
      <c r="FX56" s="87">
        <f t="shared" si="103"/>
        <v>0</v>
      </c>
      <c r="FY56" s="87">
        <f t="shared" si="104"/>
        <v>0</v>
      </c>
      <c r="FZ56" s="87">
        <f t="shared" si="105"/>
        <v>0</v>
      </c>
      <c r="GA56" s="87">
        <f t="shared" si="106"/>
        <v>0</v>
      </c>
      <c r="GB56" s="87">
        <f t="shared" si="107"/>
        <v>0</v>
      </c>
      <c r="GC56" s="87">
        <f t="shared" si="108"/>
        <v>0</v>
      </c>
      <c r="GD56" s="87">
        <f t="shared" si="109"/>
        <v>0</v>
      </c>
    </row>
    <row r="57" spans="41:186" ht="16.5" x14ac:dyDescent="0.2">
      <c r="AO57" s="48">
        <v>5</v>
      </c>
      <c r="AP57" s="86">
        <v>19</v>
      </c>
      <c r="AQ57" s="86">
        <v>2</v>
      </c>
      <c r="AR57" s="48">
        <v>2</v>
      </c>
      <c r="AS57" s="86" t="s">
        <v>339</v>
      </c>
      <c r="AT57" s="21">
        <f t="shared" si="61"/>
        <v>3.5999999999999997E-2</v>
      </c>
      <c r="AU57" s="86">
        <f t="shared" si="5"/>
        <v>1</v>
      </c>
      <c r="AV57" s="86">
        <f t="shared" si="6"/>
        <v>2</v>
      </c>
      <c r="AW57" s="87">
        <f t="shared" si="7"/>
        <v>5.3999999999999992E-2</v>
      </c>
      <c r="AX57" s="86">
        <f t="shared" si="8"/>
        <v>9.4499999999999993</v>
      </c>
      <c r="BA57" s="86">
        <v>53</v>
      </c>
      <c r="BB57" s="14" t="e">
        <f>INDEX(节奏总表!#REF!,神器!BA57)</f>
        <v>#REF!</v>
      </c>
      <c r="BC57" s="14" t="e">
        <f t="shared" si="9"/>
        <v>#REF!</v>
      </c>
      <c r="BD57" s="14">
        <v>5</v>
      </c>
      <c r="BE57" s="14">
        <v>3</v>
      </c>
      <c r="BF57" s="14">
        <f t="shared" si="60"/>
        <v>0</v>
      </c>
      <c r="BG57" s="14">
        <f t="shared" si="112"/>
        <v>0</v>
      </c>
      <c r="BH57" s="14">
        <f t="shared" si="112"/>
        <v>0</v>
      </c>
      <c r="BI57" s="14">
        <f t="shared" si="112"/>
        <v>0</v>
      </c>
      <c r="BJ57" s="14">
        <f t="shared" si="112"/>
        <v>0</v>
      </c>
      <c r="BK57" s="14">
        <f t="shared" si="112"/>
        <v>0</v>
      </c>
      <c r="BL57" s="14">
        <f t="shared" si="112"/>
        <v>0</v>
      </c>
      <c r="BM57" s="14">
        <f t="shared" si="112"/>
        <v>0</v>
      </c>
      <c r="BN57" s="14">
        <f t="shared" si="112"/>
        <v>0</v>
      </c>
      <c r="BO57" s="14">
        <f t="shared" si="112"/>
        <v>0</v>
      </c>
      <c r="BP57" s="14">
        <f t="shared" si="112"/>
        <v>0</v>
      </c>
      <c r="BQ57" s="14">
        <f t="shared" si="112"/>
        <v>0</v>
      </c>
      <c r="BR57" s="14">
        <f t="shared" si="112"/>
        <v>0</v>
      </c>
      <c r="BS57" s="14">
        <f t="shared" si="112"/>
        <v>0</v>
      </c>
      <c r="BT57" s="14">
        <f t="shared" si="112"/>
        <v>0</v>
      </c>
      <c r="BU57" s="14">
        <f t="shared" si="112"/>
        <v>0</v>
      </c>
      <c r="BV57" s="14">
        <f t="shared" si="112"/>
        <v>0</v>
      </c>
      <c r="BW57" s="14">
        <f t="shared" si="112"/>
        <v>0</v>
      </c>
      <c r="BX57" s="14">
        <f t="shared" si="112"/>
        <v>0</v>
      </c>
      <c r="BY57" s="14">
        <f t="shared" si="112"/>
        <v>0</v>
      </c>
      <c r="BZ57" s="14">
        <f t="shared" si="112"/>
        <v>0</v>
      </c>
      <c r="CA57" s="14">
        <f t="shared" si="112"/>
        <v>0</v>
      </c>
      <c r="CB57" s="14">
        <f t="shared" si="112"/>
        <v>0</v>
      </c>
      <c r="CC57" s="14">
        <f t="shared" si="112"/>
        <v>0</v>
      </c>
      <c r="CD57" s="14">
        <f t="shared" si="112"/>
        <v>0</v>
      </c>
      <c r="CE57" s="14">
        <f t="shared" si="112"/>
        <v>0</v>
      </c>
      <c r="CF57" s="14">
        <f t="shared" si="112"/>
        <v>0</v>
      </c>
      <c r="CG57" s="14">
        <f t="shared" si="112"/>
        <v>0</v>
      </c>
      <c r="CH57" s="14">
        <f t="shared" si="112"/>
        <v>0</v>
      </c>
      <c r="CI57" s="14">
        <f t="shared" si="112"/>
        <v>0</v>
      </c>
      <c r="CJ57" s="14">
        <f t="shared" si="112"/>
        <v>0</v>
      </c>
      <c r="CK57" s="14">
        <f t="shared" si="112"/>
        <v>0</v>
      </c>
      <c r="CL57" s="14">
        <f t="shared" si="112"/>
        <v>0</v>
      </c>
      <c r="CM57" s="14">
        <f t="shared" si="112"/>
        <v>0</v>
      </c>
      <c r="CN57" s="14">
        <f t="shared" si="112"/>
        <v>0</v>
      </c>
      <c r="CO57" s="14">
        <f t="shared" si="112"/>
        <v>0</v>
      </c>
      <c r="CP57" s="14">
        <f t="shared" si="112"/>
        <v>0</v>
      </c>
      <c r="CQ57" s="14">
        <f t="shared" si="112"/>
        <v>0</v>
      </c>
      <c r="CR57" s="14">
        <f t="shared" si="112"/>
        <v>0</v>
      </c>
      <c r="CS57" s="14">
        <f t="shared" si="112"/>
        <v>0</v>
      </c>
      <c r="CT57" s="14">
        <f t="shared" si="112"/>
        <v>0</v>
      </c>
      <c r="CU57" s="14">
        <f t="shared" si="112"/>
        <v>0</v>
      </c>
      <c r="CW57" s="14">
        <f>SUM(BF$5:BF57)</f>
        <v>0</v>
      </c>
      <c r="CX57" s="14">
        <f>SUM(BG$5:BG57)</f>
        <v>0</v>
      </c>
      <c r="CY57" s="14">
        <f>SUM(BH$5:BH57)</f>
        <v>0</v>
      </c>
      <c r="CZ57" s="14">
        <f>SUM(BI$5:BI57)</f>
        <v>0</v>
      </c>
      <c r="DA57" s="14">
        <f>SUM(BJ$5:BJ57)</f>
        <v>0</v>
      </c>
      <c r="DB57" s="14">
        <f>SUM(BK$5:BK57)</f>
        <v>0</v>
      </c>
      <c r="DC57" s="14">
        <f>SUM(BL$5:BL57)</f>
        <v>0</v>
      </c>
      <c r="DD57" s="14">
        <f>SUM(BM$5:BM57)</f>
        <v>0</v>
      </c>
      <c r="DE57" s="14">
        <f>SUM(BN$5:BN57)</f>
        <v>0</v>
      </c>
      <c r="DF57" s="14">
        <f>SUM(BO$5:BO57)</f>
        <v>0</v>
      </c>
      <c r="DG57" s="14">
        <f>SUM(BP$5:BP57)</f>
        <v>0</v>
      </c>
      <c r="DH57" s="14">
        <f>SUM(BQ$5:BQ57)</f>
        <v>0</v>
      </c>
      <c r="DI57" s="14">
        <f>SUM(BR$5:BR57)</f>
        <v>0</v>
      </c>
      <c r="DJ57" s="14">
        <f>SUM(BS$5:BS57)</f>
        <v>0</v>
      </c>
      <c r="DK57" s="14">
        <f>SUM(BT$5:BT57)</f>
        <v>0</v>
      </c>
      <c r="DL57" s="14">
        <f>SUM(BU$5:BU57)</f>
        <v>0</v>
      </c>
      <c r="DM57" s="14">
        <f>SUM(BV$5:BV57)</f>
        <v>0</v>
      </c>
      <c r="DN57" s="14">
        <f>SUM(BW$5:BW57)</f>
        <v>0</v>
      </c>
      <c r="DO57" s="14">
        <f>SUM(BX$5:BX57)</f>
        <v>0</v>
      </c>
      <c r="DP57" s="14">
        <f>SUM(BY$5:BY57)</f>
        <v>0</v>
      </c>
      <c r="DQ57" s="14">
        <f>SUM(BZ$5:BZ57)</f>
        <v>0</v>
      </c>
      <c r="DR57" s="14">
        <f>SUM(CA$5:CA57)</f>
        <v>0</v>
      </c>
      <c r="DS57" s="14">
        <f>SUM(CB$5:CB57)</f>
        <v>0</v>
      </c>
      <c r="DT57" s="14">
        <f>SUM(CC$5:CC57)</f>
        <v>0</v>
      </c>
      <c r="DU57" s="14">
        <f>SUM(CD$5:CD57)</f>
        <v>0</v>
      </c>
      <c r="DV57" s="14">
        <f>SUM(CE$5:CE57)</f>
        <v>0</v>
      </c>
      <c r="DW57" s="14">
        <f>SUM(CF$5:CF57)</f>
        <v>0</v>
      </c>
      <c r="DX57" s="14">
        <f>SUM(CG$5:CG57)</f>
        <v>0</v>
      </c>
      <c r="DY57" s="14">
        <f>SUM(CH$5:CH57)</f>
        <v>0</v>
      </c>
      <c r="DZ57" s="14">
        <f>SUM(CI$5:CI57)</f>
        <v>0</v>
      </c>
      <c r="EA57" s="14">
        <f>SUM(CJ$5:CJ57)</f>
        <v>0</v>
      </c>
      <c r="EB57" s="14">
        <f>SUM(CK$5:CK57)</f>
        <v>0</v>
      </c>
      <c r="EC57" s="14">
        <f>SUM(CL$5:CL57)</f>
        <v>0</v>
      </c>
      <c r="ED57" s="14">
        <f>SUM(CM$5:CM57)</f>
        <v>0</v>
      </c>
      <c r="EE57" s="14">
        <f>SUM(CN$5:CN57)</f>
        <v>0</v>
      </c>
      <c r="EF57" s="14">
        <f>SUM(CO$5:CO57)</f>
        <v>0</v>
      </c>
      <c r="EG57" s="14">
        <f>SUM(CP$5:CP57)</f>
        <v>0</v>
      </c>
      <c r="EH57" s="14">
        <f>SUM(CQ$5:CQ57)</f>
        <v>0</v>
      </c>
      <c r="EI57" s="14">
        <f>SUM(CR$5:CR57)</f>
        <v>0</v>
      </c>
      <c r="EJ57" s="14">
        <f>SUM(CS$5:CS57)</f>
        <v>0</v>
      </c>
      <c r="EK57" s="14">
        <f>SUM(CT$5:CT57)</f>
        <v>0</v>
      </c>
      <c r="EL57" s="14">
        <f>SUM(CU$5:CU57)</f>
        <v>0</v>
      </c>
      <c r="EO57" s="87">
        <f t="shared" si="68"/>
        <v>0</v>
      </c>
      <c r="EP57" s="87">
        <f t="shared" si="69"/>
        <v>0</v>
      </c>
      <c r="EQ57" s="87">
        <f t="shared" si="70"/>
        <v>0</v>
      </c>
      <c r="ER57" s="87">
        <f t="shared" si="71"/>
        <v>0</v>
      </c>
      <c r="ES57" s="87">
        <f t="shared" si="72"/>
        <v>0</v>
      </c>
      <c r="ET57" s="87">
        <f t="shared" si="73"/>
        <v>0</v>
      </c>
      <c r="EU57" s="87">
        <f t="shared" si="74"/>
        <v>0</v>
      </c>
      <c r="EV57" s="87">
        <f t="shared" si="75"/>
        <v>0</v>
      </c>
      <c r="EW57" s="87">
        <f t="shared" si="76"/>
        <v>0</v>
      </c>
      <c r="EX57" s="87">
        <f t="shared" si="77"/>
        <v>0</v>
      </c>
      <c r="EY57" s="87">
        <f t="shared" si="78"/>
        <v>0</v>
      </c>
      <c r="EZ57" s="87">
        <f t="shared" si="79"/>
        <v>0</v>
      </c>
      <c r="FA57" s="87">
        <f t="shared" si="80"/>
        <v>0</v>
      </c>
      <c r="FB57" s="87">
        <f t="shared" si="81"/>
        <v>0</v>
      </c>
      <c r="FC57" s="87">
        <f t="shared" si="82"/>
        <v>0</v>
      </c>
      <c r="FD57" s="87">
        <f t="shared" si="83"/>
        <v>0</v>
      </c>
      <c r="FE57" s="87">
        <f t="shared" si="84"/>
        <v>0</v>
      </c>
      <c r="FF57" s="87">
        <f t="shared" si="85"/>
        <v>0</v>
      </c>
      <c r="FG57" s="87">
        <f t="shared" si="86"/>
        <v>0</v>
      </c>
      <c r="FH57" s="87">
        <f t="shared" si="87"/>
        <v>0</v>
      </c>
      <c r="FI57" s="87">
        <f t="shared" si="88"/>
        <v>0</v>
      </c>
      <c r="FJ57" s="87">
        <f t="shared" si="89"/>
        <v>0</v>
      </c>
      <c r="FK57" s="87">
        <f t="shared" si="90"/>
        <v>0</v>
      </c>
      <c r="FL57" s="87">
        <f t="shared" si="91"/>
        <v>0</v>
      </c>
      <c r="FM57" s="87">
        <f t="shared" si="92"/>
        <v>0</v>
      </c>
      <c r="FN57" s="87">
        <f t="shared" si="93"/>
        <v>0</v>
      </c>
      <c r="FO57" s="87">
        <f t="shared" si="94"/>
        <v>0</v>
      </c>
      <c r="FP57" s="87">
        <f t="shared" si="95"/>
        <v>0</v>
      </c>
      <c r="FQ57" s="87">
        <f t="shared" si="96"/>
        <v>0</v>
      </c>
      <c r="FR57" s="87">
        <f t="shared" si="97"/>
        <v>0</v>
      </c>
      <c r="FS57" s="87">
        <f t="shared" si="98"/>
        <v>0</v>
      </c>
      <c r="FT57" s="87">
        <f t="shared" si="99"/>
        <v>0</v>
      </c>
      <c r="FU57" s="87">
        <f t="shared" si="100"/>
        <v>0</v>
      </c>
      <c r="FV57" s="87">
        <f t="shared" si="101"/>
        <v>0</v>
      </c>
      <c r="FW57" s="87">
        <f t="shared" si="102"/>
        <v>0</v>
      </c>
      <c r="FX57" s="87">
        <f t="shared" si="103"/>
        <v>0</v>
      </c>
      <c r="FY57" s="87">
        <f t="shared" si="104"/>
        <v>0</v>
      </c>
      <c r="FZ57" s="87">
        <f t="shared" si="105"/>
        <v>0</v>
      </c>
      <c r="GA57" s="87">
        <f t="shared" si="106"/>
        <v>0</v>
      </c>
      <c r="GB57" s="87">
        <f t="shared" si="107"/>
        <v>0</v>
      </c>
      <c r="GC57" s="87">
        <f t="shared" si="108"/>
        <v>0</v>
      </c>
      <c r="GD57" s="87">
        <f t="shared" si="109"/>
        <v>0</v>
      </c>
    </row>
    <row r="58" spans="41:186" ht="16.5" x14ac:dyDescent="0.2">
      <c r="AO58" s="48">
        <v>5</v>
      </c>
      <c r="AP58" s="86">
        <v>20</v>
      </c>
      <c r="AQ58" s="86">
        <v>2</v>
      </c>
      <c r="AR58" s="48">
        <v>2</v>
      </c>
      <c r="AS58" s="86" t="s">
        <v>340</v>
      </c>
      <c r="AT58" s="21">
        <f t="shared" si="61"/>
        <v>1.7999999999999999E-2</v>
      </c>
      <c r="AU58" s="86">
        <f t="shared" si="5"/>
        <v>1</v>
      </c>
      <c r="AV58" s="86">
        <f t="shared" si="6"/>
        <v>2</v>
      </c>
      <c r="AW58" s="87">
        <f t="shared" si="7"/>
        <v>2.6999999999999996E-2</v>
      </c>
      <c r="AX58" s="86">
        <f t="shared" si="8"/>
        <v>10.124999999999998</v>
      </c>
      <c r="BA58" s="86">
        <v>54</v>
      </c>
      <c r="BB58" s="14" t="e">
        <f>INDEX(节奏总表!#REF!,神器!BA58)</f>
        <v>#REF!</v>
      </c>
      <c r="BC58" s="14" t="e">
        <f t="shared" si="9"/>
        <v>#REF!</v>
      </c>
      <c r="BD58" s="14">
        <v>5</v>
      </c>
      <c r="BE58" s="14">
        <v>3</v>
      </c>
      <c r="BF58" s="14">
        <f t="shared" si="60"/>
        <v>0</v>
      </c>
      <c r="BG58" s="14">
        <f t="shared" si="112"/>
        <v>0</v>
      </c>
      <c r="BH58" s="14">
        <f t="shared" si="112"/>
        <v>0</v>
      </c>
      <c r="BI58" s="14">
        <f t="shared" si="112"/>
        <v>0</v>
      </c>
      <c r="BJ58" s="14">
        <f t="shared" si="112"/>
        <v>0</v>
      </c>
      <c r="BK58" s="14">
        <f t="shared" si="112"/>
        <v>0</v>
      </c>
      <c r="BL58" s="14">
        <f t="shared" si="112"/>
        <v>0</v>
      </c>
      <c r="BM58" s="14">
        <f t="shared" si="112"/>
        <v>0</v>
      </c>
      <c r="BN58" s="14">
        <f t="shared" si="112"/>
        <v>0</v>
      </c>
      <c r="BO58" s="14">
        <f t="shared" si="112"/>
        <v>0</v>
      </c>
      <c r="BP58" s="14">
        <f t="shared" si="112"/>
        <v>0</v>
      </c>
      <c r="BQ58" s="14">
        <f t="shared" si="112"/>
        <v>0</v>
      </c>
      <c r="BR58" s="14">
        <f t="shared" si="112"/>
        <v>0</v>
      </c>
      <c r="BS58" s="14">
        <f t="shared" si="112"/>
        <v>0</v>
      </c>
      <c r="BT58" s="14">
        <f t="shared" si="112"/>
        <v>0</v>
      </c>
      <c r="BU58" s="14">
        <f t="shared" si="112"/>
        <v>0</v>
      </c>
      <c r="BV58" s="14">
        <f t="shared" si="112"/>
        <v>0</v>
      </c>
      <c r="BW58" s="14">
        <f t="shared" si="112"/>
        <v>0</v>
      </c>
      <c r="BX58" s="14">
        <f t="shared" si="112"/>
        <v>0</v>
      </c>
      <c r="BY58" s="14">
        <f t="shared" si="112"/>
        <v>0</v>
      </c>
      <c r="BZ58" s="14">
        <f t="shared" si="112"/>
        <v>0</v>
      </c>
      <c r="CA58" s="14">
        <f t="shared" si="112"/>
        <v>0</v>
      </c>
      <c r="CB58" s="14">
        <f t="shared" si="112"/>
        <v>0</v>
      </c>
      <c r="CC58" s="14">
        <f t="shared" si="112"/>
        <v>0</v>
      </c>
      <c r="CD58" s="14">
        <f t="shared" si="112"/>
        <v>0</v>
      </c>
      <c r="CE58" s="14">
        <f t="shared" si="112"/>
        <v>0</v>
      </c>
      <c r="CF58" s="14">
        <f t="shared" si="112"/>
        <v>0</v>
      </c>
      <c r="CG58" s="14">
        <f t="shared" si="112"/>
        <v>0</v>
      </c>
      <c r="CH58" s="14">
        <f t="shared" si="112"/>
        <v>0</v>
      </c>
      <c r="CI58" s="14">
        <f t="shared" si="112"/>
        <v>0</v>
      </c>
      <c r="CJ58" s="14">
        <f t="shared" si="112"/>
        <v>0</v>
      </c>
      <c r="CK58" s="14">
        <f t="shared" si="112"/>
        <v>0</v>
      </c>
      <c r="CL58" s="14">
        <f t="shared" si="112"/>
        <v>0</v>
      </c>
      <c r="CM58" s="14">
        <f t="shared" si="112"/>
        <v>0</v>
      </c>
      <c r="CN58" s="14">
        <f t="shared" si="112"/>
        <v>0</v>
      </c>
      <c r="CO58" s="14">
        <f t="shared" si="112"/>
        <v>0</v>
      </c>
      <c r="CP58" s="14">
        <f t="shared" si="112"/>
        <v>0</v>
      </c>
      <c r="CQ58" s="14">
        <f t="shared" si="112"/>
        <v>0</v>
      </c>
      <c r="CR58" s="14">
        <f t="shared" si="112"/>
        <v>0</v>
      </c>
      <c r="CS58" s="14">
        <f t="shared" si="112"/>
        <v>0</v>
      </c>
      <c r="CT58" s="14">
        <f t="shared" si="112"/>
        <v>0</v>
      </c>
      <c r="CU58" s="14">
        <f t="shared" si="112"/>
        <v>0</v>
      </c>
      <c r="CW58" s="14">
        <f>SUM(BF$5:BF58)</f>
        <v>0</v>
      </c>
      <c r="CX58" s="14">
        <f>SUM(BG$5:BG58)</f>
        <v>0</v>
      </c>
      <c r="CY58" s="14">
        <f>SUM(BH$5:BH58)</f>
        <v>0</v>
      </c>
      <c r="CZ58" s="14">
        <f>SUM(BI$5:BI58)</f>
        <v>0</v>
      </c>
      <c r="DA58" s="14">
        <f>SUM(BJ$5:BJ58)</f>
        <v>0</v>
      </c>
      <c r="DB58" s="14">
        <f>SUM(BK$5:BK58)</f>
        <v>0</v>
      </c>
      <c r="DC58" s="14">
        <f>SUM(BL$5:BL58)</f>
        <v>0</v>
      </c>
      <c r="DD58" s="14">
        <f>SUM(BM$5:BM58)</f>
        <v>0</v>
      </c>
      <c r="DE58" s="14">
        <f>SUM(BN$5:BN58)</f>
        <v>0</v>
      </c>
      <c r="DF58" s="14">
        <f>SUM(BO$5:BO58)</f>
        <v>0</v>
      </c>
      <c r="DG58" s="14">
        <f>SUM(BP$5:BP58)</f>
        <v>0</v>
      </c>
      <c r="DH58" s="14">
        <f>SUM(BQ$5:BQ58)</f>
        <v>0</v>
      </c>
      <c r="DI58" s="14">
        <f>SUM(BR$5:BR58)</f>
        <v>0</v>
      </c>
      <c r="DJ58" s="14">
        <f>SUM(BS$5:BS58)</f>
        <v>0</v>
      </c>
      <c r="DK58" s="14">
        <f>SUM(BT$5:BT58)</f>
        <v>0</v>
      </c>
      <c r="DL58" s="14">
        <f>SUM(BU$5:BU58)</f>
        <v>0</v>
      </c>
      <c r="DM58" s="14">
        <f>SUM(BV$5:BV58)</f>
        <v>0</v>
      </c>
      <c r="DN58" s="14">
        <f>SUM(BW$5:BW58)</f>
        <v>0</v>
      </c>
      <c r="DO58" s="14">
        <f>SUM(BX$5:BX58)</f>
        <v>0</v>
      </c>
      <c r="DP58" s="14">
        <f>SUM(BY$5:BY58)</f>
        <v>0</v>
      </c>
      <c r="DQ58" s="14">
        <f>SUM(BZ$5:BZ58)</f>
        <v>0</v>
      </c>
      <c r="DR58" s="14">
        <f>SUM(CA$5:CA58)</f>
        <v>0</v>
      </c>
      <c r="DS58" s="14">
        <f>SUM(CB$5:CB58)</f>
        <v>0</v>
      </c>
      <c r="DT58" s="14">
        <f>SUM(CC$5:CC58)</f>
        <v>0</v>
      </c>
      <c r="DU58" s="14">
        <f>SUM(CD$5:CD58)</f>
        <v>0</v>
      </c>
      <c r="DV58" s="14">
        <f>SUM(CE$5:CE58)</f>
        <v>0</v>
      </c>
      <c r="DW58" s="14">
        <f>SUM(CF$5:CF58)</f>
        <v>0</v>
      </c>
      <c r="DX58" s="14">
        <f>SUM(CG$5:CG58)</f>
        <v>0</v>
      </c>
      <c r="DY58" s="14">
        <f>SUM(CH$5:CH58)</f>
        <v>0</v>
      </c>
      <c r="DZ58" s="14">
        <f>SUM(CI$5:CI58)</f>
        <v>0</v>
      </c>
      <c r="EA58" s="14">
        <f>SUM(CJ$5:CJ58)</f>
        <v>0</v>
      </c>
      <c r="EB58" s="14">
        <f>SUM(CK$5:CK58)</f>
        <v>0</v>
      </c>
      <c r="EC58" s="14">
        <f>SUM(CL$5:CL58)</f>
        <v>0</v>
      </c>
      <c r="ED58" s="14">
        <f>SUM(CM$5:CM58)</f>
        <v>0</v>
      </c>
      <c r="EE58" s="14">
        <f>SUM(CN$5:CN58)</f>
        <v>0</v>
      </c>
      <c r="EF58" s="14">
        <f>SUM(CO$5:CO58)</f>
        <v>0</v>
      </c>
      <c r="EG58" s="14">
        <f>SUM(CP$5:CP58)</f>
        <v>0</v>
      </c>
      <c r="EH58" s="14">
        <f>SUM(CQ$5:CQ58)</f>
        <v>0</v>
      </c>
      <c r="EI58" s="14">
        <f>SUM(CR$5:CR58)</f>
        <v>0</v>
      </c>
      <c r="EJ58" s="14">
        <f>SUM(CS$5:CS58)</f>
        <v>0</v>
      </c>
      <c r="EK58" s="14">
        <f>SUM(CT$5:CT58)</f>
        <v>0</v>
      </c>
      <c r="EL58" s="14">
        <f>SUM(CU$5:CU58)</f>
        <v>0</v>
      </c>
      <c r="EO58" s="87">
        <f t="shared" si="68"/>
        <v>0</v>
      </c>
      <c r="EP58" s="87">
        <f t="shared" si="69"/>
        <v>0</v>
      </c>
      <c r="EQ58" s="87">
        <f t="shared" si="70"/>
        <v>0</v>
      </c>
      <c r="ER58" s="87">
        <f t="shared" si="71"/>
        <v>0</v>
      </c>
      <c r="ES58" s="87">
        <f t="shared" si="72"/>
        <v>0</v>
      </c>
      <c r="ET58" s="87">
        <f t="shared" si="73"/>
        <v>0</v>
      </c>
      <c r="EU58" s="87">
        <f t="shared" si="74"/>
        <v>0</v>
      </c>
      <c r="EV58" s="87">
        <f t="shared" si="75"/>
        <v>0</v>
      </c>
      <c r="EW58" s="87">
        <f t="shared" si="76"/>
        <v>0</v>
      </c>
      <c r="EX58" s="87">
        <f t="shared" si="77"/>
        <v>0</v>
      </c>
      <c r="EY58" s="87">
        <f t="shared" si="78"/>
        <v>0</v>
      </c>
      <c r="EZ58" s="87">
        <f t="shared" si="79"/>
        <v>0</v>
      </c>
      <c r="FA58" s="87">
        <f t="shared" si="80"/>
        <v>0</v>
      </c>
      <c r="FB58" s="87">
        <f t="shared" si="81"/>
        <v>0</v>
      </c>
      <c r="FC58" s="87">
        <f t="shared" si="82"/>
        <v>0</v>
      </c>
      <c r="FD58" s="87">
        <f t="shared" si="83"/>
        <v>0</v>
      </c>
      <c r="FE58" s="87">
        <f t="shared" si="84"/>
        <v>0</v>
      </c>
      <c r="FF58" s="87">
        <f t="shared" si="85"/>
        <v>0</v>
      </c>
      <c r="FG58" s="87">
        <f t="shared" si="86"/>
        <v>0</v>
      </c>
      <c r="FH58" s="87">
        <f t="shared" si="87"/>
        <v>0</v>
      </c>
      <c r="FI58" s="87">
        <f t="shared" si="88"/>
        <v>0</v>
      </c>
      <c r="FJ58" s="87">
        <f t="shared" si="89"/>
        <v>0</v>
      </c>
      <c r="FK58" s="87">
        <f t="shared" si="90"/>
        <v>0</v>
      </c>
      <c r="FL58" s="87">
        <f t="shared" si="91"/>
        <v>0</v>
      </c>
      <c r="FM58" s="87">
        <f t="shared" si="92"/>
        <v>0</v>
      </c>
      <c r="FN58" s="87">
        <f t="shared" si="93"/>
        <v>0</v>
      </c>
      <c r="FO58" s="87">
        <f t="shared" si="94"/>
        <v>0</v>
      </c>
      <c r="FP58" s="87">
        <f t="shared" si="95"/>
        <v>0</v>
      </c>
      <c r="FQ58" s="87">
        <f t="shared" si="96"/>
        <v>0</v>
      </c>
      <c r="FR58" s="87">
        <f t="shared" si="97"/>
        <v>0</v>
      </c>
      <c r="FS58" s="87">
        <f t="shared" si="98"/>
        <v>0</v>
      </c>
      <c r="FT58" s="87">
        <f t="shared" si="99"/>
        <v>0</v>
      </c>
      <c r="FU58" s="87">
        <f t="shared" si="100"/>
        <v>0</v>
      </c>
      <c r="FV58" s="87">
        <f t="shared" si="101"/>
        <v>0</v>
      </c>
      <c r="FW58" s="87">
        <f t="shared" si="102"/>
        <v>0</v>
      </c>
      <c r="FX58" s="87">
        <f t="shared" si="103"/>
        <v>0</v>
      </c>
      <c r="FY58" s="87">
        <f t="shared" si="104"/>
        <v>0</v>
      </c>
      <c r="FZ58" s="87">
        <f t="shared" si="105"/>
        <v>0</v>
      </c>
      <c r="GA58" s="87">
        <f t="shared" si="106"/>
        <v>0</v>
      </c>
      <c r="GB58" s="87">
        <f t="shared" si="107"/>
        <v>0</v>
      </c>
      <c r="GC58" s="87">
        <f t="shared" si="108"/>
        <v>0</v>
      </c>
      <c r="GD58" s="87">
        <f t="shared" si="109"/>
        <v>0</v>
      </c>
    </row>
    <row r="59" spans="41:186" ht="16.5" x14ac:dyDescent="0.2">
      <c r="AO59" s="48">
        <v>5</v>
      </c>
      <c r="AP59" s="86">
        <v>21</v>
      </c>
      <c r="AQ59" s="86">
        <v>3</v>
      </c>
      <c r="AR59" s="48">
        <v>1</v>
      </c>
      <c r="AS59" s="86" t="s">
        <v>679</v>
      </c>
      <c r="AT59" s="21">
        <f t="shared" si="61"/>
        <v>3.7499999999999999E-2</v>
      </c>
      <c r="AU59" s="86">
        <f t="shared" si="5"/>
        <v>1</v>
      </c>
      <c r="AV59" s="86">
        <f t="shared" si="6"/>
        <v>3</v>
      </c>
      <c r="AW59" s="87">
        <f t="shared" si="7"/>
        <v>7.4999999999999997E-2</v>
      </c>
      <c r="AX59" s="86">
        <f t="shared" si="8"/>
        <v>2.25</v>
      </c>
      <c r="BA59" s="86">
        <v>55</v>
      </c>
      <c r="BB59" s="14" t="e">
        <f>INDEX(节奏总表!#REF!,神器!BA59)</f>
        <v>#REF!</v>
      </c>
      <c r="BC59" s="14" t="e">
        <f t="shared" si="9"/>
        <v>#REF!</v>
      </c>
      <c r="BD59" s="14">
        <v>5</v>
      </c>
      <c r="BE59" s="14">
        <v>3</v>
      </c>
      <c r="BF59" s="14">
        <f t="shared" si="60"/>
        <v>0</v>
      </c>
      <c r="BG59" s="14">
        <f t="shared" si="112"/>
        <v>0</v>
      </c>
      <c r="BH59" s="14">
        <f t="shared" si="112"/>
        <v>0</v>
      </c>
      <c r="BI59" s="14">
        <f t="shared" si="112"/>
        <v>0</v>
      </c>
      <c r="BJ59" s="14">
        <f t="shared" si="112"/>
        <v>0</v>
      </c>
      <c r="BK59" s="14">
        <f t="shared" si="112"/>
        <v>0</v>
      </c>
      <c r="BL59" s="14">
        <f t="shared" si="112"/>
        <v>0</v>
      </c>
      <c r="BM59" s="14">
        <f t="shared" si="112"/>
        <v>0</v>
      </c>
      <c r="BN59" s="14">
        <f t="shared" si="112"/>
        <v>0</v>
      </c>
      <c r="BO59" s="14">
        <f t="shared" si="112"/>
        <v>0</v>
      </c>
      <c r="BP59" s="14">
        <f t="shared" si="112"/>
        <v>0</v>
      </c>
      <c r="BQ59" s="14">
        <f t="shared" si="112"/>
        <v>0</v>
      </c>
      <c r="BR59" s="14">
        <f t="shared" si="112"/>
        <v>0</v>
      </c>
      <c r="BS59" s="14">
        <f t="shared" si="112"/>
        <v>0</v>
      </c>
      <c r="BT59" s="14">
        <f t="shared" si="112"/>
        <v>0</v>
      </c>
      <c r="BU59" s="14">
        <f t="shared" si="112"/>
        <v>0</v>
      </c>
      <c r="BV59" s="14">
        <f t="shared" si="112"/>
        <v>0</v>
      </c>
      <c r="BW59" s="14">
        <f t="shared" si="112"/>
        <v>0</v>
      </c>
      <c r="BX59" s="14">
        <f t="shared" si="112"/>
        <v>0</v>
      </c>
      <c r="BY59" s="14">
        <f t="shared" si="112"/>
        <v>0</v>
      </c>
      <c r="BZ59" s="14">
        <f t="shared" si="112"/>
        <v>0</v>
      </c>
      <c r="CA59" s="14">
        <f t="shared" si="112"/>
        <v>0</v>
      </c>
      <c r="CB59" s="14">
        <f t="shared" si="112"/>
        <v>0</v>
      </c>
      <c r="CC59" s="14">
        <f t="shared" si="112"/>
        <v>0</v>
      </c>
      <c r="CD59" s="14">
        <f t="shared" si="112"/>
        <v>0</v>
      </c>
      <c r="CE59" s="14">
        <f t="shared" si="112"/>
        <v>0</v>
      </c>
      <c r="CF59" s="14">
        <f t="shared" si="112"/>
        <v>0</v>
      </c>
      <c r="CG59" s="14">
        <f t="shared" si="112"/>
        <v>0</v>
      </c>
      <c r="CH59" s="14">
        <f t="shared" si="112"/>
        <v>0</v>
      </c>
      <c r="CI59" s="14">
        <f t="shared" si="112"/>
        <v>0</v>
      </c>
      <c r="CJ59" s="14">
        <f t="shared" si="112"/>
        <v>0</v>
      </c>
      <c r="CK59" s="14">
        <f t="shared" si="112"/>
        <v>0</v>
      </c>
      <c r="CL59" s="14">
        <f t="shared" si="112"/>
        <v>0</v>
      </c>
      <c r="CM59" s="14">
        <f t="shared" si="112"/>
        <v>0</v>
      </c>
      <c r="CN59" s="14">
        <f t="shared" si="112"/>
        <v>0</v>
      </c>
      <c r="CO59" s="14">
        <f t="shared" si="112"/>
        <v>0</v>
      </c>
      <c r="CP59" s="14">
        <f t="shared" si="112"/>
        <v>0</v>
      </c>
      <c r="CQ59" s="14">
        <f t="shared" si="112"/>
        <v>0</v>
      </c>
      <c r="CR59" s="14">
        <f t="shared" si="112"/>
        <v>0</v>
      </c>
      <c r="CS59" s="14">
        <f t="shared" si="112"/>
        <v>0</v>
      </c>
      <c r="CT59" s="14">
        <f t="shared" si="112"/>
        <v>0</v>
      </c>
      <c r="CU59" s="14">
        <f t="shared" si="112"/>
        <v>0</v>
      </c>
      <c r="CW59" s="14">
        <f>SUM(BF$5:BF59)</f>
        <v>0</v>
      </c>
      <c r="CX59" s="14">
        <f>SUM(BG$5:BG59)</f>
        <v>0</v>
      </c>
      <c r="CY59" s="14">
        <f>SUM(BH$5:BH59)</f>
        <v>0</v>
      </c>
      <c r="CZ59" s="14">
        <f>SUM(BI$5:BI59)</f>
        <v>0</v>
      </c>
      <c r="DA59" s="14">
        <f>SUM(BJ$5:BJ59)</f>
        <v>0</v>
      </c>
      <c r="DB59" s="14">
        <f>SUM(BK$5:BK59)</f>
        <v>0</v>
      </c>
      <c r="DC59" s="14">
        <f>SUM(BL$5:BL59)</f>
        <v>0</v>
      </c>
      <c r="DD59" s="14">
        <f>SUM(BM$5:BM59)</f>
        <v>0</v>
      </c>
      <c r="DE59" s="14">
        <f>SUM(BN$5:BN59)</f>
        <v>0</v>
      </c>
      <c r="DF59" s="14">
        <f>SUM(BO$5:BO59)</f>
        <v>0</v>
      </c>
      <c r="DG59" s="14">
        <f>SUM(BP$5:BP59)</f>
        <v>0</v>
      </c>
      <c r="DH59" s="14">
        <f>SUM(BQ$5:BQ59)</f>
        <v>0</v>
      </c>
      <c r="DI59" s="14">
        <f>SUM(BR$5:BR59)</f>
        <v>0</v>
      </c>
      <c r="DJ59" s="14">
        <f>SUM(BS$5:BS59)</f>
        <v>0</v>
      </c>
      <c r="DK59" s="14">
        <f>SUM(BT$5:BT59)</f>
        <v>0</v>
      </c>
      <c r="DL59" s="14">
        <f>SUM(BU$5:BU59)</f>
        <v>0</v>
      </c>
      <c r="DM59" s="14">
        <f>SUM(BV$5:BV59)</f>
        <v>0</v>
      </c>
      <c r="DN59" s="14">
        <f>SUM(BW$5:BW59)</f>
        <v>0</v>
      </c>
      <c r="DO59" s="14">
        <f>SUM(BX$5:BX59)</f>
        <v>0</v>
      </c>
      <c r="DP59" s="14">
        <f>SUM(BY$5:BY59)</f>
        <v>0</v>
      </c>
      <c r="DQ59" s="14">
        <f>SUM(BZ$5:BZ59)</f>
        <v>0</v>
      </c>
      <c r="DR59" s="14">
        <f>SUM(CA$5:CA59)</f>
        <v>0</v>
      </c>
      <c r="DS59" s="14">
        <f>SUM(CB$5:CB59)</f>
        <v>0</v>
      </c>
      <c r="DT59" s="14">
        <f>SUM(CC$5:CC59)</f>
        <v>0</v>
      </c>
      <c r="DU59" s="14">
        <f>SUM(CD$5:CD59)</f>
        <v>0</v>
      </c>
      <c r="DV59" s="14">
        <f>SUM(CE$5:CE59)</f>
        <v>0</v>
      </c>
      <c r="DW59" s="14">
        <f>SUM(CF$5:CF59)</f>
        <v>0</v>
      </c>
      <c r="DX59" s="14">
        <f>SUM(CG$5:CG59)</f>
        <v>0</v>
      </c>
      <c r="DY59" s="14">
        <f>SUM(CH$5:CH59)</f>
        <v>0</v>
      </c>
      <c r="DZ59" s="14">
        <f>SUM(CI$5:CI59)</f>
        <v>0</v>
      </c>
      <c r="EA59" s="14">
        <f>SUM(CJ$5:CJ59)</f>
        <v>0</v>
      </c>
      <c r="EB59" s="14">
        <f>SUM(CK$5:CK59)</f>
        <v>0</v>
      </c>
      <c r="EC59" s="14">
        <f>SUM(CL$5:CL59)</f>
        <v>0</v>
      </c>
      <c r="ED59" s="14">
        <f>SUM(CM$5:CM59)</f>
        <v>0</v>
      </c>
      <c r="EE59" s="14">
        <f>SUM(CN$5:CN59)</f>
        <v>0</v>
      </c>
      <c r="EF59" s="14">
        <f>SUM(CO$5:CO59)</f>
        <v>0</v>
      </c>
      <c r="EG59" s="14">
        <f>SUM(CP$5:CP59)</f>
        <v>0</v>
      </c>
      <c r="EH59" s="14">
        <f>SUM(CQ$5:CQ59)</f>
        <v>0</v>
      </c>
      <c r="EI59" s="14">
        <f>SUM(CR$5:CR59)</f>
        <v>0</v>
      </c>
      <c r="EJ59" s="14">
        <f>SUM(CS$5:CS59)</f>
        <v>0</v>
      </c>
      <c r="EK59" s="14">
        <f>SUM(CT$5:CT59)</f>
        <v>0</v>
      </c>
      <c r="EL59" s="14">
        <f>SUM(CU$5:CU59)</f>
        <v>0</v>
      </c>
      <c r="EO59" s="87">
        <f t="shared" si="68"/>
        <v>0</v>
      </c>
      <c r="EP59" s="87">
        <f t="shared" si="69"/>
        <v>0</v>
      </c>
      <c r="EQ59" s="87">
        <f t="shared" si="70"/>
        <v>0</v>
      </c>
      <c r="ER59" s="87">
        <f t="shared" si="71"/>
        <v>0</v>
      </c>
      <c r="ES59" s="87">
        <f t="shared" si="72"/>
        <v>0</v>
      </c>
      <c r="ET59" s="87">
        <f t="shared" si="73"/>
        <v>0</v>
      </c>
      <c r="EU59" s="87">
        <f t="shared" si="74"/>
        <v>0</v>
      </c>
      <c r="EV59" s="87">
        <f t="shared" si="75"/>
        <v>0</v>
      </c>
      <c r="EW59" s="87">
        <f t="shared" si="76"/>
        <v>0</v>
      </c>
      <c r="EX59" s="87">
        <f t="shared" si="77"/>
        <v>0</v>
      </c>
      <c r="EY59" s="87">
        <f t="shared" si="78"/>
        <v>0</v>
      </c>
      <c r="EZ59" s="87">
        <f t="shared" si="79"/>
        <v>0</v>
      </c>
      <c r="FA59" s="87">
        <f t="shared" si="80"/>
        <v>0</v>
      </c>
      <c r="FB59" s="87">
        <f t="shared" si="81"/>
        <v>0</v>
      </c>
      <c r="FC59" s="87">
        <f t="shared" si="82"/>
        <v>0</v>
      </c>
      <c r="FD59" s="87">
        <f t="shared" si="83"/>
        <v>0</v>
      </c>
      <c r="FE59" s="87">
        <f t="shared" si="84"/>
        <v>0</v>
      </c>
      <c r="FF59" s="87">
        <f t="shared" si="85"/>
        <v>0</v>
      </c>
      <c r="FG59" s="87">
        <f t="shared" si="86"/>
        <v>0</v>
      </c>
      <c r="FH59" s="87">
        <f t="shared" si="87"/>
        <v>0</v>
      </c>
      <c r="FI59" s="87">
        <f t="shared" si="88"/>
        <v>0</v>
      </c>
      <c r="FJ59" s="87">
        <f t="shared" si="89"/>
        <v>0</v>
      </c>
      <c r="FK59" s="87">
        <f t="shared" si="90"/>
        <v>0</v>
      </c>
      <c r="FL59" s="87">
        <f t="shared" si="91"/>
        <v>0</v>
      </c>
      <c r="FM59" s="87">
        <f t="shared" si="92"/>
        <v>0</v>
      </c>
      <c r="FN59" s="87">
        <f t="shared" si="93"/>
        <v>0</v>
      </c>
      <c r="FO59" s="87">
        <f t="shared" si="94"/>
        <v>0</v>
      </c>
      <c r="FP59" s="87">
        <f t="shared" si="95"/>
        <v>0</v>
      </c>
      <c r="FQ59" s="87">
        <f t="shared" si="96"/>
        <v>0</v>
      </c>
      <c r="FR59" s="87">
        <f t="shared" si="97"/>
        <v>0</v>
      </c>
      <c r="FS59" s="87">
        <f t="shared" si="98"/>
        <v>0</v>
      </c>
      <c r="FT59" s="87">
        <f t="shared" si="99"/>
        <v>0</v>
      </c>
      <c r="FU59" s="87">
        <f t="shared" si="100"/>
        <v>0</v>
      </c>
      <c r="FV59" s="87">
        <f t="shared" si="101"/>
        <v>0</v>
      </c>
      <c r="FW59" s="87">
        <f t="shared" si="102"/>
        <v>0</v>
      </c>
      <c r="FX59" s="87">
        <f t="shared" si="103"/>
        <v>0</v>
      </c>
      <c r="FY59" s="87">
        <f t="shared" si="104"/>
        <v>0</v>
      </c>
      <c r="FZ59" s="87">
        <f t="shared" si="105"/>
        <v>0</v>
      </c>
      <c r="GA59" s="87">
        <f t="shared" si="106"/>
        <v>0</v>
      </c>
      <c r="GB59" s="87">
        <f t="shared" si="107"/>
        <v>0</v>
      </c>
      <c r="GC59" s="87">
        <f t="shared" si="108"/>
        <v>0</v>
      </c>
      <c r="GD59" s="87">
        <f t="shared" si="109"/>
        <v>0</v>
      </c>
    </row>
    <row r="60" spans="41:186" ht="16.5" x14ac:dyDescent="0.2">
      <c r="AO60" s="48">
        <v>5</v>
      </c>
      <c r="AP60" s="86">
        <v>22</v>
      </c>
      <c r="AQ60" s="86">
        <v>3</v>
      </c>
      <c r="AR60" s="48">
        <v>1</v>
      </c>
      <c r="AS60" s="86" t="s">
        <v>680</v>
      </c>
      <c r="AT60" s="21">
        <f t="shared" si="61"/>
        <v>3.7499999999999999E-2</v>
      </c>
      <c r="AU60" s="86">
        <f t="shared" si="5"/>
        <v>1</v>
      </c>
      <c r="AV60" s="86">
        <f t="shared" si="6"/>
        <v>3</v>
      </c>
      <c r="AW60" s="87">
        <f t="shared" si="7"/>
        <v>7.4999999999999997E-2</v>
      </c>
      <c r="AX60" s="86">
        <f t="shared" si="8"/>
        <v>2.25</v>
      </c>
      <c r="BA60" s="86">
        <v>56</v>
      </c>
      <c r="BB60" s="14" t="e">
        <f>INDEX(节奏总表!#REF!,神器!BA60)</f>
        <v>#REF!</v>
      </c>
      <c r="BC60" s="14" t="e">
        <f t="shared" si="9"/>
        <v>#REF!</v>
      </c>
      <c r="BD60" s="14">
        <v>5</v>
      </c>
      <c r="BE60" s="14">
        <v>3</v>
      </c>
      <c r="BF60" s="14">
        <f t="shared" si="60"/>
        <v>0</v>
      </c>
      <c r="BG60" s="14">
        <f t="shared" si="112"/>
        <v>0</v>
      </c>
      <c r="BH60" s="14">
        <f t="shared" si="112"/>
        <v>0</v>
      </c>
      <c r="BI60" s="14">
        <f t="shared" si="112"/>
        <v>0</v>
      </c>
      <c r="BJ60" s="14">
        <f t="shared" si="112"/>
        <v>0</v>
      </c>
      <c r="BK60" s="14">
        <f t="shared" si="112"/>
        <v>0</v>
      </c>
      <c r="BL60" s="14">
        <f t="shared" si="112"/>
        <v>0</v>
      </c>
      <c r="BM60" s="14">
        <f t="shared" si="112"/>
        <v>0</v>
      </c>
      <c r="BN60" s="14">
        <f t="shared" si="112"/>
        <v>0</v>
      </c>
      <c r="BO60" s="14">
        <f t="shared" si="112"/>
        <v>0</v>
      </c>
      <c r="BP60" s="14">
        <f t="shared" si="112"/>
        <v>0</v>
      </c>
      <c r="BQ60" s="14">
        <f t="shared" si="112"/>
        <v>0</v>
      </c>
      <c r="BR60" s="14">
        <f t="shared" si="112"/>
        <v>0</v>
      </c>
      <c r="BS60" s="14">
        <f t="shared" si="112"/>
        <v>0</v>
      </c>
      <c r="BT60" s="14">
        <f t="shared" si="112"/>
        <v>0</v>
      </c>
      <c r="BU60" s="14">
        <f t="shared" si="112"/>
        <v>0</v>
      </c>
      <c r="BV60" s="14">
        <f t="shared" si="112"/>
        <v>0</v>
      </c>
      <c r="BW60" s="14">
        <f t="shared" si="112"/>
        <v>0</v>
      </c>
      <c r="BX60" s="14">
        <f t="shared" si="112"/>
        <v>0</v>
      </c>
      <c r="BY60" s="14">
        <f t="shared" si="112"/>
        <v>0</v>
      </c>
      <c r="BZ60" s="14">
        <f t="shared" si="112"/>
        <v>0</v>
      </c>
      <c r="CA60" s="14">
        <f t="shared" si="112"/>
        <v>0</v>
      </c>
      <c r="CB60" s="14">
        <f t="shared" si="112"/>
        <v>0</v>
      </c>
      <c r="CC60" s="14">
        <f t="shared" si="112"/>
        <v>0</v>
      </c>
      <c r="CD60" s="14">
        <f t="shared" si="112"/>
        <v>0</v>
      </c>
      <c r="CE60" s="14">
        <f t="shared" si="112"/>
        <v>0</v>
      </c>
      <c r="CF60" s="14">
        <f t="shared" si="112"/>
        <v>0</v>
      </c>
      <c r="CG60" s="14">
        <f t="shared" si="112"/>
        <v>0</v>
      </c>
      <c r="CH60" s="14">
        <f t="shared" si="112"/>
        <v>0</v>
      </c>
      <c r="CI60" s="14">
        <f t="shared" si="112"/>
        <v>0</v>
      </c>
      <c r="CJ60" s="14">
        <f t="shared" si="112"/>
        <v>0</v>
      </c>
      <c r="CK60" s="14">
        <f t="shared" si="112"/>
        <v>0</v>
      </c>
      <c r="CL60" s="14">
        <f t="shared" si="112"/>
        <v>0</v>
      </c>
      <c r="CM60" s="14">
        <f t="shared" si="112"/>
        <v>0</v>
      </c>
      <c r="CN60" s="14">
        <f t="shared" si="112"/>
        <v>0</v>
      </c>
      <c r="CO60" s="14">
        <f t="shared" si="112"/>
        <v>0</v>
      </c>
      <c r="CP60" s="14">
        <f t="shared" si="112"/>
        <v>0</v>
      </c>
      <c r="CQ60" s="14">
        <f t="shared" si="112"/>
        <v>0</v>
      </c>
      <c r="CR60" s="14">
        <f t="shared" si="112"/>
        <v>0</v>
      </c>
      <c r="CS60" s="14">
        <f t="shared" si="112"/>
        <v>0</v>
      </c>
      <c r="CT60" s="14">
        <f t="shared" si="112"/>
        <v>0</v>
      </c>
      <c r="CU60" s="14">
        <f t="shared" si="112"/>
        <v>0</v>
      </c>
      <c r="CW60" s="14">
        <f>SUM(BF$5:BF60)</f>
        <v>0</v>
      </c>
      <c r="CX60" s="14">
        <f>SUM(BG$5:BG60)</f>
        <v>0</v>
      </c>
      <c r="CY60" s="14">
        <f>SUM(BH$5:BH60)</f>
        <v>0</v>
      </c>
      <c r="CZ60" s="14">
        <f>SUM(BI$5:BI60)</f>
        <v>0</v>
      </c>
      <c r="DA60" s="14">
        <f>SUM(BJ$5:BJ60)</f>
        <v>0</v>
      </c>
      <c r="DB60" s="14">
        <f>SUM(BK$5:BK60)</f>
        <v>0</v>
      </c>
      <c r="DC60" s="14">
        <f>SUM(BL$5:BL60)</f>
        <v>0</v>
      </c>
      <c r="DD60" s="14">
        <f>SUM(BM$5:BM60)</f>
        <v>0</v>
      </c>
      <c r="DE60" s="14">
        <f>SUM(BN$5:BN60)</f>
        <v>0</v>
      </c>
      <c r="DF60" s="14">
        <f>SUM(BO$5:BO60)</f>
        <v>0</v>
      </c>
      <c r="DG60" s="14">
        <f>SUM(BP$5:BP60)</f>
        <v>0</v>
      </c>
      <c r="DH60" s="14">
        <f>SUM(BQ$5:BQ60)</f>
        <v>0</v>
      </c>
      <c r="DI60" s="14">
        <f>SUM(BR$5:BR60)</f>
        <v>0</v>
      </c>
      <c r="DJ60" s="14">
        <f>SUM(BS$5:BS60)</f>
        <v>0</v>
      </c>
      <c r="DK60" s="14">
        <f>SUM(BT$5:BT60)</f>
        <v>0</v>
      </c>
      <c r="DL60" s="14">
        <f>SUM(BU$5:BU60)</f>
        <v>0</v>
      </c>
      <c r="DM60" s="14">
        <f>SUM(BV$5:BV60)</f>
        <v>0</v>
      </c>
      <c r="DN60" s="14">
        <f>SUM(BW$5:BW60)</f>
        <v>0</v>
      </c>
      <c r="DO60" s="14">
        <f>SUM(BX$5:BX60)</f>
        <v>0</v>
      </c>
      <c r="DP60" s="14">
        <f>SUM(BY$5:BY60)</f>
        <v>0</v>
      </c>
      <c r="DQ60" s="14">
        <f>SUM(BZ$5:BZ60)</f>
        <v>0</v>
      </c>
      <c r="DR60" s="14">
        <f>SUM(CA$5:CA60)</f>
        <v>0</v>
      </c>
      <c r="DS60" s="14">
        <f>SUM(CB$5:CB60)</f>
        <v>0</v>
      </c>
      <c r="DT60" s="14">
        <f>SUM(CC$5:CC60)</f>
        <v>0</v>
      </c>
      <c r="DU60" s="14">
        <f>SUM(CD$5:CD60)</f>
        <v>0</v>
      </c>
      <c r="DV60" s="14">
        <f>SUM(CE$5:CE60)</f>
        <v>0</v>
      </c>
      <c r="DW60" s="14">
        <f>SUM(CF$5:CF60)</f>
        <v>0</v>
      </c>
      <c r="DX60" s="14">
        <f>SUM(CG$5:CG60)</f>
        <v>0</v>
      </c>
      <c r="DY60" s="14">
        <f>SUM(CH$5:CH60)</f>
        <v>0</v>
      </c>
      <c r="DZ60" s="14">
        <f>SUM(CI$5:CI60)</f>
        <v>0</v>
      </c>
      <c r="EA60" s="14">
        <f>SUM(CJ$5:CJ60)</f>
        <v>0</v>
      </c>
      <c r="EB60" s="14">
        <f>SUM(CK$5:CK60)</f>
        <v>0</v>
      </c>
      <c r="EC60" s="14">
        <f>SUM(CL$5:CL60)</f>
        <v>0</v>
      </c>
      <c r="ED60" s="14">
        <f>SUM(CM$5:CM60)</f>
        <v>0</v>
      </c>
      <c r="EE60" s="14">
        <f>SUM(CN$5:CN60)</f>
        <v>0</v>
      </c>
      <c r="EF60" s="14">
        <f>SUM(CO$5:CO60)</f>
        <v>0</v>
      </c>
      <c r="EG60" s="14">
        <f>SUM(CP$5:CP60)</f>
        <v>0</v>
      </c>
      <c r="EH60" s="14">
        <f>SUM(CQ$5:CQ60)</f>
        <v>0</v>
      </c>
      <c r="EI60" s="14">
        <f>SUM(CR$5:CR60)</f>
        <v>0</v>
      </c>
      <c r="EJ60" s="14">
        <f>SUM(CS$5:CS60)</f>
        <v>0</v>
      </c>
      <c r="EK60" s="14">
        <f>SUM(CT$5:CT60)</f>
        <v>0</v>
      </c>
      <c r="EL60" s="14">
        <f>SUM(CU$5:CU60)</f>
        <v>0</v>
      </c>
      <c r="EO60" s="87">
        <f t="shared" si="68"/>
        <v>0</v>
      </c>
      <c r="EP60" s="87">
        <f t="shared" si="69"/>
        <v>0</v>
      </c>
      <c r="EQ60" s="87">
        <f t="shared" si="70"/>
        <v>0</v>
      </c>
      <c r="ER60" s="87">
        <f t="shared" si="71"/>
        <v>0</v>
      </c>
      <c r="ES60" s="87">
        <f t="shared" si="72"/>
        <v>0</v>
      </c>
      <c r="ET60" s="87">
        <f t="shared" si="73"/>
        <v>0</v>
      </c>
      <c r="EU60" s="87">
        <f t="shared" si="74"/>
        <v>0</v>
      </c>
      <c r="EV60" s="87">
        <f t="shared" si="75"/>
        <v>0</v>
      </c>
      <c r="EW60" s="87">
        <f t="shared" si="76"/>
        <v>0</v>
      </c>
      <c r="EX60" s="87">
        <f t="shared" si="77"/>
        <v>0</v>
      </c>
      <c r="EY60" s="87">
        <f t="shared" si="78"/>
        <v>0</v>
      </c>
      <c r="EZ60" s="87">
        <f t="shared" si="79"/>
        <v>0</v>
      </c>
      <c r="FA60" s="87">
        <f t="shared" si="80"/>
        <v>0</v>
      </c>
      <c r="FB60" s="87">
        <f t="shared" si="81"/>
        <v>0</v>
      </c>
      <c r="FC60" s="87">
        <f t="shared" si="82"/>
        <v>0</v>
      </c>
      <c r="FD60" s="87">
        <f t="shared" si="83"/>
        <v>0</v>
      </c>
      <c r="FE60" s="87">
        <f t="shared" si="84"/>
        <v>0</v>
      </c>
      <c r="FF60" s="87">
        <f t="shared" si="85"/>
        <v>0</v>
      </c>
      <c r="FG60" s="87">
        <f t="shared" si="86"/>
        <v>0</v>
      </c>
      <c r="FH60" s="87">
        <f t="shared" si="87"/>
        <v>0</v>
      </c>
      <c r="FI60" s="87">
        <f t="shared" si="88"/>
        <v>0</v>
      </c>
      <c r="FJ60" s="87">
        <f t="shared" si="89"/>
        <v>0</v>
      </c>
      <c r="FK60" s="87">
        <f t="shared" si="90"/>
        <v>0</v>
      </c>
      <c r="FL60" s="87">
        <f t="shared" si="91"/>
        <v>0</v>
      </c>
      <c r="FM60" s="87">
        <f t="shared" si="92"/>
        <v>0</v>
      </c>
      <c r="FN60" s="87">
        <f t="shared" si="93"/>
        <v>0</v>
      </c>
      <c r="FO60" s="87">
        <f t="shared" si="94"/>
        <v>0</v>
      </c>
      <c r="FP60" s="87">
        <f t="shared" si="95"/>
        <v>0</v>
      </c>
      <c r="FQ60" s="87">
        <f t="shared" si="96"/>
        <v>0</v>
      </c>
      <c r="FR60" s="87">
        <f t="shared" si="97"/>
        <v>0</v>
      </c>
      <c r="FS60" s="87">
        <f t="shared" si="98"/>
        <v>0</v>
      </c>
      <c r="FT60" s="87">
        <f t="shared" si="99"/>
        <v>0</v>
      </c>
      <c r="FU60" s="87">
        <f t="shared" si="100"/>
        <v>0</v>
      </c>
      <c r="FV60" s="87">
        <f t="shared" si="101"/>
        <v>0</v>
      </c>
      <c r="FW60" s="87">
        <f t="shared" si="102"/>
        <v>0</v>
      </c>
      <c r="FX60" s="87">
        <f t="shared" si="103"/>
        <v>0</v>
      </c>
      <c r="FY60" s="87">
        <f t="shared" si="104"/>
        <v>0</v>
      </c>
      <c r="FZ60" s="87">
        <f t="shared" si="105"/>
        <v>0</v>
      </c>
      <c r="GA60" s="87">
        <f t="shared" si="106"/>
        <v>0</v>
      </c>
      <c r="GB60" s="87">
        <f t="shared" si="107"/>
        <v>0</v>
      </c>
      <c r="GC60" s="87">
        <f t="shared" si="108"/>
        <v>0</v>
      </c>
      <c r="GD60" s="87">
        <f t="shared" si="109"/>
        <v>0</v>
      </c>
    </row>
    <row r="61" spans="41:186" ht="16.5" x14ac:dyDescent="0.2">
      <c r="AO61" s="48">
        <v>5</v>
      </c>
      <c r="AP61" s="86">
        <v>23</v>
      </c>
      <c r="AQ61" s="86">
        <v>3</v>
      </c>
      <c r="AR61" s="48">
        <v>1</v>
      </c>
      <c r="AS61" s="86" t="s">
        <v>681</v>
      </c>
      <c r="AT61" s="21">
        <f t="shared" si="61"/>
        <v>2.4E-2</v>
      </c>
      <c r="AU61" s="86">
        <f t="shared" si="5"/>
        <v>1</v>
      </c>
      <c r="AV61" s="86">
        <f t="shared" si="6"/>
        <v>2</v>
      </c>
      <c r="AW61" s="87">
        <f t="shared" si="7"/>
        <v>3.6000000000000004E-2</v>
      </c>
      <c r="AX61" s="86">
        <f t="shared" si="8"/>
        <v>3.24</v>
      </c>
      <c r="BA61" s="86">
        <v>57</v>
      </c>
      <c r="BB61" s="14" t="e">
        <f>INDEX(节奏总表!#REF!,神器!BA61)</f>
        <v>#REF!</v>
      </c>
      <c r="BC61" s="14" t="e">
        <f t="shared" si="9"/>
        <v>#REF!</v>
      </c>
      <c r="BD61" s="14">
        <v>5</v>
      </c>
      <c r="BE61" s="14">
        <v>3</v>
      </c>
      <c r="BF61" s="14">
        <f t="shared" si="60"/>
        <v>0</v>
      </c>
      <c r="BG61" s="14">
        <f t="shared" si="112"/>
        <v>0</v>
      </c>
      <c r="BH61" s="14">
        <f t="shared" si="112"/>
        <v>0</v>
      </c>
      <c r="BI61" s="14">
        <f t="shared" si="112"/>
        <v>0</v>
      </c>
      <c r="BJ61" s="14">
        <f t="shared" si="112"/>
        <v>0</v>
      </c>
      <c r="BK61" s="14">
        <f t="shared" si="112"/>
        <v>0</v>
      </c>
      <c r="BL61" s="14">
        <f t="shared" si="112"/>
        <v>0</v>
      </c>
      <c r="BM61" s="14">
        <f t="shared" si="112"/>
        <v>0</v>
      </c>
      <c r="BN61" s="14">
        <f t="shared" si="112"/>
        <v>0</v>
      </c>
      <c r="BO61" s="14">
        <f t="shared" ref="BO61:CD61" si="113">SUMIFS($AT$5:$AT$122,$AO$5:$AO$122,"="&amp;$BC61,$AP$5:$AP$122,"="&amp;BO$2) * (SUMIFS($AU$5:$AU$122,$AO$5:$AO$122,"="&amp;$BC61,$AP$5:$AP$122,"="&amp;BO$2)+SUMIFS($AV$5:$AV$122,$AO$5:$AO$122,"="&amp;$BC61,$AP$5:$AP$122,"="&amp;BO$2))/2*$BD61*$BE61</f>
        <v>0</v>
      </c>
      <c r="BP61" s="14">
        <f t="shared" si="113"/>
        <v>0</v>
      </c>
      <c r="BQ61" s="14">
        <f t="shared" si="113"/>
        <v>0</v>
      </c>
      <c r="BR61" s="14">
        <f t="shared" si="113"/>
        <v>0</v>
      </c>
      <c r="BS61" s="14">
        <f t="shared" si="113"/>
        <v>0</v>
      </c>
      <c r="BT61" s="14">
        <f t="shared" si="113"/>
        <v>0</v>
      </c>
      <c r="BU61" s="14">
        <f t="shared" si="113"/>
        <v>0</v>
      </c>
      <c r="BV61" s="14">
        <f t="shared" si="113"/>
        <v>0</v>
      </c>
      <c r="BW61" s="14">
        <f t="shared" si="113"/>
        <v>0</v>
      </c>
      <c r="BX61" s="14">
        <f t="shared" si="113"/>
        <v>0</v>
      </c>
      <c r="BY61" s="14">
        <f t="shared" si="113"/>
        <v>0</v>
      </c>
      <c r="BZ61" s="14">
        <f t="shared" si="113"/>
        <v>0</v>
      </c>
      <c r="CA61" s="14">
        <f t="shared" si="113"/>
        <v>0</v>
      </c>
      <c r="CB61" s="14">
        <f t="shared" si="113"/>
        <v>0</v>
      </c>
      <c r="CC61" s="14">
        <f t="shared" si="113"/>
        <v>0</v>
      </c>
      <c r="CD61" s="14">
        <f t="shared" si="113"/>
        <v>0</v>
      </c>
      <c r="CE61" s="14">
        <f t="shared" ref="CE61:CT61" si="114">SUMIFS($AT$5:$AT$122,$AO$5:$AO$122,"="&amp;$BC61,$AP$5:$AP$122,"="&amp;CE$2) * (SUMIFS($AU$5:$AU$122,$AO$5:$AO$122,"="&amp;$BC61,$AP$5:$AP$122,"="&amp;CE$2)+SUMIFS($AV$5:$AV$122,$AO$5:$AO$122,"="&amp;$BC61,$AP$5:$AP$122,"="&amp;CE$2))/2*$BD61*$BE61</f>
        <v>0</v>
      </c>
      <c r="CF61" s="14">
        <f t="shared" si="114"/>
        <v>0</v>
      </c>
      <c r="CG61" s="14">
        <f t="shared" si="114"/>
        <v>0</v>
      </c>
      <c r="CH61" s="14">
        <f t="shared" si="114"/>
        <v>0</v>
      </c>
      <c r="CI61" s="14">
        <f t="shared" si="114"/>
        <v>0</v>
      </c>
      <c r="CJ61" s="14">
        <f t="shared" si="114"/>
        <v>0</v>
      </c>
      <c r="CK61" s="14">
        <f t="shared" si="114"/>
        <v>0</v>
      </c>
      <c r="CL61" s="14">
        <f t="shared" si="114"/>
        <v>0</v>
      </c>
      <c r="CM61" s="14">
        <f t="shared" si="114"/>
        <v>0</v>
      </c>
      <c r="CN61" s="14">
        <f t="shared" si="114"/>
        <v>0</v>
      </c>
      <c r="CO61" s="14">
        <f t="shared" si="114"/>
        <v>0</v>
      </c>
      <c r="CP61" s="14">
        <f t="shared" si="114"/>
        <v>0</v>
      </c>
      <c r="CQ61" s="14">
        <f t="shared" si="114"/>
        <v>0</v>
      </c>
      <c r="CR61" s="14">
        <f t="shared" si="114"/>
        <v>0</v>
      </c>
      <c r="CS61" s="14">
        <f t="shared" si="114"/>
        <v>0</v>
      </c>
      <c r="CT61" s="14">
        <f t="shared" si="114"/>
        <v>0</v>
      </c>
      <c r="CU61" s="14">
        <f t="shared" ref="BG61:CU64" si="115">SUMIFS($AT$5:$AT$122,$AO$5:$AO$122,"="&amp;$BC61,$AP$5:$AP$122,"="&amp;CU$2) * (SUMIFS($AU$5:$AU$122,$AO$5:$AO$122,"="&amp;$BC61,$AP$5:$AP$122,"="&amp;CU$2)+SUMIFS($AV$5:$AV$122,$AO$5:$AO$122,"="&amp;$BC61,$AP$5:$AP$122,"="&amp;CU$2))/2*$BD61*$BE61</f>
        <v>0</v>
      </c>
      <c r="CW61" s="14">
        <f>SUM(BF$5:BF61)</f>
        <v>0</v>
      </c>
      <c r="CX61" s="14">
        <f>SUM(BG$5:BG61)</f>
        <v>0</v>
      </c>
      <c r="CY61" s="14">
        <f>SUM(BH$5:BH61)</f>
        <v>0</v>
      </c>
      <c r="CZ61" s="14">
        <f>SUM(BI$5:BI61)</f>
        <v>0</v>
      </c>
      <c r="DA61" s="14">
        <f>SUM(BJ$5:BJ61)</f>
        <v>0</v>
      </c>
      <c r="DB61" s="14">
        <f>SUM(BK$5:BK61)</f>
        <v>0</v>
      </c>
      <c r="DC61" s="14">
        <f>SUM(BL$5:BL61)</f>
        <v>0</v>
      </c>
      <c r="DD61" s="14">
        <f>SUM(BM$5:BM61)</f>
        <v>0</v>
      </c>
      <c r="DE61" s="14">
        <f>SUM(BN$5:BN61)</f>
        <v>0</v>
      </c>
      <c r="DF61" s="14">
        <f>SUM(BO$5:BO61)</f>
        <v>0</v>
      </c>
      <c r="DG61" s="14">
        <f>SUM(BP$5:BP61)</f>
        <v>0</v>
      </c>
      <c r="DH61" s="14">
        <f>SUM(BQ$5:BQ61)</f>
        <v>0</v>
      </c>
      <c r="DI61" s="14">
        <f>SUM(BR$5:BR61)</f>
        <v>0</v>
      </c>
      <c r="DJ61" s="14">
        <f>SUM(BS$5:BS61)</f>
        <v>0</v>
      </c>
      <c r="DK61" s="14">
        <f>SUM(BT$5:BT61)</f>
        <v>0</v>
      </c>
      <c r="DL61" s="14">
        <f>SUM(BU$5:BU61)</f>
        <v>0</v>
      </c>
      <c r="DM61" s="14">
        <f>SUM(BV$5:BV61)</f>
        <v>0</v>
      </c>
      <c r="DN61" s="14">
        <f>SUM(BW$5:BW61)</f>
        <v>0</v>
      </c>
      <c r="DO61" s="14">
        <f>SUM(BX$5:BX61)</f>
        <v>0</v>
      </c>
      <c r="DP61" s="14">
        <f>SUM(BY$5:BY61)</f>
        <v>0</v>
      </c>
      <c r="DQ61" s="14">
        <f>SUM(BZ$5:BZ61)</f>
        <v>0</v>
      </c>
      <c r="DR61" s="14">
        <f>SUM(CA$5:CA61)</f>
        <v>0</v>
      </c>
      <c r="DS61" s="14">
        <f>SUM(CB$5:CB61)</f>
        <v>0</v>
      </c>
      <c r="DT61" s="14">
        <f>SUM(CC$5:CC61)</f>
        <v>0</v>
      </c>
      <c r="DU61" s="14">
        <f>SUM(CD$5:CD61)</f>
        <v>0</v>
      </c>
      <c r="DV61" s="14">
        <f>SUM(CE$5:CE61)</f>
        <v>0</v>
      </c>
      <c r="DW61" s="14">
        <f>SUM(CF$5:CF61)</f>
        <v>0</v>
      </c>
      <c r="DX61" s="14">
        <f>SUM(CG$5:CG61)</f>
        <v>0</v>
      </c>
      <c r="DY61" s="14">
        <f>SUM(CH$5:CH61)</f>
        <v>0</v>
      </c>
      <c r="DZ61" s="14">
        <f>SUM(CI$5:CI61)</f>
        <v>0</v>
      </c>
      <c r="EA61" s="14">
        <f>SUM(CJ$5:CJ61)</f>
        <v>0</v>
      </c>
      <c r="EB61" s="14">
        <f>SUM(CK$5:CK61)</f>
        <v>0</v>
      </c>
      <c r="EC61" s="14">
        <f>SUM(CL$5:CL61)</f>
        <v>0</v>
      </c>
      <c r="ED61" s="14">
        <f>SUM(CM$5:CM61)</f>
        <v>0</v>
      </c>
      <c r="EE61" s="14">
        <f>SUM(CN$5:CN61)</f>
        <v>0</v>
      </c>
      <c r="EF61" s="14">
        <f>SUM(CO$5:CO61)</f>
        <v>0</v>
      </c>
      <c r="EG61" s="14">
        <f>SUM(CP$5:CP61)</f>
        <v>0</v>
      </c>
      <c r="EH61" s="14">
        <f>SUM(CQ$5:CQ61)</f>
        <v>0</v>
      </c>
      <c r="EI61" s="14">
        <f>SUM(CR$5:CR61)</f>
        <v>0</v>
      </c>
      <c r="EJ61" s="14">
        <f>SUM(CS$5:CS61)</f>
        <v>0</v>
      </c>
      <c r="EK61" s="14">
        <f>SUM(CT$5:CT61)</f>
        <v>0</v>
      </c>
      <c r="EL61" s="14">
        <f>SUM(CU$5:CU61)</f>
        <v>0</v>
      </c>
      <c r="EO61" s="87">
        <f t="shared" si="68"/>
        <v>0</v>
      </c>
      <c r="EP61" s="87">
        <f t="shared" si="69"/>
        <v>0</v>
      </c>
      <c r="EQ61" s="87">
        <f t="shared" si="70"/>
        <v>0</v>
      </c>
      <c r="ER61" s="87">
        <f t="shared" si="71"/>
        <v>0</v>
      </c>
      <c r="ES61" s="87">
        <f t="shared" si="72"/>
        <v>0</v>
      </c>
      <c r="ET61" s="87">
        <f t="shared" si="73"/>
        <v>0</v>
      </c>
      <c r="EU61" s="87">
        <f t="shared" si="74"/>
        <v>0</v>
      </c>
      <c r="EV61" s="87">
        <f t="shared" si="75"/>
        <v>0</v>
      </c>
      <c r="EW61" s="87">
        <f t="shared" si="76"/>
        <v>0</v>
      </c>
      <c r="EX61" s="87">
        <f t="shared" si="77"/>
        <v>0</v>
      </c>
      <c r="EY61" s="87">
        <f t="shared" si="78"/>
        <v>0</v>
      </c>
      <c r="EZ61" s="87">
        <f t="shared" si="79"/>
        <v>0</v>
      </c>
      <c r="FA61" s="87">
        <f t="shared" si="80"/>
        <v>0</v>
      </c>
      <c r="FB61" s="87">
        <f t="shared" si="81"/>
        <v>0</v>
      </c>
      <c r="FC61" s="87">
        <f t="shared" si="82"/>
        <v>0</v>
      </c>
      <c r="FD61" s="87">
        <f t="shared" si="83"/>
        <v>0</v>
      </c>
      <c r="FE61" s="87">
        <f t="shared" si="84"/>
        <v>0</v>
      </c>
      <c r="FF61" s="87">
        <f t="shared" si="85"/>
        <v>0</v>
      </c>
      <c r="FG61" s="87">
        <f t="shared" si="86"/>
        <v>0</v>
      </c>
      <c r="FH61" s="87">
        <f t="shared" si="87"/>
        <v>0</v>
      </c>
      <c r="FI61" s="87">
        <f t="shared" si="88"/>
        <v>0</v>
      </c>
      <c r="FJ61" s="87">
        <f t="shared" si="89"/>
        <v>0</v>
      </c>
      <c r="FK61" s="87">
        <f t="shared" si="90"/>
        <v>0</v>
      </c>
      <c r="FL61" s="87">
        <f t="shared" si="91"/>
        <v>0</v>
      </c>
      <c r="FM61" s="87">
        <f t="shared" si="92"/>
        <v>0</v>
      </c>
      <c r="FN61" s="87">
        <f t="shared" si="93"/>
        <v>0</v>
      </c>
      <c r="FO61" s="87">
        <f t="shared" si="94"/>
        <v>0</v>
      </c>
      <c r="FP61" s="87">
        <f t="shared" si="95"/>
        <v>0</v>
      </c>
      <c r="FQ61" s="87">
        <f t="shared" si="96"/>
        <v>0</v>
      </c>
      <c r="FR61" s="87">
        <f t="shared" si="97"/>
        <v>0</v>
      </c>
      <c r="FS61" s="87">
        <f t="shared" si="98"/>
        <v>0</v>
      </c>
      <c r="FT61" s="87">
        <f t="shared" si="99"/>
        <v>0</v>
      </c>
      <c r="FU61" s="87">
        <f t="shared" si="100"/>
        <v>0</v>
      </c>
      <c r="FV61" s="87">
        <f t="shared" si="101"/>
        <v>0</v>
      </c>
      <c r="FW61" s="87">
        <f t="shared" si="102"/>
        <v>0</v>
      </c>
      <c r="FX61" s="87">
        <f t="shared" si="103"/>
        <v>0</v>
      </c>
      <c r="FY61" s="87">
        <f t="shared" si="104"/>
        <v>0</v>
      </c>
      <c r="FZ61" s="87">
        <f t="shared" si="105"/>
        <v>0</v>
      </c>
      <c r="GA61" s="87">
        <f t="shared" si="106"/>
        <v>0</v>
      </c>
      <c r="GB61" s="87">
        <f t="shared" si="107"/>
        <v>0</v>
      </c>
      <c r="GC61" s="87">
        <f t="shared" si="108"/>
        <v>0</v>
      </c>
      <c r="GD61" s="87">
        <f t="shared" si="109"/>
        <v>0</v>
      </c>
    </row>
    <row r="62" spans="41:186" ht="16.5" x14ac:dyDescent="0.2">
      <c r="AO62" s="48">
        <v>5</v>
      </c>
      <c r="AP62" s="86">
        <v>24</v>
      </c>
      <c r="AQ62" s="86">
        <v>3</v>
      </c>
      <c r="AR62" s="48">
        <v>1</v>
      </c>
      <c r="AS62" s="86" t="s">
        <v>682</v>
      </c>
      <c r="AT62" s="21">
        <f t="shared" si="61"/>
        <v>2.4E-2</v>
      </c>
      <c r="AU62" s="86">
        <f t="shared" si="5"/>
        <v>1</v>
      </c>
      <c r="AV62" s="86">
        <f t="shared" si="6"/>
        <v>2</v>
      </c>
      <c r="AW62" s="87">
        <f t="shared" si="7"/>
        <v>3.6000000000000004E-2</v>
      </c>
      <c r="AX62" s="86">
        <f t="shared" si="8"/>
        <v>3.24</v>
      </c>
      <c r="BA62" s="86">
        <v>58</v>
      </c>
      <c r="BB62" s="14" t="e">
        <f>INDEX(节奏总表!#REF!,神器!BA62)</f>
        <v>#REF!</v>
      </c>
      <c r="BC62" s="14" t="e">
        <f t="shared" si="9"/>
        <v>#REF!</v>
      </c>
      <c r="BD62" s="14">
        <v>5</v>
      </c>
      <c r="BE62" s="14">
        <v>3</v>
      </c>
      <c r="BF62" s="14">
        <f t="shared" si="60"/>
        <v>0</v>
      </c>
      <c r="BG62" s="14">
        <f t="shared" si="115"/>
        <v>0</v>
      </c>
      <c r="BH62" s="14">
        <f t="shared" si="115"/>
        <v>0</v>
      </c>
      <c r="BI62" s="14">
        <f t="shared" si="115"/>
        <v>0</v>
      </c>
      <c r="BJ62" s="14">
        <f t="shared" si="115"/>
        <v>0</v>
      </c>
      <c r="BK62" s="14">
        <f t="shared" si="115"/>
        <v>0</v>
      </c>
      <c r="BL62" s="14">
        <f t="shared" si="115"/>
        <v>0</v>
      </c>
      <c r="BM62" s="14">
        <f t="shared" si="115"/>
        <v>0</v>
      </c>
      <c r="BN62" s="14">
        <f t="shared" si="115"/>
        <v>0</v>
      </c>
      <c r="BO62" s="14">
        <f t="shared" si="115"/>
        <v>0</v>
      </c>
      <c r="BP62" s="14">
        <f t="shared" si="115"/>
        <v>0</v>
      </c>
      <c r="BQ62" s="14">
        <f t="shared" si="115"/>
        <v>0</v>
      </c>
      <c r="BR62" s="14">
        <f t="shared" si="115"/>
        <v>0</v>
      </c>
      <c r="BS62" s="14">
        <f t="shared" si="115"/>
        <v>0</v>
      </c>
      <c r="BT62" s="14">
        <f t="shared" si="115"/>
        <v>0</v>
      </c>
      <c r="BU62" s="14">
        <f t="shared" si="115"/>
        <v>0</v>
      </c>
      <c r="BV62" s="14">
        <f t="shared" si="115"/>
        <v>0</v>
      </c>
      <c r="BW62" s="14">
        <f t="shared" si="115"/>
        <v>0</v>
      </c>
      <c r="BX62" s="14">
        <f t="shared" si="115"/>
        <v>0</v>
      </c>
      <c r="BY62" s="14">
        <f t="shared" si="115"/>
        <v>0</v>
      </c>
      <c r="BZ62" s="14">
        <f t="shared" si="115"/>
        <v>0</v>
      </c>
      <c r="CA62" s="14">
        <f t="shared" si="115"/>
        <v>0</v>
      </c>
      <c r="CB62" s="14">
        <f t="shared" si="115"/>
        <v>0</v>
      </c>
      <c r="CC62" s="14">
        <f t="shared" si="115"/>
        <v>0</v>
      </c>
      <c r="CD62" s="14">
        <f t="shared" si="115"/>
        <v>0</v>
      </c>
      <c r="CE62" s="14">
        <f t="shared" si="115"/>
        <v>0</v>
      </c>
      <c r="CF62" s="14">
        <f t="shared" si="115"/>
        <v>0</v>
      </c>
      <c r="CG62" s="14">
        <f t="shared" si="115"/>
        <v>0</v>
      </c>
      <c r="CH62" s="14">
        <f t="shared" si="115"/>
        <v>0</v>
      </c>
      <c r="CI62" s="14">
        <f t="shared" si="115"/>
        <v>0</v>
      </c>
      <c r="CJ62" s="14">
        <f t="shared" si="115"/>
        <v>0</v>
      </c>
      <c r="CK62" s="14">
        <f t="shared" si="115"/>
        <v>0</v>
      </c>
      <c r="CL62" s="14">
        <f t="shared" si="115"/>
        <v>0</v>
      </c>
      <c r="CM62" s="14">
        <f t="shared" si="115"/>
        <v>0</v>
      </c>
      <c r="CN62" s="14">
        <f t="shared" si="115"/>
        <v>0</v>
      </c>
      <c r="CO62" s="14">
        <f t="shared" si="115"/>
        <v>0</v>
      </c>
      <c r="CP62" s="14">
        <f t="shared" si="115"/>
        <v>0</v>
      </c>
      <c r="CQ62" s="14">
        <f t="shared" si="115"/>
        <v>0</v>
      </c>
      <c r="CR62" s="14">
        <f t="shared" si="115"/>
        <v>0</v>
      </c>
      <c r="CS62" s="14">
        <f t="shared" si="115"/>
        <v>0</v>
      </c>
      <c r="CT62" s="14">
        <f t="shared" si="115"/>
        <v>0</v>
      </c>
      <c r="CU62" s="14">
        <f t="shared" si="115"/>
        <v>0</v>
      </c>
      <c r="CW62" s="14">
        <f>SUM(BF$5:BF62)</f>
        <v>0</v>
      </c>
      <c r="CX62" s="14">
        <f>SUM(BG$5:BG62)</f>
        <v>0</v>
      </c>
      <c r="CY62" s="14">
        <f>SUM(BH$5:BH62)</f>
        <v>0</v>
      </c>
      <c r="CZ62" s="14">
        <f>SUM(BI$5:BI62)</f>
        <v>0</v>
      </c>
      <c r="DA62" s="14">
        <f>SUM(BJ$5:BJ62)</f>
        <v>0</v>
      </c>
      <c r="DB62" s="14">
        <f>SUM(BK$5:BK62)</f>
        <v>0</v>
      </c>
      <c r="DC62" s="14">
        <f>SUM(BL$5:BL62)</f>
        <v>0</v>
      </c>
      <c r="DD62" s="14">
        <f>SUM(BM$5:BM62)</f>
        <v>0</v>
      </c>
      <c r="DE62" s="14">
        <f>SUM(BN$5:BN62)</f>
        <v>0</v>
      </c>
      <c r="DF62" s="14">
        <f>SUM(BO$5:BO62)</f>
        <v>0</v>
      </c>
      <c r="DG62" s="14">
        <f>SUM(BP$5:BP62)</f>
        <v>0</v>
      </c>
      <c r="DH62" s="14">
        <f>SUM(BQ$5:BQ62)</f>
        <v>0</v>
      </c>
      <c r="DI62" s="14">
        <f>SUM(BR$5:BR62)</f>
        <v>0</v>
      </c>
      <c r="DJ62" s="14">
        <f>SUM(BS$5:BS62)</f>
        <v>0</v>
      </c>
      <c r="DK62" s="14">
        <f>SUM(BT$5:BT62)</f>
        <v>0</v>
      </c>
      <c r="DL62" s="14">
        <f>SUM(BU$5:BU62)</f>
        <v>0</v>
      </c>
      <c r="DM62" s="14">
        <f>SUM(BV$5:BV62)</f>
        <v>0</v>
      </c>
      <c r="DN62" s="14">
        <f>SUM(BW$5:BW62)</f>
        <v>0</v>
      </c>
      <c r="DO62" s="14">
        <f>SUM(BX$5:BX62)</f>
        <v>0</v>
      </c>
      <c r="DP62" s="14">
        <f>SUM(BY$5:BY62)</f>
        <v>0</v>
      </c>
      <c r="DQ62" s="14">
        <f>SUM(BZ$5:BZ62)</f>
        <v>0</v>
      </c>
      <c r="DR62" s="14">
        <f>SUM(CA$5:CA62)</f>
        <v>0</v>
      </c>
      <c r="DS62" s="14">
        <f>SUM(CB$5:CB62)</f>
        <v>0</v>
      </c>
      <c r="DT62" s="14">
        <f>SUM(CC$5:CC62)</f>
        <v>0</v>
      </c>
      <c r="DU62" s="14">
        <f>SUM(CD$5:CD62)</f>
        <v>0</v>
      </c>
      <c r="DV62" s="14">
        <f>SUM(CE$5:CE62)</f>
        <v>0</v>
      </c>
      <c r="DW62" s="14">
        <f>SUM(CF$5:CF62)</f>
        <v>0</v>
      </c>
      <c r="DX62" s="14">
        <f>SUM(CG$5:CG62)</f>
        <v>0</v>
      </c>
      <c r="DY62" s="14">
        <f>SUM(CH$5:CH62)</f>
        <v>0</v>
      </c>
      <c r="DZ62" s="14">
        <f>SUM(CI$5:CI62)</f>
        <v>0</v>
      </c>
      <c r="EA62" s="14">
        <f>SUM(CJ$5:CJ62)</f>
        <v>0</v>
      </c>
      <c r="EB62" s="14">
        <f>SUM(CK$5:CK62)</f>
        <v>0</v>
      </c>
      <c r="EC62" s="14">
        <f>SUM(CL$5:CL62)</f>
        <v>0</v>
      </c>
      <c r="ED62" s="14">
        <f>SUM(CM$5:CM62)</f>
        <v>0</v>
      </c>
      <c r="EE62" s="14">
        <f>SUM(CN$5:CN62)</f>
        <v>0</v>
      </c>
      <c r="EF62" s="14">
        <f>SUM(CO$5:CO62)</f>
        <v>0</v>
      </c>
      <c r="EG62" s="14">
        <f>SUM(CP$5:CP62)</f>
        <v>0</v>
      </c>
      <c r="EH62" s="14">
        <f>SUM(CQ$5:CQ62)</f>
        <v>0</v>
      </c>
      <c r="EI62" s="14">
        <f>SUM(CR$5:CR62)</f>
        <v>0</v>
      </c>
      <c r="EJ62" s="14">
        <f>SUM(CS$5:CS62)</f>
        <v>0</v>
      </c>
      <c r="EK62" s="14">
        <f>SUM(CT$5:CT62)</f>
        <v>0</v>
      </c>
      <c r="EL62" s="14">
        <f>SUM(CU$5:CU62)</f>
        <v>0</v>
      </c>
      <c r="EO62" s="87">
        <f t="shared" si="68"/>
        <v>0</v>
      </c>
      <c r="EP62" s="87">
        <f t="shared" si="69"/>
        <v>0</v>
      </c>
      <c r="EQ62" s="87">
        <f t="shared" si="70"/>
        <v>0</v>
      </c>
      <c r="ER62" s="87">
        <f t="shared" si="71"/>
        <v>0</v>
      </c>
      <c r="ES62" s="87">
        <f t="shared" si="72"/>
        <v>0</v>
      </c>
      <c r="ET62" s="87">
        <f t="shared" si="73"/>
        <v>0</v>
      </c>
      <c r="EU62" s="87">
        <f t="shared" si="74"/>
        <v>0</v>
      </c>
      <c r="EV62" s="87">
        <f t="shared" si="75"/>
        <v>0</v>
      </c>
      <c r="EW62" s="87">
        <f t="shared" si="76"/>
        <v>0</v>
      </c>
      <c r="EX62" s="87">
        <f t="shared" si="77"/>
        <v>0</v>
      </c>
      <c r="EY62" s="87">
        <f t="shared" si="78"/>
        <v>0</v>
      </c>
      <c r="EZ62" s="87">
        <f t="shared" si="79"/>
        <v>0</v>
      </c>
      <c r="FA62" s="87">
        <f t="shared" si="80"/>
        <v>0</v>
      </c>
      <c r="FB62" s="87">
        <f t="shared" si="81"/>
        <v>0</v>
      </c>
      <c r="FC62" s="87">
        <f t="shared" si="82"/>
        <v>0</v>
      </c>
      <c r="FD62" s="87">
        <f t="shared" si="83"/>
        <v>0</v>
      </c>
      <c r="FE62" s="87">
        <f t="shared" si="84"/>
        <v>0</v>
      </c>
      <c r="FF62" s="87">
        <f t="shared" si="85"/>
        <v>0</v>
      </c>
      <c r="FG62" s="87">
        <f t="shared" si="86"/>
        <v>0</v>
      </c>
      <c r="FH62" s="87">
        <f t="shared" si="87"/>
        <v>0</v>
      </c>
      <c r="FI62" s="87">
        <f t="shared" si="88"/>
        <v>0</v>
      </c>
      <c r="FJ62" s="87">
        <f t="shared" si="89"/>
        <v>0</v>
      </c>
      <c r="FK62" s="87">
        <f t="shared" si="90"/>
        <v>0</v>
      </c>
      <c r="FL62" s="87">
        <f t="shared" si="91"/>
        <v>0</v>
      </c>
      <c r="FM62" s="87">
        <f t="shared" si="92"/>
        <v>0</v>
      </c>
      <c r="FN62" s="87">
        <f t="shared" si="93"/>
        <v>0</v>
      </c>
      <c r="FO62" s="87">
        <f t="shared" si="94"/>
        <v>0</v>
      </c>
      <c r="FP62" s="87">
        <f t="shared" si="95"/>
        <v>0</v>
      </c>
      <c r="FQ62" s="87">
        <f t="shared" si="96"/>
        <v>0</v>
      </c>
      <c r="FR62" s="87">
        <f t="shared" si="97"/>
        <v>0</v>
      </c>
      <c r="FS62" s="87">
        <f t="shared" si="98"/>
        <v>0</v>
      </c>
      <c r="FT62" s="87">
        <f t="shared" si="99"/>
        <v>0</v>
      </c>
      <c r="FU62" s="87">
        <f t="shared" si="100"/>
        <v>0</v>
      </c>
      <c r="FV62" s="87">
        <f t="shared" si="101"/>
        <v>0</v>
      </c>
      <c r="FW62" s="87">
        <f t="shared" si="102"/>
        <v>0</v>
      </c>
      <c r="FX62" s="87">
        <f t="shared" si="103"/>
        <v>0</v>
      </c>
      <c r="FY62" s="87">
        <f t="shared" si="104"/>
        <v>0</v>
      </c>
      <c r="FZ62" s="87">
        <f t="shared" si="105"/>
        <v>0</v>
      </c>
      <c r="GA62" s="87">
        <f t="shared" si="106"/>
        <v>0</v>
      </c>
      <c r="GB62" s="87">
        <f t="shared" si="107"/>
        <v>0</v>
      </c>
      <c r="GC62" s="87">
        <f t="shared" si="108"/>
        <v>0</v>
      </c>
      <c r="GD62" s="87">
        <f t="shared" si="109"/>
        <v>0</v>
      </c>
    </row>
    <row r="63" spans="41:186" ht="16.5" x14ac:dyDescent="0.2">
      <c r="AO63" s="48">
        <v>5</v>
      </c>
      <c r="AP63" s="86">
        <v>25</v>
      </c>
      <c r="AQ63" s="86">
        <v>3</v>
      </c>
      <c r="AR63" s="48">
        <v>1</v>
      </c>
      <c r="AS63" s="86" t="s">
        <v>683</v>
      </c>
      <c r="AT63" s="21">
        <f t="shared" si="61"/>
        <v>1.7999999999999999E-2</v>
      </c>
      <c r="AU63" s="86">
        <f t="shared" si="5"/>
        <v>1</v>
      </c>
      <c r="AV63" s="86">
        <f t="shared" si="6"/>
        <v>1</v>
      </c>
      <c r="AW63" s="87">
        <f t="shared" si="7"/>
        <v>1.7999999999999999E-2</v>
      </c>
      <c r="AX63" s="86">
        <f t="shared" si="8"/>
        <v>3.78</v>
      </c>
      <c r="BA63" s="86">
        <v>59</v>
      </c>
      <c r="BB63" s="14" t="e">
        <f>INDEX(节奏总表!#REF!,神器!BA63)</f>
        <v>#REF!</v>
      </c>
      <c r="BC63" s="14" t="e">
        <f t="shared" si="9"/>
        <v>#REF!</v>
      </c>
      <c r="BD63" s="14">
        <v>5</v>
      </c>
      <c r="BE63" s="14">
        <v>3</v>
      </c>
      <c r="BF63" s="14">
        <f t="shared" si="60"/>
        <v>0</v>
      </c>
      <c r="BG63" s="14">
        <f t="shared" si="115"/>
        <v>0</v>
      </c>
      <c r="BH63" s="14">
        <f t="shared" si="115"/>
        <v>0</v>
      </c>
      <c r="BI63" s="14">
        <f t="shared" si="115"/>
        <v>0</v>
      </c>
      <c r="BJ63" s="14">
        <f t="shared" si="115"/>
        <v>0</v>
      </c>
      <c r="BK63" s="14">
        <f t="shared" si="115"/>
        <v>0</v>
      </c>
      <c r="BL63" s="14">
        <f t="shared" si="115"/>
        <v>0</v>
      </c>
      <c r="BM63" s="14">
        <f t="shared" si="115"/>
        <v>0</v>
      </c>
      <c r="BN63" s="14">
        <f t="shared" si="115"/>
        <v>0</v>
      </c>
      <c r="BO63" s="14">
        <f t="shared" si="115"/>
        <v>0</v>
      </c>
      <c r="BP63" s="14">
        <f t="shared" si="115"/>
        <v>0</v>
      </c>
      <c r="BQ63" s="14">
        <f t="shared" si="115"/>
        <v>0</v>
      </c>
      <c r="BR63" s="14">
        <f t="shared" si="115"/>
        <v>0</v>
      </c>
      <c r="BS63" s="14">
        <f t="shared" si="115"/>
        <v>0</v>
      </c>
      <c r="BT63" s="14">
        <f t="shared" si="115"/>
        <v>0</v>
      </c>
      <c r="BU63" s="14">
        <f t="shared" si="115"/>
        <v>0</v>
      </c>
      <c r="BV63" s="14">
        <f t="shared" si="115"/>
        <v>0</v>
      </c>
      <c r="BW63" s="14">
        <f t="shared" si="115"/>
        <v>0</v>
      </c>
      <c r="BX63" s="14">
        <f t="shared" si="115"/>
        <v>0</v>
      </c>
      <c r="BY63" s="14">
        <f t="shared" si="115"/>
        <v>0</v>
      </c>
      <c r="BZ63" s="14">
        <f t="shared" si="115"/>
        <v>0</v>
      </c>
      <c r="CA63" s="14">
        <f t="shared" si="115"/>
        <v>0</v>
      </c>
      <c r="CB63" s="14">
        <f t="shared" si="115"/>
        <v>0</v>
      </c>
      <c r="CC63" s="14">
        <f t="shared" si="115"/>
        <v>0</v>
      </c>
      <c r="CD63" s="14">
        <f t="shared" si="115"/>
        <v>0</v>
      </c>
      <c r="CE63" s="14">
        <f t="shared" si="115"/>
        <v>0</v>
      </c>
      <c r="CF63" s="14">
        <f t="shared" si="115"/>
        <v>0</v>
      </c>
      <c r="CG63" s="14">
        <f t="shared" si="115"/>
        <v>0</v>
      </c>
      <c r="CH63" s="14">
        <f t="shared" si="115"/>
        <v>0</v>
      </c>
      <c r="CI63" s="14">
        <f t="shared" si="115"/>
        <v>0</v>
      </c>
      <c r="CJ63" s="14">
        <f t="shared" si="115"/>
        <v>0</v>
      </c>
      <c r="CK63" s="14">
        <f t="shared" si="115"/>
        <v>0</v>
      </c>
      <c r="CL63" s="14">
        <f t="shared" si="115"/>
        <v>0</v>
      </c>
      <c r="CM63" s="14">
        <f t="shared" si="115"/>
        <v>0</v>
      </c>
      <c r="CN63" s="14">
        <f t="shared" si="115"/>
        <v>0</v>
      </c>
      <c r="CO63" s="14">
        <f t="shared" si="115"/>
        <v>0</v>
      </c>
      <c r="CP63" s="14">
        <f t="shared" si="115"/>
        <v>0</v>
      </c>
      <c r="CQ63" s="14">
        <f t="shared" si="115"/>
        <v>0</v>
      </c>
      <c r="CR63" s="14">
        <f t="shared" si="115"/>
        <v>0</v>
      </c>
      <c r="CS63" s="14">
        <f t="shared" si="115"/>
        <v>0</v>
      </c>
      <c r="CT63" s="14">
        <f t="shared" si="115"/>
        <v>0</v>
      </c>
      <c r="CU63" s="14">
        <f t="shared" si="115"/>
        <v>0</v>
      </c>
      <c r="CW63" s="14">
        <f>SUM(BF$5:BF63)</f>
        <v>0</v>
      </c>
      <c r="CX63" s="14">
        <f>SUM(BG$5:BG63)</f>
        <v>0</v>
      </c>
      <c r="CY63" s="14">
        <f>SUM(BH$5:BH63)</f>
        <v>0</v>
      </c>
      <c r="CZ63" s="14">
        <f>SUM(BI$5:BI63)</f>
        <v>0</v>
      </c>
      <c r="DA63" s="14">
        <f>SUM(BJ$5:BJ63)</f>
        <v>0</v>
      </c>
      <c r="DB63" s="14">
        <f>SUM(BK$5:BK63)</f>
        <v>0</v>
      </c>
      <c r="DC63" s="14">
        <f>SUM(BL$5:BL63)</f>
        <v>0</v>
      </c>
      <c r="DD63" s="14">
        <f>SUM(BM$5:BM63)</f>
        <v>0</v>
      </c>
      <c r="DE63" s="14">
        <f>SUM(BN$5:BN63)</f>
        <v>0</v>
      </c>
      <c r="DF63" s="14">
        <f>SUM(BO$5:BO63)</f>
        <v>0</v>
      </c>
      <c r="DG63" s="14">
        <f>SUM(BP$5:BP63)</f>
        <v>0</v>
      </c>
      <c r="DH63" s="14">
        <f>SUM(BQ$5:BQ63)</f>
        <v>0</v>
      </c>
      <c r="DI63" s="14">
        <f>SUM(BR$5:BR63)</f>
        <v>0</v>
      </c>
      <c r="DJ63" s="14">
        <f>SUM(BS$5:BS63)</f>
        <v>0</v>
      </c>
      <c r="DK63" s="14">
        <f>SUM(BT$5:BT63)</f>
        <v>0</v>
      </c>
      <c r="DL63" s="14">
        <f>SUM(BU$5:BU63)</f>
        <v>0</v>
      </c>
      <c r="DM63" s="14">
        <f>SUM(BV$5:BV63)</f>
        <v>0</v>
      </c>
      <c r="DN63" s="14">
        <f>SUM(BW$5:BW63)</f>
        <v>0</v>
      </c>
      <c r="DO63" s="14">
        <f>SUM(BX$5:BX63)</f>
        <v>0</v>
      </c>
      <c r="DP63" s="14">
        <f>SUM(BY$5:BY63)</f>
        <v>0</v>
      </c>
      <c r="DQ63" s="14">
        <f>SUM(BZ$5:BZ63)</f>
        <v>0</v>
      </c>
      <c r="DR63" s="14">
        <f>SUM(CA$5:CA63)</f>
        <v>0</v>
      </c>
      <c r="DS63" s="14">
        <f>SUM(CB$5:CB63)</f>
        <v>0</v>
      </c>
      <c r="DT63" s="14">
        <f>SUM(CC$5:CC63)</f>
        <v>0</v>
      </c>
      <c r="DU63" s="14">
        <f>SUM(CD$5:CD63)</f>
        <v>0</v>
      </c>
      <c r="DV63" s="14">
        <f>SUM(CE$5:CE63)</f>
        <v>0</v>
      </c>
      <c r="DW63" s="14">
        <f>SUM(CF$5:CF63)</f>
        <v>0</v>
      </c>
      <c r="DX63" s="14">
        <f>SUM(CG$5:CG63)</f>
        <v>0</v>
      </c>
      <c r="DY63" s="14">
        <f>SUM(CH$5:CH63)</f>
        <v>0</v>
      </c>
      <c r="DZ63" s="14">
        <f>SUM(CI$5:CI63)</f>
        <v>0</v>
      </c>
      <c r="EA63" s="14">
        <f>SUM(CJ$5:CJ63)</f>
        <v>0</v>
      </c>
      <c r="EB63" s="14">
        <f>SUM(CK$5:CK63)</f>
        <v>0</v>
      </c>
      <c r="EC63" s="14">
        <f>SUM(CL$5:CL63)</f>
        <v>0</v>
      </c>
      <c r="ED63" s="14">
        <f>SUM(CM$5:CM63)</f>
        <v>0</v>
      </c>
      <c r="EE63" s="14">
        <f>SUM(CN$5:CN63)</f>
        <v>0</v>
      </c>
      <c r="EF63" s="14">
        <f>SUM(CO$5:CO63)</f>
        <v>0</v>
      </c>
      <c r="EG63" s="14">
        <f>SUM(CP$5:CP63)</f>
        <v>0</v>
      </c>
      <c r="EH63" s="14">
        <f>SUM(CQ$5:CQ63)</f>
        <v>0</v>
      </c>
      <c r="EI63" s="14">
        <f>SUM(CR$5:CR63)</f>
        <v>0</v>
      </c>
      <c r="EJ63" s="14">
        <f>SUM(CS$5:CS63)</f>
        <v>0</v>
      </c>
      <c r="EK63" s="14">
        <f>SUM(CT$5:CT63)</f>
        <v>0</v>
      </c>
      <c r="EL63" s="14">
        <f>SUM(CU$5:CU63)</f>
        <v>0</v>
      </c>
      <c r="EO63" s="87">
        <f t="shared" si="68"/>
        <v>0</v>
      </c>
      <c r="EP63" s="87">
        <f t="shared" ref="EP63:EP64" si="116">MATCH(CX63,$AD$5:$AD$26,1)-1</f>
        <v>0</v>
      </c>
      <c r="EQ63" s="87">
        <f t="shared" ref="EQ63:EQ64" si="117">MATCH(CY63,$AD$5:$AD$26,1)-1</f>
        <v>0</v>
      </c>
      <c r="ER63" s="87">
        <f t="shared" ref="ER63:ER64" si="118">MATCH(CZ63,$AD$5:$AD$26,1)-1</f>
        <v>0</v>
      </c>
      <c r="ES63" s="87">
        <f t="shared" ref="ES63:ES64" si="119">MATCH(DA63,$AD$5:$AD$26,1)-1</f>
        <v>0</v>
      </c>
      <c r="ET63" s="87">
        <f t="shared" ref="ET63:ET64" si="120">MATCH(DB63,$AD$5:$AD$26,1)-1</f>
        <v>0</v>
      </c>
      <c r="EU63" s="87">
        <f t="shared" ref="EU63:EU64" si="121">MATCH(DC63,$AD$5:$AD$26,1)-1</f>
        <v>0</v>
      </c>
      <c r="EV63" s="87">
        <f t="shared" ref="EV63:EV64" si="122">MATCH(DD63,$AD$5:$AD$26,1)-1</f>
        <v>0</v>
      </c>
      <c r="EW63" s="87">
        <f t="shared" ref="EW63:EW64" si="123">MATCH(DE63,$AD$5:$AD$26,1)-1</f>
        <v>0</v>
      </c>
      <c r="EX63" s="87">
        <f t="shared" ref="EX63:EX64" si="124">MATCH(DF63,$AD$5:$AD$26,1)-1</f>
        <v>0</v>
      </c>
      <c r="EY63" s="87">
        <f t="shared" ref="EY63:EY64" si="125">MATCH(DG63,$AD$5:$AD$26,1)-1</f>
        <v>0</v>
      </c>
      <c r="EZ63" s="87">
        <f t="shared" ref="EZ63:EZ64" si="126">MATCH(DH63,$AD$5:$AD$26,1)-1</f>
        <v>0</v>
      </c>
      <c r="FA63" s="87">
        <f t="shared" ref="FA63:FA64" si="127">MATCH(DI63,$AD$5:$AD$26,1)-1</f>
        <v>0</v>
      </c>
      <c r="FB63" s="87">
        <f t="shared" ref="FB63:FB64" si="128">MATCH(DJ63,$AD$5:$AD$26,1)-1</f>
        <v>0</v>
      </c>
      <c r="FC63" s="87">
        <f t="shared" ref="FC63:FC64" si="129">MATCH(DK63,$AD$5:$AD$26,1)-1</f>
        <v>0</v>
      </c>
      <c r="FD63" s="87">
        <f t="shared" ref="FD63:FD64" si="130">MATCH(DL63,$AD$5:$AD$26,1)-1</f>
        <v>0</v>
      </c>
      <c r="FE63" s="87">
        <f t="shared" ref="FE63:FE64" si="131">MATCH(DM63,$AD$5:$AD$26,1)-1</f>
        <v>0</v>
      </c>
      <c r="FF63" s="87">
        <f t="shared" ref="FF63:FF64" si="132">MATCH(DN63,$AD$5:$AD$26,1)-1</f>
        <v>0</v>
      </c>
      <c r="FG63" s="87">
        <f t="shared" ref="FG63:FG64" si="133">MATCH(DO63,$AD$5:$AD$26,1)-1</f>
        <v>0</v>
      </c>
      <c r="FH63" s="87">
        <f t="shared" ref="FH63:FH64" si="134">MATCH(DP63,$AD$5:$AD$26,1)-1</f>
        <v>0</v>
      </c>
      <c r="FI63" s="87">
        <f t="shared" ref="FI63:FI64" si="135">MATCH(DQ63,$AD$5:$AD$26,1)-1</f>
        <v>0</v>
      </c>
      <c r="FJ63" s="87">
        <f t="shared" ref="FJ63:FJ64" si="136">MATCH(DR63,$AD$5:$AD$26,1)-1</f>
        <v>0</v>
      </c>
      <c r="FK63" s="87">
        <f t="shared" ref="FK63:FK64" si="137">MATCH(DS63,$AD$5:$AD$26,1)-1</f>
        <v>0</v>
      </c>
      <c r="FL63" s="87">
        <f t="shared" ref="FL63:FL64" si="138">MATCH(DT63,$AD$5:$AD$26,1)-1</f>
        <v>0</v>
      </c>
      <c r="FM63" s="87">
        <f t="shared" ref="FM63:FM64" si="139">MATCH(DU63,$AD$5:$AD$26,1)-1</f>
        <v>0</v>
      </c>
      <c r="FN63" s="87">
        <f t="shared" ref="FN63:FN64" si="140">MATCH(DV63,$AD$5:$AD$26,1)-1</f>
        <v>0</v>
      </c>
      <c r="FO63" s="87">
        <f t="shared" ref="FO63:FO64" si="141">MATCH(DW63,$AD$5:$AD$26,1)-1</f>
        <v>0</v>
      </c>
      <c r="FP63" s="87">
        <f t="shared" ref="FP63:FP64" si="142">MATCH(DX63,$AD$5:$AD$26,1)-1</f>
        <v>0</v>
      </c>
      <c r="FQ63" s="87">
        <f t="shared" ref="FQ63:FQ64" si="143">MATCH(DY63,$AD$5:$AD$26,1)-1</f>
        <v>0</v>
      </c>
      <c r="FR63" s="87">
        <f t="shared" ref="FR63:FR64" si="144">MATCH(DZ63,$AD$5:$AD$26,1)-1</f>
        <v>0</v>
      </c>
      <c r="FS63" s="87">
        <f t="shared" ref="FS63:FS64" si="145">MATCH(EA63,$AD$5:$AD$26,1)-1</f>
        <v>0</v>
      </c>
      <c r="FT63" s="87">
        <f t="shared" ref="FT63:FT64" si="146">MATCH(EB63,$AD$5:$AD$26,1)-1</f>
        <v>0</v>
      </c>
      <c r="FU63" s="87">
        <f t="shared" ref="FU63:FU64" si="147">MATCH(EC63,$AD$5:$AD$26,1)-1</f>
        <v>0</v>
      </c>
      <c r="FV63" s="87">
        <f t="shared" ref="FV63:FV64" si="148">MATCH(ED63,$AD$5:$AD$26,1)-1</f>
        <v>0</v>
      </c>
      <c r="FW63" s="87">
        <f t="shared" ref="FW63:FW64" si="149">MATCH(EE63,$AD$5:$AD$26,1)-1</f>
        <v>0</v>
      </c>
      <c r="FX63" s="87">
        <f t="shared" ref="FX63:FX64" si="150">MATCH(EF63,$AD$5:$AD$26,1)-1</f>
        <v>0</v>
      </c>
      <c r="FY63" s="87">
        <f t="shared" ref="FY63:FY64" si="151">MATCH(EG63,$AD$5:$AD$26,1)-1</f>
        <v>0</v>
      </c>
      <c r="FZ63" s="87">
        <f t="shared" ref="FZ63:FZ64" si="152">MATCH(EH63,$AD$5:$AD$26,1)-1</f>
        <v>0</v>
      </c>
      <c r="GA63" s="87">
        <f t="shared" ref="GA63:GA64" si="153">MATCH(EI63,$AD$5:$AD$26,1)-1</f>
        <v>0</v>
      </c>
      <c r="GB63" s="87">
        <f t="shared" ref="GB63:GB64" si="154">MATCH(EJ63,$AD$5:$AD$26,1)-1</f>
        <v>0</v>
      </c>
      <c r="GC63" s="87">
        <f t="shared" ref="GC63:GC64" si="155">MATCH(EK63,$AD$5:$AD$26,1)-1</f>
        <v>0</v>
      </c>
      <c r="GD63" s="87">
        <f t="shared" ref="GD63:GD64" si="156">MATCH(EL63,$AD$5:$AD$26,1)-1</f>
        <v>0</v>
      </c>
    </row>
    <row r="64" spans="41:186" ht="16.5" x14ac:dyDescent="0.2">
      <c r="AO64" s="48">
        <v>5</v>
      </c>
      <c r="AP64" s="86">
        <v>26</v>
      </c>
      <c r="AQ64" s="86">
        <v>3</v>
      </c>
      <c r="AR64" s="48">
        <v>1</v>
      </c>
      <c r="AS64" s="86" t="s">
        <v>684</v>
      </c>
      <c r="AT64" s="21">
        <f t="shared" si="61"/>
        <v>8.9999999999999993E-3</v>
      </c>
      <c r="AU64" s="86">
        <f t="shared" si="5"/>
        <v>1</v>
      </c>
      <c r="AV64" s="86">
        <f t="shared" si="6"/>
        <v>1</v>
      </c>
      <c r="AW64" s="87">
        <f t="shared" si="7"/>
        <v>8.9999999999999993E-3</v>
      </c>
      <c r="AX64" s="86">
        <f t="shared" si="8"/>
        <v>4.05</v>
      </c>
      <c r="BA64" s="86">
        <v>60</v>
      </c>
      <c r="BB64" s="14" t="e">
        <f>INDEX(节奏总表!#REF!,神器!BA64)</f>
        <v>#REF!</v>
      </c>
      <c r="BC64" s="14" t="e">
        <f t="shared" si="9"/>
        <v>#REF!</v>
      </c>
      <c r="BD64" s="14">
        <v>5</v>
      </c>
      <c r="BE64" s="14">
        <v>3</v>
      </c>
      <c r="BF64" s="14">
        <f t="shared" si="60"/>
        <v>0</v>
      </c>
      <c r="BG64" s="14">
        <f t="shared" si="115"/>
        <v>0</v>
      </c>
      <c r="BH64" s="14">
        <f t="shared" si="115"/>
        <v>0</v>
      </c>
      <c r="BI64" s="14">
        <f t="shared" si="115"/>
        <v>0</v>
      </c>
      <c r="BJ64" s="14">
        <f t="shared" si="115"/>
        <v>0</v>
      </c>
      <c r="BK64" s="14">
        <f t="shared" si="115"/>
        <v>0</v>
      </c>
      <c r="BL64" s="14">
        <f t="shared" si="115"/>
        <v>0</v>
      </c>
      <c r="BM64" s="14">
        <f t="shared" si="115"/>
        <v>0</v>
      </c>
      <c r="BN64" s="14">
        <f t="shared" si="115"/>
        <v>0</v>
      </c>
      <c r="BO64" s="14">
        <f t="shared" si="115"/>
        <v>0</v>
      </c>
      <c r="BP64" s="14">
        <f t="shared" si="115"/>
        <v>0</v>
      </c>
      <c r="BQ64" s="14">
        <f t="shared" si="115"/>
        <v>0</v>
      </c>
      <c r="BR64" s="14">
        <f t="shared" si="115"/>
        <v>0</v>
      </c>
      <c r="BS64" s="14">
        <f t="shared" si="115"/>
        <v>0</v>
      </c>
      <c r="BT64" s="14">
        <f t="shared" si="115"/>
        <v>0</v>
      </c>
      <c r="BU64" s="14">
        <f t="shared" si="115"/>
        <v>0</v>
      </c>
      <c r="BV64" s="14">
        <f t="shared" si="115"/>
        <v>0</v>
      </c>
      <c r="BW64" s="14">
        <f t="shared" si="115"/>
        <v>0</v>
      </c>
      <c r="BX64" s="14">
        <f t="shared" si="115"/>
        <v>0</v>
      </c>
      <c r="BY64" s="14">
        <f t="shared" si="115"/>
        <v>0</v>
      </c>
      <c r="BZ64" s="14">
        <f t="shared" si="115"/>
        <v>0</v>
      </c>
      <c r="CA64" s="14">
        <f t="shared" si="115"/>
        <v>0</v>
      </c>
      <c r="CB64" s="14">
        <f t="shared" si="115"/>
        <v>0</v>
      </c>
      <c r="CC64" s="14">
        <f t="shared" si="115"/>
        <v>0</v>
      </c>
      <c r="CD64" s="14">
        <f t="shared" si="115"/>
        <v>0</v>
      </c>
      <c r="CE64" s="14">
        <f t="shared" si="115"/>
        <v>0</v>
      </c>
      <c r="CF64" s="14">
        <f t="shared" si="115"/>
        <v>0</v>
      </c>
      <c r="CG64" s="14">
        <f t="shared" si="115"/>
        <v>0</v>
      </c>
      <c r="CH64" s="14">
        <f t="shared" si="115"/>
        <v>0</v>
      </c>
      <c r="CI64" s="14">
        <f t="shared" si="115"/>
        <v>0</v>
      </c>
      <c r="CJ64" s="14">
        <f t="shared" si="115"/>
        <v>0</v>
      </c>
      <c r="CK64" s="14">
        <f t="shared" si="115"/>
        <v>0</v>
      </c>
      <c r="CL64" s="14">
        <f t="shared" si="115"/>
        <v>0</v>
      </c>
      <c r="CM64" s="14">
        <f t="shared" si="115"/>
        <v>0</v>
      </c>
      <c r="CN64" s="14">
        <f t="shared" si="115"/>
        <v>0</v>
      </c>
      <c r="CO64" s="14">
        <f t="shared" si="115"/>
        <v>0</v>
      </c>
      <c r="CP64" s="14">
        <f t="shared" si="115"/>
        <v>0</v>
      </c>
      <c r="CQ64" s="14">
        <f t="shared" si="115"/>
        <v>0</v>
      </c>
      <c r="CR64" s="14">
        <f t="shared" si="115"/>
        <v>0</v>
      </c>
      <c r="CS64" s="14">
        <f t="shared" si="115"/>
        <v>0</v>
      </c>
      <c r="CT64" s="14">
        <f t="shared" si="115"/>
        <v>0</v>
      </c>
      <c r="CU64" s="14">
        <f t="shared" si="115"/>
        <v>0</v>
      </c>
      <c r="CW64" s="14">
        <f>SUM(BF$5:BF64)</f>
        <v>0</v>
      </c>
      <c r="CX64" s="14">
        <f>SUM(BG$5:BG64)</f>
        <v>0</v>
      </c>
      <c r="CY64" s="14">
        <f>SUM(BH$5:BH64)</f>
        <v>0</v>
      </c>
      <c r="CZ64" s="14">
        <f>SUM(BI$5:BI64)</f>
        <v>0</v>
      </c>
      <c r="DA64" s="14">
        <f>SUM(BJ$5:BJ64)</f>
        <v>0</v>
      </c>
      <c r="DB64" s="14">
        <f>SUM(BK$5:BK64)</f>
        <v>0</v>
      </c>
      <c r="DC64" s="14">
        <f>SUM(BL$5:BL64)</f>
        <v>0</v>
      </c>
      <c r="DD64" s="14">
        <f>SUM(BM$5:BM64)</f>
        <v>0</v>
      </c>
      <c r="DE64" s="14">
        <f>SUM(BN$5:BN64)</f>
        <v>0</v>
      </c>
      <c r="DF64" s="14">
        <f>SUM(BO$5:BO64)</f>
        <v>0</v>
      </c>
      <c r="DG64" s="14">
        <f>SUM(BP$5:BP64)</f>
        <v>0</v>
      </c>
      <c r="DH64" s="14">
        <f>SUM(BQ$5:BQ64)</f>
        <v>0</v>
      </c>
      <c r="DI64" s="14">
        <f>SUM(BR$5:BR64)</f>
        <v>0</v>
      </c>
      <c r="DJ64" s="14">
        <f>SUM(BS$5:BS64)</f>
        <v>0</v>
      </c>
      <c r="DK64" s="14">
        <f>SUM(BT$5:BT64)</f>
        <v>0</v>
      </c>
      <c r="DL64" s="14">
        <f>SUM(BU$5:BU64)</f>
        <v>0</v>
      </c>
      <c r="DM64" s="14">
        <f>SUM(BV$5:BV64)</f>
        <v>0</v>
      </c>
      <c r="DN64" s="14">
        <f>SUM(BW$5:BW64)</f>
        <v>0</v>
      </c>
      <c r="DO64" s="14">
        <f>SUM(BX$5:BX64)</f>
        <v>0</v>
      </c>
      <c r="DP64" s="14">
        <f>SUM(BY$5:BY64)</f>
        <v>0</v>
      </c>
      <c r="DQ64" s="14">
        <f>SUM(BZ$5:BZ64)</f>
        <v>0</v>
      </c>
      <c r="DR64" s="14">
        <f>SUM(CA$5:CA64)</f>
        <v>0</v>
      </c>
      <c r="DS64" s="14">
        <f>SUM(CB$5:CB64)</f>
        <v>0</v>
      </c>
      <c r="DT64" s="14">
        <f>SUM(CC$5:CC64)</f>
        <v>0</v>
      </c>
      <c r="DU64" s="14">
        <f>SUM(CD$5:CD64)</f>
        <v>0</v>
      </c>
      <c r="DV64" s="14">
        <f>SUM(CE$5:CE64)</f>
        <v>0</v>
      </c>
      <c r="DW64" s="14">
        <f>SUM(CF$5:CF64)</f>
        <v>0</v>
      </c>
      <c r="DX64" s="14">
        <f>SUM(CG$5:CG64)</f>
        <v>0</v>
      </c>
      <c r="DY64" s="14">
        <f>SUM(CH$5:CH64)</f>
        <v>0</v>
      </c>
      <c r="DZ64" s="14">
        <f>SUM(CI$5:CI64)</f>
        <v>0</v>
      </c>
      <c r="EA64" s="14">
        <f>SUM(CJ$5:CJ64)</f>
        <v>0</v>
      </c>
      <c r="EB64" s="14">
        <f>SUM(CK$5:CK64)</f>
        <v>0</v>
      </c>
      <c r="EC64" s="14">
        <f>SUM(CL$5:CL64)</f>
        <v>0</v>
      </c>
      <c r="ED64" s="14">
        <f>SUM(CM$5:CM64)</f>
        <v>0</v>
      </c>
      <c r="EE64" s="14">
        <f>SUM(CN$5:CN64)</f>
        <v>0</v>
      </c>
      <c r="EF64" s="14">
        <f>SUM(CO$5:CO64)</f>
        <v>0</v>
      </c>
      <c r="EG64" s="14">
        <f>SUM(CP$5:CP64)</f>
        <v>0</v>
      </c>
      <c r="EH64" s="14">
        <f>SUM(CQ$5:CQ64)</f>
        <v>0</v>
      </c>
      <c r="EI64" s="14">
        <f>SUM(CR$5:CR64)</f>
        <v>0</v>
      </c>
      <c r="EJ64" s="14">
        <f>SUM(CS$5:CS64)</f>
        <v>0</v>
      </c>
      <c r="EK64" s="14">
        <f>SUM(CT$5:CT64)</f>
        <v>0</v>
      </c>
      <c r="EL64" s="14">
        <f>SUM(CU$5:CU64)</f>
        <v>0</v>
      </c>
      <c r="EO64" s="87">
        <f t="shared" si="68"/>
        <v>0</v>
      </c>
      <c r="EP64" s="87">
        <f t="shared" si="116"/>
        <v>0</v>
      </c>
      <c r="EQ64" s="87">
        <f t="shared" si="117"/>
        <v>0</v>
      </c>
      <c r="ER64" s="87">
        <f t="shared" si="118"/>
        <v>0</v>
      </c>
      <c r="ES64" s="87">
        <f t="shared" si="119"/>
        <v>0</v>
      </c>
      <c r="ET64" s="87">
        <f t="shared" si="120"/>
        <v>0</v>
      </c>
      <c r="EU64" s="87">
        <f t="shared" si="121"/>
        <v>0</v>
      </c>
      <c r="EV64" s="87">
        <f t="shared" si="122"/>
        <v>0</v>
      </c>
      <c r="EW64" s="87">
        <f t="shared" si="123"/>
        <v>0</v>
      </c>
      <c r="EX64" s="87">
        <f t="shared" si="124"/>
        <v>0</v>
      </c>
      <c r="EY64" s="87">
        <f t="shared" si="125"/>
        <v>0</v>
      </c>
      <c r="EZ64" s="87">
        <f t="shared" si="126"/>
        <v>0</v>
      </c>
      <c r="FA64" s="87">
        <f t="shared" si="127"/>
        <v>0</v>
      </c>
      <c r="FB64" s="87">
        <f t="shared" si="128"/>
        <v>0</v>
      </c>
      <c r="FC64" s="87">
        <f t="shared" si="129"/>
        <v>0</v>
      </c>
      <c r="FD64" s="87">
        <f t="shared" si="130"/>
        <v>0</v>
      </c>
      <c r="FE64" s="87">
        <f t="shared" si="131"/>
        <v>0</v>
      </c>
      <c r="FF64" s="87">
        <f t="shared" si="132"/>
        <v>0</v>
      </c>
      <c r="FG64" s="87">
        <f t="shared" si="133"/>
        <v>0</v>
      </c>
      <c r="FH64" s="87">
        <f t="shared" si="134"/>
        <v>0</v>
      </c>
      <c r="FI64" s="87">
        <f t="shared" si="135"/>
        <v>0</v>
      </c>
      <c r="FJ64" s="87">
        <f t="shared" si="136"/>
        <v>0</v>
      </c>
      <c r="FK64" s="87">
        <f t="shared" si="137"/>
        <v>0</v>
      </c>
      <c r="FL64" s="87">
        <f t="shared" si="138"/>
        <v>0</v>
      </c>
      <c r="FM64" s="87">
        <f t="shared" si="139"/>
        <v>0</v>
      </c>
      <c r="FN64" s="87">
        <f t="shared" si="140"/>
        <v>0</v>
      </c>
      <c r="FO64" s="87">
        <f t="shared" si="141"/>
        <v>0</v>
      </c>
      <c r="FP64" s="87">
        <f t="shared" si="142"/>
        <v>0</v>
      </c>
      <c r="FQ64" s="87">
        <f t="shared" si="143"/>
        <v>0</v>
      </c>
      <c r="FR64" s="87">
        <f t="shared" si="144"/>
        <v>0</v>
      </c>
      <c r="FS64" s="87">
        <f t="shared" si="145"/>
        <v>0</v>
      </c>
      <c r="FT64" s="87">
        <f t="shared" si="146"/>
        <v>0</v>
      </c>
      <c r="FU64" s="87">
        <f t="shared" si="147"/>
        <v>0</v>
      </c>
      <c r="FV64" s="87">
        <f t="shared" si="148"/>
        <v>0</v>
      </c>
      <c r="FW64" s="87">
        <f t="shared" si="149"/>
        <v>0</v>
      </c>
      <c r="FX64" s="87">
        <f t="shared" si="150"/>
        <v>0</v>
      </c>
      <c r="FY64" s="87">
        <f t="shared" si="151"/>
        <v>0</v>
      </c>
      <c r="FZ64" s="87">
        <f t="shared" si="152"/>
        <v>0</v>
      </c>
      <c r="GA64" s="87">
        <f t="shared" si="153"/>
        <v>0</v>
      </c>
      <c r="GB64" s="87">
        <f t="shared" si="154"/>
        <v>0</v>
      </c>
      <c r="GC64" s="87">
        <f t="shared" si="155"/>
        <v>0</v>
      </c>
      <c r="GD64" s="87">
        <f t="shared" si="156"/>
        <v>0</v>
      </c>
    </row>
    <row r="65" spans="41:57" ht="16.5" x14ac:dyDescent="0.2">
      <c r="AO65" s="48">
        <v>6</v>
      </c>
      <c r="AP65" s="86">
        <v>15</v>
      </c>
      <c r="AQ65" s="86">
        <v>1</v>
      </c>
      <c r="AR65" s="48">
        <v>3</v>
      </c>
      <c r="AS65" s="86" t="s">
        <v>335</v>
      </c>
      <c r="AT65" s="21">
        <f t="shared" si="61"/>
        <v>0.13750000000000001</v>
      </c>
      <c r="AU65" s="86">
        <f t="shared" si="5"/>
        <v>3</v>
      </c>
      <c r="AV65" s="86">
        <f t="shared" si="6"/>
        <v>5</v>
      </c>
      <c r="AW65" s="87">
        <f t="shared" si="7"/>
        <v>0.55000000000000004</v>
      </c>
      <c r="AX65" s="86">
        <f t="shared" si="8"/>
        <v>13.750000000000002</v>
      </c>
      <c r="BE65" s="14">
        <v>3</v>
      </c>
    </row>
    <row r="66" spans="41:57" ht="16.5" x14ac:dyDescent="0.2">
      <c r="AO66" s="48">
        <v>6</v>
      </c>
      <c r="AP66" s="86">
        <v>16</v>
      </c>
      <c r="AQ66" s="86">
        <v>1</v>
      </c>
      <c r="AR66" s="48">
        <v>3</v>
      </c>
      <c r="AS66" s="86" t="s">
        <v>336</v>
      </c>
      <c r="AT66" s="21">
        <f t="shared" si="61"/>
        <v>0.13750000000000001</v>
      </c>
      <c r="AU66" s="86">
        <f t="shared" si="5"/>
        <v>3</v>
      </c>
      <c r="AV66" s="86">
        <f t="shared" si="6"/>
        <v>5</v>
      </c>
      <c r="AW66" s="87">
        <f t="shared" si="7"/>
        <v>0.55000000000000004</v>
      </c>
      <c r="AX66" s="86">
        <f t="shared" si="8"/>
        <v>13.750000000000002</v>
      </c>
      <c r="BE66" s="14">
        <v>3</v>
      </c>
    </row>
    <row r="67" spans="41:57" ht="16.5" x14ac:dyDescent="0.2">
      <c r="AO67" s="48">
        <v>6</v>
      </c>
      <c r="AP67" s="86">
        <v>17</v>
      </c>
      <c r="AQ67" s="86">
        <v>1</v>
      </c>
      <c r="AR67" s="48">
        <v>3</v>
      </c>
      <c r="AS67" s="86" t="s">
        <v>337</v>
      </c>
      <c r="AT67" s="21">
        <f t="shared" si="61"/>
        <v>8.8000000000000009E-2</v>
      </c>
      <c r="AU67" s="86">
        <f t="shared" si="5"/>
        <v>2</v>
      </c>
      <c r="AV67" s="86">
        <f t="shared" si="6"/>
        <v>4</v>
      </c>
      <c r="AW67" s="87">
        <f t="shared" si="7"/>
        <v>0.26400000000000001</v>
      </c>
      <c r="AX67" s="86">
        <f t="shared" si="8"/>
        <v>19.8</v>
      </c>
      <c r="BE67" s="14">
        <v>3</v>
      </c>
    </row>
    <row r="68" spans="41:57" ht="16.5" x14ac:dyDescent="0.2">
      <c r="AO68" s="48">
        <v>6</v>
      </c>
      <c r="AP68" s="86">
        <v>18</v>
      </c>
      <c r="AQ68" s="86">
        <v>1</v>
      </c>
      <c r="AR68" s="48">
        <v>3</v>
      </c>
      <c r="AS68" s="86" t="s">
        <v>338</v>
      </c>
      <c r="AT68" s="21">
        <f t="shared" si="61"/>
        <v>8.8000000000000009E-2</v>
      </c>
      <c r="AU68" s="86">
        <f t="shared" si="5"/>
        <v>2</v>
      </c>
      <c r="AV68" s="86">
        <f t="shared" si="6"/>
        <v>4</v>
      </c>
      <c r="AW68" s="87">
        <f t="shared" si="7"/>
        <v>0.26400000000000001</v>
      </c>
      <c r="AX68" s="86">
        <f t="shared" si="8"/>
        <v>19.8</v>
      </c>
      <c r="BE68" s="14">
        <v>3</v>
      </c>
    </row>
    <row r="69" spans="41:57" ht="16.5" x14ac:dyDescent="0.2">
      <c r="AO69" s="48">
        <v>6</v>
      </c>
      <c r="AP69" s="86">
        <v>19</v>
      </c>
      <c r="AQ69" s="86">
        <v>1</v>
      </c>
      <c r="AR69" s="48">
        <v>3</v>
      </c>
      <c r="AS69" s="86" t="s">
        <v>339</v>
      </c>
      <c r="AT69" s="21">
        <f t="shared" ref="AT69:AT100" si="157">INDEX($AJ$6:$AL$13,AO69,AQ69)*INDEX($Q$5:$Y$46,AP69,(AR69-1)*3+1)</f>
        <v>6.6000000000000003E-2</v>
      </c>
      <c r="AU69" s="86">
        <f t="shared" si="5"/>
        <v>1</v>
      </c>
      <c r="AV69" s="86">
        <f t="shared" si="6"/>
        <v>3</v>
      </c>
      <c r="AW69" s="87">
        <f t="shared" si="7"/>
        <v>0.13200000000000001</v>
      </c>
      <c r="AX69" s="86">
        <f t="shared" si="8"/>
        <v>23.1</v>
      </c>
      <c r="BE69" s="14">
        <v>3</v>
      </c>
    </row>
    <row r="70" spans="41:57" ht="16.5" x14ac:dyDescent="0.2">
      <c r="AO70" s="48">
        <v>6</v>
      </c>
      <c r="AP70" s="86">
        <v>20</v>
      </c>
      <c r="AQ70" s="86">
        <v>1</v>
      </c>
      <c r="AR70" s="48">
        <v>3</v>
      </c>
      <c r="AS70" s="86" t="s">
        <v>340</v>
      </c>
      <c r="AT70" s="21">
        <f t="shared" si="157"/>
        <v>3.3000000000000002E-2</v>
      </c>
      <c r="AU70" s="86">
        <f t="shared" ref="AU70:AU122" si="158">INDEX($Q$5:$Y$46,AP70,(AR70-1)*3+2)</f>
        <v>1</v>
      </c>
      <c r="AV70" s="86">
        <f t="shared" ref="AV70:AV122" si="159">INDEX($Q$5:$Y$46,AP70,(AR70-1)*3+3)</f>
        <v>3</v>
      </c>
      <c r="AW70" s="87">
        <f t="shared" ref="AW70:AW122" si="160">AT70*(AU70+AV70)/2</f>
        <v>6.6000000000000003E-2</v>
      </c>
      <c r="AX70" s="86">
        <f t="shared" ref="AX70:AX122" si="161">INDEX($P$5:$P$46,AP70)*AT70*(AU70+AV70)/2</f>
        <v>24.75</v>
      </c>
      <c r="BE70" s="14">
        <v>3</v>
      </c>
    </row>
    <row r="71" spans="41:57" ht="16.5" x14ac:dyDescent="0.2">
      <c r="AO71" s="48">
        <v>6</v>
      </c>
      <c r="AP71" s="86">
        <v>21</v>
      </c>
      <c r="AQ71" s="86">
        <v>2</v>
      </c>
      <c r="AR71" s="48">
        <v>2</v>
      </c>
      <c r="AS71" s="86" t="s">
        <v>679</v>
      </c>
      <c r="AT71" s="21">
        <f t="shared" si="157"/>
        <v>7.4999999999999997E-2</v>
      </c>
      <c r="AU71" s="86">
        <f t="shared" si="158"/>
        <v>2</v>
      </c>
      <c r="AV71" s="86">
        <f t="shared" si="159"/>
        <v>4</v>
      </c>
      <c r="AW71" s="87">
        <f t="shared" si="160"/>
        <v>0.22499999999999998</v>
      </c>
      <c r="AX71" s="86">
        <f t="shared" si="161"/>
        <v>6.75</v>
      </c>
      <c r="BE71" s="14">
        <v>3</v>
      </c>
    </row>
    <row r="72" spans="41:57" ht="16.5" x14ac:dyDescent="0.2">
      <c r="AO72" s="48">
        <v>6</v>
      </c>
      <c r="AP72" s="86">
        <v>22</v>
      </c>
      <c r="AQ72" s="86">
        <v>2</v>
      </c>
      <c r="AR72" s="48">
        <v>2</v>
      </c>
      <c r="AS72" s="86" t="s">
        <v>680</v>
      </c>
      <c r="AT72" s="21">
        <f t="shared" si="157"/>
        <v>7.4999999999999997E-2</v>
      </c>
      <c r="AU72" s="86">
        <f t="shared" si="158"/>
        <v>2</v>
      </c>
      <c r="AV72" s="86">
        <f t="shared" si="159"/>
        <v>4</v>
      </c>
      <c r="AW72" s="87">
        <f t="shared" si="160"/>
        <v>0.22499999999999998</v>
      </c>
      <c r="AX72" s="86">
        <f t="shared" si="161"/>
        <v>6.75</v>
      </c>
      <c r="BE72" s="14">
        <v>3</v>
      </c>
    </row>
    <row r="73" spans="41:57" ht="16.5" x14ac:dyDescent="0.2">
      <c r="AO73" s="48">
        <v>6</v>
      </c>
      <c r="AP73" s="86">
        <v>23</v>
      </c>
      <c r="AQ73" s="86">
        <v>2</v>
      </c>
      <c r="AR73" s="48">
        <v>2</v>
      </c>
      <c r="AS73" s="86" t="s">
        <v>681</v>
      </c>
      <c r="AT73" s="21">
        <f t="shared" si="157"/>
        <v>4.8000000000000001E-2</v>
      </c>
      <c r="AU73" s="86">
        <f t="shared" si="158"/>
        <v>1</v>
      </c>
      <c r="AV73" s="86">
        <f t="shared" si="159"/>
        <v>3</v>
      </c>
      <c r="AW73" s="87">
        <f t="shared" si="160"/>
        <v>9.6000000000000002E-2</v>
      </c>
      <c r="AX73" s="86">
        <f t="shared" si="161"/>
        <v>8.64</v>
      </c>
      <c r="BE73" s="14">
        <v>3</v>
      </c>
    </row>
    <row r="74" spans="41:57" ht="16.5" x14ac:dyDescent="0.2">
      <c r="AO74" s="48">
        <v>6</v>
      </c>
      <c r="AP74" s="86">
        <v>24</v>
      </c>
      <c r="AQ74" s="86">
        <v>2</v>
      </c>
      <c r="AR74" s="48">
        <v>2</v>
      </c>
      <c r="AS74" s="86" t="s">
        <v>682</v>
      </c>
      <c r="AT74" s="21">
        <f t="shared" si="157"/>
        <v>4.8000000000000001E-2</v>
      </c>
      <c r="AU74" s="86">
        <f t="shared" si="158"/>
        <v>1</v>
      </c>
      <c r="AV74" s="86">
        <f t="shared" si="159"/>
        <v>3</v>
      </c>
      <c r="AW74" s="87">
        <f t="shared" si="160"/>
        <v>9.6000000000000002E-2</v>
      </c>
      <c r="AX74" s="86">
        <f t="shared" si="161"/>
        <v>8.64</v>
      </c>
      <c r="BE74" s="14">
        <v>3</v>
      </c>
    </row>
    <row r="75" spans="41:57" ht="16.5" x14ac:dyDescent="0.2">
      <c r="AO75" s="48">
        <v>6</v>
      </c>
      <c r="AP75" s="86">
        <v>25</v>
      </c>
      <c r="AQ75" s="86">
        <v>2</v>
      </c>
      <c r="AR75" s="48">
        <v>2</v>
      </c>
      <c r="AS75" s="86" t="s">
        <v>683</v>
      </c>
      <c r="AT75" s="21">
        <f t="shared" si="157"/>
        <v>3.5999999999999997E-2</v>
      </c>
      <c r="AU75" s="86">
        <f t="shared" si="158"/>
        <v>1</v>
      </c>
      <c r="AV75" s="86">
        <f t="shared" si="159"/>
        <v>2</v>
      </c>
      <c r="AW75" s="87">
        <f t="shared" si="160"/>
        <v>5.3999999999999992E-2</v>
      </c>
      <c r="AX75" s="86">
        <f t="shared" si="161"/>
        <v>11.34</v>
      </c>
      <c r="BE75" s="14">
        <v>3</v>
      </c>
    </row>
    <row r="76" spans="41:57" ht="16.5" x14ac:dyDescent="0.2">
      <c r="AO76" s="48">
        <v>6</v>
      </c>
      <c r="AP76" s="86">
        <v>26</v>
      </c>
      <c r="AQ76" s="86">
        <v>2</v>
      </c>
      <c r="AR76" s="48">
        <v>2</v>
      </c>
      <c r="AS76" s="86" t="s">
        <v>684</v>
      </c>
      <c r="AT76" s="21">
        <f t="shared" si="157"/>
        <v>1.7999999999999999E-2</v>
      </c>
      <c r="AU76" s="86">
        <f t="shared" si="158"/>
        <v>1</v>
      </c>
      <c r="AV76" s="86">
        <f t="shared" si="159"/>
        <v>2</v>
      </c>
      <c r="AW76" s="87">
        <f t="shared" si="160"/>
        <v>2.6999999999999996E-2</v>
      </c>
      <c r="AX76" s="86">
        <f t="shared" si="161"/>
        <v>12.149999999999999</v>
      </c>
      <c r="BE76" s="14">
        <v>3</v>
      </c>
    </row>
    <row r="77" spans="41:57" ht="16.5" x14ac:dyDescent="0.2">
      <c r="AO77" s="48">
        <v>6</v>
      </c>
      <c r="AP77" s="86">
        <v>27</v>
      </c>
      <c r="AQ77" s="86">
        <v>3</v>
      </c>
      <c r="AR77" s="48">
        <v>1</v>
      </c>
      <c r="AS77" s="86" t="s">
        <v>347</v>
      </c>
      <c r="AT77" s="21">
        <f t="shared" si="157"/>
        <v>2.7E-2</v>
      </c>
      <c r="AU77" s="86">
        <f t="shared" si="158"/>
        <v>1</v>
      </c>
      <c r="AV77" s="86">
        <f t="shared" si="159"/>
        <v>2</v>
      </c>
      <c r="AW77" s="87">
        <f t="shared" si="160"/>
        <v>4.0500000000000001E-2</v>
      </c>
      <c r="AX77" s="86">
        <f t="shared" si="161"/>
        <v>4.8599999999999994</v>
      </c>
      <c r="BE77" s="14">
        <v>3</v>
      </c>
    </row>
    <row r="78" spans="41:57" ht="16.5" x14ac:dyDescent="0.2">
      <c r="AO78" s="48">
        <v>6</v>
      </c>
      <c r="AP78" s="86">
        <v>28</v>
      </c>
      <c r="AQ78" s="86">
        <v>3</v>
      </c>
      <c r="AR78" s="48">
        <v>1</v>
      </c>
      <c r="AS78" s="86" t="s">
        <v>348</v>
      </c>
      <c r="AT78" s="21">
        <f t="shared" si="157"/>
        <v>2.7E-2</v>
      </c>
      <c r="AU78" s="86">
        <f t="shared" si="158"/>
        <v>1</v>
      </c>
      <c r="AV78" s="86">
        <f t="shared" si="159"/>
        <v>2</v>
      </c>
      <c r="AW78" s="87">
        <f t="shared" si="160"/>
        <v>4.0500000000000001E-2</v>
      </c>
      <c r="AX78" s="86">
        <f t="shared" si="161"/>
        <v>4.8599999999999994</v>
      </c>
      <c r="BE78" s="14">
        <v>3</v>
      </c>
    </row>
    <row r="79" spans="41:57" ht="16.5" x14ac:dyDescent="0.2">
      <c r="AO79" s="48">
        <v>6</v>
      </c>
      <c r="AP79" s="86">
        <v>29</v>
      </c>
      <c r="AQ79" s="86">
        <v>3</v>
      </c>
      <c r="AR79" s="48">
        <v>1</v>
      </c>
      <c r="AS79" s="86" t="s">
        <v>349</v>
      </c>
      <c r="AT79" s="21">
        <f t="shared" si="157"/>
        <v>2.7E-2</v>
      </c>
      <c r="AU79" s="86">
        <f t="shared" si="158"/>
        <v>1</v>
      </c>
      <c r="AV79" s="86">
        <f t="shared" si="159"/>
        <v>2</v>
      </c>
      <c r="AW79" s="87">
        <f t="shared" si="160"/>
        <v>4.0500000000000001E-2</v>
      </c>
      <c r="AX79" s="86">
        <f t="shared" si="161"/>
        <v>4.8599999999999994</v>
      </c>
      <c r="BE79" s="14">
        <v>3</v>
      </c>
    </row>
    <row r="80" spans="41:57" ht="16.5" x14ac:dyDescent="0.2">
      <c r="AO80" s="48">
        <v>6</v>
      </c>
      <c r="AP80" s="86">
        <v>30</v>
      </c>
      <c r="AQ80" s="86">
        <v>3</v>
      </c>
      <c r="AR80" s="48">
        <v>1</v>
      </c>
      <c r="AS80" s="86" t="s">
        <v>350</v>
      </c>
      <c r="AT80" s="21">
        <f t="shared" si="157"/>
        <v>1.7999999999999999E-2</v>
      </c>
      <c r="AU80" s="86">
        <f t="shared" si="158"/>
        <v>1</v>
      </c>
      <c r="AV80" s="86">
        <f t="shared" si="159"/>
        <v>1</v>
      </c>
      <c r="AW80" s="87">
        <f t="shared" si="160"/>
        <v>1.7999999999999999E-2</v>
      </c>
      <c r="AX80" s="86">
        <f t="shared" si="161"/>
        <v>5.04</v>
      </c>
      <c r="BE80" s="14">
        <v>3</v>
      </c>
    </row>
    <row r="81" spans="41:57" ht="16.5" x14ac:dyDescent="0.2">
      <c r="AO81" s="48">
        <v>6</v>
      </c>
      <c r="AP81" s="86">
        <v>31</v>
      </c>
      <c r="AQ81" s="86">
        <v>3</v>
      </c>
      <c r="AR81" s="48">
        <v>1</v>
      </c>
      <c r="AS81" s="86" t="s">
        <v>351</v>
      </c>
      <c r="AT81" s="21">
        <f t="shared" si="157"/>
        <v>1.7999999999999999E-2</v>
      </c>
      <c r="AU81" s="86">
        <f t="shared" si="158"/>
        <v>1</v>
      </c>
      <c r="AV81" s="86">
        <f t="shared" si="159"/>
        <v>1</v>
      </c>
      <c r="AW81" s="87">
        <f t="shared" si="160"/>
        <v>1.7999999999999999E-2</v>
      </c>
      <c r="AX81" s="86">
        <f t="shared" si="161"/>
        <v>5.04</v>
      </c>
      <c r="BE81" s="14">
        <v>3</v>
      </c>
    </row>
    <row r="82" spans="41:57" ht="16.5" x14ac:dyDescent="0.2">
      <c r="AO82" s="48">
        <v>6</v>
      </c>
      <c r="AP82" s="86">
        <v>32</v>
      </c>
      <c r="AQ82" s="86">
        <v>3</v>
      </c>
      <c r="AR82" s="48">
        <v>1</v>
      </c>
      <c r="AS82" s="86" t="s">
        <v>352</v>
      </c>
      <c r="AT82" s="21">
        <f t="shared" si="157"/>
        <v>1.7999999999999999E-2</v>
      </c>
      <c r="AU82" s="86">
        <f t="shared" si="158"/>
        <v>1</v>
      </c>
      <c r="AV82" s="86">
        <f t="shared" si="159"/>
        <v>1</v>
      </c>
      <c r="AW82" s="87">
        <f t="shared" si="160"/>
        <v>1.7999999999999999E-2</v>
      </c>
      <c r="AX82" s="86">
        <f t="shared" si="161"/>
        <v>5.04</v>
      </c>
      <c r="BE82" s="14">
        <v>3</v>
      </c>
    </row>
    <row r="83" spans="41:57" ht="16.5" x14ac:dyDescent="0.2">
      <c r="AO83" s="48">
        <v>6</v>
      </c>
      <c r="AP83" s="86">
        <v>33</v>
      </c>
      <c r="AQ83" s="86">
        <v>3</v>
      </c>
      <c r="AR83" s="48">
        <v>1</v>
      </c>
      <c r="AS83" s="86" t="s">
        <v>353</v>
      </c>
      <c r="AT83" s="21">
        <f t="shared" si="157"/>
        <v>7.4999999999999997E-3</v>
      </c>
      <c r="AU83" s="86">
        <f t="shared" si="158"/>
        <v>1</v>
      </c>
      <c r="AV83" s="86">
        <f t="shared" si="159"/>
        <v>1</v>
      </c>
      <c r="AW83" s="87">
        <f t="shared" si="160"/>
        <v>7.4999999999999997E-3</v>
      </c>
      <c r="AX83" s="86">
        <f t="shared" si="161"/>
        <v>4.5</v>
      </c>
      <c r="BE83" s="14">
        <v>3</v>
      </c>
    </row>
    <row r="84" spans="41:57" ht="16.5" x14ac:dyDescent="0.2">
      <c r="AO84" s="48">
        <v>6</v>
      </c>
      <c r="AP84" s="86">
        <v>34</v>
      </c>
      <c r="AQ84" s="86">
        <v>3</v>
      </c>
      <c r="AR84" s="48">
        <v>1</v>
      </c>
      <c r="AS84" s="86" t="s">
        <v>354</v>
      </c>
      <c r="AT84" s="21">
        <f t="shared" si="157"/>
        <v>7.4999999999999997E-3</v>
      </c>
      <c r="AU84" s="86">
        <f t="shared" si="158"/>
        <v>1</v>
      </c>
      <c r="AV84" s="86">
        <f t="shared" si="159"/>
        <v>1</v>
      </c>
      <c r="AW84" s="87">
        <f t="shared" si="160"/>
        <v>7.4999999999999997E-3</v>
      </c>
      <c r="AX84" s="86">
        <f t="shared" si="161"/>
        <v>4.5</v>
      </c>
      <c r="BE84" s="14">
        <v>3</v>
      </c>
    </row>
    <row r="85" spans="41:57" ht="16.5" x14ac:dyDescent="0.2">
      <c r="AO85" s="48">
        <v>7</v>
      </c>
      <c r="AP85" s="86">
        <v>21</v>
      </c>
      <c r="AQ85" s="86">
        <v>1</v>
      </c>
      <c r="AR85" s="48">
        <v>3</v>
      </c>
      <c r="AS85" s="86" t="s">
        <v>679</v>
      </c>
      <c r="AT85" s="21">
        <f t="shared" si="157"/>
        <v>0.13750000000000001</v>
      </c>
      <c r="AU85" s="86">
        <f t="shared" si="158"/>
        <v>3</v>
      </c>
      <c r="AV85" s="86">
        <f t="shared" si="159"/>
        <v>5</v>
      </c>
      <c r="AW85" s="87">
        <f t="shared" si="160"/>
        <v>0.55000000000000004</v>
      </c>
      <c r="AX85" s="86">
        <f t="shared" si="161"/>
        <v>16.5</v>
      </c>
      <c r="BE85" s="14">
        <v>3</v>
      </c>
    </row>
    <row r="86" spans="41:57" ht="16.5" x14ac:dyDescent="0.2">
      <c r="AO86" s="48">
        <v>7</v>
      </c>
      <c r="AP86" s="86">
        <v>22</v>
      </c>
      <c r="AQ86" s="86">
        <v>1</v>
      </c>
      <c r="AR86" s="48">
        <v>3</v>
      </c>
      <c r="AS86" s="86" t="s">
        <v>680</v>
      </c>
      <c r="AT86" s="21">
        <f t="shared" si="157"/>
        <v>0.13750000000000001</v>
      </c>
      <c r="AU86" s="86">
        <f t="shared" si="158"/>
        <v>3</v>
      </c>
      <c r="AV86" s="86">
        <f t="shared" si="159"/>
        <v>5</v>
      </c>
      <c r="AW86" s="87">
        <f t="shared" si="160"/>
        <v>0.55000000000000004</v>
      </c>
      <c r="AX86" s="86">
        <f t="shared" si="161"/>
        <v>16.5</v>
      </c>
      <c r="BE86" s="14">
        <v>3</v>
      </c>
    </row>
    <row r="87" spans="41:57" ht="16.5" x14ac:dyDescent="0.2">
      <c r="AO87" s="48">
        <v>7</v>
      </c>
      <c r="AP87" s="86">
        <v>23</v>
      </c>
      <c r="AQ87" s="86">
        <v>1</v>
      </c>
      <c r="AR87" s="48">
        <v>3</v>
      </c>
      <c r="AS87" s="86" t="s">
        <v>681</v>
      </c>
      <c r="AT87" s="21">
        <f t="shared" si="157"/>
        <v>8.8000000000000009E-2</v>
      </c>
      <c r="AU87" s="86">
        <f t="shared" si="158"/>
        <v>2</v>
      </c>
      <c r="AV87" s="86">
        <f t="shared" si="159"/>
        <v>4</v>
      </c>
      <c r="AW87" s="87">
        <f t="shared" si="160"/>
        <v>0.26400000000000001</v>
      </c>
      <c r="AX87" s="86">
        <f t="shared" si="161"/>
        <v>23.76</v>
      </c>
      <c r="BE87" s="14">
        <v>3</v>
      </c>
    </row>
    <row r="88" spans="41:57" ht="16.5" x14ac:dyDescent="0.2">
      <c r="AO88" s="48">
        <v>7</v>
      </c>
      <c r="AP88" s="86">
        <v>24</v>
      </c>
      <c r="AQ88" s="86">
        <v>1</v>
      </c>
      <c r="AR88" s="48">
        <v>3</v>
      </c>
      <c r="AS88" s="86" t="s">
        <v>682</v>
      </c>
      <c r="AT88" s="21">
        <f t="shared" si="157"/>
        <v>8.8000000000000009E-2</v>
      </c>
      <c r="AU88" s="86">
        <f t="shared" si="158"/>
        <v>2</v>
      </c>
      <c r="AV88" s="86">
        <f t="shared" si="159"/>
        <v>4</v>
      </c>
      <c r="AW88" s="87">
        <f t="shared" si="160"/>
        <v>0.26400000000000001</v>
      </c>
      <c r="AX88" s="86">
        <f t="shared" si="161"/>
        <v>23.76</v>
      </c>
      <c r="BE88" s="14">
        <v>3</v>
      </c>
    </row>
    <row r="89" spans="41:57" ht="16.5" x14ac:dyDescent="0.2">
      <c r="AO89" s="48">
        <v>7</v>
      </c>
      <c r="AP89" s="86">
        <v>25</v>
      </c>
      <c r="AQ89" s="86">
        <v>1</v>
      </c>
      <c r="AR89" s="48">
        <v>3</v>
      </c>
      <c r="AS89" s="86" t="s">
        <v>683</v>
      </c>
      <c r="AT89" s="21">
        <f t="shared" si="157"/>
        <v>6.6000000000000003E-2</v>
      </c>
      <c r="AU89" s="86">
        <f t="shared" si="158"/>
        <v>1</v>
      </c>
      <c r="AV89" s="86">
        <f t="shared" si="159"/>
        <v>3</v>
      </c>
      <c r="AW89" s="87">
        <f t="shared" si="160"/>
        <v>0.13200000000000001</v>
      </c>
      <c r="AX89" s="86">
        <f t="shared" si="161"/>
        <v>27.720000000000002</v>
      </c>
      <c r="BE89" s="14">
        <v>3</v>
      </c>
    </row>
    <row r="90" spans="41:57" ht="16.5" x14ac:dyDescent="0.2">
      <c r="AO90" s="48">
        <v>7</v>
      </c>
      <c r="AP90" s="86">
        <v>26</v>
      </c>
      <c r="AQ90" s="86">
        <v>1</v>
      </c>
      <c r="AR90" s="48">
        <v>3</v>
      </c>
      <c r="AS90" s="86" t="s">
        <v>684</v>
      </c>
      <c r="AT90" s="21">
        <f t="shared" si="157"/>
        <v>3.3000000000000002E-2</v>
      </c>
      <c r="AU90" s="86">
        <f t="shared" si="158"/>
        <v>1</v>
      </c>
      <c r="AV90" s="86">
        <f t="shared" si="159"/>
        <v>3</v>
      </c>
      <c r="AW90" s="87">
        <f t="shared" si="160"/>
        <v>6.6000000000000003E-2</v>
      </c>
      <c r="AX90" s="86">
        <f t="shared" si="161"/>
        <v>29.700000000000003</v>
      </c>
      <c r="BE90" s="14">
        <v>3</v>
      </c>
    </row>
    <row r="91" spans="41:57" ht="16.5" x14ac:dyDescent="0.2">
      <c r="AO91" s="48">
        <v>7</v>
      </c>
      <c r="AP91" s="86">
        <v>27</v>
      </c>
      <c r="AQ91" s="86">
        <v>2</v>
      </c>
      <c r="AR91" s="48">
        <v>2</v>
      </c>
      <c r="AS91" s="86" t="s">
        <v>347</v>
      </c>
      <c r="AT91" s="21">
        <f t="shared" si="157"/>
        <v>5.3999999999999999E-2</v>
      </c>
      <c r="AU91" s="86">
        <f t="shared" si="158"/>
        <v>1</v>
      </c>
      <c r="AV91" s="86">
        <f t="shared" si="159"/>
        <v>3</v>
      </c>
      <c r="AW91" s="87">
        <f t="shared" si="160"/>
        <v>0.108</v>
      </c>
      <c r="AX91" s="86">
        <f t="shared" si="161"/>
        <v>12.959999999999999</v>
      </c>
      <c r="BE91" s="14">
        <v>3</v>
      </c>
    </row>
    <row r="92" spans="41:57" ht="16.5" x14ac:dyDescent="0.2">
      <c r="AO92" s="48">
        <v>7</v>
      </c>
      <c r="AP92" s="86">
        <v>28</v>
      </c>
      <c r="AQ92" s="86">
        <v>2</v>
      </c>
      <c r="AR92" s="48">
        <v>2</v>
      </c>
      <c r="AS92" s="86" t="s">
        <v>348</v>
      </c>
      <c r="AT92" s="21">
        <f t="shared" si="157"/>
        <v>5.3999999999999999E-2</v>
      </c>
      <c r="AU92" s="86">
        <f t="shared" si="158"/>
        <v>1</v>
      </c>
      <c r="AV92" s="86">
        <f t="shared" si="159"/>
        <v>3</v>
      </c>
      <c r="AW92" s="87">
        <f t="shared" si="160"/>
        <v>0.108</v>
      </c>
      <c r="AX92" s="86">
        <f t="shared" si="161"/>
        <v>12.959999999999999</v>
      </c>
      <c r="BE92" s="14">
        <v>3</v>
      </c>
    </row>
    <row r="93" spans="41:57" ht="16.5" x14ac:dyDescent="0.2">
      <c r="AO93" s="48">
        <v>7</v>
      </c>
      <c r="AP93" s="86">
        <v>29</v>
      </c>
      <c r="AQ93" s="86">
        <v>2</v>
      </c>
      <c r="AR93" s="48">
        <v>2</v>
      </c>
      <c r="AS93" s="86" t="s">
        <v>349</v>
      </c>
      <c r="AT93" s="21">
        <f t="shared" si="157"/>
        <v>5.3999999999999999E-2</v>
      </c>
      <c r="AU93" s="86">
        <f t="shared" si="158"/>
        <v>1</v>
      </c>
      <c r="AV93" s="86">
        <f t="shared" si="159"/>
        <v>3</v>
      </c>
      <c r="AW93" s="87">
        <f t="shared" si="160"/>
        <v>0.108</v>
      </c>
      <c r="AX93" s="86">
        <f t="shared" si="161"/>
        <v>12.959999999999999</v>
      </c>
      <c r="BE93" s="14">
        <v>3</v>
      </c>
    </row>
    <row r="94" spans="41:57" ht="16.5" x14ac:dyDescent="0.2">
      <c r="AO94" s="48">
        <v>7</v>
      </c>
      <c r="AP94" s="86">
        <v>30</v>
      </c>
      <c r="AQ94" s="86">
        <v>2</v>
      </c>
      <c r="AR94" s="48">
        <v>2</v>
      </c>
      <c r="AS94" s="86" t="s">
        <v>350</v>
      </c>
      <c r="AT94" s="21">
        <f t="shared" si="157"/>
        <v>3.5999999999999997E-2</v>
      </c>
      <c r="AU94" s="86">
        <f t="shared" si="158"/>
        <v>1</v>
      </c>
      <c r="AV94" s="86">
        <f t="shared" si="159"/>
        <v>2</v>
      </c>
      <c r="AW94" s="87">
        <f t="shared" si="160"/>
        <v>5.3999999999999992E-2</v>
      </c>
      <c r="AX94" s="86">
        <f t="shared" si="161"/>
        <v>15.120000000000001</v>
      </c>
      <c r="BE94" s="14">
        <v>3</v>
      </c>
    </row>
    <row r="95" spans="41:57" ht="16.5" x14ac:dyDescent="0.2">
      <c r="AO95" s="48">
        <v>7</v>
      </c>
      <c r="AP95" s="86">
        <v>31</v>
      </c>
      <c r="AQ95" s="86">
        <v>2</v>
      </c>
      <c r="AR95" s="48">
        <v>2</v>
      </c>
      <c r="AS95" s="86" t="s">
        <v>351</v>
      </c>
      <c r="AT95" s="21">
        <f t="shared" si="157"/>
        <v>3.5999999999999997E-2</v>
      </c>
      <c r="AU95" s="86">
        <f t="shared" si="158"/>
        <v>1</v>
      </c>
      <c r="AV95" s="86">
        <f t="shared" si="159"/>
        <v>2</v>
      </c>
      <c r="AW95" s="87">
        <f t="shared" si="160"/>
        <v>5.3999999999999992E-2</v>
      </c>
      <c r="AX95" s="86">
        <f t="shared" si="161"/>
        <v>15.120000000000001</v>
      </c>
      <c r="BE95" s="14">
        <v>3</v>
      </c>
    </row>
    <row r="96" spans="41:57" ht="16.5" x14ac:dyDescent="0.2">
      <c r="AO96" s="48">
        <v>7</v>
      </c>
      <c r="AP96" s="86">
        <v>32</v>
      </c>
      <c r="AQ96" s="86">
        <v>2</v>
      </c>
      <c r="AR96" s="48">
        <v>2</v>
      </c>
      <c r="AS96" s="86" t="s">
        <v>352</v>
      </c>
      <c r="AT96" s="21">
        <f t="shared" si="157"/>
        <v>3.5999999999999997E-2</v>
      </c>
      <c r="AU96" s="86">
        <f t="shared" si="158"/>
        <v>1</v>
      </c>
      <c r="AV96" s="86">
        <f t="shared" si="159"/>
        <v>2</v>
      </c>
      <c r="AW96" s="87">
        <f t="shared" si="160"/>
        <v>5.3999999999999992E-2</v>
      </c>
      <c r="AX96" s="86">
        <f t="shared" si="161"/>
        <v>15.120000000000001</v>
      </c>
      <c r="BE96" s="14">
        <v>3</v>
      </c>
    </row>
    <row r="97" spans="41:57" ht="16.5" x14ac:dyDescent="0.2">
      <c r="AO97" s="48">
        <v>7</v>
      </c>
      <c r="AP97" s="86">
        <v>33</v>
      </c>
      <c r="AQ97" s="86">
        <v>2</v>
      </c>
      <c r="AR97" s="48">
        <v>2</v>
      </c>
      <c r="AS97" s="86" t="s">
        <v>353</v>
      </c>
      <c r="AT97" s="21">
        <f t="shared" si="157"/>
        <v>1.4999999999999999E-2</v>
      </c>
      <c r="AU97" s="86">
        <f t="shared" si="158"/>
        <v>1</v>
      </c>
      <c r="AV97" s="86">
        <f t="shared" si="159"/>
        <v>2</v>
      </c>
      <c r="AW97" s="87">
        <f t="shared" si="160"/>
        <v>2.2499999999999999E-2</v>
      </c>
      <c r="AX97" s="86">
        <f t="shared" si="161"/>
        <v>13.5</v>
      </c>
      <c r="BE97" s="14">
        <v>3</v>
      </c>
    </row>
    <row r="98" spans="41:57" ht="16.5" x14ac:dyDescent="0.2">
      <c r="AO98" s="48">
        <v>7</v>
      </c>
      <c r="AP98" s="86">
        <v>34</v>
      </c>
      <c r="AQ98" s="86">
        <v>2</v>
      </c>
      <c r="AR98" s="48">
        <v>2</v>
      </c>
      <c r="AS98" s="86" t="s">
        <v>354</v>
      </c>
      <c r="AT98" s="21">
        <f t="shared" si="157"/>
        <v>1.4999999999999999E-2</v>
      </c>
      <c r="AU98" s="86">
        <f t="shared" si="158"/>
        <v>1</v>
      </c>
      <c r="AV98" s="86">
        <f t="shared" si="159"/>
        <v>2</v>
      </c>
      <c r="AW98" s="87">
        <f t="shared" si="160"/>
        <v>2.2499999999999999E-2</v>
      </c>
      <c r="AX98" s="86">
        <f t="shared" si="161"/>
        <v>13.5</v>
      </c>
      <c r="BE98" s="14">
        <v>3</v>
      </c>
    </row>
    <row r="99" spans="41:57" ht="16.5" x14ac:dyDescent="0.2">
      <c r="AO99" s="48">
        <v>7</v>
      </c>
      <c r="AP99" s="86">
        <v>35</v>
      </c>
      <c r="AQ99" s="86">
        <v>3</v>
      </c>
      <c r="AR99" s="48">
        <v>1</v>
      </c>
      <c r="AS99" s="86" t="s">
        <v>685</v>
      </c>
      <c r="AT99" s="21">
        <f t="shared" si="157"/>
        <v>2.7E-2</v>
      </c>
      <c r="AU99" s="86">
        <f t="shared" si="158"/>
        <v>1</v>
      </c>
      <c r="AV99" s="86">
        <f t="shared" si="159"/>
        <v>2</v>
      </c>
      <c r="AW99" s="87">
        <f t="shared" si="160"/>
        <v>4.0500000000000001E-2</v>
      </c>
      <c r="AX99" s="86">
        <f t="shared" si="161"/>
        <v>6.0749999999999993</v>
      </c>
      <c r="BE99" s="14">
        <v>3</v>
      </c>
    </row>
    <row r="100" spans="41:57" ht="16.5" x14ac:dyDescent="0.2">
      <c r="AO100" s="48">
        <v>7</v>
      </c>
      <c r="AP100" s="86">
        <v>36</v>
      </c>
      <c r="AQ100" s="86">
        <v>3</v>
      </c>
      <c r="AR100" s="48">
        <v>1</v>
      </c>
      <c r="AS100" s="86" t="s">
        <v>356</v>
      </c>
      <c r="AT100" s="21">
        <f t="shared" si="157"/>
        <v>2.7E-2</v>
      </c>
      <c r="AU100" s="86">
        <f t="shared" si="158"/>
        <v>1</v>
      </c>
      <c r="AV100" s="86">
        <f t="shared" si="159"/>
        <v>2</v>
      </c>
      <c r="AW100" s="87">
        <f t="shared" si="160"/>
        <v>4.0500000000000001E-2</v>
      </c>
      <c r="AX100" s="86">
        <f t="shared" si="161"/>
        <v>6.0749999999999993</v>
      </c>
      <c r="BE100" s="14">
        <v>3</v>
      </c>
    </row>
    <row r="101" spans="41:57" ht="16.5" x14ac:dyDescent="0.2">
      <c r="AO101" s="48">
        <v>7</v>
      </c>
      <c r="AP101" s="86">
        <v>37</v>
      </c>
      <c r="AQ101" s="86">
        <v>3</v>
      </c>
      <c r="AR101" s="48">
        <v>1</v>
      </c>
      <c r="AS101" s="86" t="s">
        <v>357</v>
      </c>
      <c r="AT101" s="21">
        <f t="shared" ref="AT101:AT122" si="162">INDEX($AJ$6:$AL$13,AO101,AQ101)*INDEX($Q$5:$Y$46,AP101,(AR101-1)*3+1)</f>
        <v>2.7E-2</v>
      </c>
      <c r="AU101" s="86">
        <f t="shared" si="158"/>
        <v>1</v>
      </c>
      <c r="AV101" s="86">
        <f t="shared" si="159"/>
        <v>2</v>
      </c>
      <c r="AW101" s="87">
        <f t="shared" si="160"/>
        <v>4.0500000000000001E-2</v>
      </c>
      <c r="AX101" s="86">
        <f t="shared" si="161"/>
        <v>6.0749999999999993</v>
      </c>
      <c r="BE101" s="14">
        <v>3</v>
      </c>
    </row>
    <row r="102" spans="41:57" ht="16.5" x14ac:dyDescent="0.2">
      <c r="AO102" s="48">
        <v>7</v>
      </c>
      <c r="AP102" s="86">
        <v>38</v>
      </c>
      <c r="AQ102" s="86">
        <v>3</v>
      </c>
      <c r="AR102" s="48">
        <v>1</v>
      </c>
      <c r="AS102" s="86" t="s">
        <v>358</v>
      </c>
      <c r="AT102" s="21">
        <f t="shared" si="162"/>
        <v>1.7999999999999999E-2</v>
      </c>
      <c r="AU102" s="86">
        <f t="shared" si="158"/>
        <v>1</v>
      </c>
      <c r="AV102" s="86">
        <f t="shared" si="159"/>
        <v>1</v>
      </c>
      <c r="AW102" s="87">
        <f t="shared" si="160"/>
        <v>1.7999999999999999E-2</v>
      </c>
      <c r="AX102" s="86">
        <f t="shared" si="161"/>
        <v>6.3</v>
      </c>
      <c r="BE102" s="14">
        <v>3</v>
      </c>
    </row>
    <row r="103" spans="41:57" ht="16.5" x14ac:dyDescent="0.2">
      <c r="AO103" s="48">
        <v>7</v>
      </c>
      <c r="AP103" s="86">
        <v>39</v>
      </c>
      <c r="AQ103" s="86">
        <v>3</v>
      </c>
      <c r="AR103" s="48">
        <v>1</v>
      </c>
      <c r="AS103" s="86" t="s">
        <v>359</v>
      </c>
      <c r="AT103" s="21">
        <f t="shared" si="162"/>
        <v>1.7999999999999999E-2</v>
      </c>
      <c r="AU103" s="86">
        <f t="shared" si="158"/>
        <v>1</v>
      </c>
      <c r="AV103" s="86">
        <f t="shared" si="159"/>
        <v>1</v>
      </c>
      <c r="AW103" s="87">
        <f t="shared" si="160"/>
        <v>1.7999999999999999E-2</v>
      </c>
      <c r="AX103" s="86">
        <f t="shared" si="161"/>
        <v>6.3</v>
      </c>
      <c r="BE103" s="14">
        <v>3</v>
      </c>
    </row>
    <row r="104" spans="41:57" ht="16.5" x14ac:dyDescent="0.2">
      <c r="AO104" s="48">
        <v>7</v>
      </c>
      <c r="AP104" s="86">
        <v>40</v>
      </c>
      <c r="AQ104" s="86">
        <v>3</v>
      </c>
      <c r="AR104" s="48">
        <v>1</v>
      </c>
      <c r="AS104" s="86" t="s">
        <v>360</v>
      </c>
      <c r="AT104" s="21">
        <f t="shared" si="162"/>
        <v>1.7999999999999999E-2</v>
      </c>
      <c r="AU104" s="86">
        <f t="shared" si="158"/>
        <v>1</v>
      </c>
      <c r="AV104" s="86">
        <f t="shared" si="159"/>
        <v>1</v>
      </c>
      <c r="AW104" s="87">
        <f t="shared" si="160"/>
        <v>1.7999999999999999E-2</v>
      </c>
      <c r="AX104" s="86">
        <f t="shared" si="161"/>
        <v>6.3</v>
      </c>
      <c r="BE104" s="14">
        <v>3</v>
      </c>
    </row>
    <row r="105" spans="41:57" ht="16.5" x14ac:dyDescent="0.2">
      <c r="AO105" s="48">
        <v>7</v>
      </c>
      <c r="AP105" s="86">
        <v>41</v>
      </c>
      <c r="AQ105" s="86">
        <v>3</v>
      </c>
      <c r="AR105" s="48">
        <v>1</v>
      </c>
      <c r="AS105" s="86" t="s">
        <v>361</v>
      </c>
      <c r="AT105" s="21">
        <f t="shared" si="162"/>
        <v>7.4999999999999997E-3</v>
      </c>
      <c r="AU105" s="86">
        <f t="shared" si="158"/>
        <v>1</v>
      </c>
      <c r="AV105" s="86">
        <f t="shared" si="159"/>
        <v>1</v>
      </c>
      <c r="AW105" s="87">
        <f t="shared" si="160"/>
        <v>7.4999999999999997E-3</v>
      </c>
      <c r="AX105" s="86">
        <f t="shared" si="161"/>
        <v>5.625</v>
      </c>
      <c r="BE105" s="14">
        <v>3</v>
      </c>
    </row>
    <row r="106" spans="41:57" ht="16.5" x14ac:dyDescent="0.2">
      <c r="AO106" s="48">
        <v>7</v>
      </c>
      <c r="AP106" s="86">
        <v>42</v>
      </c>
      <c r="AQ106" s="86">
        <v>3</v>
      </c>
      <c r="AR106" s="48">
        <v>1</v>
      </c>
      <c r="AS106" s="86" t="s">
        <v>362</v>
      </c>
      <c r="AT106" s="21">
        <f t="shared" si="162"/>
        <v>7.4999999999999997E-3</v>
      </c>
      <c r="AU106" s="86">
        <f t="shared" si="158"/>
        <v>1</v>
      </c>
      <c r="AV106" s="86">
        <f t="shared" si="159"/>
        <v>1</v>
      </c>
      <c r="AW106" s="87">
        <f t="shared" si="160"/>
        <v>7.4999999999999997E-3</v>
      </c>
      <c r="AX106" s="86">
        <f t="shared" si="161"/>
        <v>5.625</v>
      </c>
      <c r="BE106" s="14">
        <v>3</v>
      </c>
    </row>
    <row r="107" spans="41:57" ht="16.5" x14ac:dyDescent="0.2">
      <c r="AO107" s="48">
        <v>8</v>
      </c>
      <c r="AP107" s="86">
        <v>27</v>
      </c>
      <c r="AQ107" s="86">
        <v>1</v>
      </c>
      <c r="AR107" s="48">
        <v>3</v>
      </c>
      <c r="AS107" s="86" t="s">
        <v>347</v>
      </c>
      <c r="AT107" s="21">
        <f t="shared" si="162"/>
        <v>0.108</v>
      </c>
      <c r="AU107" s="86">
        <f t="shared" si="158"/>
        <v>2</v>
      </c>
      <c r="AV107" s="86">
        <f t="shared" si="159"/>
        <v>4</v>
      </c>
      <c r="AW107" s="87">
        <f t="shared" si="160"/>
        <v>0.32400000000000001</v>
      </c>
      <c r="AX107" s="86">
        <f t="shared" si="161"/>
        <v>38.879999999999995</v>
      </c>
      <c r="BE107" s="14">
        <v>3</v>
      </c>
    </row>
    <row r="108" spans="41:57" ht="16.5" x14ac:dyDescent="0.2">
      <c r="AO108" s="48">
        <v>8</v>
      </c>
      <c r="AP108" s="86">
        <v>28</v>
      </c>
      <c r="AQ108" s="86">
        <v>1</v>
      </c>
      <c r="AR108" s="48">
        <v>3</v>
      </c>
      <c r="AS108" s="86" t="s">
        <v>348</v>
      </c>
      <c r="AT108" s="21">
        <f t="shared" si="162"/>
        <v>0.108</v>
      </c>
      <c r="AU108" s="86">
        <f t="shared" si="158"/>
        <v>2</v>
      </c>
      <c r="AV108" s="86">
        <f t="shared" si="159"/>
        <v>4</v>
      </c>
      <c r="AW108" s="87">
        <f t="shared" si="160"/>
        <v>0.32400000000000001</v>
      </c>
      <c r="AX108" s="86">
        <f t="shared" si="161"/>
        <v>38.879999999999995</v>
      </c>
      <c r="BE108" s="14">
        <v>3</v>
      </c>
    </row>
    <row r="109" spans="41:57" ht="16.5" x14ac:dyDescent="0.2">
      <c r="AO109" s="48">
        <v>8</v>
      </c>
      <c r="AP109" s="86">
        <v>29</v>
      </c>
      <c r="AQ109" s="86">
        <v>1</v>
      </c>
      <c r="AR109" s="48">
        <v>3</v>
      </c>
      <c r="AS109" s="86" t="s">
        <v>349</v>
      </c>
      <c r="AT109" s="21">
        <f t="shared" si="162"/>
        <v>0.108</v>
      </c>
      <c r="AU109" s="86">
        <f t="shared" si="158"/>
        <v>2</v>
      </c>
      <c r="AV109" s="86">
        <f t="shared" si="159"/>
        <v>4</v>
      </c>
      <c r="AW109" s="87">
        <f t="shared" si="160"/>
        <v>0.32400000000000001</v>
      </c>
      <c r="AX109" s="86">
        <f t="shared" si="161"/>
        <v>38.879999999999995</v>
      </c>
      <c r="BE109" s="14">
        <v>3</v>
      </c>
    </row>
    <row r="110" spans="41:57" ht="16.5" x14ac:dyDescent="0.2">
      <c r="AO110" s="48">
        <v>8</v>
      </c>
      <c r="AP110" s="86">
        <v>30</v>
      </c>
      <c r="AQ110" s="86">
        <v>1</v>
      </c>
      <c r="AR110" s="48">
        <v>3</v>
      </c>
      <c r="AS110" s="86" t="s">
        <v>350</v>
      </c>
      <c r="AT110" s="21">
        <f t="shared" si="162"/>
        <v>7.1999999999999995E-2</v>
      </c>
      <c r="AU110" s="86">
        <f t="shared" si="158"/>
        <v>1</v>
      </c>
      <c r="AV110" s="86">
        <f t="shared" si="159"/>
        <v>3</v>
      </c>
      <c r="AW110" s="87">
        <f t="shared" si="160"/>
        <v>0.14399999999999999</v>
      </c>
      <c r="AX110" s="86">
        <f t="shared" si="161"/>
        <v>40.32</v>
      </c>
      <c r="BE110" s="14">
        <v>3</v>
      </c>
    </row>
    <row r="111" spans="41:57" ht="16.5" x14ac:dyDescent="0.2">
      <c r="AO111" s="48">
        <v>8</v>
      </c>
      <c r="AP111" s="86">
        <v>31</v>
      </c>
      <c r="AQ111" s="86">
        <v>1</v>
      </c>
      <c r="AR111" s="48">
        <v>3</v>
      </c>
      <c r="AS111" s="86" t="s">
        <v>351</v>
      </c>
      <c r="AT111" s="21">
        <f t="shared" si="162"/>
        <v>7.1999999999999995E-2</v>
      </c>
      <c r="AU111" s="86">
        <f t="shared" si="158"/>
        <v>1</v>
      </c>
      <c r="AV111" s="86">
        <f t="shared" si="159"/>
        <v>3</v>
      </c>
      <c r="AW111" s="87">
        <f t="shared" si="160"/>
        <v>0.14399999999999999</v>
      </c>
      <c r="AX111" s="86">
        <f t="shared" si="161"/>
        <v>40.32</v>
      </c>
      <c r="BE111" s="14">
        <v>3</v>
      </c>
    </row>
    <row r="112" spans="41:57" ht="16.5" x14ac:dyDescent="0.2">
      <c r="AO112" s="48">
        <v>8</v>
      </c>
      <c r="AP112" s="86">
        <v>32</v>
      </c>
      <c r="AQ112" s="86">
        <v>1</v>
      </c>
      <c r="AR112" s="48">
        <v>3</v>
      </c>
      <c r="AS112" s="86" t="s">
        <v>352</v>
      </c>
      <c r="AT112" s="21">
        <f t="shared" si="162"/>
        <v>7.1999999999999995E-2</v>
      </c>
      <c r="AU112" s="86">
        <f t="shared" si="158"/>
        <v>1</v>
      </c>
      <c r="AV112" s="86">
        <f t="shared" si="159"/>
        <v>3</v>
      </c>
      <c r="AW112" s="87">
        <f t="shared" si="160"/>
        <v>0.14399999999999999</v>
      </c>
      <c r="AX112" s="86">
        <f t="shared" si="161"/>
        <v>40.32</v>
      </c>
      <c r="BE112" s="14">
        <v>3</v>
      </c>
    </row>
    <row r="113" spans="41:57" ht="16.5" x14ac:dyDescent="0.2">
      <c r="AO113" s="48">
        <v>8</v>
      </c>
      <c r="AP113" s="86">
        <v>33</v>
      </c>
      <c r="AQ113" s="86">
        <v>1</v>
      </c>
      <c r="AR113" s="48">
        <v>3</v>
      </c>
      <c r="AS113" s="86" t="s">
        <v>353</v>
      </c>
      <c r="AT113" s="21">
        <f t="shared" si="162"/>
        <v>0.03</v>
      </c>
      <c r="AU113" s="86">
        <f t="shared" si="158"/>
        <v>1</v>
      </c>
      <c r="AV113" s="86">
        <f t="shared" si="159"/>
        <v>3</v>
      </c>
      <c r="AW113" s="87">
        <f t="shared" si="160"/>
        <v>0.06</v>
      </c>
      <c r="AX113" s="86">
        <f t="shared" si="161"/>
        <v>36</v>
      </c>
      <c r="BE113" s="14">
        <v>3</v>
      </c>
    </row>
    <row r="114" spans="41:57" ht="16.5" x14ac:dyDescent="0.2">
      <c r="AO114" s="48">
        <v>8</v>
      </c>
      <c r="AP114" s="86">
        <v>34</v>
      </c>
      <c r="AQ114" s="86">
        <v>1</v>
      </c>
      <c r="AR114" s="48">
        <v>3</v>
      </c>
      <c r="AS114" s="86" t="s">
        <v>354</v>
      </c>
      <c r="AT114" s="21">
        <f t="shared" si="162"/>
        <v>0.03</v>
      </c>
      <c r="AU114" s="86">
        <f t="shared" si="158"/>
        <v>1</v>
      </c>
      <c r="AV114" s="86">
        <f t="shared" si="159"/>
        <v>3</v>
      </c>
      <c r="AW114" s="87">
        <f t="shared" si="160"/>
        <v>0.06</v>
      </c>
      <c r="AX114" s="86">
        <f t="shared" si="161"/>
        <v>36</v>
      </c>
      <c r="BE114" s="14">
        <v>3</v>
      </c>
    </row>
    <row r="115" spans="41:57" ht="16.5" x14ac:dyDescent="0.2">
      <c r="AO115" s="48">
        <v>8</v>
      </c>
      <c r="AP115" s="86">
        <v>35</v>
      </c>
      <c r="AQ115" s="86">
        <v>2</v>
      </c>
      <c r="AR115" s="48">
        <v>2</v>
      </c>
      <c r="AS115" s="86" t="s">
        <v>685</v>
      </c>
      <c r="AT115" s="21">
        <f t="shared" si="162"/>
        <v>7.1999999999999995E-2</v>
      </c>
      <c r="AU115" s="86">
        <f t="shared" si="158"/>
        <v>1</v>
      </c>
      <c r="AV115" s="86">
        <f t="shared" si="159"/>
        <v>3</v>
      </c>
      <c r="AW115" s="87">
        <f t="shared" si="160"/>
        <v>0.14399999999999999</v>
      </c>
      <c r="AX115" s="86">
        <f t="shared" si="161"/>
        <v>21.599999999999998</v>
      </c>
      <c r="BE115" s="14">
        <v>3</v>
      </c>
    </row>
    <row r="116" spans="41:57" ht="16.5" x14ac:dyDescent="0.2">
      <c r="AO116" s="48">
        <v>8</v>
      </c>
      <c r="AP116" s="86">
        <v>36</v>
      </c>
      <c r="AQ116" s="86">
        <v>2</v>
      </c>
      <c r="AR116" s="48">
        <v>2</v>
      </c>
      <c r="AS116" s="86" t="s">
        <v>356</v>
      </c>
      <c r="AT116" s="21">
        <f t="shared" si="162"/>
        <v>7.1999999999999995E-2</v>
      </c>
      <c r="AU116" s="86">
        <f t="shared" si="158"/>
        <v>1</v>
      </c>
      <c r="AV116" s="86">
        <f t="shared" si="159"/>
        <v>3</v>
      </c>
      <c r="AW116" s="87">
        <f t="shared" si="160"/>
        <v>0.14399999999999999</v>
      </c>
      <c r="AX116" s="86">
        <f t="shared" si="161"/>
        <v>21.599999999999998</v>
      </c>
      <c r="BE116" s="14">
        <v>3</v>
      </c>
    </row>
    <row r="117" spans="41:57" ht="16.5" x14ac:dyDescent="0.2">
      <c r="AO117" s="48">
        <v>8</v>
      </c>
      <c r="AP117" s="86">
        <v>37</v>
      </c>
      <c r="AQ117" s="86">
        <v>2</v>
      </c>
      <c r="AR117" s="48">
        <v>2</v>
      </c>
      <c r="AS117" s="86" t="s">
        <v>357</v>
      </c>
      <c r="AT117" s="21">
        <f t="shared" si="162"/>
        <v>7.1999999999999995E-2</v>
      </c>
      <c r="AU117" s="86">
        <f t="shared" si="158"/>
        <v>1</v>
      </c>
      <c r="AV117" s="86">
        <f t="shared" si="159"/>
        <v>3</v>
      </c>
      <c r="AW117" s="87">
        <f t="shared" si="160"/>
        <v>0.14399999999999999</v>
      </c>
      <c r="AX117" s="86">
        <f t="shared" si="161"/>
        <v>21.599999999999998</v>
      </c>
      <c r="BE117" s="14">
        <v>3</v>
      </c>
    </row>
    <row r="118" spans="41:57" ht="16.5" x14ac:dyDescent="0.2">
      <c r="AO118" s="48">
        <v>8</v>
      </c>
      <c r="AP118" s="86">
        <v>38</v>
      </c>
      <c r="AQ118" s="86">
        <v>2</v>
      </c>
      <c r="AR118" s="48">
        <v>2</v>
      </c>
      <c r="AS118" s="86" t="s">
        <v>358</v>
      </c>
      <c r="AT118" s="21">
        <f t="shared" si="162"/>
        <v>4.8000000000000001E-2</v>
      </c>
      <c r="AU118" s="86">
        <f t="shared" si="158"/>
        <v>1</v>
      </c>
      <c r="AV118" s="86">
        <f t="shared" si="159"/>
        <v>2</v>
      </c>
      <c r="AW118" s="87">
        <f t="shared" si="160"/>
        <v>7.2000000000000008E-2</v>
      </c>
      <c r="AX118" s="86">
        <f t="shared" si="161"/>
        <v>25.200000000000003</v>
      </c>
      <c r="BE118" s="14">
        <v>3</v>
      </c>
    </row>
    <row r="119" spans="41:57" ht="16.5" x14ac:dyDescent="0.2">
      <c r="AO119" s="48">
        <v>8</v>
      </c>
      <c r="AP119" s="86">
        <v>39</v>
      </c>
      <c r="AQ119" s="86">
        <v>2</v>
      </c>
      <c r="AR119" s="48">
        <v>2</v>
      </c>
      <c r="AS119" s="86" t="s">
        <v>359</v>
      </c>
      <c r="AT119" s="21">
        <f t="shared" si="162"/>
        <v>4.8000000000000001E-2</v>
      </c>
      <c r="AU119" s="86">
        <f t="shared" si="158"/>
        <v>1</v>
      </c>
      <c r="AV119" s="86">
        <f t="shared" si="159"/>
        <v>2</v>
      </c>
      <c r="AW119" s="87">
        <f t="shared" si="160"/>
        <v>7.2000000000000008E-2</v>
      </c>
      <c r="AX119" s="86">
        <f t="shared" si="161"/>
        <v>25.200000000000003</v>
      </c>
      <c r="BE119" s="14">
        <v>3</v>
      </c>
    </row>
    <row r="120" spans="41:57" ht="16.5" x14ac:dyDescent="0.2">
      <c r="AO120" s="48">
        <v>8</v>
      </c>
      <c r="AP120" s="86">
        <v>40</v>
      </c>
      <c r="AQ120" s="86">
        <v>2</v>
      </c>
      <c r="AR120" s="48">
        <v>2</v>
      </c>
      <c r="AS120" s="86" t="s">
        <v>360</v>
      </c>
      <c r="AT120" s="21">
        <f t="shared" si="162"/>
        <v>4.8000000000000001E-2</v>
      </c>
      <c r="AU120" s="86">
        <f t="shared" si="158"/>
        <v>1</v>
      </c>
      <c r="AV120" s="86">
        <f t="shared" si="159"/>
        <v>2</v>
      </c>
      <c r="AW120" s="87">
        <f t="shared" si="160"/>
        <v>7.2000000000000008E-2</v>
      </c>
      <c r="AX120" s="86">
        <f t="shared" si="161"/>
        <v>25.200000000000003</v>
      </c>
      <c r="BE120" s="14">
        <v>3</v>
      </c>
    </row>
    <row r="121" spans="41:57" ht="16.5" x14ac:dyDescent="0.2">
      <c r="AO121" s="48">
        <v>8</v>
      </c>
      <c r="AP121" s="86">
        <v>41</v>
      </c>
      <c r="AQ121" s="86">
        <v>2</v>
      </c>
      <c r="AR121" s="48">
        <v>2</v>
      </c>
      <c r="AS121" s="86" t="s">
        <v>361</v>
      </c>
      <c r="AT121" s="21">
        <f t="shared" si="162"/>
        <v>2.0000000000000004E-2</v>
      </c>
      <c r="AU121" s="86">
        <f t="shared" si="158"/>
        <v>1</v>
      </c>
      <c r="AV121" s="86">
        <f t="shared" si="159"/>
        <v>2</v>
      </c>
      <c r="AW121" s="87">
        <f t="shared" si="160"/>
        <v>3.0000000000000006E-2</v>
      </c>
      <c r="AX121" s="86">
        <f t="shared" si="161"/>
        <v>22.500000000000007</v>
      </c>
      <c r="BE121" s="14">
        <v>3</v>
      </c>
    </row>
    <row r="122" spans="41:57" ht="16.5" x14ac:dyDescent="0.2">
      <c r="AO122" s="48">
        <v>8</v>
      </c>
      <c r="AP122" s="86">
        <v>42</v>
      </c>
      <c r="AQ122" s="86">
        <v>2</v>
      </c>
      <c r="AR122" s="48">
        <v>2</v>
      </c>
      <c r="AS122" s="86" t="s">
        <v>362</v>
      </c>
      <c r="AT122" s="21">
        <f t="shared" si="162"/>
        <v>2.0000000000000004E-2</v>
      </c>
      <c r="AU122" s="86">
        <f t="shared" si="158"/>
        <v>1</v>
      </c>
      <c r="AV122" s="86">
        <f t="shared" si="159"/>
        <v>2</v>
      </c>
      <c r="AW122" s="87">
        <f t="shared" si="160"/>
        <v>3.0000000000000006E-2</v>
      </c>
      <c r="AX122" s="86">
        <f t="shared" si="161"/>
        <v>22.500000000000007</v>
      </c>
      <c r="BE122" s="14">
        <v>3</v>
      </c>
    </row>
  </sheetData>
  <mergeCells count="3">
    <mergeCell ref="AF3:AL3"/>
    <mergeCell ref="AB3:AD3"/>
    <mergeCell ref="AO3:EL3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L221"/>
  <sheetViews>
    <sheetView workbookViewId="0">
      <selection activeCell="BH11" sqref="BH11"/>
    </sheetView>
  </sheetViews>
  <sheetFormatPr defaultRowHeight="14.25" x14ac:dyDescent="0.2"/>
  <cols>
    <col min="1" max="13" width="10.625" customWidth="1"/>
    <col min="16" max="16" width="9" style="126"/>
    <col min="19" max="19" width="9.75" customWidth="1"/>
    <col min="23" max="23" width="9" style="142"/>
    <col min="24" max="24" width="9.375" customWidth="1"/>
    <col min="29" max="29" width="9.125" style="142" customWidth="1"/>
    <col min="30" max="31" width="9" style="142"/>
    <col min="44" max="44" width="9" style="142"/>
    <col min="51" max="51" width="9" style="142"/>
    <col min="55" max="56" width="9" style="142"/>
    <col min="68" max="68" width="10.5" customWidth="1"/>
    <col min="70" max="70" width="10.75" customWidth="1"/>
    <col min="75" max="80" width="10.625" customWidth="1"/>
    <col min="82" max="82" width="9.125" style="142" bestFit="1" customWidth="1"/>
    <col min="83" max="83" width="13.875" bestFit="1" customWidth="1"/>
    <col min="90" max="92" width="9" style="146"/>
    <col min="94" max="94" width="11.375" style="146" customWidth="1"/>
    <col min="106" max="106" width="10.625" customWidth="1"/>
    <col min="111" max="111" width="10.625" style="146" customWidth="1"/>
    <col min="113" max="113" width="14.125" style="146" customWidth="1"/>
    <col min="114" max="114" width="17.625" style="146" customWidth="1"/>
    <col min="115" max="116" width="10.625" customWidth="1"/>
  </cols>
  <sheetData>
    <row r="2" spans="1:116" s="117" customFormat="1" x14ac:dyDescent="0.2">
      <c r="P2" s="126"/>
      <c r="W2" s="142"/>
      <c r="AC2" s="142"/>
      <c r="AD2" s="142"/>
      <c r="AE2" s="142"/>
      <c r="AR2" s="142"/>
      <c r="AY2" s="142"/>
      <c r="BC2" s="142"/>
      <c r="BD2" s="142"/>
      <c r="CD2" s="142"/>
      <c r="CL2" s="146"/>
      <c r="CM2" s="146"/>
      <c r="CN2" s="146"/>
      <c r="CP2" s="146"/>
      <c r="DG2" s="146"/>
      <c r="DI2" s="146"/>
      <c r="DJ2" s="146"/>
    </row>
    <row r="3" spans="1:116" s="117" customFormat="1" ht="16.5" x14ac:dyDescent="0.2">
      <c r="P3" s="126"/>
      <c r="S3" s="35">
        <v>0.6</v>
      </c>
      <c r="T3" s="35">
        <v>0.3</v>
      </c>
      <c r="U3" s="35">
        <v>0.1</v>
      </c>
      <c r="V3" s="35">
        <v>0</v>
      </c>
      <c r="W3" s="35"/>
      <c r="AC3" s="142"/>
      <c r="AD3" s="142"/>
      <c r="AE3" s="142"/>
      <c r="AK3" s="117">
        <v>0.5</v>
      </c>
      <c r="AL3" s="117">
        <v>0.8</v>
      </c>
      <c r="AM3" s="117">
        <v>1</v>
      </c>
      <c r="AN3" s="117">
        <v>1.2</v>
      </c>
      <c r="AR3" s="142"/>
      <c r="AY3" s="142"/>
      <c r="BC3" s="142"/>
      <c r="BD3" s="142"/>
      <c r="BE3" s="117">
        <f>AY6</f>
        <v>79.5</v>
      </c>
      <c r="BF3" s="117">
        <f>AY7</f>
        <v>122.39999999999999</v>
      </c>
      <c r="BG3" s="117">
        <f>AY8</f>
        <v>138</v>
      </c>
      <c r="BH3" s="117">
        <f>AY9</f>
        <v>192.60000000000002</v>
      </c>
      <c r="BI3" s="117">
        <f>AY10</f>
        <v>240</v>
      </c>
      <c r="BJ3" s="117">
        <f>AY11</f>
        <v>294</v>
      </c>
      <c r="BK3" s="117">
        <f>AY12</f>
        <v>342</v>
      </c>
      <c r="BL3" s="117">
        <f>AY13</f>
        <v>446.40000000000003</v>
      </c>
      <c r="BM3" s="117">
        <f>AY14</f>
        <v>540</v>
      </c>
      <c r="BN3" s="117">
        <f>AY15</f>
        <v>648</v>
      </c>
      <c r="BO3" s="117">
        <f>AY16</f>
        <v>864</v>
      </c>
      <c r="BU3" s="140" t="s">
        <v>1198</v>
      </c>
      <c r="BV3" s="19">
        <v>0.6</v>
      </c>
      <c r="CD3" s="142"/>
      <c r="CL3" s="146"/>
      <c r="CM3" s="146"/>
      <c r="CN3" s="146"/>
      <c r="CP3" s="146"/>
      <c r="CQ3" s="14">
        <f>CB6</f>
        <v>50</v>
      </c>
      <c r="CR3" s="14">
        <f>CB7</f>
        <v>80</v>
      </c>
      <c r="CS3" s="14">
        <f>CB8</f>
        <v>100</v>
      </c>
      <c r="CT3" s="14">
        <f>CB9</f>
        <v>132</v>
      </c>
      <c r="CU3" s="14">
        <f>CB10</f>
        <v>176</v>
      </c>
      <c r="CV3" s="14">
        <f>CB11</f>
        <v>214</v>
      </c>
      <c r="CW3" s="14">
        <f>CB12</f>
        <v>251.03999999999996</v>
      </c>
      <c r="CX3" s="14">
        <f>CB13</f>
        <v>330.88000000000005</v>
      </c>
      <c r="CY3" s="14">
        <f>CB14</f>
        <v>408.8</v>
      </c>
      <c r="CZ3" s="14">
        <f>CB15</f>
        <v>484.8</v>
      </c>
      <c r="DA3" s="14">
        <f>CB16</f>
        <v>641.28000000000009</v>
      </c>
      <c r="DG3" s="146"/>
      <c r="DI3" s="146"/>
      <c r="DJ3" s="146"/>
    </row>
    <row r="4" spans="1:116" s="117" customFormat="1" ht="20.25" x14ac:dyDescent="0.2">
      <c r="O4" s="186" t="s">
        <v>1032</v>
      </c>
      <c r="P4" s="186"/>
      <c r="Q4" s="186"/>
      <c r="R4" s="186"/>
      <c r="S4" s="186"/>
      <c r="T4" s="186"/>
      <c r="U4" s="186"/>
      <c r="V4" s="186"/>
      <c r="W4" s="186"/>
      <c r="X4" s="186"/>
      <c r="AC4" s="142"/>
      <c r="AD4" s="142"/>
      <c r="AE4" s="142"/>
      <c r="AQ4" s="186" t="s">
        <v>1173</v>
      </c>
      <c r="AR4" s="186"/>
      <c r="AS4" s="186"/>
      <c r="AT4" s="186"/>
      <c r="AU4" s="186"/>
      <c r="AV4" s="186"/>
      <c r="AW4" s="186"/>
      <c r="AX4" s="186"/>
      <c r="AY4" s="186"/>
      <c r="BB4" s="186" t="s">
        <v>1194</v>
      </c>
      <c r="BC4" s="186"/>
      <c r="BD4" s="186"/>
      <c r="BE4" s="186"/>
      <c r="BF4" s="186"/>
      <c r="BG4" s="186"/>
      <c r="BH4" s="186"/>
      <c r="BI4" s="186"/>
      <c r="BJ4" s="186"/>
      <c r="BK4" s="186"/>
      <c r="BL4" s="186"/>
      <c r="BM4" s="186"/>
      <c r="BN4" s="186"/>
      <c r="BO4" s="186"/>
      <c r="BP4" s="186"/>
      <c r="BQ4" s="186"/>
      <c r="BR4" s="186"/>
      <c r="BU4" s="186" t="s">
        <v>1197</v>
      </c>
      <c r="BV4" s="186"/>
      <c r="BW4" s="186"/>
      <c r="BX4" s="186"/>
      <c r="BY4" s="186"/>
      <c r="BZ4" s="186"/>
      <c r="CA4" s="186"/>
      <c r="CB4" s="186"/>
      <c r="CD4" s="142"/>
      <c r="CL4" s="146"/>
      <c r="CM4" s="146"/>
      <c r="CN4" s="146"/>
      <c r="CP4" s="146"/>
      <c r="DG4" s="146"/>
      <c r="DI4" s="146"/>
      <c r="DJ4" s="146"/>
    </row>
    <row r="5" spans="1:116" ht="20.25" customHeight="1" x14ac:dyDescent="0.2">
      <c r="A5" s="188" t="s">
        <v>1078</v>
      </c>
      <c r="B5" s="188"/>
      <c r="C5" s="188"/>
      <c r="D5" s="188"/>
      <c r="E5" s="188"/>
      <c r="F5" s="188"/>
      <c r="G5" s="188"/>
      <c r="H5" s="188"/>
      <c r="I5" s="188"/>
      <c r="J5" s="188"/>
      <c r="K5" s="188"/>
      <c r="L5" s="188"/>
      <c r="M5" s="188"/>
      <c r="O5" s="12" t="s">
        <v>947</v>
      </c>
      <c r="P5" s="12" t="s">
        <v>1079</v>
      </c>
      <c r="Q5" s="12" t="s">
        <v>948</v>
      </c>
      <c r="R5" s="12" t="s">
        <v>949</v>
      </c>
      <c r="S5" s="12" t="s">
        <v>950</v>
      </c>
      <c r="T5" s="12" t="s">
        <v>951</v>
      </c>
      <c r="U5" s="12" t="s">
        <v>952</v>
      </c>
      <c r="V5" s="12" t="s">
        <v>1195</v>
      </c>
      <c r="W5" s="12" t="s">
        <v>1196</v>
      </c>
      <c r="X5" s="12" t="s">
        <v>1033</v>
      </c>
      <c r="AB5" s="140" t="s">
        <v>1168</v>
      </c>
      <c r="AC5" s="139">
        <v>48</v>
      </c>
      <c r="AF5" s="12" t="s">
        <v>1163</v>
      </c>
      <c r="AG5" s="12" t="s">
        <v>1164</v>
      </c>
      <c r="AH5" s="12" t="s">
        <v>1165</v>
      </c>
      <c r="AI5" s="12" t="s">
        <v>1166</v>
      </c>
      <c r="AK5" s="12" t="s">
        <v>1169</v>
      </c>
      <c r="AL5" s="12" t="s">
        <v>1170</v>
      </c>
      <c r="AM5" s="12" t="s">
        <v>1171</v>
      </c>
      <c r="AN5" s="12" t="s">
        <v>1172</v>
      </c>
      <c r="AQ5" s="12" t="s">
        <v>82</v>
      </c>
      <c r="AR5" s="12" t="s">
        <v>1186</v>
      </c>
      <c r="AS5" s="12" t="s">
        <v>83</v>
      </c>
      <c r="AT5" s="12" t="s">
        <v>948</v>
      </c>
      <c r="AU5" s="12" t="s">
        <v>950</v>
      </c>
      <c r="AV5" s="12" t="s">
        <v>951</v>
      </c>
      <c r="AW5" s="12" t="s">
        <v>952</v>
      </c>
      <c r="AX5" s="12" t="s">
        <v>953</v>
      </c>
      <c r="AY5" s="12" t="s">
        <v>1188</v>
      </c>
      <c r="BB5" s="23" t="s">
        <v>1174</v>
      </c>
      <c r="BC5" s="23" t="s">
        <v>1138</v>
      </c>
      <c r="BD5" s="23" t="s">
        <v>1187</v>
      </c>
      <c r="BE5" s="23" t="s">
        <v>1175</v>
      </c>
      <c r="BF5" s="23" t="s">
        <v>1176</v>
      </c>
      <c r="BG5" s="23" t="s">
        <v>1177</v>
      </c>
      <c r="BH5" s="23" t="s">
        <v>1178</v>
      </c>
      <c r="BI5" s="23" t="s">
        <v>1179</v>
      </c>
      <c r="BJ5" s="23" t="s">
        <v>1180</v>
      </c>
      <c r="BK5" s="23" t="s">
        <v>1181</v>
      </c>
      <c r="BL5" s="23" t="s">
        <v>1182</v>
      </c>
      <c r="BM5" s="23" t="s">
        <v>1183</v>
      </c>
      <c r="BN5" s="23" t="s">
        <v>1184</v>
      </c>
      <c r="BO5" s="23" t="s">
        <v>1185</v>
      </c>
      <c r="BP5" s="23" t="s">
        <v>1189</v>
      </c>
      <c r="BQ5" s="23" t="s">
        <v>1190</v>
      </c>
      <c r="BR5" s="23" t="s">
        <v>1191</v>
      </c>
      <c r="BU5" s="12" t="s">
        <v>82</v>
      </c>
      <c r="BV5" s="12" t="s">
        <v>1186</v>
      </c>
      <c r="BW5" s="12" t="s">
        <v>950</v>
      </c>
      <c r="BX5" s="12" t="s">
        <v>951</v>
      </c>
      <c r="BY5" s="12" t="s">
        <v>952</v>
      </c>
      <c r="BZ5" s="12" t="s">
        <v>953</v>
      </c>
      <c r="CA5" s="12" t="s">
        <v>1192</v>
      </c>
      <c r="CB5" s="12" t="s">
        <v>1193</v>
      </c>
      <c r="CD5" s="12" t="s">
        <v>1163</v>
      </c>
      <c r="CE5" s="12" t="s">
        <v>1199</v>
      </c>
      <c r="CH5" s="12" t="s">
        <v>1162</v>
      </c>
      <c r="CI5" s="12" t="s">
        <v>1200</v>
      </c>
      <c r="CK5" s="12" t="s">
        <v>1206</v>
      </c>
      <c r="CL5" s="12" t="s">
        <v>1213</v>
      </c>
      <c r="CM5" s="12" t="s">
        <v>1212</v>
      </c>
      <c r="CO5" s="12" t="s">
        <v>1201</v>
      </c>
      <c r="CP5" s="12" t="s">
        <v>1202</v>
      </c>
      <c r="CQ5" s="12" t="s">
        <v>1175</v>
      </c>
      <c r="CR5" s="12" t="s">
        <v>1176</v>
      </c>
      <c r="CS5" s="12" t="s">
        <v>1177</v>
      </c>
      <c r="CT5" s="12" t="s">
        <v>1178</v>
      </c>
      <c r="CU5" s="12" t="s">
        <v>1179</v>
      </c>
      <c r="CV5" s="12" t="s">
        <v>1180</v>
      </c>
      <c r="CW5" s="12" t="s">
        <v>1181</v>
      </c>
      <c r="CX5" s="12" t="s">
        <v>1182</v>
      </c>
      <c r="CY5" s="12" t="s">
        <v>1183</v>
      </c>
      <c r="CZ5" s="12" t="s">
        <v>1184</v>
      </c>
      <c r="DA5" s="12" t="s">
        <v>1185</v>
      </c>
      <c r="DB5" s="12" t="s">
        <v>1203</v>
      </c>
      <c r="DE5" s="12" t="s">
        <v>1204</v>
      </c>
      <c r="DF5" s="12" t="s">
        <v>1205</v>
      </c>
      <c r="DG5" s="12" t="s">
        <v>1207</v>
      </c>
      <c r="DH5" s="12" t="s">
        <v>1206</v>
      </c>
      <c r="DI5" s="12" t="s">
        <v>1213</v>
      </c>
      <c r="DJ5" s="12" t="s">
        <v>1211</v>
      </c>
      <c r="DK5" s="12" t="s">
        <v>1209</v>
      </c>
      <c r="DL5" s="12" t="s">
        <v>1210</v>
      </c>
    </row>
    <row r="6" spans="1:116" ht="16.5" x14ac:dyDescent="0.2">
      <c r="A6" s="188"/>
      <c r="B6" s="188"/>
      <c r="C6" s="188"/>
      <c r="D6" s="188"/>
      <c r="E6" s="188"/>
      <c r="F6" s="188"/>
      <c r="G6" s="188"/>
      <c r="H6" s="188"/>
      <c r="I6" s="188"/>
      <c r="J6" s="188"/>
      <c r="K6" s="188"/>
      <c r="L6" s="188"/>
      <c r="M6" s="188"/>
      <c r="O6" s="100">
        <v>1</v>
      </c>
      <c r="P6" s="123">
        <f>SUMIFS(节奏总表!$N$5:$N$32,节奏总表!$L$5:$L$32,"&gt;="&amp;装备!Q6,节奏总表!$L$5:$L$32,"&lt;"&amp;装备!Q7)+SUMIFS(节奏总表!$O$5:$O$32,节奏总表!$L$5:$L$32,"&gt;="&amp;装备!Q6,节奏总表!$L$5:$L$32,"&lt;"&amp;装备!Q7)</f>
        <v>84</v>
      </c>
      <c r="Q6" s="100">
        <v>25</v>
      </c>
      <c r="R6" s="100">
        <v>1</v>
      </c>
      <c r="S6" s="100">
        <v>5</v>
      </c>
      <c r="T6" s="100">
        <v>15</v>
      </c>
      <c r="U6" s="100">
        <v>25</v>
      </c>
      <c r="V6" s="100">
        <v>50</v>
      </c>
      <c r="W6" s="139">
        <f>V6*4</f>
        <v>200</v>
      </c>
      <c r="X6" s="14">
        <f>SUMPRODUCT(S$3:V$3,S6:V6)</f>
        <v>10</v>
      </c>
      <c r="Y6">
        <f t="shared" ref="Y6:Y16" si="0">X6*60</f>
        <v>600</v>
      </c>
      <c r="AF6" s="139">
        <v>1</v>
      </c>
      <c r="AG6" s="139">
        <v>2</v>
      </c>
      <c r="AH6" s="21">
        <v>0.02</v>
      </c>
      <c r="AI6" s="139">
        <f>ROUND(INDEX(金币总表!$Z$5:$Z$12,装备!AG6)*装备!AH6/$AC$5,0)</f>
        <v>122</v>
      </c>
      <c r="AK6" s="139">
        <f>ROUND($AI6*AK$3/5,0)*5</f>
        <v>60</v>
      </c>
      <c r="AL6" s="139">
        <f t="shared" ref="AL6:AN21" si="1">ROUND($AI6*AL$3/5,0)*5</f>
        <v>100</v>
      </c>
      <c r="AM6" s="139">
        <f t="shared" si="1"/>
        <v>120</v>
      </c>
      <c r="AN6" s="139">
        <f t="shared" si="1"/>
        <v>145</v>
      </c>
      <c r="AQ6" s="139">
        <v>1</v>
      </c>
      <c r="AR6" s="139">
        <v>25</v>
      </c>
      <c r="AS6" s="139">
        <f>SUMIFS(节奏总表!$N$5:$N$32,节奏总表!$L$5:$L$32,"&gt;="&amp;装备!AT6,节奏总表!$L$5:$L$32,"&lt;"&amp;装备!AT7)</f>
        <v>72</v>
      </c>
      <c r="AT6" s="139">
        <v>25</v>
      </c>
      <c r="AU6" s="19">
        <v>0.5</v>
      </c>
      <c r="AV6" s="19">
        <v>0.3</v>
      </c>
      <c r="AW6" s="19">
        <v>0.15</v>
      </c>
      <c r="AX6" s="19">
        <v>0.05</v>
      </c>
      <c r="AY6" s="14">
        <f>SUMPRODUCT($S6:$V6,AU6:AX6)*6</f>
        <v>79.5</v>
      </c>
      <c r="BA6">
        <v>10</v>
      </c>
      <c r="BB6" s="139">
        <v>1</v>
      </c>
      <c r="BC6" s="139">
        <f>节奏总表!L5</f>
        <v>1</v>
      </c>
      <c r="BD6" s="139">
        <f>节奏总表!N5+2</f>
        <v>2</v>
      </c>
      <c r="BE6" s="139"/>
      <c r="BF6" s="139"/>
      <c r="BG6" s="139"/>
      <c r="BH6" s="139"/>
      <c r="BI6" s="139"/>
      <c r="BJ6" s="139"/>
      <c r="BK6" s="139"/>
      <c r="BL6" s="139"/>
      <c r="BM6" s="139"/>
      <c r="BN6" s="139"/>
      <c r="BO6" s="139"/>
      <c r="BP6" s="14">
        <f t="shared" ref="BP6:BP35" si="2">SUMPRODUCT(BE$3:BO$3,BE6:BO6)</f>
        <v>0</v>
      </c>
      <c r="BQ6" s="14">
        <f>BD6*BP6</f>
        <v>0</v>
      </c>
      <c r="BR6" s="14">
        <f>SUM(BQ$6:BQ6)</f>
        <v>0</v>
      </c>
      <c r="BU6" s="139">
        <v>1</v>
      </c>
      <c r="BV6" s="139">
        <v>25</v>
      </c>
      <c r="BW6" s="19">
        <v>0</v>
      </c>
      <c r="BX6" s="19">
        <v>0.5</v>
      </c>
      <c r="BY6" s="19">
        <v>0.35</v>
      </c>
      <c r="BZ6" s="19">
        <v>0.1</v>
      </c>
      <c r="CA6" s="21">
        <v>0.05</v>
      </c>
      <c r="CB6" s="139">
        <f>SUMPRODUCT(S6:W6,BW6:CA6)*(1+$BV$3)</f>
        <v>50</v>
      </c>
      <c r="CD6" s="139">
        <v>8</v>
      </c>
      <c r="CE6" s="139">
        <f>INDEX($BR$6:$BR$35,CD6)/CB6*CA6</f>
        <v>13.200600000000001</v>
      </c>
      <c r="CH6" s="139">
        <v>1</v>
      </c>
      <c r="CI6" s="139">
        <v>1</v>
      </c>
      <c r="CK6" s="144">
        <v>1</v>
      </c>
      <c r="CL6" s="144" t="s">
        <v>1214</v>
      </c>
      <c r="CM6" s="144">
        <v>2</v>
      </c>
      <c r="CO6" s="144">
        <v>20</v>
      </c>
      <c r="CP6" s="144" t="str">
        <f>CO6&amp;"级锻造"</f>
        <v>20级锻造</v>
      </c>
      <c r="CQ6" s="19">
        <v>1</v>
      </c>
      <c r="CR6" s="144"/>
      <c r="CS6" s="144"/>
      <c r="CT6" s="144"/>
      <c r="CU6" s="144"/>
      <c r="CV6" s="144"/>
      <c r="CW6" s="144"/>
      <c r="CX6" s="144"/>
      <c r="CY6" s="144"/>
      <c r="CZ6" s="144"/>
      <c r="DA6" s="144"/>
      <c r="DB6" s="144">
        <f>ROUND(SUMPRODUCT(CQ$3:DA$3,CQ6:DA6)/5,0)*5</f>
        <v>50</v>
      </c>
      <c r="DE6" s="144">
        <v>1</v>
      </c>
      <c r="DF6" s="144">
        <f>INT((DE6-1)/8)+1</f>
        <v>1</v>
      </c>
      <c r="DG6" s="144" t="s">
        <v>1208</v>
      </c>
      <c r="DH6" s="144">
        <f>DE6-(DF6-1)*8</f>
        <v>1</v>
      </c>
      <c r="DI6" s="144" t="str">
        <f>INDEX($CL$6:$CL$13,DH6)&amp;"锻造"</f>
        <v>灵器锻造</v>
      </c>
      <c r="DJ6" s="144" t="str">
        <f>"ui_dtex_Equ_0"&amp;DH6</f>
        <v>ui_dtex_Equ_01</v>
      </c>
      <c r="DK6" s="144" t="s">
        <v>1203</v>
      </c>
      <c r="DL6" s="144">
        <f>ROUND(INDEX($DB$6:$DB$26,DF6)*INDEX($CM$6:$CM$13,DH6)/5,0)*5</f>
        <v>100</v>
      </c>
    </row>
    <row r="7" spans="1:116" ht="16.5" x14ac:dyDescent="0.2">
      <c r="A7" s="188"/>
      <c r="B7" s="188"/>
      <c r="C7" s="188"/>
      <c r="D7" s="188"/>
      <c r="E7" s="188"/>
      <c r="F7" s="188"/>
      <c r="G7" s="188"/>
      <c r="H7" s="188"/>
      <c r="I7" s="188"/>
      <c r="J7" s="188"/>
      <c r="K7" s="188"/>
      <c r="L7" s="188"/>
      <c r="M7" s="188"/>
      <c r="O7" s="100">
        <v>2</v>
      </c>
      <c r="P7" s="123">
        <f>SUMIFS(节奏总表!$N$5:$N$32,节奏总表!$L$5:$L$32,"&gt;="&amp;装备!Q7,节奏总表!$L$5:$L$32,"&lt;"&amp;装备!Q8)+SUMIFS(节奏总表!$O$5:$O$32,节奏总表!$L$5:$L$32,"&gt;="&amp;装备!Q7,节奏总表!$L$5:$L$32,"&lt;"&amp;装备!Q8)</f>
        <v>148</v>
      </c>
      <c r="Q7" s="100">
        <v>40</v>
      </c>
      <c r="R7" s="100">
        <v>1.6</v>
      </c>
      <c r="S7" s="100">
        <f>$R7*S$6</f>
        <v>8</v>
      </c>
      <c r="T7" s="100">
        <f t="shared" ref="T7:V16" si="3">$R7*T$6</f>
        <v>24</v>
      </c>
      <c r="U7" s="100">
        <f t="shared" si="3"/>
        <v>40</v>
      </c>
      <c r="V7" s="100">
        <f t="shared" si="3"/>
        <v>80</v>
      </c>
      <c r="W7" s="139">
        <f t="shared" ref="W7:W16" si="4">V7*4</f>
        <v>320</v>
      </c>
      <c r="X7" s="14">
        <f t="shared" ref="X7:X16" si="5">SUMPRODUCT(S$3:V$3,S7:V7)</f>
        <v>16</v>
      </c>
      <c r="Y7" s="117">
        <f t="shared" si="0"/>
        <v>960</v>
      </c>
      <c r="AF7" s="139">
        <v>2</v>
      </c>
      <c r="AG7" s="139">
        <v>2</v>
      </c>
      <c r="AH7" s="21">
        <v>2.0919500000000001E-2</v>
      </c>
      <c r="AI7" s="139">
        <f>ROUND(INDEX(金币总表!$Z$5:$Z$12,装备!AG7)*装备!AH7/$AC$5,0)</f>
        <v>127</v>
      </c>
      <c r="AK7" s="139">
        <f t="shared" ref="AK7:AN38" si="6">ROUND($AI7*AK$3/5,0)*5</f>
        <v>65</v>
      </c>
      <c r="AL7" s="139">
        <f t="shared" si="1"/>
        <v>100</v>
      </c>
      <c r="AM7" s="139">
        <f t="shared" si="1"/>
        <v>125</v>
      </c>
      <c r="AN7" s="139">
        <f t="shared" si="1"/>
        <v>150</v>
      </c>
      <c r="AQ7" s="139">
        <v>2</v>
      </c>
      <c r="AR7" s="139">
        <v>40</v>
      </c>
      <c r="AS7" s="139">
        <f>SUMIFS(节奏总表!$N$5:$N$32,节奏总表!$L$5:$L$32,"&gt;="&amp;装备!AT7,节奏总表!$L$5:$L$32,"&lt;"&amp;装备!AT8)</f>
        <v>132</v>
      </c>
      <c r="AT7" s="139">
        <v>40</v>
      </c>
      <c r="AU7" s="19">
        <v>0.5</v>
      </c>
      <c r="AV7" s="19">
        <v>0.3</v>
      </c>
      <c r="AW7" s="19">
        <v>0.17</v>
      </c>
      <c r="AX7" s="19">
        <v>0.03</v>
      </c>
      <c r="AY7" s="14">
        <f t="shared" ref="AY7:AY16" si="7">SUMPRODUCT($S7:$V7,AU7:AX7)*6</f>
        <v>122.39999999999999</v>
      </c>
      <c r="BA7">
        <v>15</v>
      </c>
      <c r="BB7" s="139">
        <v>2</v>
      </c>
      <c r="BC7" s="163">
        <f>节奏总表!L6</f>
        <v>7</v>
      </c>
      <c r="BD7" s="163">
        <f>节奏总表!N6+2</f>
        <v>6</v>
      </c>
      <c r="BE7" s="139"/>
      <c r="BF7" s="139"/>
      <c r="BG7" s="139"/>
      <c r="BH7" s="139"/>
      <c r="BI7" s="139"/>
      <c r="BJ7" s="139"/>
      <c r="BK7" s="139"/>
      <c r="BL7" s="139"/>
      <c r="BM7" s="139"/>
      <c r="BN7" s="139"/>
      <c r="BO7" s="139"/>
      <c r="BP7" s="14">
        <f t="shared" si="2"/>
        <v>0</v>
      </c>
      <c r="BQ7" s="14">
        <f t="shared" ref="BQ7:BQ35" si="8">BD7*BP7</f>
        <v>0</v>
      </c>
      <c r="BR7" s="14">
        <f>SUM(BQ$6:BQ7)</f>
        <v>0</v>
      </c>
      <c r="BU7" s="139">
        <v>2</v>
      </c>
      <c r="BV7" s="139">
        <v>40</v>
      </c>
      <c r="BW7" s="19">
        <v>0</v>
      </c>
      <c r="BX7" s="19">
        <v>0.5</v>
      </c>
      <c r="BY7" s="19">
        <v>0.35</v>
      </c>
      <c r="BZ7" s="19">
        <v>0.1</v>
      </c>
      <c r="CA7" s="21">
        <v>0.05</v>
      </c>
      <c r="CB7" s="139">
        <f t="shared" ref="CB7:CB16" si="9">SUMPRODUCT(S7:W7,BW7:CA7)*(1+$BV$3)</f>
        <v>80</v>
      </c>
      <c r="CD7" s="139">
        <v>12</v>
      </c>
      <c r="CE7" s="139">
        <f t="shared" ref="CE7:CE16" si="10">INDEX($BR$6:$BR$35,CD7)/CB7*CA7</f>
        <v>22.4840625</v>
      </c>
      <c r="CH7" s="139">
        <v>2</v>
      </c>
      <c r="CI7" s="139">
        <v>10</v>
      </c>
      <c r="CK7" s="144">
        <v>2</v>
      </c>
      <c r="CL7" s="144" t="s">
        <v>1215</v>
      </c>
      <c r="CM7" s="144">
        <v>1</v>
      </c>
      <c r="CO7" s="144">
        <v>30</v>
      </c>
      <c r="CP7" s="144" t="str">
        <f t="shared" ref="CP7:CP26" si="11">CO7&amp;"级锻造"</f>
        <v>30级锻造</v>
      </c>
      <c r="CQ7" s="19">
        <v>0.8</v>
      </c>
      <c r="CR7" s="19">
        <v>0.2</v>
      </c>
      <c r="CS7" s="144"/>
      <c r="CT7" s="144"/>
      <c r="CU7" s="144"/>
      <c r="CV7" s="144"/>
      <c r="CW7" s="144"/>
      <c r="CX7" s="144"/>
      <c r="CY7" s="144"/>
      <c r="CZ7" s="144"/>
      <c r="DA7" s="144"/>
      <c r="DB7" s="144">
        <f t="shared" ref="DB7:DB26" si="12">ROUND(SUMPRODUCT(CQ$3:DA$3,CQ7:DA7)/5,0)*5</f>
        <v>55</v>
      </c>
      <c r="DE7" s="144">
        <v>2</v>
      </c>
      <c r="DF7" s="144">
        <f t="shared" ref="DF7:DF70" si="13">INT((DE7-1)/8)+1</f>
        <v>1</v>
      </c>
      <c r="DG7" s="144" t="s">
        <v>1208</v>
      </c>
      <c r="DH7" s="144">
        <f t="shared" ref="DH7:DH70" si="14">DE7-(DF7-1)*8</f>
        <v>2</v>
      </c>
      <c r="DI7" s="144" t="str">
        <f t="shared" ref="DI7:DI70" si="15">INDEX($CL$6:$CL$13,DH7)&amp;"锻造"</f>
        <v>头盔锻造</v>
      </c>
      <c r="DJ7" s="144" t="str">
        <f t="shared" ref="DJ7:DJ70" si="16">"ui_dtex_Equ_0"&amp;DH7</f>
        <v>ui_dtex_Equ_02</v>
      </c>
      <c r="DK7" s="144" t="s">
        <v>1203</v>
      </c>
      <c r="DL7" s="144">
        <f t="shared" ref="DL7:DL70" si="17">ROUND(INDEX($DB$6:$DB$26,DF7)*INDEX($CM$6:$CM$13,DH7)/5,0)*5</f>
        <v>50</v>
      </c>
    </row>
    <row r="8" spans="1:116" ht="16.5" x14ac:dyDescent="0.2">
      <c r="A8" s="188"/>
      <c r="B8" s="188"/>
      <c r="C8" s="188"/>
      <c r="D8" s="188"/>
      <c r="E8" s="188"/>
      <c r="F8" s="188"/>
      <c r="G8" s="188"/>
      <c r="H8" s="188"/>
      <c r="I8" s="188"/>
      <c r="J8" s="188"/>
      <c r="K8" s="188"/>
      <c r="L8" s="188"/>
      <c r="M8" s="188"/>
      <c r="O8" s="100">
        <v>3</v>
      </c>
      <c r="P8" s="123">
        <f>SUMIFS(节奏总表!$N$5:$N$32,节奏总表!$L$5:$L$32,"&gt;="&amp;装备!Q8,节奏总表!$L$5:$L$32,"&lt;"&amp;装备!Q9)+SUMIFS(节奏总表!$O$5:$O$32,节奏总表!$L$5:$L$32,"&gt;="&amp;装备!Q8,节奏总表!$L$5:$L$32,"&lt;"&amp;装备!Q9)</f>
        <v>253</v>
      </c>
      <c r="Q8" s="100">
        <v>60</v>
      </c>
      <c r="R8" s="100">
        <v>2</v>
      </c>
      <c r="S8" s="100">
        <f t="shared" ref="S8:S16" si="18">$R8*S$6</f>
        <v>10</v>
      </c>
      <c r="T8" s="100">
        <f t="shared" si="3"/>
        <v>30</v>
      </c>
      <c r="U8" s="100">
        <f t="shared" si="3"/>
        <v>50</v>
      </c>
      <c r="V8" s="100">
        <f t="shared" si="3"/>
        <v>100</v>
      </c>
      <c r="W8" s="139">
        <f t="shared" si="4"/>
        <v>400</v>
      </c>
      <c r="X8" s="14">
        <f t="shared" si="5"/>
        <v>20</v>
      </c>
      <c r="Y8" s="117">
        <f t="shared" si="0"/>
        <v>1200</v>
      </c>
      <c r="AF8" s="139">
        <v>3</v>
      </c>
      <c r="AG8" s="139">
        <v>2</v>
      </c>
      <c r="AH8" s="21">
        <v>2.1839000000000001E-2</v>
      </c>
      <c r="AI8" s="139">
        <f>ROUND(INDEX(金币总表!$Z$5:$Z$12,装备!AG8)*装备!AH8/$AC$5,0)</f>
        <v>133</v>
      </c>
      <c r="AK8" s="139">
        <f t="shared" si="6"/>
        <v>65</v>
      </c>
      <c r="AL8" s="139">
        <f t="shared" si="1"/>
        <v>105</v>
      </c>
      <c r="AM8" s="139">
        <f t="shared" si="1"/>
        <v>135</v>
      </c>
      <c r="AN8" s="139">
        <f t="shared" si="1"/>
        <v>160</v>
      </c>
      <c r="AQ8" s="139">
        <v>3</v>
      </c>
      <c r="AR8" s="139">
        <v>60</v>
      </c>
      <c r="AS8" s="139">
        <f>SUMIFS(节奏总表!$N$5:$N$32,节奏总表!$L$5:$L$32,"&gt;="&amp;装备!AT8,节奏总表!$L$5:$L$32,"&lt;"&amp;装备!AT9)</f>
        <v>237</v>
      </c>
      <c r="AT8" s="139">
        <v>60</v>
      </c>
      <c r="AU8" s="19">
        <v>0.5</v>
      </c>
      <c r="AV8" s="19">
        <v>0.35</v>
      </c>
      <c r="AW8" s="19">
        <v>0.15</v>
      </c>
      <c r="AX8" s="19">
        <v>0</v>
      </c>
      <c r="AY8" s="14">
        <f t="shared" si="7"/>
        <v>138</v>
      </c>
      <c r="BA8">
        <v>20</v>
      </c>
      <c r="BB8" s="139">
        <v>3</v>
      </c>
      <c r="BC8" s="163">
        <f>节奏总表!L7</f>
        <v>15</v>
      </c>
      <c r="BD8" s="163">
        <f>节奏总表!N7+2</f>
        <v>22</v>
      </c>
      <c r="BE8" s="19">
        <v>0.5</v>
      </c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4">
        <f t="shared" si="2"/>
        <v>39.75</v>
      </c>
      <c r="BQ8" s="14">
        <f t="shared" si="8"/>
        <v>874.5</v>
      </c>
      <c r="BR8" s="14">
        <f>SUM(BQ$6:BQ8)</f>
        <v>874.5</v>
      </c>
      <c r="BU8" s="139">
        <v>3</v>
      </c>
      <c r="BV8" s="139">
        <v>60</v>
      </c>
      <c r="BW8" s="19">
        <v>0</v>
      </c>
      <c r="BX8" s="19">
        <v>0.5</v>
      </c>
      <c r="BY8" s="19">
        <v>0.35</v>
      </c>
      <c r="BZ8" s="19">
        <v>0.1</v>
      </c>
      <c r="CA8" s="21">
        <v>0.05</v>
      </c>
      <c r="CB8" s="139">
        <f t="shared" si="9"/>
        <v>100</v>
      </c>
      <c r="CD8" s="139">
        <v>16</v>
      </c>
      <c r="CE8" s="139">
        <f t="shared" si="10"/>
        <v>45.900150000000004</v>
      </c>
      <c r="CH8" s="139">
        <v>3</v>
      </c>
      <c r="CI8" s="139">
        <v>15</v>
      </c>
      <c r="CK8" s="144">
        <v>3</v>
      </c>
      <c r="CL8" s="144" t="s">
        <v>1216</v>
      </c>
      <c r="CM8" s="144">
        <v>1</v>
      </c>
      <c r="CO8" s="144">
        <v>40</v>
      </c>
      <c r="CP8" s="144" t="str">
        <f t="shared" si="11"/>
        <v>40级锻造</v>
      </c>
      <c r="CQ8" s="19">
        <v>0.5</v>
      </c>
      <c r="CR8" s="19">
        <v>0.5</v>
      </c>
      <c r="CS8" s="144"/>
      <c r="CT8" s="144"/>
      <c r="CU8" s="144"/>
      <c r="CV8" s="144"/>
      <c r="CW8" s="144"/>
      <c r="CX8" s="144"/>
      <c r="CY8" s="144"/>
      <c r="CZ8" s="144"/>
      <c r="DA8" s="144"/>
      <c r="DB8" s="144">
        <f t="shared" si="12"/>
        <v>65</v>
      </c>
      <c r="DE8" s="144">
        <v>3</v>
      </c>
      <c r="DF8" s="144">
        <f t="shared" si="13"/>
        <v>1</v>
      </c>
      <c r="DG8" s="144" t="s">
        <v>1208</v>
      </c>
      <c r="DH8" s="144">
        <f t="shared" si="14"/>
        <v>3</v>
      </c>
      <c r="DI8" s="144" t="str">
        <f t="shared" si="15"/>
        <v>铠甲锻造</v>
      </c>
      <c r="DJ8" s="144" t="str">
        <f t="shared" si="16"/>
        <v>ui_dtex_Equ_03</v>
      </c>
      <c r="DK8" s="144" t="s">
        <v>1203</v>
      </c>
      <c r="DL8" s="144">
        <f t="shared" si="17"/>
        <v>50</v>
      </c>
    </row>
    <row r="9" spans="1:116" ht="16.5" x14ac:dyDescent="0.2">
      <c r="A9" s="188"/>
      <c r="B9" s="188"/>
      <c r="C9" s="188"/>
      <c r="D9" s="188"/>
      <c r="E9" s="188"/>
      <c r="F9" s="188"/>
      <c r="G9" s="188"/>
      <c r="H9" s="188"/>
      <c r="I9" s="188"/>
      <c r="J9" s="188"/>
      <c r="K9" s="188"/>
      <c r="L9" s="188"/>
      <c r="M9" s="188"/>
      <c r="O9" s="100">
        <v>4</v>
      </c>
      <c r="P9" s="123">
        <f>SUMIFS(节奏总表!$N$5:$N$32,节奏总表!$L$5:$L$32,"&gt;="&amp;装备!Q9,节奏总表!$L$5:$L$32,"&lt;"&amp;装备!Q10)+SUMIFS(节奏总表!$O$5:$O$32,节奏总表!$L$5:$L$32,"&gt;="&amp;装备!Q9,节奏总表!$L$5:$L$32,"&lt;"&amp;装备!Q10)</f>
        <v>203</v>
      </c>
      <c r="Q9" s="100">
        <v>80</v>
      </c>
      <c r="R9" s="100">
        <v>3</v>
      </c>
      <c r="S9" s="100">
        <f t="shared" si="18"/>
        <v>15</v>
      </c>
      <c r="T9" s="100">
        <f t="shared" si="3"/>
        <v>45</v>
      </c>
      <c r="U9" s="100">
        <f t="shared" si="3"/>
        <v>75</v>
      </c>
      <c r="V9" s="100">
        <f t="shared" si="3"/>
        <v>150</v>
      </c>
      <c r="W9" s="139">
        <f t="shared" si="4"/>
        <v>600</v>
      </c>
      <c r="X9" s="14">
        <f t="shared" si="5"/>
        <v>30</v>
      </c>
      <c r="Y9" s="117">
        <f t="shared" si="0"/>
        <v>1800</v>
      </c>
      <c r="AF9" s="139">
        <v>4</v>
      </c>
      <c r="AG9" s="139">
        <v>2</v>
      </c>
      <c r="AH9" s="21">
        <v>2.2758500000000001E-2</v>
      </c>
      <c r="AI9" s="139">
        <f>ROUND(INDEX(金币总表!$Z$5:$Z$12,装备!AG9)*装备!AH9/$AC$5,0)</f>
        <v>139</v>
      </c>
      <c r="AK9" s="139">
        <f t="shared" si="6"/>
        <v>70</v>
      </c>
      <c r="AL9" s="139">
        <f t="shared" si="1"/>
        <v>110</v>
      </c>
      <c r="AM9" s="139">
        <f t="shared" si="1"/>
        <v>140</v>
      </c>
      <c r="AN9" s="139">
        <f t="shared" si="1"/>
        <v>165</v>
      </c>
      <c r="AQ9" s="139">
        <v>4</v>
      </c>
      <c r="AR9" s="139">
        <v>80</v>
      </c>
      <c r="AS9" s="139">
        <f>SUMIFS(节奏总表!$N$5:$N$32,节奏总表!$L$5:$L$32,"&gt;="&amp;装备!AT9,节奏总表!$L$5:$L$32,"&lt;"&amp;装备!AT10)</f>
        <v>195</v>
      </c>
      <c r="AT9" s="139">
        <v>80</v>
      </c>
      <c r="AU9" s="19">
        <v>0.55000000000000004</v>
      </c>
      <c r="AV9" s="19">
        <v>0.33</v>
      </c>
      <c r="AW9" s="19">
        <v>0.12</v>
      </c>
      <c r="AX9" s="19">
        <v>0</v>
      </c>
      <c r="AY9" s="14">
        <f t="shared" si="7"/>
        <v>192.60000000000002</v>
      </c>
      <c r="BA9">
        <v>25</v>
      </c>
      <c r="BB9" s="139">
        <v>4</v>
      </c>
      <c r="BC9" s="163">
        <f>节奏总表!L8</f>
        <v>25</v>
      </c>
      <c r="BD9" s="163">
        <f>节奏总表!N8+2</f>
        <v>24</v>
      </c>
      <c r="BE9" s="19">
        <v>0.75</v>
      </c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4">
        <f t="shared" si="2"/>
        <v>59.625</v>
      </c>
      <c r="BQ9" s="14">
        <f t="shared" si="8"/>
        <v>1431</v>
      </c>
      <c r="BR9" s="14">
        <f>SUM(BQ$6:BQ9)</f>
        <v>2305.5</v>
      </c>
      <c r="BU9" s="139">
        <v>4</v>
      </c>
      <c r="BV9" s="139">
        <v>80</v>
      </c>
      <c r="BW9" s="19">
        <v>0</v>
      </c>
      <c r="BX9" s="19">
        <v>0.5</v>
      </c>
      <c r="BY9" s="19">
        <v>0.35</v>
      </c>
      <c r="BZ9" s="19">
        <v>0.125</v>
      </c>
      <c r="CA9" s="21">
        <v>2.5000000000000001E-2</v>
      </c>
      <c r="CB9" s="139">
        <f t="shared" si="9"/>
        <v>132</v>
      </c>
      <c r="CD9" s="139">
        <v>20</v>
      </c>
      <c r="CE9" s="139">
        <f t="shared" si="10"/>
        <v>41.374147727272728</v>
      </c>
      <c r="CH9" s="139">
        <v>4</v>
      </c>
      <c r="CI9" s="139">
        <v>20</v>
      </c>
      <c r="CK9" s="144">
        <v>4</v>
      </c>
      <c r="CL9" s="144" t="s">
        <v>1217</v>
      </c>
      <c r="CM9" s="144">
        <v>1</v>
      </c>
      <c r="CO9" s="144">
        <v>50</v>
      </c>
      <c r="CP9" s="144" t="str">
        <f t="shared" si="11"/>
        <v>50级锻造</v>
      </c>
      <c r="CQ9" s="19">
        <v>0.3</v>
      </c>
      <c r="CR9" s="19">
        <v>0.5</v>
      </c>
      <c r="CS9" s="19">
        <v>0.2</v>
      </c>
      <c r="CT9" s="144"/>
      <c r="CU9" s="144"/>
      <c r="CV9" s="144"/>
      <c r="CW9" s="144"/>
      <c r="CX9" s="144"/>
      <c r="CY9" s="144"/>
      <c r="CZ9" s="144"/>
      <c r="DA9" s="144"/>
      <c r="DB9" s="144">
        <f t="shared" si="12"/>
        <v>75</v>
      </c>
      <c r="DE9" s="144">
        <v>4</v>
      </c>
      <c r="DF9" s="144">
        <f t="shared" si="13"/>
        <v>1</v>
      </c>
      <c r="DG9" s="144" t="s">
        <v>1208</v>
      </c>
      <c r="DH9" s="144">
        <f t="shared" si="14"/>
        <v>4</v>
      </c>
      <c r="DI9" s="144" t="str">
        <f t="shared" si="15"/>
        <v>裤子锻造</v>
      </c>
      <c r="DJ9" s="144" t="str">
        <f t="shared" si="16"/>
        <v>ui_dtex_Equ_04</v>
      </c>
      <c r="DK9" s="144" t="s">
        <v>1203</v>
      </c>
      <c r="DL9" s="144">
        <f t="shared" si="17"/>
        <v>50</v>
      </c>
    </row>
    <row r="10" spans="1:116" ht="16.5" x14ac:dyDescent="0.2">
      <c r="A10" s="188"/>
      <c r="B10" s="188"/>
      <c r="C10" s="188"/>
      <c r="D10" s="188"/>
      <c r="E10" s="188"/>
      <c r="F10" s="188"/>
      <c r="G10" s="188"/>
      <c r="H10" s="188"/>
      <c r="I10" s="188"/>
      <c r="J10" s="188"/>
      <c r="K10" s="188"/>
      <c r="L10" s="188"/>
      <c r="M10" s="188"/>
      <c r="O10" s="100">
        <v>5</v>
      </c>
      <c r="P10" s="123">
        <f>SUMIFS(节奏总表!$N$5:$N$32,节奏总表!$L$5:$L$32,"&gt;="&amp;装备!Q10,节奏总表!$L$5:$L$32,"&lt;"&amp;装备!Q11)+SUMIFS(节奏总表!$O$5:$O$32,节奏总表!$L$5:$L$32,"&gt;="&amp;装备!Q10,节奏总表!$L$5:$L$32,"&lt;"&amp;装备!Q11)</f>
        <v>240</v>
      </c>
      <c r="Q10" s="100">
        <v>90</v>
      </c>
      <c r="R10" s="100">
        <v>4</v>
      </c>
      <c r="S10" s="100">
        <f t="shared" si="18"/>
        <v>20</v>
      </c>
      <c r="T10" s="100">
        <f t="shared" si="3"/>
        <v>60</v>
      </c>
      <c r="U10" s="100">
        <f t="shared" si="3"/>
        <v>100</v>
      </c>
      <c r="V10" s="100">
        <f t="shared" si="3"/>
        <v>200</v>
      </c>
      <c r="W10" s="139">
        <f t="shared" si="4"/>
        <v>800</v>
      </c>
      <c r="X10" s="14">
        <f t="shared" si="5"/>
        <v>40</v>
      </c>
      <c r="Y10" s="117">
        <f t="shared" si="0"/>
        <v>2400</v>
      </c>
      <c r="AF10" s="139">
        <v>5</v>
      </c>
      <c r="AG10" s="139">
        <v>2</v>
      </c>
      <c r="AH10" s="21">
        <v>2.3678000000000001E-2</v>
      </c>
      <c r="AI10" s="139">
        <f>ROUND(INDEX(金币总表!$Z$5:$Z$12,装备!AG10)*装备!AH10/$AC$5,0)</f>
        <v>144</v>
      </c>
      <c r="AK10" s="139">
        <f t="shared" si="6"/>
        <v>70</v>
      </c>
      <c r="AL10" s="139">
        <f t="shared" si="1"/>
        <v>115</v>
      </c>
      <c r="AM10" s="139">
        <f t="shared" si="1"/>
        <v>145</v>
      </c>
      <c r="AN10" s="139">
        <f t="shared" si="1"/>
        <v>175</v>
      </c>
      <c r="AQ10" s="139">
        <v>5</v>
      </c>
      <c r="AR10" s="139">
        <v>90</v>
      </c>
      <c r="AS10" s="139">
        <f>SUMIFS(节奏总表!$N$5:$N$32,节奏总表!$L$5:$L$32,"&gt;="&amp;装备!AT10,节奏总表!$L$5:$L$32,"&lt;"&amp;装备!AT11)</f>
        <v>232</v>
      </c>
      <c r="AT10" s="139">
        <v>90</v>
      </c>
      <c r="AU10" s="19">
        <v>0.6</v>
      </c>
      <c r="AV10" s="19">
        <v>0.3</v>
      </c>
      <c r="AW10" s="19">
        <v>0.1</v>
      </c>
      <c r="AX10" s="19">
        <v>0</v>
      </c>
      <c r="AY10" s="14">
        <f t="shared" si="7"/>
        <v>240</v>
      </c>
      <c r="BA10">
        <v>30</v>
      </c>
      <c r="BB10" s="139">
        <v>5</v>
      </c>
      <c r="BC10" s="163">
        <f>节奏总表!L9</f>
        <v>30</v>
      </c>
      <c r="BD10" s="163">
        <f>节奏总表!N9+2</f>
        <v>26</v>
      </c>
      <c r="BE10" s="19">
        <v>1</v>
      </c>
      <c r="BF10" s="139"/>
      <c r="BG10" s="139"/>
      <c r="BH10" s="139"/>
      <c r="BI10" s="139"/>
      <c r="BJ10" s="139"/>
      <c r="BK10" s="139"/>
      <c r="BL10" s="139"/>
      <c r="BM10" s="139"/>
      <c r="BN10" s="139"/>
      <c r="BO10" s="139"/>
      <c r="BP10" s="14">
        <f t="shared" si="2"/>
        <v>79.5</v>
      </c>
      <c r="BQ10" s="14">
        <f t="shared" si="8"/>
        <v>2067</v>
      </c>
      <c r="BR10" s="14">
        <f>SUM(BQ$6:BQ10)</f>
        <v>4372.5</v>
      </c>
      <c r="BU10" s="139">
        <v>5</v>
      </c>
      <c r="BV10" s="139">
        <v>90</v>
      </c>
      <c r="BW10" s="19">
        <v>0</v>
      </c>
      <c r="BX10" s="19">
        <v>0.5</v>
      </c>
      <c r="BY10" s="19">
        <v>0.35</v>
      </c>
      <c r="BZ10" s="19">
        <v>0.125</v>
      </c>
      <c r="CA10" s="21">
        <v>2.5000000000000001E-2</v>
      </c>
      <c r="CB10" s="139">
        <f t="shared" si="9"/>
        <v>176</v>
      </c>
      <c r="CD10" s="139">
        <v>22</v>
      </c>
      <c r="CE10" s="139">
        <f t="shared" si="10"/>
        <v>44.401917613636364</v>
      </c>
      <c r="CH10" s="139">
        <v>5</v>
      </c>
      <c r="CI10" s="139">
        <v>25</v>
      </c>
      <c r="CK10" s="144">
        <v>5</v>
      </c>
      <c r="CL10" s="144" t="s">
        <v>1218</v>
      </c>
      <c r="CM10" s="144">
        <v>1</v>
      </c>
      <c r="CO10" s="144">
        <v>60</v>
      </c>
      <c r="CP10" s="144" t="str">
        <f t="shared" si="11"/>
        <v>60级锻造</v>
      </c>
      <c r="CQ10" s="19">
        <v>0.2</v>
      </c>
      <c r="CR10" s="19">
        <v>0.3</v>
      </c>
      <c r="CS10" s="19">
        <v>0.5</v>
      </c>
      <c r="CT10" s="144"/>
      <c r="CU10" s="144"/>
      <c r="CV10" s="144"/>
      <c r="CW10" s="144"/>
      <c r="CX10" s="144"/>
      <c r="CY10" s="144"/>
      <c r="CZ10" s="144"/>
      <c r="DA10" s="144"/>
      <c r="DB10" s="144">
        <f t="shared" si="12"/>
        <v>85</v>
      </c>
      <c r="DE10" s="144">
        <v>5</v>
      </c>
      <c r="DF10" s="144">
        <f t="shared" si="13"/>
        <v>1</v>
      </c>
      <c r="DG10" s="144" t="s">
        <v>1208</v>
      </c>
      <c r="DH10" s="144">
        <f t="shared" si="14"/>
        <v>5</v>
      </c>
      <c r="DI10" s="144" t="str">
        <f t="shared" si="15"/>
        <v>鞋子锻造</v>
      </c>
      <c r="DJ10" s="144" t="str">
        <f t="shared" si="16"/>
        <v>ui_dtex_Equ_05</v>
      </c>
      <c r="DK10" s="144" t="s">
        <v>1203</v>
      </c>
      <c r="DL10" s="144">
        <f t="shared" si="17"/>
        <v>50</v>
      </c>
    </row>
    <row r="11" spans="1:116" ht="16.5" x14ac:dyDescent="0.2">
      <c r="A11" s="188"/>
      <c r="B11" s="188"/>
      <c r="C11" s="188"/>
      <c r="D11" s="188"/>
      <c r="E11" s="188"/>
      <c r="F11" s="188"/>
      <c r="G11" s="188"/>
      <c r="H11" s="188"/>
      <c r="I11" s="188"/>
      <c r="J11" s="188"/>
      <c r="K11" s="188"/>
      <c r="L11" s="188"/>
      <c r="M11" s="188"/>
      <c r="O11" s="100">
        <v>6</v>
      </c>
      <c r="P11" s="123">
        <f>SUMIFS(节奏总表!$N$5:$N$32,节奏总表!$L$5:$L$32,"&gt;="&amp;装备!Q11,节奏总表!$L$5:$L$32,"&lt;"&amp;装备!Q12)+SUMIFS(节奏总表!$O$5:$O$32,节奏总表!$L$5:$L$32,"&gt;="&amp;装备!Q11,节奏总表!$L$5:$L$32,"&lt;"&amp;装备!Q12)</f>
        <v>263</v>
      </c>
      <c r="Q11" s="100">
        <v>100</v>
      </c>
      <c r="R11" s="100">
        <v>5</v>
      </c>
      <c r="S11" s="100">
        <f t="shared" si="18"/>
        <v>25</v>
      </c>
      <c r="T11" s="100">
        <f t="shared" si="3"/>
        <v>75</v>
      </c>
      <c r="U11" s="100">
        <f t="shared" si="3"/>
        <v>125</v>
      </c>
      <c r="V11" s="100">
        <f t="shared" si="3"/>
        <v>250</v>
      </c>
      <c r="W11" s="139">
        <f t="shared" si="4"/>
        <v>1000</v>
      </c>
      <c r="X11" s="14">
        <f t="shared" si="5"/>
        <v>50</v>
      </c>
      <c r="Y11" s="117">
        <f t="shared" si="0"/>
        <v>3000</v>
      </c>
      <c r="AF11" s="139">
        <v>6</v>
      </c>
      <c r="AG11" s="139">
        <v>2</v>
      </c>
      <c r="AH11" s="21">
        <v>2.4597500000000001E-2</v>
      </c>
      <c r="AI11" s="139">
        <f>ROUND(INDEX(金币总表!$Z$5:$Z$12,装备!AG11)*装备!AH11/$AC$5,0)</f>
        <v>150</v>
      </c>
      <c r="AK11" s="139">
        <f t="shared" si="6"/>
        <v>75</v>
      </c>
      <c r="AL11" s="139">
        <f t="shared" si="1"/>
        <v>120</v>
      </c>
      <c r="AM11" s="139">
        <f t="shared" si="1"/>
        <v>150</v>
      </c>
      <c r="AN11" s="139">
        <f t="shared" si="1"/>
        <v>180</v>
      </c>
      <c r="AQ11" s="139">
        <v>6</v>
      </c>
      <c r="AR11" s="139">
        <v>100</v>
      </c>
      <c r="AS11" s="139">
        <f>SUMIFS(节奏总表!$N$5:$N$32,节奏总表!$L$5:$L$32,"&gt;="&amp;装备!AT11,节奏总表!$L$5:$L$32,"&lt;"&amp;装备!AT12)</f>
        <v>255</v>
      </c>
      <c r="AT11" s="139">
        <v>100</v>
      </c>
      <c r="AU11" s="19">
        <v>0.6</v>
      </c>
      <c r="AV11" s="19">
        <v>0.32</v>
      </c>
      <c r="AW11" s="19">
        <v>0.08</v>
      </c>
      <c r="AX11" s="19">
        <v>0</v>
      </c>
      <c r="AY11" s="14">
        <f t="shared" si="7"/>
        <v>294</v>
      </c>
      <c r="BA11">
        <v>35</v>
      </c>
      <c r="BB11" s="139">
        <v>6</v>
      </c>
      <c r="BC11" s="163">
        <f>节奏总表!L10</f>
        <v>35</v>
      </c>
      <c r="BD11" s="163">
        <f>节奏总表!N10+2</f>
        <v>28</v>
      </c>
      <c r="BE11" s="19">
        <v>1</v>
      </c>
      <c r="BF11" s="139"/>
      <c r="BG11" s="139"/>
      <c r="BH11" s="139"/>
      <c r="BI11" s="139"/>
      <c r="BJ11" s="139"/>
      <c r="BK11" s="139"/>
      <c r="BL11" s="139"/>
      <c r="BM11" s="139"/>
      <c r="BN11" s="139"/>
      <c r="BO11" s="139"/>
      <c r="BP11" s="14">
        <f t="shared" si="2"/>
        <v>79.5</v>
      </c>
      <c r="BQ11" s="14">
        <f t="shared" si="8"/>
        <v>2226</v>
      </c>
      <c r="BR11" s="14">
        <f>SUM(BQ$6:BQ11)</f>
        <v>6598.5</v>
      </c>
      <c r="BU11" s="139">
        <v>6</v>
      </c>
      <c r="BV11" s="139">
        <v>100</v>
      </c>
      <c r="BW11" s="19">
        <v>0</v>
      </c>
      <c r="BX11" s="19">
        <v>0.5</v>
      </c>
      <c r="BY11" s="19">
        <v>0.35</v>
      </c>
      <c r="BZ11" s="19">
        <v>0.13</v>
      </c>
      <c r="CA11" s="21">
        <v>0.02</v>
      </c>
      <c r="CB11" s="139">
        <f t="shared" si="9"/>
        <v>214</v>
      </c>
      <c r="CD11" s="139">
        <v>24</v>
      </c>
      <c r="CE11" s="139">
        <f t="shared" si="10"/>
        <v>42.775205607476636</v>
      </c>
      <c r="CH11" s="139">
        <v>6</v>
      </c>
      <c r="CI11" s="139">
        <v>30</v>
      </c>
      <c r="CK11" s="144">
        <v>6</v>
      </c>
      <c r="CL11" s="144" t="s">
        <v>1219</v>
      </c>
      <c r="CM11" s="144">
        <v>1</v>
      </c>
      <c r="CO11" s="144">
        <v>70</v>
      </c>
      <c r="CP11" s="144" t="str">
        <f t="shared" si="11"/>
        <v>70级锻造</v>
      </c>
      <c r="CQ11" s="144"/>
      <c r="CR11" s="19">
        <v>0.3</v>
      </c>
      <c r="CS11" s="19">
        <v>0.5</v>
      </c>
      <c r="CT11" s="19">
        <v>0.2</v>
      </c>
      <c r="CU11" s="144"/>
      <c r="CV11" s="144"/>
      <c r="CW11" s="144"/>
      <c r="CX11" s="144"/>
      <c r="CY11" s="144"/>
      <c r="CZ11" s="144"/>
      <c r="DA11" s="144"/>
      <c r="DB11" s="144">
        <f t="shared" si="12"/>
        <v>100</v>
      </c>
      <c r="DE11" s="144">
        <v>6</v>
      </c>
      <c r="DF11" s="144">
        <f t="shared" si="13"/>
        <v>1</v>
      </c>
      <c r="DG11" s="144" t="s">
        <v>1208</v>
      </c>
      <c r="DH11" s="144">
        <f t="shared" si="14"/>
        <v>6</v>
      </c>
      <c r="DI11" s="144" t="str">
        <f t="shared" si="15"/>
        <v>护手锻造</v>
      </c>
      <c r="DJ11" s="144" t="str">
        <f t="shared" si="16"/>
        <v>ui_dtex_Equ_06</v>
      </c>
      <c r="DK11" s="144" t="s">
        <v>1203</v>
      </c>
      <c r="DL11" s="144">
        <f t="shared" si="17"/>
        <v>50</v>
      </c>
    </row>
    <row r="12" spans="1:116" ht="16.5" x14ac:dyDescent="0.2">
      <c r="A12" s="188"/>
      <c r="B12" s="188"/>
      <c r="C12" s="188"/>
      <c r="D12" s="188"/>
      <c r="E12" s="188"/>
      <c r="F12" s="188"/>
      <c r="G12" s="188"/>
      <c r="H12" s="188"/>
      <c r="I12" s="188"/>
      <c r="J12" s="188"/>
      <c r="K12" s="188"/>
      <c r="L12" s="188"/>
      <c r="M12" s="188"/>
      <c r="O12" s="100">
        <v>7</v>
      </c>
      <c r="P12" s="123">
        <f>SUMIFS(节奏总表!$N$5:$N$32,节奏总表!$L$5:$L$32,"&gt;="&amp;装备!Q12,节奏总表!$L$5:$L$32,"&lt;"&amp;装备!Q13)+SUMIFS(节奏总表!$O$5:$O$32,节奏总表!$L$5:$L$32,"&gt;="&amp;装备!Q12,节奏总表!$L$5:$L$32,"&lt;"&amp;装备!Q13)</f>
        <v>289</v>
      </c>
      <c r="Q12" s="100">
        <v>110</v>
      </c>
      <c r="R12" s="100">
        <v>6</v>
      </c>
      <c r="S12" s="100">
        <f t="shared" si="18"/>
        <v>30</v>
      </c>
      <c r="T12" s="100">
        <f t="shared" si="3"/>
        <v>90</v>
      </c>
      <c r="U12" s="100">
        <f t="shared" si="3"/>
        <v>150</v>
      </c>
      <c r="V12" s="100">
        <f t="shared" si="3"/>
        <v>300</v>
      </c>
      <c r="W12" s="139">
        <f t="shared" si="4"/>
        <v>1200</v>
      </c>
      <c r="X12" s="14">
        <f t="shared" si="5"/>
        <v>60</v>
      </c>
      <c r="Y12" s="117">
        <f t="shared" si="0"/>
        <v>3600</v>
      </c>
      <c r="AF12" s="139">
        <v>7</v>
      </c>
      <c r="AG12" s="139">
        <v>2</v>
      </c>
      <c r="AH12" s="21">
        <v>2.5517000000000001E-2</v>
      </c>
      <c r="AI12" s="139">
        <f>ROUND(INDEX(金币总表!$Z$5:$Z$12,装备!AG12)*装备!AH12/$AC$5,0)</f>
        <v>156</v>
      </c>
      <c r="AK12" s="139">
        <f t="shared" si="6"/>
        <v>80</v>
      </c>
      <c r="AL12" s="139">
        <f t="shared" si="1"/>
        <v>125</v>
      </c>
      <c r="AM12" s="139">
        <f t="shared" si="1"/>
        <v>155</v>
      </c>
      <c r="AN12" s="139">
        <f t="shared" si="1"/>
        <v>185</v>
      </c>
      <c r="AQ12" s="139">
        <v>7</v>
      </c>
      <c r="AR12" s="139">
        <v>110</v>
      </c>
      <c r="AS12" s="139">
        <f>SUMIFS(节奏总表!$N$5:$N$32,节奏总表!$L$5:$L$32,"&gt;="&amp;装备!AT12,节奏总表!$L$5:$L$32,"&lt;"&amp;装备!AT13)</f>
        <v>281</v>
      </c>
      <c r="AT12" s="139">
        <v>110</v>
      </c>
      <c r="AU12" s="19">
        <v>0.6</v>
      </c>
      <c r="AV12" s="19">
        <v>0.35</v>
      </c>
      <c r="AW12" s="19">
        <v>0.05</v>
      </c>
      <c r="AX12" s="19">
        <v>0</v>
      </c>
      <c r="AY12" s="14">
        <f t="shared" si="7"/>
        <v>342</v>
      </c>
      <c r="BA12">
        <v>40</v>
      </c>
      <c r="BB12" s="139">
        <v>7</v>
      </c>
      <c r="BC12" s="163">
        <f>节奏总表!L11</f>
        <v>40</v>
      </c>
      <c r="BD12" s="163">
        <f>节奏总表!N11+2</f>
        <v>30</v>
      </c>
      <c r="BE12" s="19">
        <v>0.5</v>
      </c>
      <c r="BF12" s="19">
        <v>0.5</v>
      </c>
      <c r="BG12" s="139"/>
      <c r="BH12" s="139"/>
      <c r="BI12" s="139"/>
      <c r="BJ12" s="139"/>
      <c r="BK12" s="139"/>
      <c r="BL12" s="139"/>
      <c r="BM12" s="139"/>
      <c r="BN12" s="139"/>
      <c r="BO12" s="139"/>
      <c r="BP12" s="14">
        <f t="shared" si="2"/>
        <v>100.94999999999999</v>
      </c>
      <c r="BQ12" s="14">
        <f t="shared" si="8"/>
        <v>3028.4999999999995</v>
      </c>
      <c r="BR12" s="14">
        <f>SUM(BQ$6:BQ12)</f>
        <v>9627</v>
      </c>
      <c r="BU12" s="139">
        <v>7</v>
      </c>
      <c r="BV12" s="139">
        <v>110</v>
      </c>
      <c r="BW12" s="19">
        <v>0</v>
      </c>
      <c r="BX12" s="19">
        <v>0.5</v>
      </c>
      <c r="BY12" s="19">
        <v>0.35</v>
      </c>
      <c r="BZ12" s="19">
        <v>0.13400000000000001</v>
      </c>
      <c r="CA12" s="21">
        <v>1.6E-2</v>
      </c>
      <c r="CB12" s="139">
        <f t="shared" si="9"/>
        <v>251.03999999999996</v>
      </c>
      <c r="CD12" s="139">
        <v>26</v>
      </c>
      <c r="CE12" s="139">
        <f t="shared" si="10"/>
        <v>44.508164435946469</v>
      </c>
      <c r="CH12" s="139">
        <v>7</v>
      </c>
      <c r="CI12" s="139">
        <v>35</v>
      </c>
      <c r="CK12" s="144">
        <v>7</v>
      </c>
      <c r="CL12" s="144" t="s">
        <v>1220</v>
      </c>
      <c r="CM12" s="144">
        <v>1.5</v>
      </c>
      <c r="CO12" s="144">
        <v>80</v>
      </c>
      <c r="CP12" s="144" t="str">
        <f t="shared" si="11"/>
        <v>80级锻造</v>
      </c>
      <c r="CQ12" s="144"/>
      <c r="CR12" s="19">
        <v>0.2</v>
      </c>
      <c r="CS12" s="19">
        <v>0.3</v>
      </c>
      <c r="CT12" s="19">
        <v>0.5</v>
      </c>
      <c r="CU12" s="144"/>
      <c r="CV12" s="144"/>
      <c r="CW12" s="144"/>
      <c r="CX12" s="144"/>
      <c r="CY12" s="144"/>
      <c r="CZ12" s="144"/>
      <c r="DA12" s="144"/>
      <c r="DB12" s="144">
        <f t="shared" si="12"/>
        <v>110</v>
      </c>
      <c r="DE12" s="144">
        <v>7</v>
      </c>
      <c r="DF12" s="144">
        <f t="shared" si="13"/>
        <v>1</v>
      </c>
      <c r="DG12" s="144" t="s">
        <v>1208</v>
      </c>
      <c r="DH12" s="144">
        <f t="shared" si="14"/>
        <v>7</v>
      </c>
      <c r="DI12" s="144" t="str">
        <f t="shared" si="15"/>
        <v>项链锻造</v>
      </c>
      <c r="DJ12" s="144" t="str">
        <f t="shared" si="16"/>
        <v>ui_dtex_Equ_07</v>
      </c>
      <c r="DK12" s="144" t="s">
        <v>1203</v>
      </c>
      <c r="DL12" s="144">
        <f t="shared" si="17"/>
        <v>75</v>
      </c>
    </row>
    <row r="13" spans="1:116" ht="16.5" x14ac:dyDescent="0.2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88"/>
      <c r="M13" s="188"/>
      <c r="O13" s="100">
        <v>8</v>
      </c>
      <c r="P13" s="123">
        <f>SUMIFS(节奏总表!$N$5:$N$32,节奏总表!$L$5:$L$32,"&gt;="&amp;装备!Q13,节奏总表!$L$5:$L$32,"&lt;"&amp;装备!Q14)+SUMIFS(节奏总表!$O$5:$O$32,节奏总表!$L$5:$L$32,"&gt;="&amp;装备!Q13,节奏总表!$L$5:$L$32,"&lt;"&amp;装备!Q14)</f>
        <v>348</v>
      </c>
      <c r="Q13" s="100">
        <v>120</v>
      </c>
      <c r="R13" s="100">
        <v>8</v>
      </c>
      <c r="S13" s="100">
        <f t="shared" si="18"/>
        <v>40</v>
      </c>
      <c r="T13" s="100">
        <f t="shared" si="3"/>
        <v>120</v>
      </c>
      <c r="U13" s="100">
        <f t="shared" si="3"/>
        <v>200</v>
      </c>
      <c r="V13" s="100">
        <f t="shared" si="3"/>
        <v>400</v>
      </c>
      <c r="W13" s="139">
        <f t="shared" si="4"/>
        <v>1600</v>
      </c>
      <c r="X13" s="14">
        <f t="shared" si="5"/>
        <v>80</v>
      </c>
      <c r="Y13" s="117">
        <f t="shared" si="0"/>
        <v>4800</v>
      </c>
      <c r="AF13" s="139">
        <v>8</v>
      </c>
      <c r="AG13" s="139">
        <v>2</v>
      </c>
      <c r="AH13" s="21">
        <v>2.6436500000000002E-2</v>
      </c>
      <c r="AI13" s="139">
        <f>ROUND(INDEX(金币总表!$Z$5:$Z$12,装备!AG13)*装备!AH13/$AC$5,0)</f>
        <v>161</v>
      </c>
      <c r="AK13" s="139">
        <f t="shared" si="6"/>
        <v>80</v>
      </c>
      <c r="AL13" s="139">
        <f t="shared" si="1"/>
        <v>130</v>
      </c>
      <c r="AM13" s="139">
        <f t="shared" si="1"/>
        <v>160</v>
      </c>
      <c r="AN13" s="139">
        <f t="shared" si="1"/>
        <v>195</v>
      </c>
      <c r="AQ13" s="139">
        <v>8</v>
      </c>
      <c r="AR13" s="139">
        <v>120</v>
      </c>
      <c r="AS13" s="139">
        <f>SUMIFS(节奏总表!$N$5:$N$32,节奏总表!$L$5:$L$32,"&gt;="&amp;装备!AT13,节奏总表!$L$5:$L$32,"&lt;"&amp;装备!AT14)</f>
        <v>340</v>
      </c>
      <c r="AT13" s="139">
        <v>120</v>
      </c>
      <c r="AU13" s="19">
        <v>0.6</v>
      </c>
      <c r="AV13" s="19">
        <v>0.37</v>
      </c>
      <c r="AW13" s="19">
        <v>0.03</v>
      </c>
      <c r="AX13" s="19">
        <v>0</v>
      </c>
      <c r="AY13" s="14">
        <f t="shared" si="7"/>
        <v>446.40000000000003</v>
      </c>
      <c r="BA13">
        <v>45</v>
      </c>
      <c r="BB13" s="139">
        <v>8</v>
      </c>
      <c r="BC13" s="163">
        <f>节奏总表!L12</f>
        <v>45</v>
      </c>
      <c r="BD13" s="163">
        <f>节奏总表!N12+2</f>
        <v>32</v>
      </c>
      <c r="BE13" s="19">
        <v>0.25</v>
      </c>
      <c r="BF13" s="19">
        <v>0.75</v>
      </c>
      <c r="BG13" s="139"/>
      <c r="BH13" s="139"/>
      <c r="BI13" s="139"/>
      <c r="BJ13" s="139"/>
      <c r="BK13" s="139"/>
      <c r="BL13" s="139"/>
      <c r="BM13" s="139"/>
      <c r="BN13" s="139"/>
      <c r="BO13" s="139"/>
      <c r="BP13" s="14">
        <f t="shared" si="2"/>
        <v>111.675</v>
      </c>
      <c r="BQ13" s="14">
        <f t="shared" si="8"/>
        <v>3573.6</v>
      </c>
      <c r="BR13" s="14">
        <f>SUM(BQ$6:BQ13)</f>
        <v>13200.6</v>
      </c>
      <c r="BU13" s="139">
        <v>8</v>
      </c>
      <c r="BV13" s="139">
        <v>120</v>
      </c>
      <c r="BW13" s="19">
        <v>0</v>
      </c>
      <c r="BX13" s="19">
        <v>0.5</v>
      </c>
      <c r="BY13" s="19">
        <v>0.35</v>
      </c>
      <c r="BZ13" s="19">
        <v>0.13600000000000001</v>
      </c>
      <c r="CA13" s="21">
        <v>1.4E-2</v>
      </c>
      <c r="CB13" s="139">
        <f t="shared" si="9"/>
        <v>330.88000000000005</v>
      </c>
      <c r="CD13" s="139">
        <v>28</v>
      </c>
      <c r="CE13" s="139">
        <f t="shared" si="10"/>
        <v>46.514504956479684</v>
      </c>
      <c r="CH13" s="139">
        <v>8</v>
      </c>
      <c r="CI13" s="139">
        <v>40</v>
      </c>
      <c r="CK13" s="144">
        <v>8</v>
      </c>
      <c r="CL13" s="144" t="s">
        <v>1221</v>
      </c>
      <c r="CM13" s="144">
        <v>1.5</v>
      </c>
      <c r="CO13" s="144">
        <v>85</v>
      </c>
      <c r="CP13" s="144" t="str">
        <f t="shared" si="11"/>
        <v>85级锻造</v>
      </c>
      <c r="CQ13" s="144"/>
      <c r="CR13" s="144"/>
      <c r="CS13" s="19">
        <v>0.3</v>
      </c>
      <c r="CT13" s="19">
        <v>0.7</v>
      </c>
      <c r="CU13" s="144"/>
      <c r="CV13" s="144"/>
      <c r="CW13" s="144"/>
      <c r="CX13" s="144"/>
      <c r="CY13" s="144"/>
      <c r="CZ13" s="144"/>
      <c r="DA13" s="144"/>
      <c r="DB13" s="144">
        <f t="shared" si="12"/>
        <v>120</v>
      </c>
      <c r="DE13" s="144">
        <v>8</v>
      </c>
      <c r="DF13" s="144">
        <f t="shared" si="13"/>
        <v>1</v>
      </c>
      <c r="DG13" s="144" t="s">
        <v>1208</v>
      </c>
      <c r="DH13" s="144">
        <f t="shared" si="14"/>
        <v>8</v>
      </c>
      <c r="DI13" s="144" t="str">
        <f t="shared" si="15"/>
        <v>戒指锻造</v>
      </c>
      <c r="DJ13" s="144" t="str">
        <f t="shared" si="16"/>
        <v>ui_dtex_Equ_08</v>
      </c>
      <c r="DK13" s="144" t="s">
        <v>1203</v>
      </c>
      <c r="DL13" s="144">
        <f t="shared" si="17"/>
        <v>75</v>
      </c>
    </row>
    <row r="14" spans="1:116" ht="16.5" customHeight="1" x14ac:dyDescent="0.2">
      <c r="A14" s="188"/>
      <c r="B14" s="188"/>
      <c r="C14" s="188"/>
      <c r="D14" s="188"/>
      <c r="E14" s="188"/>
      <c r="F14" s="188"/>
      <c r="G14" s="188"/>
      <c r="H14" s="188"/>
      <c r="I14" s="188"/>
      <c r="J14" s="188"/>
      <c r="K14" s="188"/>
      <c r="L14" s="188"/>
      <c r="M14" s="188"/>
      <c r="O14" s="100">
        <v>9</v>
      </c>
      <c r="P14" s="123">
        <f>SUMIFS(节奏总表!$N$5:$N$32,节奏总表!$L$5:$L$32,"&gt;="&amp;装备!Q14,节奏总表!$L$5:$L$32,"&lt;"&amp;装备!Q15)+SUMIFS(节奏总表!$O$5:$O$32,节奏总表!$L$5:$L$32,"&gt;="&amp;装备!Q14,节奏总表!$L$5:$L$32,"&lt;"&amp;装备!Q15)</f>
        <v>468</v>
      </c>
      <c r="Q14" s="100">
        <v>130</v>
      </c>
      <c r="R14" s="100">
        <v>10</v>
      </c>
      <c r="S14" s="100">
        <f t="shared" si="18"/>
        <v>50</v>
      </c>
      <c r="T14" s="100">
        <f t="shared" si="3"/>
        <v>150</v>
      </c>
      <c r="U14" s="100">
        <f t="shared" si="3"/>
        <v>250</v>
      </c>
      <c r="V14" s="100">
        <f t="shared" si="3"/>
        <v>500</v>
      </c>
      <c r="W14" s="139">
        <f t="shared" si="4"/>
        <v>2000</v>
      </c>
      <c r="X14" s="14">
        <f t="shared" si="5"/>
        <v>100</v>
      </c>
      <c r="Y14" s="117">
        <f t="shared" si="0"/>
        <v>6000</v>
      </c>
      <c r="AF14" s="139">
        <v>9</v>
      </c>
      <c r="AG14" s="139">
        <v>2</v>
      </c>
      <c r="AH14" s="21">
        <v>2.7355999999999998E-2</v>
      </c>
      <c r="AI14" s="139">
        <f>ROUND(INDEX(金币总表!$Z$5:$Z$12,装备!AG14)*装备!AH14/$AC$5,0)</f>
        <v>167</v>
      </c>
      <c r="AK14" s="139">
        <f t="shared" si="6"/>
        <v>85</v>
      </c>
      <c r="AL14" s="139">
        <f t="shared" si="1"/>
        <v>135</v>
      </c>
      <c r="AM14" s="139">
        <f t="shared" si="1"/>
        <v>165</v>
      </c>
      <c r="AN14" s="139">
        <f t="shared" si="1"/>
        <v>200</v>
      </c>
      <c r="AQ14" s="139">
        <v>9</v>
      </c>
      <c r="AR14" s="139">
        <v>130</v>
      </c>
      <c r="AS14" s="139">
        <f>SUMIFS(节奏总表!$N$5:$N$32,节奏总表!$L$5:$L$32,"&gt;="&amp;装备!AT14,节奏总表!$L$5:$L$32,"&lt;"&amp;装备!AT15)</f>
        <v>460</v>
      </c>
      <c r="AT14" s="139">
        <v>130</v>
      </c>
      <c r="AU14" s="19">
        <v>0.6</v>
      </c>
      <c r="AV14" s="19">
        <v>0.4</v>
      </c>
      <c r="AW14" s="19">
        <v>0</v>
      </c>
      <c r="AX14" s="19">
        <v>0</v>
      </c>
      <c r="AY14" s="14">
        <f t="shared" si="7"/>
        <v>540</v>
      </c>
      <c r="BA14">
        <v>50</v>
      </c>
      <c r="BB14" s="139">
        <v>9</v>
      </c>
      <c r="BC14" s="163">
        <f>节奏总表!L13</f>
        <v>50</v>
      </c>
      <c r="BD14" s="163">
        <f>节奏总表!N13+2</f>
        <v>36</v>
      </c>
      <c r="BE14" s="139"/>
      <c r="BF14" s="19">
        <v>1</v>
      </c>
      <c r="BG14" s="139"/>
      <c r="BH14" s="139"/>
      <c r="BI14" s="139"/>
      <c r="BJ14" s="139"/>
      <c r="BK14" s="139"/>
      <c r="BL14" s="139"/>
      <c r="BM14" s="139"/>
      <c r="BN14" s="139"/>
      <c r="BO14" s="139"/>
      <c r="BP14" s="14">
        <f t="shared" si="2"/>
        <v>122.39999999999999</v>
      </c>
      <c r="BQ14" s="14">
        <f t="shared" si="8"/>
        <v>4406.3999999999996</v>
      </c>
      <c r="BR14" s="14">
        <f>SUM(BQ$6:BQ14)</f>
        <v>17607</v>
      </c>
      <c r="BU14" s="139">
        <v>9</v>
      </c>
      <c r="BV14" s="139">
        <v>130</v>
      </c>
      <c r="BW14" s="19">
        <v>0</v>
      </c>
      <c r="BX14" s="19">
        <v>0.5</v>
      </c>
      <c r="BY14" s="19">
        <v>0.35</v>
      </c>
      <c r="BZ14" s="19">
        <v>0.13800000000000001</v>
      </c>
      <c r="CA14" s="21">
        <v>1.2E-2</v>
      </c>
      <c r="CB14" s="139">
        <f t="shared" si="9"/>
        <v>408.8</v>
      </c>
      <c r="CD14" s="139">
        <v>30</v>
      </c>
      <c r="CE14" s="139">
        <f t="shared" si="10"/>
        <v>137.36410273972601</v>
      </c>
      <c r="CH14" s="139">
        <v>9</v>
      </c>
      <c r="CI14" s="139">
        <v>45</v>
      </c>
      <c r="CO14" s="144">
        <v>90</v>
      </c>
      <c r="CP14" s="144" t="str">
        <f t="shared" si="11"/>
        <v>90级锻造</v>
      </c>
      <c r="CQ14" s="144"/>
      <c r="CR14" s="144"/>
      <c r="CS14" s="19">
        <v>0.2</v>
      </c>
      <c r="CT14" s="19">
        <v>0.3</v>
      </c>
      <c r="CU14" s="19">
        <v>0.5</v>
      </c>
      <c r="CV14" s="144"/>
      <c r="CW14" s="144"/>
      <c r="CX14" s="144"/>
      <c r="CY14" s="144"/>
      <c r="CZ14" s="144"/>
      <c r="DA14" s="144"/>
      <c r="DB14" s="144">
        <f t="shared" si="12"/>
        <v>150</v>
      </c>
      <c r="DE14" s="144">
        <v>9</v>
      </c>
      <c r="DF14" s="144">
        <f t="shared" si="13"/>
        <v>2</v>
      </c>
      <c r="DG14" s="144" t="s">
        <v>1208</v>
      </c>
      <c r="DH14" s="144">
        <f t="shared" si="14"/>
        <v>1</v>
      </c>
      <c r="DI14" s="144" t="str">
        <f t="shared" si="15"/>
        <v>灵器锻造</v>
      </c>
      <c r="DJ14" s="144" t="str">
        <f t="shared" si="16"/>
        <v>ui_dtex_Equ_01</v>
      </c>
      <c r="DK14" s="144" t="s">
        <v>1203</v>
      </c>
      <c r="DL14" s="144">
        <f t="shared" si="17"/>
        <v>110</v>
      </c>
    </row>
    <row r="15" spans="1:116" ht="16.5" x14ac:dyDescent="0.2">
      <c r="A15" s="188"/>
      <c r="B15" s="188"/>
      <c r="C15" s="188"/>
      <c r="D15" s="188"/>
      <c r="E15" s="188"/>
      <c r="F15" s="188"/>
      <c r="G15" s="188"/>
      <c r="H15" s="188"/>
      <c r="I15" s="188"/>
      <c r="J15" s="188"/>
      <c r="K15" s="188"/>
      <c r="L15" s="188"/>
      <c r="M15" s="188"/>
      <c r="O15" s="100">
        <v>10</v>
      </c>
      <c r="P15" s="123">
        <f>SUMIFS(节奏总表!$N$5:$N$32,节奏总表!$L$5:$L$32,"&gt;="&amp;装备!Q15,节奏总表!$L$5:$L$32,"&lt;"&amp;装备!Q16)+SUMIFS(节奏总表!$O$5:$O$32,节奏总表!$L$5:$L$32,"&gt;="&amp;装备!Q15,节奏总表!$L$5:$L$32,"&lt;"&amp;装备!Q16)</f>
        <v>648</v>
      </c>
      <c r="Q15" s="100">
        <v>140</v>
      </c>
      <c r="R15" s="100">
        <v>12</v>
      </c>
      <c r="S15" s="100">
        <f t="shared" si="18"/>
        <v>60</v>
      </c>
      <c r="T15" s="100">
        <f t="shared" si="3"/>
        <v>180</v>
      </c>
      <c r="U15" s="100">
        <f t="shared" si="3"/>
        <v>300</v>
      </c>
      <c r="V15" s="100">
        <f t="shared" si="3"/>
        <v>600</v>
      </c>
      <c r="W15" s="139">
        <f t="shared" si="4"/>
        <v>2400</v>
      </c>
      <c r="X15" s="14">
        <f t="shared" si="5"/>
        <v>120</v>
      </c>
      <c r="Y15" s="117">
        <f t="shared" si="0"/>
        <v>7200</v>
      </c>
      <c r="AF15" s="139">
        <v>10</v>
      </c>
      <c r="AG15" s="139">
        <v>2</v>
      </c>
      <c r="AH15" s="21">
        <v>2.8275499999999999E-2</v>
      </c>
      <c r="AI15" s="139">
        <f>ROUND(INDEX(金币总表!$Z$5:$Z$12,装备!AG15)*装备!AH15/$AC$5,0)</f>
        <v>172</v>
      </c>
      <c r="AK15" s="139">
        <f t="shared" si="6"/>
        <v>85</v>
      </c>
      <c r="AL15" s="139">
        <f t="shared" si="1"/>
        <v>140</v>
      </c>
      <c r="AM15" s="139">
        <f t="shared" si="1"/>
        <v>170</v>
      </c>
      <c r="AN15" s="139">
        <f t="shared" si="1"/>
        <v>205</v>
      </c>
      <c r="AQ15" s="139">
        <v>10</v>
      </c>
      <c r="AR15" s="139">
        <v>140</v>
      </c>
      <c r="AS15" s="139">
        <f>SUMIFS(节奏总表!$N$5:$N$32,节奏总表!$L$5:$L$32,"&gt;="&amp;装备!AT15,节奏总表!$L$5:$L$32,"&lt;"&amp;装备!AT16)</f>
        <v>640</v>
      </c>
      <c r="AT15" s="139">
        <v>140</v>
      </c>
      <c r="AU15" s="19">
        <v>0.6</v>
      </c>
      <c r="AV15" s="19">
        <v>0.4</v>
      </c>
      <c r="AW15" s="19">
        <v>0</v>
      </c>
      <c r="AX15" s="19">
        <v>0</v>
      </c>
      <c r="AY15" s="14">
        <f t="shared" si="7"/>
        <v>648</v>
      </c>
      <c r="BA15">
        <v>55</v>
      </c>
      <c r="BB15" s="139">
        <v>10</v>
      </c>
      <c r="BC15" s="163">
        <f>节奏总表!L14</f>
        <v>55</v>
      </c>
      <c r="BD15" s="163">
        <f>节奏总表!N14+2</f>
        <v>42</v>
      </c>
      <c r="BE15" s="139"/>
      <c r="BF15" s="19">
        <v>1</v>
      </c>
      <c r="BG15" s="139"/>
      <c r="BH15" s="139"/>
      <c r="BI15" s="139"/>
      <c r="BJ15" s="139"/>
      <c r="BK15" s="139"/>
      <c r="BL15" s="139"/>
      <c r="BM15" s="139"/>
      <c r="BN15" s="139"/>
      <c r="BO15" s="139"/>
      <c r="BP15" s="14">
        <f t="shared" si="2"/>
        <v>122.39999999999999</v>
      </c>
      <c r="BQ15" s="14">
        <f t="shared" si="8"/>
        <v>5140.7999999999993</v>
      </c>
      <c r="BR15" s="14">
        <f>SUM(BQ$6:BQ15)</f>
        <v>22747.8</v>
      </c>
      <c r="BU15" s="139">
        <v>10</v>
      </c>
      <c r="BV15" s="139">
        <v>140</v>
      </c>
      <c r="BW15" s="19">
        <v>0</v>
      </c>
      <c r="BX15" s="19">
        <v>0.5</v>
      </c>
      <c r="BY15" s="19">
        <v>0.35</v>
      </c>
      <c r="BZ15" s="19">
        <v>0.14000000000000001</v>
      </c>
      <c r="CA15" s="21">
        <v>0.01</v>
      </c>
      <c r="CB15" s="139">
        <f t="shared" si="9"/>
        <v>484.8</v>
      </c>
      <c r="CD15" s="139">
        <v>30</v>
      </c>
      <c r="CE15" s="139">
        <f t="shared" si="10"/>
        <v>96.525105198019787</v>
      </c>
      <c r="CH15" s="139">
        <v>10</v>
      </c>
      <c r="CI15" s="139">
        <v>50</v>
      </c>
      <c r="CO15" s="144">
        <v>95</v>
      </c>
      <c r="CP15" s="144" t="str">
        <f t="shared" si="11"/>
        <v>95级锻造</v>
      </c>
      <c r="CQ15" s="144"/>
      <c r="CR15" s="144"/>
      <c r="CS15" s="144"/>
      <c r="CT15" s="19">
        <v>0.3</v>
      </c>
      <c r="CU15" s="19">
        <v>0.7</v>
      </c>
      <c r="CV15" s="144"/>
      <c r="CW15" s="144"/>
      <c r="CX15" s="144"/>
      <c r="CY15" s="144"/>
      <c r="CZ15" s="144"/>
      <c r="DA15" s="144"/>
      <c r="DB15" s="144">
        <f t="shared" si="12"/>
        <v>165</v>
      </c>
      <c r="DE15" s="144">
        <v>10</v>
      </c>
      <c r="DF15" s="144">
        <f t="shared" si="13"/>
        <v>2</v>
      </c>
      <c r="DG15" s="144" t="s">
        <v>1208</v>
      </c>
      <c r="DH15" s="144">
        <f t="shared" si="14"/>
        <v>2</v>
      </c>
      <c r="DI15" s="144" t="str">
        <f t="shared" si="15"/>
        <v>头盔锻造</v>
      </c>
      <c r="DJ15" s="144" t="str">
        <f t="shared" si="16"/>
        <v>ui_dtex_Equ_02</v>
      </c>
      <c r="DK15" s="144" t="s">
        <v>1203</v>
      </c>
      <c r="DL15" s="144">
        <f t="shared" si="17"/>
        <v>55</v>
      </c>
    </row>
    <row r="16" spans="1:116" ht="16.5" x14ac:dyDescent="0.2">
      <c r="A16" s="188"/>
      <c r="B16" s="188"/>
      <c r="C16" s="188"/>
      <c r="D16" s="188"/>
      <c r="E16" s="188"/>
      <c r="F16" s="188"/>
      <c r="G16" s="188"/>
      <c r="H16" s="188"/>
      <c r="I16" s="188"/>
      <c r="J16" s="188"/>
      <c r="K16" s="188"/>
      <c r="L16" s="188"/>
      <c r="M16" s="188"/>
      <c r="O16" s="100">
        <v>11</v>
      </c>
      <c r="P16" s="123">
        <f>SUMIFS(节奏总表!$N$5:$N$32,节奏总表!$L$5:$L$32,"&gt;="&amp;装备!Q16,节奏总表!$L$5:$L$32,"&lt;"&amp;装备!Q17)+SUMIFS(节奏总表!$O$5:$O$32,节奏总表!$L$5:$L$32,"&gt;="&amp;装备!Q16,节奏总表!$L$5:$L$32,"&lt;"&amp;装备!Q17)</f>
        <v>0</v>
      </c>
      <c r="Q16" s="100">
        <v>150</v>
      </c>
      <c r="R16" s="100">
        <v>16</v>
      </c>
      <c r="S16" s="100">
        <f t="shared" si="18"/>
        <v>80</v>
      </c>
      <c r="T16" s="100">
        <f t="shared" si="3"/>
        <v>240</v>
      </c>
      <c r="U16" s="100">
        <f t="shared" si="3"/>
        <v>400</v>
      </c>
      <c r="V16" s="100">
        <f t="shared" si="3"/>
        <v>800</v>
      </c>
      <c r="W16" s="139">
        <f t="shared" si="4"/>
        <v>3200</v>
      </c>
      <c r="X16" s="14">
        <f t="shared" si="5"/>
        <v>160</v>
      </c>
      <c r="Y16" s="117">
        <f t="shared" si="0"/>
        <v>9600</v>
      </c>
      <c r="AF16" s="139">
        <v>11</v>
      </c>
      <c r="AG16" s="139">
        <f>MATCH(AF16-1,金币总表!$Y$4:$Y$12,1)</f>
        <v>2</v>
      </c>
      <c r="AH16" s="21">
        <v>2.9194999999999999E-2</v>
      </c>
      <c r="AI16" s="139">
        <f>ROUND(INDEX(金币总表!$Z$5:$Z$12,装备!AG16)*装备!AH16/$AC$5,0)</f>
        <v>178</v>
      </c>
      <c r="AK16" s="139">
        <f t="shared" si="6"/>
        <v>90</v>
      </c>
      <c r="AL16" s="139">
        <f t="shared" si="1"/>
        <v>140</v>
      </c>
      <c r="AM16" s="139">
        <f t="shared" si="1"/>
        <v>180</v>
      </c>
      <c r="AN16" s="139">
        <f t="shared" si="1"/>
        <v>215</v>
      </c>
      <c r="AQ16" s="139">
        <v>11</v>
      </c>
      <c r="AR16" s="139">
        <v>150</v>
      </c>
      <c r="AS16" s="139">
        <f>SUMIFS(节奏总表!$N$5:$N$32,节奏总表!$L$5:$L$32,"&gt;="&amp;装备!AT16,节奏总表!$L$5:$L$32,"&lt;"&amp;装备!AT17)</f>
        <v>0</v>
      </c>
      <c r="AT16" s="139">
        <v>150</v>
      </c>
      <c r="AU16" s="19">
        <v>0.6</v>
      </c>
      <c r="AV16" s="19">
        <v>0.4</v>
      </c>
      <c r="AW16" s="19">
        <v>0</v>
      </c>
      <c r="AX16" s="19">
        <v>0</v>
      </c>
      <c r="AY16" s="14">
        <f t="shared" si="7"/>
        <v>864</v>
      </c>
      <c r="BA16">
        <v>60</v>
      </c>
      <c r="BB16" s="139">
        <v>11</v>
      </c>
      <c r="BC16" s="163">
        <f>节奏总表!L15</f>
        <v>60</v>
      </c>
      <c r="BD16" s="163">
        <f>节奏总表!N15+2</f>
        <v>47</v>
      </c>
      <c r="BE16" s="139"/>
      <c r="BF16" s="19">
        <v>0.5</v>
      </c>
      <c r="BG16" s="19">
        <v>0.5</v>
      </c>
      <c r="BH16" s="139"/>
      <c r="BI16" s="139"/>
      <c r="BJ16" s="139"/>
      <c r="BK16" s="139"/>
      <c r="BL16" s="139"/>
      <c r="BM16" s="139"/>
      <c r="BN16" s="139"/>
      <c r="BO16" s="139"/>
      <c r="BP16" s="14">
        <f t="shared" si="2"/>
        <v>130.19999999999999</v>
      </c>
      <c r="BQ16" s="14">
        <f t="shared" si="8"/>
        <v>6119.4</v>
      </c>
      <c r="BR16" s="14">
        <f>SUM(BQ$6:BQ16)</f>
        <v>28867.199999999997</v>
      </c>
      <c r="BU16" s="139">
        <v>11</v>
      </c>
      <c r="BV16" s="139">
        <v>150</v>
      </c>
      <c r="BW16" s="19">
        <v>0</v>
      </c>
      <c r="BX16" s="19">
        <v>0.5</v>
      </c>
      <c r="BY16" s="19">
        <v>0.35</v>
      </c>
      <c r="BZ16" s="19">
        <v>0.13600000000000001</v>
      </c>
      <c r="CA16" s="21">
        <v>0.01</v>
      </c>
      <c r="CB16" s="139">
        <f t="shared" si="9"/>
        <v>641.28000000000009</v>
      </c>
      <c r="CD16" s="139">
        <v>30</v>
      </c>
      <c r="CE16" s="139">
        <f t="shared" si="10"/>
        <v>72.971823540419152</v>
      </c>
      <c r="CH16" s="139">
        <v>11</v>
      </c>
      <c r="CI16" s="139">
        <v>55</v>
      </c>
      <c r="CO16" s="144">
        <v>100</v>
      </c>
      <c r="CP16" s="144" t="str">
        <f t="shared" si="11"/>
        <v>100级锻造</v>
      </c>
      <c r="CQ16" s="144"/>
      <c r="CR16" s="144"/>
      <c r="CS16" s="144"/>
      <c r="CT16" s="19">
        <v>0.2</v>
      </c>
      <c r="CU16" s="19">
        <v>0.3</v>
      </c>
      <c r="CV16" s="19">
        <v>0.5</v>
      </c>
      <c r="CW16" s="144"/>
      <c r="CX16" s="144"/>
      <c r="CY16" s="144"/>
      <c r="CZ16" s="144"/>
      <c r="DA16" s="144"/>
      <c r="DB16" s="144">
        <f t="shared" si="12"/>
        <v>185</v>
      </c>
      <c r="DE16" s="144">
        <v>11</v>
      </c>
      <c r="DF16" s="144">
        <f t="shared" si="13"/>
        <v>2</v>
      </c>
      <c r="DG16" s="144" t="s">
        <v>1208</v>
      </c>
      <c r="DH16" s="144">
        <f t="shared" si="14"/>
        <v>3</v>
      </c>
      <c r="DI16" s="144" t="str">
        <f t="shared" si="15"/>
        <v>铠甲锻造</v>
      </c>
      <c r="DJ16" s="144" t="str">
        <f t="shared" si="16"/>
        <v>ui_dtex_Equ_03</v>
      </c>
      <c r="DK16" s="144" t="s">
        <v>1203</v>
      </c>
      <c r="DL16" s="144">
        <f t="shared" si="17"/>
        <v>55</v>
      </c>
    </row>
    <row r="17" spans="1:116" ht="14.25" customHeight="1" x14ac:dyDescent="0.2">
      <c r="A17" s="188"/>
      <c r="B17" s="188"/>
      <c r="C17" s="188"/>
      <c r="D17" s="188"/>
      <c r="E17" s="188"/>
      <c r="F17" s="188"/>
      <c r="G17" s="188"/>
      <c r="H17" s="188"/>
      <c r="I17" s="188"/>
      <c r="J17" s="188"/>
      <c r="K17" s="188"/>
      <c r="L17" s="188"/>
      <c r="M17" s="188"/>
      <c r="AF17" s="139">
        <v>12</v>
      </c>
      <c r="AG17" s="139">
        <f>MATCH(AF17-1,金币总表!$Y$4:$Y$12,1)</f>
        <v>2</v>
      </c>
      <c r="AH17" s="21">
        <v>3.0114499999999999E-2</v>
      </c>
      <c r="AI17" s="139">
        <f>ROUND(INDEX(金币总表!$Z$5:$Z$12,装备!AG17)*装备!AH17/$AC$5,0)</f>
        <v>184</v>
      </c>
      <c r="AK17" s="139">
        <f t="shared" si="6"/>
        <v>90</v>
      </c>
      <c r="AL17" s="139">
        <f t="shared" si="1"/>
        <v>145</v>
      </c>
      <c r="AM17" s="139">
        <f t="shared" si="1"/>
        <v>185</v>
      </c>
      <c r="AN17" s="139">
        <f t="shared" si="1"/>
        <v>220</v>
      </c>
      <c r="BA17">
        <v>65</v>
      </c>
      <c r="BB17" s="139">
        <v>12</v>
      </c>
      <c r="BC17" s="163">
        <f>节奏总表!L16</f>
        <v>65</v>
      </c>
      <c r="BD17" s="163">
        <f>节奏总表!N16+2</f>
        <v>53</v>
      </c>
      <c r="BE17" s="139"/>
      <c r="BF17" s="19">
        <v>0.25</v>
      </c>
      <c r="BG17" s="19">
        <v>0.75</v>
      </c>
      <c r="BH17" s="139"/>
      <c r="BI17" s="139"/>
      <c r="BJ17" s="139"/>
      <c r="BK17" s="139"/>
      <c r="BL17" s="139"/>
      <c r="BM17" s="139"/>
      <c r="BN17" s="139"/>
      <c r="BO17" s="139"/>
      <c r="BP17" s="14">
        <f t="shared" si="2"/>
        <v>134.1</v>
      </c>
      <c r="BQ17" s="14">
        <f t="shared" si="8"/>
        <v>7107.2999999999993</v>
      </c>
      <c r="BR17" s="14">
        <f>SUM(BQ$6:BQ17)</f>
        <v>35974.5</v>
      </c>
      <c r="CH17" s="139">
        <v>12</v>
      </c>
      <c r="CI17" s="139">
        <v>60</v>
      </c>
      <c r="CO17" s="144">
        <v>105</v>
      </c>
      <c r="CP17" s="144" t="str">
        <f t="shared" si="11"/>
        <v>105级锻造</v>
      </c>
      <c r="CQ17" s="144"/>
      <c r="CR17" s="144"/>
      <c r="CS17" s="144"/>
      <c r="CT17" s="19"/>
      <c r="CU17" s="19">
        <v>0.3</v>
      </c>
      <c r="CV17" s="19">
        <v>0.7</v>
      </c>
      <c r="CW17" s="144"/>
      <c r="CX17" s="144"/>
      <c r="CY17" s="144"/>
      <c r="CZ17" s="144"/>
      <c r="DA17" s="144"/>
      <c r="DB17" s="144">
        <f t="shared" si="12"/>
        <v>205</v>
      </c>
      <c r="DE17" s="144">
        <v>12</v>
      </c>
      <c r="DF17" s="144">
        <f t="shared" si="13"/>
        <v>2</v>
      </c>
      <c r="DG17" s="144" t="s">
        <v>1208</v>
      </c>
      <c r="DH17" s="144">
        <f t="shared" si="14"/>
        <v>4</v>
      </c>
      <c r="DI17" s="144" t="str">
        <f t="shared" si="15"/>
        <v>裤子锻造</v>
      </c>
      <c r="DJ17" s="144" t="str">
        <f t="shared" si="16"/>
        <v>ui_dtex_Equ_04</v>
      </c>
      <c r="DK17" s="144" t="s">
        <v>1203</v>
      </c>
      <c r="DL17" s="144">
        <f t="shared" si="17"/>
        <v>55</v>
      </c>
    </row>
    <row r="18" spans="1:116" ht="14.25" customHeight="1" x14ac:dyDescent="0.2">
      <c r="A18" s="188"/>
      <c r="B18" s="188"/>
      <c r="C18" s="188"/>
      <c r="D18" s="188"/>
      <c r="E18" s="188"/>
      <c r="F18" s="188"/>
      <c r="G18" s="188"/>
      <c r="H18" s="188"/>
      <c r="I18" s="188"/>
      <c r="J18" s="188"/>
      <c r="K18" s="188"/>
      <c r="L18" s="188"/>
      <c r="M18" s="188"/>
      <c r="AF18" s="139">
        <v>13</v>
      </c>
      <c r="AG18" s="139">
        <f>MATCH(AF18-1,金币总表!$Y$4:$Y$12,1)</f>
        <v>2</v>
      </c>
      <c r="AH18" s="21">
        <v>3.1033999999999999E-2</v>
      </c>
      <c r="AI18" s="139">
        <f>ROUND(INDEX(金币总表!$Z$5:$Z$12,装备!AG18)*装备!AH18/$AC$5,0)</f>
        <v>189</v>
      </c>
      <c r="AK18" s="139">
        <f t="shared" si="6"/>
        <v>95</v>
      </c>
      <c r="AL18" s="139">
        <f t="shared" si="1"/>
        <v>150</v>
      </c>
      <c r="AM18" s="139">
        <f t="shared" si="1"/>
        <v>190</v>
      </c>
      <c r="AN18" s="139">
        <f t="shared" si="1"/>
        <v>225</v>
      </c>
      <c r="BA18">
        <v>70</v>
      </c>
      <c r="BB18" s="139">
        <v>13</v>
      </c>
      <c r="BC18" s="163">
        <f>节奏总表!L17</f>
        <v>70</v>
      </c>
      <c r="BD18" s="163">
        <f>节奏总表!N17+2</f>
        <v>67</v>
      </c>
      <c r="BE18" s="139"/>
      <c r="BF18" s="139"/>
      <c r="BG18" s="19">
        <v>1</v>
      </c>
      <c r="BH18" s="139"/>
      <c r="BI18" s="139"/>
      <c r="BJ18" s="139"/>
      <c r="BK18" s="139"/>
      <c r="BL18" s="139"/>
      <c r="BM18" s="139"/>
      <c r="BN18" s="139"/>
      <c r="BO18" s="139"/>
      <c r="BP18" s="14">
        <f t="shared" si="2"/>
        <v>138</v>
      </c>
      <c r="BQ18" s="14">
        <f t="shared" si="8"/>
        <v>9246</v>
      </c>
      <c r="BR18" s="14">
        <f>SUM(BQ$6:BQ18)</f>
        <v>45220.5</v>
      </c>
      <c r="CH18" s="139">
        <v>13</v>
      </c>
      <c r="CI18" s="139">
        <v>65</v>
      </c>
      <c r="CO18" s="144">
        <v>110</v>
      </c>
      <c r="CP18" s="144" t="str">
        <f t="shared" si="11"/>
        <v>110级锻造</v>
      </c>
      <c r="CQ18" s="144"/>
      <c r="CR18" s="144"/>
      <c r="CS18" s="144"/>
      <c r="CT18" s="144"/>
      <c r="CU18" s="19">
        <v>0.2</v>
      </c>
      <c r="CV18" s="19">
        <v>0.3</v>
      </c>
      <c r="CW18" s="19">
        <v>0.5</v>
      </c>
      <c r="CX18" s="144"/>
      <c r="CY18" s="144"/>
      <c r="CZ18" s="144"/>
      <c r="DA18" s="144"/>
      <c r="DB18" s="144">
        <f t="shared" si="12"/>
        <v>225</v>
      </c>
      <c r="DE18" s="144">
        <v>13</v>
      </c>
      <c r="DF18" s="144">
        <f t="shared" si="13"/>
        <v>2</v>
      </c>
      <c r="DG18" s="144" t="s">
        <v>1208</v>
      </c>
      <c r="DH18" s="144">
        <f t="shared" si="14"/>
        <v>5</v>
      </c>
      <c r="DI18" s="144" t="str">
        <f t="shared" si="15"/>
        <v>鞋子锻造</v>
      </c>
      <c r="DJ18" s="144" t="str">
        <f t="shared" si="16"/>
        <v>ui_dtex_Equ_05</v>
      </c>
      <c r="DK18" s="144" t="s">
        <v>1203</v>
      </c>
      <c r="DL18" s="144">
        <f t="shared" si="17"/>
        <v>55</v>
      </c>
    </row>
    <row r="19" spans="1:116" ht="14.25" customHeight="1" x14ac:dyDescent="0.2">
      <c r="A19" s="188"/>
      <c r="B19" s="188"/>
      <c r="C19" s="188"/>
      <c r="D19" s="188"/>
      <c r="E19" s="188"/>
      <c r="F19" s="188"/>
      <c r="G19" s="188"/>
      <c r="H19" s="188"/>
      <c r="I19" s="188"/>
      <c r="J19" s="188"/>
      <c r="K19" s="188"/>
      <c r="L19" s="188"/>
      <c r="M19" s="188"/>
      <c r="AF19" s="139">
        <v>14</v>
      </c>
      <c r="AG19" s="139">
        <f>MATCH(AF19-1,金币总表!$Y$4:$Y$12,1)</f>
        <v>2</v>
      </c>
      <c r="AH19" s="21">
        <v>3.1953500000000003E-2</v>
      </c>
      <c r="AI19" s="139">
        <f>ROUND(INDEX(金币总表!$Z$5:$Z$12,装备!AG19)*装备!AH19/$AC$5,0)</f>
        <v>195</v>
      </c>
      <c r="AK19" s="139">
        <f t="shared" si="6"/>
        <v>100</v>
      </c>
      <c r="AL19" s="139">
        <f t="shared" si="1"/>
        <v>155</v>
      </c>
      <c r="AM19" s="139">
        <f t="shared" si="1"/>
        <v>195</v>
      </c>
      <c r="AN19" s="139">
        <f t="shared" si="1"/>
        <v>235</v>
      </c>
      <c r="BA19">
        <v>75</v>
      </c>
      <c r="BB19" s="139">
        <v>14</v>
      </c>
      <c r="BC19" s="163">
        <f>节奏总表!L18</f>
        <v>75</v>
      </c>
      <c r="BD19" s="163">
        <f>节奏总表!N18+2</f>
        <v>78</v>
      </c>
      <c r="BE19" s="139"/>
      <c r="BF19" s="139"/>
      <c r="BG19" s="19">
        <v>1</v>
      </c>
      <c r="BH19" s="139"/>
      <c r="BI19" s="139"/>
      <c r="BJ19" s="139"/>
      <c r="BK19" s="139"/>
      <c r="BL19" s="139"/>
      <c r="BM19" s="139"/>
      <c r="BN19" s="139"/>
      <c r="BO19" s="139"/>
      <c r="BP19" s="14">
        <f t="shared" si="2"/>
        <v>138</v>
      </c>
      <c r="BQ19" s="14">
        <f t="shared" si="8"/>
        <v>10764</v>
      </c>
      <c r="BR19" s="14">
        <f>SUM(BQ$6:BQ19)</f>
        <v>55984.5</v>
      </c>
      <c r="CH19" s="139">
        <v>14</v>
      </c>
      <c r="CI19" s="139">
        <v>70</v>
      </c>
      <c r="CO19" s="144">
        <v>115</v>
      </c>
      <c r="CP19" s="144" t="str">
        <f t="shared" si="11"/>
        <v>115级锻造</v>
      </c>
      <c r="CQ19" s="144"/>
      <c r="CR19" s="144"/>
      <c r="CS19" s="144"/>
      <c r="CT19" s="144"/>
      <c r="CU19" s="144"/>
      <c r="CV19" s="19">
        <v>0.3</v>
      </c>
      <c r="CW19" s="19">
        <v>0.7</v>
      </c>
      <c r="CX19" s="144"/>
      <c r="CY19" s="144"/>
      <c r="CZ19" s="144"/>
      <c r="DA19" s="144"/>
      <c r="DB19" s="144">
        <f t="shared" si="12"/>
        <v>240</v>
      </c>
      <c r="DE19" s="144">
        <v>14</v>
      </c>
      <c r="DF19" s="144">
        <f t="shared" si="13"/>
        <v>2</v>
      </c>
      <c r="DG19" s="144" t="s">
        <v>1208</v>
      </c>
      <c r="DH19" s="144">
        <f t="shared" si="14"/>
        <v>6</v>
      </c>
      <c r="DI19" s="144" t="str">
        <f t="shared" si="15"/>
        <v>护手锻造</v>
      </c>
      <c r="DJ19" s="144" t="str">
        <f t="shared" si="16"/>
        <v>ui_dtex_Equ_06</v>
      </c>
      <c r="DK19" s="144" t="s">
        <v>1203</v>
      </c>
      <c r="DL19" s="144">
        <f t="shared" si="17"/>
        <v>55</v>
      </c>
    </row>
    <row r="20" spans="1:116" ht="14.25" customHeight="1" x14ac:dyDescent="0.2">
      <c r="A20" s="188"/>
      <c r="B20" s="188"/>
      <c r="C20" s="188"/>
      <c r="D20" s="188"/>
      <c r="E20" s="188"/>
      <c r="F20" s="188"/>
      <c r="G20" s="188"/>
      <c r="H20" s="188"/>
      <c r="I20" s="188"/>
      <c r="J20" s="188"/>
      <c r="K20" s="188"/>
      <c r="L20" s="188"/>
      <c r="M20" s="188"/>
      <c r="AF20" s="139">
        <v>15</v>
      </c>
      <c r="AG20" s="139">
        <f>MATCH(AF20-1,金币总表!$Y$4:$Y$12,1)</f>
        <v>2</v>
      </c>
      <c r="AH20" s="21">
        <v>3.2872999999999999E-2</v>
      </c>
      <c r="AI20" s="139">
        <f>ROUND(INDEX(金币总表!$Z$5:$Z$12,装备!AG20)*装备!AH20/$AC$5,0)</f>
        <v>200</v>
      </c>
      <c r="AK20" s="139">
        <f t="shared" si="6"/>
        <v>100</v>
      </c>
      <c r="AL20" s="139">
        <f t="shared" si="1"/>
        <v>160</v>
      </c>
      <c r="AM20" s="139">
        <f t="shared" si="1"/>
        <v>200</v>
      </c>
      <c r="AN20" s="139">
        <f t="shared" si="1"/>
        <v>240</v>
      </c>
      <c r="BA20">
        <v>80</v>
      </c>
      <c r="BB20" s="139">
        <v>15</v>
      </c>
      <c r="BC20" s="163">
        <f>节奏总表!L19</f>
        <v>80</v>
      </c>
      <c r="BD20" s="163">
        <f>节奏总表!N19+2</f>
        <v>92</v>
      </c>
      <c r="BE20" s="139"/>
      <c r="BF20" s="139"/>
      <c r="BG20" s="19">
        <v>0.5</v>
      </c>
      <c r="BH20" s="19">
        <v>0.5</v>
      </c>
      <c r="BI20" s="139"/>
      <c r="BJ20" s="139"/>
      <c r="BK20" s="139"/>
      <c r="BL20" s="139"/>
      <c r="BM20" s="139"/>
      <c r="BN20" s="139"/>
      <c r="BO20" s="139"/>
      <c r="BP20" s="14">
        <f t="shared" si="2"/>
        <v>165.3</v>
      </c>
      <c r="BQ20" s="14">
        <f t="shared" si="8"/>
        <v>15207.6</v>
      </c>
      <c r="BR20" s="14">
        <f>SUM(BQ$6:BQ20)</f>
        <v>71192.100000000006</v>
      </c>
      <c r="CH20" s="139">
        <v>15</v>
      </c>
      <c r="CI20" s="139">
        <v>75</v>
      </c>
      <c r="CO20" s="144">
        <v>120</v>
      </c>
      <c r="CP20" s="144" t="str">
        <f t="shared" si="11"/>
        <v>120级锻造</v>
      </c>
      <c r="CQ20" s="144"/>
      <c r="CR20" s="144"/>
      <c r="CS20" s="144"/>
      <c r="CT20" s="144"/>
      <c r="CU20" s="144"/>
      <c r="CV20" s="19">
        <v>0.2</v>
      </c>
      <c r="CW20" s="19">
        <v>0.3</v>
      </c>
      <c r="CX20" s="19">
        <v>0.5</v>
      </c>
      <c r="CY20" s="144"/>
      <c r="CZ20" s="144"/>
      <c r="DA20" s="144"/>
      <c r="DB20" s="144">
        <f t="shared" si="12"/>
        <v>285</v>
      </c>
      <c r="DE20" s="144">
        <v>15</v>
      </c>
      <c r="DF20" s="144">
        <f t="shared" si="13"/>
        <v>2</v>
      </c>
      <c r="DG20" s="144" t="s">
        <v>1208</v>
      </c>
      <c r="DH20" s="144">
        <f t="shared" si="14"/>
        <v>7</v>
      </c>
      <c r="DI20" s="144" t="str">
        <f t="shared" si="15"/>
        <v>项链锻造</v>
      </c>
      <c r="DJ20" s="144" t="str">
        <f t="shared" si="16"/>
        <v>ui_dtex_Equ_07</v>
      </c>
      <c r="DK20" s="144" t="s">
        <v>1203</v>
      </c>
      <c r="DL20" s="144">
        <f t="shared" si="17"/>
        <v>85</v>
      </c>
    </row>
    <row r="21" spans="1:116" ht="14.25" customHeight="1" x14ac:dyDescent="0.2">
      <c r="A21" s="188"/>
      <c r="B21" s="188"/>
      <c r="C21" s="188"/>
      <c r="D21" s="188"/>
      <c r="E21" s="188"/>
      <c r="F21" s="188"/>
      <c r="G21" s="188"/>
      <c r="H21" s="188"/>
      <c r="I21" s="188"/>
      <c r="J21" s="188"/>
      <c r="K21" s="188"/>
      <c r="L21" s="188"/>
      <c r="M21" s="188"/>
      <c r="AF21" s="139">
        <v>16</v>
      </c>
      <c r="AG21" s="139">
        <f>MATCH(AF21-1,金币总表!$Y$4:$Y$12,1)</f>
        <v>2</v>
      </c>
      <c r="AH21" s="21">
        <v>3.3792500000000003E-2</v>
      </c>
      <c r="AI21" s="139">
        <f>ROUND(INDEX(金币总表!$Z$5:$Z$12,装备!AG21)*装备!AH21/$AC$5,0)</f>
        <v>206</v>
      </c>
      <c r="AK21" s="139">
        <f t="shared" si="6"/>
        <v>105</v>
      </c>
      <c r="AL21" s="139">
        <f t="shared" si="1"/>
        <v>165</v>
      </c>
      <c r="AM21" s="139">
        <f t="shared" si="1"/>
        <v>205</v>
      </c>
      <c r="AN21" s="139">
        <f t="shared" si="1"/>
        <v>245</v>
      </c>
      <c r="BA21">
        <v>85</v>
      </c>
      <c r="BB21" s="139">
        <v>16</v>
      </c>
      <c r="BC21" s="163">
        <f>节奏总表!L20</f>
        <v>85</v>
      </c>
      <c r="BD21" s="163">
        <f>节奏总表!N20+2</f>
        <v>107</v>
      </c>
      <c r="BE21" s="139"/>
      <c r="BF21" s="139"/>
      <c r="BG21" s="139"/>
      <c r="BH21" s="19">
        <v>1</v>
      </c>
      <c r="BI21" s="139"/>
      <c r="BJ21" s="139"/>
      <c r="BK21" s="139"/>
      <c r="BL21" s="139"/>
      <c r="BM21" s="139"/>
      <c r="BN21" s="139"/>
      <c r="BO21" s="139"/>
      <c r="BP21" s="14">
        <f t="shared" si="2"/>
        <v>192.60000000000002</v>
      </c>
      <c r="BQ21" s="14">
        <f t="shared" si="8"/>
        <v>20608.2</v>
      </c>
      <c r="BR21" s="14">
        <f>SUM(BQ$6:BQ21)</f>
        <v>91800.3</v>
      </c>
      <c r="CH21" s="139">
        <v>16</v>
      </c>
      <c r="CI21" s="139">
        <v>80</v>
      </c>
      <c r="CO21" s="144">
        <v>125</v>
      </c>
      <c r="CP21" s="144" t="str">
        <f t="shared" si="11"/>
        <v>125级锻造</v>
      </c>
      <c r="CQ21" s="144"/>
      <c r="CR21" s="144"/>
      <c r="CS21" s="144"/>
      <c r="CT21" s="144"/>
      <c r="CU21" s="144"/>
      <c r="CV21" s="144"/>
      <c r="CW21" s="19">
        <v>0.3</v>
      </c>
      <c r="CX21" s="19">
        <v>0.7</v>
      </c>
      <c r="CY21" s="144"/>
      <c r="CZ21" s="144"/>
      <c r="DA21" s="144"/>
      <c r="DB21" s="144">
        <f t="shared" si="12"/>
        <v>305</v>
      </c>
      <c r="DE21" s="144">
        <v>16</v>
      </c>
      <c r="DF21" s="144">
        <f t="shared" si="13"/>
        <v>2</v>
      </c>
      <c r="DG21" s="144" t="s">
        <v>1208</v>
      </c>
      <c r="DH21" s="144">
        <f t="shared" si="14"/>
        <v>8</v>
      </c>
      <c r="DI21" s="144" t="str">
        <f t="shared" si="15"/>
        <v>戒指锻造</v>
      </c>
      <c r="DJ21" s="144" t="str">
        <f t="shared" si="16"/>
        <v>ui_dtex_Equ_08</v>
      </c>
      <c r="DK21" s="144" t="s">
        <v>1203</v>
      </c>
      <c r="DL21" s="144">
        <f t="shared" si="17"/>
        <v>85</v>
      </c>
    </row>
    <row r="22" spans="1:116" ht="14.25" customHeight="1" x14ac:dyDescent="0.2">
      <c r="A22" s="188"/>
      <c r="B22" s="188"/>
      <c r="C22" s="188"/>
      <c r="D22" s="188"/>
      <c r="E22" s="188"/>
      <c r="F22" s="188"/>
      <c r="G22" s="188"/>
      <c r="H22" s="188"/>
      <c r="I22" s="188"/>
      <c r="J22" s="188"/>
      <c r="K22" s="188"/>
      <c r="L22" s="188"/>
      <c r="M22" s="188"/>
      <c r="AF22" s="139">
        <v>17</v>
      </c>
      <c r="AG22" s="139">
        <f>MATCH(AF22-1,金币总表!$Y$4:$Y$12,1)</f>
        <v>2</v>
      </c>
      <c r="AH22" s="21">
        <v>3.4712E-2</v>
      </c>
      <c r="AI22" s="139">
        <f>ROUND(INDEX(金币总表!$Z$5:$Z$12,装备!AG22)*装备!AH22/$AC$5,0)</f>
        <v>212</v>
      </c>
      <c r="AK22" s="139">
        <f t="shared" si="6"/>
        <v>105</v>
      </c>
      <c r="AL22" s="139">
        <f t="shared" si="6"/>
        <v>170</v>
      </c>
      <c r="AM22" s="139">
        <f t="shared" si="6"/>
        <v>210</v>
      </c>
      <c r="AN22" s="139">
        <f t="shared" si="6"/>
        <v>255</v>
      </c>
      <c r="BA22">
        <v>90</v>
      </c>
      <c r="BB22" s="139">
        <v>17</v>
      </c>
      <c r="BC22" s="163">
        <f>节奏总表!L21</f>
        <v>90</v>
      </c>
      <c r="BD22" s="163">
        <f>节奏总表!N21+2</f>
        <v>114</v>
      </c>
      <c r="BE22" s="139"/>
      <c r="BF22" s="139"/>
      <c r="BG22" s="139"/>
      <c r="BH22" s="19">
        <v>0.5</v>
      </c>
      <c r="BI22" s="19">
        <v>0.5</v>
      </c>
      <c r="BJ22" s="139"/>
      <c r="BK22" s="139"/>
      <c r="BL22" s="139"/>
      <c r="BM22" s="139"/>
      <c r="BN22" s="139"/>
      <c r="BO22" s="139"/>
      <c r="BP22" s="14">
        <f t="shared" si="2"/>
        <v>216.3</v>
      </c>
      <c r="BQ22" s="14">
        <f t="shared" si="8"/>
        <v>24658.2</v>
      </c>
      <c r="BR22" s="14">
        <f>SUM(BQ$6:BQ22)</f>
        <v>116458.5</v>
      </c>
      <c r="CH22" s="139">
        <v>17</v>
      </c>
      <c r="CI22" s="139">
        <v>85</v>
      </c>
      <c r="CO22" s="144">
        <v>130</v>
      </c>
      <c r="CP22" s="144" t="str">
        <f t="shared" si="11"/>
        <v>130级锻造</v>
      </c>
      <c r="CQ22" s="144"/>
      <c r="CR22" s="144"/>
      <c r="CS22" s="144"/>
      <c r="CT22" s="144"/>
      <c r="CU22" s="144"/>
      <c r="CV22" s="144"/>
      <c r="CW22" s="19">
        <v>0.2</v>
      </c>
      <c r="CX22" s="19">
        <v>0.3</v>
      </c>
      <c r="CY22" s="19">
        <v>0.5</v>
      </c>
      <c r="CZ22" s="144"/>
      <c r="DA22" s="144"/>
      <c r="DB22" s="144">
        <f t="shared" si="12"/>
        <v>355</v>
      </c>
      <c r="DE22" s="144">
        <v>17</v>
      </c>
      <c r="DF22" s="144">
        <f t="shared" si="13"/>
        <v>3</v>
      </c>
      <c r="DG22" s="144" t="s">
        <v>1208</v>
      </c>
      <c r="DH22" s="144">
        <f t="shared" si="14"/>
        <v>1</v>
      </c>
      <c r="DI22" s="144" t="str">
        <f t="shared" si="15"/>
        <v>灵器锻造</v>
      </c>
      <c r="DJ22" s="144" t="str">
        <f t="shared" si="16"/>
        <v>ui_dtex_Equ_01</v>
      </c>
      <c r="DK22" s="144" t="s">
        <v>1203</v>
      </c>
      <c r="DL22" s="144">
        <f t="shared" si="17"/>
        <v>130</v>
      </c>
    </row>
    <row r="23" spans="1:116" ht="14.25" customHeight="1" x14ac:dyDescent="0.2">
      <c r="A23" s="188"/>
      <c r="B23" s="188"/>
      <c r="C23" s="188"/>
      <c r="D23" s="188"/>
      <c r="E23" s="188"/>
      <c r="F23" s="188"/>
      <c r="G23" s="188"/>
      <c r="H23" s="188"/>
      <c r="I23" s="188"/>
      <c r="J23" s="188"/>
      <c r="K23" s="188"/>
      <c r="L23" s="188"/>
      <c r="M23" s="188"/>
      <c r="AF23" s="139">
        <v>18</v>
      </c>
      <c r="AG23" s="139">
        <f>MATCH(AF23-1,金币总表!$Y$4:$Y$12,1)</f>
        <v>2</v>
      </c>
      <c r="AH23" s="21">
        <v>3.5631500000000003E-2</v>
      </c>
      <c r="AI23" s="139">
        <f>ROUND(INDEX(金币总表!$Z$5:$Z$12,装备!AG23)*装备!AH23/$AC$5,0)</f>
        <v>217</v>
      </c>
      <c r="AK23" s="139">
        <f t="shared" si="6"/>
        <v>110</v>
      </c>
      <c r="AL23" s="139">
        <f t="shared" si="6"/>
        <v>175</v>
      </c>
      <c r="AM23" s="139">
        <f t="shared" si="6"/>
        <v>215</v>
      </c>
      <c r="AN23" s="139">
        <f t="shared" si="6"/>
        <v>260</v>
      </c>
      <c r="BA23">
        <v>95</v>
      </c>
      <c r="BB23" s="139">
        <v>18</v>
      </c>
      <c r="BC23" s="163">
        <f>节奏总表!L22</f>
        <v>95</v>
      </c>
      <c r="BD23" s="163">
        <f>节奏总表!N22+2</f>
        <v>122</v>
      </c>
      <c r="BE23" s="139"/>
      <c r="BF23" s="139"/>
      <c r="BG23" s="139"/>
      <c r="BH23" s="139"/>
      <c r="BI23" s="19">
        <v>1</v>
      </c>
      <c r="BJ23" s="139"/>
      <c r="BK23" s="139"/>
      <c r="BL23" s="139"/>
      <c r="BM23" s="139"/>
      <c r="BN23" s="139"/>
      <c r="BO23" s="139"/>
      <c r="BP23" s="14">
        <f t="shared" si="2"/>
        <v>240</v>
      </c>
      <c r="BQ23" s="14">
        <f t="shared" si="8"/>
        <v>29280</v>
      </c>
      <c r="BR23" s="14">
        <f>SUM(BQ$6:BQ23)</f>
        <v>145738.5</v>
      </c>
      <c r="CH23" s="139">
        <v>18</v>
      </c>
      <c r="CI23" s="139">
        <v>90</v>
      </c>
      <c r="CO23" s="144">
        <v>135</v>
      </c>
      <c r="CP23" s="144" t="str">
        <f t="shared" si="11"/>
        <v>135级锻造</v>
      </c>
      <c r="CQ23" s="144"/>
      <c r="CR23" s="144"/>
      <c r="CS23" s="144"/>
      <c r="CT23" s="144"/>
      <c r="CU23" s="144"/>
      <c r="CV23" s="144"/>
      <c r="CW23" s="144"/>
      <c r="CX23" s="19">
        <v>0.3</v>
      </c>
      <c r="CY23" s="19">
        <v>0.7</v>
      </c>
      <c r="CZ23" s="144"/>
      <c r="DA23" s="144"/>
      <c r="DB23" s="144">
        <f t="shared" si="12"/>
        <v>385</v>
      </c>
      <c r="DE23" s="144">
        <v>18</v>
      </c>
      <c r="DF23" s="144">
        <f t="shared" si="13"/>
        <v>3</v>
      </c>
      <c r="DG23" s="144" t="s">
        <v>1208</v>
      </c>
      <c r="DH23" s="144">
        <f t="shared" si="14"/>
        <v>2</v>
      </c>
      <c r="DI23" s="144" t="str">
        <f t="shared" si="15"/>
        <v>头盔锻造</v>
      </c>
      <c r="DJ23" s="144" t="str">
        <f t="shared" si="16"/>
        <v>ui_dtex_Equ_02</v>
      </c>
      <c r="DK23" s="144" t="s">
        <v>1203</v>
      </c>
      <c r="DL23" s="144">
        <f t="shared" si="17"/>
        <v>65</v>
      </c>
    </row>
    <row r="24" spans="1:116" ht="14.25" customHeight="1" x14ac:dyDescent="0.2">
      <c r="A24" s="188"/>
      <c r="B24" s="188"/>
      <c r="C24" s="188"/>
      <c r="D24" s="188"/>
      <c r="E24" s="188"/>
      <c r="F24" s="188"/>
      <c r="G24" s="188"/>
      <c r="H24" s="188"/>
      <c r="I24" s="188"/>
      <c r="J24" s="188"/>
      <c r="K24" s="188"/>
      <c r="L24" s="188"/>
      <c r="M24" s="188"/>
      <c r="AF24" s="139">
        <v>19</v>
      </c>
      <c r="AG24" s="139">
        <f>MATCH(AF24-1,金币总表!$Y$4:$Y$12,1)</f>
        <v>2</v>
      </c>
      <c r="AH24" s="21">
        <v>3.6551E-2</v>
      </c>
      <c r="AI24" s="139">
        <f>ROUND(INDEX(金币总表!$Z$5:$Z$12,装备!AG24)*装备!AH24/$AC$5,0)</f>
        <v>223</v>
      </c>
      <c r="AK24" s="139">
        <f t="shared" si="6"/>
        <v>110</v>
      </c>
      <c r="AL24" s="139">
        <f t="shared" si="6"/>
        <v>180</v>
      </c>
      <c r="AM24" s="139">
        <f t="shared" si="6"/>
        <v>225</v>
      </c>
      <c r="AN24" s="139">
        <f t="shared" si="6"/>
        <v>270</v>
      </c>
      <c r="BA24">
        <v>100</v>
      </c>
      <c r="BB24" s="139">
        <v>19</v>
      </c>
      <c r="BC24" s="163">
        <f>节奏总表!L23</f>
        <v>100</v>
      </c>
      <c r="BD24" s="163">
        <f>节奏总表!N23+2</f>
        <v>127</v>
      </c>
      <c r="BE24" s="139"/>
      <c r="BF24" s="139"/>
      <c r="BG24" s="139"/>
      <c r="BH24" s="139"/>
      <c r="BI24" s="19">
        <v>0.5</v>
      </c>
      <c r="BJ24" s="19">
        <v>0.5</v>
      </c>
      <c r="BK24" s="139"/>
      <c r="BL24" s="139"/>
      <c r="BM24" s="139"/>
      <c r="BN24" s="139"/>
      <c r="BO24" s="139"/>
      <c r="BP24" s="14">
        <f t="shared" si="2"/>
        <v>267</v>
      </c>
      <c r="BQ24" s="14">
        <f t="shared" si="8"/>
        <v>33909</v>
      </c>
      <c r="BR24" s="14">
        <f>SUM(BQ$6:BQ24)</f>
        <v>179647.5</v>
      </c>
      <c r="CH24" s="139">
        <v>19</v>
      </c>
      <c r="CI24" s="139">
        <v>95</v>
      </c>
      <c r="CO24" s="144">
        <v>140</v>
      </c>
      <c r="CP24" s="144" t="str">
        <f t="shared" si="11"/>
        <v>140级锻造</v>
      </c>
      <c r="CQ24" s="144"/>
      <c r="CR24" s="144"/>
      <c r="CS24" s="144"/>
      <c r="CT24" s="144"/>
      <c r="CU24" s="144"/>
      <c r="CV24" s="144"/>
      <c r="CW24" s="144"/>
      <c r="CX24" s="19">
        <v>0.2</v>
      </c>
      <c r="CY24" s="19">
        <v>0.3</v>
      </c>
      <c r="CZ24" s="19">
        <v>0.5</v>
      </c>
      <c r="DA24" s="144"/>
      <c r="DB24" s="144">
        <f t="shared" si="12"/>
        <v>430</v>
      </c>
      <c r="DE24" s="144">
        <v>19</v>
      </c>
      <c r="DF24" s="144">
        <f t="shared" si="13"/>
        <v>3</v>
      </c>
      <c r="DG24" s="144" t="s">
        <v>1208</v>
      </c>
      <c r="DH24" s="144">
        <f t="shared" si="14"/>
        <v>3</v>
      </c>
      <c r="DI24" s="144" t="str">
        <f t="shared" si="15"/>
        <v>铠甲锻造</v>
      </c>
      <c r="DJ24" s="144" t="str">
        <f t="shared" si="16"/>
        <v>ui_dtex_Equ_03</v>
      </c>
      <c r="DK24" s="144" t="s">
        <v>1203</v>
      </c>
      <c r="DL24" s="144">
        <f t="shared" si="17"/>
        <v>65</v>
      </c>
    </row>
    <row r="25" spans="1:116" ht="14.25" customHeight="1" x14ac:dyDescent="0.2">
      <c r="A25" s="188"/>
      <c r="B25" s="188"/>
      <c r="C25" s="188"/>
      <c r="D25" s="188"/>
      <c r="E25" s="188"/>
      <c r="F25" s="188"/>
      <c r="G25" s="188"/>
      <c r="H25" s="188"/>
      <c r="I25" s="188"/>
      <c r="J25" s="188"/>
      <c r="K25" s="188"/>
      <c r="L25" s="188"/>
      <c r="M25" s="188"/>
      <c r="AF25" s="139">
        <v>20</v>
      </c>
      <c r="AG25" s="139">
        <f>MATCH(AF25-1,金币总表!$Y$4:$Y$12,1)</f>
        <v>2</v>
      </c>
      <c r="AH25" s="21">
        <v>3.7470499999999997E-2</v>
      </c>
      <c r="AI25" s="139">
        <f>ROUND(INDEX(金币总表!$Z$5:$Z$12,装备!AG25)*装备!AH25/$AC$5,0)</f>
        <v>228</v>
      </c>
      <c r="AK25" s="139">
        <f t="shared" si="6"/>
        <v>115</v>
      </c>
      <c r="AL25" s="139">
        <f t="shared" si="6"/>
        <v>180</v>
      </c>
      <c r="AM25" s="139">
        <f t="shared" si="6"/>
        <v>230</v>
      </c>
      <c r="AN25" s="139">
        <f t="shared" si="6"/>
        <v>275</v>
      </c>
      <c r="BA25">
        <v>105</v>
      </c>
      <c r="BB25" s="139">
        <v>20</v>
      </c>
      <c r="BC25" s="163">
        <f>节奏总表!L24</f>
        <v>105</v>
      </c>
      <c r="BD25" s="163">
        <f>节奏总表!N24+2</f>
        <v>132</v>
      </c>
      <c r="BE25" s="139"/>
      <c r="BF25" s="139"/>
      <c r="BG25" s="139"/>
      <c r="BH25" s="139"/>
      <c r="BI25" s="139"/>
      <c r="BJ25" s="19">
        <v>1</v>
      </c>
      <c r="BK25" s="139"/>
      <c r="BL25" s="139"/>
      <c r="BM25" s="139"/>
      <c r="BN25" s="139"/>
      <c r="BO25" s="139"/>
      <c r="BP25" s="14">
        <f t="shared" si="2"/>
        <v>294</v>
      </c>
      <c r="BQ25" s="14">
        <f t="shared" si="8"/>
        <v>38808</v>
      </c>
      <c r="BR25" s="14">
        <f>SUM(BQ$6:BQ25)</f>
        <v>218455.5</v>
      </c>
      <c r="CH25" s="139">
        <v>20</v>
      </c>
      <c r="CI25" s="139">
        <v>100</v>
      </c>
      <c r="CO25" s="144">
        <v>145</v>
      </c>
      <c r="CP25" s="144" t="str">
        <f t="shared" si="11"/>
        <v>145级锻造</v>
      </c>
      <c r="CQ25" s="144"/>
      <c r="CR25" s="144"/>
      <c r="CS25" s="144"/>
      <c r="CT25" s="144"/>
      <c r="CU25" s="144"/>
      <c r="CV25" s="144"/>
      <c r="CW25" s="144"/>
      <c r="CX25" s="144"/>
      <c r="CY25" s="19">
        <v>0.3</v>
      </c>
      <c r="CZ25" s="19">
        <v>0.7</v>
      </c>
      <c r="DA25" s="144"/>
      <c r="DB25" s="144">
        <f t="shared" si="12"/>
        <v>460</v>
      </c>
      <c r="DE25" s="144">
        <v>20</v>
      </c>
      <c r="DF25" s="144">
        <f t="shared" si="13"/>
        <v>3</v>
      </c>
      <c r="DG25" s="144" t="s">
        <v>1208</v>
      </c>
      <c r="DH25" s="144">
        <f t="shared" si="14"/>
        <v>4</v>
      </c>
      <c r="DI25" s="144" t="str">
        <f t="shared" si="15"/>
        <v>裤子锻造</v>
      </c>
      <c r="DJ25" s="144" t="str">
        <f t="shared" si="16"/>
        <v>ui_dtex_Equ_04</v>
      </c>
      <c r="DK25" s="144" t="s">
        <v>1203</v>
      </c>
      <c r="DL25" s="144">
        <f t="shared" si="17"/>
        <v>65</v>
      </c>
    </row>
    <row r="26" spans="1:116" ht="14.25" customHeight="1" x14ac:dyDescent="0.2">
      <c r="A26" s="188"/>
      <c r="B26" s="188"/>
      <c r="C26" s="188"/>
      <c r="D26" s="188"/>
      <c r="E26" s="188"/>
      <c r="F26" s="188"/>
      <c r="G26" s="188"/>
      <c r="H26" s="188"/>
      <c r="I26" s="188"/>
      <c r="J26" s="188"/>
      <c r="K26" s="188"/>
      <c r="L26" s="188"/>
      <c r="M26" s="188"/>
      <c r="AF26" s="139">
        <v>21</v>
      </c>
      <c r="AG26" s="139">
        <f>MATCH(AF26-1,金币总表!$Y$4:$Y$12,1)</f>
        <v>2</v>
      </c>
      <c r="AH26" s="21">
        <v>3.8390000000000001E-2</v>
      </c>
      <c r="AI26" s="139">
        <f>ROUND(INDEX(金币总表!$Z$5:$Z$12,装备!AG26)*装备!AH26/$AC$5,0)</f>
        <v>234</v>
      </c>
      <c r="AK26" s="139">
        <f t="shared" si="6"/>
        <v>115</v>
      </c>
      <c r="AL26" s="139">
        <f t="shared" si="6"/>
        <v>185</v>
      </c>
      <c r="AM26" s="139">
        <f t="shared" si="6"/>
        <v>235</v>
      </c>
      <c r="AN26" s="139">
        <f t="shared" si="6"/>
        <v>280</v>
      </c>
      <c r="BA26">
        <v>110</v>
      </c>
      <c r="BB26" s="139">
        <v>21</v>
      </c>
      <c r="BC26" s="163">
        <f>节奏总表!L25</f>
        <v>110</v>
      </c>
      <c r="BD26" s="163">
        <f>节奏总表!N25+2</f>
        <v>139</v>
      </c>
      <c r="BE26" s="139"/>
      <c r="BF26" s="139"/>
      <c r="BG26" s="139"/>
      <c r="BH26" s="139"/>
      <c r="BI26" s="139"/>
      <c r="BJ26" s="19">
        <v>0.5</v>
      </c>
      <c r="BK26" s="19">
        <v>0.5</v>
      </c>
      <c r="BL26" s="139"/>
      <c r="BM26" s="139"/>
      <c r="BN26" s="139"/>
      <c r="BO26" s="139"/>
      <c r="BP26" s="14">
        <f t="shared" si="2"/>
        <v>318</v>
      </c>
      <c r="BQ26" s="14">
        <f t="shared" si="8"/>
        <v>44202</v>
      </c>
      <c r="BR26" s="14">
        <f>SUM(BQ$6:BQ26)</f>
        <v>262657.5</v>
      </c>
      <c r="CH26" s="139">
        <v>21</v>
      </c>
      <c r="CI26" s="139">
        <v>105</v>
      </c>
      <c r="CO26" s="144">
        <v>150</v>
      </c>
      <c r="CP26" s="144" t="str">
        <f t="shared" si="11"/>
        <v>150级锻造</v>
      </c>
      <c r="CQ26" s="144"/>
      <c r="CR26" s="144"/>
      <c r="CS26" s="144"/>
      <c r="CT26" s="144"/>
      <c r="CU26" s="144"/>
      <c r="CV26" s="144"/>
      <c r="CW26" s="144"/>
      <c r="CX26" s="144"/>
      <c r="CY26" s="19">
        <v>0.2</v>
      </c>
      <c r="CZ26" s="19">
        <v>0.3</v>
      </c>
      <c r="DA26" s="19">
        <v>0.5</v>
      </c>
      <c r="DB26" s="144">
        <f t="shared" si="12"/>
        <v>550</v>
      </c>
      <c r="DE26" s="144">
        <v>21</v>
      </c>
      <c r="DF26" s="144">
        <f t="shared" si="13"/>
        <v>3</v>
      </c>
      <c r="DG26" s="144" t="s">
        <v>1208</v>
      </c>
      <c r="DH26" s="144">
        <f t="shared" si="14"/>
        <v>5</v>
      </c>
      <c r="DI26" s="144" t="str">
        <f t="shared" si="15"/>
        <v>鞋子锻造</v>
      </c>
      <c r="DJ26" s="144" t="str">
        <f t="shared" si="16"/>
        <v>ui_dtex_Equ_05</v>
      </c>
      <c r="DK26" s="144" t="s">
        <v>1203</v>
      </c>
      <c r="DL26" s="144">
        <f t="shared" si="17"/>
        <v>65</v>
      </c>
    </row>
    <row r="27" spans="1:116" ht="14.25" customHeight="1" x14ac:dyDescent="0.2">
      <c r="A27" s="188"/>
      <c r="B27" s="188"/>
      <c r="C27" s="188"/>
      <c r="D27" s="188"/>
      <c r="E27" s="188"/>
      <c r="F27" s="188"/>
      <c r="G27" s="188"/>
      <c r="H27" s="188"/>
      <c r="I27" s="188"/>
      <c r="J27" s="188"/>
      <c r="K27" s="188"/>
      <c r="L27" s="188"/>
      <c r="M27" s="188"/>
      <c r="AF27" s="139">
        <v>22</v>
      </c>
      <c r="AG27" s="139">
        <f>MATCH(AF27-1,金币总表!$Y$4:$Y$12,1)</f>
        <v>2</v>
      </c>
      <c r="AH27" s="21">
        <v>3.9309499999999997E-2</v>
      </c>
      <c r="AI27" s="139">
        <f>ROUND(INDEX(金币总表!$Z$5:$Z$12,装备!AG27)*装备!AH27/$AC$5,0)</f>
        <v>240</v>
      </c>
      <c r="AK27" s="139">
        <f t="shared" si="6"/>
        <v>120</v>
      </c>
      <c r="AL27" s="139">
        <f t="shared" si="6"/>
        <v>190</v>
      </c>
      <c r="AM27" s="139">
        <f t="shared" si="6"/>
        <v>240</v>
      </c>
      <c r="AN27" s="139">
        <f t="shared" si="6"/>
        <v>290</v>
      </c>
      <c r="BA27">
        <v>115</v>
      </c>
      <c r="BB27" s="139">
        <v>22</v>
      </c>
      <c r="BC27" s="163">
        <f>节奏总表!L26</f>
        <v>115</v>
      </c>
      <c r="BD27" s="163">
        <f>节奏总表!N26+2</f>
        <v>146</v>
      </c>
      <c r="BE27" s="139"/>
      <c r="BF27" s="139"/>
      <c r="BG27" s="139"/>
      <c r="BH27" s="139"/>
      <c r="BI27" s="139"/>
      <c r="BJ27" s="139"/>
      <c r="BK27" s="19">
        <v>1</v>
      </c>
      <c r="BL27" s="139"/>
      <c r="BM27" s="139"/>
      <c r="BN27" s="139"/>
      <c r="BO27" s="139"/>
      <c r="BP27" s="14">
        <f t="shared" si="2"/>
        <v>342</v>
      </c>
      <c r="BQ27" s="14">
        <f t="shared" si="8"/>
        <v>49932</v>
      </c>
      <c r="BR27" s="14">
        <f>SUM(BQ$6:BQ27)</f>
        <v>312589.5</v>
      </c>
      <c r="CH27" s="139">
        <v>22</v>
      </c>
      <c r="CI27" s="139">
        <v>110</v>
      </c>
      <c r="DE27" s="144">
        <v>22</v>
      </c>
      <c r="DF27" s="144">
        <f t="shared" si="13"/>
        <v>3</v>
      </c>
      <c r="DG27" s="144" t="s">
        <v>1208</v>
      </c>
      <c r="DH27" s="144">
        <f t="shared" si="14"/>
        <v>6</v>
      </c>
      <c r="DI27" s="144" t="str">
        <f t="shared" si="15"/>
        <v>护手锻造</v>
      </c>
      <c r="DJ27" s="144" t="str">
        <f t="shared" si="16"/>
        <v>ui_dtex_Equ_06</v>
      </c>
      <c r="DK27" s="144" t="s">
        <v>1203</v>
      </c>
      <c r="DL27" s="144">
        <f t="shared" si="17"/>
        <v>65</v>
      </c>
    </row>
    <row r="28" spans="1:116" ht="14.25" customHeight="1" x14ac:dyDescent="0.2">
      <c r="A28" s="188"/>
      <c r="B28" s="188"/>
      <c r="C28" s="188"/>
      <c r="D28" s="188"/>
      <c r="E28" s="188"/>
      <c r="F28" s="188"/>
      <c r="G28" s="188"/>
      <c r="H28" s="188"/>
      <c r="I28" s="188"/>
      <c r="J28" s="188"/>
      <c r="K28" s="188"/>
      <c r="L28" s="188"/>
      <c r="M28" s="188"/>
      <c r="AF28" s="139">
        <v>23</v>
      </c>
      <c r="AG28" s="139">
        <f>MATCH(AF28-1,金币总表!$Y$4:$Y$12,1)</f>
        <v>2</v>
      </c>
      <c r="AH28" s="21">
        <v>4.0229000000000001E-2</v>
      </c>
      <c r="AI28" s="139">
        <f>ROUND(INDEX(金币总表!$Z$5:$Z$12,装备!AG28)*装备!AH28/$AC$5,0)</f>
        <v>245</v>
      </c>
      <c r="AK28" s="139">
        <f t="shared" si="6"/>
        <v>125</v>
      </c>
      <c r="AL28" s="139">
        <f t="shared" si="6"/>
        <v>195</v>
      </c>
      <c r="AM28" s="139">
        <f t="shared" si="6"/>
        <v>245</v>
      </c>
      <c r="AN28" s="139">
        <f t="shared" si="6"/>
        <v>295</v>
      </c>
      <c r="BA28">
        <v>120</v>
      </c>
      <c r="BB28" s="139">
        <v>23</v>
      </c>
      <c r="BC28" s="163">
        <f>节奏总表!L27</f>
        <v>120</v>
      </c>
      <c r="BD28" s="163">
        <f>节奏总表!N27+2</f>
        <v>162</v>
      </c>
      <c r="BE28" s="139"/>
      <c r="BF28" s="139"/>
      <c r="BG28" s="139"/>
      <c r="BH28" s="139"/>
      <c r="BI28" s="139"/>
      <c r="BJ28" s="139"/>
      <c r="BK28" s="19">
        <v>0.5</v>
      </c>
      <c r="BL28" s="19">
        <v>0.5</v>
      </c>
      <c r="BM28" s="139"/>
      <c r="BN28" s="139"/>
      <c r="BO28" s="139"/>
      <c r="BP28" s="14">
        <f t="shared" si="2"/>
        <v>394.20000000000005</v>
      </c>
      <c r="BQ28" s="14">
        <f t="shared" si="8"/>
        <v>63860.400000000009</v>
      </c>
      <c r="BR28" s="14">
        <f>SUM(BQ$6:BQ28)</f>
        <v>376449.9</v>
      </c>
      <c r="CH28" s="139">
        <v>23</v>
      </c>
      <c r="CI28" s="139">
        <v>115</v>
      </c>
      <c r="DE28" s="144">
        <v>23</v>
      </c>
      <c r="DF28" s="144">
        <f t="shared" si="13"/>
        <v>3</v>
      </c>
      <c r="DG28" s="144" t="s">
        <v>1208</v>
      </c>
      <c r="DH28" s="144">
        <f t="shared" si="14"/>
        <v>7</v>
      </c>
      <c r="DI28" s="144" t="str">
        <f t="shared" si="15"/>
        <v>项链锻造</v>
      </c>
      <c r="DJ28" s="144" t="str">
        <f t="shared" si="16"/>
        <v>ui_dtex_Equ_07</v>
      </c>
      <c r="DK28" s="144" t="s">
        <v>1203</v>
      </c>
      <c r="DL28" s="144">
        <f t="shared" si="17"/>
        <v>100</v>
      </c>
    </row>
    <row r="29" spans="1:116" ht="14.25" customHeight="1" x14ac:dyDescent="0.2">
      <c r="A29" s="188"/>
      <c r="B29" s="188"/>
      <c r="C29" s="188"/>
      <c r="D29" s="188"/>
      <c r="E29" s="188"/>
      <c r="F29" s="188"/>
      <c r="G29" s="188"/>
      <c r="H29" s="188"/>
      <c r="I29" s="188"/>
      <c r="J29" s="188"/>
      <c r="K29" s="188"/>
      <c r="L29" s="188"/>
      <c r="M29" s="188"/>
      <c r="AF29" s="139">
        <v>24</v>
      </c>
      <c r="AG29" s="139">
        <f>MATCH(AF29-1,金币总表!$Y$4:$Y$12,1)</f>
        <v>2</v>
      </c>
      <c r="AH29" s="21">
        <v>4.1148499999999998E-2</v>
      </c>
      <c r="AI29" s="139">
        <f>ROUND(INDEX(金币总表!$Z$5:$Z$12,装备!AG29)*装备!AH29/$AC$5,0)</f>
        <v>251</v>
      </c>
      <c r="AK29" s="139">
        <f t="shared" si="6"/>
        <v>125</v>
      </c>
      <c r="AL29" s="139">
        <f t="shared" si="6"/>
        <v>200</v>
      </c>
      <c r="AM29" s="139">
        <f t="shared" si="6"/>
        <v>250</v>
      </c>
      <c r="AN29" s="139">
        <f t="shared" si="6"/>
        <v>300</v>
      </c>
      <c r="BA29">
        <v>125</v>
      </c>
      <c r="BB29" s="139">
        <v>24</v>
      </c>
      <c r="BC29" s="163">
        <f>节奏总表!L28</f>
        <v>125</v>
      </c>
      <c r="BD29" s="163">
        <f>节奏总表!N28+2</f>
        <v>182</v>
      </c>
      <c r="BE29" s="139"/>
      <c r="BF29" s="139"/>
      <c r="BG29" s="139"/>
      <c r="BH29" s="139"/>
      <c r="BI29" s="139"/>
      <c r="BJ29" s="139"/>
      <c r="BK29" s="139"/>
      <c r="BL29" s="19">
        <v>1</v>
      </c>
      <c r="BM29" s="139"/>
      <c r="BN29" s="139"/>
      <c r="BO29" s="139"/>
      <c r="BP29" s="14">
        <f t="shared" si="2"/>
        <v>446.40000000000003</v>
      </c>
      <c r="BQ29" s="14">
        <f t="shared" si="8"/>
        <v>81244.800000000003</v>
      </c>
      <c r="BR29" s="14">
        <f>SUM(BQ$6:BQ29)</f>
        <v>457694.7</v>
      </c>
      <c r="CH29" s="139">
        <v>24</v>
      </c>
      <c r="CI29" s="139">
        <v>120</v>
      </c>
      <c r="DE29" s="144">
        <v>24</v>
      </c>
      <c r="DF29" s="144">
        <f t="shared" si="13"/>
        <v>3</v>
      </c>
      <c r="DG29" s="144" t="s">
        <v>1208</v>
      </c>
      <c r="DH29" s="144">
        <f t="shared" si="14"/>
        <v>8</v>
      </c>
      <c r="DI29" s="144" t="str">
        <f t="shared" si="15"/>
        <v>戒指锻造</v>
      </c>
      <c r="DJ29" s="144" t="str">
        <f t="shared" si="16"/>
        <v>ui_dtex_Equ_08</v>
      </c>
      <c r="DK29" s="144" t="s">
        <v>1203</v>
      </c>
      <c r="DL29" s="144">
        <f t="shared" si="17"/>
        <v>100</v>
      </c>
    </row>
    <row r="30" spans="1:116" ht="14.25" customHeight="1" x14ac:dyDescent="0.2">
      <c r="A30" s="188"/>
      <c r="B30" s="188"/>
      <c r="C30" s="188"/>
      <c r="D30" s="188"/>
      <c r="E30" s="188"/>
      <c r="F30" s="188"/>
      <c r="G30" s="188"/>
      <c r="H30" s="188"/>
      <c r="I30" s="188"/>
      <c r="J30" s="188"/>
      <c r="K30" s="188"/>
      <c r="L30" s="188"/>
      <c r="M30" s="188"/>
      <c r="AF30" s="139">
        <v>25</v>
      </c>
      <c r="AG30" s="139">
        <f>MATCH(AF30-1,金币总表!$Y$4:$Y$12,1)</f>
        <v>2</v>
      </c>
      <c r="AH30" s="21">
        <v>4.2068000000000001E-2</v>
      </c>
      <c r="AI30" s="139">
        <f>ROUND(INDEX(金币总表!$Z$5:$Z$12,装备!AG30)*装备!AH30/$AC$5,0)</f>
        <v>256</v>
      </c>
      <c r="AK30" s="139">
        <f t="shared" si="6"/>
        <v>130</v>
      </c>
      <c r="AL30" s="139">
        <f t="shared" si="6"/>
        <v>205</v>
      </c>
      <c r="AM30" s="139">
        <f t="shared" si="6"/>
        <v>255</v>
      </c>
      <c r="AN30" s="139">
        <f t="shared" si="6"/>
        <v>305</v>
      </c>
      <c r="BA30">
        <v>130</v>
      </c>
      <c r="BB30" s="139">
        <v>25</v>
      </c>
      <c r="BC30" s="163">
        <f>节奏总表!L29</f>
        <v>130</v>
      </c>
      <c r="BD30" s="163">
        <f>节奏总表!N29+2</f>
        <v>212</v>
      </c>
      <c r="BE30" s="139"/>
      <c r="BF30" s="139"/>
      <c r="BG30" s="139"/>
      <c r="BH30" s="139"/>
      <c r="BI30" s="139"/>
      <c r="BJ30" s="139"/>
      <c r="BK30" s="139"/>
      <c r="BL30" s="19">
        <v>0.5</v>
      </c>
      <c r="BM30" s="19">
        <v>0.5</v>
      </c>
      <c r="BN30" s="139"/>
      <c r="BO30" s="139"/>
      <c r="BP30" s="14">
        <f t="shared" si="2"/>
        <v>493.20000000000005</v>
      </c>
      <c r="BQ30" s="14">
        <f t="shared" si="8"/>
        <v>104558.40000000001</v>
      </c>
      <c r="BR30" s="14">
        <f>SUM(BQ$6:BQ30)</f>
        <v>562253.1</v>
      </c>
      <c r="CH30" s="139">
        <v>25</v>
      </c>
      <c r="CI30" s="139">
        <v>125</v>
      </c>
      <c r="DE30" s="144">
        <v>25</v>
      </c>
      <c r="DF30" s="144">
        <f t="shared" si="13"/>
        <v>4</v>
      </c>
      <c r="DG30" s="144" t="s">
        <v>1208</v>
      </c>
      <c r="DH30" s="144">
        <f t="shared" si="14"/>
        <v>1</v>
      </c>
      <c r="DI30" s="144" t="str">
        <f t="shared" si="15"/>
        <v>灵器锻造</v>
      </c>
      <c r="DJ30" s="144" t="str">
        <f t="shared" si="16"/>
        <v>ui_dtex_Equ_01</v>
      </c>
      <c r="DK30" s="144" t="s">
        <v>1203</v>
      </c>
      <c r="DL30" s="144">
        <f t="shared" si="17"/>
        <v>150</v>
      </c>
    </row>
    <row r="31" spans="1:116" ht="14.25" customHeight="1" x14ac:dyDescent="0.2">
      <c r="A31" s="188"/>
      <c r="B31" s="188"/>
      <c r="C31" s="188"/>
      <c r="D31" s="188"/>
      <c r="E31" s="188"/>
      <c r="F31" s="188"/>
      <c r="G31" s="188"/>
      <c r="H31" s="188"/>
      <c r="I31" s="188"/>
      <c r="J31" s="188"/>
      <c r="K31" s="188"/>
      <c r="L31" s="188"/>
      <c r="M31" s="188"/>
      <c r="AF31" s="139">
        <v>26</v>
      </c>
      <c r="AG31" s="139">
        <f>MATCH(AF31-1,金币总表!$Y$4:$Y$12,1)</f>
        <v>2</v>
      </c>
      <c r="AH31" s="21">
        <v>4.2987499999999998E-2</v>
      </c>
      <c r="AI31" s="139">
        <f>ROUND(INDEX(金币总表!$Z$5:$Z$12,装备!AG31)*装备!AH31/$AC$5,0)</f>
        <v>262</v>
      </c>
      <c r="AK31" s="139">
        <f t="shared" si="6"/>
        <v>130</v>
      </c>
      <c r="AL31" s="139">
        <f t="shared" si="6"/>
        <v>210</v>
      </c>
      <c r="AM31" s="139">
        <f t="shared" si="6"/>
        <v>260</v>
      </c>
      <c r="AN31" s="139">
        <f t="shared" si="6"/>
        <v>315</v>
      </c>
      <c r="BA31">
        <v>135</v>
      </c>
      <c r="BB31" s="139">
        <v>26</v>
      </c>
      <c r="BC31" s="163">
        <f>节奏总表!L30</f>
        <v>135</v>
      </c>
      <c r="BD31" s="163">
        <f>节奏总表!N30+2</f>
        <v>252</v>
      </c>
      <c r="BE31" s="139"/>
      <c r="BF31" s="139"/>
      <c r="BG31" s="139"/>
      <c r="BH31" s="139"/>
      <c r="BI31" s="139"/>
      <c r="BJ31" s="139"/>
      <c r="BK31" s="139"/>
      <c r="BL31" s="139"/>
      <c r="BM31" s="19">
        <v>1</v>
      </c>
      <c r="BN31" s="139"/>
      <c r="BO31" s="139"/>
      <c r="BP31" s="14">
        <f t="shared" si="2"/>
        <v>540</v>
      </c>
      <c r="BQ31" s="14">
        <f t="shared" si="8"/>
        <v>136080</v>
      </c>
      <c r="BR31" s="14">
        <f>SUM(BQ$6:BQ31)</f>
        <v>698333.1</v>
      </c>
      <c r="CH31" s="139">
        <v>26</v>
      </c>
      <c r="CI31" s="139">
        <v>130</v>
      </c>
      <c r="DE31" s="144">
        <v>26</v>
      </c>
      <c r="DF31" s="144">
        <f t="shared" si="13"/>
        <v>4</v>
      </c>
      <c r="DG31" s="144" t="s">
        <v>1208</v>
      </c>
      <c r="DH31" s="144">
        <f t="shared" si="14"/>
        <v>2</v>
      </c>
      <c r="DI31" s="144" t="str">
        <f t="shared" si="15"/>
        <v>头盔锻造</v>
      </c>
      <c r="DJ31" s="144" t="str">
        <f t="shared" si="16"/>
        <v>ui_dtex_Equ_02</v>
      </c>
      <c r="DK31" s="144" t="s">
        <v>1203</v>
      </c>
      <c r="DL31" s="144">
        <f t="shared" si="17"/>
        <v>75</v>
      </c>
    </row>
    <row r="32" spans="1:116" ht="14.25" customHeight="1" x14ac:dyDescent="0.2">
      <c r="A32" s="188"/>
      <c r="B32" s="188"/>
      <c r="C32" s="188"/>
      <c r="D32" s="188"/>
      <c r="E32" s="188"/>
      <c r="F32" s="188"/>
      <c r="G32" s="188"/>
      <c r="H32" s="188"/>
      <c r="I32" s="188"/>
      <c r="J32" s="188"/>
      <c r="K32" s="188"/>
      <c r="L32" s="188"/>
      <c r="M32" s="188"/>
      <c r="AF32" s="139">
        <v>27</v>
      </c>
      <c r="AG32" s="139">
        <f>MATCH(AF32-1,金币总表!$Y$4:$Y$12,1)</f>
        <v>2</v>
      </c>
      <c r="AH32" s="21">
        <v>4.3907000000000002E-2</v>
      </c>
      <c r="AI32" s="139">
        <f>ROUND(INDEX(金币总表!$Z$5:$Z$12,装备!AG32)*装备!AH32/$AC$5,0)</f>
        <v>268</v>
      </c>
      <c r="AK32" s="139">
        <f t="shared" si="6"/>
        <v>135</v>
      </c>
      <c r="AL32" s="139">
        <f t="shared" si="6"/>
        <v>215</v>
      </c>
      <c r="AM32" s="139">
        <f t="shared" si="6"/>
        <v>270</v>
      </c>
      <c r="AN32" s="139">
        <f t="shared" si="6"/>
        <v>320</v>
      </c>
      <c r="BA32">
        <v>140</v>
      </c>
      <c r="BB32" s="139">
        <v>27</v>
      </c>
      <c r="BC32" s="163">
        <f>节奏总表!L31</f>
        <v>140</v>
      </c>
      <c r="BD32" s="163">
        <f>节奏总表!N31+2</f>
        <v>302</v>
      </c>
      <c r="BE32" s="139"/>
      <c r="BF32" s="139"/>
      <c r="BG32" s="139"/>
      <c r="BH32" s="139"/>
      <c r="BI32" s="139"/>
      <c r="BJ32" s="139"/>
      <c r="BK32" s="139"/>
      <c r="BL32" s="139"/>
      <c r="BM32" s="19">
        <v>0.5</v>
      </c>
      <c r="BN32" s="19">
        <v>0.5</v>
      </c>
      <c r="BO32" s="139"/>
      <c r="BP32" s="14">
        <f t="shared" si="2"/>
        <v>594</v>
      </c>
      <c r="BQ32" s="14">
        <f t="shared" si="8"/>
        <v>179388</v>
      </c>
      <c r="BR32" s="14">
        <f>SUM(BQ$6:BQ32)</f>
        <v>877721.1</v>
      </c>
      <c r="CH32" s="139">
        <v>27</v>
      </c>
      <c r="CI32" s="139">
        <v>135</v>
      </c>
      <c r="DE32" s="144">
        <v>27</v>
      </c>
      <c r="DF32" s="144">
        <f t="shared" si="13"/>
        <v>4</v>
      </c>
      <c r="DG32" s="144" t="s">
        <v>1208</v>
      </c>
      <c r="DH32" s="144">
        <f t="shared" si="14"/>
        <v>3</v>
      </c>
      <c r="DI32" s="144" t="str">
        <f t="shared" si="15"/>
        <v>铠甲锻造</v>
      </c>
      <c r="DJ32" s="144" t="str">
        <f t="shared" si="16"/>
        <v>ui_dtex_Equ_03</v>
      </c>
      <c r="DK32" s="144" t="s">
        <v>1203</v>
      </c>
      <c r="DL32" s="144">
        <f t="shared" si="17"/>
        <v>75</v>
      </c>
    </row>
    <row r="33" spans="1:116" ht="14.25" customHeight="1" x14ac:dyDescent="0.2">
      <c r="A33" s="188"/>
      <c r="B33" s="188"/>
      <c r="C33" s="188"/>
      <c r="D33" s="188"/>
      <c r="E33" s="188"/>
      <c r="F33" s="188"/>
      <c r="G33" s="188"/>
      <c r="H33" s="188"/>
      <c r="I33" s="188"/>
      <c r="J33" s="188"/>
      <c r="K33" s="188"/>
      <c r="L33" s="188"/>
      <c r="M33" s="188"/>
      <c r="AF33" s="139">
        <v>28</v>
      </c>
      <c r="AG33" s="139">
        <f>MATCH(AF33-1,金币总表!$Y$4:$Y$12,1)</f>
        <v>2</v>
      </c>
      <c r="AH33" s="21">
        <v>4.4826499999999998E-2</v>
      </c>
      <c r="AI33" s="139">
        <f>ROUND(INDEX(金币总表!$Z$5:$Z$12,装备!AG33)*装备!AH33/$AC$5,0)</f>
        <v>273</v>
      </c>
      <c r="AK33" s="139">
        <f t="shared" si="6"/>
        <v>135</v>
      </c>
      <c r="AL33" s="139">
        <f t="shared" si="6"/>
        <v>220</v>
      </c>
      <c r="AM33" s="139">
        <f t="shared" si="6"/>
        <v>275</v>
      </c>
      <c r="AN33" s="139">
        <f t="shared" si="6"/>
        <v>330</v>
      </c>
      <c r="BA33">
        <v>145</v>
      </c>
      <c r="BB33" s="139">
        <v>28</v>
      </c>
      <c r="BC33" s="163">
        <f>节奏总表!L32</f>
        <v>145</v>
      </c>
      <c r="BD33" s="163">
        <f>节奏总表!N32+2</f>
        <v>342</v>
      </c>
      <c r="BE33" s="139"/>
      <c r="BF33" s="139"/>
      <c r="BG33" s="139"/>
      <c r="BH33" s="139"/>
      <c r="BI33" s="139"/>
      <c r="BJ33" s="139"/>
      <c r="BK33" s="139"/>
      <c r="BL33" s="139"/>
      <c r="BM33" s="139"/>
      <c r="BN33" s="19">
        <v>1</v>
      </c>
      <c r="BO33" s="139"/>
      <c r="BP33" s="14">
        <f t="shared" si="2"/>
        <v>648</v>
      </c>
      <c r="BQ33" s="14">
        <f t="shared" si="8"/>
        <v>221616</v>
      </c>
      <c r="BR33" s="14">
        <f>SUM(BQ$6:BQ33)</f>
        <v>1099337.1000000001</v>
      </c>
      <c r="CH33" s="139">
        <v>28</v>
      </c>
      <c r="CI33" s="139">
        <v>140</v>
      </c>
      <c r="DE33" s="144">
        <v>28</v>
      </c>
      <c r="DF33" s="144">
        <f t="shared" si="13"/>
        <v>4</v>
      </c>
      <c r="DG33" s="144" t="s">
        <v>1208</v>
      </c>
      <c r="DH33" s="144">
        <f t="shared" si="14"/>
        <v>4</v>
      </c>
      <c r="DI33" s="144" t="str">
        <f t="shared" si="15"/>
        <v>裤子锻造</v>
      </c>
      <c r="DJ33" s="144" t="str">
        <f t="shared" si="16"/>
        <v>ui_dtex_Equ_04</v>
      </c>
      <c r="DK33" s="144" t="s">
        <v>1203</v>
      </c>
      <c r="DL33" s="144">
        <f t="shared" si="17"/>
        <v>75</v>
      </c>
    </row>
    <row r="34" spans="1:116" ht="14.25" customHeight="1" x14ac:dyDescent="0.2">
      <c r="A34" s="188"/>
      <c r="B34" s="188"/>
      <c r="C34" s="188"/>
      <c r="D34" s="188"/>
      <c r="E34" s="188"/>
      <c r="F34" s="188"/>
      <c r="G34" s="188"/>
      <c r="H34" s="188"/>
      <c r="I34" s="188"/>
      <c r="J34" s="188"/>
      <c r="K34" s="188"/>
      <c r="L34" s="188"/>
      <c r="M34" s="188"/>
      <c r="AF34" s="139">
        <v>29</v>
      </c>
      <c r="AG34" s="139">
        <f>MATCH(AF34-1,金币总表!$Y$4:$Y$12,1)</f>
        <v>2</v>
      </c>
      <c r="AH34" s="21">
        <v>4.5746000000000002E-2</v>
      </c>
      <c r="AI34" s="139">
        <f>ROUND(INDEX(金币总表!$Z$5:$Z$12,装备!AG34)*装备!AH34/$AC$5,0)</f>
        <v>279</v>
      </c>
      <c r="AK34" s="139">
        <f t="shared" si="6"/>
        <v>140</v>
      </c>
      <c r="AL34" s="139">
        <f t="shared" si="6"/>
        <v>225</v>
      </c>
      <c r="AM34" s="139">
        <f t="shared" si="6"/>
        <v>280</v>
      </c>
      <c r="AN34" s="139">
        <f t="shared" si="6"/>
        <v>335</v>
      </c>
      <c r="BA34">
        <v>150</v>
      </c>
      <c r="BB34" s="139">
        <v>29</v>
      </c>
      <c r="BC34" s="163">
        <f>节奏总表!L33</f>
        <v>150</v>
      </c>
      <c r="BD34" s="163">
        <f>节奏总表!N33+2</f>
        <v>1442</v>
      </c>
      <c r="BE34" s="139"/>
      <c r="BF34" s="139"/>
      <c r="BG34" s="139"/>
      <c r="BH34" s="139"/>
      <c r="BI34" s="139"/>
      <c r="BJ34" s="139"/>
      <c r="BK34" s="139"/>
      <c r="BL34" s="139"/>
      <c r="BM34" s="139"/>
      <c r="BN34" s="19">
        <v>0.5</v>
      </c>
      <c r="BO34" s="19">
        <v>0.5</v>
      </c>
      <c r="BP34" s="14">
        <f t="shared" si="2"/>
        <v>756</v>
      </c>
      <c r="BQ34" s="14">
        <f t="shared" si="8"/>
        <v>1090152</v>
      </c>
      <c r="BR34" s="14">
        <f>SUM(BQ$6:BQ34)</f>
        <v>2189489.1</v>
      </c>
      <c r="CH34" s="139">
        <v>29</v>
      </c>
      <c r="CI34" s="139">
        <v>145</v>
      </c>
      <c r="DE34" s="144">
        <v>29</v>
      </c>
      <c r="DF34" s="144">
        <f t="shared" si="13"/>
        <v>4</v>
      </c>
      <c r="DG34" s="144" t="s">
        <v>1208</v>
      </c>
      <c r="DH34" s="144">
        <f t="shared" si="14"/>
        <v>5</v>
      </c>
      <c r="DI34" s="144" t="str">
        <f t="shared" si="15"/>
        <v>鞋子锻造</v>
      </c>
      <c r="DJ34" s="144" t="str">
        <f t="shared" si="16"/>
        <v>ui_dtex_Equ_05</v>
      </c>
      <c r="DK34" s="144" t="s">
        <v>1203</v>
      </c>
      <c r="DL34" s="144">
        <f t="shared" si="17"/>
        <v>75</v>
      </c>
    </row>
    <row r="35" spans="1:116" ht="14.25" customHeight="1" x14ac:dyDescent="0.2">
      <c r="A35" s="188"/>
      <c r="B35" s="188"/>
      <c r="C35" s="188"/>
      <c r="D35" s="188"/>
      <c r="E35" s="188"/>
      <c r="F35" s="188"/>
      <c r="G35" s="188"/>
      <c r="H35" s="188"/>
      <c r="I35" s="188"/>
      <c r="J35" s="188"/>
      <c r="K35" s="188"/>
      <c r="L35" s="188"/>
      <c r="M35" s="188"/>
      <c r="AF35" s="139">
        <v>30</v>
      </c>
      <c r="AG35" s="139">
        <f>MATCH(AF35-1,金币总表!$Y$4:$Y$12,1)</f>
        <v>2</v>
      </c>
      <c r="AH35" s="21">
        <v>4.6665499999999999E-2</v>
      </c>
      <c r="AI35" s="139">
        <f>ROUND(INDEX(金币总表!$Z$5:$Z$12,装备!AG35)*装备!AH35/$AC$5,0)</f>
        <v>284</v>
      </c>
      <c r="AK35" s="139">
        <f t="shared" si="6"/>
        <v>140</v>
      </c>
      <c r="AL35" s="139">
        <f t="shared" si="6"/>
        <v>225</v>
      </c>
      <c r="AM35" s="139">
        <f t="shared" si="6"/>
        <v>285</v>
      </c>
      <c r="AN35" s="139">
        <f t="shared" si="6"/>
        <v>340</v>
      </c>
      <c r="BA35">
        <v>150</v>
      </c>
      <c r="BB35" s="139">
        <v>30</v>
      </c>
      <c r="BC35" s="163">
        <f>节奏总表!L34</f>
        <v>150</v>
      </c>
      <c r="BD35" s="163">
        <f>节奏总表!N34+2</f>
        <v>2882</v>
      </c>
      <c r="BE35" s="139"/>
      <c r="BF35" s="139"/>
      <c r="BG35" s="139"/>
      <c r="BH35" s="139"/>
      <c r="BI35" s="139"/>
      <c r="BJ35" s="139"/>
      <c r="BK35" s="139"/>
      <c r="BL35" s="139"/>
      <c r="BM35" s="139"/>
      <c r="BN35" s="139"/>
      <c r="BO35" s="19">
        <v>1</v>
      </c>
      <c r="BP35" s="14">
        <f t="shared" si="2"/>
        <v>864</v>
      </c>
      <c r="BQ35" s="14">
        <f t="shared" si="8"/>
        <v>2490048</v>
      </c>
      <c r="BR35" s="14">
        <f>SUM(BQ$6:BQ35)</f>
        <v>4679537.0999999996</v>
      </c>
      <c r="CH35" s="139">
        <v>30</v>
      </c>
      <c r="CI35" s="139">
        <v>150</v>
      </c>
      <c r="DE35" s="144">
        <v>30</v>
      </c>
      <c r="DF35" s="144">
        <f t="shared" si="13"/>
        <v>4</v>
      </c>
      <c r="DG35" s="144" t="s">
        <v>1208</v>
      </c>
      <c r="DH35" s="144">
        <f t="shared" si="14"/>
        <v>6</v>
      </c>
      <c r="DI35" s="144" t="str">
        <f t="shared" si="15"/>
        <v>护手锻造</v>
      </c>
      <c r="DJ35" s="144" t="str">
        <f t="shared" si="16"/>
        <v>ui_dtex_Equ_06</v>
      </c>
      <c r="DK35" s="144" t="s">
        <v>1203</v>
      </c>
      <c r="DL35" s="144">
        <f t="shared" si="17"/>
        <v>75</v>
      </c>
    </row>
    <row r="36" spans="1:116" ht="14.25" customHeight="1" x14ac:dyDescent="0.2">
      <c r="A36" s="188"/>
      <c r="B36" s="188"/>
      <c r="C36" s="188"/>
      <c r="D36" s="188"/>
      <c r="E36" s="188"/>
      <c r="F36" s="188"/>
      <c r="G36" s="188"/>
      <c r="H36" s="188"/>
      <c r="I36" s="188"/>
      <c r="J36" s="188"/>
      <c r="K36" s="188"/>
      <c r="L36" s="188"/>
      <c r="M36" s="188"/>
      <c r="AF36" s="139">
        <v>31</v>
      </c>
      <c r="AG36" s="139">
        <f>MATCH(AF36-1,金币总表!$Y$4:$Y$12,1)</f>
        <v>3</v>
      </c>
      <c r="AH36" s="19">
        <v>0.03</v>
      </c>
      <c r="AI36" s="139">
        <f>ROUND(INDEX(金币总表!$Z$5:$Z$12,装备!AG36)*装备!AH36/$AC$5,0)</f>
        <v>556</v>
      </c>
      <c r="AK36" s="139">
        <f t="shared" si="6"/>
        <v>280</v>
      </c>
      <c r="AL36" s="139">
        <f t="shared" si="6"/>
        <v>445</v>
      </c>
      <c r="AM36" s="139">
        <f t="shared" si="6"/>
        <v>555</v>
      </c>
      <c r="AN36" s="139">
        <f t="shared" si="6"/>
        <v>665</v>
      </c>
      <c r="DE36" s="144">
        <v>31</v>
      </c>
      <c r="DF36" s="144">
        <f t="shared" si="13"/>
        <v>4</v>
      </c>
      <c r="DG36" s="144" t="s">
        <v>1208</v>
      </c>
      <c r="DH36" s="144">
        <f t="shared" si="14"/>
        <v>7</v>
      </c>
      <c r="DI36" s="144" t="str">
        <f t="shared" si="15"/>
        <v>项链锻造</v>
      </c>
      <c r="DJ36" s="144" t="str">
        <f t="shared" si="16"/>
        <v>ui_dtex_Equ_07</v>
      </c>
      <c r="DK36" s="144" t="s">
        <v>1203</v>
      </c>
      <c r="DL36" s="144">
        <f t="shared" si="17"/>
        <v>115</v>
      </c>
    </row>
    <row r="37" spans="1:116" ht="14.25" customHeight="1" x14ac:dyDescent="0.2">
      <c r="A37" s="188"/>
      <c r="B37" s="188"/>
      <c r="C37" s="188"/>
      <c r="D37" s="188"/>
      <c r="E37" s="188"/>
      <c r="F37" s="188"/>
      <c r="G37" s="188"/>
      <c r="H37" s="188"/>
      <c r="I37" s="188"/>
      <c r="J37" s="188"/>
      <c r="K37" s="188"/>
      <c r="L37" s="188"/>
      <c r="M37" s="188"/>
      <c r="AF37" s="139">
        <v>32</v>
      </c>
      <c r="AG37" s="139">
        <f>MATCH(AF37-1,金币总表!$Y$4:$Y$12,1)</f>
        <v>3</v>
      </c>
      <c r="AH37" s="21">
        <v>3.2105000000000002E-2</v>
      </c>
      <c r="AI37" s="139">
        <f>ROUND(INDEX(金币总表!$Z$5:$Z$12,装备!AG37)*装备!AH37/$AC$5,0)</f>
        <v>595</v>
      </c>
      <c r="AK37" s="139">
        <f t="shared" si="6"/>
        <v>300</v>
      </c>
      <c r="AL37" s="139">
        <f t="shared" si="6"/>
        <v>475</v>
      </c>
      <c r="AM37" s="139">
        <f t="shared" si="6"/>
        <v>595</v>
      </c>
      <c r="AN37" s="139">
        <f t="shared" si="6"/>
        <v>715</v>
      </c>
      <c r="DE37" s="144">
        <v>32</v>
      </c>
      <c r="DF37" s="144">
        <f t="shared" si="13"/>
        <v>4</v>
      </c>
      <c r="DG37" s="144" t="s">
        <v>1208</v>
      </c>
      <c r="DH37" s="144">
        <f t="shared" si="14"/>
        <v>8</v>
      </c>
      <c r="DI37" s="144" t="str">
        <f t="shared" si="15"/>
        <v>戒指锻造</v>
      </c>
      <c r="DJ37" s="144" t="str">
        <f t="shared" si="16"/>
        <v>ui_dtex_Equ_08</v>
      </c>
      <c r="DK37" s="144" t="s">
        <v>1203</v>
      </c>
      <c r="DL37" s="144">
        <f t="shared" si="17"/>
        <v>115</v>
      </c>
    </row>
    <row r="38" spans="1:116" ht="14.25" customHeight="1" x14ac:dyDescent="0.2">
      <c r="A38" s="188"/>
      <c r="B38" s="188"/>
      <c r="C38" s="188"/>
      <c r="D38" s="188"/>
      <c r="E38" s="188"/>
      <c r="F38" s="188"/>
      <c r="G38" s="188"/>
      <c r="H38" s="188"/>
      <c r="I38" s="188"/>
      <c r="J38" s="188"/>
      <c r="K38" s="188"/>
      <c r="L38" s="188"/>
      <c r="M38" s="188"/>
      <c r="AF38" s="139">
        <v>33</v>
      </c>
      <c r="AG38" s="139">
        <f>MATCH(AF38-1,金币总表!$Y$4:$Y$12,1)</f>
        <v>3</v>
      </c>
      <c r="AH38" s="19">
        <v>3.4209999999999997E-2</v>
      </c>
      <c r="AI38" s="139">
        <f>ROUND(INDEX(金币总表!$Z$5:$Z$12,装备!AG38)*装备!AH38/$AC$5,0)</f>
        <v>634</v>
      </c>
      <c r="AK38" s="139">
        <f t="shared" si="6"/>
        <v>315</v>
      </c>
      <c r="AL38" s="139">
        <f t="shared" si="6"/>
        <v>505</v>
      </c>
      <c r="AM38" s="139">
        <f t="shared" si="6"/>
        <v>635</v>
      </c>
      <c r="AN38" s="139">
        <f t="shared" si="6"/>
        <v>760</v>
      </c>
      <c r="DE38" s="144">
        <v>33</v>
      </c>
      <c r="DF38" s="144">
        <f t="shared" si="13"/>
        <v>5</v>
      </c>
      <c r="DG38" s="144" t="s">
        <v>1208</v>
      </c>
      <c r="DH38" s="144">
        <f t="shared" si="14"/>
        <v>1</v>
      </c>
      <c r="DI38" s="144" t="str">
        <f t="shared" si="15"/>
        <v>灵器锻造</v>
      </c>
      <c r="DJ38" s="144" t="str">
        <f t="shared" si="16"/>
        <v>ui_dtex_Equ_01</v>
      </c>
      <c r="DK38" s="144" t="s">
        <v>1203</v>
      </c>
      <c r="DL38" s="144">
        <f t="shared" si="17"/>
        <v>170</v>
      </c>
    </row>
    <row r="39" spans="1:116" ht="14.25" customHeight="1" x14ac:dyDescent="0.2">
      <c r="A39" s="188"/>
      <c r="B39" s="188"/>
      <c r="C39" s="188"/>
      <c r="D39" s="188"/>
      <c r="E39" s="188"/>
      <c r="F39" s="188"/>
      <c r="G39" s="188"/>
      <c r="H39" s="188"/>
      <c r="I39" s="188"/>
      <c r="J39" s="188"/>
      <c r="K39" s="188"/>
      <c r="L39" s="188"/>
      <c r="M39" s="188"/>
      <c r="AF39" s="139">
        <v>34</v>
      </c>
      <c r="AG39" s="139">
        <f>MATCH(AF39-1,金币总表!$Y$4:$Y$12,1)</f>
        <v>3</v>
      </c>
      <c r="AH39" s="21">
        <v>3.6315E-2</v>
      </c>
      <c r="AI39" s="139">
        <f>ROUND(INDEX(金币总表!$Z$5:$Z$12,装备!AG39)*装备!AH39/$AC$5,0)</f>
        <v>673</v>
      </c>
      <c r="AK39" s="139">
        <f t="shared" ref="AK39:AN70" si="19">ROUND($AI39*AK$3/5,0)*5</f>
        <v>335</v>
      </c>
      <c r="AL39" s="139">
        <f t="shared" si="19"/>
        <v>540</v>
      </c>
      <c r="AM39" s="139">
        <f t="shared" si="19"/>
        <v>675</v>
      </c>
      <c r="AN39" s="139">
        <f t="shared" si="19"/>
        <v>810</v>
      </c>
      <c r="DE39" s="144">
        <v>34</v>
      </c>
      <c r="DF39" s="144">
        <f t="shared" si="13"/>
        <v>5</v>
      </c>
      <c r="DG39" s="144" t="s">
        <v>1208</v>
      </c>
      <c r="DH39" s="144">
        <f t="shared" si="14"/>
        <v>2</v>
      </c>
      <c r="DI39" s="144" t="str">
        <f t="shared" si="15"/>
        <v>头盔锻造</v>
      </c>
      <c r="DJ39" s="144" t="str">
        <f t="shared" si="16"/>
        <v>ui_dtex_Equ_02</v>
      </c>
      <c r="DK39" s="144" t="s">
        <v>1203</v>
      </c>
      <c r="DL39" s="144">
        <f t="shared" si="17"/>
        <v>85</v>
      </c>
    </row>
    <row r="40" spans="1:116" ht="14.25" customHeight="1" x14ac:dyDescent="0.2">
      <c r="A40" s="188"/>
      <c r="B40" s="188"/>
      <c r="C40" s="188"/>
      <c r="D40" s="188"/>
      <c r="E40" s="188"/>
      <c r="F40" s="188"/>
      <c r="G40" s="188"/>
      <c r="H40" s="188"/>
      <c r="I40" s="188"/>
      <c r="J40" s="188"/>
      <c r="K40" s="188"/>
      <c r="L40" s="188"/>
      <c r="M40" s="188"/>
      <c r="AF40" s="139">
        <v>35</v>
      </c>
      <c r="AG40" s="139">
        <f>MATCH(AF40-1,金币总表!$Y$4:$Y$12,1)</f>
        <v>3</v>
      </c>
      <c r="AH40" s="19">
        <v>3.8420000000000003E-2</v>
      </c>
      <c r="AI40" s="139">
        <f>ROUND(INDEX(金币总表!$Z$5:$Z$12,装备!AG40)*装备!AH40/$AC$5,0)</f>
        <v>712</v>
      </c>
      <c r="AK40" s="139">
        <f t="shared" si="19"/>
        <v>355</v>
      </c>
      <c r="AL40" s="139">
        <f t="shared" si="19"/>
        <v>570</v>
      </c>
      <c r="AM40" s="139">
        <f t="shared" si="19"/>
        <v>710</v>
      </c>
      <c r="AN40" s="139">
        <f t="shared" si="19"/>
        <v>855</v>
      </c>
      <c r="DE40" s="144">
        <v>35</v>
      </c>
      <c r="DF40" s="144">
        <f t="shared" si="13"/>
        <v>5</v>
      </c>
      <c r="DG40" s="144" t="s">
        <v>1208</v>
      </c>
      <c r="DH40" s="144">
        <f t="shared" si="14"/>
        <v>3</v>
      </c>
      <c r="DI40" s="144" t="str">
        <f t="shared" si="15"/>
        <v>铠甲锻造</v>
      </c>
      <c r="DJ40" s="144" t="str">
        <f t="shared" si="16"/>
        <v>ui_dtex_Equ_03</v>
      </c>
      <c r="DK40" s="144" t="s">
        <v>1203</v>
      </c>
      <c r="DL40" s="144">
        <f t="shared" si="17"/>
        <v>85</v>
      </c>
    </row>
    <row r="41" spans="1:116" ht="14.25" customHeight="1" x14ac:dyDescent="0.2">
      <c r="A41" s="188"/>
      <c r="B41" s="188"/>
      <c r="C41" s="188"/>
      <c r="D41" s="188"/>
      <c r="E41" s="188"/>
      <c r="F41" s="188"/>
      <c r="G41" s="188"/>
      <c r="H41" s="188"/>
      <c r="I41" s="188"/>
      <c r="J41" s="188"/>
      <c r="K41" s="188"/>
      <c r="L41" s="188"/>
      <c r="M41" s="188"/>
      <c r="AF41" s="139">
        <v>36</v>
      </c>
      <c r="AG41" s="139">
        <f>MATCH(AF41-1,金币总表!$Y$4:$Y$12,1)</f>
        <v>3</v>
      </c>
      <c r="AH41" s="21">
        <v>4.0524999999999999E-2</v>
      </c>
      <c r="AI41" s="139">
        <f>ROUND(INDEX(金币总表!$Z$5:$Z$12,装备!AG41)*装备!AH41/$AC$5,0)</f>
        <v>751</v>
      </c>
      <c r="AK41" s="139">
        <f t="shared" si="19"/>
        <v>375</v>
      </c>
      <c r="AL41" s="139">
        <f t="shared" si="19"/>
        <v>600</v>
      </c>
      <c r="AM41" s="139">
        <f t="shared" si="19"/>
        <v>750</v>
      </c>
      <c r="AN41" s="139">
        <f t="shared" si="19"/>
        <v>900</v>
      </c>
      <c r="DE41" s="144">
        <v>36</v>
      </c>
      <c r="DF41" s="144">
        <f t="shared" si="13"/>
        <v>5</v>
      </c>
      <c r="DG41" s="144" t="s">
        <v>1208</v>
      </c>
      <c r="DH41" s="144">
        <f t="shared" si="14"/>
        <v>4</v>
      </c>
      <c r="DI41" s="144" t="str">
        <f t="shared" si="15"/>
        <v>裤子锻造</v>
      </c>
      <c r="DJ41" s="144" t="str">
        <f t="shared" si="16"/>
        <v>ui_dtex_Equ_04</v>
      </c>
      <c r="DK41" s="144" t="s">
        <v>1203</v>
      </c>
      <c r="DL41" s="144">
        <f t="shared" si="17"/>
        <v>85</v>
      </c>
    </row>
    <row r="42" spans="1:116" ht="14.25" customHeight="1" x14ac:dyDescent="0.2">
      <c r="A42" s="188"/>
      <c r="B42" s="188"/>
      <c r="C42" s="188"/>
      <c r="D42" s="188"/>
      <c r="E42" s="188"/>
      <c r="F42" s="188"/>
      <c r="G42" s="188"/>
      <c r="H42" s="188"/>
      <c r="I42" s="188"/>
      <c r="J42" s="188"/>
      <c r="K42" s="188"/>
      <c r="L42" s="188"/>
      <c r="M42" s="188"/>
      <c r="AF42" s="139">
        <v>37</v>
      </c>
      <c r="AG42" s="139">
        <f>MATCH(AF42-1,金币总表!$Y$4:$Y$12,1)</f>
        <v>3</v>
      </c>
      <c r="AH42" s="19">
        <v>4.2630000000000001E-2</v>
      </c>
      <c r="AI42" s="139">
        <f>ROUND(INDEX(金币总表!$Z$5:$Z$12,装备!AG42)*装备!AH42/$AC$5,0)</f>
        <v>791</v>
      </c>
      <c r="AK42" s="139">
        <f t="shared" si="19"/>
        <v>395</v>
      </c>
      <c r="AL42" s="139">
        <f t="shared" si="19"/>
        <v>635</v>
      </c>
      <c r="AM42" s="139">
        <f t="shared" si="19"/>
        <v>790</v>
      </c>
      <c r="AN42" s="139">
        <f t="shared" si="19"/>
        <v>950</v>
      </c>
      <c r="DE42" s="144">
        <v>37</v>
      </c>
      <c r="DF42" s="144">
        <f t="shared" si="13"/>
        <v>5</v>
      </c>
      <c r="DG42" s="144" t="s">
        <v>1208</v>
      </c>
      <c r="DH42" s="144">
        <f t="shared" si="14"/>
        <v>5</v>
      </c>
      <c r="DI42" s="144" t="str">
        <f t="shared" si="15"/>
        <v>鞋子锻造</v>
      </c>
      <c r="DJ42" s="144" t="str">
        <f t="shared" si="16"/>
        <v>ui_dtex_Equ_05</v>
      </c>
      <c r="DK42" s="144" t="s">
        <v>1203</v>
      </c>
      <c r="DL42" s="144">
        <f t="shared" si="17"/>
        <v>85</v>
      </c>
    </row>
    <row r="43" spans="1:116" ht="16.5" x14ac:dyDescent="0.2">
      <c r="A43" s="188"/>
      <c r="B43" s="188"/>
      <c r="C43" s="188"/>
      <c r="D43" s="188"/>
      <c r="E43" s="188"/>
      <c r="F43" s="188"/>
      <c r="G43" s="188"/>
      <c r="H43" s="188"/>
      <c r="I43" s="188"/>
      <c r="J43" s="188"/>
      <c r="K43" s="188"/>
      <c r="L43" s="188"/>
      <c r="M43" s="188"/>
      <c r="AF43" s="139">
        <v>38</v>
      </c>
      <c r="AG43" s="139">
        <f>MATCH(AF43-1,金币总表!$Y$4:$Y$12,1)</f>
        <v>3</v>
      </c>
      <c r="AH43" s="21">
        <v>4.4734999999999997E-2</v>
      </c>
      <c r="AI43" s="139">
        <f>ROUND(INDEX(金币总表!$Z$5:$Z$12,装备!AG43)*装备!AH43/$AC$5,0)</f>
        <v>830</v>
      </c>
      <c r="AK43" s="139">
        <f t="shared" si="19"/>
        <v>415</v>
      </c>
      <c r="AL43" s="139">
        <f t="shared" si="19"/>
        <v>665</v>
      </c>
      <c r="AM43" s="139">
        <f t="shared" si="19"/>
        <v>830</v>
      </c>
      <c r="AN43" s="139">
        <f t="shared" si="19"/>
        <v>995</v>
      </c>
      <c r="DE43" s="144">
        <v>38</v>
      </c>
      <c r="DF43" s="144">
        <f t="shared" si="13"/>
        <v>5</v>
      </c>
      <c r="DG43" s="144" t="s">
        <v>1208</v>
      </c>
      <c r="DH43" s="144">
        <f t="shared" si="14"/>
        <v>6</v>
      </c>
      <c r="DI43" s="144" t="str">
        <f t="shared" si="15"/>
        <v>护手锻造</v>
      </c>
      <c r="DJ43" s="144" t="str">
        <f t="shared" si="16"/>
        <v>ui_dtex_Equ_06</v>
      </c>
      <c r="DK43" s="144" t="s">
        <v>1203</v>
      </c>
      <c r="DL43" s="144">
        <f t="shared" si="17"/>
        <v>85</v>
      </c>
    </row>
    <row r="44" spans="1:116" ht="16.5" x14ac:dyDescent="0.2">
      <c r="A44" s="188"/>
      <c r="B44" s="188"/>
      <c r="C44" s="188"/>
      <c r="D44" s="188"/>
      <c r="E44" s="188"/>
      <c r="F44" s="188"/>
      <c r="G44" s="188"/>
      <c r="H44" s="188"/>
      <c r="I44" s="188"/>
      <c r="J44" s="188"/>
      <c r="K44" s="188"/>
      <c r="L44" s="188"/>
      <c r="M44" s="188"/>
      <c r="AF44" s="139">
        <v>39</v>
      </c>
      <c r="AG44" s="139">
        <f>MATCH(AF44-1,金币总表!$Y$4:$Y$12,1)</f>
        <v>3</v>
      </c>
      <c r="AH44" s="19">
        <v>4.684E-2</v>
      </c>
      <c r="AI44" s="139">
        <f>ROUND(INDEX(金币总表!$Z$5:$Z$12,装备!AG44)*装备!AH44/$AC$5,0)</f>
        <v>869</v>
      </c>
      <c r="AK44" s="139">
        <f t="shared" si="19"/>
        <v>435</v>
      </c>
      <c r="AL44" s="139">
        <f t="shared" si="19"/>
        <v>695</v>
      </c>
      <c r="AM44" s="139">
        <f t="shared" si="19"/>
        <v>870</v>
      </c>
      <c r="AN44" s="139">
        <f t="shared" si="19"/>
        <v>1045</v>
      </c>
      <c r="DE44" s="144">
        <v>39</v>
      </c>
      <c r="DF44" s="144">
        <f t="shared" si="13"/>
        <v>5</v>
      </c>
      <c r="DG44" s="144" t="s">
        <v>1208</v>
      </c>
      <c r="DH44" s="144">
        <f t="shared" si="14"/>
        <v>7</v>
      </c>
      <c r="DI44" s="144" t="str">
        <f t="shared" si="15"/>
        <v>项链锻造</v>
      </c>
      <c r="DJ44" s="144" t="str">
        <f t="shared" si="16"/>
        <v>ui_dtex_Equ_07</v>
      </c>
      <c r="DK44" s="144" t="s">
        <v>1203</v>
      </c>
      <c r="DL44" s="144">
        <f t="shared" si="17"/>
        <v>130</v>
      </c>
    </row>
    <row r="45" spans="1:116" ht="16.5" x14ac:dyDescent="0.2">
      <c r="A45" s="188"/>
      <c r="B45" s="188"/>
      <c r="C45" s="188"/>
      <c r="D45" s="188"/>
      <c r="E45" s="188"/>
      <c r="F45" s="188"/>
      <c r="G45" s="188"/>
      <c r="H45" s="188"/>
      <c r="I45" s="188"/>
      <c r="J45" s="188"/>
      <c r="K45" s="188"/>
      <c r="L45" s="188"/>
      <c r="M45" s="188"/>
      <c r="AF45" s="139">
        <v>40</v>
      </c>
      <c r="AG45" s="139">
        <f>MATCH(AF45-1,金币总表!$Y$4:$Y$12,1)</f>
        <v>3</v>
      </c>
      <c r="AH45" s="21">
        <v>4.8945000000000002E-2</v>
      </c>
      <c r="AI45" s="139">
        <f>ROUND(INDEX(金币总表!$Z$5:$Z$12,装备!AG45)*装备!AH45/$AC$5,0)</f>
        <v>908</v>
      </c>
      <c r="AK45" s="139">
        <f t="shared" si="19"/>
        <v>455</v>
      </c>
      <c r="AL45" s="139">
        <f t="shared" si="19"/>
        <v>725</v>
      </c>
      <c r="AM45" s="139">
        <f t="shared" si="19"/>
        <v>910</v>
      </c>
      <c r="AN45" s="139">
        <f t="shared" si="19"/>
        <v>1090</v>
      </c>
      <c r="DE45" s="144">
        <v>40</v>
      </c>
      <c r="DF45" s="144">
        <f t="shared" si="13"/>
        <v>5</v>
      </c>
      <c r="DG45" s="144" t="s">
        <v>1208</v>
      </c>
      <c r="DH45" s="144">
        <f t="shared" si="14"/>
        <v>8</v>
      </c>
      <c r="DI45" s="144" t="str">
        <f t="shared" si="15"/>
        <v>戒指锻造</v>
      </c>
      <c r="DJ45" s="144" t="str">
        <f t="shared" si="16"/>
        <v>ui_dtex_Equ_08</v>
      </c>
      <c r="DK45" s="144" t="s">
        <v>1203</v>
      </c>
      <c r="DL45" s="144">
        <f t="shared" si="17"/>
        <v>130</v>
      </c>
    </row>
    <row r="46" spans="1:116" ht="16.5" x14ac:dyDescent="0.2">
      <c r="AF46" s="139">
        <v>41</v>
      </c>
      <c r="AG46" s="139">
        <f>MATCH(AF46-1,金币总表!$Y$4:$Y$12,1)</f>
        <v>3</v>
      </c>
      <c r="AH46" s="19">
        <v>5.1049999999999998E-2</v>
      </c>
      <c r="AI46" s="139">
        <f>ROUND(INDEX(金币总表!$Z$5:$Z$12,装备!AG46)*装备!AH46/$AC$5,0)</f>
        <v>947</v>
      </c>
      <c r="AK46" s="139">
        <f t="shared" si="19"/>
        <v>475</v>
      </c>
      <c r="AL46" s="139">
        <f t="shared" si="19"/>
        <v>760</v>
      </c>
      <c r="AM46" s="139">
        <f t="shared" si="19"/>
        <v>945</v>
      </c>
      <c r="AN46" s="139">
        <f t="shared" si="19"/>
        <v>1135</v>
      </c>
      <c r="DE46" s="144">
        <v>41</v>
      </c>
      <c r="DF46" s="144">
        <f t="shared" si="13"/>
        <v>6</v>
      </c>
      <c r="DG46" s="144" t="s">
        <v>1208</v>
      </c>
      <c r="DH46" s="144">
        <f t="shared" si="14"/>
        <v>1</v>
      </c>
      <c r="DI46" s="144" t="str">
        <f t="shared" si="15"/>
        <v>灵器锻造</v>
      </c>
      <c r="DJ46" s="144" t="str">
        <f t="shared" si="16"/>
        <v>ui_dtex_Equ_01</v>
      </c>
      <c r="DK46" s="144" t="s">
        <v>1203</v>
      </c>
      <c r="DL46" s="144">
        <f t="shared" si="17"/>
        <v>200</v>
      </c>
    </row>
    <row r="47" spans="1:116" ht="16.5" x14ac:dyDescent="0.2">
      <c r="AF47" s="139">
        <v>42</v>
      </c>
      <c r="AG47" s="139">
        <f>MATCH(AF47-1,金币总表!$Y$4:$Y$12,1)</f>
        <v>3</v>
      </c>
      <c r="AH47" s="21">
        <v>5.3155000000000001E-2</v>
      </c>
      <c r="AI47" s="139">
        <f>ROUND(INDEX(金币总表!$Z$5:$Z$12,装备!AG47)*装备!AH47/$AC$5,0)</f>
        <v>986</v>
      </c>
      <c r="AK47" s="139">
        <f t="shared" si="19"/>
        <v>495</v>
      </c>
      <c r="AL47" s="139">
        <f t="shared" si="19"/>
        <v>790</v>
      </c>
      <c r="AM47" s="139">
        <f t="shared" si="19"/>
        <v>985</v>
      </c>
      <c r="AN47" s="139">
        <f t="shared" si="19"/>
        <v>1185</v>
      </c>
      <c r="DE47" s="144">
        <v>42</v>
      </c>
      <c r="DF47" s="144">
        <f t="shared" si="13"/>
        <v>6</v>
      </c>
      <c r="DG47" s="144" t="s">
        <v>1208</v>
      </c>
      <c r="DH47" s="144">
        <f t="shared" si="14"/>
        <v>2</v>
      </c>
      <c r="DI47" s="144" t="str">
        <f t="shared" si="15"/>
        <v>头盔锻造</v>
      </c>
      <c r="DJ47" s="144" t="str">
        <f t="shared" si="16"/>
        <v>ui_dtex_Equ_02</v>
      </c>
      <c r="DK47" s="144" t="s">
        <v>1203</v>
      </c>
      <c r="DL47" s="144">
        <f t="shared" si="17"/>
        <v>100</v>
      </c>
    </row>
    <row r="48" spans="1:116" ht="16.5" x14ac:dyDescent="0.2">
      <c r="AF48" s="139">
        <v>43</v>
      </c>
      <c r="AG48" s="139">
        <f>MATCH(AF48-1,金币总表!$Y$4:$Y$12,1)</f>
        <v>3</v>
      </c>
      <c r="AH48" s="19">
        <v>5.5259999999999997E-2</v>
      </c>
      <c r="AI48" s="139">
        <f>ROUND(INDEX(金币总表!$Z$5:$Z$12,装备!AG48)*装备!AH48/$AC$5,0)</f>
        <v>1025</v>
      </c>
      <c r="AK48" s="139">
        <f t="shared" si="19"/>
        <v>515</v>
      </c>
      <c r="AL48" s="139">
        <f t="shared" si="19"/>
        <v>820</v>
      </c>
      <c r="AM48" s="139">
        <f t="shared" si="19"/>
        <v>1025</v>
      </c>
      <c r="AN48" s="139">
        <f t="shared" si="19"/>
        <v>1230</v>
      </c>
      <c r="DE48" s="144">
        <v>43</v>
      </c>
      <c r="DF48" s="144">
        <f t="shared" si="13"/>
        <v>6</v>
      </c>
      <c r="DG48" s="144" t="s">
        <v>1208</v>
      </c>
      <c r="DH48" s="144">
        <f t="shared" si="14"/>
        <v>3</v>
      </c>
      <c r="DI48" s="144" t="str">
        <f t="shared" si="15"/>
        <v>铠甲锻造</v>
      </c>
      <c r="DJ48" s="144" t="str">
        <f t="shared" si="16"/>
        <v>ui_dtex_Equ_03</v>
      </c>
      <c r="DK48" s="144" t="s">
        <v>1203</v>
      </c>
      <c r="DL48" s="144">
        <f t="shared" si="17"/>
        <v>100</v>
      </c>
    </row>
    <row r="49" spans="1:116" ht="16.5" x14ac:dyDescent="0.2">
      <c r="AF49" s="139">
        <v>44</v>
      </c>
      <c r="AG49" s="139">
        <f>MATCH(AF49-1,金币总表!$Y$4:$Y$12,1)</f>
        <v>3</v>
      </c>
      <c r="AH49" s="21">
        <v>5.7364999999999999E-2</v>
      </c>
      <c r="AI49" s="139">
        <f>ROUND(INDEX(金币总表!$Z$5:$Z$12,装备!AG49)*装备!AH49/$AC$5,0)</f>
        <v>1064</v>
      </c>
      <c r="AK49" s="139">
        <f t="shared" si="19"/>
        <v>530</v>
      </c>
      <c r="AL49" s="139">
        <f t="shared" si="19"/>
        <v>850</v>
      </c>
      <c r="AM49" s="139">
        <f t="shared" si="19"/>
        <v>1065</v>
      </c>
      <c r="AN49" s="139">
        <f t="shared" si="19"/>
        <v>1275</v>
      </c>
      <c r="DE49" s="144">
        <v>44</v>
      </c>
      <c r="DF49" s="144">
        <f t="shared" si="13"/>
        <v>6</v>
      </c>
      <c r="DG49" s="144" t="s">
        <v>1208</v>
      </c>
      <c r="DH49" s="144">
        <f t="shared" si="14"/>
        <v>4</v>
      </c>
      <c r="DI49" s="144" t="str">
        <f t="shared" si="15"/>
        <v>裤子锻造</v>
      </c>
      <c r="DJ49" s="144" t="str">
        <f t="shared" si="16"/>
        <v>ui_dtex_Equ_04</v>
      </c>
      <c r="DK49" s="144" t="s">
        <v>1203</v>
      </c>
      <c r="DL49" s="144">
        <f t="shared" si="17"/>
        <v>100</v>
      </c>
    </row>
    <row r="50" spans="1:116" ht="16.5" x14ac:dyDescent="0.2">
      <c r="AF50" s="139">
        <v>45</v>
      </c>
      <c r="AG50" s="139">
        <f>MATCH(AF50-1,金币总表!$Y$4:$Y$12,1)</f>
        <v>3</v>
      </c>
      <c r="AH50" s="19">
        <v>5.9470000000000002E-2</v>
      </c>
      <c r="AI50" s="139">
        <f>ROUND(INDEX(金币总表!$Z$5:$Z$12,装备!AG50)*装备!AH50/$AC$5,0)</f>
        <v>1103</v>
      </c>
      <c r="AK50" s="139">
        <f t="shared" si="19"/>
        <v>550</v>
      </c>
      <c r="AL50" s="139">
        <f t="shared" si="19"/>
        <v>880</v>
      </c>
      <c r="AM50" s="139">
        <f t="shared" si="19"/>
        <v>1105</v>
      </c>
      <c r="AN50" s="139">
        <f t="shared" si="19"/>
        <v>1325</v>
      </c>
      <c r="DE50" s="144">
        <v>45</v>
      </c>
      <c r="DF50" s="144">
        <f t="shared" si="13"/>
        <v>6</v>
      </c>
      <c r="DG50" s="144" t="s">
        <v>1208</v>
      </c>
      <c r="DH50" s="144">
        <f t="shared" si="14"/>
        <v>5</v>
      </c>
      <c r="DI50" s="144" t="str">
        <f t="shared" si="15"/>
        <v>鞋子锻造</v>
      </c>
      <c r="DJ50" s="144" t="str">
        <f t="shared" si="16"/>
        <v>ui_dtex_Equ_05</v>
      </c>
      <c r="DK50" s="144" t="s">
        <v>1203</v>
      </c>
      <c r="DL50" s="144">
        <f t="shared" si="17"/>
        <v>100</v>
      </c>
    </row>
    <row r="51" spans="1:116" ht="16.5" x14ac:dyDescent="0.2">
      <c r="A51" s="204"/>
      <c r="B51" s="204"/>
      <c r="C51" s="204"/>
      <c r="D51" s="204"/>
      <c r="E51" s="204"/>
      <c r="F51" s="204"/>
      <c r="G51" s="204"/>
      <c r="AF51" s="139">
        <v>46</v>
      </c>
      <c r="AG51" s="139">
        <f>MATCH(AF51-1,金币总表!$Y$4:$Y$12,1)</f>
        <v>3</v>
      </c>
      <c r="AH51" s="21">
        <v>6.1574999999999998E-2</v>
      </c>
      <c r="AI51" s="139">
        <f>ROUND(INDEX(金币总表!$Z$5:$Z$12,装备!AG51)*装备!AH51/$AC$5,0)</f>
        <v>1142</v>
      </c>
      <c r="AK51" s="139">
        <f t="shared" si="19"/>
        <v>570</v>
      </c>
      <c r="AL51" s="139">
        <f t="shared" si="19"/>
        <v>915</v>
      </c>
      <c r="AM51" s="139">
        <f t="shared" si="19"/>
        <v>1140</v>
      </c>
      <c r="AN51" s="139">
        <f t="shared" si="19"/>
        <v>1370</v>
      </c>
      <c r="DE51" s="144">
        <v>46</v>
      </c>
      <c r="DF51" s="144">
        <f t="shared" si="13"/>
        <v>6</v>
      </c>
      <c r="DG51" s="144" t="s">
        <v>1208</v>
      </c>
      <c r="DH51" s="144">
        <f t="shared" si="14"/>
        <v>6</v>
      </c>
      <c r="DI51" s="144" t="str">
        <f t="shared" si="15"/>
        <v>护手锻造</v>
      </c>
      <c r="DJ51" s="144" t="str">
        <f t="shared" si="16"/>
        <v>ui_dtex_Equ_06</v>
      </c>
      <c r="DK51" s="144" t="s">
        <v>1203</v>
      </c>
      <c r="DL51" s="144">
        <f t="shared" si="17"/>
        <v>100</v>
      </c>
    </row>
    <row r="52" spans="1:116" ht="16.5" x14ac:dyDescent="0.2">
      <c r="AF52" s="139">
        <v>47</v>
      </c>
      <c r="AG52" s="139">
        <f>MATCH(AF52-1,金币总表!$Y$4:$Y$12,1)</f>
        <v>3</v>
      </c>
      <c r="AH52" s="19">
        <v>6.368E-2</v>
      </c>
      <c r="AI52" s="139">
        <f>ROUND(INDEX(金币总表!$Z$5:$Z$12,装备!AG52)*装备!AH52/$AC$5,0)</f>
        <v>1181</v>
      </c>
      <c r="AK52" s="139">
        <f t="shared" si="19"/>
        <v>590</v>
      </c>
      <c r="AL52" s="139">
        <f t="shared" si="19"/>
        <v>945</v>
      </c>
      <c r="AM52" s="139">
        <f t="shared" si="19"/>
        <v>1180</v>
      </c>
      <c r="AN52" s="139">
        <f t="shared" si="19"/>
        <v>1415</v>
      </c>
      <c r="DE52" s="144">
        <v>47</v>
      </c>
      <c r="DF52" s="144">
        <f t="shared" si="13"/>
        <v>6</v>
      </c>
      <c r="DG52" s="144" t="s">
        <v>1208</v>
      </c>
      <c r="DH52" s="144">
        <f t="shared" si="14"/>
        <v>7</v>
      </c>
      <c r="DI52" s="144" t="str">
        <f t="shared" si="15"/>
        <v>项链锻造</v>
      </c>
      <c r="DJ52" s="144" t="str">
        <f t="shared" si="16"/>
        <v>ui_dtex_Equ_07</v>
      </c>
      <c r="DK52" s="144" t="s">
        <v>1203</v>
      </c>
      <c r="DL52" s="144">
        <f t="shared" si="17"/>
        <v>150</v>
      </c>
    </row>
    <row r="53" spans="1:116" ht="16.5" x14ac:dyDescent="0.2">
      <c r="AF53" s="139">
        <v>48</v>
      </c>
      <c r="AG53" s="139">
        <f>MATCH(AF53-1,金币总表!$Y$4:$Y$12,1)</f>
        <v>3</v>
      </c>
      <c r="AH53" s="21">
        <v>6.5784999999999996E-2</v>
      </c>
      <c r="AI53" s="139">
        <f>ROUND(INDEX(金币总表!$Z$5:$Z$12,装备!AG53)*装备!AH53/$AC$5,0)</f>
        <v>1220</v>
      </c>
      <c r="AK53" s="139">
        <f t="shared" si="19"/>
        <v>610</v>
      </c>
      <c r="AL53" s="139">
        <f t="shared" si="19"/>
        <v>975</v>
      </c>
      <c r="AM53" s="139">
        <f t="shared" si="19"/>
        <v>1220</v>
      </c>
      <c r="AN53" s="139">
        <f t="shared" si="19"/>
        <v>1465</v>
      </c>
      <c r="DE53" s="144">
        <v>48</v>
      </c>
      <c r="DF53" s="144">
        <f t="shared" si="13"/>
        <v>6</v>
      </c>
      <c r="DG53" s="144" t="s">
        <v>1208</v>
      </c>
      <c r="DH53" s="144">
        <f t="shared" si="14"/>
        <v>8</v>
      </c>
      <c r="DI53" s="144" t="str">
        <f t="shared" si="15"/>
        <v>戒指锻造</v>
      </c>
      <c r="DJ53" s="144" t="str">
        <f t="shared" si="16"/>
        <v>ui_dtex_Equ_08</v>
      </c>
      <c r="DK53" s="144" t="s">
        <v>1203</v>
      </c>
      <c r="DL53" s="144">
        <f t="shared" si="17"/>
        <v>150</v>
      </c>
    </row>
    <row r="54" spans="1:116" ht="16.5" x14ac:dyDescent="0.2">
      <c r="AF54" s="139">
        <v>49</v>
      </c>
      <c r="AG54" s="139">
        <f>MATCH(AF54-1,金币总表!$Y$4:$Y$12,1)</f>
        <v>3</v>
      </c>
      <c r="AH54" s="19">
        <v>6.7890000000000006E-2</v>
      </c>
      <c r="AI54" s="139">
        <f>ROUND(INDEX(金币总表!$Z$5:$Z$12,装备!AG54)*装备!AH54/$AC$5,0)</f>
        <v>1259</v>
      </c>
      <c r="AK54" s="139">
        <f t="shared" si="19"/>
        <v>630</v>
      </c>
      <c r="AL54" s="139">
        <f t="shared" si="19"/>
        <v>1005</v>
      </c>
      <c r="AM54" s="139">
        <f t="shared" si="19"/>
        <v>1260</v>
      </c>
      <c r="AN54" s="139">
        <f t="shared" si="19"/>
        <v>1510</v>
      </c>
      <c r="DE54" s="144">
        <v>49</v>
      </c>
      <c r="DF54" s="144">
        <f t="shared" si="13"/>
        <v>7</v>
      </c>
      <c r="DG54" s="144" t="s">
        <v>1208</v>
      </c>
      <c r="DH54" s="144">
        <f t="shared" si="14"/>
        <v>1</v>
      </c>
      <c r="DI54" s="144" t="str">
        <f t="shared" si="15"/>
        <v>灵器锻造</v>
      </c>
      <c r="DJ54" s="144" t="str">
        <f t="shared" si="16"/>
        <v>ui_dtex_Equ_01</v>
      </c>
      <c r="DK54" s="144" t="s">
        <v>1203</v>
      </c>
      <c r="DL54" s="144">
        <f t="shared" si="17"/>
        <v>220</v>
      </c>
    </row>
    <row r="55" spans="1:116" ht="16.5" x14ac:dyDescent="0.2">
      <c r="AF55" s="139">
        <v>50</v>
      </c>
      <c r="AG55" s="139">
        <f>MATCH(AF55-1,金币总表!$Y$4:$Y$12,1)</f>
        <v>3</v>
      </c>
      <c r="AH55" s="21">
        <v>6.9995000000000099E-2</v>
      </c>
      <c r="AI55" s="139">
        <f>ROUND(INDEX(金币总表!$Z$5:$Z$12,装备!AG55)*装备!AH55/$AC$5,0)</f>
        <v>1298</v>
      </c>
      <c r="AK55" s="139">
        <f t="shared" si="19"/>
        <v>650</v>
      </c>
      <c r="AL55" s="139">
        <f t="shared" si="19"/>
        <v>1040</v>
      </c>
      <c r="AM55" s="139">
        <f t="shared" si="19"/>
        <v>1300</v>
      </c>
      <c r="AN55" s="139">
        <f t="shared" si="19"/>
        <v>1560</v>
      </c>
      <c r="DE55" s="144">
        <v>50</v>
      </c>
      <c r="DF55" s="144">
        <f t="shared" si="13"/>
        <v>7</v>
      </c>
      <c r="DG55" s="144" t="s">
        <v>1208</v>
      </c>
      <c r="DH55" s="144">
        <f t="shared" si="14"/>
        <v>2</v>
      </c>
      <c r="DI55" s="144" t="str">
        <f t="shared" si="15"/>
        <v>头盔锻造</v>
      </c>
      <c r="DJ55" s="144" t="str">
        <f t="shared" si="16"/>
        <v>ui_dtex_Equ_02</v>
      </c>
      <c r="DK55" s="144" t="s">
        <v>1203</v>
      </c>
      <c r="DL55" s="144">
        <f t="shared" si="17"/>
        <v>110</v>
      </c>
    </row>
    <row r="56" spans="1:116" ht="16.5" x14ac:dyDescent="0.2">
      <c r="AF56" s="139">
        <v>51</v>
      </c>
      <c r="AG56" s="139">
        <f>MATCH(AF56-1,金币总表!$Y$4:$Y$12,1)</f>
        <v>4</v>
      </c>
      <c r="AH56" s="21">
        <v>3.5000000000000003E-2</v>
      </c>
      <c r="AI56" s="139">
        <f>ROUND(INDEX(金币总表!$Z$5:$Z$12,装备!AG56)*装备!AH56/$AC$5,0)</f>
        <v>1393</v>
      </c>
      <c r="AK56" s="139">
        <f t="shared" si="19"/>
        <v>695</v>
      </c>
      <c r="AL56" s="139">
        <f t="shared" si="19"/>
        <v>1115</v>
      </c>
      <c r="AM56" s="139">
        <f t="shared" si="19"/>
        <v>1395</v>
      </c>
      <c r="AN56" s="139">
        <f t="shared" si="19"/>
        <v>1670</v>
      </c>
      <c r="DE56" s="144">
        <v>51</v>
      </c>
      <c r="DF56" s="144">
        <f t="shared" si="13"/>
        <v>7</v>
      </c>
      <c r="DG56" s="144" t="s">
        <v>1208</v>
      </c>
      <c r="DH56" s="144">
        <f t="shared" si="14"/>
        <v>3</v>
      </c>
      <c r="DI56" s="144" t="str">
        <f t="shared" si="15"/>
        <v>铠甲锻造</v>
      </c>
      <c r="DJ56" s="144" t="str">
        <f t="shared" si="16"/>
        <v>ui_dtex_Equ_03</v>
      </c>
      <c r="DK56" s="144" t="s">
        <v>1203</v>
      </c>
      <c r="DL56" s="144">
        <f t="shared" si="17"/>
        <v>110</v>
      </c>
    </row>
    <row r="57" spans="1:116" ht="16.5" x14ac:dyDescent="0.2">
      <c r="AF57" s="139">
        <v>52</v>
      </c>
      <c r="AG57" s="139">
        <f>MATCH(AF57-1,金币总表!$Y$4:$Y$12,1)</f>
        <v>4</v>
      </c>
      <c r="AH57" s="21">
        <v>3.6578899999999998E-2</v>
      </c>
      <c r="AI57" s="139">
        <f>ROUND(INDEX(金币总表!$Z$5:$Z$12,装备!AG57)*装备!AH57/$AC$5,0)</f>
        <v>1455</v>
      </c>
      <c r="AK57" s="139">
        <f t="shared" si="19"/>
        <v>730</v>
      </c>
      <c r="AL57" s="139">
        <f t="shared" si="19"/>
        <v>1165</v>
      </c>
      <c r="AM57" s="139">
        <f t="shared" si="19"/>
        <v>1455</v>
      </c>
      <c r="AN57" s="139">
        <f t="shared" si="19"/>
        <v>1745</v>
      </c>
      <c r="DE57" s="144">
        <v>52</v>
      </c>
      <c r="DF57" s="144">
        <f t="shared" si="13"/>
        <v>7</v>
      </c>
      <c r="DG57" s="144" t="s">
        <v>1208</v>
      </c>
      <c r="DH57" s="144">
        <f t="shared" si="14"/>
        <v>4</v>
      </c>
      <c r="DI57" s="144" t="str">
        <f t="shared" si="15"/>
        <v>裤子锻造</v>
      </c>
      <c r="DJ57" s="144" t="str">
        <f t="shared" si="16"/>
        <v>ui_dtex_Equ_04</v>
      </c>
      <c r="DK57" s="144" t="s">
        <v>1203</v>
      </c>
      <c r="DL57" s="144">
        <f t="shared" si="17"/>
        <v>110</v>
      </c>
    </row>
    <row r="58" spans="1:116" ht="16.5" x14ac:dyDescent="0.2">
      <c r="AF58" s="139">
        <v>53</v>
      </c>
      <c r="AG58" s="139">
        <f>MATCH(AF58-1,金币总表!$Y$4:$Y$12,1)</f>
        <v>4</v>
      </c>
      <c r="AH58" s="21">
        <v>3.8157799999999999E-2</v>
      </c>
      <c r="AI58" s="139">
        <f>ROUND(INDEX(金币总表!$Z$5:$Z$12,装备!AG58)*装备!AH58/$AC$5,0)</f>
        <v>1518</v>
      </c>
      <c r="AK58" s="139">
        <f t="shared" si="19"/>
        <v>760</v>
      </c>
      <c r="AL58" s="139">
        <f t="shared" si="19"/>
        <v>1215</v>
      </c>
      <c r="AM58" s="139">
        <f t="shared" si="19"/>
        <v>1520</v>
      </c>
      <c r="AN58" s="139">
        <f t="shared" si="19"/>
        <v>1820</v>
      </c>
      <c r="DE58" s="144">
        <v>53</v>
      </c>
      <c r="DF58" s="144">
        <f t="shared" si="13"/>
        <v>7</v>
      </c>
      <c r="DG58" s="144" t="s">
        <v>1208</v>
      </c>
      <c r="DH58" s="144">
        <f t="shared" si="14"/>
        <v>5</v>
      </c>
      <c r="DI58" s="144" t="str">
        <f t="shared" si="15"/>
        <v>鞋子锻造</v>
      </c>
      <c r="DJ58" s="144" t="str">
        <f t="shared" si="16"/>
        <v>ui_dtex_Equ_05</v>
      </c>
      <c r="DK58" s="144" t="s">
        <v>1203</v>
      </c>
      <c r="DL58" s="144">
        <f t="shared" si="17"/>
        <v>110</v>
      </c>
    </row>
    <row r="59" spans="1:116" ht="16.5" x14ac:dyDescent="0.2">
      <c r="AF59" s="139">
        <v>54</v>
      </c>
      <c r="AG59" s="139">
        <f>MATCH(AF59-1,金币总表!$Y$4:$Y$12,1)</f>
        <v>4</v>
      </c>
      <c r="AH59" s="21">
        <v>3.97367E-2</v>
      </c>
      <c r="AI59" s="139">
        <f>ROUND(INDEX(金币总表!$Z$5:$Z$12,装备!AG59)*装备!AH59/$AC$5,0)</f>
        <v>1581</v>
      </c>
      <c r="AK59" s="139">
        <f t="shared" si="19"/>
        <v>790</v>
      </c>
      <c r="AL59" s="139">
        <f t="shared" si="19"/>
        <v>1265</v>
      </c>
      <c r="AM59" s="139">
        <f t="shared" si="19"/>
        <v>1580</v>
      </c>
      <c r="AN59" s="139">
        <f t="shared" si="19"/>
        <v>1895</v>
      </c>
      <c r="DE59" s="144">
        <v>54</v>
      </c>
      <c r="DF59" s="144">
        <f t="shared" si="13"/>
        <v>7</v>
      </c>
      <c r="DG59" s="144" t="s">
        <v>1208</v>
      </c>
      <c r="DH59" s="144">
        <f t="shared" si="14"/>
        <v>6</v>
      </c>
      <c r="DI59" s="144" t="str">
        <f t="shared" si="15"/>
        <v>护手锻造</v>
      </c>
      <c r="DJ59" s="144" t="str">
        <f t="shared" si="16"/>
        <v>ui_dtex_Equ_06</v>
      </c>
      <c r="DK59" s="144" t="s">
        <v>1203</v>
      </c>
      <c r="DL59" s="144">
        <f t="shared" si="17"/>
        <v>110</v>
      </c>
    </row>
    <row r="60" spans="1:116" ht="16.5" x14ac:dyDescent="0.2">
      <c r="AF60" s="139">
        <v>55</v>
      </c>
      <c r="AG60" s="139">
        <f>MATCH(AF60-1,金币总表!$Y$4:$Y$12,1)</f>
        <v>4</v>
      </c>
      <c r="AH60" s="21">
        <v>4.1315600000000001E-2</v>
      </c>
      <c r="AI60" s="139">
        <f>ROUND(INDEX(金币总表!$Z$5:$Z$12,装备!AG60)*装备!AH60/$AC$5,0)</f>
        <v>1644</v>
      </c>
      <c r="AK60" s="139">
        <f t="shared" si="19"/>
        <v>820</v>
      </c>
      <c r="AL60" s="139">
        <f t="shared" si="19"/>
        <v>1315</v>
      </c>
      <c r="AM60" s="139">
        <f t="shared" si="19"/>
        <v>1645</v>
      </c>
      <c r="AN60" s="139">
        <f t="shared" si="19"/>
        <v>1975</v>
      </c>
      <c r="DE60" s="144">
        <v>55</v>
      </c>
      <c r="DF60" s="144">
        <f t="shared" si="13"/>
        <v>7</v>
      </c>
      <c r="DG60" s="144" t="s">
        <v>1208</v>
      </c>
      <c r="DH60" s="144">
        <f t="shared" si="14"/>
        <v>7</v>
      </c>
      <c r="DI60" s="144" t="str">
        <f t="shared" si="15"/>
        <v>项链锻造</v>
      </c>
      <c r="DJ60" s="144" t="str">
        <f t="shared" si="16"/>
        <v>ui_dtex_Equ_07</v>
      </c>
      <c r="DK60" s="144" t="s">
        <v>1203</v>
      </c>
      <c r="DL60" s="144">
        <f t="shared" si="17"/>
        <v>165</v>
      </c>
    </row>
    <row r="61" spans="1:116" ht="16.5" x14ac:dyDescent="0.2">
      <c r="AF61" s="139">
        <v>56</v>
      </c>
      <c r="AG61" s="139">
        <f>MATCH(AF61-1,金币总表!$Y$4:$Y$12,1)</f>
        <v>4</v>
      </c>
      <c r="AH61" s="21">
        <v>4.2894500000000002E-2</v>
      </c>
      <c r="AI61" s="139">
        <f>ROUND(INDEX(金币总表!$Z$5:$Z$12,装备!AG61)*装备!AH61/$AC$5,0)</f>
        <v>1707</v>
      </c>
      <c r="AK61" s="139">
        <f t="shared" si="19"/>
        <v>855</v>
      </c>
      <c r="AL61" s="139">
        <f t="shared" si="19"/>
        <v>1365</v>
      </c>
      <c r="AM61" s="139">
        <f t="shared" si="19"/>
        <v>1705</v>
      </c>
      <c r="AN61" s="139">
        <f t="shared" si="19"/>
        <v>2050</v>
      </c>
      <c r="DE61" s="144">
        <v>56</v>
      </c>
      <c r="DF61" s="144">
        <f t="shared" si="13"/>
        <v>7</v>
      </c>
      <c r="DG61" s="144" t="s">
        <v>1208</v>
      </c>
      <c r="DH61" s="144">
        <f t="shared" si="14"/>
        <v>8</v>
      </c>
      <c r="DI61" s="144" t="str">
        <f t="shared" si="15"/>
        <v>戒指锻造</v>
      </c>
      <c r="DJ61" s="144" t="str">
        <f t="shared" si="16"/>
        <v>ui_dtex_Equ_08</v>
      </c>
      <c r="DK61" s="144" t="s">
        <v>1203</v>
      </c>
      <c r="DL61" s="144">
        <f t="shared" si="17"/>
        <v>165</v>
      </c>
    </row>
    <row r="62" spans="1:116" ht="16.5" x14ac:dyDescent="0.2">
      <c r="AF62" s="139">
        <v>57</v>
      </c>
      <c r="AG62" s="139">
        <f>MATCH(AF62-1,金币总表!$Y$4:$Y$12,1)</f>
        <v>4</v>
      </c>
      <c r="AH62" s="21">
        <v>4.4473400000000003E-2</v>
      </c>
      <c r="AI62" s="139">
        <f>ROUND(INDEX(金币总表!$Z$5:$Z$12,装备!AG62)*装备!AH62/$AC$5,0)</f>
        <v>1770</v>
      </c>
      <c r="AK62" s="139">
        <f t="shared" si="19"/>
        <v>885</v>
      </c>
      <c r="AL62" s="139">
        <f t="shared" si="19"/>
        <v>1415</v>
      </c>
      <c r="AM62" s="139">
        <f t="shared" si="19"/>
        <v>1770</v>
      </c>
      <c r="AN62" s="139">
        <f t="shared" si="19"/>
        <v>2125</v>
      </c>
      <c r="DE62" s="144">
        <v>57</v>
      </c>
      <c r="DF62" s="144">
        <f t="shared" si="13"/>
        <v>8</v>
      </c>
      <c r="DG62" s="144" t="s">
        <v>1208</v>
      </c>
      <c r="DH62" s="144">
        <f t="shared" si="14"/>
        <v>1</v>
      </c>
      <c r="DI62" s="144" t="str">
        <f t="shared" si="15"/>
        <v>灵器锻造</v>
      </c>
      <c r="DJ62" s="144" t="str">
        <f t="shared" si="16"/>
        <v>ui_dtex_Equ_01</v>
      </c>
      <c r="DK62" s="144" t="s">
        <v>1203</v>
      </c>
      <c r="DL62" s="144">
        <f t="shared" si="17"/>
        <v>240</v>
      </c>
    </row>
    <row r="63" spans="1:116" ht="16.5" x14ac:dyDescent="0.2">
      <c r="AF63" s="139">
        <v>58</v>
      </c>
      <c r="AG63" s="139">
        <f>MATCH(AF63-1,金币总表!$Y$4:$Y$12,1)</f>
        <v>4</v>
      </c>
      <c r="AH63" s="21">
        <v>4.6052299999999997E-2</v>
      </c>
      <c r="AI63" s="139">
        <f>ROUND(INDEX(金币总表!$Z$5:$Z$12,装备!AG63)*装备!AH63/$AC$5,0)</f>
        <v>1832</v>
      </c>
      <c r="AK63" s="139">
        <f t="shared" si="19"/>
        <v>915</v>
      </c>
      <c r="AL63" s="139">
        <f t="shared" si="19"/>
        <v>1465</v>
      </c>
      <c r="AM63" s="139">
        <f t="shared" si="19"/>
        <v>1830</v>
      </c>
      <c r="AN63" s="139">
        <f t="shared" si="19"/>
        <v>2200</v>
      </c>
      <c r="DE63" s="144">
        <v>58</v>
      </c>
      <c r="DF63" s="144">
        <f t="shared" si="13"/>
        <v>8</v>
      </c>
      <c r="DG63" s="144" t="s">
        <v>1208</v>
      </c>
      <c r="DH63" s="144">
        <f t="shared" si="14"/>
        <v>2</v>
      </c>
      <c r="DI63" s="144" t="str">
        <f t="shared" si="15"/>
        <v>头盔锻造</v>
      </c>
      <c r="DJ63" s="144" t="str">
        <f t="shared" si="16"/>
        <v>ui_dtex_Equ_02</v>
      </c>
      <c r="DK63" s="144" t="s">
        <v>1203</v>
      </c>
      <c r="DL63" s="144">
        <f t="shared" si="17"/>
        <v>120</v>
      </c>
    </row>
    <row r="64" spans="1:116" ht="16.5" x14ac:dyDescent="0.2">
      <c r="AF64" s="139">
        <v>59</v>
      </c>
      <c r="AG64" s="139">
        <f>MATCH(AF64-1,金币总表!$Y$4:$Y$12,1)</f>
        <v>4</v>
      </c>
      <c r="AH64" s="21">
        <v>4.7631199999999999E-2</v>
      </c>
      <c r="AI64" s="139">
        <f>ROUND(INDEX(金币总表!$Z$5:$Z$12,装备!AG64)*装备!AH64/$AC$5,0)</f>
        <v>1895</v>
      </c>
      <c r="AK64" s="139">
        <f t="shared" si="19"/>
        <v>950</v>
      </c>
      <c r="AL64" s="139">
        <f t="shared" si="19"/>
        <v>1515</v>
      </c>
      <c r="AM64" s="139">
        <f t="shared" si="19"/>
        <v>1895</v>
      </c>
      <c r="AN64" s="139">
        <f t="shared" si="19"/>
        <v>2275</v>
      </c>
      <c r="DE64" s="144">
        <v>59</v>
      </c>
      <c r="DF64" s="144">
        <f t="shared" si="13"/>
        <v>8</v>
      </c>
      <c r="DG64" s="144" t="s">
        <v>1208</v>
      </c>
      <c r="DH64" s="144">
        <f t="shared" si="14"/>
        <v>3</v>
      </c>
      <c r="DI64" s="144" t="str">
        <f t="shared" si="15"/>
        <v>铠甲锻造</v>
      </c>
      <c r="DJ64" s="144" t="str">
        <f t="shared" si="16"/>
        <v>ui_dtex_Equ_03</v>
      </c>
      <c r="DK64" s="144" t="s">
        <v>1203</v>
      </c>
      <c r="DL64" s="144">
        <f t="shared" si="17"/>
        <v>120</v>
      </c>
    </row>
    <row r="65" spans="32:116" ht="16.5" x14ac:dyDescent="0.2">
      <c r="AF65" s="139">
        <v>60</v>
      </c>
      <c r="AG65" s="139">
        <f>MATCH(AF65-1,金币总表!$Y$4:$Y$12,1)</f>
        <v>4</v>
      </c>
      <c r="AH65" s="21">
        <v>4.9210099999999903E-2</v>
      </c>
      <c r="AI65" s="139">
        <f>ROUND(INDEX(金币总表!$Z$5:$Z$12,装备!AG65)*装备!AH65/$AC$5,0)</f>
        <v>1958</v>
      </c>
      <c r="AK65" s="139">
        <f t="shared" si="19"/>
        <v>980</v>
      </c>
      <c r="AL65" s="139">
        <f t="shared" si="19"/>
        <v>1565</v>
      </c>
      <c r="AM65" s="139">
        <f t="shared" si="19"/>
        <v>1960</v>
      </c>
      <c r="AN65" s="139">
        <f t="shared" si="19"/>
        <v>2350</v>
      </c>
      <c r="DE65" s="144">
        <v>60</v>
      </c>
      <c r="DF65" s="144">
        <f t="shared" si="13"/>
        <v>8</v>
      </c>
      <c r="DG65" s="144" t="s">
        <v>1208</v>
      </c>
      <c r="DH65" s="144">
        <f t="shared" si="14"/>
        <v>4</v>
      </c>
      <c r="DI65" s="144" t="str">
        <f t="shared" si="15"/>
        <v>裤子锻造</v>
      </c>
      <c r="DJ65" s="144" t="str">
        <f t="shared" si="16"/>
        <v>ui_dtex_Equ_04</v>
      </c>
      <c r="DK65" s="144" t="s">
        <v>1203</v>
      </c>
      <c r="DL65" s="144">
        <f t="shared" si="17"/>
        <v>120</v>
      </c>
    </row>
    <row r="66" spans="32:116" ht="16.5" x14ac:dyDescent="0.2">
      <c r="AF66" s="139">
        <v>61</v>
      </c>
      <c r="AG66" s="139">
        <f>MATCH(AF66-1,金币总表!$Y$4:$Y$12,1)</f>
        <v>4</v>
      </c>
      <c r="AH66" s="21">
        <v>5.0788999999999897E-2</v>
      </c>
      <c r="AI66" s="139">
        <f>ROUND(INDEX(金币总表!$Z$5:$Z$12,装备!AG66)*装备!AH66/$AC$5,0)</f>
        <v>2021</v>
      </c>
      <c r="AK66" s="139">
        <f t="shared" si="19"/>
        <v>1010</v>
      </c>
      <c r="AL66" s="139">
        <f t="shared" si="19"/>
        <v>1615</v>
      </c>
      <c r="AM66" s="139">
        <f t="shared" si="19"/>
        <v>2020</v>
      </c>
      <c r="AN66" s="139">
        <f t="shared" si="19"/>
        <v>2425</v>
      </c>
      <c r="DE66" s="144">
        <v>61</v>
      </c>
      <c r="DF66" s="144">
        <f t="shared" si="13"/>
        <v>8</v>
      </c>
      <c r="DG66" s="144" t="s">
        <v>1208</v>
      </c>
      <c r="DH66" s="144">
        <f t="shared" si="14"/>
        <v>5</v>
      </c>
      <c r="DI66" s="144" t="str">
        <f t="shared" si="15"/>
        <v>鞋子锻造</v>
      </c>
      <c r="DJ66" s="144" t="str">
        <f t="shared" si="16"/>
        <v>ui_dtex_Equ_05</v>
      </c>
      <c r="DK66" s="144" t="s">
        <v>1203</v>
      </c>
      <c r="DL66" s="144">
        <f t="shared" si="17"/>
        <v>120</v>
      </c>
    </row>
    <row r="67" spans="32:116" ht="16.5" x14ac:dyDescent="0.2">
      <c r="AF67" s="139">
        <v>62</v>
      </c>
      <c r="AG67" s="139">
        <f>MATCH(AF67-1,金币总表!$Y$4:$Y$12,1)</f>
        <v>4</v>
      </c>
      <c r="AH67" s="21">
        <v>5.2367899999999898E-2</v>
      </c>
      <c r="AI67" s="139">
        <f>ROUND(INDEX(金币总表!$Z$5:$Z$12,装备!AG67)*装备!AH67/$AC$5,0)</f>
        <v>2084</v>
      </c>
      <c r="AK67" s="139">
        <f t="shared" si="19"/>
        <v>1040</v>
      </c>
      <c r="AL67" s="139">
        <f t="shared" si="19"/>
        <v>1665</v>
      </c>
      <c r="AM67" s="139">
        <f t="shared" si="19"/>
        <v>2085</v>
      </c>
      <c r="AN67" s="139">
        <f t="shared" si="19"/>
        <v>2500</v>
      </c>
      <c r="DE67" s="144">
        <v>62</v>
      </c>
      <c r="DF67" s="144">
        <f t="shared" si="13"/>
        <v>8</v>
      </c>
      <c r="DG67" s="144" t="s">
        <v>1208</v>
      </c>
      <c r="DH67" s="144">
        <f t="shared" si="14"/>
        <v>6</v>
      </c>
      <c r="DI67" s="144" t="str">
        <f t="shared" si="15"/>
        <v>护手锻造</v>
      </c>
      <c r="DJ67" s="144" t="str">
        <f t="shared" si="16"/>
        <v>ui_dtex_Equ_06</v>
      </c>
      <c r="DK67" s="144" t="s">
        <v>1203</v>
      </c>
      <c r="DL67" s="144">
        <f t="shared" si="17"/>
        <v>120</v>
      </c>
    </row>
    <row r="68" spans="32:116" ht="16.5" x14ac:dyDescent="0.2">
      <c r="AF68" s="139">
        <v>63</v>
      </c>
      <c r="AG68" s="139">
        <f>MATCH(AF68-1,金币总表!$Y$4:$Y$12,1)</f>
        <v>4</v>
      </c>
      <c r="AH68" s="21">
        <v>5.3946799999999899E-2</v>
      </c>
      <c r="AI68" s="139">
        <f>ROUND(INDEX(金币总表!$Z$5:$Z$12,装备!AG68)*装备!AH68/$AC$5,0)</f>
        <v>2146</v>
      </c>
      <c r="AK68" s="139">
        <f t="shared" si="19"/>
        <v>1075</v>
      </c>
      <c r="AL68" s="139">
        <f t="shared" si="19"/>
        <v>1715</v>
      </c>
      <c r="AM68" s="139">
        <f t="shared" si="19"/>
        <v>2145</v>
      </c>
      <c r="AN68" s="139">
        <f t="shared" si="19"/>
        <v>2575</v>
      </c>
      <c r="DE68" s="144">
        <v>63</v>
      </c>
      <c r="DF68" s="144">
        <f t="shared" si="13"/>
        <v>8</v>
      </c>
      <c r="DG68" s="144" t="s">
        <v>1208</v>
      </c>
      <c r="DH68" s="144">
        <f t="shared" si="14"/>
        <v>7</v>
      </c>
      <c r="DI68" s="144" t="str">
        <f t="shared" si="15"/>
        <v>项链锻造</v>
      </c>
      <c r="DJ68" s="144" t="str">
        <f t="shared" si="16"/>
        <v>ui_dtex_Equ_07</v>
      </c>
      <c r="DK68" s="144" t="s">
        <v>1203</v>
      </c>
      <c r="DL68" s="144">
        <f t="shared" si="17"/>
        <v>180</v>
      </c>
    </row>
    <row r="69" spans="32:116" ht="16.5" x14ac:dyDescent="0.2">
      <c r="AF69" s="139">
        <v>64</v>
      </c>
      <c r="AG69" s="139">
        <f>MATCH(AF69-1,金币总表!$Y$4:$Y$12,1)</f>
        <v>4</v>
      </c>
      <c r="AH69" s="21">
        <v>5.55256999999999E-2</v>
      </c>
      <c r="AI69" s="139">
        <f>ROUND(INDEX(金币总表!$Z$5:$Z$12,装备!AG69)*装备!AH69/$AC$5,0)</f>
        <v>2209</v>
      </c>
      <c r="AK69" s="139">
        <f t="shared" si="19"/>
        <v>1105</v>
      </c>
      <c r="AL69" s="139">
        <f t="shared" si="19"/>
        <v>1765</v>
      </c>
      <c r="AM69" s="139">
        <f t="shared" si="19"/>
        <v>2210</v>
      </c>
      <c r="AN69" s="139">
        <f t="shared" si="19"/>
        <v>2650</v>
      </c>
      <c r="DE69" s="144">
        <v>64</v>
      </c>
      <c r="DF69" s="144">
        <f t="shared" si="13"/>
        <v>8</v>
      </c>
      <c r="DG69" s="144" t="s">
        <v>1208</v>
      </c>
      <c r="DH69" s="144">
        <f t="shared" si="14"/>
        <v>8</v>
      </c>
      <c r="DI69" s="144" t="str">
        <f t="shared" si="15"/>
        <v>戒指锻造</v>
      </c>
      <c r="DJ69" s="144" t="str">
        <f t="shared" si="16"/>
        <v>ui_dtex_Equ_08</v>
      </c>
      <c r="DK69" s="144" t="s">
        <v>1203</v>
      </c>
      <c r="DL69" s="144">
        <f t="shared" si="17"/>
        <v>180</v>
      </c>
    </row>
    <row r="70" spans="32:116" ht="16.5" x14ac:dyDescent="0.2">
      <c r="AF70" s="139">
        <v>65</v>
      </c>
      <c r="AG70" s="139">
        <f>MATCH(AF70-1,金币总表!$Y$4:$Y$12,1)</f>
        <v>4</v>
      </c>
      <c r="AH70" s="21">
        <v>5.7104599999999901E-2</v>
      </c>
      <c r="AI70" s="139">
        <f>ROUND(INDEX(金币总表!$Z$5:$Z$12,装备!AG70)*装备!AH70/$AC$5,0)</f>
        <v>2272</v>
      </c>
      <c r="AK70" s="139">
        <f t="shared" si="19"/>
        <v>1135</v>
      </c>
      <c r="AL70" s="139">
        <f t="shared" si="19"/>
        <v>1820</v>
      </c>
      <c r="AM70" s="139">
        <f t="shared" si="19"/>
        <v>2270</v>
      </c>
      <c r="AN70" s="139">
        <f t="shared" si="19"/>
        <v>2725</v>
      </c>
      <c r="DE70" s="144">
        <v>65</v>
      </c>
      <c r="DF70" s="144">
        <f t="shared" si="13"/>
        <v>9</v>
      </c>
      <c r="DG70" s="144" t="s">
        <v>1208</v>
      </c>
      <c r="DH70" s="144">
        <f t="shared" si="14"/>
        <v>1</v>
      </c>
      <c r="DI70" s="144" t="str">
        <f t="shared" si="15"/>
        <v>灵器锻造</v>
      </c>
      <c r="DJ70" s="144" t="str">
        <f t="shared" si="16"/>
        <v>ui_dtex_Equ_01</v>
      </c>
      <c r="DK70" s="144" t="s">
        <v>1203</v>
      </c>
      <c r="DL70" s="144">
        <f t="shared" si="17"/>
        <v>300</v>
      </c>
    </row>
    <row r="71" spans="32:116" ht="16.5" x14ac:dyDescent="0.2">
      <c r="AF71" s="139">
        <v>66</v>
      </c>
      <c r="AG71" s="139">
        <f>MATCH(AF71-1,金币总表!$Y$4:$Y$12,1)</f>
        <v>4</v>
      </c>
      <c r="AH71" s="21">
        <v>5.8683499999999902E-2</v>
      </c>
      <c r="AI71" s="139">
        <f>ROUND(INDEX(金币总表!$Z$5:$Z$12,装备!AG71)*装备!AH71/$AC$5,0)</f>
        <v>2335</v>
      </c>
      <c r="AK71" s="139">
        <f t="shared" ref="AK71:AN102" si="20">ROUND($AI71*AK$3/5,0)*5</f>
        <v>1170</v>
      </c>
      <c r="AL71" s="139">
        <f t="shared" si="20"/>
        <v>1870</v>
      </c>
      <c r="AM71" s="139">
        <f t="shared" si="20"/>
        <v>2335</v>
      </c>
      <c r="AN71" s="139">
        <f t="shared" si="20"/>
        <v>2800</v>
      </c>
      <c r="DE71" s="144">
        <v>66</v>
      </c>
      <c r="DF71" s="144">
        <f t="shared" ref="DF71:DF134" si="21">INT((DE71-1)/8)+1</f>
        <v>9</v>
      </c>
      <c r="DG71" s="144" t="s">
        <v>1208</v>
      </c>
      <c r="DH71" s="144">
        <f t="shared" ref="DH71:DH134" si="22">DE71-(DF71-1)*8</f>
        <v>2</v>
      </c>
      <c r="DI71" s="144" t="str">
        <f t="shared" ref="DI71:DI134" si="23">INDEX($CL$6:$CL$13,DH71)&amp;"锻造"</f>
        <v>头盔锻造</v>
      </c>
      <c r="DJ71" s="144" t="str">
        <f t="shared" ref="DJ71:DJ134" si="24">"ui_dtex_Equ_0"&amp;DH71</f>
        <v>ui_dtex_Equ_02</v>
      </c>
      <c r="DK71" s="144" t="s">
        <v>1203</v>
      </c>
      <c r="DL71" s="144">
        <f t="shared" ref="DL71:DL134" si="25">ROUND(INDEX($DB$6:$DB$26,DF71)*INDEX($CM$6:$CM$13,DH71)/5,0)*5</f>
        <v>150</v>
      </c>
    </row>
    <row r="72" spans="32:116" ht="16.5" x14ac:dyDescent="0.2">
      <c r="AF72" s="139">
        <v>67</v>
      </c>
      <c r="AG72" s="139">
        <f>MATCH(AF72-1,金币总表!$Y$4:$Y$12,1)</f>
        <v>4</v>
      </c>
      <c r="AH72" s="21">
        <v>6.0262399999999897E-2</v>
      </c>
      <c r="AI72" s="139">
        <f>ROUND(INDEX(金币总表!$Z$5:$Z$12,装备!AG72)*装备!AH72/$AC$5,0)</f>
        <v>2398</v>
      </c>
      <c r="AK72" s="139">
        <f t="shared" si="20"/>
        <v>1200</v>
      </c>
      <c r="AL72" s="139">
        <f t="shared" si="20"/>
        <v>1920</v>
      </c>
      <c r="AM72" s="139">
        <f t="shared" si="20"/>
        <v>2400</v>
      </c>
      <c r="AN72" s="139">
        <f t="shared" si="20"/>
        <v>2880</v>
      </c>
      <c r="DE72" s="144">
        <v>67</v>
      </c>
      <c r="DF72" s="144">
        <f t="shared" si="21"/>
        <v>9</v>
      </c>
      <c r="DG72" s="144" t="s">
        <v>1208</v>
      </c>
      <c r="DH72" s="144">
        <f t="shared" si="22"/>
        <v>3</v>
      </c>
      <c r="DI72" s="144" t="str">
        <f t="shared" si="23"/>
        <v>铠甲锻造</v>
      </c>
      <c r="DJ72" s="144" t="str">
        <f t="shared" si="24"/>
        <v>ui_dtex_Equ_03</v>
      </c>
      <c r="DK72" s="144" t="s">
        <v>1203</v>
      </c>
      <c r="DL72" s="144">
        <f t="shared" si="25"/>
        <v>150</v>
      </c>
    </row>
    <row r="73" spans="32:116" ht="16.5" x14ac:dyDescent="0.2">
      <c r="AF73" s="139">
        <v>68</v>
      </c>
      <c r="AG73" s="139">
        <f>MATCH(AF73-1,金币总表!$Y$4:$Y$12,1)</f>
        <v>4</v>
      </c>
      <c r="AH73" s="21">
        <v>6.1841299999999898E-2</v>
      </c>
      <c r="AI73" s="139">
        <f>ROUND(INDEX(金币总表!$Z$5:$Z$12,装备!AG73)*装备!AH73/$AC$5,0)</f>
        <v>2461</v>
      </c>
      <c r="AK73" s="139">
        <f t="shared" si="20"/>
        <v>1230</v>
      </c>
      <c r="AL73" s="139">
        <f t="shared" si="20"/>
        <v>1970</v>
      </c>
      <c r="AM73" s="139">
        <f t="shared" si="20"/>
        <v>2460</v>
      </c>
      <c r="AN73" s="139">
        <f t="shared" si="20"/>
        <v>2955</v>
      </c>
      <c r="DE73" s="144">
        <v>68</v>
      </c>
      <c r="DF73" s="144">
        <f t="shared" si="21"/>
        <v>9</v>
      </c>
      <c r="DG73" s="144" t="s">
        <v>1208</v>
      </c>
      <c r="DH73" s="144">
        <f t="shared" si="22"/>
        <v>4</v>
      </c>
      <c r="DI73" s="144" t="str">
        <f t="shared" si="23"/>
        <v>裤子锻造</v>
      </c>
      <c r="DJ73" s="144" t="str">
        <f t="shared" si="24"/>
        <v>ui_dtex_Equ_04</v>
      </c>
      <c r="DK73" s="144" t="s">
        <v>1203</v>
      </c>
      <c r="DL73" s="144">
        <f t="shared" si="25"/>
        <v>150</v>
      </c>
    </row>
    <row r="74" spans="32:116" ht="16.5" x14ac:dyDescent="0.2">
      <c r="AF74" s="139">
        <v>69</v>
      </c>
      <c r="AG74" s="139">
        <f>MATCH(AF74-1,金币总表!$Y$4:$Y$12,1)</f>
        <v>4</v>
      </c>
      <c r="AH74" s="21">
        <v>6.3420199999999899E-2</v>
      </c>
      <c r="AI74" s="139">
        <f>ROUND(INDEX(金币总表!$Z$5:$Z$12,装备!AG74)*装备!AH74/$AC$5,0)</f>
        <v>2523</v>
      </c>
      <c r="AK74" s="139">
        <f t="shared" si="20"/>
        <v>1260</v>
      </c>
      <c r="AL74" s="139">
        <f t="shared" si="20"/>
        <v>2020</v>
      </c>
      <c r="AM74" s="139">
        <f t="shared" si="20"/>
        <v>2525</v>
      </c>
      <c r="AN74" s="139">
        <f t="shared" si="20"/>
        <v>3030</v>
      </c>
      <c r="DE74" s="144">
        <v>69</v>
      </c>
      <c r="DF74" s="144">
        <f t="shared" si="21"/>
        <v>9</v>
      </c>
      <c r="DG74" s="144" t="s">
        <v>1208</v>
      </c>
      <c r="DH74" s="144">
        <f t="shared" si="22"/>
        <v>5</v>
      </c>
      <c r="DI74" s="144" t="str">
        <f t="shared" si="23"/>
        <v>鞋子锻造</v>
      </c>
      <c r="DJ74" s="144" t="str">
        <f t="shared" si="24"/>
        <v>ui_dtex_Equ_05</v>
      </c>
      <c r="DK74" s="144" t="s">
        <v>1203</v>
      </c>
      <c r="DL74" s="144">
        <f t="shared" si="25"/>
        <v>150</v>
      </c>
    </row>
    <row r="75" spans="32:116" ht="16.5" x14ac:dyDescent="0.2">
      <c r="AF75" s="139">
        <v>70</v>
      </c>
      <c r="AG75" s="139">
        <f>MATCH(AF75-1,金币总表!$Y$4:$Y$12,1)</f>
        <v>4</v>
      </c>
      <c r="AH75" s="21">
        <v>6.4999099999999893E-2</v>
      </c>
      <c r="AI75" s="139">
        <f>ROUND(INDEX(金币总表!$Z$5:$Z$12,装备!AG75)*装备!AH75/$AC$5,0)</f>
        <v>2586</v>
      </c>
      <c r="AK75" s="139">
        <f t="shared" si="20"/>
        <v>1295</v>
      </c>
      <c r="AL75" s="139">
        <f t="shared" si="20"/>
        <v>2070</v>
      </c>
      <c r="AM75" s="139">
        <f t="shared" si="20"/>
        <v>2585</v>
      </c>
      <c r="AN75" s="139">
        <f t="shared" si="20"/>
        <v>3105</v>
      </c>
      <c r="DE75" s="144">
        <v>70</v>
      </c>
      <c r="DF75" s="144">
        <f t="shared" si="21"/>
        <v>9</v>
      </c>
      <c r="DG75" s="144" t="s">
        <v>1208</v>
      </c>
      <c r="DH75" s="144">
        <f t="shared" si="22"/>
        <v>6</v>
      </c>
      <c r="DI75" s="144" t="str">
        <f t="shared" si="23"/>
        <v>护手锻造</v>
      </c>
      <c r="DJ75" s="144" t="str">
        <f t="shared" si="24"/>
        <v>ui_dtex_Equ_06</v>
      </c>
      <c r="DK75" s="144" t="s">
        <v>1203</v>
      </c>
      <c r="DL75" s="144">
        <f t="shared" si="25"/>
        <v>150</v>
      </c>
    </row>
    <row r="76" spans="32:116" ht="16.5" x14ac:dyDescent="0.2">
      <c r="AF76" s="139">
        <v>71</v>
      </c>
      <c r="AG76" s="139">
        <f>MATCH(AF76-1,金币总表!$Y$4:$Y$12,1)</f>
        <v>5</v>
      </c>
      <c r="AH76" s="21">
        <v>3.5000000000000003E-2</v>
      </c>
      <c r="AI76" s="139">
        <f>ROUND(INDEX(金币总表!$Z$5:$Z$12,装备!AG76)*装备!AH76/$AC$5,0)</f>
        <v>3202</v>
      </c>
      <c r="AK76" s="139">
        <f t="shared" si="20"/>
        <v>1600</v>
      </c>
      <c r="AL76" s="139">
        <f t="shared" si="20"/>
        <v>2560</v>
      </c>
      <c r="AM76" s="139">
        <f t="shared" si="20"/>
        <v>3200</v>
      </c>
      <c r="AN76" s="139">
        <f t="shared" si="20"/>
        <v>3840</v>
      </c>
      <c r="DE76" s="144">
        <v>71</v>
      </c>
      <c r="DF76" s="144">
        <f t="shared" si="21"/>
        <v>9</v>
      </c>
      <c r="DG76" s="144" t="s">
        <v>1208</v>
      </c>
      <c r="DH76" s="144">
        <f t="shared" si="22"/>
        <v>7</v>
      </c>
      <c r="DI76" s="144" t="str">
        <f t="shared" si="23"/>
        <v>项链锻造</v>
      </c>
      <c r="DJ76" s="144" t="str">
        <f t="shared" si="24"/>
        <v>ui_dtex_Equ_07</v>
      </c>
      <c r="DK76" s="144" t="s">
        <v>1203</v>
      </c>
      <c r="DL76" s="144">
        <f t="shared" si="25"/>
        <v>225</v>
      </c>
    </row>
    <row r="77" spans="32:116" ht="16.5" x14ac:dyDescent="0.2">
      <c r="AF77" s="139">
        <v>72</v>
      </c>
      <c r="AG77" s="139">
        <f>MATCH(AF77-1,金币总表!$Y$4:$Y$12,1)</f>
        <v>5</v>
      </c>
      <c r="AH77" s="21">
        <v>3.6578899999999998E-2</v>
      </c>
      <c r="AI77" s="139">
        <f>ROUND(INDEX(金币总表!$Z$5:$Z$12,装备!AG77)*装备!AH77/$AC$5,0)</f>
        <v>3346</v>
      </c>
      <c r="AK77" s="139">
        <f t="shared" si="20"/>
        <v>1675</v>
      </c>
      <c r="AL77" s="139">
        <f t="shared" si="20"/>
        <v>2675</v>
      </c>
      <c r="AM77" s="139">
        <f t="shared" si="20"/>
        <v>3345</v>
      </c>
      <c r="AN77" s="139">
        <f t="shared" si="20"/>
        <v>4015</v>
      </c>
      <c r="DE77" s="144">
        <v>72</v>
      </c>
      <c r="DF77" s="144">
        <f t="shared" si="21"/>
        <v>9</v>
      </c>
      <c r="DG77" s="144" t="s">
        <v>1208</v>
      </c>
      <c r="DH77" s="144">
        <f t="shared" si="22"/>
        <v>8</v>
      </c>
      <c r="DI77" s="144" t="str">
        <f t="shared" si="23"/>
        <v>戒指锻造</v>
      </c>
      <c r="DJ77" s="144" t="str">
        <f t="shared" si="24"/>
        <v>ui_dtex_Equ_08</v>
      </c>
      <c r="DK77" s="144" t="s">
        <v>1203</v>
      </c>
      <c r="DL77" s="144">
        <f t="shared" si="25"/>
        <v>225</v>
      </c>
    </row>
    <row r="78" spans="32:116" ht="16.5" x14ac:dyDescent="0.2">
      <c r="AF78" s="139">
        <v>73</v>
      </c>
      <c r="AG78" s="139">
        <f>MATCH(AF78-1,金币总表!$Y$4:$Y$12,1)</f>
        <v>5</v>
      </c>
      <c r="AH78" s="21">
        <v>3.8157799999999999E-2</v>
      </c>
      <c r="AI78" s="139">
        <f>ROUND(INDEX(金币总表!$Z$5:$Z$12,装备!AG78)*装备!AH78/$AC$5,0)</f>
        <v>3491</v>
      </c>
      <c r="AK78" s="139">
        <f t="shared" si="20"/>
        <v>1745</v>
      </c>
      <c r="AL78" s="139">
        <f t="shared" si="20"/>
        <v>2795</v>
      </c>
      <c r="AM78" s="139">
        <f t="shared" si="20"/>
        <v>3490</v>
      </c>
      <c r="AN78" s="139">
        <f t="shared" si="20"/>
        <v>4190</v>
      </c>
      <c r="DE78" s="144">
        <v>73</v>
      </c>
      <c r="DF78" s="144">
        <f t="shared" si="21"/>
        <v>10</v>
      </c>
      <c r="DG78" s="144" t="s">
        <v>1208</v>
      </c>
      <c r="DH78" s="144">
        <f t="shared" si="22"/>
        <v>1</v>
      </c>
      <c r="DI78" s="144" t="str">
        <f t="shared" si="23"/>
        <v>灵器锻造</v>
      </c>
      <c r="DJ78" s="144" t="str">
        <f t="shared" si="24"/>
        <v>ui_dtex_Equ_01</v>
      </c>
      <c r="DK78" s="144" t="s">
        <v>1203</v>
      </c>
      <c r="DL78" s="144">
        <f t="shared" si="25"/>
        <v>330</v>
      </c>
    </row>
    <row r="79" spans="32:116" ht="16.5" x14ac:dyDescent="0.2">
      <c r="AF79" s="139">
        <v>74</v>
      </c>
      <c r="AG79" s="139">
        <f>MATCH(AF79-1,金币总表!$Y$4:$Y$12,1)</f>
        <v>5</v>
      </c>
      <c r="AH79" s="21">
        <v>3.97367E-2</v>
      </c>
      <c r="AI79" s="139">
        <f>ROUND(INDEX(金币总表!$Z$5:$Z$12,装备!AG79)*装备!AH79/$AC$5,0)</f>
        <v>3635</v>
      </c>
      <c r="AK79" s="139">
        <f t="shared" si="20"/>
        <v>1820</v>
      </c>
      <c r="AL79" s="139">
        <f t="shared" si="20"/>
        <v>2910</v>
      </c>
      <c r="AM79" s="139">
        <f t="shared" si="20"/>
        <v>3635</v>
      </c>
      <c r="AN79" s="139">
        <f t="shared" si="20"/>
        <v>4360</v>
      </c>
      <c r="DE79" s="144">
        <v>74</v>
      </c>
      <c r="DF79" s="144">
        <f t="shared" si="21"/>
        <v>10</v>
      </c>
      <c r="DG79" s="144" t="s">
        <v>1208</v>
      </c>
      <c r="DH79" s="144">
        <f t="shared" si="22"/>
        <v>2</v>
      </c>
      <c r="DI79" s="144" t="str">
        <f t="shared" si="23"/>
        <v>头盔锻造</v>
      </c>
      <c r="DJ79" s="144" t="str">
        <f t="shared" si="24"/>
        <v>ui_dtex_Equ_02</v>
      </c>
      <c r="DK79" s="144" t="s">
        <v>1203</v>
      </c>
      <c r="DL79" s="144">
        <f t="shared" si="25"/>
        <v>165</v>
      </c>
    </row>
    <row r="80" spans="32:116" ht="16.5" x14ac:dyDescent="0.2">
      <c r="AF80" s="139">
        <v>75</v>
      </c>
      <c r="AG80" s="139">
        <f>MATCH(AF80-1,金币总表!$Y$4:$Y$12,1)</f>
        <v>5</v>
      </c>
      <c r="AH80" s="21">
        <v>4.1315600000000001E-2</v>
      </c>
      <c r="AI80" s="139">
        <f>ROUND(INDEX(金币总表!$Z$5:$Z$12,装备!AG80)*装备!AH80/$AC$5,0)</f>
        <v>3780</v>
      </c>
      <c r="AK80" s="139">
        <f t="shared" si="20"/>
        <v>1890</v>
      </c>
      <c r="AL80" s="139">
        <f t="shared" si="20"/>
        <v>3025</v>
      </c>
      <c r="AM80" s="139">
        <f t="shared" si="20"/>
        <v>3780</v>
      </c>
      <c r="AN80" s="139">
        <f t="shared" si="20"/>
        <v>4535</v>
      </c>
      <c r="DE80" s="144">
        <v>75</v>
      </c>
      <c r="DF80" s="144">
        <f t="shared" si="21"/>
        <v>10</v>
      </c>
      <c r="DG80" s="144" t="s">
        <v>1208</v>
      </c>
      <c r="DH80" s="144">
        <f t="shared" si="22"/>
        <v>3</v>
      </c>
      <c r="DI80" s="144" t="str">
        <f t="shared" si="23"/>
        <v>铠甲锻造</v>
      </c>
      <c r="DJ80" s="144" t="str">
        <f t="shared" si="24"/>
        <v>ui_dtex_Equ_03</v>
      </c>
      <c r="DK80" s="144" t="s">
        <v>1203</v>
      </c>
      <c r="DL80" s="144">
        <f t="shared" si="25"/>
        <v>165</v>
      </c>
    </row>
    <row r="81" spans="32:116" ht="16.5" x14ac:dyDescent="0.2">
      <c r="AF81" s="139">
        <v>76</v>
      </c>
      <c r="AG81" s="139">
        <f>MATCH(AF81-1,金币总表!$Y$4:$Y$12,1)</f>
        <v>5</v>
      </c>
      <c r="AH81" s="21">
        <v>4.2894500000000002E-2</v>
      </c>
      <c r="AI81" s="139">
        <f>ROUND(INDEX(金币总表!$Z$5:$Z$12,装备!AG81)*装备!AH81/$AC$5,0)</f>
        <v>3924</v>
      </c>
      <c r="AK81" s="139">
        <f t="shared" si="20"/>
        <v>1960</v>
      </c>
      <c r="AL81" s="139">
        <f t="shared" si="20"/>
        <v>3140</v>
      </c>
      <c r="AM81" s="139">
        <f t="shared" si="20"/>
        <v>3925</v>
      </c>
      <c r="AN81" s="139">
        <f t="shared" si="20"/>
        <v>4710</v>
      </c>
      <c r="DE81" s="144">
        <v>76</v>
      </c>
      <c r="DF81" s="144">
        <f t="shared" si="21"/>
        <v>10</v>
      </c>
      <c r="DG81" s="144" t="s">
        <v>1208</v>
      </c>
      <c r="DH81" s="144">
        <f t="shared" si="22"/>
        <v>4</v>
      </c>
      <c r="DI81" s="144" t="str">
        <f t="shared" si="23"/>
        <v>裤子锻造</v>
      </c>
      <c r="DJ81" s="144" t="str">
        <f t="shared" si="24"/>
        <v>ui_dtex_Equ_04</v>
      </c>
      <c r="DK81" s="144" t="s">
        <v>1203</v>
      </c>
      <c r="DL81" s="144">
        <f t="shared" si="25"/>
        <v>165</v>
      </c>
    </row>
    <row r="82" spans="32:116" ht="16.5" x14ac:dyDescent="0.2">
      <c r="AF82" s="139">
        <v>77</v>
      </c>
      <c r="AG82" s="139">
        <f>MATCH(AF82-1,金币总表!$Y$4:$Y$12,1)</f>
        <v>5</v>
      </c>
      <c r="AH82" s="21">
        <v>4.4473400000000003E-2</v>
      </c>
      <c r="AI82" s="139">
        <f>ROUND(INDEX(金币总表!$Z$5:$Z$12,装备!AG82)*装备!AH82/$AC$5,0)</f>
        <v>4068</v>
      </c>
      <c r="AK82" s="139">
        <f t="shared" si="20"/>
        <v>2035</v>
      </c>
      <c r="AL82" s="139">
        <f t="shared" si="20"/>
        <v>3255</v>
      </c>
      <c r="AM82" s="139">
        <f t="shared" si="20"/>
        <v>4070</v>
      </c>
      <c r="AN82" s="139">
        <f t="shared" si="20"/>
        <v>4880</v>
      </c>
      <c r="DE82" s="144">
        <v>77</v>
      </c>
      <c r="DF82" s="144">
        <f t="shared" si="21"/>
        <v>10</v>
      </c>
      <c r="DG82" s="144" t="s">
        <v>1208</v>
      </c>
      <c r="DH82" s="144">
        <f t="shared" si="22"/>
        <v>5</v>
      </c>
      <c r="DI82" s="144" t="str">
        <f t="shared" si="23"/>
        <v>鞋子锻造</v>
      </c>
      <c r="DJ82" s="144" t="str">
        <f t="shared" si="24"/>
        <v>ui_dtex_Equ_05</v>
      </c>
      <c r="DK82" s="144" t="s">
        <v>1203</v>
      </c>
      <c r="DL82" s="144">
        <f t="shared" si="25"/>
        <v>165</v>
      </c>
    </row>
    <row r="83" spans="32:116" ht="16.5" x14ac:dyDescent="0.2">
      <c r="AF83" s="139">
        <v>78</v>
      </c>
      <c r="AG83" s="139">
        <f>MATCH(AF83-1,金币总表!$Y$4:$Y$12,1)</f>
        <v>5</v>
      </c>
      <c r="AH83" s="21">
        <v>4.6052299999999997E-2</v>
      </c>
      <c r="AI83" s="139">
        <f>ROUND(INDEX(金币总表!$Z$5:$Z$12,装备!AG83)*装备!AH83/$AC$5,0)</f>
        <v>4213</v>
      </c>
      <c r="AK83" s="139">
        <f t="shared" si="20"/>
        <v>2105</v>
      </c>
      <c r="AL83" s="139">
        <f t="shared" si="20"/>
        <v>3370</v>
      </c>
      <c r="AM83" s="139">
        <f t="shared" si="20"/>
        <v>4215</v>
      </c>
      <c r="AN83" s="139">
        <f t="shared" si="20"/>
        <v>5055</v>
      </c>
      <c r="DE83" s="144">
        <v>78</v>
      </c>
      <c r="DF83" s="144">
        <f t="shared" si="21"/>
        <v>10</v>
      </c>
      <c r="DG83" s="144" t="s">
        <v>1208</v>
      </c>
      <c r="DH83" s="144">
        <f t="shared" si="22"/>
        <v>6</v>
      </c>
      <c r="DI83" s="144" t="str">
        <f t="shared" si="23"/>
        <v>护手锻造</v>
      </c>
      <c r="DJ83" s="144" t="str">
        <f t="shared" si="24"/>
        <v>ui_dtex_Equ_06</v>
      </c>
      <c r="DK83" s="144" t="s">
        <v>1203</v>
      </c>
      <c r="DL83" s="144">
        <f t="shared" si="25"/>
        <v>165</v>
      </c>
    </row>
    <row r="84" spans="32:116" ht="16.5" x14ac:dyDescent="0.2">
      <c r="AF84" s="139">
        <v>79</v>
      </c>
      <c r="AG84" s="139">
        <f>MATCH(AF84-1,金币总表!$Y$4:$Y$12,1)</f>
        <v>5</v>
      </c>
      <c r="AH84" s="21">
        <v>4.7631199999999999E-2</v>
      </c>
      <c r="AI84" s="139">
        <f>ROUND(INDEX(金币总表!$Z$5:$Z$12,装备!AG84)*装备!AH84/$AC$5,0)</f>
        <v>4357</v>
      </c>
      <c r="AK84" s="139">
        <f t="shared" si="20"/>
        <v>2180</v>
      </c>
      <c r="AL84" s="139">
        <f t="shared" si="20"/>
        <v>3485</v>
      </c>
      <c r="AM84" s="139">
        <f t="shared" si="20"/>
        <v>4355</v>
      </c>
      <c r="AN84" s="139">
        <f t="shared" si="20"/>
        <v>5230</v>
      </c>
      <c r="DE84" s="144">
        <v>79</v>
      </c>
      <c r="DF84" s="144">
        <f t="shared" si="21"/>
        <v>10</v>
      </c>
      <c r="DG84" s="144" t="s">
        <v>1208</v>
      </c>
      <c r="DH84" s="144">
        <f t="shared" si="22"/>
        <v>7</v>
      </c>
      <c r="DI84" s="144" t="str">
        <f t="shared" si="23"/>
        <v>项链锻造</v>
      </c>
      <c r="DJ84" s="144" t="str">
        <f t="shared" si="24"/>
        <v>ui_dtex_Equ_07</v>
      </c>
      <c r="DK84" s="144" t="s">
        <v>1203</v>
      </c>
      <c r="DL84" s="144">
        <f t="shared" si="25"/>
        <v>250</v>
      </c>
    </row>
    <row r="85" spans="32:116" ht="16.5" x14ac:dyDescent="0.2">
      <c r="AF85" s="139">
        <v>80</v>
      </c>
      <c r="AG85" s="139">
        <f>MATCH(AF85-1,金币总表!$Y$4:$Y$12,1)</f>
        <v>5</v>
      </c>
      <c r="AH85" s="21">
        <v>4.9210099999999903E-2</v>
      </c>
      <c r="AI85" s="139">
        <f>ROUND(INDEX(金币总表!$Z$5:$Z$12,装备!AG85)*装备!AH85/$AC$5,0)</f>
        <v>4502</v>
      </c>
      <c r="AK85" s="139">
        <f t="shared" si="20"/>
        <v>2250</v>
      </c>
      <c r="AL85" s="139">
        <f t="shared" si="20"/>
        <v>3600</v>
      </c>
      <c r="AM85" s="139">
        <f t="shared" si="20"/>
        <v>4500</v>
      </c>
      <c r="AN85" s="139">
        <f t="shared" si="20"/>
        <v>5400</v>
      </c>
      <c r="DE85" s="144">
        <v>80</v>
      </c>
      <c r="DF85" s="144">
        <f t="shared" si="21"/>
        <v>10</v>
      </c>
      <c r="DG85" s="144" t="s">
        <v>1208</v>
      </c>
      <c r="DH85" s="144">
        <f t="shared" si="22"/>
        <v>8</v>
      </c>
      <c r="DI85" s="144" t="str">
        <f t="shared" si="23"/>
        <v>戒指锻造</v>
      </c>
      <c r="DJ85" s="144" t="str">
        <f t="shared" si="24"/>
        <v>ui_dtex_Equ_08</v>
      </c>
      <c r="DK85" s="144" t="s">
        <v>1203</v>
      </c>
      <c r="DL85" s="144">
        <f t="shared" si="25"/>
        <v>250</v>
      </c>
    </row>
    <row r="86" spans="32:116" ht="16.5" x14ac:dyDescent="0.2">
      <c r="AF86" s="139">
        <v>81</v>
      </c>
      <c r="AG86" s="139">
        <f>MATCH(AF86-1,金币总表!$Y$4:$Y$12,1)</f>
        <v>5</v>
      </c>
      <c r="AH86" s="21">
        <v>5.0788999999999897E-2</v>
      </c>
      <c r="AI86" s="139">
        <f>ROUND(INDEX(金币总表!$Z$5:$Z$12,装备!AG86)*装备!AH86/$AC$5,0)</f>
        <v>4646</v>
      </c>
      <c r="AK86" s="139">
        <f t="shared" si="20"/>
        <v>2325</v>
      </c>
      <c r="AL86" s="139">
        <f t="shared" si="20"/>
        <v>3715</v>
      </c>
      <c r="AM86" s="139">
        <f t="shared" si="20"/>
        <v>4645</v>
      </c>
      <c r="AN86" s="139">
        <f t="shared" si="20"/>
        <v>5575</v>
      </c>
      <c r="DE86" s="144">
        <v>81</v>
      </c>
      <c r="DF86" s="144">
        <f t="shared" si="21"/>
        <v>11</v>
      </c>
      <c r="DG86" s="144" t="s">
        <v>1208</v>
      </c>
      <c r="DH86" s="144">
        <f t="shared" si="22"/>
        <v>1</v>
      </c>
      <c r="DI86" s="144" t="str">
        <f t="shared" si="23"/>
        <v>灵器锻造</v>
      </c>
      <c r="DJ86" s="144" t="str">
        <f t="shared" si="24"/>
        <v>ui_dtex_Equ_01</v>
      </c>
      <c r="DK86" s="144" t="s">
        <v>1203</v>
      </c>
      <c r="DL86" s="144">
        <f t="shared" si="25"/>
        <v>370</v>
      </c>
    </row>
    <row r="87" spans="32:116" ht="16.5" x14ac:dyDescent="0.2">
      <c r="AF87" s="139">
        <v>82</v>
      </c>
      <c r="AG87" s="139">
        <f>MATCH(AF87-1,金币总表!$Y$4:$Y$12,1)</f>
        <v>5</v>
      </c>
      <c r="AH87" s="21">
        <v>5.2367899999999898E-2</v>
      </c>
      <c r="AI87" s="139">
        <f>ROUND(INDEX(金币总表!$Z$5:$Z$12,装备!AG87)*装备!AH87/$AC$5,0)</f>
        <v>4791</v>
      </c>
      <c r="AK87" s="139">
        <f t="shared" si="20"/>
        <v>2395</v>
      </c>
      <c r="AL87" s="139">
        <f t="shared" si="20"/>
        <v>3835</v>
      </c>
      <c r="AM87" s="139">
        <f t="shared" si="20"/>
        <v>4790</v>
      </c>
      <c r="AN87" s="139">
        <f t="shared" si="20"/>
        <v>5750</v>
      </c>
      <c r="DE87" s="144">
        <v>82</v>
      </c>
      <c r="DF87" s="144">
        <f t="shared" si="21"/>
        <v>11</v>
      </c>
      <c r="DG87" s="144" t="s">
        <v>1208</v>
      </c>
      <c r="DH87" s="144">
        <f t="shared" si="22"/>
        <v>2</v>
      </c>
      <c r="DI87" s="144" t="str">
        <f t="shared" si="23"/>
        <v>头盔锻造</v>
      </c>
      <c r="DJ87" s="144" t="str">
        <f t="shared" si="24"/>
        <v>ui_dtex_Equ_02</v>
      </c>
      <c r="DK87" s="144" t="s">
        <v>1203</v>
      </c>
      <c r="DL87" s="144">
        <f t="shared" si="25"/>
        <v>185</v>
      </c>
    </row>
    <row r="88" spans="32:116" ht="16.5" x14ac:dyDescent="0.2">
      <c r="AF88" s="139">
        <v>83</v>
      </c>
      <c r="AG88" s="139">
        <f>MATCH(AF88-1,金币总表!$Y$4:$Y$12,1)</f>
        <v>5</v>
      </c>
      <c r="AH88" s="21">
        <v>5.3946799999999899E-2</v>
      </c>
      <c r="AI88" s="139">
        <f>ROUND(INDEX(金币总表!$Z$5:$Z$12,装备!AG88)*装备!AH88/$AC$5,0)</f>
        <v>4935</v>
      </c>
      <c r="AK88" s="139">
        <f t="shared" si="20"/>
        <v>2470</v>
      </c>
      <c r="AL88" s="139">
        <f t="shared" si="20"/>
        <v>3950</v>
      </c>
      <c r="AM88" s="139">
        <f t="shared" si="20"/>
        <v>4935</v>
      </c>
      <c r="AN88" s="139">
        <f t="shared" si="20"/>
        <v>5920</v>
      </c>
      <c r="DE88" s="144">
        <v>83</v>
      </c>
      <c r="DF88" s="144">
        <f t="shared" si="21"/>
        <v>11</v>
      </c>
      <c r="DG88" s="144" t="s">
        <v>1208</v>
      </c>
      <c r="DH88" s="144">
        <f t="shared" si="22"/>
        <v>3</v>
      </c>
      <c r="DI88" s="144" t="str">
        <f t="shared" si="23"/>
        <v>铠甲锻造</v>
      </c>
      <c r="DJ88" s="144" t="str">
        <f t="shared" si="24"/>
        <v>ui_dtex_Equ_03</v>
      </c>
      <c r="DK88" s="144" t="s">
        <v>1203</v>
      </c>
      <c r="DL88" s="144">
        <f t="shared" si="25"/>
        <v>185</v>
      </c>
    </row>
    <row r="89" spans="32:116" ht="16.5" x14ac:dyDescent="0.2">
      <c r="AF89" s="139">
        <v>84</v>
      </c>
      <c r="AG89" s="139">
        <f>MATCH(AF89-1,金币总表!$Y$4:$Y$12,1)</f>
        <v>5</v>
      </c>
      <c r="AH89" s="21">
        <v>5.55256999999999E-2</v>
      </c>
      <c r="AI89" s="139">
        <f>ROUND(INDEX(金币总表!$Z$5:$Z$12,装备!AG89)*装备!AH89/$AC$5,0)</f>
        <v>5079</v>
      </c>
      <c r="AK89" s="139">
        <f t="shared" si="20"/>
        <v>2540</v>
      </c>
      <c r="AL89" s="139">
        <f t="shared" si="20"/>
        <v>4065</v>
      </c>
      <c r="AM89" s="139">
        <f t="shared" si="20"/>
        <v>5080</v>
      </c>
      <c r="AN89" s="139">
        <f t="shared" si="20"/>
        <v>6095</v>
      </c>
      <c r="DE89" s="144">
        <v>84</v>
      </c>
      <c r="DF89" s="144">
        <f t="shared" si="21"/>
        <v>11</v>
      </c>
      <c r="DG89" s="144" t="s">
        <v>1208</v>
      </c>
      <c r="DH89" s="144">
        <f t="shared" si="22"/>
        <v>4</v>
      </c>
      <c r="DI89" s="144" t="str">
        <f t="shared" si="23"/>
        <v>裤子锻造</v>
      </c>
      <c r="DJ89" s="144" t="str">
        <f t="shared" si="24"/>
        <v>ui_dtex_Equ_04</v>
      </c>
      <c r="DK89" s="144" t="s">
        <v>1203</v>
      </c>
      <c r="DL89" s="144">
        <f t="shared" si="25"/>
        <v>185</v>
      </c>
    </row>
    <row r="90" spans="32:116" ht="16.5" x14ac:dyDescent="0.2">
      <c r="AF90" s="139">
        <v>85</v>
      </c>
      <c r="AG90" s="139">
        <f>MATCH(AF90-1,金币总表!$Y$4:$Y$12,1)</f>
        <v>5</v>
      </c>
      <c r="AH90" s="21">
        <v>5.7104599999999901E-2</v>
      </c>
      <c r="AI90" s="139">
        <f>ROUND(INDEX(金币总表!$Z$5:$Z$12,装备!AG90)*装备!AH90/$AC$5,0)</f>
        <v>5224</v>
      </c>
      <c r="AK90" s="139">
        <f t="shared" si="20"/>
        <v>2610</v>
      </c>
      <c r="AL90" s="139">
        <f t="shared" si="20"/>
        <v>4180</v>
      </c>
      <c r="AM90" s="139">
        <f t="shared" si="20"/>
        <v>5225</v>
      </c>
      <c r="AN90" s="139">
        <f t="shared" si="20"/>
        <v>6270</v>
      </c>
      <c r="DE90" s="144">
        <v>85</v>
      </c>
      <c r="DF90" s="144">
        <f t="shared" si="21"/>
        <v>11</v>
      </c>
      <c r="DG90" s="144" t="s">
        <v>1208</v>
      </c>
      <c r="DH90" s="144">
        <f t="shared" si="22"/>
        <v>5</v>
      </c>
      <c r="DI90" s="144" t="str">
        <f t="shared" si="23"/>
        <v>鞋子锻造</v>
      </c>
      <c r="DJ90" s="144" t="str">
        <f t="shared" si="24"/>
        <v>ui_dtex_Equ_05</v>
      </c>
      <c r="DK90" s="144" t="s">
        <v>1203</v>
      </c>
      <c r="DL90" s="144">
        <f t="shared" si="25"/>
        <v>185</v>
      </c>
    </row>
    <row r="91" spans="32:116" ht="16.5" x14ac:dyDescent="0.2">
      <c r="AF91" s="139">
        <v>86</v>
      </c>
      <c r="AG91" s="139">
        <f>MATCH(AF91-1,金币总表!$Y$4:$Y$12,1)</f>
        <v>5</v>
      </c>
      <c r="AH91" s="21">
        <v>5.8683499999999902E-2</v>
      </c>
      <c r="AI91" s="139">
        <f>ROUND(INDEX(金币总表!$Z$5:$Z$12,装备!AG91)*装备!AH91/$AC$5,0)</f>
        <v>5368</v>
      </c>
      <c r="AK91" s="139">
        <f t="shared" si="20"/>
        <v>2685</v>
      </c>
      <c r="AL91" s="139">
        <f t="shared" si="20"/>
        <v>4295</v>
      </c>
      <c r="AM91" s="139">
        <f t="shared" si="20"/>
        <v>5370</v>
      </c>
      <c r="AN91" s="139">
        <f t="shared" si="20"/>
        <v>6440</v>
      </c>
      <c r="DE91" s="144">
        <v>86</v>
      </c>
      <c r="DF91" s="144">
        <f t="shared" si="21"/>
        <v>11</v>
      </c>
      <c r="DG91" s="144" t="s">
        <v>1208</v>
      </c>
      <c r="DH91" s="144">
        <f t="shared" si="22"/>
        <v>6</v>
      </c>
      <c r="DI91" s="144" t="str">
        <f t="shared" si="23"/>
        <v>护手锻造</v>
      </c>
      <c r="DJ91" s="144" t="str">
        <f t="shared" si="24"/>
        <v>ui_dtex_Equ_06</v>
      </c>
      <c r="DK91" s="144" t="s">
        <v>1203</v>
      </c>
      <c r="DL91" s="144">
        <f t="shared" si="25"/>
        <v>185</v>
      </c>
    </row>
    <row r="92" spans="32:116" ht="16.5" x14ac:dyDescent="0.2">
      <c r="AF92" s="139">
        <v>87</v>
      </c>
      <c r="AG92" s="139">
        <f>MATCH(AF92-1,金币总表!$Y$4:$Y$12,1)</f>
        <v>5</v>
      </c>
      <c r="AH92" s="21">
        <v>6.0262399999999897E-2</v>
      </c>
      <c r="AI92" s="139">
        <f>ROUND(INDEX(金币总表!$Z$5:$Z$12,装备!AG92)*装备!AH92/$AC$5,0)</f>
        <v>5513</v>
      </c>
      <c r="AK92" s="139">
        <f t="shared" si="20"/>
        <v>2755</v>
      </c>
      <c r="AL92" s="139">
        <f t="shared" si="20"/>
        <v>4410</v>
      </c>
      <c r="AM92" s="139">
        <f t="shared" si="20"/>
        <v>5515</v>
      </c>
      <c r="AN92" s="139">
        <f t="shared" si="20"/>
        <v>6615</v>
      </c>
      <c r="DE92" s="144">
        <v>87</v>
      </c>
      <c r="DF92" s="144">
        <f t="shared" si="21"/>
        <v>11</v>
      </c>
      <c r="DG92" s="144" t="s">
        <v>1208</v>
      </c>
      <c r="DH92" s="144">
        <f t="shared" si="22"/>
        <v>7</v>
      </c>
      <c r="DI92" s="144" t="str">
        <f t="shared" si="23"/>
        <v>项链锻造</v>
      </c>
      <c r="DJ92" s="144" t="str">
        <f t="shared" si="24"/>
        <v>ui_dtex_Equ_07</v>
      </c>
      <c r="DK92" s="144" t="s">
        <v>1203</v>
      </c>
      <c r="DL92" s="144">
        <f t="shared" si="25"/>
        <v>280</v>
      </c>
    </row>
    <row r="93" spans="32:116" ht="16.5" x14ac:dyDescent="0.2">
      <c r="AF93" s="139">
        <v>88</v>
      </c>
      <c r="AG93" s="139">
        <f>MATCH(AF93-1,金币总表!$Y$4:$Y$12,1)</f>
        <v>5</v>
      </c>
      <c r="AH93" s="21">
        <v>6.1841299999999898E-2</v>
      </c>
      <c r="AI93" s="139">
        <f>ROUND(INDEX(金币总表!$Z$5:$Z$12,装备!AG93)*装备!AH93/$AC$5,0)</f>
        <v>5657</v>
      </c>
      <c r="AK93" s="139">
        <f t="shared" si="20"/>
        <v>2830</v>
      </c>
      <c r="AL93" s="139">
        <f t="shared" si="20"/>
        <v>4525</v>
      </c>
      <c r="AM93" s="139">
        <f t="shared" si="20"/>
        <v>5655</v>
      </c>
      <c r="AN93" s="139">
        <f t="shared" si="20"/>
        <v>6790</v>
      </c>
      <c r="DE93" s="144">
        <v>88</v>
      </c>
      <c r="DF93" s="144">
        <f t="shared" si="21"/>
        <v>11</v>
      </c>
      <c r="DG93" s="144" t="s">
        <v>1208</v>
      </c>
      <c r="DH93" s="144">
        <f t="shared" si="22"/>
        <v>8</v>
      </c>
      <c r="DI93" s="144" t="str">
        <f t="shared" si="23"/>
        <v>戒指锻造</v>
      </c>
      <c r="DJ93" s="144" t="str">
        <f t="shared" si="24"/>
        <v>ui_dtex_Equ_08</v>
      </c>
      <c r="DK93" s="144" t="s">
        <v>1203</v>
      </c>
      <c r="DL93" s="144">
        <f t="shared" si="25"/>
        <v>280</v>
      </c>
    </row>
    <row r="94" spans="32:116" ht="16.5" x14ac:dyDescent="0.2">
      <c r="AF94" s="139">
        <v>89</v>
      </c>
      <c r="AG94" s="139">
        <f>MATCH(AF94-1,金币总表!$Y$4:$Y$12,1)</f>
        <v>5</v>
      </c>
      <c r="AH94" s="21">
        <v>6.3420199999999899E-2</v>
      </c>
      <c r="AI94" s="139">
        <f>ROUND(INDEX(金币总表!$Z$5:$Z$12,装备!AG94)*装备!AH94/$AC$5,0)</f>
        <v>5802</v>
      </c>
      <c r="AK94" s="139">
        <f t="shared" si="20"/>
        <v>2900</v>
      </c>
      <c r="AL94" s="139">
        <f t="shared" si="20"/>
        <v>4640</v>
      </c>
      <c r="AM94" s="139">
        <f t="shared" si="20"/>
        <v>5800</v>
      </c>
      <c r="AN94" s="139">
        <f t="shared" si="20"/>
        <v>6960</v>
      </c>
      <c r="DE94" s="144">
        <v>89</v>
      </c>
      <c r="DF94" s="144">
        <f t="shared" si="21"/>
        <v>12</v>
      </c>
      <c r="DG94" s="144" t="s">
        <v>1208</v>
      </c>
      <c r="DH94" s="144">
        <f t="shared" si="22"/>
        <v>1</v>
      </c>
      <c r="DI94" s="144" t="str">
        <f t="shared" si="23"/>
        <v>灵器锻造</v>
      </c>
      <c r="DJ94" s="144" t="str">
        <f t="shared" si="24"/>
        <v>ui_dtex_Equ_01</v>
      </c>
      <c r="DK94" s="144" t="s">
        <v>1203</v>
      </c>
      <c r="DL94" s="144">
        <f t="shared" si="25"/>
        <v>410</v>
      </c>
    </row>
    <row r="95" spans="32:116" ht="16.5" x14ac:dyDescent="0.2">
      <c r="AF95" s="139">
        <v>90</v>
      </c>
      <c r="AG95" s="139">
        <f>MATCH(AF95-1,金币总表!$Y$4:$Y$12,1)</f>
        <v>5</v>
      </c>
      <c r="AH95" s="21">
        <v>6.4999099999999893E-2</v>
      </c>
      <c r="AI95" s="139">
        <f>ROUND(INDEX(金币总表!$Z$5:$Z$12,装备!AG95)*装备!AH95/$AC$5,0)</f>
        <v>5946</v>
      </c>
      <c r="AK95" s="139">
        <f t="shared" si="20"/>
        <v>2975</v>
      </c>
      <c r="AL95" s="139">
        <f t="shared" si="20"/>
        <v>4755</v>
      </c>
      <c r="AM95" s="139">
        <f t="shared" si="20"/>
        <v>5945</v>
      </c>
      <c r="AN95" s="139">
        <f t="shared" si="20"/>
        <v>7135</v>
      </c>
      <c r="DE95" s="144">
        <v>90</v>
      </c>
      <c r="DF95" s="144">
        <f t="shared" si="21"/>
        <v>12</v>
      </c>
      <c r="DG95" s="144" t="s">
        <v>1208</v>
      </c>
      <c r="DH95" s="144">
        <f t="shared" si="22"/>
        <v>2</v>
      </c>
      <c r="DI95" s="144" t="str">
        <f t="shared" si="23"/>
        <v>头盔锻造</v>
      </c>
      <c r="DJ95" s="144" t="str">
        <f t="shared" si="24"/>
        <v>ui_dtex_Equ_02</v>
      </c>
      <c r="DK95" s="144" t="s">
        <v>1203</v>
      </c>
      <c r="DL95" s="144">
        <f t="shared" si="25"/>
        <v>205</v>
      </c>
    </row>
    <row r="96" spans="32:116" ht="16.5" x14ac:dyDescent="0.2">
      <c r="AF96" s="139">
        <v>91</v>
      </c>
      <c r="AG96" s="139">
        <f>MATCH(AF96-1,金币总表!$Y$4:$Y$12,1)</f>
        <v>6</v>
      </c>
      <c r="AH96" s="21">
        <v>3.5000000000000003E-2</v>
      </c>
      <c r="AI96" s="139">
        <f>ROUND(INDEX(金币总表!$Z$5:$Z$12,装备!AG96)*装备!AH96/$AC$5,0)</f>
        <v>5671</v>
      </c>
      <c r="AK96" s="139">
        <f t="shared" si="20"/>
        <v>2835</v>
      </c>
      <c r="AL96" s="139">
        <f t="shared" si="20"/>
        <v>4535</v>
      </c>
      <c r="AM96" s="139">
        <f t="shared" si="20"/>
        <v>5670</v>
      </c>
      <c r="AN96" s="139">
        <f t="shared" si="20"/>
        <v>6805</v>
      </c>
      <c r="DE96" s="144">
        <v>91</v>
      </c>
      <c r="DF96" s="144">
        <f t="shared" si="21"/>
        <v>12</v>
      </c>
      <c r="DG96" s="144" t="s">
        <v>1208</v>
      </c>
      <c r="DH96" s="144">
        <f t="shared" si="22"/>
        <v>3</v>
      </c>
      <c r="DI96" s="144" t="str">
        <f t="shared" si="23"/>
        <v>铠甲锻造</v>
      </c>
      <c r="DJ96" s="144" t="str">
        <f t="shared" si="24"/>
        <v>ui_dtex_Equ_03</v>
      </c>
      <c r="DK96" s="144" t="s">
        <v>1203</v>
      </c>
      <c r="DL96" s="144">
        <f t="shared" si="25"/>
        <v>205</v>
      </c>
    </row>
    <row r="97" spans="32:116" ht="16.5" x14ac:dyDescent="0.2">
      <c r="AF97" s="139">
        <v>92</v>
      </c>
      <c r="AG97" s="139">
        <f>MATCH(AF97-1,金币总表!$Y$4:$Y$12,1)</f>
        <v>6</v>
      </c>
      <c r="AH97" s="21">
        <v>3.6578899999999998E-2</v>
      </c>
      <c r="AI97" s="139">
        <f>ROUND(INDEX(金币总表!$Z$5:$Z$12,装备!AG97)*装备!AH97/$AC$5,0)</f>
        <v>5927</v>
      </c>
      <c r="AK97" s="139">
        <f t="shared" si="20"/>
        <v>2965</v>
      </c>
      <c r="AL97" s="139">
        <f t="shared" si="20"/>
        <v>4740</v>
      </c>
      <c r="AM97" s="139">
        <f t="shared" si="20"/>
        <v>5925</v>
      </c>
      <c r="AN97" s="139">
        <f t="shared" si="20"/>
        <v>7110</v>
      </c>
      <c r="DE97" s="144">
        <v>92</v>
      </c>
      <c r="DF97" s="144">
        <f t="shared" si="21"/>
        <v>12</v>
      </c>
      <c r="DG97" s="144" t="s">
        <v>1208</v>
      </c>
      <c r="DH97" s="144">
        <f t="shared" si="22"/>
        <v>4</v>
      </c>
      <c r="DI97" s="144" t="str">
        <f t="shared" si="23"/>
        <v>裤子锻造</v>
      </c>
      <c r="DJ97" s="144" t="str">
        <f t="shared" si="24"/>
        <v>ui_dtex_Equ_04</v>
      </c>
      <c r="DK97" s="144" t="s">
        <v>1203</v>
      </c>
      <c r="DL97" s="144">
        <f t="shared" si="25"/>
        <v>205</v>
      </c>
    </row>
    <row r="98" spans="32:116" ht="16.5" x14ac:dyDescent="0.2">
      <c r="AF98" s="139">
        <v>93</v>
      </c>
      <c r="AG98" s="139">
        <f>MATCH(AF98-1,金币总表!$Y$4:$Y$12,1)</f>
        <v>6</v>
      </c>
      <c r="AH98" s="21">
        <v>3.8157799999999999E-2</v>
      </c>
      <c r="AI98" s="139">
        <f>ROUND(INDEX(金币总表!$Z$5:$Z$12,装备!AG98)*装备!AH98/$AC$5,0)</f>
        <v>6183</v>
      </c>
      <c r="AK98" s="139">
        <f t="shared" si="20"/>
        <v>3090</v>
      </c>
      <c r="AL98" s="139">
        <f t="shared" si="20"/>
        <v>4945</v>
      </c>
      <c r="AM98" s="139">
        <f t="shared" si="20"/>
        <v>6185</v>
      </c>
      <c r="AN98" s="139">
        <f t="shared" si="20"/>
        <v>7420</v>
      </c>
      <c r="DE98" s="144">
        <v>93</v>
      </c>
      <c r="DF98" s="144">
        <f t="shared" si="21"/>
        <v>12</v>
      </c>
      <c r="DG98" s="144" t="s">
        <v>1208</v>
      </c>
      <c r="DH98" s="144">
        <f t="shared" si="22"/>
        <v>5</v>
      </c>
      <c r="DI98" s="144" t="str">
        <f t="shared" si="23"/>
        <v>鞋子锻造</v>
      </c>
      <c r="DJ98" s="144" t="str">
        <f t="shared" si="24"/>
        <v>ui_dtex_Equ_05</v>
      </c>
      <c r="DK98" s="144" t="s">
        <v>1203</v>
      </c>
      <c r="DL98" s="144">
        <f t="shared" si="25"/>
        <v>205</v>
      </c>
    </row>
    <row r="99" spans="32:116" ht="16.5" x14ac:dyDescent="0.2">
      <c r="AF99" s="139">
        <v>94</v>
      </c>
      <c r="AG99" s="139">
        <f>MATCH(AF99-1,金币总表!$Y$4:$Y$12,1)</f>
        <v>6</v>
      </c>
      <c r="AH99" s="21">
        <v>3.97367E-2</v>
      </c>
      <c r="AI99" s="139">
        <f>ROUND(INDEX(金币总表!$Z$5:$Z$12,装备!AG99)*装备!AH99/$AC$5,0)</f>
        <v>6439</v>
      </c>
      <c r="AK99" s="139">
        <f t="shared" si="20"/>
        <v>3220</v>
      </c>
      <c r="AL99" s="139">
        <f t="shared" si="20"/>
        <v>5150</v>
      </c>
      <c r="AM99" s="139">
        <f t="shared" si="20"/>
        <v>6440</v>
      </c>
      <c r="AN99" s="139">
        <f t="shared" si="20"/>
        <v>7725</v>
      </c>
      <c r="DE99" s="144">
        <v>94</v>
      </c>
      <c r="DF99" s="144">
        <f t="shared" si="21"/>
        <v>12</v>
      </c>
      <c r="DG99" s="144" t="s">
        <v>1208</v>
      </c>
      <c r="DH99" s="144">
        <f t="shared" si="22"/>
        <v>6</v>
      </c>
      <c r="DI99" s="144" t="str">
        <f t="shared" si="23"/>
        <v>护手锻造</v>
      </c>
      <c r="DJ99" s="144" t="str">
        <f t="shared" si="24"/>
        <v>ui_dtex_Equ_06</v>
      </c>
      <c r="DK99" s="144" t="s">
        <v>1203</v>
      </c>
      <c r="DL99" s="144">
        <f t="shared" si="25"/>
        <v>205</v>
      </c>
    </row>
    <row r="100" spans="32:116" ht="16.5" x14ac:dyDescent="0.2">
      <c r="AF100" s="139">
        <v>95</v>
      </c>
      <c r="AG100" s="139">
        <f>MATCH(AF100-1,金币总表!$Y$4:$Y$12,1)</f>
        <v>6</v>
      </c>
      <c r="AH100" s="21">
        <v>4.1315600000000001E-2</v>
      </c>
      <c r="AI100" s="139">
        <f>ROUND(INDEX(金币总表!$Z$5:$Z$12,装备!AG100)*装备!AH100/$AC$5,0)</f>
        <v>6694</v>
      </c>
      <c r="AK100" s="139">
        <f t="shared" si="20"/>
        <v>3345</v>
      </c>
      <c r="AL100" s="139">
        <f t="shared" si="20"/>
        <v>5355</v>
      </c>
      <c r="AM100" s="139">
        <f t="shared" si="20"/>
        <v>6695</v>
      </c>
      <c r="AN100" s="139">
        <f t="shared" si="20"/>
        <v>8035</v>
      </c>
      <c r="DE100" s="144">
        <v>95</v>
      </c>
      <c r="DF100" s="144">
        <f t="shared" si="21"/>
        <v>12</v>
      </c>
      <c r="DG100" s="144" t="s">
        <v>1208</v>
      </c>
      <c r="DH100" s="144">
        <f t="shared" si="22"/>
        <v>7</v>
      </c>
      <c r="DI100" s="144" t="str">
        <f t="shared" si="23"/>
        <v>项链锻造</v>
      </c>
      <c r="DJ100" s="144" t="str">
        <f t="shared" si="24"/>
        <v>ui_dtex_Equ_07</v>
      </c>
      <c r="DK100" s="144" t="s">
        <v>1203</v>
      </c>
      <c r="DL100" s="144">
        <f t="shared" si="25"/>
        <v>310</v>
      </c>
    </row>
    <row r="101" spans="32:116" ht="16.5" x14ac:dyDescent="0.2">
      <c r="AF101" s="139">
        <v>96</v>
      </c>
      <c r="AG101" s="139">
        <f>MATCH(AF101-1,金币总表!$Y$4:$Y$12,1)</f>
        <v>6</v>
      </c>
      <c r="AH101" s="21">
        <v>4.2894500000000002E-2</v>
      </c>
      <c r="AI101" s="139">
        <f>ROUND(INDEX(金币总表!$Z$5:$Z$12,装备!AG101)*装备!AH101/$AC$5,0)</f>
        <v>6950</v>
      </c>
      <c r="AK101" s="139">
        <f t="shared" si="20"/>
        <v>3475</v>
      </c>
      <c r="AL101" s="139">
        <f t="shared" si="20"/>
        <v>5560</v>
      </c>
      <c r="AM101" s="139">
        <f t="shared" si="20"/>
        <v>6950</v>
      </c>
      <c r="AN101" s="139">
        <f t="shared" si="20"/>
        <v>8340</v>
      </c>
      <c r="DE101" s="144">
        <v>96</v>
      </c>
      <c r="DF101" s="144">
        <f t="shared" si="21"/>
        <v>12</v>
      </c>
      <c r="DG101" s="144" t="s">
        <v>1208</v>
      </c>
      <c r="DH101" s="144">
        <f t="shared" si="22"/>
        <v>8</v>
      </c>
      <c r="DI101" s="144" t="str">
        <f t="shared" si="23"/>
        <v>戒指锻造</v>
      </c>
      <c r="DJ101" s="144" t="str">
        <f t="shared" si="24"/>
        <v>ui_dtex_Equ_08</v>
      </c>
      <c r="DK101" s="144" t="s">
        <v>1203</v>
      </c>
      <c r="DL101" s="144">
        <f t="shared" si="25"/>
        <v>310</v>
      </c>
    </row>
    <row r="102" spans="32:116" ht="16.5" x14ac:dyDescent="0.2">
      <c r="AF102" s="139">
        <v>97</v>
      </c>
      <c r="AG102" s="139">
        <f>MATCH(AF102-1,金币总表!$Y$4:$Y$12,1)</f>
        <v>6</v>
      </c>
      <c r="AH102" s="21">
        <v>4.4473400000000003E-2</v>
      </c>
      <c r="AI102" s="139">
        <f>ROUND(INDEX(金币总表!$Z$5:$Z$12,装备!AG102)*装备!AH102/$AC$5,0)</f>
        <v>7206</v>
      </c>
      <c r="AK102" s="139">
        <f t="shared" si="20"/>
        <v>3605</v>
      </c>
      <c r="AL102" s="139">
        <f t="shared" si="20"/>
        <v>5765</v>
      </c>
      <c r="AM102" s="139">
        <f t="shared" si="20"/>
        <v>7205</v>
      </c>
      <c r="AN102" s="139">
        <f t="shared" si="20"/>
        <v>8645</v>
      </c>
      <c r="DE102" s="144">
        <v>97</v>
      </c>
      <c r="DF102" s="144">
        <f t="shared" si="21"/>
        <v>13</v>
      </c>
      <c r="DG102" s="144" t="s">
        <v>1208</v>
      </c>
      <c r="DH102" s="144">
        <f t="shared" si="22"/>
        <v>1</v>
      </c>
      <c r="DI102" s="144" t="str">
        <f t="shared" si="23"/>
        <v>灵器锻造</v>
      </c>
      <c r="DJ102" s="144" t="str">
        <f t="shared" si="24"/>
        <v>ui_dtex_Equ_01</v>
      </c>
      <c r="DK102" s="144" t="s">
        <v>1203</v>
      </c>
      <c r="DL102" s="144">
        <f t="shared" si="25"/>
        <v>450</v>
      </c>
    </row>
    <row r="103" spans="32:116" ht="16.5" x14ac:dyDescent="0.2">
      <c r="AF103" s="139">
        <v>98</v>
      </c>
      <c r="AG103" s="139">
        <f>MATCH(AF103-1,金币总表!$Y$4:$Y$12,1)</f>
        <v>6</v>
      </c>
      <c r="AH103" s="21">
        <v>4.6052299999999997E-2</v>
      </c>
      <c r="AI103" s="139">
        <f>ROUND(INDEX(金币总表!$Z$5:$Z$12,装备!AG103)*装备!AH103/$AC$5,0)</f>
        <v>7462</v>
      </c>
      <c r="AK103" s="139">
        <f t="shared" ref="AK103:AN134" si="26">ROUND($AI103*AK$3/5,0)*5</f>
        <v>3730</v>
      </c>
      <c r="AL103" s="139">
        <f t="shared" si="26"/>
        <v>5970</v>
      </c>
      <c r="AM103" s="139">
        <f t="shared" si="26"/>
        <v>7460</v>
      </c>
      <c r="AN103" s="139">
        <f t="shared" si="26"/>
        <v>8955</v>
      </c>
      <c r="DE103" s="144">
        <v>98</v>
      </c>
      <c r="DF103" s="144">
        <f t="shared" si="21"/>
        <v>13</v>
      </c>
      <c r="DG103" s="144" t="s">
        <v>1208</v>
      </c>
      <c r="DH103" s="144">
        <f t="shared" si="22"/>
        <v>2</v>
      </c>
      <c r="DI103" s="144" t="str">
        <f t="shared" si="23"/>
        <v>头盔锻造</v>
      </c>
      <c r="DJ103" s="144" t="str">
        <f t="shared" si="24"/>
        <v>ui_dtex_Equ_02</v>
      </c>
      <c r="DK103" s="144" t="s">
        <v>1203</v>
      </c>
      <c r="DL103" s="144">
        <f t="shared" si="25"/>
        <v>225</v>
      </c>
    </row>
    <row r="104" spans="32:116" ht="16.5" x14ac:dyDescent="0.2">
      <c r="AF104" s="139">
        <v>99</v>
      </c>
      <c r="AG104" s="139">
        <f>MATCH(AF104-1,金币总表!$Y$4:$Y$12,1)</f>
        <v>6</v>
      </c>
      <c r="AH104" s="21">
        <v>4.7631199999999999E-2</v>
      </c>
      <c r="AI104" s="139">
        <f>ROUND(INDEX(金币总表!$Z$5:$Z$12,装备!AG104)*装备!AH104/$AC$5,0)</f>
        <v>7718</v>
      </c>
      <c r="AK104" s="139">
        <f t="shared" si="26"/>
        <v>3860</v>
      </c>
      <c r="AL104" s="139">
        <f t="shared" si="26"/>
        <v>6175</v>
      </c>
      <c r="AM104" s="139">
        <f t="shared" si="26"/>
        <v>7720</v>
      </c>
      <c r="AN104" s="139">
        <f t="shared" si="26"/>
        <v>9260</v>
      </c>
      <c r="DE104" s="144">
        <v>99</v>
      </c>
      <c r="DF104" s="144">
        <f t="shared" si="21"/>
        <v>13</v>
      </c>
      <c r="DG104" s="144" t="s">
        <v>1208</v>
      </c>
      <c r="DH104" s="144">
        <f t="shared" si="22"/>
        <v>3</v>
      </c>
      <c r="DI104" s="144" t="str">
        <f t="shared" si="23"/>
        <v>铠甲锻造</v>
      </c>
      <c r="DJ104" s="144" t="str">
        <f t="shared" si="24"/>
        <v>ui_dtex_Equ_03</v>
      </c>
      <c r="DK104" s="144" t="s">
        <v>1203</v>
      </c>
      <c r="DL104" s="144">
        <f t="shared" si="25"/>
        <v>225</v>
      </c>
    </row>
    <row r="105" spans="32:116" ht="16.5" x14ac:dyDescent="0.2">
      <c r="AF105" s="139">
        <v>100</v>
      </c>
      <c r="AG105" s="139">
        <f>MATCH(AF105-1,金币总表!$Y$4:$Y$12,1)</f>
        <v>6</v>
      </c>
      <c r="AH105" s="21">
        <v>4.9210099999999903E-2</v>
      </c>
      <c r="AI105" s="139">
        <f>ROUND(INDEX(金币总表!$Z$5:$Z$12,装备!AG105)*装备!AH105/$AC$5,0)</f>
        <v>7973</v>
      </c>
      <c r="AK105" s="139">
        <f t="shared" si="26"/>
        <v>3985</v>
      </c>
      <c r="AL105" s="139">
        <f t="shared" si="26"/>
        <v>6380</v>
      </c>
      <c r="AM105" s="139">
        <f t="shared" si="26"/>
        <v>7975</v>
      </c>
      <c r="AN105" s="139">
        <f t="shared" si="26"/>
        <v>9570</v>
      </c>
      <c r="DE105" s="144">
        <v>100</v>
      </c>
      <c r="DF105" s="144">
        <f t="shared" si="21"/>
        <v>13</v>
      </c>
      <c r="DG105" s="144" t="s">
        <v>1208</v>
      </c>
      <c r="DH105" s="144">
        <f t="shared" si="22"/>
        <v>4</v>
      </c>
      <c r="DI105" s="144" t="str">
        <f t="shared" si="23"/>
        <v>裤子锻造</v>
      </c>
      <c r="DJ105" s="144" t="str">
        <f t="shared" si="24"/>
        <v>ui_dtex_Equ_04</v>
      </c>
      <c r="DK105" s="144" t="s">
        <v>1203</v>
      </c>
      <c r="DL105" s="144">
        <f t="shared" si="25"/>
        <v>225</v>
      </c>
    </row>
    <row r="106" spans="32:116" ht="16.5" x14ac:dyDescent="0.2">
      <c r="AF106" s="139">
        <v>101</v>
      </c>
      <c r="AG106" s="139">
        <f>MATCH(AF106-1,金币总表!$Y$4:$Y$12,1)</f>
        <v>6</v>
      </c>
      <c r="AH106" s="21">
        <v>5.0788999999999897E-2</v>
      </c>
      <c r="AI106" s="139">
        <f>ROUND(INDEX(金币总表!$Z$5:$Z$12,装备!AG106)*装备!AH106/$AC$5,0)</f>
        <v>8229</v>
      </c>
      <c r="AK106" s="139">
        <f t="shared" si="26"/>
        <v>4115</v>
      </c>
      <c r="AL106" s="139">
        <f t="shared" si="26"/>
        <v>6585</v>
      </c>
      <c r="AM106" s="139">
        <f t="shared" si="26"/>
        <v>8230</v>
      </c>
      <c r="AN106" s="139">
        <f t="shared" si="26"/>
        <v>9875</v>
      </c>
      <c r="DE106" s="144">
        <v>101</v>
      </c>
      <c r="DF106" s="144">
        <f t="shared" si="21"/>
        <v>13</v>
      </c>
      <c r="DG106" s="144" t="s">
        <v>1208</v>
      </c>
      <c r="DH106" s="144">
        <f t="shared" si="22"/>
        <v>5</v>
      </c>
      <c r="DI106" s="144" t="str">
        <f t="shared" si="23"/>
        <v>鞋子锻造</v>
      </c>
      <c r="DJ106" s="144" t="str">
        <f t="shared" si="24"/>
        <v>ui_dtex_Equ_05</v>
      </c>
      <c r="DK106" s="144" t="s">
        <v>1203</v>
      </c>
      <c r="DL106" s="144">
        <f t="shared" si="25"/>
        <v>225</v>
      </c>
    </row>
    <row r="107" spans="32:116" ht="16.5" x14ac:dyDescent="0.2">
      <c r="AF107" s="139">
        <v>102</v>
      </c>
      <c r="AG107" s="139">
        <f>MATCH(AF107-1,金币总表!$Y$4:$Y$12,1)</f>
        <v>6</v>
      </c>
      <c r="AH107" s="21">
        <v>5.2367899999999898E-2</v>
      </c>
      <c r="AI107" s="139">
        <f>ROUND(INDEX(金币总表!$Z$5:$Z$12,装备!AG107)*装备!AH107/$AC$5,0)</f>
        <v>8485</v>
      </c>
      <c r="AK107" s="139">
        <f t="shared" si="26"/>
        <v>4245</v>
      </c>
      <c r="AL107" s="139">
        <f t="shared" si="26"/>
        <v>6790</v>
      </c>
      <c r="AM107" s="139">
        <f t="shared" si="26"/>
        <v>8485</v>
      </c>
      <c r="AN107" s="139">
        <f t="shared" si="26"/>
        <v>10180</v>
      </c>
      <c r="DE107" s="144">
        <v>102</v>
      </c>
      <c r="DF107" s="144">
        <f t="shared" si="21"/>
        <v>13</v>
      </c>
      <c r="DG107" s="144" t="s">
        <v>1208</v>
      </c>
      <c r="DH107" s="144">
        <f t="shared" si="22"/>
        <v>6</v>
      </c>
      <c r="DI107" s="144" t="str">
        <f t="shared" si="23"/>
        <v>护手锻造</v>
      </c>
      <c r="DJ107" s="144" t="str">
        <f t="shared" si="24"/>
        <v>ui_dtex_Equ_06</v>
      </c>
      <c r="DK107" s="144" t="s">
        <v>1203</v>
      </c>
      <c r="DL107" s="144">
        <f t="shared" si="25"/>
        <v>225</v>
      </c>
    </row>
    <row r="108" spans="32:116" ht="16.5" x14ac:dyDescent="0.2">
      <c r="AF108" s="139">
        <v>103</v>
      </c>
      <c r="AG108" s="139">
        <f>MATCH(AF108-1,金币总表!$Y$4:$Y$12,1)</f>
        <v>6</v>
      </c>
      <c r="AH108" s="21">
        <v>5.3946799999999899E-2</v>
      </c>
      <c r="AI108" s="139">
        <f>ROUND(INDEX(金币总表!$Z$5:$Z$12,装备!AG108)*装备!AH108/$AC$5,0)</f>
        <v>8741</v>
      </c>
      <c r="AK108" s="139">
        <f t="shared" si="26"/>
        <v>4370</v>
      </c>
      <c r="AL108" s="139">
        <f t="shared" si="26"/>
        <v>6995</v>
      </c>
      <c r="AM108" s="139">
        <f t="shared" si="26"/>
        <v>8740</v>
      </c>
      <c r="AN108" s="139">
        <f t="shared" si="26"/>
        <v>10490</v>
      </c>
      <c r="DE108" s="144">
        <v>103</v>
      </c>
      <c r="DF108" s="144">
        <f t="shared" si="21"/>
        <v>13</v>
      </c>
      <c r="DG108" s="144" t="s">
        <v>1208</v>
      </c>
      <c r="DH108" s="144">
        <f t="shared" si="22"/>
        <v>7</v>
      </c>
      <c r="DI108" s="144" t="str">
        <f t="shared" si="23"/>
        <v>项链锻造</v>
      </c>
      <c r="DJ108" s="144" t="str">
        <f t="shared" si="24"/>
        <v>ui_dtex_Equ_07</v>
      </c>
      <c r="DK108" s="144" t="s">
        <v>1203</v>
      </c>
      <c r="DL108" s="144">
        <f t="shared" si="25"/>
        <v>340</v>
      </c>
    </row>
    <row r="109" spans="32:116" ht="16.5" x14ac:dyDescent="0.2">
      <c r="AF109" s="139">
        <v>104</v>
      </c>
      <c r="AG109" s="139">
        <f>MATCH(AF109-1,金币总表!$Y$4:$Y$12,1)</f>
        <v>6</v>
      </c>
      <c r="AH109" s="21">
        <v>5.55256999999999E-2</v>
      </c>
      <c r="AI109" s="139">
        <f>ROUND(INDEX(金币总表!$Z$5:$Z$12,装备!AG109)*装备!AH109/$AC$5,0)</f>
        <v>8997</v>
      </c>
      <c r="AK109" s="139">
        <f t="shared" si="26"/>
        <v>4500</v>
      </c>
      <c r="AL109" s="139">
        <f t="shared" si="26"/>
        <v>7200</v>
      </c>
      <c r="AM109" s="139">
        <f t="shared" si="26"/>
        <v>8995</v>
      </c>
      <c r="AN109" s="139">
        <f t="shared" si="26"/>
        <v>10795</v>
      </c>
      <c r="DE109" s="144">
        <v>104</v>
      </c>
      <c r="DF109" s="144">
        <f t="shared" si="21"/>
        <v>13</v>
      </c>
      <c r="DG109" s="144" t="s">
        <v>1208</v>
      </c>
      <c r="DH109" s="144">
        <f t="shared" si="22"/>
        <v>8</v>
      </c>
      <c r="DI109" s="144" t="str">
        <f t="shared" si="23"/>
        <v>戒指锻造</v>
      </c>
      <c r="DJ109" s="144" t="str">
        <f t="shared" si="24"/>
        <v>ui_dtex_Equ_08</v>
      </c>
      <c r="DK109" s="144" t="s">
        <v>1203</v>
      </c>
      <c r="DL109" s="144">
        <f t="shared" si="25"/>
        <v>340</v>
      </c>
    </row>
    <row r="110" spans="32:116" ht="16.5" x14ac:dyDescent="0.2">
      <c r="AF110" s="139">
        <v>105</v>
      </c>
      <c r="AG110" s="139">
        <f>MATCH(AF110-1,金币总表!$Y$4:$Y$12,1)</f>
        <v>6</v>
      </c>
      <c r="AH110" s="21">
        <v>5.7104599999999901E-2</v>
      </c>
      <c r="AI110" s="139">
        <f>ROUND(INDEX(金币总表!$Z$5:$Z$12,装备!AG110)*装备!AH110/$AC$5,0)</f>
        <v>9253</v>
      </c>
      <c r="AK110" s="139">
        <f t="shared" si="26"/>
        <v>4625</v>
      </c>
      <c r="AL110" s="139">
        <f t="shared" si="26"/>
        <v>7400</v>
      </c>
      <c r="AM110" s="139">
        <f t="shared" si="26"/>
        <v>9255</v>
      </c>
      <c r="AN110" s="139">
        <f t="shared" si="26"/>
        <v>11105</v>
      </c>
      <c r="DE110" s="144">
        <v>105</v>
      </c>
      <c r="DF110" s="144">
        <f t="shared" si="21"/>
        <v>14</v>
      </c>
      <c r="DG110" s="144" t="s">
        <v>1208</v>
      </c>
      <c r="DH110" s="144">
        <f t="shared" si="22"/>
        <v>1</v>
      </c>
      <c r="DI110" s="144" t="str">
        <f t="shared" si="23"/>
        <v>灵器锻造</v>
      </c>
      <c r="DJ110" s="144" t="str">
        <f t="shared" si="24"/>
        <v>ui_dtex_Equ_01</v>
      </c>
      <c r="DK110" s="144" t="s">
        <v>1203</v>
      </c>
      <c r="DL110" s="144">
        <f t="shared" si="25"/>
        <v>480</v>
      </c>
    </row>
    <row r="111" spans="32:116" ht="16.5" x14ac:dyDescent="0.2">
      <c r="AF111" s="139">
        <v>106</v>
      </c>
      <c r="AG111" s="139">
        <f>MATCH(AF111-1,金币总表!$Y$4:$Y$12,1)</f>
        <v>6</v>
      </c>
      <c r="AH111" s="21">
        <v>5.8683499999999902E-2</v>
      </c>
      <c r="AI111" s="139">
        <f>ROUND(INDEX(金币总表!$Z$5:$Z$12,装备!AG111)*装备!AH111/$AC$5,0)</f>
        <v>9508</v>
      </c>
      <c r="AK111" s="139">
        <f t="shared" si="26"/>
        <v>4755</v>
      </c>
      <c r="AL111" s="139">
        <f t="shared" si="26"/>
        <v>7605</v>
      </c>
      <c r="AM111" s="139">
        <f t="shared" si="26"/>
        <v>9510</v>
      </c>
      <c r="AN111" s="139">
        <f t="shared" si="26"/>
        <v>11410</v>
      </c>
      <c r="DE111" s="144">
        <v>106</v>
      </c>
      <c r="DF111" s="144">
        <f t="shared" si="21"/>
        <v>14</v>
      </c>
      <c r="DG111" s="144" t="s">
        <v>1208</v>
      </c>
      <c r="DH111" s="144">
        <f t="shared" si="22"/>
        <v>2</v>
      </c>
      <c r="DI111" s="144" t="str">
        <f t="shared" si="23"/>
        <v>头盔锻造</v>
      </c>
      <c r="DJ111" s="144" t="str">
        <f t="shared" si="24"/>
        <v>ui_dtex_Equ_02</v>
      </c>
      <c r="DK111" s="144" t="s">
        <v>1203</v>
      </c>
      <c r="DL111" s="144">
        <f t="shared" si="25"/>
        <v>240</v>
      </c>
    </row>
    <row r="112" spans="32:116" ht="16.5" x14ac:dyDescent="0.2">
      <c r="AF112" s="139">
        <v>107</v>
      </c>
      <c r="AG112" s="139">
        <f>MATCH(AF112-1,金币总表!$Y$4:$Y$12,1)</f>
        <v>6</v>
      </c>
      <c r="AH112" s="21">
        <v>6.0262399999999897E-2</v>
      </c>
      <c r="AI112" s="139">
        <f>ROUND(INDEX(金币总表!$Z$5:$Z$12,装备!AG112)*装备!AH112/$AC$5,0)</f>
        <v>9764</v>
      </c>
      <c r="AK112" s="139">
        <f t="shared" si="26"/>
        <v>4880</v>
      </c>
      <c r="AL112" s="139">
        <f t="shared" si="26"/>
        <v>7810</v>
      </c>
      <c r="AM112" s="139">
        <f t="shared" si="26"/>
        <v>9765</v>
      </c>
      <c r="AN112" s="139">
        <f t="shared" si="26"/>
        <v>11715</v>
      </c>
      <c r="DE112" s="144">
        <v>107</v>
      </c>
      <c r="DF112" s="144">
        <f t="shared" si="21"/>
        <v>14</v>
      </c>
      <c r="DG112" s="144" t="s">
        <v>1208</v>
      </c>
      <c r="DH112" s="144">
        <f t="shared" si="22"/>
        <v>3</v>
      </c>
      <c r="DI112" s="144" t="str">
        <f t="shared" si="23"/>
        <v>铠甲锻造</v>
      </c>
      <c r="DJ112" s="144" t="str">
        <f t="shared" si="24"/>
        <v>ui_dtex_Equ_03</v>
      </c>
      <c r="DK112" s="144" t="s">
        <v>1203</v>
      </c>
      <c r="DL112" s="144">
        <f t="shared" si="25"/>
        <v>240</v>
      </c>
    </row>
    <row r="113" spans="32:116" ht="16.5" x14ac:dyDescent="0.2">
      <c r="AF113" s="139">
        <v>108</v>
      </c>
      <c r="AG113" s="139">
        <f>MATCH(AF113-1,金币总表!$Y$4:$Y$12,1)</f>
        <v>6</v>
      </c>
      <c r="AH113" s="21">
        <v>6.1841299999999898E-2</v>
      </c>
      <c r="AI113" s="139">
        <f>ROUND(INDEX(金币总表!$Z$5:$Z$12,装备!AG113)*装备!AH113/$AC$5,0)</f>
        <v>10020</v>
      </c>
      <c r="AK113" s="139">
        <f t="shared" si="26"/>
        <v>5010</v>
      </c>
      <c r="AL113" s="139">
        <f t="shared" si="26"/>
        <v>8015</v>
      </c>
      <c r="AM113" s="139">
        <f t="shared" si="26"/>
        <v>10020</v>
      </c>
      <c r="AN113" s="139">
        <f t="shared" si="26"/>
        <v>12025</v>
      </c>
      <c r="DE113" s="144">
        <v>108</v>
      </c>
      <c r="DF113" s="144">
        <f t="shared" si="21"/>
        <v>14</v>
      </c>
      <c r="DG113" s="144" t="s">
        <v>1208</v>
      </c>
      <c r="DH113" s="144">
        <f t="shared" si="22"/>
        <v>4</v>
      </c>
      <c r="DI113" s="144" t="str">
        <f t="shared" si="23"/>
        <v>裤子锻造</v>
      </c>
      <c r="DJ113" s="144" t="str">
        <f t="shared" si="24"/>
        <v>ui_dtex_Equ_04</v>
      </c>
      <c r="DK113" s="144" t="s">
        <v>1203</v>
      </c>
      <c r="DL113" s="144">
        <f t="shared" si="25"/>
        <v>240</v>
      </c>
    </row>
    <row r="114" spans="32:116" ht="16.5" x14ac:dyDescent="0.2">
      <c r="AF114" s="139">
        <v>109</v>
      </c>
      <c r="AG114" s="139">
        <f>MATCH(AF114-1,金币总表!$Y$4:$Y$12,1)</f>
        <v>6</v>
      </c>
      <c r="AH114" s="21">
        <v>6.3420199999999899E-2</v>
      </c>
      <c r="AI114" s="139">
        <f>ROUND(INDEX(金币总表!$Z$5:$Z$12,装备!AG114)*装备!AH114/$AC$5,0)</f>
        <v>10276</v>
      </c>
      <c r="AK114" s="139">
        <f t="shared" si="26"/>
        <v>5140</v>
      </c>
      <c r="AL114" s="139">
        <f t="shared" si="26"/>
        <v>8220</v>
      </c>
      <c r="AM114" s="139">
        <f t="shared" si="26"/>
        <v>10275</v>
      </c>
      <c r="AN114" s="139">
        <f t="shared" si="26"/>
        <v>12330</v>
      </c>
      <c r="DE114" s="144">
        <v>109</v>
      </c>
      <c r="DF114" s="144">
        <f t="shared" si="21"/>
        <v>14</v>
      </c>
      <c r="DG114" s="144" t="s">
        <v>1208</v>
      </c>
      <c r="DH114" s="144">
        <f t="shared" si="22"/>
        <v>5</v>
      </c>
      <c r="DI114" s="144" t="str">
        <f t="shared" si="23"/>
        <v>鞋子锻造</v>
      </c>
      <c r="DJ114" s="144" t="str">
        <f t="shared" si="24"/>
        <v>ui_dtex_Equ_05</v>
      </c>
      <c r="DK114" s="144" t="s">
        <v>1203</v>
      </c>
      <c r="DL114" s="144">
        <f t="shared" si="25"/>
        <v>240</v>
      </c>
    </row>
    <row r="115" spans="32:116" ht="16.5" x14ac:dyDescent="0.2">
      <c r="AF115" s="139">
        <v>110</v>
      </c>
      <c r="AG115" s="139">
        <f>MATCH(AF115-1,金币总表!$Y$4:$Y$12,1)</f>
        <v>6</v>
      </c>
      <c r="AH115" s="21">
        <v>6.4999099999999893E-2</v>
      </c>
      <c r="AI115" s="139">
        <f>ROUND(INDEX(金币总表!$Z$5:$Z$12,装备!AG115)*装备!AH115/$AC$5,0)</f>
        <v>10532</v>
      </c>
      <c r="AK115" s="139">
        <f t="shared" si="26"/>
        <v>5265</v>
      </c>
      <c r="AL115" s="139">
        <f t="shared" si="26"/>
        <v>8425</v>
      </c>
      <c r="AM115" s="139">
        <f t="shared" si="26"/>
        <v>10530</v>
      </c>
      <c r="AN115" s="139">
        <f t="shared" si="26"/>
        <v>12640</v>
      </c>
      <c r="DE115" s="144">
        <v>110</v>
      </c>
      <c r="DF115" s="144">
        <f t="shared" si="21"/>
        <v>14</v>
      </c>
      <c r="DG115" s="144" t="s">
        <v>1208</v>
      </c>
      <c r="DH115" s="144">
        <f t="shared" si="22"/>
        <v>6</v>
      </c>
      <c r="DI115" s="144" t="str">
        <f t="shared" si="23"/>
        <v>护手锻造</v>
      </c>
      <c r="DJ115" s="144" t="str">
        <f t="shared" si="24"/>
        <v>ui_dtex_Equ_06</v>
      </c>
      <c r="DK115" s="144" t="s">
        <v>1203</v>
      </c>
      <c r="DL115" s="144">
        <f t="shared" si="25"/>
        <v>240</v>
      </c>
    </row>
    <row r="116" spans="32:116" ht="16.5" x14ac:dyDescent="0.2">
      <c r="AF116" s="139">
        <v>111</v>
      </c>
      <c r="AG116" s="139">
        <f>MATCH(AF116-1,金币总表!$Y$4:$Y$12,1)</f>
        <v>7</v>
      </c>
      <c r="AH116" s="21">
        <v>0.03</v>
      </c>
      <c r="AI116" s="139">
        <f>ROUND(INDEX(金币总表!$Z$5:$Z$12,装备!AG116)*装备!AH116/$AC$5,0)</f>
        <v>11751</v>
      </c>
      <c r="AK116" s="139">
        <f t="shared" si="26"/>
        <v>5875</v>
      </c>
      <c r="AL116" s="139">
        <f t="shared" si="26"/>
        <v>9400</v>
      </c>
      <c r="AM116" s="139">
        <f t="shared" si="26"/>
        <v>11750</v>
      </c>
      <c r="AN116" s="139">
        <f t="shared" si="26"/>
        <v>14100</v>
      </c>
      <c r="DE116" s="144">
        <v>111</v>
      </c>
      <c r="DF116" s="144">
        <f t="shared" si="21"/>
        <v>14</v>
      </c>
      <c r="DG116" s="144" t="s">
        <v>1208</v>
      </c>
      <c r="DH116" s="144">
        <f t="shared" si="22"/>
        <v>7</v>
      </c>
      <c r="DI116" s="144" t="str">
        <f t="shared" si="23"/>
        <v>项链锻造</v>
      </c>
      <c r="DJ116" s="144" t="str">
        <f t="shared" si="24"/>
        <v>ui_dtex_Equ_07</v>
      </c>
      <c r="DK116" s="144" t="s">
        <v>1203</v>
      </c>
      <c r="DL116" s="144">
        <f t="shared" si="25"/>
        <v>360</v>
      </c>
    </row>
    <row r="117" spans="32:116" ht="16.5" x14ac:dyDescent="0.2">
      <c r="AF117" s="139">
        <v>112</v>
      </c>
      <c r="AG117" s="139">
        <f>MATCH(AF117-1,金币总表!$Y$4:$Y$12,1)</f>
        <v>7</v>
      </c>
      <c r="AH117" s="21">
        <v>3.0833300000000001E-2</v>
      </c>
      <c r="AI117" s="139">
        <f>ROUND(INDEX(金币总表!$Z$5:$Z$12,装备!AG117)*装备!AH117/$AC$5,0)</f>
        <v>12078</v>
      </c>
      <c r="AK117" s="139">
        <f t="shared" si="26"/>
        <v>6040</v>
      </c>
      <c r="AL117" s="139">
        <f t="shared" si="26"/>
        <v>9660</v>
      </c>
      <c r="AM117" s="139">
        <f t="shared" si="26"/>
        <v>12080</v>
      </c>
      <c r="AN117" s="139">
        <f t="shared" si="26"/>
        <v>14495</v>
      </c>
      <c r="DE117" s="144">
        <v>112</v>
      </c>
      <c r="DF117" s="144">
        <f t="shared" si="21"/>
        <v>14</v>
      </c>
      <c r="DG117" s="144" t="s">
        <v>1208</v>
      </c>
      <c r="DH117" s="144">
        <f t="shared" si="22"/>
        <v>8</v>
      </c>
      <c r="DI117" s="144" t="str">
        <f t="shared" si="23"/>
        <v>戒指锻造</v>
      </c>
      <c r="DJ117" s="144" t="str">
        <f t="shared" si="24"/>
        <v>ui_dtex_Equ_08</v>
      </c>
      <c r="DK117" s="144" t="s">
        <v>1203</v>
      </c>
      <c r="DL117" s="144">
        <f t="shared" si="25"/>
        <v>360</v>
      </c>
    </row>
    <row r="118" spans="32:116" ht="16.5" x14ac:dyDescent="0.2">
      <c r="AF118" s="139">
        <v>113</v>
      </c>
      <c r="AG118" s="139">
        <f>MATCH(AF118-1,金币总表!$Y$4:$Y$12,1)</f>
        <v>7</v>
      </c>
      <c r="AH118" s="21">
        <v>3.1666600000000003E-2</v>
      </c>
      <c r="AI118" s="139">
        <f>ROUND(INDEX(金币总表!$Z$5:$Z$12,装备!AG118)*装备!AH118/$AC$5,0)</f>
        <v>12404</v>
      </c>
      <c r="AK118" s="139">
        <f t="shared" si="26"/>
        <v>6200</v>
      </c>
      <c r="AL118" s="139">
        <f t="shared" si="26"/>
        <v>9925</v>
      </c>
      <c r="AM118" s="139">
        <f t="shared" si="26"/>
        <v>12405</v>
      </c>
      <c r="AN118" s="139">
        <f t="shared" si="26"/>
        <v>14885</v>
      </c>
      <c r="DE118" s="144">
        <v>113</v>
      </c>
      <c r="DF118" s="144">
        <f t="shared" si="21"/>
        <v>15</v>
      </c>
      <c r="DG118" s="144" t="s">
        <v>1208</v>
      </c>
      <c r="DH118" s="144">
        <f t="shared" si="22"/>
        <v>1</v>
      </c>
      <c r="DI118" s="144" t="str">
        <f t="shared" si="23"/>
        <v>灵器锻造</v>
      </c>
      <c r="DJ118" s="144" t="str">
        <f t="shared" si="24"/>
        <v>ui_dtex_Equ_01</v>
      </c>
      <c r="DK118" s="144" t="s">
        <v>1203</v>
      </c>
      <c r="DL118" s="144">
        <f t="shared" si="25"/>
        <v>570</v>
      </c>
    </row>
    <row r="119" spans="32:116" ht="16.5" x14ac:dyDescent="0.2">
      <c r="AF119" s="139">
        <v>114</v>
      </c>
      <c r="AG119" s="139">
        <f>MATCH(AF119-1,金币总表!$Y$4:$Y$12,1)</f>
        <v>7</v>
      </c>
      <c r="AH119" s="21">
        <v>3.2499899999999998E-2</v>
      </c>
      <c r="AI119" s="139">
        <f>ROUND(INDEX(金币总表!$Z$5:$Z$12,装备!AG119)*装备!AH119/$AC$5,0)</f>
        <v>12731</v>
      </c>
      <c r="AK119" s="139">
        <f t="shared" si="26"/>
        <v>6365</v>
      </c>
      <c r="AL119" s="139">
        <f t="shared" si="26"/>
        <v>10185</v>
      </c>
      <c r="AM119" s="139">
        <f t="shared" si="26"/>
        <v>12730</v>
      </c>
      <c r="AN119" s="139">
        <f t="shared" si="26"/>
        <v>15275</v>
      </c>
      <c r="DE119" s="144">
        <v>114</v>
      </c>
      <c r="DF119" s="144">
        <f t="shared" si="21"/>
        <v>15</v>
      </c>
      <c r="DG119" s="144" t="s">
        <v>1208</v>
      </c>
      <c r="DH119" s="144">
        <f t="shared" si="22"/>
        <v>2</v>
      </c>
      <c r="DI119" s="144" t="str">
        <f t="shared" si="23"/>
        <v>头盔锻造</v>
      </c>
      <c r="DJ119" s="144" t="str">
        <f t="shared" si="24"/>
        <v>ui_dtex_Equ_02</v>
      </c>
      <c r="DK119" s="144" t="s">
        <v>1203</v>
      </c>
      <c r="DL119" s="144">
        <f t="shared" si="25"/>
        <v>285</v>
      </c>
    </row>
    <row r="120" spans="32:116" ht="16.5" x14ac:dyDescent="0.2">
      <c r="AF120" s="139">
        <v>115</v>
      </c>
      <c r="AG120" s="139">
        <f>MATCH(AF120-1,金币总表!$Y$4:$Y$12,1)</f>
        <v>7</v>
      </c>
      <c r="AH120" s="21">
        <v>3.33332E-2</v>
      </c>
      <c r="AI120" s="139">
        <f>ROUND(INDEX(金币总表!$Z$5:$Z$12,装备!AG120)*装备!AH120/$AC$5,0)</f>
        <v>13057</v>
      </c>
      <c r="AK120" s="139">
        <f t="shared" si="26"/>
        <v>6530</v>
      </c>
      <c r="AL120" s="139">
        <f t="shared" si="26"/>
        <v>10445</v>
      </c>
      <c r="AM120" s="139">
        <f t="shared" si="26"/>
        <v>13055</v>
      </c>
      <c r="AN120" s="139">
        <f t="shared" si="26"/>
        <v>15670</v>
      </c>
      <c r="DE120" s="144">
        <v>115</v>
      </c>
      <c r="DF120" s="144">
        <f t="shared" si="21"/>
        <v>15</v>
      </c>
      <c r="DG120" s="144" t="s">
        <v>1208</v>
      </c>
      <c r="DH120" s="144">
        <f t="shared" si="22"/>
        <v>3</v>
      </c>
      <c r="DI120" s="144" t="str">
        <f t="shared" si="23"/>
        <v>铠甲锻造</v>
      </c>
      <c r="DJ120" s="144" t="str">
        <f t="shared" si="24"/>
        <v>ui_dtex_Equ_03</v>
      </c>
      <c r="DK120" s="144" t="s">
        <v>1203</v>
      </c>
      <c r="DL120" s="144">
        <f t="shared" si="25"/>
        <v>285</v>
      </c>
    </row>
    <row r="121" spans="32:116" ht="16.5" x14ac:dyDescent="0.2">
      <c r="AF121" s="139">
        <v>116</v>
      </c>
      <c r="AG121" s="139">
        <f>MATCH(AF121-1,金币总表!$Y$4:$Y$12,1)</f>
        <v>7</v>
      </c>
      <c r="AH121" s="21">
        <v>3.4166500000000002E-2</v>
      </c>
      <c r="AI121" s="139">
        <f>ROUND(INDEX(金币总表!$Z$5:$Z$12,装备!AG121)*装备!AH121/$AC$5,0)</f>
        <v>13384</v>
      </c>
      <c r="AK121" s="139">
        <f t="shared" si="26"/>
        <v>6690</v>
      </c>
      <c r="AL121" s="139">
        <f t="shared" si="26"/>
        <v>10705</v>
      </c>
      <c r="AM121" s="139">
        <f t="shared" si="26"/>
        <v>13385</v>
      </c>
      <c r="AN121" s="139">
        <f t="shared" si="26"/>
        <v>16060</v>
      </c>
      <c r="DE121" s="144">
        <v>116</v>
      </c>
      <c r="DF121" s="144">
        <f t="shared" si="21"/>
        <v>15</v>
      </c>
      <c r="DG121" s="144" t="s">
        <v>1208</v>
      </c>
      <c r="DH121" s="144">
        <f t="shared" si="22"/>
        <v>4</v>
      </c>
      <c r="DI121" s="144" t="str">
        <f t="shared" si="23"/>
        <v>裤子锻造</v>
      </c>
      <c r="DJ121" s="144" t="str">
        <f t="shared" si="24"/>
        <v>ui_dtex_Equ_04</v>
      </c>
      <c r="DK121" s="144" t="s">
        <v>1203</v>
      </c>
      <c r="DL121" s="144">
        <f t="shared" si="25"/>
        <v>285</v>
      </c>
    </row>
    <row r="122" spans="32:116" ht="16.5" x14ac:dyDescent="0.2">
      <c r="AF122" s="139">
        <v>117</v>
      </c>
      <c r="AG122" s="139">
        <f>MATCH(AF122-1,金币总表!$Y$4:$Y$12,1)</f>
        <v>7</v>
      </c>
      <c r="AH122" s="21">
        <v>3.4999799999999998E-2</v>
      </c>
      <c r="AI122" s="139">
        <f>ROUND(INDEX(金币总表!$Z$5:$Z$12,装备!AG122)*装备!AH122/$AC$5,0)</f>
        <v>13710</v>
      </c>
      <c r="AK122" s="139">
        <f t="shared" si="26"/>
        <v>6855</v>
      </c>
      <c r="AL122" s="139">
        <f t="shared" si="26"/>
        <v>10970</v>
      </c>
      <c r="AM122" s="139">
        <f t="shared" si="26"/>
        <v>13710</v>
      </c>
      <c r="AN122" s="139">
        <f t="shared" si="26"/>
        <v>16450</v>
      </c>
      <c r="DE122" s="144">
        <v>117</v>
      </c>
      <c r="DF122" s="144">
        <f t="shared" si="21"/>
        <v>15</v>
      </c>
      <c r="DG122" s="144" t="s">
        <v>1208</v>
      </c>
      <c r="DH122" s="144">
        <f t="shared" si="22"/>
        <v>5</v>
      </c>
      <c r="DI122" s="144" t="str">
        <f t="shared" si="23"/>
        <v>鞋子锻造</v>
      </c>
      <c r="DJ122" s="144" t="str">
        <f t="shared" si="24"/>
        <v>ui_dtex_Equ_05</v>
      </c>
      <c r="DK122" s="144" t="s">
        <v>1203</v>
      </c>
      <c r="DL122" s="144">
        <f t="shared" si="25"/>
        <v>285</v>
      </c>
    </row>
    <row r="123" spans="32:116" ht="16.5" x14ac:dyDescent="0.2">
      <c r="AF123" s="139">
        <v>118</v>
      </c>
      <c r="AG123" s="139">
        <f>MATCH(AF123-1,金币总表!$Y$4:$Y$12,1)</f>
        <v>7</v>
      </c>
      <c r="AH123" s="21">
        <v>3.58331E-2</v>
      </c>
      <c r="AI123" s="139">
        <f>ROUND(INDEX(金币总表!$Z$5:$Z$12,装备!AG123)*装备!AH123/$AC$5,0)</f>
        <v>14036</v>
      </c>
      <c r="AK123" s="139">
        <f t="shared" si="26"/>
        <v>7020</v>
      </c>
      <c r="AL123" s="139">
        <f t="shared" si="26"/>
        <v>11230</v>
      </c>
      <c r="AM123" s="139">
        <f t="shared" si="26"/>
        <v>14035</v>
      </c>
      <c r="AN123" s="139">
        <f t="shared" si="26"/>
        <v>16845</v>
      </c>
      <c r="DE123" s="144">
        <v>118</v>
      </c>
      <c r="DF123" s="144">
        <f t="shared" si="21"/>
        <v>15</v>
      </c>
      <c r="DG123" s="144" t="s">
        <v>1208</v>
      </c>
      <c r="DH123" s="144">
        <f t="shared" si="22"/>
        <v>6</v>
      </c>
      <c r="DI123" s="144" t="str">
        <f t="shared" si="23"/>
        <v>护手锻造</v>
      </c>
      <c r="DJ123" s="144" t="str">
        <f t="shared" si="24"/>
        <v>ui_dtex_Equ_06</v>
      </c>
      <c r="DK123" s="144" t="s">
        <v>1203</v>
      </c>
      <c r="DL123" s="144">
        <f t="shared" si="25"/>
        <v>285</v>
      </c>
    </row>
    <row r="124" spans="32:116" ht="16.5" x14ac:dyDescent="0.2">
      <c r="AF124" s="139">
        <v>119</v>
      </c>
      <c r="AG124" s="139">
        <f>MATCH(AF124-1,金币总表!$Y$4:$Y$12,1)</f>
        <v>7</v>
      </c>
      <c r="AH124" s="21">
        <v>3.6666400000000002E-2</v>
      </c>
      <c r="AI124" s="139">
        <f>ROUND(INDEX(金币总表!$Z$5:$Z$12,装备!AG124)*装备!AH124/$AC$5,0)</f>
        <v>14363</v>
      </c>
      <c r="AK124" s="139">
        <f t="shared" si="26"/>
        <v>7180</v>
      </c>
      <c r="AL124" s="139">
        <f t="shared" si="26"/>
        <v>11490</v>
      </c>
      <c r="AM124" s="139">
        <f t="shared" si="26"/>
        <v>14365</v>
      </c>
      <c r="AN124" s="139">
        <f t="shared" si="26"/>
        <v>17235</v>
      </c>
      <c r="DE124" s="144">
        <v>119</v>
      </c>
      <c r="DF124" s="144">
        <f t="shared" si="21"/>
        <v>15</v>
      </c>
      <c r="DG124" s="144" t="s">
        <v>1208</v>
      </c>
      <c r="DH124" s="144">
        <f t="shared" si="22"/>
        <v>7</v>
      </c>
      <c r="DI124" s="144" t="str">
        <f t="shared" si="23"/>
        <v>项链锻造</v>
      </c>
      <c r="DJ124" s="144" t="str">
        <f t="shared" si="24"/>
        <v>ui_dtex_Equ_07</v>
      </c>
      <c r="DK124" s="144" t="s">
        <v>1203</v>
      </c>
      <c r="DL124" s="144">
        <f t="shared" si="25"/>
        <v>430</v>
      </c>
    </row>
    <row r="125" spans="32:116" ht="16.5" x14ac:dyDescent="0.2">
      <c r="AF125" s="139">
        <v>120</v>
      </c>
      <c r="AG125" s="139">
        <f>MATCH(AF125-1,金币总表!$Y$4:$Y$12,1)</f>
        <v>7</v>
      </c>
      <c r="AH125" s="21">
        <v>3.7499699999999997E-2</v>
      </c>
      <c r="AI125" s="139">
        <f>ROUND(INDEX(金币总表!$Z$5:$Z$12,装备!AG125)*装备!AH125/$AC$5,0)</f>
        <v>14689</v>
      </c>
      <c r="AK125" s="139">
        <f t="shared" si="26"/>
        <v>7345</v>
      </c>
      <c r="AL125" s="139">
        <f t="shared" si="26"/>
        <v>11750</v>
      </c>
      <c r="AM125" s="139">
        <f t="shared" si="26"/>
        <v>14690</v>
      </c>
      <c r="AN125" s="139">
        <f t="shared" si="26"/>
        <v>17625</v>
      </c>
      <c r="DE125" s="144">
        <v>120</v>
      </c>
      <c r="DF125" s="144">
        <f t="shared" si="21"/>
        <v>15</v>
      </c>
      <c r="DG125" s="144" t="s">
        <v>1208</v>
      </c>
      <c r="DH125" s="144">
        <f t="shared" si="22"/>
        <v>8</v>
      </c>
      <c r="DI125" s="144" t="str">
        <f t="shared" si="23"/>
        <v>戒指锻造</v>
      </c>
      <c r="DJ125" s="144" t="str">
        <f t="shared" si="24"/>
        <v>ui_dtex_Equ_08</v>
      </c>
      <c r="DK125" s="144" t="s">
        <v>1203</v>
      </c>
      <c r="DL125" s="144">
        <f t="shared" si="25"/>
        <v>430</v>
      </c>
    </row>
    <row r="126" spans="32:116" ht="16.5" x14ac:dyDescent="0.2">
      <c r="AF126" s="139">
        <v>121</v>
      </c>
      <c r="AG126" s="139">
        <f>MATCH(AF126-1,金币总表!$Y$4:$Y$12,1)</f>
        <v>7</v>
      </c>
      <c r="AH126" s="21">
        <v>3.8332999999999999E-2</v>
      </c>
      <c r="AI126" s="139">
        <f>ROUND(INDEX(金币总表!$Z$5:$Z$12,装备!AG126)*装备!AH126/$AC$5,0)</f>
        <v>15016</v>
      </c>
      <c r="AK126" s="139">
        <f t="shared" si="26"/>
        <v>7510</v>
      </c>
      <c r="AL126" s="139">
        <f t="shared" si="26"/>
        <v>12015</v>
      </c>
      <c r="AM126" s="139">
        <f t="shared" si="26"/>
        <v>15015</v>
      </c>
      <c r="AN126" s="139">
        <f t="shared" si="26"/>
        <v>18020</v>
      </c>
      <c r="DE126" s="144">
        <v>121</v>
      </c>
      <c r="DF126" s="144">
        <f t="shared" si="21"/>
        <v>16</v>
      </c>
      <c r="DG126" s="144" t="s">
        <v>1208</v>
      </c>
      <c r="DH126" s="144">
        <f t="shared" si="22"/>
        <v>1</v>
      </c>
      <c r="DI126" s="144" t="str">
        <f t="shared" si="23"/>
        <v>灵器锻造</v>
      </c>
      <c r="DJ126" s="144" t="str">
        <f t="shared" si="24"/>
        <v>ui_dtex_Equ_01</v>
      </c>
      <c r="DK126" s="144" t="s">
        <v>1203</v>
      </c>
      <c r="DL126" s="144">
        <f t="shared" si="25"/>
        <v>610</v>
      </c>
    </row>
    <row r="127" spans="32:116" ht="16.5" x14ac:dyDescent="0.2">
      <c r="AF127" s="139">
        <v>122</v>
      </c>
      <c r="AG127" s="139">
        <f>MATCH(AF127-1,金币总表!$Y$4:$Y$12,1)</f>
        <v>7</v>
      </c>
      <c r="AH127" s="21">
        <v>3.9166300000000001E-2</v>
      </c>
      <c r="AI127" s="139">
        <f>ROUND(INDEX(金币总表!$Z$5:$Z$12,装备!AG127)*装备!AH127/$AC$5,0)</f>
        <v>15342</v>
      </c>
      <c r="AK127" s="139">
        <f t="shared" si="26"/>
        <v>7670</v>
      </c>
      <c r="AL127" s="139">
        <f t="shared" si="26"/>
        <v>12275</v>
      </c>
      <c r="AM127" s="139">
        <f t="shared" si="26"/>
        <v>15340</v>
      </c>
      <c r="AN127" s="139">
        <f t="shared" si="26"/>
        <v>18410</v>
      </c>
      <c r="DE127" s="144">
        <v>122</v>
      </c>
      <c r="DF127" s="144">
        <f t="shared" si="21"/>
        <v>16</v>
      </c>
      <c r="DG127" s="144" t="s">
        <v>1208</v>
      </c>
      <c r="DH127" s="144">
        <f t="shared" si="22"/>
        <v>2</v>
      </c>
      <c r="DI127" s="144" t="str">
        <f t="shared" si="23"/>
        <v>头盔锻造</v>
      </c>
      <c r="DJ127" s="144" t="str">
        <f t="shared" si="24"/>
        <v>ui_dtex_Equ_02</v>
      </c>
      <c r="DK127" s="144" t="s">
        <v>1203</v>
      </c>
      <c r="DL127" s="144">
        <f t="shared" si="25"/>
        <v>305</v>
      </c>
    </row>
    <row r="128" spans="32:116" ht="16.5" x14ac:dyDescent="0.2">
      <c r="AF128" s="139">
        <v>123</v>
      </c>
      <c r="AG128" s="139">
        <f>MATCH(AF128-1,金币总表!$Y$4:$Y$12,1)</f>
        <v>7</v>
      </c>
      <c r="AH128" s="21">
        <v>3.9999600000000003E-2</v>
      </c>
      <c r="AI128" s="139">
        <f>ROUND(INDEX(金币总表!$Z$5:$Z$12,装备!AG128)*装备!AH128/$AC$5,0)</f>
        <v>15668</v>
      </c>
      <c r="AK128" s="139">
        <f t="shared" si="26"/>
        <v>7835</v>
      </c>
      <c r="AL128" s="139">
        <f t="shared" si="26"/>
        <v>12535</v>
      </c>
      <c r="AM128" s="139">
        <f t="shared" si="26"/>
        <v>15670</v>
      </c>
      <c r="AN128" s="139">
        <f t="shared" si="26"/>
        <v>18800</v>
      </c>
      <c r="DE128" s="144">
        <v>123</v>
      </c>
      <c r="DF128" s="144">
        <f t="shared" si="21"/>
        <v>16</v>
      </c>
      <c r="DG128" s="144" t="s">
        <v>1208</v>
      </c>
      <c r="DH128" s="144">
        <f t="shared" si="22"/>
        <v>3</v>
      </c>
      <c r="DI128" s="144" t="str">
        <f t="shared" si="23"/>
        <v>铠甲锻造</v>
      </c>
      <c r="DJ128" s="144" t="str">
        <f t="shared" si="24"/>
        <v>ui_dtex_Equ_03</v>
      </c>
      <c r="DK128" s="144" t="s">
        <v>1203</v>
      </c>
      <c r="DL128" s="144">
        <f t="shared" si="25"/>
        <v>305</v>
      </c>
    </row>
    <row r="129" spans="32:116" ht="16.5" x14ac:dyDescent="0.2">
      <c r="AF129" s="139">
        <v>124</v>
      </c>
      <c r="AG129" s="139">
        <f>MATCH(AF129-1,金币总表!$Y$4:$Y$12,1)</f>
        <v>7</v>
      </c>
      <c r="AH129" s="21">
        <v>4.0832899999999998E-2</v>
      </c>
      <c r="AI129" s="139">
        <f>ROUND(INDEX(金币总表!$Z$5:$Z$12,装备!AG129)*装备!AH129/$AC$5,0)</f>
        <v>15995</v>
      </c>
      <c r="AK129" s="139">
        <f t="shared" si="26"/>
        <v>8000</v>
      </c>
      <c r="AL129" s="139">
        <f t="shared" si="26"/>
        <v>12795</v>
      </c>
      <c r="AM129" s="139">
        <f t="shared" si="26"/>
        <v>15995</v>
      </c>
      <c r="AN129" s="139">
        <f t="shared" si="26"/>
        <v>19195</v>
      </c>
      <c r="DE129" s="144">
        <v>124</v>
      </c>
      <c r="DF129" s="144">
        <f t="shared" si="21"/>
        <v>16</v>
      </c>
      <c r="DG129" s="144" t="s">
        <v>1208</v>
      </c>
      <c r="DH129" s="144">
        <f t="shared" si="22"/>
        <v>4</v>
      </c>
      <c r="DI129" s="144" t="str">
        <f t="shared" si="23"/>
        <v>裤子锻造</v>
      </c>
      <c r="DJ129" s="144" t="str">
        <f t="shared" si="24"/>
        <v>ui_dtex_Equ_04</v>
      </c>
      <c r="DK129" s="144" t="s">
        <v>1203</v>
      </c>
      <c r="DL129" s="144">
        <f t="shared" si="25"/>
        <v>305</v>
      </c>
    </row>
    <row r="130" spans="32:116" ht="16.5" x14ac:dyDescent="0.2">
      <c r="AF130" s="139">
        <v>125</v>
      </c>
      <c r="AG130" s="139">
        <f>MATCH(AF130-1,金币总表!$Y$4:$Y$12,1)</f>
        <v>7</v>
      </c>
      <c r="AH130" s="21">
        <v>4.16662E-2</v>
      </c>
      <c r="AI130" s="139">
        <f>ROUND(INDEX(金币总表!$Z$5:$Z$12,装备!AG130)*装备!AH130/$AC$5,0)</f>
        <v>16321</v>
      </c>
      <c r="AK130" s="139">
        <f t="shared" si="26"/>
        <v>8160</v>
      </c>
      <c r="AL130" s="139">
        <f t="shared" si="26"/>
        <v>13055</v>
      </c>
      <c r="AM130" s="139">
        <f t="shared" si="26"/>
        <v>16320</v>
      </c>
      <c r="AN130" s="139">
        <f t="shared" si="26"/>
        <v>19585</v>
      </c>
      <c r="DE130" s="144">
        <v>125</v>
      </c>
      <c r="DF130" s="144">
        <f t="shared" si="21"/>
        <v>16</v>
      </c>
      <c r="DG130" s="144" t="s">
        <v>1208</v>
      </c>
      <c r="DH130" s="144">
        <f t="shared" si="22"/>
        <v>5</v>
      </c>
      <c r="DI130" s="144" t="str">
        <f t="shared" si="23"/>
        <v>鞋子锻造</v>
      </c>
      <c r="DJ130" s="144" t="str">
        <f t="shared" si="24"/>
        <v>ui_dtex_Equ_05</v>
      </c>
      <c r="DK130" s="144" t="s">
        <v>1203</v>
      </c>
      <c r="DL130" s="144">
        <f t="shared" si="25"/>
        <v>305</v>
      </c>
    </row>
    <row r="131" spans="32:116" ht="16.5" x14ac:dyDescent="0.2">
      <c r="AF131" s="139">
        <v>126</v>
      </c>
      <c r="AG131" s="139">
        <f>MATCH(AF131-1,金币总表!$Y$4:$Y$12,1)</f>
        <v>7</v>
      </c>
      <c r="AH131" s="21">
        <v>4.2499500000000003E-2</v>
      </c>
      <c r="AI131" s="139">
        <f>ROUND(INDEX(金币总表!$Z$5:$Z$12,装备!AG131)*装备!AH131/$AC$5,0)</f>
        <v>16648</v>
      </c>
      <c r="AK131" s="139">
        <f t="shared" si="26"/>
        <v>8325</v>
      </c>
      <c r="AL131" s="139">
        <f t="shared" si="26"/>
        <v>13320</v>
      </c>
      <c r="AM131" s="139">
        <f t="shared" si="26"/>
        <v>16650</v>
      </c>
      <c r="AN131" s="139">
        <f t="shared" si="26"/>
        <v>19980</v>
      </c>
      <c r="DE131" s="144">
        <v>126</v>
      </c>
      <c r="DF131" s="144">
        <f t="shared" si="21"/>
        <v>16</v>
      </c>
      <c r="DG131" s="144" t="s">
        <v>1208</v>
      </c>
      <c r="DH131" s="144">
        <f t="shared" si="22"/>
        <v>6</v>
      </c>
      <c r="DI131" s="144" t="str">
        <f t="shared" si="23"/>
        <v>护手锻造</v>
      </c>
      <c r="DJ131" s="144" t="str">
        <f t="shared" si="24"/>
        <v>ui_dtex_Equ_06</v>
      </c>
      <c r="DK131" s="144" t="s">
        <v>1203</v>
      </c>
      <c r="DL131" s="144">
        <f t="shared" si="25"/>
        <v>305</v>
      </c>
    </row>
    <row r="132" spans="32:116" ht="16.5" x14ac:dyDescent="0.2">
      <c r="AF132" s="139">
        <v>127</v>
      </c>
      <c r="AG132" s="139">
        <f>MATCH(AF132-1,金币总表!$Y$4:$Y$12,1)</f>
        <v>7</v>
      </c>
      <c r="AH132" s="21">
        <v>4.3332799999999998E-2</v>
      </c>
      <c r="AI132" s="139">
        <f>ROUND(INDEX(金币总表!$Z$5:$Z$12,装备!AG132)*装备!AH132/$AC$5,0)</f>
        <v>16974</v>
      </c>
      <c r="AK132" s="139">
        <f t="shared" si="26"/>
        <v>8485</v>
      </c>
      <c r="AL132" s="139">
        <f t="shared" si="26"/>
        <v>13580</v>
      </c>
      <c r="AM132" s="139">
        <f t="shared" si="26"/>
        <v>16975</v>
      </c>
      <c r="AN132" s="139">
        <f t="shared" si="26"/>
        <v>20370</v>
      </c>
      <c r="DE132" s="144">
        <v>127</v>
      </c>
      <c r="DF132" s="144">
        <f t="shared" si="21"/>
        <v>16</v>
      </c>
      <c r="DG132" s="144" t="s">
        <v>1208</v>
      </c>
      <c r="DH132" s="144">
        <f t="shared" si="22"/>
        <v>7</v>
      </c>
      <c r="DI132" s="144" t="str">
        <f t="shared" si="23"/>
        <v>项链锻造</v>
      </c>
      <c r="DJ132" s="144" t="str">
        <f t="shared" si="24"/>
        <v>ui_dtex_Equ_07</v>
      </c>
      <c r="DK132" s="144" t="s">
        <v>1203</v>
      </c>
      <c r="DL132" s="144">
        <f t="shared" si="25"/>
        <v>460</v>
      </c>
    </row>
    <row r="133" spans="32:116" ht="16.5" x14ac:dyDescent="0.2">
      <c r="AF133" s="139">
        <v>128</v>
      </c>
      <c r="AG133" s="139">
        <f>MATCH(AF133-1,金币总表!$Y$4:$Y$12,1)</f>
        <v>7</v>
      </c>
      <c r="AH133" s="21">
        <v>4.41661E-2</v>
      </c>
      <c r="AI133" s="139">
        <f>ROUND(INDEX(金币总表!$Z$5:$Z$12,装备!AG133)*装备!AH133/$AC$5,0)</f>
        <v>17301</v>
      </c>
      <c r="AK133" s="139">
        <f t="shared" si="26"/>
        <v>8650</v>
      </c>
      <c r="AL133" s="139">
        <f t="shared" si="26"/>
        <v>13840</v>
      </c>
      <c r="AM133" s="139">
        <f t="shared" si="26"/>
        <v>17300</v>
      </c>
      <c r="AN133" s="139">
        <f t="shared" si="26"/>
        <v>20760</v>
      </c>
      <c r="DE133" s="144">
        <v>128</v>
      </c>
      <c r="DF133" s="144">
        <f t="shared" si="21"/>
        <v>16</v>
      </c>
      <c r="DG133" s="144" t="s">
        <v>1208</v>
      </c>
      <c r="DH133" s="144">
        <f t="shared" si="22"/>
        <v>8</v>
      </c>
      <c r="DI133" s="144" t="str">
        <f t="shared" si="23"/>
        <v>戒指锻造</v>
      </c>
      <c r="DJ133" s="144" t="str">
        <f t="shared" si="24"/>
        <v>ui_dtex_Equ_08</v>
      </c>
      <c r="DK133" s="144" t="s">
        <v>1203</v>
      </c>
      <c r="DL133" s="144">
        <f t="shared" si="25"/>
        <v>460</v>
      </c>
    </row>
    <row r="134" spans="32:116" ht="16.5" x14ac:dyDescent="0.2">
      <c r="AF134" s="139">
        <v>129</v>
      </c>
      <c r="AG134" s="139">
        <f>MATCH(AF134-1,金币总表!$Y$4:$Y$12,1)</f>
        <v>7</v>
      </c>
      <c r="AH134" s="21">
        <v>4.4999400000000002E-2</v>
      </c>
      <c r="AI134" s="139">
        <f>ROUND(INDEX(金币总表!$Z$5:$Z$12,装备!AG134)*装备!AH134/$AC$5,0)</f>
        <v>17627</v>
      </c>
      <c r="AK134" s="139">
        <f t="shared" si="26"/>
        <v>8815</v>
      </c>
      <c r="AL134" s="139">
        <f t="shared" si="26"/>
        <v>14100</v>
      </c>
      <c r="AM134" s="139">
        <f t="shared" si="26"/>
        <v>17625</v>
      </c>
      <c r="AN134" s="139">
        <f t="shared" si="26"/>
        <v>21150</v>
      </c>
      <c r="DE134" s="144">
        <v>129</v>
      </c>
      <c r="DF134" s="144">
        <f t="shared" si="21"/>
        <v>17</v>
      </c>
      <c r="DG134" s="144" t="s">
        <v>1208</v>
      </c>
      <c r="DH134" s="144">
        <f t="shared" si="22"/>
        <v>1</v>
      </c>
      <c r="DI134" s="144" t="str">
        <f t="shared" si="23"/>
        <v>灵器锻造</v>
      </c>
      <c r="DJ134" s="144" t="str">
        <f t="shared" si="24"/>
        <v>ui_dtex_Equ_01</v>
      </c>
      <c r="DK134" s="144" t="s">
        <v>1203</v>
      </c>
      <c r="DL134" s="144">
        <f t="shared" si="25"/>
        <v>710</v>
      </c>
    </row>
    <row r="135" spans="32:116" ht="16.5" x14ac:dyDescent="0.2">
      <c r="AF135" s="139">
        <v>130</v>
      </c>
      <c r="AG135" s="139">
        <f>MATCH(AF135-1,金币总表!$Y$4:$Y$12,1)</f>
        <v>7</v>
      </c>
      <c r="AH135" s="21">
        <v>4.5832699999999997E-2</v>
      </c>
      <c r="AI135" s="139">
        <f>ROUND(INDEX(金币总表!$Z$5:$Z$12,装备!AG135)*装备!AH135/$AC$5,0)</f>
        <v>17953</v>
      </c>
      <c r="AK135" s="139">
        <f t="shared" ref="AK135:AN155" si="27">ROUND($AI135*AK$3/5,0)*5</f>
        <v>8975</v>
      </c>
      <c r="AL135" s="139">
        <f t="shared" si="27"/>
        <v>14360</v>
      </c>
      <c r="AM135" s="139">
        <f t="shared" si="27"/>
        <v>17955</v>
      </c>
      <c r="AN135" s="139">
        <f t="shared" si="27"/>
        <v>21545</v>
      </c>
      <c r="DE135" s="144">
        <v>130</v>
      </c>
      <c r="DF135" s="144">
        <f t="shared" ref="DF135:DF173" si="28">INT((DE135-1)/8)+1</f>
        <v>17</v>
      </c>
      <c r="DG135" s="144" t="s">
        <v>1208</v>
      </c>
      <c r="DH135" s="144">
        <f t="shared" ref="DH135:DH173" si="29">DE135-(DF135-1)*8</f>
        <v>2</v>
      </c>
      <c r="DI135" s="144" t="str">
        <f t="shared" ref="DI135:DI173" si="30">INDEX($CL$6:$CL$13,DH135)&amp;"锻造"</f>
        <v>头盔锻造</v>
      </c>
      <c r="DJ135" s="144" t="str">
        <f t="shared" ref="DJ135:DJ173" si="31">"ui_dtex_Equ_0"&amp;DH135</f>
        <v>ui_dtex_Equ_02</v>
      </c>
      <c r="DK135" s="144" t="s">
        <v>1203</v>
      </c>
      <c r="DL135" s="144">
        <f t="shared" ref="DL135:DL173" si="32">ROUND(INDEX($DB$6:$DB$26,DF135)*INDEX($CM$6:$CM$13,DH135)/5,0)*5</f>
        <v>355</v>
      </c>
    </row>
    <row r="136" spans="32:116" ht="16.5" x14ac:dyDescent="0.2">
      <c r="AF136" s="139">
        <v>131</v>
      </c>
      <c r="AG136" s="139">
        <f>MATCH(AF136-1,金币总表!$Y$4:$Y$12,1)</f>
        <v>7</v>
      </c>
      <c r="AH136" s="21">
        <v>4.6665999999999999E-2</v>
      </c>
      <c r="AI136" s="139">
        <f>ROUND(INDEX(金币总表!$Z$5:$Z$12,装备!AG136)*装备!AH136/$AC$5,0)</f>
        <v>18280</v>
      </c>
      <c r="AK136" s="139">
        <f t="shared" si="27"/>
        <v>9140</v>
      </c>
      <c r="AL136" s="139">
        <f t="shared" si="27"/>
        <v>14625</v>
      </c>
      <c r="AM136" s="139">
        <f t="shared" si="27"/>
        <v>18280</v>
      </c>
      <c r="AN136" s="139">
        <f t="shared" si="27"/>
        <v>21935</v>
      </c>
      <c r="DE136" s="144">
        <v>131</v>
      </c>
      <c r="DF136" s="144">
        <f t="shared" si="28"/>
        <v>17</v>
      </c>
      <c r="DG136" s="144" t="s">
        <v>1208</v>
      </c>
      <c r="DH136" s="144">
        <f t="shared" si="29"/>
        <v>3</v>
      </c>
      <c r="DI136" s="144" t="str">
        <f t="shared" si="30"/>
        <v>铠甲锻造</v>
      </c>
      <c r="DJ136" s="144" t="str">
        <f t="shared" si="31"/>
        <v>ui_dtex_Equ_03</v>
      </c>
      <c r="DK136" s="144" t="s">
        <v>1203</v>
      </c>
      <c r="DL136" s="144">
        <f t="shared" si="32"/>
        <v>355</v>
      </c>
    </row>
    <row r="137" spans="32:116" ht="16.5" x14ac:dyDescent="0.2">
      <c r="AF137" s="139">
        <v>132</v>
      </c>
      <c r="AG137" s="139">
        <f>MATCH(AF137-1,金币总表!$Y$4:$Y$12,1)</f>
        <v>7</v>
      </c>
      <c r="AH137" s="21">
        <v>4.7499300000000001E-2</v>
      </c>
      <c r="AI137" s="139">
        <f>ROUND(INDEX(金币总表!$Z$5:$Z$12,装备!AG137)*装备!AH137/$AC$5,0)</f>
        <v>18606</v>
      </c>
      <c r="AK137" s="139">
        <f t="shared" si="27"/>
        <v>9305</v>
      </c>
      <c r="AL137" s="139">
        <f t="shared" si="27"/>
        <v>14885</v>
      </c>
      <c r="AM137" s="139">
        <f t="shared" si="27"/>
        <v>18605</v>
      </c>
      <c r="AN137" s="139">
        <f t="shared" si="27"/>
        <v>22325</v>
      </c>
      <c r="DE137" s="144">
        <v>132</v>
      </c>
      <c r="DF137" s="144">
        <f t="shared" si="28"/>
        <v>17</v>
      </c>
      <c r="DG137" s="144" t="s">
        <v>1208</v>
      </c>
      <c r="DH137" s="144">
        <f t="shared" si="29"/>
        <v>4</v>
      </c>
      <c r="DI137" s="144" t="str">
        <f t="shared" si="30"/>
        <v>裤子锻造</v>
      </c>
      <c r="DJ137" s="144" t="str">
        <f t="shared" si="31"/>
        <v>ui_dtex_Equ_04</v>
      </c>
      <c r="DK137" s="144" t="s">
        <v>1203</v>
      </c>
      <c r="DL137" s="144">
        <f t="shared" si="32"/>
        <v>355</v>
      </c>
    </row>
    <row r="138" spans="32:116" ht="16.5" x14ac:dyDescent="0.2">
      <c r="AF138" s="139">
        <v>133</v>
      </c>
      <c r="AG138" s="139">
        <f>MATCH(AF138-1,金币总表!$Y$4:$Y$12,1)</f>
        <v>7</v>
      </c>
      <c r="AH138" s="21">
        <v>4.8332600000000003E-2</v>
      </c>
      <c r="AI138" s="139">
        <f>ROUND(INDEX(金币总表!$Z$5:$Z$12,装备!AG138)*装备!AH138/$AC$5,0)</f>
        <v>18933</v>
      </c>
      <c r="AK138" s="139">
        <f t="shared" si="27"/>
        <v>9465</v>
      </c>
      <c r="AL138" s="139">
        <f t="shared" si="27"/>
        <v>15145</v>
      </c>
      <c r="AM138" s="139">
        <f t="shared" si="27"/>
        <v>18935</v>
      </c>
      <c r="AN138" s="139">
        <f t="shared" si="27"/>
        <v>22720</v>
      </c>
      <c r="DE138" s="144">
        <v>133</v>
      </c>
      <c r="DF138" s="144">
        <f t="shared" si="28"/>
        <v>17</v>
      </c>
      <c r="DG138" s="144" t="s">
        <v>1208</v>
      </c>
      <c r="DH138" s="144">
        <f t="shared" si="29"/>
        <v>5</v>
      </c>
      <c r="DI138" s="144" t="str">
        <f t="shared" si="30"/>
        <v>鞋子锻造</v>
      </c>
      <c r="DJ138" s="144" t="str">
        <f t="shared" si="31"/>
        <v>ui_dtex_Equ_05</v>
      </c>
      <c r="DK138" s="144" t="s">
        <v>1203</v>
      </c>
      <c r="DL138" s="144">
        <f t="shared" si="32"/>
        <v>355</v>
      </c>
    </row>
    <row r="139" spans="32:116" ht="16.5" x14ac:dyDescent="0.2">
      <c r="AF139" s="139">
        <v>134</v>
      </c>
      <c r="AG139" s="139">
        <f>MATCH(AF139-1,金币总表!$Y$4:$Y$12,1)</f>
        <v>7</v>
      </c>
      <c r="AH139" s="21">
        <v>4.9165899999999998E-2</v>
      </c>
      <c r="AI139" s="139">
        <f>ROUND(INDEX(金币总表!$Z$5:$Z$12,装备!AG139)*装备!AH139/$AC$5,0)</f>
        <v>19259</v>
      </c>
      <c r="AK139" s="139">
        <f t="shared" si="27"/>
        <v>9630</v>
      </c>
      <c r="AL139" s="139">
        <f t="shared" si="27"/>
        <v>15405</v>
      </c>
      <c r="AM139" s="139">
        <f t="shared" si="27"/>
        <v>19260</v>
      </c>
      <c r="AN139" s="139">
        <f t="shared" si="27"/>
        <v>23110</v>
      </c>
      <c r="DE139" s="144">
        <v>134</v>
      </c>
      <c r="DF139" s="144">
        <f t="shared" si="28"/>
        <v>17</v>
      </c>
      <c r="DG139" s="144" t="s">
        <v>1208</v>
      </c>
      <c r="DH139" s="144">
        <f t="shared" si="29"/>
        <v>6</v>
      </c>
      <c r="DI139" s="144" t="str">
        <f t="shared" si="30"/>
        <v>护手锻造</v>
      </c>
      <c r="DJ139" s="144" t="str">
        <f t="shared" si="31"/>
        <v>ui_dtex_Equ_06</v>
      </c>
      <c r="DK139" s="144" t="s">
        <v>1203</v>
      </c>
      <c r="DL139" s="144">
        <f t="shared" si="32"/>
        <v>355</v>
      </c>
    </row>
    <row r="140" spans="32:116" ht="16.5" x14ac:dyDescent="0.2">
      <c r="AF140" s="139">
        <v>135</v>
      </c>
      <c r="AG140" s="139">
        <f>MATCH(AF140-1,金币总表!$Y$4:$Y$12,1)</f>
        <v>7</v>
      </c>
      <c r="AH140" s="21">
        <v>4.9999200000000098E-2</v>
      </c>
      <c r="AI140" s="139">
        <f>ROUND(INDEX(金币总表!$Z$5:$Z$12,装备!AG140)*装备!AH140/$AC$5,0)</f>
        <v>19585</v>
      </c>
      <c r="AK140" s="139">
        <f t="shared" si="27"/>
        <v>9795</v>
      </c>
      <c r="AL140" s="139">
        <f t="shared" si="27"/>
        <v>15670</v>
      </c>
      <c r="AM140" s="139">
        <f t="shared" si="27"/>
        <v>19585</v>
      </c>
      <c r="AN140" s="139">
        <f t="shared" si="27"/>
        <v>23500</v>
      </c>
      <c r="DE140" s="144">
        <v>135</v>
      </c>
      <c r="DF140" s="144">
        <f t="shared" si="28"/>
        <v>17</v>
      </c>
      <c r="DG140" s="144" t="s">
        <v>1208</v>
      </c>
      <c r="DH140" s="144">
        <f t="shared" si="29"/>
        <v>7</v>
      </c>
      <c r="DI140" s="144" t="str">
        <f t="shared" si="30"/>
        <v>项链锻造</v>
      </c>
      <c r="DJ140" s="144" t="str">
        <f t="shared" si="31"/>
        <v>ui_dtex_Equ_07</v>
      </c>
      <c r="DK140" s="144" t="s">
        <v>1203</v>
      </c>
      <c r="DL140" s="144">
        <f t="shared" si="32"/>
        <v>535</v>
      </c>
    </row>
    <row r="141" spans="32:116" ht="16.5" x14ac:dyDescent="0.2">
      <c r="AF141" s="139">
        <v>136</v>
      </c>
      <c r="AG141" s="139">
        <f>MATCH(AF141-1,金币总表!$Y$4:$Y$12,1)</f>
        <v>8</v>
      </c>
      <c r="AH141" s="19">
        <v>0.04</v>
      </c>
      <c r="AI141" s="139">
        <f>ROUND(INDEX(金币总表!$Z$5:$Z$12,装备!AG141)*装备!AH141/$AC$5,0)</f>
        <v>94975</v>
      </c>
      <c r="AK141" s="139">
        <f t="shared" si="27"/>
        <v>47490</v>
      </c>
      <c r="AL141" s="139">
        <f t="shared" si="27"/>
        <v>75980</v>
      </c>
      <c r="AM141" s="139">
        <f t="shared" si="27"/>
        <v>94975</v>
      </c>
      <c r="AN141" s="139">
        <f t="shared" si="27"/>
        <v>113970</v>
      </c>
      <c r="DE141" s="144">
        <v>136</v>
      </c>
      <c r="DF141" s="144">
        <f t="shared" si="28"/>
        <v>17</v>
      </c>
      <c r="DG141" s="144" t="s">
        <v>1208</v>
      </c>
      <c r="DH141" s="144">
        <f t="shared" si="29"/>
        <v>8</v>
      </c>
      <c r="DI141" s="144" t="str">
        <f t="shared" si="30"/>
        <v>戒指锻造</v>
      </c>
      <c r="DJ141" s="144" t="str">
        <f t="shared" si="31"/>
        <v>ui_dtex_Equ_08</v>
      </c>
      <c r="DK141" s="144" t="s">
        <v>1203</v>
      </c>
      <c r="DL141" s="144">
        <f t="shared" si="32"/>
        <v>535</v>
      </c>
    </row>
    <row r="142" spans="32:116" ht="16.5" x14ac:dyDescent="0.2">
      <c r="AF142" s="139">
        <v>137</v>
      </c>
      <c r="AG142" s="139">
        <f>MATCH(AF142-1,金币总表!$Y$4:$Y$12,1)</f>
        <v>8</v>
      </c>
      <c r="AH142" s="21">
        <v>4.3809500000000001E-2</v>
      </c>
      <c r="AI142" s="139">
        <f>ROUND(INDEX(金币总表!$Z$5:$Z$12,装备!AG142)*装备!AH142/$AC$5,0)</f>
        <v>104020</v>
      </c>
      <c r="AK142" s="139">
        <f t="shared" si="27"/>
        <v>52010</v>
      </c>
      <c r="AL142" s="139">
        <f t="shared" si="27"/>
        <v>83215</v>
      </c>
      <c r="AM142" s="139">
        <f t="shared" si="27"/>
        <v>104020</v>
      </c>
      <c r="AN142" s="139">
        <f t="shared" si="27"/>
        <v>124825</v>
      </c>
      <c r="DE142" s="144">
        <v>137</v>
      </c>
      <c r="DF142" s="144">
        <f t="shared" si="28"/>
        <v>18</v>
      </c>
      <c r="DG142" s="144" t="s">
        <v>1208</v>
      </c>
      <c r="DH142" s="144">
        <f t="shared" si="29"/>
        <v>1</v>
      </c>
      <c r="DI142" s="144" t="str">
        <f t="shared" si="30"/>
        <v>灵器锻造</v>
      </c>
      <c r="DJ142" s="144" t="str">
        <f t="shared" si="31"/>
        <v>ui_dtex_Equ_01</v>
      </c>
      <c r="DK142" s="144" t="s">
        <v>1203</v>
      </c>
      <c r="DL142" s="144">
        <f t="shared" si="32"/>
        <v>770</v>
      </c>
    </row>
    <row r="143" spans="32:116" ht="16.5" x14ac:dyDescent="0.2">
      <c r="AF143" s="139">
        <v>138</v>
      </c>
      <c r="AG143" s="139">
        <f>MATCH(AF143-1,金币总表!$Y$4:$Y$12,1)</f>
        <v>8</v>
      </c>
      <c r="AH143" s="19">
        <v>4.7619000000000002E-2</v>
      </c>
      <c r="AI143" s="139">
        <f>ROUND(INDEX(金币总表!$Z$5:$Z$12,装备!AG143)*装备!AH143/$AC$5,0)</f>
        <v>113065</v>
      </c>
      <c r="AK143" s="139">
        <f t="shared" si="27"/>
        <v>56535</v>
      </c>
      <c r="AL143" s="139">
        <f t="shared" si="27"/>
        <v>90450</v>
      </c>
      <c r="AM143" s="139">
        <f t="shared" si="27"/>
        <v>113065</v>
      </c>
      <c r="AN143" s="139">
        <f t="shared" si="27"/>
        <v>135680</v>
      </c>
      <c r="DE143" s="144">
        <v>138</v>
      </c>
      <c r="DF143" s="144">
        <f t="shared" si="28"/>
        <v>18</v>
      </c>
      <c r="DG143" s="144" t="s">
        <v>1208</v>
      </c>
      <c r="DH143" s="144">
        <f t="shared" si="29"/>
        <v>2</v>
      </c>
      <c r="DI143" s="144" t="str">
        <f t="shared" si="30"/>
        <v>头盔锻造</v>
      </c>
      <c r="DJ143" s="144" t="str">
        <f t="shared" si="31"/>
        <v>ui_dtex_Equ_02</v>
      </c>
      <c r="DK143" s="144" t="s">
        <v>1203</v>
      </c>
      <c r="DL143" s="144">
        <f t="shared" si="32"/>
        <v>385</v>
      </c>
    </row>
    <row r="144" spans="32:116" ht="16.5" x14ac:dyDescent="0.2">
      <c r="AF144" s="139">
        <v>139</v>
      </c>
      <c r="AG144" s="139">
        <f>MATCH(AF144-1,金币总表!$Y$4:$Y$12,1)</f>
        <v>8</v>
      </c>
      <c r="AH144" s="21">
        <v>5.1428500000000002E-2</v>
      </c>
      <c r="AI144" s="139">
        <f>ROUND(INDEX(金币总表!$Z$5:$Z$12,装备!AG144)*装备!AH144/$AC$5,0)</f>
        <v>122110</v>
      </c>
      <c r="AK144" s="139">
        <f t="shared" si="27"/>
        <v>61055</v>
      </c>
      <c r="AL144" s="139">
        <f t="shared" si="27"/>
        <v>97690</v>
      </c>
      <c r="AM144" s="139">
        <f t="shared" si="27"/>
        <v>122110</v>
      </c>
      <c r="AN144" s="139">
        <f t="shared" si="27"/>
        <v>146530</v>
      </c>
      <c r="DE144" s="144">
        <v>139</v>
      </c>
      <c r="DF144" s="144">
        <f t="shared" si="28"/>
        <v>18</v>
      </c>
      <c r="DG144" s="144" t="s">
        <v>1208</v>
      </c>
      <c r="DH144" s="144">
        <f t="shared" si="29"/>
        <v>3</v>
      </c>
      <c r="DI144" s="144" t="str">
        <f t="shared" si="30"/>
        <v>铠甲锻造</v>
      </c>
      <c r="DJ144" s="144" t="str">
        <f t="shared" si="31"/>
        <v>ui_dtex_Equ_03</v>
      </c>
      <c r="DK144" s="144" t="s">
        <v>1203</v>
      </c>
      <c r="DL144" s="144">
        <f t="shared" si="32"/>
        <v>385</v>
      </c>
    </row>
    <row r="145" spans="32:116" ht="16.5" x14ac:dyDescent="0.2">
      <c r="AF145" s="139">
        <v>140</v>
      </c>
      <c r="AG145" s="139">
        <f>MATCH(AF145-1,金币总表!$Y$4:$Y$12,1)</f>
        <v>8</v>
      </c>
      <c r="AH145" s="19">
        <v>5.5238000000000002E-2</v>
      </c>
      <c r="AI145" s="139">
        <f>ROUND(INDEX(金币总表!$Z$5:$Z$12,装备!AG145)*装备!AH145/$AC$5,0)</f>
        <v>131155</v>
      </c>
      <c r="AK145" s="139">
        <f t="shared" si="27"/>
        <v>65580</v>
      </c>
      <c r="AL145" s="139">
        <f t="shared" si="27"/>
        <v>104925</v>
      </c>
      <c r="AM145" s="139">
        <f t="shared" si="27"/>
        <v>131155</v>
      </c>
      <c r="AN145" s="139">
        <f t="shared" si="27"/>
        <v>157385</v>
      </c>
      <c r="DE145" s="144">
        <v>140</v>
      </c>
      <c r="DF145" s="144">
        <f t="shared" si="28"/>
        <v>18</v>
      </c>
      <c r="DG145" s="144" t="s">
        <v>1208</v>
      </c>
      <c r="DH145" s="144">
        <f t="shared" si="29"/>
        <v>4</v>
      </c>
      <c r="DI145" s="144" t="str">
        <f t="shared" si="30"/>
        <v>裤子锻造</v>
      </c>
      <c r="DJ145" s="144" t="str">
        <f t="shared" si="31"/>
        <v>ui_dtex_Equ_04</v>
      </c>
      <c r="DK145" s="144" t="s">
        <v>1203</v>
      </c>
      <c r="DL145" s="144">
        <f t="shared" si="32"/>
        <v>385</v>
      </c>
    </row>
    <row r="146" spans="32:116" ht="16.5" x14ac:dyDescent="0.2">
      <c r="AF146" s="139">
        <v>141</v>
      </c>
      <c r="AG146" s="139">
        <f>MATCH(AF146-1,金币总表!$Y$4:$Y$12,1)</f>
        <v>8</v>
      </c>
      <c r="AH146" s="21">
        <v>5.9047500000000003E-2</v>
      </c>
      <c r="AI146" s="139">
        <f>ROUND(INDEX(金币总表!$Z$5:$Z$12,装备!AG146)*装备!AH146/$AC$5,0)</f>
        <v>140201</v>
      </c>
      <c r="AK146" s="139">
        <f t="shared" si="27"/>
        <v>70100</v>
      </c>
      <c r="AL146" s="139">
        <f t="shared" si="27"/>
        <v>112160</v>
      </c>
      <c r="AM146" s="139">
        <f t="shared" si="27"/>
        <v>140200</v>
      </c>
      <c r="AN146" s="139">
        <f t="shared" si="27"/>
        <v>168240</v>
      </c>
      <c r="DE146" s="144">
        <v>141</v>
      </c>
      <c r="DF146" s="144">
        <f t="shared" si="28"/>
        <v>18</v>
      </c>
      <c r="DG146" s="144" t="s">
        <v>1208</v>
      </c>
      <c r="DH146" s="144">
        <f t="shared" si="29"/>
        <v>5</v>
      </c>
      <c r="DI146" s="144" t="str">
        <f t="shared" si="30"/>
        <v>鞋子锻造</v>
      </c>
      <c r="DJ146" s="144" t="str">
        <f t="shared" si="31"/>
        <v>ui_dtex_Equ_05</v>
      </c>
      <c r="DK146" s="144" t="s">
        <v>1203</v>
      </c>
      <c r="DL146" s="144">
        <f t="shared" si="32"/>
        <v>385</v>
      </c>
    </row>
    <row r="147" spans="32:116" ht="16.5" x14ac:dyDescent="0.2">
      <c r="AF147" s="139">
        <v>142</v>
      </c>
      <c r="AG147" s="139">
        <f>MATCH(AF147-1,金币总表!$Y$4:$Y$12,1)</f>
        <v>8</v>
      </c>
      <c r="AH147" s="19">
        <v>6.2856999999999996E-2</v>
      </c>
      <c r="AI147" s="139">
        <f>ROUND(INDEX(金币总表!$Z$5:$Z$12,装备!AG147)*装备!AH147/$AC$5,0)</f>
        <v>149246</v>
      </c>
      <c r="AK147" s="139">
        <f t="shared" si="27"/>
        <v>74625</v>
      </c>
      <c r="AL147" s="139">
        <f t="shared" si="27"/>
        <v>119395</v>
      </c>
      <c r="AM147" s="139">
        <f t="shared" si="27"/>
        <v>149245</v>
      </c>
      <c r="AN147" s="139">
        <f t="shared" si="27"/>
        <v>179095</v>
      </c>
      <c r="DE147" s="144">
        <v>142</v>
      </c>
      <c r="DF147" s="144">
        <f t="shared" si="28"/>
        <v>18</v>
      </c>
      <c r="DG147" s="144" t="s">
        <v>1208</v>
      </c>
      <c r="DH147" s="144">
        <f t="shared" si="29"/>
        <v>6</v>
      </c>
      <c r="DI147" s="144" t="str">
        <f t="shared" si="30"/>
        <v>护手锻造</v>
      </c>
      <c r="DJ147" s="144" t="str">
        <f t="shared" si="31"/>
        <v>ui_dtex_Equ_06</v>
      </c>
      <c r="DK147" s="144" t="s">
        <v>1203</v>
      </c>
      <c r="DL147" s="144">
        <f t="shared" si="32"/>
        <v>385</v>
      </c>
    </row>
    <row r="148" spans="32:116" ht="16.5" x14ac:dyDescent="0.2">
      <c r="AF148" s="139">
        <v>143</v>
      </c>
      <c r="AG148" s="139">
        <f>MATCH(AF148-1,金币总表!$Y$4:$Y$12,1)</f>
        <v>8</v>
      </c>
      <c r="AH148" s="21">
        <v>6.6666500000000004E-2</v>
      </c>
      <c r="AI148" s="139">
        <f>ROUND(INDEX(金币总表!$Z$5:$Z$12,装备!AG148)*装备!AH148/$AC$5,0)</f>
        <v>158291</v>
      </c>
      <c r="AK148" s="139">
        <f t="shared" si="27"/>
        <v>79145</v>
      </c>
      <c r="AL148" s="139">
        <f t="shared" si="27"/>
        <v>126635</v>
      </c>
      <c r="AM148" s="139">
        <f t="shared" si="27"/>
        <v>158290</v>
      </c>
      <c r="AN148" s="139">
        <f t="shared" si="27"/>
        <v>189950</v>
      </c>
      <c r="DE148" s="144">
        <v>143</v>
      </c>
      <c r="DF148" s="144">
        <f t="shared" si="28"/>
        <v>18</v>
      </c>
      <c r="DG148" s="144" t="s">
        <v>1208</v>
      </c>
      <c r="DH148" s="144">
        <f t="shared" si="29"/>
        <v>7</v>
      </c>
      <c r="DI148" s="144" t="str">
        <f t="shared" si="30"/>
        <v>项链锻造</v>
      </c>
      <c r="DJ148" s="144" t="str">
        <f t="shared" si="31"/>
        <v>ui_dtex_Equ_07</v>
      </c>
      <c r="DK148" s="144" t="s">
        <v>1203</v>
      </c>
      <c r="DL148" s="144">
        <f t="shared" si="32"/>
        <v>580</v>
      </c>
    </row>
    <row r="149" spans="32:116" ht="16.5" x14ac:dyDescent="0.2">
      <c r="AF149" s="139">
        <v>144</v>
      </c>
      <c r="AG149" s="139">
        <f>MATCH(AF149-1,金币总表!$Y$4:$Y$12,1)</f>
        <v>8</v>
      </c>
      <c r="AH149" s="19">
        <v>7.0475999999999997E-2</v>
      </c>
      <c r="AI149" s="139">
        <f>ROUND(INDEX(金币总表!$Z$5:$Z$12,装备!AG149)*装备!AH149/$AC$5,0)</f>
        <v>167336</v>
      </c>
      <c r="AK149" s="139">
        <f t="shared" si="27"/>
        <v>83670</v>
      </c>
      <c r="AL149" s="139">
        <f t="shared" si="27"/>
        <v>133870</v>
      </c>
      <c r="AM149" s="139">
        <f t="shared" si="27"/>
        <v>167335</v>
      </c>
      <c r="AN149" s="139">
        <f t="shared" si="27"/>
        <v>200805</v>
      </c>
      <c r="DE149" s="144">
        <v>144</v>
      </c>
      <c r="DF149" s="144">
        <f t="shared" si="28"/>
        <v>18</v>
      </c>
      <c r="DG149" s="144" t="s">
        <v>1208</v>
      </c>
      <c r="DH149" s="144">
        <f t="shared" si="29"/>
        <v>8</v>
      </c>
      <c r="DI149" s="144" t="str">
        <f t="shared" si="30"/>
        <v>戒指锻造</v>
      </c>
      <c r="DJ149" s="144" t="str">
        <f t="shared" si="31"/>
        <v>ui_dtex_Equ_08</v>
      </c>
      <c r="DK149" s="144" t="s">
        <v>1203</v>
      </c>
      <c r="DL149" s="144">
        <f t="shared" si="32"/>
        <v>580</v>
      </c>
    </row>
    <row r="150" spans="32:116" ht="16.5" x14ac:dyDescent="0.2">
      <c r="AF150" s="139">
        <v>145</v>
      </c>
      <c r="AG150" s="139">
        <f>MATCH(AF150-1,金币总表!$Y$4:$Y$12,1)</f>
        <v>8</v>
      </c>
      <c r="AH150" s="21">
        <v>7.4285500000000004E-2</v>
      </c>
      <c r="AI150" s="139">
        <f>ROUND(INDEX(金币总表!$Z$5:$Z$12,装备!AG150)*装备!AH150/$AC$5,0)</f>
        <v>176381</v>
      </c>
      <c r="AK150" s="139">
        <f t="shared" si="27"/>
        <v>88190</v>
      </c>
      <c r="AL150" s="139">
        <f t="shared" si="27"/>
        <v>141105</v>
      </c>
      <c r="AM150" s="139">
        <f t="shared" si="27"/>
        <v>176380</v>
      </c>
      <c r="AN150" s="139">
        <f t="shared" si="27"/>
        <v>211655</v>
      </c>
      <c r="DE150" s="144">
        <v>145</v>
      </c>
      <c r="DF150" s="144">
        <f t="shared" si="28"/>
        <v>19</v>
      </c>
      <c r="DG150" s="144" t="s">
        <v>1208</v>
      </c>
      <c r="DH150" s="144">
        <f t="shared" si="29"/>
        <v>1</v>
      </c>
      <c r="DI150" s="144" t="str">
        <f t="shared" si="30"/>
        <v>灵器锻造</v>
      </c>
      <c r="DJ150" s="144" t="str">
        <f t="shared" si="31"/>
        <v>ui_dtex_Equ_01</v>
      </c>
      <c r="DK150" s="144" t="s">
        <v>1203</v>
      </c>
      <c r="DL150" s="144">
        <f t="shared" si="32"/>
        <v>860</v>
      </c>
    </row>
    <row r="151" spans="32:116" ht="16.5" x14ac:dyDescent="0.2">
      <c r="AF151" s="139">
        <v>146</v>
      </c>
      <c r="AG151" s="139">
        <f>MATCH(AF151-1,金币总表!$Y$4:$Y$12,1)</f>
        <v>8</v>
      </c>
      <c r="AH151" s="19">
        <v>7.8094999999999998E-2</v>
      </c>
      <c r="AI151" s="139">
        <f>ROUND(INDEX(金币总表!$Z$5:$Z$12,装备!AG151)*装备!AH151/$AC$5,0)</f>
        <v>185426</v>
      </c>
      <c r="AK151" s="139">
        <f t="shared" si="27"/>
        <v>92715</v>
      </c>
      <c r="AL151" s="139">
        <f t="shared" si="27"/>
        <v>148340</v>
      </c>
      <c r="AM151" s="139">
        <f t="shared" si="27"/>
        <v>185425</v>
      </c>
      <c r="AN151" s="139">
        <f t="shared" si="27"/>
        <v>222510</v>
      </c>
      <c r="DE151" s="144">
        <v>146</v>
      </c>
      <c r="DF151" s="144">
        <f t="shared" si="28"/>
        <v>19</v>
      </c>
      <c r="DG151" s="144" t="s">
        <v>1208</v>
      </c>
      <c r="DH151" s="144">
        <f t="shared" si="29"/>
        <v>2</v>
      </c>
      <c r="DI151" s="144" t="str">
        <f t="shared" si="30"/>
        <v>头盔锻造</v>
      </c>
      <c r="DJ151" s="144" t="str">
        <f t="shared" si="31"/>
        <v>ui_dtex_Equ_02</v>
      </c>
      <c r="DK151" s="144" t="s">
        <v>1203</v>
      </c>
      <c r="DL151" s="144">
        <f t="shared" si="32"/>
        <v>430</v>
      </c>
    </row>
    <row r="152" spans="32:116" ht="16.5" x14ac:dyDescent="0.2">
      <c r="AF152" s="139">
        <v>147</v>
      </c>
      <c r="AG152" s="139">
        <f>MATCH(AF152-1,金币总表!$Y$4:$Y$12,1)</f>
        <v>8</v>
      </c>
      <c r="AH152" s="21">
        <v>8.1904500000000005E-2</v>
      </c>
      <c r="AI152" s="139">
        <f>ROUND(INDEX(金币总表!$Z$5:$Z$12,装备!AG152)*装备!AH152/$AC$5,0)</f>
        <v>194472</v>
      </c>
      <c r="AK152" s="139">
        <f t="shared" si="27"/>
        <v>97235</v>
      </c>
      <c r="AL152" s="139">
        <f t="shared" si="27"/>
        <v>155580</v>
      </c>
      <c r="AM152" s="139">
        <f t="shared" si="27"/>
        <v>194470</v>
      </c>
      <c r="AN152" s="139">
        <f t="shared" si="27"/>
        <v>233365</v>
      </c>
      <c r="DE152" s="144">
        <v>147</v>
      </c>
      <c r="DF152" s="144">
        <f t="shared" si="28"/>
        <v>19</v>
      </c>
      <c r="DG152" s="144" t="s">
        <v>1208</v>
      </c>
      <c r="DH152" s="144">
        <f t="shared" si="29"/>
        <v>3</v>
      </c>
      <c r="DI152" s="144" t="str">
        <f t="shared" si="30"/>
        <v>铠甲锻造</v>
      </c>
      <c r="DJ152" s="144" t="str">
        <f t="shared" si="31"/>
        <v>ui_dtex_Equ_03</v>
      </c>
      <c r="DK152" s="144" t="s">
        <v>1203</v>
      </c>
      <c r="DL152" s="144">
        <f t="shared" si="32"/>
        <v>430</v>
      </c>
    </row>
    <row r="153" spans="32:116" ht="16.5" x14ac:dyDescent="0.2">
      <c r="AF153" s="139">
        <v>148</v>
      </c>
      <c r="AG153" s="139">
        <f>MATCH(AF153-1,金币总表!$Y$4:$Y$12,1)</f>
        <v>8</v>
      </c>
      <c r="AH153" s="19">
        <v>8.5713999999999999E-2</v>
      </c>
      <c r="AI153" s="139">
        <f>ROUND(INDEX(金币总表!$Z$5:$Z$12,装备!AG153)*装备!AH153/$AC$5,0)</f>
        <v>203517</v>
      </c>
      <c r="AK153" s="139">
        <f t="shared" si="27"/>
        <v>101760</v>
      </c>
      <c r="AL153" s="139">
        <f t="shared" si="27"/>
        <v>162815</v>
      </c>
      <c r="AM153" s="139">
        <f t="shared" si="27"/>
        <v>203515</v>
      </c>
      <c r="AN153" s="139">
        <f t="shared" si="27"/>
        <v>244220</v>
      </c>
      <c r="DE153" s="144">
        <v>148</v>
      </c>
      <c r="DF153" s="144">
        <f t="shared" si="28"/>
        <v>19</v>
      </c>
      <c r="DG153" s="144" t="s">
        <v>1208</v>
      </c>
      <c r="DH153" s="144">
        <f t="shared" si="29"/>
        <v>4</v>
      </c>
      <c r="DI153" s="144" t="str">
        <f t="shared" si="30"/>
        <v>裤子锻造</v>
      </c>
      <c r="DJ153" s="144" t="str">
        <f t="shared" si="31"/>
        <v>ui_dtex_Equ_04</v>
      </c>
      <c r="DK153" s="144" t="s">
        <v>1203</v>
      </c>
      <c r="DL153" s="144">
        <f t="shared" si="32"/>
        <v>430</v>
      </c>
    </row>
    <row r="154" spans="32:116" ht="16.5" x14ac:dyDescent="0.2">
      <c r="AF154" s="139">
        <v>149</v>
      </c>
      <c r="AG154" s="139">
        <f>MATCH(AF154-1,金币总表!$Y$4:$Y$12,1)</f>
        <v>8</v>
      </c>
      <c r="AH154" s="21">
        <v>8.9523500000000006E-2</v>
      </c>
      <c r="AI154" s="139">
        <f>ROUND(INDEX(金币总表!$Z$5:$Z$12,装备!AG154)*装备!AH154/$AC$5,0)</f>
        <v>212562</v>
      </c>
      <c r="AK154" s="139">
        <f t="shared" si="27"/>
        <v>106280</v>
      </c>
      <c r="AL154" s="139">
        <f t="shared" si="27"/>
        <v>170050</v>
      </c>
      <c r="AM154" s="139">
        <f t="shared" si="27"/>
        <v>212560</v>
      </c>
      <c r="AN154" s="139">
        <f t="shared" si="27"/>
        <v>255075</v>
      </c>
      <c r="DE154" s="144">
        <v>149</v>
      </c>
      <c r="DF154" s="144">
        <f t="shared" si="28"/>
        <v>19</v>
      </c>
      <c r="DG154" s="144" t="s">
        <v>1208</v>
      </c>
      <c r="DH154" s="144">
        <f t="shared" si="29"/>
        <v>5</v>
      </c>
      <c r="DI154" s="144" t="str">
        <f t="shared" si="30"/>
        <v>鞋子锻造</v>
      </c>
      <c r="DJ154" s="144" t="str">
        <f t="shared" si="31"/>
        <v>ui_dtex_Equ_05</v>
      </c>
      <c r="DK154" s="144" t="s">
        <v>1203</v>
      </c>
      <c r="DL154" s="144">
        <f t="shared" si="32"/>
        <v>430</v>
      </c>
    </row>
    <row r="155" spans="32:116" ht="16.5" x14ac:dyDescent="0.2">
      <c r="AF155" s="139">
        <v>150</v>
      </c>
      <c r="AG155" s="139">
        <f>MATCH(AF155-1,金币总表!$Y$4:$Y$12,1)</f>
        <v>8</v>
      </c>
      <c r="AH155" s="19">
        <v>9.3332999999999999E-2</v>
      </c>
      <c r="AI155" s="139">
        <f>ROUND(INDEX(金币总表!$Z$5:$Z$12,装备!AG155)*装备!AH155/$AC$5,0)</f>
        <v>221607</v>
      </c>
      <c r="AK155" s="139">
        <f t="shared" si="27"/>
        <v>110805</v>
      </c>
      <c r="AL155" s="139">
        <f t="shared" si="27"/>
        <v>177285</v>
      </c>
      <c r="AM155" s="139">
        <f t="shared" si="27"/>
        <v>221605</v>
      </c>
      <c r="AN155" s="139">
        <f t="shared" si="27"/>
        <v>265930</v>
      </c>
      <c r="DE155" s="144">
        <v>150</v>
      </c>
      <c r="DF155" s="144">
        <f t="shared" si="28"/>
        <v>19</v>
      </c>
      <c r="DG155" s="144" t="s">
        <v>1208</v>
      </c>
      <c r="DH155" s="144">
        <f t="shared" si="29"/>
        <v>6</v>
      </c>
      <c r="DI155" s="144" t="str">
        <f t="shared" si="30"/>
        <v>护手锻造</v>
      </c>
      <c r="DJ155" s="144" t="str">
        <f t="shared" si="31"/>
        <v>ui_dtex_Equ_06</v>
      </c>
      <c r="DK155" s="144" t="s">
        <v>1203</v>
      </c>
      <c r="DL155" s="144">
        <f t="shared" si="32"/>
        <v>430</v>
      </c>
    </row>
    <row r="156" spans="32:116" ht="16.5" x14ac:dyDescent="0.2">
      <c r="DE156" s="144">
        <v>151</v>
      </c>
      <c r="DF156" s="144">
        <f t="shared" si="28"/>
        <v>19</v>
      </c>
      <c r="DG156" s="144" t="s">
        <v>1208</v>
      </c>
      <c r="DH156" s="144">
        <f t="shared" si="29"/>
        <v>7</v>
      </c>
      <c r="DI156" s="144" t="str">
        <f t="shared" si="30"/>
        <v>项链锻造</v>
      </c>
      <c r="DJ156" s="144" t="str">
        <f t="shared" si="31"/>
        <v>ui_dtex_Equ_07</v>
      </c>
      <c r="DK156" s="144" t="s">
        <v>1203</v>
      </c>
      <c r="DL156" s="144">
        <f t="shared" si="32"/>
        <v>645</v>
      </c>
    </row>
    <row r="157" spans="32:116" ht="16.5" x14ac:dyDescent="0.2">
      <c r="DE157" s="144">
        <v>152</v>
      </c>
      <c r="DF157" s="144">
        <f t="shared" si="28"/>
        <v>19</v>
      </c>
      <c r="DG157" s="144" t="s">
        <v>1208</v>
      </c>
      <c r="DH157" s="144">
        <f t="shared" si="29"/>
        <v>8</v>
      </c>
      <c r="DI157" s="144" t="str">
        <f t="shared" si="30"/>
        <v>戒指锻造</v>
      </c>
      <c r="DJ157" s="144" t="str">
        <f t="shared" si="31"/>
        <v>ui_dtex_Equ_08</v>
      </c>
      <c r="DK157" s="144" t="s">
        <v>1203</v>
      </c>
      <c r="DL157" s="144">
        <f t="shared" si="32"/>
        <v>645</v>
      </c>
    </row>
    <row r="158" spans="32:116" ht="16.5" x14ac:dyDescent="0.2">
      <c r="DE158" s="144">
        <v>153</v>
      </c>
      <c r="DF158" s="144">
        <f t="shared" si="28"/>
        <v>20</v>
      </c>
      <c r="DG158" s="144" t="s">
        <v>1208</v>
      </c>
      <c r="DH158" s="144">
        <f t="shared" si="29"/>
        <v>1</v>
      </c>
      <c r="DI158" s="144" t="str">
        <f t="shared" si="30"/>
        <v>灵器锻造</v>
      </c>
      <c r="DJ158" s="144" t="str">
        <f t="shared" si="31"/>
        <v>ui_dtex_Equ_01</v>
      </c>
      <c r="DK158" s="144" t="s">
        <v>1203</v>
      </c>
      <c r="DL158" s="144">
        <f t="shared" si="32"/>
        <v>920</v>
      </c>
    </row>
    <row r="159" spans="32:116" ht="16.5" x14ac:dyDescent="0.2">
      <c r="DE159" s="144">
        <v>154</v>
      </c>
      <c r="DF159" s="144">
        <f t="shared" si="28"/>
        <v>20</v>
      </c>
      <c r="DG159" s="144" t="s">
        <v>1208</v>
      </c>
      <c r="DH159" s="144">
        <f t="shared" si="29"/>
        <v>2</v>
      </c>
      <c r="DI159" s="144" t="str">
        <f t="shared" si="30"/>
        <v>头盔锻造</v>
      </c>
      <c r="DJ159" s="144" t="str">
        <f t="shared" si="31"/>
        <v>ui_dtex_Equ_02</v>
      </c>
      <c r="DK159" s="144" t="s">
        <v>1203</v>
      </c>
      <c r="DL159" s="144">
        <f t="shared" si="32"/>
        <v>460</v>
      </c>
    </row>
    <row r="160" spans="32:116" ht="16.5" x14ac:dyDescent="0.2">
      <c r="DE160" s="144">
        <v>155</v>
      </c>
      <c r="DF160" s="144">
        <f t="shared" si="28"/>
        <v>20</v>
      </c>
      <c r="DG160" s="144" t="s">
        <v>1208</v>
      </c>
      <c r="DH160" s="144">
        <f t="shared" si="29"/>
        <v>3</v>
      </c>
      <c r="DI160" s="144" t="str">
        <f t="shared" si="30"/>
        <v>铠甲锻造</v>
      </c>
      <c r="DJ160" s="144" t="str">
        <f t="shared" si="31"/>
        <v>ui_dtex_Equ_03</v>
      </c>
      <c r="DK160" s="144" t="s">
        <v>1203</v>
      </c>
      <c r="DL160" s="144">
        <f t="shared" si="32"/>
        <v>460</v>
      </c>
    </row>
    <row r="161" spans="109:116" ht="16.5" x14ac:dyDescent="0.2">
      <c r="DE161" s="144">
        <v>156</v>
      </c>
      <c r="DF161" s="144">
        <f t="shared" si="28"/>
        <v>20</v>
      </c>
      <c r="DG161" s="144" t="s">
        <v>1208</v>
      </c>
      <c r="DH161" s="144">
        <f t="shared" si="29"/>
        <v>4</v>
      </c>
      <c r="DI161" s="144" t="str">
        <f t="shared" si="30"/>
        <v>裤子锻造</v>
      </c>
      <c r="DJ161" s="144" t="str">
        <f t="shared" si="31"/>
        <v>ui_dtex_Equ_04</v>
      </c>
      <c r="DK161" s="144" t="s">
        <v>1203</v>
      </c>
      <c r="DL161" s="144">
        <f t="shared" si="32"/>
        <v>460</v>
      </c>
    </row>
    <row r="162" spans="109:116" ht="16.5" x14ac:dyDescent="0.2">
      <c r="DE162" s="144">
        <v>157</v>
      </c>
      <c r="DF162" s="144">
        <f t="shared" si="28"/>
        <v>20</v>
      </c>
      <c r="DG162" s="144" t="s">
        <v>1208</v>
      </c>
      <c r="DH162" s="144">
        <f t="shared" si="29"/>
        <v>5</v>
      </c>
      <c r="DI162" s="144" t="str">
        <f t="shared" si="30"/>
        <v>鞋子锻造</v>
      </c>
      <c r="DJ162" s="144" t="str">
        <f t="shared" si="31"/>
        <v>ui_dtex_Equ_05</v>
      </c>
      <c r="DK162" s="144" t="s">
        <v>1203</v>
      </c>
      <c r="DL162" s="144">
        <f t="shared" si="32"/>
        <v>460</v>
      </c>
    </row>
    <row r="163" spans="109:116" ht="16.5" x14ac:dyDescent="0.2">
      <c r="DE163" s="144">
        <v>158</v>
      </c>
      <c r="DF163" s="144">
        <f t="shared" si="28"/>
        <v>20</v>
      </c>
      <c r="DG163" s="144" t="s">
        <v>1208</v>
      </c>
      <c r="DH163" s="144">
        <f t="shared" si="29"/>
        <v>6</v>
      </c>
      <c r="DI163" s="144" t="str">
        <f t="shared" si="30"/>
        <v>护手锻造</v>
      </c>
      <c r="DJ163" s="144" t="str">
        <f t="shared" si="31"/>
        <v>ui_dtex_Equ_06</v>
      </c>
      <c r="DK163" s="144" t="s">
        <v>1203</v>
      </c>
      <c r="DL163" s="144">
        <f t="shared" si="32"/>
        <v>460</v>
      </c>
    </row>
    <row r="164" spans="109:116" ht="16.5" x14ac:dyDescent="0.2">
      <c r="DE164" s="144">
        <v>159</v>
      </c>
      <c r="DF164" s="144">
        <f t="shared" si="28"/>
        <v>20</v>
      </c>
      <c r="DG164" s="144" t="s">
        <v>1208</v>
      </c>
      <c r="DH164" s="144">
        <f t="shared" si="29"/>
        <v>7</v>
      </c>
      <c r="DI164" s="144" t="str">
        <f t="shared" si="30"/>
        <v>项链锻造</v>
      </c>
      <c r="DJ164" s="144" t="str">
        <f t="shared" si="31"/>
        <v>ui_dtex_Equ_07</v>
      </c>
      <c r="DK164" s="144" t="s">
        <v>1203</v>
      </c>
      <c r="DL164" s="144">
        <f t="shared" si="32"/>
        <v>690</v>
      </c>
    </row>
    <row r="165" spans="109:116" ht="16.5" x14ac:dyDescent="0.2">
      <c r="DE165" s="144">
        <v>160</v>
      </c>
      <c r="DF165" s="144">
        <f t="shared" si="28"/>
        <v>20</v>
      </c>
      <c r="DG165" s="144" t="s">
        <v>1208</v>
      </c>
      <c r="DH165" s="144">
        <f t="shared" si="29"/>
        <v>8</v>
      </c>
      <c r="DI165" s="144" t="str">
        <f t="shared" si="30"/>
        <v>戒指锻造</v>
      </c>
      <c r="DJ165" s="144" t="str">
        <f t="shared" si="31"/>
        <v>ui_dtex_Equ_08</v>
      </c>
      <c r="DK165" s="144" t="s">
        <v>1203</v>
      </c>
      <c r="DL165" s="144">
        <f t="shared" si="32"/>
        <v>690</v>
      </c>
    </row>
    <row r="166" spans="109:116" ht="16.5" x14ac:dyDescent="0.2">
      <c r="DE166" s="144">
        <v>161</v>
      </c>
      <c r="DF166" s="144">
        <f t="shared" si="28"/>
        <v>21</v>
      </c>
      <c r="DG166" s="144" t="s">
        <v>1208</v>
      </c>
      <c r="DH166" s="144">
        <f t="shared" si="29"/>
        <v>1</v>
      </c>
      <c r="DI166" s="144" t="str">
        <f t="shared" si="30"/>
        <v>灵器锻造</v>
      </c>
      <c r="DJ166" s="144" t="str">
        <f t="shared" si="31"/>
        <v>ui_dtex_Equ_01</v>
      </c>
      <c r="DK166" s="144" t="s">
        <v>1203</v>
      </c>
      <c r="DL166" s="144">
        <f t="shared" si="32"/>
        <v>1100</v>
      </c>
    </row>
    <row r="167" spans="109:116" ht="16.5" x14ac:dyDescent="0.2">
      <c r="DE167" s="144">
        <v>162</v>
      </c>
      <c r="DF167" s="144">
        <f t="shared" si="28"/>
        <v>21</v>
      </c>
      <c r="DG167" s="144" t="s">
        <v>1208</v>
      </c>
      <c r="DH167" s="144">
        <f t="shared" si="29"/>
        <v>2</v>
      </c>
      <c r="DI167" s="144" t="str">
        <f t="shared" si="30"/>
        <v>头盔锻造</v>
      </c>
      <c r="DJ167" s="144" t="str">
        <f t="shared" si="31"/>
        <v>ui_dtex_Equ_02</v>
      </c>
      <c r="DK167" s="144" t="s">
        <v>1203</v>
      </c>
      <c r="DL167" s="144">
        <f t="shared" si="32"/>
        <v>550</v>
      </c>
    </row>
    <row r="168" spans="109:116" ht="16.5" x14ac:dyDescent="0.2">
      <c r="DE168" s="144">
        <v>163</v>
      </c>
      <c r="DF168" s="144">
        <f t="shared" si="28"/>
        <v>21</v>
      </c>
      <c r="DG168" s="144" t="s">
        <v>1208</v>
      </c>
      <c r="DH168" s="144">
        <f t="shared" si="29"/>
        <v>3</v>
      </c>
      <c r="DI168" s="144" t="str">
        <f t="shared" si="30"/>
        <v>铠甲锻造</v>
      </c>
      <c r="DJ168" s="144" t="str">
        <f t="shared" si="31"/>
        <v>ui_dtex_Equ_03</v>
      </c>
      <c r="DK168" s="144" t="s">
        <v>1203</v>
      </c>
      <c r="DL168" s="144">
        <f t="shared" si="32"/>
        <v>550</v>
      </c>
    </row>
    <row r="169" spans="109:116" ht="16.5" x14ac:dyDescent="0.2">
      <c r="DE169" s="144">
        <v>164</v>
      </c>
      <c r="DF169" s="144">
        <f t="shared" si="28"/>
        <v>21</v>
      </c>
      <c r="DG169" s="144" t="s">
        <v>1208</v>
      </c>
      <c r="DH169" s="144">
        <f t="shared" si="29"/>
        <v>4</v>
      </c>
      <c r="DI169" s="144" t="str">
        <f t="shared" si="30"/>
        <v>裤子锻造</v>
      </c>
      <c r="DJ169" s="144" t="str">
        <f t="shared" si="31"/>
        <v>ui_dtex_Equ_04</v>
      </c>
      <c r="DK169" s="144" t="s">
        <v>1203</v>
      </c>
      <c r="DL169" s="144">
        <f t="shared" si="32"/>
        <v>550</v>
      </c>
    </row>
    <row r="170" spans="109:116" ht="16.5" x14ac:dyDescent="0.2">
      <c r="DE170" s="144">
        <v>165</v>
      </c>
      <c r="DF170" s="144">
        <f t="shared" si="28"/>
        <v>21</v>
      </c>
      <c r="DG170" s="144" t="s">
        <v>1208</v>
      </c>
      <c r="DH170" s="144">
        <f t="shared" si="29"/>
        <v>5</v>
      </c>
      <c r="DI170" s="144" t="str">
        <f t="shared" si="30"/>
        <v>鞋子锻造</v>
      </c>
      <c r="DJ170" s="144" t="str">
        <f t="shared" si="31"/>
        <v>ui_dtex_Equ_05</v>
      </c>
      <c r="DK170" s="144" t="s">
        <v>1203</v>
      </c>
      <c r="DL170" s="144">
        <f t="shared" si="32"/>
        <v>550</v>
      </c>
    </row>
    <row r="171" spans="109:116" ht="16.5" x14ac:dyDescent="0.2">
      <c r="DE171" s="144">
        <v>166</v>
      </c>
      <c r="DF171" s="144">
        <f t="shared" si="28"/>
        <v>21</v>
      </c>
      <c r="DG171" s="144" t="s">
        <v>1208</v>
      </c>
      <c r="DH171" s="144">
        <f t="shared" si="29"/>
        <v>6</v>
      </c>
      <c r="DI171" s="144" t="str">
        <f t="shared" si="30"/>
        <v>护手锻造</v>
      </c>
      <c r="DJ171" s="144" t="str">
        <f t="shared" si="31"/>
        <v>ui_dtex_Equ_06</v>
      </c>
      <c r="DK171" s="144" t="s">
        <v>1203</v>
      </c>
      <c r="DL171" s="144">
        <f t="shared" si="32"/>
        <v>550</v>
      </c>
    </row>
    <row r="172" spans="109:116" ht="16.5" x14ac:dyDescent="0.2">
      <c r="DE172" s="144">
        <v>167</v>
      </c>
      <c r="DF172" s="144">
        <f t="shared" si="28"/>
        <v>21</v>
      </c>
      <c r="DG172" s="144" t="s">
        <v>1208</v>
      </c>
      <c r="DH172" s="144">
        <f t="shared" si="29"/>
        <v>7</v>
      </c>
      <c r="DI172" s="144" t="str">
        <f t="shared" si="30"/>
        <v>项链锻造</v>
      </c>
      <c r="DJ172" s="144" t="str">
        <f t="shared" si="31"/>
        <v>ui_dtex_Equ_07</v>
      </c>
      <c r="DK172" s="144" t="s">
        <v>1203</v>
      </c>
      <c r="DL172" s="144">
        <f t="shared" si="32"/>
        <v>825</v>
      </c>
    </row>
    <row r="173" spans="109:116" ht="16.5" x14ac:dyDescent="0.2">
      <c r="DE173" s="144">
        <v>168</v>
      </c>
      <c r="DF173" s="144">
        <f t="shared" si="28"/>
        <v>21</v>
      </c>
      <c r="DG173" s="144" t="s">
        <v>1208</v>
      </c>
      <c r="DH173" s="144">
        <f t="shared" si="29"/>
        <v>8</v>
      </c>
      <c r="DI173" s="144" t="str">
        <f t="shared" si="30"/>
        <v>戒指锻造</v>
      </c>
      <c r="DJ173" s="144" t="str">
        <f t="shared" si="31"/>
        <v>ui_dtex_Equ_08</v>
      </c>
      <c r="DK173" s="144" t="s">
        <v>1203</v>
      </c>
      <c r="DL173" s="144">
        <f t="shared" si="32"/>
        <v>825</v>
      </c>
    </row>
    <row r="174" spans="109:116" x14ac:dyDescent="0.2">
      <c r="DE174" s="146"/>
      <c r="DF174" s="146"/>
    </row>
    <row r="175" spans="109:116" x14ac:dyDescent="0.2">
      <c r="DE175" s="146"/>
      <c r="DF175" s="146"/>
    </row>
    <row r="176" spans="109:116" x14ac:dyDescent="0.2">
      <c r="DE176" s="146"/>
      <c r="DF176" s="146"/>
    </row>
    <row r="177" spans="109:110" x14ac:dyDescent="0.2">
      <c r="DE177" s="146"/>
      <c r="DF177" s="146"/>
    </row>
    <row r="178" spans="109:110" x14ac:dyDescent="0.2">
      <c r="DE178" s="146"/>
      <c r="DF178" s="146"/>
    </row>
    <row r="179" spans="109:110" x14ac:dyDescent="0.2">
      <c r="DE179" s="146"/>
      <c r="DF179" s="146"/>
    </row>
    <row r="180" spans="109:110" x14ac:dyDescent="0.2">
      <c r="DE180" s="146"/>
      <c r="DF180" s="146"/>
    </row>
    <row r="181" spans="109:110" x14ac:dyDescent="0.2">
      <c r="DE181" s="146"/>
      <c r="DF181" s="146"/>
    </row>
    <row r="182" spans="109:110" x14ac:dyDescent="0.2">
      <c r="DE182" s="146"/>
      <c r="DF182" s="146"/>
    </row>
    <row r="183" spans="109:110" x14ac:dyDescent="0.2">
      <c r="DE183" s="146"/>
      <c r="DF183" s="146"/>
    </row>
    <row r="184" spans="109:110" x14ac:dyDescent="0.2">
      <c r="DE184" s="146"/>
      <c r="DF184" s="146"/>
    </row>
    <row r="185" spans="109:110" x14ac:dyDescent="0.2">
      <c r="DE185" s="146"/>
      <c r="DF185" s="146"/>
    </row>
    <row r="186" spans="109:110" x14ac:dyDescent="0.2">
      <c r="DE186" s="146"/>
      <c r="DF186" s="146"/>
    </row>
    <row r="187" spans="109:110" x14ac:dyDescent="0.2">
      <c r="DE187" s="146"/>
      <c r="DF187" s="146"/>
    </row>
    <row r="188" spans="109:110" x14ac:dyDescent="0.2">
      <c r="DE188" s="146"/>
      <c r="DF188" s="146"/>
    </row>
    <row r="189" spans="109:110" x14ac:dyDescent="0.2">
      <c r="DE189" s="146"/>
      <c r="DF189" s="146"/>
    </row>
    <row r="190" spans="109:110" x14ac:dyDescent="0.2">
      <c r="DE190" s="146"/>
      <c r="DF190" s="146"/>
    </row>
    <row r="191" spans="109:110" x14ac:dyDescent="0.2">
      <c r="DE191" s="146"/>
      <c r="DF191" s="146"/>
    </row>
    <row r="192" spans="109:110" x14ac:dyDescent="0.2">
      <c r="DE192" s="146"/>
      <c r="DF192" s="146"/>
    </row>
    <row r="193" spans="109:110" x14ac:dyDescent="0.2">
      <c r="DE193" s="146"/>
      <c r="DF193" s="146"/>
    </row>
    <row r="194" spans="109:110" x14ac:dyDescent="0.2">
      <c r="DE194" s="146"/>
      <c r="DF194" s="146"/>
    </row>
    <row r="195" spans="109:110" x14ac:dyDescent="0.2">
      <c r="DE195" s="146"/>
      <c r="DF195" s="146"/>
    </row>
    <row r="196" spans="109:110" x14ac:dyDescent="0.2">
      <c r="DE196" s="146"/>
      <c r="DF196" s="146"/>
    </row>
    <row r="197" spans="109:110" x14ac:dyDescent="0.2">
      <c r="DE197" s="146"/>
      <c r="DF197" s="146"/>
    </row>
    <row r="198" spans="109:110" x14ac:dyDescent="0.2">
      <c r="DE198" s="146"/>
      <c r="DF198" s="146"/>
    </row>
    <row r="199" spans="109:110" x14ac:dyDescent="0.2">
      <c r="DE199" s="146"/>
      <c r="DF199" s="146"/>
    </row>
    <row r="200" spans="109:110" x14ac:dyDescent="0.2">
      <c r="DE200" s="146"/>
      <c r="DF200" s="146"/>
    </row>
    <row r="201" spans="109:110" x14ac:dyDescent="0.2">
      <c r="DE201" s="146"/>
      <c r="DF201" s="146"/>
    </row>
    <row r="202" spans="109:110" x14ac:dyDescent="0.2">
      <c r="DE202" s="146"/>
      <c r="DF202" s="146"/>
    </row>
    <row r="203" spans="109:110" x14ac:dyDescent="0.2">
      <c r="DE203" s="146"/>
      <c r="DF203" s="146"/>
    </row>
    <row r="204" spans="109:110" x14ac:dyDescent="0.2">
      <c r="DE204" s="146"/>
      <c r="DF204" s="146"/>
    </row>
    <row r="205" spans="109:110" x14ac:dyDescent="0.2">
      <c r="DE205" s="146"/>
      <c r="DF205" s="146"/>
    </row>
    <row r="206" spans="109:110" x14ac:dyDescent="0.2">
      <c r="DE206" s="146"/>
      <c r="DF206" s="146"/>
    </row>
    <row r="207" spans="109:110" x14ac:dyDescent="0.2">
      <c r="DE207" s="146"/>
      <c r="DF207" s="146"/>
    </row>
    <row r="208" spans="109:110" x14ac:dyDescent="0.2">
      <c r="DE208" s="146"/>
      <c r="DF208" s="146"/>
    </row>
    <row r="209" spans="109:110" x14ac:dyDescent="0.2">
      <c r="DE209" s="146"/>
      <c r="DF209" s="146"/>
    </row>
    <row r="210" spans="109:110" x14ac:dyDescent="0.2">
      <c r="DE210" s="146"/>
      <c r="DF210" s="146"/>
    </row>
    <row r="211" spans="109:110" x14ac:dyDescent="0.2">
      <c r="DE211" s="146"/>
      <c r="DF211" s="146"/>
    </row>
    <row r="212" spans="109:110" x14ac:dyDescent="0.2">
      <c r="DE212" s="146"/>
      <c r="DF212" s="146"/>
    </row>
    <row r="213" spans="109:110" x14ac:dyDescent="0.2">
      <c r="DE213" s="146"/>
      <c r="DF213" s="146"/>
    </row>
    <row r="214" spans="109:110" x14ac:dyDescent="0.2">
      <c r="DE214" s="146"/>
      <c r="DF214" s="146"/>
    </row>
    <row r="215" spans="109:110" x14ac:dyDescent="0.2">
      <c r="DE215" s="146"/>
      <c r="DF215" s="146"/>
    </row>
    <row r="216" spans="109:110" x14ac:dyDescent="0.2">
      <c r="DE216" s="146"/>
      <c r="DF216" s="146"/>
    </row>
    <row r="217" spans="109:110" x14ac:dyDescent="0.2">
      <c r="DE217" s="146"/>
      <c r="DF217" s="146"/>
    </row>
    <row r="218" spans="109:110" x14ac:dyDescent="0.2">
      <c r="DE218" s="146"/>
      <c r="DF218" s="146"/>
    </row>
    <row r="219" spans="109:110" x14ac:dyDescent="0.2">
      <c r="DE219" s="146"/>
      <c r="DF219" s="146"/>
    </row>
    <row r="220" spans="109:110" x14ac:dyDescent="0.2">
      <c r="DE220" s="146"/>
      <c r="DF220" s="146"/>
    </row>
    <row r="221" spans="109:110" x14ac:dyDescent="0.2">
      <c r="DE221" s="146"/>
      <c r="DF221" s="146"/>
    </row>
  </sheetData>
  <mergeCells count="6">
    <mergeCell ref="BB4:BR4"/>
    <mergeCell ref="BU4:CB4"/>
    <mergeCell ref="A51:G51"/>
    <mergeCell ref="A5:M45"/>
    <mergeCell ref="O4:X4"/>
    <mergeCell ref="AQ4:AY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T786"/>
  <sheetViews>
    <sheetView topLeftCell="AX1" workbookViewId="0">
      <selection activeCell="BH8" sqref="BH8"/>
    </sheetView>
  </sheetViews>
  <sheetFormatPr defaultRowHeight="14.25" x14ac:dyDescent="0.2"/>
  <cols>
    <col min="19" max="19" width="9.625" bestFit="1" customWidth="1"/>
    <col min="25" max="25" width="40.125" customWidth="1"/>
    <col min="26" max="26" width="61.25" customWidth="1"/>
    <col min="27" max="27" width="78.75" customWidth="1"/>
    <col min="28" max="29" width="10.375" customWidth="1"/>
    <col min="30" max="37" width="9" customWidth="1"/>
    <col min="41" max="41" width="10.5" style="146" customWidth="1"/>
    <col min="42" max="42" width="20.75" style="146" customWidth="1"/>
    <col min="43" max="43" width="23.75" style="146" customWidth="1"/>
    <col min="46" max="46" width="9.625" customWidth="1"/>
    <col min="64" max="148" width="0" hidden="1" customWidth="1"/>
    <col min="196" max="196" width="9.875" customWidth="1"/>
    <col min="197" max="197" width="15.5" customWidth="1"/>
    <col min="198" max="198" width="18.625" customWidth="1"/>
    <col min="199" max="199" width="9.375" customWidth="1"/>
    <col min="200" max="200" width="10.25" customWidth="1"/>
    <col min="201" max="201" width="14.25" customWidth="1"/>
    <col min="202" max="202" width="13.125" customWidth="1"/>
  </cols>
  <sheetData>
    <row r="2" spans="1:202" x14ac:dyDescent="0.2">
      <c r="BL2">
        <v>1</v>
      </c>
      <c r="BM2">
        <v>2</v>
      </c>
      <c r="BN2">
        <v>3</v>
      </c>
      <c r="BO2">
        <v>4</v>
      </c>
      <c r="BP2">
        <v>5</v>
      </c>
      <c r="BQ2">
        <v>6</v>
      </c>
      <c r="BR2">
        <v>7</v>
      </c>
      <c r="BS2">
        <v>8</v>
      </c>
      <c r="BT2">
        <v>9</v>
      </c>
      <c r="BU2">
        <v>10</v>
      </c>
      <c r="BV2">
        <v>11</v>
      </c>
      <c r="BW2">
        <v>12</v>
      </c>
      <c r="BX2">
        <v>13</v>
      </c>
      <c r="BY2">
        <v>14</v>
      </c>
      <c r="BZ2">
        <v>15</v>
      </c>
      <c r="CA2">
        <v>16</v>
      </c>
      <c r="CB2">
        <v>17</v>
      </c>
      <c r="CC2">
        <v>18</v>
      </c>
      <c r="CD2">
        <v>19</v>
      </c>
      <c r="CE2">
        <v>20</v>
      </c>
      <c r="CF2">
        <v>21</v>
      </c>
      <c r="CG2">
        <v>22</v>
      </c>
      <c r="CH2">
        <v>23</v>
      </c>
      <c r="CI2">
        <v>24</v>
      </c>
      <c r="CJ2">
        <v>25</v>
      </c>
      <c r="CK2">
        <v>26</v>
      </c>
      <c r="CL2">
        <v>27</v>
      </c>
      <c r="CM2">
        <v>28</v>
      </c>
      <c r="CN2">
        <v>29</v>
      </c>
      <c r="CO2">
        <v>30</v>
      </c>
      <c r="CP2">
        <v>31</v>
      </c>
      <c r="CQ2">
        <v>32</v>
      </c>
      <c r="CR2">
        <v>33</v>
      </c>
      <c r="CS2">
        <v>34</v>
      </c>
      <c r="CT2">
        <v>35</v>
      </c>
      <c r="CU2">
        <v>36</v>
      </c>
      <c r="CV2">
        <v>37</v>
      </c>
      <c r="CW2">
        <v>38</v>
      </c>
      <c r="CX2">
        <v>39</v>
      </c>
      <c r="CY2">
        <v>40</v>
      </c>
      <c r="CZ2">
        <v>41</v>
      </c>
      <c r="DA2">
        <v>42</v>
      </c>
    </row>
    <row r="4" spans="1:202" ht="20.25" x14ac:dyDescent="0.2">
      <c r="A4" s="27" t="s">
        <v>652</v>
      </c>
      <c r="B4" s="87">
        <v>5</v>
      </c>
      <c r="J4" s="186" t="s">
        <v>737</v>
      </c>
      <c r="K4" s="186"/>
      <c r="L4" s="186"/>
      <c r="N4" s="187" t="s">
        <v>809</v>
      </c>
      <c r="O4" s="187"/>
      <c r="P4" s="187"/>
      <c r="Q4" s="187"/>
      <c r="R4" s="187"/>
      <c r="S4" s="187"/>
      <c r="T4" s="187"/>
      <c r="W4" s="186" t="s">
        <v>743</v>
      </c>
      <c r="X4" s="186"/>
      <c r="Y4" s="186"/>
      <c r="Z4" s="186"/>
      <c r="AA4" s="186"/>
      <c r="AD4" s="186" t="s">
        <v>788</v>
      </c>
      <c r="AE4" s="186"/>
      <c r="AF4" s="186"/>
      <c r="AG4" s="186"/>
      <c r="AH4" s="186"/>
      <c r="AI4" s="186"/>
      <c r="AL4" s="186" t="s">
        <v>789</v>
      </c>
      <c r="AM4" s="186"/>
      <c r="AN4" s="186"/>
      <c r="AO4" s="186"/>
      <c r="AP4" s="186"/>
      <c r="AQ4" s="186"/>
      <c r="AR4" s="186"/>
      <c r="AS4" s="186"/>
      <c r="AT4" s="186"/>
      <c r="AU4" s="186"/>
      <c r="AV4" s="186"/>
      <c r="AW4" s="186"/>
      <c r="AX4" s="186"/>
      <c r="AY4" s="186"/>
      <c r="BB4" s="186" t="s">
        <v>792</v>
      </c>
      <c r="BC4" s="186"/>
      <c r="BD4" s="186"/>
      <c r="BG4" s="186" t="s">
        <v>795</v>
      </c>
      <c r="BH4" s="186"/>
      <c r="BI4" s="186"/>
      <c r="BJ4" s="186"/>
      <c r="BK4" s="186"/>
      <c r="BL4" s="186"/>
      <c r="BM4" s="186"/>
      <c r="BN4" s="186"/>
      <c r="BO4" s="186"/>
      <c r="BP4" s="186"/>
      <c r="BQ4" s="186"/>
      <c r="BR4" s="186"/>
      <c r="BS4" s="186"/>
      <c r="BT4" s="186"/>
      <c r="BU4" s="186"/>
      <c r="BV4" s="186"/>
      <c r="BW4" s="186"/>
      <c r="BX4" s="186"/>
      <c r="BY4" s="186"/>
      <c r="BZ4" s="186"/>
      <c r="CA4" s="186"/>
      <c r="CB4" s="186"/>
      <c r="CC4" s="186"/>
      <c r="CD4" s="186"/>
      <c r="CE4" s="186"/>
      <c r="CF4" s="186"/>
      <c r="CG4" s="186"/>
      <c r="CH4" s="186"/>
      <c r="CI4" s="186"/>
      <c r="CJ4" s="186"/>
      <c r="CK4" s="186"/>
      <c r="CL4" s="186"/>
      <c r="CM4" s="186"/>
      <c r="CN4" s="186"/>
      <c r="CO4" s="186"/>
      <c r="CP4" s="186"/>
      <c r="CQ4" s="186"/>
      <c r="CR4" s="186"/>
      <c r="CS4" s="186"/>
      <c r="CT4" s="186"/>
      <c r="CU4" s="186"/>
      <c r="CV4" s="186"/>
      <c r="CW4" s="186"/>
      <c r="CX4" s="186"/>
      <c r="CY4" s="186"/>
      <c r="CZ4" s="186"/>
      <c r="DA4" s="186"/>
      <c r="DC4" s="186" t="s">
        <v>802</v>
      </c>
      <c r="DD4" s="186"/>
      <c r="DE4" s="186"/>
      <c r="DF4" s="186"/>
      <c r="DG4" s="186"/>
      <c r="DH4" s="186"/>
      <c r="DI4" s="186"/>
      <c r="DJ4" s="186"/>
      <c r="DK4" s="186"/>
      <c r="DL4" s="186"/>
      <c r="DM4" s="186"/>
      <c r="DN4" s="186"/>
      <c r="DO4" s="186"/>
      <c r="DP4" s="186"/>
      <c r="DQ4" s="186"/>
      <c r="DR4" s="186"/>
      <c r="DS4" s="186"/>
      <c r="DT4" s="186"/>
      <c r="DU4" s="186"/>
      <c r="DV4" s="186"/>
      <c r="DW4" s="186"/>
      <c r="DX4" s="186"/>
      <c r="DY4" s="186"/>
      <c r="DZ4" s="186"/>
      <c r="EA4" s="186"/>
      <c r="EB4" s="186"/>
      <c r="EC4" s="186"/>
      <c r="ED4" s="186"/>
      <c r="EE4" s="186"/>
      <c r="EF4" s="186"/>
      <c r="EG4" s="186"/>
      <c r="EH4" s="186"/>
      <c r="EI4" s="186"/>
      <c r="EJ4" s="186"/>
      <c r="EK4" s="186"/>
      <c r="EL4" s="186"/>
      <c r="EM4" s="186"/>
      <c r="EN4" s="186"/>
      <c r="EO4" s="186"/>
      <c r="EP4" s="186"/>
      <c r="EQ4" s="186"/>
      <c r="ER4" s="186"/>
      <c r="EU4" s="186" t="s">
        <v>593</v>
      </c>
      <c r="EV4" s="186"/>
      <c r="EW4" s="186"/>
      <c r="EX4" s="186"/>
      <c r="EY4" s="186"/>
      <c r="EZ4" s="186"/>
      <c r="FA4" s="186"/>
      <c r="FB4" s="186"/>
      <c r="FC4" s="186"/>
      <c r="FD4" s="186"/>
      <c r="FE4" s="186"/>
      <c r="FF4" s="186"/>
      <c r="FG4" s="186"/>
      <c r="FH4" s="186"/>
      <c r="FI4" s="186"/>
      <c r="FJ4" s="186"/>
      <c r="FK4" s="186"/>
      <c r="FL4" s="186"/>
      <c r="FM4" s="186"/>
      <c r="FN4" s="186"/>
      <c r="FO4" s="186"/>
      <c r="FP4" s="186"/>
      <c r="FQ4" s="186"/>
      <c r="FR4" s="186"/>
      <c r="FS4" s="186"/>
      <c r="FT4" s="186"/>
      <c r="FU4" s="186"/>
      <c r="FV4" s="186"/>
      <c r="FW4" s="186"/>
      <c r="FX4" s="186"/>
      <c r="FY4" s="186"/>
      <c r="FZ4" s="186"/>
      <c r="GA4" s="186"/>
      <c r="GB4" s="186"/>
      <c r="GC4" s="186"/>
      <c r="GD4" s="186"/>
      <c r="GE4" s="186"/>
      <c r="GF4" s="186"/>
      <c r="GG4" s="186"/>
      <c r="GH4" s="186"/>
      <c r="GI4" s="186"/>
      <c r="GJ4" s="186"/>
      <c r="GM4" s="186" t="s">
        <v>819</v>
      </c>
      <c r="GN4" s="186"/>
      <c r="GO4" s="186"/>
      <c r="GP4" s="186"/>
      <c r="GQ4" s="186"/>
      <c r="GR4" s="186"/>
      <c r="GS4" s="186"/>
      <c r="GT4" s="186"/>
    </row>
    <row r="5" spans="1:202" ht="16.5" customHeight="1" x14ac:dyDescent="0.2">
      <c r="A5" s="132"/>
      <c r="B5" s="132"/>
      <c r="C5" s="132"/>
      <c r="J5" s="93"/>
      <c r="K5" s="93"/>
      <c r="L5" s="93"/>
      <c r="N5" s="94"/>
      <c r="O5" s="94"/>
      <c r="P5" s="94"/>
      <c r="Q5" s="94"/>
      <c r="R5" s="94"/>
      <c r="S5" s="94"/>
      <c r="T5" s="94"/>
      <c r="W5" s="93"/>
      <c r="X5" s="93"/>
      <c r="Y5" s="93"/>
      <c r="Z5" s="93"/>
      <c r="AA5" s="93"/>
      <c r="AD5" s="93"/>
      <c r="AE5" s="93"/>
      <c r="AF5" s="93"/>
      <c r="AG5" s="93"/>
      <c r="AH5" s="93"/>
      <c r="AI5" s="93"/>
      <c r="AL5" s="93"/>
      <c r="AM5" s="93"/>
      <c r="AN5" s="93"/>
      <c r="AO5" s="143"/>
      <c r="AP5" s="143"/>
      <c r="AQ5" s="143"/>
      <c r="AR5" s="93"/>
      <c r="AS5" s="93"/>
      <c r="AT5" s="93"/>
      <c r="AU5" s="93"/>
      <c r="AV5" s="93"/>
      <c r="AW5" s="93"/>
      <c r="AX5" s="93"/>
      <c r="AY5" s="93"/>
      <c r="BB5" s="93"/>
      <c r="BC5" s="93"/>
      <c r="BD5" s="93"/>
      <c r="BG5" s="93"/>
      <c r="BH5" s="93"/>
      <c r="BI5" s="93"/>
      <c r="BJ5" s="93"/>
      <c r="BK5" s="93"/>
      <c r="BL5" s="93"/>
      <c r="BM5" s="93"/>
      <c r="BN5" s="93"/>
      <c r="BO5" s="93"/>
      <c r="BP5" s="93"/>
      <c r="BQ5" s="93"/>
      <c r="BR5" s="93"/>
      <c r="BS5" s="93"/>
      <c r="BT5" s="93"/>
      <c r="BU5" s="93"/>
      <c r="BV5" s="93"/>
      <c r="BW5" s="93"/>
      <c r="BX5" s="93"/>
      <c r="BY5" s="93"/>
      <c r="BZ5" s="93"/>
      <c r="CA5" s="93"/>
      <c r="CB5" s="93"/>
      <c r="CC5" s="93"/>
      <c r="CD5" s="93"/>
      <c r="CE5" s="93"/>
      <c r="CF5" s="93"/>
      <c r="CG5" s="93"/>
      <c r="CH5" s="93"/>
      <c r="CI5" s="93"/>
      <c r="CJ5" s="93"/>
      <c r="CK5" s="93"/>
      <c r="CL5" s="93"/>
      <c r="CM5" s="93"/>
      <c r="CN5" s="93"/>
      <c r="CO5" s="93"/>
      <c r="CP5" s="93"/>
      <c r="CQ5" s="93"/>
      <c r="CR5" s="93"/>
      <c r="CS5" s="93"/>
      <c r="CT5" s="93"/>
      <c r="CU5" s="93"/>
      <c r="CV5" s="93"/>
      <c r="CW5" s="93"/>
      <c r="CX5" s="93"/>
      <c r="CY5" s="93"/>
      <c r="CZ5" s="93"/>
      <c r="DA5" s="93"/>
      <c r="DC5" s="93"/>
      <c r="DD5" s="93"/>
      <c r="DE5" s="93"/>
      <c r="DF5" s="93"/>
      <c r="DG5" s="93"/>
      <c r="DH5" s="93"/>
      <c r="DI5" s="93"/>
      <c r="DJ5" s="93"/>
      <c r="DK5" s="93"/>
      <c r="DL5" s="93"/>
      <c r="DM5" s="93"/>
      <c r="DN5" s="93"/>
      <c r="DO5" s="93"/>
      <c r="DP5" s="93"/>
      <c r="DQ5" s="93"/>
      <c r="DR5" s="93"/>
      <c r="DS5" s="93"/>
      <c r="DT5" s="93"/>
      <c r="DU5" s="93"/>
      <c r="DV5" s="93"/>
      <c r="DW5" s="93"/>
      <c r="DX5" s="93"/>
      <c r="DY5" s="93"/>
      <c r="DZ5" s="93"/>
      <c r="EA5" s="93"/>
      <c r="EB5" s="93"/>
      <c r="EC5" s="93"/>
      <c r="ED5" s="93"/>
      <c r="EE5" s="93"/>
      <c r="EF5" s="93"/>
      <c r="EG5" s="93"/>
      <c r="EH5" s="93"/>
      <c r="EI5" s="93"/>
      <c r="EJ5" s="93"/>
      <c r="EK5" s="93"/>
      <c r="EL5" s="93"/>
      <c r="EM5" s="93"/>
      <c r="EN5" s="93"/>
      <c r="EO5" s="93"/>
      <c r="EP5" s="93"/>
      <c r="EQ5" s="93"/>
      <c r="ER5" s="93"/>
      <c r="EU5" s="206" t="s">
        <v>820</v>
      </c>
      <c r="EV5" s="206"/>
      <c r="EW5" s="206"/>
      <c r="EX5" s="206" t="s">
        <v>821</v>
      </c>
      <c r="EY5" s="206"/>
      <c r="EZ5" s="206"/>
      <c r="FA5" s="206"/>
      <c r="FB5" s="206"/>
      <c r="FC5" s="206" t="s">
        <v>822</v>
      </c>
      <c r="FD5" s="206"/>
      <c r="FE5" s="206"/>
      <c r="FF5" s="206"/>
      <c r="FG5" s="206"/>
      <c r="FH5" s="206"/>
      <c r="FI5" s="206" t="s">
        <v>823</v>
      </c>
      <c r="FJ5" s="206"/>
      <c r="FK5" s="206"/>
      <c r="FL5" s="206"/>
      <c r="FM5" s="206"/>
      <c r="FN5" s="206"/>
      <c r="FO5" s="206" t="s">
        <v>824</v>
      </c>
      <c r="FP5" s="206"/>
      <c r="FQ5" s="206"/>
      <c r="FR5" s="206"/>
      <c r="FS5" s="206"/>
      <c r="FT5" s="206"/>
      <c r="FU5" s="205" t="s">
        <v>825</v>
      </c>
      <c r="FV5" s="205"/>
      <c r="FW5" s="205"/>
      <c r="FX5" s="205"/>
      <c r="FY5" s="205"/>
      <c r="FZ5" s="205"/>
      <c r="GA5" s="205"/>
      <c r="GB5" s="205"/>
      <c r="GC5" s="205" t="s">
        <v>826</v>
      </c>
      <c r="GD5" s="205"/>
      <c r="GE5" s="205"/>
      <c r="GF5" s="205"/>
      <c r="GG5" s="205"/>
      <c r="GH5" s="205"/>
      <c r="GI5" s="205"/>
      <c r="GJ5" s="205"/>
      <c r="GM5" s="93"/>
      <c r="GN5" s="93"/>
      <c r="GO5" s="93"/>
      <c r="GP5" s="93"/>
      <c r="GQ5" s="93"/>
      <c r="GR5" s="93"/>
      <c r="GS5" s="93"/>
      <c r="GT5" s="93"/>
    </row>
    <row r="6" spans="1:202" ht="17.25" x14ac:dyDescent="0.2">
      <c r="A6" s="12" t="s">
        <v>642</v>
      </c>
      <c r="B6" s="12" t="s">
        <v>227</v>
      </c>
      <c r="C6" s="12" t="s">
        <v>564</v>
      </c>
      <c r="E6" s="12" t="s">
        <v>178</v>
      </c>
      <c r="F6" s="12" t="s">
        <v>644</v>
      </c>
      <c r="G6" s="12" t="s">
        <v>645</v>
      </c>
      <c r="H6" s="12" t="s">
        <v>564</v>
      </c>
      <c r="J6" s="12" t="s">
        <v>76</v>
      </c>
      <c r="K6" s="12" t="s">
        <v>690</v>
      </c>
      <c r="L6" s="12" t="s">
        <v>445</v>
      </c>
      <c r="N6" s="12" t="s">
        <v>803</v>
      </c>
      <c r="O6" s="12" t="s">
        <v>804</v>
      </c>
      <c r="P6" s="12" t="s">
        <v>805</v>
      </c>
      <c r="Q6" s="12" t="s">
        <v>806</v>
      </c>
      <c r="R6" s="12" t="s">
        <v>807</v>
      </c>
      <c r="S6" s="12" t="s">
        <v>811</v>
      </c>
      <c r="T6" s="12" t="s">
        <v>808</v>
      </c>
      <c r="W6" s="12" t="s">
        <v>744</v>
      </c>
      <c r="X6" s="12" t="s">
        <v>741</v>
      </c>
      <c r="Y6" s="12" t="s">
        <v>745</v>
      </c>
      <c r="Z6" s="12" t="s">
        <v>746</v>
      </c>
      <c r="AA6" s="12" t="s">
        <v>579</v>
      </c>
      <c r="AD6" s="12" t="s">
        <v>654</v>
      </c>
      <c r="AE6" s="12" t="s">
        <v>639</v>
      </c>
      <c r="AF6" s="12" t="s">
        <v>640</v>
      </c>
      <c r="AG6" s="12" t="s">
        <v>370</v>
      </c>
      <c r="AH6" s="12" t="s">
        <v>641</v>
      </c>
      <c r="AI6" s="12" t="s">
        <v>787</v>
      </c>
      <c r="AL6" s="12" t="s">
        <v>758</v>
      </c>
      <c r="AM6" s="12" t="s">
        <v>759</v>
      </c>
      <c r="AN6" s="12" t="s">
        <v>764</v>
      </c>
      <c r="AO6" s="12" t="s">
        <v>1232</v>
      </c>
      <c r="AP6" s="12"/>
      <c r="AQ6" s="12"/>
      <c r="AR6" s="12" t="s">
        <v>760</v>
      </c>
      <c r="AS6" s="12" t="s">
        <v>750</v>
      </c>
      <c r="AT6" s="12" t="s">
        <v>753</v>
      </c>
      <c r="AU6" s="12" t="s">
        <v>751</v>
      </c>
      <c r="AV6" s="12" t="s">
        <v>752</v>
      </c>
      <c r="AW6" s="12" t="s">
        <v>754</v>
      </c>
      <c r="AX6" s="12" t="s">
        <v>224</v>
      </c>
      <c r="AY6" s="12" t="s">
        <v>761</v>
      </c>
      <c r="BB6" s="23" t="s">
        <v>790</v>
      </c>
      <c r="BC6" s="23" t="s">
        <v>577</v>
      </c>
      <c r="BD6" s="23" t="s">
        <v>791</v>
      </c>
      <c r="BG6" s="12" t="s">
        <v>793</v>
      </c>
      <c r="BH6" s="12" t="s">
        <v>794</v>
      </c>
      <c r="BI6" s="12" t="s">
        <v>796</v>
      </c>
      <c r="BJ6" s="12" t="s">
        <v>797</v>
      </c>
      <c r="BK6" s="12" t="s">
        <v>699</v>
      </c>
      <c r="BL6" s="12" t="s">
        <v>691</v>
      </c>
      <c r="BM6" s="12" t="s">
        <v>231</v>
      </c>
      <c r="BN6" s="12" t="s">
        <v>692</v>
      </c>
      <c r="BO6" s="12" t="s">
        <v>693</v>
      </c>
      <c r="BP6" s="12" t="s">
        <v>694</v>
      </c>
      <c r="BQ6" s="12" t="s">
        <v>695</v>
      </c>
      <c r="BR6" s="12" t="s">
        <v>696</v>
      </c>
      <c r="BS6" s="12" t="s">
        <v>697</v>
      </c>
      <c r="BT6" s="12" t="s">
        <v>702</v>
      </c>
      <c r="BU6" s="12" t="s">
        <v>703</v>
      </c>
      <c r="BV6" s="12" t="s">
        <v>704</v>
      </c>
      <c r="BW6" s="12" t="s">
        <v>705</v>
      </c>
      <c r="BX6" s="12" t="s">
        <v>706</v>
      </c>
      <c r="BY6" s="12" t="s">
        <v>707</v>
      </c>
      <c r="BZ6" s="12" t="s">
        <v>708</v>
      </c>
      <c r="CA6" s="12" t="s">
        <v>709</v>
      </c>
      <c r="CB6" s="12" t="s">
        <v>710</v>
      </c>
      <c r="CC6" s="12" t="s">
        <v>711</v>
      </c>
      <c r="CD6" s="12" t="s">
        <v>712</v>
      </c>
      <c r="CE6" s="12" t="s">
        <v>713</v>
      </c>
      <c r="CF6" s="12" t="s">
        <v>714</v>
      </c>
      <c r="CG6" s="12" t="s">
        <v>715</v>
      </c>
      <c r="CH6" s="12" t="s">
        <v>716</v>
      </c>
      <c r="CI6" s="12" t="s">
        <v>717</v>
      </c>
      <c r="CJ6" s="12" t="s">
        <v>718</v>
      </c>
      <c r="CK6" s="12" t="s">
        <v>719</v>
      </c>
      <c r="CL6" s="12" t="s">
        <v>720</v>
      </c>
      <c r="CM6" s="12" t="s">
        <v>721</v>
      </c>
      <c r="CN6" s="12" t="s">
        <v>722</v>
      </c>
      <c r="CO6" s="12" t="s">
        <v>723</v>
      </c>
      <c r="CP6" s="12" t="s">
        <v>724</v>
      </c>
      <c r="CQ6" s="12" t="s">
        <v>725</v>
      </c>
      <c r="CR6" s="12" t="s">
        <v>726</v>
      </c>
      <c r="CS6" s="12" t="s">
        <v>727</v>
      </c>
      <c r="CT6" s="12" t="s">
        <v>728</v>
      </c>
      <c r="CU6" s="12" t="s">
        <v>729</v>
      </c>
      <c r="CV6" s="12" t="s">
        <v>730</v>
      </c>
      <c r="CW6" s="12" t="s">
        <v>731</v>
      </c>
      <c r="CX6" s="12" t="s">
        <v>732</v>
      </c>
      <c r="CY6" s="12" t="s">
        <v>733</v>
      </c>
      <c r="CZ6" s="12" t="s">
        <v>734</v>
      </c>
      <c r="DA6" s="12" t="s">
        <v>735</v>
      </c>
      <c r="DC6" s="12" t="s">
        <v>691</v>
      </c>
      <c r="DD6" s="12" t="s">
        <v>231</v>
      </c>
      <c r="DE6" s="12" t="s">
        <v>692</v>
      </c>
      <c r="DF6" s="12" t="s">
        <v>693</v>
      </c>
      <c r="DG6" s="12" t="s">
        <v>694</v>
      </c>
      <c r="DH6" s="12" t="s">
        <v>695</v>
      </c>
      <c r="DI6" s="12" t="s">
        <v>696</v>
      </c>
      <c r="DJ6" s="12" t="s">
        <v>697</v>
      </c>
      <c r="DK6" s="12" t="s">
        <v>702</v>
      </c>
      <c r="DL6" s="12" t="s">
        <v>703</v>
      </c>
      <c r="DM6" s="12" t="s">
        <v>704</v>
      </c>
      <c r="DN6" s="12" t="s">
        <v>705</v>
      </c>
      <c r="DO6" s="12" t="s">
        <v>706</v>
      </c>
      <c r="DP6" s="12" t="s">
        <v>707</v>
      </c>
      <c r="DQ6" s="12" t="s">
        <v>708</v>
      </c>
      <c r="DR6" s="12" t="s">
        <v>709</v>
      </c>
      <c r="DS6" s="12" t="s">
        <v>710</v>
      </c>
      <c r="DT6" s="12" t="s">
        <v>711</v>
      </c>
      <c r="DU6" s="12" t="s">
        <v>712</v>
      </c>
      <c r="DV6" s="12" t="s">
        <v>713</v>
      </c>
      <c r="DW6" s="12" t="s">
        <v>714</v>
      </c>
      <c r="DX6" s="12" t="s">
        <v>715</v>
      </c>
      <c r="DY6" s="12" t="s">
        <v>716</v>
      </c>
      <c r="DZ6" s="12" t="s">
        <v>717</v>
      </c>
      <c r="EA6" s="12" t="s">
        <v>718</v>
      </c>
      <c r="EB6" s="12" t="s">
        <v>719</v>
      </c>
      <c r="EC6" s="12" t="s">
        <v>720</v>
      </c>
      <c r="ED6" s="12" t="s">
        <v>721</v>
      </c>
      <c r="EE6" s="12" t="s">
        <v>722</v>
      </c>
      <c r="EF6" s="12" t="s">
        <v>723</v>
      </c>
      <c r="EG6" s="12" t="s">
        <v>724</v>
      </c>
      <c r="EH6" s="12" t="s">
        <v>725</v>
      </c>
      <c r="EI6" s="12" t="s">
        <v>726</v>
      </c>
      <c r="EJ6" s="12" t="s">
        <v>727</v>
      </c>
      <c r="EK6" s="12" t="s">
        <v>728</v>
      </c>
      <c r="EL6" s="12" t="s">
        <v>729</v>
      </c>
      <c r="EM6" s="12" t="s">
        <v>730</v>
      </c>
      <c r="EN6" s="12" t="s">
        <v>731</v>
      </c>
      <c r="EO6" s="12" t="s">
        <v>732</v>
      </c>
      <c r="EP6" s="12" t="s">
        <v>733</v>
      </c>
      <c r="EQ6" s="12" t="s">
        <v>734</v>
      </c>
      <c r="ER6" s="12" t="s">
        <v>735</v>
      </c>
      <c r="EU6" s="12" t="s">
        <v>691</v>
      </c>
      <c r="EV6" s="12" t="s">
        <v>231</v>
      </c>
      <c r="EW6" s="12" t="s">
        <v>692</v>
      </c>
      <c r="EX6" s="12" t="s">
        <v>827</v>
      </c>
      <c r="EY6" s="12" t="s">
        <v>828</v>
      </c>
      <c r="EZ6" s="12" t="s">
        <v>829</v>
      </c>
      <c r="FA6" s="12" t="s">
        <v>830</v>
      </c>
      <c r="FB6" s="12" t="s">
        <v>831</v>
      </c>
      <c r="FC6" s="12" t="s">
        <v>827</v>
      </c>
      <c r="FD6" s="12" t="s">
        <v>832</v>
      </c>
      <c r="FE6" s="12" t="s">
        <v>833</v>
      </c>
      <c r="FF6" s="12" t="s">
        <v>834</v>
      </c>
      <c r="FG6" s="12" t="s">
        <v>835</v>
      </c>
      <c r="FH6" s="12" t="s">
        <v>836</v>
      </c>
      <c r="FI6" s="12" t="s">
        <v>837</v>
      </c>
      <c r="FJ6" s="12" t="s">
        <v>828</v>
      </c>
      <c r="FK6" s="12" t="s">
        <v>838</v>
      </c>
      <c r="FL6" s="12" t="s">
        <v>830</v>
      </c>
      <c r="FM6" s="12" t="s">
        <v>835</v>
      </c>
      <c r="FN6" s="12" t="s">
        <v>839</v>
      </c>
      <c r="FO6" s="12" t="s">
        <v>840</v>
      </c>
      <c r="FP6" s="12" t="s">
        <v>231</v>
      </c>
      <c r="FQ6" s="12" t="s">
        <v>692</v>
      </c>
      <c r="FR6" s="12" t="s">
        <v>693</v>
      </c>
      <c r="FS6" s="12" t="s">
        <v>694</v>
      </c>
      <c r="FT6" s="12" t="s">
        <v>695</v>
      </c>
      <c r="FU6" s="12" t="s">
        <v>840</v>
      </c>
      <c r="FV6" s="12" t="s">
        <v>231</v>
      </c>
      <c r="FW6" s="12" t="s">
        <v>692</v>
      </c>
      <c r="FX6" s="12" t="s">
        <v>693</v>
      </c>
      <c r="FY6" s="12" t="s">
        <v>694</v>
      </c>
      <c r="FZ6" s="12" t="s">
        <v>695</v>
      </c>
      <c r="GA6" s="12" t="s">
        <v>696</v>
      </c>
      <c r="GB6" s="12" t="s">
        <v>697</v>
      </c>
      <c r="GC6" s="12" t="s">
        <v>840</v>
      </c>
      <c r="GD6" s="12" t="s">
        <v>231</v>
      </c>
      <c r="GE6" s="12" t="s">
        <v>692</v>
      </c>
      <c r="GF6" s="12" t="s">
        <v>693</v>
      </c>
      <c r="GG6" s="12" t="s">
        <v>694</v>
      </c>
      <c r="GH6" s="12" t="s">
        <v>695</v>
      </c>
      <c r="GI6" s="12" t="s">
        <v>696</v>
      </c>
      <c r="GJ6" s="12" t="s">
        <v>697</v>
      </c>
      <c r="GM6" s="12" t="s">
        <v>810</v>
      </c>
      <c r="GN6" s="12" t="s">
        <v>815</v>
      </c>
      <c r="GO6" s="12" t="s">
        <v>812</v>
      </c>
      <c r="GP6" s="12" t="s">
        <v>317</v>
      </c>
      <c r="GQ6" s="12" t="s">
        <v>813</v>
      </c>
      <c r="GR6" s="12" t="s">
        <v>814</v>
      </c>
      <c r="GS6" s="12" t="s">
        <v>817</v>
      </c>
      <c r="GT6" s="12" t="s">
        <v>818</v>
      </c>
    </row>
    <row r="7" spans="1:202" ht="16.5" x14ac:dyDescent="0.2">
      <c r="A7" s="87">
        <v>1</v>
      </c>
      <c r="B7" s="87">
        <v>2</v>
      </c>
      <c r="C7" s="87">
        <v>2</v>
      </c>
      <c r="E7" s="87">
        <v>1</v>
      </c>
      <c r="F7" s="87" t="s">
        <v>418</v>
      </c>
      <c r="G7" s="87">
        <v>1</v>
      </c>
      <c r="H7" s="87">
        <v>1</v>
      </c>
      <c r="J7" s="87">
        <v>0</v>
      </c>
      <c r="K7" s="87">
        <v>0</v>
      </c>
      <c r="L7" s="87">
        <v>0</v>
      </c>
      <c r="N7" s="92">
        <v>0</v>
      </c>
      <c r="O7" s="92">
        <v>0</v>
      </c>
      <c r="P7" s="92">
        <v>0</v>
      </c>
      <c r="Q7" s="44">
        <v>0</v>
      </c>
      <c r="R7" s="44">
        <v>0</v>
      </c>
      <c r="S7" s="44"/>
      <c r="T7" s="91" t="str">
        <f>"神器"&amp;N7&amp;"-"&amp;O7</f>
        <v>神器0-0</v>
      </c>
      <c r="W7" s="87">
        <v>0</v>
      </c>
      <c r="X7" s="87">
        <v>0</v>
      </c>
      <c r="Y7" s="87"/>
      <c r="Z7" s="87"/>
      <c r="AA7" s="87"/>
      <c r="AD7" s="87">
        <v>1</v>
      </c>
      <c r="AE7" s="87">
        <v>1</v>
      </c>
      <c r="AF7" s="87">
        <v>1</v>
      </c>
      <c r="AG7" s="87" t="str">
        <f>"神器"&amp;AE7&amp;"-"&amp;AF7</f>
        <v>神器1-1</v>
      </c>
      <c r="AH7" s="87">
        <v>1</v>
      </c>
      <c r="AI7" s="87">
        <f>INDEX($C$7:$C$13,AE7)*INDEX($H$7:$H$10,AH7)*$B$4</f>
        <v>10</v>
      </c>
      <c r="AL7" s="87">
        <v>1</v>
      </c>
      <c r="AM7" s="87">
        <v>1</v>
      </c>
      <c r="AN7" s="87">
        <v>1</v>
      </c>
      <c r="AO7" s="144">
        <f>4400+AN7</f>
        <v>4401</v>
      </c>
      <c r="AP7" s="144" t="s">
        <v>1233</v>
      </c>
      <c r="AQ7" s="144" t="str">
        <f>AP7&amp;"  "&amp;AS7</f>
        <v>神器本-1-普通-1  神器1-1</v>
      </c>
      <c r="AR7" s="87">
        <v>1</v>
      </c>
      <c r="AS7" s="87" t="s">
        <v>747</v>
      </c>
      <c r="AT7" s="32">
        <v>5000</v>
      </c>
      <c r="AU7" s="87">
        <v>1</v>
      </c>
      <c r="AV7" s="87">
        <v>3</v>
      </c>
      <c r="AW7" s="87">
        <f>INDEX($AH$7:$AH$48,AR7)</f>
        <v>1</v>
      </c>
      <c r="AX7" s="14">
        <f>(AU7+AV7)/2*AT7/10000</f>
        <v>1</v>
      </c>
      <c r="AY7" s="14">
        <f>(AU7+AV7)/2*AT7/10000*INDEX($AI$7:$AI$48,AR7)</f>
        <v>10</v>
      </c>
      <c r="BB7" s="87">
        <v>1</v>
      </c>
      <c r="BC7" s="87">
        <v>1</v>
      </c>
      <c r="BD7" s="87">
        <f t="shared" ref="BD7:BD24" si="0">SUMIFS($AY$7:$AY$301,$AL$7:$AL$301,"="&amp;BB7,$AM$7:$AM$301,"="&amp;BC7)</f>
        <v>33.5</v>
      </c>
      <c r="BG7" s="87">
        <v>1</v>
      </c>
      <c r="BH7" s="14" t="e">
        <f>INDEX(节奏总表!#REF!,新神器!BG7)</f>
        <v>#REF!</v>
      </c>
      <c r="BI7" s="14" t="e">
        <f>MATCH(BH7,$X$7:$X$14,1)-1</f>
        <v>#REF!</v>
      </c>
      <c r="BJ7" s="87">
        <v>0</v>
      </c>
      <c r="BK7" s="87">
        <v>5</v>
      </c>
      <c r="BL7" s="14">
        <f t="shared" ref="BL7:BU16" si="1">SUMIFS($AX$7:$AX$301,$AL$7:$AL$301,"="&amp;$BI7,$AM$7:$AM$301,"="&amp;$BJ7,$AR$7:$AR$301,"="&amp;BL$2)*$BK7</f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ref="BV7:CE16" si="2">SUMIFS($AX$7:$AX$301,$AL$7:$AL$301,"="&amp;$BI7,$AM$7:$AM$301,"="&amp;$BJ7,$AR$7:$AR$301,"="&amp;BV$2)*$BK7</f>
        <v>0</v>
      </c>
      <c r="BW7" s="14">
        <f t="shared" si="2"/>
        <v>0</v>
      </c>
      <c r="BX7" s="14">
        <f t="shared" si="2"/>
        <v>0</v>
      </c>
      <c r="BY7" s="14">
        <f t="shared" si="2"/>
        <v>0</v>
      </c>
      <c r="BZ7" s="14">
        <f t="shared" si="2"/>
        <v>0</v>
      </c>
      <c r="CA7" s="14">
        <f t="shared" si="2"/>
        <v>0</v>
      </c>
      <c r="CB7" s="14">
        <f t="shared" si="2"/>
        <v>0</v>
      </c>
      <c r="CC7" s="14">
        <f t="shared" si="2"/>
        <v>0</v>
      </c>
      <c r="CD7" s="14">
        <f t="shared" si="2"/>
        <v>0</v>
      </c>
      <c r="CE7" s="14">
        <f t="shared" si="2"/>
        <v>0</v>
      </c>
      <c r="CF7" s="14">
        <f t="shared" ref="CF7:CO16" si="3">SUMIFS($AX$7:$AX$301,$AL$7:$AL$301,"="&amp;$BI7,$AM$7:$AM$301,"="&amp;$BJ7,$AR$7:$AR$301,"="&amp;CF$2)*$BK7</f>
        <v>0</v>
      </c>
      <c r="CG7" s="14">
        <f t="shared" si="3"/>
        <v>0</v>
      </c>
      <c r="CH7" s="14">
        <f t="shared" si="3"/>
        <v>0</v>
      </c>
      <c r="CI7" s="14">
        <f t="shared" si="3"/>
        <v>0</v>
      </c>
      <c r="CJ7" s="14">
        <f t="shared" si="3"/>
        <v>0</v>
      </c>
      <c r="CK7" s="14">
        <f t="shared" si="3"/>
        <v>0</v>
      </c>
      <c r="CL7" s="14">
        <f t="shared" si="3"/>
        <v>0</v>
      </c>
      <c r="CM7" s="14">
        <f t="shared" si="3"/>
        <v>0</v>
      </c>
      <c r="CN7" s="14">
        <f t="shared" si="3"/>
        <v>0</v>
      </c>
      <c r="CO7" s="14">
        <f t="shared" si="3"/>
        <v>0</v>
      </c>
      <c r="CP7" s="14">
        <f t="shared" ref="CP7:DA16" si="4">SUMIFS($AX$7:$AX$301,$AL$7:$AL$301,"="&amp;$BI7,$AM$7:$AM$301,"="&amp;$BJ7,$AR$7:$AR$301,"="&amp;CP$2)*$BK7</f>
        <v>0</v>
      </c>
      <c r="CQ7" s="14">
        <f t="shared" si="4"/>
        <v>0</v>
      </c>
      <c r="CR7" s="14">
        <f t="shared" si="4"/>
        <v>0</v>
      </c>
      <c r="CS7" s="14">
        <f t="shared" si="4"/>
        <v>0</v>
      </c>
      <c r="CT7" s="14">
        <f t="shared" si="4"/>
        <v>0</v>
      </c>
      <c r="CU7" s="14">
        <f t="shared" si="4"/>
        <v>0</v>
      </c>
      <c r="CV7" s="14">
        <f t="shared" si="4"/>
        <v>0</v>
      </c>
      <c r="CW7" s="14">
        <f t="shared" si="4"/>
        <v>0</v>
      </c>
      <c r="CX7" s="14">
        <f t="shared" si="4"/>
        <v>0</v>
      </c>
      <c r="CY7" s="14">
        <f t="shared" si="4"/>
        <v>0</v>
      </c>
      <c r="CZ7" s="14">
        <f t="shared" si="4"/>
        <v>0</v>
      </c>
      <c r="DA7" s="14">
        <f t="shared" si="4"/>
        <v>0</v>
      </c>
      <c r="DC7" s="14">
        <f>SUM(BL$7:BL7)</f>
        <v>0</v>
      </c>
      <c r="DD7" s="14">
        <f>SUM(BM$7:BM7)</f>
        <v>0</v>
      </c>
      <c r="DE7" s="14">
        <f>SUM(BN$7:BN7)</f>
        <v>0</v>
      </c>
      <c r="DF7" s="14">
        <f>SUM(BO$7:BO7)</f>
        <v>0</v>
      </c>
      <c r="DG7" s="14">
        <f>SUM(BP$7:BP7)</f>
        <v>0</v>
      </c>
      <c r="DH7" s="14">
        <f>SUM(BQ$7:BQ7)</f>
        <v>0</v>
      </c>
      <c r="DI7" s="14">
        <f>SUM(BR$7:BR7)</f>
        <v>0</v>
      </c>
      <c r="DJ7" s="14">
        <f>SUM(BS$7:BS7)</f>
        <v>0</v>
      </c>
      <c r="DK7" s="14">
        <f>SUM(BT$7:BT7)</f>
        <v>0</v>
      </c>
      <c r="DL7" s="14">
        <f>SUM(BU$7:BU7)</f>
        <v>0</v>
      </c>
      <c r="DM7" s="14">
        <f>SUM(BV$7:BV7)</f>
        <v>0</v>
      </c>
      <c r="DN7" s="14">
        <f>SUM(BW$7:BW7)</f>
        <v>0</v>
      </c>
      <c r="DO7" s="14">
        <f>SUM(BX$7:BX7)</f>
        <v>0</v>
      </c>
      <c r="DP7" s="14">
        <f>SUM(BY$7:BY7)</f>
        <v>0</v>
      </c>
      <c r="DQ7" s="14">
        <f>SUM(BZ$7:BZ7)</f>
        <v>0</v>
      </c>
      <c r="DR7" s="14">
        <f>SUM(CA$7:CA7)</f>
        <v>0</v>
      </c>
      <c r="DS7" s="14">
        <f>SUM(CB$7:CB7)</f>
        <v>0</v>
      </c>
      <c r="DT7" s="14">
        <f>SUM(CC$7:CC7)</f>
        <v>0</v>
      </c>
      <c r="DU7" s="14">
        <f>SUM(CD$7:CD7)</f>
        <v>0</v>
      </c>
      <c r="DV7" s="14">
        <f>SUM(CE$7:CE7)</f>
        <v>0</v>
      </c>
      <c r="DW7" s="14">
        <f>SUM(CF$7:CF7)</f>
        <v>0</v>
      </c>
      <c r="DX7" s="14">
        <f>SUM(CG$7:CG7)</f>
        <v>0</v>
      </c>
      <c r="DY7" s="14">
        <f>SUM(CH$7:CH7)</f>
        <v>0</v>
      </c>
      <c r="DZ7" s="14">
        <f>SUM(CI$7:CI7)</f>
        <v>0</v>
      </c>
      <c r="EA7" s="14">
        <f>SUM(CJ$7:CJ7)</f>
        <v>0</v>
      </c>
      <c r="EB7" s="14">
        <f>SUM(CK$7:CK7)</f>
        <v>0</v>
      </c>
      <c r="EC7" s="14">
        <f>SUM(CL$7:CL7)</f>
        <v>0</v>
      </c>
      <c r="ED7" s="14">
        <f>SUM(CM$7:CM7)</f>
        <v>0</v>
      </c>
      <c r="EE7" s="14">
        <f>SUM(CN$7:CN7)</f>
        <v>0</v>
      </c>
      <c r="EF7" s="14">
        <f>SUM(CO$7:CO7)</f>
        <v>0</v>
      </c>
      <c r="EG7" s="14">
        <f>SUM(CP$7:CP7)</f>
        <v>0</v>
      </c>
      <c r="EH7" s="14">
        <f>SUM(CQ$7:CQ7)</f>
        <v>0</v>
      </c>
      <c r="EI7" s="14">
        <f>SUM(CR$7:CR7)</f>
        <v>0</v>
      </c>
      <c r="EJ7" s="14">
        <f>SUM(CS$7:CS7)</f>
        <v>0</v>
      </c>
      <c r="EK7" s="14">
        <f>SUM(CT$7:CT7)</f>
        <v>0</v>
      </c>
      <c r="EL7" s="14">
        <f>SUM(CU$7:CU7)</f>
        <v>0</v>
      </c>
      <c r="EM7" s="14">
        <f>SUM(CV$7:CV7)</f>
        <v>0</v>
      </c>
      <c r="EN7" s="14">
        <f>SUM(CW$7:CW7)</f>
        <v>0</v>
      </c>
      <c r="EO7" s="14">
        <f>SUM(CX$7:CX7)</f>
        <v>0</v>
      </c>
      <c r="EP7" s="14">
        <f>SUM(CY$7:CY7)</f>
        <v>0</v>
      </c>
      <c r="EQ7" s="14">
        <f>SUM(CZ$7:CZ7)</f>
        <v>0</v>
      </c>
      <c r="ER7" s="14">
        <f>SUM(DA$7:DA7)</f>
        <v>0</v>
      </c>
      <c r="EU7" s="14">
        <f>MATCH(DC7,$L$7:$L$28,1)-1</f>
        <v>0</v>
      </c>
      <c r="EV7" s="14">
        <f t="shared" ref="EV7:GJ7" si="5">MATCH(DD7,$L$7:$L$28,1)-1</f>
        <v>0</v>
      </c>
      <c r="EW7" s="14">
        <f t="shared" si="5"/>
        <v>0</v>
      </c>
      <c r="EX7" s="14">
        <f t="shared" si="5"/>
        <v>0</v>
      </c>
      <c r="EY7" s="14">
        <f t="shared" si="5"/>
        <v>0</v>
      </c>
      <c r="EZ7" s="14">
        <f t="shared" si="5"/>
        <v>0</v>
      </c>
      <c r="FA7" s="14">
        <f t="shared" si="5"/>
        <v>0</v>
      </c>
      <c r="FB7" s="14">
        <f t="shared" si="5"/>
        <v>0</v>
      </c>
      <c r="FC7" s="14">
        <f t="shared" si="5"/>
        <v>0</v>
      </c>
      <c r="FD7" s="14">
        <f t="shared" si="5"/>
        <v>0</v>
      </c>
      <c r="FE7" s="14">
        <f t="shared" si="5"/>
        <v>0</v>
      </c>
      <c r="FF7" s="14">
        <f t="shared" si="5"/>
        <v>0</v>
      </c>
      <c r="FG7" s="14">
        <f t="shared" si="5"/>
        <v>0</v>
      </c>
      <c r="FH7" s="14">
        <f t="shared" si="5"/>
        <v>0</v>
      </c>
      <c r="FI7" s="14">
        <f t="shared" si="5"/>
        <v>0</v>
      </c>
      <c r="FJ7" s="14">
        <f t="shared" si="5"/>
        <v>0</v>
      </c>
      <c r="FK7" s="14">
        <f t="shared" si="5"/>
        <v>0</v>
      </c>
      <c r="FL7" s="14">
        <f t="shared" si="5"/>
        <v>0</v>
      </c>
      <c r="FM7" s="14">
        <f t="shared" si="5"/>
        <v>0</v>
      </c>
      <c r="FN7" s="14">
        <f t="shared" si="5"/>
        <v>0</v>
      </c>
      <c r="FO7" s="14">
        <f t="shared" si="5"/>
        <v>0</v>
      </c>
      <c r="FP7" s="14">
        <f t="shared" si="5"/>
        <v>0</v>
      </c>
      <c r="FQ7" s="14">
        <f t="shared" si="5"/>
        <v>0</v>
      </c>
      <c r="FR7" s="14">
        <f t="shared" si="5"/>
        <v>0</v>
      </c>
      <c r="FS7" s="14">
        <f t="shared" si="5"/>
        <v>0</v>
      </c>
      <c r="FT7" s="14">
        <f t="shared" si="5"/>
        <v>0</v>
      </c>
      <c r="FU7" s="14">
        <f t="shared" si="5"/>
        <v>0</v>
      </c>
      <c r="FV7" s="14">
        <f t="shared" si="5"/>
        <v>0</v>
      </c>
      <c r="FW7" s="14">
        <f t="shared" si="5"/>
        <v>0</v>
      </c>
      <c r="FX7" s="14">
        <f t="shared" si="5"/>
        <v>0</v>
      </c>
      <c r="FY7" s="14">
        <f t="shared" si="5"/>
        <v>0</v>
      </c>
      <c r="FZ7" s="14">
        <f t="shared" si="5"/>
        <v>0</v>
      </c>
      <c r="GA7" s="14">
        <f t="shared" si="5"/>
        <v>0</v>
      </c>
      <c r="GB7" s="14">
        <f t="shared" si="5"/>
        <v>0</v>
      </c>
      <c r="GC7" s="14">
        <f t="shared" si="5"/>
        <v>0</v>
      </c>
      <c r="GD7" s="14">
        <f t="shared" si="5"/>
        <v>0</v>
      </c>
      <c r="GE7" s="14">
        <f t="shared" si="5"/>
        <v>0</v>
      </c>
      <c r="GF7" s="14">
        <f t="shared" si="5"/>
        <v>0</v>
      </c>
      <c r="GG7" s="14">
        <f t="shared" si="5"/>
        <v>0</v>
      </c>
      <c r="GH7" s="14">
        <f t="shared" si="5"/>
        <v>0</v>
      </c>
      <c r="GI7" s="14">
        <f t="shared" si="5"/>
        <v>0</v>
      </c>
      <c r="GJ7" s="14">
        <f t="shared" si="5"/>
        <v>0</v>
      </c>
      <c r="GM7" s="91">
        <v>1</v>
      </c>
      <c r="GN7" s="14">
        <f>MATCH(GM7-1,$R$7:$R$49,1)</f>
        <v>1</v>
      </c>
      <c r="GO7" s="14">
        <f>INDEX($S$8:$S$49,GN7)</f>
        <v>1606003</v>
      </c>
      <c r="GP7" s="14" t="str">
        <f>INDEX($T$8:$T$49,GN7)&amp;" : "&amp;GR7&amp;"级"</f>
        <v>神器1-1 : 1级</v>
      </c>
      <c r="GQ7" s="14" t="s">
        <v>816</v>
      </c>
      <c r="GR7" s="14">
        <f>GM7-INDEX($R$7:$R$49,GN7)</f>
        <v>1</v>
      </c>
      <c r="GS7" s="14" t="str">
        <f>INDEX($T$8:$T$49,GN7)</f>
        <v>神器1-1</v>
      </c>
      <c r="GT7" s="14">
        <f>INDEX($K$8:$K$28,GR7)</f>
        <v>1</v>
      </c>
    </row>
    <row r="8" spans="1:202" ht="16.5" x14ac:dyDescent="0.2">
      <c r="A8" s="87">
        <v>2</v>
      </c>
      <c r="B8" s="87">
        <v>3</v>
      </c>
      <c r="C8" s="87">
        <v>3</v>
      </c>
      <c r="E8" s="87">
        <v>2</v>
      </c>
      <c r="F8" s="87" t="s">
        <v>212</v>
      </c>
      <c r="G8" s="87">
        <v>1.5</v>
      </c>
      <c r="H8" s="87">
        <v>3</v>
      </c>
      <c r="J8" s="87">
        <v>1</v>
      </c>
      <c r="K8" s="87">
        <v>1</v>
      </c>
      <c r="L8" s="87">
        <f>SUM(K$8:K8)</f>
        <v>1</v>
      </c>
      <c r="N8" s="90">
        <v>1</v>
      </c>
      <c r="O8" s="90">
        <v>1</v>
      </c>
      <c r="P8" s="90">
        <v>1</v>
      </c>
      <c r="Q8" s="90">
        <v>15</v>
      </c>
      <c r="R8" s="14">
        <f>SUM(Q$7:Q8)</f>
        <v>15</v>
      </c>
      <c r="S8" s="91">
        <v>1606003</v>
      </c>
      <c r="T8" s="14" t="str">
        <f>"神器"&amp;N8&amp;"-"&amp;O8</f>
        <v>神器1-1</v>
      </c>
      <c r="W8" s="87">
        <v>1</v>
      </c>
      <c r="X8" s="87">
        <v>43</v>
      </c>
      <c r="Y8" s="87" t="s">
        <v>755</v>
      </c>
      <c r="Z8" s="87"/>
      <c r="AA8" s="87"/>
      <c r="AD8" s="87">
        <v>2</v>
      </c>
      <c r="AE8" s="87">
        <v>1</v>
      </c>
      <c r="AF8" s="87">
        <v>2</v>
      </c>
      <c r="AG8" s="87" t="str">
        <f t="shared" ref="AG8:AG48" si="6">"神器"&amp;AE8&amp;"-"&amp;AF8</f>
        <v>神器1-2</v>
      </c>
      <c r="AH8" s="87">
        <v>1</v>
      </c>
      <c r="AI8" s="87">
        <f t="shared" ref="AI8:AI48" si="7">INDEX($C$7:$C$13,AE8)*INDEX($H$7:$H$10,AH8)*$B$4</f>
        <v>10</v>
      </c>
      <c r="AL8" s="87">
        <v>1</v>
      </c>
      <c r="AM8" s="87">
        <v>1</v>
      </c>
      <c r="AN8" s="87">
        <v>1</v>
      </c>
      <c r="AO8" s="144">
        <f t="shared" ref="AO8:AO71" si="8">4400+AN8</f>
        <v>4401</v>
      </c>
      <c r="AP8" s="144" t="s">
        <v>1234</v>
      </c>
      <c r="AQ8" s="144" t="str">
        <f t="shared" ref="AQ8:AQ71" si="9">AP8&amp;"  "&amp;AS8</f>
        <v>神器本-1-普通-1  神器1-2</v>
      </c>
      <c r="AR8" s="87">
        <v>2</v>
      </c>
      <c r="AS8" s="87" t="s">
        <v>748</v>
      </c>
      <c r="AT8" s="32">
        <v>5000</v>
      </c>
      <c r="AU8" s="87">
        <v>1</v>
      </c>
      <c r="AV8" s="87">
        <v>3</v>
      </c>
      <c r="AW8" s="87">
        <f t="shared" ref="AW8:AW71" si="10">INDEX($AH$7:$AH$48,AR8)</f>
        <v>1</v>
      </c>
      <c r="AX8" s="14">
        <f t="shared" ref="AX8:AX71" si="11">(AU8+AV8)/2*AT8/10000</f>
        <v>1</v>
      </c>
      <c r="AY8" s="14">
        <f t="shared" ref="AY8:AY71" si="12">(AU8+AV8)/2*AT8/10000*INDEX($AI$7:$AI$48,AR8)</f>
        <v>10</v>
      </c>
      <c r="BB8" s="87">
        <v>2</v>
      </c>
      <c r="BC8" s="87">
        <v>1</v>
      </c>
      <c r="BD8" s="87">
        <f t="shared" si="0"/>
        <v>92.05</v>
      </c>
      <c r="BG8" s="87">
        <v>2</v>
      </c>
      <c r="BH8" s="14" t="e">
        <f>INDEX(节奏总表!#REF!,新神器!BG8)</f>
        <v>#REF!</v>
      </c>
      <c r="BI8" s="14" t="e">
        <f t="shared" ref="BI8:BI66" si="13">MATCH(BH8,$X$7:$X$14,1)-1</f>
        <v>#REF!</v>
      </c>
      <c r="BJ8" s="87">
        <v>0</v>
      </c>
      <c r="BK8" s="87">
        <v>5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2"/>
        <v>0</v>
      </c>
      <c r="BW8" s="14">
        <f t="shared" si="2"/>
        <v>0</v>
      </c>
      <c r="BX8" s="14">
        <f t="shared" si="2"/>
        <v>0</v>
      </c>
      <c r="BY8" s="14">
        <f t="shared" si="2"/>
        <v>0</v>
      </c>
      <c r="BZ8" s="14">
        <f t="shared" si="2"/>
        <v>0</v>
      </c>
      <c r="CA8" s="14">
        <f t="shared" si="2"/>
        <v>0</v>
      </c>
      <c r="CB8" s="14">
        <f t="shared" si="2"/>
        <v>0</v>
      </c>
      <c r="CC8" s="14">
        <f t="shared" si="2"/>
        <v>0</v>
      </c>
      <c r="CD8" s="14">
        <f t="shared" si="2"/>
        <v>0</v>
      </c>
      <c r="CE8" s="14">
        <f t="shared" si="2"/>
        <v>0</v>
      </c>
      <c r="CF8" s="14">
        <f t="shared" si="3"/>
        <v>0</v>
      </c>
      <c r="CG8" s="14">
        <f t="shared" si="3"/>
        <v>0</v>
      </c>
      <c r="CH8" s="14">
        <f t="shared" si="3"/>
        <v>0</v>
      </c>
      <c r="CI8" s="14">
        <f t="shared" si="3"/>
        <v>0</v>
      </c>
      <c r="CJ8" s="14">
        <f t="shared" si="3"/>
        <v>0</v>
      </c>
      <c r="CK8" s="14">
        <f t="shared" si="3"/>
        <v>0</v>
      </c>
      <c r="CL8" s="14">
        <f t="shared" si="3"/>
        <v>0</v>
      </c>
      <c r="CM8" s="14">
        <f t="shared" si="3"/>
        <v>0</v>
      </c>
      <c r="CN8" s="14">
        <f t="shared" si="3"/>
        <v>0</v>
      </c>
      <c r="CO8" s="14">
        <f t="shared" si="3"/>
        <v>0</v>
      </c>
      <c r="CP8" s="14">
        <f t="shared" si="4"/>
        <v>0</v>
      </c>
      <c r="CQ8" s="14">
        <f t="shared" si="4"/>
        <v>0</v>
      </c>
      <c r="CR8" s="14">
        <f t="shared" si="4"/>
        <v>0</v>
      </c>
      <c r="CS8" s="14">
        <f t="shared" si="4"/>
        <v>0</v>
      </c>
      <c r="CT8" s="14">
        <f t="shared" si="4"/>
        <v>0</v>
      </c>
      <c r="CU8" s="14">
        <f t="shared" si="4"/>
        <v>0</v>
      </c>
      <c r="CV8" s="14">
        <f t="shared" si="4"/>
        <v>0</v>
      </c>
      <c r="CW8" s="14">
        <f t="shared" si="4"/>
        <v>0</v>
      </c>
      <c r="CX8" s="14">
        <f t="shared" si="4"/>
        <v>0</v>
      </c>
      <c r="CY8" s="14">
        <f t="shared" si="4"/>
        <v>0</v>
      </c>
      <c r="CZ8" s="14">
        <f t="shared" si="4"/>
        <v>0</v>
      </c>
      <c r="DA8" s="14">
        <f t="shared" si="4"/>
        <v>0</v>
      </c>
      <c r="DC8" s="14">
        <f>SUM(BL$7:BL8)</f>
        <v>0</v>
      </c>
      <c r="DD8" s="14">
        <f>SUM(BM$7:BM8)</f>
        <v>0</v>
      </c>
      <c r="DE8" s="14">
        <f>SUM(BN$7:BN8)</f>
        <v>0</v>
      </c>
      <c r="DF8" s="14">
        <f>SUM(BO$7:BO8)</f>
        <v>0</v>
      </c>
      <c r="DG8" s="14">
        <f>SUM(BP$7:BP8)</f>
        <v>0</v>
      </c>
      <c r="DH8" s="14">
        <f>SUM(BQ$7:BQ8)</f>
        <v>0</v>
      </c>
      <c r="DI8" s="14">
        <f>SUM(BR$7:BR8)</f>
        <v>0</v>
      </c>
      <c r="DJ8" s="14">
        <f>SUM(BS$7:BS8)</f>
        <v>0</v>
      </c>
      <c r="DK8" s="14">
        <f>SUM(BT$7:BT8)</f>
        <v>0</v>
      </c>
      <c r="DL8" s="14">
        <f>SUM(BU$7:BU8)</f>
        <v>0</v>
      </c>
      <c r="DM8" s="14">
        <f>SUM(BV$7:BV8)</f>
        <v>0</v>
      </c>
      <c r="DN8" s="14">
        <f>SUM(BW$7:BW8)</f>
        <v>0</v>
      </c>
      <c r="DO8" s="14">
        <f>SUM(BX$7:BX8)</f>
        <v>0</v>
      </c>
      <c r="DP8" s="14">
        <f>SUM(BY$7:BY8)</f>
        <v>0</v>
      </c>
      <c r="DQ8" s="14">
        <f>SUM(BZ$7:BZ8)</f>
        <v>0</v>
      </c>
      <c r="DR8" s="14">
        <f>SUM(CA$7:CA8)</f>
        <v>0</v>
      </c>
      <c r="DS8" s="14">
        <f>SUM(CB$7:CB8)</f>
        <v>0</v>
      </c>
      <c r="DT8" s="14">
        <f>SUM(CC$7:CC8)</f>
        <v>0</v>
      </c>
      <c r="DU8" s="14">
        <f>SUM(CD$7:CD8)</f>
        <v>0</v>
      </c>
      <c r="DV8" s="14">
        <f>SUM(CE$7:CE8)</f>
        <v>0</v>
      </c>
      <c r="DW8" s="14">
        <f>SUM(CF$7:CF8)</f>
        <v>0</v>
      </c>
      <c r="DX8" s="14">
        <f>SUM(CG$7:CG8)</f>
        <v>0</v>
      </c>
      <c r="DY8" s="14">
        <f>SUM(CH$7:CH8)</f>
        <v>0</v>
      </c>
      <c r="DZ8" s="14">
        <f>SUM(CI$7:CI8)</f>
        <v>0</v>
      </c>
      <c r="EA8" s="14">
        <f>SUM(CJ$7:CJ8)</f>
        <v>0</v>
      </c>
      <c r="EB8" s="14">
        <f>SUM(CK$7:CK8)</f>
        <v>0</v>
      </c>
      <c r="EC8" s="14">
        <f>SUM(CL$7:CL8)</f>
        <v>0</v>
      </c>
      <c r="ED8" s="14">
        <f>SUM(CM$7:CM8)</f>
        <v>0</v>
      </c>
      <c r="EE8" s="14">
        <f>SUM(CN$7:CN8)</f>
        <v>0</v>
      </c>
      <c r="EF8" s="14">
        <f>SUM(CO$7:CO8)</f>
        <v>0</v>
      </c>
      <c r="EG8" s="14">
        <f>SUM(CP$7:CP8)</f>
        <v>0</v>
      </c>
      <c r="EH8" s="14">
        <f>SUM(CQ$7:CQ8)</f>
        <v>0</v>
      </c>
      <c r="EI8" s="14">
        <f>SUM(CR$7:CR8)</f>
        <v>0</v>
      </c>
      <c r="EJ8" s="14">
        <f>SUM(CS$7:CS8)</f>
        <v>0</v>
      </c>
      <c r="EK8" s="14">
        <f>SUM(CT$7:CT8)</f>
        <v>0</v>
      </c>
      <c r="EL8" s="14">
        <f>SUM(CU$7:CU8)</f>
        <v>0</v>
      </c>
      <c r="EM8" s="14">
        <f>SUM(CV$7:CV8)</f>
        <v>0</v>
      </c>
      <c r="EN8" s="14">
        <f>SUM(CW$7:CW8)</f>
        <v>0</v>
      </c>
      <c r="EO8" s="14">
        <f>SUM(CX$7:CX8)</f>
        <v>0</v>
      </c>
      <c r="EP8" s="14">
        <f>SUM(CY$7:CY8)</f>
        <v>0</v>
      </c>
      <c r="EQ8" s="14">
        <f>SUM(CZ$7:CZ8)</f>
        <v>0</v>
      </c>
      <c r="ER8" s="14">
        <f>SUM(DA$7:DA8)</f>
        <v>0</v>
      </c>
      <c r="EU8" s="14">
        <f t="shared" ref="EU8:EU66" si="14">MATCH(DC8,$L$7:$L$28,1)-1</f>
        <v>0</v>
      </c>
      <c r="EV8" s="14">
        <f t="shared" ref="EV8:EV66" si="15">MATCH(DD8,$L$7:$L$28,1)-1</f>
        <v>0</v>
      </c>
      <c r="EW8" s="14">
        <f t="shared" ref="EW8:EW66" si="16">MATCH(DE8,$L$7:$L$28,1)-1</f>
        <v>0</v>
      </c>
      <c r="EX8" s="14">
        <f t="shared" ref="EX8:EX66" si="17">MATCH(DF8,$L$7:$L$28,1)-1</f>
        <v>0</v>
      </c>
      <c r="EY8" s="14">
        <f t="shared" ref="EY8:EY66" si="18">MATCH(DG8,$L$7:$L$28,1)-1</f>
        <v>0</v>
      </c>
      <c r="EZ8" s="14">
        <f t="shared" ref="EZ8:EZ66" si="19">MATCH(DH8,$L$7:$L$28,1)-1</f>
        <v>0</v>
      </c>
      <c r="FA8" s="14">
        <f t="shared" ref="FA8:FA66" si="20">MATCH(DI8,$L$7:$L$28,1)-1</f>
        <v>0</v>
      </c>
      <c r="FB8" s="14">
        <f t="shared" ref="FB8:FB66" si="21">MATCH(DJ8,$L$7:$L$28,1)-1</f>
        <v>0</v>
      </c>
      <c r="FC8" s="14">
        <f t="shared" ref="FC8:FC66" si="22">MATCH(DK8,$L$7:$L$28,1)-1</f>
        <v>0</v>
      </c>
      <c r="FD8" s="14">
        <f t="shared" ref="FD8:FD66" si="23">MATCH(DL8,$L$7:$L$28,1)-1</f>
        <v>0</v>
      </c>
      <c r="FE8" s="14">
        <f t="shared" ref="FE8:FE66" si="24">MATCH(DM8,$L$7:$L$28,1)-1</f>
        <v>0</v>
      </c>
      <c r="FF8" s="14">
        <f t="shared" ref="FF8:FF66" si="25">MATCH(DN8,$L$7:$L$28,1)-1</f>
        <v>0</v>
      </c>
      <c r="FG8" s="14">
        <f t="shared" ref="FG8:FG66" si="26">MATCH(DO8,$L$7:$L$28,1)-1</f>
        <v>0</v>
      </c>
      <c r="FH8" s="14">
        <f t="shared" ref="FH8:FH66" si="27">MATCH(DP8,$L$7:$L$28,1)-1</f>
        <v>0</v>
      </c>
      <c r="FI8" s="14">
        <f t="shared" ref="FI8:FI66" si="28">MATCH(DQ8,$L$7:$L$28,1)-1</f>
        <v>0</v>
      </c>
      <c r="FJ8" s="14">
        <f t="shared" ref="FJ8:FJ66" si="29">MATCH(DR8,$L$7:$L$28,1)-1</f>
        <v>0</v>
      </c>
      <c r="FK8" s="14">
        <f t="shared" ref="FK8:FK66" si="30">MATCH(DS8,$L$7:$L$28,1)-1</f>
        <v>0</v>
      </c>
      <c r="FL8" s="14">
        <f t="shared" ref="FL8:FL66" si="31">MATCH(DT8,$L$7:$L$28,1)-1</f>
        <v>0</v>
      </c>
      <c r="FM8" s="14">
        <f t="shared" ref="FM8:FM66" si="32">MATCH(DU8,$L$7:$L$28,1)-1</f>
        <v>0</v>
      </c>
      <c r="FN8" s="14">
        <f t="shared" ref="FN8:FN66" si="33">MATCH(DV8,$L$7:$L$28,1)-1</f>
        <v>0</v>
      </c>
      <c r="FO8" s="14">
        <f t="shared" ref="FO8:FO66" si="34">MATCH(DW8,$L$7:$L$28,1)-1</f>
        <v>0</v>
      </c>
      <c r="FP8" s="14">
        <f t="shared" ref="FP8:FP66" si="35">MATCH(DX8,$L$7:$L$28,1)-1</f>
        <v>0</v>
      </c>
      <c r="FQ8" s="14">
        <f t="shared" ref="FQ8:FQ66" si="36">MATCH(DY8,$L$7:$L$28,1)-1</f>
        <v>0</v>
      </c>
      <c r="FR8" s="14">
        <f t="shared" ref="FR8:FR66" si="37">MATCH(DZ8,$L$7:$L$28,1)-1</f>
        <v>0</v>
      </c>
      <c r="FS8" s="14">
        <f t="shared" ref="FS8:FS66" si="38">MATCH(EA8,$L$7:$L$28,1)-1</f>
        <v>0</v>
      </c>
      <c r="FT8" s="14">
        <f t="shared" ref="FT8:FT66" si="39">MATCH(EB8,$L$7:$L$28,1)-1</f>
        <v>0</v>
      </c>
      <c r="FU8" s="14">
        <f t="shared" ref="FU8:FU66" si="40">MATCH(EC8,$L$7:$L$28,1)-1</f>
        <v>0</v>
      </c>
      <c r="FV8" s="14">
        <f t="shared" ref="FV8:FV66" si="41">MATCH(ED8,$L$7:$L$28,1)-1</f>
        <v>0</v>
      </c>
      <c r="FW8" s="14">
        <f t="shared" ref="FW8:FW66" si="42">MATCH(EE8,$L$7:$L$28,1)-1</f>
        <v>0</v>
      </c>
      <c r="FX8" s="14">
        <f t="shared" ref="FX8:FX66" si="43">MATCH(EF8,$L$7:$L$28,1)-1</f>
        <v>0</v>
      </c>
      <c r="FY8" s="14">
        <f t="shared" ref="FY8:FY66" si="44">MATCH(EG8,$L$7:$L$28,1)-1</f>
        <v>0</v>
      </c>
      <c r="FZ8" s="14">
        <f t="shared" ref="FZ8:FZ66" si="45">MATCH(EH8,$L$7:$L$28,1)-1</f>
        <v>0</v>
      </c>
      <c r="GA8" s="14">
        <f t="shared" ref="GA8:GA66" si="46">MATCH(EI8,$L$7:$L$28,1)-1</f>
        <v>0</v>
      </c>
      <c r="GB8" s="14">
        <f t="shared" ref="GB8:GB66" si="47">MATCH(EJ8,$L$7:$L$28,1)-1</f>
        <v>0</v>
      </c>
      <c r="GC8" s="14">
        <f t="shared" ref="GC8:GC66" si="48">MATCH(EK8,$L$7:$L$28,1)-1</f>
        <v>0</v>
      </c>
      <c r="GD8" s="14">
        <f t="shared" ref="GD8:GD66" si="49">MATCH(EL8,$L$7:$L$28,1)-1</f>
        <v>0</v>
      </c>
      <c r="GE8" s="14">
        <f t="shared" ref="GE8:GE66" si="50">MATCH(EM8,$L$7:$L$28,1)-1</f>
        <v>0</v>
      </c>
      <c r="GF8" s="14">
        <f t="shared" ref="GF8:GF66" si="51">MATCH(EN8,$L$7:$L$28,1)-1</f>
        <v>0</v>
      </c>
      <c r="GG8" s="14">
        <f t="shared" ref="GG8:GG66" si="52">MATCH(EO8,$L$7:$L$28,1)-1</f>
        <v>0</v>
      </c>
      <c r="GH8" s="14">
        <f t="shared" ref="GH8:GH66" si="53">MATCH(EP8,$L$7:$L$28,1)-1</f>
        <v>0</v>
      </c>
      <c r="GI8" s="14">
        <f t="shared" ref="GI8:GI66" si="54">MATCH(EQ8,$L$7:$L$28,1)-1</f>
        <v>0</v>
      </c>
      <c r="GJ8" s="14">
        <f t="shared" ref="GJ8:GJ66" si="55">MATCH(ER8,$L$7:$L$28,1)-1</f>
        <v>0</v>
      </c>
      <c r="GM8" s="91">
        <v>2</v>
      </c>
      <c r="GN8" s="14">
        <f t="shared" ref="GN8:GN71" si="56">MATCH(GM8-1,$R$7:$R$49,1)</f>
        <v>1</v>
      </c>
      <c r="GO8" s="14">
        <f t="shared" ref="GO8:GO71" si="57">INDEX($S$8:$S$49,GN8)</f>
        <v>1606003</v>
      </c>
      <c r="GP8" s="14" t="str">
        <f t="shared" ref="GP8:GP71" si="58">INDEX($T$8:$T$49,GN8)&amp;" : "&amp;AR8&amp;"级"</f>
        <v>神器1-1 : 2级</v>
      </c>
      <c r="GQ8" s="14" t="s">
        <v>816</v>
      </c>
      <c r="GR8" s="14">
        <f t="shared" ref="GR8:GR71" si="59">GM8-INDEX($R$7:$R$49,GN8)</f>
        <v>2</v>
      </c>
      <c r="GS8" s="14" t="str">
        <f t="shared" ref="GS8:GS71" si="60">INDEX($T$8:$T$49,GN8)</f>
        <v>神器1-1</v>
      </c>
      <c r="GT8" s="14">
        <f t="shared" ref="GT8:GT71" si="61">INDEX($K$8:$K$28,GR8)</f>
        <v>1</v>
      </c>
    </row>
    <row r="9" spans="1:202" ht="16.5" x14ac:dyDescent="0.2">
      <c r="A9" s="87">
        <v>3</v>
      </c>
      <c r="B9" s="87">
        <v>4</v>
      </c>
      <c r="C9" s="87">
        <v>4</v>
      </c>
      <c r="E9" s="87">
        <v>3</v>
      </c>
      <c r="F9" s="87" t="s">
        <v>647</v>
      </c>
      <c r="G9" s="87">
        <v>2</v>
      </c>
      <c r="H9" s="87">
        <v>7</v>
      </c>
      <c r="J9" s="87">
        <v>2</v>
      </c>
      <c r="K9" s="87">
        <v>1</v>
      </c>
      <c r="L9" s="87">
        <f>SUM(K$8:K9)</f>
        <v>2</v>
      </c>
      <c r="N9" s="90">
        <v>1</v>
      </c>
      <c r="O9" s="90">
        <v>2</v>
      </c>
      <c r="P9" s="90">
        <v>1</v>
      </c>
      <c r="Q9" s="90">
        <v>15</v>
      </c>
      <c r="R9" s="14">
        <f>SUM(Q$7:Q9)</f>
        <v>30</v>
      </c>
      <c r="S9" s="91">
        <v>1606004</v>
      </c>
      <c r="T9" s="14" t="str">
        <f t="shared" ref="T9:T49" si="62">"神器"&amp;N9&amp;"-"&amp;O9</f>
        <v>神器1-2</v>
      </c>
      <c r="W9" s="87">
        <v>2</v>
      </c>
      <c r="X9" s="87">
        <v>63</v>
      </c>
      <c r="Y9" s="87" t="s">
        <v>756</v>
      </c>
      <c r="Z9" s="87" t="s">
        <v>757</v>
      </c>
      <c r="AA9" s="87"/>
      <c r="AD9" s="87">
        <v>3</v>
      </c>
      <c r="AE9" s="87">
        <v>1</v>
      </c>
      <c r="AF9" s="87">
        <v>3</v>
      </c>
      <c r="AG9" s="87" t="str">
        <f t="shared" si="6"/>
        <v>神器1-3</v>
      </c>
      <c r="AH9" s="87">
        <v>2</v>
      </c>
      <c r="AI9" s="87">
        <f t="shared" si="7"/>
        <v>30</v>
      </c>
      <c r="AL9" s="87">
        <v>1</v>
      </c>
      <c r="AM9" s="87">
        <v>1</v>
      </c>
      <c r="AN9" s="87">
        <v>2</v>
      </c>
      <c r="AO9" s="144">
        <f t="shared" si="8"/>
        <v>4402</v>
      </c>
      <c r="AP9" s="144" t="s">
        <v>1235</v>
      </c>
      <c r="AQ9" s="144" t="str">
        <f t="shared" si="9"/>
        <v>神器本-1-普通-2  神器1-3</v>
      </c>
      <c r="AR9" s="87">
        <v>3</v>
      </c>
      <c r="AS9" s="87" t="s">
        <v>749</v>
      </c>
      <c r="AT9" s="32">
        <v>3000</v>
      </c>
      <c r="AU9" s="87">
        <v>1</v>
      </c>
      <c r="AV9" s="87">
        <v>2</v>
      </c>
      <c r="AW9" s="87">
        <f t="shared" si="10"/>
        <v>2</v>
      </c>
      <c r="AX9" s="14">
        <f t="shared" si="11"/>
        <v>0.45</v>
      </c>
      <c r="AY9" s="14">
        <f t="shared" si="12"/>
        <v>13.5</v>
      </c>
      <c r="BB9" s="87">
        <v>2</v>
      </c>
      <c r="BC9" s="87">
        <v>2</v>
      </c>
      <c r="BD9" s="87">
        <f t="shared" si="0"/>
        <v>118.3</v>
      </c>
      <c r="BG9" s="87">
        <v>3</v>
      </c>
      <c r="BH9" s="14" t="e">
        <f>INDEX(节奏总表!#REF!,新神器!BG9)</f>
        <v>#REF!</v>
      </c>
      <c r="BI9" s="14" t="e">
        <f t="shared" si="13"/>
        <v>#REF!</v>
      </c>
      <c r="BJ9" s="87">
        <v>1</v>
      </c>
      <c r="BK9" s="87">
        <v>5</v>
      </c>
      <c r="BL9" s="14">
        <f t="shared" si="1"/>
        <v>0</v>
      </c>
      <c r="BM9" s="14">
        <f t="shared" si="1"/>
        <v>0</v>
      </c>
      <c r="BN9" s="14">
        <f t="shared" si="1"/>
        <v>0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2"/>
        <v>0</v>
      </c>
      <c r="BW9" s="14">
        <f t="shared" si="2"/>
        <v>0</v>
      </c>
      <c r="BX9" s="14">
        <f t="shared" si="2"/>
        <v>0</v>
      </c>
      <c r="BY9" s="14">
        <f t="shared" si="2"/>
        <v>0</v>
      </c>
      <c r="BZ9" s="14">
        <f t="shared" si="2"/>
        <v>0</v>
      </c>
      <c r="CA9" s="14">
        <f t="shared" si="2"/>
        <v>0</v>
      </c>
      <c r="CB9" s="14">
        <f t="shared" si="2"/>
        <v>0</v>
      </c>
      <c r="CC9" s="14">
        <f t="shared" si="2"/>
        <v>0</v>
      </c>
      <c r="CD9" s="14">
        <f t="shared" si="2"/>
        <v>0</v>
      </c>
      <c r="CE9" s="14">
        <f t="shared" si="2"/>
        <v>0</v>
      </c>
      <c r="CF9" s="14">
        <f t="shared" si="3"/>
        <v>0</v>
      </c>
      <c r="CG9" s="14">
        <f t="shared" si="3"/>
        <v>0</v>
      </c>
      <c r="CH9" s="14">
        <f t="shared" si="3"/>
        <v>0</v>
      </c>
      <c r="CI9" s="14">
        <f t="shared" si="3"/>
        <v>0</v>
      </c>
      <c r="CJ9" s="14">
        <f t="shared" si="3"/>
        <v>0</v>
      </c>
      <c r="CK9" s="14">
        <f t="shared" si="3"/>
        <v>0</v>
      </c>
      <c r="CL9" s="14">
        <f t="shared" si="3"/>
        <v>0</v>
      </c>
      <c r="CM9" s="14">
        <f t="shared" si="3"/>
        <v>0</v>
      </c>
      <c r="CN9" s="14">
        <f t="shared" si="3"/>
        <v>0</v>
      </c>
      <c r="CO9" s="14">
        <f t="shared" si="3"/>
        <v>0</v>
      </c>
      <c r="CP9" s="14">
        <f t="shared" si="4"/>
        <v>0</v>
      </c>
      <c r="CQ9" s="14">
        <f t="shared" si="4"/>
        <v>0</v>
      </c>
      <c r="CR9" s="14">
        <f t="shared" si="4"/>
        <v>0</v>
      </c>
      <c r="CS9" s="14">
        <f t="shared" si="4"/>
        <v>0</v>
      </c>
      <c r="CT9" s="14">
        <f t="shared" si="4"/>
        <v>0</v>
      </c>
      <c r="CU9" s="14">
        <f t="shared" si="4"/>
        <v>0</v>
      </c>
      <c r="CV9" s="14">
        <f t="shared" si="4"/>
        <v>0</v>
      </c>
      <c r="CW9" s="14">
        <f t="shared" si="4"/>
        <v>0</v>
      </c>
      <c r="CX9" s="14">
        <f t="shared" si="4"/>
        <v>0</v>
      </c>
      <c r="CY9" s="14">
        <f t="shared" si="4"/>
        <v>0</v>
      </c>
      <c r="CZ9" s="14">
        <f t="shared" si="4"/>
        <v>0</v>
      </c>
      <c r="DA9" s="14">
        <f t="shared" si="4"/>
        <v>0</v>
      </c>
      <c r="DC9" s="14">
        <f>SUM(BL$7:BL9)</f>
        <v>0</v>
      </c>
      <c r="DD9" s="14">
        <f>SUM(BM$7:BM9)</f>
        <v>0</v>
      </c>
      <c r="DE9" s="14">
        <f>SUM(BN$7:BN9)</f>
        <v>0</v>
      </c>
      <c r="DF9" s="14">
        <f>SUM(BO$7:BO9)</f>
        <v>0</v>
      </c>
      <c r="DG9" s="14">
        <f>SUM(BP$7:BP9)</f>
        <v>0</v>
      </c>
      <c r="DH9" s="14">
        <f>SUM(BQ$7:BQ9)</f>
        <v>0</v>
      </c>
      <c r="DI9" s="14">
        <f>SUM(BR$7:BR9)</f>
        <v>0</v>
      </c>
      <c r="DJ9" s="14">
        <f>SUM(BS$7:BS9)</f>
        <v>0</v>
      </c>
      <c r="DK9" s="14">
        <f>SUM(BT$7:BT9)</f>
        <v>0</v>
      </c>
      <c r="DL9" s="14">
        <f>SUM(BU$7:BU9)</f>
        <v>0</v>
      </c>
      <c r="DM9" s="14">
        <f>SUM(BV$7:BV9)</f>
        <v>0</v>
      </c>
      <c r="DN9" s="14">
        <f>SUM(BW$7:BW9)</f>
        <v>0</v>
      </c>
      <c r="DO9" s="14">
        <f>SUM(BX$7:BX9)</f>
        <v>0</v>
      </c>
      <c r="DP9" s="14">
        <f>SUM(BY$7:BY9)</f>
        <v>0</v>
      </c>
      <c r="DQ9" s="14">
        <f>SUM(BZ$7:BZ9)</f>
        <v>0</v>
      </c>
      <c r="DR9" s="14">
        <f>SUM(CA$7:CA9)</f>
        <v>0</v>
      </c>
      <c r="DS9" s="14">
        <f>SUM(CB$7:CB9)</f>
        <v>0</v>
      </c>
      <c r="DT9" s="14">
        <f>SUM(CC$7:CC9)</f>
        <v>0</v>
      </c>
      <c r="DU9" s="14">
        <f>SUM(CD$7:CD9)</f>
        <v>0</v>
      </c>
      <c r="DV9" s="14">
        <f>SUM(CE$7:CE9)</f>
        <v>0</v>
      </c>
      <c r="DW9" s="14">
        <f>SUM(CF$7:CF9)</f>
        <v>0</v>
      </c>
      <c r="DX9" s="14">
        <f>SUM(CG$7:CG9)</f>
        <v>0</v>
      </c>
      <c r="DY9" s="14">
        <f>SUM(CH$7:CH9)</f>
        <v>0</v>
      </c>
      <c r="DZ9" s="14">
        <f>SUM(CI$7:CI9)</f>
        <v>0</v>
      </c>
      <c r="EA9" s="14">
        <f>SUM(CJ$7:CJ9)</f>
        <v>0</v>
      </c>
      <c r="EB9" s="14">
        <f>SUM(CK$7:CK9)</f>
        <v>0</v>
      </c>
      <c r="EC9" s="14">
        <f>SUM(CL$7:CL9)</f>
        <v>0</v>
      </c>
      <c r="ED9" s="14">
        <f>SUM(CM$7:CM9)</f>
        <v>0</v>
      </c>
      <c r="EE9" s="14">
        <f>SUM(CN$7:CN9)</f>
        <v>0</v>
      </c>
      <c r="EF9" s="14">
        <f>SUM(CO$7:CO9)</f>
        <v>0</v>
      </c>
      <c r="EG9" s="14">
        <f>SUM(CP$7:CP9)</f>
        <v>0</v>
      </c>
      <c r="EH9" s="14">
        <f>SUM(CQ$7:CQ9)</f>
        <v>0</v>
      </c>
      <c r="EI9" s="14">
        <f>SUM(CR$7:CR9)</f>
        <v>0</v>
      </c>
      <c r="EJ9" s="14">
        <f>SUM(CS$7:CS9)</f>
        <v>0</v>
      </c>
      <c r="EK9" s="14">
        <f>SUM(CT$7:CT9)</f>
        <v>0</v>
      </c>
      <c r="EL9" s="14">
        <f>SUM(CU$7:CU9)</f>
        <v>0</v>
      </c>
      <c r="EM9" s="14">
        <f>SUM(CV$7:CV9)</f>
        <v>0</v>
      </c>
      <c r="EN9" s="14">
        <f>SUM(CW$7:CW9)</f>
        <v>0</v>
      </c>
      <c r="EO9" s="14">
        <f>SUM(CX$7:CX9)</f>
        <v>0</v>
      </c>
      <c r="EP9" s="14">
        <f>SUM(CY$7:CY9)</f>
        <v>0</v>
      </c>
      <c r="EQ9" s="14">
        <f>SUM(CZ$7:CZ9)</f>
        <v>0</v>
      </c>
      <c r="ER9" s="14">
        <f>SUM(DA$7:DA9)</f>
        <v>0</v>
      </c>
      <c r="EU9" s="14">
        <f t="shared" si="14"/>
        <v>0</v>
      </c>
      <c r="EV9" s="14">
        <f t="shared" si="15"/>
        <v>0</v>
      </c>
      <c r="EW9" s="14">
        <f t="shared" si="16"/>
        <v>0</v>
      </c>
      <c r="EX9" s="14">
        <f t="shared" si="17"/>
        <v>0</v>
      </c>
      <c r="EY9" s="14">
        <f t="shared" si="18"/>
        <v>0</v>
      </c>
      <c r="EZ9" s="14">
        <f t="shared" si="19"/>
        <v>0</v>
      </c>
      <c r="FA9" s="14">
        <f t="shared" si="20"/>
        <v>0</v>
      </c>
      <c r="FB9" s="14">
        <f t="shared" si="21"/>
        <v>0</v>
      </c>
      <c r="FC9" s="14">
        <f t="shared" si="22"/>
        <v>0</v>
      </c>
      <c r="FD9" s="14">
        <f t="shared" si="23"/>
        <v>0</v>
      </c>
      <c r="FE9" s="14">
        <f t="shared" si="24"/>
        <v>0</v>
      </c>
      <c r="FF9" s="14">
        <f t="shared" si="25"/>
        <v>0</v>
      </c>
      <c r="FG9" s="14">
        <f t="shared" si="26"/>
        <v>0</v>
      </c>
      <c r="FH9" s="14">
        <f t="shared" si="27"/>
        <v>0</v>
      </c>
      <c r="FI9" s="14">
        <f t="shared" si="28"/>
        <v>0</v>
      </c>
      <c r="FJ9" s="14">
        <f t="shared" si="29"/>
        <v>0</v>
      </c>
      <c r="FK9" s="14">
        <f t="shared" si="30"/>
        <v>0</v>
      </c>
      <c r="FL9" s="14">
        <f t="shared" si="31"/>
        <v>0</v>
      </c>
      <c r="FM9" s="14">
        <f t="shared" si="32"/>
        <v>0</v>
      </c>
      <c r="FN9" s="14">
        <f t="shared" si="33"/>
        <v>0</v>
      </c>
      <c r="FO9" s="14">
        <f t="shared" si="34"/>
        <v>0</v>
      </c>
      <c r="FP9" s="14">
        <f t="shared" si="35"/>
        <v>0</v>
      </c>
      <c r="FQ9" s="14">
        <f t="shared" si="36"/>
        <v>0</v>
      </c>
      <c r="FR9" s="14">
        <f t="shared" si="37"/>
        <v>0</v>
      </c>
      <c r="FS9" s="14">
        <f t="shared" si="38"/>
        <v>0</v>
      </c>
      <c r="FT9" s="14">
        <f t="shared" si="39"/>
        <v>0</v>
      </c>
      <c r="FU9" s="14">
        <f t="shared" si="40"/>
        <v>0</v>
      </c>
      <c r="FV9" s="14">
        <f t="shared" si="41"/>
        <v>0</v>
      </c>
      <c r="FW9" s="14">
        <f t="shared" si="42"/>
        <v>0</v>
      </c>
      <c r="FX9" s="14">
        <f t="shared" si="43"/>
        <v>0</v>
      </c>
      <c r="FY9" s="14">
        <f t="shared" si="44"/>
        <v>0</v>
      </c>
      <c r="FZ9" s="14">
        <f t="shared" si="45"/>
        <v>0</v>
      </c>
      <c r="GA9" s="14">
        <f t="shared" si="46"/>
        <v>0</v>
      </c>
      <c r="GB9" s="14">
        <f t="shared" si="47"/>
        <v>0</v>
      </c>
      <c r="GC9" s="14">
        <f t="shared" si="48"/>
        <v>0</v>
      </c>
      <c r="GD9" s="14">
        <f t="shared" si="49"/>
        <v>0</v>
      </c>
      <c r="GE9" s="14">
        <f t="shared" si="50"/>
        <v>0</v>
      </c>
      <c r="GF9" s="14">
        <f t="shared" si="51"/>
        <v>0</v>
      </c>
      <c r="GG9" s="14">
        <f t="shared" si="52"/>
        <v>0</v>
      </c>
      <c r="GH9" s="14">
        <f t="shared" si="53"/>
        <v>0</v>
      </c>
      <c r="GI9" s="14">
        <f t="shared" si="54"/>
        <v>0</v>
      </c>
      <c r="GJ9" s="14">
        <f t="shared" si="55"/>
        <v>0</v>
      </c>
      <c r="GM9" s="91">
        <v>3</v>
      </c>
      <c r="GN9" s="14">
        <f t="shared" si="56"/>
        <v>1</v>
      </c>
      <c r="GO9" s="14">
        <f t="shared" si="57"/>
        <v>1606003</v>
      </c>
      <c r="GP9" s="14" t="str">
        <f t="shared" si="58"/>
        <v>神器1-1 : 3级</v>
      </c>
      <c r="GQ9" s="14" t="s">
        <v>816</v>
      </c>
      <c r="GR9" s="14">
        <f t="shared" si="59"/>
        <v>3</v>
      </c>
      <c r="GS9" s="14" t="str">
        <f t="shared" si="60"/>
        <v>神器1-1</v>
      </c>
      <c r="GT9" s="14">
        <f t="shared" si="61"/>
        <v>1</v>
      </c>
    </row>
    <row r="10" spans="1:202" ht="16.5" x14ac:dyDescent="0.2">
      <c r="A10" s="87">
        <v>4</v>
      </c>
      <c r="B10" s="87">
        <v>5</v>
      </c>
      <c r="C10" s="87">
        <v>5</v>
      </c>
      <c r="E10" s="87">
        <v>4</v>
      </c>
      <c r="F10" s="87" t="s">
        <v>376</v>
      </c>
      <c r="G10" s="87">
        <v>3</v>
      </c>
      <c r="H10" s="87">
        <v>15</v>
      </c>
      <c r="J10" s="87">
        <v>3</v>
      </c>
      <c r="K10" s="87">
        <v>1</v>
      </c>
      <c r="L10" s="87">
        <f>SUM(K$8:K10)</f>
        <v>3</v>
      </c>
      <c r="N10" s="90">
        <v>1</v>
      </c>
      <c r="O10" s="90">
        <v>3</v>
      </c>
      <c r="P10" s="90">
        <v>2</v>
      </c>
      <c r="Q10" s="90">
        <v>15</v>
      </c>
      <c r="R10" s="14">
        <f>SUM(Q$7:Q10)</f>
        <v>45</v>
      </c>
      <c r="S10" s="91">
        <v>1606005</v>
      </c>
      <c r="T10" s="14" t="str">
        <f t="shared" si="62"/>
        <v>神器1-3</v>
      </c>
      <c r="W10" s="87">
        <v>3</v>
      </c>
      <c r="X10" s="87">
        <v>83</v>
      </c>
      <c r="Y10" s="87" t="s">
        <v>773</v>
      </c>
      <c r="Z10" s="87" t="s">
        <v>770</v>
      </c>
      <c r="AA10" s="87" t="s">
        <v>768</v>
      </c>
      <c r="AD10" s="87">
        <v>4</v>
      </c>
      <c r="AE10" s="87">
        <v>2</v>
      </c>
      <c r="AF10" s="87">
        <v>1</v>
      </c>
      <c r="AG10" s="87" t="str">
        <f t="shared" si="6"/>
        <v>神器2-1</v>
      </c>
      <c r="AH10" s="87">
        <v>1</v>
      </c>
      <c r="AI10" s="87">
        <f t="shared" si="7"/>
        <v>15</v>
      </c>
      <c r="AL10" s="87">
        <v>2</v>
      </c>
      <c r="AM10" s="87">
        <v>1</v>
      </c>
      <c r="AN10" s="87">
        <v>3</v>
      </c>
      <c r="AO10" s="144">
        <f t="shared" si="8"/>
        <v>4403</v>
      </c>
      <c r="AP10" s="144" t="s">
        <v>1236</v>
      </c>
      <c r="AQ10" s="144" t="str">
        <f t="shared" si="9"/>
        <v>神器本-2-普通-1  神器1-1</v>
      </c>
      <c r="AR10" s="87">
        <v>1</v>
      </c>
      <c r="AS10" s="87" t="s">
        <v>747</v>
      </c>
      <c r="AT10" s="32">
        <v>3800</v>
      </c>
      <c r="AU10" s="87">
        <v>1</v>
      </c>
      <c r="AV10" s="87">
        <v>1</v>
      </c>
      <c r="AW10" s="87">
        <f t="shared" si="10"/>
        <v>1</v>
      </c>
      <c r="AX10" s="14">
        <f t="shared" si="11"/>
        <v>0.38</v>
      </c>
      <c r="AY10" s="14">
        <f t="shared" si="12"/>
        <v>3.8</v>
      </c>
      <c r="BB10" s="87">
        <v>3</v>
      </c>
      <c r="BC10" s="87">
        <v>1</v>
      </c>
      <c r="BD10" s="87">
        <f t="shared" si="0"/>
        <v>133</v>
      </c>
      <c r="BG10" s="87">
        <v>4</v>
      </c>
      <c r="BH10" s="14" t="e">
        <f>INDEX(节奏总表!#REF!,新神器!BG10)</f>
        <v>#REF!</v>
      </c>
      <c r="BI10" s="14" t="e">
        <f t="shared" si="13"/>
        <v>#REF!</v>
      </c>
      <c r="BJ10" s="87">
        <v>1</v>
      </c>
      <c r="BK10" s="87">
        <v>5</v>
      </c>
      <c r="BL10" s="14">
        <f t="shared" si="1"/>
        <v>0</v>
      </c>
      <c r="BM10" s="14">
        <f t="shared" si="1"/>
        <v>0</v>
      </c>
      <c r="BN10" s="14">
        <f t="shared" si="1"/>
        <v>0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2"/>
        <v>0</v>
      </c>
      <c r="BW10" s="14">
        <f t="shared" si="2"/>
        <v>0</v>
      </c>
      <c r="BX10" s="14">
        <f t="shared" si="2"/>
        <v>0</v>
      </c>
      <c r="BY10" s="14">
        <f t="shared" si="2"/>
        <v>0</v>
      </c>
      <c r="BZ10" s="14">
        <f t="shared" si="2"/>
        <v>0</v>
      </c>
      <c r="CA10" s="14">
        <f t="shared" si="2"/>
        <v>0</v>
      </c>
      <c r="CB10" s="14">
        <f t="shared" si="2"/>
        <v>0</v>
      </c>
      <c r="CC10" s="14">
        <f t="shared" si="2"/>
        <v>0</v>
      </c>
      <c r="CD10" s="14">
        <f t="shared" si="2"/>
        <v>0</v>
      </c>
      <c r="CE10" s="14">
        <f t="shared" si="2"/>
        <v>0</v>
      </c>
      <c r="CF10" s="14">
        <f t="shared" si="3"/>
        <v>0</v>
      </c>
      <c r="CG10" s="14">
        <f t="shared" si="3"/>
        <v>0</v>
      </c>
      <c r="CH10" s="14">
        <f t="shared" si="3"/>
        <v>0</v>
      </c>
      <c r="CI10" s="14">
        <f t="shared" si="3"/>
        <v>0</v>
      </c>
      <c r="CJ10" s="14">
        <f t="shared" si="3"/>
        <v>0</v>
      </c>
      <c r="CK10" s="14">
        <f t="shared" si="3"/>
        <v>0</v>
      </c>
      <c r="CL10" s="14">
        <f t="shared" si="3"/>
        <v>0</v>
      </c>
      <c r="CM10" s="14">
        <f t="shared" si="3"/>
        <v>0</v>
      </c>
      <c r="CN10" s="14">
        <f t="shared" si="3"/>
        <v>0</v>
      </c>
      <c r="CO10" s="14">
        <f t="shared" si="3"/>
        <v>0</v>
      </c>
      <c r="CP10" s="14">
        <f t="shared" si="4"/>
        <v>0</v>
      </c>
      <c r="CQ10" s="14">
        <f t="shared" si="4"/>
        <v>0</v>
      </c>
      <c r="CR10" s="14">
        <f t="shared" si="4"/>
        <v>0</v>
      </c>
      <c r="CS10" s="14">
        <f t="shared" si="4"/>
        <v>0</v>
      </c>
      <c r="CT10" s="14">
        <f t="shared" si="4"/>
        <v>0</v>
      </c>
      <c r="CU10" s="14">
        <f t="shared" si="4"/>
        <v>0</v>
      </c>
      <c r="CV10" s="14">
        <f t="shared" si="4"/>
        <v>0</v>
      </c>
      <c r="CW10" s="14">
        <f t="shared" si="4"/>
        <v>0</v>
      </c>
      <c r="CX10" s="14">
        <f t="shared" si="4"/>
        <v>0</v>
      </c>
      <c r="CY10" s="14">
        <f t="shared" si="4"/>
        <v>0</v>
      </c>
      <c r="CZ10" s="14">
        <f t="shared" si="4"/>
        <v>0</v>
      </c>
      <c r="DA10" s="14">
        <f t="shared" si="4"/>
        <v>0</v>
      </c>
      <c r="DC10" s="14">
        <f>SUM(BL$7:BL10)</f>
        <v>0</v>
      </c>
      <c r="DD10" s="14">
        <f>SUM(BM$7:BM10)</f>
        <v>0</v>
      </c>
      <c r="DE10" s="14">
        <f>SUM(BN$7:BN10)</f>
        <v>0</v>
      </c>
      <c r="DF10" s="14">
        <f>SUM(BO$7:BO10)</f>
        <v>0</v>
      </c>
      <c r="DG10" s="14">
        <f>SUM(BP$7:BP10)</f>
        <v>0</v>
      </c>
      <c r="DH10" s="14">
        <f>SUM(BQ$7:BQ10)</f>
        <v>0</v>
      </c>
      <c r="DI10" s="14">
        <f>SUM(BR$7:BR10)</f>
        <v>0</v>
      </c>
      <c r="DJ10" s="14">
        <f>SUM(BS$7:BS10)</f>
        <v>0</v>
      </c>
      <c r="DK10" s="14">
        <f>SUM(BT$7:BT10)</f>
        <v>0</v>
      </c>
      <c r="DL10" s="14">
        <f>SUM(BU$7:BU10)</f>
        <v>0</v>
      </c>
      <c r="DM10" s="14">
        <f>SUM(BV$7:BV10)</f>
        <v>0</v>
      </c>
      <c r="DN10" s="14">
        <f>SUM(BW$7:BW10)</f>
        <v>0</v>
      </c>
      <c r="DO10" s="14">
        <f>SUM(BX$7:BX10)</f>
        <v>0</v>
      </c>
      <c r="DP10" s="14">
        <f>SUM(BY$7:BY10)</f>
        <v>0</v>
      </c>
      <c r="DQ10" s="14">
        <f>SUM(BZ$7:BZ10)</f>
        <v>0</v>
      </c>
      <c r="DR10" s="14">
        <f>SUM(CA$7:CA10)</f>
        <v>0</v>
      </c>
      <c r="DS10" s="14">
        <f>SUM(CB$7:CB10)</f>
        <v>0</v>
      </c>
      <c r="DT10" s="14">
        <f>SUM(CC$7:CC10)</f>
        <v>0</v>
      </c>
      <c r="DU10" s="14">
        <f>SUM(CD$7:CD10)</f>
        <v>0</v>
      </c>
      <c r="DV10" s="14">
        <f>SUM(CE$7:CE10)</f>
        <v>0</v>
      </c>
      <c r="DW10" s="14">
        <f>SUM(CF$7:CF10)</f>
        <v>0</v>
      </c>
      <c r="DX10" s="14">
        <f>SUM(CG$7:CG10)</f>
        <v>0</v>
      </c>
      <c r="DY10" s="14">
        <f>SUM(CH$7:CH10)</f>
        <v>0</v>
      </c>
      <c r="DZ10" s="14">
        <f>SUM(CI$7:CI10)</f>
        <v>0</v>
      </c>
      <c r="EA10" s="14">
        <f>SUM(CJ$7:CJ10)</f>
        <v>0</v>
      </c>
      <c r="EB10" s="14">
        <f>SUM(CK$7:CK10)</f>
        <v>0</v>
      </c>
      <c r="EC10" s="14">
        <f>SUM(CL$7:CL10)</f>
        <v>0</v>
      </c>
      <c r="ED10" s="14">
        <f>SUM(CM$7:CM10)</f>
        <v>0</v>
      </c>
      <c r="EE10" s="14">
        <f>SUM(CN$7:CN10)</f>
        <v>0</v>
      </c>
      <c r="EF10" s="14">
        <f>SUM(CO$7:CO10)</f>
        <v>0</v>
      </c>
      <c r="EG10" s="14">
        <f>SUM(CP$7:CP10)</f>
        <v>0</v>
      </c>
      <c r="EH10" s="14">
        <f>SUM(CQ$7:CQ10)</f>
        <v>0</v>
      </c>
      <c r="EI10" s="14">
        <f>SUM(CR$7:CR10)</f>
        <v>0</v>
      </c>
      <c r="EJ10" s="14">
        <f>SUM(CS$7:CS10)</f>
        <v>0</v>
      </c>
      <c r="EK10" s="14">
        <f>SUM(CT$7:CT10)</f>
        <v>0</v>
      </c>
      <c r="EL10" s="14">
        <f>SUM(CU$7:CU10)</f>
        <v>0</v>
      </c>
      <c r="EM10" s="14">
        <f>SUM(CV$7:CV10)</f>
        <v>0</v>
      </c>
      <c r="EN10" s="14">
        <f>SUM(CW$7:CW10)</f>
        <v>0</v>
      </c>
      <c r="EO10" s="14">
        <f>SUM(CX$7:CX10)</f>
        <v>0</v>
      </c>
      <c r="EP10" s="14">
        <f>SUM(CY$7:CY10)</f>
        <v>0</v>
      </c>
      <c r="EQ10" s="14">
        <f>SUM(CZ$7:CZ10)</f>
        <v>0</v>
      </c>
      <c r="ER10" s="14">
        <f>SUM(DA$7:DA10)</f>
        <v>0</v>
      </c>
      <c r="EU10" s="14">
        <f t="shared" si="14"/>
        <v>0</v>
      </c>
      <c r="EV10" s="14">
        <f t="shared" si="15"/>
        <v>0</v>
      </c>
      <c r="EW10" s="14">
        <f t="shared" si="16"/>
        <v>0</v>
      </c>
      <c r="EX10" s="14">
        <f t="shared" si="17"/>
        <v>0</v>
      </c>
      <c r="EY10" s="14">
        <f t="shared" si="18"/>
        <v>0</v>
      </c>
      <c r="EZ10" s="14">
        <f t="shared" si="19"/>
        <v>0</v>
      </c>
      <c r="FA10" s="14">
        <f t="shared" si="20"/>
        <v>0</v>
      </c>
      <c r="FB10" s="14">
        <f t="shared" si="21"/>
        <v>0</v>
      </c>
      <c r="FC10" s="14">
        <f t="shared" si="22"/>
        <v>0</v>
      </c>
      <c r="FD10" s="14">
        <f t="shared" si="23"/>
        <v>0</v>
      </c>
      <c r="FE10" s="14">
        <f t="shared" si="24"/>
        <v>0</v>
      </c>
      <c r="FF10" s="14">
        <f t="shared" si="25"/>
        <v>0</v>
      </c>
      <c r="FG10" s="14">
        <f t="shared" si="26"/>
        <v>0</v>
      </c>
      <c r="FH10" s="14">
        <f t="shared" si="27"/>
        <v>0</v>
      </c>
      <c r="FI10" s="14">
        <f t="shared" si="28"/>
        <v>0</v>
      </c>
      <c r="FJ10" s="14">
        <f t="shared" si="29"/>
        <v>0</v>
      </c>
      <c r="FK10" s="14">
        <f t="shared" si="30"/>
        <v>0</v>
      </c>
      <c r="FL10" s="14">
        <f t="shared" si="31"/>
        <v>0</v>
      </c>
      <c r="FM10" s="14">
        <f t="shared" si="32"/>
        <v>0</v>
      </c>
      <c r="FN10" s="14">
        <f t="shared" si="33"/>
        <v>0</v>
      </c>
      <c r="FO10" s="14">
        <f t="shared" si="34"/>
        <v>0</v>
      </c>
      <c r="FP10" s="14">
        <f t="shared" si="35"/>
        <v>0</v>
      </c>
      <c r="FQ10" s="14">
        <f t="shared" si="36"/>
        <v>0</v>
      </c>
      <c r="FR10" s="14">
        <f t="shared" si="37"/>
        <v>0</v>
      </c>
      <c r="FS10" s="14">
        <f t="shared" si="38"/>
        <v>0</v>
      </c>
      <c r="FT10" s="14">
        <f t="shared" si="39"/>
        <v>0</v>
      </c>
      <c r="FU10" s="14">
        <f t="shared" si="40"/>
        <v>0</v>
      </c>
      <c r="FV10" s="14">
        <f t="shared" si="41"/>
        <v>0</v>
      </c>
      <c r="FW10" s="14">
        <f t="shared" si="42"/>
        <v>0</v>
      </c>
      <c r="FX10" s="14">
        <f t="shared" si="43"/>
        <v>0</v>
      </c>
      <c r="FY10" s="14">
        <f t="shared" si="44"/>
        <v>0</v>
      </c>
      <c r="FZ10" s="14">
        <f t="shared" si="45"/>
        <v>0</v>
      </c>
      <c r="GA10" s="14">
        <f t="shared" si="46"/>
        <v>0</v>
      </c>
      <c r="GB10" s="14">
        <f t="shared" si="47"/>
        <v>0</v>
      </c>
      <c r="GC10" s="14">
        <f t="shared" si="48"/>
        <v>0</v>
      </c>
      <c r="GD10" s="14">
        <f t="shared" si="49"/>
        <v>0</v>
      </c>
      <c r="GE10" s="14">
        <f t="shared" si="50"/>
        <v>0</v>
      </c>
      <c r="GF10" s="14">
        <f t="shared" si="51"/>
        <v>0</v>
      </c>
      <c r="GG10" s="14">
        <f t="shared" si="52"/>
        <v>0</v>
      </c>
      <c r="GH10" s="14">
        <f t="shared" si="53"/>
        <v>0</v>
      </c>
      <c r="GI10" s="14">
        <f t="shared" si="54"/>
        <v>0</v>
      </c>
      <c r="GJ10" s="14">
        <f t="shared" si="55"/>
        <v>0</v>
      </c>
      <c r="GM10" s="91">
        <v>4</v>
      </c>
      <c r="GN10" s="14">
        <f t="shared" si="56"/>
        <v>1</v>
      </c>
      <c r="GO10" s="14">
        <f t="shared" si="57"/>
        <v>1606003</v>
      </c>
      <c r="GP10" s="14" t="str">
        <f t="shared" si="58"/>
        <v>神器1-1 : 1级</v>
      </c>
      <c r="GQ10" s="14" t="s">
        <v>816</v>
      </c>
      <c r="GR10" s="14">
        <f t="shared" si="59"/>
        <v>4</v>
      </c>
      <c r="GS10" s="14" t="str">
        <f t="shared" si="60"/>
        <v>神器1-1</v>
      </c>
      <c r="GT10" s="14">
        <f t="shared" si="61"/>
        <v>2</v>
      </c>
    </row>
    <row r="11" spans="1:202" ht="16.5" x14ac:dyDescent="0.2">
      <c r="A11" s="87">
        <v>5</v>
      </c>
      <c r="B11" s="87">
        <v>6</v>
      </c>
      <c r="C11" s="87">
        <v>6</v>
      </c>
      <c r="J11" s="87">
        <v>4</v>
      </c>
      <c r="K11" s="87">
        <v>2</v>
      </c>
      <c r="L11" s="87">
        <f>SUM(K$8:K11)</f>
        <v>5</v>
      </c>
      <c r="N11" s="90">
        <v>2</v>
      </c>
      <c r="O11" s="90">
        <v>1</v>
      </c>
      <c r="P11" s="90">
        <v>1</v>
      </c>
      <c r="Q11" s="90">
        <v>15</v>
      </c>
      <c r="R11" s="14">
        <f>SUM(Q$7:Q11)</f>
        <v>60</v>
      </c>
      <c r="S11" s="91">
        <v>1606006</v>
      </c>
      <c r="T11" s="14" t="str">
        <f t="shared" si="62"/>
        <v>神器2-1</v>
      </c>
      <c r="W11" s="87">
        <v>4</v>
      </c>
      <c r="X11" s="87">
        <v>93</v>
      </c>
      <c r="Y11" s="87" t="s">
        <v>774</v>
      </c>
      <c r="Z11" s="87" t="s">
        <v>771</v>
      </c>
      <c r="AA11" s="87" t="s">
        <v>769</v>
      </c>
      <c r="AD11" s="87">
        <v>5</v>
      </c>
      <c r="AE11" s="87">
        <v>2</v>
      </c>
      <c r="AF11" s="87">
        <v>2</v>
      </c>
      <c r="AG11" s="87" t="str">
        <f t="shared" si="6"/>
        <v>神器2-2</v>
      </c>
      <c r="AH11" s="87">
        <v>1</v>
      </c>
      <c r="AI11" s="87">
        <f t="shared" si="7"/>
        <v>15</v>
      </c>
      <c r="AL11" s="87">
        <v>2</v>
      </c>
      <c r="AM11" s="87">
        <v>1</v>
      </c>
      <c r="AN11" s="87">
        <v>3</v>
      </c>
      <c r="AO11" s="144">
        <f t="shared" si="8"/>
        <v>4403</v>
      </c>
      <c r="AP11" s="144" t="s">
        <v>1236</v>
      </c>
      <c r="AQ11" s="144" t="str">
        <f t="shared" si="9"/>
        <v>神器本-2-普通-1  神器1-2</v>
      </c>
      <c r="AR11" s="87">
        <v>2</v>
      </c>
      <c r="AS11" s="87" t="s">
        <v>748</v>
      </c>
      <c r="AT11" s="32">
        <v>3800</v>
      </c>
      <c r="AU11" s="87">
        <v>1</v>
      </c>
      <c r="AV11" s="87">
        <v>1</v>
      </c>
      <c r="AW11" s="87">
        <f t="shared" si="10"/>
        <v>1</v>
      </c>
      <c r="AX11" s="14">
        <f t="shared" si="11"/>
        <v>0.38</v>
      </c>
      <c r="AY11" s="14">
        <f t="shared" si="12"/>
        <v>3.8</v>
      </c>
      <c r="BB11" s="87">
        <v>3</v>
      </c>
      <c r="BC11" s="87">
        <v>2</v>
      </c>
      <c r="BD11" s="87">
        <f t="shared" si="0"/>
        <v>161</v>
      </c>
      <c r="BG11" s="87">
        <v>5</v>
      </c>
      <c r="BH11" s="14" t="e">
        <f>INDEX(节奏总表!#REF!,新神器!BG11)</f>
        <v>#REF!</v>
      </c>
      <c r="BI11" s="14" t="e">
        <f t="shared" si="13"/>
        <v>#REF!</v>
      </c>
      <c r="BJ11" s="87">
        <v>1</v>
      </c>
      <c r="BK11" s="87">
        <v>5</v>
      </c>
      <c r="BL11" s="14">
        <f t="shared" si="1"/>
        <v>0</v>
      </c>
      <c r="BM11" s="14">
        <f t="shared" si="1"/>
        <v>0</v>
      </c>
      <c r="BN11" s="14">
        <f t="shared" si="1"/>
        <v>0</v>
      </c>
      <c r="BO11" s="14">
        <f t="shared" si="1"/>
        <v>0</v>
      </c>
      <c r="BP11" s="14">
        <f t="shared" si="1"/>
        <v>0</v>
      </c>
      <c r="BQ11" s="14">
        <f t="shared" si="1"/>
        <v>0</v>
      </c>
      <c r="BR11" s="14">
        <f t="shared" si="1"/>
        <v>0</v>
      </c>
      <c r="BS11" s="14">
        <f t="shared" si="1"/>
        <v>0</v>
      </c>
      <c r="BT11" s="14">
        <f t="shared" si="1"/>
        <v>0</v>
      </c>
      <c r="BU11" s="14">
        <f t="shared" si="1"/>
        <v>0</v>
      </c>
      <c r="BV11" s="14">
        <f t="shared" si="2"/>
        <v>0</v>
      </c>
      <c r="BW11" s="14">
        <f t="shared" si="2"/>
        <v>0</v>
      </c>
      <c r="BX11" s="14">
        <f t="shared" si="2"/>
        <v>0</v>
      </c>
      <c r="BY11" s="14">
        <f t="shared" si="2"/>
        <v>0</v>
      </c>
      <c r="BZ11" s="14">
        <f t="shared" si="2"/>
        <v>0</v>
      </c>
      <c r="CA11" s="14">
        <f t="shared" si="2"/>
        <v>0</v>
      </c>
      <c r="CB11" s="14">
        <f t="shared" si="2"/>
        <v>0</v>
      </c>
      <c r="CC11" s="14">
        <f t="shared" si="2"/>
        <v>0</v>
      </c>
      <c r="CD11" s="14">
        <f t="shared" si="2"/>
        <v>0</v>
      </c>
      <c r="CE11" s="14">
        <f t="shared" si="2"/>
        <v>0</v>
      </c>
      <c r="CF11" s="14">
        <f t="shared" si="3"/>
        <v>0</v>
      </c>
      <c r="CG11" s="14">
        <f t="shared" si="3"/>
        <v>0</v>
      </c>
      <c r="CH11" s="14">
        <f t="shared" si="3"/>
        <v>0</v>
      </c>
      <c r="CI11" s="14">
        <f t="shared" si="3"/>
        <v>0</v>
      </c>
      <c r="CJ11" s="14">
        <f t="shared" si="3"/>
        <v>0</v>
      </c>
      <c r="CK11" s="14">
        <f t="shared" si="3"/>
        <v>0</v>
      </c>
      <c r="CL11" s="14">
        <f t="shared" si="3"/>
        <v>0</v>
      </c>
      <c r="CM11" s="14">
        <f t="shared" si="3"/>
        <v>0</v>
      </c>
      <c r="CN11" s="14">
        <f t="shared" si="3"/>
        <v>0</v>
      </c>
      <c r="CO11" s="14">
        <f t="shared" si="3"/>
        <v>0</v>
      </c>
      <c r="CP11" s="14">
        <f t="shared" si="4"/>
        <v>0</v>
      </c>
      <c r="CQ11" s="14">
        <f t="shared" si="4"/>
        <v>0</v>
      </c>
      <c r="CR11" s="14">
        <f t="shared" si="4"/>
        <v>0</v>
      </c>
      <c r="CS11" s="14">
        <f t="shared" si="4"/>
        <v>0</v>
      </c>
      <c r="CT11" s="14">
        <f t="shared" si="4"/>
        <v>0</v>
      </c>
      <c r="CU11" s="14">
        <f t="shared" si="4"/>
        <v>0</v>
      </c>
      <c r="CV11" s="14">
        <f t="shared" si="4"/>
        <v>0</v>
      </c>
      <c r="CW11" s="14">
        <f t="shared" si="4"/>
        <v>0</v>
      </c>
      <c r="CX11" s="14">
        <f t="shared" si="4"/>
        <v>0</v>
      </c>
      <c r="CY11" s="14">
        <f t="shared" si="4"/>
        <v>0</v>
      </c>
      <c r="CZ11" s="14">
        <f t="shared" si="4"/>
        <v>0</v>
      </c>
      <c r="DA11" s="14">
        <f t="shared" si="4"/>
        <v>0</v>
      </c>
      <c r="DC11" s="14">
        <f>SUM(BL$7:BL11)</f>
        <v>0</v>
      </c>
      <c r="DD11" s="14">
        <f>SUM(BM$7:BM11)</f>
        <v>0</v>
      </c>
      <c r="DE11" s="14">
        <f>SUM(BN$7:BN11)</f>
        <v>0</v>
      </c>
      <c r="DF11" s="14">
        <f>SUM(BO$7:BO11)</f>
        <v>0</v>
      </c>
      <c r="DG11" s="14">
        <f>SUM(BP$7:BP11)</f>
        <v>0</v>
      </c>
      <c r="DH11" s="14">
        <f>SUM(BQ$7:BQ11)</f>
        <v>0</v>
      </c>
      <c r="DI11" s="14">
        <f>SUM(BR$7:BR11)</f>
        <v>0</v>
      </c>
      <c r="DJ11" s="14">
        <f>SUM(BS$7:BS11)</f>
        <v>0</v>
      </c>
      <c r="DK11" s="14">
        <f>SUM(BT$7:BT11)</f>
        <v>0</v>
      </c>
      <c r="DL11" s="14">
        <f>SUM(BU$7:BU11)</f>
        <v>0</v>
      </c>
      <c r="DM11" s="14">
        <f>SUM(BV$7:BV11)</f>
        <v>0</v>
      </c>
      <c r="DN11" s="14">
        <f>SUM(BW$7:BW11)</f>
        <v>0</v>
      </c>
      <c r="DO11" s="14">
        <f>SUM(BX$7:BX11)</f>
        <v>0</v>
      </c>
      <c r="DP11" s="14">
        <f>SUM(BY$7:BY11)</f>
        <v>0</v>
      </c>
      <c r="DQ11" s="14">
        <f>SUM(BZ$7:BZ11)</f>
        <v>0</v>
      </c>
      <c r="DR11" s="14">
        <f>SUM(CA$7:CA11)</f>
        <v>0</v>
      </c>
      <c r="DS11" s="14">
        <f>SUM(CB$7:CB11)</f>
        <v>0</v>
      </c>
      <c r="DT11" s="14">
        <f>SUM(CC$7:CC11)</f>
        <v>0</v>
      </c>
      <c r="DU11" s="14">
        <f>SUM(CD$7:CD11)</f>
        <v>0</v>
      </c>
      <c r="DV11" s="14">
        <f>SUM(CE$7:CE11)</f>
        <v>0</v>
      </c>
      <c r="DW11" s="14">
        <f>SUM(CF$7:CF11)</f>
        <v>0</v>
      </c>
      <c r="DX11" s="14">
        <f>SUM(CG$7:CG11)</f>
        <v>0</v>
      </c>
      <c r="DY11" s="14">
        <f>SUM(CH$7:CH11)</f>
        <v>0</v>
      </c>
      <c r="DZ11" s="14">
        <f>SUM(CI$7:CI11)</f>
        <v>0</v>
      </c>
      <c r="EA11" s="14">
        <f>SUM(CJ$7:CJ11)</f>
        <v>0</v>
      </c>
      <c r="EB11" s="14">
        <f>SUM(CK$7:CK11)</f>
        <v>0</v>
      </c>
      <c r="EC11" s="14">
        <f>SUM(CL$7:CL11)</f>
        <v>0</v>
      </c>
      <c r="ED11" s="14">
        <f>SUM(CM$7:CM11)</f>
        <v>0</v>
      </c>
      <c r="EE11" s="14">
        <f>SUM(CN$7:CN11)</f>
        <v>0</v>
      </c>
      <c r="EF11" s="14">
        <f>SUM(CO$7:CO11)</f>
        <v>0</v>
      </c>
      <c r="EG11" s="14">
        <f>SUM(CP$7:CP11)</f>
        <v>0</v>
      </c>
      <c r="EH11" s="14">
        <f>SUM(CQ$7:CQ11)</f>
        <v>0</v>
      </c>
      <c r="EI11" s="14">
        <f>SUM(CR$7:CR11)</f>
        <v>0</v>
      </c>
      <c r="EJ11" s="14">
        <f>SUM(CS$7:CS11)</f>
        <v>0</v>
      </c>
      <c r="EK11" s="14">
        <f>SUM(CT$7:CT11)</f>
        <v>0</v>
      </c>
      <c r="EL11" s="14">
        <f>SUM(CU$7:CU11)</f>
        <v>0</v>
      </c>
      <c r="EM11" s="14">
        <f>SUM(CV$7:CV11)</f>
        <v>0</v>
      </c>
      <c r="EN11" s="14">
        <f>SUM(CW$7:CW11)</f>
        <v>0</v>
      </c>
      <c r="EO11" s="14">
        <f>SUM(CX$7:CX11)</f>
        <v>0</v>
      </c>
      <c r="EP11" s="14">
        <f>SUM(CY$7:CY11)</f>
        <v>0</v>
      </c>
      <c r="EQ11" s="14">
        <f>SUM(CZ$7:CZ11)</f>
        <v>0</v>
      </c>
      <c r="ER11" s="14">
        <f>SUM(DA$7:DA11)</f>
        <v>0</v>
      </c>
      <c r="EU11" s="14">
        <f t="shared" si="14"/>
        <v>0</v>
      </c>
      <c r="EV11" s="14">
        <f t="shared" si="15"/>
        <v>0</v>
      </c>
      <c r="EW11" s="14">
        <f t="shared" si="16"/>
        <v>0</v>
      </c>
      <c r="EX11" s="14">
        <f t="shared" si="17"/>
        <v>0</v>
      </c>
      <c r="EY11" s="14">
        <f t="shared" si="18"/>
        <v>0</v>
      </c>
      <c r="EZ11" s="14">
        <f t="shared" si="19"/>
        <v>0</v>
      </c>
      <c r="FA11" s="14">
        <f t="shared" si="20"/>
        <v>0</v>
      </c>
      <c r="FB11" s="14">
        <f t="shared" si="21"/>
        <v>0</v>
      </c>
      <c r="FC11" s="14">
        <f t="shared" si="22"/>
        <v>0</v>
      </c>
      <c r="FD11" s="14">
        <f t="shared" si="23"/>
        <v>0</v>
      </c>
      <c r="FE11" s="14">
        <f t="shared" si="24"/>
        <v>0</v>
      </c>
      <c r="FF11" s="14">
        <f t="shared" si="25"/>
        <v>0</v>
      </c>
      <c r="FG11" s="14">
        <f t="shared" si="26"/>
        <v>0</v>
      </c>
      <c r="FH11" s="14">
        <f t="shared" si="27"/>
        <v>0</v>
      </c>
      <c r="FI11" s="14">
        <f t="shared" si="28"/>
        <v>0</v>
      </c>
      <c r="FJ11" s="14">
        <f t="shared" si="29"/>
        <v>0</v>
      </c>
      <c r="FK11" s="14">
        <f t="shared" si="30"/>
        <v>0</v>
      </c>
      <c r="FL11" s="14">
        <f t="shared" si="31"/>
        <v>0</v>
      </c>
      <c r="FM11" s="14">
        <f t="shared" si="32"/>
        <v>0</v>
      </c>
      <c r="FN11" s="14">
        <f t="shared" si="33"/>
        <v>0</v>
      </c>
      <c r="FO11" s="14">
        <f t="shared" si="34"/>
        <v>0</v>
      </c>
      <c r="FP11" s="14">
        <f t="shared" si="35"/>
        <v>0</v>
      </c>
      <c r="FQ11" s="14">
        <f t="shared" si="36"/>
        <v>0</v>
      </c>
      <c r="FR11" s="14">
        <f t="shared" si="37"/>
        <v>0</v>
      </c>
      <c r="FS11" s="14">
        <f t="shared" si="38"/>
        <v>0</v>
      </c>
      <c r="FT11" s="14">
        <f t="shared" si="39"/>
        <v>0</v>
      </c>
      <c r="FU11" s="14">
        <f t="shared" si="40"/>
        <v>0</v>
      </c>
      <c r="FV11" s="14">
        <f t="shared" si="41"/>
        <v>0</v>
      </c>
      <c r="FW11" s="14">
        <f t="shared" si="42"/>
        <v>0</v>
      </c>
      <c r="FX11" s="14">
        <f t="shared" si="43"/>
        <v>0</v>
      </c>
      <c r="FY11" s="14">
        <f t="shared" si="44"/>
        <v>0</v>
      </c>
      <c r="FZ11" s="14">
        <f t="shared" si="45"/>
        <v>0</v>
      </c>
      <c r="GA11" s="14">
        <f t="shared" si="46"/>
        <v>0</v>
      </c>
      <c r="GB11" s="14">
        <f t="shared" si="47"/>
        <v>0</v>
      </c>
      <c r="GC11" s="14">
        <f t="shared" si="48"/>
        <v>0</v>
      </c>
      <c r="GD11" s="14">
        <f t="shared" si="49"/>
        <v>0</v>
      </c>
      <c r="GE11" s="14">
        <f t="shared" si="50"/>
        <v>0</v>
      </c>
      <c r="GF11" s="14">
        <f t="shared" si="51"/>
        <v>0</v>
      </c>
      <c r="GG11" s="14">
        <f t="shared" si="52"/>
        <v>0</v>
      </c>
      <c r="GH11" s="14">
        <f t="shared" si="53"/>
        <v>0</v>
      </c>
      <c r="GI11" s="14">
        <f t="shared" si="54"/>
        <v>0</v>
      </c>
      <c r="GJ11" s="14">
        <f t="shared" si="55"/>
        <v>0</v>
      </c>
      <c r="GM11" s="91">
        <v>5</v>
      </c>
      <c r="GN11" s="14">
        <f t="shared" si="56"/>
        <v>1</v>
      </c>
      <c r="GO11" s="14">
        <f t="shared" si="57"/>
        <v>1606003</v>
      </c>
      <c r="GP11" s="14" t="str">
        <f t="shared" si="58"/>
        <v>神器1-1 : 2级</v>
      </c>
      <c r="GQ11" s="14" t="s">
        <v>816</v>
      </c>
      <c r="GR11" s="14">
        <f t="shared" si="59"/>
        <v>5</v>
      </c>
      <c r="GS11" s="14" t="str">
        <f t="shared" si="60"/>
        <v>神器1-1</v>
      </c>
      <c r="GT11" s="14">
        <f t="shared" si="61"/>
        <v>2</v>
      </c>
    </row>
    <row r="12" spans="1:202" ht="16.5" x14ac:dyDescent="0.2">
      <c r="A12" s="87">
        <v>6</v>
      </c>
      <c r="B12" s="87">
        <v>8</v>
      </c>
      <c r="C12" s="87">
        <v>8</v>
      </c>
      <c r="J12" s="87">
        <v>5</v>
      </c>
      <c r="K12" s="87">
        <v>2</v>
      </c>
      <c r="L12" s="87">
        <f>SUM(K$8:K12)</f>
        <v>7</v>
      </c>
      <c r="N12" s="90">
        <v>2</v>
      </c>
      <c r="O12" s="90">
        <v>2</v>
      </c>
      <c r="P12" s="90">
        <v>1</v>
      </c>
      <c r="Q12" s="90">
        <v>15</v>
      </c>
      <c r="R12" s="14">
        <f>SUM(Q$7:Q12)</f>
        <v>75</v>
      </c>
      <c r="S12" s="91">
        <v>1606007</v>
      </c>
      <c r="T12" s="14" t="str">
        <f t="shared" si="62"/>
        <v>神器2-2</v>
      </c>
      <c r="W12" s="87">
        <v>5</v>
      </c>
      <c r="X12" s="87">
        <v>103</v>
      </c>
      <c r="Y12" s="87" t="s">
        <v>775</v>
      </c>
      <c r="Z12" s="87" t="s">
        <v>772</v>
      </c>
      <c r="AA12" s="87" t="s">
        <v>769</v>
      </c>
      <c r="AD12" s="87">
        <v>6</v>
      </c>
      <c r="AE12" s="87">
        <v>2</v>
      </c>
      <c r="AF12" s="87">
        <v>3</v>
      </c>
      <c r="AG12" s="87" t="str">
        <f t="shared" si="6"/>
        <v>神器2-3</v>
      </c>
      <c r="AH12" s="87">
        <v>2</v>
      </c>
      <c r="AI12" s="87">
        <f t="shared" si="7"/>
        <v>45</v>
      </c>
      <c r="AL12" s="87">
        <v>2</v>
      </c>
      <c r="AM12" s="87">
        <v>1</v>
      </c>
      <c r="AN12" s="87">
        <v>3</v>
      </c>
      <c r="AO12" s="144">
        <f t="shared" si="8"/>
        <v>4403</v>
      </c>
      <c r="AP12" s="144" t="s">
        <v>1236</v>
      </c>
      <c r="AQ12" s="144" t="str">
        <f t="shared" si="9"/>
        <v>神器本-2-普通-1  神器1-3</v>
      </c>
      <c r="AR12" s="87">
        <v>3</v>
      </c>
      <c r="AS12" s="87" t="s">
        <v>749</v>
      </c>
      <c r="AT12" s="32">
        <v>2400</v>
      </c>
      <c r="AU12" s="87">
        <v>1</v>
      </c>
      <c r="AV12" s="87">
        <v>1</v>
      </c>
      <c r="AW12" s="87">
        <f t="shared" si="10"/>
        <v>2</v>
      </c>
      <c r="AX12" s="14">
        <f t="shared" si="11"/>
        <v>0.24</v>
      </c>
      <c r="AY12" s="14">
        <f t="shared" si="12"/>
        <v>7.1999999999999993</v>
      </c>
      <c r="BB12" s="87">
        <v>3</v>
      </c>
      <c r="BC12" s="87">
        <v>3</v>
      </c>
      <c r="BD12" s="87">
        <f t="shared" si="0"/>
        <v>191</v>
      </c>
      <c r="BG12" s="87">
        <v>6</v>
      </c>
      <c r="BH12" s="14" t="e">
        <f>INDEX(节奏总表!#REF!,新神器!BG12)</f>
        <v>#REF!</v>
      </c>
      <c r="BI12" s="14" t="e">
        <f t="shared" si="13"/>
        <v>#REF!</v>
      </c>
      <c r="BJ12" s="87">
        <v>2</v>
      </c>
      <c r="BK12" s="87">
        <v>5</v>
      </c>
      <c r="BL12" s="14">
        <f t="shared" si="1"/>
        <v>0</v>
      </c>
      <c r="BM12" s="14">
        <f t="shared" si="1"/>
        <v>0</v>
      </c>
      <c r="BN12" s="14">
        <f t="shared" si="1"/>
        <v>0</v>
      </c>
      <c r="BO12" s="14">
        <f t="shared" si="1"/>
        <v>0</v>
      </c>
      <c r="BP12" s="14">
        <f t="shared" si="1"/>
        <v>0</v>
      </c>
      <c r="BQ12" s="14">
        <f t="shared" si="1"/>
        <v>0</v>
      </c>
      <c r="BR12" s="14">
        <f t="shared" si="1"/>
        <v>0</v>
      </c>
      <c r="BS12" s="14">
        <f t="shared" si="1"/>
        <v>0</v>
      </c>
      <c r="BT12" s="14">
        <f t="shared" si="1"/>
        <v>0</v>
      </c>
      <c r="BU12" s="14">
        <f t="shared" si="1"/>
        <v>0</v>
      </c>
      <c r="BV12" s="14">
        <f t="shared" si="2"/>
        <v>0</v>
      </c>
      <c r="BW12" s="14">
        <f t="shared" si="2"/>
        <v>0</v>
      </c>
      <c r="BX12" s="14">
        <f t="shared" si="2"/>
        <v>0</v>
      </c>
      <c r="BY12" s="14">
        <f t="shared" si="2"/>
        <v>0</v>
      </c>
      <c r="BZ12" s="14">
        <f t="shared" si="2"/>
        <v>0</v>
      </c>
      <c r="CA12" s="14">
        <f t="shared" si="2"/>
        <v>0</v>
      </c>
      <c r="CB12" s="14">
        <f t="shared" si="2"/>
        <v>0</v>
      </c>
      <c r="CC12" s="14">
        <f t="shared" si="2"/>
        <v>0</v>
      </c>
      <c r="CD12" s="14">
        <f t="shared" si="2"/>
        <v>0</v>
      </c>
      <c r="CE12" s="14">
        <f t="shared" si="2"/>
        <v>0</v>
      </c>
      <c r="CF12" s="14">
        <f t="shared" si="3"/>
        <v>0</v>
      </c>
      <c r="CG12" s="14">
        <f t="shared" si="3"/>
        <v>0</v>
      </c>
      <c r="CH12" s="14">
        <f t="shared" si="3"/>
        <v>0</v>
      </c>
      <c r="CI12" s="14">
        <f t="shared" si="3"/>
        <v>0</v>
      </c>
      <c r="CJ12" s="14">
        <f t="shared" si="3"/>
        <v>0</v>
      </c>
      <c r="CK12" s="14">
        <f t="shared" si="3"/>
        <v>0</v>
      </c>
      <c r="CL12" s="14">
        <f t="shared" si="3"/>
        <v>0</v>
      </c>
      <c r="CM12" s="14">
        <f t="shared" si="3"/>
        <v>0</v>
      </c>
      <c r="CN12" s="14">
        <f t="shared" si="3"/>
        <v>0</v>
      </c>
      <c r="CO12" s="14">
        <f t="shared" si="3"/>
        <v>0</v>
      </c>
      <c r="CP12" s="14">
        <f t="shared" si="4"/>
        <v>0</v>
      </c>
      <c r="CQ12" s="14">
        <f t="shared" si="4"/>
        <v>0</v>
      </c>
      <c r="CR12" s="14">
        <f t="shared" si="4"/>
        <v>0</v>
      </c>
      <c r="CS12" s="14">
        <f t="shared" si="4"/>
        <v>0</v>
      </c>
      <c r="CT12" s="14">
        <f t="shared" si="4"/>
        <v>0</v>
      </c>
      <c r="CU12" s="14">
        <f t="shared" si="4"/>
        <v>0</v>
      </c>
      <c r="CV12" s="14">
        <f t="shared" si="4"/>
        <v>0</v>
      </c>
      <c r="CW12" s="14">
        <f t="shared" si="4"/>
        <v>0</v>
      </c>
      <c r="CX12" s="14">
        <f t="shared" si="4"/>
        <v>0</v>
      </c>
      <c r="CY12" s="14">
        <f t="shared" si="4"/>
        <v>0</v>
      </c>
      <c r="CZ12" s="14">
        <f t="shared" si="4"/>
        <v>0</v>
      </c>
      <c r="DA12" s="14">
        <f t="shared" si="4"/>
        <v>0</v>
      </c>
      <c r="DC12" s="14">
        <f>SUM(BL$7:BL12)</f>
        <v>0</v>
      </c>
      <c r="DD12" s="14">
        <f>SUM(BM$7:BM12)</f>
        <v>0</v>
      </c>
      <c r="DE12" s="14">
        <f>SUM(BN$7:BN12)</f>
        <v>0</v>
      </c>
      <c r="DF12" s="14">
        <f>SUM(BO$7:BO12)</f>
        <v>0</v>
      </c>
      <c r="DG12" s="14">
        <f>SUM(BP$7:BP12)</f>
        <v>0</v>
      </c>
      <c r="DH12" s="14">
        <f>SUM(BQ$7:BQ12)</f>
        <v>0</v>
      </c>
      <c r="DI12" s="14">
        <f>SUM(BR$7:BR12)</f>
        <v>0</v>
      </c>
      <c r="DJ12" s="14">
        <f>SUM(BS$7:BS12)</f>
        <v>0</v>
      </c>
      <c r="DK12" s="14">
        <f>SUM(BT$7:BT12)</f>
        <v>0</v>
      </c>
      <c r="DL12" s="14">
        <f>SUM(BU$7:BU12)</f>
        <v>0</v>
      </c>
      <c r="DM12" s="14">
        <f>SUM(BV$7:BV12)</f>
        <v>0</v>
      </c>
      <c r="DN12" s="14">
        <f>SUM(BW$7:BW12)</f>
        <v>0</v>
      </c>
      <c r="DO12" s="14">
        <f>SUM(BX$7:BX12)</f>
        <v>0</v>
      </c>
      <c r="DP12" s="14">
        <f>SUM(BY$7:BY12)</f>
        <v>0</v>
      </c>
      <c r="DQ12" s="14">
        <f>SUM(BZ$7:BZ12)</f>
        <v>0</v>
      </c>
      <c r="DR12" s="14">
        <f>SUM(CA$7:CA12)</f>
        <v>0</v>
      </c>
      <c r="DS12" s="14">
        <f>SUM(CB$7:CB12)</f>
        <v>0</v>
      </c>
      <c r="DT12" s="14">
        <f>SUM(CC$7:CC12)</f>
        <v>0</v>
      </c>
      <c r="DU12" s="14">
        <f>SUM(CD$7:CD12)</f>
        <v>0</v>
      </c>
      <c r="DV12" s="14">
        <f>SUM(CE$7:CE12)</f>
        <v>0</v>
      </c>
      <c r="DW12" s="14">
        <f>SUM(CF$7:CF12)</f>
        <v>0</v>
      </c>
      <c r="DX12" s="14">
        <f>SUM(CG$7:CG12)</f>
        <v>0</v>
      </c>
      <c r="DY12" s="14">
        <f>SUM(CH$7:CH12)</f>
        <v>0</v>
      </c>
      <c r="DZ12" s="14">
        <f>SUM(CI$7:CI12)</f>
        <v>0</v>
      </c>
      <c r="EA12" s="14">
        <f>SUM(CJ$7:CJ12)</f>
        <v>0</v>
      </c>
      <c r="EB12" s="14">
        <f>SUM(CK$7:CK12)</f>
        <v>0</v>
      </c>
      <c r="EC12" s="14">
        <f>SUM(CL$7:CL12)</f>
        <v>0</v>
      </c>
      <c r="ED12" s="14">
        <f>SUM(CM$7:CM12)</f>
        <v>0</v>
      </c>
      <c r="EE12" s="14">
        <f>SUM(CN$7:CN12)</f>
        <v>0</v>
      </c>
      <c r="EF12" s="14">
        <f>SUM(CO$7:CO12)</f>
        <v>0</v>
      </c>
      <c r="EG12" s="14">
        <f>SUM(CP$7:CP12)</f>
        <v>0</v>
      </c>
      <c r="EH12" s="14">
        <f>SUM(CQ$7:CQ12)</f>
        <v>0</v>
      </c>
      <c r="EI12" s="14">
        <f>SUM(CR$7:CR12)</f>
        <v>0</v>
      </c>
      <c r="EJ12" s="14">
        <f>SUM(CS$7:CS12)</f>
        <v>0</v>
      </c>
      <c r="EK12" s="14">
        <f>SUM(CT$7:CT12)</f>
        <v>0</v>
      </c>
      <c r="EL12" s="14">
        <f>SUM(CU$7:CU12)</f>
        <v>0</v>
      </c>
      <c r="EM12" s="14">
        <f>SUM(CV$7:CV12)</f>
        <v>0</v>
      </c>
      <c r="EN12" s="14">
        <f>SUM(CW$7:CW12)</f>
        <v>0</v>
      </c>
      <c r="EO12" s="14">
        <f>SUM(CX$7:CX12)</f>
        <v>0</v>
      </c>
      <c r="EP12" s="14">
        <f>SUM(CY$7:CY12)</f>
        <v>0</v>
      </c>
      <c r="EQ12" s="14">
        <f>SUM(CZ$7:CZ12)</f>
        <v>0</v>
      </c>
      <c r="ER12" s="14">
        <f>SUM(DA$7:DA12)</f>
        <v>0</v>
      </c>
      <c r="EU12" s="14">
        <f t="shared" si="14"/>
        <v>0</v>
      </c>
      <c r="EV12" s="14">
        <f t="shared" si="15"/>
        <v>0</v>
      </c>
      <c r="EW12" s="14">
        <f t="shared" si="16"/>
        <v>0</v>
      </c>
      <c r="EX12" s="14">
        <f t="shared" si="17"/>
        <v>0</v>
      </c>
      <c r="EY12" s="14">
        <f t="shared" si="18"/>
        <v>0</v>
      </c>
      <c r="EZ12" s="14">
        <f t="shared" si="19"/>
        <v>0</v>
      </c>
      <c r="FA12" s="14">
        <f t="shared" si="20"/>
        <v>0</v>
      </c>
      <c r="FB12" s="14">
        <f t="shared" si="21"/>
        <v>0</v>
      </c>
      <c r="FC12" s="14">
        <f t="shared" si="22"/>
        <v>0</v>
      </c>
      <c r="FD12" s="14">
        <f t="shared" si="23"/>
        <v>0</v>
      </c>
      <c r="FE12" s="14">
        <f t="shared" si="24"/>
        <v>0</v>
      </c>
      <c r="FF12" s="14">
        <f t="shared" si="25"/>
        <v>0</v>
      </c>
      <c r="FG12" s="14">
        <f t="shared" si="26"/>
        <v>0</v>
      </c>
      <c r="FH12" s="14">
        <f t="shared" si="27"/>
        <v>0</v>
      </c>
      <c r="FI12" s="14">
        <f t="shared" si="28"/>
        <v>0</v>
      </c>
      <c r="FJ12" s="14">
        <f t="shared" si="29"/>
        <v>0</v>
      </c>
      <c r="FK12" s="14">
        <f t="shared" si="30"/>
        <v>0</v>
      </c>
      <c r="FL12" s="14">
        <f t="shared" si="31"/>
        <v>0</v>
      </c>
      <c r="FM12" s="14">
        <f t="shared" si="32"/>
        <v>0</v>
      </c>
      <c r="FN12" s="14">
        <f t="shared" si="33"/>
        <v>0</v>
      </c>
      <c r="FO12" s="14">
        <f t="shared" si="34"/>
        <v>0</v>
      </c>
      <c r="FP12" s="14">
        <f t="shared" si="35"/>
        <v>0</v>
      </c>
      <c r="FQ12" s="14">
        <f t="shared" si="36"/>
        <v>0</v>
      </c>
      <c r="FR12" s="14">
        <f t="shared" si="37"/>
        <v>0</v>
      </c>
      <c r="FS12" s="14">
        <f t="shared" si="38"/>
        <v>0</v>
      </c>
      <c r="FT12" s="14">
        <f t="shared" si="39"/>
        <v>0</v>
      </c>
      <c r="FU12" s="14">
        <f t="shared" si="40"/>
        <v>0</v>
      </c>
      <c r="FV12" s="14">
        <f t="shared" si="41"/>
        <v>0</v>
      </c>
      <c r="FW12" s="14">
        <f t="shared" si="42"/>
        <v>0</v>
      </c>
      <c r="FX12" s="14">
        <f t="shared" si="43"/>
        <v>0</v>
      </c>
      <c r="FY12" s="14">
        <f t="shared" si="44"/>
        <v>0</v>
      </c>
      <c r="FZ12" s="14">
        <f t="shared" si="45"/>
        <v>0</v>
      </c>
      <c r="GA12" s="14">
        <f t="shared" si="46"/>
        <v>0</v>
      </c>
      <c r="GB12" s="14">
        <f t="shared" si="47"/>
        <v>0</v>
      </c>
      <c r="GC12" s="14">
        <f t="shared" si="48"/>
        <v>0</v>
      </c>
      <c r="GD12" s="14">
        <f t="shared" si="49"/>
        <v>0</v>
      </c>
      <c r="GE12" s="14">
        <f t="shared" si="50"/>
        <v>0</v>
      </c>
      <c r="GF12" s="14">
        <f t="shared" si="51"/>
        <v>0</v>
      </c>
      <c r="GG12" s="14">
        <f t="shared" si="52"/>
        <v>0</v>
      </c>
      <c r="GH12" s="14">
        <f t="shared" si="53"/>
        <v>0</v>
      </c>
      <c r="GI12" s="14">
        <f t="shared" si="54"/>
        <v>0</v>
      </c>
      <c r="GJ12" s="14">
        <f t="shared" si="55"/>
        <v>0</v>
      </c>
      <c r="GM12" s="91">
        <v>6</v>
      </c>
      <c r="GN12" s="14">
        <f t="shared" si="56"/>
        <v>1</v>
      </c>
      <c r="GO12" s="14">
        <f t="shared" si="57"/>
        <v>1606003</v>
      </c>
      <c r="GP12" s="14" t="str">
        <f t="shared" si="58"/>
        <v>神器1-1 : 3级</v>
      </c>
      <c r="GQ12" s="14" t="s">
        <v>816</v>
      </c>
      <c r="GR12" s="14">
        <f t="shared" si="59"/>
        <v>6</v>
      </c>
      <c r="GS12" s="14" t="str">
        <f t="shared" si="60"/>
        <v>神器1-1</v>
      </c>
      <c r="GT12" s="14">
        <f t="shared" si="61"/>
        <v>2</v>
      </c>
    </row>
    <row r="13" spans="1:202" ht="16.5" x14ac:dyDescent="0.2">
      <c r="A13" s="87">
        <v>7</v>
      </c>
      <c r="B13" s="87">
        <v>10</v>
      </c>
      <c r="C13" s="87">
        <v>10</v>
      </c>
      <c r="J13" s="87">
        <v>6</v>
      </c>
      <c r="K13" s="87">
        <v>2</v>
      </c>
      <c r="L13" s="87">
        <f>SUM(K$8:K13)</f>
        <v>9</v>
      </c>
      <c r="N13" s="90">
        <v>2</v>
      </c>
      <c r="O13" s="90">
        <v>3</v>
      </c>
      <c r="P13" s="90">
        <v>2</v>
      </c>
      <c r="Q13" s="90">
        <v>15</v>
      </c>
      <c r="R13" s="14">
        <f>SUM(Q$7:Q13)</f>
        <v>90</v>
      </c>
      <c r="S13" s="91">
        <v>1606008</v>
      </c>
      <c r="T13" s="14" t="str">
        <f t="shared" si="62"/>
        <v>神器2-3</v>
      </c>
      <c r="W13" s="87">
        <v>6</v>
      </c>
      <c r="X13" s="87">
        <v>113</v>
      </c>
      <c r="Y13" s="87" t="s">
        <v>767</v>
      </c>
      <c r="Z13" s="87" t="s">
        <v>766</v>
      </c>
      <c r="AA13" s="87" t="s">
        <v>765</v>
      </c>
      <c r="AD13" s="87">
        <v>7</v>
      </c>
      <c r="AE13" s="87">
        <v>2</v>
      </c>
      <c r="AF13" s="87">
        <v>4</v>
      </c>
      <c r="AG13" s="87" t="str">
        <f t="shared" si="6"/>
        <v>神器2-4</v>
      </c>
      <c r="AH13" s="87">
        <v>2</v>
      </c>
      <c r="AI13" s="87">
        <f t="shared" si="7"/>
        <v>45</v>
      </c>
      <c r="AL13" s="87">
        <v>2</v>
      </c>
      <c r="AM13" s="87">
        <v>1</v>
      </c>
      <c r="AN13" s="87">
        <v>4</v>
      </c>
      <c r="AO13" s="144">
        <f t="shared" si="8"/>
        <v>4404</v>
      </c>
      <c r="AP13" s="144" t="s">
        <v>1238</v>
      </c>
      <c r="AQ13" s="144" t="str">
        <f t="shared" si="9"/>
        <v>神器本-2-普通-2  神器2-1</v>
      </c>
      <c r="AR13" s="87">
        <v>4</v>
      </c>
      <c r="AS13" s="87" t="s">
        <v>762</v>
      </c>
      <c r="AT13" s="32">
        <v>5000</v>
      </c>
      <c r="AU13" s="87">
        <v>1</v>
      </c>
      <c r="AV13" s="87">
        <v>3</v>
      </c>
      <c r="AW13" s="87">
        <f t="shared" si="10"/>
        <v>1</v>
      </c>
      <c r="AX13" s="14">
        <f t="shared" si="11"/>
        <v>1</v>
      </c>
      <c r="AY13" s="14">
        <f t="shared" si="12"/>
        <v>15</v>
      </c>
      <c r="BB13" s="87">
        <v>4</v>
      </c>
      <c r="BC13" s="87">
        <v>1</v>
      </c>
      <c r="BD13" s="87">
        <f t="shared" si="0"/>
        <v>158.75</v>
      </c>
      <c r="BG13" s="87">
        <v>7</v>
      </c>
      <c r="BH13" s="14" t="e">
        <f>INDEX(节奏总表!#REF!,新神器!BG13)</f>
        <v>#REF!</v>
      </c>
      <c r="BI13" s="14" t="e">
        <f t="shared" si="13"/>
        <v>#REF!</v>
      </c>
      <c r="BJ13" s="87">
        <v>2</v>
      </c>
      <c r="BK13" s="87">
        <v>5</v>
      </c>
      <c r="BL13" s="14">
        <f t="shared" si="1"/>
        <v>0</v>
      </c>
      <c r="BM13" s="14">
        <f t="shared" si="1"/>
        <v>0</v>
      </c>
      <c r="BN13" s="14">
        <f t="shared" si="1"/>
        <v>0</v>
      </c>
      <c r="BO13" s="14">
        <f t="shared" si="1"/>
        <v>0</v>
      </c>
      <c r="BP13" s="14">
        <f t="shared" si="1"/>
        <v>0</v>
      </c>
      <c r="BQ13" s="14">
        <f t="shared" si="1"/>
        <v>0</v>
      </c>
      <c r="BR13" s="14">
        <f t="shared" si="1"/>
        <v>0</v>
      </c>
      <c r="BS13" s="14">
        <f t="shared" si="1"/>
        <v>0</v>
      </c>
      <c r="BT13" s="14">
        <f t="shared" si="1"/>
        <v>0</v>
      </c>
      <c r="BU13" s="14">
        <f t="shared" si="1"/>
        <v>0</v>
      </c>
      <c r="BV13" s="14">
        <f t="shared" si="2"/>
        <v>0</v>
      </c>
      <c r="BW13" s="14">
        <f t="shared" si="2"/>
        <v>0</v>
      </c>
      <c r="BX13" s="14">
        <f t="shared" si="2"/>
        <v>0</v>
      </c>
      <c r="BY13" s="14">
        <f t="shared" si="2"/>
        <v>0</v>
      </c>
      <c r="BZ13" s="14">
        <f t="shared" si="2"/>
        <v>0</v>
      </c>
      <c r="CA13" s="14">
        <f t="shared" si="2"/>
        <v>0</v>
      </c>
      <c r="CB13" s="14">
        <f t="shared" si="2"/>
        <v>0</v>
      </c>
      <c r="CC13" s="14">
        <f t="shared" si="2"/>
        <v>0</v>
      </c>
      <c r="CD13" s="14">
        <f t="shared" si="2"/>
        <v>0</v>
      </c>
      <c r="CE13" s="14">
        <f t="shared" si="2"/>
        <v>0</v>
      </c>
      <c r="CF13" s="14">
        <f t="shared" si="3"/>
        <v>0</v>
      </c>
      <c r="CG13" s="14">
        <f t="shared" si="3"/>
        <v>0</v>
      </c>
      <c r="CH13" s="14">
        <f t="shared" si="3"/>
        <v>0</v>
      </c>
      <c r="CI13" s="14">
        <f t="shared" si="3"/>
        <v>0</v>
      </c>
      <c r="CJ13" s="14">
        <f t="shared" si="3"/>
        <v>0</v>
      </c>
      <c r="CK13" s="14">
        <f t="shared" si="3"/>
        <v>0</v>
      </c>
      <c r="CL13" s="14">
        <f t="shared" si="3"/>
        <v>0</v>
      </c>
      <c r="CM13" s="14">
        <f t="shared" si="3"/>
        <v>0</v>
      </c>
      <c r="CN13" s="14">
        <f t="shared" si="3"/>
        <v>0</v>
      </c>
      <c r="CO13" s="14">
        <f t="shared" si="3"/>
        <v>0</v>
      </c>
      <c r="CP13" s="14">
        <f t="shared" si="4"/>
        <v>0</v>
      </c>
      <c r="CQ13" s="14">
        <f t="shared" si="4"/>
        <v>0</v>
      </c>
      <c r="CR13" s="14">
        <f t="shared" si="4"/>
        <v>0</v>
      </c>
      <c r="CS13" s="14">
        <f t="shared" si="4"/>
        <v>0</v>
      </c>
      <c r="CT13" s="14">
        <f t="shared" si="4"/>
        <v>0</v>
      </c>
      <c r="CU13" s="14">
        <f t="shared" si="4"/>
        <v>0</v>
      </c>
      <c r="CV13" s="14">
        <f t="shared" si="4"/>
        <v>0</v>
      </c>
      <c r="CW13" s="14">
        <f t="shared" si="4"/>
        <v>0</v>
      </c>
      <c r="CX13" s="14">
        <f t="shared" si="4"/>
        <v>0</v>
      </c>
      <c r="CY13" s="14">
        <f t="shared" si="4"/>
        <v>0</v>
      </c>
      <c r="CZ13" s="14">
        <f t="shared" si="4"/>
        <v>0</v>
      </c>
      <c r="DA13" s="14">
        <f t="shared" si="4"/>
        <v>0</v>
      </c>
      <c r="DC13" s="14">
        <f>SUM(BL$7:BL13)</f>
        <v>0</v>
      </c>
      <c r="DD13" s="14">
        <f>SUM(BM$7:BM13)</f>
        <v>0</v>
      </c>
      <c r="DE13" s="14">
        <f>SUM(BN$7:BN13)</f>
        <v>0</v>
      </c>
      <c r="DF13" s="14">
        <f>SUM(BO$7:BO13)</f>
        <v>0</v>
      </c>
      <c r="DG13" s="14">
        <f>SUM(BP$7:BP13)</f>
        <v>0</v>
      </c>
      <c r="DH13" s="14">
        <f>SUM(BQ$7:BQ13)</f>
        <v>0</v>
      </c>
      <c r="DI13" s="14">
        <f>SUM(BR$7:BR13)</f>
        <v>0</v>
      </c>
      <c r="DJ13" s="14">
        <f>SUM(BS$7:BS13)</f>
        <v>0</v>
      </c>
      <c r="DK13" s="14">
        <f>SUM(BT$7:BT13)</f>
        <v>0</v>
      </c>
      <c r="DL13" s="14">
        <f>SUM(BU$7:BU13)</f>
        <v>0</v>
      </c>
      <c r="DM13" s="14">
        <f>SUM(BV$7:BV13)</f>
        <v>0</v>
      </c>
      <c r="DN13" s="14">
        <f>SUM(BW$7:BW13)</f>
        <v>0</v>
      </c>
      <c r="DO13" s="14">
        <f>SUM(BX$7:BX13)</f>
        <v>0</v>
      </c>
      <c r="DP13" s="14">
        <f>SUM(BY$7:BY13)</f>
        <v>0</v>
      </c>
      <c r="DQ13" s="14">
        <f>SUM(BZ$7:BZ13)</f>
        <v>0</v>
      </c>
      <c r="DR13" s="14">
        <f>SUM(CA$7:CA13)</f>
        <v>0</v>
      </c>
      <c r="DS13" s="14">
        <f>SUM(CB$7:CB13)</f>
        <v>0</v>
      </c>
      <c r="DT13" s="14">
        <f>SUM(CC$7:CC13)</f>
        <v>0</v>
      </c>
      <c r="DU13" s="14">
        <f>SUM(CD$7:CD13)</f>
        <v>0</v>
      </c>
      <c r="DV13" s="14">
        <f>SUM(CE$7:CE13)</f>
        <v>0</v>
      </c>
      <c r="DW13" s="14">
        <f>SUM(CF$7:CF13)</f>
        <v>0</v>
      </c>
      <c r="DX13" s="14">
        <f>SUM(CG$7:CG13)</f>
        <v>0</v>
      </c>
      <c r="DY13" s="14">
        <f>SUM(CH$7:CH13)</f>
        <v>0</v>
      </c>
      <c r="DZ13" s="14">
        <f>SUM(CI$7:CI13)</f>
        <v>0</v>
      </c>
      <c r="EA13" s="14">
        <f>SUM(CJ$7:CJ13)</f>
        <v>0</v>
      </c>
      <c r="EB13" s="14">
        <f>SUM(CK$7:CK13)</f>
        <v>0</v>
      </c>
      <c r="EC13" s="14">
        <f>SUM(CL$7:CL13)</f>
        <v>0</v>
      </c>
      <c r="ED13" s="14">
        <f>SUM(CM$7:CM13)</f>
        <v>0</v>
      </c>
      <c r="EE13" s="14">
        <f>SUM(CN$7:CN13)</f>
        <v>0</v>
      </c>
      <c r="EF13" s="14">
        <f>SUM(CO$7:CO13)</f>
        <v>0</v>
      </c>
      <c r="EG13" s="14">
        <f>SUM(CP$7:CP13)</f>
        <v>0</v>
      </c>
      <c r="EH13" s="14">
        <f>SUM(CQ$7:CQ13)</f>
        <v>0</v>
      </c>
      <c r="EI13" s="14">
        <f>SUM(CR$7:CR13)</f>
        <v>0</v>
      </c>
      <c r="EJ13" s="14">
        <f>SUM(CS$7:CS13)</f>
        <v>0</v>
      </c>
      <c r="EK13" s="14">
        <f>SUM(CT$7:CT13)</f>
        <v>0</v>
      </c>
      <c r="EL13" s="14">
        <f>SUM(CU$7:CU13)</f>
        <v>0</v>
      </c>
      <c r="EM13" s="14">
        <f>SUM(CV$7:CV13)</f>
        <v>0</v>
      </c>
      <c r="EN13" s="14">
        <f>SUM(CW$7:CW13)</f>
        <v>0</v>
      </c>
      <c r="EO13" s="14">
        <f>SUM(CX$7:CX13)</f>
        <v>0</v>
      </c>
      <c r="EP13" s="14">
        <f>SUM(CY$7:CY13)</f>
        <v>0</v>
      </c>
      <c r="EQ13" s="14">
        <f>SUM(CZ$7:CZ13)</f>
        <v>0</v>
      </c>
      <c r="ER13" s="14">
        <f>SUM(DA$7:DA13)</f>
        <v>0</v>
      </c>
      <c r="EU13" s="14">
        <f t="shared" si="14"/>
        <v>0</v>
      </c>
      <c r="EV13" s="14">
        <f t="shared" si="15"/>
        <v>0</v>
      </c>
      <c r="EW13" s="14">
        <f t="shared" si="16"/>
        <v>0</v>
      </c>
      <c r="EX13" s="14">
        <f t="shared" si="17"/>
        <v>0</v>
      </c>
      <c r="EY13" s="14">
        <f t="shared" si="18"/>
        <v>0</v>
      </c>
      <c r="EZ13" s="14">
        <f t="shared" si="19"/>
        <v>0</v>
      </c>
      <c r="FA13" s="14">
        <f t="shared" si="20"/>
        <v>0</v>
      </c>
      <c r="FB13" s="14">
        <f t="shared" si="21"/>
        <v>0</v>
      </c>
      <c r="FC13" s="14">
        <f t="shared" si="22"/>
        <v>0</v>
      </c>
      <c r="FD13" s="14">
        <f t="shared" si="23"/>
        <v>0</v>
      </c>
      <c r="FE13" s="14">
        <f t="shared" si="24"/>
        <v>0</v>
      </c>
      <c r="FF13" s="14">
        <f t="shared" si="25"/>
        <v>0</v>
      </c>
      <c r="FG13" s="14">
        <f t="shared" si="26"/>
        <v>0</v>
      </c>
      <c r="FH13" s="14">
        <f t="shared" si="27"/>
        <v>0</v>
      </c>
      <c r="FI13" s="14">
        <f t="shared" si="28"/>
        <v>0</v>
      </c>
      <c r="FJ13" s="14">
        <f t="shared" si="29"/>
        <v>0</v>
      </c>
      <c r="FK13" s="14">
        <f t="shared" si="30"/>
        <v>0</v>
      </c>
      <c r="FL13" s="14">
        <f t="shared" si="31"/>
        <v>0</v>
      </c>
      <c r="FM13" s="14">
        <f t="shared" si="32"/>
        <v>0</v>
      </c>
      <c r="FN13" s="14">
        <f t="shared" si="33"/>
        <v>0</v>
      </c>
      <c r="FO13" s="14">
        <f t="shared" si="34"/>
        <v>0</v>
      </c>
      <c r="FP13" s="14">
        <f t="shared" si="35"/>
        <v>0</v>
      </c>
      <c r="FQ13" s="14">
        <f t="shared" si="36"/>
        <v>0</v>
      </c>
      <c r="FR13" s="14">
        <f t="shared" si="37"/>
        <v>0</v>
      </c>
      <c r="FS13" s="14">
        <f t="shared" si="38"/>
        <v>0</v>
      </c>
      <c r="FT13" s="14">
        <f t="shared" si="39"/>
        <v>0</v>
      </c>
      <c r="FU13" s="14">
        <f t="shared" si="40"/>
        <v>0</v>
      </c>
      <c r="FV13" s="14">
        <f t="shared" si="41"/>
        <v>0</v>
      </c>
      <c r="FW13" s="14">
        <f t="shared" si="42"/>
        <v>0</v>
      </c>
      <c r="FX13" s="14">
        <f t="shared" si="43"/>
        <v>0</v>
      </c>
      <c r="FY13" s="14">
        <f t="shared" si="44"/>
        <v>0</v>
      </c>
      <c r="FZ13" s="14">
        <f t="shared" si="45"/>
        <v>0</v>
      </c>
      <c r="GA13" s="14">
        <f t="shared" si="46"/>
        <v>0</v>
      </c>
      <c r="GB13" s="14">
        <f t="shared" si="47"/>
        <v>0</v>
      </c>
      <c r="GC13" s="14">
        <f t="shared" si="48"/>
        <v>0</v>
      </c>
      <c r="GD13" s="14">
        <f t="shared" si="49"/>
        <v>0</v>
      </c>
      <c r="GE13" s="14">
        <f t="shared" si="50"/>
        <v>0</v>
      </c>
      <c r="GF13" s="14">
        <f t="shared" si="51"/>
        <v>0</v>
      </c>
      <c r="GG13" s="14">
        <f t="shared" si="52"/>
        <v>0</v>
      </c>
      <c r="GH13" s="14">
        <f t="shared" si="53"/>
        <v>0</v>
      </c>
      <c r="GI13" s="14">
        <f t="shared" si="54"/>
        <v>0</v>
      </c>
      <c r="GJ13" s="14">
        <f t="shared" si="55"/>
        <v>0</v>
      </c>
      <c r="GM13" s="91">
        <v>7</v>
      </c>
      <c r="GN13" s="14">
        <f t="shared" si="56"/>
        <v>1</v>
      </c>
      <c r="GO13" s="14">
        <f t="shared" si="57"/>
        <v>1606003</v>
      </c>
      <c r="GP13" s="14" t="str">
        <f t="shared" si="58"/>
        <v>神器1-1 : 4级</v>
      </c>
      <c r="GQ13" s="14" t="s">
        <v>816</v>
      </c>
      <c r="GR13" s="14">
        <f t="shared" si="59"/>
        <v>7</v>
      </c>
      <c r="GS13" s="14" t="str">
        <f t="shared" si="60"/>
        <v>神器1-1</v>
      </c>
      <c r="GT13" s="14">
        <f t="shared" si="61"/>
        <v>3</v>
      </c>
    </row>
    <row r="14" spans="1:202" ht="19.5" customHeight="1" x14ac:dyDescent="0.2">
      <c r="J14" s="87">
        <v>7</v>
      </c>
      <c r="K14" s="87">
        <v>3</v>
      </c>
      <c r="L14" s="87">
        <f>SUM(K$8:K14)</f>
        <v>12</v>
      </c>
      <c r="N14" s="90">
        <v>2</v>
      </c>
      <c r="O14" s="90">
        <v>4</v>
      </c>
      <c r="P14" s="90">
        <v>2</v>
      </c>
      <c r="Q14" s="90">
        <v>15</v>
      </c>
      <c r="R14" s="14">
        <f>SUM(Q$7:Q14)</f>
        <v>105</v>
      </c>
      <c r="S14" s="91">
        <v>1606009</v>
      </c>
      <c r="T14" s="14" t="str">
        <f t="shared" si="62"/>
        <v>神器2-4</v>
      </c>
      <c r="W14" s="87">
        <v>7</v>
      </c>
      <c r="X14" s="87">
        <v>123</v>
      </c>
      <c r="Y14" s="87" t="s">
        <v>798</v>
      </c>
      <c r="Z14" s="87" t="s">
        <v>799</v>
      </c>
      <c r="AA14" s="87" t="s">
        <v>800</v>
      </c>
      <c r="AD14" s="87">
        <v>8</v>
      </c>
      <c r="AE14" s="87">
        <v>2</v>
      </c>
      <c r="AF14" s="87">
        <v>5</v>
      </c>
      <c r="AG14" s="87" t="str">
        <f t="shared" si="6"/>
        <v>神器2-5</v>
      </c>
      <c r="AH14" s="87">
        <v>3</v>
      </c>
      <c r="AI14" s="87">
        <f t="shared" si="7"/>
        <v>105</v>
      </c>
      <c r="AL14" s="87">
        <v>2</v>
      </c>
      <c r="AM14" s="87">
        <v>1</v>
      </c>
      <c r="AN14" s="87">
        <v>4</v>
      </c>
      <c r="AO14" s="144">
        <f t="shared" si="8"/>
        <v>4404</v>
      </c>
      <c r="AP14" s="144" t="s">
        <v>1238</v>
      </c>
      <c r="AQ14" s="144" t="str">
        <f t="shared" si="9"/>
        <v>神器本-2-普通-2  神器2-2</v>
      </c>
      <c r="AR14" s="87">
        <v>5</v>
      </c>
      <c r="AS14" s="87" t="s">
        <v>763</v>
      </c>
      <c r="AT14" s="32">
        <v>5000</v>
      </c>
      <c r="AU14" s="87">
        <v>1</v>
      </c>
      <c r="AV14" s="87">
        <v>3</v>
      </c>
      <c r="AW14" s="87">
        <f t="shared" si="10"/>
        <v>1</v>
      </c>
      <c r="AX14" s="14">
        <f t="shared" si="11"/>
        <v>1</v>
      </c>
      <c r="AY14" s="14">
        <f t="shared" si="12"/>
        <v>15</v>
      </c>
      <c r="BB14" s="87">
        <v>4</v>
      </c>
      <c r="BC14" s="87">
        <v>2</v>
      </c>
      <c r="BD14" s="87">
        <f t="shared" si="0"/>
        <v>193.75</v>
      </c>
      <c r="BG14" s="87">
        <v>8</v>
      </c>
      <c r="BH14" s="14" t="e">
        <f>INDEX(节奏总表!#REF!,新神器!BG14)</f>
        <v>#REF!</v>
      </c>
      <c r="BI14" s="14" t="e">
        <f t="shared" si="13"/>
        <v>#REF!</v>
      </c>
      <c r="BJ14" s="87">
        <v>2</v>
      </c>
      <c r="BK14" s="87">
        <v>5</v>
      </c>
      <c r="BL14" s="14">
        <f t="shared" si="1"/>
        <v>0</v>
      </c>
      <c r="BM14" s="14">
        <f t="shared" si="1"/>
        <v>0</v>
      </c>
      <c r="BN14" s="14">
        <f t="shared" si="1"/>
        <v>0</v>
      </c>
      <c r="BO14" s="14">
        <f t="shared" si="1"/>
        <v>0</v>
      </c>
      <c r="BP14" s="14">
        <f t="shared" si="1"/>
        <v>0</v>
      </c>
      <c r="BQ14" s="14">
        <f t="shared" si="1"/>
        <v>0</v>
      </c>
      <c r="BR14" s="14">
        <f t="shared" si="1"/>
        <v>0</v>
      </c>
      <c r="BS14" s="14">
        <f t="shared" si="1"/>
        <v>0</v>
      </c>
      <c r="BT14" s="14">
        <f t="shared" si="1"/>
        <v>0</v>
      </c>
      <c r="BU14" s="14">
        <f t="shared" si="1"/>
        <v>0</v>
      </c>
      <c r="BV14" s="14">
        <f t="shared" si="2"/>
        <v>0</v>
      </c>
      <c r="BW14" s="14">
        <f t="shared" si="2"/>
        <v>0</v>
      </c>
      <c r="BX14" s="14">
        <f t="shared" si="2"/>
        <v>0</v>
      </c>
      <c r="BY14" s="14">
        <f t="shared" si="2"/>
        <v>0</v>
      </c>
      <c r="BZ14" s="14">
        <f t="shared" si="2"/>
        <v>0</v>
      </c>
      <c r="CA14" s="14">
        <f t="shared" si="2"/>
        <v>0</v>
      </c>
      <c r="CB14" s="14">
        <f t="shared" si="2"/>
        <v>0</v>
      </c>
      <c r="CC14" s="14">
        <f t="shared" si="2"/>
        <v>0</v>
      </c>
      <c r="CD14" s="14">
        <f t="shared" si="2"/>
        <v>0</v>
      </c>
      <c r="CE14" s="14">
        <f t="shared" si="2"/>
        <v>0</v>
      </c>
      <c r="CF14" s="14">
        <f t="shared" si="3"/>
        <v>0</v>
      </c>
      <c r="CG14" s="14">
        <f t="shared" si="3"/>
        <v>0</v>
      </c>
      <c r="CH14" s="14">
        <f t="shared" si="3"/>
        <v>0</v>
      </c>
      <c r="CI14" s="14">
        <f t="shared" si="3"/>
        <v>0</v>
      </c>
      <c r="CJ14" s="14">
        <f t="shared" si="3"/>
        <v>0</v>
      </c>
      <c r="CK14" s="14">
        <f t="shared" si="3"/>
        <v>0</v>
      </c>
      <c r="CL14" s="14">
        <f t="shared" si="3"/>
        <v>0</v>
      </c>
      <c r="CM14" s="14">
        <f t="shared" si="3"/>
        <v>0</v>
      </c>
      <c r="CN14" s="14">
        <f t="shared" si="3"/>
        <v>0</v>
      </c>
      <c r="CO14" s="14">
        <f t="shared" si="3"/>
        <v>0</v>
      </c>
      <c r="CP14" s="14">
        <f t="shared" si="4"/>
        <v>0</v>
      </c>
      <c r="CQ14" s="14">
        <f t="shared" si="4"/>
        <v>0</v>
      </c>
      <c r="CR14" s="14">
        <f t="shared" si="4"/>
        <v>0</v>
      </c>
      <c r="CS14" s="14">
        <f t="shared" si="4"/>
        <v>0</v>
      </c>
      <c r="CT14" s="14">
        <f t="shared" si="4"/>
        <v>0</v>
      </c>
      <c r="CU14" s="14">
        <f t="shared" si="4"/>
        <v>0</v>
      </c>
      <c r="CV14" s="14">
        <f t="shared" si="4"/>
        <v>0</v>
      </c>
      <c r="CW14" s="14">
        <f t="shared" si="4"/>
        <v>0</v>
      </c>
      <c r="CX14" s="14">
        <f t="shared" si="4"/>
        <v>0</v>
      </c>
      <c r="CY14" s="14">
        <f t="shared" si="4"/>
        <v>0</v>
      </c>
      <c r="CZ14" s="14">
        <f t="shared" si="4"/>
        <v>0</v>
      </c>
      <c r="DA14" s="14">
        <f t="shared" si="4"/>
        <v>0</v>
      </c>
      <c r="DC14" s="14">
        <f>SUM(BL$7:BL14)</f>
        <v>0</v>
      </c>
      <c r="DD14" s="14">
        <f>SUM(BM$7:BM14)</f>
        <v>0</v>
      </c>
      <c r="DE14" s="14">
        <f>SUM(BN$7:BN14)</f>
        <v>0</v>
      </c>
      <c r="DF14" s="14">
        <f>SUM(BO$7:BO14)</f>
        <v>0</v>
      </c>
      <c r="DG14" s="14">
        <f>SUM(BP$7:BP14)</f>
        <v>0</v>
      </c>
      <c r="DH14" s="14">
        <f>SUM(BQ$7:BQ14)</f>
        <v>0</v>
      </c>
      <c r="DI14" s="14">
        <f>SUM(BR$7:BR14)</f>
        <v>0</v>
      </c>
      <c r="DJ14" s="14">
        <f>SUM(BS$7:BS14)</f>
        <v>0</v>
      </c>
      <c r="DK14" s="14">
        <f>SUM(BT$7:BT14)</f>
        <v>0</v>
      </c>
      <c r="DL14" s="14">
        <f>SUM(BU$7:BU14)</f>
        <v>0</v>
      </c>
      <c r="DM14" s="14">
        <f>SUM(BV$7:BV14)</f>
        <v>0</v>
      </c>
      <c r="DN14" s="14">
        <f>SUM(BW$7:BW14)</f>
        <v>0</v>
      </c>
      <c r="DO14" s="14">
        <f>SUM(BX$7:BX14)</f>
        <v>0</v>
      </c>
      <c r="DP14" s="14">
        <f>SUM(BY$7:BY14)</f>
        <v>0</v>
      </c>
      <c r="DQ14" s="14">
        <f>SUM(BZ$7:BZ14)</f>
        <v>0</v>
      </c>
      <c r="DR14" s="14">
        <f>SUM(CA$7:CA14)</f>
        <v>0</v>
      </c>
      <c r="DS14" s="14">
        <f>SUM(CB$7:CB14)</f>
        <v>0</v>
      </c>
      <c r="DT14" s="14">
        <f>SUM(CC$7:CC14)</f>
        <v>0</v>
      </c>
      <c r="DU14" s="14">
        <f>SUM(CD$7:CD14)</f>
        <v>0</v>
      </c>
      <c r="DV14" s="14">
        <f>SUM(CE$7:CE14)</f>
        <v>0</v>
      </c>
      <c r="DW14" s="14">
        <f>SUM(CF$7:CF14)</f>
        <v>0</v>
      </c>
      <c r="DX14" s="14">
        <f>SUM(CG$7:CG14)</f>
        <v>0</v>
      </c>
      <c r="DY14" s="14">
        <f>SUM(CH$7:CH14)</f>
        <v>0</v>
      </c>
      <c r="DZ14" s="14">
        <f>SUM(CI$7:CI14)</f>
        <v>0</v>
      </c>
      <c r="EA14" s="14">
        <f>SUM(CJ$7:CJ14)</f>
        <v>0</v>
      </c>
      <c r="EB14" s="14">
        <f>SUM(CK$7:CK14)</f>
        <v>0</v>
      </c>
      <c r="EC14" s="14">
        <f>SUM(CL$7:CL14)</f>
        <v>0</v>
      </c>
      <c r="ED14" s="14">
        <f>SUM(CM$7:CM14)</f>
        <v>0</v>
      </c>
      <c r="EE14" s="14">
        <f>SUM(CN$7:CN14)</f>
        <v>0</v>
      </c>
      <c r="EF14" s="14">
        <f>SUM(CO$7:CO14)</f>
        <v>0</v>
      </c>
      <c r="EG14" s="14">
        <f>SUM(CP$7:CP14)</f>
        <v>0</v>
      </c>
      <c r="EH14" s="14">
        <f>SUM(CQ$7:CQ14)</f>
        <v>0</v>
      </c>
      <c r="EI14" s="14">
        <f>SUM(CR$7:CR14)</f>
        <v>0</v>
      </c>
      <c r="EJ14" s="14">
        <f>SUM(CS$7:CS14)</f>
        <v>0</v>
      </c>
      <c r="EK14" s="14">
        <f>SUM(CT$7:CT14)</f>
        <v>0</v>
      </c>
      <c r="EL14" s="14">
        <f>SUM(CU$7:CU14)</f>
        <v>0</v>
      </c>
      <c r="EM14" s="14">
        <f>SUM(CV$7:CV14)</f>
        <v>0</v>
      </c>
      <c r="EN14" s="14">
        <f>SUM(CW$7:CW14)</f>
        <v>0</v>
      </c>
      <c r="EO14" s="14">
        <f>SUM(CX$7:CX14)</f>
        <v>0</v>
      </c>
      <c r="EP14" s="14">
        <f>SUM(CY$7:CY14)</f>
        <v>0</v>
      </c>
      <c r="EQ14" s="14">
        <f>SUM(CZ$7:CZ14)</f>
        <v>0</v>
      </c>
      <c r="ER14" s="14">
        <f>SUM(DA$7:DA14)</f>
        <v>0</v>
      </c>
      <c r="EU14" s="14">
        <f t="shared" si="14"/>
        <v>0</v>
      </c>
      <c r="EV14" s="14">
        <f t="shared" si="15"/>
        <v>0</v>
      </c>
      <c r="EW14" s="14">
        <f t="shared" si="16"/>
        <v>0</v>
      </c>
      <c r="EX14" s="14">
        <f t="shared" si="17"/>
        <v>0</v>
      </c>
      <c r="EY14" s="14">
        <f t="shared" si="18"/>
        <v>0</v>
      </c>
      <c r="EZ14" s="14">
        <f t="shared" si="19"/>
        <v>0</v>
      </c>
      <c r="FA14" s="14">
        <f t="shared" si="20"/>
        <v>0</v>
      </c>
      <c r="FB14" s="14">
        <f t="shared" si="21"/>
        <v>0</v>
      </c>
      <c r="FC14" s="14">
        <f t="shared" si="22"/>
        <v>0</v>
      </c>
      <c r="FD14" s="14">
        <f t="shared" si="23"/>
        <v>0</v>
      </c>
      <c r="FE14" s="14">
        <f t="shared" si="24"/>
        <v>0</v>
      </c>
      <c r="FF14" s="14">
        <f t="shared" si="25"/>
        <v>0</v>
      </c>
      <c r="FG14" s="14">
        <f t="shared" si="26"/>
        <v>0</v>
      </c>
      <c r="FH14" s="14">
        <f t="shared" si="27"/>
        <v>0</v>
      </c>
      <c r="FI14" s="14">
        <f t="shared" si="28"/>
        <v>0</v>
      </c>
      <c r="FJ14" s="14">
        <f t="shared" si="29"/>
        <v>0</v>
      </c>
      <c r="FK14" s="14">
        <f t="shared" si="30"/>
        <v>0</v>
      </c>
      <c r="FL14" s="14">
        <f t="shared" si="31"/>
        <v>0</v>
      </c>
      <c r="FM14" s="14">
        <f t="shared" si="32"/>
        <v>0</v>
      </c>
      <c r="FN14" s="14">
        <f t="shared" si="33"/>
        <v>0</v>
      </c>
      <c r="FO14" s="14">
        <f t="shared" si="34"/>
        <v>0</v>
      </c>
      <c r="FP14" s="14">
        <f t="shared" si="35"/>
        <v>0</v>
      </c>
      <c r="FQ14" s="14">
        <f t="shared" si="36"/>
        <v>0</v>
      </c>
      <c r="FR14" s="14">
        <f t="shared" si="37"/>
        <v>0</v>
      </c>
      <c r="FS14" s="14">
        <f t="shared" si="38"/>
        <v>0</v>
      </c>
      <c r="FT14" s="14">
        <f t="shared" si="39"/>
        <v>0</v>
      </c>
      <c r="FU14" s="14">
        <f t="shared" si="40"/>
        <v>0</v>
      </c>
      <c r="FV14" s="14">
        <f t="shared" si="41"/>
        <v>0</v>
      </c>
      <c r="FW14" s="14">
        <f t="shared" si="42"/>
        <v>0</v>
      </c>
      <c r="FX14" s="14">
        <f t="shared" si="43"/>
        <v>0</v>
      </c>
      <c r="FY14" s="14">
        <f t="shared" si="44"/>
        <v>0</v>
      </c>
      <c r="FZ14" s="14">
        <f t="shared" si="45"/>
        <v>0</v>
      </c>
      <c r="GA14" s="14">
        <f t="shared" si="46"/>
        <v>0</v>
      </c>
      <c r="GB14" s="14">
        <f t="shared" si="47"/>
        <v>0</v>
      </c>
      <c r="GC14" s="14">
        <f t="shared" si="48"/>
        <v>0</v>
      </c>
      <c r="GD14" s="14">
        <f t="shared" si="49"/>
        <v>0</v>
      </c>
      <c r="GE14" s="14">
        <f t="shared" si="50"/>
        <v>0</v>
      </c>
      <c r="GF14" s="14">
        <f t="shared" si="51"/>
        <v>0</v>
      </c>
      <c r="GG14" s="14">
        <f t="shared" si="52"/>
        <v>0</v>
      </c>
      <c r="GH14" s="14">
        <f t="shared" si="53"/>
        <v>0</v>
      </c>
      <c r="GI14" s="14">
        <f t="shared" si="54"/>
        <v>0</v>
      </c>
      <c r="GJ14" s="14">
        <f t="shared" si="55"/>
        <v>0</v>
      </c>
      <c r="GM14" s="91">
        <v>8</v>
      </c>
      <c r="GN14" s="14">
        <f t="shared" si="56"/>
        <v>1</v>
      </c>
      <c r="GO14" s="14">
        <f t="shared" si="57"/>
        <v>1606003</v>
      </c>
      <c r="GP14" s="14" t="str">
        <f t="shared" si="58"/>
        <v>神器1-1 : 5级</v>
      </c>
      <c r="GQ14" s="14" t="s">
        <v>816</v>
      </c>
      <c r="GR14" s="14">
        <f t="shared" si="59"/>
        <v>8</v>
      </c>
      <c r="GS14" s="14" t="str">
        <f t="shared" si="60"/>
        <v>神器1-1</v>
      </c>
      <c r="GT14" s="14">
        <f t="shared" si="61"/>
        <v>3</v>
      </c>
    </row>
    <row r="15" spans="1:202" ht="16.5" x14ac:dyDescent="0.2">
      <c r="J15" s="87">
        <v>8</v>
      </c>
      <c r="K15" s="87">
        <v>3</v>
      </c>
      <c r="L15" s="87">
        <f>SUM(K$8:K15)</f>
        <v>15</v>
      </c>
      <c r="N15" s="90">
        <v>2</v>
      </c>
      <c r="O15" s="90">
        <v>5</v>
      </c>
      <c r="P15" s="90">
        <v>3</v>
      </c>
      <c r="Q15" s="90">
        <v>15</v>
      </c>
      <c r="R15" s="14">
        <f>SUM(Q$7:Q15)</f>
        <v>120</v>
      </c>
      <c r="S15" s="91">
        <v>1606010</v>
      </c>
      <c r="T15" s="14" t="str">
        <f t="shared" si="62"/>
        <v>神器2-5</v>
      </c>
      <c r="AD15" s="87">
        <v>9</v>
      </c>
      <c r="AE15" s="87">
        <v>3</v>
      </c>
      <c r="AF15" s="87">
        <v>1</v>
      </c>
      <c r="AG15" s="87" t="str">
        <f t="shared" si="6"/>
        <v>神器3-1</v>
      </c>
      <c r="AH15" s="87">
        <v>1</v>
      </c>
      <c r="AI15" s="87">
        <f t="shared" si="7"/>
        <v>20</v>
      </c>
      <c r="AL15" s="87">
        <v>2</v>
      </c>
      <c r="AM15" s="87">
        <v>1</v>
      </c>
      <c r="AN15" s="87">
        <v>5</v>
      </c>
      <c r="AO15" s="144">
        <f t="shared" si="8"/>
        <v>4405</v>
      </c>
      <c r="AP15" s="144" t="s">
        <v>1239</v>
      </c>
      <c r="AQ15" s="144" t="str">
        <f t="shared" si="9"/>
        <v>神器本-2-普通-3  神器2-3</v>
      </c>
      <c r="AR15" s="87">
        <v>6</v>
      </c>
      <c r="AS15" s="87" t="s">
        <v>326</v>
      </c>
      <c r="AT15" s="32">
        <v>3500</v>
      </c>
      <c r="AU15" s="87">
        <v>1</v>
      </c>
      <c r="AV15" s="87">
        <v>2</v>
      </c>
      <c r="AW15" s="87">
        <f t="shared" si="10"/>
        <v>2</v>
      </c>
      <c r="AX15" s="14">
        <f t="shared" si="11"/>
        <v>0.52500000000000002</v>
      </c>
      <c r="AY15" s="14">
        <f t="shared" si="12"/>
        <v>23.625</v>
      </c>
      <c r="BB15" s="87">
        <v>4</v>
      </c>
      <c r="BC15" s="87">
        <v>3</v>
      </c>
      <c r="BD15" s="87">
        <f t="shared" si="0"/>
        <v>231.25</v>
      </c>
      <c r="BG15" s="87">
        <v>9</v>
      </c>
      <c r="BH15" s="14" t="e">
        <f>INDEX(节奏总表!#REF!,新神器!BG15)</f>
        <v>#REF!</v>
      </c>
      <c r="BI15" s="14" t="e">
        <f t="shared" si="13"/>
        <v>#REF!</v>
      </c>
      <c r="BJ15" s="87">
        <v>2</v>
      </c>
      <c r="BK15" s="87">
        <v>5</v>
      </c>
      <c r="BL15" s="14">
        <f t="shared" si="1"/>
        <v>0</v>
      </c>
      <c r="BM15" s="14">
        <f t="shared" si="1"/>
        <v>0</v>
      </c>
      <c r="BN15" s="14">
        <f t="shared" si="1"/>
        <v>0</v>
      </c>
      <c r="BO15" s="14">
        <f t="shared" si="1"/>
        <v>0</v>
      </c>
      <c r="BP15" s="14">
        <f t="shared" si="1"/>
        <v>0</v>
      </c>
      <c r="BQ15" s="14">
        <f t="shared" si="1"/>
        <v>0</v>
      </c>
      <c r="BR15" s="14">
        <f t="shared" si="1"/>
        <v>0</v>
      </c>
      <c r="BS15" s="14">
        <f t="shared" si="1"/>
        <v>0</v>
      </c>
      <c r="BT15" s="14">
        <f t="shared" si="1"/>
        <v>0</v>
      </c>
      <c r="BU15" s="14">
        <f t="shared" si="1"/>
        <v>0</v>
      </c>
      <c r="BV15" s="14">
        <f t="shared" si="2"/>
        <v>0</v>
      </c>
      <c r="BW15" s="14">
        <f t="shared" si="2"/>
        <v>0</v>
      </c>
      <c r="BX15" s="14">
        <f t="shared" si="2"/>
        <v>0</v>
      </c>
      <c r="BY15" s="14">
        <f t="shared" si="2"/>
        <v>0</v>
      </c>
      <c r="BZ15" s="14">
        <f t="shared" si="2"/>
        <v>0</v>
      </c>
      <c r="CA15" s="14">
        <f t="shared" si="2"/>
        <v>0</v>
      </c>
      <c r="CB15" s="14">
        <f t="shared" si="2"/>
        <v>0</v>
      </c>
      <c r="CC15" s="14">
        <f t="shared" si="2"/>
        <v>0</v>
      </c>
      <c r="CD15" s="14">
        <f t="shared" si="2"/>
        <v>0</v>
      </c>
      <c r="CE15" s="14">
        <f t="shared" si="2"/>
        <v>0</v>
      </c>
      <c r="CF15" s="14">
        <f t="shared" si="3"/>
        <v>0</v>
      </c>
      <c r="CG15" s="14">
        <f t="shared" si="3"/>
        <v>0</v>
      </c>
      <c r="CH15" s="14">
        <f t="shared" si="3"/>
        <v>0</v>
      </c>
      <c r="CI15" s="14">
        <f t="shared" si="3"/>
        <v>0</v>
      </c>
      <c r="CJ15" s="14">
        <f t="shared" si="3"/>
        <v>0</v>
      </c>
      <c r="CK15" s="14">
        <f t="shared" si="3"/>
        <v>0</v>
      </c>
      <c r="CL15" s="14">
        <f t="shared" si="3"/>
        <v>0</v>
      </c>
      <c r="CM15" s="14">
        <f t="shared" si="3"/>
        <v>0</v>
      </c>
      <c r="CN15" s="14">
        <f t="shared" si="3"/>
        <v>0</v>
      </c>
      <c r="CO15" s="14">
        <f t="shared" si="3"/>
        <v>0</v>
      </c>
      <c r="CP15" s="14">
        <f t="shared" si="4"/>
        <v>0</v>
      </c>
      <c r="CQ15" s="14">
        <f t="shared" si="4"/>
        <v>0</v>
      </c>
      <c r="CR15" s="14">
        <f t="shared" si="4"/>
        <v>0</v>
      </c>
      <c r="CS15" s="14">
        <f t="shared" si="4"/>
        <v>0</v>
      </c>
      <c r="CT15" s="14">
        <f t="shared" si="4"/>
        <v>0</v>
      </c>
      <c r="CU15" s="14">
        <f t="shared" si="4"/>
        <v>0</v>
      </c>
      <c r="CV15" s="14">
        <f t="shared" si="4"/>
        <v>0</v>
      </c>
      <c r="CW15" s="14">
        <f t="shared" si="4"/>
        <v>0</v>
      </c>
      <c r="CX15" s="14">
        <f t="shared" si="4"/>
        <v>0</v>
      </c>
      <c r="CY15" s="14">
        <f t="shared" si="4"/>
        <v>0</v>
      </c>
      <c r="CZ15" s="14">
        <f t="shared" si="4"/>
        <v>0</v>
      </c>
      <c r="DA15" s="14">
        <f t="shared" si="4"/>
        <v>0</v>
      </c>
      <c r="DC15" s="14">
        <f>SUM(BL$7:BL15)</f>
        <v>0</v>
      </c>
      <c r="DD15" s="14">
        <f>SUM(BM$7:BM15)</f>
        <v>0</v>
      </c>
      <c r="DE15" s="14">
        <f>SUM(BN$7:BN15)</f>
        <v>0</v>
      </c>
      <c r="DF15" s="14">
        <f>SUM(BO$7:BO15)</f>
        <v>0</v>
      </c>
      <c r="DG15" s="14">
        <f>SUM(BP$7:BP15)</f>
        <v>0</v>
      </c>
      <c r="DH15" s="14">
        <f>SUM(BQ$7:BQ15)</f>
        <v>0</v>
      </c>
      <c r="DI15" s="14">
        <f>SUM(BR$7:BR15)</f>
        <v>0</v>
      </c>
      <c r="DJ15" s="14">
        <f>SUM(BS$7:BS15)</f>
        <v>0</v>
      </c>
      <c r="DK15" s="14">
        <f>SUM(BT$7:BT15)</f>
        <v>0</v>
      </c>
      <c r="DL15" s="14">
        <f>SUM(BU$7:BU15)</f>
        <v>0</v>
      </c>
      <c r="DM15" s="14">
        <f>SUM(BV$7:BV15)</f>
        <v>0</v>
      </c>
      <c r="DN15" s="14">
        <f>SUM(BW$7:BW15)</f>
        <v>0</v>
      </c>
      <c r="DO15" s="14">
        <f>SUM(BX$7:BX15)</f>
        <v>0</v>
      </c>
      <c r="DP15" s="14">
        <f>SUM(BY$7:BY15)</f>
        <v>0</v>
      </c>
      <c r="DQ15" s="14">
        <f>SUM(BZ$7:BZ15)</f>
        <v>0</v>
      </c>
      <c r="DR15" s="14">
        <f>SUM(CA$7:CA15)</f>
        <v>0</v>
      </c>
      <c r="DS15" s="14">
        <f>SUM(CB$7:CB15)</f>
        <v>0</v>
      </c>
      <c r="DT15" s="14">
        <f>SUM(CC$7:CC15)</f>
        <v>0</v>
      </c>
      <c r="DU15" s="14">
        <f>SUM(CD$7:CD15)</f>
        <v>0</v>
      </c>
      <c r="DV15" s="14">
        <f>SUM(CE$7:CE15)</f>
        <v>0</v>
      </c>
      <c r="DW15" s="14">
        <f>SUM(CF$7:CF15)</f>
        <v>0</v>
      </c>
      <c r="DX15" s="14">
        <f>SUM(CG$7:CG15)</f>
        <v>0</v>
      </c>
      <c r="DY15" s="14">
        <f>SUM(CH$7:CH15)</f>
        <v>0</v>
      </c>
      <c r="DZ15" s="14">
        <f>SUM(CI$7:CI15)</f>
        <v>0</v>
      </c>
      <c r="EA15" s="14">
        <f>SUM(CJ$7:CJ15)</f>
        <v>0</v>
      </c>
      <c r="EB15" s="14">
        <f>SUM(CK$7:CK15)</f>
        <v>0</v>
      </c>
      <c r="EC15" s="14">
        <f>SUM(CL$7:CL15)</f>
        <v>0</v>
      </c>
      <c r="ED15" s="14">
        <f>SUM(CM$7:CM15)</f>
        <v>0</v>
      </c>
      <c r="EE15" s="14">
        <f>SUM(CN$7:CN15)</f>
        <v>0</v>
      </c>
      <c r="EF15" s="14">
        <f>SUM(CO$7:CO15)</f>
        <v>0</v>
      </c>
      <c r="EG15" s="14">
        <f>SUM(CP$7:CP15)</f>
        <v>0</v>
      </c>
      <c r="EH15" s="14">
        <f>SUM(CQ$7:CQ15)</f>
        <v>0</v>
      </c>
      <c r="EI15" s="14">
        <f>SUM(CR$7:CR15)</f>
        <v>0</v>
      </c>
      <c r="EJ15" s="14">
        <f>SUM(CS$7:CS15)</f>
        <v>0</v>
      </c>
      <c r="EK15" s="14">
        <f>SUM(CT$7:CT15)</f>
        <v>0</v>
      </c>
      <c r="EL15" s="14">
        <f>SUM(CU$7:CU15)</f>
        <v>0</v>
      </c>
      <c r="EM15" s="14">
        <f>SUM(CV$7:CV15)</f>
        <v>0</v>
      </c>
      <c r="EN15" s="14">
        <f>SUM(CW$7:CW15)</f>
        <v>0</v>
      </c>
      <c r="EO15" s="14">
        <f>SUM(CX$7:CX15)</f>
        <v>0</v>
      </c>
      <c r="EP15" s="14">
        <f>SUM(CY$7:CY15)</f>
        <v>0</v>
      </c>
      <c r="EQ15" s="14">
        <f>SUM(CZ$7:CZ15)</f>
        <v>0</v>
      </c>
      <c r="ER15" s="14">
        <f>SUM(DA$7:DA15)</f>
        <v>0</v>
      </c>
      <c r="EU15" s="14">
        <f t="shared" si="14"/>
        <v>0</v>
      </c>
      <c r="EV15" s="14">
        <f t="shared" si="15"/>
        <v>0</v>
      </c>
      <c r="EW15" s="14">
        <f t="shared" si="16"/>
        <v>0</v>
      </c>
      <c r="EX15" s="14">
        <f t="shared" si="17"/>
        <v>0</v>
      </c>
      <c r="EY15" s="14">
        <f t="shared" si="18"/>
        <v>0</v>
      </c>
      <c r="EZ15" s="14">
        <f t="shared" si="19"/>
        <v>0</v>
      </c>
      <c r="FA15" s="14">
        <f t="shared" si="20"/>
        <v>0</v>
      </c>
      <c r="FB15" s="14">
        <f t="shared" si="21"/>
        <v>0</v>
      </c>
      <c r="FC15" s="14">
        <f t="shared" si="22"/>
        <v>0</v>
      </c>
      <c r="FD15" s="14">
        <f t="shared" si="23"/>
        <v>0</v>
      </c>
      <c r="FE15" s="14">
        <f t="shared" si="24"/>
        <v>0</v>
      </c>
      <c r="FF15" s="14">
        <f t="shared" si="25"/>
        <v>0</v>
      </c>
      <c r="FG15" s="14">
        <f t="shared" si="26"/>
        <v>0</v>
      </c>
      <c r="FH15" s="14">
        <f t="shared" si="27"/>
        <v>0</v>
      </c>
      <c r="FI15" s="14">
        <f t="shared" si="28"/>
        <v>0</v>
      </c>
      <c r="FJ15" s="14">
        <f t="shared" si="29"/>
        <v>0</v>
      </c>
      <c r="FK15" s="14">
        <f t="shared" si="30"/>
        <v>0</v>
      </c>
      <c r="FL15" s="14">
        <f t="shared" si="31"/>
        <v>0</v>
      </c>
      <c r="FM15" s="14">
        <f t="shared" si="32"/>
        <v>0</v>
      </c>
      <c r="FN15" s="14">
        <f t="shared" si="33"/>
        <v>0</v>
      </c>
      <c r="FO15" s="14">
        <f t="shared" si="34"/>
        <v>0</v>
      </c>
      <c r="FP15" s="14">
        <f t="shared" si="35"/>
        <v>0</v>
      </c>
      <c r="FQ15" s="14">
        <f t="shared" si="36"/>
        <v>0</v>
      </c>
      <c r="FR15" s="14">
        <f t="shared" si="37"/>
        <v>0</v>
      </c>
      <c r="FS15" s="14">
        <f t="shared" si="38"/>
        <v>0</v>
      </c>
      <c r="FT15" s="14">
        <f t="shared" si="39"/>
        <v>0</v>
      </c>
      <c r="FU15" s="14">
        <f t="shared" si="40"/>
        <v>0</v>
      </c>
      <c r="FV15" s="14">
        <f t="shared" si="41"/>
        <v>0</v>
      </c>
      <c r="FW15" s="14">
        <f t="shared" si="42"/>
        <v>0</v>
      </c>
      <c r="FX15" s="14">
        <f t="shared" si="43"/>
        <v>0</v>
      </c>
      <c r="FY15" s="14">
        <f t="shared" si="44"/>
        <v>0</v>
      </c>
      <c r="FZ15" s="14">
        <f t="shared" si="45"/>
        <v>0</v>
      </c>
      <c r="GA15" s="14">
        <f t="shared" si="46"/>
        <v>0</v>
      </c>
      <c r="GB15" s="14">
        <f t="shared" si="47"/>
        <v>0</v>
      </c>
      <c r="GC15" s="14">
        <f t="shared" si="48"/>
        <v>0</v>
      </c>
      <c r="GD15" s="14">
        <f t="shared" si="49"/>
        <v>0</v>
      </c>
      <c r="GE15" s="14">
        <f t="shared" si="50"/>
        <v>0</v>
      </c>
      <c r="GF15" s="14">
        <f t="shared" si="51"/>
        <v>0</v>
      </c>
      <c r="GG15" s="14">
        <f t="shared" si="52"/>
        <v>0</v>
      </c>
      <c r="GH15" s="14">
        <f t="shared" si="53"/>
        <v>0</v>
      </c>
      <c r="GI15" s="14">
        <f t="shared" si="54"/>
        <v>0</v>
      </c>
      <c r="GJ15" s="14">
        <f t="shared" si="55"/>
        <v>0</v>
      </c>
      <c r="GM15" s="91">
        <v>9</v>
      </c>
      <c r="GN15" s="14">
        <f t="shared" si="56"/>
        <v>1</v>
      </c>
      <c r="GO15" s="14">
        <f t="shared" si="57"/>
        <v>1606003</v>
      </c>
      <c r="GP15" s="14" t="str">
        <f t="shared" si="58"/>
        <v>神器1-1 : 6级</v>
      </c>
      <c r="GQ15" s="14" t="s">
        <v>816</v>
      </c>
      <c r="GR15" s="14">
        <f t="shared" si="59"/>
        <v>9</v>
      </c>
      <c r="GS15" s="14" t="str">
        <f t="shared" si="60"/>
        <v>神器1-1</v>
      </c>
      <c r="GT15" s="14">
        <f t="shared" si="61"/>
        <v>3</v>
      </c>
    </row>
    <row r="16" spans="1:202" ht="16.5" x14ac:dyDescent="0.2">
      <c r="J16" s="87">
        <v>9</v>
      </c>
      <c r="K16" s="87">
        <v>3</v>
      </c>
      <c r="L16" s="87">
        <f>SUM(K$8:K16)</f>
        <v>18</v>
      </c>
      <c r="N16" s="90">
        <v>3</v>
      </c>
      <c r="O16" s="90">
        <v>1</v>
      </c>
      <c r="P16" s="90">
        <v>1</v>
      </c>
      <c r="Q16" s="90">
        <v>18</v>
      </c>
      <c r="R16" s="14">
        <f>SUM(Q$7:Q16)</f>
        <v>138</v>
      </c>
      <c r="S16" s="91">
        <v>1606011</v>
      </c>
      <c r="T16" s="14" t="str">
        <f t="shared" si="62"/>
        <v>神器3-1</v>
      </c>
      <c r="AD16" s="87">
        <v>10</v>
      </c>
      <c r="AE16" s="87">
        <v>3</v>
      </c>
      <c r="AF16" s="87">
        <v>2</v>
      </c>
      <c r="AG16" s="87" t="str">
        <f t="shared" si="6"/>
        <v>神器3-2</v>
      </c>
      <c r="AH16" s="87">
        <v>1</v>
      </c>
      <c r="AI16" s="87">
        <f t="shared" si="7"/>
        <v>20</v>
      </c>
      <c r="AL16" s="87">
        <v>2</v>
      </c>
      <c r="AM16" s="87">
        <v>1</v>
      </c>
      <c r="AN16" s="87">
        <v>5</v>
      </c>
      <c r="AO16" s="144">
        <f t="shared" si="8"/>
        <v>4405</v>
      </c>
      <c r="AP16" s="144" t="s">
        <v>1240</v>
      </c>
      <c r="AQ16" s="144" t="str">
        <f t="shared" si="9"/>
        <v>神器本-2-普通-3  神器2-4</v>
      </c>
      <c r="AR16" s="87">
        <v>7</v>
      </c>
      <c r="AS16" s="87" t="s">
        <v>327</v>
      </c>
      <c r="AT16" s="32">
        <v>3500</v>
      </c>
      <c r="AU16" s="87">
        <v>1</v>
      </c>
      <c r="AV16" s="87">
        <v>2</v>
      </c>
      <c r="AW16" s="87">
        <f t="shared" si="10"/>
        <v>2</v>
      </c>
      <c r="AX16" s="14">
        <f t="shared" si="11"/>
        <v>0.52500000000000002</v>
      </c>
      <c r="AY16" s="14">
        <f t="shared" si="12"/>
        <v>23.625</v>
      </c>
      <c r="BB16" s="87">
        <v>5</v>
      </c>
      <c r="BC16" s="87">
        <v>1</v>
      </c>
      <c r="BD16" s="87">
        <f t="shared" si="0"/>
        <v>184.5</v>
      </c>
      <c r="BG16" s="87">
        <v>10</v>
      </c>
      <c r="BH16" s="14" t="e">
        <f>INDEX(节奏总表!#REF!,新神器!BG16)</f>
        <v>#REF!</v>
      </c>
      <c r="BI16" s="14" t="e">
        <f t="shared" si="13"/>
        <v>#REF!</v>
      </c>
      <c r="BJ16" s="87">
        <v>2</v>
      </c>
      <c r="BK16" s="87">
        <v>5</v>
      </c>
      <c r="BL16" s="14">
        <f t="shared" si="1"/>
        <v>0</v>
      </c>
      <c r="BM16" s="14">
        <f t="shared" si="1"/>
        <v>0</v>
      </c>
      <c r="BN16" s="14">
        <f t="shared" si="1"/>
        <v>0</v>
      </c>
      <c r="BO16" s="14">
        <f t="shared" si="1"/>
        <v>0</v>
      </c>
      <c r="BP16" s="14">
        <f t="shared" si="1"/>
        <v>0</v>
      </c>
      <c r="BQ16" s="14">
        <f t="shared" si="1"/>
        <v>0</v>
      </c>
      <c r="BR16" s="14">
        <f t="shared" si="1"/>
        <v>0</v>
      </c>
      <c r="BS16" s="14">
        <f t="shared" si="1"/>
        <v>0</v>
      </c>
      <c r="BT16" s="14">
        <f t="shared" si="1"/>
        <v>0</v>
      </c>
      <c r="BU16" s="14">
        <f t="shared" si="1"/>
        <v>0</v>
      </c>
      <c r="BV16" s="14">
        <f t="shared" si="2"/>
        <v>0</v>
      </c>
      <c r="BW16" s="14">
        <f t="shared" si="2"/>
        <v>0</v>
      </c>
      <c r="BX16" s="14">
        <f t="shared" si="2"/>
        <v>0</v>
      </c>
      <c r="BY16" s="14">
        <f t="shared" si="2"/>
        <v>0</v>
      </c>
      <c r="BZ16" s="14">
        <f t="shared" si="2"/>
        <v>0</v>
      </c>
      <c r="CA16" s="14">
        <f t="shared" si="2"/>
        <v>0</v>
      </c>
      <c r="CB16" s="14">
        <f t="shared" si="2"/>
        <v>0</v>
      </c>
      <c r="CC16" s="14">
        <f t="shared" si="2"/>
        <v>0</v>
      </c>
      <c r="CD16" s="14">
        <f t="shared" si="2"/>
        <v>0</v>
      </c>
      <c r="CE16" s="14">
        <f t="shared" si="2"/>
        <v>0</v>
      </c>
      <c r="CF16" s="14">
        <f t="shared" si="3"/>
        <v>0</v>
      </c>
      <c r="CG16" s="14">
        <f t="shared" si="3"/>
        <v>0</v>
      </c>
      <c r="CH16" s="14">
        <f t="shared" si="3"/>
        <v>0</v>
      </c>
      <c r="CI16" s="14">
        <f t="shared" si="3"/>
        <v>0</v>
      </c>
      <c r="CJ16" s="14">
        <f t="shared" si="3"/>
        <v>0</v>
      </c>
      <c r="CK16" s="14">
        <f t="shared" si="3"/>
        <v>0</v>
      </c>
      <c r="CL16" s="14">
        <f t="shared" si="3"/>
        <v>0</v>
      </c>
      <c r="CM16" s="14">
        <f t="shared" si="3"/>
        <v>0</v>
      </c>
      <c r="CN16" s="14">
        <f t="shared" si="3"/>
        <v>0</v>
      </c>
      <c r="CO16" s="14">
        <f t="shared" si="3"/>
        <v>0</v>
      </c>
      <c r="CP16" s="14">
        <f t="shared" si="4"/>
        <v>0</v>
      </c>
      <c r="CQ16" s="14">
        <f t="shared" si="4"/>
        <v>0</v>
      </c>
      <c r="CR16" s="14">
        <f t="shared" si="4"/>
        <v>0</v>
      </c>
      <c r="CS16" s="14">
        <f t="shared" si="4"/>
        <v>0</v>
      </c>
      <c r="CT16" s="14">
        <f t="shared" si="4"/>
        <v>0</v>
      </c>
      <c r="CU16" s="14">
        <f t="shared" si="4"/>
        <v>0</v>
      </c>
      <c r="CV16" s="14">
        <f t="shared" si="4"/>
        <v>0</v>
      </c>
      <c r="CW16" s="14">
        <f t="shared" si="4"/>
        <v>0</v>
      </c>
      <c r="CX16" s="14">
        <f t="shared" si="4"/>
        <v>0</v>
      </c>
      <c r="CY16" s="14">
        <f t="shared" si="4"/>
        <v>0</v>
      </c>
      <c r="CZ16" s="14">
        <f t="shared" si="4"/>
        <v>0</v>
      </c>
      <c r="DA16" s="14">
        <f t="shared" si="4"/>
        <v>0</v>
      </c>
      <c r="DC16" s="14">
        <f>SUM(BL$7:BL16)</f>
        <v>0</v>
      </c>
      <c r="DD16" s="14">
        <f>SUM(BM$7:BM16)</f>
        <v>0</v>
      </c>
      <c r="DE16" s="14">
        <f>SUM(BN$7:BN16)</f>
        <v>0</v>
      </c>
      <c r="DF16" s="14">
        <f>SUM(BO$7:BO16)</f>
        <v>0</v>
      </c>
      <c r="DG16" s="14">
        <f>SUM(BP$7:BP16)</f>
        <v>0</v>
      </c>
      <c r="DH16" s="14">
        <f>SUM(BQ$7:BQ16)</f>
        <v>0</v>
      </c>
      <c r="DI16" s="14">
        <f>SUM(BR$7:BR16)</f>
        <v>0</v>
      </c>
      <c r="DJ16" s="14">
        <f>SUM(BS$7:BS16)</f>
        <v>0</v>
      </c>
      <c r="DK16" s="14">
        <f>SUM(BT$7:BT16)</f>
        <v>0</v>
      </c>
      <c r="DL16" s="14">
        <f>SUM(BU$7:BU16)</f>
        <v>0</v>
      </c>
      <c r="DM16" s="14">
        <f>SUM(BV$7:BV16)</f>
        <v>0</v>
      </c>
      <c r="DN16" s="14">
        <f>SUM(BW$7:BW16)</f>
        <v>0</v>
      </c>
      <c r="DO16" s="14">
        <f>SUM(BX$7:BX16)</f>
        <v>0</v>
      </c>
      <c r="DP16" s="14">
        <f>SUM(BY$7:BY16)</f>
        <v>0</v>
      </c>
      <c r="DQ16" s="14">
        <f>SUM(BZ$7:BZ16)</f>
        <v>0</v>
      </c>
      <c r="DR16" s="14">
        <f>SUM(CA$7:CA16)</f>
        <v>0</v>
      </c>
      <c r="DS16" s="14">
        <f>SUM(CB$7:CB16)</f>
        <v>0</v>
      </c>
      <c r="DT16" s="14">
        <f>SUM(CC$7:CC16)</f>
        <v>0</v>
      </c>
      <c r="DU16" s="14">
        <f>SUM(CD$7:CD16)</f>
        <v>0</v>
      </c>
      <c r="DV16" s="14">
        <f>SUM(CE$7:CE16)</f>
        <v>0</v>
      </c>
      <c r="DW16" s="14">
        <f>SUM(CF$7:CF16)</f>
        <v>0</v>
      </c>
      <c r="DX16" s="14">
        <f>SUM(CG$7:CG16)</f>
        <v>0</v>
      </c>
      <c r="DY16" s="14">
        <f>SUM(CH$7:CH16)</f>
        <v>0</v>
      </c>
      <c r="DZ16" s="14">
        <f>SUM(CI$7:CI16)</f>
        <v>0</v>
      </c>
      <c r="EA16" s="14">
        <f>SUM(CJ$7:CJ16)</f>
        <v>0</v>
      </c>
      <c r="EB16" s="14">
        <f>SUM(CK$7:CK16)</f>
        <v>0</v>
      </c>
      <c r="EC16" s="14">
        <f>SUM(CL$7:CL16)</f>
        <v>0</v>
      </c>
      <c r="ED16" s="14">
        <f>SUM(CM$7:CM16)</f>
        <v>0</v>
      </c>
      <c r="EE16" s="14">
        <f>SUM(CN$7:CN16)</f>
        <v>0</v>
      </c>
      <c r="EF16" s="14">
        <f>SUM(CO$7:CO16)</f>
        <v>0</v>
      </c>
      <c r="EG16" s="14">
        <f>SUM(CP$7:CP16)</f>
        <v>0</v>
      </c>
      <c r="EH16" s="14">
        <f>SUM(CQ$7:CQ16)</f>
        <v>0</v>
      </c>
      <c r="EI16" s="14">
        <f>SUM(CR$7:CR16)</f>
        <v>0</v>
      </c>
      <c r="EJ16" s="14">
        <f>SUM(CS$7:CS16)</f>
        <v>0</v>
      </c>
      <c r="EK16" s="14">
        <f>SUM(CT$7:CT16)</f>
        <v>0</v>
      </c>
      <c r="EL16" s="14">
        <f>SUM(CU$7:CU16)</f>
        <v>0</v>
      </c>
      <c r="EM16" s="14">
        <f>SUM(CV$7:CV16)</f>
        <v>0</v>
      </c>
      <c r="EN16" s="14">
        <f>SUM(CW$7:CW16)</f>
        <v>0</v>
      </c>
      <c r="EO16" s="14">
        <f>SUM(CX$7:CX16)</f>
        <v>0</v>
      </c>
      <c r="EP16" s="14">
        <f>SUM(CY$7:CY16)</f>
        <v>0</v>
      </c>
      <c r="EQ16" s="14">
        <f>SUM(CZ$7:CZ16)</f>
        <v>0</v>
      </c>
      <c r="ER16" s="14">
        <f>SUM(DA$7:DA16)</f>
        <v>0</v>
      </c>
      <c r="EU16" s="14">
        <f t="shared" si="14"/>
        <v>0</v>
      </c>
      <c r="EV16" s="14">
        <f t="shared" si="15"/>
        <v>0</v>
      </c>
      <c r="EW16" s="14">
        <f t="shared" si="16"/>
        <v>0</v>
      </c>
      <c r="EX16" s="14">
        <f t="shared" si="17"/>
        <v>0</v>
      </c>
      <c r="EY16" s="14">
        <f t="shared" si="18"/>
        <v>0</v>
      </c>
      <c r="EZ16" s="14">
        <f t="shared" si="19"/>
        <v>0</v>
      </c>
      <c r="FA16" s="14">
        <f t="shared" si="20"/>
        <v>0</v>
      </c>
      <c r="FB16" s="14">
        <f t="shared" si="21"/>
        <v>0</v>
      </c>
      <c r="FC16" s="14">
        <f t="shared" si="22"/>
        <v>0</v>
      </c>
      <c r="FD16" s="14">
        <f t="shared" si="23"/>
        <v>0</v>
      </c>
      <c r="FE16" s="14">
        <f t="shared" si="24"/>
        <v>0</v>
      </c>
      <c r="FF16" s="14">
        <f t="shared" si="25"/>
        <v>0</v>
      </c>
      <c r="FG16" s="14">
        <f t="shared" si="26"/>
        <v>0</v>
      </c>
      <c r="FH16" s="14">
        <f t="shared" si="27"/>
        <v>0</v>
      </c>
      <c r="FI16" s="14">
        <f t="shared" si="28"/>
        <v>0</v>
      </c>
      <c r="FJ16" s="14">
        <f t="shared" si="29"/>
        <v>0</v>
      </c>
      <c r="FK16" s="14">
        <f t="shared" si="30"/>
        <v>0</v>
      </c>
      <c r="FL16" s="14">
        <f t="shared" si="31"/>
        <v>0</v>
      </c>
      <c r="FM16" s="14">
        <f t="shared" si="32"/>
        <v>0</v>
      </c>
      <c r="FN16" s="14">
        <f t="shared" si="33"/>
        <v>0</v>
      </c>
      <c r="FO16" s="14">
        <f t="shared" si="34"/>
        <v>0</v>
      </c>
      <c r="FP16" s="14">
        <f t="shared" si="35"/>
        <v>0</v>
      </c>
      <c r="FQ16" s="14">
        <f t="shared" si="36"/>
        <v>0</v>
      </c>
      <c r="FR16" s="14">
        <f t="shared" si="37"/>
        <v>0</v>
      </c>
      <c r="FS16" s="14">
        <f t="shared" si="38"/>
        <v>0</v>
      </c>
      <c r="FT16" s="14">
        <f t="shared" si="39"/>
        <v>0</v>
      </c>
      <c r="FU16" s="14">
        <f t="shared" si="40"/>
        <v>0</v>
      </c>
      <c r="FV16" s="14">
        <f t="shared" si="41"/>
        <v>0</v>
      </c>
      <c r="FW16" s="14">
        <f t="shared" si="42"/>
        <v>0</v>
      </c>
      <c r="FX16" s="14">
        <f t="shared" si="43"/>
        <v>0</v>
      </c>
      <c r="FY16" s="14">
        <f t="shared" si="44"/>
        <v>0</v>
      </c>
      <c r="FZ16" s="14">
        <f t="shared" si="45"/>
        <v>0</v>
      </c>
      <c r="GA16" s="14">
        <f t="shared" si="46"/>
        <v>0</v>
      </c>
      <c r="GB16" s="14">
        <f t="shared" si="47"/>
        <v>0</v>
      </c>
      <c r="GC16" s="14">
        <f t="shared" si="48"/>
        <v>0</v>
      </c>
      <c r="GD16" s="14">
        <f t="shared" si="49"/>
        <v>0</v>
      </c>
      <c r="GE16" s="14">
        <f t="shared" si="50"/>
        <v>0</v>
      </c>
      <c r="GF16" s="14">
        <f t="shared" si="51"/>
        <v>0</v>
      </c>
      <c r="GG16" s="14">
        <f t="shared" si="52"/>
        <v>0</v>
      </c>
      <c r="GH16" s="14">
        <f t="shared" si="53"/>
        <v>0</v>
      </c>
      <c r="GI16" s="14">
        <f t="shared" si="54"/>
        <v>0</v>
      </c>
      <c r="GJ16" s="14">
        <f t="shared" si="55"/>
        <v>0</v>
      </c>
      <c r="GM16" s="91">
        <v>10</v>
      </c>
      <c r="GN16" s="14">
        <f t="shared" si="56"/>
        <v>1</v>
      </c>
      <c r="GO16" s="14">
        <f t="shared" si="57"/>
        <v>1606003</v>
      </c>
      <c r="GP16" s="14" t="str">
        <f t="shared" si="58"/>
        <v>神器1-1 : 7级</v>
      </c>
      <c r="GQ16" s="14" t="s">
        <v>816</v>
      </c>
      <c r="GR16" s="14">
        <f t="shared" si="59"/>
        <v>10</v>
      </c>
      <c r="GS16" s="14" t="str">
        <f t="shared" si="60"/>
        <v>神器1-1</v>
      </c>
      <c r="GT16" s="14">
        <f t="shared" si="61"/>
        <v>5</v>
      </c>
    </row>
    <row r="17" spans="10:202" ht="16.5" x14ac:dyDescent="0.2">
      <c r="J17" s="87">
        <v>10</v>
      </c>
      <c r="K17" s="87">
        <v>5</v>
      </c>
      <c r="L17" s="87">
        <f>SUM(K$8:K17)</f>
        <v>23</v>
      </c>
      <c r="N17" s="90">
        <v>3</v>
      </c>
      <c r="O17" s="90">
        <v>2</v>
      </c>
      <c r="P17" s="90">
        <v>1</v>
      </c>
      <c r="Q17" s="90">
        <v>18</v>
      </c>
      <c r="R17" s="14">
        <f>SUM(Q$7:Q17)</f>
        <v>156</v>
      </c>
      <c r="S17" s="91">
        <v>1606012</v>
      </c>
      <c r="T17" s="14" t="str">
        <f t="shared" si="62"/>
        <v>神器3-2</v>
      </c>
      <c r="AD17" s="87">
        <v>11</v>
      </c>
      <c r="AE17" s="87">
        <v>3</v>
      </c>
      <c r="AF17" s="87">
        <v>3</v>
      </c>
      <c r="AG17" s="87" t="str">
        <f t="shared" si="6"/>
        <v>神器3-3</v>
      </c>
      <c r="AH17" s="87">
        <v>2</v>
      </c>
      <c r="AI17" s="87">
        <f t="shared" si="7"/>
        <v>60</v>
      </c>
      <c r="AL17" s="87">
        <v>2</v>
      </c>
      <c r="AM17" s="87">
        <v>2</v>
      </c>
      <c r="AN17" s="87">
        <v>6</v>
      </c>
      <c r="AO17" s="144">
        <f t="shared" si="8"/>
        <v>4406</v>
      </c>
      <c r="AP17" s="144" t="s">
        <v>1241</v>
      </c>
      <c r="AQ17" s="144" t="str">
        <f t="shared" si="9"/>
        <v>神器本-2-困难-1  神器1-1</v>
      </c>
      <c r="AR17" s="87">
        <v>1</v>
      </c>
      <c r="AS17" s="87" t="s">
        <v>747</v>
      </c>
      <c r="AT17" s="32">
        <v>3800</v>
      </c>
      <c r="AU17" s="87">
        <v>1</v>
      </c>
      <c r="AV17" s="87">
        <v>1</v>
      </c>
      <c r="AW17" s="87">
        <f t="shared" si="10"/>
        <v>1</v>
      </c>
      <c r="AX17" s="14">
        <f t="shared" si="11"/>
        <v>0.38</v>
      </c>
      <c r="AY17" s="14">
        <f t="shared" si="12"/>
        <v>3.8</v>
      </c>
      <c r="BB17" s="87">
        <v>5</v>
      </c>
      <c r="BC17" s="87">
        <v>2</v>
      </c>
      <c r="BD17" s="87">
        <f t="shared" si="0"/>
        <v>226.5</v>
      </c>
      <c r="BG17" s="87">
        <v>11</v>
      </c>
      <c r="BH17" s="14" t="e">
        <f>INDEX(节奏总表!#REF!,新神器!BG17)</f>
        <v>#REF!</v>
      </c>
      <c r="BI17" s="14" t="e">
        <f t="shared" si="13"/>
        <v>#REF!</v>
      </c>
      <c r="BJ17" s="87">
        <v>3</v>
      </c>
      <c r="BK17" s="87">
        <v>5</v>
      </c>
      <c r="BL17" s="14">
        <f t="shared" ref="BL17:BU26" si="63">SUMIFS($AX$7:$AX$301,$AL$7:$AL$301,"="&amp;$BI17,$AM$7:$AM$301,"="&amp;$BJ17,$AR$7:$AR$301,"="&amp;BL$2)*$BK17</f>
        <v>0</v>
      </c>
      <c r="BM17" s="14">
        <f t="shared" si="63"/>
        <v>0</v>
      </c>
      <c r="BN17" s="14">
        <f t="shared" si="63"/>
        <v>0</v>
      </c>
      <c r="BO17" s="14">
        <f t="shared" si="63"/>
        <v>0</v>
      </c>
      <c r="BP17" s="14">
        <f t="shared" si="63"/>
        <v>0</v>
      </c>
      <c r="BQ17" s="14">
        <f t="shared" si="63"/>
        <v>0</v>
      </c>
      <c r="BR17" s="14">
        <f t="shared" si="63"/>
        <v>0</v>
      </c>
      <c r="BS17" s="14">
        <f t="shared" si="63"/>
        <v>0</v>
      </c>
      <c r="BT17" s="14">
        <f t="shared" si="63"/>
        <v>0</v>
      </c>
      <c r="BU17" s="14">
        <f t="shared" si="63"/>
        <v>0</v>
      </c>
      <c r="BV17" s="14">
        <f t="shared" ref="BV17:CE26" si="64">SUMIFS($AX$7:$AX$301,$AL$7:$AL$301,"="&amp;$BI17,$AM$7:$AM$301,"="&amp;$BJ17,$AR$7:$AR$301,"="&amp;BV$2)*$BK17</f>
        <v>0</v>
      </c>
      <c r="BW17" s="14">
        <f t="shared" si="64"/>
        <v>0</v>
      </c>
      <c r="BX17" s="14">
        <f t="shared" si="64"/>
        <v>0</v>
      </c>
      <c r="BY17" s="14">
        <f t="shared" si="64"/>
        <v>0</v>
      </c>
      <c r="BZ17" s="14">
        <f t="shared" si="64"/>
        <v>0</v>
      </c>
      <c r="CA17" s="14">
        <f t="shared" si="64"/>
        <v>0</v>
      </c>
      <c r="CB17" s="14">
        <f t="shared" si="64"/>
        <v>0</v>
      </c>
      <c r="CC17" s="14">
        <f t="shared" si="64"/>
        <v>0</v>
      </c>
      <c r="CD17" s="14">
        <f t="shared" si="64"/>
        <v>0</v>
      </c>
      <c r="CE17" s="14">
        <f t="shared" si="64"/>
        <v>0</v>
      </c>
      <c r="CF17" s="14">
        <f t="shared" ref="CF17:CO26" si="65">SUMIFS($AX$7:$AX$301,$AL$7:$AL$301,"="&amp;$BI17,$AM$7:$AM$301,"="&amp;$BJ17,$AR$7:$AR$301,"="&amp;CF$2)*$BK17</f>
        <v>0</v>
      </c>
      <c r="CG17" s="14">
        <f t="shared" si="65"/>
        <v>0</v>
      </c>
      <c r="CH17" s="14">
        <f t="shared" si="65"/>
        <v>0</v>
      </c>
      <c r="CI17" s="14">
        <f t="shared" si="65"/>
        <v>0</v>
      </c>
      <c r="CJ17" s="14">
        <f t="shared" si="65"/>
        <v>0</v>
      </c>
      <c r="CK17" s="14">
        <f t="shared" si="65"/>
        <v>0</v>
      </c>
      <c r="CL17" s="14">
        <f t="shared" si="65"/>
        <v>0</v>
      </c>
      <c r="CM17" s="14">
        <f t="shared" si="65"/>
        <v>0</v>
      </c>
      <c r="CN17" s="14">
        <f t="shared" si="65"/>
        <v>0</v>
      </c>
      <c r="CO17" s="14">
        <f t="shared" si="65"/>
        <v>0</v>
      </c>
      <c r="CP17" s="14">
        <f t="shared" ref="CP17:DA26" si="66">SUMIFS($AX$7:$AX$301,$AL$7:$AL$301,"="&amp;$BI17,$AM$7:$AM$301,"="&amp;$BJ17,$AR$7:$AR$301,"="&amp;CP$2)*$BK17</f>
        <v>0</v>
      </c>
      <c r="CQ17" s="14">
        <f t="shared" si="66"/>
        <v>0</v>
      </c>
      <c r="CR17" s="14">
        <f t="shared" si="66"/>
        <v>0</v>
      </c>
      <c r="CS17" s="14">
        <f t="shared" si="66"/>
        <v>0</v>
      </c>
      <c r="CT17" s="14">
        <f t="shared" si="66"/>
        <v>0</v>
      </c>
      <c r="CU17" s="14">
        <f t="shared" si="66"/>
        <v>0</v>
      </c>
      <c r="CV17" s="14">
        <f t="shared" si="66"/>
        <v>0</v>
      </c>
      <c r="CW17" s="14">
        <f t="shared" si="66"/>
        <v>0</v>
      </c>
      <c r="CX17" s="14">
        <f t="shared" si="66"/>
        <v>0</v>
      </c>
      <c r="CY17" s="14">
        <f t="shared" si="66"/>
        <v>0</v>
      </c>
      <c r="CZ17" s="14">
        <f t="shared" si="66"/>
        <v>0</v>
      </c>
      <c r="DA17" s="14">
        <f t="shared" si="66"/>
        <v>0</v>
      </c>
      <c r="DC17" s="14">
        <f>SUM(BL$7:BL17)</f>
        <v>0</v>
      </c>
      <c r="DD17" s="14">
        <f>SUM(BM$7:BM17)</f>
        <v>0</v>
      </c>
      <c r="DE17" s="14">
        <f>SUM(BN$7:BN17)</f>
        <v>0</v>
      </c>
      <c r="DF17" s="14">
        <f>SUM(BO$7:BO17)</f>
        <v>0</v>
      </c>
      <c r="DG17" s="14">
        <f>SUM(BP$7:BP17)</f>
        <v>0</v>
      </c>
      <c r="DH17" s="14">
        <f>SUM(BQ$7:BQ17)</f>
        <v>0</v>
      </c>
      <c r="DI17" s="14">
        <f>SUM(BR$7:BR17)</f>
        <v>0</v>
      </c>
      <c r="DJ17" s="14">
        <f>SUM(BS$7:BS17)</f>
        <v>0</v>
      </c>
      <c r="DK17" s="14">
        <f>SUM(BT$7:BT17)</f>
        <v>0</v>
      </c>
      <c r="DL17" s="14">
        <f>SUM(BU$7:BU17)</f>
        <v>0</v>
      </c>
      <c r="DM17" s="14">
        <f>SUM(BV$7:BV17)</f>
        <v>0</v>
      </c>
      <c r="DN17" s="14">
        <f>SUM(BW$7:BW17)</f>
        <v>0</v>
      </c>
      <c r="DO17" s="14">
        <f>SUM(BX$7:BX17)</f>
        <v>0</v>
      </c>
      <c r="DP17" s="14">
        <f>SUM(BY$7:BY17)</f>
        <v>0</v>
      </c>
      <c r="DQ17" s="14">
        <f>SUM(BZ$7:BZ17)</f>
        <v>0</v>
      </c>
      <c r="DR17" s="14">
        <f>SUM(CA$7:CA17)</f>
        <v>0</v>
      </c>
      <c r="DS17" s="14">
        <f>SUM(CB$7:CB17)</f>
        <v>0</v>
      </c>
      <c r="DT17" s="14">
        <f>SUM(CC$7:CC17)</f>
        <v>0</v>
      </c>
      <c r="DU17" s="14">
        <f>SUM(CD$7:CD17)</f>
        <v>0</v>
      </c>
      <c r="DV17" s="14">
        <f>SUM(CE$7:CE17)</f>
        <v>0</v>
      </c>
      <c r="DW17" s="14">
        <f>SUM(CF$7:CF17)</f>
        <v>0</v>
      </c>
      <c r="DX17" s="14">
        <f>SUM(CG$7:CG17)</f>
        <v>0</v>
      </c>
      <c r="DY17" s="14">
        <f>SUM(CH$7:CH17)</f>
        <v>0</v>
      </c>
      <c r="DZ17" s="14">
        <f>SUM(CI$7:CI17)</f>
        <v>0</v>
      </c>
      <c r="EA17" s="14">
        <f>SUM(CJ$7:CJ17)</f>
        <v>0</v>
      </c>
      <c r="EB17" s="14">
        <f>SUM(CK$7:CK17)</f>
        <v>0</v>
      </c>
      <c r="EC17" s="14">
        <f>SUM(CL$7:CL17)</f>
        <v>0</v>
      </c>
      <c r="ED17" s="14">
        <f>SUM(CM$7:CM17)</f>
        <v>0</v>
      </c>
      <c r="EE17" s="14">
        <f>SUM(CN$7:CN17)</f>
        <v>0</v>
      </c>
      <c r="EF17" s="14">
        <f>SUM(CO$7:CO17)</f>
        <v>0</v>
      </c>
      <c r="EG17" s="14">
        <f>SUM(CP$7:CP17)</f>
        <v>0</v>
      </c>
      <c r="EH17" s="14">
        <f>SUM(CQ$7:CQ17)</f>
        <v>0</v>
      </c>
      <c r="EI17" s="14">
        <f>SUM(CR$7:CR17)</f>
        <v>0</v>
      </c>
      <c r="EJ17" s="14">
        <f>SUM(CS$7:CS17)</f>
        <v>0</v>
      </c>
      <c r="EK17" s="14">
        <f>SUM(CT$7:CT17)</f>
        <v>0</v>
      </c>
      <c r="EL17" s="14">
        <f>SUM(CU$7:CU17)</f>
        <v>0</v>
      </c>
      <c r="EM17" s="14">
        <f>SUM(CV$7:CV17)</f>
        <v>0</v>
      </c>
      <c r="EN17" s="14">
        <f>SUM(CW$7:CW17)</f>
        <v>0</v>
      </c>
      <c r="EO17" s="14">
        <f>SUM(CX$7:CX17)</f>
        <v>0</v>
      </c>
      <c r="EP17" s="14">
        <f>SUM(CY$7:CY17)</f>
        <v>0</v>
      </c>
      <c r="EQ17" s="14">
        <f>SUM(CZ$7:CZ17)</f>
        <v>0</v>
      </c>
      <c r="ER17" s="14">
        <f>SUM(DA$7:DA17)</f>
        <v>0</v>
      </c>
      <c r="EU17" s="14">
        <f t="shared" si="14"/>
        <v>0</v>
      </c>
      <c r="EV17" s="14">
        <f t="shared" si="15"/>
        <v>0</v>
      </c>
      <c r="EW17" s="14">
        <f t="shared" si="16"/>
        <v>0</v>
      </c>
      <c r="EX17" s="14">
        <f t="shared" si="17"/>
        <v>0</v>
      </c>
      <c r="EY17" s="14">
        <f t="shared" si="18"/>
        <v>0</v>
      </c>
      <c r="EZ17" s="14">
        <f t="shared" si="19"/>
        <v>0</v>
      </c>
      <c r="FA17" s="14">
        <f t="shared" si="20"/>
        <v>0</v>
      </c>
      <c r="FB17" s="14">
        <f t="shared" si="21"/>
        <v>0</v>
      </c>
      <c r="FC17" s="14">
        <f t="shared" si="22"/>
        <v>0</v>
      </c>
      <c r="FD17" s="14">
        <f t="shared" si="23"/>
        <v>0</v>
      </c>
      <c r="FE17" s="14">
        <f t="shared" si="24"/>
        <v>0</v>
      </c>
      <c r="FF17" s="14">
        <f t="shared" si="25"/>
        <v>0</v>
      </c>
      <c r="FG17" s="14">
        <f t="shared" si="26"/>
        <v>0</v>
      </c>
      <c r="FH17" s="14">
        <f t="shared" si="27"/>
        <v>0</v>
      </c>
      <c r="FI17" s="14">
        <f t="shared" si="28"/>
        <v>0</v>
      </c>
      <c r="FJ17" s="14">
        <f t="shared" si="29"/>
        <v>0</v>
      </c>
      <c r="FK17" s="14">
        <f t="shared" si="30"/>
        <v>0</v>
      </c>
      <c r="FL17" s="14">
        <f t="shared" si="31"/>
        <v>0</v>
      </c>
      <c r="FM17" s="14">
        <f t="shared" si="32"/>
        <v>0</v>
      </c>
      <c r="FN17" s="14">
        <f t="shared" si="33"/>
        <v>0</v>
      </c>
      <c r="FO17" s="14">
        <f t="shared" si="34"/>
        <v>0</v>
      </c>
      <c r="FP17" s="14">
        <f t="shared" si="35"/>
        <v>0</v>
      </c>
      <c r="FQ17" s="14">
        <f t="shared" si="36"/>
        <v>0</v>
      </c>
      <c r="FR17" s="14">
        <f t="shared" si="37"/>
        <v>0</v>
      </c>
      <c r="FS17" s="14">
        <f t="shared" si="38"/>
        <v>0</v>
      </c>
      <c r="FT17" s="14">
        <f t="shared" si="39"/>
        <v>0</v>
      </c>
      <c r="FU17" s="14">
        <f t="shared" si="40"/>
        <v>0</v>
      </c>
      <c r="FV17" s="14">
        <f t="shared" si="41"/>
        <v>0</v>
      </c>
      <c r="FW17" s="14">
        <f t="shared" si="42"/>
        <v>0</v>
      </c>
      <c r="FX17" s="14">
        <f t="shared" si="43"/>
        <v>0</v>
      </c>
      <c r="FY17" s="14">
        <f t="shared" si="44"/>
        <v>0</v>
      </c>
      <c r="FZ17" s="14">
        <f t="shared" si="45"/>
        <v>0</v>
      </c>
      <c r="GA17" s="14">
        <f t="shared" si="46"/>
        <v>0</v>
      </c>
      <c r="GB17" s="14">
        <f t="shared" si="47"/>
        <v>0</v>
      </c>
      <c r="GC17" s="14">
        <f t="shared" si="48"/>
        <v>0</v>
      </c>
      <c r="GD17" s="14">
        <f t="shared" si="49"/>
        <v>0</v>
      </c>
      <c r="GE17" s="14">
        <f t="shared" si="50"/>
        <v>0</v>
      </c>
      <c r="GF17" s="14">
        <f t="shared" si="51"/>
        <v>0</v>
      </c>
      <c r="GG17" s="14">
        <f t="shared" si="52"/>
        <v>0</v>
      </c>
      <c r="GH17" s="14">
        <f t="shared" si="53"/>
        <v>0</v>
      </c>
      <c r="GI17" s="14">
        <f t="shared" si="54"/>
        <v>0</v>
      </c>
      <c r="GJ17" s="14">
        <f t="shared" si="55"/>
        <v>0</v>
      </c>
      <c r="GM17" s="91">
        <v>11</v>
      </c>
      <c r="GN17" s="14">
        <f t="shared" si="56"/>
        <v>1</v>
      </c>
      <c r="GO17" s="14">
        <f t="shared" si="57"/>
        <v>1606003</v>
      </c>
      <c r="GP17" s="14" t="str">
        <f t="shared" si="58"/>
        <v>神器1-1 : 1级</v>
      </c>
      <c r="GQ17" s="14" t="s">
        <v>816</v>
      </c>
      <c r="GR17" s="14">
        <f t="shared" si="59"/>
        <v>11</v>
      </c>
      <c r="GS17" s="14" t="str">
        <f t="shared" si="60"/>
        <v>神器1-1</v>
      </c>
      <c r="GT17" s="14">
        <f t="shared" si="61"/>
        <v>5</v>
      </c>
    </row>
    <row r="18" spans="10:202" ht="16.5" x14ac:dyDescent="0.2">
      <c r="J18" s="87">
        <v>11</v>
      </c>
      <c r="K18" s="87">
        <v>5</v>
      </c>
      <c r="L18" s="87">
        <f>SUM(K$8:K18)</f>
        <v>28</v>
      </c>
      <c r="N18" s="90">
        <v>3</v>
      </c>
      <c r="O18" s="90">
        <v>3</v>
      </c>
      <c r="P18" s="90">
        <v>2</v>
      </c>
      <c r="Q18" s="90">
        <v>18</v>
      </c>
      <c r="R18" s="14">
        <f>SUM(Q$7:Q18)</f>
        <v>174</v>
      </c>
      <c r="S18" s="91">
        <v>1606013</v>
      </c>
      <c r="T18" s="14" t="str">
        <f t="shared" si="62"/>
        <v>神器3-3</v>
      </c>
      <c r="AD18" s="87">
        <v>12</v>
      </c>
      <c r="AE18" s="87">
        <v>3</v>
      </c>
      <c r="AF18" s="87">
        <v>4</v>
      </c>
      <c r="AG18" s="87" t="str">
        <f t="shared" si="6"/>
        <v>神器3-4</v>
      </c>
      <c r="AH18" s="87">
        <v>2</v>
      </c>
      <c r="AI18" s="87">
        <f t="shared" si="7"/>
        <v>60</v>
      </c>
      <c r="AL18" s="87">
        <v>2</v>
      </c>
      <c r="AM18" s="87">
        <v>2</v>
      </c>
      <c r="AN18" s="87">
        <v>6</v>
      </c>
      <c r="AO18" s="144">
        <f t="shared" si="8"/>
        <v>4406</v>
      </c>
      <c r="AP18" s="144" t="s">
        <v>1241</v>
      </c>
      <c r="AQ18" s="144" t="str">
        <f t="shared" si="9"/>
        <v>神器本-2-困难-1  神器1-2</v>
      </c>
      <c r="AR18" s="87">
        <v>2</v>
      </c>
      <c r="AS18" s="87" t="s">
        <v>748</v>
      </c>
      <c r="AT18" s="32">
        <v>3800</v>
      </c>
      <c r="AU18" s="87">
        <v>1</v>
      </c>
      <c r="AV18" s="87">
        <v>1</v>
      </c>
      <c r="AW18" s="87">
        <f t="shared" si="10"/>
        <v>1</v>
      </c>
      <c r="AX18" s="14">
        <f t="shared" si="11"/>
        <v>0.38</v>
      </c>
      <c r="AY18" s="14">
        <f t="shared" si="12"/>
        <v>3.8</v>
      </c>
      <c r="BB18" s="87">
        <v>5</v>
      </c>
      <c r="BC18" s="87">
        <v>3</v>
      </c>
      <c r="BD18" s="87">
        <f t="shared" si="0"/>
        <v>271.5</v>
      </c>
      <c r="BG18" s="87">
        <v>12</v>
      </c>
      <c r="BH18" s="14" t="e">
        <f>INDEX(节奏总表!#REF!,新神器!BG18)</f>
        <v>#REF!</v>
      </c>
      <c r="BI18" s="14" t="e">
        <f t="shared" si="13"/>
        <v>#REF!</v>
      </c>
      <c r="BJ18" s="87">
        <v>3</v>
      </c>
      <c r="BK18" s="87">
        <v>5</v>
      </c>
      <c r="BL18" s="14">
        <f t="shared" si="63"/>
        <v>0</v>
      </c>
      <c r="BM18" s="14">
        <f t="shared" si="63"/>
        <v>0</v>
      </c>
      <c r="BN18" s="14">
        <f t="shared" si="63"/>
        <v>0</v>
      </c>
      <c r="BO18" s="14">
        <f t="shared" si="63"/>
        <v>0</v>
      </c>
      <c r="BP18" s="14">
        <f t="shared" si="63"/>
        <v>0</v>
      </c>
      <c r="BQ18" s="14">
        <f t="shared" si="63"/>
        <v>0</v>
      </c>
      <c r="BR18" s="14">
        <f t="shared" si="63"/>
        <v>0</v>
      </c>
      <c r="BS18" s="14">
        <f t="shared" si="63"/>
        <v>0</v>
      </c>
      <c r="BT18" s="14">
        <f t="shared" si="63"/>
        <v>0</v>
      </c>
      <c r="BU18" s="14">
        <f t="shared" si="63"/>
        <v>0</v>
      </c>
      <c r="BV18" s="14">
        <f t="shared" si="64"/>
        <v>0</v>
      </c>
      <c r="BW18" s="14">
        <f t="shared" si="64"/>
        <v>0</v>
      </c>
      <c r="BX18" s="14">
        <f t="shared" si="64"/>
        <v>0</v>
      </c>
      <c r="BY18" s="14">
        <f t="shared" si="64"/>
        <v>0</v>
      </c>
      <c r="BZ18" s="14">
        <f t="shared" si="64"/>
        <v>0</v>
      </c>
      <c r="CA18" s="14">
        <f t="shared" si="64"/>
        <v>0</v>
      </c>
      <c r="CB18" s="14">
        <f t="shared" si="64"/>
        <v>0</v>
      </c>
      <c r="CC18" s="14">
        <f t="shared" si="64"/>
        <v>0</v>
      </c>
      <c r="CD18" s="14">
        <f t="shared" si="64"/>
        <v>0</v>
      </c>
      <c r="CE18" s="14">
        <f t="shared" si="64"/>
        <v>0</v>
      </c>
      <c r="CF18" s="14">
        <f t="shared" si="65"/>
        <v>0</v>
      </c>
      <c r="CG18" s="14">
        <f t="shared" si="65"/>
        <v>0</v>
      </c>
      <c r="CH18" s="14">
        <f t="shared" si="65"/>
        <v>0</v>
      </c>
      <c r="CI18" s="14">
        <f t="shared" si="65"/>
        <v>0</v>
      </c>
      <c r="CJ18" s="14">
        <f t="shared" si="65"/>
        <v>0</v>
      </c>
      <c r="CK18" s="14">
        <f t="shared" si="65"/>
        <v>0</v>
      </c>
      <c r="CL18" s="14">
        <f t="shared" si="65"/>
        <v>0</v>
      </c>
      <c r="CM18" s="14">
        <f t="shared" si="65"/>
        <v>0</v>
      </c>
      <c r="CN18" s="14">
        <f t="shared" si="65"/>
        <v>0</v>
      </c>
      <c r="CO18" s="14">
        <f t="shared" si="65"/>
        <v>0</v>
      </c>
      <c r="CP18" s="14">
        <f t="shared" si="66"/>
        <v>0</v>
      </c>
      <c r="CQ18" s="14">
        <f t="shared" si="66"/>
        <v>0</v>
      </c>
      <c r="CR18" s="14">
        <f t="shared" si="66"/>
        <v>0</v>
      </c>
      <c r="CS18" s="14">
        <f t="shared" si="66"/>
        <v>0</v>
      </c>
      <c r="CT18" s="14">
        <f t="shared" si="66"/>
        <v>0</v>
      </c>
      <c r="CU18" s="14">
        <f t="shared" si="66"/>
        <v>0</v>
      </c>
      <c r="CV18" s="14">
        <f t="shared" si="66"/>
        <v>0</v>
      </c>
      <c r="CW18" s="14">
        <f t="shared" si="66"/>
        <v>0</v>
      </c>
      <c r="CX18" s="14">
        <f t="shared" si="66"/>
        <v>0</v>
      </c>
      <c r="CY18" s="14">
        <f t="shared" si="66"/>
        <v>0</v>
      </c>
      <c r="CZ18" s="14">
        <f t="shared" si="66"/>
        <v>0</v>
      </c>
      <c r="DA18" s="14">
        <f t="shared" si="66"/>
        <v>0</v>
      </c>
      <c r="DC18" s="14">
        <f>SUM(BL$7:BL18)</f>
        <v>0</v>
      </c>
      <c r="DD18" s="14">
        <f>SUM(BM$7:BM18)</f>
        <v>0</v>
      </c>
      <c r="DE18" s="14">
        <f>SUM(BN$7:BN18)</f>
        <v>0</v>
      </c>
      <c r="DF18" s="14">
        <f>SUM(BO$7:BO18)</f>
        <v>0</v>
      </c>
      <c r="DG18" s="14">
        <f>SUM(BP$7:BP18)</f>
        <v>0</v>
      </c>
      <c r="DH18" s="14">
        <f>SUM(BQ$7:BQ18)</f>
        <v>0</v>
      </c>
      <c r="DI18" s="14">
        <f>SUM(BR$7:BR18)</f>
        <v>0</v>
      </c>
      <c r="DJ18" s="14">
        <f>SUM(BS$7:BS18)</f>
        <v>0</v>
      </c>
      <c r="DK18" s="14">
        <f>SUM(BT$7:BT18)</f>
        <v>0</v>
      </c>
      <c r="DL18" s="14">
        <f>SUM(BU$7:BU18)</f>
        <v>0</v>
      </c>
      <c r="DM18" s="14">
        <f>SUM(BV$7:BV18)</f>
        <v>0</v>
      </c>
      <c r="DN18" s="14">
        <f>SUM(BW$7:BW18)</f>
        <v>0</v>
      </c>
      <c r="DO18" s="14">
        <f>SUM(BX$7:BX18)</f>
        <v>0</v>
      </c>
      <c r="DP18" s="14">
        <f>SUM(BY$7:BY18)</f>
        <v>0</v>
      </c>
      <c r="DQ18" s="14">
        <f>SUM(BZ$7:BZ18)</f>
        <v>0</v>
      </c>
      <c r="DR18" s="14">
        <f>SUM(CA$7:CA18)</f>
        <v>0</v>
      </c>
      <c r="DS18" s="14">
        <f>SUM(CB$7:CB18)</f>
        <v>0</v>
      </c>
      <c r="DT18" s="14">
        <f>SUM(CC$7:CC18)</f>
        <v>0</v>
      </c>
      <c r="DU18" s="14">
        <f>SUM(CD$7:CD18)</f>
        <v>0</v>
      </c>
      <c r="DV18" s="14">
        <f>SUM(CE$7:CE18)</f>
        <v>0</v>
      </c>
      <c r="DW18" s="14">
        <f>SUM(CF$7:CF18)</f>
        <v>0</v>
      </c>
      <c r="DX18" s="14">
        <f>SUM(CG$7:CG18)</f>
        <v>0</v>
      </c>
      <c r="DY18" s="14">
        <f>SUM(CH$7:CH18)</f>
        <v>0</v>
      </c>
      <c r="DZ18" s="14">
        <f>SUM(CI$7:CI18)</f>
        <v>0</v>
      </c>
      <c r="EA18" s="14">
        <f>SUM(CJ$7:CJ18)</f>
        <v>0</v>
      </c>
      <c r="EB18" s="14">
        <f>SUM(CK$7:CK18)</f>
        <v>0</v>
      </c>
      <c r="EC18" s="14">
        <f>SUM(CL$7:CL18)</f>
        <v>0</v>
      </c>
      <c r="ED18" s="14">
        <f>SUM(CM$7:CM18)</f>
        <v>0</v>
      </c>
      <c r="EE18" s="14">
        <f>SUM(CN$7:CN18)</f>
        <v>0</v>
      </c>
      <c r="EF18" s="14">
        <f>SUM(CO$7:CO18)</f>
        <v>0</v>
      </c>
      <c r="EG18" s="14">
        <f>SUM(CP$7:CP18)</f>
        <v>0</v>
      </c>
      <c r="EH18" s="14">
        <f>SUM(CQ$7:CQ18)</f>
        <v>0</v>
      </c>
      <c r="EI18" s="14">
        <f>SUM(CR$7:CR18)</f>
        <v>0</v>
      </c>
      <c r="EJ18" s="14">
        <f>SUM(CS$7:CS18)</f>
        <v>0</v>
      </c>
      <c r="EK18" s="14">
        <f>SUM(CT$7:CT18)</f>
        <v>0</v>
      </c>
      <c r="EL18" s="14">
        <f>SUM(CU$7:CU18)</f>
        <v>0</v>
      </c>
      <c r="EM18" s="14">
        <f>SUM(CV$7:CV18)</f>
        <v>0</v>
      </c>
      <c r="EN18" s="14">
        <f>SUM(CW$7:CW18)</f>
        <v>0</v>
      </c>
      <c r="EO18" s="14">
        <f>SUM(CX$7:CX18)</f>
        <v>0</v>
      </c>
      <c r="EP18" s="14">
        <f>SUM(CY$7:CY18)</f>
        <v>0</v>
      </c>
      <c r="EQ18" s="14">
        <f>SUM(CZ$7:CZ18)</f>
        <v>0</v>
      </c>
      <c r="ER18" s="14">
        <f>SUM(DA$7:DA18)</f>
        <v>0</v>
      </c>
      <c r="EU18" s="14">
        <f t="shared" si="14"/>
        <v>0</v>
      </c>
      <c r="EV18" s="14">
        <f t="shared" si="15"/>
        <v>0</v>
      </c>
      <c r="EW18" s="14">
        <f t="shared" si="16"/>
        <v>0</v>
      </c>
      <c r="EX18" s="14">
        <f t="shared" si="17"/>
        <v>0</v>
      </c>
      <c r="EY18" s="14">
        <f t="shared" si="18"/>
        <v>0</v>
      </c>
      <c r="EZ18" s="14">
        <f t="shared" si="19"/>
        <v>0</v>
      </c>
      <c r="FA18" s="14">
        <f t="shared" si="20"/>
        <v>0</v>
      </c>
      <c r="FB18" s="14">
        <f t="shared" si="21"/>
        <v>0</v>
      </c>
      <c r="FC18" s="14">
        <f t="shared" si="22"/>
        <v>0</v>
      </c>
      <c r="FD18" s="14">
        <f t="shared" si="23"/>
        <v>0</v>
      </c>
      <c r="FE18" s="14">
        <f t="shared" si="24"/>
        <v>0</v>
      </c>
      <c r="FF18" s="14">
        <f t="shared" si="25"/>
        <v>0</v>
      </c>
      <c r="FG18" s="14">
        <f t="shared" si="26"/>
        <v>0</v>
      </c>
      <c r="FH18" s="14">
        <f t="shared" si="27"/>
        <v>0</v>
      </c>
      <c r="FI18" s="14">
        <f t="shared" si="28"/>
        <v>0</v>
      </c>
      <c r="FJ18" s="14">
        <f t="shared" si="29"/>
        <v>0</v>
      </c>
      <c r="FK18" s="14">
        <f t="shared" si="30"/>
        <v>0</v>
      </c>
      <c r="FL18" s="14">
        <f t="shared" si="31"/>
        <v>0</v>
      </c>
      <c r="FM18" s="14">
        <f t="shared" si="32"/>
        <v>0</v>
      </c>
      <c r="FN18" s="14">
        <f t="shared" si="33"/>
        <v>0</v>
      </c>
      <c r="FO18" s="14">
        <f t="shared" si="34"/>
        <v>0</v>
      </c>
      <c r="FP18" s="14">
        <f t="shared" si="35"/>
        <v>0</v>
      </c>
      <c r="FQ18" s="14">
        <f t="shared" si="36"/>
        <v>0</v>
      </c>
      <c r="FR18" s="14">
        <f t="shared" si="37"/>
        <v>0</v>
      </c>
      <c r="FS18" s="14">
        <f t="shared" si="38"/>
        <v>0</v>
      </c>
      <c r="FT18" s="14">
        <f t="shared" si="39"/>
        <v>0</v>
      </c>
      <c r="FU18" s="14">
        <f t="shared" si="40"/>
        <v>0</v>
      </c>
      <c r="FV18" s="14">
        <f t="shared" si="41"/>
        <v>0</v>
      </c>
      <c r="FW18" s="14">
        <f t="shared" si="42"/>
        <v>0</v>
      </c>
      <c r="FX18" s="14">
        <f t="shared" si="43"/>
        <v>0</v>
      </c>
      <c r="FY18" s="14">
        <f t="shared" si="44"/>
        <v>0</v>
      </c>
      <c r="FZ18" s="14">
        <f t="shared" si="45"/>
        <v>0</v>
      </c>
      <c r="GA18" s="14">
        <f t="shared" si="46"/>
        <v>0</v>
      </c>
      <c r="GB18" s="14">
        <f t="shared" si="47"/>
        <v>0</v>
      </c>
      <c r="GC18" s="14">
        <f t="shared" si="48"/>
        <v>0</v>
      </c>
      <c r="GD18" s="14">
        <f t="shared" si="49"/>
        <v>0</v>
      </c>
      <c r="GE18" s="14">
        <f t="shared" si="50"/>
        <v>0</v>
      </c>
      <c r="GF18" s="14">
        <f t="shared" si="51"/>
        <v>0</v>
      </c>
      <c r="GG18" s="14">
        <f t="shared" si="52"/>
        <v>0</v>
      </c>
      <c r="GH18" s="14">
        <f t="shared" si="53"/>
        <v>0</v>
      </c>
      <c r="GI18" s="14">
        <f t="shared" si="54"/>
        <v>0</v>
      </c>
      <c r="GJ18" s="14">
        <f t="shared" si="55"/>
        <v>0</v>
      </c>
      <c r="GM18" s="91">
        <v>12</v>
      </c>
      <c r="GN18" s="14">
        <f t="shared" si="56"/>
        <v>1</v>
      </c>
      <c r="GO18" s="14">
        <f t="shared" si="57"/>
        <v>1606003</v>
      </c>
      <c r="GP18" s="14" t="str">
        <f t="shared" si="58"/>
        <v>神器1-1 : 2级</v>
      </c>
      <c r="GQ18" s="14" t="s">
        <v>816</v>
      </c>
      <c r="GR18" s="14">
        <f t="shared" si="59"/>
        <v>12</v>
      </c>
      <c r="GS18" s="14" t="str">
        <f t="shared" si="60"/>
        <v>神器1-1</v>
      </c>
      <c r="GT18" s="14">
        <f t="shared" si="61"/>
        <v>6</v>
      </c>
    </row>
    <row r="19" spans="10:202" ht="16.5" x14ac:dyDescent="0.2">
      <c r="J19" s="87">
        <v>12</v>
      </c>
      <c r="K19" s="87">
        <v>6</v>
      </c>
      <c r="L19" s="87">
        <f>SUM(K$8:K19)</f>
        <v>34</v>
      </c>
      <c r="N19" s="90">
        <v>3</v>
      </c>
      <c r="O19" s="90">
        <v>4</v>
      </c>
      <c r="P19" s="90">
        <v>2</v>
      </c>
      <c r="Q19" s="90">
        <v>18</v>
      </c>
      <c r="R19" s="14">
        <f>SUM(Q$7:Q19)</f>
        <v>192</v>
      </c>
      <c r="S19" s="91">
        <v>1606014</v>
      </c>
      <c r="T19" s="14" t="str">
        <f t="shared" si="62"/>
        <v>神器3-4</v>
      </c>
      <c r="AD19" s="87">
        <v>13</v>
      </c>
      <c r="AE19" s="87">
        <v>3</v>
      </c>
      <c r="AF19" s="87">
        <v>5</v>
      </c>
      <c r="AG19" s="87" t="str">
        <f t="shared" si="6"/>
        <v>神器3-5</v>
      </c>
      <c r="AH19" s="87">
        <v>3</v>
      </c>
      <c r="AI19" s="87">
        <f t="shared" si="7"/>
        <v>140</v>
      </c>
      <c r="AL19" s="87">
        <v>2</v>
      </c>
      <c r="AM19" s="87">
        <v>2</v>
      </c>
      <c r="AN19" s="87">
        <v>6</v>
      </c>
      <c r="AO19" s="144">
        <f t="shared" si="8"/>
        <v>4406</v>
      </c>
      <c r="AP19" s="144" t="s">
        <v>1241</v>
      </c>
      <c r="AQ19" s="144" t="str">
        <f t="shared" si="9"/>
        <v>神器本-2-困难-1  神器1-3</v>
      </c>
      <c r="AR19" s="87">
        <v>3</v>
      </c>
      <c r="AS19" s="87" t="s">
        <v>749</v>
      </c>
      <c r="AT19" s="32">
        <v>2400</v>
      </c>
      <c r="AU19" s="87">
        <v>1</v>
      </c>
      <c r="AV19" s="87">
        <v>1</v>
      </c>
      <c r="AW19" s="87">
        <f t="shared" si="10"/>
        <v>2</v>
      </c>
      <c r="AX19" s="14">
        <f t="shared" si="11"/>
        <v>0.24</v>
      </c>
      <c r="AY19" s="14">
        <f t="shared" si="12"/>
        <v>7.1999999999999993</v>
      </c>
      <c r="BB19" s="87">
        <v>6</v>
      </c>
      <c r="BC19" s="87">
        <v>1</v>
      </c>
      <c r="BD19" s="87">
        <f t="shared" si="0"/>
        <v>188.04000000000002</v>
      </c>
      <c r="BG19" s="87">
        <v>13</v>
      </c>
      <c r="BH19" s="14" t="e">
        <f>INDEX(节奏总表!#REF!,新神器!BG19)</f>
        <v>#REF!</v>
      </c>
      <c r="BI19" s="14" t="e">
        <f t="shared" si="13"/>
        <v>#REF!</v>
      </c>
      <c r="BJ19" s="87">
        <v>3</v>
      </c>
      <c r="BK19" s="87">
        <v>5</v>
      </c>
      <c r="BL19" s="14">
        <f t="shared" si="63"/>
        <v>0</v>
      </c>
      <c r="BM19" s="14">
        <f t="shared" si="63"/>
        <v>0</v>
      </c>
      <c r="BN19" s="14">
        <f t="shared" si="63"/>
        <v>0</v>
      </c>
      <c r="BO19" s="14">
        <f t="shared" si="63"/>
        <v>0</v>
      </c>
      <c r="BP19" s="14">
        <f t="shared" si="63"/>
        <v>0</v>
      </c>
      <c r="BQ19" s="14">
        <f t="shared" si="63"/>
        <v>0</v>
      </c>
      <c r="BR19" s="14">
        <f t="shared" si="63"/>
        <v>0</v>
      </c>
      <c r="BS19" s="14">
        <f t="shared" si="63"/>
        <v>0</v>
      </c>
      <c r="BT19" s="14">
        <f t="shared" si="63"/>
        <v>0</v>
      </c>
      <c r="BU19" s="14">
        <f t="shared" si="63"/>
        <v>0</v>
      </c>
      <c r="BV19" s="14">
        <f t="shared" si="64"/>
        <v>0</v>
      </c>
      <c r="BW19" s="14">
        <f t="shared" si="64"/>
        <v>0</v>
      </c>
      <c r="BX19" s="14">
        <f t="shared" si="64"/>
        <v>0</v>
      </c>
      <c r="BY19" s="14">
        <f t="shared" si="64"/>
        <v>0</v>
      </c>
      <c r="BZ19" s="14">
        <f t="shared" si="64"/>
        <v>0</v>
      </c>
      <c r="CA19" s="14">
        <f t="shared" si="64"/>
        <v>0</v>
      </c>
      <c r="CB19" s="14">
        <f t="shared" si="64"/>
        <v>0</v>
      </c>
      <c r="CC19" s="14">
        <f t="shared" si="64"/>
        <v>0</v>
      </c>
      <c r="CD19" s="14">
        <f t="shared" si="64"/>
        <v>0</v>
      </c>
      <c r="CE19" s="14">
        <f t="shared" si="64"/>
        <v>0</v>
      </c>
      <c r="CF19" s="14">
        <f t="shared" si="65"/>
        <v>0</v>
      </c>
      <c r="CG19" s="14">
        <f t="shared" si="65"/>
        <v>0</v>
      </c>
      <c r="CH19" s="14">
        <f t="shared" si="65"/>
        <v>0</v>
      </c>
      <c r="CI19" s="14">
        <f t="shared" si="65"/>
        <v>0</v>
      </c>
      <c r="CJ19" s="14">
        <f t="shared" si="65"/>
        <v>0</v>
      </c>
      <c r="CK19" s="14">
        <f t="shared" si="65"/>
        <v>0</v>
      </c>
      <c r="CL19" s="14">
        <f t="shared" si="65"/>
        <v>0</v>
      </c>
      <c r="CM19" s="14">
        <f t="shared" si="65"/>
        <v>0</v>
      </c>
      <c r="CN19" s="14">
        <f t="shared" si="65"/>
        <v>0</v>
      </c>
      <c r="CO19" s="14">
        <f t="shared" si="65"/>
        <v>0</v>
      </c>
      <c r="CP19" s="14">
        <f t="shared" si="66"/>
        <v>0</v>
      </c>
      <c r="CQ19" s="14">
        <f t="shared" si="66"/>
        <v>0</v>
      </c>
      <c r="CR19" s="14">
        <f t="shared" si="66"/>
        <v>0</v>
      </c>
      <c r="CS19" s="14">
        <f t="shared" si="66"/>
        <v>0</v>
      </c>
      <c r="CT19" s="14">
        <f t="shared" si="66"/>
        <v>0</v>
      </c>
      <c r="CU19" s="14">
        <f t="shared" si="66"/>
        <v>0</v>
      </c>
      <c r="CV19" s="14">
        <f t="shared" si="66"/>
        <v>0</v>
      </c>
      <c r="CW19" s="14">
        <f t="shared" si="66"/>
        <v>0</v>
      </c>
      <c r="CX19" s="14">
        <f t="shared" si="66"/>
        <v>0</v>
      </c>
      <c r="CY19" s="14">
        <f t="shared" si="66"/>
        <v>0</v>
      </c>
      <c r="CZ19" s="14">
        <f t="shared" si="66"/>
        <v>0</v>
      </c>
      <c r="DA19" s="14">
        <f t="shared" si="66"/>
        <v>0</v>
      </c>
      <c r="DC19" s="14">
        <f>SUM(BL$7:BL19)</f>
        <v>0</v>
      </c>
      <c r="DD19" s="14">
        <f>SUM(BM$7:BM19)</f>
        <v>0</v>
      </c>
      <c r="DE19" s="14">
        <f>SUM(BN$7:BN19)</f>
        <v>0</v>
      </c>
      <c r="DF19" s="14">
        <f>SUM(BO$7:BO19)</f>
        <v>0</v>
      </c>
      <c r="DG19" s="14">
        <f>SUM(BP$7:BP19)</f>
        <v>0</v>
      </c>
      <c r="DH19" s="14">
        <f>SUM(BQ$7:BQ19)</f>
        <v>0</v>
      </c>
      <c r="DI19" s="14">
        <f>SUM(BR$7:BR19)</f>
        <v>0</v>
      </c>
      <c r="DJ19" s="14">
        <f>SUM(BS$7:BS19)</f>
        <v>0</v>
      </c>
      <c r="DK19" s="14">
        <f>SUM(BT$7:BT19)</f>
        <v>0</v>
      </c>
      <c r="DL19" s="14">
        <f>SUM(BU$7:BU19)</f>
        <v>0</v>
      </c>
      <c r="DM19" s="14">
        <f>SUM(BV$7:BV19)</f>
        <v>0</v>
      </c>
      <c r="DN19" s="14">
        <f>SUM(BW$7:BW19)</f>
        <v>0</v>
      </c>
      <c r="DO19" s="14">
        <f>SUM(BX$7:BX19)</f>
        <v>0</v>
      </c>
      <c r="DP19" s="14">
        <f>SUM(BY$7:BY19)</f>
        <v>0</v>
      </c>
      <c r="DQ19" s="14">
        <f>SUM(BZ$7:BZ19)</f>
        <v>0</v>
      </c>
      <c r="DR19" s="14">
        <f>SUM(CA$7:CA19)</f>
        <v>0</v>
      </c>
      <c r="DS19" s="14">
        <f>SUM(CB$7:CB19)</f>
        <v>0</v>
      </c>
      <c r="DT19" s="14">
        <f>SUM(CC$7:CC19)</f>
        <v>0</v>
      </c>
      <c r="DU19" s="14">
        <f>SUM(CD$7:CD19)</f>
        <v>0</v>
      </c>
      <c r="DV19" s="14">
        <f>SUM(CE$7:CE19)</f>
        <v>0</v>
      </c>
      <c r="DW19" s="14">
        <f>SUM(CF$7:CF19)</f>
        <v>0</v>
      </c>
      <c r="DX19" s="14">
        <f>SUM(CG$7:CG19)</f>
        <v>0</v>
      </c>
      <c r="DY19" s="14">
        <f>SUM(CH$7:CH19)</f>
        <v>0</v>
      </c>
      <c r="DZ19" s="14">
        <f>SUM(CI$7:CI19)</f>
        <v>0</v>
      </c>
      <c r="EA19" s="14">
        <f>SUM(CJ$7:CJ19)</f>
        <v>0</v>
      </c>
      <c r="EB19" s="14">
        <f>SUM(CK$7:CK19)</f>
        <v>0</v>
      </c>
      <c r="EC19" s="14">
        <f>SUM(CL$7:CL19)</f>
        <v>0</v>
      </c>
      <c r="ED19" s="14">
        <f>SUM(CM$7:CM19)</f>
        <v>0</v>
      </c>
      <c r="EE19" s="14">
        <f>SUM(CN$7:CN19)</f>
        <v>0</v>
      </c>
      <c r="EF19" s="14">
        <f>SUM(CO$7:CO19)</f>
        <v>0</v>
      </c>
      <c r="EG19" s="14">
        <f>SUM(CP$7:CP19)</f>
        <v>0</v>
      </c>
      <c r="EH19" s="14">
        <f>SUM(CQ$7:CQ19)</f>
        <v>0</v>
      </c>
      <c r="EI19" s="14">
        <f>SUM(CR$7:CR19)</f>
        <v>0</v>
      </c>
      <c r="EJ19" s="14">
        <f>SUM(CS$7:CS19)</f>
        <v>0</v>
      </c>
      <c r="EK19" s="14">
        <f>SUM(CT$7:CT19)</f>
        <v>0</v>
      </c>
      <c r="EL19" s="14">
        <f>SUM(CU$7:CU19)</f>
        <v>0</v>
      </c>
      <c r="EM19" s="14">
        <f>SUM(CV$7:CV19)</f>
        <v>0</v>
      </c>
      <c r="EN19" s="14">
        <f>SUM(CW$7:CW19)</f>
        <v>0</v>
      </c>
      <c r="EO19" s="14">
        <f>SUM(CX$7:CX19)</f>
        <v>0</v>
      </c>
      <c r="EP19" s="14">
        <f>SUM(CY$7:CY19)</f>
        <v>0</v>
      </c>
      <c r="EQ19" s="14">
        <f>SUM(CZ$7:CZ19)</f>
        <v>0</v>
      </c>
      <c r="ER19" s="14">
        <f>SUM(DA$7:DA19)</f>
        <v>0</v>
      </c>
      <c r="EU19" s="14">
        <f t="shared" si="14"/>
        <v>0</v>
      </c>
      <c r="EV19" s="14">
        <f t="shared" si="15"/>
        <v>0</v>
      </c>
      <c r="EW19" s="14">
        <f t="shared" si="16"/>
        <v>0</v>
      </c>
      <c r="EX19" s="14">
        <f t="shared" si="17"/>
        <v>0</v>
      </c>
      <c r="EY19" s="14">
        <f t="shared" si="18"/>
        <v>0</v>
      </c>
      <c r="EZ19" s="14">
        <f t="shared" si="19"/>
        <v>0</v>
      </c>
      <c r="FA19" s="14">
        <f t="shared" si="20"/>
        <v>0</v>
      </c>
      <c r="FB19" s="14">
        <f t="shared" si="21"/>
        <v>0</v>
      </c>
      <c r="FC19" s="14">
        <f t="shared" si="22"/>
        <v>0</v>
      </c>
      <c r="FD19" s="14">
        <f t="shared" si="23"/>
        <v>0</v>
      </c>
      <c r="FE19" s="14">
        <f t="shared" si="24"/>
        <v>0</v>
      </c>
      <c r="FF19" s="14">
        <f t="shared" si="25"/>
        <v>0</v>
      </c>
      <c r="FG19" s="14">
        <f t="shared" si="26"/>
        <v>0</v>
      </c>
      <c r="FH19" s="14">
        <f t="shared" si="27"/>
        <v>0</v>
      </c>
      <c r="FI19" s="14">
        <f t="shared" si="28"/>
        <v>0</v>
      </c>
      <c r="FJ19" s="14">
        <f t="shared" si="29"/>
        <v>0</v>
      </c>
      <c r="FK19" s="14">
        <f t="shared" si="30"/>
        <v>0</v>
      </c>
      <c r="FL19" s="14">
        <f t="shared" si="31"/>
        <v>0</v>
      </c>
      <c r="FM19" s="14">
        <f t="shared" si="32"/>
        <v>0</v>
      </c>
      <c r="FN19" s="14">
        <f t="shared" si="33"/>
        <v>0</v>
      </c>
      <c r="FO19" s="14">
        <f t="shared" si="34"/>
        <v>0</v>
      </c>
      <c r="FP19" s="14">
        <f t="shared" si="35"/>
        <v>0</v>
      </c>
      <c r="FQ19" s="14">
        <f t="shared" si="36"/>
        <v>0</v>
      </c>
      <c r="FR19" s="14">
        <f t="shared" si="37"/>
        <v>0</v>
      </c>
      <c r="FS19" s="14">
        <f t="shared" si="38"/>
        <v>0</v>
      </c>
      <c r="FT19" s="14">
        <f t="shared" si="39"/>
        <v>0</v>
      </c>
      <c r="FU19" s="14">
        <f t="shared" si="40"/>
        <v>0</v>
      </c>
      <c r="FV19" s="14">
        <f t="shared" si="41"/>
        <v>0</v>
      </c>
      <c r="FW19" s="14">
        <f t="shared" si="42"/>
        <v>0</v>
      </c>
      <c r="FX19" s="14">
        <f t="shared" si="43"/>
        <v>0</v>
      </c>
      <c r="FY19" s="14">
        <f t="shared" si="44"/>
        <v>0</v>
      </c>
      <c r="FZ19" s="14">
        <f t="shared" si="45"/>
        <v>0</v>
      </c>
      <c r="GA19" s="14">
        <f t="shared" si="46"/>
        <v>0</v>
      </c>
      <c r="GB19" s="14">
        <f t="shared" si="47"/>
        <v>0</v>
      </c>
      <c r="GC19" s="14">
        <f t="shared" si="48"/>
        <v>0</v>
      </c>
      <c r="GD19" s="14">
        <f t="shared" si="49"/>
        <v>0</v>
      </c>
      <c r="GE19" s="14">
        <f t="shared" si="50"/>
        <v>0</v>
      </c>
      <c r="GF19" s="14">
        <f t="shared" si="51"/>
        <v>0</v>
      </c>
      <c r="GG19" s="14">
        <f t="shared" si="52"/>
        <v>0</v>
      </c>
      <c r="GH19" s="14">
        <f t="shared" si="53"/>
        <v>0</v>
      </c>
      <c r="GI19" s="14">
        <f t="shared" si="54"/>
        <v>0</v>
      </c>
      <c r="GJ19" s="14">
        <f t="shared" si="55"/>
        <v>0</v>
      </c>
      <c r="GM19" s="91">
        <v>13</v>
      </c>
      <c r="GN19" s="14">
        <f t="shared" si="56"/>
        <v>1</v>
      </c>
      <c r="GO19" s="14">
        <f t="shared" si="57"/>
        <v>1606003</v>
      </c>
      <c r="GP19" s="14" t="str">
        <f t="shared" si="58"/>
        <v>神器1-1 : 3级</v>
      </c>
      <c r="GQ19" s="14" t="s">
        <v>816</v>
      </c>
      <c r="GR19" s="14">
        <f t="shared" si="59"/>
        <v>13</v>
      </c>
      <c r="GS19" s="14" t="str">
        <f t="shared" si="60"/>
        <v>神器1-1</v>
      </c>
      <c r="GT19" s="14">
        <f t="shared" si="61"/>
        <v>7</v>
      </c>
    </row>
    <row r="20" spans="10:202" ht="16.5" x14ac:dyDescent="0.2">
      <c r="J20" s="87">
        <v>13</v>
      </c>
      <c r="K20" s="87">
        <v>7</v>
      </c>
      <c r="L20" s="87">
        <f>SUM(K$8:K20)</f>
        <v>41</v>
      </c>
      <c r="N20" s="90">
        <v>3</v>
      </c>
      <c r="O20" s="90">
        <v>5</v>
      </c>
      <c r="P20" s="90">
        <v>3</v>
      </c>
      <c r="Q20" s="90">
        <v>18</v>
      </c>
      <c r="R20" s="14">
        <f>SUM(Q$7:Q20)</f>
        <v>210</v>
      </c>
      <c r="S20" s="91">
        <v>1606015</v>
      </c>
      <c r="T20" s="14" t="str">
        <f t="shared" si="62"/>
        <v>神器3-5</v>
      </c>
      <c r="AD20" s="87">
        <v>14</v>
      </c>
      <c r="AE20" s="87">
        <v>3</v>
      </c>
      <c r="AF20" s="87">
        <v>6</v>
      </c>
      <c r="AG20" s="87" t="str">
        <f t="shared" si="6"/>
        <v>神器3-6</v>
      </c>
      <c r="AH20" s="87">
        <v>4</v>
      </c>
      <c r="AI20" s="87">
        <f t="shared" si="7"/>
        <v>300</v>
      </c>
      <c r="AL20" s="87">
        <v>2</v>
      </c>
      <c r="AM20" s="87">
        <v>2</v>
      </c>
      <c r="AN20" s="87">
        <v>7</v>
      </c>
      <c r="AO20" s="144">
        <f t="shared" si="8"/>
        <v>4407</v>
      </c>
      <c r="AP20" s="144" t="s">
        <v>1242</v>
      </c>
      <c r="AQ20" s="144" t="str">
        <f t="shared" si="9"/>
        <v>神器本-2-困难-2  神器2-1</v>
      </c>
      <c r="AR20" s="87">
        <v>4</v>
      </c>
      <c r="AS20" s="87" t="s">
        <v>762</v>
      </c>
      <c r="AT20" s="32">
        <v>5000</v>
      </c>
      <c r="AU20" s="87">
        <v>1</v>
      </c>
      <c r="AV20" s="87">
        <v>3</v>
      </c>
      <c r="AW20" s="87">
        <f t="shared" si="10"/>
        <v>1</v>
      </c>
      <c r="AX20" s="14">
        <f t="shared" si="11"/>
        <v>1</v>
      </c>
      <c r="AY20" s="14">
        <f t="shared" si="12"/>
        <v>15</v>
      </c>
      <c r="BB20" s="87">
        <v>6</v>
      </c>
      <c r="BC20" s="87">
        <v>2</v>
      </c>
      <c r="BD20" s="87">
        <f t="shared" si="0"/>
        <v>272.04000000000002</v>
      </c>
      <c r="BG20" s="87">
        <v>14</v>
      </c>
      <c r="BH20" s="14" t="e">
        <f>INDEX(节奏总表!#REF!,新神器!BG20)</f>
        <v>#REF!</v>
      </c>
      <c r="BI20" s="14" t="e">
        <f t="shared" si="13"/>
        <v>#REF!</v>
      </c>
      <c r="BJ20" s="87">
        <v>3</v>
      </c>
      <c r="BK20" s="87">
        <v>5</v>
      </c>
      <c r="BL20" s="14">
        <f t="shared" si="63"/>
        <v>0</v>
      </c>
      <c r="BM20" s="14">
        <f t="shared" si="63"/>
        <v>0</v>
      </c>
      <c r="BN20" s="14">
        <f t="shared" si="63"/>
        <v>0</v>
      </c>
      <c r="BO20" s="14">
        <f t="shared" si="63"/>
        <v>0</v>
      </c>
      <c r="BP20" s="14">
        <f t="shared" si="63"/>
        <v>0</v>
      </c>
      <c r="BQ20" s="14">
        <f t="shared" si="63"/>
        <v>0</v>
      </c>
      <c r="BR20" s="14">
        <f t="shared" si="63"/>
        <v>0</v>
      </c>
      <c r="BS20" s="14">
        <f t="shared" si="63"/>
        <v>0</v>
      </c>
      <c r="BT20" s="14">
        <f t="shared" si="63"/>
        <v>0</v>
      </c>
      <c r="BU20" s="14">
        <f t="shared" si="63"/>
        <v>0</v>
      </c>
      <c r="BV20" s="14">
        <f t="shared" si="64"/>
        <v>0</v>
      </c>
      <c r="BW20" s="14">
        <f t="shared" si="64"/>
        <v>0</v>
      </c>
      <c r="BX20" s="14">
        <f t="shared" si="64"/>
        <v>0</v>
      </c>
      <c r="BY20" s="14">
        <f t="shared" si="64"/>
        <v>0</v>
      </c>
      <c r="BZ20" s="14">
        <f t="shared" si="64"/>
        <v>0</v>
      </c>
      <c r="CA20" s="14">
        <f t="shared" si="64"/>
        <v>0</v>
      </c>
      <c r="CB20" s="14">
        <f t="shared" si="64"/>
        <v>0</v>
      </c>
      <c r="CC20" s="14">
        <f t="shared" si="64"/>
        <v>0</v>
      </c>
      <c r="CD20" s="14">
        <f t="shared" si="64"/>
        <v>0</v>
      </c>
      <c r="CE20" s="14">
        <f t="shared" si="64"/>
        <v>0</v>
      </c>
      <c r="CF20" s="14">
        <f t="shared" si="65"/>
        <v>0</v>
      </c>
      <c r="CG20" s="14">
        <f t="shared" si="65"/>
        <v>0</v>
      </c>
      <c r="CH20" s="14">
        <f t="shared" si="65"/>
        <v>0</v>
      </c>
      <c r="CI20" s="14">
        <f t="shared" si="65"/>
        <v>0</v>
      </c>
      <c r="CJ20" s="14">
        <f t="shared" si="65"/>
        <v>0</v>
      </c>
      <c r="CK20" s="14">
        <f t="shared" si="65"/>
        <v>0</v>
      </c>
      <c r="CL20" s="14">
        <f t="shared" si="65"/>
        <v>0</v>
      </c>
      <c r="CM20" s="14">
        <f t="shared" si="65"/>
        <v>0</v>
      </c>
      <c r="CN20" s="14">
        <f t="shared" si="65"/>
        <v>0</v>
      </c>
      <c r="CO20" s="14">
        <f t="shared" si="65"/>
        <v>0</v>
      </c>
      <c r="CP20" s="14">
        <f t="shared" si="66"/>
        <v>0</v>
      </c>
      <c r="CQ20" s="14">
        <f t="shared" si="66"/>
        <v>0</v>
      </c>
      <c r="CR20" s="14">
        <f t="shared" si="66"/>
        <v>0</v>
      </c>
      <c r="CS20" s="14">
        <f t="shared" si="66"/>
        <v>0</v>
      </c>
      <c r="CT20" s="14">
        <f t="shared" si="66"/>
        <v>0</v>
      </c>
      <c r="CU20" s="14">
        <f t="shared" si="66"/>
        <v>0</v>
      </c>
      <c r="CV20" s="14">
        <f t="shared" si="66"/>
        <v>0</v>
      </c>
      <c r="CW20" s="14">
        <f t="shared" si="66"/>
        <v>0</v>
      </c>
      <c r="CX20" s="14">
        <f t="shared" si="66"/>
        <v>0</v>
      </c>
      <c r="CY20" s="14">
        <f t="shared" si="66"/>
        <v>0</v>
      </c>
      <c r="CZ20" s="14">
        <f t="shared" si="66"/>
        <v>0</v>
      </c>
      <c r="DA20" s="14">
        <f t="shared" si="66"/>
        <v>0</v>
      </c>
      <c r="DC20" s="14">
        <f>SUM(BL$7:BL20)</f>
        <v>0</v>
      </c>
      <c r="DD20" s="14">
        <f>SUM(BM$7:BM20)</f>
        <v>0</v>
      </c>
      <c r="DE20" s="14">
        <f>SUM(BN$7:BN20)</f>
        <v>0</v>
      </c>
      <c r="DF20" s="14">
        <f>SUM(BO$7:BO20)</f>
        <v>0</v>
      </c>
      <c r="DG20" s="14">
        <f>SUM(BP$7:BP20)</f>
        <v>0</v>
      </c>
      <c r="DH20" s="14">
        <f>SUM(BQ$7:BQ20)</f>
        <v>0</v>
      </c>
      <c r="DI20" s="14">
        <f>SUM(BR$7:BR20)</f>
        <v>0</v>
      </c>
      <c r="DJ20" s="14">
        <f>SUM(BS$7:BS20)</f>
        <v>0</v>
      </c>
      <c r="DK20" s="14">
        <f>SUM(BT$7:BT20)</f>
        <v>0</v>
      </c>
      <c r="DL20" s="14">
        <f>SUM(BU$7:BU20)</f>
        <v>0</v>
      </c>
      <c r="DM20" s="14">
        <f>SUM(BV$7:BV20)</f>
        <v>0</v>
      </c>
      <c r="DN20" s="14">
        <f>SUM(BW$7:BW20)</f>
        <v>0</v>
      </c>
      <c r="DO20" s="14">
        <f>SUM(BX$7:BX20)</f>
        <v>0</v>
      </c>
      <c r="DP20" s="14">
        <f>SUM(BY$7:BY20)</f>
        <v>0</v>
      </c>
      <c r="DQ20" s="14">
        <f>SUM(BZ$7:BZ20)</f>
        <v>0</v>
      </c>
      <c r="DR20" s="14">
        <f>SUM(CA$7:CA20)</f>
        <v>0</v>
      </c>
      <c r="DS20" s="14">
        <f>SUM(CB$7:CB20)</f>
        <v>0</v>
      </c>
      <c r="DT20" s="14">
        <f>SUM(CC$7:CC20)</f>
        <v>0</v>
      </c>
      <c r="DU20" s="14">
        <f>SUM(CD$7:CD20)</f>
        <v>0</v>
      </c>
      <c r="DV20" s="14">
        <f>SUM(CE$7:CE20)</f>
        <v>0</v>
      </c>
      <c r="DW20" s="14">
        <f>SUM(CF$7:CF20)</f>
        <v>0</v>
      </c>
      <c r="DX20" s="14">
        <f>SUM(CG$7:CG20)</f>
        <v>0</v>
      </c>
      <c r="DY20" s="14">
        <f>SUM(CH$7:CH20)</f>
        <v>0</v>
      </c>
      <c r="DZ20" s="14">
        <f>SUM(CI$7:CI20)</f>
        <v>0</v>
      </c>
      <c r="EA20" s="14">
        <f>SUM(CJ$7:CJ20)</f>
        <v>0</v>
      </c>
      <c r="EB20" s="14">
        <f>SUM(CK$7:CK20)</f>
        <v>0</v>
      </c>
      <c r="EC20" s="14">
        <f>SUM(CL$7:CL20)</f>
        <v>0</v>
      </c>
      <c r="ED20" s="14">
        <f>SUM(CM$7:CM20)</f>
        <v>0</v>
      </c>
      <c r="EE20" s="14">
        <f>SUM(CN$7:CN20)</f>
        <v>0</v>
      </c>
      <c r="EF20" s="14">
        <f>SUM(CO$7:CO20)</f>
        <v>0</v>
      </c>
      <c r="EG20" s="14">
        <f>SUM(CP$7:CP20)</f>
        <v>0</v>
      </c>
      <c r="EH20" s="14">
        <f>SUM(CQ$7:CQ20)</f>
        <v>0</v>
      </c>
      <c r="EI20" s="14">
        <f>SUM(CR$7:CR20)</f>
        <v>0</v>
      </c>
      <c r="EJ20" s="14">
        <f>SUM(CS$7:CS20)</f>
        <v>0</v>
      </c>
      <c r="EK20" s="14">
        <f>SUM(CT$7:CT20)</f>
        <v>0</v>
      </c>
      <c r="EL20" s="14">
        <f>SUM(CU$7:CU20)</f>
        <v>0</v>
      </c>
      <c r="EM20" s="14">
        <f>SUM(CV$7:CV20)</f>
        <v>0</v>
      </c>
      <c r="EN20" s="14">
        <f>SUM(CW$7:CW20)</f>
        <v>0</v>
      </c>
      <c r="EO20" s="14">
        <f>SUM(CX$7:CX20)</f>
        <v>0</v>
      </c>
      <c r="EP20" s="14">
        <f>SUM(CY$7:CY20)</f>
        <v>0</v>
      </c>
      <c r="EQ20" s="14">
        <f>SUM(CZ$7:CZ20)</f>
        <v>0</v>
      </c>
      <c r="ER20" s="14">
        <f>SUM(DA$7:DA20)</f>
        <v>0</v>
      </c>
      <c r="EU20" s="14">
        <f t="shared" si="14"/>
        <v>0</v>
      </c>
      <c r="EV20" s="14">
        <f t="shared" si="15"/>
        <v>0</v>
      </c>
      <c r="EW20" s="14">
        <f t="shared" si="16"/>
        <v>0</v>
      </c>
      <c r="EX20" s="14">
        <f t="shared" si="17"/>
        <v>0</v>
      </c>
      <c r="EY20" s="14">
        <f t="shared" si="18"/>
        <v>0</v>
      </c>
      <c r="EZ20" s="14">
        <f t="shared" si="19"/>
        <v>0</v>
      </c>
      <c r="FA20" s="14">
        <f t="shared" si="20"/>
        <v>0</v>
      </c>
      <c r="FB20" s="14">
        <f t="shared" si="21"/>
        <v>0</v>
      </c>
      <c r="FC20" s="14">
        <f t="shared" si="22"/>
        <v>0</v>
      </c>
      <c r="FD20" s="14">
        <f t="shared" si="23"/>
        <v>0</v>
      </c>
      <c r="FE20" s="14">
        <f t="shared" si="24"/>
        <v>0</v>
      </c>
      <c r="FF20" s="14">
        <f t="shared" si="25"/>
        <v>0</v>
      </c>
      <c r="FG20" s="14">
        <f t="shared" si="26"/>
        <v>0</v>
      </c>
      <c r="FH20" s="14">
        <f t="shared" si="27"/>
        <v>0</v>
      </c>
      <c r="FI20" s="14">
        <f t="shared" si="28"/>
        <v>0</v>
      </c>
      <c r="FJ20" s="14">
        <f t="shared" si="29"/>
        <v>0</v>
      </c>
      <c r="FK20" s="14">
        <f t="shared" si="30"/>
        <v>0</v>
      </c>
      <c r="FL20" s="14">
        <f t="shared" si="31"/>
        <v>0</v>
      </c>
      <c r="FM20" s="14">
        <f t="shared" si="32"/>
        <v>0</v>
      </c>
      <c r="FN20" s="14">
        <f t="shared" si="33"/>
        <v>0</v>
      </c>
      <c r="FO20" s="14">
        <f t="shared" si="34"/>
        <v>0</v>
      </c>
      <c r="FP20" s="14">
        <f t="shared" si="35"/>
        <v>0</v>
      </c>
      <c r="FQ20" s="14">
        <f t="shared" si="36"/>
        <v>0</v>
      </c>
      <c r="FR20" s="14">
        <f t="shared" si="37"/>
        <v>0</v>
      </c>
      <c r="FS20" s="14">
        <f t="shared" si="38"/>
        <v>0</v>
      </c>
      <c r="FT20" s="14">
        <f t="shared" si="39"/>
        <v>0</v>
      </c>
      <c r="FU20" s="14">
        <f t="shared" si="40"/>
        <v>0</v>
      </c>
      <c r="FV20" s="14">
        <f t="shared" si="41"/>
        <v>0</v>
      </c>
      <c r="FW20" s="14">
        <f t="shared" si="42"/>
        <v>0</v>
      </c>
      <c r="FX20" s="14">
        <f t="shared" si="43"/>
        <v>0</v>
      </c>
      <c r="FY20" s="14">
        <f t="shared" si="44"/>
        <v>0</v>
      </c>
      <c r="FZ20" s="14">
        <f t="shared" si="45"/>
        <v>0</v>
      </c>
      <c r="GA20" s="14">
        <f t="shared" si="46"/>
        <v>0</v>
      </c>
      <c r="GB20" s="14">
        <f t="shared" si="47"/>
        <v>0</v>
      </c>
      <c r="GC20" s="14">
        <f t="shared" si="48"/>
        <v>0</v>
      </c>
      <c r="GD20" s="14">
        <f t="shared" si="49"/>
        <v>0</v>
      </c>
      <c r="GE20" s="14">
        <f t="shared" si="50"/>
        <v>0</v>
      </c>
      <c r="GF20" s="14">
        <f t="shared" si="51"/>
        <v>0</v>
      </c>
      <c r="GG20" s="14">
        <f t="shared" si="52"/>
        <v>0</v>
      </c>
      <c r="GH20" s="14">
        <f t="shared" si="53"/>
        <v>0</v>
      </c>
      <c r="GI20" s="14">
        <f t="shared" si="54"/>
        <v>0</v>
      </c>
      <c r="GJ20" s="14">
        <f t="shared" si="55"/>
        <v>0</v>
      </c>
      <c r="GM20" s="91">
        <v>14</v>
      </c>
      <c r="GN20" s="14">
        <f t="shared" si="56"/>
        <v>1</v>
      </c>
      <c r="GO20" s="14">
        <f t="shared" si="57"/>
        <v>1606003</v>
      </c>
      <c r="GP20" s="14" t="str">
        <f t="shared" si="58"/>
        <v>神器1-1 : 4级</v>
      </c>
      <c r="GQ20" s="14" t="s">
        <v>816</v>
      </c>
      <c r="GR20" s="14">
        <f t="shared" si="59"/>
        <v>14</v>
      </c>
      <c r="GS20" s="14" t="str">
        <f t="shared" si="60"/>
        <v>神器1-1</v>
      </c>
      <c r="GT20" s="14">
        <f t="shared" si="61"/>
        <v>7</v>
      </c>
    </row>
    <row r="21" spans="10:202" ht="16.5" x14ac:dyDescent="0.2">
      <c r="J21" s="87">
        <v>14</v>
      </c>
      <c r="K21" s="87">
        <v>7</v>
      </c>
      <c r="L21" s="87">
        <f>SUM(K$8:K21)</f>
        <v>48</v>
      </c>
      <c r="N21" s="90">
        <v>3</v>
      </c>
      <c r="O21" s="90">
        <v>6</v>
      </c>
      <c r="P21" s="90">
        <v>4</v>
      </c>
      <c r="Q21" s="90">
        <v>18</v>
      </c>
      <c r="R21" s="14">
        <f>SUM(Q$7:Q21)</f>
        <v>228</v>
      </c>
      <c r="S21" s="91">
        <v>1606016</v>
      </c>
      <c r="T21" s="14" t="str">
        <f t="shared" si="62"/>
        <v>神器3-6</v>
      </c>
      <c r="AD21" s="87">
        <v>15</v>
      </c>
      <c r="AE21" s="87">
        <v>4</v>
      </c>
      <c r="AF21" s="87">
        <v>1</v>
      </c>
      <c r="AG21" s="87" t="str">
        <f t="shared" si="6"/>
        <v>神器4-1</v>
      </c>
      <c r="AH21" s="87">
        <v>1</v>
      </c>
      <c r="AI21" s="87">
        <f t="shared" si="7"/>
        <v>25</v>
      </c>
      <c r="AL21" s="87">
        <v>2</v>
      </c>
      <c r="AM21" s="87">
        <v>2</v>
      </c>
      <c r="AN21" s="87">
        <v>7</v>
      </c>
      <c r="AO21" s="144">
        <f t="shared" si="8"/>
        <v>4407</v>
      </c>
      <c r="AP21" s="144" t="s">
        <v>1242</v>
      </c>
      <c r="AQ21" s="144" t="str">
        <f t="shared" si="9"/>
        <v>神器本-2-困难-2  神器2-2</v>
      </c>
      <c r="AR21" s="87">
        <v>5</v>
      </c>
      <c r="AS21" s="87" t="s">
        <v>763</v>
      </c>
      <c r="AT21" s="32">
        <v>5000</v>
      </c>
      <c r="AU21" s="87">
        <v>1</v>
      </c>
      <c r="AV21" s="87">
        <v>3</v>
      </c>
      <c r="AW21" s="87">
        <f t="shared" si="10"/>
        <v>1</v>
      </c>
      <c r="AX21" s="14">
        <f t="shared" si="11"/>
        <v>1</v>
      </c>
      <c r="AY21" s="14">
        <f t="shared" si="12"/>
        <v>15</v>
      </c>
      <c r="BB21" s="87">
        <v>6</v>
      </c>
      <c r="BC21" s="87">
        <v>3</v>
      </c>
      <c r="BD21" s="87">
        <f t="shared" si="0"/>
        <v>362.04</v>
      </c>
      <c r="BG21" s="87">
        <v>15</v>
      </c>
      <c r="BH21" s="14" t="e">
        <f>INDEX(节奏总表!#REF!,新神器!BG21)</f>
        <v>#REF!</v>
      </c>
      <c r="BI21" s="14" t="e">
        <f t="shared" si="13"/>
        <v>#REF!</v>
      </c>
      <c r="BJ21" s="87">
        <v>3</v>
      </c>
      <c r="BK21" s="87">
        <v>5</v>
      </c>
      <c r="BL21" s="14">
        <f t="shared" si="63"/>
        <v>0</v>
      </c>
      <c r="BM21" s="14">
        <f t="shared" si="63"/>
        <v>0</v>
      </c>
      <c r="BN21" s="14">
        <f t="shared" si="63"/>
        <v>0</v>
      </c>
      <c r="BO21" s="14">
        <f t="shared" si="63"/>
        <v>0</v>
      </c>
      <c r="BP21" s="14">
        <f t="shared" si="63"/>
        <v>0</v>
      </c>
      <c r="BQ21" s="14">
        <f t="shared" si="63"/>
        <v>0</v>
      </c>
      <c r="BR21" s="14">
        <f t="shared" si="63"/>
        <v>0</v>
      </c>
      <c r="BS21" s="14">
        <f t="shared" si="63"/>
        <v>0</v>
      </c>
      <c r="BT21" s="14">
        <f t="shared" si="63"/>
        <v>0</v>
      </c>
      <c r="BU21" s="14">
        <f t="shared" si="63"/>
        <v>0</v>
      </c>
      <c r="BV21" s="14">
        <f t="shared" si="64"/>
        <v>0</v>
      </c>
      <c r="BW21" s="14">
        <f t="shared" si="64"/>
        <v>0</v>
      </c>
      <c r="BX21" s="14">
        <f t="shared" si="64"/>
        <v>0</v>
      </c>
      <c r="BY21" s="14">
        <f t="shared" si="64"/>
        <v>0</v>
      </c>
      <c r="BZ21" s="14">
        <f t="shared" si="64"/>
        <v>0</v>
      </c>
      <c r="CA21" s="14">
        <f t="shared" si="64"/>
        <v>0</v>
      </c>
      <c r="CB21" s="14">
        <f t="shared" si="64"/>
        <v>0</v>
      </c>
      <c r="CC21" s="14">
        <f t="shared" si="64"/>
        <v>0</v>
      </c>
      <c r="CD21" s="14">
        <f t="shared" si="64"/>
        <v>0</v>
      </c>
      <c r="CE21" s="14">
        <f t="shared" si="64"/>
        <v>0</v>
      </c>
      <c r="CF21" s="14">
        <f t="shared" si="65"/>
        <v>0</v>
      </c>
      <c r="CG21" s="14">
        <f t="shared" si="65"/>
        <v>0</v>
      </c>
      <c r="CH21" s="14">
        <f t="shared" si="65"/>
        <v>0</v>
      </c>
      <c r="CI21" s="14">
        <f t="shared" si="65"/>
        <v>0</v>
      </c>
      <c r="CJ21" s="14">
        <f t="shared" si="65"/>
        <v>0</v>
      </c>
      <c r="CK21" s="14">
        <f t="shared" si="65"/>
        <v>0</v>
      </c>
      <c r="CL21" s="14">
        <f t="shared" si="65"/>
        <v>0</v>
      </c>
      <c r="CM21" s="14">
        <f t="shared" si="65"/>
        <v>0</v>
      </c>
      <c r="CN21" s="14">
        <f t="shared" si="65"/>
        <v>0</v>
      </c>
      <c r="CO21" s="14">
        <f t="shared" si="65"/>
        <v>0</v>
      </c>
      <c r="CP21" s="14">
        <f t="shared" si="66"/>
        <v>0</v>
      </c>
      <c r="CQ21" s="14">
        <f t="shared" si="66"/>
        <v>0</v>
      </c>
      <c r="CR21" s="14">
        <f t="shared" si="66"/>
        <v>0</v>
      </c>
      <c r="CS21" s="14">
        <f t="shared" si="66"/>
        <v>0</v>
      </c>
      <c r="CT21" s="14">
        <f t="shared" si="66"/>
        <v>0</v>
      </c>
      <c r="CU21" s="14">
        <f t="shared" si="66"/>
        <v>0</v>
      </c>
      <c r="CV21" s="14">
        <f t="shared" si="66"/>
        <v>0</v>
      </c>
      <c r="CW21" s="14">
        <f t="shared" si="66"/>
        <v>0</v>
      </c>
      <c r="CX21" s="14">
        <f t="shared" si="66"/>
        <v>0</v>
      </c>
      <c r="CY21" s="14">
        <f t="shared" si="66"/>
        <v>0</v>
      </c>
      <c r="CZ21" s="14">
        <f t="shared" si="66"/>
        <v>0</v>
      </c>
      <c r="DA21" s="14">
        <f t="shared" si="66"/>
        <v>0</v>
      </c>
      <c r="DC21" s="14">
        <f>SUM(BL$7:BL21)</f>
        <v>0</v>
      </c>
      <c r="DD21" s="14">
        <f>SUM(BM$7:BM21)</f>
        <v>0</v>
      </c>
      <c r="DE21" s="14">
        <f>SUM(BN$7:BN21)</f>
        <v>0</v>
      </c>
      <c r="DF21" s="14">
        <f>SUM(BO$7:BO21)</f>
        <v>0</v>
      </c>
      <c r="DG21" s="14">
        <f>SUM(BP$7:BP21)</f>
        <v>0</v>
      </c>
      <c r="DH21" s="14">
        <f>SUM(BQ$7:BQ21)</f>
        <v>0</v>
      </c>
      <c r="DI21" s="14">
        <f>SUM(BR$7:BR21)</f>
        <v>0</v>
      </c>
      <c r="DJ21" s="14">
        <f>SUM(BS$7:BS21)</f>
        <v>0</v>
      </c>
      <c r="DK21" s="14">
        <f>SUM(BT$7:BT21)</f>
        <v>0</v>
      </c>
      <c r="DL21" s="14">
        <f>SUM(BU$7:BU21)</f>
        <v>0</v>
      </c>
      <c r="DM21" s="14">
        <f>SUM(BV$7:BV21)</f>
        <v>0</v>
      </c>
      <c r="DN21" s="14">
        <f>SUM(BW$7:BW21)</f>
        <v>0</v>
      </c>
      <c r="DO21" s="14">
        <f>SUM(BX$7:BX21)</f>
        <v>0</v>
      </c>
      <c r="DP21" s="14">
        <f>SUM(BY$7:BY21)</f>
        <v>0</v>
      </c>
      <c r="DQ21" s="14">
        <f>SUM(BZ$7:BZ21)</f>
        <v>0</v>
      </c>
      <c r="DR21" s="14">
        <f>SUM(CA$7:CA21)</f>
        <v>0</v>
      </c>
      <c r="DS21" s="14">
        <f>SUM(CB$7:CB21)</f>
        <v>0</v>
      </c>
      <c r="DT21" s="14">
        <f>SUM(CC$7:CC21)</f>
        <v>0</v>
      </c>
      <c r="DU21" s="14">
        <f>SUM(CD$7:CD21)</f>
        <v>0</v>
      </c>
      <c r="DV21" s="14">
        <f>SUM(CE$7:CE21)</f>
        <v>0</v>
      </c>
      <c r="DW21" s="14">
        <f>SUM(CF$7:CF21)</f>
        <v>0</v>
      </c>
      <c r="DX21" s="14">
        <f>SUM(CG$7:CG21)</f>
        <v>0</v>
      </c>
      <c r="DY21" s="14">
        <f>SUM(CH$7:CH21)</f>
        <v>0</v>
      </c>
      <c r="DZ21" s="14">
        <f>SUM(CI$7:CI21)</f>
        <v>0</v>
      </c>
      <c r="EA21" s="14">
        <f>SUM(CJ$7:CJ21)</f>
        <v>0</v>
      </c>
      <c r="EB21" s="14">
        <f>SUM(CK$7:CK21)</f>
        <v>0</v>
      </c>
      <c r="EC21" s="14">
        <f>SUM(CL$7:CL21)</f>
        <v>0</v>
      </c>
      <c r="ED21" s="14">
        <f>SUM(CM$7:CM21)</f>
        <v>0</v>
      </c>
      <c r="EE21" s="14">
        <f>SUM(CN$7:CN21)</f>
        <v>0</v>
      </c>
      <c r="EF21" s="14">
        <f>SUM(CO$7:CO21)</f>
        <v>0</v>
      </c>
      <c r="EG21" s="14">
        <f>SUM(CP$7:CP21)</f>
        <v>0</v>
      </c>
      <c r="EH21" s="14">
        <f>SUM(CQ$7:CQ21)</f>
        <v>0</v>
      </c>
      <c r="EI21" s="14">
        <f>SUM(CR$7:CR21)</f>
        <v>0</v>
      </c>
      <c r="EJ21" s="14">
        <f>SUM(CS$7:CS21)</f>
        <v>0</v>
      </c>
      <c r="EK21" s="14">
        <f>SUM(CT$7:CT21)</f>
        <v>0</v>
      </c>
      <c r="EL21" s="14">
        <f>SUM(CU$7:CU21)</f>
        <v>0</v>
      </c>
      <c r="EM21" s="14">
        <f>SUM(CV$7:CV21)</f>
        <v>0</v>
      </c>
      <c r="EN21" s="14">
        <f>SUM(CW$7:CW21)</f>
        <v>0</v>
      </c>
      <c r="EO21" s="14">
        <f>SUM(CX$7:CX21)</f>
        <v>0</v>
      </c>
      <c r="EP21" s="14">
        <f>SUM(CY$7:CY21)</f>
        <v>0</v>
      </c>
      <c r="EQ21" s="14">
        <f>SUM(CZ$7:CZ21)</f>
        <v>0</v>
      </c>
      <c r="ER21" s="14">
        <f>SUM(DA$7:DA21)</f>
        <v>0</v>
      </c>
      <c r="EU21" s="14">
        <f t="shared" si="14"/>
        <v>0</v>
      </c>
      <c r="EV21" s="14">
        <f t="shared" si="15"/>
        <v>0</v>
      </c>
      <c r="EW21" s="14">
        <f t="shared" si="16"/>
        <v>0</v>
      </c>
      <c r="EX21" s="14">
        <f t="shared" si="17"/>
        <v>0</v>
      </c>
      <c r="EY21" s="14">
        <f t="shared" si="18"/>
        <v>0</v>
      </c>
      <c r="EZ21" s="14">
        <f t="shared" si="19"/>
        <v>0</v>
      </c>
      <c r="FA21" s="14">
        <f t="shared" si="20"/>
        <v>0</v>
      </c>
      <c r="FB21" s="14">
        <f t="shared" si="21"/>
        <v>0</v>
      </c>
      <c r="FC21" s="14">
        <f t="shared" si="22"/>
        <v>0</v>
      </c>
      <c r="FD21" s="14">
        <f t="shared" si="23"/>
        <v>0</v>
      </c>
      <c r="FE21" s="14">
        <f t="shared" si="24"/>
        <v>0</v>
      </c>
      <c r="FF21" s="14">
        <f t="shared" si="25"/>
        <v>0</v>
      </c>
      <c r="FG21" s="14">
        <f t="shared" si="26"/>
        <v>0</v>
      </c>
      <c r="FH21" s="14">
        <f t="shared" si="27"/>
        <v>0</v>
      </c>
      <c r="FI21" s="14">
        <f t="shared" si="28"/>
        <v>0</v>
      </c>
      <c r="FJ21" s="14">
        <f t="shared" si="29"/>
        <v>0</v>
      </c>
      <c r="FK21" s="14">
        <f t="shared" si="30"/>
        <v>0</v>
      </c>
      <c r="FL21" s="14">
        <f t="shared" si="31"/>
        <v>0</v>
      </c>
      <c r="FM21" s="14">
        <f t="shared" si="32"/>
        <v>0</v>
      </c>
      <c r="FN21" s="14">
        <f t="shared" si="33"/>
        <v>0</v>
      </c>
      <c r="FO21" s="14">
        <f t="shared" si="34"/>
        <v>0</v>
      </c>
      <c r="FP21" s="14">
        <f t="shared" si="35"/>
        <v>0</v>
      </c>
      <c r="FQ21" s="14">
        <f t="shared" si="36"/>
        <v>0</v>
      </c>
      <c r="FR21" s="14">
        <f t="shared" si="37"/>
        <v>0</v>
      </c>
      <c r="FS21" s="14">
        <f t="shared" si="38"/>
        <v>0</v>
      </c>
      <c r="FT21" s="14">
        <f t="shared" si="39"/>
        <v>0</v>
      </c>
      <c r="FU21" s="14">
        <f t="shared" si="40"/>
        <v>0</v>
      </c>
      <c r="FV21" s="14">
        <f t="shared" si="41"/>
        <v>0</v>
      </c>
      <c r="FW21" s="14">
        <f t="shared" si="42"/>
        <v>0</v>
      </c>
      <c r="FX21" s="14">
        <f t="shared" si="43"/>
        <v>0</v>
      </c>
      <c r="FY21" s="14">
        <f t="shared" si="44"/>
        <v>0</v>
      </c>
      <c r="FZ21" s="14">
        <f t="shared" si="45"/>
        <v>0</v>
      </c>
      <c r="GA21" s="14">
        <f t="shared" si="46"/>
        <v>0</v>
      </c>
      <c r="GB21" s="14">
        <f t="shared" si="47"/>
        <v>0</v>
      </c>
      <c r="GC21" s="14">
        <f t="shared" si="48"/>
        <v>0</v>
      </c>
      <c r="GD21" s="14">
        <f t="shared" si="49"/>
        <v>0</v>
      </c>
      <c r="GE21" s="14">
        <f t="shared" si="50"/>
        <v>0</v>
      </c>
      <c r="GF21" s="14">
        <f t="shared" si="51"/>
        <v>0</v>
      </c>
      <c r="GG21" s="14">
        <f t="shared" si="52"/>
        <v>0</v>
      </c>
      <c r="GH21" s="14">
        <f t="shared" si="53"/>
        <v>0</v>
      </c>
      <c r="GI21" s="14">
        <f t="shared" si="54"/>
        <v>0</v>
      </c>
      <c r="GJ21" s="14">
        <f t="shared" si="55"/>
        <v>0</v>
      </c>
      <c r="GM21" s="91">
        <v>15</v>
      </c>
      <c r="GN21" s="14">
        <f t="shared" si="56"/>
        <v>1</v>
      </c>
      <c r="GO21" s="14">
        <f t="shared" si="57"/>
        <v>1606003</v>
      </c>
      <c r="GP21" s="14" t="str">
        <f t="shared" si="58"/>
        <v>神器1-1 : 5级</v>
      </c>
      <c r="GQ21" s="14" t="s">
        <v>816</v>
      </c>
      <c r="GR21" s="14">
        <f t="shared" si="59"/>
        <v>15</v>
      </c>
      <c r="GS21" s="14" t="str">
        <f t="shared" si="60"/>
        <v>神器1-1</v>
      </c>
      <c r="GT21" s="14">
        <f t="shared" si="61"/>
        <v>7</v>
      </c>
    </row>
    <row r="22" spans="10:202" ht="16.5" x14ac:dyDescent="0.2">
      <c r="J22" s="87">
        <v>15</v>
      </c>
      <c r="K22" s="87">
        <v>7</v>
      </c>
      <c r="L22" s="87">
        <f>SUM(K$8:K22)</f>
        <v>55</v>
      </c>
      <c r="N22" s="90">
        <v>4</v>
      </c>
      <c r="O22" s="90">
        <v>1</v>
      </c>
      <c r="P22" s="90">
        <v>1</v>
      </c>
      <c r="Q22" s="90">
        <v>18</v>
      </c>
      <c r="R22" s="14">
        <f>SUM(Q$7:Q22)</f>
        <v>246</v>
      </c>
      <c r="S22" s="91">
        <v>1606019</v>
      </c>
      <c r="T22" s="14" t="str">
        <f t="shared" si="62"/>
        <v>神器4-1</v>
      </c>
      <c r="AD22" s="87">
        <v>16</v>
      </c>
      <c r="AE22" s="87">
        <v>4</v>
      </c>
      <c r="AF22" s="87">
        <v>2</v>
      </c>
      <c r="AG22" s="87" t="str">
        <f t="shared" si="6"/>
        <v>神器4-2</v>
      </c>
      <c r="AH22" s="87">
        <v>1</v>
      </c>
      <c r="AI22" s="87">
        <f t="shared" si="7"/>
        <v>25</v>
      </c>
      <c r="AL22" s="87">
        <v>2</v>
      </c>
      <c r="AM22" s="87">
        <v>2</v>
      </c>
      <c r="AN22" s="87">
        <v>8</v>
      </c>
      <c r="AO22" s="144">
        <f t="shared" si="8"/>
        <v>4408</v>
      </c>
      <c r="AP22" s="144" t="s">
        <v>1243</v>
      </c>
      <c r="AQ22" s="144" t="str">
        <f t="shared" si="9"/>
        <v>神器本-2-困难-3  神器2-3</v>
      </c>
      <c r="AR22" s="87">
        <v>6</v>
      </c>
      <c r="AS22" s="87" t="s">
        <v>326</v>
      </c>
      <c r="AT22" s="32">
        <v>3500</v>
      </c>
      <c r="AU22" s="87">
        <v>1</v>
      </c>
      <c r="AV22" s="87">
        <v>2</v>
      </c>
      <c r="AW22" s="87">
        <f t="shared" si="10"/>
        <v>2</v>
      </c>
      <c r="AX22" s="14">
        <f t="shared" si="11"/>
        <v>0.52500000000000002</v>
      </c>
      <c r="AY22" s="14">
        <f t="shared" si="12"/>
        <v>23.625</v>
      </c>
      <c r="BB22" s="87">
        <v>7</v>
      </c>
      <c r="BC22" s="87">
        <v>1</v>
      </c>
      <c r="BD22" s="87">
        <f t="shared" si="0"/>
        <v>232.29750000000001</v>
      </c>
      <c r="BG22" s="87">
        <v>16</v>
      </c>
      <c r="BH22" s="14" t="e">
        <f>INDEX(节奏总表!#REF!,新神器!BG22)</f>
        <v>#REF!</v>
      </c>
      <c r="BI22" s="14" t="e">
        <f t="shared" si="13"/>
        <v>#REF!</v>
      </c>
      <c r="BJ22" s="87">
        <v>3</v>
      </c>
      <c r="BK22" s="87">
        <v>5</v>
      </c>
      <c r="BL22" s="14">
        <f t="shared" si="63"/>
        <v>0</v>
      </c>
      <c r="BM22" s="14">
        <f t="shared" si="63"/>
        <v>0</v>
      </c>
      <c r="BN22" s="14">
        <f t="shared" si="63"/>
        <v>0</v>
      </c>
      <c r="BO22" s="14">
        <f t="shared" si="63"/>
        <v>0</v>
      </c>
      <c r="BP22" s="14">
        <f t="shared" si="63"/>
        <v>0</v>
      </c>
      <c r="BQ22" s="14">
        <f t="shared" si="63"/>
        <v>0</v>
      </c>
      <c r="BR22" s="14">
        <f t="shared" si="63"/>
        <v>0</v>
      </c>
      <c r="BS22" s="14">
        <f t="shared" si="63"/>
        <v>0</v>
      </c>
      <c r="BT22" s="14">
        <f t="shared" si="63"/>
        <v>0</v>
      </c>
      <c r="BU22" s="14">
        <f t="shared" si="63"/>
        <v>0</v>
      </c>
      <c r="BV22" s="14">
        <f t="shared" si="64"/>
        <v>0</v>
      </c>
      <c r="BW22" s="14">
        <f t="shared" si="64"/>
        <v>0</v>
      </c>
      <c r="BX22" s="14">
        <f t="shared" si="64"/>
        <v>0</v>
      </c>
      <c r="BY22" s="14">
        <f t="shared" si="64"/>
        <v>0</v>
      </c>
      <c r="BZ22" s="14">
        <f t="shared" si="64"/>
        <v>0</v>
      </c>
      <c r="CA22" s="14">
        <f t="shared" si="64"/>
        <v>0</v>
      </c>
      <c r="CB22" s="14">
        <f t="shared" si="64"/>
        <v>0</v>
      </c>
      <c r="CC22" s="14">
        <f t="shared" si="64"/>
        <v>0</v>
      </c>
      <c r="CD22" s="14">
        <f t="shared" si="64"/>
        <v>0</v>
      </c>
      <c r="CE22" s="14">
        <f t="shared" si="64"/>
        <v>0</v>
      </c>
      <c r="CF22" s="14">
        <f t="shared" si="65"/>
        <v>0</v>
      </c>
      <c r="CG22" s="14">
        <f t="shared" si="65"/>
        <v>0</v>
      </c>
      <c r="CH22" s="14">
        <f t="shared" si="65"/>
        <v>0</v>
      </c>
      <c r="CI22" s="14">
        <f t="shared" si="65"/>
        <v>0</v>
      </c>
      <c r="CJ22" s="14">
        <f t="shared" si="65"/>
        <v>0</v>
      </c>
      <c r="CK22" s="14">
        <f t="shared" si="65"/>
        <v>0</v>
      </c>
      <c r="CL22" s="14">
        <f t="shared" si="65"/>
        <v>0</v>
      </c>
      <c r="CM22" s="14">
        <f t="shared" si="65"/>
        <v>0</v>
      </c>
      <c r="CN22" s="14">
        <f t="shared" si="65"/>
        <v>0</v>
      </c>
      <c r="CO22" s="14">
        <f t="shared" si="65"/>
        <v>0</v>
      </c>
      <c r="CP22" s="14">
        <f t="shared" si="66"/>
        <v>0</v>
      </c>
      <c r="CQ22" s="14">
        <f t="shared" si="66"/>
        <v>0</v>
      </c>
      <c r="CR22" s="14">
        <f t="shared" si="66"/>
        <v>0</v>
      </c>
      <c r="CS22" s="14">
        <f t="shared" si="66"/>
        <v>0</v>
      </c>
      <c r="CT22" s="14">
        <f t="shared" si="66"/>
        <v>0</v>
      </c>
      <c r="CU22" s="14">
        <f t="shared" si="66"/>
        <v>0</v>
      </c>
      <c r="CV22" s="14">
        <f t="shared" si="66"/>
        <v>0</v>
      </c>
      <c r="CW22" s="14">
        <f t="shared" si="66"/>
        <v>0</v>
      </c>
      <c r="CX22" s="14">
        <f t="shared" si="66"/>
        <v>0</v>
      </c>
      <c r="CY22" s="14">
        <f t="shared" si="66"/>
        <v>0</v>
      </c>
      <c r="CZ22" s="14">
        <f t="shared" si="66"/>
        <v>0</v>
      </c>
      <c r="DA22" s="14">
        <f t="shared" si="66"/>
        <v>0</v>
      </c>
      <c r="DC22" s="14">
        <f>SUM(BL$7:BL22)</f>
        <v>0</v>
      </c>
      <c r="DD22" s="14">
        <f>SUM(BM$7:BM22)</f>
        <v>0</v>
      </c>
      <c r="DE22" s="14">
        <f>SUM(BN$7:BN22)</f>
        <v>0</v>
      </c>
      <c r="DF22" s="14">
        <f>SUM(BO$7:BO22)</f>
        <v>0</v>
      </c>
      <c r="DG22" s="14">
        <f>SUM(BP$7:BP22)</f>
        <v>0</v>
      </c>
      <c r="DH22" s="14">
        <f>SUM(BQ$7:BQ22)</f>
        <v>0</v>
      </c>
      <c r="DI22" s="14">
        <f>SUM(BR$7:BR22)</f>
        <v>0</v>
      </c>
      <c r="DJ22" s="14">
        <f>SUM(BS$7:BS22)</f>
        <v>0</v>
      </c>
      <c r="DK22" s="14">
        <f>SUM(BT$7:BT22)</f>
        <v>0</v>
      </c>
      <c r="DL22" s="14">
        <f>SUM(BU$7:BU22)</f>
        <v>0</v>
      </c>
      <c r="DM22" s="14">
        <f>SUM(BV$7:BV22)</f>
        <v>0</v>
      </c>
      <c r="DN22" s="14">
        <f>SUM(BW$7:BW22)</f>
        <v>0</v>
      </c>
      <c r="DO22" s="14">
        <f>SUM(BX$7:BX22)</f>
        <v>0</v>
      </c>
      <c r="DP22" s="14">
        <f>SUM(BY$7:BY22)</f>
        <v>0</v>
      </c>
      <c r="DQ22" s="14">
        <f>SUM(BZ$7:BZ22)</f>
        <v>0</v>
      </c>
      <c r="DR22" s="14">
        <f>SUM(CA$7:CA22)</f>
        <v>0</v>
      </c>
      <c r="DS22" s="14">
        <f>SUM(CB$7:CB22)</f>
        <v>0</v>
      </c>
      <c r="DT22" s="14">
        <f>SUM(CC$7:CC22)</f>
        <v>0</v>
      </c>
      <c r="DU22" s="14">
        <f>SUM(CD$7:CD22)</f>
        <v>0</v>
      </c>
      <c r="DV22" s="14">
        <f>SUM(CE$7:CE22)</f>
        <v>0</v>
      </c>
      <c r="DW22" s="14">
        <f>SUM(CF$7:CF22)</f>
        <v>0</v>
      </c>
      <c r="DX22" s="14">
        <f>SUM(CG$7:CG22)</f>
        <v>0</v>
      </c>
      <c r="DY22" s="14">
        <f>SUM(CH$7:CH22)</f>
        <v>0</v>
      </c>
      <c r="DZ22" s="14">
        <f>SUM(CI$7:CI22)</f>
        <v>0</v>
      </c>
      <c r="EA22" s="14">
        <f>SUM(CJ$7:CJ22)</f>
        <v>0</v>
      </c>
      <c r="EB22" s="14">
        <f>SUM(CK$7:CK22)</f>
        <v>0</v>
      </c>
      <c r="EC22" s="14">
        <f>SUM(CL$7:CL22)</f>
        <v>0</v>
      </c>
      <c r="ED22" s="14">
        <f>SUM(CM$7:CM22)</f>
        <v>0</v>
      </c>
      <c r="EE22" s="14">
        <f>SUM(CN$7:CN22)</f>
        <v>0</v>
      </c>
      <c r="EF22" s="14">
        <f>SUM(CO$7:CO22)</f>
        <v>0</v>
      </c>
      <c r="EG22" s="14">
        <f>SUM(CP$7:CP22)</f>
        <v>0</v>
      </c>
      <c r="EH22" s="14">
        <f>SUM(CQ$7:CQ22)</f>
        <v>0</v>
      </c>
      <c r="EI22" s="14">
        <f>SUM(CR$7:CR22)</f>
        <v>0</v>
      </c>
      <c r="EJ22" s="14">
        <f>SUM(CS$7:CS22)</f>
        <v>0</v>
      </c>
      <c r="EK22" s="14">
        <f>SUM(CT$7:CT22)</f>
        <v>0</v>
      </c>
      <c r="EL22" s="14">
        <f>SUM(CU$7:CU22)</f>
        <v>0</v>
      </c>
      <c r="EM22" s="14">
        <f>SUM(CV$7:CV22)</f>
        <v>0</v>
      </c>
      <c r="EN22" s="14">
        <f>SUM(CW$7:CW22)</f>
        <v>0</v>
      </c>
      <c r="EO22" s="14">
        <f>SUM(CX$7:CX22)</f>
        <v>0</v>
      </c>
      <c r="EP22" s="14">
        <f>SUM(CY$7:CY22)</f>
        <v>0</v>
      </c>
      <c r="EQ22" s="14">
        <f>SUM(CZ$7:CZ22)</f>
        <v>0</v>
      </c>
      <c r="ER22" s="14">
        <f>SUM(DA$7:DA22)</f>
        <v>0</v>
      </c>
      <c r="EU22" s="14">
        <f t="shared" si="14"/>
        <v>0</v>
      </c>
      <c r="EV22" s="14">
        <f t="shared" si="15"/>
        <v>0</v>
      </c>
      <c r="EW22" s="14">
        <f t="shared" si="16"/>
        <v>0</v>
      </c>
      <c r="EX22" s="14">
        <f t="shared" si="17"/>
        <v>0</v>
      </c>
      <c r="EY22" s="14">
        <f t="shared" si="18"/>
        <v>0</v>
      </c>
      <c r="EZ22" s="14">
        <f t="shared" si="19"/>
        <v>0</v>
      </c>
      <c r="FA22" s="14">
        <f t="shared" si="20"/>
        <v>0</v>
      </c>
      <c r="FB22" s="14">
        <f t="shared" si="21"/>
        <v>0</v>
      </c>
      <c r="FC22" s="14">
        <f t="shared" si="22"/>
        <v>0</v>
      </c>
      <c r="FD22" s="14">
        <f t="shared" si="23"/>
        <v>0</v>
      </c>
      <c r="FE22" s="14">
        <f t="shared" si="24"/>
        <v>0</v>
      </c>
      <c r="FF22" s="14">
        <f t="shared" si="25"/>
        <v>0</v>
      </c>
      <c r="FG22" s="14">
        <f t="shared" si="26"/>
        <v>0</v>
      </c>
      <c r="FH22" s="14">
        <f t="shared" si="27"/>
        <v>0</v>
      </c>
      <c r="FI22" s="14">
        <f t="shared" si="28"/>
        <v>0</v>
      </c>
      <c r="FJ22" s="14">
        <f t="shared" si="29"/>
        <v>0</v>
      </c>
      <c r="FK22" s="14">
        <f t="shared" si="30"/>
        <v>0</v>
      </c>
      <c r="FL22" s="14">
        <f t="shared" si="31"/>
        <v>0</v>
      </c>
      <c r="FM22" s="14">
        <f t="shared" si="32"/>
        <v>0</v>
      </c>
      <c r="FN22" s="14">
        <f t="shared" si="33"/>
        <v>0</v>
      </c>
      <c r="FO22" s="14">
        <f t="shared" si="34"/>
        <v>0</v>
      </c>
      <c r="FP22" s="14">
        <f t="shared" si="35"/>
        <v>0</v>
      </c>
      <c r="FQ22" s="14">
        <f t="shared" si="36"/>
        <v>0</v>
      </c>
      <c r="FR22" s="14">
        <f t="shared" si="37"/>
        <v>0</v>
      </c>
      <c r="FS22" s="14">
        <f t="shared" si="38"/>
        <v>0</v>
      </c>
      <c r="FT22" s="14">
        <f t="shared" si="39"/>
        <v>0</v>
      </c>
      <c r="FU22" s="14">
        <f t="shared" si="40"/>
        <v>0</v>
      </c>
      <c r="FV22" s="14">
        <f t="shared" si="41"/>
        <v>0</v>
      </c>
      <c r="FW22" s="14">
        <f t="shared" si="42"/>
        <v>0</v>
      </c>
      <c r="FX22" s="14">
        <f t="shared" si="43"/>
        <v>0</v>
      </c>
      <c r="FY22" s="14">
        <f t="shared" si="44"/>
        <v>0</v>
      </c>
      <c r="FZ22" s="14">
        <f t="shared" si="45"/>
        <v>0</v>
      </c>
      <c r="GA22" s="14">
        <f t="shared" si="46"/>
        <v>0</v>
      </c>
      <c r="GB22" s="14">
        <f t="shared" si="47"/>
        <v>0</v>
      </c>
      <c r="GC22" s="14">
        <f t="shared" si="48"/>
        <v>0</v>
      </c>
      <c r="GD22" s="14">
        <f t="shared" si="49"/>
        <v>0</v>
      </c>
      <c r="GE22" s="14">
        <f t="shared" si="50"/>
        <v>0</v>
      </c>
      <c r="GF22" s="14">
        <f t="shared" si="51"/>
        <v>0</v>
      </c>
      <c r="GG22" s="14">
        <f t="shared" si="52"/>
        <v>0</v>
      </c>
      <c r="GH22" s="14">
        <f t="shared" si="53"/>
        <v>0</v>
      </c>
      <c r="GI22" s="14">
        <f t="shared" si="54"/>
        <v>0</v>
      </c>
      <c r="GJ22" s="14">
        <f t="shared" si="55"/>
        <v>0</v>
      </c>
      <c r="GM22" s="91">
        <v>16</v>
      </c>
      <c r="GN22" s="14">
        <f t="shared" si="56"/>
        <v>2</v>
      </c>
      <c r="GO22" s="14">
        <f t="shared" si="57"/>
        <v>1606004</v>
      </c>
      <c r="GP22" s="14" t="str">
        <f t="shared" si="58"/>
        <v>神器1-2 : 6级</v>
      </c>
      <c r="GQ22" s="14" t="s">
        <v>816</v>
      </c>
      <c r="GR22" s="14">
        <f t="shared" si="59"/>
        <v>1</v>
      </c>
      <c r="GS22" s="14" t="str">
        <f t="shared" si="60"/>
        <v>神器1-2</v>
      </c>
      <c r="GT22" s="14">
        <f t="shared" si="61"/>
        <v>1</v>
      </c>
    </row>
    <row r="23" spans="10:202" ht="16.5" x14ac:dyDescent="0.2">
      <c r="J23" s="87">
        <v>16</v>
      </c>
      <c r="K23" s="87">
        <v>10</v>
      </c>
      <c r="L23" s="87">
        <f>SUM(K$8:K23)</f>
        <v>65</v>
      </c>
      <c r="N23" s="90">
        <v>4</v>
      </c>
      <c r="O23" s="90">
        <v>2</v>
      </c>
      <c r="P23" s="90">
        <v>1</v>
      </c>
      <c r="Q23" s="90">
        <v>18</v>
      </c>
      <c r="R23" s="14">
        <f>SUM(Q$7:Q23)</f>
        <v>264</v>
      </c>
      <c r="S23" s="91">
        <v>1606020</v>
      </c>
      <c r="T23" s="14" t="str">
        <f t="shared" si="62"/>
        <v>神器4-2</v>
      </c>
      <c r="AD23" s="87">
        <v>17</v>
      </c>
      <c r="AE23" s="87">
        <v>4</v>
      </c>
      <c r="AF23" s="87">
        <v>3</v>
      </c>
      <c r="AG23" s="87" t="str">
        <f t="shared" si="6"/>
        <v>神器4-3</v>
      </c>
      <c r="AH23" s="87">
        <v>2</v>
      </c>
      <c r="AI23" s="87">
        <f t="shared" si="7"/>
        <v>75</v>
      </c>
      <c r="AL23" s="87">
        <v>2</v>
      </c>
      <c r="AM23" s="87">
        <v>2</v>
      </c>
      <c r="AN23" s="87">
        <v>8</v>
      </c>
      <c r="AO23" s="144">
        <f t="shared" si="8"/>
        <v>4408</v>
      </c>
      <c r="AP23" s="144" t="s">
        <v>1243</v>
      </c>
      <c r="AQ23" s="144" t="str">
        <f t="shared" si="9"/>
        <v>神器本-2-困难-3  神器2-4</v>
      </c>
      <c r="AR23" s="87">
        <v>7</v>
      </c>
      <c r="AS23" s="87" t="s">
        <v>327</v>
      </c>
      <c r="AT23" s="87">
        <v>3500</v>
      </c>
      <c r="AU23" s="87">
        <v>1</v>
      </c>
      <c r="AV23" s="87">
        <v>2</v>
      </c>
      <c r="AW23" s="87">
        <f t="shared" si="10"/>
        <v>2</v>
      </c>
      <c r="AX23" s="14">
        <f t="shared" si="11"/>
        <v>0.52500000000000002</v>
      </c>
      <c r="AY23" s="14">
        <f t="shared" si="12"/>
        <v>23.625</v>
      </c>
      <c r="BB23" s="87">
        <v>7</v>
      </c>
      <c r="BC23" s="87">
        <v>2</v>
      </c>
      <c r="BD23" s="87">
        <f t="shared" si="0"/>
        <v>337.29750000000001</v>
      </c>
      <c r="BG23" s="87">
        <v>17</v>
      </c>
      <c r="BH23" s="14" t="e">
        <f>INDEX(节奏总表!#REF!,新神器!BG23)</f>
        <v>#REF!</v>
      </c>
      <c r="BI23" s="14" t="e">
        <f t="shared" si="13"/>
        <v>#REF!</v>
      </c>
      <c r="BJ23" s="87">
        <v>3</v>
      </c>
      <c r="BK23" s="87">
        <v>5</v>
      </c>
      <c r="BL23" s="14">
        <f t="shared" si="63"/>
        <v>0</v>
      </c>
      <c r="BM23" s="14">
        <f t="shared" si="63"/>
        <v>0</v>
      </c>
      <c r="BN23" s="14">
        <f t="shared" si="63"/>
        <v>0</v>
      </c>
      <c r="BO23" s="14">
        <f t="shared" si="63"/>
        <v>0</v>
      </c>
      <c r="BP23" s="14">
        <f t="shared" si="63"/>
        <v>0</v>
      </c>
      <c r="BQ23" s="14">
        <f t="shared" si="63"/>
        <v>0</v>
      </c>
      <c r="BR23" s="14">
        <f t="shared" si="63"/>
        <v>0</v>
      </c>
      <c r="BS23" s="14">
        <f t="shared" si="63"/>
        <v>0</v>
      </c>
      <c r="BT23" s="14">
        <f t="shared" si="63"/>
        <v>0</v>
      </c>
      <c r="BU23" s="14">
        <f t="shared" si="63"/>
        <v>0</v>
      </c>
      <c r="BV23" s="14">
        <f t="shared" si="64"/>
        <v>0</v>
      </c>
      <c r="BW23" s="14">
        <f t="shared" si="64"/>
        <v>0</v>
      </c>
      <c r="BX23" s="14">
        <f t="shared" si="64"/>
        <v>0</v>
      </c>
      <c r="BY23" s="14">
        <f t="shared" si="64"/>
        <v>0</v>
      </c>
      <c r="BZ23" s="14">
        <f t="shared" si="64"/>
        <v>0</v>
      </c>
      <c r="CA23" s="14">
        <f t="shared" si="64"/>
        <v>0</v>
      </c>
      <c r="CB23" s="14">
        <f t="shared" si="64"/>
        <v>0</v>
      </c>
      <c r="CC23" s="14">
        <f t="shared" si="64"/>
        <v>0</v>
      </c>
      <c r="CD23" s="14">
        <f t="shared" si="64"/>
        <v>0</v>
      </c>
      <c r="CE23" s="14">
        <f t="shared" si="64"/>
        <v>0</v>
      </c>
      <c r="CF23" s="14">
        <f t="shared" si="65"/>
        <v>0</v>
      </c>
      <c r="CG23" s="14">
        <f t="shared" si="65"/>
        <v>0</v>
      </c>
      <c r="CH23" s="14">
        <f t="shared" si="65"/>
        <v>0</v>
      </c>
      <c r="CI23" s="14">
        <f t="shared" si="65"/>
        <v>0</v>
      </c>
      <c r="CJ23" s="14">
        <f t="shared" si="65"/>
        <v>0</v>
      </c>
      <c r="CK23" s="14">
        <f t="shared" si="65"/>
        <v>0</v>
      </c>
      <c r="CL23" s="14">
        <f t="shared" si="65"/>
        <v>0</v>
      </c>
      <c r="CM23" s="14">
        <f t="shared" si="65"/>
        <v>0</v>
      </c>
      <c r="CN23" s="14">
        <f t="shared" si="65"/>
        <v>0</v>
      </c>
      <c r="CO23" s="14">
        <f t="shared" si="65"/>
        <v>0</v>
      </c>
      <c r="CP23" s="14">
        <f t="shared" si="66"/>
        <v>0</v>
      </c>
      <c r="CQ23" s="14">
        <f t="shared" si="66"/>
        <v>0</v>
      </c>
      <c r="CR23" s="14">
        <f t="shared" si="66"/>
        <v>0</v>
      </c>
      <c r="CS23" s="14">
        <f t="shared" si="66"/>
        <v>0</v>
      </c>
      <c r="CT23" s="14">
        <f t="shared" si="66"/>
        <v>0</v>
      </c>
      <c r="CU23" s="14">
        <f t="shared" si="66"/>
        <v>0</v>
      </c>
      <c r="CV23" s="14">
        <f t="shared" si="66"/>
        <v>0</v>
      </c>
      <c r="CW23" s="14">
        <f t="shared" si="66"/>
        <v>0</v>
      </c>
      <c r="CX23" s="14">
        <f t="shared" si="66"/>
        <v>0</v>
      </c>
      <c r="CY23" s="14">
        <f t="shared" si="66"/>
        <v>0</v>
      </c>
      <c r="CZ23" s="14">
        <f t="shared" si="66"/>
        <v>0</v>
      </c>
      <c r="DA23" s="14">
        <f t="shared" si="66"/>
        <v>0</v>
      </c>
      <c r="DC23" s="14">
        <f>SUM(BL$7:BL23)</f>
        <v>0</v>
      </c>
      <c r="DD23" s="14">
        <f>SUM(BM$7:BM23)</f>
        <v>0</v>
      </c>
      <c r="DE23" s="14">
        <f>SUM(BN$7:BN23)</f>
        <v>0</v>
      </c>
      <c r="DF23" s="14">
        <f>SUM(BO$7:BO23)</f>
        <v>0</v>
      </c>
      <c r="DG23" s="14">
        <f>SUM(BP$7:BP23)</f>
        <v>0</v>
      </c>
      <c r="DH23" s="14">
        <f>SUM(BQ$7:BQ23)</f>
        <v>0</v>
      </c>
      <c r="DI23" s="14">
        <f>SUM(BR$7:BR23)</f>
        <v>0</v>
      </c>
      <c r="DJ23" s="14">
        <f>SUM(BS$7:BS23)</f>
        <v>0</v>
      </c>
      <c r="DK23" s="14">
        <f>SUM(BT$7:BT23)</f>
        <v>0</v>
      </c>
      <c r="DL23" s="14">
        <f>SUM(BU$7:BU23)</f>
        <v>0</v>
      </c>
      <c r="DM23" s="14">
        <f>SUM(BV$7:BV23)</f>
        <v>0</v>
      </c>
      <c r="DN23" s="14">
        <f>SUM(BW$7:BW23)</f>
        <v>0</v>
      </c>
      <c r="DO23" s="14">
        <f>SUM(BX$7:BX23)</f>
        <v>0</v>
      </c>
      <c r="DP23" s="14">
        <f>SUM(BY$7:BY23)</f>
        <v>0</v>
      </c>
      <c r="DQ23" s="14">
        <f>SUM(BZ$7:BZ23)</f>
        <v>0</v>
      </c>
      <c r="DR23" s="14">
        <f>SUM(CA$7:CA23)</f>
        <v>0</v>
      </c>
      <c r="DS23" s="14">
        <f>SUM(CB$7:CB23)</f>
        <v>0</v>
      </c>
      <c r="DT23" s="14">
        <f>SUM(CC$7:CC23)</f>
        <v>0</v>
      </c>
      <c r="DU23" s="14">
        <f>SUM(CD$7:CD23)</f>
        <v>0</v>
      </c>
      <c r="DV23" s="14">
        <f>SUM(CE$7:CE23)</f>
        <v>0</v>
      </c>
      <c r="DW23" s="14">
        <f>SUM(CF$7:CF23)</f>
        <v>0</v>
      </c>
      <c r="DX23" s="14">
        <f>SUM(CG$7:CG23)</f>
        <v>0</v>
      </c>
      <c r="DY23" s="14">
        <f>SUM(CH$7:CH23)</f>
        <v>0</v>
      </c>
      <c r="DZ23" s="14">
        <f>SUM(CI$7:CI23)</f>
        <v>0</v>
      </c>
      <c r="EA23" s="14">
        <f>SUM(CJ$7:CJ23)</f>
        <v>0</v>
      </c>
      <c r="EB23" s="14">
        <f>SUM(CK$7:CK23)</f>
        <v>0</v>
      </c>
      <c r="EC23" s="14">
        <f>SUM(CL$7:CL23)</f>
        <v>0</v>
      </c>
      <c r="ED23" s="14">
        <f>SUM(CM$7:CM23)</f>
        <v>0</v>
      </c>
      <c r="EE23" s="14">
        <f>SUM(CN$7:CN23)</f>
        <v>0</v>
      </c>
      <c r="EF23" s="14">
        <f>SUM(CO$7:CO23)</f>
        <v>0</v>
      </c>
      <c r="EG23" s="14">
        <f>SUM(CP$7:CP23)</f>
        <v>0</v>
      </c>
      <c r="EH23" s="14">
        <f>SUM(CQ$7:CQ23)</f>
        <v>0</v>
      </c>
      <c r="EI23" s="14">
        <f>SUM(CR$7:CR23)</f>
        <v>0</v>
      </c>
      <c r="EJ23" s="14">
        <f>SUM(CS$7:CS23)</f>
        <v>0</v>
      </c>
      <c r="EK23" s="14">
        <f>SUM(CT$7:CT23)</f>
        <v>0</v>
      </c>
      <c r="EL23" s="14">
        <f>SUM(CU$7:CU23)</f>
        <v>0</v>
      </c>
      <c r="EM23" s="14">
        <f>SUM(CV$7:CV23)</f>
        <v>0</v>
      </c>
      <c r="EN23" s="14">
        <f>SUM(CW$7:CW23)</f>
        <v>0</v>
      </c>
      <c r="EO23" s="14">
        <f>SUM(CX$7:CX23)</f>
        <v>0</v>
      </c>
      <c r="EP23" s="14">
        <f>SUM(CY$7:CY23)</f>
        <v>0</v>
      </c>
      <c r="EQ23" s="14">
        <f>SUM(CZ$7:CZ23)</f>
        <v>0</v>
      </c>
      <c r="ER23" s="14">
        <f>SUM(DA$7:DA23)</f>
        <v>0</v>
      </c>
      <c r="EU23" s="14">
        <f t="shared" si="14"/>
        <v>0</v>
      </c>
      <c r="EV23" s="14">
        <f t="shared" si="15"/>
        <v>0</v>
      </c>
      <c r="EW23" s="14">
        <f t="shared" si="16"/>
        <v>0</v>
      </c>
      <c r="EX23" s="14">
        <f t="shared" si="17"/>
        <v>0</v>
      </c>
      <c r="EY23" s="14">
        <f t="shared" si="18"/>
        <v>0</v>
      </c>
      <c r="EZ23" s="14">
        <f t="shared" si="19"/>
        <v>0</v>
      </c>
      <c r="FA23" s="14">
        <f t="shared" si="20"/>
        <v>0</v>
      </c>
      <c r="FB23" s="14">
        <f t="shared" si="21"/>
        <v>0</v>
      </c>
      <c r="FC23" s="14">
        <f t="shared" si="22"/>
        <v>0</v>
      </c>
      <c r="FD23" s="14">
        <f t="shared" si="23"/>
        <v>0</v>
      </c>
      <c r="FE23" s="14">
        <f t="shared" si="24"/>
        <v>0</v>
      </c>
      <c r="FF23" s="14">
        <f t="shared" si="25"/>
        <v>0</v>
      </c>
      <c r="FG23" s="14">
        <f t="shared" si="26"/>
        <v>0</v>
      </c>
      <c r="FH23" s="14">
        <f t="shared" si="27"/>
        <v>0</v>
      </c>
      <c r="FI23" s="14">
        <f t="shared" si="28"/>
        <v>0</v>
      </c>
      <c r="FJ23" s="14">
        <f t="shared" si="29"/>
        <v>0</v>
      </c>
      <c r="FK23" s="14">
        <f t="shared" si="30"/>
        <v>0</v>
      </c>
      <c r="FL23" s="14">
        <f t="shared" si="31"/>
        <v>0</v>
      </c>
      <c r="FM23" s="14">
        <f t="shared" si="32"/>
        <v>0</v>
      </c>
      <c r="FN23" s="14">
        <f t="shared" si="33"/>
        <v>0</v>
      </c>
      <c r="FO23" s="14">
        <f t="shared" si="34"/>
        <v>0</v>
      </c>
      <c r="FP23" s="14">
        <f t="shared" si="35"/>
        <v>0</v>
      </c>
      <c r="FQ23" s="14">
        <f t="shared" si="36"/>
        <v>0</v>
      </c>
      <c r="FR23" s="14">
        <f t="shared" si="37"/>
        <v>0</v>
      </c>
      <c r="FS23" s="14">
        <f t="shared" si="38"/>
        <v>0</v>
      </c>
      <c r="FT23" s="14">
        <f t="shared" si="39"/>
        <v>0</v>
      </c>
      <c r="FU23" s="14">
        <f t="shared" si="40"/>
        <v>0</v>
      </c>
      <c r="FV23" s="14">
        <f t="shared" si="41"/>
        <v>0</v>
      </c>
      <c r="FW23" s="14">
        <f t="shared" si="42"/>
        <v>0</v>
      </c>
      <c r="FX23" s="14">
        <f t="shared" si="43"/>
        <v>0</v>
      </c>
      <c r="FY23" s="14">
        <f t="shared" si="44"/>
        <v>0</v>
      </c>
      <c r="FZ23" s="14">
        <f t="shared" si="45"/>
        <v>0</v>
      </c>
      <c r="GA23" s="14">
        <f t="shared" si="46"/>
        <v>0</v>
      </c>
      <c r="GB23" s="14">
        <f t="shared" si="47"/>
        <v>0</v>
      </c>
      <c r="GC23" s="14">
        <f t="shared" si="48"/>
        <v>0</v>
      </c>
      <c r="GD23" s="14">
        <f t="shared" si="49"/>
        <v>0</v>
      </c>
      <c r="GE23" s="14">
        <f t="shared" si="50"/>
        <v>0</v>
      </c>
      <c r="GF23" s="14">
        <f t="shared" si="51"/>
        <v>0</v>
      </c>
      <c r="GG23" s="14">
        <f t="shared" si="52"/>
        <v>0</v>
      </c>
      <c r="GH23" s="14">
        <f t="shared" si="53"/>
        <v>0</v>
      </c>
      <c r="GI23" s="14">
        <f t="shared" si="54"/>
        <v>0</v>
      </c>
      <c r="GJ23" s="14">
        <f t="shared" si="55"/>
        <v>0</v>
      </c>
      <c r="GM23" s="91">
        <v>17</v>
      </c>
      <c r="GN23" s="14">
        <f t="shared" si="56"/>
        <v>2</v>
      </c>
      <c r="GO23" s="14">
        <f t="shared" si="57"/>
        <v>1606004</v>
      </c>
      <c r="GP23" s="14" t="str">
        <f t="shared" si="58"/>
        <v>神器1-2 : 7级</v>
      </c>
      <c r="GQ23" s="14" t="s">
        <v>816</v>
      </c>
      <c r="GR23" s="14">
        <f t="shared" si="59"/>
        <v>2</v>
      </c>
      <c r="GS23" s="14" t="str">
        <f t="shared" si="60"/>
        <v>神器1-2</v>
      </c>
      <c r="GT23" s="14">
        <f t="shared" si="61"/>
        <v>1</v>
      </c>
    </row>
    <row r="24" spans="10:202" ht="16.5" x14ac:dyDescent="0.2">
      <c r="J24" s="87">
        <v>17</v>
      </c>
      <c r="K24" s="87">
        <v>10</v>
      </c>
      <c r="L24" s="87">
        <f>SUM(K$8:K24)</f>
        <v>75</v>
      </c>
      <c r="N24" s="90">
        <v>4</v>
      </c>
      <c r="O24" s="90">
        <v>3</v>
      </c>
      <c r="P24" s="90">
        <v>2</v>
      </c>
      <c r="Q24" s="90">
        <v>18</v>
      </c>
      <c r="R24" s="14">
        <f>SUM(Q$7:Q24)</f>
        <v>282</v>
      </c>
      <c r="S24" s="91">
        <v>1606021</v>
      </c>
      <c r="T24" s="14" t="str">
        <f t="shared" si="62"/>
        <v>神器4-3</v>
      </c>
      <c r="AD24" s="87">
        <v>18</v>
      </c>
      <c r="AE24" s="87">
        <v>4</v>
      </c>
      <c r="AF24" s="87">
        <v>4</v>
      </c>
      <c r="AG24" s="87" t="str">
        <f t="shared" si="6"/>
        <v>神器4-4</v>
      </c>
      <c r="AH24" s="87">
        <v>2</v>
      </c>
      <c r="AI24" s="87">
        <f t="shared" si="7"/>
        <v>75</v>
      </c>
      <c r="AL24" s="87">
        <v>2</v>
      </c>
      <c r="AM24" s="87">
        <v>2</v>
      </c>
      <c r="AN24" s="87">
        <v>9</v>
      </c>
      <c r="AO24" s="144">
        <f t="shared" si="8"/>
        <v>4409</v>
      </c>
      <c r="AP24" s="144" t="s">
        <v>1244</v>
      </c>
      <c r="AQ24" s="144" t="str">
        <f t="shared" si="9"/>
        <v>神器本-2-困难-4  神器2-5</v>
      </c>
      <c r="AR24" s="87">
        <v>8</v>
      </c>
      <c r="AS24" s="87" t="s">
        <v>328</v>
      </c>
      <c r="AT24" s="87">
        <v>2500</v>
      </c>
      <c r="AU24" s="87">
        <v>1</v>
      </c>
      <c r="AV24" s="87">
        <v>1</v>
      </c>
      <c r="AW24" s="87">
        <f t="shared" si="10"/>
        <v>3</v>
      </c>
      <c r="AX24" s="14">
        <f t="shared" si="11"/>
        <v>0.25</v>
      </c>
      <c r="AY24" s="14">
        <f t="shared" si="12"/>
        <v>26.25</v>
      </c>
      <c r="BB24" s="87">
        <v>7</v>
      </c>
      <c r="BC24" s="87">
        <v>3</v>
      </c>
      <c r="BD24" s="87">
        <f t="shared" si="0"/>
        <v>449.79750000000001</v>
      </c>
      <c r="BG24" s="87">
        <v>18</v>
      </c>
      <c r="BH24" s="14" t="e">
        <f>INDEX(节奏总表!#REF!,新神器!BG24)</f>
        <v>#REF!</v>
      </c>
      <c r="BI24" s="14" t="e">
        <f t="shared" si="13"/>
        <v>#REF!</v>
      </c>
      <c r="BJ24" s="87">
        <v>3</v>
      </c>
      <c r="BK24" s="87">
        <v>5</v>
      </c>
      <c r="BL24" s="14">
        <f t="shared" si="63"/>
        <v>0</v>
      </c>
      <c r="BM24" s="14">
        <f t="shared" si="63"/>
        <v>0</v>
      </c>
      <c r="BN24" s="14">
        <f t="shared" si="63"/>
        <v>0</v>
      </c>
      <c r="BO24" s="14">
        <f t="shared" si="63"/>
        <v>0</v>
      </c>
      <c r="BP24" s="14">
        <f t="shared" si="63"/>
        <v>0</v>
      </c>
      <c r="BQ24" s="14">
        <f t="shared" si="63"/>
        <v>0</v>
      </c>
      <c r="BR24" s="14">
        <f t="shared" si="63"/>
        <v>0</v>
      </c>
      <c r="BS24" s="14">
        <f t="shared" si="63"/>
        <v>0</v>
      </c>
      <c r="BT24" s="14">
        <f t="shared" si="63"/>
        <v>0</v>
      </c>
      <c r="BU24" s="14">
        <f t="shared" si="63"/>
        <v>0</v>
      </c>
      <c r="BV24" s="14">
        <f t="shared" si="64"/>
        <v>0</v>
      </c>
      <c r="BW24" s="14">
        <f t="shared" si="64"/>
        <v>0</v>
      </c>
      <c r="BX24" s="14">
        <f t="shared" si="64"/>
        <v>0</v>
      </c>
      <c r="BY24" s="14">
        <f t="shared" si="64"/>
        <v>0</v>
      </c>
      <c r="BZ24" s="14">
        <f t="shared" si="64"/>
        <v>0</v>
      </c>
      <c r="CA24" s="14">
        <f t="shared" si="64"/>
        <v>0</v>
      </c>
      <c r="CB24" s="14">
        <f t="shared" si="64"/>
        <v>0</v>
      </c>
      <c r="CC24" s="14">
        <f t="shared" si="64"/>
        <v>0</v>
      </c>
      <c r="CD24" s="14">
        <f t="shared" si="64"/>
        <v>0</v>
      </c>
      <c r="CE24" s="14">
        <f t="shared" si="64"/>
        <v>0</v>
      </c>
      <c r="CF24" s="14">
        <f t="shared" si="65"/>
        <v>0</v>
      </c>
      <c r="CG24" s="14">
        <f t="shared" si="65"/>
        <v>0</v>
      </c>
      <c r="CH24" s="14">
        <f t="shared" si="65"/>
        <v>0</v>
      </c>
      <c r="CI24" s="14">
        <f t="shared" si="65"/>
        <v>0</v>
      </c>
      <c r="CJ24" s="14">
        <f t="shared" si="65"/>
        <v>0</v>
      </c>
      <c r="CK24" s="14">
        <f t="shared" si="65"/>
        <v>0</v>
      </c>
      <c r="CL24" s="14">
        <f t="shared" si="65"/>
        <v>0</v>
      </c>
      <c r="CM24" s="14">
        <f t="shared" si="65"/>
        <v>0</v>
      </c>
      <c r="CN24" s="14">
        <f t="shared" si="65"/>
        <v>0</v>
      </c>
      <c r="CO24" s="14">
        <f t="shared" si="65"/>
        <v>0</v>
      </c>
      <c r="CP24" s="14">
        <f t="shared" si="66"/>
        <v>0</v>
      </c>
      <c r="CQ24" s="14">
        <f t="shared" si="66"/>
        <v>0</v>
      </c>
      <c r="CR24" s="14">
        <f t="shared" si="66"/>
        <v>0</v>
      </c>
      <c r="CS24" s="14">
        <f t="shared" si="66"/>
        <v>0</v>
      </c>
      <c r="CT24" s="14">
        <f t="shared" si="66"/>
        <v>0</v>
      </c>
      <c r="CU24" s="14">
        <f t="shared" si="66"/>
        <v>0</v>
      </c>
      <c r="CV24" s="14">
        <f t="shared" si="66"/>
        <v>0</v>
      </c>
      <c r="CW24" s="14">
        <f t="shared" si="66"/>
        <v>0</v>
      </c>
      <c r="CX24" s="14">
        <f t="shared" si="66"/>
        <v>0</v>
      </c>
      <c r="CY24" s="14">
        <f t="shared" si="66"/>
        <v>0</v>
      </c>
      <c r="CZ24" s="14">
        <f t="shared" si="66"/>
        <v>0</v>
      </c>
      <c r="DA24" s="14">
        <f t="shared" si="66"/>
        <v>0</v>
      </c>
      <c r="DC24" s="14">
        <f>SUM(BL$7:BL24)</f>
        <v>0</v>
      </c>
      <c r="DD24" s="14">
        <f>SUM(BM$7:BM24)</f>
        <v>0</v>
      </c>
      <c r="DE24" s="14">
        <f>SUM(BN$7:BN24)</f>
        <v>0</v>
      </c>
      <c r="DF24" s="14">
        <f>SUM(BO$7:BO24)</f>
        <v>0</v>
      </c>
      <c r="DG24" s="14">
        <f>SUM(BP$7:BP24)</f>
        <v>0</v>
      </c>
      <c r="DH24" s="14">
        <f>SUM(BQ$7:BQ24)</f>
        <v>0</v>
      </c>
      <c r="DI24" s="14">
        <f>SUM(BR$7:BR24)</f>
        <v>0</v>
      </c>
      <c r="DJ24" s="14">
        <f>SUM(BS$7:BS24)</f>
        <v>0</v>
      </c>
      <c r="DK24" s="14">
        <f>SUM(BT$7:BT24)</f>
        <v>0</v>
      </c>
      <c r="DL24" s="14">
        <f>SUM(BU$7:BU24)</f>
        <v>0</v>
      </c>
      <c r="DM24" s="14">
        <f>SUM(BV$7:BV24)</f>
        <v>0</v>
      </c>
      <c r="DN24" s="14">
        <f>SUM(BW$7:BW24)</f>
        <v>0</v>
      </c>
      <c r="DO24" s="14">
        <f>SUM(BX$7:BX24)</f>
        <v>0</v>
      </c>
      <c r="DP24" s="14">
        <f>SUM(BY$7:BY24)</f>
        <v>0</v>
      </c>
      <c r="DQ24" s="14">
        <f>SUM(BZ$7:BZ24)</f>
        <v>0</v>
      </c>
      <c r="DR24" s="14">
        <f>SUM(CA$7:CA24)</f>
        <v>0</v>
      </c>
      <c r="DS24" s="14">
        <f>SUM(CB$7:CB24)</f>
        <v>0</v>
      </c>
      <c r="DT24" s="14">
        <f>SUM(CC$7:CC24)</f>
        <v>0</v>
      </c>
      <c r="DU24" s="14">
        <f>SUM(CD$7:CD24)</f>
        <v>0</v>
      </c>
      <c r="DV24" s="14">
        <f>SUM(CE$7:CE24)</f>
        <v>0</v>
      </c>
      <c r="DW24" s="14">
        <f>SUM(CF$7:CF24)</f>
        <v>0</v>
      </c>
      <c r="DX24" s="14">
        <f>SUM(CG$7:CG24)</f>
        <v>0</v>
      </c>
      <c r="DY24" s="14">
        <f>SUM(CH$7:CH24)</f>
        <v>0</v>
      </c>
      <c r="DZ24" s="14">
        <f>SUM(CI$7:CI24)</f>
        <v>0</v>
      </c>
      <c r="EA24" s="14">
        <f>SUM(CJ$7:CJ24)</f>
        <v>0</v>
      </c>
      <c r="EB24" s="14">
        <f>SUM(CK$7:CK24)</f>
        <v>0</v>
      </c>
      <c r="EC24" s="14">
        <f>SUM(CL$7:CL24)</f>
        <v>0</v>
      </c>
      <c r="ED24" s="14">
        <f>SUM(CM$7:CM24)</f>
        <v>0</v>
      </c>
      <c r="EE24" s="14">
        <f>SUM(CN$7:CN24)</f>
        <v>0</v>
      </c>
      <c r="EF24" s="14">
        <f>SUM(CO$7:CO24)</f>
        <v>0</v>
      </c>
      <c r="EG24" s="14">
        <f>SUM(CP$7:CP24)</f>
        <v>0</v>
      </c>
      <c r="EH24" s="14">
        <f>SUM(CQ$7:CQ24)</f>
        <v>0</v>
      </c>
      <c r="EI24" s="14">
        <f>SUM(CR$7:CR24)</f>
        <v>0</v>
      </c>
      <c r="EJ24" s="14">
        <f>SUM(CS$7:CS24)</f>
        <v>0</v>
      </c>
      <c r="EK24" s="14">
        <f>SUM(CT$7:CT24)</f>
        <v>0</v>
      </c>
      <c r="EL24" s="14">
        <f>SUM(CU$7:CU24)</f>
        <v>0</v>
      </c>
      <c r="EM24" s="14">
        <f>SUM(CV$7:CV24)</f>
        <v>0</v>
      </c>
      <c r="EN24" s="14">
        <f>SUM(CW$7:CW24)</f>
        <v>0</v>
      </c>
      <c r="EO24" s="14">
        <f>SUM(CX$7:CX24)</f>
        <v>0</v>
      </c>
      <c r="EP24" s="14">
        <f>SUM(CY$7:CY24)</f>
        <v>0</v>
      </c>
      <c r="EQ24" s="14">
        <f>SUM(CZ$7:CZ24)</f>
        <v>0</v>
      </c>
      <c r="ER24" s="14">
        <f>SUM(DA$7:DA24)</f>
        <v>0</v>
      </c>
      <c r="EU24" s="14">
        <f t="shared" si="14"/>
        <v>0</v>
      </c>
      <c r="EV24" s="14">
        <f t="shared" si="15"/>
        <v>0</v>
      </c>
      <c r="EW24" s="14">
        <f t="shared" si="16"/>
        <v>0</v>
      </c>
      <c r="EX24" s="14">
        <f t="shared" si="17"/>
        <v>0</v>
      </c>
      <c r="EY24" s="14">
        <f t="shared" si="18"/>
        <v>0</v>
      </c>
      <c r="EZ24" s="14">
        <f t="shared" si="19"/>
        <v>0</v>
      </c>
      <c r="FA24" s="14">
        <f t="shared" si="20"/>
        <v>0</v>
      </c>
      <c r="FB24" s="14">
        <f t="shared" si="21"/>
        <v>0</v>
      </c>
      <c r="FC24" s="14">
        <f t="shared" si="22"/>
        <v>0</v>
      </c>
      <c r="FD24" s="14">
        <f t="shared" si="23"/>
        <v>0</v>
      </c>
      <c r="FE24" s="14">
        <f t="shared" si="24"/>
        <v>0</v>
      </c>
      <c r="FF24" s="14">
        <f t="shared" si="25"/>
        <v>0</v>
      </c>
      <c r="FG24" s="14">
        <f t="shared" si="26"/>
        <v>0</v>
      </c>
      <c r="FH24" s="14">
        <f t="shared" si="27"/>
        <v>0</v>
      </c>
      <c r="FI24" s="14">
        <f t="shared" si="28"/>
        <v>0</v>
      </c>
      <c r="FJ24" s="14">
        <f t="shared" si="29"/>
        <v>0</v>
      </c>
      <c r="FK24" s="14">
        <f t="shared" si="30"/>
        <v>0</v>
      </c>
      <c r="FL24" s="14">
        <f t="shared" si="31"/>
        <v>0</v>
      </c>
      <c r="FM24" s="14">
        <f t="shared" si="32"/>
        <v>0</v>
      </c>
      <c r="FN24" s="14">
        <f t="shared" si="33"/>
        <v>0</v>
      </c>
      <c r="FO24" s="14">
        <f t="shared" si="34"/>
        <v>0</v>
      </c>
      <c r="FP24" s="14">
        <f t="shared" si="35"/>
        <v>0</v>
      </c>
      <c r="FQ24" s="14">
        <f t="shared" si="36"/>
        <v>0</v>
      </c>
      <c r="FR24" s="14">
        <f t="shared" si="37"/>
        <v>0</v>
      </c>
      <c r="FS24" s="14">
        <f t="shared" si="38"/>
        <v>0</v>
      </c>
      <c r="FT24" s="14">
        <f t="shared" si="39"/>
        <v>0</v>
      </c>
      <c r="FU24" s="14">
        <f t="shared" si="40"/>
        <v>0</v>
      </c>
      <c r="FV24" s="14">
        <f t="shared" si="41"/>
        <v>0</v>
      </c>
      <c r="FW24" s="14">
        <f t="shared" si="42"/>
        <v>0</v>
      </c>
      <c r="FX24" s="14">
        <f t="shared" si="43"/>
        <v>0</v>
      </c>
      <c r="FY24" s="14">
        <f t="shared" si="44"/>
        <v>0</v>
      </c>
      <c r="FZ24" s="14">
        <f t="shared" si="45"/>
        <v>0</v>
      </c>
      <c r="GA24" s="14">
        <f t="shared" si="46"/>
        <v>0</v>
      </c>
      <c r="GB24" s="14">
        <f t="shared" si="47"/>
        <v>0</v>
      </c>
      <c r="GC24" s="14">
        <f t="shared" si="48"/>
        <v>0</v>
      </c>
      <c r="GD24" s="14">
        <f t="shared" si="49"/>
        <v>0</v>
      </c>
      <c r="GE24" s="14">
        <f t="shared" si="50"/>
        <v>0</v>
      </c>
      <c r="GF24" s="14">
        <f t="shared" si="51"/>
        <v>0</v>
      </c>
      <c r="GG24" s="14">
        <f t="shared" si="52"/>
        <v>0</v>
      </c>
      <c r="GH24" s="14">
        <f t="shared" si="53"/>
        <v>0</v>
      </c>
      <c r="GI24" s="14">
        <f t="shared" si="54"/>
        <v>0</v>
      </c>
      <c r="GJ24" s="14">
        <f t="shared" si="55"/>
        <v>0</v>
      </c>
      <c r="GM24" s="91">
        <v>18</v>
      </c>
      <c r="GN24" s="14">
        <f t="shared" si="56"/>
        <v>2</v>
      </c>
      <c r="GO24" s="14">
        <f t="shared" si="57"/>
        <v>1606004</v>
      </c>
      <c r="GP24" s="14" t="str">
        <f t="shared" si="58"/>
        <v>神器1-2 : 8级</v>
      </c>
      <c r="GQ24" s="14" t="s">
        <v>816</v>
      </c>
      <c r="GR24" s="14">
        <f t="shared" si="59"/>
        <v>3</v>
      </c>
      <c r="GS24" s="14" t="str">
        <f t="shared" si="60"/>
        <v>神器1-2</v>
      </c>
      <c r="GT24" s="14">
        <f t="shared" si="61"/>
        <v>1</v>
      </c>
    </row>
    <row r="25" spans="10:202" ht="16.5" x14ac:dyDescent="0.2">
      <c r="J25" s="87">
        <v>18</v>
      </c>
      <c r="K25" s="87">
        <v>10</v>
      </c>
      <c r="L25" s="87">
        <f>SUM(K$8:K25)</f>
        <v>85</v>
      </c>
      <c r="N25" s="90">
        <v>4</v>
      </c>
      <c r="O25" s="90">
        <v>4</v>
      </c>
      <c r="P25" s="90">
        <v>2</v>
      </c>
      <c r="Q25" s="90">
        <v>18</v>
      </c>
      <c r="R25" s="14">
        <f>SUM(Q$7:Q25)</f>
        <v>300</v>
      </c>
      <c r="S25" s="91">
        <v>1606022</v>
      </c>
      <c r="T25" s="14" t="str">
        <f t="shared" si="62"/>
        <v>神器4-4</v>
      </c>
      <c r="AD25" s="87">
        <v>19</v>
      </c>
      <c r="AE25" s="87">
        <v>4</v>
      </c>
      <c r="AF25" s="87">
        <v>5</v>
      </c>
      <c r="AG25" s="87" t="str">
        <f t="shared" si="6"/>
        <v>神器4-5</v>
      </c>
      <c r="AH25" s="87">
        <v>3</v>
      </c>
      <c r="AI25" s="87">
        <f t="shared" si="7"/>
        <v>175</v>
      </c>
      <c r="AL25" s="87">
        <v>3</v>
      </c>
      <c r="AM25" s="87">
        <v>1</v>
      </c>
      <c r="AN25" s="87">
        <v>10</v>
      </c>
      <c r="AO25" s="144">
        <f t="shared" si="8"/>
        <v>4410</v>
      </c>
      <c r="AP25" s="144" t="s">
        <v>1237</v>
      </c>
      <c r="AQ25" s="144" t="str">
        <f t="shared" si="9"/>
        <v>神器本-3-普通-1  神器1-1</v>
      </c>
      <c r="AR25" s="87">
        <v>1</v>
      </c>
      <c r="AS25" s="87" t="s">
        <v>321</v>
      </c>
      <c r="AT25" s="87">
        <v>1500</v>
      </c>
      <c r="AU25" s="87">
        <v>1</v>
      </c>
      <c r="AV25" s="87">
        <v>1</v>
      </c>
      <c r="AW25" s="87">
        <f t="shared" si="10"/>
        <v>1</v>
      </c>
      <c r="AX25" s="14">
        <f t="shared" si="11"/>
        <v>0.15</v>
      </c>
      <c r="AY25" s="14">
        <f t="shared" si="12"/>
        <v>1.5</v>
      </c>
      <c r="BG25" s="87">
        <v>19</v>
      </c>
      <c r="BH25" s="14" t="e">
        <f>INDEX(节奏总表!#REF!,新神器!BG25)</f>
        <v>#REF!</v>
      </c>
      <c r="BI25" s="14" t="e">
        <f t="shared" si="13"/>
        <v>#REF!</v>
      </c>
      <c r="BJ25" s="87">
        <v>3</v>
      </c>
      <c r="BK25" s="87">
        <v>5</v>
      </c>
      <c r="BL25" s="14">
        <f t="shared" si="63"/>
        <v>0</v>
      </c>
      <c r="BM25" s="14">
        <f t="shared" si="63"/>
        <v>0</v>
      </c>
      <c r="BN25" s="14">
        <f t="shared" si="63"/>
        <v>0</v>
      </c>
      <c r="BO25" s="14">
        <f t="shared" si="63"/>
        <v>0</v>
      </c>
      <c r="BP25" s="14">
        <f t="shared" si="63"/>
        <v>0</v>
      </c>
      <c r="BQ25" s="14">
        <f t="shared" si="63"/>
        <v>0</v>
      </c>
      <c r="BR25" s="14">
        <f t="shared" si="63"/>
        <v>0</v>
      </c>
      <c r="BS25" s="14">
        <f t="shared" si="63"/>
        <v>0</v>
      </c>
      <c r="BT25" s="14">
        <f t="shared" si="63"/>
        <v>0</v>
      </c>
      <c r="BU25" s="14">
        <f t="shared" si="63"/>
        <v>0</v>
      </c>
      <c r="BV25" s="14">
        <f t="shared" si="64"/>
        <v>0</v>
      </c>
      <c r="BW25" s="14">
        <f t="shared" si="64"/>
        <v>0</v>
      </c>
      <c r="BX25" s="14">
        <f t="shared" si="64"/>
        <v>0</v>
      </c>
      <c r="BY25" s="14">
        <f t="shared" si="64"/>
        <v>0</v>
      </c>
      <c r="BZ25" s="14">
        <f t="shared" si="64"/>
        <v>0</v>
      </c>
      <c r="CA25" s="14">
        <f t="shared" si="64"/>
        <v>0</v>
      </c>
      <c r="CB25" s="14">
        <f t="shared" si="64"/>
        <v>0</v>
      </c>
      <c r="CC25" s="14">
        <f t="shared" si="64"/>
        <v>0</v>
      </c>
      <c r="CD25" s="14">
        <f t="shared" si="64"/>
        <v>0</v>
      </c>
      <c r="CE25" s="14">
        <f t="shared" si="64"/>
        <v>0</v>
      </c>
      <c r="CF25" s="14">
        <f t="shared" si="65"/>
        <v>0</v>
      </c>
      <c r="CG25" s="14">
        <f t="shared" si="65"/>
        <v>0</v>
      </c>
      <c r="CH25" s="14">
        <f t="shared" si="65"/>
        <v>0</v>
      </c>
      <c r="CI25" s="14">
        <f t="shared" si="65"/>
        <v>0</v>
      </c>
      <c r="CJ25" s="14">
        <f t="shared" si="65"/>
        <v>0</v>
      </c>
      <c r="CK25" s="14">
        <f t="shared" si="65"/>
        <v>0</v>
      </c>
      <c r="CL25" s="14">
        <f t="shared" si="65"/>
        <v>0</v>
      </c>
      <c r="CM25" s="14">
        <f t="shared" si="65"/>
        <v>0</v>
      </c>
      <c r="CN25" s="14">
        <f t="shared" si="65"/>
        <v>0</v>
      </c>
      <c r="CO25" s="14">
        <f t="shared" si="65"/>
        <v>0</v>
      </c>
      <c r="CP25" s="14">
        <f t="shared" si="66"/>
        <v>0</v>
      </c>
      <c r="CQ25" s="14">
        <f t="shared" si="66"/>
        <v>0</v>
      </c>
      <c r="CR25" s="14">
        <f t="shared" si="66"/>
        <v>0</v>
      </c>
      <c r="CS25" s="14">
        <f t="shared" si="66"/>
        <v>0</v>
      </c>
      <c r="CT25" s="14">
        <f t="shared" si="66"/>
        <v>0</v>
      </c>
      <c r="CU25" s="14">
        <f t="shared" si="66"/>
        <v>0</v>
      </c>
      <c r="CV25" s="14">
        <f t="shared" si="66"/>
        <v>0</v>
      </c>
      <c r="CW25" s="14">
        <f t="shared" si="66"/>
        <v>0</v>
      </c>
      <c r="CX25" s="14">
        <f t="shared" si="66"/>
        <v>0</v>
      </c>
      <c r="CY25" s="14">
        <f t="shared" si="66"/>
        <v>0</v>
      </c>
      <c r="CZ25" s="14">
        <f t="shared" si="66"/>
        <v>0</v>
      </c>
      <c r="DA25" s="14">
        <f t="shared" si="66"/>
        <v>0</v>
      </c>
      <c r="DC25" s="14">
        <f>SUM(BL$7:BL25)</f>
        <v>0</v>
      </c>
      <c r="DD25" s="14">
        <f>SUM(BM$7:BM25)</f>
        <v>0</v>
      </c>
      <c r="DE25" s="14">
        <f>SUM(BN$7:BN25)</f>
        <v>0</v>
      </c>
      <c r="DF25" s="14">
        <f>SUM(BO$7:BO25)</f>
        <v>0</v>
      </c>
      <c r="DG25" s="14">
        <f>SUM(BP$7:BP25)</f>
        <v>0</v>
      </c>
      <c r="DH25" s="14">
        <f>SUM(BQ$7:BQ25)</f>
        <v>0</v>
      </c>
      <c r="DI25" s="14">
        <f>SUM(BR$7:BR25)</f>
        <v>0</v>
      </c>
      <c r="DJ25" s="14">
        <f>SUM(BS$7:BS25)</f>
        <v>0</v>
      </c>
      <c r="DK25" s="14">
        <f>SUM(BT$7:BT25)</f>
        <v>0</v>
      </c>
      <c r="DL25" s="14">
        <f>SUM(BU$7:BU25)</f>
        <v>0</v>
      </c>
      <c r="DM25" s="14">
        <f>SUM(BV$7:BV25)</f>
        <v>0</v>
      </c>
      <c r="DN25" s="14">
        <f>SUM(BW$7:BW25)</f>
        <v>0</v>
      </c>
      <c r="DO25" s="14">
        <f>SUM(BX$7:BX25)</f>
        <v>0</v>
      </c>
      <c r="DP25" s="14">
        <f>SUM(BY$7:BY25)</f>
        <v>0</v>
      </c>
      <c r="DQ25" s="14">
        <f>SUM(BZ$7:BZ25)</f>
        <v>0</v>
      </c>
      <c r="DR25" s="14">
        <f>SUM(CA$7:CA25)</f>
        <v>0</v>
      </c>
      <c r="DS25" s="14">
        <f>SUM(CB$7:CB25)</f>
        <v>0</v>
      </c>
      <c r="DT25" s="14">
        <f>SUM(CC$7:CC25)</f>
        <v>0</v>
      </c>
      <c r="DU25" s="14">
        <f>SUM(CD$7:CD25)</f>
        <v>0</v>
      </c>
      <c r="DV25" s="14">
        <f>SUM(CE$7:CE25)</f>
        <v>0</v>
      </c>
      <c r="DW25" s="14">
        <f>SUM(CF$7:CF25)</f>
        <v>0</v>
      </c>
      <c r="DX25" s="14">
        <f>SUM(CG$7:CG25)</f>
        <v>0</v>
      </c>
      <c r="DY25" s="14">
        <f>SUM(CH$7:CH25)</f>
        <v>0</v>
      </c>
      <c r="DZ25" s="14">
        <f>SUM(CI$7:CI25)</f>
        <v>0</v>
      </c>
      <c r="EA25" s="14">
        <f>SUM(CJ$7:CJ25)</f>
        <v>0</v>
      </c>
      <c r="EB25" s="14">
        <f>SUM(CK$7:CK25)</f>
        <v>0</v>
      </c>
      <c r="EC25" s="14">
        <f>SUM(CL$7:CL25)</f>
        <v>0</v>
      </c>
      <c r="ED25" s="14">
        <f>SUM(CM$7:CM25)</f>
        <v>0</v>
      </c>
      <c r="EE25" s="14">
        <f>SUM(CN$7:CN25)</f>
        <v>0</v>
      </c>
      <c r="EF25" s="14">
        <f>SUM(CO$7:CO25)</f>
        <v>0</v>
      </c>
      <c r="EG25" s="14">
        <f>SUM(CP$7:CP25)</f>
        <v>0</v>
      </c>
      <c r="EH25" s="14">
        <f>SUM(CQ$7:CQ25)</f>
        <v>0</v>
      </c>
      <c r="EI25" s="14">
        <f>SUM(CR$7:CR25)</f>
        <v>0</v>
      </c>
      <c r="EJ25" s="14">
        <f>SUM(CS$7:CS25)</f>
        <v>0</v>
      </c>
      <c r="EK25" s="14">
        <f>SUM(CT$7:CT25)</f>
        <v>0</v>
      </c>
      <c r="EL25" s="14">
        <f>SUM(CU$7:CU25)</f>
        <v>0</v>
      </c>
      <c r="EM25" s="14">
        <f>SUM(CV$7:CV25)</f>
        <v>0</v>
      </c>
      <c r="EN25" s="14">
        <f>SUM(CW$7:CW25)</f>
        <v>0</v>
      </c>
      <c r="EO25" s="14">
        <f>SUM(CX$7:CX25)</f>
        <v>0</v>
      </c>
      <c r="EP25" s="14">
        <f>SUM(CY$7:CY25)</f>
        <v>0</v>
      </c>
      <c r="EQ25" s="14">
        <f>SUM(CZ$7:CZ25)</f>
        <v>0</v>
      </c>
      <c r="ER25" s="14">
        <f>SUM(DA$7:DA25)</f>
        <v>0</v>
      </c>
      <c r="EU25" s="14">
        <f t="shared" si="14"/>
        <v>0</v>
      </c>
      <c r="EV25" s="14">
        <f t="shared" si="15"/>
        <v>0</v>
      </c>
      <c r="EW25" s="14">
        <f t="shared" si="16"/>
        <v>0</v>
      </c>
      <c r="EX25" s="14">
        <f t="shared" si="17"/>
        <v>0</v>
      </c>
      <c r="EY25" s="14">
        <f t="shared" si="18"/>
        <v>0</v>
      </c>
      <c r="EZ25" s="14">
        <f t="shared" si="19"/>
        <v>0</v>
      </c>
      <c r="FA25" s="14">
        <f t="shared" si="20"/>
        <v>0</v>
      </c>
      <c r="FB25" s="14">
        <f t="shared" si="21"/>
        <v>0</v>
      </c>
      <c r="FC25" s="14">
        <f t="shared" si="22"/>
        <v>0</v>
      </c>
      <c r="FD25" s="14">
        <f t="shared" si="23"/>
        <v>0</v>
      </c>
      <c r="FE25" s="14">
        <f t="shared" si="24"/>
        <v>0</v>
      </c>
      <c r="FF25" s="14">
        <f t="shared" si="25"/>
        <v>0</v>
      </c>
      <c r="FG25" s="14">
        <f t="shared" si="26"/>
        <v>0</v>
      </c>
      <c r="FH25" s="14">
        <f t="shared" si="27"/>
        <v>0</v>
      </c>
      <c r="FI25" s="14">
        <f t="shared" si="28"/>
        <v>0</v>
      </c>
      <c r="FJ25" s="14">
        <f t="shared" si="29"/>
        <v>0</v>
      </c>
      <c r="FK25" s="14">
        <f t="shared" si="30"/>
        <v>0</v>
      </c>
      <c r="FL25" s="14">
        <f t="shared" si="31"/>
        <v>0</v>
      </c>
      <c r="FM25" s="14">
        <f t="shared" si="32"/>
        <v>0</v>
      </c>
      <c r="FN25" s="14">
        <f t="shared" si="33"/>
        <v>0</v>
      </c>
      <c r="FO25" s="14">
        <f t="shared" si="34"/>
        <v>0</v>
      </c>
      <c r="FP25" s="14">
        <f t="shared" si="35"/>
        <v>0</v>
      </c>
      <c r="FQ25" s="14">
        <f t="shared" si="36"/>
        <v>0</v>
      </c>
      <c r="FR25" s="14">
        <f t="shared" si="37"/>
        <v>0</v>
      </c>
      <c r="FS25" s="14">
        <f t="shared" si="38"/>
        <v>0</v>
      </c>
      <c r="FT25" s="14">
        <f t="shared" si="39"/>
        <v>0</v>
      </c>
      <c r="FU25" s="14">
        <f t="shared" si="40"/>
        <v>0</v>
      </c>
      <c r="FV25" s="14">
        <f t="shared" si="41"/>
        <v>0</v>
      </c>
      <c r="FW25" s="14">
        <f t="shared" si="42"/>
        <v>0</v>
      </c>
      <c r="FX25" s="14">
        <f t="shared" si="43"/>
        <v>0</v>
      </c>
      <c r="FY25" s="14">
        <f t="shared" si="44"/>
        <v>0</v>
      </c>
      <c r="FZ25" s="14">
        <f t="shared" si="45"/>
        <v>0</v>
      </c>
      <c r="GA25" s="14">
        <f t="shared" si="46"/>
        <v>0</v>
      </c>
      <c r="GB25" s="14">
        <f t="shared" si="47"/>
        <v>0</v>
      </c>
      <c r="GC25" s="14">
        <f t="shared" si="48"/>
        <v>0</v>
      </c>
      <c r="GD25" s="14">
        <f t="shared" si="49"/>
        <v>0</v>
      </c>
      <c r="GE25" s="14">
        <f t="shared" si="50"/>
        <v>0</v>
      </c>
      <c r="GF25" s="14">
        <f t="shared" si="51"/>
        <v>0</v>
      </c>
      <c r="GG25" s="14">
        <f t="shared" si="52"/>
        <v>0</v>
      </c>
      <c r="GH25" s="14">
        <f t="shared" si="53"/>
        <v>0</v>
      </c>
      <c r="GI25" s="14">
        <f t="shared" si="54"/>
        <v>0</v>
      </c>
      <c r="GJ25" s="14">
        <f t="shared" si="55"/>
        <v>0</v>
      </c>
      <c r="GM25" s="91">
        <v>19</v>
      </c>
      <c r="GN25" s="14">
        <f t="shared" si="56"/>
        <v>2</v>
      </c>
      <c r="GO25" s="14">
        <f t="shared" si="57"/>
        <v>1606004</v>
      </c>
      <c r="GP25" s="14" t="str">
        <f t="shared" si="58"/>
        <v>神器1-2 : 1级</v>
      </c>
      <c r="GQ25" s="14" t="s">
        <v>816</v>
      </c>
      <c r="GR25" s="14">
        <f t="shared" si="59"/>
        <v>4</v>
      </c>
      <c r="GS25" s="14" t="str">
        <f t="shared" si="60"/>
        <v>神器1-2</v>
      </c>
      <c r="GT25" s="14">
        <f t="shared" si="61"/>
        <v>2</v>
      </c>
    </row>
    <row r="26" spans="10:202" ht="16.5" x14ac:dyDescent="0.2">
      <c r="J26" s="87">
        <v>19</v>
      </c>
      <c r="K26" s="87">
        <v>15</v>
      </c>
      <c r="L26" s="87">
        <f>SUM(K$8:K26)</f>
        <v>100</v>
      </c>
      <c r="N26" s="90">
        <v>4</v>
      </c>
      <c r="O26" s="90">
        <v>5</v>
      </c>
      <c r="P26" s="90">
        <v>3</v>
      </c>
      <c r="Q26" s="90">
        <v>18</v>
      </c>
      <c r="R26" s="14">
        <f>SUM(Q$7:Q26)</f>
        <v>318</v>
      </c>
      <c r="S26" s="91">
        <v>1606023</v>
      </c>
      <c r="T26" s="14" t="str">
        <f t="shared" si="62"/>
        <v>神器4-5</v>
      </c>
      <c r="AD26" s="87">
        <v>20</v>
      </c>
      <c r="AE26" s="87">
        <v>4</v>
      </c>
      <c r="AF26" s="87">
        <v>6</v>
      </c>
      <c r="AG26" s="87" t="str">
        <f t="shared" si="6"/>
        <v>神器4-6</v>
      </c>
      <c r="AH26" s="87">
        <v>4</v>
      </c>
      <c r="AI26" s="87">
        <f t="shared" si="7"/>
        <v>375</v>
      </c>
      <c r="AL26" s="87">
        <v>3</v>
      </c>
      <c r="AM26" s="87">
        <v>1</v>
      </c>
      <c r="AN26" s="87">
        <v>10</v>
      </c>
      <c r="AO26" s="144">
        <f t="shared" si="8"/>
        <v>4410</v>
      </c>
      <c r="AP26" s="144" t="s">
        <v>1237</v>
      </c>
      <c r="AQ26" s="144" t="str">
        <f t="shared" si="9"/>
        <v>神器本-3-普通-1  神器1-2</v>
      </c>
      <c r="AR26" s="87">
        <v>2</v>
      </c>
      <c r="AS26" s="87" t="s">
        <v>322</v>
      </c>
      <c r="AT26" s="87">
        <v>1500</v>
      </c>
      <c r="AU26" s="87">
        <v>1</v>
      </c>
      <c r="AV26" s="87">
        <v>1</v>
      </c>
      <c r="AW26" s="87">
        <f t="shared" si="10"/>
        <v>1</v>
      </c>
      <c r="AX26" s="14">
        <f t="shared" si="11"/>
        <v>0.15</v>
      </c>
      <c r="AY26" s="14">
        <f t="shared" si="12"/>
        <v>1.5</v>
      </c>
      <c r="BG26" s="87">
        <v>20</v>
      </c>
      <c r="BH26" s="14" t="e">
        <f>INDEX(节奏总表!#REF!,新神器!BG26)</f>
        <v>#REF!</v>
      </c>
      <c r="BI26" s="14" t="e">
        <f t="shared" si="13"/>
        <v>#REF!</v>
      </c>
      <c r="BJ26" s="87">
        <v>3</v>
      </c>
      <c r="BK26" s="87">
        <v>5</v>
      </c>
      <c r="BL26" s="14">
        <f t="shared" si="63"/>
        <v>0</v>
      </c>
      <c r="BM26" s="14">
        <f t="shared" si="63"/>
        <v>0</v>
      </c>
      <c r="BN26" s="14">
        <f t="shared" si="63"/>
        <v>0</v>
      </c>
      <c r="BO26" s="14">
        <f t="shared" si="63"/>
        <v>0</v>
      </c>
      <c r="BP26" s="14">
        <f t="shared" si="63"/>
        <v>0</v>
      </c>
      <c r="BQ26" s="14">
        <f t="shared" si="63"/>
        <v>0</v>
      </c>
      <c r="BR26" s="14">
        <f t="shared" si="63"/>
        <v>0</v>
      </c>
      <c r="BS26" s="14">
        <f t="shared" si="63"/>
        <v>0</v>
      </c>
      <c r="BT26" s="14">
        <f t="shared" si="63"/>
        <v>0</v>
      </c>
      <c r="BU26" s="14">
        <f t="shared" si="63"/>
        <v>0</v>
      </c>
      <c r="BV26" s="14">
        <f t="shared" si="64"/>
        <v>0</v>
      </c>
      <c r="BW26" s="14">
        <f t="shared" si="64"/>
        <v>0</v>
      </c>
      <c r="BX26" s="14">
        <f t="shared" si="64"/>
        <v>0</v>
      </c>
      <c r="BY26" s="14">
        <f t="shared" si="64"/>
        <v>0</v>
      </c>
      <c r="BZ26" s="14">
        <f t="shared" si="64"/>
        <v>0</v>
      </c>
      <c r="CA26" s="14">
        <f t="shared" si="64"/>
        <v>0</v>
      </c>
      <c r="CB26" s="14">
        <f t="shared" si="64"/>
        <v>0</v>
      </c>
      <c r="CC26" s="14">
        <f t="shared" si="64"/>
        <v>0</v>
      </c>
      <c r="CD26" s="14">
        <f t="shared" si="64"/>
        <v>0</v>
      </c>
      <c r="CE26" s="14">
        <f t="shared" si="64"/>
        <v>0</v>
      </c>
      <c r="CF26" s="14">
        <f t="shared" si="65"/>
        <v>0</v>
      </c>
      <c r="CG26" s="14">
        <f t="shared" si="65"/>
        <v>0</v>
      </c>
      <c r="CH26" s="14">
        <f t="shared" si="65"/>
        <v>0</v>
      </c>
      <c r="CI26" s="14">
        <f t="shared" si="65"/>
        <v>0</v>
      </c>
      <c r="CJ26" s="14">
        <f t="shared" si="65"/>
        <v>0</v>
      </c>
      <c r="CK26" s="14">
        <f t="shared" si="65"/>
        <v>0</v>
      </c>
      <c r="CL26" s="14">
        <f t="shared" si="65"/>
        <v>0</v>
      </c>
      <c r="CM26" s="14">
        <f t="shared" si="65"/>
        <v>0</v>
      </c>
      <c r="CN26" s="14">
        <f t="shared" si="65"/>
        <v>0</v>
      </c>
      <c r="CO26" s="14">
        <f t="shared" si="65"/>
        <v>0</v>
      </c>
      <c r="CP26" s="14">
        <f t="shared" si="66"/>
        <v>0</v>
      </c>
      <c r="CQ26" s="14">
        <f t="shared" si="66"/>
        <v>0</v>
      </c>
      <c r="CR26" s="14">
        <f t="shared" si="66"/>
        <v>0</v>
      </c>
      <c r="CS26" s="14">
        <f t="shared" si="66"/>
        <v>0</v>
      </c>
      <c r="CT26" s="14">
        <f t="shared" si="66"/>
        <v>0</v>
      </c>
      <c r="CU26" s="14">
        <f t="shared" si="66"/>
        <v>0</v>
      </c>
      <c r="CV26" s="14">
        <f t="shared" si="66"/>
        <v>0</v>
      </c>
      <c r="CW26" s="14">
        <f t="shared" si="66"/>
        <v>0</v>
      </c>
      <c r="CX26" s="14">
        <f t="shared" si="66"/>
        <v>0</v>
      </c>
      <c r="CY26" s="14">
        <f t="shared" si="66"/>
        <v>0</v>
      </c>
      <c r="CZ26" s="14">
        <f t="shared" si="66"/>
        <v>0</v>
      </c>
      <c r="DA26" s="14">
        <f t="shared" si="66"/>
        <v>0</v>
      </c>
      <c r="DC26" s="14">
        <f>SUM(BL$7:BL26)</f>
        <v>0</v>
      </c>
      <c r="DD26" s="14">
        <f>SUM(BM$7:BM26)</f>
        <v>0</v>
      </c>
      <c r="DE26" s="14">
        <f>SUM(BN$7:BN26)</f>
        <v>0</v>
      </c>
      <c r="DF26" s="14">
        <f>SUM(BO$7:BO26)</f>
        <v>0</v>
      </c>
      <c r="DG26" s="14">
        <f>SUM(BP$7:BP26)</f>
        <v>0</v>
      </c>
      <c r="DH26" s="14">
        <f>SUM(BQ$7:BQ26)</f>
        <v>0</v>
      </c>
      <c r="DI26" s="14">
        <f>SUM(BR$7:BR26)</f>
        <v>0</v>
      </c>
      <c r="DJ26" s="14">
        <f>SUM(BS$7:BS26)</f>
        <v>0</v>
      </c>
      <c r="DK26" s="14">
        <f>SUM(BT$7:BT26)</f>
        <v>0</v>
      </c>
      <c r="DL26" s="14">
        <f>SUM(BU$7:BU26)</f>
        <v>0</v>
      </c>
      <c r="DM26" s="14">
        <f>SUM(BV$7:BV26)</f>
        <v>0</v>
      </c>
      <c r="DN26" s="14">
        <f>SUM(BW$7:BW26)</f>
        <v>0</v>
      </c>
      <c r="DO26" s="14">
        <f>SUM(BX$7:BX26)</f>
        <v>0</v>
      </c>
      <c r="DP26" s="14">
        <f>SUM(BY$7:BY26)</f>
        <v>0</v>
      </c>
      <c r="DQ26" s="14">
        <f>SUM(BZ$7:BZ26)</f>
        <v>0</v>
      </c>
      <c r="DR26" s="14">
        <f>SUM(CA$7:CA26)</f>
        <v>0</v>
      </c>
      <c r="DS26" s="14">
        <f>SUM(CB$7:CB26)</f>
        <v>0</v>
      </c>
      <c r="DT26" s="14">
        <f>SUM(CC$7:CC26)</f>
        <v>0</v>
      </c>
      <c r="DU26" s="14">
        <f>SUM(CD$7:CD26)</f>
        <v>0</v>
      </c>
      <c r="DV26" s="14">
        <f>SUM(CE$7:CE26)</f>
        <v>0</v>
      </c>
      <c r="DW26" s="14">
        <f>SUM(CF$7:CF26)</f>
        <v>0</v>
      </c>
      <c r="DX26" s="14">
        <f>SUM(CG$7:CG26)</f>
        <v>0</v>
      </c>
      <c r="DY26" s="14">
        <f>SUM(CH$7:CH26)</f>
        <v>0</v>
      </c>
      <c r="DZ26" s="14">
        <f>SUM(CI$7:CI26)</f>
        <v>0</v>
      </c>
      <c r="EA26" s="14">
        <f>SUM(CJ$7:CJ26)</f>
        <v>0</v>
      </c>
      <c r="EB26" s="14">
        <f>SUM(CK$7:CK26)</f>
        <v>0</v>
      </c>
      <c r="EC26" s="14">
        <f>SUM(CL$7:CL26)</f>
        <v>0</v>
      </c>
      <c r="ED26" s="14">
        <f>SUM(CM$7:CM26)</f>
        <v>0</v>
      </c>
      <c r="EE26" s="14">
        <f>SUM(CN$7:CN26)</f>
        <v>0</v>
      </c>
      <c r="EF26" s="14">
        <f>SUM(CO$7:CO26)</f>
        <v>0</v>
      </c>
      <c r="EG26" s="14">
        <f>SUM(CP$7:CP26)</f>
        <v>0</v>
      </c>
      <c r="EH26" s="14">
        <f>SUM(CQ$7:CQ26)</f>
        <v>0</v>
      </c>
      <c r="EI26" s="14">
        <f>SUM(CR$7:CR26)</f>
        <v>0</v>
      </c>
      <c r="EJ26" s="14">
        <f>SUM(CS$7:CS26)</f>
        <v>0</v>
      </c>
      <c r="EK26" s="14">
        <f>SUM(CT$7:CT26)</f>
        <v>0</v>
      </c>
      <c r="EL26" s="14">
        <f>SUM(CU$7:CU26)</f>
        <v>0</v>
      </c>
      <c r="EM26" s="14">
        <f>SUM(CV$7:CV26)</f>
        <v>0</v>
      </c>
      <c r="EN26" s="14">
        <f>SUM(CW$7:CW26)</f>
        <v>0</v>
      </c>
      <c r="EO26" s="14">
        <f>SUM(CX$7:CX26)</f>
        <v>0</v>
      </c>
      <c r="EP26" s="14">
        <f>SUM(CY$7:CY26)</f>
        <v>0</v>
      </c>
      <c r="EQ26" s="14">
        <f>SUM(CZ$7:CZ26)</f>
        <v>0</v>
      </c>
      <c r="ER26" s="14">
        <f>SUM(DA$7:DA26)</f>
        <v>0</v>
      </c>
      <c r="EU26" s="14">
        <f t="shared" si="14"/>
        <v>0</v>
      </c>
      <c r="EV26" s="14">
        <f t="shared" si="15"/>
        <v>0</v>
      </c>
      <c r="EW26" s="14">
        <f t="shared" si="16"/>
        <v>0</v>
      </c>
      <c r="EX26" s="14">
        <f t="shared" si="17"/>
        <v>0</v>
      </c>
      <c r="EY26" s="14">
        <f t="shared" si="18"/>
        <v>0</v>
      </c>
      <c r="EZ26" s="14">
        <f t="shared" si="19"/>
        <v>0</v>
      </c>
      <c r="FA26" s="14">
        <f t="shared" si="20"/>
        <v>0</v>
      </c>
      <c r="FB26" s="14">
        <f t="shared" si="21"/>
        <v>0</v>
      </c>
      <c r="FC26" s="14">
        <f t="shared" si="22"/>
        <v>0</v>
      </c>
      <c r="FD26" s="14">
        <f t="shared" si="23"/>
        <v>0</v>
      </c>
      <c r="FE26" s="14">
        <f t="shared" si="24"/>
        <v>0</v>
      </c>
      <c r="FF26" s="14">
        <f t="shared" si="25"/>
        <v>0</v>
      </c>
      <c r="FG26" s="14">
        <f t="shared" si="26"/>
        <v>0</v>
      </c>
      <c r="FH26" s="14">
        <f t="shared" si="27"/>
        <v>0</v>
      </c>
      <c r="FI26" s="14">
        <f t="shared" si="28"/>
        <v>0</v>
      </c>
      <c r="FJ26" s="14">
        <f t="shared" si="29"/>
        <v>0</v>
      </c>
      <c r="FK26" s="14">
        <f t="shared" si="30"/>
        <v>0</v>
      </c>
      <c r="FL26" s="14">
        <f t="shared" si="31"/>
        <v>0</v>
      </c>
      <c r="FM26" s="14">
        <f t="shared" si="32"/>
        <v>0</v>
      </c>
      <c r="FN26" s="14">
        <f t="shared" si="33"/>
        <v>0</v>
      </c>
      <c r="FO26" s="14">
        <f t="shared" si="34"/>
        <v>0</v>
      </c>
      <c r="FP26" s="14">
        <f t="shared" si="35"/>
        <v>0</v>
      </c>
      <c r="FQ26" s="14">
        <f t="shared" si="36"/>
        <v>0</v>
      </c>
      <c r="FR26" s="14">
        <f t="shared" si="37"/>
        <v>0</v>
      </c>
      <c r="FS26" s="14">
        <f t="shared" si="38"/>
        <v>0</v>
      </c>
      <c r="FT26" s="14">
        <f t="shared" si="39"/>
        <v>0</v>
      </c>
      <c r="FU26" s="14">
        <f t="shared" si="40"/>
        <v>0</v>
      </c>
      <c r="FV26" s="14">
        <f t="shared" si="41"/>
        <v>0</v>
      </c>
      <c r="FW26" s="14">
        <f t="shared" si="42"/>
        <v>0</v>
      </c>
      <c r="FX26" s="14">
        <f t="shared" si="43"/>
        <v>0</v>
      </c>
      <c r="FY26" s="14">
        <f t="shared" si="44"/>
        <v>0</v>
      </c>
      <c r="FZ26" s="14">
        <f t="shared" si="45"/>
        <v>0</v>
      </c>
      <c r="GA26" s="14">
        <f t="shared" si="46"/>
        <v>0</v>
      </c>
      <c r="GB26" s="14">
        <f t="shared" si="47"/>
        <v>0</v>
      </c>
      <c r="GC26" s="14">
        <f t="shared" si="48"/>
        <v>0</v>
      </c>
      <c r="GD26" s="14">
        <f t="shared" si="49"/>
        <v>0</v>
      </c>
      <c r="GE26" s="14">
        <f t="shared" si="50"/>
        <v>0</v>
      </c>
      <c r="GF26" s="14">
        <f t="shared" si="51"/>
        <v>0</v>
      </c>
      <c r="GG26" s="14">
        <f t="shared" si="52"/>
        <v>0</v>
      </c>
      <c r="GH26" s="14">
        <f t="shared" si="53"/>
        <v>0</v>
      </c>
      <c r="GI26" s="14">
        <f t="shared" si="54"/>
        <v>0</v>
      </c>
      <c r="GJ26" s="14">
        <f t="shared" si="55"/>
        <v>0</v>
      </c>
      <c r="GM26" s="91">
        <v>20</v>
      </c>
      <c r="GN26" s="14">
        <f t="shared" si="56"/>
        <v>2</v>
      </c>
      <c r="GO26" s="14">
        <f t="shared" si="57"/>
        <v>1606004</v>
      </c>
      <c r="GP26" s="14" t="str">
        <f t="shared" si="58"/>
        <v>神器1-2 : 2级</v>
      </c>
      <c r="GQ26" s="14" t="s">
        <v>816</v>
      </c>
      <c r="GR26" s="14">
        <f t="shared" si="59"/>
        <v>5</v>
      </c>
      <c r="GS26" s="14" t="str">
        <f t="shared" si="60"/>
        <v>神器1-2</v>
      </c>
      <c r="GT26" s="14">
        <f t="shared" si="61"/>
        <v>2</v>
      </c>
    </row>
    <row r="27" spans="10:202" ht="16.5" x14ac:dyDescent="0.2">
      <c r="J27" s="87">
        <v>20</v>
      </c>
      <c r="K27" s="87">
        <v>15</v>
      </c>
      <c r="L27" s="87">
        <f>SUM(K$8:K27)</f>
        <v>115</v>
      </c>
      <c r="N27" s="90">
        <v>4</v>
      </c>
      <c r="O27" s="90">
        <v>6</v>
      </c>
      <c r="P27" s="90">
        <v>4</v>
      </c>
      <c r="Q27" s="90">
        <v>18</v>
      </c>
      <c r="R27" s="14">
        <f>SUM(Q$7:Q27)</f>
        <v>336</v>
      </c>
      <c r="S27" s="91">
        <v>1606024</v>
      </c>
      <c r="T27" s="14" t="str">
        <f t="shared" si="62"/>
        <v>神器4-6</v>
      </c>
      <c r="AD27" s="87">
        <v>21</v>
      </c>
      <c r="AE27" s="87">
        <v>5</v>
      </c>
      <c r="AF27" s="87">
        <v>1</v>
      </c>
      <c r="AG27" s="87" t="str">
        <f t="shared" si="6"/>
        <v>神器5-1</v>
      </c>
      <c r="AH27" s="87">
        <v>1</v>
      </c>
      <c r="AI27" s="87">
        <f t="shared" si="7"/>
        <v>30</v>
      </c>
      <c r="AL27" s="87">
        <v>3</v>
      </c>
      <c r="AM27" s="87">
        <v>1</v>
      </c>
      <c r="AN27" s="87">
        <v>10</v>
      </c>
      <c r="AO27" s="144">
        <f t="shared" si="8"/>
        <v>4410</v>
      </c>
      <c r="AP27" s="144" t="s">
        <v>1237</v>
      </c>
      <c r="AQ27" s="144" t="str">
        <f t="shared" si="9"/>
        <v>神器本-3-普通-1  神器1-3</v>
      </c>
      <c r="AR27" s="87">
        <v>3</v>
      </c>
      <c r="AS27" s="87" t="s">
        <v>323</v>
      </c>
      <c r="AT27" s="87">
        <v>1000</v>
      </c>
      <c r="AU27" s="87">
        <v>1</v>
      </c>
      <c r="AV27" s="87">
        <v>1</v>
      </c>
      <c r="AW27" s="87">
        <f t="shared" si="10"/>
        <v>2</v>
      </c>
      <c r="AX27" s="14">
        <f t="shared" si="11"/>
        <v>0.1</v>
      </c>
      <c r="AY27" s="14">
        <f t="shared" si="12"/>
        <v>3</v>
      </c>
      <c r="BG27" s="87">
        <v>21</v>
      </c>
      <c r="BH27" s="14" t="e">
        <f>INDEX(节奏总表!#REF!,新神器!BG27)</f>
        <v>#REF!</v>
      </c>
      <c r="BI27" s="14" t="e">
        <f t="shared" si="13"/>
        <v>#REF!</v>
      </c>
      <c r="BJ27" s="87">
        <v>3</v>
      </c>
      <c r="BK27" s="87">
        <v>5</v>
      </c>
      <c r="BL27" s="14">
        <f t="shared" ref="BL27:BU36" si="67">SUMIFS($AX$7:$AX$301,$AL$7:$AL$301,"="&amp;$BI27,$AM$7:$AM$301,"="&amp;$BJ27,$AR$7:$AR$301,"="&amp;BL$2)*$BK27</f>
        <v>0</v>
      </c>
      <c r="BM27" s="14">
        <f t="shared" si="67"/>
        <v>0</v>
      </c>
      <c r="BN27" s="14">
        <f t="shared" si="67"/>
        <v>0</v>
      </c>
      <c r="BO27" s="14">
        <f t="shared" si="67"/>
        <v>0</v>
      </c>
      <c r="BP27" s="14">
        <f t="shared" si="67"/>
        <v>0</v>
      </c>
      <c r="BQ27" s="14">
        <f t="shared" si="67"/>
        <v>0</v>
      </c>
      <c r="BR27" s="14">
        <f t="shared" si="67"/>
        <v>0</v>
      </c>
      <c r="BS27" s="14">
        <f t="shared" si="67"/>
        <v>0</v>
      </c>
      <c r="BT27" s="14">
        <f t="shared" si="67"/>
        <v>0</v>
      </c>
      <c r="BU27" s="14">
        <f t="shared" si="67"/>
        <v>0</v>
      </c>
      <c r="BV27" s="14">
        <f t="shared" ref="BV27:CE36" si="68">SUMIFS($AX$7:$AX$301,$AL$7:$AL$301,"="&amp;$BI27,$AM$7:$AM$301,"="&amp;$BJ27,$AR$7:$AR$301,"="&amp;BV$2)*$BK27</f>
        <v>0</v>
      </c>
      <c r="BW27" s="14">
        <f t="shared" si="68"/>
        <v>0</v>
      </c>
      <c r="BX27" s="14">
        <f t="shared" si="68"/>
        <v>0</v>
      </c>
      <c r="BY27" s="14">
        <f t="shared" si="68"/>
        <v>0</v>
      </c>
      <c r="BZ27" s="14">
        <f t="shared" si="68"/>
        <v>0</v>
      </c>
      <c r="CA27" s="14">
        <f t="shared" si="68"/>
        <v>0</v>
      </c>
      <c r="CB27" s="14">
        <f t="shared" si="68"/>
        <v>0</v>
      </c>
      <c r="CC27" s="14">
        <f t="shared" si="68"/>
        <v>0</v>
      </c>
      <c r="CD27" s="14">
        <f t="shared" si="68"/>
        <v>0</v>
      </c>
      <c r="CE27" s="14">
        <f t="shared" si="68"/>
        <v>0</v>
      </c>
      <c r="CF27" s="14">
        <f t="shared" ref="CF27:CO36" si="69">SUMIFS($AX$7:$AX$301,$AL$7:$AL$301,"="&amp;$BI27,$AM$7:$AM$301,"="&amp;$BJ27,$AR$7:$AR$301,"="&amp;CF$2)*$BK27</f>
        <v>0</v>
      </c>
      <c r="CG27" s="14">
        <f t="shared" si="69"/>
        <v>0</v>
      </c>
      <c r="CH27" s="14">
        <f t="shared" si="69"/>
        <v>0</v>
      </c>
      <c r="CI27" s="14">
        <f t="shared" si="69"/>
        <v>0</v>
      </c>
      <c r="CJ27" s="14">
        <f t="shared" si="69"/>
        <v>0</v>
      </c>
      <c r="CK27" s="14">
        <f t="shared" si="69"/>
        <v>0</v>
      </c>
      <c r="CL27" s="14">
        <f t="shared" si="69"/>
        <v>0</v>
      </c>
      <c r="CM27" s="14">
        <f t="shared" si="69"/>
        <v>0</v>
      </c>
      <c r="CN27" s="14">
        <f t="shared" si="69"/>
        <v>0</v>
      </c>
      <c r="CO27" s="14">
        <f t="shared" si="69"/>
        <v>0</v>
      </c>
      <c r="CP27" s="14">
        <f t="shared" ref="CP27:DA36" si="70">SUMIFS($AX$7:$AX$301,$AL$7:$AL$301,"="&amp;$BI27,$AM$7:$AM$301,"="&amp;$BJ27,$AR$7:$AR$301,"="&amp;CP$2)*$BK27</f>
        <v>0</v>
      </c>
      <c r="CQ27" s="14">
        <f t="shared" si="70"/>
        <v>0</v>
      </c>
      <c r="CR27" s="14">
        <f t="shared" si="70"/>
        <v>0</v>
      </c>
      <c r="CS27" s="14">
        <f t="shared" si="70"/>
        <v>0</v>
      </c>
      <c r="CT27" s="14">
        <f t="shared" si="70"/>
        <v>0</v>
      </c>
      <c r="CU27" s="14">
        <f t="shared" si="70"/>
        <v>0</v>
      </c>
      <c r="CV27" s="14">
        <f t="shared" si="70"/>
        <v>0</v>
      </c>
      <c r="CW27" s="14">
        <f t="shared" si="70"/>
        <v>0</v>
      </c>
      <c r="CX27" s="14">
        <f t="shared" si="70"/>
        <v>0</v>
      </c>
      <c r="CY27" s="14">
        <f t="shared" si="70"/>
        <v>0</v>
      </c>
      <c r="CZ27" s="14">
        <f t="shared" si="70"/>
        <v>0</v>
      </c>
      <c r="DA27" s="14">
        <f t="shared" si="70"/>
        <v>0</v>
      </c>
      <c r="DC27" s="14">
        <f>SUM(BL$7:BL27)</f>
        <v>0</v>
      </c>
      <c r="DD27" s="14">
        <f>SUM(BM$7:BM27)</f>
        <v>0</v>
      </c>
      <c r="DE27" s="14">
        <f>SUM(BN$7:BN27)</f>
        <v>0</v>
      </c>
      <c r="DF27" s="14">
        <f>SUM(BO$7:BO27)</f>
        <v>0</v>
      </c>
      <c r="DG27" s="14">
        <f>SUM(BP$7:BP27)</f>
        <v>0</v>
      </c>
      <c r="DH27" s="14">
        <f>SUM(BQ$7:BQ27)</f>
        <v>0</v>
      </c>
      <c r="DI27" s="14">
        <f>SUM(BR$7:BR27)</f>
        <v>0</v>
      </c>
      <c r="DJ27" s="14">
        <f>SUM(BS$7:BS27)</f>
        <v>0</v>
      </c>
      <c r="DK27" s="14">
        <f>SUM(BT$7:BT27)</f>
        <v>0</v>
      </c>
      <c r="DL27" s="14">
        <f>SUM(BU$7:BU27)</f>
        <v>0</v>
      </c>
      <c r="DM27" s="14">
        <f>SUM(BV$7:BV27)</f>
        <v>0</v>
      </c>
      <c r="DN27" s="14">
        <f>SUM(BW$7:BW27)</f>
        <v>0</v>
      </c>
      <c r="DO27" s="14">
        <f>SUM(BX$7:BX27)</f>
        <v>0</v>
      </c>
      <c r="DP27" s="14">
        <f>SUM(BY$7:BY27)</f>
        <v>0</v>
      </c>
      <c r="DQ27" s="14">
        <f>SUM(BZ$7:BZ27)</f>
        <v>0</v>
      </c>
      <c r="DR27" s="14">
        <f>SUM(CA$7:CA27)</f>
        <v>0</v>
      </c>
      <c r="DS27" s="14">
        <f>SUM(CB$7:CB27)</f>
        <v>0</v>
      </c>
      <c r="DT27" s="14">
        <f>SUM(CC$7:CC27)</f>
        <v>0</v>
      </c>
      <c r="DU27" s="14">
        <f>SUM(CD$7:CD27)</f>
        <v>0</v>
      </c>
      <c r="DV27" s="14">
        <f>SUM(CE$7:CE27)</f>
        <v>0</v>
      </c>
      <c r="DW27" s="14">
        <f>SUM(CF$7:CF27)</f>
        <v>0</v>
      </c>
      <c r="DX27" s="14">
        <f>SUM(CG$7:CG27)</f>
        <v>0</v>
      </c>
      <c r="DY27" s="14">
        <f>SUM(CH$7:CH27)</f>
        <v>0</v>
      </c>
      <c r="DZ27" s="14">
        <f>SUM(CI$7:CI27)</f>
        <v>0</v>
      </c>
      <c r="EA27" s="14">
        <f>SUM(CJ$7:CJ27)</f>
        <v>0</v>
      </c>
      <c r="EB27" s="14">
        <f>SUM(CK$7:CK27)</f>
        <v>0</v>
      </c>
      <c r="EC27" s="14">
        <f>SUM(CL$7:CL27)</f>
        <v>0</v>
      </c>
      <c r="ED27" s="14">
        <f>SUM(CM$7:CM27)</f>
        <v>0</v>
      </c>
      <c r="EE27" s="14">
        <f>SUM(CN$7:CN27)</f>
        <v>0</v>
      </c>
      <c r="EF27" s="14">
        <f>SUM(CO$7:CO27)</f>
        <v>0</v>
      </c>
      <c r="EG27" s="14">
        <f>SUM(CP$7:CP27)</f>
        <v>0</v>
      </c>
      <c r="EH27" s="14">
        <f>SUM(CQ$7:CQ27)</f>
        <v>0</v>
      </c>
      <c r="EI27" s="14">
        <f>SUM(CR$7:CR27)</f>
        <v>0</v>
      </c>
      <c r="EJ27" s="14">
        <f>SUM(CS$7:CS27)</f>
        <v>0</v>
      </c>
      <c r="EK27" s="14">
        <f>SUM(CT$7:CT27)</f>
        <v>0</v>
      </c>
      <c r="EL27" s="14">
        <f>SUM(CU$7:CU27)</f>
        <v>0</v>
      </c>
      <c r="EM27" s="14">
        <f>SUM(CV$7:CV27)</f>
        <v>0</v>
      </c>
      <c r="EN27" s="14">
        <f>SUM(CW$7:CW27)</f>
        <v>0</v>
      </c>
      <c r="EO27" s="14">
        <f>SUM(CX$7:CX27)</f>
        <v>0</v>
      </c>
      <c r="EP27" s="14">
        <f>SUM(CY$7:CY27)</f>
        <v>0</v>
      </c>
      <c r="EQ27" s="14">
        <f>SUM(CZ$7:CZ27)</f>
        <v>0</v>
      </c>
      <c r="ER27" s="14">
        <f>SUM(DA$7:DA27)</f>
        <v>0</v>
      </c>
      <c r="EU27" s="14">
        <f t="shared" si="14"/>
        <v>0</v>
      </c>
      <c r="EV27" s="14">
        <f t="shared" si="15"/>
        <v>0</v>
      </c>
      <c r="EW27" s="14">
        <f t="shared" si="16"/>
        <v>0</v>
      </c>
      <c r="EX27" s="14">
        <f t="shared" si="17"/>
        <v>0</v>
      </c>
      <c r="EY27" s="14">
        <f t="shared" si="18"/>
        <v>0</v>
      </c>
      <c r="EZ27" s="14">
        <f t="shared" si="19"/>
        <v>0</v>
      </c>
      <c r="FA27" s="14">
        <f t="shared" si="20"/>
        <v>0</v>
      </c>
      <c r="FB27" s="14">
        <f t="shared" si="21"/>
        <v>0</v>
      </c>
      <c r="FC27" s="14">
        <f t="shared" si="22"/>
        <v>0</v>
      </c>
      <c r="FD27" s="14">
        <f t="shared" si="23"/>
        <v>0</v>
      </c>
      <c r="FE27" s="14">
        <f t="shared" si="24"/>
        <v>0</v>
      </c>
      <c r="FF27" s="14">
        <f t="shared" si="25"/>
        <v>0</v>
      </c>
      <c r="FG27" s="14">
        <f t="shared" si="26"/>
        <v>0</v>
      </c>
      <c r="FH27" s="14">
        <f t="shared" si="27"/>
        <v>0</v>
      </c>
      <c r="FI27" s="14">
        <f t="shared" si="28"/>
        <v>0</v>
      </c>
      <c r="FJ27" s="14">
        <f t="shared" si="29"/>
        <v>0</v>
      </c>
      <c r="FK27" s="14">
        <f t="shared" si="30"/>
        <v>0</v>
      </c>
      <c r="FL27" s="14">
        <f t="shared" si="31"/>
        <v>0</v>
      </c>
      <c r="FM27" s="14">
        <f t="shared" si="32"/>
        <v>0</v>
      </c>
      <c r="FN27" s="14">
        <f t="shared" si="33"/>
        <v>0</v>
      </c>
      <c r="FO27" s="14">
        <f t="shared" si="34"/>
        <v>0</v>
      </c>
      <c r="FP27" s="14">
        <f t="shared" si="35"/>
        <v>0</v>
      </c>
      <c r="FQ27" s="14">
        <f t="shared" si="36"/>
        <v>0</v>
      </c>
      <c r="FR27" s="14">
        <f t="shared" si="37"/>
        <v>0</v>
      </c>
      <c r="FS27" s="14">
        <f t="shared" si="38"/>
        <v>0</v>
      </c>
      <c r="FT27" s="14">
        <f t="shared" si="39"/>
        <v>0</v>
      </c>
      <c r="FU27" s="14">
        <f t="shared" si="40"/>
        <v>0</v>
      </c>
      <c r="FV27" s="14">
        <f t="shared" si="41"/>
        <v>0</v>
      </c>
      <c r="FW27" s="14">
        <f t="shared" si="42"/>
        <v>0</v>
      </c>
      <c r="FX27" s="14">
        <f t="shared" si="43"/>
        <v>0</v>
      </c>
      <c r="FY27" s="14">
        <f t="shared" si="44"/>
        <v>0</v>
      </c>
      <c r="FZ27" s="14">
        <f t="shared" si="45"/>
        <v>0</v>
      </c>
      <c r="GA27" s="14">
        <f t="shared" si="46"/>
        <v>0</v>
      </c>
      <c r="GB27" s="14">
        <f t="shared" si="47"/>
        <v>0</v>
      </c>
      <c r="GC27" s="14">
        <f t="shared" si="48"/>
        <v>0</v>
      </c>
      <c r="GD27" s="14">
        <f t="shared" si="49"/>
        <v>0</v>
      </c>
      <c r="GE27" s="14">
        <f t="shared" si="50"/>
        <v>0</v>
      </c>
      <c r="GF27" s="14">
        <f t="shared" si="51"/>
        <v>0</v>
      </c>
      <c r="GG27" s="14">
        <f t="shared" si="52"/>
        <v>0</v>
      </c>
      <c r="GH27" s="14">
        <f t="shared" si="53"/>
        <v>0</v>
      </c>
      <c r="GI27" s="14">
        <f t="shared" si="54"/>
        <v>0</v>
      </c>
      <c r="GJ27" s="14">
        <f t="shared" si="55"/>
        <v>0</v>
      </c>
      <c r="GM27" s="91">
        <v>21</v>
      </c>
      <c r="GN27" s="14">
        <f t="shared" si="56"/>
        <v>2</v>
      </c>
      <c r="GO27" s="14">
        <f t="shared" si="57"/>
        <v>1606004</v>
      </c>
      <c r="GP27" s="14" t="str">
        <f t="shared" si="58"/>
        <v>神器1-2 : 3级</v>
      </c>
      <c r="GQ27" s="14" t="s">
        <v>816</v>
      </c>
      <c r="GR27" s="14">
        <f t="shared" si="59"/>
        <v>6</v>
      </c>
      <c r="GS27" s="14" t="str">
        <f t="shared" si="60"/>
        <v>神器1-2</v>
      </c>
      <c r="GT27" s="14">
        <f t="shared" si="61"/>
        <v>2</v>
      </c>
    </row>
    <row r="28" spans="10:202" ht="16.5" x14ac:dyDescent="0.2">
      <c r="J28" s="87">
        <v>21</v>
      </c>
      <c r="K28" s="87">
        <v>15</v>
      </c>
      <c r="L28" s="87">
        <f>SUM(K$8:K28)</f>
        <v>130</v>
      </c>
      <c r="N28" s="90">
        <v>5</v>
      </c>
      <c r="O28" s="90">
        <v>1</v>
      </c>
      <c r="P28" s="90">
        <v>1</v>
      </c>
      <c r="Q28" s="90">
        <v>18</v>
      </c>
      <c r="R28" s="14">
        <f>SUM(Q$7:Q28)</f>
        <v>354</v>
      </c>
      <c r="S28" s="91">
        <v>1606027</v>
      </c>
      <c r="T28" s="14" t="str">
        <f t="shared" si="62"/>
        <v>神器5-1</v>
      </c>
      <c r="AD28" s="87">
        <v>22</v>
      </c>
      <c r="AE28" s="87">
        <v>5</v>
      </c>
      <c r="AF28" s="87">
        <v>2</v>
      </c>
      <c r="AG28" s="87" t="str">
        <f t="shared" si="6"/>
        <v>神器5-2</v>
      </c>
      <c r="AH28" s="87">
        <v>1</v>
      </c>
      <c r="AI28" s="87">
        <f t="shared" si="7"/>
        <v>30</v>
      </c>
      <c r="AL28" s="87">
        <v>3</v>
      </c>
      <c r="AM28" s="87">
        <v>1</v>
      </c>
      <c r="AN28" s="87">
        <v>10</v>
      </c>
      <c r="AO28" s="144">
        <f t="shared" si="8"/>
        <v>4410</v>
      </c>
      <c r="AP28" s="144" t="s">
        <v>1237</v>
      </c>
      <c r="AQ28" s="144" t="str">
        <f t="shared" si="9"/>
        <v>神器本-3-普通-1  神器2-1</v>
      </c>
      <c r="AR28" s="87">
        <v>4</v>
      </c>
      <c r="AS28" s="87" t="s">
        <v>324</v>
      </c>
      <c r="AT28" s="87">
        <v>1500</v>
      </c>
      <c r="AU28" s="87">
        <v>1</v>
      </c>
      <c r="AV28" s="87">
        <v>1</v>
      </c>
      <c r="AW28" s="87">
        <f t="shared" si="10"/>
        <v>1</v>
      </c>
      <c r="AX28" s="14">
        <f t="shared" si="11"/>
        <v>0.15</v>
      </c>
      <c r="AY28" s="14">
        <f t="shared" si="12"/>
        <v>2.25</v>
      </c>
      <c r="BG28" s="87">
        <v>22</v>
      </c>
      <c r="BH28" s="14" t="e">
        <f>INDEX(节奏总表!#REF!,新神器!BG28)</f>
        <v>#REF!</v>
      </c>
      <c r="BI28" s="14" t="e">
        <f t="shared" si="13"/>
        <v>#REF!</v>
      </c>
      <c r="BJ28" s="87">
        <v>3</v>
      </c>
      <c r="BK28" s="87">
        <v>5</v>
      </c>
      <c r="BL28" s="14">
        <f t="shared" si="67"/>
        <v>0</v>
      </c>
      <c r="BM28" s="14">
        <f t="shared" si="67"/>
        <v>0</v>
      </c>
      <c r="BN28" s="14">
        <f t="shared" si="67"/>
        <v>0</v>
      </c>
      <c r="BO28" s="14">
        <f t="shared" si="67"/>
        <v>0</v>
      </c>
      <c r="BP28" s="14">
        <f t="shared" si="67"/>
        <v>0</v>
      </c>
      <c r="BQ28" s="14">
        <f t="shared" si="67"/>
        <v>0</v>
      </c>
      <c r="BR28" s="14">
        <f t="shared" si="67"/>
        <v>0</v>
      </c>
      <c r="BS28" s="14">
        <f t="shared" si="67"/>
        <v>0</v>
      </c>
      <c r="BT28" s="14">
        <f t="shared" si="67"/>
        <v>0</v>
      </c>
      <c r="BU28" s="14">
        <f t="shared" si="67"/>
        <v>0</v>
      </c>
      <c r="BV28" s="14">
        <f t="shared" si="68"/>
        <v>0</v>
      </c>
      <c r="BW28" s="14">
        <f t="shared" si="68"/>
        <v>0</v>
      </c>
      <c r="BX28" s="14">
        <f t="shared" si="68"/>
        <v>0</v>
      </c>
      <c r="BY28" s="14">
        <f t="shared" si="68"/>
        <v>0</v>
      </c>
      <c r="BZ28" s="14">
        <f t="shared" si="68"/>
        <v>0</v>
      </c>
      <c r="CA28" s="14">
        <f t="shared" si="68"/>
        <v>0</v>
      </c>
      <c r="CB28" s="14">
        <f t="shared" si="68"/>
        <v>0</v>
      </c>
      <c r="CC28" s="14">
        <f t="shared" si="68"/>
        <v>0</v>
      </c>
      <c r="CD28" s="14">
        <f t="shared" si="68"/>
        <v>0</v>
      </c>
      <c r="CE28" s="14">
        <f t="shared" si="68"/>
        <v>0</v>
      </c>
      <c r="CF28" s="14">
        <f t="shared" si="69"/>
        <v>0</v>
      </c>
      <c r="CG28" s="14">
        <f t="shared" si="69"/>
        <v>0</v>
      </c>
      <c r="CH28" s="14">
        <f t="shared" si="69"/>
        <v>0</v>
      </c>
      <c r="CI28" s="14">
        <f t="shared" si="69"/>
        <v>0</v>
      </c>
      <c r="CJ28" s="14">
        <f t="shared" si="69"/>
        <v>0</v>
      </c>
      <c r="CK28" s="14">
        <f t="shared" si="69"/>
        <v>0</v>
      </c>
      <c r="CL28" s="14">
        <f t="shared" si="69"/>
        <v>0</v>
      </c>
      <c r="CM28" s="14">
        <f t="shared" si="69"/>
        <v>0</v>
      </c>
      <c r="CN28" s="14">
        <f t="shared" si="69"/>
        <v>0</v>
      </c>
      <c r="CO28" s="14">
        <f t="shared" si="69"/>
        <v>0</v>
      </c>
      <c r="CP28" s="14">
        <f t="shared" si="70"/>
        <v>0</v>
      </c>
      <c r="CQ28" s="14">
        <f t="shared" si="70"/>
        <v>0</v>
      </c>
      <c r="CR28" s="14">
        <f t="shared" si="70"/>
        <v>0</v>
      </c>
      <c r="CS28" s="14">
        <f t="shared" si="70"/>
        <v>0</v>
      </c>
      <c r="CT28" s="14">
        <f t="shared" si="70"/>
        <v>0</v>
      </c>
      <c r="CU28" s="14">
        <f t="shared" si="70"/>
        <v>0</v>
      </c>
      <c r="CV28" s="14">
        <f t="shared" si="70"/>
        <v>0</v>
      </c>
      <c r="CW28" s="14">
        <f t="shared" si="70"/>
        <v>0</v>
      </c>
      <c r="CX28" s="14">
        <f t="shared" si="70"/>
        <v>0</v>
      </c>
      <c r="CY28" s="14">
        <f t="shared" si="70"/>
        <v>0</v>
      </c>
      <c r="CZ28" s="14">
        <f t="shared" si="70"/>
        <v>0</v>
      </c>
      <c r="DA28" s="14">
        <f t="shared" si="70"/>
        <v>0</v>
      </c>
      <c r="DC28" s="14">
        <f>SUM(BL$7:BL28)</f>
        <v>0</v>
      </c>
      <c r="DD28" s="14">
        <f>SUM(BM$7:BM28)</f>
        <v>0</v>
      </c>
      <c r="DE28" s="14">
        <f>SUM(BN$7:BN28)</f>
        <v>0</v>
      </c>
      <c r="DF28" s="14">
        <f>SUM(BO$7:BO28)</f>
        <v>0</v>
      </c>
      <c r="DG28" s="14">
        <f>SUM(BP$7:BP28)</f>
        <v>0</v>
      </c>
      <c r="DH28" s="14">
        <f>SUM(BQ$7:BQ28)</f>
        <v>0</v>
      </c>
      <c r="DI28" s="14">
        <f>SUM(BR$7:BR28)</f>
        <v>0</v>
      </c>
      <c r="DJ28" s="14">
        <f>SUM(BS$7:BS28)</f>
        <v>0</v>
      </c>
      <c r="DK28" s="14">
        <f>SUM(BT$7:BT28)</f>
        <v>0</v>
      </c>
      <c r="DL28" s="14">
        <f>SUM(BU$7:BU28)</f>
        <v>0</v>
      </c>
      <c r="DM28" s="14">
        <f>SUM(BV$7:BV28)</f>
        <v>0</v>
      </c>
      <c r="DN28" s="14">
        <f>SUM(BW$7:BW28)</f>
        <v>0</v>
      </c>
      <c r="DO28" s="14">
        <f>SUM(BX$7:BX28)</f>
        <v>0</v>
      </c>
      <c r="DP28" s="14">
        <f>SUM(BY$7:BY28)</f>
        <v>0</v>
      </c>
      <c r="DQ28" s="14">
        <f>SUM(BZ$7:BZ28)</f>
        <v>0</v>
      </c>
      <c r="DR28" s="14">
        <f>SUM(CA$7:CA28)</f>
        <v>0</v>
      </c>
      <c r="DS28" s="14">
        <f>SUM(CB$7:CB28)</f>
        <v>0</v>
      </c>
      <c r="DT28" s="14">
        <f>SUM(CC$7:CC28)</f>
        <v>0</v>
      </c>
      <c r="DU28" s="14">
        <f>SUM(CD$7:CD28)</f>
        <v>0</v>
      </c>
      <c r="DV28" s="14">
        <f>SUM(CE$7:CE28)</f>
        <v>0</v>
      </c>
      <c r="DW28" s="14">
        <f>SUM(CF$7:CF28)</f>
        <v>0</v>
      </c>
      <c r="DX28" s="14">
        <f>SUM(CG$7:CG28)</f>
        <v>0</v>
      </c>
      <c r="DY28" s="14">
        <f>SUM(CH$7:CH28)</f>
        <v>0</v>
      </c>
      <c r="DZ28" s="14">
        <f>SUM(CI$7:CI28)</f>
        <v>0</v>
      </c>
      <c r="EA28" s="14">
        <f>SUM(CJ$7:CJ28)</f>
        <v>0</v>
      </c>
      <c r="EB28" s="14">
        <f>SUM(CK$7:CK28)</f>
        <v>0</v>
      </c>
      <c r="EC28" s="14">
        <f>SUM(CL$7:CL28)</f>
        <v>0</v>
      </c>
      <c r="ED28" s="14">
        <f>SUM(CM$7:CM28)</f>
        <v>0</v>
      </c>
      <c r="EE28" s="14">
        <f>SUM(CN$7:CN28)</f>
        <v>0</v>
      </c>
      <c r="EF28" s="14">
        <f>SUM(CO$7:CO28)</f>
        <v>0</v>
      </c>
      <c r="EG28" s="14">
        <f>SUM(CP$7:CP28)</f>
        <v>0</v>
      </c>
      <c r="EH28" s="14">
        <f>SUM(CQ$7:CQ28)</f>
        <v>0</v>
      </c>
      <c r="EI28" s="14">
        <f>SUM(CR$7:CR28)</f>
        <v>0</v>
      </c>
      <c r="EJ28" s="14">
        <f>SUM(CS$7:CS28)</f>
        <v>0</v>
      </c>
      <c r="EK28" s="14">
        <f>SUM(CT$7:CT28)</f>
        <v>0</v>
      </c>
      <c r="EL28" s="14">
        <f>SUM(CU$7:CU28)</f>
        <v>0</v>
      </c>
      <c r="EM28" s="14">
        <f>SUM(CV$7:CV28)</f>
        <v>0</v>
      </c>
      <c r="EN28" s="14">
        <f>SUM(CW$7:CW28)</f>
        <v>0</v>
      </c>
      <c r="EO28" s="14">
        <f>SUM(CX$7:CX28)</f>
        <v>0</v>
      </c>
      <c r="EP28" s="14">
        <f>SUM(CY$7:CY28)</f>
        <v>0</v>
      </c>
      <c r="EQ28" s="14">
        <f>SUM(CZ$7:CZ28)</f>
        <v>0</v>
      </c>
      <c r="ER28" s="14">
        <f>SUM(DA$7:DA28)</f>
        <v>0</v>
      </c>
      <c r="EU28" s="14">
        <f t="shared" si="14"/>
        <v>0</v>
      </c>
      <c r="EV28" s="14">
        <f t="shared" si="15"/>
        <v>0</v>
      </c>
      <c r="EW28" s="14">
        <f t="shared" si="16"/>
        <v>0</v>
      </c>
      <c r="EX28" s="14">
        <f t="shared" si="17"/>
        <v>0</v>
      </c>
      <c r="EY28" s="14">
        <f t="shared" si="18"/>
        <v>0</v>
      </c>
      <c r="EZ28" s="14">
        <f t="shared" si="19"/>
        <v>0</v>
      </c>
      <c r="FA28" s="14">
        <f t="shared" si="20"/>
        <v>0</v>
      </c>
      <c r="FB28" s="14">
        <f t="shared" si="21"/>
        <v>0</v>
      </c>
      <c r="FC28" s="14">
        <f t="shared" si="22"/>
        <v>0</v>
      </c>
      <c r="FD28" s="14">
        <f t="shared" si="23"/>
        <v>0</v>
      </c>
      <c r="FE28" s="14">
        <f t="shared" si="24"/>
        <v>0</v>
      </c>
      <c r="FF28" s="14">
        <f t="shared" si="25"/>
        <v>0</v>
      </c>
      <c r="FG28" s="14">
        <f t="shared" si="26"/>
        <v>0</v>
      </c>
      <c r="FH28" s="14">
        <f t="shared" si="27"/>
        <v>0</v>
      </c>
      <c r="FI28" s="14">
        <f t="shared" si="28"/>
        <v>0</v>
      </c>
      <c r="FJ28" s="14">
        <f t="shared" si="29"/>
        <v>0</v>
      </c>
      <c r="FK28" s="14">
        <f t="shared" si="30"/>
        <v>0</v>
      </c>
      <c r="FL28" s="14">
        <f t="shared" si="31"/>
        <v>0</v>
      </c>
      <c r="FM28" s="14">
        <f t="shared" si="32"/>
        <v>0</v>
      </c>
      <c r="FN28" s="14">
        <f t="shared" si="33"/>
        <v>0</v>
      </c>
      <c r="FO28" s="14">
        <f t="shared" si="34"/>
        <v>0</v>
      </c>
      <c r="FP28" s="14">
        <f t="shared" si="35"/>
        <v>0</v>
      </c>
      <c r="FQ28" s="14">
        <f t="shared" si="36"/>
        <v>0</v>
      </c>
      <c r="FR28" s="14">
        <f t="shared" si="37"/>
        <v>0</v>
      </c>
      <c r="FS28" s="14">
        <f t="shared" si="38"/>
        <v>0</v>
      </c>
      <c r="FT28" s="14">
        <f t="shared" si="39"/>
        <v>0</v>
      </c>
      <c r="FU28" s="14">
        <f t="shared" si="40"/>
        <v>0</v>
      </c>
      <c r="FV28" s="14">
        <f t="shared" si="41"/>
        <v>0</v>
      </c>
      <c r="FW28" s="14">
        <f t="shared" si="42"/>
        <v>0</v>
      </c>
      <c r="FX28" s="14">
        <f t="shared" si="43"/>
        <v>0</v>
      </c>
      <c r="FY28" s="14">
        <f t="shared" si="44"/>
        <v>0</v>
      </c>
      <c r="FZ28" s="14">
        <f t="shared" si="45"/>
        <v>0</v>
      </c>
      <c r="GA28" s="14">
        <f t="shared" si="46"/>
        <v>0</v>
      </c>
      <c r="GB28" s="14">
        <f t="shared" si="47"/>
        <v>0</v>
      </c>
      <c r="GC28" s="14">
        <f t="shared" si="48"/>
        <v>0</v>
      </c>
      <c r="GD28" s="14">
        <f t="shared" si="49"/>
        <v>0</v>
      </c>
      <c r="GE28" s="14">
        <f t="shared" si="50"/>
        <v>0</v>
      </c>
      <c r="GF28" s="14">
        <f t="shared" si="51"/>
        <v>0</v>
      </c>
      <c r="GG28" s="14">
        <f t="shared" si="52"/>
        <v>0</v>
      </c>
      <c r="GH28" s="14">
        <f t="shared" si="53"/>
        <v>0</v>
      </c>
      <c r="GI28" s="14">
        <f t="shared" si="54"/>
        <v>0</v>
      </c>
      <c r="GJ28" s="14">
        <f t="shared" si="55"/>
        <v>0</v>
      </c>
      <c r="GM28" s="91">
        <v>22</v>
      </c>
      <c r="GN28" s="14">
        <f t="shared" si="56"/>
        <v>2</v>
      </c>
      <c r="GO28" s="14">
        <f t="shared" si="57"/>
        <v>1606004</v>
      </c>
      <c r="GP28" s="14" t="str">
        <f t="shared" si="58"/>
        <v>神器1-2 : 4级</v>
      </c>
      <c r="GQ28" s="14" t="s">
        <v>816</v>
      </c>
      <c r="GR28" s="14">
        <f t="shared" si="59"/>
        <v>7</v>
      </c>
      <c r="GS28" s="14" t="str">
        <f t="shared" si="60"/>
        <v>神器1-2</v>
      </c>
      <c r="GT28" s="14">
        <f t="shared" si="61"/>
        <v>3</v>
      </c>
    </row>
    <row r="29" spans="10:202" ht="16.5" x14ac:dyDescent="0.2">
      <c r="N29" s="90">
        <v>5</v>
      </c>
      <c r="O29" s="90">
        <v>2</v>
      </c>
      <c r="P29" s="90">
        <v>1</v>
      </c>
      <c r="Q29" s="90">
        <v>18</v>
      </c>
      <c r="R29" s="14">
        <f>SUM(Q$7:Q29)</f>
        <v>372</v>
      </c>
      <c r="S29" s="91">
        <v>1606028</v>
      </c>
      <c r="T29" s="14" t="str">
        <f t="shared" si="62"/>
        <v>神器5-2</v>
      </c>
      <c r="AD29" s="87">
        <v>23</v>
      </c>
      <c r="AE29" s="87">
        <v>5</v>
      </c>
      <c r="AF29" s="87">
        <v>3</v>
      </c>
      <c r="AG29" s="87" t="str">
        <f t="shared" si="6"/>
        <v>神器5-3</v>
      </c>
      <c r="AH29" s="87">
        <v>2</v>
      </c>
      <c r="AI29" s="87">
        <f t="shared" si="7"/>
        <v>90</v>
      </c>
      <c r="AL29" s="87">
        <v>3</v>
      </c>
      <c r="AM29" s="87">
        <v>1</v>
      </c>
      <c r="AN29" s="87">
        <v>10</v>
      </c>
      <c r="AO29" s="144">
        <f t="shared" si="8"/>
        <v>4410</v>
      </c>
      <c r="AP29" s="144" t="s">
        <v>1237</v>
      </c>
      <c r="AQ29" s="144" t="str">
        <f t="shared" si="9"/>
        <v>神器本-3-普通-1  神器2-2</v>
      </c>
      <c r="AR29" s="87">
        <v>5</v>
      </c>
      <c r="AS29" s="87" t="s">
        <v>325</v>
      </c>
      <c r="AT29" s="87">
        <v>1500</v>
      </c>
      <c r="AU29" s="87">
        <v>1</v>
      </c>
      <c r="AV29" s="87">
        <v>1</v>
      </c>
      <c r="AW29" s="87">
        <f t="shared" si="10"/>
        <v>1</v>
      </c>
      <c r="AX29" s="14">
        <f t="shared" si="11"/>
        <v>0.15</v>
      </c>
      <c r="AY29" s="14">
        <f t="shared" si="12"/>
        <v>2.25</v>
      </c>
      <c r="BG29" s="87">
        <v>23</v>
      </c>
      <c r="BH29" s="14" t="e">
        <f>INDEX(节奏总表!#REF!,新神器!BG29)</f>
        <v>#REF!</v>
      </c>
      <c r="BI29" s="14" t="e">
        <f t="shared" si="13"/>
        <v>#REF!</v>
      </c>
      <c r="BJ29" s="87">
        <v>3</v>
      </c>
      <c r="BK29" s="87">
        <v>5</v>
      </c>
      <c r="BL29" s="14">
        <f t="shared" si="67"/>
        <v>0</v>
      </c>
      <c r="BM29" s="14">
        <f t="shared" si="67"/>
        <v>0</v>
      </c>
      <c r="BN29" s="14">
        <f t="shared" si="67"/>
        <v>0</v>
      </c>
      <c r="BO29" s="14">
        <f t="shared" si="67"/>
        <v>0</v>
      </c>
      <c r="BP29" s="14">
        <f t="shared" si="67"/>
        <v>0</v>
      </c>
      <c r="BQ29" s="14">
        <f t="shared" si="67"/>
        <v>0</v>
      </c>
      <c r="BR29" s="14">
        <f t="shared" si="67"/>
        <v>0</v>
      </c>
      <c r="BS29" s="14">
        <f t="shared" si="67"/>
        <v>0</v>
      </c>
      <c r="BT29" s="14">
        <f t="shared" si="67"/>
        <v>0</v>
      </c>
      <c r="BU29" s="14">
        <f t="shared" si="67"/>
        <v>0</v>
      </c>
      <c r="BV29" s="14">
        <f t="shared" si="68"/>
        <v>0</v>
      </c>
      <c r="BW29" s="14">
        <f t="shared" si="68"/>
        <v>0</v>
      </c>
      <c r="BX29" s="14">
        <f t="shared" si="68"/>
        <v>0</v>
      </c>
      <c r="BY29" s="14">
        <f t="shared" si="68"/>
        <v>0</v>
      </c>
      <c r="BZ29" s="14">
        <f t="shared" si="68"/>
        <v>0</v>
      </c>
      <c r="CA29" s="14">
        <f t="shared" si="68"/>
        <v>0</v>
      </c>
      <c r="CB29" s="14">
        <f t="shared" si="68"/>
        <v>0</v>
      </c>
      <c r="CC29" s="14">
        <f t="shared" si="68"/>
        <v>0</v>
      </c>
      <c r="CD29" s="14">
        <f t="shared" si="68"/>
        <v>0</v>
      </c>
      <c r="CE29" s="14">
        <f t="shared" si="68"/>
        <v>0</v>
      </c>
      <c r="CF29" s="14">
        <f t="shared" si="69"/>
        <v>0</v>
      </c>
      <c r="CG29" s="14">
        <f t="shared" si="69"/>
        <v>0</v>
      </c>
      <c r="CH29" s="14">
        <f t="shared" si="69"/>
        <v>0</v>
      </c>
      <c r="CI29" s="14">
        <f t="shared" si="69"/>
        <v>0</v>
      </c>
      <c r="CJ29" s="14">
        <f t="shared" si="69"/>
        <v>0</v>
      </c>
      <c r="CK29" s="14">
        <f t="shared" si="69"/>
        <v>0</v>
      </c>
      <c r="CL29" s="14">
        <f t="shared" si="69"/>
        <v>0</v>
      </c>
      <c r="CM29" s="14">
        <f t="shared" si="69"/>
        <v>0</v>
      </c>
      <c r="CN29" s="14">
        <f t="shared" si="69"/>
        <v>0</v>
      </c>
      <c r="CO29" s="14">
        <f t="shared" si="69"/>
        <v>0</v>
      </c>
      <c r="CP29" s="14">
        <f t="shared" si="70"/>
        <v>0</v>
      </c>
      <c r="CQ29" s="14">
        <f t="shared" si="70"/>
        <v>0</v>
      </c>
      <c r="CR29" s="14">
        <f t="shared" si="70"/>
        <v>0</v>
      </c>
      <c r="CS29" s="14">
        <f t="shared" si="70"/>
        <v>0</v>
      </c>
      <c r="CT29" s="14">
        <f t="shared" si="70"/>
        <v>0</v>
      </c>
      <c r="CU29" s="14">
        <f t="shared" si="70"/>
        <v>0</v>
      </c>
      <c r="CV29" s="14">
        <f t="shared" si="70"/>
        <v>0</v>
      </c>
      <c r="CW29" s="14">
        <f t="shared" si="70"/>
        <v>0</v>
      </c>
      <c r="CX29" s="14">
        <f t="shared" si="70"/>
        <v>0</v>
      </c>
      <c r="CY29" s="14">
        <f t="shared" si="70"/>
        <v>0</v>
      </c>
      <c r="CZ29" s="14">
        <f t="shared" si="70"/>
        <v>0</v>
      </c>
      <c r="DA29" s="14">
        <f t="shared" si="70"/>
        <v>0</v>
      </c>
      <c r="DC29" s="14">
        <f>SUM(BL$7:BL29)</f>
        <v>0</v>
      </c>
      <c r="DD29" s="14">
        <f>SUM(BM$7:BM29)</f>
        <v>0</v>
      </c>
      <c r="DE29" s="14">
        <f>SUM(BN$7:BN29)</f>
        <v>0</v>
      </c>
      <c r="DF29" s="14">
        <f>SUM(BO$7:BO29)</f>
        <v>0</v>
      </c>
      <c r="DG29" s="14">
        <f>SUM(BP$7:BP29)</f>
        <v>0</v>
      </c>
      <c r="DH29" s="14">
        <f>SUM(BQ$7:BQ29)</f>
        <v>0</v>
      </c>
      <c r="DI29" s="14">
        <f>SUM(BR$7:BR29)</f>
        <v>0</v>
      </c>
      <c r="DJ29" s="14">
        <f>SUM(BS$7:BS29)</f>
        <v>0</v>
      </c>
      <c r="DK29" s="14">
        <f>SUM(BT$7:BT29)</f>
        <v>0</v>
      </c>
      <c r="DL29" s="14">
        <f>SUM(BU$7:BU29)</f>
        <v>0</v>
      </c>
      <c r="DM29" s="14">
        <f>SUM(BV$7:BV29)</f>
        <v>0</v>
      </c>
      <c r="DN29" s="14">
        <f>SUM(BW$7:BW29)</f>
        <v>0</v>
      </c>
      <c r="DO29" s="14">
        <f>SUM(BX$7:BX29)</f>
        <v>0</v>
      </c>
      <c r="DP29" s="14">
        <f>SUM(BY$7:BY29)</f>
        <v>0</v>
      </c>
      <c r="DQ29" s="14">
        <f>SUM(BZ$7:BZ29)</f>
        <v>0</v>
      </c>
      <c r="DR29" s="14">
        <f>SUM(CA$7:CA29)</f>
        <v>0</v>
      </c>
      <c r="DS29" s="14">
        <f>SUM(CB$7:CB29)</f>
        <v>0</v>
      </c>
      <c r="DT29" s="14">
        <f>SUM(CC$7:CC29)</f>
        <v>0</v>
      </c>
      <c r="DU29" s="14">
        <f>SUM(CD$7:CD29)</f>
        <v>0</v>
      </c>
      <c r="DV29" s="14">
        <f>SUM(CE$7:CE29)</f>
        <v>0</v>
      </c>
      <c r="DW29" s="14">
        <f>SUM(CF$7:CF29)</f>
        <v>0</v>
      </c>
      <c r="DX29" s="14">
        <f>SUM(CG$7:CG29)</f>
        <v>0</v>
      </c>
      <c r="DY29" s="14">
        <f>SUM(CH$7:CH29)</f>
        <v>0</v>
      </c>
      <c r="DZ29" s="14">
        <f>SUM(CI$7:CI29)</f>
        <v>0</v>
      </c>
      <c r="EA29" s="14">
        <f>SUM(CJ$7:CJ29)</f>
        <v>0</v>
      </c>
      <c r="EB29" s="14">
        <f>SUM(CK$7:CK29)</f>
        <v>0</v>
      </c>
      <c r="EC29" s="14">
        <f>SUM(CL$7:CL29)</f>
        <v>0</v>
      </c>
      <c r="ED29" s="14">
        <f>SUM(CM$7:CM29)</f>
        <v>0</v>
      </c>
      <c r="EE29" s="14">
        <f>SUM(CN$7:CN29)</f>
        <v>0</v>
      </c>
      <c r="EF29" s="14">
        <f>SUM(CO$7:CO29)</f>
        <v>0</v>
      </c>
      <c r="EG29" s="14">
        <f>SUM(CP$7:CP29)</f>
        <v>0</v>
      </c>
      <c r="EH29" s="14">
        <f>SUM(CQ$7:CQ29)</f>
        <v>0</v>
      </c>
      <c r="EI29" s="14">
        <f>SUM(CR$7:CR29)</f>
        <v>0</v>
      </c>
      <c r="EJ29" s="14">
        <f>SUM(CS$7:CS29)</f>
        <v>0</v>
      </c>
      <c r="EK29" s="14">
        <f>SUM(CT$7:CT29)</f>
        <v>0</v>
      </c>
      <c r="EL29" s="14">
        <f>SUM(CU$7:CU29)</f>
        <v>0</v>
      </c>
      <c r="EM29" s="14">
        <f>SUM(CV$7:CV29)</f>
        <v>0</v>
      </c>
      <c r="EN29" s="14">
        <f>SUM(CW$7:CW29)</f>
        <v>0</v>
      </c>
      <c r="EO29" s="14">
        <f>SUM(CX$7:CX29)</f>
        <v>0</v>
      </c>
      <c r="EP29" s="14">
        <f>SUM(CY$7:CY29)</f>
        <v>0</v>
      </c>
      <c r="EQ29" s="14">
        <f>SUM(CZ$7:CZ29)</f>
        <v>0</v>
      </c>
      <c r="ER29" s="14">
        <f>SUM(DA$7:DA29)</f>
        <v>0</v>
      </c>
      <c r="EU29" s="14">
        <f t="shared" si="14"/>
        <v>0</v>
      </c>
      <c r="EV29" s="14">
        <f t="shared" si="15"/>
        <v>0</v>
      </c>
      <c r="EW29" s="14">
        <f t="shared" si="16"/>
        <v>0</v>
      </c>
      <c r="EX29" s="14">
        <f t="shared" si="17"/>
        <v>0</v>
      </c>
      <c r="EY29" s="14">
        <f t="shared" si="18"/>
        <v>0</v>
      </c>
      <c r="EZ29" s="14">
        <f t="shared" si="19"/>
        <v>0</v>
      </c>
      <c r="FA29" s="14">
        <f t="shared" si="20"/>
        <v>0</v>
      </c>
      <c r="FB29" s="14">
        <f t="shared" si="21"/>
        <v>0</v>
      </c>
      <c r="FC29" s="14">
        <f t="shared" si="22"/>
        <v>0</v>
      </c>
      <c r="FD29" s="14">
        <f t="shared" si="23"/>
        <v>0</v>
      </c>
      <c r="FE29" s="14">
        <f t="shared" si="24"/>
        <v>0</v>
      </c>
      <c r="FF29" s="14">
        <f t="shared" si="25"/>
        <v>0</v>
      </c>
      <c r="FG29" s="14">
        <f t="shared" si="26"/>
        <v>0</v>
      </c>
      <c r="FH29" s="14">
        <f t="shared" si="27"/>
        <v>0</v>
      </c>
      <c r="FI29" s="14">
        <f t="shared" si="28"/>
        <v>0</v>
      </c>
      <c r="FJ29" s="14">
        <f t="shared" si="29"/>
        <v>0</v>
      </c>
      <c r="FK29" s="14">
        <f t="shared" si="30"/>
        <v>0</v>
      </c>
      <c r="FL29" s="14">
        <f t="shared" si="31"/>
        <v>0</v>
      </c>
      <c r="FM29" s="14">
        <f t="shared" si="32"/>
        <v>0</v>
      </c>
      <c r="FN29" s="14">
        <f t="shared" si="33"/>
        <v>0</v>
      </c>
      <c r="FO29" s="14">
        <f t="shared" si="34"/>
        <v>0</v>
      </c>
      <c r="FP29" s="14">
        <f t="shared" si="35"/>
        <v>0</v>
      </c>
      <c r="FQ29" s="14">
        <f t="shared" si="36"/>
        <v>0</v>
      </c>
      <c r="FR29" s="14">
        <f t="shared" si="37"/>
        <v>0</v>
      </c>
      <c r="FS29" s="14">
        <f t="shared" si="38"/>
        <v>0</v>
      </c>
      <c r="FT29" s="14">
        <f t="shared" si="39"/>
        <v>0</v>
      </c>
      <c r="FU29" s="14">
        <f t="shared" si="40"/>
        <v>0</v>
      </c>
      <c r="FV29" s="14">
        <f t="shared" si="41"/>
        <v>0</v>
      </c>
      <c r="FW29" s="14">
        <f t="shared" si="42"/>
        <v>0</v>
      </c>
      <c r="FX29" s="14">
        <f t="shared" si="43"/>
        <v>0</v>
      </c>
      <c r="FY29" s="14">
        <f t="shared" si="44"/>
        <v>0</v>
      </c>
      <c r="FZ29" s="14">
        <f t="shared" si="45"/>
        <v>0</v>
      </c>
      <c r="GA29" s="14">
        <f t="shared" si="46"/>
        <v>0</v>
      </c>
      <c r="GB29" s="14">
        <f t="shared" si="47"/>
        <v>0</v>
      </c>
      <c r="GC29" s="14">
        <f t="shared" si="48"/>
        <v>0</v>
      </c>
      <c r="GD29" s="14">
        <f t="shared" si="49"/>
        <v>0</v>
      </c>
      <c r="GE29" s="14">
        <f t="shared" si="50"/>
        <v>0</v>
      </c>
      <c r="GF29" s="14">
        <f t="shared" si="51"/>
        <v>0</v>
      </c>
      <c r="GG29" s="14">
        <f t="shared" si="52"/>
        <v>0</v>
      </c>
      <c r="GH29" s="14">
        <f t="shared" si="53"/>
        <v>0</v>
      </c>
      <c r="GI29" s="14">
        <f t="shared" si="54"/>
        <v>0</v>
      </c>
      <c r="GJ29" s="14">
        <f t="shared" si="55"/>
        <v>0</v>
      </c>
      <c r="GM29" s="91">
        <v>23</v>
      </c>
      <c r="GN29" s="14">
        <f t="shared" si="56"/>
        <v>2</v>
      </c>
      <c r="GO29" s="14">
        <f t="shared" si="57"/>
        <v>1606004</v>
      </c>
      <c r="GP29" s="14" t="str">
        <f t="shared" si="58"/>
        <v>神器1-2 : 5级</v>
      </c>
      <c r="GQ29" s="14" t="s">
        <v>816</v>
      </c>
      <c r="GR29" s="14">
        <f t="shared" si="59"/>
        <v>8</v>
      </c>
      <c r="GS29" s="14" t="str">
        <f t="shared" si="60"/>
        <v>神器1-2</v>
      </c>
      <c r="GT29" s="14">
        <f t="shared" si="61"/>
        <v>3</v>
      </c>
    </row>
    <row r="30" spans="10:202" ht="16.5" x14ac:dyDescent="0.2">
      <c r="N30" s="90">
        <v>5</v>
      </c>
      <c r="O30" s="90">
        <v>3</v>
      </c>
      <c r="P30" s="90">
        <v>2</v>
      </c>
      <c r="Q30" s="90">
        <v>18</v>
      </c>
      <c r="R30" s="14">
        <f>SUM(Q$7:Q30)</f>
        <v>390</v>
      </c>
      <c r="S30" s="91">
        <v>1606029</v>
      </c>
      <c r="T30" s="14" t="str">
        <f t="shared" si="62"/>
        <v>神器5-3</v>
      </c>
      <c r="AD30" s="87">
        <v>24</v>
      </c>
      <c r="AE30" s="87">
        <v>5</v>
      </c>
      <c r="AF30" s="87">
        <v>4</v>
      </c>
      <c r="AG30" s="87" t="str">
        <f t="shared" si="6"/>
        <v>神器5-4</v>
      </c>
      <c r="AH30" s="87">
        <v>2</v>
      </c>
      <c r="AI30" s="87">
        <f t="shared" si="7"/>
        <v>90</v>
      </c>
      <c r="AL30" s="87">
        <v>3</v>
      </c>
      <c r="AM30" s="87">
        <v>1</v>
      </c>
      <c r="AN30" s="87">
        <v>10</v>
      </c>
      <c r="AO30" s="144">
        <f t="shared" si="8"/>
        <v>4410</v>
      </c>
      <c r="AP30" s="144" t="s">
        <v>1237</v>
      </c>
      <c r="AQ30" s="144" t="str">
        <f t="shared" si="9"/>
        <v>神器本-3-普通-1  神器2-3</v>
      </c>
      <c r="AR30" s="87">
        <v>6</v>
      </c>
      <c r="AS30" s="87" t="s">
        <v>326</v>
      </c>
      <c r="AT30" s="87">
        <v>1000</v>
      </c>
      <c r="AU30" s="87">
        <v>1</v>
      </c>
      <c r="AV30" s="87">
        <v>1</v>
      </c>
      <c r="AW30" s="87">
        <f t="shared" si="10"/>
        <v>2</v>
      </c>
      <c r="AX30" s="14">
        <f t="shared" si="11"/>
        <v>0.1</v>
      </c>
      <c r="AY30" s="14">
        <f t="shared" si="12"/>
        <v>4.5</v>
      </c>
      <c r="BG30" s="87">
        <v>24</v>
      </c>
      <c r="BH30" s="14" t="e">
        <f>INDEX(节奏总表!#REF!,新神器!BG30)</f>
        <v>#REF!</v>
      </c>
      <c r="BI30" s="14" t="e">
        <f t="shared" si="13"/>
        <v>#REF!</v>
      </c>
      <c r="BJ30" s="87">
        <v>3</v>
      </c>
      <c r="BK30" s="87">
        <v>5</v>
      </c>
      <c r="BL30" s="14">
        <f t="shared" si="67"/>
        <v>0</v>
      </c>
      <c r="BM30" s="14">
        <f t="shared" si="67"/>
        <v>0</v>
      </c>
      <c r="BN30" s="14">
        <f t="shared" si="67"/>
        <v>0</v>
      </c>
      <c r="BO30" s="14">
        <f t="shared" si="67"/>
        <v>0</v>
      </c>
      <c r="BP30" s="14">
        <f t="shared" si="67"/>
        <v>0</v>
      </c>
      <c r="BQ30" s="14">
        <f t="shared" si="67"/>
        <v>0</v>
      </c>
      <c r="BR30" s="14">
        <f t="shared" si="67"/>
        <v>0</v>
      </c>
      <c r="BS30" s="14">
        <f t="shared" si="67"/>
        <v>0</v>
      </c>
      <c r="BT30" s="14">
        <f t="shared" si="67"/>
        <v>0</v>
      </c>
      <c r="BU30" s="14">
        <f t="shared" si="67"/>
        <v>0</v>
      </c>
      <c r="BV30" s="14">
        <f t="shared" si="68"/>
        <v>0</v>
      </c>
      <c r="BW30" s="14">
        <f t="shared" si="68"/>
        <v>0</v>
      </c>
      <c r="BX30" s="14">
        <f t="shared" si="68"/>
        <v>0</v>
      </c>
      <c r="BY30" s="14">
        <f t="shared" si="68"/>
        <v>0</v>
      </c>
      <c r="BZ30" s="14">
        <f t="shared" si="68"/>
        <v>0</v>
      </c>
      <c r="CA30" s="14">
        <f t="shared" si="68"/>
        <v>0</v>
      </c>
      <c r="CB30" s="14">
        <f t="shared" si="68"/>
        <v>0</v>
      </c>
      <c r="CC30" s="14">
        <f t="shared" si="68"/>
        <v>0</v>
      </c>
      <c r="CD30" s="14">
        <f t="shared" si="68"/>
        <v>0</v>
      </c>
      <c r="CE30" s="14">
        <f t="shared" si="68"/>
        <v>0</v>
      </c>
      <c r="CF30" s="14">
        <f t="shared" si="69"/>
        <v>0</v>
      </c>
      <c r="CG30" s="14">
        <f t="shared" si="69"/>
        <v>0</v>
      </c>
      <c r="CH30" s="14">
        <f t="shared" si="69"/>
        <v>0</v>
      </c>
      <c r="CI30" s="14">
        <f t="shared" si="69"/>
        <v>0</v>
      </c>
      <c r="CJ30" s="14">
        <f t="shared" si="69"/>
        <v>0</v>
      </c>
      <c r="CK30" s="14">
        <f t="shared" si="69"/>
        <v>0</v>
      </c>
      <c r="CL30" s="14">
        <f t="shared" si="69"/>
        <v>0</v>
      </c>
      <c r="CM30" s="14">
        <f t="shared" si="69"/>
        <v>0</v>
      </c>
      <c r="CN30" s="14">
        <f t="shared" si="69"/>
        <v>0</v>
      </c>
      <c r="CO30" s="14">
        <f t="shared" si="69"/>
        <v>0</v>
      </c>
      <c r="CP30" s="14">
        <f t="shared" si="70"/>
        <v>0</v>
      </c>
      <c r="CQ30" s="14">
        <f t="shared" si="70"/>
        <v>0</v>
      </c>
      <c r="CR30" s="14">
        <f t="shared" si="70"/>
        <v>0</v>
      </c>
      <c r="CS30" s="14">
        <f t="shared" si="70"/>
        <v>0</v>
      </c>
      <c r="CT30" s="14">
        <f t="shared" si="70"/>
        <v>0</v>
      </c>
      <c r="CU30" s="14">
        <f t="shared" si="70"/>
        <v>0</v>
      </c>
      <c r="CV30" s="14">
        <f t="shared" si="70"/>
        <v>0</v>
      </c>
      <c r="CW30" s="14">
        <f t="shared" si="70"/>
        <v>0</v>
      </c>
      <c r="CX30" s="14">
        <f t="shared" si="70"/>
        <v>0</v>
      </c>
      <c r="CY30" s="14">
        <f t="shared" si="70"/>
        <v>0</v>
      </c>
      <c r="CZ30" s="14">
        <f t="shared" si="70"/>
        <v>0</v>
      </c>
      <c r="DA30" s="14">
        <f t="shared" si="70"/>
        <v>0</v>
      </c>
      <c r="DC30" s="14">
        <f>SUM(BL$7:BL30)</f>
        <v>0</v>
      </c>
      <c r="DD30" s="14">
        <f>SUM(BM$7:BM30)</f>
        <v>0</v>
      </c>
      <c r="DE30" s="14">
        <f>SUM(BN$7:BN30)</f>
        <v>0</v>
      </c>
      <c r="DF30" s="14">
        <f>SUM(BO$7:BO30)</f>
        <v>0</v>
      </c>
      <c r="DG30" s="14">
        <f>SUM(BP$7:BP30)</f>
        <v>0</v>
      </c>
      <c r="DH30" s="14">
        <f>SUM(BQ$7:BQ30)</f>
        <v>0</v>
      </c>
      <c r="DI30" s="14">
        <f>SUM(BR$7:BR30)</f>
        <v>0</v>
      </c>
      <c r="DJ30" s="14">
        <f>SUM(BS$7:BS30)</f>
        <v>0</v>
      </c>
      <c r="DK30" s="14">
        <f>SUM(BT$7:BT30)</f>
        <v>0</v>
      </c>
      <c r="DL30" s="14">
        <f>SUM(BU$7:BU30)</f>
        <v>0</v>
      </c>
      <c r="DM30" s="14">
        <f>SUM(BV$7:BV30)</f>
        <v>0</v>
      </c>
      <c r="DN30" s="14">
        <f>SUM(BW$7:BW30)</f>
        <v>0</v>
      </c>
      <c r="DO30" s="14">
        <f>SUM(BX$7:BX30)</f>
        <v>0</v>
      </c>
      <c r="DP30" s="14">
        <f>SUM(BY$7:BY30)</f>
        <v>0</v>
      </c>
      <c r="DQ30" s="14">
        <f>SUM(BZ$7:BZ30)</f>
        <v>0</v>
      </c>
      <c r="DR30" s="14">
        <f>SUM(CA$7:CA30)</f>
        <v>0</v>
      </c>
      <c r="DS30" s="14">
        <f>SUM(CB$7:CB30)</f>
        <v>0</v>
      </c>
      <c r="DT30" s="14">
        <f>SUM(CC$7:CC30)</f>
        <v>0</v>
      </c>
      <c r="DU30" s="14">
        <f>SUM(CD$7:CD30)</f>
        <v>0</v>
      </c>
      <c r="DV30" s="14">
        <f>SUM(CE$7:CE30)</f>
        <v>0</v>
      </c>
      <c r="DW30" s="14">
        <f>SUM(CF$7:CF30)</f>
        <v>0</v>
      </c>
      <c r="DX30" s="14">
        <f>SUM(CG$7:CG30)</f>
        <v>0</v>
      </c>
      <c r="DY30" s="14">
        <f>SUM(CH$7:CH30)</f>
        <v>0</v>
      </c>
      <c r="DZ30" s="14">
        <f>SUM(CI$7:CI30)</f>
        <v>0</v>
      </c>
      <c r="EA30" s="14">
        <f>SUM(CJ$7:CJ30)</f>
        <v>0</v>
      </c>
      <c r="EB30" s="14">
        <f>SUM(CK$7:CK30)</f>
        <v>0</v>
      </c>
      <c r="EC30" s="14">
        <f>SUM(CL$7:CL30)</f>
        <v>0</v>
      </c>
      <c r="ED30" s="14">
        <f>SUM(CM$7:CM30)</f>
        <v>0</v>
      </c>
      <c r="EE30" s="14">
        <f>SUM(CN$7:CN30)</f>
        <v>0</v>
      </c>
      <c r="EF30" s="14">
        <f>SUM(CO$7:CO30)</f>
        <v>0</v>
      </c>
      <c r="EG30" s="14">
        <f>SUM(CP$7:CP30)</f>
        <v>0</v>
      </c>
      <c r="EH30" s="14">
        <f>SUM(CQ$7:CQ30)</f>
        <v>0</v>
      </c>
      <c r="EI30" s="14">
        <f>SUM(CR$7:CR30)</f>
        <v>0</v>
      </c>
      <c r="EJ30" s="14">
        <f>SUM(CS$7:CS30)</f>
        <v>0</v>
      </c>
      <c r="EK30" s="14">
        <f>SUM(CT$7:CT30)</f>
        <v>0</v>
      </c>
      <c r="EL30" s="14">
        <f>SUM(CU$7:CU30)</f>
        <v>0</v>
      </c>
      <c r="EM30" s="14">
        <f>SUM(CV$7:CV30)</f>
        <v>0</v>
      </c>
      <c r="EN30" s="14">
        <f>SUM(CW$7:CW30)</f>
        <v>0</v>
      </c>
      <c r="EO30" s="14">
        <f>SUM(CX$7:CX30)</f>
        <v>0</v>
      </c>
      <c r="EP30" s="14">
        <f>SUM(CY$7:CY30)</f>
        <v>0</v>
      </c>
      <c r="EQ30" s="14">
        <f>SUM(CZ$7:CZ30)</f>
        <v>0</v>
      </c>
      <c r="ER30" s="14">
        <f>SUM(DA$7:DA30)</f>
        <v>0</v>
      </c>
      <c r="EU30" s="14">
        <f t="shared" si="14"/>
        <v>0</v>
      </c>
      <c r="EV30" s="14">
        <f t="shared" si="15"/>
        <v>0</v>
      </c>
      <c r="EW30" s="14">
        <f t="shared" si="16"/>
        <v>0</v>
      </c>
      <c r="EX30" s="14">
        <f t="shared" si="17"/>
        <v>0</v>
      </c>
      <c r="EY30" s="14">
        <f t="shared" si="18"/>
        <v>0</v>
      </c>
      <c r="EZ30" s="14">
        <f t="shared" si="19"/>
        <v>0</v>
      </c>
      <c r="FA30" s="14">
        <f t="shared" si="20"/>
        <v>0</v>
      </c>
      <c r="FB30" s="14">
        <f t="shared" si="21"/>
        <v>0</v>
      </c>
      <c r="FC30" s="14">
        <f t="shared" si="22"/>
        <v>0</v>
      </c>
      <c r="FD30" s="14">
        <f t="shared" si="23"/>
        <v>0</v>
      </c>
      <c r="FE30" s="14">
        <f t="shared" si="24"/>
        <v>0</v>
      </c>
      <c r="FF30" s="14">
        <f t="shared" si="25"/>
        <v>0</v>
      </c>
      <c r="FG30" s="14">
        <f t="shared" si="26"/>
        <v>0</v>
      </c>
      <c r="FH30" s="14">
        <f t="shared" si="27"/>
        <v>0</v>
      </c>
      <c r="FI30" s="14">
        <f t="shared" si="28"/>
        <v>0</v>
      </c>
      <c r="FJ30" s="14">
        <f t="shared" si="29"/>
        <v>0</v>
      </c>
      <c r="FK30" s="14">
        <f t="shared" si="30"/>
        <v>0</v>
      </c>
      <c r="FL30" s="14">
        <f t="shared" si="31"/>
        <v>0</v>
      </c>
      <c r="FM30" s="14">
        <f t="shared" si="32"/>
        <v>0</v>
      </c>
      <c r="FN30" s="14">
        <f t="shared" si="33"/>
        <v>0</v>
      </c>
      <c r="FO30" s="14">
        <f t="shared" si="34"/>
        <v>0</v>
      </c>
      <c r="FP30" s="14">
        <f t="shared" si="35"/>
        <v>0</v>
      </c>
      <c r="FQ30" s="14">
        <f t="shared" si="36"/>
        <v>0</v>
      </c>
      <c r="FR30" s="14">
        <f t="shared" si="37"/>
        <v>0</v>
      </c>
      <c r="FS30" s="14">
        <f t="shared" si="38"/>
        <v>0</v>
      </c>
      <c r="FT30" s="14">
        <f t="shared" si="39"/>
        <v>0</v>
      </c>
      <c r="FU30" s="14">
        <f t="shared" si="40"/>
        <v>0</v>
      </c>
      <c r="FV30" s="14">
        <f t="shared" si="41"/>
        <v>0</v>
      </c>
      <c r="FW30" s="14">
        <f t="shared" si="42"/>
        <v>0</v>
      </c>
      <c r="FX30" s="14">
        <f t="shared" si="43"/>
        <v>0</v>
      </c>
      <c r="FY30" s="14">
        <f t="shared" si="44"/>
        <v>0</v>
      </c>
      <c r="FZ30" s="14">
        <f t="shared" si="45"/>
        <v>0</v>
      </c>
      <c r="GA30" s="14">
        <f t="shared" si="46"/>
        <v>0</v>
      </c>
      <c r="GB30" s="14">
        <f t="shared" si="47"/>
        <v>0</v>
      </c>
      <c r="GC30" s="14">
        <f t="shared" si="48"/>
        <v>0</v>
      </c>
      <c r="GD30" s="14">
        <f t="shared" si="49"/>
        <v>0</v>
      </c>
      <c r="GE30" s="14">
        <f t="shared" si="50"/>
        <v>0</v>
      </c>
      <c r="GF30" s="14">
        <f t="shared" si="51"/>
        <v>0</v>
      </c>
      <c r="GG30" s="14">
        <f t="shared" si="52"/>
        <v>0</v>
      </c>
      <c r="GH30" s="14">
        <f t="shared" si="53"/>
        <v>0</v>
      </c>
      <c r="GI30" s="14">
        <f t="shared" si="54"/>
        <v>0</v>
      </c>
      <c r="GJ30" s="14">
        <f t="shared" si="55"/>
        <v>0</v>
      </c>
      <c r="GM30" s="91">
        <v>24</v>
      </c>
      <c r="GN30" s="14">
        <f t="shared" si="56"/>
        <v>2</v>
      </c>
      <c r="GO30" s="14">
        <f t="shared" si="57"/>
        <v>1606004</v>
      </c>
      <c r="GP30" s="14" t="str">
        <f t="shared" si="58"/>
        <v>神器1-2 : 6级</v>
      </c>
      <c r="GQ30" s="14" t="s">
        <v>816</v>
      </c>
      <c r="GR30" s="14">
        <f t="shared" si="59"/>
        <v>9</v>
      </c>
      <c r="GS30" s="14" t="str">
        <f t="shared" si="60"/>
        <v>神器1-2</v>
      </c>
      <c r="GT30" s="14">
        <f t="shared" si="61"/>
        <v>3</v>
      </c>
    </row>
    <row r="31" spans="10:202" ht="16.5" x14ac:dyDescent="0.2">
      <c r="N31" s="90">
        <v>5</v>
      </c>
      <c r="O31" s="90">
        <v>4</v>
      </c>
      <c r="P31" s="90">
        <v>2</v>
      </c>
      <c r="Q31" s="90">
        <v>18</v>
      </c>
      <c r="R31" s="14">
        <f>SUM(Q$7:Q31)</f>
        <v>408</v>
      </c>
      <c r="S31" s="91">
        <v>1606030</v>
      </c>
      <c r="T31" s="14" t="str">
        <f t="shared" si="62"/>
        <v>神器5-4</v>
      </c>
      <c r="AD31" s="87">
        <v>25</v>
      </c>
      <c r="AE31" s="87">
        <v>5</v>
      </c>
      <c r="AF31" s="87">
        <v>5</v>
      </c>
      <c r="AG31" s="87" t="str">
        <f t="shared" si="6"/>
        <v>神器5-5</v>
      </c>
      <c r="AH31" s="87">
        <v>3</v>
      </c>
      <c r="AI31" s="87">
        <f t="shared" si="7"/>
        <v>210</v>
      </c>
      <c r="AL31" s="87">
        <v>3</v>
      </c>
      <c r="AM31" s="87">
        <v>1</v>
      </c>
      <c r="AN31" s="87">
        <v>10</v>
      </c>
      <c r="AO31" s="144">
        <f t="shared" si="8"/>
        <v>4410</v>
      </c>
      <c r="AP31" s="144" t="s">
        <v>1237</v>
      </c>
      <c r="AQ31" s="144" t="str">
        <f t="shared" si="9"/>
        <v>神器本-3-普通-1  神器2-4</v>
      </c>
      <c r="AR31" s="87">
        <v>7</v>
      </c>
      <c r="AS31" s="87" t="s">
        <v>327</v>
      </c>
      <c r="AT31" s="87">
        <v>1000</v>
      </c>
      <c r="AU31" s="87">
        <v>1</v>
      </c>
      <c r="AV31" s="87">
        <v>1</v>
      </c>
      <c r="AW31" s="87">
        <f t="shared" si="10"/>
        <v>2</v>
      </c>
      <c r="AX31" s="14">
        <f t="shared" si="11"/>
        <v>0.1</v>
      </c>
      <c r="AY31" s="14">
        <f t="shared" si="12"/>
        <v>4.5</v>
      </c>
      <c r="BG31" s="87">
        <v>25</v>
      </c>
      <c r="BH31" s="14" t="e">
        <f>INDEX(节奏总表!#REF!,新神器!BG31)</f>
        <v>#REF!</v>
      </c>
      <c r="BI31" s="14" t="e">
        <f t="shared" si="13"/>
        <v>#REF!</v>
      </c>
      <c r="BJ31" s="87">
        <v>3</v>
      </c>
      <c r="BK31" s="87">
        <v>5</v>
      </c>
      <c r="BL31" s="14">
        <f t="shared" si="67"/>
        <v>0</v>
      </c>
      <c r="BM31" s="14">
        <f t="shared" si="67"/>
        <v>0</v>
      </c>
      <c r="BN31" s="14">
        <f t="shared" si="67"/>
        <v>0</v>
      </c>
      <c r="BO31" s="14">
        <f t="shared" si="67"/>
        <v>0</v>
      </c>
      <c r="BP31" s="14">
        <f t="shared" si="67"/>
        <v>0</v>
      </c>
      <c r="BQ31" s="14">
        <f t="shared" si="67"/>
        <v>0</v>
      </c>
      <c r="BR31" s="14">
        <f t="shared" si="67"/>
        <v>0</v>
      </c>
      <c r="BS31" s="14">
        <f t="shared" si="67"/>
        <v>0</v>
      </c>
      <c r="BT31" s="14">
        <f t="shared" si="67"/>
        <v>0</v>
      </c>
      <c r="BU31" s="14">
        <f t="shared" si="67"/>
        <v>0</v>
      </c>
      <c r="BV31" s="14">
        <f t="shared" si="68"/>
        <v>0</v>
      </c>
      <c r="BW31" s="14">
        <f t="shared" si="68"/>
        <v>0</v>
      </c>
      <c r="BX31" s="14">
        <f t="shared" si="68"/>
        <v>0</v>
      </c>
      <c r="BY31" s="14">
        <f t="shared" si="68"/>
        <v>0</v>
      </c>
      <c r="BZ31" s="14">
        <f t="shared" si="68"/>
        <v>0</v>
      </c>
      <c r="CA31" s="14">
        <f t="shared" si="68"/>
        <v>0</v>
      </c>
      <c r="CB31" s="14">
        <f t="shared" si="68"/>
        <v>0</v>
      </c>
      <c r="CC31" s="14">
        <f t="shared" si="68"/>
        <v>0</v>
      </c>
      <c r="CD31" s="14">
        <f t="shared" si="68"/>
        <v>0</v>
      </c>
      <c r="CE31" s="14">
        <f t="shared" si="68"/>
        <v>0</v>
      </c>
      <c r="CF31" s="14">
        <f t="shared" si="69"/>
        <v>0</v>
      </c>
      <c r="CG31" s="14">
        <f t="shared" si="69"/>
        <v>0</v>
      </c>
      <c r="CH31" s="14">
        <f t="shared" si="69"/>
        <v>0</v>
      </c>
      <c r="CI31" s="14">
        <f t="shared" si="69"/>
        <v>0</v>
      </c>
      <c r="CJ31" s="14">
        <f t="shared" si="69"/>
        <v>0</v>
      </c>
      <c r="CK31" s="14">
        <f t="shared" si="69"/>
        <v>0</v>
      </c>
      <c r="CL31" s="14">
        <f t="shared" si="69"/>
        <v>0</v>
      </c>
      <c r="CM31" s="14">
        <f t="shared" si="69"/>
        <v>0</v>
      </c>
      <c r="CN31" s="14">
        <f t="shared" si="69"/>
        <v>0</v>
      </c>
      <c r="CO31" s="14">
        <f t="shared" si="69"/>
        <v>0</v>
      </c>
      <c r="CP31" s="14">
        <f t="shared" si="70"/>
        <v>0</v>
      </c>
      <c r="CQ31" s="14">
        <f t="shared" si="70"/>
        <v>0</v>
      </c>
      <c r="CR31" s="14">
        <f t="shared" si="70"/>
        <v>0</v>
      </c>
      <c r="CS31" s="14">
        <f t="shared" si="70"/>
        <v>0</v>
      </c>
      <c r="CT31" s="14">
        <f t="shared" si="70"/>
        <v>0</v>
      </c>
      <c r="CU31" s="14">
        <f t="shared" si="70"/>
        <v>0</v>
      </c>
      <c r="CV31" s="14">
        <f t="shared" si="70"/>
        <v>0</v>
      </c>
      <c r="CW31" s="14">
        <f t="shared" si="70"/>
        <v>0</v>
      </c>
      <c r="CX31" s="14">
        <f t="shared" si="70"/>
        <v>0</v>
      </c>
      <c r="CY31" s="14">
        <f t="shared" si="70"/>
        <v>0</v>
      </c>
      <c r="CZ31" s="14">
        <f t="shared" si="70"/>
        <v>0</v>
      </c>
      <c r="DA31" s="14">
        <f t="shared" si="70"/>
        <v>0</v>
      </c>
      <c r="DC31" s="14">
        <f>SUM(BL$7:BL31)</f>
        <v>0</v>
      </c>
      <c r="DD31" s="14">
        <f>SUM(BM$7:BM31)</f>
        <v>0</v>
      </c>
      <c r="DE31" s="14">
        <f>SUM(BN$7:BN31)</f>
        <v>0</v>
      </c>
      <c r="DF31" s="14">
        <f>SUM(BO$7:BO31)</f>
        <v>0</v>
      </c>
      <c r="DG31" s="14">
        <f>SUM(BP$7:BP31)</f>
        <v>0</v>
      </c>
      <c r="DH31" s="14">
        <f>SUM(BQ$7:BQ31)</f>
        <v>0</v>
      </c>
      <c r="DI31" s="14">
        <f>SUM(BR$7:BR31)</f>
        <v>0</v>
      </c>
      <c r="DJ31" s="14">
        <f>SUM(BS$7:BS31)</f>
        <v>0</v>
      </c>
      <c r="DK31" s="14">
        <f>SUM(BT$7:BT31)</f>
        <v>0</v>
      </c>
      <c r="DL31" s="14">
        <f>SUM(BU$7:BU31)</f>
        <v>0</v>
      </c>
      <c r="DM31" s="14">
        <f>SUM(BV$7:BV31)</f>
        <v>0</v>
      </c>
      <c r="DN31" s="14">
        <f>SUM(BW$7:BW31)</f>
        <v>0</v>
      </c>
      <c r="DO31" s="14">
        <f>SUM(BX$7:BX31)</f>
        <v>0</v>
      </c>
      <c r="DP31" s="14">
        <f>SUM(BY$7:BY31)</f>
        <v>0</v>
      </c>
      <c r="DQ31" s="14">
        <f>SUM(BZ$7:BZ31)</f>
        <v>0</v>
      </c>
      <c r="DR31" s="14">
        <f>SUM(CA$7:CA31)</f>
        <v>0</v>
      </c>
      <c r="DS31" s="14">
        <f>SUM(CB$7:CB31)</f>
        <v>0</v>
      </c>
      <c r="DT31" s="14">
        <f>SUM(CC$7:CC31)</f>
        <v>0</v>
      </c>
      <c r="DU31" s="14">
        <f>SUM(CD$7:CD31)</f>
        <v>0</v>
      </c>
      <c r="DV31" s="14">
        <f>SUM(CE$7:CE31)</f>
        <v>0</v>
      </c>
      <c r="DW31" s="14">
        <f>SUM(CF$7:CF31)</f>
        <v>0</v>
      </c>
      <c r="DX31" s="14">
        <f>SUM(CG$7:CG31)</f>
        <v>0</v>
      </c>
      <c r="DY31" s="14">
        <f>SUM(CH$7:CH31)</f>
        <v>0</v>
      </c>
      <c r="DZ31" s="14">
        <f>SUM(CI$7:CI31)</f>
        <v>0</v>
      </c>
      <c r="EA31" s="14">
        <f>SUM(CJ$7:CJ31)</f>
        <v>0</v>
      </c>
      <c r="EB31" s="14">
        <f>SUM(CK$7:CK31)</f>
        <v>0</v>
      </c>
      <c r="EC31" s="14">
        <f>SUM(CL$7:CL31)</f>
        <v>0</v>
      </c>
      <c r="ED31" s="14">
        <f>SUM(CM$7:CM31)</f>
        <v>0</v>
      </c>
      <c r="EE31" s="14">
        <f>SUM(CN$7:CN31)</f>
        <v>0</v>
      </c>
      <c r="EF31" s="14">
        <f>SUM(CO$7:CO31)</f>
        <v>0</v>
      </c>
      <c r="EG31" s="14">
        <f>SUM(CP$7:CP31)</f>
        <v>0</v>
      </c>
      <c r="EH31" s="14">
        <f>SUM(CQ$7:CQ31)</f>
        <v>0</v>
      </c>
      <c r="EI31" s="14">
        <f>SUM(CR$7:CR31)</f>
        <v>0</v>
      </c>
      <c r="EJ31" s="14">
        <f>SUM(CS$7:CS31)</f>
        <v>0</v>
      </c>
      <c r="EK31" s="14">
        <f>SUM(CT$7:CT31)</f>
        <v>0</v>
      </c>
      <c r="EL31" s="14">
        <f>SUM(CU$7:CU31)</f>
        <v>0</v>
      </c>
      <c r="EM31" s="14">
        <f>SUM(CV$7:CV31)</f>
        <v>0</v>
      </c>
      <c r="EN31" s="14">
        <f>SUM(CW$7:CW31)</f>
        <v>0</v>
      </c>
      <c r="EO31" s="14">
        <f>SUM(CX$7:CX31)</f>
        <v>0</v>
      </c>
      <c r="EP31" s="14">
        <f>SUM(CY$7:CY31)</f>
        <v>0</v>
      </c>
      <c r="EQ31" s="14">
        <f>SUM(CZ$7:CZ31)</f>
        <v>0</v>
      </c>
      <c r="ER31" s="14">
        <f>SUM(DA$7:DA31)</f>
        <v>0</v>
      </c>
      <c r="EU31" s="14">
        <f t="shared" si="14"/>
        <v>0</v>
      </c>
      <c r="EV31" s="14">
        <f t="shared" si="15"/>
        <v>0</v>
      </c>
      <c r="EW31" s="14">
        <f t="shared" si="16"/>
        <v>0</v>
      </c>
      <c r="EX31" s="14">
        <f t="shared" si="17"/>
        <v>0</v>
      </c>
      <c r="EY31" s="14">
        <f t="shared" si="18"/>
        <v>0</v>
      </c>
      <c r="EZ31" s="14">
        <f t="shared" si="19"/>
        <v>0</v>
      </c>
      <c r="FA31" s="14">
        <f t="shared" si="20"/>
        <v>0</v>
      </c>
      <c r="FB31" s="14">
        <f t="shared" si="21"/>
        <v>0</v>
      </c>
      <c r="FC31" s="14">
        <f t="shared" si="22"/>
        <v>0</v>
      </c>
      <c r="FD31" s="14">
        <f t="shared" si="23"/>
        <v>0</v>
      </c>
      <c r="FE31" s="14">
        <f t="shared" si="24"/>
        <v>0</v>
      </c>
      <c r="FF31" s="14">
        <f t="shared" si="25"/>
        <v>0</v>
      </c>
      <c r="FG31" s="14">
        <f t="shared" si="26"/>
        <v>0</v>
      </c>
      <c r="FH31" s="14">
        <f t="shared" si="27"/>
        <v>0</v>
      </c>
      <c r="FI31" s="14">
        <f t="shared" si="28"/>
        <v>0</v>
      </c>
      <c r="FJ31" s="14">
        <f t="shared" si="29"/>
        <v>0</v>
      </c>
      <c r="FK31" s="14">
        <f t="shared" si="30"/>
        <v>0</v>
      </c>
      <c r="FL31" s="14">
        <f t="shared" si="31"/>
        <v>0</v>
      </c>
      <c r="FM31" s="14">
        <f t="shared" si="32"/>
        <v>0</v>
      </c>
      <c r="FN31" s="14">
        <f t="shared" si="33"/>
        <v>0</v>
      </c>
      <c r="FO31" s="14">
        <f t="shared" si="34"/>
        <v>0</v>
      </c>
      <c r="FP31" s="14">
        <f t="shared" si="35"/>
        <v>0</v>
      </c>
      <c r="FQ31" s="14">
        <f t="shared" si="36"/>
        <v>0</v>
      </c>
      <c r="FR31" s="14">
        <f t="shared" si="37"/>
        <v>0</v>
      </c>
      <c r="FS31" s="14">
        <f t="shared" si="38"/>
        <v>0</v>
      </c>
      <c r="FT31" s="14">
        <f t="shared" si="39"/>
        <v>0</v>
      </c>
      <c r="FU31" s="14">
        <f t="shared" si="40"/>
        <v>0</v>
      </c>
      <c r="FV31" s="14">
        <f t="shared" si="41"/>
        <v>0</v>
      </c>
      <c r="FW31" s="14">
        <f t="shared" si="42"/>
        <v>0</v>
      </c>
      <c r="FX31" s="14">
        <f t="shared" si="43"/>
        <v>0</v>
      </c>
      <c r="FY31" s="14">
        <f t="shared" si="44"/>
        <v>0</v>
      </c>
      <c r="FZ31" s="14">
        <f t="shared" si="45"/>
        <v>0</v>
      </c>
      <c r="GA31" s="14">
        <f t="shared" si="46"/>
        <v>0</v>
      </c>
      <c r="GB31" s="14">
        <f t="shared" si="47"/>
        <v>0</v>
      </c>
      <c r="GC31" s="14">
        <f t="shared" si="48"/>
        <v>0</v>
      </c>
      <c r="GD31" s="14">
        <f t="shared" si="49"/>
        <v>0</v>
      </c>
      <c r="GE31" s="14">
        <f t="shared" si="50"/>
        <v>0</v>
      </c>
      <c r="GF31" s="14">
        <f t="shared" si="51"/>
        <v>0</v>
      </c>
      <c r="GG31" s="14">
        <f t="shared" si="52"/>
        <v>0</v>
      </c>
      <c r="GH31" s="14">
        <f t="shared" si="53"/>
        <v>0</v>
      </c>
      <c r="GI31" s="14">
        <f t="shared" si="54"/>
        <v>0</v>
      </c>
      <c r="GJ31" s="14">
        <f t="shared" si="55"/>
        <v>0</v>
      </c>
      <c r="GM31" s="91">
        <v>25</v>
      </c>
      <c r="GN31" s="14">
        <f t="shared" si="56"/>
        <v>2</v>
      </c>
      <c r="GO31" s="14">
        <f t="shared" si="57"/>
        <v>1606004</v>
      </c>
      <c r="GP31" s="14" t="str">
        <f t="shared" si="58"/>
        <v>神器1-2 : 7级</v>
      </c>
      <c r="GQ31" s="14" t="s">
        <v>816</v>
      </c>
      <c r="GR31" s="14">
        <f t="shared" si="59"/>
        <v>10</v>
      </c>
      <c r="GS31" s="14" t="str">
        <f t="shared" si="60"/>
        <v>神器1-2</v>
      </c>
      <c r="GT31" s="14">
        <f t="shared" si="61"/>
        <v>5</v>
      </c>
    </row>
    <row r="32" spans="10:202" ht="16.5" x14ac:dyDescent="0.2">
      <c r="N32" s="90">
        <v>5</v>
      </c>
      <c r="O32" s="90">
        <v>5</v>
      </c>
      <c r="P32" s="90">
        <v>3</v>
      </c>
      <c r="Q32" s="90">
        <v>18</v>
      </c>
      <c r="R32" s="14">
        <f>SUM(Q$7:Q32)</f>
        <v>426</v>
      </c>
      <c r="S32" s="91">
        <v>1606031</v>
      </c>
      <c r="T32" s="14" t="str">
        <f t="shared" si="62"/>
        <v>神器5-5</v>
      </c>
      <c r="AD32" s="87">
        <v>26</v>
      </c>
      <c r="AE32" s="87">
        <v>5</v>
      </c>
      <c r="AF32" s="87">
        <v>6</v>
      </c>
      <c r="AG32" s="87" t="str">
        <f t="shared" si="6"/>
        <v>神器5-6</v>
      </c>
      <c r="AH32" s="87">
        <v>4</v>
      </c>
      <c r="AI32" s="87">
        <f t="shared" si="7"/>
        <v>450</v>
      </c>
      <c r="AL32" s="87">
        <v>3</v>
      </c>
      <c r="AM32" s="87">
        <v>1</v>
      </c>
      <c r="AN32" s="87">
        <v>10</v>
      </c>
      <c r="AO32" s="144">
        <f t="shared" si="8"/>
        <v>4410</v>
      </c>
      <c r="AP32" s="144" t="s">
        <v>1237</v>
      </c>
      <c r="AQ32" s="144" t="str">
        <f t="shared" si="9"/>
        <v>神器本-3-普通-1  神器2-5</v>
      </c>
      <c r="AR32" s="87">
        <v>8</v>
      </c>
      <c r="AS32" s="87" t="s">
        <v>328</v>
      </c>
      <c r="AT32" s="87">
        <v>1000</v>
      </c>
      <c r="AU32" s="87">
        <v>1</v>
      </c>
      <c r="AV32" s="87">
        <v>1</v>
      </c>
      <c r="AW32" s="87">
        <f t="shared" si="10"/>
        <v>3</v>
      </c>
      <c r="AX32" s="14">
        <f t="shared" si="11"/>
        <v>0.1</v>
      </c>
      <c r="AY32" s="14">
        <f t="shared" si="12"/>
        <v>10.5</v>
      </c>
      <c r="BG32" s="87">
        <v>26</v>
      </c>
      <c r="BH32" s="14" t="e">
        <f>INDEX(节奏总表!#REF!,新神器!BG32)</f>
        <v>#REF!</v>
      </c>
      <c r="BI32" s="14" t="e">
        <f t="shared" si="13"/>
        <v>#REF!</v>
      </c>
      <c r="BJ32" s="87">
        <v>3</v>
      </c>
      <c r="BK32" s="87">
        <v>5</v>
      </c>
      <c r="BL32" s="14">
        <f t="shared" si="67"/>
        <v>0</v>
      </c>
      <c r="BM32" s="14">
        <f t="shared" si="67"/>
        <v>0</v>
      </c>
      <c r="BN32" s="14">
        <f t="shared" si="67"/>
        <v>0</v>
      </c>
      <c r="BO32" s="14">
        <f t="shared" si="67"/>
        <v>0</v>
      </c>
      <c r="BP32" s="14">
        <f t="shared" si="67"/>
        <v>0</v>
      </c>
      <c r="BQ32" s="14">
        <f t="shared" si="67"/>
        <v>0</v>
      </c>
      <c r="BR32" s="14">
        <f t="shared" si="67"/>
        <v>0</v>
      </c>
      <c r="BS32" s="14">
        <f t="shared" si="67"/>
        <v>0</v>
      </c>
      <c r="BT32" s="14">
        <f t="shared" si="67"/>
        <v>0</v>
      </c>
      <c r="BU32" s="14">
        <f t="shared" si="67"/>
        <v>0</v>
      </c>
      <c r="BV32" s="14">
        <f t="shared" si="68"/>
        <v>0</v>
      </c>
      <c r="BW32" s="14">
        <f t="shared" si="68"/>
        <v>0</v>
      </c>
      <c r="BX32" s="14">
        <f t="shared" si="68"/>
        <v>0</v>
      </c>
      <c r="BY32" s="14">
        <f t="shared" si="68"/>
        <v>0</v>
      </c>
      <c r="BZ32" s="14">
        <f t="shared" si="68"/>
        <v>0</v>
      </c>
      <c r="CA32" s="14">
        <f t="shared" si="68"/>
        <v>0</v>
      </c>
      <c r="CB32" s="14">
        <f t="shared" si="68"/>
        <v>0</v>
      </c>
      <c r="CC32" s="14">
        <f t="shared" si="68"/>
        <v>0</v>
      </c>
      <c r="CD32" s="14">
        <f t="shared" si="68"/>
        <v>0</v>
      </c>
      <c r="CE32" s="14">
        <f t="shared" si="68"/>
        <v>0</v>
      </c>
      <c r="CF32" s="14">
        <f t="shared" si="69"/>
        <v>0</v>
      </c>
      <c r="CG32" s="14">
        <f t="shared" si="69"/>
        <v>0</v>
      </c>
      <c r="CH32" s="14">
        <f t="shared" si="69"/>
        <v>0</v>
      </c>
      <c r="CI32" s="14">
        <f t="shared" si="69"/>
        <v>0</v>
      </c>
      <c r="CJ32" s="14">
        <f t="shared" si="69"/>
        <v>0</v>
      </c>
      <c r="CK32" s="14">
        <f t="shared" si="69"/>
        <v>0</v>
      </c>
      <c r="CL32" s="14">
        <f t="shared" si="69"/>
        <v>0</v>
      </c>
      <c r="CM32" s="14">
        <f t="shared" si="69"/>
        <v>0</v>
      </c>
      <c r="CN32" s="14">
        <f t="shared" si="69"/>
        <v>0</v>
      </c>
      <c r="CO32" s="14">
        <f t="shared" si="69"/>
        <v>0</v>
      </c>
      <c r="CP32" s="14">
        <f t="shared" si="70"/>
        <v>0</v>
      </c>
      <c r="CQ32" s="14">
        <f t="shared" si="70"/>
        <v>0</v>
      </c>
      <c r="CR32" s="14">
        <f t="shared" si="70"/>
        <v>0</v>
      </c>
      <c r="CS32" s="14">
        <f t="shared" si="70"/>
        <v>0</v>
      </c>
      <c r="CT32" s="14">
        <f t="shared" si="70"/>
        <v>0</v>
      </c>
      <c r="CU32" s="14">
        <f t="shared" si="70"/>
        <v>0</v>
      </c>
      <c r="CV32" s="14">
        <f t="shared" si="70"/>
        <v>0</v>
      </c>
      <c r="CW32" s="14">
        <f t="shared" si="70"/>
        <v>0</v>
      </c>
      <c r="CX32" s="14">
        <f t="shared" si="70"/>
        <v>0</v>
      </c>
      <c r="CY32" s="14">
        <f t="shared" si="70"/>
        <v>0</v>
      </c>
      <c r="CZ32" s="14">
        <f t="shared" si="70"/>
        <v>0</v>
      </c>
      <c r="DA32" s="14">
        <f t="shared" si="70"/>
        <v>0</v>
      </c>
      <c r="DC32" s="14">
        <f>SUM(BL$7:BL32)</f>
        <v>0</v>
      </c>
      <c r="DD32" s="14">
        <f>SUM(BM$7:BM32)</f>
        <v>0</v>
      </c>
      <c r="DE32" s="14">
        <f>SUM(BN$7:BN32)</f>
        <v>0</v>
      </c>
      <c r="DF32" s="14">
        <f>SUM(BO$7:BO32)</f>
        <v>0</v>
      </c>
      <c r="DG32" s="14">
        <f>SUM(BP$7:BP32)</f>
        <v>0</v>
      </c>
      <c r="DH32" s="14">
        <f>SUM(BQ$7:BQ32)</f>
        <v>0</v>
      </c>
      <c r="DI32" s="14">
        <f>SUM(BR$7:BR32)</f>
        <v>0</v>
      </c>
      <c r="DJ32" s="14">
        <f>SUM(BS$7:BS32)</f>
        <v>0</v>
      </c>
      <c r="DK32" s="14">
        <f>SUM(BT$7:BT32)</f>
        <v>0</v>
      </c>
      <c r="DL32" s="14">
        <f>SUM(BU$7:BU32)</f>
        <v>0</v>
      </c>
      <c r="DM32" s="14">
        <f>SUM(BV$7:BV32)</f>
        <v>0</v>
      </c>
      <c r="DN32" s="14">
        <f>SUM(BW$7:BW32)</f>
        <v>0</v>
      </c>
      <c r="DO32" s="14">
        <f>SUM(BX$7:BX32)</f>
        <v>0</v>
      </c>
      <c r="DP32" s="14">
        <f>SUM(BY$7:BY32)</f>
        <v>0</v>
      </c>
      <c r="DQ32" s="14">
        <f>SUM(BZ$7:BZ32)</f>
        <v>0</v>
      </c>
      <c r="DR32" s="14">
        <f>SUM(CA$7:CA32)</f>
        <v>0</v>
      </c>
      <c r="DS32" s="14">
        <f>SUM(CB$7:CB32)</f>
        <v>0</v>
      </c>
      <c r="DT32" s="14">
        <f>SUM(CC$7:CC32)</f>
        <v>0</v>
      </c>
      <c r="DU32" s="14">
        <f>SUM(CD$7:CD32)</f>
        <v>0</v>
      </c>
      <c r="DV32" s="14">
        <f>SUM(CE$7:CE32)</f>
        <v>0</v>
      </c>
      <c r="DW32" s="14">
        <f>SUM(CF$7:CF32)</f>
        <v>0</v>
      </c>
      <c r="DX32" s="14">
        <f>SUM(CG$7:CG32)</f>
        <v>0</v>
      </c>
      <c r="DY32" s="14">
        <f>SUM(CH$7:CH32)</f>
        <v>0</v>
      </c>
      <c r="DZ32" s="14">
        <f>SUM(CI$7:CI32)</f>
        <v>0</v>
      </c>
      <c r="EA32" s="14">
        <f>SUM(CJ$7:CJ32)</f>
        <v>0</v>
      </c>
      <c r="EB32" s="14">
        <f>SUM(CK$7:CK32)</f>
        <v>0</v>
      </c>
      <c r="EC32" s="14">
        <f>SUM(CL$7:CL32)</f>
        <v>0</v>
      </c>
      <c r="ED32" s="14">
        <f>SUM(CM$7:CM32)</f>
        <v>0</v>
      </c>
      <c r="EE32" s="14">
        <f>SUM(CN$7:CN32)</f>
        <v>0</v>
      </c>
      <c r="EF32" s="14">
        <f>SUM(CO$7:CO32)</f>
        <v>0</v>
      </c>
      <c r="EG32" s="14">
        <f>SUM(CP$7:CP32)</f>
        <v>0</v>
      </c>
      <c r="EH32" s="14">
        <f>SUM(CQ$7:CQ32)</f>
        <v>0</v>
      </c>
      <c r="EI32" s="14">
        <f>SUM(CR$7:CR32)</f>
        <v>0</v>
      </c>
      <c r="EJ32" s="14">
        <f>SUM(CS$7:CS32)</f>
        <v>0</v>
      </c>
      <c r="EK32" s="14">
        <f>SUM(CT$7:CT32)</f>
        <v>0</v>
      </c>
      <c r="EL32" s="14">
        <f>SUM(CU$7:CU32)</f>
        <v>0</v>
      </c>
      <c r="EM32" s="14">
        <f>SUM(CV$7:CV32)</f>
        <v>0</v>
      </c>
      <c r="EN32" s="14">
        <f>SUM(CW$7:CW32)</f>
        <v>0</v>
      </c>
      <c r="EO32" s="14">
        <f>SUM(CX$7:CX32)</f>
        <v>0</v>
      </c>
      <c r="EP32" s="14">
        <f>SUM(CY$7:CY32)</f>
        <v>0</v>
      </c>
      <c r="EQ32" s="14">
        <f>SUM(CZ$7:CZ32)</f>
        <v>0</v>
      </c>
      <c r="ER32" s="14">
        <f>SUM(DA$7:DA32)</f>
        <v>0</v>
      </c>
      <c r="EU32" s="14">
        <f t="shared" si="14"/>
        <v>0</v>
      </c>
      <c r="EV32" s="14">
        <f t="shared" si="15"/>
        <v>0</v>
      </c>
      <c r="EW32" s="14">
        <f t="shared" si="16"/>
        <v>0</v>
      </c>
      <c r="EX32" s="14">
        <f t="shared" si="17"/>
        <v>0</v>
      </c>
      <c r="EY32" s="14">
        <f t="shared" si="18"/>
        <v>0</v>
      </c>
      <c r="EZ32" s="14">
        <f t="shared" si="19"/>
        <v>0</v>
      </c>
      <c r="FA32" s="14">
        <f t="shared" si="20"/>
        <v>0</v>
      </c>
      <c r="FB32" s="14">
        <f t="shared" si="21"/>
        <v>0</v>
      </c>
      <c r="FC32" s="14">
        <f t="shared" si="22"/>
        <v>0</v>
      </c>
      <c r="FD32" s="14">
        <f t="shared" si="23"/>
        <v>0</v>
      </c>
      <c r="FE32" s="14">
        <f t="shared" si="24"/>
        <v>0</v>
      </c>
      <c r="FF32" s="14">
        <f t="shared" si="25"/>
        <v>0</v>
      </c>
      <c r="FG32" s="14">
        <f t="shared" si="26"/>
        <v>0</v>
      </c>
      <c r="FH32" s="14">
        <f t="shared" si="27"/>
        <v>0</v>
      </c>
      <c r="FI32" s="14">
        <f t="shared" si="28"/>
        <v>0</v>
      </c>
      <c r="FJ32" s="14">
        <f t="shared" si="29"/>
        <v>0</v>
      </c>
      <c r="FK32" s="14">
        <f t="shared" si="30"/>
        <v>0</v>
      </c>
      <c r="FL32" s="14">
        <f t="shared" si="31"/>
        <v>0</v>
      </c>
      <c r="FM32" s="14">
        <f t="shared" si="32"/>
        <v>0</v>
      </c>
      <c r="FN32" s="14">
        <f t="shared" si="33"/>
        <v>0</v>
      </c>
      <c r="FO32" s="14">
        <f t="shared" si="34"/>
        <v>0</v>
      </c>
      <c r="FP32" s="14">
        <f t="shared" si="35"/>
        <v>0</v>
      </c>
      <c r="FQ32" s="14">
        <f t="shared" si="36"/>
        <v>0</v>
      </c>
      <c r="FR32" s="14">
        <f t="shared" si="37"/>
        <v>0</v>
      </c>
      <c r="FS32" s="14">
        <f t="shared" si="38"/>
        <v>0</v>
      </c>
      <c r="FT32" s="14">
        <f t="shared" si="39"/>
        <v>0</v>
      </c>
      <c r="FU32" s="14">
        <f t="shared" si="40"/>
        <v>0</v>
      </c>
      <c r="FV32" s="14">
        <f t="shared" si="41"/>
        <v>0</v>
      </c>
      <c r="FW32" s="14">
        <f t="shared" si="42"/>
        <v>0</v>
      </c>
      <c r="FX32" s="14">
        <f t="shared" si="43"/>
        <v>0</v>
      </c>
      <c r="FY32" s="14">
        <f t="shared" si="44"/>
        <v>0</v>
      </c>
      <c r="FZ32" s="14">
        <f t="shared" si="45"/>
        <v>0</v>
      </c>
      <c r="GA32" s="14">
        <f t="shared" si="46"/>
        <v>0</v>
      </c>
      <c r="GB32" s="14">
        <f t="shared" si="47"/>
        <v>0</v>
      </c>
      <c r="GC32" s="14">
        <f t="shared" si="48"/>
        <v>0</v>
      </c>
      <c r="GD32" s="14">
        <f t="shared" si="49"/>
        <v>0</v>
      </c>
      <c r="GE32" s="14">
        <f t="shared" si="50"/>
        <v>0</v>
      </c>
      <c r="GF32" s="14">
        <f t="shared" si="51"/>
        <v>0</v>
      </c>
      <c r="GG32" s="14">
        <f t="shared" si="52"/>
        <v>0</v>
      </c>
      <c r="GH32" s="14">
        <f t="shared" si="53"/>
        <v>0</v>
      </c>
      <c r="GI32" s="14">
        <f t="shared" si="54"/>
        <v>0</v>
      </c>
      <c r="GJ32" s="14">
        <f t="shared" si="55"/>
        <v>0</v>
      </c>
      <c r="GM32" s="91">
        <v>26</v>
      </c>
      <c r="GN32" s="14">
        <f t="shared" si="56"/>
        <v>2</v>
      </c>
      <c r="GO32" s="14">
        <f t="shared" si="57"/>
        <v>1606004</v>
      </c>
      <c r="GP32" s="14" t="str">
        <f t="shared" si="58"/>
        <v>神器1-2 : 8级</v>
      </c>
      <c r="GQ32" s="14" t="s">
        <v>816</v>
      </c>
      <c r="GR32" s="14">
        <f t="shared" si="59"/>
        <v>11</v>
      </c>
      <c r="GS32" s="14" t="str">
        <f t="shared" si="60"/>
        <v>神器1-2</v>
      </c>
      <c r="GT32" s="14">
        <f t="shared" si="61"/>
        <v>5</v>
      </c>
    </row>
    <row r="33" spans="14:202" ht="16.5" x14ac:dyDescent="0.2">
      <c r="N33" s="90">
        <v>5</v>
      </c>
      <c r="O33" s="90">
        <v>6</v>
      </c>
      <c r="P33" s="90">
        <v>4</v>
      </c>
      <c r="Q33" s="90">
        <v>18</v>
      </c>
      <c r="R33" s="14">
        <f>SUM(Q$7:Q33)</f>
        <v>444</v>
      </c>
      <c r="S33" s="91">
        <v>1606032</v>
      </c>
      <c r="T33" s="14" t="str">
        <f t="shared" si="62"/>
        <v>神器5-6</v>
      </c>
      <c r="AD33" s="87">
        <v>27</v>
      </c>
      <c r="AE33" s="87">
        <v>6</v>
      </c>
      <c r="AF33" s="87">
        <v>1</v>
      </c>
      <c r="AG33" s="87" t="str">
        <f t="shared" si="6"/>
        <v>神器6-1</v>
      </c>
      <c r="AH33" s="87">
        <v>2</v>
      </c>
      <c r="AI33" s="87">
        <f t="shared" si="7"/>
        <v>120</v>
      </c>
      <c r="AL33" s="87">
        <v>3</v>
      </c>
      <c r="AM33" s="87">
        <v>1</v>
      </c>
      <c r="AN33" s="87">
        <v>11</v>
      </c>
      <c r="AO33" s="144">
        <f t="shared" si="8"/>
        <v>4411</v>
      </c>
      <c r="AP33" s="144" t="s">
        <v>1248</v>
      </c>
      <c r="AQ33" s="144" t="str">
        <f t="shared" si="9"/>
        <v>神器本-3-普通-2  神器3-1</v>
      </c>
      <c r="AR33" s="87">
        <v>9</v>
      </c>
      <c r="AS33" s="87" t="s">
        <v>776</v>
      </c>
      <c r="AT33" s="87">
        <v>5000</v>
      </c>
      <c r="AU33" s="87">
        <v>1</v>
      </c>
      <c r="AV33" s="87">
        <v>3</v>
      </c>
      <c r="AW33" s="87">
        <f t="shared" si="10"/>
        <v>1</v>
      </c>
      <c r="AX33" s="14">
        <f t="shared" si="11"/>
        <v>1</v>
      </c>
      <c r="AY33" s="14">
        <f t="shared" si="12"/>
        <v>20</v>
      </c>
      <c r="BG33" s="87">
        <v>27</v>
      </c>
      <c r="BH33" s="14" t="e">
        <f>INDEX(节奏总表!#REF!,新神器!BG33)</f>
        <v>#REF!</v>
      </c>
      <c r="BI33" s="14" t="e">
        <f t="shared" si="13"/>
        <v>#REF!</v>
      </c>
      <c r="BJ33" s="87">
        <v>3</v>
      </c>
      <c r="BK33" s="87">
        <v>5</v>
      </c>
      <c r="BL33" s="14">
        <f t="shared" si="67"/>
        <v>0</v>
      </c>
      <c r="BM33" s="14">
        <f t="shared" si="67"/>
        <v>0</v>
      </c>
      <c r="BN33" s="14">
        <f t="shared" si="67"/>
        <v>0</v>
      </c>
      <c r="BO33" s="14">
        <f t="shared" si="67"/>
        <v>0</v>
      </c>
      <c r="BP33" s="14">
        <f t="shared" si="67"/>
        <v>0</v>
      </c>
      <c r="BQ33" s="14">
        <f t="shared" si="67"/>
        <v>0</v>
      </c>
      <c r="BR33" s="14">
        <f t="shared" si="67"/>
        <v>0</v>
      </c>
      <c r="BS33" s="14">
        <f t="shared" si="67"/>
        <v>0</v>
      </c>
      <c r="BT33" s="14">
        <f t="shared" si="67"/>
        <v>0</v>
      </c>
      <c r="BU33" s="14">
        <f t="shared" si="67"/>
        <v>0</v>
      </c>
      <c r="BV33" s="14">
        <f t="shared" si="68"/>
        <v>0</v>
      </c>
      <c r="BW33" s="14">
        <f t="shared" si="68"/>
        <v>0</v>
      </c>
      <c r="BX33" s="14">
        <f t="shared" si="68"/>
        <v>0</v>
      </c>
      <c r="BY33" s="14">
        <f t="shared" si="68"/>
        <v>0</v>
      </c>
      <c r="BZ33" s="14">
        <f t="shared" si="68"/>
        <v>0</v>
      </c>
      <c r="CA33" s="14">
        <f t="shared" si="68"/>
        <v>0</v>
      </c>
      <c r="CB33" s="14">
        <f t="shared" si="68"/>
        <v>0</v>
      </c>
      <c r="CC33" s="14">
        <f t="shared" si="68"/>
        <v>0</v>
      </c>
      <c r="CD33" s="14">
        <f t="shared" si="68"/>
        <v>0</v>
      </c>
      <c r="CE33" s="14">
        <f t="shared" si="68"/>
        <v>0</v>
      </c>
      <c r="CF33" s="14">
        <f t="shared" si="69"/>
        <v>0</v>
      </c>
      <c r="CG33" s="14">
        <f t="shared" si="69"/>
        <v>0</v>
      </c>
      <c r="CH33" s="14">
        <f t="shared" si="69"/>
        <v>0</v>
      </c>
      <c r="CI33" s="14">
        <f t="shared" si="69"/>
        <v>0</v>
      </c>
      <c r="CJ33" s="14">
        <f t="shared" si="69"/>
        <v>0</v>
      </c>
      <c r="CK33" s="14">
        <f t="shared" si="69"/>
        <v>0</v>
      </c>
      <c r="CL33" s="14">
        <f t="shared" si="69"/>
        <v>0</v>
      </c>
      <c r="CM33" s="14">
        <f t="shared" si="69"/>
        <v>0</v>
      </c>
      <c r="CN33" s="14">
        <f t="shared" si="69"/>
        <v>0</v>
      </c>
      <c r="CO33" s="14">
        <f t="shared" si="69"/>
        <v>0</v>
      </c>
      <c r="CP33" s="14">
        <f t="shared" si="70"/>
        <v>0</v>
      </c>
      <c r="CQ33" s="14">
        <f t="shared" si="70"/>
        <v>0</v>
      </c>
      <c r="CR33" s="14">
        <f t="shared" si="70"/>
        <v>0</v>
      </c>
      <c r="CS33" s="14">
        <f t="shared" si="70"/>
        <v>0</v>
      </c>
      <c r="CT33" s="14">
        <f t="shared" si="70"/>
        <v>0</v>
      </c>
      <c r="CU33" s="14">
        <f t="shared" si="70"/>
        <v>0</v>
      </c>
      <c r="CV33" s="14">
        <f t="shared" si="70"/>
        <v>0</v>
      </c>
      <c r="CW33" s="14">
        <f t="shared" si="70"/>
        <v>0</v>
      </c>
      <c r="CX33" s="14">
        <f t="shared" si="70"/>
        <v>0</v>
      </c>
      <c r="CY33" s="14">
        <f t="shared" si="70"/>
        <v>0</v>
      </c>
      <c r="CZ33" s="14">
        <f t="shared" si="70"/>
        <v>0</v>
      </c>
      <c r="DA33" s="14">
        <f t="shared" si="70"/>
        <v>0</v>
      </c>
      <c r="DC33" s="14">
        <f>SUM(BL$7:BL33)</f>
        <v>0</v>
      </c>
      <c r="DD33" s="14">
        <f>SUM(BM$7:BM33)</f>
        <v>0</v>
      </c>
      <c r="DE33" s="14">
        <f>SUM(BN$7:BN33)</f>
        <v>0</v>
      </c>
      <c r="DF33" s="14">
        <f>SUM(BO$7:BO33)</f>
        <v>0</v>
      </c>
      <c r="DG33" s="14">
        <f>SUM(BP$7:BP33)</f>
        <v>0</v>
      </c>
      <c r="DH33" s="14">
        <f>SUM(BQ$7:BQ33)</f>
        <v>0</v>
      </c>
      <c r="DI33" s="14">
        <f>SUM(BR$7:BR33)</f>
        <v>0</v>
      </c>
      <c r="DJ33" s="14">
        <f>SUM(BS$7:BS33)</f>
        <v>0</v>
      </c>
      <c r="DK33" s="14">
        <f>SUM(BT$7:BT33)</f>
        <v>0</v>
      </c>
      <c r="DL33" s="14">
        <f>SUM(BU$7:BU33)</f>
        <v>0</v>
      </c>
      <c r="DM33" s="14">
        <f>SUM(BV$7:BV33)</f>
        <v>0</v>
      </c>
      <c r="DN33" s="14">
        <f>SUM(BW$7:BW33)</f>
        <v>0</v>
      </c>
      <c r="DO33" s="14">
        <f>SUM(BX$7:BX33)</f>
        <v>0</v>
      </c>
      <c r="DP33" s="14">
        <f>SUM(BY$7:BY33)</f>
        <v>0</v>
      </c>
      <c r="DQ33" s="14">
        <f>SUM(BZ$7:BZ33)</f>
        <v>0</v>
      </c>
      <c r="DR33" s="14">
        <f>SUM(CA$7:CA33)</f>
        <v>0</v>
      </c>
      <c r="DS33" s="14">
        <f>SUM(CB$7:CB33)</f>
        <v>0</v>
      </c>
      <c r="DT33" s="14">
        <f>SUM(CC$7:CC33)</f>
        <v>0</v>
      </c>
      <c r="DU33" s="14">
        <f>SUM(CD$7:CD33)</f>
        <v>0</v>
      </c>
      <c r="DV33" s="14">
        <f>SUM(CE$7:CE33)</f>
        <v>0</v>
      </c>
      <c r="DW33" s="14">
        <f>SUM(CF$7:CF33)</f>
        <v>0</v>
      </c>
      <c r="DX33" s="14">
        <f>SUM(CG$7:CG33)</f>
        <v>0</v>
      </c>
      <c r="DY33" s="14">
        <f>SUM(CH$7:CH33)</f>
        <v>0</v>
      </c>
      <c r="DZ33" s="14">
        <f>SUM(CI$7:CI33)</f>
        <v>0</v>
      </c>
      <c r="EA33" s="14">
        <f>SUM(CJ$7:CJ33)</f>
        <v>0</v>
      </c>
      <c r="EB33" s="14">
        <f>SUM(CK$7:CK33)</f>
        <v>0</v>
      </c>
      <c r="EC33" s="14">
        <f>SUM(CL$7:CL33)</f>
        <v>0</v>
      </c>
      <c r="ED33" s="14">
        <f>SUM(CM$7:CM33)</f>
        <v>0</v>
      </c>
      <c r="EE33" s="14">
        <f>SUM(CN$7:CN33)</f>
        <v>0</v>
      </c>
      <c r="EF33" s="14">
        <f>SUM(CO$7:CO33)</f>
        <v>0</v>
      </c>
      <c r="EG33" s="14">
        <f>SUM(CP$7:CP33)</f>
        <v>0</v>
      </c>
      <c r="EH33" s="14">
        <f>SUM(CQ$7:CQ33)</f>
        <v>0</v>
      </c>
      <c r="EI33" s="14">
        <f>SUM(CR$7:CR33)</f>
        <v>0</v>
      </c>
      <c r="EJ33" s="14">
        <f>SUM(CS$7:CS33)</f>
        <v>0</v>
      </c>
      <c r="EK33" s="14">
        <f>SUM(CT$7:CT33)</f>
        <v>0</v>
      </c>
      <c r="EL33" s="14">
        <f>SUM(CU$7:CU33)</f>
        <v>0</v>
      </c>
      <c r="EM33" s="14">
        <f>SUM(CV$7:CV33)</f>
        <v>0</v>
      </c>
      <c r="EN33" s="14">
        <f>SUM(CW$7:CW33)</f>
        <v>0</v>
      </c>
      <c r="EO33" s="14">
        <f>SUM(CX$7:CX33)</f>
        <v>0</v>
      </c>
      <c r="EP33" s="14">
        <f>SUM(CY$7:CY33)</f>
        <v>0</v>
      </c>
      <c r="EQ33" s="14">
        <f>SUM(CZ$7:CZ33)</f>
        <v>0</v>
      </c>
      <c r="ER33" s="14">
        <f>SUM(DA$7:DA33)</f>
        <v>0</v>
      </c>
      <c r="EU33" s="14">
        <f t="shared" si="14"/>
        <v>0</v>
      </c>
      <c r="EV33" s="14">
        <f t="shared" si="15"/>
        <v>0</v>
      </c>
      <c r="EW33" s="14">
        <f t="shared" si="16"/>
        <v>0</v>
      </c>
      <c r="EX33" s="14">
        <f t="shared" si="17"/>
        <v>0</v>
      </c>
      <c r="EY33" s="14">
        <f t="shared" si="18"/>
        <v>0</v>
      </c>
      <c r="EZ33" s="14">
        <f t="shared" si="19"/>
        <v>0</v>
      </c>
      <c r="FA33" s="14">
        <f t="shared" si="20"/>
        <v>0</v>
      </c>
      <c r="FB33" s="14">
        <f t="shared" si="21"/>
        <v>0</v>
      </c>
      <c r="FC33" s="14">
        <f t="shared" si="22"/>
        <v>0</v>
      </c>
      <c r="FD33" s="14">
        <f t="shared" si="23"/>
        <v>0</v>
      </c>
      <c r="FE33" s="14">
        <f t="shared" si="24"/>
        <v>0</v>
      </c>
      <c r="FF33" s="14">
        <f t="shared" si="25"/>
        <v>0</v>
      </c>
      <c r="FG33" s="14">
        <f t="shared" si="26"/>
        <v>0</v>
      </c>
      <c r="FH33" s="14">
        <f t="shared" si="27"/>
        <v>0</v>
      </c>
      <c r="FI33" s="14">
        <f t="shared" si="28"/>
        <v>0</v>
      </c>
      <c r="FJ33" s="14">
        <f t="shared" si="29"/>
        <v>0</v>
      </c>
      <c r="FK33" s="14">
        <f t="shared" si="30"/>
        <v>0</v>
      </c>
      <c r="FL33" s="14">
        <f t="shared" si="31"/>
        <v>0</v>
      </c>
      <c r="FM33" s="14">
        <f t="shared" si="32"/>
        <v>0</v>
      </c>
      <c r="FN33" s="14">
        <f t="shared" si="33"/>
        <v>0</v>
      </c>
      <c r="FO33" s="14">
        <f t="shared" si="34"/>
        <v>0</v>
      </c>
      <c r="FP33" s="14">
        <f t="shared" si="35"/>
        <v>0</v>
      </c>
      <c r="FQ33" s="14">
        <f t="shared" si="36"/>
        <v>0</v>
      </c>
      <c r="FR33" s="14">
        <f t="shared" si="37"/>
        <v>0</v>
      </c>
      <c r="FS33" s="14">
        <f t="shared" si="38"/>
        <v>0</v>
      </c>
      <c r="FT33" s="14">
        <f t="shared" si="39"/>
        <v>0</v>
      </c>
      <c r="FU33" s="14">
        <f t="shared" si="40"/>
        <v>0</v>
      </c>
      <c r="FV33" s="14">
        <f t="shared" si="41"/>
        <v>0</v>
      </c>
      <c r="FW33" s="14">
        <f t="shared" si="42"/>
        <v>0</v>
      </c>
      <c r="FX33" s="14">
        <f t="shared" si="43"/>
        <v>0</v>
      </c>
      <c r="FY33" s="14">
        <f t="shared" si="44"/>
        <v>0</v>
      </c>
      <c r="FZ33" s="14">
        <f t="shared" si="45"/>
        <v>0</v>
      </c>
      <c r="GA33" s="14">
        <f t="shared" si="46"/>
        <v>0</v>
      </c>
      <c r="GB33" s="14">
        <f t="shared" si="47"/>
        <v>0</v>
      </c>
      <c r="GC33" s="14">
        <f t="shared" si="48"/>
        <v>0</v>
      </c>
      <c r="GD33" s="14">
        <f t="shared" si="49"/>
        <v>0</v>
      </c>
      <c r="GE33" s="14">
        <f t="shared" si="50"/>
        <v>0</v>
      </c>
      <c r="GF33" s="14">
        <f t="shared" si="51"/>
        <v>0</v>
      </c>
      <c r="GG33" s="14">
        <f t="shared" si="52"/>
        <v>0</v>
      </c>
      <c r="GH33" s="14">
        <f t="shared" si="53"/>
        <v>0</v>
      </c>
      <c r="GI33" s="14">
        <f t="shared" si="54"/>
        <v>0</v>
      </c>
      <c r="GJ33" s="14">
        <f t="shared" si="55"/>
        <v>0</v>
      </c>
      <c r="GM33" s="91">
        <v>27</v>
      </c>
      <c r="GN33" s="14">
        <f t="shared" si="56"/>
        <v>2</v>
      </c>
      <c r="GO33" s="14">
        <f t="shared" si="57"/>
        <v>1606004</v>
      </c>
      <c r="GP33" s="14" t="str">
        <f t="shared" si="58"/>
        <v>神器1-2 : 9级</v>
      </c>
      <c r="GQ33" s="14" t="s">
        <v>816</v>
      </c>
      <c r="GR33" s="14">
        <f t="shared" si="59"/>
        <v>12</v>
      </c>
      <c r="GS33" s="14" t="str">
        <f t="shared" si="60"/>
        <v>神器1-2</v>
      </c>
      <c r="GT33" s="14">
        <f t="shared" si="61"/>
        <v>6</v>
      </c>
    </row>
    <row r="34" spans="14:202" ht="16.5" x14ac:dyDescent="0.2">
      <c r="N34" s="90">
        <v>6</v>
      </c>
      <c r="O34" s="90">
        <v>1</v>
      </c>
      <c r="P34" s="90">
        <v>2</v>
      </c>
      <c r="Q34" s="90">
        <v>21</v>
      </c>
      <c r="R34" s="14">
        <f>SUM(Q$7:Q34)</f>
        <v>465</v>
      </c>
      <c r="S34" s="91">
        <v>1606035</v>
      </c>
      <c r="T34" s="14" t="str">
        <f t="shared" si="62"/>
        <v>神器6-1</v>
      </c>
      <c r="AD34" s="87">
        <v>28</v>
      </c>
      <c r="AE34" s="87">
        <v>6</v>
      </c>
      <c r="AF34" s="87">
        <v>2</v>
      </c>
      <c r="AG34" s="87" t="str">
        <f t="shared" si="6"/>
        <v>神器6-2</v>
      </c>
      <c r="AH34" s="87">
        <v>2</v>
      </c>
      <c r="AI34" s="87">
        <f t="shared" si="7"/>
        <v>120</v>
      </c>
      <c r="AL34" s="87">
        <v>3</v>
      </c>
      <c r="AM34" s="87">
        <v>1</v>
      </c>
      <c r="AN34" s="87">
        <v>11</v>
      </c>
      <c r="AO34" s="144">
        <f t="shared" si="8"/>
        <v>4411</v>
      </c>
      <c r="AP34" s="144" t="s">
        <v>1248</v>
      </c>
      <c r="AQ34" s="144" t="str">
        <f t="shared" si="9"/>
        <v>神器本-3-普通-2  神器3-2</v>
      </c>
      <c r="AR34" s="87">
        <v>10</v>
      </c>
      <c r="AS34" s="87" t="s">
        <v>330</v>
      </c>
      <c r="AT34" s="87">
        <v>5000</v>
      </c>
      <c r="AU34" s="87">
        <v>1</v>
      </c>
      <c r="AV34" s="87">
        <v>3</v>
      </c>
      <c r="AW34" s="87">
        <f t="shared" si="10"/>
        <v>1</v>
      </c>
      <c r="AX34" s="14">
        <f t="shared" si="11"/>
        <v>1</v>
      </c>
      <c r="AY34" s="14">
        <f t="shared" si="12"/>
        <v>20</v>
      </c>
      <c r="BG34" s="87">
        <v>28</v>
      </c>
      <c r="BH34" s="14" t="e">
        <f>INDEX(节奏总表!#REF!,新神器!BG34)</f>
        <v>#REF!</v>
      </c>
      <c r="BI34" s="14" t="e">
        <f t="shared" si="13"/>
        <v>#REF!</v>
      </c>
      <c r="BJ34" s="87">
        <v>3</v>
      </c>
      <c r="BK34" s="87">
        <v>5</v>
      </c>
      <c r="BL34" s="14">
        <f t="shared" si="67"/>
        <v>0</v>
      </c>
      <c r="BM34" s="14">
        <f t="shared" si="67"/>
        <v>0</v>
      </c>
      <c r="BN34" s="14">
        <f t="shared" si="67"/>
        <v>0</v>
      </c>
      <c r="BO34" s="14">
        <f t="shared" si="67"/>
        <v>0</v>
      </c>
      <c r="BP34" s="14">
        <f t="shared" si="67"/>
        <v>0</v>
      </c>
      <c r="BQ34" s="14">
        <f t="shared" si="67"/>
        <v>0</v>
      </c>
      <c r="BR34" s="14">
        <f t="shared" si="67"/>
        <v>0</v>
      </c>
      <c r="BS34" s="14">
        <f t="shared" si="67"/>
        <v>0</v>
      </c>
      <c r="BT34" s="14">
        <f t="shared" si="67"/>
        <v>0</v>
      </c>
      <c r="BU34" s="14">
        <f t="shared" si="67"/>
        <v>0</v>
      </c>
      <c r="BV34" s="14">
        <f t="shared" si="68"/>
        <v>0</v>
      </c>
      <c r="BW34" s="14">
        <f t="shared" si="68"/>
        <v>0</v>
      </c>
      <c r="BX34" s="14">
        <f t="shared" si="68"/>
        <v>0</v>
      </c>
      <c r="BY34" s="14">
        <f t="shared" si="68"/>
        <v>0</v>
      </c>
      <c r="BZ34" s="14">
        <f t="shared" si="68"/>
        <v>0</v>
      </c>
      <c r="CA34" s="14">
        <f t="shared" si="68"/>
        <v>0</v>
      </c>
      <c r="CB34" s="14">
        <f t="shared" si="68"/>
        <v>0</v>
      </c>
      <c r="CC34" s="14">
        <f t="shared" si="68"/>
        <v>0</v>
      </c>
      <c r="CD34" s="14">
        <f t="shared" si="68"/>
        <v>0</v>
      </c>
      <c r="CE34" s="14">
        <f t="shared" si="68"/>
        <v>0</v>
      </c>
      <c r="CF34" s="14">
        <f t="shared" si="69"/>
        <v>0</v>
      </c>
      <c r="CG34" s="14">
        <f t="shared" si="69"/>
        <v>0</v>
      </c>
      <c r="CH34" s="14">
        <f t="shared" si="69"/>
        <v>0</v>
      </c>
      <c r="CI34" s="14">
        <f t="shared" si="69"/>
        <v>0</v>
      </c>
      <c r="CJ34" s="14">
        <f t="shared" si="69"/>
        <v>0</v>
      </c>
      <c r="CK34" s="14">
        <f t="shared" si="69"/>
        <v>0</v>
      </c>
      <c r="CL34" s="14">
        <f t="shared" si="69"/>
        <v>0</v>
      </c>
      <c r="CM34" s="14">
        <f t="shared" si="69"/>
        <v>0</v>
      </c>
      <c r="CN34" s="14">
        <f t="shared" si="69"/>
        <v>0</v>
      </c>
      <c r="CO34" s="14">
        <f t="shared" si="69"/>
        <v>0</v>
      </c>
      <c r="CP34" s="14">
        <f t="shared" si="70"/>
        <v>0</v>
      </c>
      <c r="CQ34" s="14">
        <f t="shared" si="70"/>
        <v>0</v>
      </c>
      <c r="CR34" s="14">
        <f t="shared" si="70"/>
        <v>0</v>
      </c>
      <c r="CS34" s="14">
        <f t="shared" si="70"/>
        <v>0</v>
      </c>
      <c r="CT34" s="14">
        <f t="shared" si="70"/>
        <v>0</v>
      </c>
      <c r="CU34" s="14">
        <f t="shared" si="70"/>
        <v>0</v>
      </c>
      <c r="CV34" s="14">
        <f t="shared" si="70"/>
        <v>0</v>
      </c>
      <c r="CW34" s="14">
        <f t="shared" si="70"/>
        <v>0</v>
      </c>
      <c r="CX34" s="14">
        <f t="shared" si="70"/>
        <v>0</v>
      </c>
      <c r="CY34" s="14">
        <f t="shared" si="70"/>
        <v>0</v>
      </c>
      <c r="CZ34" s="14">
        <f t="shared" si="70"/>
        <v>0</v>
      </c>
      <c r="DA34" s="14">
        <f t="shared" si="70"/>
        <v>0</v>
      </c>
      <c r="DC34" s="14">
        <f>SUM(BL$7:BL34)</f>
        <v>0</v>
      </c>
      <c r="DD34" s="14">
        <f>SUM(BM$7:BM34)</f>
        <v>0</v>
      </c>
      <c r="DE34" s="14">
        <f>SUM(BN$7:BN34)</f>
        <v>0</v>
      </c>
      <c r="DF34" s="14">
        <f>SUM(BO$7:BO34)</f>
        <v>0</v>
      </c>
      <c r="DG34" s="14">
        <f>SUM(BP$7:BP34)</f>
        <v>0</v>
      </c>
      <c r="DH34" s="14">
        <f>SUM(BQ$7:BQ34)</f>
        <v>0</v>
      </c>
      <c r="DI34" s="14">
        <f>SUM(BR$7:BR34)</f>
        <v>0</v>
      </c>
      <c r="DJ34" s="14">
        <f>SUM(BS$7:BS34)</f>
        <v>0</v>
      </c>
      <c r="DK34" s="14">
        <f>SUM(BT$7:BT34)</f>
        <v>0</v>
      </c>
      <c r="DL34" s="14">
        <f>SUM(BU$7:BU34)</f>
        <v>0</v>
      </c>
      <c r="DM34" s="14">
        <f>SUM(BV$7:BV34)</f>
        <v>0</v>
      </c>
      <c r="DN34" s="14">
        <f>SUM(BW$7:BW34)</f>
        <v>0</v>
      </c>
      <c r="DO34" s="14">
        <f>SUM(BX$7:BX34)</f>
        <v>0</v>
      </c>
      <c r="DP34" s="14">
        <f>SUM(BY$7:BY34)</f>
        <v>0</v>
      </c>
      <c r="DQ34" s="14">
        <f>SUM(BZ$7:BZ34)</f>
        <v>0</v>
      </c>
      <c r="DR34" s="14">
        <f>SUM(CA$7:CA34)</f>
        <v>0</v>
      </c>
      <c r="DS34" s="14">
        <f>SUM(CB$7:CB34)</f>
        <v>0</v>
      </c>
      <c r="DT34" s="14">
        <f>SUM(CC$7:CC34)</f>
        <v>0</v>
      </c>
      <c r="DU34" s="14">
        <f>SUM(CD$7:CD34)</f>
        <v>0</v>
      </c>
      <c r="DV34" s="14">
        <f>SUM(CE$7:CE34)</f>
        <v>0</v>
      </c>
      <c r="DW34" s="14">
        <f>SUM(CF$7:CF34)</f>
        <v>0</v>
      </c>
      <c r="DX34" s="14">
        <f>SUM(CG$7:CG34)</f>
        <v>0</v>
      </c>
      <c r="DY34" s="14">
        <f>SUM(CH$7:CH34)</f>
        <v>0</v>
      </c>
      <c r="DZ34" s="14">
        <f>SUM(CI$7:CI34)</f>
        <v>0</v>
      </c>
      <c r="EA34" s="14">
        <f>SUM(CJ$7:CJ34)</f>
        <v>0</v>
      </c>
      <c r="EB34" s="14">
        <f>SUM(CK$7:CK34)</f>
        <v>0</v>
      </c>
      <c r="EC34" s="14">
        <f>SUM(CL$7:CL34)</f>
        <v>0</v>
      </c>
      <c r="ED34" s="14">
        <f>SUM(CM$7:CM34)</f>
        <v>0</v>
      </c>
      <c r="EE34" s="14">
        <f>SUM(CN$7:CN34)</f>
        <v>0</v>
      </c>
      <c r="EF34" s="14">
        <f>SUM(CO$7:CO34)</f>
        <v>0</v>
      </c>
      <c r="EG34" s="14">
        <f>SUM(CP$7:CP34)</f>
        <v>0</v>
      </c>
      <c r="EH34" s="14">
        <f>SUM(CQ$7:CQ34)</f>
        <v>0</v>
      </c>
      <c r="EI34" s="14">
        <f>SUM(CR$7:CR34)</f>
        <v>0</v>
      </c>
      <c r="EJ34" s="14">
        <f>SUM(CS$7:CS34)</f>
        <v>0</v>
      </c>
      <c r="EK34" s="14">
        <f>SUM(CT$7:CT34)</f>
        <v>0</v>
      </c>
      <c r="EL34" s="14">
        <f>SUM(CU$7:CU34)</f>
        <v>0</v>
      </c>
      <c r="EM34" s="14">
        <f>SUM(CV$7:CV34)</f>
        <v>0</v>
      </c>
      <c r="EN34" s="14">
        <f>SUM(CW$7:CW34)</f>
        <v>0</v>
      </c>
      <c r="EO34" s="14">
        <f>SUM(CX$7:CX34)</f>
        <v>0</v>
      </c>
      <c r="EP34" s="14">
        <f>SUM(CY$7:CY34)</f>
        <v>0</v>
      </c>
      <c r="EQ34" s="14">
        <f>SUM(CZ$7:CZ34)</f>
        <v>0</v>
      </c>
      <c r="ER34" s="14">
        <f>SUM(DA$7:DA34)</f>
        <v>0</v>
      </c>
      <c r="EU34" s="14">
        <f t="shared" si="14"/>
        <v>0</v>
      </c>
      <c r="EV34" s="14">
        <f t="shared" si="15"/>
        <v>0</v>
      </c>
      <c r="EW34" s="14">
        <f t="shared" si="16"/>
        <v>0</v>
      </c>
      <c r="EX34" s="14">
        <f t="shared" si="17"/>
        <v>0</v>
      </c>
      <c r="EY34" s="14">
        <f t="shared" si="18"/>
        <v>0</v>
      </c>
      <c r="EZ34" s="14">
        <f t="shared" si="19"/>
        <v>0</v>
      </c>
      <c r="FA34" s="14">
        <f t="shared" si="20"/>
        <v>0</v>
      </c>
      <c r="FB34" s="14">
        <f t="shared" si="21"/>
        <v>0</v>
      </c>
      <c r="FC34" s="14">
        <f t="shared" si="22"/>
        <v>0</v>
      </c>
      <c r="FD34" s="14">
        <f t="shared" si="23"/>
        <v>0</v>
      </c>
      <c r="FE34" s="14">
        <f t="shared" si="24"/>
        <v>0</v>
      </c>
      <c r="FF34" s="14">
        <f t="shared" si="25"/>
        <v>0</v>
      </c>
      <c r="FG34" s="14">
        <f t="shared" si="26"/>
        <v>0</v>
      </c>
      <c r="FH34" s="14">
        <f t="shared" si="27"/>
        <v>0</v>
      </c>
      <c r="FI34" s="14">
        <f t="shared" si="28"/>
        <v>0</v>
      </c>
      <c r="FJ34" s="14">
        <f t="shared" si="29"/>
        <v>0</v>
      </c>
      <c r="FK34" s="14">
        <f t="shared" si="30"/>
        <v>0</v>
      </c>
      <c r="FL34" s="14">
        <f t="shared" si="31"/>
        <v>0</v>
      </c>
      <c r="FM34" s="14">
        <f t="shared" si="32"/>
        <v>0</v>
      </c>
      <c r="FN34" s="14">
        <f t="shared" si="33"/>
        <v>0</v>
      </c>
      <c r="FO34" s="14">
        <f t="shared" si="34"/>
        <v>0</v>
      </c>
      <c r="FP34" s="14">
        <f t="shared" si="35"/>
        <v>0</v>
      </c>
      <c r="FQ34" s="14">
        <f t="shared" si="36"/>
        <v>0</v>
      </c>
      <c r="FR34" s="14">
        <f t="shared" si="37"/>
        <v>0</v>
      </c>
      <c r="FS34" s="14">
        <f t="shared" si="38"/>
        <v>0</v>
      </c>
      <c r="FT34" s="14">
        <f t="shared" si="39"/>
        <v>0</v>
      </c>
      <c r="FU34" s="14">
        <f t="shared" si="40"/>
        <v>0</v>
      </c>
      <c r="FV34" s="14">
        <f t="shared" si="41"/>
        <v>0</v>
      </c>
      <c r="FW34" s="14">
        <f t="shared" si="42"/>
        <v>0</v>
      </c>
      <c r="FX34" s="14">
        <f t="shared" si="43"/>
        <v>0</v>
      </c>
      <c r="FY34" s="14">
        <f t="shared" si="44"/>
        <v>0</v>
      </c>
      <c r="FZ34" s="14">
        <f t="shared" si="45"/>
        <v>0</v>
      </c>
      <c r="GA34" s="14">
        <f t="shared" si="46"/>
        <v>0</v>
      </c>
      <c r="GB34" s="14">
        <f t="shared" si="47"/>
        <v>0</v>
      </c>
      <c r="GC34" s="14">
        <f t="shared" si="48"/>
        <v>0</v>
      </c>
      <c r="GD34" s="14">
        <f t="shared" si="49"/>
        <v>0</v>
      </c>
      <c r="GE34" s="14">
        <f t="shared" si="50"/>
        <v>0</v>
      </c>
      <c r="GF34" s="14">
        <f t="shared" si="51"/>
        <v>0</v>
      </c>
      <c r="GG34" s="14">
        <f t="shared" si="52"/>
        <v>0</v>
      </c>
      <c r="GH34" s="14">
        <f t="shared" si="53"/>
        <v>0</v>
      </c>
      <c r="GI34" s="14">
        <f t="shared" si="54"/>
        <v>0</v>
      </c>
      <c r="GJ34" s="14">
        <f t="shared" si="55"/>
        <v>0</v>
      </c>
      <c r="GM34" s="91">
        <v>28</v>
      </c>
      <c r="GN34" s="14">
        <f t="shared" si="56"/>
        <v>2</v>
      </c>
      <c r="GO34" s="14">
        <f t="shared" si="57"/>
        <v>1606004</v>
      </c>
      <c r="GP34" s="14" t="str">
        <f t="shared" si="58"/>
        <v>神器1-2 : 10级</v>
      </c>
      <c r="GQ34" s="14" t="s">
        <v>816</v>
      </c>
      <c r="GR34" s="14">
        <f t="shared" si="59"/>
        <v>13</v>
      </c>
      <c r="GS34" s="14" t="str">
        <f t="shared" si="60"/>
        <v>神器1-2</v>
      </c>
      <c r="GT34" s="14">
        <f t="shared" si="61"/>
        <v>7</v>
      </c>
    </row>
    <row r="35" spans="14:202" ht="16.5" x14ac:dyDescent="0.2">
      <c r="N35" s="90">
        <v>6</v>
      </c>
      <c r="O35" s="90">
        <v>2</v>
      </c>
      <c r="P35" s="90">
        <v>2</v>
      </c>
      <c r="Q35" s="90">
        <v>21</v>
      </c>
      <c r="R35" s="14">
        <f>SUM(Q$7:Q35)</f>
        <v>486</v>
      </c>
      <c r="S35" s="91">
        <v>1606036</v>
      </c>
      <c r="T35" s="14" t="str">
        <f t="shared" si="62"/>
        <v>神器6-2</v>
      </c>
      <c r="AD35" s="87">
        <v>29</v>
      </c>
      <c r="AE35" s="87">
        <v>6</v>
      </c>
      <c r="AF35" s="87">
        <v>3</v>
      </c>
      <c r="AG35" s="87" t="str">
        <f t="shared" si="6"/>
        <v>神器6-3</v>
      </c>
      <c r="AH35" s="87">
        <v>2</v>
      </c>
      <c r="AI35" s="87">
        <f t="shared" si="7"/>
        <v>120</v>
      </c>
      <c r="AL35" s="87">
        <v>3</v>
      </c>
      <c r="AM35" s="87">
        <v>1</v>
      </c>
      <c r="AN35" s="87">
        <v>12</v>
      </c>
      <c r="AO35" s="144">
        <f t="shared" si="8"/>
        <v>4412</v>
      </c>
      <c r="AP35" s="144" t="s">
        <v>1249</v>
      </c>
      <c r="AQ35" s="144" t="str">
        <f t="shared" si="9"/>
        <v>神器本-3-普通-3  神器3-3</v>
      </c>
      <c r="AR35" s="87">
        <v>11</v>
      </c>
      <c r="AS35" s="87" t="s">
        <v>331</v>
      </c>
      <c r="AT35" s="87">
        <v>3500</v>
      </c>
      <c r="AU35" s="87">
        <v>1</v>
      </c>
      <c r="AV35" s="87">
        <v>2</v>
      </c>
      <c r="AW35" s="87">
        <f t="shared" si="10"/>
        <v>2</v>
      </c>
      <c r="AX35" s="14">
        <f t="shared" si="11"/>
        <v>0.52500000000000002</v>
      </c>
      <c r="AY35" s="14">
        <f t="shared" si="12"/>
        <v>31.5</v>
      </c>
      <c r="BG35" s="87">
        <v>29</v>
      </c>
      <c r="BH35" s="14" t="e">
        <f>INDEX(节奏总表!#REF!,新神器!BG35)</f>
        <v>#REF!</v>
      </c>
      <c r="BI35" s="14" t="e">
        <f t="shared" si="13"/>
        <v>#REF!</v>
      </c>
      <c r="BJ35" s="87">
        <v>3</v>
      </c>
      <c r="BK35" s="87">
        <v>5</v>
      </c>
      <c r="BL35" s="14">
        <f t="shared" si="67"/>
        <v>0</v>
      </c>
      <c r="BM35" s="14">
        <f t="shared" si="67"/>
        <v>0</v>
      </c>
      <c r="BN35" s="14">
        <f t="shared" si="67"/>
        <v>0</v>
      </c>
      <c r="BO35" s="14">
        <f t="shared" si="67"/>
        <v>0</v>
      </c>
      <c r="BP35" s="14">
        <f t="shared" si="67"/>
        <v>0</v>
      </c>
      <c r="BQ35" s="14">
        <f t="shared" si="67"/>
        <v>0</v>
      </c>
      <c r="BR35" s="14">
        <f t="shared" si="67"/>
        <v>0</v>
      </c>
      <c r="BS35" s="14">
        <f t="shared" si="67"/>
        <v>0</v>
      </c>
      <c r="BT35" s="14">
        <f t="shared" si="67"/>
        <v>0</v>
      </c>
      <c r="BU35" s="14">
        <f t="shared" si="67"/>
        <v>0</v>
      </c>
      <c r="BV35" s="14">
        <f t="shared" si="68"/>
        <v>0</v>
      </c>
      <c r="BW35" s="14">
        <f t="shared" si="68"/>
        <v>0</v>
      </c>
      <c r="BX35" s="14">
        <f t="shared" si="68"/>
        <v>0</v>
      </c>
      <c r="BY35" s="14">
        <f t="shared" si="68"/>
        <v>0</v>
      </c>
      <c r="BZ35" s="14">
        <f t="shared" si="68"/>
        <v>0</v>
      </c>
      <c r="CA35" s="14">
        <f t="shared" si="68"/>
        <v>0</v>
      </c>
      <c r="CB35" s="14">
        <f t="shared" si="68"/>
        <v>0</v>
      </c>
      <c r="CC35" s="14">
        <f t="shared" si="68"/>
        <v>0</v>
      </c>
      <c r="CD35" s="14">
        <f t="shared" si="68"/>
        <v>0</v>
      </c>
      <c r="CE35" s="14">
        <f t="shared" si="68"/>
        <v>0</v>
      </c>
      <c r="CF35" s="14">
        <f t="shared" si="69"/>
        <v>0</v>
      </c>
      <c r="CG35" s="14">
        <f t="shared" si="69"/>
        <v>0</v>
      </c>
      <c r="CH35" s="14">
        <f t="shared" si="69"/>
        <v>0</v>
      </c>
      <c r="CI35" s="14">
        <f t="shared" si="69"/>
        <v>0</v>
      </c>
      <c r="CJ35" s="14">
        <f t="shared" si="69"/>
        <v>0</v>
      </c>
      <c r="CK35" s="14">
        <f t="shared" si="69"/>
        <v>0</v>
      </c>
      <c r="CL35" s="14">
        <f t="shared" si="69"/>
        <v>0</v>
      </c>
      <c r="CM35" s="14">
        <f t="shared" si="69"/>
        <v>0</v>
      </c>
      <c r="CN35" s="14">
        <f t="shared" si="69"/>
        <v>0</v>
      </c>
      <c r="CO35" s="14">
        <f t="shared" si="69"/>
        <v>0</v>
      </c>
      <c r="CP35" s="14">
        <f t="shared" si="70"/>
        <v>0</v>
      </c>
      <c r="CQ35" s="14">
        <f t="shared" si="70"/>
        <v>0</v>
      </c>
      <c r="CR35" s="14">
        <f t="shared" si="70"/>
        <v>0</v>
      </c>
      <c r="CS35" s="14">
        <f t="shared" si="70"/>
        <v>0</v>
      </c>
      <c r="CT35" s="14">
        <f t="shared" si="70"/>
        <v>0</v>
      </c>
      <c r="CU35" s="14">
        <f t="shared" si="70"/>
        <v>0</v>
      </c>
      <c r="CV35" s="14">
        <f t="shared" si="70"/>
        <v>0</v>
      </c>
      <c r="CW35" s="14">
        <f t="shared" si="70"/>
        <v>0</v>
      </c>
      <c r="CX35" s="14">
        <f t="shared" si="70"/>
        <v>0</v>
      </c>
      <c r="CY35" s="14">
        <f t="shared" si="70"/>
        <v>0</v>
      </c>
      <c r="CZ35" s="14">
        <f t="shared" si="70"/>
        <v>0</v>
      </c>
      <c r="DA35" s="14">
        <f t="shared" si="70"/>
        <v>0</v>
      </c>
      <c r="DC35" s="14">
        <f>SUM(BL$7:BL35)</f>
        <v>0</v>
      </c>
      <c r="DD35" s="14">
        <f>SUM(BM$7:BM35)</f>
        <v>0</v>
      </c>
      <c r="DE35" s="14">
        <f>SUM(BN$7:BN35)</f>
        <v>0</v>
      </c>
      <c r="DF35" s="14">
        <f>SUM(BO$7:BO35)</f>
        <v>0</v>
      </c>
      <c r="DG35" s="14">
        <f>SUM(BP$7:BP35)</f>
        <v>0</v>
      </c>
      <c r="DH35" s="14">
        <f>SUM(BQ$7:BQ35)</f>
        <v>0</v>
      </c>
      <c r="DI35" s="14">
        <f>SUM(BR$7:BR35)</f>
        <v>0</v>
      </c>
      <c r="DJ35" s="14">
        <f>SUM(BS$7:BS35)</f>
        <v>0</v>
      </c>
      <c r="DK35" s="14">
        <f>SUM(BT$7:BT35)</f>
        <v>0</v>
      </c>
      <c r="DL35" s="14">
        <f>SUM(BU$7:BU35)</f>
        <v>0</v>
      </c>
      <c r="DM35" s="14">
        <f>SUM(BV$7:BV35)</f>
        <v>0</v>
      </c>
      <c r="DN35" s="14">
        <f>SUM(BW$7:BW35)</f>
        <v>0</v>
      </c>
      <c r="DO35" s="14">
        <f>SUM(BX$7:BX35)</f>
        <v>0</v>
      </c>
      <c r="DP35" s="14">
        <f>SUM(BY$7:BY35)</f>
        <v>0</v>
      </c>
      <c r="DQ35" s="14">
        <f>SUM(BZ$7:BZ35)</f>
        <v>0</v>
      </c>
      <c r="DR35" s="14">
        <f>SUM(CA$7:CA35)</f>
        <v>0</v>
      </c>
      <c r="DS35" s="14">
        <f>SUM(CB$7:CB35)</f>
        <v>0</v>
      </c>
      <c r="DT35" s="14">
        <f>SUM(CC$7:CC35)</f>
        <v>0</v>
      </c>
      <c r="DU35" s="14">
        <f>SUM(CD$7:CD35)</f>
        <v>0</v>
      </c>
      <c r="DV35" s="14">
        <f>SUM(CE$7:CE35)</f>
        <v>0</v>
      </c>
      <c r="DW35" s="14">
        <f>SUM(CF$7:CF35)</f>
        <v>0</v>
      </c>
      <c r="DX35" s="14">
        <f>SUM(CG$7:CG35)</f>
        <v>0</v>
      </c>
      <c r="DY35" s="14">
        <f>SUM(CH$7:CH35)</f>
        <v>0</v>
      </c>
      <c r="DZ35" s="14">
        <f>SUM(CI$7:CI35)</f>
        <v>0</v>
      </c>
      <c r="EA35" s="14">
        <f>SUM(CJ$7:CJ35)</f>
        <v>0</v>
      </c>
      <c r="EB35" s="14">
        <f>SUM(CK$7:CK35)</f>
        <v>0</v>
      </c>
      <c r="EC35" s="14">
        <f>SUM(CL$7:CL35)</f>
        <v>0</v>
      </c>
      <c r="ED35" s="14">
        <f>SUM(CM$7:CM35)</f>
        <v>0</v>
      </c>
      <c r="EE35" s="14">
        <f>SUM(CN$7:CN35)</f>
        <v>0</v>
      </c>
      <c r="EF35" s="14">
        <f>SUM(CO$7:CO35)</f>
        <v>0</v>
      </c>
      <c r="EG35" s="14">
        <f>SUM(CP$7:CP35)</f>
        <v>0</v>
      </c>
      <c r="EH35" s="14">
        <f>SUM(CQ$7:CQ35)</f>
        <v>0</v>
      </c>
      <c r="EI35" s="14">
        <f>SUM(CR$7:CR35)</f>
        <v>0</v>
      </c>
      <c r="EJ35" s="14">
        <f>SUM(CS$7:CS35)</f>
        <v>0</v>
      </c>
      <c r="EK35" s="14">
        <f>SUM(CT$7:CT35)</f>
        <v>0</v>
      </c>
      <c r="EL35" s="14">
        <f>SUM(CU$7:CU35)</f>
        <v>0</v>
      </c>
      <c r="EM35" s="14">
        <f>SUM(CV$7:CV35)</f>
        <v>0</v>
      </c>
      <c r="EN35" s="14">
        <f>SUM(CW$7:CW35)</f>
        <v>0</v>
      </c>
      <c r="EO35" s="14">
        <f>SUM(CX$7:CX35)</f>
        <v>0</v>
      </c>
      <c r="EP35" s="14">
        <f>SUM(CY$7:CY35)</f>
        <v>0</v>
      </c>
      <c r="EQ35" s="14">
        <f>SUM(CZ$7:CZ35)</f>
        <v>0</v>
      </c>
      <c r="ER35" s="14">
        <f>SUM(DA$7:DA35)</f>
        <v>0</v>
      </c>
      <c r="EU35" s="14">
        <f t="shared" si="14"/>
        <v>0</v>
      </c>
      <c r="EV35" s="14">
        <f t="shared" si="15"/>
        <v>0</v>
      </c>
      <c r="EW35" s="14">
        <f t="shared" si="16"/>
        <v>0</v>
      </c>
      <c r="EX35" s="14">
        <f t="shared" si="17"/>
        <v>0</v>
      </c>
      <c r="EY35" s="14">
        <f t="shared" si="18"/>
        <v>0</v>
      </c>
      <c r="EZ35" s="14">
        <f t="shared" si="19"/>
        <v>0</v>
      </c>
      <c r="FA35" s="14">
        <f t="shared" si="20"/>
        <v>0</v>
      </c>
      <c r="FB35" s="14">
        <f t="shared" si="21"/>
        <v>0</v>
      </c>
      <c r="FC35" s="14">
        <f t="shared" si="22"/>
        <v>0</v>
      </c>
      <c r="FD35" s="14">
        <f t="shared" si="23"/>
        <v>0</v>
      </c>
      <c r="FE35" s="14">
        <f t="shared" si="24"/>
        <v>0</v>
      </c>
      <c r="FF35" s="14">
        <f t="shared" si="25"/>
        <v>0</v>
      </c>
      <c r="FG35" s="14">
        <f t="shared" si="26"/>
        <v>0</v>
      </c>
      <c r="FH35" s="14">
        <f t="shared" si="27"/>
        <v>0</v>
      </c>
      <c r="FI35" s="14">
        <f t="shared" si="28"/>
        <v>0</v>
      </c>
      <c r="FJ35" s="14">
        <f t="shared" si="29"/>
        <v>0</v>
      </c>
      <c r="FK35" s="14">
        <f t="shared" si="30"/>
        <v>0</v>
      </c>
      <c r="FL35" s="14">
        <f t="shared" si="31"/>
        <v>0</v>
      </c>
      <c r="FM35" s="14">
        <f t="shared" si="32"/>
        <v>0</v>
      </c>
      <c r="FN35" s="14">
        <f t="shared" si="33"/>
        <v>0</v>
      </c>
      <c r="FO35" s="14">
        <f t="shared" si="34"/>
        <v>0</v>
      </c>
      <c r="FP35" s="14">
        <f t="shared" si="35"/>
        <v>0</v>
      </c>
      <c r="FQ35" s="14">
        <f t="shared" si="36"/>
        <v>0</v>
      </c>
      <c r="FR35" s="14">
        <f t="shared" si="37"/>
        <v>0</v>
      </c>
      <c r="FS35" s="14">
        <f t="shared" si="38"/>
        <v>0</v>
      </c>
      <c r="FT35" s="14">
        <f t="shared" si="39"/>
        <v>0</v>
      </c>
      <c r="FU35" s="14">
        <f t="shared" si="40"/>
        <v>0</v>
      </c>
      <c r="FV35" s="14">
        <f t="shared" si="41"/>
        <v>0</v>
      </c>
      <c r="FW35" s="14">
        <f t="shared" si="42"/>
        <v>0</v>
      </c>
      <c r="FX35" s="14">
        <f t="shared" si="43"/>
        <v>0</v>
      </c>
      <c r="FY35" s="14">
        <f t="shared" si="44"/>
        <v>0</v>
      </c>
      <c r="FZ35" s="14">
        <f t="shared" si="45"/>
        <v>0</v>
      </c>
      <c r="GA35" s="14">
        <f t="shared" si="46"/>
        <v>0</v>
      </c>
      <c r="GB35" s="14">
        <f t="shared" si="47"/>
        <v>0</v>
      </c>
      <c r="GC35" s="14">
        <f t="shared" si="48"/>
        <v>0</v>
      </c>
      <c r="GD35" s="14">
        <f t="shared" si="49"/>
        <v>0</v>
      </c>
      <c r="GE35" s="14">
        <f t="shared" si="50"/>
        <v>0</v>
      </c>
      <c r="GF35" s="14">
        <f t="shared" si="51"/>
        <v>0</v>
      </c>
      <c r="GG35" s="14">
        <f t="shared" si="52"/>
        <v>0</v>
      </c>
      <c r="GH35" s="14">
        <f t="shared" si="53"/>
        <v>0</v>
      </c>
      <c r="GI35" s="14">
        <f t="shared" si="54"/>
        <v>0</v>
      </c>
      <c r="GJ35" s="14">
        <f t="shared" si="55"/>
        <v>0</v>
      </c>
      <c r="GM35" s="91">
        <v>29</v>
      </c>
      <c r="GN35" s="14">
        <f t="shared" si="56"/>
        <v>2</v>
      </c>
      <c r="GO35" s="14">
        <f t="shared" si="57"/>
        <v>1606004</v>
      </c>
      <c r="GP35" s="14" t="str">
        <f t="shared" si="58"/>
        <v>神器1-2 : 11级</v>
      </c>
      <c r="GQ35" s="14" t="s">
        <v>816</v>
      </c>
      <c r="GR35" s="14">
        <f t="shared" si="59"/>
        <v>14</v>
      </c>
      <c r="GS35" s="14" t="str">
        <f t="shared" si="60"/>
        <v>神器1-2</v>
      </c>
      <c r="GT35" s="14">
        <f t="shared" si="61"/>
        <v>7</v>
      </c>
    </row>
    <row r="36" spans="14:202" ht="16.5" x14ac:dyDescent="0.2">
      <c r="N36" s="90">
        <v>6</v>
      </c>
      <c r="O36" s="90">
        <v>3</v>
      </c>
      <c r="P36" s="90">
        <v>2</v>
      </c>
      <c r="Q36" s="90">
        <v>21</v>
      </c>
      <c r="R36" s="14">
        <f>SUM(Q$7:Q36)</f>
        <v>507</v>
      </c>
      <c r="S36" s="91">
        <v>1606037</v>
      </c>
      <c r="T36" s="14" t="str">
        <f t="shared" si="62"/>
        <v>神器6-3</v>
      </c>
      <c r="AD36" s="87">
        <v>30</v>
      </c>
      <c r="AE36" s="87">
        <v>6</v>
      </c>
      <c r="AF36" s="87">
        <v>4</v>
      </c>
      <c r="AG36" s="87" t="str">
        <f t="shared" si="6"/>
        <v>神器6-4</v>
      </c>
      <c r="AH36" s="87">
        <v>3</v>
      </c>
      <c r="AI36" s="87">
        <f t="shared" si="7"/>
        <v>280</v>
      </c>
      <c r="AL36" s="87">
        <v>3</v>
      </c>
      <c r="AM36" s="87">
        <v>1</v>
      </c>
      <c r="AN36" s="87">
        <v>12</v>
      </c>
      <c r="AO36" s="144">
        <f t="shared" si="8"/>
        <v>4412</v>
      </c>
      <c r="AP36" s="144" t="s">
        <v>1249</v>
      </c>
      <c r="AQ36" s="144" t="str">
        <f t="shared" si="9"/>
        <v>神器本-3-普通-3  神器3-4</v>
      </c>
      <c r="AR36" s="87">
        <v>12</v>
      </c>
      <c r="AS36" s="87" t="s">
        <v>332</v>
      </c>
      <c r="AT36" s="87">
        <v>3500</v>
      </c>
      <c r="AU36" s="87">
        <v>1</v>
      </c>
      <c r="AV36" s="87">
        <v>2</v>
      </c>
      <c r="AW36" s="87">
        <f t="shared" si="10"/>
        <v>2</v>
      </c>
      <c r="AX36" s="14">
        <f t="shared" si="11"/>
        <v>0.52500000000000002</v>
      </c>
      <c r="AY36" s="14">
        <f t="shared" si="12"/>
        <v>31.5</v>
      </c>
      <c r="BG36" s="87">
        <v>30</v>
      </c>
      <c r="BH36" s="14" t="e">
        <f>INDEX(节奏总表!#REF!,新神器!BG36)</f>
        <v>#REF!</v>
      </c>
      <c r="BI36" s="14" t="e">
        <f t="shared" si="13"/>
        <v>#REF!</v>
      </c>
      <c r="BJ36" s="87">
        <v>3</v>
      </c>
      <c r="BK36" s="87">
        <v>5</v>
      </c>
      <c r="BL36" s="14">
        <f t="shared" si="67"/>
        <v>0</v>
      </c>
      <c r="BM36" s="14">
        <f t="shared" si="67"/>
        <v>0</v>
      </c>
      <c r="BN36" s="14">
        <f t="shared" si="67"/>
        <v>0</v>
      </c>
      <c r="BO36" s="14">
        <f t="shared" si="67"/>
        <v>0</v>
      </c>
      <c r="BP36" s="14">
        <f t="shared" si="67"/>
        <v>0</v>
      </c>
      <c r="BQ36" s="14">
        <f t="shared" si="67"/>
        <v>0</v>
      </c>
      <c r="BR36" s="14">
        <f t="shared" si="67"/>
        <v>0</v>
      </c>
      <c r="BS36" s="14">
        <f t="shared" si="67"/>
        <v>0</v>
      </c>
      <c r="BT36" s="14">
        <f t="shared" si="67"/>
        <v>0</v>
      </c>
      <c r="BU36" s="14">
        <f t="shared" si="67"/>
        <v>0</v>
      </c>
      <c r="BV36" s="14">
        <f t="shared" si="68"/>
        <v>0</v>
      </c>
      <c r="BW36" s="14">
        <f t="shared" si="68"/>
        <v>0</v>
      </c>
      <c r="BX36" s="14">
        <f t="shared" si="68"/>
        <v>0</v>
      </c>
      <c r="BY36" s="14">
        <f t="shared" si="68"/>
        <v>0</v>
      </c>
      <c r="BZ36" s="14">
        <f t="shared" si="68"/>
        <v>0</v>
      </c>
      <c r="CA36" s="14">
        <f t="shared" si="68"/>
        <v>0</v>
      </c>
      <c r="CB36" s="14">
        <f t="shared" si="68"/>
        <v>0</v>
      </c>
      <c r="CC36" s="14">
        <f t="shared" si="68"/>
        <v>0</v>
      </c>
      <c r="CD36" s="14">
        <f t="shared" si="68"/>
        <v>0</v>
      </c>
      <c r="CE36" s="14">
        <f t="shared" si="68"/>
        <v>0</v>
      </c>
      <c r="CF36" s="14">
        <f t="shared" si="69"/>
        <v>0</v>
      </c>
      <c r="CG36" s="14">
        <f t="shared" si="69"/>
        <v>0</v>
      </c>
      <c r="CH36" s="14">
        <f t="shared" si="69"/>
        <v>0</v>
      </c>
      <c r="CI36" s="14">
        <f t="shared" si="69"/>
        <v>0</v>
      </c>
      <c r="CJ36" s="14">
        <f t="shared" si="69"/>
        <v>0</v>
      </c>
      <c r="CK36" s="14">
        <f t="shared" si="69"/>
        <v>0</v>
      </c>
      <c r="CL36" s="14">
        <f t="shared" si="69"/>
        <v>0</v>
      </c>
      <c r="CM36" s="14">
        <f t="shared" si="69"/>
        <v>0</v>
      </c>
      <c r="CN36" s="14">
        <f t="shared" si="69"/>
        <v>0</v>
      </c>
      <c r="CO36" s="14">
        <f t="shared" si="69"/>
        <v>0</v>
      </c>
      <c r="CP36" s="14">
        <f t="shared" si="70"/>
        <v>0</v>
      </c>
      <c r="CQ36" s="14">
        <f t="shared" si="70"/>
        <v>0</v>
      </c>
      <c r="CR36" s="14">
        <f t="shared" si="70"/>
        <v>0</v>
      </c>
      <c r="CS36" s="14">
        <f t="shared" si="70"/>
        <v>0</v>
      </c>
      <c r="CT36" s="14">
        <f t="shared" si="70"/>
        <v>0</v>
      </c>
      <c r="CU36" s="14">
        <f t="shared" si="70"/>
        <v>0</v>
      </c>
      <c r="CV36" s="14">
        <f t="shared" si="70"/>
        <v>0</v>
      </c>
      <c r="CW36" s="14">
        <f t="shared" si="70"/>
        <v>0</v>
      </c>
      <c r="CX36" s="14">
        <f t="shared" si="70"/>
        <v>0</v>
      </c>
      <c r="CY36" s="14">
        <f t="shared" si="70"/>
        <v>0</v>
      </c>
      <c r="CZ36" s="14">
        <f t="shared" si="70"/>
        <v>0</v>
      </c>
      <c r="DA36" s="14">
        <f t="shared" si="70"/>
        <v>0</v>
      </c>
      <c r="DC36" s="14">
        <f>SUM(BL$7:BL36)</f>
        <v>0</v>
      </c>
      <c r="DD36" s="14">
        <f>SUM(BM$7:BM36)</f>
        <v>0</v>
      </c>
      <c r="DE36" s="14">
        <f>SUM(BN$7:BN36)</f>
        <v>0</v>
      </c>
      <c r="DF36" s="14">
        <f>SUM(BO$7:BO36)</f>
        <v>0</v>
      </c>
      <c r="DG36" s="14">
        <f>SUM(BP$7:BP36)</f>
        <v>0</v>
      </c>
      <c r="DH36" s="14">
        <f>SUM(BQ$7:BQ36)</f>
        <v>0</v>
      </c>
      <c r="DI36" s="14">
        <f>SUM(BR$7:BR36)</f>
        <v>0</v>
      </c>
      <c r="DJ36" s="14">
        <f>SUM(BS$7:BS36)</f>
        <v>0</v>
      </c>
      <c r="DK36" s="14">
        <f>SUM(BT$7:BT36)</f>
        <v>0</v>
      </c>
      <c r="DL36" s="14">
        <f>SUM(BU$7:BU36)</f>
        <v>0</v>
      </c>
      <c r="DM36" s="14">
        <f>SUM(BV$7:BV36)</f>
        <v>0</v>
      </c>
      <c r="DN36" s="14">
        <f>SUM(BW$7:BW36)</f>
        <v>0</v>
      </c>
      <c r="DO36" s="14">
        <f>SUM(BX$7:BX36)</f>
        <v>0</v>
      </c>
      <c r="DP36" s="14">
        <f>SUM(BY$7:BY36)</f>
        <v>0</v>
      </c>
      <c r="DQ36" s="14">
        <f>SUM(BZ$7:BZ36)</f>
        <v>0</v>
      </c>
      <c r="DR36" s="14">
        <f>SUM(CA$7:CA36)</f>
        <v>0</v>
      </c>
      <c r="DS36" s="14">
        <f>SUM(CB$7:CB36)</f>
        <v>0</v>
      </c>
      <c r="DT36" s="14">
        <f>SUM(CC$7:CC36)</f>
        <v>0</v>
      </c>
      <c r="DU36" s="14">
        <f>SUM(CD$7:CD36)</f>
        <v>0</v>
      </c>
      <c r="DV36" s="14">
        <f>SUM(CE$7:CE36)</f>
        <v>0</v>
      </c>
      <c r="DW36" s="14">
        <f>SUM(CF$7:CF36)</f>
        <v>0</v>
      </c>
      <c r="DX36" s="14">
        <f>SUM(CG$7:CG36)</f>
        <v>0</v>
      </c>
      <c r="DY36" s="14">
        <f>SUM(CH$7:CH36)</f>
        <v>0</v>
      </c>
      <c r="DZ36" s="14">
        <f>SUM(CI$7:CI36)</f>
        <v>0</v>
      </c>
      <c r="EA36" s="14">
        <f>SUM(CJ$7:CJ36)</f>
        <v>0</v>
      </c>
      <c r="EB36" s="14">
        <f>SUM(CK$7:CK36)</f>
        <v>0</v>
      </c>
      <c r="EC36" s="14">
        <f>SUM(CL$7:CL36)</f>
        <v>0</v>
      </c>
      <c r="ED36" s="14">
        <f>SUM(CM$7:CM36)</f>
        <v>0</v>
      </c>
      <c r="EE36" s="14">
        <f>SUM(CN$7:CN36)</f>
        <v>0</v>
      </c>
      <c r="EF36" s="14">
        <f>SUM(CO$7:CO36)</f>
        <v>0</v>
      </c>
      <c r="EG36" s="14">
        <f>SUM(CP$7:CP36)</f>
        <v>0</v>
      </c>
      <c r="EH36" s="14">
        <f>SUM(CQ$7:CQ36)</f>
        <v>0</v>
      </c>
      <c r="EI36" s="14">
        <f>SUM(CR$7:CR36)</f>
        <v>0</v>
      </c>
      <c r="EJ36" s="14">
        <f>SUM(CS$7:CS36)</f>
        <v>0</v>
      </c>
      <c r="EK36" s="14">
        <f>SUM(CT$7:CT36)</f>
        <v>0</v>
      </c>
      <c r="EL36" s="14">
        <f>SUM(CU$7:CU36)</f>
        <v>0</v>
      </c>
      <c r="EM36" s="14">
        <f>SUM(CV$7:CV36)</f>
        <v>0</v>
      </c>
      <c r="EN36" s="14">
        <f>SUM(CW$7:CW36)</f>
        <v>0</v>
      </c>
      <c r="EO36" s="14">
        <f>SUM(CX$7:CX36)</f>
        <v>0</v>
      </c>
      <c r="EP36" s="14">
        <f>SUM(CY$7:CY36)</f>
        <v>0</v>
      </c>
      <c r="EQ36" s="14">
        <f>SUM(CZ$7:CZ36)</f>
        <v>0</v>
      </c>
      <c r="ER36" s="14">
        <f>SUM(DA$7:DA36)</f>
        <v>0</v>
      </c>
      <c r="EU36" s="14">
        <f t="shared" si="14"/>
        <v>0</v>
      </c>
      <c r="EV36" s="14">
        <f t="shared" si="15"/>
        <v>0</v>
      </c>
      <c r="EW36" s="14">
        <f t="shared" si="16"/>
        <v>0</v>
      </c>
      <c r="EX36" s="14">
        <f t="shared" si="17"/>
        <v>0</v>
      </c>
      <c r="EY36" s="14">
        <f t="shared" si="18"/>
        <v>0</v>
      </c>
      <c r="EZ36" s="14">
        <f t="shared" si="19"/>
        <v>0</v>
      </c>
      <c r="FA36" s="14">
        <f t="shared" si="20"/>
        <v>0</v>
      </c>
      <c r="FB36" s="14">
        <f t="shared" si="21"/>
        <v>0</v>
      </c>
      <c r="FC36" s="14">
        <f t="shared" si="22"/>
        <v>0</v>
      </c>
      <c r="FD36" s="14">
        <f t="shared" si="23"/>
        <v>0</v>
      </c>
      <c r="FE36" s="14">
        <f t="shared" si="24"/>
        <v>0</v>
      </c>
      <c r="FF36" s="14">
        <f t="shared" si="25"/>
        <v>0</v>
      </c>
      <c r="FG36" s="14">
        <f t="shared" si="26"/>
        <v>0</v>
      </c>
      <c r="FH36" s="14">
        <f t="shared" si="27"/>
        <v>0</v>
      </c>
      <c r="FI36" s="14">
        <f t="shared" si="28"/>
        <v>0</v>
      </c>
      <c r="FJ36" s="14">
        <f t="shared" si="29"/>
        <v>0</v>
      </c>
      <c r="FK36" s="14">
        <f t="shared" si="30"/>
        <v>0</v>
      </c>
      <c r="FL36" s="14">
        <f t="shared" si="31"/>
        <v>0</v>
      </c>
      <c r="FM36" s="14">
        <f t="shared" si="32"/>
        <v>0</v>
      </c>
      <c r="FN36" s="14">
        <f t="shared" si="33"/>
        <v>0</v>
      </c>
      <c r="FO36" s="14">
        <f t="shared" si="34"/>
        <v>0</v>
      </c>
      <c r="FP36" s="14">
        <f t="shared" si="35"/>
        <v>0</v>
      </c>
      <c r="FQ36" s="14">
        <f t="shared" si="36"/>
        <v>0</v>
      </c>
      <c r="FR36" s="14">
        <f t="shared" si="37"/>
        <v>0</v>
      </c>
      <c r="FS36" s="14">
        <f t="shared" si="38"/>
        <v>0</v>
      </c>
      <c r="FT36" s="14">
        <f t="shared" si="39"/>
        <v>0</v>
      </c>
      <c r="FU36" s="14">
        <f t="shared" si="40"/>
        <v>0</v>
      </c>
      <c r="FV36" s="14">
        <f t="shared" si="41"/>
        <v>0</v>
      </c>
      <c r="FW36" s="14">
        <f t="shared" si="42"/>
        <v>0</v>
      </c>
      <c r="FX36" s="14">
        <f t="shared" si="43"/>
        <v>0</v>
      </c>
      <c r="FY36" s="14">
        <f t="shared" si="44"/>
        <v>0</v>
      </c>
      <c r="FZ36" s="14">
        <f t="shared" si="45"/>
        <v>0</v>
      </c>
      <c r="GA36" s="14">
        <f t="shared" si="46"/>
        <v>0</v>
      </c>
      <c r="GB36" s="14">
        <f t="shared" si="47"/>
        <v>0</v>
      </c>
      <c r="GC36" s="14">
        <f t="shared" si="48"/>
        <v>0</v>
      </c>
      <c r="GD36" s="14">
        <f t="shared" si="49"/>
        <v>0</v>
      </c>
      <c r="GE36" s="14">
        <f t="shared" si="50"/>
        <v>0</v>
      </c>
      <c r="GF36" s="14">
        <f t="shared" si="51"/>
        <v>0</v>
      </c>
      <c r="GG36" s="14">
        <f t="shared" si="52"/>
        <v>0</v>
      </c>
      <c r="GH36" s="14">
        <f t="shared" si="53"/>
        <v>0</v>
      </c>
      <c r="GI36" s="14">
        <f t="shared" si="54"/>
        <v>0</v>
      </c>
      <c r="GJ36" s="14">
        <f t="shared" si="55"/>
        <v>0</v>
      </c>
      <c r="GM36" s="91">
        <v>30</v>
      </c>
      <c r="GN36" s="14">
        <f t="shared" si="56"/>
        <v>2</v>
      </c>
      <c r="GO36" s="14">
        <f t="shared" si="57"/>
        <v>1606004</v>
      </c>
      <c r="GP36" s="14" t="str">
        <f t="shared" si="58"/>
        <v>神器1-2 : 12级</v>
      </c>
      <c r="GQ36" s="14" t="s">
        <v>816</v>
      </c>
      <c r="GR36" s="14">
        <f t="shared" si="59"/>
        <v>15</v>
      </c>
      <c r="GS36" s="14" t="str">
        <f t="shared" si="60"/>
        <v>神器1-2</v>
      </c>
      <c r="GT36" s="14">
        <f t="shared" si="61"/>
        <v>7</v>
      </c>
    </row>
    <row r="37" spans="14:202" ht="16.5" x14ac:dyDescent="0.2">
      <c r="N37" s="90">
        <v>6</v>
      </c>
      <c r="O37" s="90">
        <v>4</v>
      </c>
      <c r="P37" s="90">
        <v>3</v>
      </c>
      <c r="Q37" s="90">
        <v>21</v>
      </c>
      <c r="R37" s="14">
        <f>SUM(Q$7:Q37)</f>
        <v>528</v>
      </c>
      <c r="S37" s="91">
        <v>1606038</v>
      </c>
      <c r="T37" s="14" t="str">
        <f t="shared" si="62"/>
        <v>神器6-4</v>
      </c>
      <c r="AD37" s="87">
        <v>31</v>
      </c>
      <c r="AE37" s="87">
        <v>6</v>
      </c>
      <c r="AF37" s="87">
        <v>5</v>
      </c>
      <c r="AG37" s="87" t="str">
        <f t="shared" si="6"/>
        <v>神器6-5</v>
      </c>
      <c r="AH37" s="87">
        <v>3</v>
      </c>
      <c r="AI37" s="87">
        <f t="shared" si="7"/>
        <v>280</v>
      </c>
      <c r="AL37" s="87">
        <v>3</v>
      </c>
      <c r="AM37" s="87">
        <v>2</v>
      </c>
      <c r="AN37" s="87">
        <v>13</v>
      </c>
      <c r="AO37" s="144">
        <f t="shared" si="8"/>
        <v>4413</v>
      </c>
      <c r="AP37" s="144" t="s">
        <v>1245</v>
      </c>
      <c r="AQ37" s="144" t="str">
        <f t="shared" si="9"/>
        <v>神器本-3-困难-1  神器1-1</v>
      </c>
      <c r="AR37" s="87">
        <v>1</v>
      </c>
      <c r="AS37" s="87" t="s">
        <v>321</v>
      </c>
      <c r="AT37" s="87">
        <v>1500</v>
      </c>
      <c r="AU37" s="87">
        <v>1</v>
      </c>
      <c r="AV37" s="87">
        <v>1</v>
      </c>
      <c r="AW37" s="87">
        <f t="shared" si="10"/>
        <v>1</v>
      </c>
      <c r="AX37" s="14">
        <f t="shared" si="11"/>
        <v>0.15</v>
      </c>
      <c r="AY37" s="14">
        <f t="shared" si="12"/>
        <v>1.5</v>
      </c>
      <c r="BG37" s="87">
        <v>31</v>
      </c>
      <c r="BH37" s="14" t="e">
        <f>INDEX(节奏总表!#REF!,新神器!BG37)</f>
        <v>#REF!</v>
      </c>
      <c r="BI37" s="14" t="e">
        <f t="shared" si="13"/>
        <v>#REF!</v>
      </c>
      <c r="BJ37" s="87">
        <v>3</v>
      </c>
      <c r="BK37" s="87">
        <v>5</v>
      </c>
      <c r="BL37" s="14">
        <f t="shared" ref="BL37:BU46" si="71">SUMIFS($AX$7:$AX$301,$AL$7:$AL$301,"="&amp;$BI37,$AM$7:$AM$301,"="&amp;$BJ37,$AR$7:$AR$301,"="&amp;BL$2)*$BK37</f>
        <v>0</v>
      </c>
      <c r="BM37" s="14">
        <f t="shared" si="71"/>
        <v>0</v>
      </c>
      <c r="BN37" s="14">
        <f t="shared" si="71"/>
        <v>0</v>
      </c>
      <c r="BO37" s="14">
        <f t="shared" si="71"/>
        <v>0</v>
      </c>
      <c r="BP37" s="14">
        <f t="shared" si="71"/>
        <v>0</v>
      </c>
      <c r="BQ37" s="14">
        <f t="shared" si="71"/>
        <v>0</v>
      </c>
      <c r="BR37" s="14">
        <f t="shared" si="71"/>
        <v>0</v>
      </c>
      <c r="BS37" s="14">
        <f t="shared" si="71"/>
        <v>0</v>
      </c>
      <c r="BT37" s="14">
        <f t="shared" si="71"/>
        <v>0</v>
      </c>
      <c r="BU37" s="14">
        <f t="shared" si="71"/>
        <v>0</v>
      </c>
      <c r="BV37" s="14">
        <f t="shared" ref="BV37:CE46" si="72">SUMIFS($AX$7:$AX$301,$AL$7:$AL$301,"="&amp;$BI37,$AM$7:$AM$301,"="&amp;$BJ37,$AR$7:$AR$301,"="&amp;BV$2)*$BK37</f>
        <v>0</v>
      </c>
      <c r="BW37" s="14">
        <f t="shared" si="72"/>
        <v>0</v>
      </c>
      <c r="BX37" s="14">
        <f t="shared" si="72"/>
        <v>0</v>
      </c>
      <c r="BY37" s="14">
        <f t="shared" si="72"/>
        <v>0</v>
      </c>
      <c r="BZ37" s="14">
        <f t="shared" si="72"/>
        <v>0</v>
      </c>
      <c r="CA37" s="14">
        <f t="shared" si="72"/>
        <v>0</v>
      </c>
      <c r="CB37" s="14">
        <f t="shared" si="72"/>
        <v>0</v>
      </c>
      <c r="CC37" s="14">
        <f t="shared" si="72"/>
        <v>0</v>
      </c>
      <c r="CD37" s="14">
        <f t="shared" si="72"/>
        <v>0</v>
      </c>
      <c r="CE37" s="14">
        <f t="shared" si="72"/>
        <v>0</v>
      </c>
      <c r="CF37" s="14">
        <f t="shared" ref="CF37:CO46" si="73">SUMIFS($AX$7:$AX$301,$AL$7:$AL$301,"="&amp;$BI37,$AM$7:$AM$301,"="&amp;$BJ37,$AR$7:$AR$301,"="&amp;CF$2)*$BK37</f>
        <v>0</v>
      </c>
      <c r="CG37" s="14">
        <f t="shared" si="73"/>
        <v>0</v>
      </c>
      <c r="CH37" s="14">
        <f t="shared" si="73"/>
        <v>0</v>
      </c>
      <c r="CI37" s="14">
        <f t="shared" si="73"/>
        <v>0</v>
      </c>
      <c r="CJ37" s="14">
        <f t="shared" si="73"/>
        <v>0</v>
      </c>
      <c r="CK37" s="14">
        <f t="shared" si="73"/>
        <v>0</v>
      </c>
      <c r="CL37" s="14">
        <f t="shared" si="73"/>
        <v>0</v>
      </c>
      <c r="CM37" s="14">
        <f t="shared" si="73"/>
        <v>0</v>
      </c>
      <c r="CN37" s="14">
        <f t="shared" si="73"/>
        <v>0</v>
      </c>
      <c r="CO37" s="14">
        <f t="shared" si="73"/>
        <v>0</v>
      </c>
      <c r="CP37" s="14">
        <f t="shared" ref="CP37:DA46" si="74">SUMIFS($AX$7:$AX$301,$AL$7:$AL$301,"="&amp;$BI37,$AM$7:$AM$301,"="&amp;$BJ37,$AR$7:$AR$301,"="&amp;CP$2)*$BK37</f>
        <v>0</v>
      </c>
      <c r="CQ37" s="14">
        <f t="shared" si="74"/>
        <v>0</v>
      </c>
      <c r="CR37" s="14">
        <f t="shared" si="74"/>
        <v>0</v>
      </c>
      <c r="CS37" s="14">
        <f t="shared" si="74"/>
        <v>0</v>
      </c>
      <c r="CT37" s="14">
        <f t="shared" si="74"/>
        <v>0</v>
      </c>
      <c r="CU37" s="14">
        <f t="shared" si="74"/>
        <v>0</v>
      </c>
      <c r="CV37" s="14">
        <f t="shared" si="74"/>
        <v>0</v>
      </c>
      <c r="CW37" s="14">
        <f t="shared" si="74"/>
        <v>0</v>
      </c>
      <c r="CX37" s="14">
        <f t="shared" si="74"/>
        <v>0</v>
      </c>
      <c r="CY37" s="14">
        <f t="shared" si="74"/>
        <v>0</v>
      </c>
      <c r="CZ37" s="14">
        <f t="shared" si="74"/>
        <v>0</v>
      </c>
      <c r="DA37" s="14">
        <f t="shared" si="74"/>
        <v>0</v>
      </c>
      <c r="DC37" s="14">
        <f>SUM(BL$7:BL37)</f>
        <v>0</v>
      </c>
      <c r="DD37" s="14">
        <f>SUM(BM$7:BM37)</f>
        <v>0</v>
      </c>
      <c r="DE37" s="14">
        <f>SUM(BN$7:BN37)</f>
        <v>0</v>
      </c>
      <c r="DF37" s="14">
        <f>SUM(BO$7:BO37)</f>
        <v>0</v>
      </c>
      <c r="DG37" s="14">
        <f>SUM(BP$7:BP37)</f>
        <v>0</v>
      </c>
      <c r="DH37" s="14">
        <f>SUM(BQ$7:BQ37)</f>
        <v>0</v>
      </c>
      <c r="DI37" s="14">
        <f>SUM(BR$7:BR37)</f>
        <v>0</v>
      </c>
      <c r="DJ37" s="14">
        <f>SUM(BS$7:BS37)</f>
        <v>0</v>
      </c>
      <c r="DK37" s="14">
        <f>SUM(BT$7:BT37)</f>
        <v>0</v>
      </c>
      <c r="DL37" s="14">
        <f>SUM(BU$7:BU37)</f>
        <v>0</v>
      </c>
      <c r="DM37" s="14">
        <f>SUM(BV$7:BV37)</f>
        <v>0</v>
      </c>
      <c r="DN37" s="14">
        <f>SUM(BW$7:BW37)</f>
        <v>0</v>
      </c>
      <c r="DO37" s="14">
        <f>SUM(BX$7:BX37)</f>
        <v>0</v>
      </c>
      <c r="DP37" s="14">
        <f>SUM(BY$7:BY37)</f>
        <v>0</v>
      </c>
      <c r="DQ37" s="14">
        <f>SUM(BZ$7:BZ37)</f>
        <v>0</v>
      </c>
      <c r="DR37" s="14">
        <f>SUM(CA$7:CA37)</f>
        <v>0</v>
      </c>
      <c r="DS37" s="14">
        <f>SUM(CB$7:CB37)</f>
        <v>0</v>
      </c>
      <c r="DT37" s="14">
        <f>SUM(CC$7:CC37)</f>
        <v>0</v>
      </c>
      <c r="DU37" s="14">
        <f>SUM(CD$7:CD37)</f>
        <v>0</v>
      </c>
      <c r="DV37" s="14">
        <f>SUM(CE$7:CE37)</f>
        <v>0</v>
      </c>
      <c r="DW37" s="14">
        <f>SUM(CF$7:CF37)</f>
        <v>0</v>
      </c>
      <c r="DX37" s="14">
        <f>SUM(CG$7:CG37)</f>
        <v>0</v>
      </c>
      <c r="DY37" s="14">
        <f>SUM(CH$7:CH37)</f>
        <v>0</v>
      </c>
      <c r="DZ37" s="14">
        <f>SUM(CI$7:CI37)</f>
        <v>0</v>
      </c>
      <c r="EA37" s="14">
        <f>SUM(CJ$7:CJ37)</f>
        <v>0</v>
      </c>
      <c r="EB37" s="14">
        <f>SUM(CK$7:CK37)</f>
        <v>0</v>
      </c>
      <c r="EC37" s="14">
        <f>SUM(CL$7:CL37)</f>
        <v>0</v>
      </c>
      <c r="ED37" s="14">
        <f>SUM(CM$7:CM37)</f>
        <v>0</v>
      </c>
      <c r="EE37" s="14">
        <f>SUM(CN$7:CN37)</f>
        <v>0</v>
      </c>
      <c r="EF37" s="14">
        <f>SUM(CO$7:CO37)</f>
        <v>0</v>
      </c>
      <c r="EG37" s="14">
        <f>SUM(CP$7:CP37)</f>
        <v>0</v>
      </c>
      <c r="EH37" s="14">
        <f>SUM(CQ$7:CQ37)</f>
        <v>0</v>
      </c>
      <c r="EI37" s="14">
        <f>SUM(CR$7:CR37)</f>
        <v>0</v>
      </c>
      <c r="EJ37" s="14">
        <f>SUM(CS$7:CS37)</f>
        <v>0</v>
      </c>
      <c r="EK37" s="14">
        <f>SUM(CT$7:CT37)</f>
        <v>0</v>
      </c>
      <c r="EL37" s="14">
        <f>SUM(CU$7:CU37)</f>
        <v>0</v>
      </c>
      <c r="EM37" s="14">
        <f>SUM(CV$7:CV37)</f>
        <v>0</v>
      </c>
      <c r="EN37" s="14">
        <f>SUM(CW$7:CW37)</f>
        <v>0</v>
      </c>
      <c r="EO37" s="14">
        <f>SUM(CX$7:CX37)</f>
        <v>0</v>
      </c>
      <c r="EP37" s="14">
        <f>SUM(CY$7:CY37)</f>
        <v>0</v>
      </c>
      <c r="EQ37" s="14">
        <f>SUM(CZ$7:CZ37)</f>
        <v>0</v>
      </c>
      <c r="ER37" s="14">
        <f>SUM(DA$7:DA37)</f>
        <v>0</v>
      </c>
      <c r="EU37" s="14">
        <f t="shared" si="14"/>
        <v>0</v>
      </c>
      <c r="EV37" s="14">
        <f t="shared" si="15"/>
        <v>0</v>
      </c>
      <c r="EW37" s="14">
        <f t="shared" si="16"/>
        <v>0</v>
      </c>
      <c r="EX37" s="14">
        <f t="shared" si="17"/>
        <v>0</v>
      </c>
      <c r="EY37" s="14">
        <f t="shared" si="18"/>
        <v>0</v>
      </c>
      <c r="EZ37" s="14">
        <f t="shared" si="19"/>
        <v>0</v>
      </c>
      <c r="FA37" s="14">
        <f t="shared" si="20"/>
        <v>0</v>
      </c>
      <c r="FB37" s="14">
        <f t="shared" si="21"/>
        <v>0</v>
      </c>
      <c r="FC37" s="14">
        <f t="shared" si="22"/>
        <v>0</v>
      </c>
      <c r="FD37" s="14">
        <f t="shared" si="23"/>
        <v>0</v>
      </c>
      <c r="FE37" s="14">
        <f t="shared" si="24"/>
        <v>0</v>
      </c>
      <c r="FF37" s="14">
        <f t="shared" si="25"/>
        <v>0</v>
      </c>
      <c r="FG37" s="14">
        <f t="shared" si="26"/>
        <v>0</v>
      </c>
      <c r="FH37" s="14">
        <f t="shared" si="27"/>
        <v>0</v>
      </c>
      <c r="FI37" s="14">
        <f t="shared" si="28"/>
        <v>0</v>
      </c>
      <c r="FJ37" s="14">
        <f t="shared" si="29"/>
        <v>0</v>
      </c>
      <c r="FK37" s="14">
        <f t="shared" si="30"/>
        <v>0</v>
      </c>
      <c r="FL37" s="14">
        <f t="shared" si="31"/>
        <v>0</v>
      </c>
      <c r="FM37" s="14">
        <f t="shared" si="32"/>
        <v>0</v>
      </c>
      <c r="FN37" s="14">
        <f t="shared" si="33"/>
        <v>0</v>
      </c>
      <c r="FO37" s="14">
        <f t="shared" si="34"/>
        <v>0</v>
      </c>
      <c r="FP37" s="14">
        <f t="shared" si="35"/>
        <v>0</v>
      </c>
      <c r="FQ37" s="14">
        <f t="shared" si="36"/>
        <v>0</v>
      </c>
      <c r="FR37" s="14">
        <f t="shared" si="37"/>
        <v>0</v>
      </c>
      <c r="FS37" s="14">
        <f t="shared" si="38"/>
        <v>0</v>
      </c>
      <c r="FT37" s="14">
        <f t="shared" si="39"/>
        <v>0</v>
      </c>
      <c r="FU37" s="14">
        <f t="shared" si="40"/>
        <v>0</v>
      </c>
      <c r="FV37" s="14">
        <f t="shared" si="41"/>
        <v>0</v>
      </c>
      <c r="FW37" s="14">
        <f t="shared" si="42"/>
        <v>0</v>
      </c>
      <c r="FX37" s="14">
        <f t="shared" si="43"/>
        <v>0</v>
      </c>
      <c r="FY37" s="14">
        <f t="shared" si="44"/>
        <v>0</v>
      </c>
      <c r="FZ37" s="14">
        <f t="shared" si="45"/>
        <v>0</v>
      </c>
      <c r="GA37" s="14">
        <f t="shared" si="46"/>
        <v>0</v>
      </c>
      <c r="GB37" s="14">
        <f t="shared" si="47"/>
        <v>0</v>
      </c>
      <c r="GC37" s="14">
        <f t="shared" si="48"/>
        <v>0</v>
      </c>
      <c r="GD37" s="14">
        <f t="shared" si="49"/>
        <v>0</v>
      </c>
      <c r="GE37" s="14">
        <f t="shared" si="50"/>
        <v>0</v>
      </c>
      <c r="GF37" s="14">
        <f t="shared" si="51"/>
        <v>0</v>
      </c>
      <c r="GG37" s="14">
        <f t="shared" si="52"/>
        <v>0</v>
      </c>
      <c r="GH37" s="14">
        <f t="shared" si="53"/>
        <v>0</v>
      </c>
      <c r="GI37" s="14">
        <f t="shared" si="54"/>
        <v>0</v>
      </c>
      <c r="GJ37" s="14">
        <f t="shared" si="55"/>
        <v>0</v>
      </c>
      <c r="GM37" s="91">
        <v>31</v>
      </c>
      <c r="GN37" s="14">
        <f t="shared" si="56"/>
        <v>3</v>
      </c>
      <c r="GO37" s="14">
        <f t="shared" si="57"/>
        <v>1606005</v>
      </c>
      <c r="GP37" s="14" t="str">
        <f t="shared" si="58"/>
        <v>神器1-3 : 1级</v>
      </c>
      <c r="GQ37" s="14" t="s">
        <v>816</v>
      </c>
      <c r="GR37" s="14">
        <f t="shared" si="59"/>
        <v>1</v>
      </c>
      <c r="GS37" s="14" t="str">
        <f t="shared" si="60"/>
        <v>神器1-3</v>
      </c>
      <c r="GT37" s="14">
        <f t="shared" si="61"/>
        <v>1</v>
      </c>
    </row>
    <row r="38" spans="14:202" ht="16.5" x14ac:dyDescent="0.2">
      <c r="N38" s="90">
        <v>6</v>
      </c>
      <c r="O38" s="90">
        <v>5</v>
      </c>
      <c r="P38" s="90">
        <v>3</v>
      </c>
      <c r="Q38" s="90">
        <v>21</v>
      </c>
      <c r="R38" s="14">
        <f>SUM(Q$7:Q38)</f>
        <v>549</v>
      </c>
      <c r="S38" s="91">
        <v>1606039</v>
      </c>
      <c r="T38" s="14" t="str">
        <f t="shared" si="62"/>
        <v>神器6-5</v>
      </c>
      <c r="AD38" s="87">
        <v>32</v>
      </c>
      <c r="AE38" s="87">
        <v>6</v>
      </c>
      <c r="AF38" s="87">
        <v>6</v>
      </c>
      <c r="AG38" s="87" t="str">
        <f t="shared" si="6"/>
        <v>神器6-6</v>
      </c>
      <c r="AH38" s="87">
        <v>3</v>
      </c>
      <c r="AI38" s="87">
        <f t="shared" si="7"/>
        <v>280</v>
      </c>
      <c r="AL38" s="87">
        <v>3</v>
      </c>
      <c r="AM38" s="87">
        <v>2</v>
      </c>
      <c r="AN38" s="87">
        <v>13</v>
      </c>
      <c r="AO38" s="144">
        <f t="shared" si="8"/>
        <v>4413</v>
      </c>
      <c r="AP38" s="144" t="s">
        <v>1245</v>
      </c>
      <c r="AQ38" s="144" t="str">
        <f t="shared" si="9"/>
        <v>神器本-3-困难-1  神器1-2</v>
      </c>
      <c r="AR38" s="87">
        <v>2</v>
      </c>
      <c r="AS38" s="87" t="s">
        <v>322</v>
      </c>
      <c r="AT38" s="87">
        <v>1500</v>
      </c>
      <c r="AU38" s="87">
        <v>1</v>
      </c>
      <c r="AV38" s="87">
        <v>1</v>
      </c>
      <c r="AW38" s="87">
        <f t="shared" si="10"/>
        <v>1</v>
      </c>
      <c r="AX38" s="14">
        <f t="shared" si="11"/>
        <v>0.15</v>
      </c>
      <c r="AY38" s="14">
        <f t="shared" si="12"/>
        <v>1.5</v>
      </c>
      <c r="BG38" s="87">
        <v>32</v>
      </c>
      <c r="BH38" s="14" t="e">
        <f>INDEX(节奏总表!#REF!,新神器!BG38)</f>
        <v>#REF!</v>
      </c>
      <c r="BI38" s="14" t="e">
        <f t="shared" si="13"/>
        <v>#REF!</v>
      </c>
      <c r="BJ38" s="87">
        <v>3</v>
      </c>
      <c r="BK38" s="87">
        <v>5</v>
      </c>
      <c r="BL38" s="14">
        <f t="shared" si="71"/>
        <v>0</v>
      </c>
      <c r="BM38" s="14">
        <f t="shared" si="71"/>
        <v>0</v>
      </c>
      <c r="BN38" s="14">
        <f t="shared" si="71"/>
        <v>0</v>
      </c>
      <c r="BO38" s="14">
        <f t="shared" si="71"/>
        <v>0</v>
      </c>
      <c r="BP38" s="14">
        <f t="shared" si="71"/>
        <v>0</v>
      </c>
      <c r="BQ38" s="14">
        <f t="shared" si="71"/>
        <v>0</v>
      </c>
      <c r="BR38" s="14">
        <f t="shared" si="71"/>
        <v>0</v>
      </c>
      <c r="BS38" s="14">
        <f t="shared" si="71"/>
        <v>0</v>
      </c>
      <c r="BT38" s="14">
        <f t="shared" si="71"/>
        <v>0</v>
      </c>
      <c r="BU38" s="14">
        <f t="shared" si="71"/>
        <v>0</v>
      </c>
      <c r="BV38" s="14">
        <f t="shared" si="72"/>
        <v>0</v>
      </c>
      <c r="BW38" s="14">
        <f t="shared" si="72"/>
        <v>0</v>
      </c>
      <c r="BX38" s="14">
        <f t="shared" si="72"/>
        <v>0</v>
      </c>
      <c r="BY38" s="14">
        <f t="shared" si="72"/>
        <v>0</v>
      </c>
      <c r="BZ38" s="14">
        <f t="shared" si="72"/>
        <v>0</v>
      </c>
      <c r="CA38" s="14">
        <f t="shared" si="72"/>
        <v>0</v>
      </c>
      <c r="CB38" s="14">
        <f t="shared" si="72"/>
        <v>0</v>
      </c>
      <c r="CC38" s="14">
        <f t="shared" si="72"/>
        <v>0</v>
      </c>
      <c r="CD38" s="14">
        <f t="shared" si="72"/>
        <v>0</v>
      </c>
      <c r="CE38" s="14">
        <f t="shared" si="72"/>
        <v>0</v>
      </c>
      <c r="CF38" s="14">
        <f t="shared" si="73"/>
        <v>0</v>
      </c>
      <c r="CG38" s="14">
        <f t="shared" si="73"/>
        <v>0</v>
      </c>
      <c r="CH38" s="14">
        <f t="shared" si="73"/>
        <v>0</v>
      </c>
      <c r="CI38" s="14">
        <f t="shared" si="73"/>
        <v>0</v>
      </c>
      <c r="CJ38" s="14">
        <f t="shared" si="73"/>
        <v>0</v>
      </c>
      <c r="CK38" s="14">
        <f t="shared" si="73"/>
        <v>0</v>
      </c>
      <c r="CL38" s="14">
        <f t="shared" si="73"/>
        <v>0</v>
      </c>
      <c r="CM38" s="14">
        <f t="shared" si="73"/>
        <v>0</v>
      </c>
      <c r="CN38" s="14">
        <f t="shared" si="73"/>
        <v>0</v>
      </c>
      <c r="CO38" s="14">
        <f t="shared" si="73"/>
        <v>0</v>
      </c>
      <c r="CP38" s="14">
        <f t="shared" si="74"/>
        <v>0</v>
      </c>
      <c r="CQ38" s="14">
        <f t="shared" si="74"/>
        <v>0</v>
      </c>
      <c r="CR38" s="14">
        <f t="shared" si="74"/>
        <v>0</v>
      </c>
      <c r="CS38" s="14">
        <f t="shared" si="74"/>
        <v>0</v>
      </c>
      <c r="CT38" s="14">
        <f t="shared" si="74"/>
        <v>0</v>
      </c>
      <c r="CU38" s="14">
        <f t="shared" si="74"/>
        <v>0</v>
      </c>
      <c r="CV38" s="14">
        <f t="shared" si="74"/>
        <v>0</v>
      </c>
      <c r="CW38" s="14">
        <f t="shared" si="74"/>
        <v>0</v>
      </c>
      <c r="CX38" s="14">
        <f t="shared" si="74"/>
        <v>0</v>
      </c>
      <c r="CY38" s="14">
        <f t="shared" si="74"/>
        <v>0</v>
      </c>
      <c r="CZ38" s="14">
        <f t="shared" si="74"/>
        <v>0</v>
      </c>
      <c r="DA38" s="14">
        <f t="shared" si="74"/>
        <v>0</v>
      </c>
      <c r="DC38" s="14">
        <f>SUM(BL$7:BL38)</f>
        <v>0</v>
      </c>
      <c r="DD38" s="14">
        <f>SUM(BM$7:BM38)</f>
        <v>0</v>
      </c>
      <c r="DE38" s="14">
        <f>SUM(BN$7:BN38)</f>
        <v>0</v>
      </c>
      <c r="DF38" s="14">
        <f>SUM(BO$7:BO38)</f>
        <v>0</v>
      </c>
      <c r="DG38" s="14">
        <f>SUM(BP$7:BP38)</f>
        <v>0</v>
      </c>
      <c r="DH38" s="14">
        <f>SUM(BQ$7:BQ38)</f>
        <v>0</v>
      </c>
      <c r="DI38" s="14">
        <f>SUM(BR$7:BR38)</f>
        <v>0</v>
      </c>
      <c r="DJ38" s="14">
        <f>SUM(BS$7:BS38)</f>
        <v>0</v>
      </c>
      <c r="DK38" s="14">
        <f>SUM(BT$7:BT38)</f>
        <v>0</v>
      </c>
      <c r="DL38" s="14">
        <f>SUM(BU$7:BU38)</f>
        <v>0</v>
      </c>
      <c r="DM38" s="14">
        <f>SUM(BV$7:BV38)</f>
        <v>0</v>
      </c>
      <c r="DN38" s="14">
        <f>SUM(BW$7:BW38)</f>
        <v>0</v>
      </c>
      <c r="DO38" s="14">
        <f>SUM(BX$7:BX38)</f>
        <v>0</v>
      </c>
      <c r="DP38" s="14">
        <f>SUM(BY$7:BY38)</f>
        <v>0</v>
      </c>
      <c r="DQ38" s="14">
        <f>SUM(BZ$7:BZ38)</f>
        <v>0</v>
      </c>
      <c r="DR38" s="14">
        <f>SUM(CA$7:CA38)</f>
        <v>0</v>
      </c>
      <c r="DS38" s="14">
        <f>SUM(CB$7:CB38)</f>
        <v>0</v>
      </c>
      <c r="DT38" s="14">
        <f>SUM(CC$7:CC38)</f>
        <v>0</v>
      </c>
      <c r="DU38" s="14">
        <f>SUM(CD$7:CD38)</f>
        <v>0</v>
      </c>
      <c r="DV38" s="14">
        <f>SUM(CE$7:CE38)</f>
        <v>0</v>
      </c>
      <c r="DW38" s="14">
        <f>SUM(CF$7:CF38)</f>
        <v>0</v>
      </c>
      <c r="DX38" s="14">
        <f>SUM(CG$7:CG38)</f>
        <v>0</v>
      </c>
      <c r="DY38" s="14">
        <f>SUM(CH$7:CH38)</f>
        <v>0</v>
      </c>
      <c r="DZ38" s="14">
        <f>SUM(CI$7:CI38)</f>
        <v>0</v>
      </c>
      <c r="EA38" s="14">
        <f>SUM(CJ$7:CJ38)</f>
        <v>0</v>
      </c>
      <c r="EB38" s="14">
        <f>SUM(CK$7:CK38)</f>
        <v>0</v>
      </c>
      <c r="EC38" s="14">
        <f>SUM(CL$7:CL38)</f>
        <v>0</v>
      </c>
      <c r="ED38" s="14">
        <f>SUM(CM$7:CM38)</f>
        <v>0</v>
      </c>
      <c r="EE38" s="14">
        <f>SUM(CN$7:CN38)</f>
        <v>0</v>
      </c>
      <c r="EF38" s="14">
        <f>SUM(CO$7:CO38)</f>
        <v>0</v>
      </c>
      <c r="EG38" s="14">
        <f>SUM(CP$7:CP38)</f>
        <v>0</v>
      </c>
      <c r="EH38" s="14">
        <f>SUM(CQ$7:CQ38)</f>
        <v>0</v>
      </c>
      <c r="EI38" s="14">
        <f>SUM(CR$7:CR38)</f>
        <v>0</v>
      </c>
      <c r="EJ38" s="14">
        <f>SUM(CS$7:CS38)</f>
        <v>0</v>
      </c>
      <c r="EK38" s="14">
        <f>SUM(CT$7:CT38)</f>
        <v>0</v>
      </c>
      <c r="EL38" s="14">
        <f>SUM(CU$7:CU38)</f>
        <v>0</v>
      </c>
      <c r="EM38" s="14">
        <f>SUM(CV$7:CV38)</f>
        <v>0</v>
      </c>
      <c r="EN38" s="14">
        <f>SUM(CW$7:CW38)</f>
        <v>0</v>
      </c>
      <c r="EO38" s="14">
        <f>SUM(CX$7:CX38)</f>
        <v>0</v>
      </c>
      <c r="EP38" s="14">
        <f>SUM(CY$7:CY38)</f>
        <v>0</v>
      </c>
      <c r="EQ38" s="14">
        <f>SUM(CZ$7:CZ38)</f>
        <v>0</v>
      </c>
      <c r="ER38" s="14">
        <f>SUM(DA$7:DA38)</f>
        <v>0</v>
      </c>
      <c r="EU38" s="14">
        <f t="shared" si="14"/>
        <v>0</v>
      </c>
      <c r="EV38" s="14">
        <f t="shared" si="15"/>
        <v>0</v>
      </c>
      <c r="EW38" s="14">
        <f t="shared" si="16"/>
        <v>0</v>
      </c>
      <c r="EX38" s="14">
        <f t="shared" si="17"/>
        <v>0</v>
      </c>
      <c r="EY38" s="14">
        <f t="shared" si="18"/>
        <v>0</v>
      </c>
      <c r="EZ38" s="14">
        <f t="shared" si="19"/>
        <v>0</v>
      </c>
      <c r="FA38" s="14">
        <f t="shared" si="20"/>
        <v>0</v>
      </c>
      <c r="FB38" s="14">
        <f t="shared" si="21"/>
        <v>0</v>
      </c>
      <c r="FC38" s="14">
        <f t="shared" si="22"/>
        <v>0</v>
      </c>
      <c r="FD38" s="14">
        <f t="shared" si="23"/>
        <v>0</v>
      </c>
      <c r="FE38" s="14">
        <f t="shared" si="24"/>
        <v>0</v>
      </c>
      <c r="FF38" s="14">
        <f t="shared" si="25"/>
        <v>0</v>
      </c>
      <c r="FG38" s="14">
        <f t="shared" si="26"/>
        <v>0</v>
      </c>
      <c r="FH38" s="14">
        <f t="shared" si="27"/>
        <v>0</v>
      </c>
      <c r="FI38" s="14">
        <f t="shared" si="28"/>
        <v>0</v>
      </c>
      <c r="FJ38" s="14">
        <f t="shared" si="29"/>
        <v>0</v>
      </c>
      <c r="FK38" s="14">
        <f t="shared" si="30"/>
        <v>0</v>
      </c>
      <c r="FL38" s="14">
        <f t="shared" si="31"/>
        <v>0</v>
      </c>
      <c r="FM38" s="14">
        <f t="shared" si="32"/>
        <v>0</v>
      </c>
      <c r="FN38" s="14">
        <f t="shared" si="33"/>
        <v>0</v>
      </c>
      <c r="FO38" s="14">
        <f t="shared" si="34"/>
        <v>0</v>
      </c>
      <c r="FP38" s="14">
        <f t="shared" si="35"/>
        <v>0</v>
      </c>
      <c r="FQ38" s="14">
        <f t="shared" si="36"/>
        <v>0</v>
      </c>
      <c r="FR38" s="14">
        <f t="shared" si="37"/>
        <v>0</v>
      </c>
      <c r="FS38" s="14">
        <f t="shared" si="38"/>
        <v>0</v>
      </c>
      <c r="FT38" s="14">
        <f t="shared" si="39"/>
        <v>0</v>
      </c>
      <c r="FU38" s="14">
        <f t="shared" si="40"/>
        <v>0</v>
      </c>
      <c r="FV38" s="14">
        <f t="shared" si="41"/>
        <v>0</v>
      </c>
      <c r="FW38" s="14">
        <f t="shared" si="42"/>
        <v>0</v>
      </c>
      <c r="FX38" s="14">
        <f t="shared" si="43"/>
        <v>0</v>
      </c>
      <c r="FY38" s="14">
        <f t="shared" si="44"/>
        <v>0</v>
      </c>
      <c r="FZ38" s="14">
        <f t="shared" si="45"/>
        <v>0</v>
      </c>
      <c r="GA38" s="14">
        <f t="shared" si="46"/>
        <v>0</v>
      </c>
      <c r="GB38" s="14">
        <f t="shared" si="47"/>
        <v>0</v>
      </c>
      <c r="GC38" s="14">
        <f t="shared" si="48"/>
        <v>0</v>
      </c>
      <c r="GD38" s="14">
        <f t="shared" si="49"/>
        <v>0</v>
      </c>
      <c r="GE38" s="14">
        <f t="shared" si="50"/>
        <v>0</v>
      </c>
      <c r="GF38" s="14">
        <f t="shared" si="51"/>
        <v>0</v>
      </c>
      <c r="GG38" s="14">
        <f t="shared" si="52"/>
        <v>0</v>
      </c>
      <c r="GH38" s="14">
        <f t="shared" si="53"/>
        <v>0</v>
      </c>
      <c r="GI38" s="14">
        <f t="shared" si="54"/>
        <v>0</v>
      </c>
      <c r="GJ38" s="14">
        <f t="shared" si="55"/>
        <v>0</v>
      </c>
      <c r="GM38" s="91">
        <v>32</v>
      </c>
      <c r="GN38" s="14">
        <f t="shared" si="56"/>
        <v>3</v>
      </c>
      <c r="GO38" s="14">
        <f t="shared" si="57"/>
        <v>1606005</v>
      </c>
      <c r="GP38" s="14" t="str">
        <f t="shared" si="58"/>
        <v>神器1-3 : 2级</v>
      </c>
      <c r="GQ38" s="14" t="s">
        <v>816</v>
      </c>
      <c r="GR38" s="14">
        <f t="shared" si="59"/>
        <v>2</v>
      </c>
      <c r="GS38" s="14" t="str">
        <f t="shared" si="60"/>
        <v>神器1-3</v>
      </c>
      <c r="GT38" s="14">
        <f t="shared" si="61"/>
        <v>1</v>
      </c>
    </row>
    <row r="39" spans="14:202" ht="16.5" x14ac:dyDescent="0.2">
      <c r="N39" s="90">
        <v>6</v>
      </c>
      <c r="O39" s="90">
        <v>6</v>
      </c>
      <c r="P39" s="90">
        <v>3</v>
      </c>
      <c r="Q39" s="90">
        <v>21</v>
      </c>
      <c r="R39" s="14">
        <f>SUM(Q$7:Q39)</f>
        <v>570</v>
      </c>
      <c r="S39" s="91">
        <v>1606040</v>
      </c>
      <c r="T39" s="14" t="str">
        <f t="shared" si="62"/>
        <v>神器6-6</v>
      </c>
      <c r="AD39" s="87">
        <v>33</v>
      </c>
      <c r="AE39" s="87">
        <v>6</v>
      </c>
      <c r="AF39" s="87">
        <v>7</v>
      </c>
      <c r="AG39" s="87" t="str">
        <f t="shared" si="6"/>
        <v>神器6-7</v>
      </c>
      <c r="AH39" s="87">
        <v>4</v>
      </c>
      <c r="AI39" s="87">
        <f t="shared" si="7"/>
        <v>600</v>
      </c>
      <c r="AL39" s="87">
        <v>3</v>
      </c>
      <c r="AM39" s="87">
        <v>2</v>
      </c>
      <c r="AN39" s="87">
        <v>13</v>
      </c>
      <c r="AO39" s="144">
        <f t="shared" si="8"/>
        <v>4413</v>
      </c>
      <c r="AP39" s="144" t="s">
        <v>1245</v>
      </c>
      <c r="AQ39" s="144" t="str">
        <f t="shared" si="9"/>
        <v>神器本-3-困难-1  神器1-3</v>
      </c>
      <c r="AR39" s="87">
        <v>3</v>
      </c>
      <c r="AS39" s="87" t="s">
        <v>323</v>
      </c>
      <c r="AT39" s="87">
        <v>1000</v>
      </c>
      <c r="AU39" s="87">
        <v>1</v>
      </c>
      <c r="AV39" s="87">
        <v>1</v>
      </c>
      <c r="AW39" s="87">
        <f t="shared" si="10"/>
        <v>2</v>
      </c>
      <c r="AX39" s="14">
        <f t="shared" si="11"/>
        <v>0.1</v>
      </c>
      <c r="AY39" s="14">
        <f t="shared" si="12"/>
        <v>3</v>
      </c>
      <c r="BG39" s="87">
        <v>33</v>
      </c>
      <c r="BH39" s="14" t="e">
        <f>INDEX(节奏总表!#REF!,新神器!BG39)</f>
        <v>#REF!</v>
      </c>
      <c r="BI39" s="14" t="e">
        <f t="shared" si="13"/>
        <v>#REF!</v>
      </c>
      <c r="BJ39" s="87">
        <v>3</v>
      </c>
      <c r="BK39" s="87">
        <v>5</v>
      </c>
      <c r="BL39" s="14">
        <f t="shared" si="71"/>
        <v>0</v>
      </c>
      <c r="BM39" s="14">
        <f t="shared" si="71"/>
        <v>0</v>
      </c>
      <c r="BN39" s="14">
        <f t="shared" si="71"/>
        <v>0</v>
      </c>
      <c r="BO39" s="14">
        <f t="shared" si="71"/>
        <v>0</v>
      </c>
      <c r="BP39" s="14">
        <f t="shared" si="71"/>
        <v>0</v>
      </c>
      <c r="BQ39" s="14">
        <f t="shared" si="71"/>
        <v>0</v>
      </c>
      <c r="BR39" s="14">
        <f t="shared" si="71"/>
        <v>0</v>
      </c>
      <c r="BS39" s="14">
        <f t="shared" si="71"/>
        <v>0</v>
      </c>
      <c r="BT39" s="14">
        <f t="shared" si="71"/>
        <v>0</v>
      </c>
      <c r="BU39" s="14">
        <f t="shared" si="71"/>
        <v>0</v>
      </c>
      <c r="BV39" s="14">
        <f t="shared" si="72"/>
        <v>0</v>
      </c>
      <c r="BW39" s="14">
        <f t="shared" si="72"/>
        <v>0</v>
      </c>
      <c r="BX39" s="14">
        <f t="shared" si="72"/>
        <v>0</v>
      </c>
      <c r="BY39" s="14">
        <f t="shared" si="72"/>
        <v>0</v>
      </c>
      <c r="BZ39" s="14">
        <f t="shared" si="72"/>
        <v>0</v>
      </c>
      <c r="CA39" s="14">
        <f t="shared" si="72"/>
        <v>0</v>
      </c>
      <c r="CB39" s="14">
        <f t="shared" si="72"/>
        <v>0</v>
      </c>
      <c r="CC39" s="14">
        <f t="shared" si="72"/>
        <v>0</v>
      </c>
      <c r="CD39" s="14">
        <f t="shared" si="72"/>
        <v>0</v>
      </c>
      <c r="CE39" s="14">
        <f t="shared" si="72"/>
        <v>0</v>
      </c>
      <c r="CF39" s="14">
        <f t="shared" si="73"/>
        <v>0</v>
      </c>
      <c r="CG39" s="14">
        <f t="shared" si="73"/>
        <v>0</v>
      </c>
      <c r="CH39" s="14">
        <f t="shared" si="73"/>
        <v>0</v>
      </c>
      <c r="CI39" s="14">
        <f t="shared" si="73"/>
        <v>0</v>
      </c>
      <c r="CJ39" s="14">
        <f t="shared" si="73"/>
        <v>0</v>
      </c>
      <c r="CK39" s="14">
        <f t="shared" si="73"/>
        <v>0</v>
      </c>
      <c r="CL39" s="14">
        <f t="shared" si="73"/>
        <v>0</v>
      </c>
      <c r="CM39" s="14">
        <f t="shared" si="73"/>
        <v>0</v>
      </c>
      <c r="CN39" s="14">
        <f t="shared" si="73"/>
        <v>0</v>
      </c>
      <c r="CO39" s="14">
        <f t="shared" si="73"/>
        <v>0</v>
      </c>
      <c r="CP39" s="14">
        <f t="shared" si="74"/>
        <v>0</v>
      </c>
      <c r="CQ39" s="14">
        <f t="shared" si="74"/>
        <v>0</v>
      </c>
      <c r="CR39" s="14">
        <f t="shared" si="74"/>
        <v>0</v>
      </c>
      <c r="CS39" s="14">
        <f t="shared" si="74"/>
        <v>0</v>
      </c>
      <c r="CT39" s="14">
        <f t="shared" si="74"/>
        <v>0</v>
      </c>
      <c r="CU39" s="14">
        <f t="shared" si="74"/>
        <v>0</v>
      </c>
      <c r="CV39" s="14">
        <f t="shared" si="74"/>
        <v>0</v>
      </c>
      <c r="CW39" s="14">
        <f t="shared" si="74"/>
        <v>0</v>
      </c>
      <c r="CX39" s="14">
        <f t="shared" si="74"/>
        <v>0</v>
      </c>
      <c r="CY39" s="14">
        <f t="shared" si="74"/>
        <v>0</v>
      </c>
      <c r="CZ39" s="14">
        <f t="shared" si="74"/>
        <v>0</v>
      </c>
      <c r="DA39" s="14">
        <f t="shared" si="74"/>
        <v>0</v>
      </c>
      <c r="DC39" s="14">
        <f>SUM(BL$7:BL39)</f>
        <v>0</v>
      </c>
      <c r="DD39" s="14">
        <f>SUM(BM$7:BM39)</f>
        <v>0</v>
      </c>
      <c r="DE39" s="14">
        <f>SUM(BN$7:BN39)</f>
        <v>0</v>
      </c>
      <c r="DF39" s="14">
        <f>SUM(BO$7:BO39)</f>
        <v>0</v>
      </c>
      <c r="DG39" s="14">
        <f>SUM(BP$7:BP39)</f>
        <v>0</v>
      </c>
      <c r="DH39" s="14">
        <f>SUM(BQ$7:BQ39)</f>
        <v>0</v>
      </c>
      <c r="DI39" s="14">
        <f>SUM(BR$7:BR39)</f>
        <v>0</v>
      </c>
      <c r="DJ39" s="14">
        <f>SUM(BS$7:BS39)</f>
        <v>0</v>
      </c>
      <c r="DK39" s="14">
        <f>SUM(BT$7:BT39)</f>
        <v>0</v>
      </c>
      <c r="DL39" s="14">
        <f>SUM(BU$7:BU39)</f>
        <v>0</v>
      </c>
      <c r="DM39" s="14">
        <f>SUM(BV$7:BV39)</f>
        <v>0</v>
      </c>
      <c r="DN39" s="14">
        <f>SUM(BW$7:BW39)</f>
        <v>0</v>
      </c>
      <c r="DO39" s="14">
        <f>SUM(BX$7:BX39)</f>
        <v>0</v>
      </c>
      <c r="DP39" s="14">
        <f>SUM(BY$7:BY39)</f>
        <v>0</v>
      </c>
      <c r="DQ39" s="14">
        <f>SUM(BZ$7:BZ39)</f>
        <v>0</v>
      </c>
      <c r="DR39" s="14">
        <f>SUM(CA$7:CA39)</f>
        <v>0</v>
      </c>
      <c r="DS39" s="14">
        <f>SUM(CB$7:CB39)</f>
        <v>0</v>
      </c>
      <c r="DT39" s="14">
        <f>SUM(CC$7:CC39)</f>
        <v>0</v>
      </c>
      <c r="DU39" s="14">
        <f>SUM(CD$7:CD39)</f>
        <v>0</v>
      </c>
      <c r="DV39" s="14">
        <f>SUM(CE$7:CE39)</f>
        <v>0</v>
      </c>
      <c r="DW39" s="14">
        <f>SUM(CF$7:CF39)</f>
        <v>0</v>
      </c>
      <c r="DX39" s="14">
        <f>SUM(CG$7:CG39)</f>
        <v>0</v>
      </c>
      <c r="DY39" s="14">
        <f>SUM(CH$7:CH39)</f>
        <v>0</v>
      </c>
      <c r="DZ39" s="14">
        <f>SUM(CI$7:CI39)</f>
        <v>0</v>
      </c>
      <c r="EA39" s="14">
        <f>SUM(CJ$7:CJ39)</f>
        <v>0</v>
      </c>
      <c r="EB39" s="14">
        <f>SUM(CK$7:CK39)</f>
        <v>0</v>
      </c>
      <c r="EC39" s="14">
        <f>SUM(CL$7:CL39)</f>
        <v>0</v>
      </c>
      <c r="ED39" s="14">
        <f>SUM(CM$7:CM39)</f>
        <v>0</v>
      </c>
      <c r="EE39" s="14">
        <f>SUM(CN$7:CN39)</f>
        <v>0</v>
      </c>
      <c r="EF39" s="14">
        <f>SUM(CO$7:CO39)</f>
        <v>0</v>
      </c>
      <c r="EG39" s="14">
        <f>SUM(CP$7:CP39)</f>
        <v>0</v>
      </c>
      <c r="EH39" s="14">
        <f>SUM(CQ$7:CQ39)</f>
        <v>0</v>
      </c>
      <c r="EI39" s="14">
        <f>SUM(CR$7:CR39)</f>
        <v>0</v>
      </c>
      <c r="EJ39" s="14">
        <f>SUM(CS$7:CS39)</f>
        <v>0</v>
      </c>
      <c r="EK39" s="14">
        <f>SUM(CT$7:CT39)</f>
        <v>0</v>
      </c>
      <c r="EL39" s="14">
        <f>SUM(CU$7:CU39)</f>
        <v>0</v>
      </c>
      <c r="EM39" s="14">
        <f>SUM(CV$7:CV39)</f>
        <v>0</v>
      </c>
      <c r="EN39" s="14">
        <f>SUM(CW$7:CW39)</f>
        <v>0</v>
      </c>
      <c r="EO39" s="14">
        <f>SUM(CX$7:CX39)</f>
        <v>0</v>
      </c>
      <c r="EP39" s="14">
        <f>SUM(CY$7:CY39)</f>
        <v>0</v>
      </c>
      <c r="EQ39" s="14">
        <f>SUM(CZ$7:CZ39)</f>
        <v>0</v>
      </c>
      <c r="ER39" s="14">
        <f>SUM(DA$7:DA39)</f>
        <v>0</v>
      </c>
      <c r="EU39" s="14">
        <f t="shared" si="14"/>
        <v>0</v>
      </c>
      <c r="EV39" s="14">
        <f t="shared" si="15"/>
        <v>0</v>
      </c>
      <c r="EW39" s="14">
        <f t="shared" si="16"/>
        <v>0</v>
      </c>
      <c r="EX39" s="14">
        <f t="shared" si="17"/>
        <v>0</v>
      </c>
      <c r="EY39" s="14">
        <f t="shared" si="18"/>
        <v>0</v>
      </c>
      <c r="EZ39" s="14">
        <f t="shared" si="19"/>
        <v>0</v>
      </c>
      <c r="FA39" s="14">
        <f t="shared" si="20"/>
        <v>0</v>
      </c>
      <c r="FB39" s="14">
        <f t="shared" si="21"/>
        <v>0</v>
      </c>
      <c r="FC39" s="14">
        <f t="shared" si="22"/>
        <v>0</v>
      </c>
      <c r="FD39" s="14">
        <f t="shared" si="23"/>
        <v>0</v>
      </c>
      <c r="FE39" s="14">
        <f t="shared" si="24"/>
        <v>0</v>
      </c>
      <c r="FF39" s="14">
        <f t="shared" si="25"/>
        <v>0</v>
      </c>
      <c r="FG39" s="14">
        <f t="shared" si="26"/>
        <v>0</v>
      </c>
      <c r="FH39" s="14">
        <f t="shared" si="27"/>
        <v>0</v>
      </c>
      <c r="FI39" s="14">
        <f t="shared" si="28"/>
        <v>0</v>
      </c>
      <c r="FJ39" s="14">
        <f t="shared" si="29"/>
        <v>0</v>
      </c>
      <c r="FK39" s="14">
        <f t="shared" si="30"/>
        <v>0</v>
      </c>
      <c r="FL39" s="14">
        <f t="shared" si="31"/>
        <v>0</v>
      </c>
      <c r="FM39" s="14">
        <f t="shared" si="32"/>
        <v>0</v>
      </c>
      <c r="FN39" s="14">
        <f t="shared" si="33"/>
        <v>0</v>
      </c>
      <c r="FO39" s="14">
        <f t="shared" si="34"/>
        <v>0</v>
      </c>
      <c r="FP39" s="14">
        <f t="shared" si="35"/>
        <v>0</v>
      </c>
      <c r="FQ39" s="14">
        <f t="shared" si="36"/>
        <v>0</v>
      </c>
      <c r="FR39" s="14">
        <f t="shared" si="37"/>
        <v>0</v>
      </c>
      <c r="FS39" s="14">
        <f t="shared" si="38"/>
        <v>0</v>
      </c>
      <c r="FT39" s="14">
        <f t="shared" si="39"/>
        <v>0</v>
      </c>
      <c r="FU39" s="14">
        <f t="shared" si="40"/>
        <v>0</v>
      </c>
      <c r="FV39" s="14">
        <f t="shared" si="41"/>
        <v>0</v>
      </c>
      <c r="FW39" s="14">
        <f t="shared" si="42"/>
        <v>0</v>
      </c>
      <c r="FX39" s="14">
        <f t="shared" si="43"/>
        <v>0</v>
      </c>
      <c r="FY39" s="14">
        <f t="shared" si="44"/>
        <v>0</v>
      </c>
      <c r="FZ39" s="14">
        <f t="shared" si="45"/>
        <v>0</v>
      </c>
      <c r="GA39" s="14">
        <f t="shared" si="46"/>
        <v>0</v>
      </c>
      <c r="GB39" s="14">
        <f t="shared" si="47"/>
        <v>0</v>
      </c>
      <c r="GC39" s="14">
        <f t="shared" si="48"/>
        <v>0</v>
      </c>
      <c r="GD39" s="14">
        <f t="shared" si="49"/>
        <v>0</v>
      </c>
      <c r="GE39" s="14">
        <f t="shared" si="50"/>
        <v>0</v>
      </c>
      <c r="GF39" s="14">
        <f t="shared" si="51"/>
        <v>0</v>
      </c>
      <c r="GG39" s="14">
        <f t="shared" si="52"/>
        <v>0</v>
      </c>
      <c r="GH39" s="14">
        <f t="shared" si="53"/>
        <v>0</v>
      </c>
      <c r="GI39" s="14">
        <f t="shared" si="54"/>
        <v>0</v>
      </c>
      <c r="GJ39" s="14">
        <f t="shared" si="55"/>
        <v>0</v>
      </c>
      <c r="GM39" s="91">
        <v>33</v>
      </c>
      <c r="GN39" s="14">
        <f t="shared" si="56"/>
        <v>3</v>
      </c>
      <c r="GO39" s="14">
        <f t="shared" si="57"/>
        <v>1606005</v>
      </c>
      <c r="GP39" s="14" t="str">
        <f t="shared" si="58"/>
        <v>神器1-3 : 3级</v>
      </c>
      <c r="GQ39" s="14" t="s">
        <v>816</v>
      </c>
      <c r="GR39" s="14">
        <f t="shared" si="59"/>
        <v>3</v>
      </c>
      <c r="GS39" s="14" t="str">
        <f t="shared" si="60"/>
        <v>神器1-3</v>
      </c>
      <c r="GT39" s="14">
        <f t="shared" si="61"/>
        <v>1</v>
      </c>
    </row>
    <row r="40" spans="14:202" ht="16.5" x14ac:dyDescent="0.2">
      <c r="N40" s="90">
        <v>6</v>
      </c>
      <c r="O40" s="90">
        <v>7</v>
      </c>
      <c r="P40" s="90">
        <v>4</v>
      </c>
      <c r="Q40" s="90">
        <v>21</v>
      </c>
      <c r="R40" s="14">
        <f>SUM(Q$7:Q40)</f>
        <v>591</v>
      </c>
      <c r="S40" s="91">
        <v>1606041</v>
      </c>
      <c r="T40" s="14" t="str">
        <f t="shared" si="62"/>
        <v>神器6-7</v>
      </c>
      <c r="AD40" s="87">
        <v>34</v>
      </c>
      <c r="AE40" s="87">
        <v>6</v>
      </c>
      <c r="AF40" s="87">
        <v>8</v>
      </c>
      <c r="AG40" s="87" t="str">
        <f t="shared" si="6"/>
        <v>神器6-8</v>
      </c>
      <c r="AH40" s="87">
        <v>4</v>
      </c>
      <c r="AI40" s="87">
        <f t="shared" si="7"/>
        <v>600</v>
      </c>
      <c r="AL40" s="87">
        <v>3</v>
      </c>
      <c r="AM40" s="87">
        <v>2</v>
      </c>
      <c r="AN40" s="87">
        <v>13</v>
      </c>
      <c r="AO40" s="144">
        <f t="shared" si="8"/>
        <v>4413</v>
      </c>
      <c r="AP40" s="144" t="s">
        <v>1245</v>
      </c>
      <c r="AQ40" s="144" t="str">
        <f t="shared" si="9"/>
        <v>神器本-3-困难-1  神器2-1</v>
      </c>
      <c r="AR40" s="87">
        <v>4</v>
      </c>
      <c r="AS40" s="87" t="s">
        <v>324</v>
      </c>
      <c r="AT40" s="87">
        <v>1500</v>
      </c>
      <c r="AU40" s="87">
        <v>1</v>
      </c>
      <c r="AV40" s="87">
        <v>1</v>
      </c>
      <c r="AW40" s="87">
        <f t="shared" si="10"/>
        <v>1</v>
      </c>
      <c r="AX40" s="14">
        <f t="shared" si="11"/>
        <v>0.15</v>
      </c>
      <c r="AY40" s="14">
        <f t="shared" si="12"/>
        <v>2.25</v>
      </c>
      <c r="BG40" s="87">
        <v>34</v>
      </c>
      <c r="BH40" s="14" t="e">
        <f>INDEX(节奏总表!#REF!,新神器!BG40)</f>
        <v>#REF!</v>
      </c>
      <c r="BI40" s="14" t="e">
        <f t="shared" si="13"/>
        <v>#REF!</v>
      </c>
      <c r="BJ40" s="87">
        <v>3</v>
      </c>
      <c r="BK40" s="87">
        <v>5</v>
      </c>
      <c r="BL40" s="14">
        <f t="shared" si="71"/>
        <v>0</v>
      </c>
      <c r="BM40" s="14">
        <f t="shared" si="71"/>
        <v>0</v>
      </c>
      <c r="BN40" s="14">
        <f t="shared" si="71"/>
        <v>0</v>
      </c>
      <c r="BO40" s="14">
        <f t="shared" si="71"/>
        <v>0</v>
      </c>
      <c r="BP40" s="14">
        <f t="shared" si="71"/>
        <v>0</v>
      </c>
      <c r="BQ40" s="14">
        <f t="shared" si="71"/>
        <v>0</v>
      </c>
      <c r="BR40" s="14">
        <f t="shared" si="71"/>
        <v>0</v>
      </c>
      <c r="BS40" s="14">
        <f t="shared" si="71"/>
        <v>0</v>
      </c>
      <c r="BT40" s="14">
        <f t="shared" si="71"/>
        <v>0</v>
      </c>
      <c r="BU40" s="14">
        <f t="shared" si="71"/>
        <v>0</v>
      </c>
      <c r="BV40" s="14">
        <f t="shared" si="72"/>
        <v>0</v>
      </c>
      <c r="BW40" s="14">
        <f t="shared" si="72"/>
        <v>0</v>
      </c>
      <c r="BX40" s="14">
        <f t="shared" si="72"/>
        <v>0</v>
      </c>
      <c r="BY40" s="14">
        <f t="shared" si="72"/>
        <v>0</v>
      </c>
      <c r="BZ40" s="14">
        <f t="shared" si="72"/>
        <v>0</v>
      </c>
      <c r="CA40" s="14">
        <f t="shared" si="72"/>
        <v>0</v>
      </c>
      <c r="CB40" s="14">
        <f t="shared" si="72"/>
        <v>0</v>
      </c>
      <c r="CC40" s="14">
        <f t="shared" si="72"/>
        <v>0</v>
      </c>
      <c r="CD40" s="14">
        <f t="shared" si="72"/>
        <v>0</v>
      </c>
      <c r="CE40" s="14">
        <f t="shared" si="72"/>
        <v>0</v>
      </c>
      <c r="CF40" s="14">
        <f t="shared" si="73"/>
        <v>0</v>
      </c>
      <c r="CG40" s="14">
        <f t="shared" si="73"/>
        <v>0</v>
      </c>
      <c r="CH40" s="14">
        <f t="shared" si="73"/>
        <v>0</v>
      </c>
      <c r="CI40" s="14">
        <f t="shared" si="73"/>
        <v>0</v>
      </c>
      <c r="CJ40" s="14">
        <f t="shared" si="73"/>
        <v>0</v>
      </c>
      <c r="CK40" s="14">
        <f t="shared" si="73"/>
        <v>0</v>
      </c>
      <c r="CL40" s="14">
        <f t="shared" si="73"/>
        <v>0</v>
      </c>
      <c r="CM40" s="14">
        <f t="shared" si="73"/>
        <v>0</v>
      </c>
      <c r="CN40" s="14">
        <f t="shared" si="73"/>
        <v>0</v>
      </c>
      <c r="CO40" s="14">
        <f t="shared" si="73"/>
        <v>0</v>
      </c>
      <c r="CP40" s="14">
        <f t="shared" si="74"/>
        <v>0</v>
      </c>
      <c r="CQ40" s="14">
        <f t="shared" si="74"/>
        <v>0</v>
      </c>
      <c r="CR40" s="14">
        <f t="shared" si="74"/>
        <v>0</v>
      </c>
      <c r="CS40" s="14">
        <f t="shared" si="74"/>
        <v>0</v>
      </c>
      <c r="CT40" s="14">
        <f t="shared" si="74"/>
        <v>0</v>
      </c>
      <c r="CU40" s="14">
        <f t="shared" si="74"/>
        <v>0</v>
      </c>
      <c r="CV40" s="14">
        <f t="shared" si="74"/>
        <v>0</v>
      </c>
      <c r="CW40" s="14">
        <f t="shared" si="74"/>
        <v>0</v>
      </c>
      <c r="CX40" s="14">
        <f t="shared" si="74"/>
        <v>0</v>
      </c>
      <c r="CY40" s="14">
        <f t="shared" si="74"/>
        <v>0</v>
      </c>
      <c r="CZ40" s="14">
        <f t="shared" si="74"/>
        <v>0</v>
      </c>
      <c r="DA40" s="14">
        <f t="shared" si="74"/>
        <v>0</v>
      </c>
      <c r="DC40" s="14">
        <f>SUM(BL$7:BL40)</f>
        <v>0</v>
      </c>
      <c r="DD40" s="14">
        <f>SUM(BM$7:BM40)</f>
        <v>0</v>
      </c>
      <c r="DE40" s="14">
        <f>SUM(BN$7:BN40)</f>
        <v>0</v>
      </c>
      <c r="DF40" s="14">
        <f>SUM(BO$7:BO40)</f>
        <v>0</v>
      </c>
      <c r="DG40" s="14">
        <f>SUM(BP$7:BP40)</f>
        <v>0</v>
      </c>
      <c r="DH40" s="14">
        <f>SUM(BQ$7:BQ40)</f>
        <v>0</v>
      </c>
      <c r="DI40" s="14">
        <f>SUM(BR$7:BR40)</f>
        <v>0</v>
      </c>
      <c r="DJ40" s="14">
        <f>SUM(BS$7:BS40)</f>
        <v>0</v>
      </c>
      <c r="DK40" s="14">
        <f>SUM(BT$7:BT40)</f>
        <v>0</v>
      </c>
      <c r="DL40" s="14">
        <f>SUM(BU$7:BU40)</f>
        <v>0</v>
      </c>
      <c r="DM40" s="14">
        <f>SUM(BV$7:BV40)</f>
        <v>0</v>
      </c>
      <c r="DN40" s="14">
        <f>SUM(BW$7:BW40)</f>
        <v>0</v>
      </c>
      <c r="DO40" s="14">
        <f>SUM(BX$7:BX40)</f>
        <v>0</v>
      </c>
      <c r="DP40" s="14">
        <f>SUM(BY$7:BY40)</f>
        <v>0</v>
      </c>
      <c r="DQ40" s="14">
        <f>SUM(BZ$7:BZ40)</f>
        <v>0</v>
      </c>
      <c r="DR40" s="14">
        <f>SUM(CA$7:CA40)</f>
        <v>0</v>
      </c>
      <c r="DS40" s="14">
        <f>SUM(CB$7:CB40)</f>
        <v>0</v>
      </c>
      <c r="DT40" s="14">
        <f>SUM(CC$7:CC40)</f>
        <v>0</v>
      </c>
      <c r="DU40" s="14">
        <f>SUM(CD$7:CD40)</f>
        <v>0</v>
      </c>
      <c r="DV40" s="14">
        <f>SUM(CE$7:CE40)</f>
        <v>0</v>
      </c>
      <c r="DW40" s="14">
        <f>SUM(CF$7:CF40)</f>
        <v>0</v>
      </c>
      <c r="DX40" s="14">
        <f>SUM(CG$7:CG40)</f>
        <v>0</v>
      </c>
      <c r="DY40" s="14">
        <f>SUM(CH$7:CH40)</f>
        <v>0</v>
      </c>
      <c r="DZ40" s="14">
        <f>SUM(CI$7:CI40)</f>
        <v>0</v>
      </c>
      <c r="EA40" s="14">
        <f>SUM(CJ$7:CJ40)</f>
        <v>0</v>
      </c>
      <c r="EB40" s="14">
        <f>SUM(CK$7:CK40)</f>
        <v>0</v>
      </c>
      <c r="EC40" s="14">
        <f>SUM(CL$7:CL40)</f>
        <v>0</v>
      </c>
      <c r="ED40" s="14">
        <f>SUM(CM$7:CM40)</f>
        <v>0</v>
      </c>
      <c r="EE40" s="14">
        <f>SUM(CN$7:CN40)</f>
        <v>0</v>
      </c>
      <c r="EF40" s="14">
        <f>SUM(CO$7:CO40)</f>
        <v>0</v>
      </c>
      <c r="EG40" s="14">
        <f>SUM(CP$7:CP40)</f>
        <v>0</v>
      </c>
      <c r="EH40" s="14">
        <f>SUM(CQ$7:CQ40)</f>
        <v>0</v>
      </c>
      <c r="EI40" s="14">
        <f>SUM(CR$7:CR40)</f>
        <v>0</v>
      </c>
      <c r="EJ40" s="14">
        <f>SUM(CS$7:CS40)</f>
        <v>0</v>
      </c>
      <c r="EK40" s="14">
        <f>SUM(CT$7:CT40)</f>
        <v>0</v>
      </c>
      <c r="EL40" s="14">
        <f>SUM(CU$7:CU40)</f>
        <v>0</v>
      </c>
      <c r="EM40" s="14">
        <f>SUM(CV$7:CV40)</f>
        <v>0</v>
      </c>
      <c r="EN40" s="14">
        <f>SUM(CW$7:CW40)</f>
        <v>0</v>
      </c>
      <c r="EO40" s="14">
        <f>SUM(CX$7:CX40)</f>
        <v>0</v>
      </c>
      <c r="EP40" s="14">
        <f>SUM(CY$7:CY40)</f>
        <v>0</v>
      </c>
      <c r="EQ40" s="14">
        <f>SUM(CZ$7:CZ40)</f>
        <v>0</v>
      </c>
      <c r="ER40" s="14">
        <f>SUM(DA$7:DA40)</f>
        <v>0</v>
      </c>
      <c r="EU40" s="14">
        <f t="shared" si="14"/>
        <v>0</v>
      </c>
      <c r="EV40" s="14">
        <f t="shared" si="15"/>
        <v>0</v>
      </c>
      <c r="EW40" s="14">
        <f t="shared" si="16"/>
        <v>0</v>
      </c>
      <c r="EX40" s="14">
        <f t="shared" si="17"/>
        <v>0</v>
      </c>
      <c r="EY40" s="14">
        <f t="shared" si="18"/>
        <v>0</v>
      </c>
      <c r="EZ40" s="14">
        <f t="shared" si="19"/>
        <v>0</v>
      </c>
      <c r="FA40" s="14">
        <f t="shared" si="20"/>
        <v>0</v>
      </c>
      <c r="FB40" s="14">
        <f t="shared" si="21"/>
        <v>0</v>
      </c>
      <c r="FC40" s="14">
        <f t="shared" si="22"/>
        <v>0</v>
      </c>
      <c r="FD40" s="14">
        <f t="shared" si="23"/>
        <v>0</v>
      </c>
      <c r="FE40" s="14">
        <f t="shared" si="24"/>
        <v>0</v>
      </c>
      <c r="FF40" s="14">
        <f t="shared" si="25"/>
        <v>0</v>
      </c>
      <c r="FG40" s="14">
        <f t="shared" si="26"/>
        <v>0</v>
      </c>
      <c r="FH40" s="14">
        <f t="shared" si="27"/>
        <v>0</v>
      </c>
      <c r="FI40" s="14">
        <f t="shared" si="28"/>
        <v>0</v>
      </c>
      <c r="FJ40" s="14">
        <f t="shared" si="29"/>
        <v>0</v>
      </c>
      <c r="FK40" s="14">
        <f t="shared" si="30"/>
        <v>0</v>
      </c>
      <c r="FL40" s="14">
        <f t="shared" si="31"/>
        <v>0</v>
      </c>
      <c r="FM40" s="14">
        <f t="shared" si="32"/>
        <v>0</v>
      </c>
      <c r="FN40" s="14">
        <f t="shared" si="33"/>
        <v>0</v>
      </c>
      <c r="FO40" s="14">
        <f t="shared" si="34"/>
        <v>0</v>
      </c>
      <c r="FP40" s="14">
        <f t="shared" si="35"/>
        <v>0</v>
      </c>
      <c r="FQ40" s="14">
        <f t="shared" si="36"/>
        <v>0</v>
      </c>
      <c r="FR40" s="14">
        <f t="shared" si="37"/>
        <v>0</v>
      </c>
      <c r="FS40" s="14">
        <f t="shared" si="38"/>
        <v>0</v>
      </c>
      <c r="FT40" s="14">
        <f t="shared" si="39"/>
        <v>0</v>
      </c>
      <c r="FU40" s="14">
        <f t="shared" si="40"/>
        <v>0</v>
      </c>
      <c r="FV40" s="14">
        <f t="shared" si="41"/>
        <v>0</v>
      </c>
      <c r="FW40" s="14">
        <f t="shared" si="42"/>
        <v>0</v>
      </c>
      <c r="FX40" s="14">
        <f t="shared" si="43"/>
        <v>0</v>
      </c>
      <c r="FY40" s="14">
        <f t="shared" si="44"/>
        <v>0</v>
      </c>
      <c r="FZ40" s="14">
        <f t="shared" si="45"/>
        <v>0</v>
      </c>
      <c r="GA40" s="14">
        <f t="shared" si="46"/>
        <v>0</v>
      </c>
      <c r="GB40" s="14">
        <f t="shared" si="47"/>
        <v>0</v>
      </c>
      <c r="GC40" s="14">
        <f t="shared" si="48"/>
        <v>0</v>
      </c>
      <c r="GD40" s="14">
        <f t="shared" si="49"/>
        <v>0</v>
      </c>
      <c r="GE40" s="14">
        <f t="shared" si="50"/>
        <v>0</v>
      </c>
      <c r="GF40" s="14">
        <f t="shared" si="51"/>
        <v>0</v>
      </c>
      <c r="GG40" s="14">
        <f t="shared" si="52"/>
        <v>0</v>
      </c>
      <c r="GH40" s="14">
        <f t="shared" si="53"/>
        <v>0</v>
      </c>
      <c r="GI40" s="14">
        <f t="shared" si="54"/>
        <v>0</v>
      </c>
      <c r="GJ40" s="14">
        <f t="shared" si="55"/>
        <v>0</v>
      </c>
      <c r="GM40" s="91">
        <v>34</v>
      </c>
      <c r="GN40" s="14">
        <f t="shared" si="56"/>
        <v>3</v>
      </c>
      <c r="GO40" s="14">
        <f t="shared" si="57"/>
        <v>1606005</v>
      </c>
      <c r="GP40" s="14" t="str">
        <f t="shared" si="58"/>
        <v>神器1-3 : 4级</v>
      </c>
      <c r="GQ40" s="14" t="s">
        <v>816</v>
      </c>
      <c r="GR40" s="14">
        <f t="shared" si="59"/>
        <v>4</v>
      </c>
      <c r="GS40" s="14" t="str">
        <f t="shared" si="60"/>
        <v>神器1-3</v>
      </c>
      <c r="GT40" s="14">
        <f t="shared" si="61"/>
        <v>2</v>
      </c>
    </row>
    <row r="41" spans="14:202" ht="16.5" x14ac:dyDescent="0.2">
      <c r="N41" s="90">
        <v>6</v>
      </c>
      <c r="O41" s="90">
        <v>8</v>
      </c>
      <c r="P41" s="90">
        <v>4</v>
      </c>
      <c r="Q41" s="90">
        <v>21</v>
      </c>
      <c r="R41" s="14">
        <f>SUM(Q$7:Q41)</f>
        <v>612</v>
      </c>
      <c r="S41" s="91">
        <v>1606042</v>
      </c>
      <c r="T41" s="14" t="str">
        <f t="shared" si="62"/>
        <v>神器6-8</v>
      </c>
      <c r="AD41" s="87">
        <v>35</v>
      </c>
      <c r="AE41" s="87">
        <v>7</v>
      </c>
      <c r="AF41" s="87">
        <v>1</v>
      </c>
      <c r="AG41" s="87" t="str">
        <f t="shared" si="6"/>
        <v>神器7-1</v>
      </c>
      <c r="AH41" s="87">
        <v>2</v>
      </c>
      <c r="AI41" s="87">
        <f t="shared" si="7"/>
        <v>150</v>
      </c>
      <c r="AL41" s="87">
        <v>3</v>
      </c>
      <c r="AM41" s="87">
        <v>2</v>
      </c>
      <c r="AN41" s="87">
        <v>13</v>
      </c>
      <c r="AO41" s="144">
        <f t="shared" si="8"/>
        <v>4413</v>
      </c>
      <c r="AP41" s="144" t="s">
        <v>1245</v>
      </c>
      <c r="AQ41" s="144" t="str">
        <f t="shared" si="9"/>
        <v>神器本-3-困难-1  神器2-2</v>
      </c>
      <c r="AR41" s="87">
        <v>5</v>
      </c>
      <c r="AS41" s="87" t="s">
        <v>325</v>
      </c>
      <c r="AT41" s="87">
        <v>1500</v>
      </c>
      <c r="AU41" s="87">
        <v>1</v>
      </c>
      <c r="AV41" s="87">
        <v>1</v>
      </c>
      <c r="AW41" s="87">
        <f t="shared" si="10"/>
        <v>1</v>
      </c>
      <c r="AX41" s="14">
        <f t="shared" si="11"/>
        <v>0.15</v>
      </c>
      <c r="AY41" s="14">
        <f t="shared" si="12"/>
        <v>2.25</v>
      </c>
      <c r="BG41" s="87">
        <v>35</v>
      </c>
      <c r="BH41" s="14" t="e">
        <f>INDEX(节奏总表!#REF!,新神器!BG41)</f>
        <v>#REF!</v>
      </c>
      <c r="BI41" s="14" t="e">
        <f t="shared" si="13"/>
        <v>#REF!</v>
      </c>
      <c r="BJ41" s="87">
        <v>3</v>
      </c>
      <c r="BK41" s="87">
        <v>5</v>
      </c>
      <c r="BL41" s="14">
        <f t="shared" si="71"/>
        <v>0</v>
      </c>
      <c r="BM41" s="14">
        <f t="shared" si="71"/>
        <v>0</v>
      </c>
      <c r="BN41" s="14">
        <f t="shared" si="71"/>
        <v>0</v>
      </c>
      <c r="BO41" s="14">
        <f t="shared" si="71"/>
        <v>0</v>
      </c>
      <c r="BP41" s="14">
        <f t="shared" si="71"/>
        <v>0</v>
      </c>
      <c r="BQ41" s="14">
        <f t="shared" si="71"/>
        <v>0</v>
      </c>
      <c r="BR41" s="14">
        <f t="shared" si="71"/>
        <v>0</v>
      </c>
      <c r="BS41" s="14">
        <f t="shared" si="71"/>
        <v>0</v>
      </c>
      <c r="BT41" s="14">
        <f t="shared" si="71"/>
        <v>0</v>
      </c>
      <c r="BU41" s="14">
        <f t="shared" si="71"/>
        <v>0</v>
      </c>
      <c r="BV41" s="14">
        <f t="shared" si="72"/>
        <v>0</v>
      </c>
      <c r="BW41" s="14">
        <f t="shared" si="72"/>
        <v>0</v>
      </c>
      <c r="BX41" s="14">
        <f t="shared" si="72"/>
        <v>0</v>
      </c>
      <c r="BY41" s="14">
        <f t="shared" si="72"/>
        <v>0</v>
      </c>
      <c r="BZ41" s="14">
        <f t="shared" si="72"/>
        <v>0</v>
      </c>
      <c r="CA41" s="14">
        <f t="shared" si="72"/>
        <v>0</v>
      </c>
      <c r="CB41" s="14">
        <f t="shared" si="72"/>
        <v>0</v>
      </c>
      <c r="CC41" s="14">
        <f t="shared" si="72"/>
        <v>0</v>
      </c>
      <c r="CD41" s="14">
        <f t="shared" si="72"/>
        <v>0</v>
      </c>
      <c r="CE41" s="14">
        <f t="shared" si="72"/>
        <v>0</v>
      </c>
      <c r="CF41" s="14">
        <f t="shared" si="73"/>
        <v>0</v>
      </c>
      <c r="CG41" s="14">
        <f t="shared" si="73"/>
        <v>0</v>
      </c>
      <c r="CH41" s="14">
        <f t="shared" si="73"/>
        <v>0</v>
      </c>
      <c r="CI41" s="14">
        <f t="shared" si="73"/>
        <v>0</v>
      </c>
      <c r="CJ41" s="14">
        <f t="shared" si="73"/>
        <v>0</v>
      </c>
      <c r="CK41" s="14">
        <f t="shared" si="73"/>
        <v>0</v>
      </c>
      <c r="CL41" s="14">
        <f t="shared" si="73"/>
        <v>0</v>
      </c>
      <c r="CM41" s="14">
        <f t="shared" si="73"/>
        <v>0</v>
      </c>
      <c r="CN41" s="14">
        <f t="shared" si="73"/>
        <v>0</v>
      </c>
      <c r="CO41" s="14">
        <f t="shared" si="73"/>
        <v>0</v>
      </c>
      <c r="CP41" s="14">
        <f t="shared" si="74"/>
        <v>0</v>
      </c>
      <c r="CQ41" s="14">
        <f t="shared" si="74"/>
        <v>0</v>
      </c>
      <c r="CR41" s="14">
        <f t="shared" si="74"/>
        <v>0</v>
      </c>
      <c r="CS41" s="14">
        <f t="shared" si="74"/>
        <v>0</v>
      </c>
      <c r="CT41" s="14">
        <f t="shared" si="74"/>
        <v>0</v>
      </c>
      <c r="CU41" s="14">
        <f t="shared" si="74"/>
        <v>0</v>
      </c>
      <c r="CV41" s="14">
        <f t="shared" si="74"/>
        <v>0</v>
      </c>
      <c r="CW41" s="14">
        <f t="shared" si="74"/>
        <v>0</v>
      </c>
      <c r="CX41" s="14">
        <f t="shared" si="74"/>
        <v>0</v>
      </c>
      <c r="CY41" s="14">
        <f t="shared" si="74"/>
        <v>0</v>
      </c>
      <c r="CZ41" s="14">
        <f t="shared" si="74"/>
        <v>0</v>
      </c>
      <c r="DA41" s="14">
        <f t="shared" si="74"/>
        <v>0</v>
      </c>
      <c r="DC41" s="14">
        <f>SUM(BL$7:BL41)</f>
        <v>0</v>
      </c>
      <c r="DD41" s="14">
        <f>SUM(BM$7:BM41)</f>
        <v>0</v>
      </c>
      <c r="DE41" s="14">
        <f>SUM(BN$7:BN41)</f>
        <v>0</v>
      </c>
      <c r="DF41" s="14">
        <f>SUM(BO$7:BO41)</f>
        <v>0</v>
      </c>
      <c r="DG41" s="14">
        <f>SUM(BP$7:BP41)</f>
        <v>0</v>
      </c>
      <c r="DH41" s="14">
        <f>SUM(BQ$7:BQ41)</f>
        <v>0</v>
      </c>
      <c r="DI41" s="14">
        <f>SUM(BR$7:BR41)</f>
        <v>0</v>
      </c>
      <c r="DJ41" s="14">
        <f>SUM(BS$7:BS41)</f>
        <v>0</v>
      </c>
      <c r="DK41" s="14">
        <f>SUM(BT$7:BT41)</f>
        <v>0</v>
      </c>
      <c r="DL41" s="14">
        <f>SUM(BU$7:BU41)</f>
        <v>0</v>
      </c>
      <c r="DM41" s="14">
        <f>SUM(BV$7:BV41)</f>
        <v>0</v>
      </c>
      <c r="DN41" s="14">
        <f>SUM(BW$7:BW41)</f>
        <v>0</v>
      </c>
      <c r="DO41" s="14">
        <f>SUM(BX$7:BX41)</f>
        <v>0</v>
      </c>
      <c r="DP41" s="14">
        <f>SUM(BY$7:BY41)</f>
        <v>0</v>
      </c>
      <c r="DQ41" s="14">
        <f>SUM(BZ$7:BZ41)</f>
        <v>0</v>
      </c>
      <c r="DR41" s="14">
        <f>SUM(CA$7:CA41)</f>
        <v>0</v>
      </c>
      <c r="DS41" s="14">
        <f>SUM(CB$7:CB41)</f>
        <v>0</v>
      </c>
      <c r="DT41" s="14">
        <f>SUM(CC$7:CC41)</f>
        <v>0</v>
      </c>
      <c r="DU41" s="14">
        <f>SUM(CD$7:CD41)</f>
        <v>0</v>
      </c>
      <c r="DV41" s="14">
        <f>SUM(CE$7:CE41)</f>
        <v>0</v>
      </c>
      <c r="DW41" s="14">
        <f>SUM(CF$7:CF41)</f>
        <v>0</v>
      </c>
      <c r="DX41" s="14">
        <f>SUM(CG$7:CG41)</f>
        <v>0</v>
      </c>
      <c r="DY41" s="14">
        <f>SUM(CH$7:CH41)</f>
        <v>0</v>
      </c>
      <c r="DZ41" s="14">
        <f>SUM(CI$7:CI41)</f>
        <v>0</v>
      </c>
      <c r="EA41" s="14">
        <f>SUM(CJ$7:CJ41)</f>
        <v>0</v>
      </c>
      <c r="EB41" s="14">
        <f>SUM(CK$7:CK41)</f>
        <v>0</v>
      </c>
      <c r="EC41" s="14">
        <f>SUM(CL$7:CL41)</f>
        <v>0</v>
      </c>
      <c r="ED41" s="14">
        <f>SUM(CM$7:CM41)</f>
        <v>0</v>
      </c>
      <c r="EE41" s="14">
        <f>SUM(CN$7:CN41)</f>
        <v>0</v>
      </c>
      <c r="EF41" s="14">
        <f>SUM(CO$7:CO41)</f>
        <v>0</v>
      </c>
      <c r="EG41" s="14">
        <f>SUM(CP$7:CP41)</f>
        <v>0</v>
      </c>
      <c r="EH41" s="14">
        <f>SUM(CQ$7:CQ41)</f>
        <v>0</v>
      </c>
      <c r="EI41" s="14">
        <f>SUM(CR$7:CR41)</f>
        <v>0</v>
      </c>
      <c r="EJ41" s="14">
        <f>SUM(CS$7:CS41)</f>
        <v>0</v>
      </c>
      <c r="EK41" s="14">
        <f>SUM(CT$7:CT41)</f>
        <v>0</v>
      </c>
      <c r="EL41" s="14">
        <f>SUM(CU$7:CU41)</f>
        <v>0</v>
      </c>
      <c r="EM41" s="14">
        <f>SUM(CV$7:CV41)</f>
        <v>0</v>
      </c>
      <c r="EN41" s="14">
        <f>SUM(CW$7:CW41)</f>
        <v>0</v>
      </c>
      <c r="EO41" s="14">
        <f>SUM(CX$7:CX41)</f>
        <v>0</v>
      </c>
      <c r="EP41" s="14">
        <f>SUM(CY$7:CY41)</f>
        <v>0</v>
      </c>
      <c r="EQ41" s="14">
        <f>SUM(CZ$7:CZ41)</f>
        <v>0</v>
      </c>
      <c r="ER41" s="14">
        <f>SUM(DA$7:DA41)</f>
        <v>0</v>
      </c>
      <c r="EU41" s="14">
        <f t="shared" si="14"/>
        <v>0</v>
      </c>
      <c r="EV41" s="14">
        <f t="shared" si="15"/>
        <v>0</v>
      </c>
      <c r="EW41" s="14">
        <f t="shared" si="16"/>
        <v>0</v>
      </c>
      <c r="EX41" s="14">
        <f t="shared" si="17"/>
        <v>0</v>
      </c>
      <c r="EY41" s="14">
        <f t="shared" si="18"/>
        <v>0</v>
      </c>
      <c r="EZ41" s="14">
        <f t="shared" si="19"/>
        <v>0</v>
      </c>
      <c r="FA41" s="14">
        <f t="shared" si="20"/>
        <v>0</v>
      </c>
      <c r="FB41" s="14">
        <f t="shared" si="21"/>
        <v>0</v>
      </c>
      <c r="FC41" s="14">
        <f t="shared" si="22"/>
        <v>0</v>
      </c>
      <c r="FD41" s="14">
        <f t="shared" si="23"/>
        <v>0</v>
      </c>
      <c r="FE41" s="14">
        <f t="shared" si="24"/>
        <v>0</v>
      </c>
      <c r="FF41" s="14">
        <f t="shared" si="25"/>
        <v>0</v>
      </c>
      <c r="FG41" s="14">
        <f t="shared" si="26"/>
        <v>0</v>
      </c>
      <c r="FH41" s="14">
        <f t="shared" si="27"/>
        <v>0</v>
      </c>
      <c r="FI41" s="14">
        <f t="shared" si="28"/>
        <v>0</v>
      </c>
      <c r="FJ41" s="14">
        <f t="shared" si="29"/>
        <v>0</v>
      </c>
      <c r="FK41" s="14">
        <f t="shared" si="30"/>
        <v>0</v>
      </c>
      <c r="FL41" s="14">
        <f t="shared" si="31"/>
        <v>0</v>
      </c>
      <c r="FM41" s="14">
        <f t="shared" si="32"/>
        <v>0</v>
      </c>
      <c r="FN41" s="14">
        <f t="shared" si="33"/>
        <v>0</v>
      </c>
      <c r="FO41" s="14">
        <f t="shared" si="34"/>
        <v>0</v>
      </c>
      <c r="FP41" s="14">
        <f t="shared" si="35"/>
        <v>0</v>
      </c>
      <c r="FQ41" s="14">
        <f t="shared" si="36"/>
        <v>0</v>
      </c>
      <c r="FR41" s="14">
        <f t="shared" si="37"/>
        <v>0</v>
      </c>
      <c r="FS41" s="14">
        <f t="shared" si="38"/>
        <v>0</v>
      </c>
      <c r="FT41" s="14">
        <f t="shared" si="39"/>
        <v>0</v>
      </c>
      <c r="FU41" s="14">
        <f t="shared" si="40"/>
        <v>0</v>
      </c>
      <c r="FV41" s="14">
        <f t="shared" si="41"/>
        <v>0</v>
      </c>
      <c r="FW41" s="14">
        <f t="shared" si="42"/>
        <v>0</v>
      </c>
      <c r="FX41" s="14">
        <f t="shared" si="43"/>
        <v>0</v>
      </c>
      <c r="FY41" s="14">
        <f t="shared" si="44"/>
        <v>0</v>
      </c>
      <c r="FZ41" s="14">
        <f t="shared" si="45"/>
        <v>0</v>
      </c>
      <c r="GA41" s="14">
        <f t="shared" si="46"/>
        <v>0</v>
      </c>
      <c r="GB41" s="14">
        <f t="shared" si="47"/>
        <v>0</v>
      </c>
      <c r="GC41" s="14">
        <f t="shared" si="48"/>
        <v>0</v>
      </c>
      <c r="GD41" s="14">
        <f t="shared" si="49"/>
        <v>0</v>
      </c>
      <c r="GE41" s="14">
        <f t="shared" si="50"/>
        <v>0</v>
      </c>
      <c r="GF41" s="14">
        <f t="shared" si="51"/>
        <v>0</v>
      </c>
      <c r="GG41" s="14">
        <f t="shared" si="52"/>
        <v>0</v>
      </c>
      <c r="GH41" s="14">
        <f t="shared" si="53"/>
        <v>0</v>
      </c>
      <c r="GI41" s="14">
        <f t="shared" si="54"/>
        <v>0</v>
      </c>
      <c r="GJ41" s="14">
        <f t="shared" si="55"/>
        <v>0</v>
      </c>
      <c r="GM41" s="91">
        <v>35</v>
      </c>
      <c r="GN41" s="14">
        <f t="shared" si="56"/>
        <v>3</v>
      </c>
      <c r="GO41" s="14">
        <f t="shared" si="57"/>
        <v>1606005</v>
      </c>
      <c r="GP41" s="14" t="str">
        <f t="shared" si="58"/>
        <v>神器1-3 : 5级</v>
      </c>
      <c r="GQ41" s="14" t="s">
        <v>816</v>
      </c>
      <c r="GR41" s="14">
        <f t="shared" si="59"/>
        <v>5</v>
      </c>
      <c r="GS41" s="14" t="str">
        <f t="shared" si="60"/>
        <v>神器1-3</v>
      </c>
      <c r="GT41" s="14">
        <f t="shared" si="61"/>
        <v>2</v>
      </c>
    </row>
    <row r="42" spans="14:202" ht="16.5" x14ac:dyDescent="0.2">
      <c r="N42" s="90">
        <v>7</v>
      </c>
      <c r="O42" s="90">
        <v>1</v>
      </c>
      <c r="P42" s="90">
        <v>2</v>
      </c>
      <c r="Q42" s="90">
        <v>21</v>
      </c>
      <c r="R42" s="14">
        <f>SUM(Q$7:Q42)</f>
        <v>633</v>
      </c>
      <c r="S42" s="91">
        <v>1606043</v>
      </c>
      <c r="T42" s="14" t="str">
        <f t="shared" si="62"/>
        <v>神器7-1</v>
      </c>
      <c r="AD42" s="87">
        <v>36</v>
      </c>
      <c r="AE42" s="87">
        <v>7</v>
      </c>
      <c r="AF42" s="87">
        <v>2</v>
      </c>
      <c r="AG42" s="87" t="str">
        <f t="shared" si="6"/>
        <v>神器7-2</v>
      </c>
      <c r="AH42" s="87">
        <v>2</v>
      </c>
      <c r="AI42" s="87">
        <f t="shared" si="7"/>
        <v>150</v>
      </c>
      <c r="AL42" s="87">
        <v>3</v>
      </c>
      <c r="AM42" s="87">
        <v>2</v>
      </c>
      <c r="AN42" s="87">
        <v>13</v>
      </c>
      <c r="AO42" s="144">
        <f t="shared" si="8"/>
        <v>4413</v>
      </c>
      <c r="AP42" s="144" t="s">
        <v>1245</v>
      </c>
      <c r="AQ42" s="144" t="str">
        <f t="shared" si="9"/>
        <v>神器本-3-困难-1  神器2-3</v>
      </c>
      <c r="AR42" s="87">
        <v>6</v>
      </c>
      <c r="AS42" s="87" t="s">
        <v>326</v>
      </c>
      <c r="AT42" s="87">
        <v>1000</v>
      </c>
      <c r="AU42" s="87">
        <v>1</v>
      </c>
      <c r="AV42" s="87">
        <v>1</v>
      </c>
      <c r="AW42" s="87">
        <f t="shared" si="10"/>
        <v>2</v>
      </c>
      <c r="AX42" s="14">
        <f t="shared" si="11"/>
        <v>0.1</v>
      </c>
      <c r="AY42" s="14">
        <f t="shared" si="12"/>
        <v>4.5</v>
      </c>
      <c r="BG42" s="87">
        <v>36</v>
      </c>
      <c r="BH42" s="14" t="e">
        <f>INDEX(节奏总表!#REF!,新神器!BG42)</f>
        <v>#REF!</v>
      </c>
      <c r="BI42" s="14" t="e">
        <f t="shared" si="13"/>
        <v>#REF!</v>
      </c>
      <c r="BJ42" s="87">
        <v>3</v>
      </c>
      <c r="BK42" s="87">
        <v>5</v>
      </c>
      <c r="BL42" s="14">
        <f t="shared" si="71"/>
        <v>0</v>
      </c>
      <c r="BM42" s="14">
        <f t="shared" si="71"/>
        <v>0</v>
      </c>
      <c r="BN42" s="14">
        <f t="shared" si="71"/>
        <v>0</v>
      </c>
      <c r="BO42" s="14">
        <f t="shared" si="71"/>
        <v>0</v>
      </c>
      <c r="BP42" s="14">
        <f t="shared" si="71"/>
        <v>0</v>
      </c>
      <c r="BQ42" s="14">
        <f t="shared" si="71"/>
        <v>0</v>
      </c>
      <c r="BR42" s="14">
        <f t="shared" si="71"/>
        <v>0</v>
      </c>
      <c r="BS42" s="14">
        <f t="shared" si="71"/>
        <v>0</v>
      </c>
      <c r="BT42" s="14">
        <f t="shared" si="71"/>
        <v>0</v>
      </c>
      <c r="BU42" s="14">
        <f t="shared" si="71"/>
        <v>0</v>
      </c>
      <c r="BV42" s="14">
        <f t="shared" si="72"/>
        <v>0</v>
      </c>
      <c r="BW42" s="14">
        <f t="shared" si="72"/>
        <v>0</v>
      </c>
      <c r="BX42" s="14">
        <f t="shared" si="72"/>
        <v>0</v>
      </c>
      <c r="BY42" s="14">
        <f t="shared" si="72"/>
        <v>0</v>
      </c>
      <c r="BZ42" s="14">
        <f t="shared" si="72"/>
        <v>0</v>
      </c>
      <c r="CA42" s="14">
        <f t="shared" si="72"/>
        <v>0</v>
      </c>
      <c r="CB42" s="14">
        <f t="shared" si="72"/>
        <v>0</v>
      </c>
      <c r="CC42" s="14">
        <f t="shared" si="72"/>
        <v>0</v>
      </c>
      <c r="CD42" s="14">
        <f t="shared" si="72"/>
        <v>0</v>
      </c>
      <c r="CE42" s="14">
        <f t="shared" si="72"/>
        <v>0</v>
      </c>
      <c r="CF42" s="14">
        <f t="shared" si="73"/>
        <v>0</v>
      </c>
      <c r="CG42" s="14">
        <f t="shared" si="73"/>
        <v>0</v>
      </c>
      <c r="CH42" s="14">
        <f t="shared" si="73"/>
        <v>0</v>
      </c>
      <c r="CI42" s="14">
        <f t="shared" si="73"/>
        <v>0</v>
      </c>
      <c r="CJ42" s="14">
        <f t="shared" si="73"/>
        <v>0</v>
      </c>
      <c r="CK42" s="14">
        <f t="shared" si="73"/>
        <v>0</v>
      </c>
      <c r="CL42" s="14">
        <f t="shared" si="73"/>
        <v>0</v>
      </c>
      <c r="CM42" s="14">
        <f t="shared" si="73"/>
        <v>0</v>
      </c>
      <c r="CN42" s="14">
        <f t="shared" si="73"/>
        <v>0</v>
      </c>
      <c r="CO42" s="14">
        <f t="shared" si="73"/>
        <v>0</v>
      </c>
      <c r="CP42" s="14">
        <f t="shared" si="74"/>
        <v>0</v>
      </c>
      <c r="CQ42" s="14">
        <f t="shared" si="74"/>
        <v>0</v>
      </c>
      <c r="CR42" s="14">
        <f t="shared" si="74"/>
        <v>0</v>
      </c>
      <c r="CS42" s="14">
        <f t="shared" si="74"/>
        <v>0</v>
      </c>
      <c r="CT42" s="14">
        <f t="shared" si="74"/>
        <v>0</v>
      </c>
      <c r="CU42" s="14">
        <f t="shared" si="74"/>
        <v>0</v>
      </c>
      <c r="CV42" s="14">
        <f t="shared" si="74"/>
        <v>0</v>
      </c>
      <c r="CW42" s="14">
        <f t="shared" si="74"/>
        <v>0</v>
      </c>
      <c r="CX42" s="14">
        <f t="shared" si="74"/>
        <v>0</v>
      </c>
      <c r="CY42" s="14">
        <f t="shared" si="74"/>
        <v>0</v>
      </c>
      <c r="CZ42" s="14">
        <f t="shared" si="74"/>
        <v>0</v>
      </c>
      <c r="DA42" s="14">
        <f t="shared" si="74"/>
        <v>0</v>
      </c>
      <c r="DC42" s="14">
        <f>SUM(BL$7:BL42)</f>
        <v>0</v>
      </c>
      <c r="DD42" s="14">
        <f>SUM(BM$7:BM42)</f>
        <v>0</v>
      </c>
      <c r="DE42" s="14">
        <f>SUM(BN$7:BN42)</f>
        <v>0</v>
      </c>
      <c r="DF42" s="14">
        <f>SUM(BO$7:BO42)</f>
        <v>0</v>
      </c>
      <c r="DG42" s="14">
        <f>SUM(BP$7:BP42)</f>
        <v>0</v>
      </c>
      <c r="DH42" s="14">
        <f>SUM(BQ$7:BQ42)</f>
        <v>0</v>
      </c>
      <c r="DI42" s="14">
        <f>SUM(BR$7:BR42)</f>
        <v>0</v>
      </c>
      <c r="DJ42" s="14">
        <f>SUM(BS$7:BS42)</f>
        <v>0</v>
      </c>
      <c r="DK42" s="14">
        <f>SUM(BT$7:BT42)</f>
        <v>0</v>
      </c>
      <c r="DL42" s="14">
        <f>SUM(BU$7:BU42)</f>
        <v>0</v>
      </c>
      <c r="DM42" s="14">
        <f>SUM(BV$7:BV42)</f>
        <v>0</v>
      </c>
      <c r="DN42" s="14">
        <f>SUM(BW$7:BW42)</f>
        <v>0</v>
      </c>
      <c r="DO42" s="14">
        <f>SUM(BX$7:BX42)</f>
        <v>0</v>
      </c>
      <c r="DP42" s="14">
        <f>SUM(BY$7:BY42)</f>
        <v>0</v>
      </c>
      <c r="DQ42" s="14">
        <f>SUM(BZ$7:BZ42)</f>
        <v>0</v>
      </c>
      <c r="DR42" s="14">
        <f>SUM(CA$7:CA42)</f>
        <v>0</v>
      </c>
      <c r="DS42" s="14">
        <f>SUM(CB$7:CB42)</f>
        <v>0</v>
      </c>
      <c r="DT42" s="14">
        <f>SUM(CC$7:CC42)</f>
        <v>0</v>
      </c>
      <c r="DU42" s="14">
        <f>SUM(CD$7:CD42)</f>
        <v>0</v>
      </c>
      <c r="DV42" s="14">
        <f>SUM(CE$7:CE42)</f>
        <v>0</v>
      </c>
      <c r="DW42" s="14">
        <f>SUM(CF$7:CF42)</f>
        <v>0</v>
      </c>
      <c r="DX42" s="14">
        <f>SUM(CG$7:CG42)</f>
        <v>0</v>
      </c>
      <c r="DY42" s="14">
        <f>SUM(CH$7:CH42)</f>
        <v>0</v>
      </c>
      <c r="DZ42" s="14">
        <f>SUM(CI$7:CI42)</f>
        <v>0</v>
      </c>
      <c r="EA42" s="14">
        <f>SUM(CJ$7:CJ42)</f>
        <v>0</v>
      </c>
      <c r="EB42" s="14">
        <f>SUM(CK$7:CK42)</f>
        <v>0</v>
      </c>
      <c r="EC42" s="14">
        <f>SUM(CL$7:CL42)</f>
        <v>0</v>
      </c>
      <c r="ED42" s="14">
        <f>SUM(CM$7:CM42)</f>
        <v>0</v>
      </c>
      <c r="EE42" s="14">
        <f>SUM(CN$7:CN42)</f>
        <v>0</v>
      </c>
      <c r="EF42" s="14">
        <f>SUM(CO$7:CO42)</f>
        <v>0</v>
      </c>
      <c r="EG42" s="14">
        <f>SUM(CP$7:CP42)</f>
        <v>0</v>
      </c>
      <c r="EH42" s="14">
        <f>SUM(CQ$7:CQ42)</f>
        <v>0</v>
      </c>
      <c r="EI42" s="14">
        <f>SUM(CR$7:CR42)</f>
        <v>0</v>
      </c>
      <c r="EJ42" s="14">
        <f>SUM(CS$7:CS42)</f>
        <v>0</v>
      </c>
      <c r="EK42" s="14">
        <f>SUM(CT$7:CT42)</f>
        <v>0</v>
      </c>
      <c r="EL42" s="14">
        <f>SUM(CU$7:CU42)</f>
        <v>0</v>
      </c>
      <c r="EM42" s="14">
        <f>SUM(CV$7:CV42)</f>
        <v>0</v>
      </c>
      <c r="EN42" s="14">
        <f>SUM(CW$7:CW42)</f>
        <v>0</v>
      </c>
      <c r="EO42" s="14">
        <f>SUM(CX$7:CX42)</f>
        <v>0</v>
      </c>
      <c r="EP42" s="14">
        <f>SUM(CY$7:CY42)</f>
        <v>0</v>
      </c>
      <c r="EQ42" s="14">
        <f>SUM(CZ$7:CZ42)</f>
        <v>0</v>
      </c>
      <c r="ER42" s="14">
        <f>SUM(DA$7:DA42)</f>
        <v>0</v>
      </c>
      <c r="EU42" s="14">
        <f t="shared" si="14"/>
        <v>0</v>
      </c>
      <c r="EV42" s="14">
        <f t="shared" si="15"/>
        <v>0</v>
      </c>
      <c r="EW42" s="14">
        <f t="shared" si="16"/>
        <v>0</v>
      </c>
      <c r="EX42" s="14">
        <f t="shared" si="17"/>
        <v>0</v>
      </c>
      <c r="EY42" s="14">
        <f t="shared" si="18"/>
        <v>0</v>
      </c>
      <c r="EZ42" s="14">
        <f t="shared" si="19"/>
        <v>0</v>
      </c>
      <c r="FA42" s="14">
        <f t="shared" si="20"/>
        <v>0</v>
      </c>
      <c r="FB42" s="14">
        <f t="shared" si="21"/>
        <v>0</v>
      </c>
      <c r="FC42" s="14">
        <f t="shared" si="22"/>
        <v>0</v>
      </c>
      <c r="FD42" s="14">
        <f t="shared" si="23"/>
        <v>0</v>
      </c>
      <c r="FE42" s="14">
        <f t="shared" si="24"/>
        <v>0</v>
      </c>
      <c r="FF42" s="14">
        <f t="shared" si="25"/>
        <v>0</v>
      </c>
      <c r="FG42" s="14">
        <f t="shared" si="26"/>
        <v>0</v>
      </c>
      <c r="FH42" s="14">
        <f t="shared" si="27"/>
        <v>0</v>
      </c>
      <c r="FI42" s="14">
        <f t="shared" si="28"/>
        <v>0</v>
      </c>
      <c r="FJ42" s="14">
        <f t="shared" si="29"/>
        <v>0</v>
      </c>
      <c r="FK42" s="14">
        <f t="shared" si="30"/>
        <v>0</v>
      </c>
      <c r="FL42" s="14">
        <f t="shared" si="31"/>
        <v>0</v>
      </c>
      <c r="FM42" s="14">
        <f t="shared" si="32"/>
        <v>0</v>
      </c>
      <c r="FN42" s="14">
        <f t="shared" si="33"/>
        <v>0</v>
      </c>
      <c r="FO42" s="14">
        <f t="shared" si="34"/>
        <v>0</v>
      </c>
      <c r="FP42" s="14">
        <f t="shared" si="35"/>
        <v>0</v>
      </c>
      <c r="FQ42" s="14">
        <f t="shared" si="36"/>
        <v>0</v>
      </c>
      <c r="FR42" s="14">
        <f t="shared" si="37"/>
        <v>0</v>
      </c>
      <c r="FS42" s="14">
        <f t="shared" si="38"/>
        <v>0</v>
      </c>
      <c r="FT42" s="14">
        <f t="shared" si="39"/>
        <v>0</v>
      </c>
      <c r="FU42" s="14">
        <f t="shared" si="40"/>
        <v>0</v>
      </c>
      <c r="FV42" s="14">
        <f t="shared" si="41"/>
        <v>0</v>
      </c>
      <c r="FW42" s="14">
        <f t="shared" si="42"/>
        <v>0</v>
      </c>
      <c r="FX42" s="14">
        <f t="shared" si="43"/>
        <v>0</v>
      </c>
      <c r="FY42" s="14">
        <f t="shared" si="44"/>
        <v>0</v>
      </c>
      <c r="FZ42" s="14">
        <f t="shared" si="45"/>
        <v>0</v>
      </c>
      <c r="GA42" s="14">
        <f t="shared" si="46"/>
        <v>0</v>
      </c>
      <c r="GB42" s="14">
        <f t="shared" si="47"/>
        <v>0</v>
      </c>
      <c r="GC42" s="14">
        <f t="shared" si="48"/>
        <v>0</v>
      </c>
      <c r="GD42" s="14">
        <f t="shared" si="49"/>
        <v>0</v>
      </c>
      <c r="GE42" s="14">
        <f t="shared" si="50"/>
        <v>0</v>
      </c>
      <c r="GF42" s="14">
        <f t="shared" si="51"/>
        <v>0</v>
      </c>
      <c r="GG42" s="14">
        <f t="shared" si="52"/>
        <v>0</v>
      </c>
      <c r="GH42" s="14">
        <f t="shared" si="53"/>
        <v>0</v>
      </c>
      <c r="GI42" s="14">
        <f t="shared" si="54"/>
        <v>0</v>
      </c>
      <c r="GJ42" s="14">
        <f t="shared" si="55"/>
        <v>0</v>
      </c>
      <c r="GM42" s="91">
        <v>36</v>
      </c>
      <c r="GN42" s="14">
        <f t="shared" si="56"/>
        <v>3</v>
      </c>
      <c r="GO42" s="14">
        <f t="shared" si="57"/>
        <v>1606005</v>
      </c>
      <c r="GP42" s="14" t="str">
        <f t="shared" si="58"/>
        <v>神器1-3 : 6级</v>
      </c>
      <c r="GQ42" s="14" t="s">
        <v>816</v>
      </c>
      <c r="GR42" s="14">
        <f t="shared" si="59"/>
        <v>6</v>
      </c>
      <c r="GS42" s="14" t="str">
        <f t="shared" si="60"/>
        <v>神器1-3</v>
      </c>
      <c r="GT42" s="14">
        <f t="shared" si="61"/>
        <v>2</v>
      </c>
    </row>
    <row r="43" spans="14:202" ht="16.5" x14ac:dyDescent="0.2">
      <c r="N43" s="90">
        <v>7</v>
      </c>
      <c r="O43" s="90">
        <v>2</v>
      </c>
      <c r="P43" s="90">
        <v>2</v>
      </c>
      <c r="Q43" s="90">
        <v>21</v>
      </c>
      <c r="R43" s="14">
        <f>SUM(Q$7:Q43)</f>
        <v>654</v>
      </c>
      <c r="S43" s="91">
        <v>1606044</v>
      </c>
      <c r="T43" s="14" t="str">
        <f t="shared" si="62"/>
        <v>神器7-2</v>
      </c>
      <c r="AD43" s="87">
        <v>37</v>
      </c>
      <c r="AE43" s="87">
        <v>7</v>
      </c>
      <c r="AF43" s="87">
        <v>3</v>
      </c>
      <c r="AG43" s="87" t="str">
        <f t="shared" si="6"/>
        <v>神器7-3</v>
      </c>
      <c r="AH43" s="87">
        <v>2</v>
      </c>
      <c r="AI43" s="87">
        <f t="shared" si="7"/>
        <v>150</v>
      </c>
      <c r="AL43" s="87">
        <v>3</v>
      </c>
      <c r="AM43" s="87">
        <v>2</v>
      </c>
      <c r="AN43" s="87">
        <v>13</v>
      </c>
      <c r="AO43" s="144">
        <f t="shared" si="8"/>
        <v>4413</v>
      </c>
      <c r="AP43" s="144" t="s">
        <v>1245</v>
      </c>
      <c r="AQ43" s="144" t="str">
        <f t="shared" si="9"/>
        <v>神器本-3-困难-1  神器2-4</v>
      </c>
      <c r="AR43" s="87">
        <v>7</v>
      </c>
      <c r="AS43" s="87" t="s">
        <v>327</v>
      </c>
      <c r="AT43" s="87">
        <v>1000</v>
      </c>
      <c r="AU43" s="87">
        <v>1</v>
      </c>
      <c r="AV43" s="87">
        <v>1</v>
      </c>
      <c r="AW43" s="87">
        <f t="shared" si="10"/>
        <v>2</v>
      </c>
      <c r="AX43" s="14">
        <f t="shared" si="11"/>
        <v>0.1</v>
      </c>
      <c r="AY43" s="14">
        <f t="shared" si="12"/>
        <v>4.5</v>
      </c>
      <c r="BG43" s="87">
        <v>37</v>
      </c>
      <c r="BH43" s="14" t="e">
        <f>INDEX(节奏总表!#REF!,新神器!BG43)</f>
        <v>#REF!</v>
      </c>
      <c r="BI43" s="14" t="e">
        <f t="shared" si="13"/>
        <v>#REF!</v>
      </c>
      <c r="BJ43" s="87">
        <v>3</v>
      </c>
      <c r="BK43" s="87">
        <v>5</v>
      </c>
      <c r="BL43" s="14">
        <f t="shared" si="71"/>
        <v>0</v>
      </c>
      <c r="BM43" s="14">
        <f t="shared" si="71"/>
        <v>0</v>
      </c>
      <c r="BN43" s="14">
        <f t="shared" si="71"/>
        <v>0</v>
      </c>
      <c r="BO43" s="14">
        <f t="shared" si="71"/>
        <v>0</v>
      </c>
      <c r="BP43" s="14">
        <f t="shared" si="71"/>
        <v>0</v>
      </c>
      <c r="BQ43" s="14">
        <f t="shared" si="71"/>
        <v>0</v>
      </c>
      <c r="BR43" s="14">
        <f t="shared" si="71"/>
        <v>0</v>
      </c>
      <c r="BS43" s="14">
        <f t="shared" si="71"/>
        <v>0</v>
      </c>
      <c r="BT43" s="14">
        <f t="shared" si="71"/>
        <v>0</v>
      </c>
      <c r="BU43" s="14">
        <f t="shared" si="71"/>
        <v>0</v>
      </c>
      <c r="BV43" s="14">
        <f t="shared" si="72"/>
        <v>0</v>
      </c>
      <c r="BW43" s="14">
        <f t="shared" si="72"/>
        <v>0</v>
      </c>
      <c r="BX43" s="14">
        <f t="shared" si="72"/>
        <v>0</v>
      </c>
      <c r="BY43" s="14">
        <f t="shared" si="72"/>
        <v>0</v>
      </c>
      <c r="BZ43" s="14">
        <f t="shared" si="72"/>
        <v>0</v>
      </c>
      <c r="CA43" s="14">
        <f t="shared" si="72"/>
        <v>0</v>
      </c>
      <c r="CB43" s="14">
        <f t="shared" si="72"/>
        <v>0</v>
      </c>
      <c r="CC43" s="14">
        <f t="shared" si="72"/>
        <v>0</v>
      </c>
      <c r="CD43" s="14">
        <f t="shared" si="72"/>
        <v>0</v>
      </c>
      <c r="CE43" s="14">
        <f t="shared" si="72"/>
        <v>0</v>
      </c>
      <c r="CF43" s="14">
        <f t="shared" si="73"/>
        <v>0</v>
      </c>
      <c r="CG43" s="14">
        <f t="shared" si="73"/>
        <v>0</v>
      </c>
      <c r="CH43" s="14">
        <f t="shared" si="73"/>
        <v>0</v>
      </c>
      <c r="CI43" s="14">
        <f t="shared" si="73"/>
        <v>0</v>
      </c>
      <c r="CJ43" s="14">
        <f t="shared" si="73"/>
        <v>0</v>
      </c>
      <c r="CK43" s="14">
        <f t="shared" si="73"/>
        <v>0</v>
      </c>
      <c r="CL43" s="14">
        <f t="shared" si="73"/>
        <v>0</v>
      </c>
      <c r="CM43" s="14">
        <f t="shared" si="73"/>
        <v>0</v>
      </c>
      <c r="CN43" s="14">
        <f t="shared" si="73"/>
        <v>0</v>
      </c>
      <c r="CO43" s="14">
        <f t="shared" si="73"/>
        <v>0</v>
      </c>
      <c r="CP43" s="14">
        <f t="shared" si="74"/>
        <v>0</v>
      </c>
      <c r="CQ43" s="14">
        <f t="shared" si="74"/>
        <v>0</v>
      </c>
      <c r="CR43" s="14">
        <f t="shared" si="74"/>
        <v>0</v>
      </c>
      <c r="CS43" s="14">
        <f t="shared" si="74"/>
        <v>0</v>
      </c>
      <c r="CT43" s="14">
        <f t="shared" si="74"/>
        <v>0</v>
      </c>
      <c r="CU43" s="14">
        <f t="shared" si="74"/>
        <v>0</v>
      </c>
      <c r="CV43" s="14">
        <f t="shared" si="74"/>
        <v>0</v>
      </c>
      <c r="CW43" s="14">
        <f t="shared" si="74"/>
        <v>0</v>
      </c>
      <c r="CX43" s="14">
        <f t="shared" si="74"/>
        <v>0</v>
      </c>
      <c r="CY43" s="14">
        <f t="shared" si="74"/>
        <v>0</v>
      </c>
      <c r="CZ43" s="14">
        <f t="shared" si="74"/>
        <v>0</v>
      </c>
      <c r="DA43" s="14">
        <f t="shared" si="74"/>
        <v>0</v>
      </c>
      <c r="DC43" s="14">
        <f>SUM(BL$7:BL43)</f>
        <v>0</v>
      </c>
      <c r="DD43" s="14">
        <f>SUM(BM$7:BM43)</f>
        <v>0</v>
      </c>
      <c r="DE43" s="14">
        <f>SUM(BN$7:BN43)</f>
        <v>0</v>
      </c>
      <c r="DF43" s="14">
        <f>SUM(BO$7:BO43)</f>
        <v>0</v>
      </c>
      <c r="DG43" s="14">
        <f>SUM(BP$7:BP43)</f>
        <v>0</v>
      </c>
      <c r="DH43" s="14">
        <f>SUM(BQ$7:BQ43)</f>
        <v>0</v>
      </c>
      <c r="DI43" s="14">
        <f>SUM(BR$7:BR43)</f>
        <v>0</v>
      </c>
      <c r="DJ43" s="14">
        <f>SUM(BS$7:BS43)</f>
        <v>0</v>
      </c>
      <c r="DK43" s="14">
        <f>SUM(BT$7:BT43)</f>
        <v>0</v>
      </c>
      <c r="DL43" s="14">
        <f>SUM(BU$7:BU43)</f>
        <v>0</v>
      </c>
      <c r="DM43" s="14">
        <f>SUM(BV$7:BV43)</f>
        <v>0</v>
      </c>
      <c r="DN43" s="14">
        <f>SUM(BW$7:BW43)</f>
        <v>0</v>
      </c>
      <c r="DO43" s="14">
        <f>SUM(BX$7:BX43)</f>
        <v>0</v>
      </c>
      <c r="DP43" s="14">
        <f>SUM(BY$7:BY43)</f>
        <v>0</v>
      </c>
      <c r="DQ43" s="14">
        <f>SUM(BZ$7:BZ43)</f>
        <v>0</v>
      </c>
      <c r="DR43" s="14">
        <f>SUM(CA$7:CA43)</f>
        <v>0</v>
      </c>
      <c r="DS43" s="14">
        <f>SUM(CB$7:CB43)</f>
        <v>0</v>
      </c>
      <c r="DT43" s="14">
        <f>SUM(CC$7:CC43)</f>
        <v>0</v>
      </c>
      <c r="DU43" s="14">
        <f>SUM(CD$7:CD43)</f>
        <v>0</v>
      </c>
      <c r="DV43" s="14">
        <f>SUM(CE$7:CE43)</f>
        <v>0</v>
      </c>
      <c r="DW43" s="14">
        <f>SUM(CF$7:CF43)</f>
        <v>0</v>
      </c>
      <c r="DX43" s="14">
        <f>SUM(CG$7:CG43)</f>
        <v>0</v>
      </c>
      <c r="DY43" s="14">
        <f>SUM(CH$7:CH43)</f>
        <v>0</v>
      </c>
      <c r="DZ43" s="14">
        <f>SUM(CI$7:CI43)</f>
        <v>0</v>
      </c>
      <c r="EA43" s="14">
        <f>SUM(CJ$7:CJ43)</f>
        <v>0</v>
      </c>
      <c r="EB43" s="14">
        <f>SUM(CK$7:CK43)</f>
        <v>0</v>
      </c>
      <c r="EC43" s="14">
        <f>SUM(CL$7:CL43)</f>
        <v>0</v>
      </c>
      <c r="ED43" s="14">
        <f>SUM(CM$7:CM43)</f>
        <v>0</v>
      </c>
      <c r="EE43" s="14">
        <f>SUM(CN$7:CN43)</f>
        <v>0</v>
      </c>
      <c r="EF43" s="14">
        <f>SUM(CO$7:CO43)</f>
        <v>0</v>
      </c>
      <c r="EG43" s="14">
        <f>SUM(CP$7:CP43)</f>
        <v>0</v>
      </c>
      <c r="EH43" s="14">
        <f>SUM(CQ$7:CQ43)</f>
        <v>0</v>
      </c>
      <c r="EI43" s="14">
        <f>SUM(CR$7:CR43)</f>
        <v>0</v>
      </c>
      <c r="EJ43" s="14">
        <f>SUM(CS$7:CS43)</f>
        <v>0</v>
      </c>
      <c r="EK43" s="14">
        <f>SUM(CT$7:CT43)</f>
        <v>0</v>
      </c>
      <c r="EL43" s="14">
        <f>SUM(CU$7:CU43)</f>
        <v>0</v>
      </c>
      <c r="EM43" s="14">
        <f>SUM(CV$7:CV43)</f>
        <v>0</v>
      </c>
      <c r="EN43" s="14">
        <f>SUM(CW$7:CW43)</f>
        <v>0</v>
      </c>
      <c r="EO43" s="14">
        <f>SUM(CX$7:CX43)</f>
        <v>0</v>
      </c>
      <c r="EP43" s="14">
        <f>SUM(CY$7:CY43)</f>
        <v>0</v>
      </c>
      <c r="EQ43" s="14">
        <f>SUM(CZ$7:CZ43)</f>
        <v>0</v>
      </c>
      <c r="ER43" s="14">
        <f>SUM(DA$7:DA43)</f>
        <v>0</v>
      </c>
      <c r="EU43" s="14">
        <f t="shared" si="14"/>
        <v>0</v>
      </c>
      <c r="EV43" s="14">
        <f t="shared" si="15"/>
        <v>0</v>
      </c>
      <c r="EW43" s="14">
        <f t="shared" si="16"/>
        <v>0</v>
      </c>
      <c r="EX43" s="14">
        <f t="shared" si="17"/>
        <v>0</v>
      </c>
      <c r="EY43" s="14">
        <f t="shared" si="18"/>
        <v>0</v>
      </c>
      <c r="EZ43" s="14">
        <f t="shared" si="19"/>
        <v>0</v>
      </c>
      <c r="FA43" s="14">
        <f t="shared" si="20"/>
        <v>0</v>
      </c>
      <c r="FB43" s="14">
        <f t="shared" si="21"/>
        <v>0</v>
      </c>
      <c r="FC43" s="14">
        <f t="shared" si="22"/>
        <v>0</v>
      </c>
      <c r="FD43" s="14">
        <f t="shared" si="23"/>
        <v>0</v>
      </c>
      <c r="FE43" s="14">
        <f t="shared" si="24"/>
        <v>0</v>
      </c>
      <c r="FF43" s="14">
        <f t="shared" si="25"/>
        <v>0</v>
      </c>
      <c r="FG43" s="14">
        <f t="shared" si="26"/>
        <v>0</v>
      </c>
      <c r="FH43" s="14">
        <f t="shared" si="27"/>
        <v>0</v>
      </c>
      <c r="FI43" s="14">
        <f t="shared" si="28"/>
        <v>0</v>
      </c>
      <c r="FJ43" s="14">
        <f t="shared" si="29"/>
        <v>0</v>
      </c>
      <c r="FK43" s="14">
        <f t="shared" si="30"/>
        <v>0</v>
      </c>
      <c r="FL43" s="14">
        <f t="shared" si="31"/>
        <v>0</v>
      </c>
      <c r="FM43" s="14">
        <f t="shared" si="32"/>
        <v>0</v>
      </c>
      <c r="FN43" s="14">
        <f t="shared" si="33"/>
        <v>0</v>
      </c>
      <c r="FO43" s="14">
        <f t="shared" si="34"/>
        <v>0</v>
      </c>
      <c r="FP43" s="14">
        <f t="shared" si="35"/>
        <v>0</v>
      </c>
      <c r="FQ43" s="14">
        <f t="shared" si="36"/>
        <v>0</v>
      </c>
      <c r="FR43" s="14">
        <f t="shared" si="37"/>
        <v>0</v>
      </c>
      <c r="FS43" s="14">
        <f t="shared" si="38"/>
        <v>0</v>
      </c>
      <c r="FT43" s="14">
        <f t="shared" si="39"/>
        <v>0</v>
      </c>
      <c r="FU43" s="14">
        <f t="shared" si="40"/>
        <v>0</v>
      </c>
      <c r="FV43" s="14">
        <f t="shared" si="41"/>
        <v>0</v>
      </c>
      <c r="FW43" s="14">
        <f t="shared" si="42"/>
        <v>0</v>
      </c>
      <c r="FX43" s="14">
        <f t="shared" si="43"/>
        <v>0</v>
      </c>
      <c r="FY43" s="14">
        <f t="shared" si="44"/>
        <v>0</v>
      </c>
      <c r="FZ43" s="14">
        <f t="shared" si="45"/>
        <v>0</v>
      </c>
      <c r="GA43" s="14">
        <f t="shared" si="46"/>
        <v>0</v>
      </c>
      <c r="GB43" s="14">
        <f t="shared" si="47"/>
        <v>0</v>
      </c>
      <c r="GC43" s="14">
        <f t="shared" si="48"/>
        <v>0</v>
      </c>
      <c r="GD43" s="14">
        <f t="shared" si="49"/>
        <v>0</v>
      </c>
      <c r="GE43" s="14">
        <f t="shared" si="50"/>
        <v>0</v>
      </c>
      <c r="GF43" s="14">
        <f t="shared" si="51"/>
        <v>0</v>
      </c>
      <c r="GG43" s="14">
        <f t="shared" si="52"/>
        <v>0</v>
      </c>
      <c r="GH43" s="14">
        <f t="shared" si="53"/>
        <v>0</v>
      </c>
      <c r="GI43" s="14">
        <f t="shared" si="54"/>
        <v>0</v>
      </c>
      <c r="GJ43" s="14">
        <f t="shared" si="55"/>
        <v>0</v>
      </c>
      <c r="GM43" s="91">
        <v>37</v>
      </c>
      <c r="GN43" s="14">
        <f t="shared" si="56"/>
        <v>3</v>
      </c>
      <c r="GO43" s="14">
        <f t="shared" si="57"/>
        <v>1606005</v>
      </c>
      <c r="GP43" s="14" t="str">
        <f t="shared" si="58"/>
        <v>神器1-3 : 7级</v>
      </c>
      <c r="GQ43" s="14" t="s">
        <v>816</v>
      </c>
      <c r="GR43" s="14">
        <f t="shared" si="59"/>
        <v>7</v>
      </c>
      <c r="GS43" s="14" t="str">
        <f t="shared" si="60"/>
        <v>神器1-3</v>
      </c>
      <c r="GT43" s="14">
        <f t="shared" si="61"/>
        <v>3</v>
      </c>
    </row>
    <row r="44" spans="14:202" ht="16.5" x14ac:dyDescent="0.2">
      <c r="N44" s="90">
        <v>7</v>
      </c>
      <c r="O44" s="90">
        <v>3</v>
      </c>
      <c r="P44" s="90">
        <v>2</v>
      </c>
      <c r="Q44" s="90">
        <v>21</v>
      </c>
      <c r="R44" s="14">
        <f>SUM(Q$7:Q44)</f>
        <v>675</v>
      </c>
      <c r="S44" s="91">
        <v>1606045</v>
      </c>
      <c r="T44" s="14" t="str">
        <f t="shared" si="62"/>
        <v>神器7-3</v>
      </c>
      <c r="AD44" s="87">
        <v>38</v>
      </c>
      <c r="AE44" s="87">
        <v>7</v>
      </c>
      <c r="AF44" s="87">
        <v>4</v>
      </c>
      <c r="AG44" s="87" t="str">
        <f t="shared" si="6"/>
        <v>神器7-4</v>
      </c>
      <c r="AH44" s="87">
        <v>3</v>
      </c>
      <c r="AI44" s="87">
        <f t="shared" si="7"/>
        <v>350</v>
      </c>
      <c r="AL44" s="87">
        <v>3</v>
      </c>
      <c r="AM44" s="87">
        <v>2</v>
      </c>
      <c r="AN44" s="87">
        <v>13</v>
      </c>
      <c r="AO44" s="144">
        <f t="shared" si="8"/>
        <v>4413</v>
      </c>
      <c r="AP44" s="144" t="s">
        <v>1245</v>
      </c>
      <c r="AQ44" s="144" t="str">
        <f t="shared" si="9"/>
        <v>神器本-3-困难-1  神器2-5</v>
      </c>
      <c r="AR44" s="87">
        <v>8</v>
      </c>
      <c r="AS44" s="87" t="s">
        <v>328</v>
      </c>
      <c r="AT44" s="87">
        <v>1000</v>
      </c>
      <c r="AU44" s="87">
        <v>1</v>
      </c>
      <c r="AV44" s="87">
        <v>1</v>
      </c>
      <c r="AW44" s="87">
        <f t="shared" si="10"/>
        <v>3</v>
      </c>
      <c r="AX44" s="14">
        <f t="shared" si="11"/>
        <v>0.1</v>
      </c>
      <c r="AY44" s="14">
        <f t="shared" si="12"/>
        <v>10.5</v>
      </c>
      <c r="BG44" s="87">
        <v>38</v>
      </c>
      <c r="BH44" s="14" t="e">
        <f>INDEX(节奏总表!#REF!,新神器!BG44)</f>
        <v>#REF!</v>
      </c>
      <c r="BI44" s="14" t="e">
        <f t="shared" si="13"/>
        <v>#REF!</v>
      </c>
      <c r="BJ44" s="87">
        <v>3</v>
      </c>
      <c r="BK44" s="87">
        <v>5</v>
      </c>
      <c r="BL44" s="14">
        <f t="shared" si="71"/>
        <v>0</v>
      </c>
      <c r="BM44" s="14">
        <f t="shared" si="71"/>
        <v>0</v>
      </c>
      <c r="BN44" s="14">
        <f t="shared" si="71"/>
        <v>0</v>
      </c>
      <c r="BO44" s="14">
        <f t="shared" si="71"/>
        <v>0</v>
      </c>
      <c r="BP44" s="14">
        <f t="shared" si="71"/>
        <v>0</v>
      </c>
      <c r="BQ44" s="14">
        <f t="shared" si="71"/>
        <v>0</v>
      </c>
      <c r="BR44" s="14">
        <f t="shared" si="71"/>
        <v>0</v>
      </c>
      <c r="BS44" s="14">
        <f t="shared" si="71"/>
        <v>0</v>
      </c>
      <c r="BT44" s="14">
        <f t="shared" si="71"/>
        <v>0</v>
      </c>
      <c r="BU44" s="14">
        <f t="shared" si="71"/>
        <v>0</v>
      </c>
      <c r="BV44" s="14">
        <f t="shared" si="72"/>
        <v>0</v>
      </c>
      <c r="BW44" s="14">
        <f t="shared" si="72"/>
        <v>0</v>
      </c>
      <c r="BX44" s="14">
        <f t="shared" si="72"/>
        <v>0</v>
      </c>
      <c r="BY44" s="14">
        <f t="shared" si="72"/>
        <v>0</v>
      </c>
      <c r="BZ44" s="14">
        <f t="shared" si="72"/>
        <v>0</v>
      </c>
      <c r="CA44" s="14">
        <f t="shared" si="72"/>
        <v>0</v>
      </c>
      <c r="CB44" s="14">
        <f t="shared" si="72"/>
        <v>0</v>
      </c>
      <c r="CC44" s="14">
        <f t="shared" si="72"/>
        <v>0</v>
      </c>
      <c r="CD44" s="14">
        <f t="shared" si="72"/>
        <v>0</v>
      </c>
      <c r="CE44" s="14">
        <f t="shared" si="72"/>
        <v>0</v>
      </c>
      <c r="CF44" s="14">
        <f t="shared" si="73"/>
        <v>0</v>
      </c>
      <c r="CG44" s="14">
        <f t="shared" si="73"/>
        <v>0</v>
      </c>
      <c r="CH44" s="14">
        <f t="shared" si="73"/>
        <v>0</v>
      </c>
      <c r="CI44" s="14">
        <f t="shared" si="73"/>
        <v>0</v>
      </c>
      <c r="CJ44" s="14">
        <f t="shared" si="73"/>
        <v>0</v>
      </c>
      <c r="CK44" s="14">
        <f t="shared" si="73"/>
        <v>0</v>
      </c>
      <c r="CL44" s="14">
        <f t="shared" si="73"/>
        <v>0</v>
      </c>
      <c r="CM44" s="14">
        <f t="shared" si="73"/>
        <v>0</v>
      </c>
      <c r="CN44" s="14">
        <f t="shared" si="73"/>
        <v>0</v>
      </c>
      <c r="CO44" s="14">
        <f t="shared" si="73"/>
        <v>0</v>
      </c>
      <c r="CP44" s="14">
        <f t="shared" si="74"/>
        <v>0</v>
      </c>
      <c r="CQ44" s="14">
        <f t="shared" si="74"/>
        <v>0</v>
      </c>
      <c r="CR44" s="14">
        <f t="shared" si="74"/>
        <v>0</v>
      </c>
      <c r="CS44" s="14">
        <f t="shared" si="74"/>
        <v>0</v>
      </c>
      <c r="CT44" s="14">
        <f t="shared" si="74"/>
        <v>0</v>
      </c>
      <c r="CU44" s="14">
        <f t="shared" si="74"/>
        <v>0</v>
      </c>
      <c r="CV44" s="14">
        <f t="shared" si="74"/>
        <v>0</v>
      </c>
      <c r="CW44" s="14">
        <f t="shared" si="74"/>
        <v>0</v>
      </c>
      <c r="CX44" s="14">
        <f t="shared" si="74"/>
        <v>0</v>
      </c>
      <c r="CY44" s="14">
        <f t="shared" si="74"/>
        <v>0</v>
      </c>
      <c r="CZ44" s="14">
        <f t="shared" si="74"/>
        <v>0</v>
      </c>
      <c r="DA44" s="14">
        <f t="shared" si="74"/>
        <v>0</v>
      </c>
      <c r="DC44" s="14">
        <f>SUM(BL$7:BL44)</f>
        <v>0</v>
      </c>
      <c r="DD44" s="14">
        <f>SUM(BM$7:BM44)</f>
        <v>0</v>
      </c>
      <c r="DE44" s="14">
        <f>SUM(BN$7:BN44)</f>
        <v>0</v>
      </c>
      <c r="DF44" s="14">
        <f>SUM(BO$7:BO44)</f>
        <v>0</v>
      </c>
      <c r="DG44" s="14">
        <f>SUM(BP$7:BP44)</f>
        <v>0</v>
      </c>
      <c r="DH44" s="14">
        <f>SUM(BQ$7:BQ44)</f>
        <v>0</v>
      </c>
      <c r="DI44" s="14">
        <f>SUM(BR$7:BR44)</f>
        <v>0</v>
      </c>
      <c r="DJ44" s="14">
        <f>SUM(BS$7:BS44)</f>
        <v>0</v>
      </c>
      <c r="DK44" s="14">
        <f>SUM(BT$7:BT44)</f>
        <v>0</v>
      </c>
      <c r="DL44" s="14">
        <f>SUM(BU$7:BU44)</f>
        <v>0</v>
      </c>
      <c r="DM44" s="14">
        <f>SUM(BV$7:BV44)</f>
        <v>0</v>
      </c>
      <c r="DN44" s="14">
        <f>SUM(BW$7:BW44)</f>
        <v>0</v>
      </c>
      <c r="DO44" s="14">
        <f>SUM(BX$7:BX44)</f>
        <v>0</v>
      </c>
      <c r="DP44" s="14">
        <f>SUM(BY$7:BY44)</f>
        <v>0</v>
      </c>
      <c r="DQ44" s="14">
        <f>SUM(BZ$7:BZ44)</f>
        <v>0</v>
      </c>
      <c r="DR44" s="14">
        <f>SUM(CA$7:CA44)</f>
        <v>0</v>
      </c>
      <c r="DS44" s="14">
        <f>SUM(CB$7:CB44)</f>
        <v>0</v>
      </c>
      <c r="DT44" s="14">
        <f>SUM(CC$7:CC44)</f>
        <v>0</v>
      </c>
      <c r="DU44" s="14">
        <f>SUM(CD$7:CD44)</f>
        <v>0</v>
      </c>
      <c r="DV44" s="14">
        <f>SUM(CE$7:CE44)</f>
        <v>0</v>
      </c>
      <c r="DW44" s="14">
        <f>SUM(CF$7:CF44)</f>
        <v>0</v>
      </c>
      <c r="DX44" s="14">
        <f>SUM(CG$7:CG44)</f>
        <v>0</v>
      </c>
      <c r="DY44" s="14">
        <f>SUM(CH$7:CH44)</f>
        <v>0</v>
      </c>
      <c r="DZ44" s="14">
        <f>SUM(CI$7:CI44)</f>
        <v>0</v>
      </c>
      <c r="EA44" s="14">
        <f>SUM(CJ$7:CJ44)</f>
        <v>0</v>
      </c>
      <c r="EB44" s="14">
        <f>SUM(CK$7:CK44)</f>
        <v>0</v>
      </c>
      <c r="EC44" s="14">
        <f>SUM(CL$7:CL44)</f>
        <v>0</v>
      </c>
      <c r="ED44" s="14">
        <f>SUM(CM$7:CM44)</f>
        <v>0</v>
      </c>
      <c r="EE44" s="14">
        <f>SUM(CN$7:CN44)</f>
        <v>0</v>
      </c>
      <c r="EF44" s="14">
        <f>SUM(CO$7:CO44)</f>
        <v>0</v>
      </c>
      <c r="EG44" s="14">
        <f>SUM(CP$7:CP44)</f>
        <v>0</v>
      </c>
      <c r="EH44" s="14">
        <f>SUM(CQ$7:CQ44)</f>
        <v>0</v>
      </c>
      <c r="EI44" s="14">
        <f>SUM(CR$7:CR44)</f>
        <v>0</v>
      </c>
      <c r="EJ44" s="14">
        <f>SUM(CS$7:CS44)</f>
        <v>0</v>
      </c>
      <c r="EK44" s="14">
        <f>SUM(CT$7:CT44)</f>
        <v>0</v>
      </c>
      <c r="EL44" s="14">
        <f>SUM(CU$7:CU44)</f>
        <v>0</v>
      </c>
      <c r="EM44" s="14">
        <f>SUM(CV$7:CV44)</f>
        <v>0</v>
      </c>
      <c r="EN44" s="14">
        <f>SUM(CW$7:CW44)</f>
        <v>0</v>
      </c>
      <c r="EO44" s="14">
        <f>SUM(CX$7:CX44)</f>
        <v>0</v>
      </c>
      <c r="EP44" s="14">
        <f>SUM(CY$7:CY44)</f>
        <v>0</v>
      </c>
      <c r="EQ44" s="14">
        <f>SUM(CZ$7:CZ44)</f>
        <v>0</v>
      </c>
      <c r="ER44" s="14">
        <f>SUM(DA$7:DA44)</f>
        <v>0</v>
      </c>
      <c r="EU44" s="14">
        <f t="shared" si="14"/>
        <v>0</v>
      </c>
      <c r="EV44" s="14">
        <f t="shared" si="15"/>
        <v>0</v>
      </c>
      <c r="EW44" s="14">
        <f t="shared" si="16"/>
        <v>0</v>
      </c>
      <c r="EX44" s="14">
        <f t="shared" si="17"/>
        <v>0</v>
      </c>
      <c r="EY44" s="14">
        <f t="shared" si="18"/>
        <v>0</v>
      </c>
      <c r="EZ44" s="14">
        <f t="shared" si="19"/>
        <v>0</v>
      </c>
      <c r="FA44" s="14">
        <f t="shared" si="20"/>
        <v>0</v>
      </c>
      <c r="FB44" s="14">
        <f t="shared" si="21"/>
        <v>0</v>
      </c>
      <c r="FC44" s="14">
        <f t="shared" si="22"/>
        <v>0</v>
      </c>
      <c r="FD44" s="14">
        <f t="shared" si="23"/>
        <v>0</v>
      </c>
      <c r="FE44" s="14">
        <f t="shared" si="24"/>
        <v>0</v>
      </c>
      <c r="FF44" s="14">
        <f t="shared" si="25"/>
        <v>0</v>
      </c>
      <c r="FG44" s="14">
        <f t="shared" si="26"/>
        <v>0</v>
      </c>
      <c r="FH44" s="14">
        <f t="shared" si="27"/>
        <v>0</v>
      </c>
      <c r="FI44" s="14">
        <f t="shared" si="28"/>
        <v>0</v>
      </c>
      <c r="FJ44" s="14">
        <f t="shared" si="29"/>
        <v>0</v>
      </c>
      <c r="FK44" s="14">
        <f t="shared" si="30"/>
        <v>0</v>
      </c>
      <c r="FL44" s="14">
        <f t="shared" si="31"/>
        <v>0</v>
      </c>
      <c r="FM44" s="14">
        <f t="shared" si="32"/>
        <v>0</v>
      </c>
      <c r="FN44" s="14">
        <f t="shared" si="33"/>
        <v>0</v>
      </c>
      <c r="FO44" s="14">
        <f t="shared" si="34"/>
        <v>0</v>
      </c>
      <c r="FP44" s="14">
        <f t="shared" si="35"/>
        <v>0</v>
      </c>
      <c r="FQ44" s="14">
        <f t="shared" si="36"/>
        <v>0</v>
      </c>
      <c r="FR44" s="14">
        <f t="shared" si="37"/>
        <v>0</v>
      </c>
      <c r="FS44" s="14">
        <f t="shared" si="38"/>
        <v>0</v>
      </c>
      <c r="FT44" s="14">
        <f t="shared" si="39"/>
        <v>0</v>
      </c>
      <c r="FU44" s="14">
        <f t="shared" si="40"/>
        <v>0</v>
      </c>
      <c r="FV44" s="14">
        <f t="shared" si="41"/>
        <v>0</v>
      </c>
      <c r="FW44" s="14">
        <f t="shared" si="42"/>
        <v>0</v>
      </c>
      <c r="FX44" s="14">
        <f t="shared" si="43"/>
        <v>0</v>
      </c>
      <c r="FY44" s="14">
        <f t="shared" si="44"/>
        <v>0</v>
      </c>
      <c r="FZ44" s="14">
        <f t="shared" si="45"/>
        <v>0</v>
      </c>
      <c r="GA44" s="14">
        <f t="shared" si="46"/>
        <v>0</v>
      </c>
      <c r="GB44" s="14">
        <f t="shared" si="47"/>
        <v>0</v>
      </c>
      <c r="GC44" s="14">
        <f t="shared" si="48"/>
        <v>0</v>
      </c>
      <c r="GD44" s="14">
        <f t="shared" si="49"/>
        <v>0</v>
      </c>
      <c r="GE44" s="14">
        <f t="shared" si="50"/>
        <v>0</v>
      </c>
      <c r="GF44" s="14">
        <f t="shared" si="51"/>
        <v>0</v>
      </c>
      <c r="GG44" s="14">
        <f t="shared" si="52"/>
        <v>0</v>
      </c>
      <c r="GH44" s="14">
        <f t="shared" si="53"/>
        <v>0</v>
      </c>
      <c r="GI44" s="14">
        <f t="shared" si="54"/>
        <v>0</v>
      </c>
      <c r="GJ44" s="14">
        <f t="shared" si="55"/>
        <v>0</v>
      </c>
      <c r="GM44" s="91">
        <v>38</v>
      </c>
      <c r="GN44" s="14">
        <f t="shared" si="56"/>
        <v>3</v>
      </c>
      <c r="GO44" s="14">
        <f t="shared" si="57"/>
        <v>1606005</v>
      </c>
      <c r="GP44" s="14" t="str">
        <f t="shared" si="58"/>
        <v>神器1-3 : 8级</v>
      </c>
      <c r="GQ44" s="14" t="s">
        <v>816</v>
      </c>
      <c r="GR44" s="14">
        <f t="shared" si="59"/>
        <v>8</v>
      </c>
      <c r="GS44" s="14" t="str">
        <f t="shared" si="60"/>
        <v>神器1-3</v>
      </c>
      <c r="GT44" s="14">
        <f t="shared" si="61"/>
        <v>3</v>
      </c>
    </row>
    <row r="45" spans="14:202" ht="16.5" x14ac:dyDescent="0.2">
      <c r="N45" s="90">
        <v>7</v>
      </c>
      <c r="O45" s="90">
        <v>4</v>
      </c>
      <c r="P45" s="90">
        <v>3</v>
      </c>
      <c r="Q45" s="90">
        <v>21</v>
      </c>
      <c r="R45" s="14">
        <f>SUM(Q$7:Q45)</f>
        <v>696</v>
      </c>
      <c r="S45" s="91">
        <v>1606046</v>
      </c>
      <c r="T45" s="14" t="str">
        <f t="shared" si="62"/>
        <v>神器7-4</v>
      </c>
      <c r="AD45" s="87">
        <v>39</v>
      </c>
      <c r="AE45" s="87">
        <v>7</v>
      </c>
      <c r="AF45" s="87">
        <v>5</v>
      </c>
      <c r="AG45" s="87" t="str">
        <f t="shared" si="6"/>
        <v>神器7-5</v>
      </c>
      <c r="AH45" s="87">
        <v>3</v>
      </c>
      <c r="AI45" s="87">
        <f t="shared" si="7"/>
        <v>350</v>
      </c>
      <c r="AL45" s="87">
        <v>3</v>
      </c>
      <c r="AM45" s="87">
        <v>2</v>
      </c>
      <c r="AN45" s="87">
        <v>14</v>
      </c>
      <c r="AO45" s="144">
        <f t="shared" si="8"/>
        <v>4414</v>
      </c>
      <c r="AP45" s="144" t="s">
        <v>1246</v>
      </c>
      <c r="AQ45" s="144" t="str">
        <f t="shared" si="9"/>
        <v>神器本-3-困难-2  神器3-1</v>
      </c>
      <c r="AR45" s="87">
        <v>9</v>
      </c>
      <c r="AS45" s="87" t="s">
        <v>776</v>
      </c>
      <c r="AT45" s="87">
        <v>5000</v>
      </c>
      <c r="AU45" s="87">
        <v>1</v>
      </c>
      <c r="AV45" s="87">
        <v>3</v>
      </c>
      <c r="AW45" s="87">
        <f t="shared" si="10"/>
        <v>1</v>
      </c>
      <c r="AX45" s="14">
        <f t="shared" si="11"/>
        <v>1</v>
      </c>
      <c r="AY45" s="14">
        <f t="shared" si="12"/>
        <v>20</v>
      </c>
      <c r="BG45" s="87">
        <v>39</v>
      </c>
      <c r="BH45" s="14" t="e">
        <f>INDEX(节奏总表!#REF!,新神器!BG45)</f>
        <v>#REF!</v>
      </c>
      <c r="BI45" s="14" t="e">
        <f t="shared" si="13"/>
        <v>#REF!</v>
      </c>
      <c r="BJ45" s="87">
        <v>3</v>
      </c>
      <c r="BK45" s="87">
        <v>5</v>
      </c>
      <c r="BL45" s="14">
        <f t="shared" si="71"/>
        <v>0</v>
      </c>
      <c r="BM45" s="14">
        <f t="shared" si="71"/>
        <v>0</v>
      </c>
      <c r="BN45" s="14">
        <f t="shared" si="71"/>
        <v>0</v>
      </c>
      <c r="BO45" s="14">
        <f t="shared" si="71"/>
        <v>0</v>
      </c>
      <c r="BP45" s="14">
        <f t="shared" si="71"/>
        <v>0</v>
      </c>
      <c r="BQ45" s="14">
        <f t="shared" si="71"/>
        <v>0</v>
      </c>
      <c r="BR45" s="14">
        <f t="shared" si="71"/>
        <v>0</v>
      </c>
      <c r="BS45" s="14">
        <f t="shared" si="71"/>
        <v>0</v>
      </c>
      <c r="BT45" s="14">
        <f t="shared" si="71"/>
        <v>0</v>
      </c>
      <c r="BU45" s="14">
        <f t="shared" si="71"/>
        <v>0</v>
      </c>
      <c r="BV45" s="14">
        <f t="shared" si="72"/>
        <v>0</v>
      </c>
      <c r="BW45" s="14">
        <f t="shared" si="72"/>
        <v>0</v>
      </c>
      <c r="BX45" s="14">
        <f t="shared" si="72"/>
        <v>0</v>
      </c>
      <c r="BY45" s="14">
        <f t="shared" si="72"/>
        <v>0</v>
      </c>
      <c r="BZ45" s="14">
        <f t="shared" si="72"/>
        <v>0</v>
      </c>
      <c r="CA45" s="14">
        <f t="shared" si="72"/>
        <v>0</v>
      </c>
      <c r="CB45" s="14">
        <f t="shared" si="72"/>
        <v>0</v>
      </c>
      <c r="CC45" s="14">
        <f t="shared" si="72"/>
        <v>0</v>
      </c>
      <c r="CD45" s="14">
        <f t="shared" si="72"/>
        <v>0</v>
      </c>
      <c r="CE45" s="14">
        <f t="shared" si="72"/>
        <v>0</v>
      </c>
      <c r="CF45" s="14">
        <f t="shared" si="73"/>
        <v>0</v>
      </c>
      <c r="CG45" s="14">
        <f t="shared" si="73"/>
        <v>0</v>
      </c>
      <c r="CH45" s="14">
        <f t="shared" si="73"/>
        <v>0</v>
      </c>
      <c r="CI45" s="14">
        <f t="shared" si="73"/>
        <v>0</v>
      </c>
      <c r="CJ45" s="14">
        <f t="shared" si="73"/>
        <v>0</v>
      </c>
      <c r="CK45" s="14">
        <f t="shared" si="73"/>
        <v>0</v>
      </c>
      <c r="CL45" s="14">
        <f t="shared" si="73"/>
        <v>0</v>
      </c>
      <c r="CM45" s="14">
        <f t="shared" si="73"/>
        <v>0</v>
      </c>
      <c r="CN45" s="14">
        <f t="shared" si="73"/>
        <v>0</v>
      </c>
      <c r="CO45" s="14">
        <f t="shared" si="73"/>
        <v>0</v>
      </c>
      <c r="CP45" s="14">
        <f t="shared" si="74"/>
        <v>0</v>
      </c>
      <c r="CQ45" s="14">
        <f t="shared" si="74"/>
        <v>0</v>
      </c>
      <c r="CR45" s="14">
        <f t="shared" si="74"/>
        <v>0</v>
      </c>
      <c r="CS45" s="14">
        <f t="shared" si="74"/>
        <v>0</v>
      </c>
      <c r="CT45" s="14">
        <f t="shared" si="74"/>
        <v>0</v>
      </c>
      <c r="CU45" s="14">
        <f t="shared" si="74"/>
        <v>0</v>
      </c>
      <c r="CV45" s="14">
        <f t="shared" si="74"/>
        <v>0</v>
      </c>
      <c r="CW45" s="14">
        <f t="shared" si="74"/>
        <v>0</v>
      </c>
      <c r="CX45" s="14">
        <f t="shared" si="74"/>
        <v>0</v>
      </c>
      <c r="CY45" s="14">
        <f t="shared" si="74"/>
        <v>0</v>
      </c>
      <c r="CZ45" s="14">
        <f t="shared" si="74"/>
        <v>0</v>
      </c>
      <c r="DA45" s="14">
        <f t="shared" si="74"/>
        <v>0</v>
      </c>
      <c r="DC45" s="14">
        <f>SUM(BL$7:BL45)</f>
        <v>0</v>
      </c>
      <c r="DD45" s="14">
        <f>SUM(BM$7:BM45)</f>
        <v>0</v>
      </c>
      <c r="DE45" s="14">
        <f>SUM(BN$7:BN45)</f>
        <v>0</v>
      </c>
      <c r="DF45" s="14">
        <f>SUM(BO$7:BO45)</f>
        <v>0</v>
      </c>
      <c r="DG45" s="14">
        <f>SUM(BP$7:BP45)</f>
        <v>0</v>
      </c>
      <c r="DH45" s="14">
        <f>SUM(BQ$7:BQ45)</f>
        <v>0</v>
      </c>
      <c r="DI45" s="14">
        <f>SUM(BR$7:BR45)</f>
        <v>0</v>
      </c>
      <c r="DJ45" s="14">
        <f>SUM(BS$7:BS45)</f>
        <v>0</v>
      </c>
      <c r="DK45" s="14">
        <f>SUM(BT$7:BT45)</f>
        <v>0</v>
      </c>
      <c r="DL45" s="14">
        <f>SUM(BU$7:BU45)</f>
        <v>0</v>
      </c>
      <c r="DM45" s="14">
        <f>SUM(BV$7:BV45)</f>
        <v>0</v>
      </c>
      <c r="DN45" s="14">
        <f>SUM(BW$7:BW45)</f>
        <v>0</v>
      </c>
      <c r="DO45" s="14">
        <f>SUM(BX$7:BX45)</f>
        <v>0</v>
      </c>
      <c r="DP45" s="14">
        <f>SUM(BY$7:BY45)</f>
        <v>0</v>
      </c>
      <c r="DQ45" s="14">
        <f>SUM(BZ$7:BZ45)</f>
        <v>0</v>
      </c>
      <c r="DR45" s="14">
        <f>SUM(CA$7:CA45)</f>
        <v>0</v>
      </c>
      <c r="DS45" s="14">
        <f>SUM(CB$7:CB45)</f>
        <v>0</v>
      </c>
      <c r="DT45" s="14">
        <f>SUM(CC$7:CC45)</f>
        <v>0</v>
      </c>
      <c r="DU45" s="14">
        <f>SUM(CD$7:CD45)</f>
        <v>0</v>
      </c>
      <c r="DV45" s="14">
        <f>SUM(CE$7:CE45)</f>
        <v>0</v>
      </c>
      <c r="DW45" s="14">
        <f>SUM(CF$7:CF45)</f>
        <v>0</v>
      </c>
      <c r="DX45" s="14">
        <f>SUM(CG$7:CG45)</f>
        <v>0</v>
      </c>
      <c r="DY45" s="14">
        <f>SUM(CH$7:CH45)</f>
        <v>0</v>
      </c>
      <c r="DZ45" s="14">
        <f>SUM(CI$7:CI45)</f>
        <v>0</v>
      </c>
      <c r="EA45" s="14">
        <f>SUM(CJ$7:CJ45)</f>
        <v>0</v>
      </c>
      <c r="EB45" s="14">
        <f>SUM(CK$7:CK45)</f>
        <v>0</v>
      </c>
      <c r="EC45" s="14">
        <f>SUM(CL$7:CL45)</f>
        <v>0</v>
      </c>
      <c r="ED45" s="14">
        <f>SUM(CM$7:CM45)</f>
        <v>0</v>
      </c>
      <c r="EE45" s="14">
        <f>SUM(CN$7:CN45)</f>
        <v>0</v>
      </c>
      <c r="EF45" s="14">
        <f>SUM(CO$7:CO45)</f>
        <v>0</v>
      </c>
      <c r="EG45" s="14">
        <f>SUM(CP$7:CP45)</f>
        <v>0</v>
      </c>
      <c r="EH45" s="14">
        <f>SUM(CQ$7:CQ45)</f>
        <v>0</v>
      </c>
      <c r="EI45" s="14">
        <f>SUM(CR$7:CR45)</f>
        <v>0</v>
      </c>
      <c r="EJ45" s="14">
        <f>SUM(CS$7:CS45)</f>
        <v>0</v>
      </c>
      <c r="EK45" s="14">
        <f>SUM(CT$7:CT45)</f>
        <v>0</v>
      </c>
      <c r="EL45" s="14">
        <f>SUM(CU$7:CU45)</f>
        <v>0</v>
      </c>
      <c r="EM45" s="14">
        <f>SUM(CV$7:CV45)</f>
        <v>0</v>
      </c>
      <c r="EN45" s="14">
        <f>SUM(CW$7:CW45)</f>
        <v>0</v>
      </c>
      <c r="EO45" s="14">
        <f>SUM(CX$7:CX45)</f>
        <v>0</v>
      </c>
      <c r="EP45" s="14">
        <f>SUM(CY$7:CY45)</f>
        <v>0</v>
      </c>
      <c r="EQ45" s="14">
        <f>SUM(CZ$7:CZ45)</f>
        <v>0</v>
      </c>
      <c r="ER45" s="14">
        <f>SUM(DA$7:DA45)</f>
        <v>0</v>
      </c>
      <c r="EU45" s="14">
        <f t="shared" si="14"/>
        <v>0</v>
      </c>
      <c r="EV45" s="14">
        <f t="shared" si="15"/>
        <v>0</v>
      </c>
      <c r="EW45" s="14">
        <f t="shared" si="16"/>
        <v>0</v>
      </c>
      <c r="EX45" s="14">
        <f t="shared" si="17"/>
        <v>0</v>
      </c>
      <c r="EY45" s="14">
        <f t="shared" si="18"/>
        <v>0</v>
      </c>
      <c r="EZ45" s="14">
        <f t="shared" si="19"/>
        <v>0</v>
      </c>
      <c r="FA45" s="14">
        <f t="shared" si="20"/>
        <v>0</v>
      </c>
      <c r="FB45" s="14">
        <f t="shared" si="21"/>
        <v>0</v>
      </c>
      <c r="FC45" s="14">
        <f t="shared" si="22"/>
        <v>0</v>
      </c>
      <c r="FD45" s="14">
        <f t="shared" si="23"/>
        <v>0</v>
      </c>
      <c r="FE45" s="14">
        <f t="shared" si="24"/>
        <v>0</v>
      </c>
      <c r="FF45" s="14">
        <f t="shared" si="25"/>
        <v>0</v>
      </c>
      <c r="FG45" s="14">
        <f t="shared" si="26"/>
        <v>0</v>
      </c>
      <c r="FH45" s="14">
        <f t="shared" si="27"/>
        <v>0</v>
      </c>
      <c r="FI45" s="14">
        <f t="shared" si="28"/>
        <v>0</v>
      </c>
      <c r="FJ45" s="14">
        <f t="shared" si="29"/>
        <v>0</v>
      </c>
      <c r="FK45" s="14">
        <f t="shared" si="30"/>
        <v>0</v>
      </c>
      <c r="FL45" s="14">
        <f t="shared" si="31"/>
        <v>0</v>
      </c>
      <c r="FM45" s="14">
        <f t="shared" si="32"/>
        <v>0</v>
      </c>
      <c r="FN45" s="14">
        <f t="shared" si="33"/>
        <v>0</v>
      </c>
      <c r="FO45" s="14">
        <f t="shared" si="34"/>
        <v>0</v>
      </c>
      <c r="FP45" s="14">
        <f t="shared" si="35"/>
        <v>0</v>
      </c>
      <c r="FQ45" s="14">
        <f t="shared" si="36"/>
        <v>0</v>
      </c>
      <c r="FR45" s="14">
        <f t="shared" si="37"/>
        <v>0</v>
      </c>
      <c r="FS45" s="14">
        <f t="shared" si="38"/>
        <v>0</v>
      </c>
      <c r="FT45" s="14">
        <f t="shared" si="39"/>
        <v>0</v>
      </c>
      <c r="FU45" s="14">
        <f t="shared" si="40"/>
        <v>0</v>
      </c>
      <c r="FV45" s="14">
        <f t="shared" si="41"/>
        <v>0</v>
      </c>
      <c r="FW45" s="14">
        <f t="shared" si="42"/>
        <v>0</v>
      </c>
      <c r="FX45" s="14">
        <f t="shared" si="43"/>
        <v>0</v>
      </c>
      <c r="FY45" s="14">
        <f t="shared" si="44"/>
        <v>0</v>
      </c>
      <c r="FZ45" s="14">
        <f t="shared" si="45"/>
        <v>0</v>
      </c>
      <c r="GA45" s="14">
        <f t="shared" si="46"/>
        <v>0</v>
      </c>
      <c r="GB45" s="14">
        <f t="shared" si="47"/>
        <v>0</v>
      </c>
      <c r="GC45" s="14">
        <f t="shared" si="48"/>
        <v>0</v>
      </c>
      <c r="GD45" s="14">
        <f t="shared" si="49"/>
        <v>0</v>
      </c>
      <c r="GE45" s="14">
        <f t="shared" si="50"/>
        <v>0</v>
      </c>
      <c r="GF45" s="14">
        <f t="shared" si="51"/>
        <v>0</v>
      </c>
      <c r="GG45" s="14">
        <f t="shared" si="52"/>
        <v>0</v>
      </c>
      <c r="GH45" s="14">
        <f t="shared" si="53"/>
        <v>0</v>
      </c>
      <c r="GI45" s="14">
        <f t="shared" si="54"/>
        <v>0</v>
      </c>
      <c r="GJ45" s="14">
        <f t="shared" si="55"/>
        <v>0</v>
      </c>
      <c r="GM45" s="91">
        <v>39</v>
      </c>
      <c r="GN45" s="14">
        <f t="shared" si="56"/>
        <v>3</v>
      </c>
      <c r="GO45" s="14">
        <f t="shared" si="57"/>
        <v>1606005</v>
      </c>
      <c r="GP45" s="14" t="str">
        <f t="shared" si="58"/>
        <v>神器1-3 : 9级</v>
      </c>
      <c r="GQ45" s="14" t="s">
        <v>816</v>
      </c>
      <c r="GR45" s="14">
        <f t="shared" si="59"/>
        <v>9</v>
      </c>
      <c r="GS45" s="14" t="str">
        <f t="shared" si="60"/>
        <v>神器1-3</v>
      </c>
      <c r="GT45" s="14">
        <f t="shared" si="61"/>
        <v>3</v>
      </c>
    </row>
    <row r="46" spans="14:202" ht="16.5" x14ac:dyDescent="0.2">
      <c r="N46" s="90">
        <v>7</v>
      </c>
      <c r="O46" s="90">
        <v>5</v>
      </c>
      <c r="P46" s="90">
        <v>3</v>
      </c>
      <c r="Q46" s="90">
        <v>21</v>
      </c>
      <c r="R46" s="14">
        <f>SUM(Q$7:Q46)</f>
        <v>717</v>
      </c>
      <c r="S46" s="91">
        <v>1606047</v>
      </c>
      <c r="T46" s="14" t="str">
        <f t="shared" si="62"/>
        <v>神器7-5</v>
      </c>
      <c r="AD46" s="87">
        <v>40</v>
      </c>
      <c r="AE46" s="87">
        <v>7</v>
      </c>
      <c r="AF46" s="87">
        <v>6</v>
      </c>
      <c r="AG46" s="87" t="str">
        <f t="shared" si="6"/>
        <v>神器7-6</v>
      </c>
      <c r="AH46" s="87">
        <v>3</v>
      </c>
      <c r="AI46" s="87">
        <f t="shared" si="7"/>
        <v>350</v>
      </c>
      <c r="AL46" s="87">
        <v>3</v>
      </c>
      <c r="AM46" s="87">
        <v>2</v>
      </c>
      <c r="AN46" s="87">
        <v>14</v>
      </c>
      <c r="AO46" s="144">
        <f t="shared" si="8"/>
        <v>4414</v>
      </c>
      <c r="AP46" s="144" t="s">
        <v>1246</v>
      </c>
      <c r="AQ46" s="144" t="str">
        <f t="shared" si="9"/>
        <v>神器本-3-困难-2  神器3-2</v>
      </c>
      <c r="AR46" s="87">
        <v>10</v>
      </c>
      <c r="AS46" s="87" t="s">
        <v>330</v>
      </c>
      <c r="AT46" s="87">
        <v>5000</v>
      </c>
      <c r="AU46" s="87">
        <v>1</v>
      </c>
      <c r="AV46" s="87">
        <v>3</v>
      </c>
      <c r="AW46" s="87">
        <f t="shared" si="10"/>
        <v>1</v>
      </c>
      <c r="AX46" s="14">
        <f t="shared" si="11"/>
        <v>1</v>
      </c>
      <c r="AY46" s="14">
        <f t="shared" si="12"/>
        <v>20</v>
      </c>
      <c r="BG46" s="87">
        <v>40</v>
      </c>
      <c r="BH46" s="14" t="e">
        <f>INDEX(节奏总表!#REF!,新神器!BG46)</f>
        <v>#REF!</v>
      </c>
      <c r="BI46" s="14" t="e">
        <f t="shared" si="13"/>
        <v>#REF!</v>
      </c>
      <c r="BJ46" s="87">
        <v>3</v>
      </c>
      <c r="BK46" s="87">
        <v>5</v>
      </c>
      <c r="BL46" s="14">
        <f t="shared" si="71"/>
        <v>0</v>
      </c>
      <c r="BM46" s="14">
        <f t="shared" si="71"/>
        <v>0</v>
      </c>
      <c r="BN46" s="14">
        <f t="shared" si="71"/>
        <v>0</v>
      </c>
      <c r="BO46" s="14">
        <f t="shared" si="71"/>
        <v>0</v>
      </c>
      <c r="BP46" s="14">
        <f t="shared" si="71"/>
        <v>0</v>
      </c>
      <c r="BQ46" s="14">
        <f t="shared" si="71"/>
        <v>0</v>
      </c>
      <c r="BR46" s="14">
        <f t="shared" si="71"/>
        <v>0</v>
      </c>
      <c r="BS46" s="14">
        <f t="shared" si="71"/>
        <v>0</v>
      </c>
      <c r="BT46" s="14">
        <f t="shared" si="71"/>
        <v>0</v>
      </c>
      <c r="BU46" s="14">
        <f t="shared" si="71"/>
        <v>0</v>
      </c>
      <c r="BV46" s="14">
        <f t="shared" si="72"/>
        <v>0</v>
      </c>
      <c r="BW46" s="14">
        <f t="shared" si="72"/>
        <v>0</v>
      </c>
      <c r="BX46" s="14">
        <f t="shared" si="72"/>
        <v>0</v>
      </c>
      <c r="BY46" s="14">
        <f t="shared" si="72"/>
        <v>0</v>
      </c>
      <c r="BZ46" s="14">
        <f t="shared" si="72"/>
        <v>0</v>
      </c>
      <c r="CA46" s="14">
        <f t="shared" si="72"/>
        <v>0</v>
      </c>
      <c r="CB46" s="14">
        <f t="shared" si="72"/>
        <v>0</v>
      </c>
      <c r="CC46" s="14">
        <f t="shared" si="72"/>
        <v>0</v>
      </c>
      <c r="CD46" s="14">
        <f t="shared" si="72"/>
        <v>0</v>
      </c>
      <c r="CE46" s="14">
        <f t="shared" si="72"/>
        <v>0</v>
      </c>
      <c r="CF46" s="14">
        <f t="shared" si="73"/>
        <v>0</v>
      </c>
      <c r="CG46" s="14">
        <f t="shared" si="73"/>
        <v>0</v>
      </c>
      <c r="CH46" s="14">
        <f t="shared" si="73"/>
        <v>0</v>
      </c>
      <c r="CI46" s="14">
        <f t="shared" si="73"/>
        <v>0</v>
      </c>
      <c r="CJ46" s="14">
        <f t="shared" si="73"/>
        <v>0</v>
      </c>
      <c r="CK46" s="14">
        <f t="shared" si="73"/>
        <v>0</v>
      </c>
      <c r="CL46" s="14">
        <f t="shared" si="73"/>
        <v>0</v>
      </c>
      <c r="CM46" s="14">
        <f t="shared" si="73"/>
        <v>0</v>
      </c>
      <c r="CN46" s="14">
        <f t="shared" si="73"/>
        <v>0</v>
      </c>
      <c r="CO46" s="14">
        <f t="shared" si="73"/>
        <v>0</v>
      </c>
      <c r="CP46" s="14">
        <f t="shared" si="74"/>
        <v>0</v>
      </c>
      <c r="CQ46" s="14">
        <f t="shared" si="74"/>
        <v>0</v>
      </c>
      <c r="CR46" s="14">
        <f t="shared" si="74"/>
        <v>0</v>
      </c>
      <c r="CS46" s="14">
        <f t="shared" si="74"/>
        <v>0</v>
      </c>
      <c r="CT46" s="14">
        <f t="shared" si="74"/>
        <v>0</v>
      </c>
      <c r="CU46" s="14">
        <f t="shared" si="74"/>
        <v>0</v>
      </c>
      <c r="CV46" s="14">
        <f t="shared" si="74"/>
        <v>0</v>
      </c>
      <c r="CW46" s="14">
        <f t="shared" si="74"/>
        <v>0</v>
      </c>
      <c r="CX46" s="14">
        <f t="shared" si="74"/>
        <v>0</v>
      </c>
      <c r="CY46" s="14">
        <f t="shared" si="74"/>
        <v>0</v>
      </c>
      <c r="CZ46" s="14">
        <f t="shared" si="74"/>
        <v>0</v>
      </c>
      <c r="DA46" s="14">
        <f t="shared" si="74"/>
        <v>0</v>
      </c>
      <c r="DC46" s="14">
        <f>SUM(BL$7:BL46)</f>
        <v>0</v>
      </c>
      <c r="DD46" s="14">
        <f>SUM(BM$7:BM46)</f>
        <v>0</v>
      </c>
      <c r="DE46" s="14">
        <f>SUM(BN$7:BN46)</f>
        <v>0</v>
      </c>
      <c r="DF46" s="14">
        <f>SUM(BO$7:BO46)</f>
        <v>0</v>
      </c>
      <c r="DG46" s="14">
        <f>SUM(BP$7:BP46)</f>
        <v>0</v>
      </c>
      <c r="DH46" s="14">
        <f>SUM(BQ$7:BQ46)</f>
        <v>0</v>
      </c>
      <c r="DI46" s="14">
        <f>SUM(BR$7:BR46)</f>
        <v>0</v>
      </c>
      <c r="DJ46" s="14">
        <f>SUM(BS$7:BS46)</f>
        <v>0</v>
      </c>
      <c r="DK46" s="14">
        <f>SUM(BT$7:BT46)</f>
        <v>0</v>
      </c>
      <c r="DL46" s="14">
        <f>SUM(BU$7:BU46)</f>
        <v>0</v>
      </c>
      <c r="DM46" s="14">
        <f>SUM(BV$7:BV46)</f>
        <v>0</v>
      </c>
      <c r="DN46" s="14">
        <f>SUM(BW$7:BW46)</f>
        <v>0</v>
      </c>
      <c r="DO46" s="14">
        <f>SUM(BX$7:BX46)</f>
        <v>0</v>
      </c>
      <c r="DP46" s="14">
        <f>SUM(BY$7:BY46)</f>
        <v>0</v>
      </c>
      <c r="DQ46" s="14">
        <f>SUM(BZ$7:BZ46)</f>
        <v>0</v>
      </c>
      <c r="DR46" s="14">
        <f>SUM(CA$7:CA46)</f>
        <v>0</v>
      </c>
      <c r="DS46" s="14">
        <f>SUM(CB$7:CB46)</f>
        <v>0</v>
      </c>
      <c r="DT46" s="14">
        <f>SUM(CC$7:CC46)</f>
        <v>0</v>
      </c>
      <c r="DU46" s="14">
        <f>SUM(CD$7:CD46)</f>
        <v>0</v>
      </c>
      <c r="DV46" s="14">
        <f>SUM(CE$7:CE46)</f>
        <v>0</v>
      </c>
      <c r="DW46" s="14">
        <f>SUM(CF$7:CF46)</f>
        <v>0</v>
      </c>
      <c r="DX46" s="14">
        <f>SUM(CG$7:CG46)</f>
        <v>0</v>
      </c>
      <c r="DY46" s="14">
        <f>SUM(CH$7:CH46)</f>
        <v>0</v>
      </c>
      <c r="DZ46" s="14">
        <f>SUM(CI$7:CI46)</f>
        <v>0</v>
      </c>
      <c r="EA46" s="14">
        <f>SUM(CJ$7:CJ46)</f>
        <v>0</v>
      </c>
      <c r="EB46" s="14">
        <f>SUM(CK$7:CK46)</f>
        <v>0</v>
      </c>
      <c r="EC46" s="14">
        <f>SUM(CL$7:CL46)</f>
        <v>0</v>
      </c>
      <c r="ED46" s="14">
        <f>SUM(CM$7:CM46)</f>
        <v>0</v>
      </c>
      <c r="EE46" s="14">
        <f>SUM(CN$7:CN46)</f>
        <v>0</v>
      </c>
      <c r="EF46" s="14">
        <f>SUM(CO$7:CO46)</f>
        <v>0</v>
      </c>
      <c r="EG46" s="14">
        <f>SUM(CP$7:CP46)</f>
        <v>0</v>
      </c>
      <c r="EH46" s="14">
        <f>SUM(CQ$7:CQ46)</f>
        <v>0</v>
      </c>
      <c r="EI46" s="14">
        <f>SUM(CR$7:CR46)</f>
        <v>0</v>
      </c>
      <c r="EJ46" s="14">
        <f>SUM(CS$7:CS46)</f>
        <v>0</v>
      </c>
      <c r="EK46" s="14">
        <f>SUM(CT$7:CT46)</f>
        <v>0</v>
      </c>
      <c r="EL46" s="14">
        <f>SUM(CU$7:CU46)</f>
        <v>0</v>
      </c>
      <c r="EM46" s="14">
        <f>SUM(CV$7:CV46)</f>
        <v>0</v>
      </c>
      <c r="EN46" s="14">
        <f>SUM(CW$7:CW46)</f>
        <v>0</v>
      </c>
      <c r="EO46" s="14">
        <f>SUM(CX$7:CX46)</f>
        <v>0</v>
      </c>
      <c r="EP46" s="14">
        <f>SUM(CY$7:CY46)</f>
        <v>0</v>
      </c>
      <c r="EQ46" s="14">
        <f>SUM(CZ$7:CZ46)</f>
        <v>0</v>
      </c>
      <c r="ER46" s="14">
        <f>SUM(DA$7:DA46)</f>
        <v>0</v>
      </c>
      <c r="EU46" s="14">
        <f t="shared" si="14"/>
        <v>0</v>
      </c>
      <c r="EV46" s="14">
        <f t="shared" si="15"/>
        <v>0</v>
      </c>
      <c r="EW46" s="14">
        <f t="shared" si="16"/>
        <v>0</v>
      </c>
      <c r="EX46" s="14">
        <f t="shared" si="17"/>
        <v>0</v>
      </c>
      <c r="EY46" s="14">
        <f t="shared" si="18"/>
        <v>0</v>
      </c>
      <c r="EZ46" s="14">
        <f t="shared" si="19"/>
        <v>0</v>
      </c>
      <c r="FA46" s="14">
        <f t="shared" si="20"/>
        <v>0</v>
      </c>
      <c r="FB46" s="14">
        <f t="shared" si="21"/>
        <v>0</v>
      </c>
      <c r="FC46" s="14">
        <f t="shared" si="22"/>
        <v>0</v>
      </c>
      <c r="FD46" s="14">
        <f t="shared" si="23"/>
        <v>0</v>
      </c>
      <c r="FE46" s="14">
        <f t="shared" si="24"/>
        <v>0</v>
      </c>
      <c r="FF46" s="14">
        <f t="shared" si="25"/>
        <v>0</v>
      </c>
      <c r="FG46" s="14">
        <f t="shared" si="26"/>
        <v>0</v>
      </c>
      <c r="FH46" s="14">
        <f t="shared" si="27"/>
        <v>0</v>
      </c>
      <c r="FI46" s="14">
        <f t="shared" si="28"/>
        <v>0</v>
      </c>
      <c r="FJ46" s="14">
        <f t="shared" si="29"/>
        <v>0</v>
      </c>
      <c r="FK46" s="14">
        <f t="shared" si="30"/>
        <v>0</v>
      </c>
      <c r="FL46" s="14">
        <f t="shared" si="31"/>
        <v>0</v>
      </c>
      <c r="FM46" s="14">
        <f t="shared" si="32"/>
        <v>0</v>
      </c>
      <c r="FN46" s="14">
        <f t="shared" si="33"/>
        <v>0</v>
      </c>
      <c r="FO46" s="14">
        <f t="shared" si="34"/>
        <v>0</v>
      </c>
      <c r="FP46" s="14">
        <f t="shared" si="35"/>
        <v>0</v>
      </c>
      <c r="FQ46" s="14">
        <f t="shared" si="36"/>
        <v>0</v>
      </c>
      <c r="FR46" s="14">
        <f t="shared" si="37"/>
        <v>0</v>
      </c>
      <c r="FS46" s="14">
        <f t="shared" si="38"/>
        <v>0</v>
      </c>
      <c r="FT46" s="14">
        <f t="shared" si="39"/>
        <v>0</v>
      </c>
      <c r="FU46" s="14">
        <f t="shared" si="40"/>
        <v>0</v>
      </c>
      <c r="FV46" s="14">
        <f t="shared" si="41"/>
        <v>0</v>
      </c>
      <c r="FW46" s="14">
        <f t="shared" si="42"/>
        <v>0</v>
      </c>
      <c r="FX46" s="14">
        <f t="shared" si="43"/>
        <v>0</v>
      </c>
      <c r="FY46" s="14">
        <f t="shared" si="44"/>
        <v>0</v>
      </c>
      <c r="FZ46" s="14">
        <f t="shared" si="45"/>
        <v>0</v>
      </c>
      <c r="GA46" s="14">
        <f t="shared" si="46"/>
        <v>0</v>
      </c>
      <c r="GB46" s="14">
        <f t="shared" si="47"/>
        <v>0</v>
      </c>
      <c r="GC46" s="14">
        <f t="shared" si="48"/>
        <v>0</v>
      </c>
      <c r="GD46" s="14">
        <f t="shared" si="49"/>
        <v>0</v>
      </c>
      <c r="GE46" s="14">
        <f t="shared" si="50"/>
        <v>0</v>
      </c>
      <c r="GF46" s="14">
        <f t="shared" si="51"/>
        <v>0</v>
      </c>
      <c r="GG46" s="14">
        <f t="shared" si="52"/>
        <v>0</v>
      </c>
      <c r="GH46" s="14">
        <f t="shared" si="53"/>
        <v>0</v>
      </c>
      <c r="GI46" s="14">
        <f t="shared" si="54"/>
        <v>0</v>
      </c>
      <c r="GJ46" s="14">
        <f t="shared" si="55"/>
        <v>0</v>
      </c>
      <c r="GM46" s="91">
        <v>40</v>
      </c>
      <c r="GN46" s="14">
        <f t="shared" si="56"/>
        <v>3</v>
      </c>
      <c r="GO46" s="14">
        <f t="shared" si="57"/>
        <v>1606005</v>
      </c>
      <c r="GP46" s="14" t="str">
        <f t="shared" si="58"/>
        <v>神器1-3 : 10级</v>
      </c>
      <c r="GQ46" s="14" t="s">
        <v>816</v>
      </c>
      <c r="GR46" s="14">
        <f t="shared" si="59"/>
        <v>10</v>
      </c>
      <c r="GS46" s="14" t="str">
        <f t="shared" si="60"/>
        <v>神器1-3</v>
      </c>
      <c r="GT46" s="14">
        <f t="shared" si="61"/>
        <v>5</v>
      </c>
    </row>
    <row r="47" spans="14:202" ht="16.5" x14ac:dyDescent="0.2">
      <c r="N47" s="90">
        <v>7</v>
      </c>
      <c r="O47" s="90">
        <v>6</v>
      </c>
      <c r="P47" s="90">
        <v>3</v>
      </c>
      <c r="Q47" s="90">
        <v>21</v>
      </c>
      <c r="R47" s="14">
        <f>SUM(Q$7:Q47)</f>
        <v>738</v>
      </c>
      <c r="S47" s="91">
        <v>1606048</v>
      </c>
      <c r="T47" s="14" t="str">
        <f t="shared" si="62"/>
        <v>神器7-6</v>
      </c>
      <c r="AD47" s="87">
        <v>41</v>
      </c>
      <c r="AE47" s="87">
        <v>7</v>
      </c>
      <c r="AF47" s="87">
        <v>7</v>
      </c>
      <c r="AG47" s="87" t="str">
        <f t="shared" si="6"/>
        <v>神器7-7</v>
      </c>
      <c r="AH47" s="87">
        <v>4</v>
      </c>
      <c r="AI47" s="87">
        <f t="shared" si="7"/>
        <v>750</v>
      </c>
      <c r="AL47" s="87">
        <v>3</v>
      </c>
      <c r="AM47" s="87">
        <v>2</v>
      </c>
      <c r="AN47" s="87">
        <v>15</v>
      </c>
      <c r="AO47" s="144">
        <f t="shared" si="8"/>
        <v>4415</v>
      </c>
      <c r="AP47" s="144" t="s">
        <v>1247</v>
      </c>
      <c r="AQ47" s="144" t="str">
        <f t="shared" si="9"/>
        <v>神器本-3-困难-3  神器3-3</v>
      </c>
      <c r="AR47" s="87">
        <v>11</v>
      </c>
      <c r="AS47" s="87" t="s">
        <v>331</v>
      </c>
      <c r="AT47" s="87">
        <v>3500</v>
      </c>
      <c r="AU47" s="87">
        <v>1</v>
      </c>
      <c r="AV47" s="87">
        <v>2</v>
      </c>
      <c r="AW47" s="87">
        <f t="shared" si="10"/>
        <v>2</v>
      </c>
      <c r="AX47" s="14">
        <f t="shared" si="11"/>
        <v>0.52500000000000002</v>
      </c>
      <c r="AY47" s="14">
        <f t="shared" si="12"/>
        <v>31.5</v>
      </c>
      <c r="BG47" s="87">
        <v>41</v>
      </c>
      <c r="BH47" s="14" t="e">
        <f>INDEX(节奏总表!#REF!,新神器!BG47)</f>
        <v>#REF!</v>
      </c>
      <c r="BI47" s="14" t="e">
        <f t="shared" si="13"/>
        <v>#REF!</v>
      </c>
      <c r="BJ47" s="87">
        <v>3</v>
      </c>
      <c r="BK47" s="87">
        <v>5</v>
      </c>
      <c r="BL47" s="14">
        <f t="shared" ref="BL47:BU56" si="75">SUMIFS($AX$7:$AX$301,$AL$7:$AL$301,"="&amp;$BI47,$AM$7:$AM$301,"="&amp;$BJ47,$AR$7:$AR$301,"="&amp;BL$2)*$BK47</f>
        <v>0</v>
      </c>
      <c r="BM47" s="14">
        <f t="shared" si="75"/>
        <v>0</v>
      </c>
      <c r="BN47" s="14">
        <f t="shared" si="75"/>
        <v>0</v>
      </c>
      <c r="BO47" s="14">
        <f t="shared" si="75"/>
        <v>0</v>
      </c>
      <c r="BP47" s="14">
        <f t="shared" si="75"/>
        <v>0</v>
      </c>
      <c r="BQ47" s="14">
        <f t="shared" si="75"/>
        <v>0</v>
      </c>
      <c r="BR47" s="14">
        <f t="shared" si="75"/>
        <v>0</v>
      </c>
      <c r="BS47" s="14">
        <f t="shared" si="75"/>
        <v>0</v>
      </c>
      <c r="BT47" s="14">
        <f t="shared" si="75"/>
        <v>0</v>
      </c>
      <c r="BU47" s="14">
        <f t="shared" si="75"/>
        <v>0</v>
      </c>
      <c r="BV47" s="14">
        <f t="shared" ref="BV47:CE56" si="76">SUMIFS($AX$7:$AX$301,$AL$7:$AL$301,"="&amp;$BI47,$AM$7:$AM$301,"="&amp;$BJ47,$AR$7:$AR$301,"="&amp;BV$2)*$BK47</f>
        <v>0</v>
      </c>
      <c r="BW47" s="14">
        <f t="shared" si="76"/>
        <v>0</v>
      </c>
      <c r="BX47" s="14">
        <f t="shared" si="76"/>
        <v>0</v>
      </c>
      <c r="BY47" s="14">
        <f t="shared" si="76"/>
        <v>0</v>
      </c>
      <c r="BZ47" s="14">
        <f t="shared" si="76"/>
        <v>0</v>
      </c>
      <c r="CA47" s="14">
        <f t="shared" si="76"/>
        <v>0</v>
      </c>
      <c r="CB47" s="14">
        <f t="shared" si="76"/>
        <v>0</v>
      </c>
      <c r="CC47" s="14">
        <f t="shared" si="76"/>
        <v>0</v>
      </c>
      <c r="CD47" s="14">
        <f t="shared" si="76"/>
        <v>0</v>
      </c>
      <c r="CE47" s="14">
        <f t="shared" si="76"/>
        <v>0</v>
      </c>
      <c r="CF47" s="14">
        <f t="shared" ref="CF47:CO56" si="77">SUMIFS($AX$7:$AX$301,$AL$7:$AL$301,"="&amp;$BI47,$AM$7:$AM$301,"="&amp;$BJ47,$AR$7:$AR$301,"="&amp;CF$2)*$BK47</f>
        <v>0</v>
      </c>
      <c r="CG47" s="14">
        <f t="shared" si="77"/>
        <v>0</v>
      </c>
      <c r="CH47" s="14">
        <f t="shared" si="77"/>
        <v>0</v>
      </c>
      <c r="CI47" s="14">
        <f t="shared" si="77"/>
        <v>0</v>
      </c>
      <c r="CJ47" s="14">
        <f t="shared" si="77"/>
        <v>0</v>
      </c>
      <c r="CK47" s="14">
        <f t="shared" si="77"/>
        <v>0</v>
      </c>
      <c r="CL47" s="14">
        <f t="shared" si="77"/>
        <v>0</v>
      </c>
      <c r="CM47" s="14">
        <f t="shared" si="77"/>
        <v>0</v>
      </c>
      <c r="CN47" s="14">
        <f t="shared" si="77"/>
        <v>0</v>
      </c>
      <c r="CO47" s="14">
        <f t="shared" si="77"/>
        <v>0</v>
      </c>
      <c r="CP47" s="14">
        <f t="shared" ref="CP47:DA56" si="78">SUMIFS($AX$7:$AX$301,$AL$7:$AL$301,"="&amp;$BI47,$AM$7:$AM$301,"="&amp;$BJ47,$AR$7:$AR$301,"="&amp;CP$2)*$BK47</f>
        <v>0</v>
      </c>
      <c r="CQ47" s="14">
        <f t="shared" si="78"/>
        <v>0</v>
      </c>
      <c r="CR47" s="14">
        <f t="shared" si="78"/>
        <v>0</v>
      </c>
      <c r="CS47" s="14">
        <f t="shared" si="78"/>
        <v>0</v>
      </c>
      <c r="CT47" s="14">
        <f t="shared" si="78"/>
        <v>0</v>
      </c>
      <c r="CU47" s="14">
        <f t="shared" si="78"/>
        <v>0</v>
      </c>
      <c r="CV47" s="14">
        <f t="shared" si="78"/>
        <v>0</v>
      </c>
      <c r="CW47" s="14">
        <f t="shared" si="78"/>
        <v>0</v>
      </c>
      <c r="CX47" s="14">
        <f t="shared" si="78"/>
        <v>0</v>
      </c>
      <c r="CY47" s="14">
        <f t="shared" si="78"/>
        <v>0</v>
      </c>
      <c r="CZ47" s="14">
        <f t="shared" si="78"/>
        <v>0</v>
      </c>
      <c r="DA47" s="14">
        <f t="shared" si="78"/>
        <v>0</v>
      </c>
      <c r="DC47" s="14">
        <f>SUM(BL$7:BL47)</f>
        <v>0</v>
      </c>
      <c r="DD47" s="14">
        <f>SUM(BM$7:BM47)</f>
        <v>0</v>
      </c>
      <c r="DE47" s="14">
        <f>SUM(BN$7:BN47)</f>
        <v>0</v>
      </c>
      <c r="DF47" s="14">
        <f>SUM(BO$7:BO47)</f>
        <v>0</v>
      </c>
      <c r="DG47" s="14">
        <f>SUM(BP$7:BP47)</f>
        <v>0</v>
      </c>
      <c r="DH47" s="14">
        <f>SUM(BQ$7:BQ47)</f>
        <v>0</v>
      </c>
      <c r="DI47" s="14">
        <f>SUM(BR$7:BR47)</f>
        <v>0</v>
      </c>
      <c r="DJ47" s="14">
        <f>SUM(BS$7:BS47)</f>
        <v>0</v>
      </c>
      <c r="DK47" s="14">
        <f>SUM(BT$7:BT47)</f>
        <v>0</v>
      </c>
      <c r="DL47" s="14">
        <f>SUM(BU$7:BU47)</f>
        <v>0</v>
      </c>
      <c r="DM47" s="14">
        <f>SUM(BV$7:BV47)</f>
        <v>0</v>
      </c>
      <c r="DN47" s="14">
        <f>SUM(BW$7:BW47)</f>
        <v>0</v>
      </c>
      <c r="DO47" s="14">
        <f>SUM(BX$7:BX47)</f>
        <v>0</v>
      </c>
      <c r="DP47" s="14">
        <f>SUM(BY$7:BY47)</f>
        <v>0</v>
      </c>
      <c r="DQ47" s="14">
        <f>SUM(BZ$7:BZ47)</f>
        <v>0</v>
      </c>
      <c r="DR47" s="14">
        <f>SUM(CA$7:CA47)</f>
        <v>0</v>
      </c>
      <c r="DS47" s="14">
        <f>SUM(CB$7:CB47)</f>
        <v>0</v>
      </c>
      <c r="DT47" s="14">
        <f>SUM(CC$7:CC47)</f>
        <v>0</v>
      </c>
      <c r="DU47" s="14">
        <f>SUM(CD$7:CD47)</f>
        <v>0</v>
      </c>
      <c r="DV47" s="14">
        <f>SUM(CE$7:CE47)</f>
        <v>0</v>
      </c>
      <c r="DW47" s="14">
        <f>SUM(CF$7:CF47)</f>
        <v>0</v>
      </c>
      <c r="DX47" s="14">
        <f>SUM(CG$7:CG47)</f>
        <v>0</v>
      </c>
      <c r="DY47" s="14">
        <f>SUM(CH$7:CH47)</f>
        <v>0</v>
      </c>
      <c r="DZ47" s="14">
        <f>SUM(CI$7:CI47)</f>
        <v>0</v>
      </c>
      <c r="EA47" s="14">
        <f>SUM(CJ$7:CJ47)</f>
        <v>0</v>
      </c>
      <c r="EB47" s="14">
        <f>SUM(CK$7:CK47)</f>
        <v>0</v>
      </c>
      <c r="EC47" s="14">
        <f>SUM(CL$7:CL47)</f>
        <v>0</v>
      </c>
      <c r="ED47" s="14">
        <f>SUM(CM$7:CM47)</f>
        <v>0</v>
      </c>
      <c r="EE47" s="14">
        <f>SUM(CN$7:CN47)</f>
        <v>0</v>
      </c>
      <c r="EF47" s="14">
        <f>SUM(CO$7:CO47)</f>
        <v>0</v>
      </c>
      <c r="EG47" s="14">
        <f>SUM(CP$7:CP47)</f>
        <v>0</v>
      </c>
      <c r="EH47" s="14">
        <f>SUM(CQ$7:CQ47)</f>
        <v>0</v>
      </c>
      <c r="EI47" s="14">
        <f>SUM(CR$7:CR47)</f>
        <v>0</v>
      </c>
      <c r="EJ47" s="14">
        <f>SUM(CS$7:CS47)</f>
        <v>0</v>
      </c>
      <c r="EK47" s="14">
        <f>SUM(CT$7:CT47)</f>
        <v>0</v>
      </c>
      <c r="EL47" s="14">
        <f>SUM(CU$7:CU47)</f>
        <v>0</v>
      </c>
      <c r="EM47" s="14">
        <f>SUM(CV$7:CV47)</f>
        <v>0</v>
      </c>
      <c r="EN47" s="14">
        <f>SUM(CW$7:CW47)</f>
        <v>0</v>
      </c>
      <c r="EO47" s="14">
        <f>SUM(CX$7:CX47)</f>
        <v>0</v>
      </c>
      <c r="EP47" s="14">
        <f>SUM(CY$7:CY47)</f>
        <v>0</v>
      </c>
      <c r="EQ47" s="14">
        <f>SUM(CZ$7:CZ47)</f>
        <v>0</v>
      </c>
      <c r="ER47" s="14">
        <f>SUM(DA$7:DA47)</f>
        <v>0</v>
      </c>
      <c r="EU47" s="14">
        <f t="shared" si="14"/>
        <v>0</v>
      </c>
      <c r="EV47" s="14">
        <f t="shared" si="15"/>
        <v>0</v>
      </c>
      <c r="EW47" s="14">
        <f t="shared" si="16"/>
        <v>0</v>
      </c>
      <c r="EX47" s="14">
        <f t="shared" si="17"/>
        <v>0</v>
      </c>
      <c r="EY47" s="14">
        <f t="shared" si="18"/>
        <v>0</v>
      </c>
      <c r="EZ47" s="14">
        <f t="shared" si="19"/>
        <v>0</v>
      </c>
      <c r="FA47" s="14">
        <f t="shared" si="20"/>
        <v>0</v>
      </c>
      <c r="FB47" s="14">
        <f t="shared" si="21"/>
        <v>0</v>
      </c>
      <c r="FC47" s="14">
        <f t="shared" si="22"/>
        <v>0</v>
      </c>
      <c r="FD47" s="14">
        <f t="shared" si="23"/>
        <v>0</v>
      </c>
      <c r="FE47" s="14">
        <f t="shared" si="24"/>
        <v>0</v>
      </c>
      <c r="FF47" s="14">
        <f t="shared" si="25"/>
        <v>0</v>
      </c>
      <c r="FG47" s="14">
        <f t="shared" si="26"/>
        <v>0</v>
      </c>
      <c r="FH47" s="14">
        <f t="shared" si="27"/>
        <v>0</v>
      </c>
      <c r="FI47" s="14">
        <f t="shared" si="28"/>
        <v>0</v>
      </c>
      <c r="FJ47" s="14">
        <f t="shared" si="29"/>
        <v>0</v>
      </c>
      <c r="FK47" s="14">
        <f t="shared" si="30"/>
        <v>0</v>
      </c>
      <c r="FL47" s="14">
        <f t="shared" si="31"/>
        <v>0</v>
      </c>
      <c r="FM47" s="14">
        <f t="shared" si="32"/>
        <v>0</v>
      </c>
      <c r="FN47" s="14">
        <f t="shared" si="33"/>
        <v>0</v>
      </c>
      <c r="FO47" s="14">
        <f t="shared" si="34"/>
        <v>0</v>
      </c>
      <c r="FP47" s="14">
        <f t="shared" si="35"/>
        <v>0</v>
      </c>
      <c r="FQ47" s="14">
        <f t="shared" si="36"/>
        <v>0</v>
      </c>
      <c r="FR47" s="14">
        <f t="shared" si="37"/>
        <v>0</v>
      </c>
      <c r="FS47" s="14">
        <f t="shared" si="38"/>
        <v>0</v>
      </c>
      <c r="FT47" s="14">
        <f t="shared" si="39"/>
        <v>0</v>
      </c>
      <c r="FU47" s="14">
        <f t="shared" si="40"/>
        <v>0</v>
      </c>
      <c r="FV47" s="14">
        <f t="shared" si="41"/>
        <v>0</v>
      </c>
      <c r="FW47" s="14">
        <f t="shared" si="42"/>
        <v>0</v>
      </c>
      <c r="FX47" s="14">
        <f t="shared" si="43"/>
        <v>0</v>
      </c>
      <c r="FY47" s="14">
        <f t="shared" si="44"/>
        <v>0</v>
      </c>
      <c r="FZ47" s="14">
        <f t="shared" si="45"/>
        <v>0</v>
      </c>
      <c r="GA47" s="14">
        <f t="shared" si="46"/>
        <v>0</v>
      </c>
      <c r="GB47" s="14">
        <f t="shared" si="47"/>
        <v>0</v>
      </c>
      <c r="GC47" s="14">
        <f t="shared" si="48"/>
        <v>0</v>
      </c>
      <c r="GD47" s="14">
        <f t="shared" si="49"/>
        <v>0</v>
      </c>
      <c r="GE47" s="14">
        <f t="shared" si="50"/>
        <v>0</v>
      </c>
      <c r="GF47" s="14">
        <f t="shared" si="51"/>
        <v>0</v>
      </c>
      <c r="GG47" s="14">
        <f t="shared" si="52"/>
        <v>0</v>
      </c>
      <c r="GH47" s="14">
        <f t="shared" si="53"/>
        <v>0</v>
      </c>
      <c r="GI47" s="14">
        <f t="shared" si="54"/>
        <v>0</v>
      </c>
      <c r="GJ47" s="14">
        <f t="shared" si="55"/>
        <v>0</v>
      </c>
      <c r="GM47" s="91">
        <v>41</v>
      </c>
      <c r="GN47" s="14">
        <f t="shared" si="56"/>
        <v>3</v>
      </c>
      <c r="GO47" s="14">
        <f t="shared" si="57"/>
        <v>1606005</v>
      </c>
      <c r="GP47" s="14" t="str">
        <f t="shared" si="58"/>
        <v>神器1-3 : 11级</v>
      </c>
      <c r="GQ47" s="14" t="s">
        <v>816</v>
      </c>
      <c r="GR47" s="14">
        <f t="shared" si="59"/>
        <v>11</v>
      </c>
      <c r="GS47" s="14" t="str">
        <f t="shared" si="60"/>
        <v>神器1-3</v>
      </c>
      <c r="GT47" s="14">
        <f t="shared" si="61"/>
        <v>5</v>
      </c>
    </row>
    <row r="48" spans="14:202" ht="16.5" x14ac:dyDescent="0.2">
      <c r="N48" s="90">
        <v>7</v>
      </c>
      <c r="O48" s="90">
        <v>7</v>
      </c>
      <c r="P48" s="90">
        <v>4</v>
      </c>
      <c r="Q48" s="90">
        <v>21</v>
      </c>
      <c r="R48" s="14">
        <f>SUM(Q$7:Q48)</f>
        <v>759</v>
      </c>
      <c r="S48" s="91">
        <v>1606049</v>
      </c>
      <c r="T48" s="14" t="str">
        <f t="shared" si="62"/>
        <v>神器7-7</v>
      </c>
      <c r="AD48" s="87">
        <v>42</v>
      </c>
      <c r="AE48" s="87">
        <v>7</v>
      </c>
      <c r="AF48" s="87">
        <v>8</v>
      </c>
      <c r="AG48" s="87" t="str">
        <f t="shared" si="6"/>
        <v>神器7-8</v>
      </c>
      <c r="AH48" s="87">
        <v>4</v>
      </c>
      <c r="AI48" s="87">
        <f t="shared" si="7"/>
        <v>750</v>
      </c>
      <c r="AL48" s="87">
        <v>3</v>
      </c>
      <c r="AM48" s="87">
        <v>2</v>
      </c>
      <c r="AN48" s="87">
        <v>15</v>
      </c>
      <c r="AO48" s="144">
        <f t="shared" si="8"/>
        <v>4415</v>
      </c>
      <c r="AP48" s="144" t="s">
        <v>1247</v>
      </c>
      <c r="AQ48" s="144" t="str">
        <f t="shared" si="9"/>
        <v>神器本-3-困难-3  神器3-4</v>
      </c>
      <c r="AR48" s="87">
        <v>12</v>
      </c>
      <c r="AS48" s="87" t="s">
        <v>332</v>
      </c>
      <c r="AT48" s="87">
        <v>3500</v>
      </c>
      <c r="AU48" s="87">
        <v>1</v>
      </c>
      <c r="AV48" s="87">
        <v>2</v>
      </c>
      <c r="AW48" s="87">
        <f t="shared" si="10"/>
        <v>2</v>
      </c>
      <c r="AX48" s="14">
        <f t="shared" si="11"/>
        <v>0.52500000000000002</v>
      </c>
      <c r="AY48" s="14">
        <f t="shared" si="12"/>
        <v>31.5</v>
      </c>
      <c r="BG48" s="87">
        <v>42</v>
      </c>
      <c r="BH48" s="14" t="e">
        <f>INDEX(节奏总表!#REF!,新神器!BG48)</f>
        <v>#REF!</v>
      </c>
      <c r="BI48" s="14" t="e">
        <f t="shared" si="13"/>
        <v>#REF!</v>
      </c>
      <c r="BJ48" s="87">
        <v>3</v>
      </c>
      <c r="BK48" s="87">
        <v>5</v>
      </c>
      <c r="BL48" s="14">
        <f t="shared" si="75"/>
        <v>0</v>
      </c>
      <c r="BM48" s="14">
        <f t="shared" si="75"/>
        <v>0</v>
      </c>
      <c r="BN48" s="14">
        <f t="shared" si="75"/>
        <v>0</v>
      </c>
      <c r="BO48" s="14">
        <f t="shared" si="75"/>
        <v>0</v>
      </c>
      <c r="BP48" s="14">
        <f t="shared" si="75"/>
        <v>0</v>
      </c>
      <c r="BQ48" s="14">
        <f t="shared" si="75"/>
        <v>0</v>
      </c>
      <c r="BR48" s="14">
        <f t="shared" si="75"/>
        <v>0</v>
      </c>
      <c r="BS48" s="14">
        <f t="shared" si="75"/>
        <v>0</v>
      </c>
      <c r="BT48" s="14">
        <f t="shared" si="75"/>
        <v>0</v>
      </c>
      <c r="BU48" s="14">
        <f t="shared" si="75"/>
        <v>0</v>
      </c>
      <c r="BV48" s="14">
        <f t="shared" si="76"/>
        <v>0</v>
      </c>
      <c r="BW48" s="14">
        <f t="shared" si="76"/>
        <v>0</v>
      </c>
      <c r="BX48" s="14">
        <f t="shared" si="76"/>
        <v>0</v>
      </c>
      <c r="BY48" s="14">
        <f t="shared" si="76"/>
        <v>0</v>
      </c>
      <c r="BZ48" s="14">
        <f t="shared" si="76"/>
        <v>0</v>
      </c>
      <c r="CA48" s="14">
        <f t="shared" si="76"/>
        <v>0</v>
      </c>
      <c r="CB48" s="14">
        <f t="shared" si="76"/>
        <v>0</v>
      </c>
      <c r="CC48" s="14">
        <f t="shared" si="76"/>
        <v>0</v>
      </c>
      <c r="CD48" s="14">
        <f t="shared" si="76"/>
        <v>0</v>
      </c>
      <c r="CE48" s="14">
        <f t="shared" si="76"/>
        <v>0</v>
      </c>
      <c r="CF48" s="14">
        <f t="shared" si="77"/>
        <v>0</v>
      </c>
      <c r="CG48" s="14">
        <f t="shared" si="77"/>
        <v>0</v>
      </c>
      <c r="CH48" s="14">
        <f t="shared" si="77"/>
        <v>0</v>
      </c>
      <c r="CI48" s="14">
        <f t="shared" si="77"/>
        <v>0</v>
      </c>
      <c r="CJ48" s="14">
        <f t="shared" si="77"/>
        <v>0</v>
      </c>
      <c r="CK48" s="14">
        <f t="shared" si="77"/>
        <v>0</v>
      </c>
      <c r="CL48" s="14">
        <f t="shared" si="77"/>
        <v>0</v>
      </c>
      <c r="CM48" s="14">
        <f t="shared" si="77"/>
        <v>0</v>
      </c>
      <c r="CN48" s="14">
        <f t="shared" si="77"/>
        <v>0</v>
      </c>
      <c r="CO48" s="14">
        <f t="shared" si="77"/>
        <v>0</v>
      </c>
      <c r="CP48" s="14">
        <f t="shared" si="78"/>
        <v>0</v>
      </c>
      <c r="CQ48" s="14">
        <f t="shared" si="78"/>
        <v>0</v>
      </c>
      <c r="CR48" s="14">
        <f t="shared" si="78"/>
        <v>0</v>
      </c>
      <c r="CS48" s="14">
        <f t="shared" si="78"/>
        <v>0</v>
      </c>
      <c r="CT48" s="14">
        <f t="shared" si="78"/>
        <v>0</v>
      </c>
      <c r="CU48" s="14">
        <f t="shared" si="78"/>
        <v>0</v>
      </c>
      <c r="CV48" s="14">
        <f t="shared" si="78"/>
        <v>0</v>
      </c>
      <c r="CW48" s="14">
        <f t="shared" si="78"/>
        <v>0</v>
      </c>
      <c r="CX48" s="14">
        <f t="shared" si="78"/>
        <v>0</v>
      </c>
      <c r="CY48" s="14">
        <f t="shared" si="78"/>
        <v>0</v>
      </c>
      <c r="CZ48" s="14">
        <f t="shared" si="78"/>
        <v>0</v>
      </c>
      <c r="DA48" s="14">
        <f t="shared" si="78"/>
        <v>0</v>
      </c>
      <c r="DC48" s="14">
        <f>SUM(BL$7:BL48)</f>
        <v>0</v>
      </c>
      <c r="DD48" s="14">
        <f>SUM(BM$7:BM48)</f>
        <v>0</v>
      </c>
      <c r="DE48" s="14">
        <f>SUM(BN$7:BN48)</f>
        <v>0</v>
      </c>
      <c r="DF48" s="14">
        <f>SUM(BO$7:BO48)</f>
        <v>0</v>
      </c>
      <c r="DG48" s="14">
        <f>SUM(BP$7:BP48)</f>
        <v>0</v>
      </c>
      <c r="DH48" s="14">
        <f>SUM(BQ$7:BQ48)</f>
        <v>0</v>
      </c>
      <c r="DI48" s="14">
        <f>SUM(BR$7:BR48)</f>
        <v>0</v>
      </c>
      <c r="DJ48" s="14">
        <f>SUM(BS$7:BS48)</f>
        <v>0</v>
      </c>
      <c r="DK48" s="14">
        <f>SUM(BT$7:BT48)</f>
        <v>0</v>
      </c>
      <c r="DL48" s="14">
        <f>SUM(BU$7:BU48)</f>
        <v>0</v>
      </c>
      <c r="DM48" s="14">
        <f>SUM(BV$7:BV48)</f>
        <v>0</v>
      </c>
      <c r="DN48" s="14">
        <f>SUM(BW$7:BW48)</f>
        <v>0</v>
      </c>
      <c r="DO48" s="14">
        <f>SUM(BX$7:BX48)</f>
        <v>0</v>
      </c>
      <c r="DP48" s="14">
        <f>SUM(BY$7:BY48)</f>
        <v>0</v>
      </c>
      <c r="DQ48" s="14">
        <f>SUM(BZ$7:BZ48)</f>
        <v>0</v>
      </c>
      <c r="DR48" s="14">
        <f>SUM(CA$7:CA48)</f>
        <v>0</v>
      </c>
      <c r="DS48" s="14">
        <f>SUM(CB$7:CB48)</f>
        <v>0</v>
      </c>
      <c r="DT48" s="14">
        <f>SUM(CC$7:CC48)</f>
        <v>0</v>
      </c>
      <c r="DU48" s="14">
        <f>SUM(CD$7:CD48)</f>
        <v>0</v>
      </c>
      <c r="DV48" s="14">
        <f>SUM(CE$7:CE48)</f>
        <v>0</v>
      </c>
      <c r="DW48" s="14">
        <f>SUM(CF$7:CF48)</f>
        <v>0</v>
      </c>
      <c r="DX48" s="14">
        <f>SUM(CG$7:CG48)</f>
        <v>0</v>
      </c>
      <c r="DY48" s="14">
        <f>SUM(CH$7:CH48)</f>
        <v>0</v>
      </c>
      <c r="DZ48" s="14">
        <f>SUM(CI$7:CI48)</f>
        <v>0</v>
      </c>
      <c r="EA48" s="14">
        <f>SUM(CJ$7:CJ48)</f>
        <v>0</v>
      </c>
      <c r="EB48" s="14">
        <f>SUM(CK$7:CK48)</f>
        <v>0</v>
      </c>
      <c r="EC48" s="14">
        <f>SUM(CL$7:CL48)</f>
        <v>0</v>
      </c>
      <c r="ED48" s="14">
        <f>SUM(CM$7:CM48)</f>
        <v>0</v>
      </c>
      <c r="EE48" s="14">
        <f>SUM(CN$7:CN48)</f>
        <v>0</v>
      </c>
      <c r="EF48" s="14">
        <f>SUM(CO$7:CO48)</f>
        <v>0</v>
      </c>
      <c r="EG48" s="14">
        <f>SUM(CP$7:CP48)</f>
        <v>0</v>
      </c>
      <c r="EH48" s="14">
        <f>SUM(CQ$7:CQ48)</f>
        <v>0</v>
      </c>
      <c r="EI48" s="14">
        <f>SUM(CR$7:CR48)</f>
        <v>0</v>
      </c>
      <c r="EJ48" s="14">
        <f>SUM(CS$7:CS48)</f>
        <v>0</v>
      </c>
      <c r="EK48" s="14">
        <f>SUM(CT$7:CT48)</f>
        <v>0</v>
      </c>
      <c r="EL48" s="14">
        <f>SUM(CU$7:CU48)</f>
        <v>0</v>
      </c>
      <c r="EM48" s="14">
        <f>SUM(CV$7:CV48)</f>
        <v>0</v>
      </c>
      <c r="EN48" s="14">
        <f>SUM(CW$7:CW48)</f>
        <v>0</v>
      </c>
      <c r="EO48" s="14">
        <f>SUM(CX$7:CX48)</f>
        <v>0</v>
      </c>
      <c r="EP48" s="14">
        <f>SUM(CY$7:CY48)</f>
        <v>0</v>
      </c>
      <c r="EQ48" s="14">
        <f>SUM(CZ$7:CZ48)</f>
        <v>0</v>
      </c>
      <c r="ER48" s="14">
        <f>SUM(DA$7:DA48)</f>
        <v>0</v>
      </c>
      <c r="EU48" s="14">
        <f t="shared" si="14"/>
        <v>0</v>
      </c>
      <c r="EV48" s="14">
        <f t="shared" si="15"/>
        <v>0</v>
      </c>
      <c r="EW48" s="14">
        <f t="shared" si="16"/>
        <v>0</v>
      </c>
      <c r="EX48" s="14">
        <f t="shared" si="17"/>
        <v>0</v>
      </c>
      <c r="EY48" s="14">
        <f t="shared" si="18"/>
        <v>0</v>
      </c>
      <c r="EZ48" s="14">
        <f t="shared" si="19"/>
        <v>0</v>
      </c>
      <c r="FA48" s="14">
        <f t="shared" si="20"/>
        <v>0</v>
      </c>
      <c r="FB48" s="14">
        <f t="shared" si="21"/>
        <v>0</v>
      </c>
      <c r="FC48" s="14">
        <f t="shared" si="22"/>
        <v>0</v>
      </c>
      <c r="FD48" s="14">
        <f t="shared" si="23"/>
        <v>0</v>
      </c>
      <c r="FE48" s="14">
        <f t="shared" si="24"/>
        <v>0</v>
      </c>
      <c r="FF48" s="14">
        <f t="shared" si="25"/>
        <v>0</v>
      </c>
      <c r="FG48" s="14">
        <f t="shared" si="26"/>
        <v>0</v>
      </c>
      <c r="FH48" s="14">
        <f t="shared" si="27"/>
        <v>0</v>
      </c>
      <c r="FI48" s="14">
        <f t="shared" si="28"/>
        <v>0</v>
      </c>
      <c r="FJ48" s="14">
        <f t="shared" si="29"/>
        <v>0</v>
      </c>
      <c r="FK48" s="14">
        <f t="shared" si="30"/>
        <v>0</v>
      </c>
      <c r="FL48" s="14">
        <f t="shared" si="31"/>
        <v>0</v>
      </c>
      <c r="FM48" s="14">
        <f t="shared" si="32"/>
        <v>0</v>
      </c>
      <c r="FN48" s="14">
        <f t="shared" si="33"/>
        <v>0</v>
      </c>
      <c r="FO48" s="14">
        <f t="shared" si="34"/>
        <v>0</v>
      </c>
      <c r="FP48" s="14">
        <f t="shared" si="35"/>
        <v>0</v>
      </c>
      <c r="FQ48" s="14">
        <f t="shared" si="36"/>
        <v>0</v>
      </c>
      <c r="FR48" s="14">
        <f t="shared" si="37"/>
        <v>0</v>
      </c>
      <c r="FS48" s="14">
        <f t="shared" si="38"/>
        <v>0</v>
      </c>
      <c r="FT48" s="14">
        <f t="shared" si="39"/>
        <v>0</v>
      </c>
      <c r="FU48" s="14">
        <f t="shared" si="40"/>
        <v>0</v>
      </c>
      <c r="FV48" s="14">
        <f t="shared" si="41"/>
        <v>0</v>
      </c>
      <c r="FW48" s="14">
        <f t="shared" si="42"/>
        <v>0</v>
      </c>
      <c r="FX48" s="14">
        <f t="shared" si="43"/>
        <v>0</v>
      </c>
      <c r="FY48" s="14">
        <f t="shared" si="44"/>
        <v>0</v>
      </c>
      <c r="FZ48" s="14">
        <f t="shared" si="45"/>
        <v>0</v>
      </c>
      <c r="GA48" s="14">
        <f t="shared" si="46"/>
        <v>0</v>
      </c>
      <c r="GB48" s="14">
        <f t="shared" si="47"/>
        <v>0</v>
      </c>
      <c r="GC48" s="14">
        <f t="shared" si="48"/>
        <v>0</v>
      </c>
      <c r="GD48" s="14">
        <f t="shared" si="49"/>
        <v>0</v>
      </c>
      <c r="GE48" s="14">
        <f t="shared" si="50"/>
        <v>0</v>
      </c>
      <c r="GF48" s="14">
        <f t="shared" si="51"/>
        <v>0</v>
      </c>
      <c r="GG48" s="14">
        <f t="shared" si="52"/>
        <v>0</v>
      </c>
      <c r="GH48" s="14">
        <f t="shared" si="53"/>
        <v>0</v>
      </c>
      <c r="GI48" s="14">
        <f t="shared" si="54"/>
        <v>0</v>
      </c>
      <c r="GJ48" s="14">
        <f t="shared" si="55"/>
        <v>0</v>
      </c>
      <c r="GM48" s="91">
        <v>42</v>
      </c>
      <c r="GN48" s="14">
        <f t="shared" si="56"/>
        <v>3</v>
      </c>
      <c r="GO48" s="14">
        <f t="shared" si="57"/>
        <v>1606005</v>
      </c>
      <c r="GP48" s="14" t="str">
        <f t="shared" si="58"/>
        <v>神器1-3 : 12级</v>
      </c>
      <c r="GQ48" s="14" t="s">
        <v>816</v>
      </c>
      <c r="GR48" s="14">
        <f t="shared" si="59"/>
        <v>12</v>
      </c>
      <c r="GS48" s="14" t="str">
        <f t="shared" si="60"/>
        <v>神器1-3</v>
      </c>
      <c r="GT48" s="14">
        <f t="shared" si="61"/>
        <v>6</v>
      </c>
    </row>
    <row r="49" spans="14:202" ht="16.5" x14ac:dyDescent="0.2">
      <c r="N49" s="90">
        <v>7</v>
      </c>
      <c r="O49" s="90">
        <v>8</v>
      </c>
      <c r="P49" s="90">
        <v>4</v>
      </c>
      <c r="Q49" s="90">
        <v>21</v>
      </c>
      <c r="R49" s="14">
        <f>SUM(Q$7:Q49)</f>
        <v>780</v>
      </c>
      <c r="S49" s="91">
        <v>1606050</v>
      </c>
      <c r="T49" s="14" t="str">
        <f t="shared" si="62"/>
        <v>神器7-8</v>
      </c>
      <c r="AL49" s="87">
        <v>3</v>
      </c>
      <c r="AM49" s="87">
        <v>2</v>
      </c>
      <c r="AN49" s="87">
        <v>16</v>
      </c>
      <c r="AO49" s="144">
        <f t="shared" si="8"/>
        <v>4416</v>
      </c>
      <c r="AP49" s="144" t="s">
        <v>1250</v>
      </c>
      <c r="AQ49" s="144" t="str">
        <f t="shared" si="9"/>
        <v>神器本-3-困难-4  神器3-5</v>
      </c>
      <c r="AR49" s="87">
        <v>13</v>
      </c>
      <c r="AS49" s="87" t="s">
        <v>333</v>
      </c>
      <c r="AT49" s="87">
        <v>2000</v>
      </c>
      <c r="AU49" s="87">
        <v>1</v>
      </c>
      <c r="AV49" s="87">
        <v>1</v>
      </c>
      <c r="AW49" s="87">
        <f t="shared" si="10"/>
        <v>3</v>
      </c>
      <c r="AX49" s="14">
        <f t="shared" si="11"/>
        <v>0.2</v>
      </c>
      <c r="AY49" s="14">
        <f t="shared" si="12"/>
        <v>28</v>
      </c>
      <c r="BG49" s="87">
        <v>43</v>
      </c>
      <c r="BH49" s="14" t="e">
        <f>INDEX(节奏总表!#REF!,新神器!BG49)</f>
        <v>#REF!</v>
      </c>
      <c r="BI49" s="14" t="e">
        <f t="shared" si="13"/>
        <v>#REF!</v>
      </c>
      <c r="BJ49" s="87">
        <v>3</v>
      </c>
      <c r="BK49" s="87">
        <v>5</v>
      </c>
      <c r="BL49" s="14">
        <f t="shared" si="75"/>
        <v>0</v>
      </c>
      <c r="BM49" s="14">
        <f t="shared" si="75"/>
        <v>0</v>
      </c>
      <c r="BN49" s="14">
        <f t="shared" si="75"/>
        <v>0</v>
      </c>
      <c r="BO49" s="14">
        <f t="shared" si="75"/>
        <v>0</v>
      </c>
      <c r="BP49" s="14">
        <f t="shared" si="75"/>
        <v>0</v>
      </c>
      <c r="BQ49" s="14">
        <f t="shared" si="75"/>
        <v>0</v>
      </c>
      <c r="BR49" s="14">
        <f t="shared" si="75"/>
        <v>0</v>
      </c>
      <c r="BS49" s="14">
        <f t="shared" si="75"/>
        <v>0</v>
      </c>
      <c r="BT49" s="14">
        <f t="shared" si="75"/>
        <v>0</v>
      </c>
      <c r="BU49" s="14">
        <f t="shared" si="75"/>
        <v>0</v>
      </c>
      <c r="BV49" s="14">
        <f t="shared" si="76"/>
        <v>0</v>
      </c>
      <c r="BW49" s="14">
        <f t="shared" si="76"/>
        <v>0</v>
      </c>
      <c r="BX49" s="14">
        <f t="shared" si="76"/>
        <v>0</v>
      </c>
      <c r="BY49" s="14">
        <f t="shared" si="76"/>
        <v>0</v>
      </c>
      <c r="BZ49" s="14">
        <f t="shared" si="76"/>
        <v>0</v>
      </c>
      <c r="CA49" s="14">
        <f t="shared" si="76"/>
        <v>0</v>
      </c>
      <c r="CB49" s="14">
        <f t="shared" si="76"/>
        <v>0</v>
      </c>
      <c r="CC49" s="14">
        <f t="shared" si="76"/>
        <v>0</v>
      </c>
      <c r="CD49" s="14">
        <f t="shared" si="76"/>
        <v>0</v>
      </c>
      <c r="CE49" s="14">
        <f t="shared" si="76"/>
        <v>0</v>
      </c>
      <c r="CF49" s="14">
        <f t="shared" si="77"/>
        <v>0</v>
      </c>
      <c r="CG49" s="14">
        <f t="shared" si="77"/>
        <v>0</v>
      </c>
      <c r="CH49" s="14">
        <f t="shared" si="77"/>
        <v>0</v>
      </c>
      <c r="CI49" s="14">
        <f t="shared" si="77"/>
        <v>0</v>
      </c>
      <c r="CJ49" s="14">
        <f t="shared" si="77"/>
        <v>0</v>
      </c>
      <c r="CK49" s="14">
        <f t="shared" si="77"/>
        <v>0</v>
      </c>
      <c r="CL49" s="14">
        <f t="shared" si="77"/>
        <v>0</v>
      </c>
      <c r="CM49" s="14">
        <f t="shared" si="77"/>
        <v>0</v>
      </c>
      <c r="CN49" s="14">
        <f t="shared" si="77"/>
        <v>0</v>
      </c>
      <c r="CO49" s="14">
        <f t="shared" si="77"/>
        <v>0</v>
      </c>
      <c r="CP49" s="14">
        <f t="shared" si="78"/>
        <v>0</v>
      </c>
      <c r="CQ49" s="14">
        <f t="shared" si="78"/>
        <v>0</v>
      </c>
      <c r="CR49" s="14">
        <f t="shared" si="78"/>
        <v>0</v>
      </c>
      <c r="CS49" s="14">
        <f t="shared" si="78"/>
        <v>0</v>
      </c>
      <c r="CT49" s="14">
        <f t="shared" si="78"/>
        <v>0</v>
      </c>
      <c r="CU49" s="14">
        <f t="shared" si="78"/>
        <v>0</v>
      </c>
      <c r="CV49" s="14">
        <f t="shared" si="78"/>
        <v>0</v>
      </c>
      <c r="CW49" s="14">
        <f t="shared" si="78"/>
        <v>0</v>
      </c>
      <c r="CX49" s="14">
        <f t="shared" si="78"/>
        <v>0</v>
      </c>
      <c r="CY49" s="14">
        <f t="shared" si="78"/>
        <v>0</v>
      </c>
      <c r="CZ49" s="14">
        <f t="shared" si="78"/>
        <v>0</v>
      </c>
      <c r="DA49" s="14">
        <f t="shared" si="78"/>
        <v>0</v>
      </c>
      <c r="DC49" s="14">
        <f>SUM(BL$7:BL49)</f>
        <v>0</v>
      </c>
      <c r="DD49" s="14">
        <f>SUM(BM$7:BM49)</f>
        <v>0</v>
      </c>
      <c r="DE49" s="14">
        <f>SUM(BN$7:BN49)</f>
        <v>0</v>
      </c>
      <c r="DF49" s="14">
        <f>SUM(BO$7:BO49)</f>
        <v>0</v>
      </c>
      <c r="DG49" s="14">
        <f>SUM(BP$7:BP49)</f>
        <v>0</v>
      </c>
      <c r="DH49" s="14">
        <f>SUM(BQ$7:BQ49)</f>
        <v>0</v>
      </c>
      <c r="DI49" s="14">
        <f>SUM(BR$7:BR49)</f>
        <v>0</v>
      </c>
      <c r="DJ49" s="14">
        <f>SUM(BS$7:BS49)</f>
        <v>0</v>
      </c>
      <c r="DK49" s="14">
        <f>SUM(BT$7:BT49)</f>
        <v>0</v>
      </c>
      <c r="DL49" s="14">
        <f>SUM(BU$7:BU49)</f>
        <v>0</v>
      </c>
      <c r="DM49" s="14">
        <f>SUM(BV$7:BV49)</f>
        <v>0</v>
      </c>
      <c r="DN49" s="14">
        <f>SUM(BW$7:BW49)</f>
        <v>0</v>
      </c>
      <c r="DO49" s="14">
        <f>SUM(BX$7:BX49)</f>
        <v>0</v>
      </c>
      <c r="DP49" s="14">
        <f>SUM(BY$7:BY49)</f>
        <v>0</v>
      </c>
      <c r="DQ49" s="14">
        <f>SUM(BZ$7:BZ49)</f>
        <v>0</v>
      </c>
      <c r="DR49" s="14">
        <f>SUM(CA$7:CA49)</f>
        <v>0</v>
      </c>
      <c r="DS49" s="14">
        <f>SUM(CB$7:CB49)</f>
        <v>0</v>
      </c>
      <c r="DT49" s="14">
        <f>SUM(CC$7:CC49)</f>
        <v>0</v>
      </c>
      <c r="DU49" s="14">
        <f>SUM(CD$7:CD49)</f>
        <v>0</v>
      </c>
      <c r="DV49" s="14">
        <f>SUM(CE$7:CE49)</f>
        <v>0</v>
      </c>
      <c r="DW49" s="14">
        <f>SUM(CF$7:CF49)</f>
        <v>0</v>
      </c>
      <c r="DX49" s="14">
        <f>SUM(CG$7:CG49)</f>
        <v>0</v>
      </c>
      <c r="DY49" s="14">
        <f>SUM(CH$7:CH49)</f>
        <v>0</v>
      </c>
      <c r="DZ49" s="14">
        <f>SUM(CI$7:CI49)</f>
        <v>0</v>
      </c>
      <c r="EA49" s="14">
        <f>SUM(CJ$7:CJ49)</f>
        <v>0</v>
      </c>
      <c r="EB49" s="14">
        <f>SUM(CK$7:CK49)</f>
        <v>0</v>
      </c>
      <c r="EC49" s="14">
        <f>SUM(CL$7:CL49)</f>
        <v>0</v>
      </c>
      <c r="ED49" s="14">
        <f>SUM(CM$7:CM49)</f>
        <v>0</v>
      </c>
      <c r="EE49" s="14">
        <f>SUM(CN$7:CN49)</f>
        <v>0</v>
      </c>
      <c r="EF49" s="14">
        <f>SUM(CO$7:CO49)</f>
        <v>0</v>
      </c>
      <c r="EG49" s="14">
        <f>SUM(CP$7:CP49)</f>
        <v>0</v>
      </c>
      <c r="EH49" s="14">
        <f>SUM(CQ$7:CQ49)</f>
        <v>0</v>
      </c>
      <c r="EI49" s="14">
        <f>SUM(CR$7:CR49)</f>
        <v>0</v>
      </c>
      <c r="EJ49" s="14">
        <f>SUM(CS$7:CS49)</f>
        <v>0</v>
      </c>
      <c r="EK49" s="14">
        <f>SUM(CT$7:CT49)</f>
        <v>0</v>
      </c>
      <c r="EL49" s="14">
        <f>SUM(CU$7:CU49)</f>
        <v>0</v>
      </c>
      <c r="EM49" s="14">
        <f>SUM(CV$7:CV49)</f>
        <v>0</v>
      </c>
      <c r="EN49" s="14">
        <f>SUM(CW$7:CW49)</f>
        <v>0</v>
      </c>
      <c r="EO49" s="14">
        <f>SUM(CX$7:CX49)</f>
        <v>0</v>
      </c>
      <c r="EP49" s="14">
        <f>SUM(CY$7:CY49)</f>
        <v>0</v>
      </c>
      <c r="EQ49" s="14">
        <f>SUM(CZ$7:CZ49)</f>
        <v>0</v>
      </c>
      <c r="ER49" s="14">
        <f>SUM(DA$7:DA49)</f>
        <v>0</v>
      </c>
      <c r="EU49" s="14">
        <f t="shared" si="14"/>
        <v>0</v>
      </c>
      <c r="EV49" s="14">
        <f t="shared" si="15"/>
        <v>0</v>
      </c>
      <c r="EW49" s="14">
        <f t="shared" si="16"/>
        <v>0</v>
      </c>
      <c r="EX49" s="14">
        <f t="shared" si="17"/>
        <v>0</v>
      </c>
      <c r="EY49" s="14">
        <f t="shared" si="18"/>
        <v>0</v>
      </c>
      <c r="EZ49" s="14">
        <f t="shared" si="19"/>
        <v>0</v>
      </c>
      <c r="FA49" s="14">
        <f t="shared" si="20"/>
        <v>0</v>
      </c>
      <c r="FB49" s="14">
        <f t="shared" si="21"/>
        <v>0</v>
      </c>
      <c r="FC49" s="14">
        <f t="shared" si="22"/>
        <v>0</v>
      </c>
      <c r="FD49" s="14">
        <f t="shared" si="23"/>
        <v>0</v>
      </c>
      <c r="FE49" s="14">
        <f t="shared" si="24"/>
        <v>0</v>
      </c>
      <c r="FF49" s="14">
        <f t="shared" si="25"/>
        <v>0</v>
      </c>
      <c r="FG49" s="14">
        <f t="shared" si="26"/>
        <v>0</v>
      </c>
      <c r="FH49" s="14">
        <f t="shared" si="27"/>
        <v>0</v>
      </c>
      <c r="FI49" s="14">
        <f t="shared" si="28"/>
        <v>0</v>
      </c>
      <c r="FJ49" s="14">
        <f t="shared" si="29"/>
        <v>0</v>
      </c>
      <c r="FK49" s="14">
        <f t="shared" si="30"/>
        <v>0</v>
      </c>
      <c r="FL49" s="14">
        <f t="shared" si="31"/>
        <v>0</v>
      </c>
      <c r="FM49" s="14">
        <f t="shared" si="32"/>
        <v>0</v>
      </c>
      <c r="FN49" s="14">
        <f t="shared" si="33"/>
        <v>0</v>
      </c>
      <c r="FO49" s="14">
        <f t="shared" si="34"/>
        <v>0</v>
      </c>
      <c r="FP49" s="14">
        <f t="shared" si="35"/>
        <v>0</v>
      </c>
      <c r="FQ49" s="14">
        <f t="shared" si="36"/>
        <v>0</v>
      </c>
      <c r="FR49" s="14">
        <f t="shared" si="37"/>
        <v>0</v>
      </c>
      <c r="FS49" s="14">
        <f t="shared" si="38"/>
        <v>0</v>
      </c>
      <c r="FT49" s="14">
        <f t="shared" si="39"/>
        <v>0</v>
      </c>
      <c r="FU49" s="14">
        <f t="shared" si="40"/>
        <v>0</v>
      </c>
      <c r="FV49" s="14">
        <f t="shared" si="41"/>
        <v>0</v>
      </c>
      <c r="FW49" s="14">
        <f t="shared" si="42"/>
        <v>0</v>
      </c>
      <c r="FX49" s="14">
        <f t="shared" si="43"/>
        <v>0</v>
      </c>
      <c r="FY49" s="14">
        <f t="shared" si="44"/>
        <v>0</v>
      </c>
      <c r="FZ49" s="14">
        <f t="shared" si="45"/>
        <v>0</v>
      </c>
      <c r="GA49" s="14">
        <f t="shared" si="46"/>
        <v>0</v>
      </c>
      <c r="GB49" s="14">
        <f t="shared" si="47"/>
        <v>0</v>
      </c>
      <c r="GC49" s="14">
        <f t="shared" si="48"/>
        <v>0</v>
      </c>
      <c r="GD49" s="14">
        <f t="shared" si="49"/>
        <v>0</v>
      </c>
      <c r="GE49" s="14">
        <f t="shared" si="50"/>
        <v>0</v>
      </c>
      <c r="GF49" s="14">
        <f t="shared" si="51"/>
        <v>0</v>
      </c>
      <c r="GG49" s="14">
        <f t="shared" si="52"/>
        <v>0</v>
      </c>
      <c r="GH49" s="14">
        <f t="shared" si="53"/>
        <v>0</v>
      </c>
      <c r="GI49" s="14">
        <f t="shared" si="54"/>
        <v>0</v>
      </c>
      <c r="GJ49" s="14">
        <f t="shared" si="55"/>
        <v>0</v>
      </c>
      <c r="GM49" s="91">
        <v>43</v>
      </c>
      <c r="GN49" s="14">
        <f t="shared" si="56"/>
        <v>3</v>
      </c>
      <c r="GO49" s="14">
        <f t="shared" si="57"/>
        <v>1606005</v>
      </c>
      <c r="GP49" s="14" t="str">
        <f t="shared" si="58"/>
        <v>神器1-3 : 13级</v>
      </c>
      <c r="GQ49" s="14" t="s">
        <v>816</v>
      </c>
      <c r="GR49" s="14">
        <f t="shared" si="59"/>
        <v>13</v>
      </c>
      <c r="GS49" s="14" t="str">
        <f t="shared" si="60"/>
        <v>神器1-3</v>
      </c>
      <c r="GT49" s="14">
        <f t="shared" si="61"/>
        <v>7</v>
      </c>
    </row>
    <row r="50" spans="14:202" ht="16.5" x14ac:dyDescent="0.2">
      <c r="AL50" s="87">
        <v>3</v>
      </c>
      <c r="AM50" s="87">
        <v>3</v>
      </c>
      <c r="AN50" s="87">
        <v>17</v>
      </c>
      <c r="AO50" s="144">
        <f t="shared" si="8"/>
        <v>4417</v>
      </c>
      <c r="AP50" s="144" t="s">
        <v>1251</v>
      </c>
      <c r="AQ50" s="144" t="str">
        <f t="shared" si="9"/>
        <v>神器本-3-噩梦-1  神器1-1</v>
      </c>
      <c r="AR50" s="87">
        <v>1</v>
      </c>
      <c r="AS50" s="87" t="s">
        <v>321</v>
      </c>
      <c r="AT50" s="87">
        <v>1500</v>
      </c>
      <c r="AU50" s="87">
        <v>1</v>
      </c>
      <c r="AV50" s="87">
        <v>1</v>
      </c>
      <c r="AW50" s="87">
        <f t="shared" si="10"/>
        <v>1</v>
      </c>
      <c r="AX50" s="14">
        <f t="shared" si="11"/>
        <v>0.15</v>
      </c>
      <c r="AY50" s="14">
        <f t="shared" si="12"/>
        <v>1.5</v>
      </c>
      <c r="BG50" s="87">
        <v>44</v>
      </c>
      <c r="BH50" s="14" t="e">
        <f>INDEX(节奏总表!#REF!,新神器!BG50)</f>
        <v>#REF!</v>
      </c>
      <c r="BI50" s="14" t="e">
        <f t="shared" si="13"/>
        <v>#REF!</v>
      </c>
      <c r="BJ50" s="87">
        <v>3</v>
      </c>
      <c r="BK50" s="87">
        <v>5</v>
      </c>
      <c r="BL50" s="14">
        <f t="shared" si="75"/>
        <v>0</v>
      </c>
      <c r="BM50" s="14">
        <f t="shared" si="75"/>
        <v>0</v>
      </c>
      <c r="BN50" s="14">
        <f t="shared" si="75"/>
        <v>0</v>
      </c>
      <c r="BO50" s="14">
        <f t="shared" si="75"/>
        <v>0</v>
      </c>
      <c r="BP50" s="14">
        <f t="shared" si="75"/>
        <v>0</v>
      </c>
      <c r="BQ50" s="14">
        <f t="shared" si="75"/>
        <v>0</v>
      </c>
      <c r="BR50" s="14">
        <f t="shared" si="75"/>
        <v>0</v>
      </c>
      <c r="BS50" s="14">
        <f t="shared" si="75"/>
        <v>0</v>
      </c>
      <c r="BT50" s="14">
        <f t="shared" si="75"/>
        <v>0</v>
      </c>
      <c r="BU50" s="14">
        <f t="shared" si="75"/>
        <v>0</v>
      </c>
      <c r="BV50" s="14">
        <f t="shared" si="76"/>
        <v>0</v>
      </c>
      <c r="BW50" s="14">
        <f t="shared" si="76"/>
        <v>0</v>
      </c>
      <c r="BX50" s="14">
        <f t="shared" si="76"/>
        <v>0</v>
      </c>
      <c r="BY50" s="14">
        <f t="shared" si="76"/>
        <v>0</v>
      </c>
      <c r="BZ50" s="14">
        <f t="shared" si="76"/>
        <v>0</v>
      </c>
      <c r="CA50" s="14">
        <f t="shared" si="76"/>
        <v>0</v>
      </c>
      <c r="CB50" s="14">
        <f t="shared" si="76"/>
        <v>0</v>
      </c>
      <c r="CC50" s="14">
        <f t="shared" si="76"/>
        <v>0</v>
      </c>
      <c r="CD50" s="14">
        <f t="shared" si="76"/>
        <v>0</v>
      </c>
      <c r="CE50" s="14">
        <f t="shared" si="76"/>
        <v>0</v>
      </c>
      <c r="CF50" s="14">
        <f t="shared" si="77"/>
        <v>0</v>
      </c>
      <c r="CG50" s="14">
        <f t="shared" si="77"/>
        <v>0</v>
      </c>
      <c r="CH50" s="14">
        <f t="shared" si="77"/>
        <v>0</v>
      </c>
      <c r="CI50" s="14">
        <f t="shared" si="77"/>
        <v>0</v>
      </c>
      <c r="CJ50" s="14">
        <f t="shared" si="77"/>
        <v>0</v>
      </c>
      <c r="CK50" s="14">
        <f t="shared" si="77"/>
        <v>0</v>
      </c>
      <c r="CL50" s="14">
        <f t="shared" si="77"/>
        <v>0</v>
      </c>
      <c r="CM50" s="14">
        <f t="shared" si="77"/>
        <v>0</v>
      </c>
      <c r="CN50" s="14">
        <f t="shared" si="77"/>
        <v>0</v>
      </c>
      <c r="CO50" s="14">
        <f t="shared" si="77"/>
        <v>0</v>
      </c>
      <c r="CP50" s="14">
        <f t="shared" si="78"/>
        <v>0</v>
      </c>
      <c r="CQ50" s="14">
        <f t="shared" si="78"/>
        <v>0</v>
      </c>
      <c r="CR50" s="14">
        <f t="shared" si="78"/>
        <v>0</v>
      </c>
      <c r="CS50" s="14">
        <f t="shared" si="78"/>
        <v>0</v>
      </c>
      <c r="CT50" s="14">
        <f t="shared" si="78"/>
        <v>0</v>
      </c>
      <c r="CU50" s="14">
        <f t="shared" si="78"/>
        <v>0</v>
      </c>
      <c r="CV50" s="14">
        <f t="shared" si="78"/>
        <v>0</v>
      </c>
      <c r="CW50" s="14">
        <f t="shared" si="78"/>
        <v>0</v>
      </c>
      <c r="CX50" s="14">
        <f t="shared" si="78"/>
        <v>0</v>
      </c>
      <c r="CY50" s="14">
        <f t="shared" si="78"/>
        <v>0</v>
      </c>
      <c r="CZ50" s="14">
        <f t="shared" si="78"/>
        <v>0</v>
      </c>
      <c r="DA50" s="14">
        <f t="shared" si="78"/>
        <v>0</v>
      </c>
      <c r="DC50" s="14">
        <f>SUM(BL$7:BL50)</f>
        <v>0</v>
      </c>
      <c r="DD50" s="14">
        <f>SUM(BM$7:BM50)</f>
        <v>0</v>
      </c>
      <c r="DE50" s="14">
        <f>SUM(BN$7:BN50)</f>
        <v>0</v>
      </c>
      <c r="DF50" s="14">
        <f>SUM(BO$7:BO50)</f>
        <v>0</v>
      </c>
      <c r="DG50" s="14">
        <f>SUM(BP$7:BP50)</f>
        <v>0</v>
      </c>
      <c r="DH50" s="14">
        <f>SUM(BQ$7:BQ50)</f>
        <v>0</v>
      </c>
      <c r="DI50" s="14">
        <f>SUM(BR$7:BR50)</f>
        <v>0</v>
      </c>
      <c r="DJ50" s="14">
        <f>SUM(BS$7:BS50)</f>
        <v>0</v>
      </c>
      <c r="DK50" s="14">
        <f>SUM(BT$7:BT50)</f>
        <v>0</v>
      </c>
      <c r="DL50" s="14">
        <f>SUM(BU$7:BU50)</f>
        <v>0</v>
      </c>
      <c r="DM50" s="14">
        <f>SUM(BV$7:BV50)</f>
        <v>0</v>
      </c>
      <c r="DN50" s="14">
        <f>SUM(BW$7:BW50)</f>
        <v>0</v>
      </c>
      <c r="DO50" s="14">
        <f>SUM(BX$7:BX50)</f>
        <v>0</v>
      </c>
      <c r="DP50" s="14">
        <f>SUM(BY$7:BY50)</f>
        <v>0</v>
      </c>
      <c r="DQ50" s="14">
        <f>SUM(BZ$7:BZ50)</f>
        <v>0</v>
      </c>
      <c r="DR50" s="14">
        <f>SUM(CA$7:CA50)</f>
        <v>0</v>
      </c>
      <c r="DS50" s="14">
        <f>SUM(CB$7:CB50)</f>
        <v>0</v>
      </c>
      <c r="DT50" s="14">
        <f>SUM(CC$7:CC50)</f>
        <v>0</v>
      </c>
      <c r="DU50" s="14">
        <f>SUM(CD$7:CD50)</f>
        <v>0</v>
      </c>
      <c r="DV50" s="14">
        <f>SUM(CE$7:CE50)</f>
        <v>0</v>
      </c>
      <c r="DW50" s="14">
        <f>SUM(CF$7:CF50)</f>
        <v>0</v>
      </c>
      <c r="DX50" s="14">
        <f>SUM(CG$7:CG50)</f>
        <v>0</v>
      </c>
      <c r="DY50" s="14">
        <f>SUM(CH$7:CH50)</f>
        <v>0</v>
      </c>
      <c r="DZ50" s="14">
        <f>SUM(CI$7:CI50)</f>
        <v>0</v>
      </c>
      <c r="EA50" s="14">
        <f>SUM(CJ$7:CJ50)</f>
        <v>0</v>
      </c>
      <c r="EB50" s="14">
        <f>SUM(CK$7:CK50)</f>
        <v>0</v>
      </c>
      <c r="EC50" s="14">
        <f>SUM(CL$7:CL50)</f>
        <v>0</v>
      </c>
      <c r="ED50" s="14">
        <f>SUM(CM$7:CM50)</f>
        <v>0</v>
      </c>
      <c r="EE50" s="14">
        <f>SUM(CN$7:CN50)</f>
        <v>0</v>
      </c>
      <c r="EF50" s="14">
        <f>SUM(CO$7:CO50)</f>
        <v>0</v>
      </c>
      <c r="EG50" s="14">
        <f>SUM(CP$7:CP50)</f>
        <v>0</v>
      </c>
      <c r="EH50" s="14">
        <f>SUM(CQ$7:CQ50)</f>
        <v>0</v>
      </c>
      <c r="EI50" s="14">
        <f>SUM(CR$7:CR50)</f>
        <v>0</v>
      </c>
      <c r="EJ50" s="14">
        <f>SUM(CS$7:CS50)</f>
        <v>0</v>
      </c>
      <c r="EK50" s="14">
        <f>SUM(CT$7:CT50)</f>
        <v>0</v>
      </c>
      <c r="EL50" s="14">
        <f>SUM(CU$7:CU50)</f>
        <v>0</v>
      </c>
      <c r="EM50" s="14">
        <f>SUM(CV$7:CV50)</f>
        <v>0</v>
      </c>
      <c r="EN50" s="14">
        <f>SUM(CW$7:CW50)</f>
        <v>0</v>
      </c>
      <c r="EO50" s="14">
        <f>SUM(CX$7:CX50)</f>
        <v>0</v>
      </c>
      <c r="EP50" s="14">
        <f>SUM(CY$7:CY50)</f>
        <v>0</v>
      </c>
      <c r="EQ50" s="14">
        <f>SUM(CZ$7:CZ50)</f>
        <v>0</v>
      </c>
      <c r="ER50" s="14">
        <f>SUM(DA$7:DA50)</f>
        <v>0</v>
      </c>
      <c r="EU50" s="14">
        <f t="shared" si="14"/>
        <v>0</v>
      </c>
      <c r="EV50" s="14">
        <f t="shared" si="15"/>
        <v>0</v>
      </c>
      <c r="EW50" s="14">
        <f t="shared" si="16"/>
        <v>0</v>
      </c>
      <c r="EX50" s="14">
        <f t="shared" si="17"/>
        <v>0</v>
      </c>
      <c r="EY50" s="14">
        <f t="shared" si="18"/>
        <v>0</v>
      </c>
      <c r="EZ50" s="14">
        <f t="shared" si="19"/>
        <v>0</v>
      </c>
      <c r="FA50" s="14">
        <f t="shared" si="20"/>
        <v>0</v>
      </c>
      <c r="FB50" s="14">
        <f t="shared" si="21"/>
        <v>0</v>
      </c>
      <c r="FC50" s="14">
        <f t="shared" si="22"/>
        <v>0</v>
      </c>
      <c r="FD50" s="14">
        <f t="shared" si="23"/>
        <v>0</v>
      </c>
      <c r="FE50" s="14">
        <f t="shared" si="24"/>
        <v>0</v>
      </c>
      <c r="FF50" s="14">
        <f t="shared" si="25"/>
        <v>0</v>
      </c>
      <c r="FG50" s="14">
        <f t="shared" si="26"/>
        <v>0</v>
      </c>
      <c r="FH50" s="14">
        <f t="shared" si="27"/>
        <v>0</v>
      </c>
      <c r="FI50" s="14">
        <f t="shared" si="28"/>
        <v>0</v>
      </c>
      <c r="FJ50" s="14">
        <f t="shared" si="29"/>
        <v>0</v>
      </c>
      <c r="FK50" s="14">
        <f t="shared" si="30"/>
        <v>0</v>
      </c>
      <c r="FL50" s="14">
        <f t="shared" si="31"/>
        <v>0</v>
      </c>
      <c r="FM50" s="14">
        <f t="shared" si="32"/>
        <v>0</v>
      </c>
      <c r="FN50" s="14">
        <f t="shared" si="33"/>
        <v>0</v>
      </c>
      <c r="FO50" s="14">
        <f t="shared" si="34"/>
        <v>0</v>
      </c>
      <c r="FP50" s="14">
        <f t="shared" si="35"/>
        <v>0</v>
      </c>
      <c r="FQ50" s="14">
        <f t="shared" si="36"/>
        <v>0</v>
      </c>
      <c r="FR50" s="14">
        <f t="shared" si="37"/>
        <v>0</v>
      </c>
      <c r="FS50" s="14">
        <f t="shared" si="38"/>
        <v>0</v>
      </c>
      <c r="FT50" s="14">
        <f t="shared" si="39"/>
        <v>0</v>
      </c>
      <c r="FU50" s="14">
        <f t="shared" si="40"/>
        <v>0</v>
      </c>
      <c r="FV50" s="14">
        <f t="shared" si="41"/>
        <v>0</v>
      </c>
      <c r="FW50" s="14">
        <f t="shared" si="42"/>
        <v>0</v>
      </c>
      <c r="FX50" s="14">
        <f t="shared" si="43"/>
        <v>0</v>
      </c>
      <c r="FY50" s="14">
        <f t="shared" si="44"/>
        <v>0</v>
      </c>
      <c r="FZ50" s="14">
        <f t="shared" si="45"/>
        <v>0</v>
      </c>
      <c r="GA50" s="14">
        <f t="shared" si="46"/>
        <v>0</v>
      </c>
      <c r="GB50" s="14">
        <f t="shared" si="47"/>
        <v>0</v>
      </c>
      <c r="GC50" s="14">
        <f t="shared" si="48"/>
        <v>0</v>
      </c>
      <c r="GD50" s="14">
        <f t="shared" si="49"/>
        <v>0</v>
      </c>
      <c r="GE50" s="14">
        <f t="shared" si="50"/>
        <v>0</v>
      </c>
      <c r="GF50" s="14">
        <f t="shared" si="51"/>
        <v>0</v>
      </c>
      <c r="GG50" s="14">
        <f t="shared" si="52"/>
        <v>0</v>
      </c>
      <c r="GH50" s="14">
        <f t="shared" si="53"/>
        <v>0</v>
      </c>
      <c r="GI50" s="14">
        <f t="shared" si="54"/>
        <v>0</v>
      </c>
      <c r="GJ50" s="14">
        <f t="shared" si="55"/>
        <v>0</v>
      </c>
      <c r="GM50" s="91">
        <v>44</v>
      </c>
      <c r="GN50" s="14">
        <f t="shared" si="56"/>
        <v>3</v>
      </c>
      <c r="GO50" s="14">
        <f t="shared" si="57"/>
        <v>1606005</v>
      </c>
      <c r="GP50" s="14" t="str">
        <f t="shared" si="58"/>
        <v>神器1-3 : 1级</v>
      </c>
      <c r="GQ50" s="14" t="s">
        <v>816</v>
      </c>
      <c r="GR50" s="14">
        <f t="shared" si="59"/>
        <v>14</v>
      </c>
      <c r="GS50" s="14" t="str">
        <f t="shared" si="60"/>
        <v>神器1-3</v>
      </c>
      <c r="GT50" s="14">
        <f t="shared" si="61"/>
        <v>7</v>
      </c>
    </row>
    <row r="51" spans="14:202" ht="16.5" x14ac:dyDescent="0.2">
      <c r="AL51" s="87">
        <v>3</v>
      </c>
      <c r="AM51" s="87">
        <v>3</v>
      </c>
      <c r="AN51" s="87">
        <v>17</v>
      </c>
      <c r="AO51" s="144">
        <f t="shared" si="8"/>
        <v>4417</v>
      </c>
      <c r="AP51" s="144" t="s">
        <v>1251</v>
      </c>
      <c r="AQ51" s="144" t="str">
        <f t="shared" si="9"/>
        <v>神器本-3-噩梦-1  神器1-2</v>
      </c>
      <c r="AR51" s="87">
        <v>2</v>
      </c>
      <c r="AS51" s="87" t="s">
        <v>322</v>
      </c>
      <c r="AT51" s="87">
        <v>1500</v>
      </c>
      <c r="AU51" s="87">
        <v>1</v>
      </c>
      <c r="AV51" s="87">
        <v>1</v>
      </c>
      <c r="AW51" s="87">
        <f t="shared" si="10"/>
        <v>1</v>
      </c>
      <c r="AX51" s="14">
        <f t="shared" si="11"/>
        <v>0.15</v>
      </c>
      <c r="AY51" s="14">
        <f t="shared" si="12"/>
        <v>1.5</v>
      </c>
      <c r="BG51" s="87">
        <v>45</v>
      </c>
      <c r="BH51" s="14" t="e">
        <f>INDEX(节奏总表!#REF!,新神器!BG51)</f>
        <v>#REF!</v>
      </c>
      <c r="BI51" s="14" t="e">
        <f t="shared" si="13"/>
        <v>#REF!</v>
      </c>
      <c r="BJ51" s="87">
        <v>3</v>
      </c>
      <c r="BK51" s="87">
        <v>5</v>
      </c>
      <c r="BL51" s="14">
        <f t="shared" si="75"/>
        <v>0</v>
      </c>
      <c r="BM51" s="14">
        <f t="shared" si="75"/>
        <v>0</v>
      </c>
      <c r="BN51" s="14">
        <f t="shared" si="75"/>
        <v>0</v>
      </c>
      <c r="BO51" s="14">
        <f t="shared" si="75"/>
        <v>0</v>
      </c>
      <c r="BP51" s="14">
        <f t="shared" si="75"/>
        <v>0</v>
      </c>
      <c r="BQ51" s="14">
        <f t="shared" si="75"/>
        <v>0</v>
      </c>
      <c r="BR51" s="14">
        <f t="shared" si="75"/>
        <v>0</v>
      </c>
      <c r="BS51" s="14">
        <f t="shared" si="75"/>
        <v>0</v>
      </c>
      <c r="BT51" s="14">
        <f t="shared" si="75"/>
        <v>0</v>
      </c>
      <c r="BU51" s="14">
        <f t="shared" si="75"/>
        <v>0</v>
      </c>
      <c r="BV51" s="14">
        <f t="shared" si="76"/>
        <v>0</v>
      </c>
      <c r="BW51" s="14">
        <f t="shared" si="76"/>
        <v>0</v>
      </c>
      <c r="BX51" s="14">
        <f t="shared" si="76"/>
        <v>0</v>
      </c>
      <c r="BY51" s="14">
        <f t="shared" si="76"/>
        <v>0</v>
      </c>
      <c r="BZ51" s="14">
        <f t="shared" si="76"/>
        <v>0</v>
      </c>
      <c r="CA51" s="14">
        <f t="shared" si="76"/>
        <v>0</v>
      </c>
      <c r="CB51" s="14">
        <f t="shared" si="76"/>
        <v>0</v>
      </c>
      <c r="CC51" s="14">
        <f t="shared" si="76"/>
        <v>0</v>
      </c>
      <c r="CD51" s="14">
        <f t="shared" si="76"/>
        <v>0</v>
      </c>
      <c r="CE51" s="14">
        <f t="shared" si="76"/>
        <v>0</v>
      </c>
      <c r="CF51" s="14">
        <f t="shared" si="77"/>
        <v>0</v>
      </c>
      <c r="CG51" s="14">
        <f t="shared" si="77"/>
        <v>0</v>
      </c>
      <c r="CH51" s="14">
        <f t="shared" si="77"/>
        <v>0</v>
      </c>
      <c r="CI51" s="14">
        <f t="shared" si="77"/>
        <v>0</v>
      </c>
      <c r="CJ51" s="14">
        <f t="shared" si="77"/>
        <v>0</v>
      </c>
      <c r="CK51" s="14">
        <f t="shared" si="77"/>
        <v>0</v>
      </c>
      <c r="CL51" s="14">
        <f t="shared" si="77"/>
        <v>0</v>
      </c>
      <c r="CM51" s="14">
        <f t="shared" si="77"/>
        <v>0</v>
      </c>
      <c r="CN51" s="14">
        <f t="shared" si="77"/>
        <v>0</v>
      </c>
      <c r="CO51" s="14">
        <f t="shared" si="77"/>
        <v>0</v>
      </c>
      <c r="CP51" s="14">
        <f t="shared" si="78"/>
        <v>0</v>
      </c>
      <c r="CQ51" s="14">
        <f t="shared" si="78"/>
        <v>0</v>
      </c>
      <c r="CR51" s="14">
        <f t="shared" si="78"/>
        <v>0</v>
      </c>
      <c r="CS51" s="14">
        <f t="shared" si="78"/>
        <v>0</v>
      </c>
      <c r="CT51" s="14">
        <f t="shared" si="78"/>
        <v>0</v>
      </c>
      <c r="CU51" s="14">
        <f t="shared" si="78"/>
        <v>0</v>
      </c>
      <c r="CV51" s="14">
        <f t="shared" si="78"/>
        <v>0</v>
      </c>
      <c r="CW51" s="14">
        <f t="shared" si="78"/>
        <v>0</v>
      </c>
      <c r="CX51" s="14">
        <f t="shared" si="78"/>
        <v>0</v>
      </c>
      <c r="CY51" s="14">
        <f t="shared" si="78"/>
        <v>0</v>
      </c>
      <c r="CZ51" s="14">
        <f t="shared" si="78"/>
        <v>0</v>
      </c>
      <c r="DA51" s="14">
        <f t="shared" si="78"/>
        <v>0</v>
      </c>
      <c r="DC51" s="14">
        <f>SUM(BL$7:BL51)</f>
        <v>0</v>
      </c>
      <c r="DD51" s="14">
        <f>SUM(BM$7:BM51)</f>
        <v>0</v>
      </c>
      <c r="DE51" s="14">
        <f>SUM(BN$7:BN51)</f>
        <v>0</v>
      </c>
      <c r="DF51" s="14">
        <f>SUM(BO$7:BO51)</f>
        <v>0</v>
      </c>
      <c r="DG51" s="14">
        <f>SUM(BP$7:BP51)</f>
        <v>0</v>
      </c>
      <c r="DH51" s="14">
        <f>SUM(BQ$7:BQ51)</f>
        <v>0</v>
      </c>
      <c r="DI51" s="14">
        <f>SUM(BR$7:BR51)</f>
        <v>0</v>
      </c>
      <c r="DJ51" s="14">
        <f>SUM(BS$7:BS51)</f>
        <v>0</v>
      </c>
      <c r="DK51" s="14">
        <f>SUM(BT$7:BT51)</f>
        <v>0</v>
      </c>
      <c r="DL51" s="14">
        <f>SUM(BU$7:BU51)</f>
        <v>0</v>
      </c>
      <c r="DM51" s="14">
        <f>SUM(BV$7:BV51)</f>
        <v>0</v>
      </c>
      <c r="DN51" s="14">
        <f>SUM(BW$7:BW51)</f>
        <v>0</v>
      </c>
      <c r="DO51" s="14">
        <f>SUM(BX$7:BX51)</f>
        <v>0</v>
      </c>
      <c r="DP51" s="14">
        <f>SUM(BY$7:BY51)</f>
        <v>0</v>
      </c>
      <c r="DQ51" s="14">
        <f>SUM(BZ$7:BZ51)</f>
        <v>0</v>
      </c>
      <c r="DR51" s="14">
        <f>SUM(CA$7:CA51)</f>
        <v>0</v>
      </c>
      <c r="DS51" s="14">
        <f>SUM(CB$7:CB51)</f>
        <v>0</v>
      </c>
      <c r="DT51" s="14">
        <f>SUM(CC$7:CC51)</f>
        <v>0</v>
      </c>
      <c r="DU51" s="14">
        <f>SUM(CD$7:CD51)</f>
        <v>0</v>
      </c>
      <c r="DV51" s="14">
        <f>SUM(CE$7:CE51)</f>
        <v>0</v>
      </c>
      <c r="DW51" s="14">
        <f>SUM(CF$7:CF51)</f>
        <v>0</v>
      </c>
      <c r="DX51" s="14">
        <f>SUM(CG$7:CG51)</f>
        <v>0</v>
      </c>
      <c r="DY51" s="14">
        <f>SUM(CH$7:CH51)</f>
        <v>0</v>
      </c>
      <c r="DZ51" s="14">
        <f>SUM(CI$7:CI51)</f>
        <v>0</v>
      </c>
      <c r="EA51" s="14">
        <f>SUM(CJ$7:CJ51)</f>
        <v>0</v>
      </c>
      <c r="EB51" s="14">
        <f>SUM(CK$7:CK51)</f>
        <v>0</v>
      </c>
      <c r="EC51" s="14">
        <f>SUM(CL$7:CL51)</f>
        <v>0</v>
      </c>
      <c r="ED51" s="14">
        <f>SUM(CM$7:CM51)</f>
        <v>0</v>
      </c>
      <c r="EE51" s="14">
        <f>SUM(CN$7:CN51)</f>
        <v>0</v>
      </c>
      <c r="EF51" s="14">
        <f>SUM(CO$7:CO51)</f>
        <v>0</v>
      </c>
      <c r="EG51" s="14">
        <f>SUM(CP$7:CP51)</f>
        <v>0</v>
      </c>
      <c r="EH51" s="14">
        <f>SUM(CQ$7:CQ51)</f>
        <v>0</v>
      </c>
      <c r="EI51" s="14">
        <f>SUM(CR$7:CR51)</f>
        <v>0</v>
      </c>
      <c r="EJ51" s="14">
        <f>SUM(CS$7:CS51)</f>
        <v>0</v>
      </c>
      <c r="EK51" s="14">
        <f>SUM(CT$7:CT51)</f>
        <v>0</v>
      </c>
      <c r="EL51" s="14">
        <f>SUM(CU$7:CU51)</f>
        <v>0</v>
      </c>
      <c r="EM51" s="14">
        <f>SUM(CV$7:CV51)</f>
        <v>0</v>
      </c>
      <c r="EN51" s="14">
        <f>SUM(CW$7:CW51)</f>
        <v>0</v>
      </c>
      <c r="EO51" s="14">
        <f>SUM(CX$7:CX51)</f>
        <v>0</v>
      </c>
      <c r="EP51" s="14">
        <f>SUM(CY$7:CY51)</f>
        <v>0</v>
      </c>
      <c r="EQ51" s="14">
        <f>SUM(CZ$7:CZ51)</f>
        <v>0</v>
      </c>
      <c r="ER51" s="14">
        <f>SUM(DA$7:DA51)</f>
        <v>0</v>
      </c>
      <c r="EU51" s="14">
        <f t="shared" si="14"/>
        <v>0</v>
      </c>
      <c r="EV51" s="14">
        <f t="shared" si="15"/>
        <v>0</v>
      </c>
      <c r="EW51" s="14">
        <f t="shared" si="16"/>
        <v>0</v>
      </c>
      <c r="EX51" s="14">
        <f t="shared" si="17"/>
        <v>0</v>
      </c>
      <c r="EY51" s="14">
        <f t="shared" si="18"/>
        <v>0</v>
      </c>
      <c r="EZ51" s="14">
        <f t="shared" si="19"/>
        <v>0</v>
      </c>
      <c r="FA51" s="14">
        <f t="shared" si="20"/>
        <v>0</v>
      </c>
      <c r="FB51" s="14">
        <f t="shared" si="21"/>
        <v>0</v>
      </c>
      <c r="FC51" s="14">
        <f t="shared" si="22"/>
        <v>0</v>
      </c>
      <c r="FD51" s="14">
        <f t="shared" si="23"/>
        <v>0</v>
      </c>
      <c r="FE51" s="14">
        <f t="shared" si="24"/>
        <v>0</v>
      </c>
      <c r="FF51" s="14">
        <f t="shared" si="25"/>
        <v>0</v>
      </c>
      <c r="FG51" s="14">
        <f t="shared" si="26"/>
        <v>0</v>
      </c>
      <c r="FH51" s="14">
        <f t="shared" si="27"/>
        <v>0</v>
      </c>
      <c r="FI51" s="14">
        <f t="shared" si="28"/>
        <v>0</v>
      </c>
      <c r="FJ51" s="14">
        <f t="shared" si="29"/>
        <v>0</v>
      </c>
      <c r="FK51" s="14">
        <f t="shared" si="30"/>
        <v>0</v>
      </c>
      <c r="FL51" s="14">
        <f t="shared" si="31"/>
        <v>0</v>
      </c>
      <c r="FM51" s="14">
        <f t="shared" si="32"/>
        <v>0</v>
      </c>
      <c r="FN51" s="14">
        <f t="shared" si="33"/>
        <v>0</v>
      </c>
      <c r="FO51" s="14">
        <f t="shared" si="34"/>
        <v>0</v>
      </c>
      <c r="FP51" s="14">
        <f t="shared" si="35"/>
        <v>0</v>
      </c>
      <c r="FQ51" s="14">
        <f t="shared" si="36"/>
        <v>0</v>
      </c>
      <c r="FR51" s="14">
        <f t="shared" si="37"/>
        <v>0</v>
      </c>
      <c r="FS51" s="14">
        <f t="shared" si="38"/>
        <v>0</v>
      </c>
      <c r="FT51" s="14">
        <f t="shared" si="39"/>
        <v>0</v>
      </c>
      <c r="FU51" s="14">
        <f t="shared" si="40"/>
        <v>0</v>
      </c>
      <c r="FV51" s="14">
        <f t="shared" si="41"/>
        <v>0</v>
      </c>
      <c r="FW51" s="14">
        <f t="shared" si="42"/>
        <v>0</v>
      </c>
      <c r="FX51" s="14">
        <f t="shared" si="43"/>
        <v>0</v>
      </c>
      <c r="FY51" s="14">
        <f t="shared" si="44"/>
        <v>0</v>
      </c>
      <c r="FZ51" s="14">
        <f t="shared" si="45"/>
        <v>0</v>
      </c>
      <c r="GA51" s="14">
        <f t="shared" si="46"/>
        <v>0</v>
      </c>
      <c r="GB51" s="14">
        <f t="shared" si="47"/>
        <v>0</v>
      </c>
      <c r="GC51" s="14">
        <f t="shared" si="48"/>
        <v>0</v>
      </c>
      <c r="GD51" s="14">
        <f t="shared" si="49"/>
        <v>0</v>
      </c>
      <c r="GE51" s="14">
        <f t="shared" si="50"/>
        <v>0</v>
      </c>
      <c r="GF51" s="14">
        <f t="shared" si="51"/>
        <v>0</v>
      </c>
      <c r="GG51" s="14">
        <f t="shared" si="52"/>
        <v>0</v>
      </c>
      <c r="GH51" s="14">
        <f t="shared" si="53"/>
        <v>0</v>
      </c>
      <c r="GI51" s="14">
        <f t="shared" si="54"/>
        <v>0</v>
      </c>
      <c r="GJ51" s="14">
        <f t="shared" si="55"/>
        <v>0</v>
      </c>
      <c r="GM51" s="91">
        <v>45</v>
      </c>
      <c r="GN51" s="14">
        <f t="shared" si="56"/>
        <v>3</v>
      </c>
      <c r="GO51" s="14">
        <f t="shared" si="57"/>
        <v>1606005</v>
      </c>
      <c r="GP51" s="14" t="str">
        <f t="shared" si="58"/>
        <v>神器1-3 : 2级</v>
      </c>
      <c r="GQ51" s="14" t="s">
        <v>816</v>
      </c>
      <c r="GR51" s="14">
        <f t="shared" si="59"/>
        <v>15</v>
      </c>
      <c r="GS51" s="14" t="str">
        <f t="shared" si="60"/>
        <v>神器1-3</v>
      </c>
      <c r="GT51" s="14">
        <f t="shared" si="61"/>
        <v>7</v>
      </c>
    </row>
    <row r="52" spans="14:202" ht="16.5" x14ac:dyDescent="0.2">
      <c r="AL52" s="87">
        <v>3</v>
      </c>
      <c r="AM52" s="87">
        <v>3</v>
      </c>
      <c r="AN52" s="87">
        <v>17</v>
      </c>
      <c r="AO52" s="144">
        <f t="shared" si="8"/>
        <v>4417</v>
      </c>
      <c r="AP52" s="144" t="s">
        <v>1251</v>
      </c>
      <c r="AQ52" s="144" t="str">
        <f t="shared" si="9"/>
        <v>神器本-3-噩梦-1  神器1-3</v>
      </c>
      <c r="AR52" s="87">
        <v>3</v>
      </c>
      <c r="AS52" s="87" t="s">
        <v>323</v>
      </c>
      <c r="AT52" s="87">
        <v>1000</v>
      </c>
      <c r="AU52" s="87">
        <v>1</v>
      </c>
      <c r="AV52" s="87">
        <v>1</v>
      </c>
      <c r="AW52" s="87">
        <f t="shared" si="10"/>
        <v>2</v>
      </c>
      <c r="AX52" s="14">
        <f t="shared" si="11"/>
        <v>0.1</v>
      </c>
      <c r="AY52" s="14">
        <f t="shared" si="12"/>
        <v>3</v>
      </c>
      <c r="BG52" s="87">
        <v>46</v>
      </c>
      <c r="BH52" s="14" t="e">
        <f>INDEX(节奏总表!#REF!,新神器!BG52)</f>
        <v>#REF!</v>
      </c>
      <c r="BI52" s="14" t="e">
        <f t="shared" si="13"/>
        <v>#REF!</v>
      </c>
      <c r="BJ52" s="87">
        <v>3</v>
      </c>
      <c r="BK52" s="87">
        <v>5</v>
      </c>
      <c r="BL52" s="14">
        <f t="shared" si="75"/>
        <v>0</v>
      </c>
      <c r="BM52" s="14">
        <f t="shared" si="75"/>
        <v>0</v>
      </c>
      <c r="BN52" s="14">
        <f t="shared" si="75"/>
        <v>0</v>
      </c>
      <c r="BO52" s="14">
        <f t="shared" si="75"/>
        <v>0</v>
      </c>
      <c r="BP52" s="14">
        <f t="shared" si="75"/>
        <v>0</v>
      </c>
      <c r="BQ52" s="14">
        <f t="shared" si="75"/>
        <v>0</v>
      </c>
      <c r="BR52" s="14">
        <f t="shared" si="75"/>
        <v>0</v>
      </c>
      <c r="BS52" s="14">
        <f t="shared" si="75"/>
        <v>0</v>
      </c>
      <c r="BT52" s="14">
        <f t="shared" si="75"/>
        <v>0</v>
      </c>
      <c r="BU52" s="14">
        <f t="shared" si="75"/>
        <v>0</v>
      </c>
      <c r="BV52" s="14">
        <f t="shared" si="76"/>
        <v>0</v>
      </c>
      <c r="BW52" s="14">
        <f t="shared" si="76"/>
        <v>0</v>
      </c>
      <c r="BX52" s="14">
        <f t="shared" si="76"/>
        <v>0</v>
      </c>
      <c r="BY52" s="14">
        <f t="shared" si="76"/>
        <v>0</v>
      </c>
      <c r="BZ52" s="14">
        <f t="shared" si="76"/>
        <v>0</v>
      </c>
      <c r="CA52" s="14">
        <f t="shared" si="76"/>
        <v>0</v>
      </c>
      <c r="CB52" s="14">
        <f t="shared" si="76"/>
        <v>0</v>
      </c>
      <c r="CC52" s="14">
        <f t="shared" si="76"/>
        <v>0</v>
      </c>
      <c r="CD52" s="14">
        <f t="shared" si="76"/>
        <v>0</v>
      </c>
      <c r="CE52" s="14">
        <f t="shared" si="76"/>
        <v>0</v>
      </c>
      <c r="CF52" s="14">
        <f t="shared" si="77"/>
        <v>0</v>
      </c>
      <c r="CG52" s="14">
        <f t="shared" si="77"/>
        <v>0</v>
      </c>
      <c r="CH52" s="14">
        <f t="shared" si="77"/>
        <v>0</v>
      </c>
      <c r="CI52" s="14">
        <f t="shared" si="77"/>
        <v>0</v>
      </c>
      <c r="CJ52" s="14">
        <f t="shared" si="77"/>
        <v>0</v>
      </c>
      <c r="CK52" s="14">
        <f t="shared" si="77"/>
        <v>0</v>
      </c>
      <c r="CL52" s="14">
        <f t="shared" si="77"/>
        <v>0</v>
      </c>
      <c r="CM52" s="14">
        <f t="shared" si="77"/>
        <v>0</v>
      </c>
      <c r="CN52" s="14">
        <f t="shared" si="77"/>
        <v>0</v>
      </c>
      <c r="CO52" s="14">
        <f t="shared" si="77"/>
        <v>0</v>
      </c>
      <c r="CP52" s="14">
        <f t="shared" si="78"/>
        <v>0</v>
      </c>
      <c r="CQ52" s="14">
        <f t="shared" si="78"/>
        <v>0</v>
      </c>
      <c r="CR52" s="14">
        <f t="shared" si="78"/>
        <v>0</v>
      </c>
      <c r="CS52" s="14">
        <f t="shared" si="78"/>
        <v>0</v>
      </c>
      <c r="CT52" s="14">
        <f t="shared" si="78"/>
        <v>0</v>
      </c>
      <c r="CU52" s="14">
        <f t="shared" si="78"/>
        <v>0</v>
      </c>
      <c r="CV52" s="14">
        <f t="shared" si="78"/>
        <v>0</v>
      </c>
      <c r="CW52" s="14">
        <f t="shared" si="78"/>
        <v>0</v>
      </c>
      <c r="CX52" s="14">
        <f t="shared" si="78"/>
        <v>0</v>
      </c>
      <c r="CY52" s="14">
        <f t="shared" si="78"/>
        <v>0</v>
      </c>
      <c r="CZ52" s="14">
        <f t="shared" si="78"/>
        <v>0</v>
      </c>
      <c r="DA52" s="14">
        <f t="shared" si="78"/>
        <v>0</v>
      </c>
      <c r="DC52" s="14">
        <f>SUM(BL$7:BL52)</f>
        <v>0</v>
      </c>
      <c r="DD52" s="14">
        <f>SUM(BM$7:BM52)</f>
        <v>0</v>
      </c>
      <c r="DE52" s="14">
        <f>SUM(BN$7:BN52)</f>
        <v>0</v>
      </c>
      <c r="DF52" s="14">
        <f>SUM(BO$7:BO52)</f>
        <v>0</v>
      </c>
      <c r="DG52" s="14">
        <f>SUM(BP$7:BP52)</f>
        <v>0</v>
      </c>
      <c r="DH52" s="14">
        <f>SUM(BQ$7:BQ52)</f>
        <v>0</v>
      </c>
      <c r="DI52" s="14">
        <f>SUM(BR$7:BR52)</f>
        <v>0</v>
      </c>
      <c r="DJ52" s="14">
        <f>SUM(BS$7:BS52)</f>
        <v>0</v>
      </c>
      <c r="DK52" s="14">
        <f>SUM(BT$7:BT52)</f>
        <v>0</v>
      </c>
      <c r="DL52" s="14">
        <f>SUM(BU$7:BU52)</f>
        <v>0</v>
      </c>
      <c r="DM52" s="14">
        <f>SUM(BV$7:BV52)</f>
        <v>0</v>
      </c>
      <c r="DN52" s="14">
        <f>SUM(BW$7:BW52)</f>
        <v>0</v>
      </c>
      <c r="DO52" s="14">
        <f>SUM(BX$7:BX52)</f>
        <v>0</v>
      </c>
      <c r="DP52" s="14">
        <f>SUM(BY$7:BY52)</f>
        <v>0</v>
      </c>
      <c r="DQ52" s="14">
        <f>SUM(BZ$7:BZ52)</f>
        <v>0</v>
      </c>
      <c r="DR52" s="14">
        <f>SUM(CA$7:CA52)</f>
        <v>0</v>
      </c>
      <c r="DS52" s="14">
        <f>SUM(CB$7:CB52)</f>
        <v>0</v>
      </c>
      <c r="DT52" s="14">
        <f>SUM(CC$7:CC52)</f>
        <v>0</v>
      </c>
      <c r="DU52" s="14">
        <f>SUM(CD$7:CD52)</f>
        <v>0</v>
      </c>
      <c r="DV52" s="14">
        <f>SUM(CE$7:CE52)</f>
        <v>0</v>
      </c>
      <c r="DW52" s="14">
        <f>SUM(CF$7:CF52)</f>
        <v>0</v>
      </c>
      <c r="DX52" s="14">
        <f>SUM(CG$7:CG52)</f>
        <v>0</v>
      </c>
      <c r="DY52" s="14">
        <f>SUM(CH$7:CH52)</f>
        <v>0</v>
      </c>
      <c r="DZ52" s="14">
        <f>SUM(CI$7:CI52)</f>
        <v>0</v>
      </c>
      <c r="EA52" s="14">
        <f>SUM(CJ$7:CJ52)</f>
        <v>0</v>
      </c>
      <c r="EB52" s="14">
        <f>SUM(CK$7:CK52)</f>
        <v>0</v>
      </c>
      <c r="EC52" s="14">
        <f>SUM(CL$7:CL52)</f>
        <v>0</v>
      </c>
      <c r="ED52" s="14">
        <f>SUM(CM$7:CM52)</f>
        <v>0</v>
      </c>
      <c r="EE52" s="14">
        <f>SUM(CN$7:CN52)</f>
        <v>0</v>
      </c>
      <c r="EF52" s="14">
        <f>SUM(CO$7:CO52)</f>
        <v>0</v>
      </c>
      <c r="EG52" s="14">
        <f>SUM(CP$7:CP52)</f>
        <v>0</v>
      </c>
      <c r="EH52" s="14">
        <f>SUM(CQ$7:CQ52)</f>
        <v>0</v>
      </c>
      <c r="EI52" s="14">
        <f>SUM(CR$7:CR52)</f>
        <v>0</v>
      </c>
      <c r="EJ52" s="14">
        <f>SUM(CS$7:CS52)</f>
        <v>0</v>
      </c>
      <c r="EK52" s="14">
        <f>SUM(CT$7:CT52)</f>
        <v>0</v>
      </c>
      <c r="EL52" s="14">
        <f>SUM(CU$7:CU52)</f>
        <v>0</v>
      </c>
      <c r="EM52" s="14">
        <f>SUM(CV$7:CV52)</f>
        <v>0</v>
      </c>
      <c r="EN52" s="14">
        <f>SUM(CW$7:CW52)</f>
        <v>0</v>
      </c>
      <c r="EO52" s="14">
        <f>SUM(CX$7:CX52)</f>
        <v>0</v>
      </c>
      <c r="EP52" s="14">
        <f>SUM(CY$7:CY52)</f>
        <v>0</v>
      </c>
      <c r="EQ52" s="14">
        <f>SUM(CZ$7:CZ52)</f>
        <v>0</v>
      </c>
      <c r="ER52" s="14">
        <f>SUM(DA$7:DA52)</f>
        <v>0</v>
      </c>
      <c r="EU52" s="14">
        <f t="shared" si="14"/>
        <v>0</v>
      </c>
      <c r="EV52" s="14">
        <f t="shared" si="15"/>
        <v>0</v>
      </c>
      <c r="EW52" s="14">
        <f t="shared" si="16"/>
        <v>0</v>
      </c>
      <c r="EX52" s="14">
        <f t="shared" si="17"/>
        <v>0</v>
      </c>
      <c r="EY52" s="14">
        <f t="shared" si="18"/>
        <v>0</v>
      </c>
      <c r="EZ52" s="14">
        <f t="shared" si="19"/>
        <v>0</v>
      </c>
      <c r="FA52" s="14">
        <f t="shared" si="20"/>
        <v>0</v>
      </c>
      <c r="FB52" s="14">
        <f t="shared" si="21"/>
        <v>0</v>
      </c>
      <c r="FC52" s="14">
        <f t="shared" si="22"/>
        <v>0</v>
      </c>
      <c r="FD52" s="14">
        <f t="shared" si="23"/>
        <v>0</v>
      </c>
      <c r="FE52" s="14">
        <f t="shared" si="24"/>
        <v>0</v>
      </c>
      <c r="FF52" s="14">
        <f t="shared" si="25"/>
        <v>0</v>
      </c>
      <c r="FG52" s="14">
        <f t="shared" si="26"/>
        <v>0</v>
      </c>
      <c r="FH52" s="14">
        <f t="shared" si="27"/>
        <v>0</v>
      </c>
      <c r="FI52" s="14">
        <f t="shared" si="28"/>
        <v>0</v>
      </c>
      <c r="FJ52" s="14">
        <f t="shared" si="29"/>
        <v>0</v>
      </c>
      <c r="FK52" s="14">
        <f t="shared" si="30"/>
        <v>0</v>
      </c>
      <c r="FL52" s="14">
        <f t="shared" si="31"/>
        <v>0</v>
      </c>
      <c r="FM52" s="14">
        <f t="shared" si="32"/>
        <v>0</v>
      </c>
      <c r="FN52" s="14">
        <f t="shared" si="33"/>
        <v>0</v>
      </c>
      <c r="FO52" s="14">
        <f t="shared" si="34"/>
        <v>0</v>
      </c>
      <c r="FP52" s="14">
        <f t="shared" si="35"/>
        <v>0</v>
      </c>
      <c r="FQ52" s="14">
        <f t="shared" si="36"/>
        <v>0</v>
      </c>
      <c r="FR52" s="14">
        <f t="shared" si="37"/>
        <v>0</v>
      </c>
      <c r="FS52" s="14">
        <f t="shared" si="38"/>
        <v>0</v>
      </c>
      <c r="FT52" s="14">
        <f t="shared" si="39"/>
        <v>0</v>
      </c>
      <c r="FU52" s="14">
        <f t="shared" si="40"/>
        <v>0</v>
      </c>
      <c r="FV52" s="14">
        <f t="shared" si="41"/>
        <v>0</v>
      </c>
      <c r="FW52" s="14">
        <f t="shared" si="42"/>
        <v>0</v>
      </c>
      <c r="FX52" s="14">
        <f t="shared" si="43"/>
        <v>0</v>
      </c>
      <c r="FY52" s="14">
        <f t="shared" si="44"/>
        <v>0</v>
      </c>
      <c r="FZ52" s="14">
        <f t="shared" si="45"/>
        <v>0</v>
      </c>
      <c r="GA52" s="14">
        <f t="shared" si="46"/>
        <v>0</v>
      </c>
      <c r="GB52" s="14">
        <f t="shared" si="47"/>
        <v>0</v>
      </c>
      <c r="GC52" s="14">
        <f t="shared" si="48"/>
        <v>0</v>
      </c>
      <c r="GD52" s="14">
        <f t="shared" si="49"/>
        <v>0</v>
      </c>
      <c r="GE52" s="14">
        <f t="shared" si="50"/>
        <v>0</v>
      </c>
      <c r="GF52" s="14">
        <f t="shared" si="51"/>
        <v>0</v>
      </c>
      <c r="GG52" s="14">
        <f t="shared" si="52"/>
        <v>0</v>
      </c>
      <c r="GH52" s="14">
        <f t="shared" si="53"/>
        <v>0</v>
      </c>
      <c r="GI52" s="14">
        <f t="shared" si="54"/>
        <v>0</v>
      </c>
      <c r="GJ52" s="14">
        <f t="shared" si="55"/>
        <v>0</v>
      </c>
      <c r="GM52" s="91">
        <v>46</v>
      </c>
      <c r="GN52" s="14">
        <f t="shared" si="56"/>
        <v>4</v>
      </c>
      <c r="GO52" s="14">
        <f t="shared" si="57"/>
        <v>1606006</v>
      </c>
      <c r="GP52" s="14" t="str">
        <f t="shared" si="58"/>
        <v>神器2-1 : 3级</v>
      </c>
      <c r="GQ52" s="14" t="s">
        <v>816</v>
      </c>
      <c r="GR52" s="14">
        <f t="shared" si="59"/>
        <v>1</v>
      </c>
      <c r="GS52" s="14" t="str">
        <f t="shared" si="60"/>
        <v>神器2-1</v>
      </c>
      <c r="GT52" s="14">
        <f t="shared" si="61"/>
        <v>1</v>
      </c>
    </row>
    <row r="53" spans="14:202" ht="16.5" x14ac:dyDescent="0.2">
      <c r="AL53" s="87">
        <v>3</v>
      </c>
      <c r="AM53" s="87">
        <v>3</v>
      </c>
      <c r="AN53" s="87">
        <v>17</v>
      </c>
      <c r="AO53" s="144">
        <f t="shared" si="8"/>
        <v>4417</v>
      </c>
      <c r="AP53" s="144" t="s">
        <v>1251</v>
      </c>
      <c r="AQ53" s="144" t="str">
        <f t="shared" si="9"/>
        <v>神器本-3-噩梦-1  神器2-1</v>
      </c>
      <c r="AR53" s="87">
        <v>4</v>
      </c>
      <c r="AS53" s="87" t="s">
        <v>324</v>
      </c>
      <c r="AT53" s="87">
        <v>1500</v>
      </c>
      <c r="AU53" s="87">
        <v>1</v>
      </c>
      <c r="AV53" s="87">
        <v>1</v>
      </c>
      <c r="AW53" s="87">
        <f t="shared" si="10"/>
        <v>1</v>
      </c>
      <c r="AX53" s="14">
        <f t="shared" si="11"/>
        <v>0.15</v>
      </c>
      <c r="AY53" s="14">
        <f t="shared" si="12"/>
        <v>2.25</v>
      </c>
      <c r="BG53" s="87">
        <v>47</v>
      </c>
      <c r="BH53" s="14" t="e">
        <f>INDEX(节奏总表!#REF!,新神器!BG53)</f>
        <v>#REF!</v>
      </c>
      <c r="BI53" s="14" t="e">
        <f t="shared" si="13"/>
        <v>#REF!</v>
      </c>
      <c r="BJ53" s="87">
        <v>3</v>
      </c>
      <c r="BK53" s="87">
        <v>5</v>
      </c>
      <c r="BL53" s="14">
        <f t="shared" si="75"/>
        <v>0</v>
      </c>
      <c r="BM53" s="14">
        <f t="shared" si="75"/>
        <v>0</v>
      </c>
      <c r="BN53" s="14">
        <f t="shared" si="75"/>
        <v>0</v>
      </c>
      <c r="BO53" s="14">
        <f t="shared" si="75"/>
        <v>0</v>
      </c>
      <c r="BP53" s="14">
        <f t="shared" si="75"/>
        <v>0</v>
      </c>
      <c r="BQ53" s="14">
        <f t="shared" si="75"/>
        <v>0</v>
      </c>
      <c r="BR53" s="14">
        <f t="shared" si="75"/>
        <v>0</v>
      </c>
      <c r="BS53" s="14">
        <f t="shared" si="75"/>
        <v>0</v>
      </c>
      <c r="BT53" s="14">
        <f t="shared" si="75"/>
        <v>0</v>
      </c>
      <c r="BU53" s="14">
        <f t="shared" si="75"/>
        <v>0</v>
      </c>
      <c r="BV53" s="14">
        <f t="shared" si="76"/>
        <v>0</v>
      </c>
      <c r="BW53" s="14">
        <f t="shared" si="76"/>
        <v>0</v>
      </c>
      <c r="BX53" s="14">
        <f t="shared" si="76"/>
        <v>0</v>
      </c>
      <c r="BY53" s="14">
        <f t="shared" si="76"/>
        <v>0</v>
      </c>
      <c r="BZ53" s="14">
        <f t="shared" si="76"/>
        <v>0</v>
      </c>
      <c r="CA53" s="14">
        <f t="shared" si="76"/>
        <v>0</v>
      </c>
      <c r="CB53" s="14">
        <f t="shared" si="76"/>
        <v>0</v>
      </c>
      <c r="CC53" s="14">
        <f t="shared" si="76"/>
        <v>0</v>
      </c>
      <c r="CD53" s="14">
        <f t="shared" si="76"/>
        <v>0</v>
      </c>
      <c r="CE53" s="14">
        <f t="shared" si="76"/>
        <v>0</v>
      </c>
      <c r="CF53" s="14">
        <f t="shared" si="77"/>
        <v>0</v>
      </c>
      <c r="CG53" s="14">
        <f t="shared" si="77"/>
        <v>0</v>
      </c>
      <c r="CH53" s="14">
        <f t="shared" si="77"/>
        <v>0</v>
      </c>
      <c r="CI53" s="14">
        <f t="shared" si="77"/>
        <v>0</v>
      </c>
      <c r="CJ53" s="14">
        <f t="shared" si="77"/>
        <v>0</v>
      </c>
      <c r="CK53" s="14">
        <f t="shared" si="77"/>
        <v>0</v>
      </c>
      <c r="CL53" s="14">
        <f t="shared" si="77"/>
        <v>0</v>
      </c>
      <c r="CM53" s="14">
        <f t="shared" si="77"/>
        <v>0</v>
      </c>
      <c r="CN53" s="14">
        <f t="shared" si="77"/>
        <v>0</v>
      </c>
      <c r="CO53" s="14">
        <f t="shared" si="77"/>
        <v>0</v>
      </c>
      <c r="CP53" s="14">
        <f t="shared" si="78"/>
        <v>0</v>
      </c>
      <c r="CQ53" s="14">
        <f t="shared" si="78"/>
        <v>0</v>
      </c>
      <c r="CR53" s="14">
        <f t="shared" si="78"/>
        <v>0</v>
      </c>
      <c r="CS53" s="14">
        <f t="shared" si="78"/>
        <v>0</v>
      </c>
      <c r="CT53" s="14">
        <f t="shared" si="78"/>
        <v>0</v>
      </c>
      <c r="CU53" s="14">
        <f t="shared" si="78"/>
        <v>0</v>
      </c>
      <c r="CV53" s="14">
        <f t="shared" si="78"/>
        <v>0</v>
      </c>
      <c r="CW53" s="14">
        <f t="shared" si="78"/>
        <v>0</v>
      </c>
      <c r="CX53" s="14">
        <f t="shared" si="78"/>
        <v>0</v>
      </c>
      <c r="CY53" s="14">
        <f t="shared" si="78"/>
        <v>0</v>
      </c>
      <c r="CZ53" s="14">
        <f t="shared" si="78"/>
        <v>0</v>
      </c>
      <c r="DA53" s="14">
        <f t="shared" si="78"/>
        <v>0</v>
      </c>
      <c r="DC53" s="14">
        <f>SUM(BL$7:BL53)</f>
        <v>0</v>
      </c>
      <c r="DD53" s="14">
        <f>SUM(BM$7:BM53)</f>
        <v>0</v>
      </c>
      <c r="DE53" s="14">
        <f>SUM(BN$7:BN53)</f>
        <v>0</v>
      </c>
      <c r="DF53" s="14">
        <f>SUM(BO$7:BO53)</f>
        <v>0</v>
      </c>
      <c r="DG53" s="14">
        <f>SUM(BP$7:BP53)</f>
        <v>0</v>
      </c>
      <c r="DH53" s="14">
        <f>SUM(BQ$7:BQ53)</f>
        <v>0</v>
      </c>
      <c r="DI53" s="14">
        <f>SUM(BR$7:BR53)</f>
        <v>0</v>
      </c>
      <c r="DJ53" s="14">
        <f>SUM(BS$7:BS53)</f>
        <v>0</v>
      </c>
      <c r="DK53" s="14">
        <f>SUM(BT$7:BT53)</f>
        <v>0</v>
      </c>
      <c r="DL53" s="14">
        <f>SUM(BU$7:BU53)</f>
        <v>0</v>
      </c>
      <c r="DM53" s="14">
        <f>SUM(BV$7:BV53)</f>
        <v>0</v>
      </c>
      <c r="DN53" s="14">
        <f>SUM(BW$7:BW53)</f>
        <v>0</v>
      </c>
      <c r="DO53" s="14">
        <f>SUM(BX$7:BX53)</f>
        <v>0</v>
      </c>
      <c r="DP53" s="14">
        <f>SUM(BY$7:BY53)</f>
        <v>0</v>
      </c>
      <c r="DQ53" s="14">
        <f>SUM(BZ$7:BZ53)</f>
        <v>0</v>
      </c>
      <c r="DR53" s="14">
        <f>SUM(CA$7:CA53)</f>
        <v>0</v>
      </c>
      <c r="DS53" s="14">
        <f>SUM(CB$7:CB53)</f>
        <v>0</v>
      </c>
      <c r="DT53" s="14">
        <f>SUM(CC$7:CC53)</f>
        <v>0</v>
      </c>
      <c r="DU53" s="14">
        <f>SUM(CD$7:CD53)</f>
        <v>0</v>
      </c>
      <c r="DV53" s="14">
        <f>SUM(CE$7:CE53)</f>
        <v>0</v>
      </c>
      <c r="DW53" s="14">
        <f>SUM(CF$7:CF53)</f>
        <v>0</v>
      </c>
      <c r="DX53" s="14">
        <f>SUM(CG$7:CG53)</f>
        <v>0</v>
      </c>
      <c r="DY53" s="14">
        <f>SUM(CH$7:CH53)</f>
        <v>0</v>
      </c>
      <c r="DZ53" s="14">
        <f>SUM(CI$7:CI53)</f>
        <v>0</v>
      </c>
      <c r="EA53" s="14">
        <f>SUM(CJ$7:CJ53)</f>
        <v>0</v>
      </c>
      <c r="EB53" s="14">
        <f>SUM(CK$7:CK53)</f>
        <v>0</v>
      </c>
      <c r="EC53" s="14">
        <f>SUM(CL$7:CL53)</f>
        <v>0</v>
      </c>
      <c r="ED53" s="14">
        <f>SUM(CM$7:CM53)</f>
        <v>0</v>
      </c>
      <c r="EE53" s="14">
        <f>SUM(CN$7:CN53)</f>
        <v>0</v>
      </c>
      <c r="EF53" s="14">
        <f>SUM(CO$7:CO53)</f>
        <v>0</v>
      </c>
      <c r="EG53" s="14">
        <f>SUM(CP$7:CP53)</f>
        <v>0</v>
      </c>
      <c r="EH53" s="14">
        <f>SUM(CQ$7:CQ53)</f>
        <v>0</v>
      </c>
      <c r="EI53" s="14">
        <f>SUM(CR$7:CR53)</f>
        <v>0</v>
      </c>
      <c r="EJ53" s="14">
        <f>SUM(CS$7:CS53)</f>
        <v>0</v>
      </c>
      <c r="EK53" s="14">
        <f>SUM(CT$7:CT53)</f>
        <v>0</v>
      </c>
      <c r="EL53" s="14">
        <f>SUM(CU$7:CU53)</f>
        <v>0</v>
      </c>
      <c r="EM53" s="14">
        <f>SUM(CV$7:CV53)</f>
        <v>0</v>
      </c>
      <c r="EN53" s="14">
        <f>SUM(CW$7:CW53)</f>
        <v>0</v>
      </c>
      <c r="EO53" s="14">
        <f>SUM(CX$7:CX53)</f>
        <v>0</v>
      </c>
      <c r="EP53" s="14">
        <f>SUM(CY$7:CY53)</f>
        <v>0</v>
      </c>
      <c r="EQ53" s="14">
        <f>SUM(CZ$7:CZ53)</f>
        <v>0</v>
      </c>
      <c r="ER53" s="14">
        <f>SUM(DA$7:DA53)</f>
        <v>0</v>
      </c>
      <c r="EU53" s="14">
        <f t="shared" si="14"/>
        <v>0</v>
      </c>
      <c r="EV53" s="14">
        <f t="shared" si="15"/>
        <v>0</v>
      </c>
      <c r="EW53" s="14">
        <f t="shared" si="16"/>
        <v>0</v>
      </c>
      <c r="EX53" s="14">
        <f t="shared" si="17"/>
        <v>0</v>
      </c>
      <c r="EY53" s="14">
        <f t="shared" si="18"/>
        <v>0</v>
      </c>
      <c r="EZ53" s="14">
        <f t="shared" si="19"/>
        <v>0</v>
      </c>
      <c r="FA53" s="14">
        <f t="shared" si="20"/>
        <v>0</v>
      </c>
      <c r="FB53" s="14">
        <f t="shared" si="21"/>
        <v>0</v>
      </c>
      <c r="FC53" s="14">
        <f t="shared" si="22"/>
        <v>0</v>
      </c>
      <c r="FD53" s="14">
        <f t="shared" si="23"/>
        <v>0</v>
      </c>
      <c r="FE53" s="14">
        <f t="shared" si="24"/>
        <v>0</v>
      </c>
      <c r="FF53" s="14">
        <f t="shared" si="25"/>
        <v>0</v>
      </c>
      <c r="FG53" s="14">
        <f t="shared" si="26"/>
        <v>0</v>
      </c>
      <c r="FH53" s="14">
        <f t="shared" si="27"/>
        <v>0</v>
      </c>
      <c r="FI53" s="14">
        <f t="shared" si="28"/>
        <v>0</v>
      </c>
      <c r="FJ53" s="14">
        <f t="shared" si="29"/>
        <v>0</v>
      </c>
      <c r="FK53" s="14">
        <f t="shared" si="30"/>
        <v>0</v>
      </c>
      <c r="FL53" s="14">
        <f t="shared" si="31"/>
        <v>0</v>
      </c>
      <c r="FM53" s="14">
        <f t="shared" si="32"/>
        <v>0</v>
      </c>
      <c r="FN53" s="14">
        <f t="shared" si="33"/>
        <v>0</v>
      </c>
      <c r="FO53" s="14">
        <f t="shared" si="34"/>
        <v>0</v>
      </c>
      <c r="FP53" s="14">
        <f t="shared" si="35"/>
        <v>0</v>
      </c>
      <c r="FQ53" s="14">
        <f t="shared" si="36"/>
        <v>0</v>
      </c>
      <c r="FR53" s="14">
        <f t="shared" si="37"/>
        <v>0</v>
      </c>
      <c r="FS53" s="14">
        <f t="shared" si="38"/>
        <v>0</v>
      </c>
      <c r="FT53" s="14">
        <f t="shared" si="39"/>
        <v>0</v>
      </c>
      <c r="FU53" s="14">
        <f t="shared" si="40"/>
        <v>0</v>
      </c>
      <c r="FV53" s="14">
        <f t="shared" si="41"/>
        <v>0</v>
      </c>
      <c r="FW53" s="14">
        <f t="shared" si="42"/>
        <v>0</v>
      </c>
      <c r="FX53" s="14">
        <f t="shared" si="43"/>
        <v>0</v>
      </c>
      <c r="FY53" s="14">
        <f t="shared" si="44"/>
        <v>0</v>
      </c>
      <c r="FZ53" s="14">
        <f t="shared" si="45"/>
        <v>0</v>
      </c>
      <c r="GA53" s="14">
        <f t="shared" si="46"/>
        <v>0</v>
      </c>
      <c r="GB53" s="14">
        <f t="shared" si="47"/>
        <v>0</v>
      </c>
      <c r="GC53" s="14">
        <f t="shared" si="48"/>
        <v>0</v>
      </c>
      <c r="GD53" s="14">
        <f t="shared" si="49"/>
        <v>0</v>
      </c>
      <c r="GE53" s="14">
        <f t="shared" si="50"/>
        <v>0</v>
      </c>
      <c r="GF53" s="14">
        <f t="shared" si="51"/>
        <v>0</v>
      </c>
      <c r="GG53" s="14">
        <f t="shared" si="52"/>
        <v>0</v>
      </c>
      <c r="GH53" s="14">
        <f t="shared" si="53"/>
        <v>0</v>
      </c>
      <c r="GI53" s="14">
        <f t="shared" si="54"/>
        <v>0</v>
      </c>
      <c r="GJ53" s="14">
        <f t="shared" si="55"/>
        <v>0</v>
      </c>
      <c r="GM53" s="91">
        <v>47</v>
      </c>
      <c r="GN53" s="14">
        <f t="shared" si="56"/>
        <v>4</v>
      </c>
      <c r="GO53" s="14">
        <f t="shared" si="57"/>
        <v>1606006</v>
      </c>
      <c r="GP53" s="14" t="str">
        <f t="shared" si="58"/>
        <v>神器2-1 : 4级</v>
      </c>
      <c r="GQ53" s="14" t="s">
        <v>816</v>
      </c>
      <c r="GR53" s="14">
        <f t="shared" si="59"/>
        <v>2</v>
      </c>
      <c r="GS53" s="14" t="str">
        <f t="shared" si="60"/>
        <v>神器2-1</v>
      </c>
      <c r="GT53" s="14">
        <f t="shared" si="61"/>
        <v>1</v>
      </c>
    </row>
    <row r="54" spans="14:202" ht="16.5" x14ac:dyDescent="0.2">
      <c r="AL54" s="87">
        <v>3</v>
      </c>
      <c r="AM54" s="87">
        <v>3</v>
      </c>
      <c r="AN54" s="87">
        <v>17</v>
      </c>
      <c r="AO54" s="144">
        <f t="shared" si="8"/>
        <v>4417</v>
      </c>
      <c r="AP54" s="144" t="s">
        <v>1251</v>
      </c>
      <c r="AQ54" s="144" t="str">
        <f t="shared" si="9"/>
        <v>神器本-3-噩梦-1  神器2-2</v>
      </c>
      <c r="AR54" s="87">
        <v>5</v>
      </c>
      <c r="AS54" s="87" t="s">
        <v>325</v>
      </c>
      <c r="AT54" s="87">
        <v>1500</v>
      </c>
      <c r="AU54" s="87">
        <v>1</v>
      </c>
      <c r="AV54" s="87">
        <v>1</v>
      </c>
      <c r="AW54" s="87">
        <f t="shared" si="10"/>
        <v>1</v>
      </c>
      <c r="AX54" s="14">
        <f t="shared" si="11"/>
        <v>0.15</v>
      </c>
      <c r="AY54" s="14">
        <f t="shared" si="12"/>
        <v>2.25</v>
      </c>
      <c r="BG54" s="87">
        <v>48</v>
      </c>
      <c r="BH54" s="14" t="e">
        <f>INDEX(节奏总表!#REF!,新神器!BG54)</f>
        <v>#REF!</v>
      </c>
      <c r="BI54" s="14" t="e">
        <f t="shared" si="13"/>
        <v>#REF!</v>
      </c>
      <c r="BJ54" s="87">
        <v>3</v>
      </c>
      <c r="BK54" s="87">
        <v>5</v>
      </c>
      <c r="BL54" s="14">
        <f t="shared" si="75"/>
        <v>0</v>
      </c>
      <c r="BM54" s="14">
        <f t="shared" si="75"/>
        <v>0</v>
      </c>
      <c r="BN54" s="14">
        <f t="shared" si="75"/>
        <v>0</v>
      </c>
      <c r="BO54" s="14">
        <f t="shared" si="75"/>
        <v>0</v>
      </c>
      <c r="BP54" s="14">
        <f t="shared" si="75"/>
        <v>0</v>
      </c>
      <c r="BQ54" s="14">
        <f t="shared" si="75"/>
        <v>0</v>
      </c>
      <c r="BR54" s="14">
        <f t="shared" si="75"/>
        <v>0</v>
      </c>
      <c r="BS54" s="14">
        <f t="shared" si="75"/>
        <v>0</v>
      </c>
      <c r="BT54" s="14">
        <f t="shared" si="75"/>
        <v>0</v>
      </c>
      <c r="BU54" s="14">
        <f t="shared" si="75"/>
        <v>0</v>
      </c>
      <c r="BV54" s="14">
        <f t="shared" si="76"/>
        <v>0</v>
      </c>
      <c r="BW54" s="14">
        <f t="shared" si="76"/>
        <v>0</v>
      </c>
      <c r="BX54" s="14">
        <f t="shared" si="76"/>
        <v>0</v>
      </c>
      <c r="BY54" s="14">
        <f t="shared" si="76"/>
        <v>0</v>
      </c>
      <c r="BZ54" s="14">
        <f t="shared" si="76"/>
        <v>0</v>
      </c>
      <c r="CA54" s="14">
        <f t="shared" si="76"/>
        <v>0</v>
      </c>
      <c r="CB54" s="14">
        <f t="shared" si="76"/>
        <v>0</v>
      </c>
      <c r="CC54" s="14">
        <f t="shared" si="76"/>
        <v>0</v>
      </c>
      <c r="CD54" s="14">
        <f t="shared" si="76"/>
        <v>0</v>
      </c>
      <c r="CE54" s="14">
        <f t="shared" si="76"/>
        <v>0</v>
      </c>
      <c r="CF54" s="14">
        <f t="shared" si="77"/>
        <v>0</v>
      </c>
      <c r="CG54" s="14">
        <f t="shared" si="77"/>
        <v>0</v>
      </c>
      <c r="CH54" s="14">
        <f t="shared" si="77"/>
        <v>0</v>
      </c>
      <c r="CI54" s="14">
        <f t="shared" si="77"/>
        <v>0</v>
      </c>
      <c r="CJ54" s="14">
        <f t="shared" si="77"/>
        <v>0</v>
      </c>
      <c r="CK54" s="14">
        <f t="shared" si="77"/>
        <v>0</v>
      </c>
      <c r="CL54" s="14">
        <f t="shared" si="77"/>
        <v>0</v>
      </c>
      <c r="CM54" s="14">
        <f t="shared" si="77"/>
        <v>0</v>
      </c>
      <c r="CN54" s="14">
        <f t="shared" si="77"/>
        <v>0</v>
      </c>
      <c r="CO54" s="14">
        <f t="shared" si="77"/>
        <v>0</v>
      </c>
      <c r="CP54" s="14">
        <f t="shared" si="78"/>
        <v>0</v>
      </c>
      <c r="CQ54" s="14">
        <f t="shared" si="78"/>
        <v>0</v>
      </c>
      <c r="CR54" s="14">
        <f t="shared" si="78"/>
        <v>0</v>
      </c>
      <c r="CS54" s="14">
        <f t="shared" si="78"/>
        <v>0</v>
      </c>
      <c r="CT54" s="14">
        <f t="shared" si="78"/>
        <v>0</v>
      </c>
      <c r="CU54" s="14">
        <f t="shared" si="78"/>
        <v>0</v>
      </c>
      <c r="CV54" s="14">
        <f t="shared" si="78"/>
        <v>0</v>
      </c>
      <c r="CW54" s="14">
        <f t="shared" si="78"/>
        <v>0</v>
      </c>
      <c r="CX54" s="14">
        <f t="shared" si="78"/>
        <v>0</v>
      </c>
      <c r="CY54" s="14">
        <f t="shared" si="78"/>
        <v>0</v>
      </c>
      <c r="CZ54" s="14">
        <f t="shared" si="78"/>
        <v>0</v>
      </c>
      <c r="DA54" s="14">
        <f t="shared" si="78"/>
        <v>0</v>
      </c>
      <c r="DC54" s="14">
        <f>SUM(BL$7:BL54)</f>
        <v>0</v>
      </c>
      <c r="DD54" s="14">
        <f>SUM(BM$7:BM54)</f>
        <v>0</v>
      </c>
      <c r="DE54" s="14">
        <f>SUM(BN$7:BN54)</f>
        <v>0</v>
      </c>
      <c r="DF54" s="14">
        <f>SUM(BO$7:BO54)</f>
        <v>0</v>
      </c>
      <c r="DG54" s="14">
        <f>SUM(BP$7:BP54)</f>
        <v>0</v>
      </c>
      <c r="DH54" s="14">
        <f>SUM(BQ$7:BQ54)</f>
        <v>0</v>
      </c>
      <c r="DI54" s="14">
        <f>SUM(BR$7:BR54)</f>
        <v>0</v>
      </c>
      <c r="DJ54" s="14">
        <f>SUM(BS$7:BS54)</f>
        <v>0</v>
      </c>
      <c r="DK54" s="14">
        <f>SUM(BT$7:BT54)</f>
        <v>0</v>
      </c>
      <c r="DL54" s="14">
        <f>SUM(BU$7:BU54)</f>
        <v>0</v>
      </c>
      <c r="DM54" s="14">
        <f>SUM(BV$7:BV54)</f>
        <v>0</v>
      </c>
      <c r="DN54" s="14">
        <f>SUM(BW$7:BW54)</f>
        <v>0</v>
      </c>
      <c r="DO54" s="14">
        <f>SUM(BX$7:BX54)</f>
        <v>0</v>
      </c>
      <c r="DP54" s="14">
        <f>SUM(BY$7:BY54)</f>
        <v>0</v>
      </c>
      <c r="DQ54" s="14">
        <f>SUM(BZ$7:BZ54)</f>
        <v>0</v>
      </c>
      <c r="DR54" s="14">
        <f>SUM(CA$7:CA54)</f>
        <v>0</v>
      </c>
      <c r="DS54" s="14">
        <f>SUM(CB$7:CB54)</f>
        <v>0</v>
      </c>
      <c r="DT54" s="14">
        <f>SUM(CC$7:CC54)</f>
        <v>0</v>
      </c>
      <c r="DU54" s="14">
        <f>SUM(CD$7:CD54)</f>
        <v>0</v>
      </c>
      <c r="DV54" s="14">
        <f>SUM(CE$7:CE54)</f>
        <v>0</v>
      </c>
      <c r="DW54" s="14">
        <f>SUM(CF$7:CF54)</f>
        <v>0</v>
      </c>
      <c r="DX54" s="14">
        <f>SUM(CG$7:CG54)</f>
        <v>0</v>
      </c>
      <c r="DY54" s="14">
        <f>SUM(CH$7:CH54)</f>
        <v>0</v>
      </c>
      <c r="DZ54" s="14">
        <f>SUM(CI$7:CI54)</f>
        <v>0</v>
      </c>
      <c r="EA54" s="14">
        <f>SUM(CJ$7:CJ54)</f>
        <v>0</v>
      </c>
      <c r="EB54" s="14">
        <f>SUM(CK$7:CK54)</f>
        <v>0</v>
      </c>
      <c r="EC54" s="14">
        <f>SUM(CL$7:CL54)</f>
        <v>0</v>
      </c>
      <c r="ED54" s="14">
        <f>SUM(CM$7:CM54)</f>
        <v>0</v>
      </c>
      <c r="EE54" s="14">
        <f>SUM(CN$7:CN54)</f>
        <v>0</v>
      </c>
      <c r="EF54" s="14">
        <f>SUM(CO$7:CO54)</f>
        <v>0</v>
      </c>
      <c r="EG54" s="14">
        <f>SUM(CP$7:CP54)</f>
        <v>0</v>
      </c>
      <c r="EH54" s="14">
        <f>SUM(CQ$7:CQ54)</f>
        <v>0</v>
      </c>
      <c r="EI54" s="14">
        <f>SUM(CR$7:CR54)</f>
        <v>0</v>
      </c>
      <c r="EJ54" s="14">
        <f>SUM(CS$7:CS54)</f>
        <v>0</v>
      </c>
      <c r="EK54" s="14">
        <f>SUM(CT$7:CT54)</f>
        <v>0</v>
      </c>
      <c r="EL54" s="14">
        <f>SUM(CU$7:CU54)</f>
        <v>0</v>
      </c>
      <c r="EM54" s="14">
        <f>SUM(CV$7:CV54)</f>
        <v>0</v>
      </c>
      <c r="EN54" s="14">
        <f>SUM(CW$7:CW54)</f>
        <v>0</v>
      </c>
      <c r="EO54" s="14">
        <f>SUM(CX$7:CX54)</f>
        <v>0</v>
      </c>
      <c r="EP54" s="14">
        <f>SUM(CY$7:CY54)</f>
        <v>0</v>
      </c>
      <c r="EQ54" s="14">
        <f>SUM(CZ$7:CZ54)</f>
        <v>0</v>
      </c>
      <c r="ER54" s="14">
        <f>SUM(DA$7:DA54)</f>
        <v>0</v>
      </c>
      <c r="EU54" s="14">
        <f t="shared" si="14"/>
        <v>0</v>
      </c>
      <c r="EV54" s="14">
        <f t="shared" si="15"/>
        <v>0</v>
      </c>
      <c r="EW54" s="14">
        <f t="shared" si="16"/>
        <v>0</v>
      </c>
      <c r="EX54" s="14">
        <f t="shared" si="17"/>
        <v>0</v>
      </c>
      <c r="EY54" s="14">
        <f t="shared" si="18"/>
        <v>0</v>
      </c>
      <c r="EZ54" s="14">
        <f t="shared" si="19"/>
        <v>0</v>
      </c>
      <c r="FA54" s="14">
        <f t="shared" si="20"/>
        <v>0</v>
      </c>
      <c r="FB54" s="14">
        <f t="shared" si="21"/>
        <v>0</v>
      </c>
      <c r="FC54" s="14">
        <f t="shared" si="22"/>
        <v>0</v>
      </c>
      <c r="FD54" s="14">
        <f t="shared" si="23"/>
        <v>0</v>
      </c>
      <c r="FE54" s="14">
        <f t="shared" si="24"/>
        <v>0</v>
      </c>
      <c r="FF54" s="14">
        <f t="shared" si="25"/>
        <v>0</v>
      </c>
      <c r="FG54" s="14">
        <f t="shared" si="26"/>
        <v>0</v>
      </c>
      <c r="FH54" s="14">
        <f t="shared" si="27"/>
        <v>0</v>
      </c>
      <c r="FI54" s="14">
        <f t="shared" si="28"/>
        <v>0</v>
      </c>
      <c r="FJ54" s="14">
        <f t="shared" si="29"/>
        <v>0</v>
      </c>
      <c r="FK54" s="14">
        <f t="shared" si="30"/>
        <v>0</v>
      </c>
      <c r="FL54" s="14">
        <f t="shared" si="31"/>
        <v>0</v>
      </c>
      <c r="FM54" s="14">
        <f t="shared" si="32"/>
        <v>0</v>
      </c>
      <c r="FN54" s="14">
        <f t="shared" si="33"/>
        <v>0</v>
      </c>
      <c r="FO54" s="14">
        <f t="shared" si="34"/>
        <v>0</v>
      </c>
      <c r="FP54" s="14">
        <f t="shared" si="35"/>
        <v>0</v>
      </c>
      <c r="FQ54" s="14">
        <f t="shared" si="36"/>
        <v>0</v>
      </c>
      <c r="FR54" s="14">
        <f t="shared" si="37"/>
        <v>0</v>
      </c>
      <c r="FS54" s="14">
        <f t="shared" si="38"/>
        <v>0</v>
      </c>
      <c r="FT54" s="14">
        <f t="shared" si="39"/>
        <v>0</v>
      </c>
      <c r="FU54" s="14">
        <f t="shared" si="40"/>
        <v>0</v>
      </c>
      <c r="FV54" s="14">
        <f t="shared" si="41"/>
        <v>0</v>
      </c>
      <c r="FW54" s="14">
        <f t="shared" si="42"/>
        <v>0</v>
      </c>
      <c r="FX54" s="14">
        <f t="shared" si="43"/>
        <v>0</v>
      </c>
      <c r="FY54" s="14">
        <f t="shared" si="44"/>
        <v>0</v>
      </c>
      <c r="FZ54" s="14">
        <f t="shared" si="45"/>
        <v>0</v>
      </c>
      <c r="GA54" s="14">
        <f t="shared" si="46"/>
        <v>0</v>
      </c>
      <c r="GB54" s="14">
        <f t="shared" si="47"/>
        <v>0</v>
      </c>
      <c r="GC54" s="14">
        <f t="shared" si="48"/>
        <v>0</v>
      </c>
      <c r="GD54" s="14">
        <f t="shared" si="49"/>
        <v>0</v>
      </c>
      <c r="GE54" s="14">
        <f t="shared" si="50"/>
        <v>0</v>
      </c>
      <c r="GF54" s="14">
        <f t="shared" si="51"/>
        <v>0</v>
      </c>
      <c r="GG54" s="14">
        <f t="shared" si="52"/>
        <v>0</v>
      </c>
      <c r="GH54" s="14">
        <f t="shared" si="53"/>
        <v>0</v>
      </c>
      <c r="GI54" s="14">
        <f t="shared" si="54"/>
        <v>0</v>
      </c>
      <c r="GJ54" s="14">
        <f t="shared" si="55"/>
        <v>0</v>
      </c>
      <c r="GM54" s="91">
        <v>48</v>
      </c>
      <c r="GN54" s="14">
        <f t="shared" si="56"/>
        <v>4</v>
      </c>
      <c r="GO54" s="14">
        <f t="shared" si="57"/>
        <v>1606006</v>
      </c>
      <c r="GP54" s="14" t="str">
        <f t="shared" si="58"/>
        <v>神器2-1 : 5级</v>
      </c>
      <c r="GQ54" s="14" t="s">
        <v>816</v>
      </c>
      <c r="GR54" s="14">
        <f t="shared" si="59"/>
        <v>3</v>
      </c>
      <c r="GS54" s="14" t="str">
        <f t="shared" si="60"/>
        <v>神器2-1</v>
      </c>
      <c r="GT54" s="14">
        <f t="shared" si="61"/>
        <v>1</v>
      </c>
    </row>
    <row r="55" spans="14:202" ht="16.5" x14ac:dyDescent="0.2">
      <c r="AL55" s="87">
        <v>3</v>
      </c>
      <c r="AM55" s="87">
        <v>3</v>
      </c>
      <c r="AN55" s="87">
        <v>17</v>
      </c>
      <c r="AO55" s="144">
        <f t="shared" si="8"/>
        <v>4417</v>
      </c>
      <c r="AP55" s="144" t="s">
        <v>1251</v>
      </c>
      <c r="AQ55" s="144" t="str">
        <f t="shared" si="9"/>
        <v>神器本-3-噩梦-1  神器2-3</v>
      </c>
      <c r="AR55" s="87">
        <v>6</v>
      </c>
      <c r="AS55" s="87" t="s">
        <v>326</v>
      </c>
      <c r="AT55" s="87">
        <v>1000</v>
      </c>
      <c r="AU55" s="87">
        <v>1</v>
      </c>
      <c r="AV55" s="87">
        <v>1</v>
      </c>
      <c r="AW55" s="87">
        <f t="shared" si="10"/>
        <v>2</v>
      </c>
      <c r="AX55" s="14">
        <f t="shared" si="11"/>
        <v>0.1</v>
      </c>
      <c r="AY55" s="14">
        <f t="shared" si="12"/>
        <v>4.5</v>
      </c>
      <c r="BG55" s="87">
        <v>49</v>
      </c>
      <c r="BH55" s="14" t="e">
        <f>INDEX(节奏总表!#REF!,新神器!BG55)</f>
        <v>#REF!</v>
      </c>
      <c r="BI55" s="14" t="e">
        <f t="shared" si="13"/>
        <v>#REF!</v>
      </c>
      <c r="BJ55" s="87">
        <v>3</v>
      </c>
      <c r="BK55" s="87">
        <v>5</v>
      </c>
      <c r="BL55" s="14">
        <f t="shared" si="75"/>
        <v>0</v>
      </c>
      <c r="BM55" s="14">
        <f t="shared" si="75"/>
        <v>0</v>
      </c>
      <c r="BN55" s="14">
        <f t="shared" si="75"/>
        <v>0</v>
      </c>
      <c r="BO55" s="14">
        <f t="shared" si="75"/>
        <v>0</v>
      </c>
      <c r="BP55" s="14">
        <f t="shared" si="75"/>
        <v>0</v>
      </c>
      <c r="BQ55" s="14">
        <f t="shared" si="75"/>
        <v>0</v>
      </c>
      <c r="BR55" s="14">
        <f t="shared" si="75"/>
        <v>0</v>
      </c>
      <c r="BS55" s="14">
        <f t="shared" si="75"/>
        <v>0</v>
      </c>
      <c r="BT55" s="14">
        <f t="shared" si="75"/>
        <v>0</v>
      </c>
      <c r="BU55" s="14">
        <f t="shared" si="75"/>
        <v>0</v>
      </c>
      <c r="BV55" s="14">
        <f t="shared" si="76"/>
        <v>0</v>
      </c>
      <c r="BW55" s="14">
        <f t="shared" si="76"/>
        <v>0</v>
      </c>
      <c r="BX55" s="14">
        <f t="shared" si="76"/>
        <v>0</v>
      </c>
      <c r="BY55" s="14">
        <f t="shared" si="76"/>
        <v>0</v>
      </c>
      <c r="BZ55" s="14">
        <f t="shared" si="76"/>
        <v>0</v>
      </c>
      <c r="CA55" s="14">
        <f t="shared" si="76"/>
        <v>0</v>
      </c>
      <c r="CB55" s="14">
        <f t="shared" si="76"/>
        <v>0</v>
      </c>
      <c r="CC55" s="14">
        <f t="shared" si="76"/>
        <v>0</v>
      </c>
      <c r="CD55" s="14">
        <f t="shared" si="76"/>
        <v>0</v>
      </c>
      <c r="CE55" s="14">
        <f t="shared" si="76"/>
        <v>0</v>
      </c>
      <c r="CF55" s="14">
        <f t="shared" si="77"/>
        <v>0</v>
      </c>
      <c r="CG55" s="14">
        <f t="shared" si="77"/>
        <v>0</v>
      </c>
      <c r="CH55" s="14">
        <f t="shared" si="77"/>
        <v>0</v>
      </c>
      <c r="CI55" s="14">
        <f t="shared" si="77"/>
        <v>0</v>
      </c>
      <c r="CJ55" s="14">
        <f t="shared" si="77"/>
        <v>0</v>
      </c>
      <c r="CK55" s="14">
        <f t="shared" si="77"/>
        <v>0</v>
      </c>
      <c r="CL55" s="14">
        <f t="shared" si="77"/>
        <v>0</v>
      </c>
      <c r="CM55" s="14">
        <f t="shared" si="77"/>
        <v>0</v>
      </c>
      <c r="CN55" s="14">
        <f t="shared" si="77"/>
        <v>0</v>
      </c>
      <c r="CO55" s="14">
        <f t="shared" si="77"/>
        <v>0</v>
      </c>
      <c r="CP55" s="14">
        <f t="shared" si="78"/>
        <v>0</v>
      </c>
      <c r="CQ55" s="14">
        <f t="shared" si="78"/>
        <v>0</v>
      </c>
      <c r="CR55" s="14">
        <f t="shared" si="78"/>
        <v>0</v>
      </c>
      <c r="CS55" s="14">
        <f t="shared" si="78"/>
        <v>0</v>
      </c>
      <c r="CT55" s="14">
        <f t="shared" si="78"/>
        <v>0</v>
      </c>
      <c r="CU55" s="14">
        <f t="shared" si="78"/>
        <v>0</v>
      </c>
      <c r="CV55" s="14">
        <f t="shared" si="78"/>
        <v>0</v>
      </c>
      <c r="CW55" s="14">
        <f t="shared" si="78"/>
        <v>0</v>
      </c>
      <c r="CX55" s="14">
        <f t="shared" si="78"/>
        <v>0</v>
      </c>
      <c r="CY55" s="14">
        <f t="shared" si="78"/>
        <v>0</v>
      </c>
      <c r="CZ55" s="14">
        <f t="shared" si="78"/>
        <v>0</v>
      </c>
      <c r="DA55" s="14">
        <f t="shared" si="78"/>
        <v>0</v>
      </c>
      <c r="DC55" s="14">
        <f>SUM(BL$7:BL55)</f>
        <v>0</v>
      </c>
      <c r="DD55" s="14">
        <f>SUM(BM$7:BM55)</f>
        <v>0</v>
      </c>
      <c r="DE55" s="14">
        <f>SUM(BN$7:BN55)</f>
        <v>0</v>
      </c>
      <c r="DF55" s="14">
        <f>SUM(BO$7:BO55)</f>
        <v>0</v>
      </c>
      <c r="DG55" s="14">
        <f>SUM(BP$7:BP55)</f>
        <v>0</v>
      </c>
      <c r="DH55" s="14">
        <f>SUM(BQ$7:BQ55)</f>
        <v>0</v>
      </c>
      <c r="DI55" s="14">
        <f>SUM(BR$7:BR55)</f>
        <v>0</v>
      </c>
      <c r="DJ55" s="14">
        <f>SUM(BS$7:BS55)</f>
        <v>0</v>
      </c>
      <c r="DK55" s="14">
        <f>SUM(BT$7:BT55)</f>
        <v>0</v>
      </c>
      <c r="DL55" s="14">
        <f>SUM(BU$7:BU55)</f>
        <v>0</v>
      </c>
      <c r="DM55" s="14">
        <f>SUM(BV$7:BV55)</f>
        <v>0</v>
      </c>
      <c r="DN55" s="14">
        <f>SUM(BW$7:BW55)</f>
        <v>0</v>
      </c>
      <c r="DO55" s="14">
        <f>SUM(BX$7:BX55)</f>
        <v>0</v>
      </c>
      <c r="DP55" s="14">
        <f>SUM(BY$7:BY55)</f>
        <v>0</v>
      </c>
      <c r="DQ55" s="14">
        <f>SUM(BZ$7:BZ55)</f>
        <v>0</v>
      </c>
      <c r="DR55" s="14">
        <f>SUM(CA$7:CA55)</f>
        <v>0</v>
      </c>
      <c r="DS55" s="14">
        <f>SUM(CB$7:CB55)</f>
        <v>0</v>
      </c>
      <c r="DT55" s="14">
        <f>SUM(CC$7:CC55)</f>
        <v>0</v>
      </c>
      <c r="DU55" s="14">
        <f>SUM(CD$7:CD55)</f>
        <v>0</v>
      </c>
      <c r="DV55" s="14">
        <f>SUM(CE$7:CE55)</f>
        <v>0</v>
      </c>
      <c r="DW55" s="14">
        <f>SUM(CF$7:CF55)</f>
        <v>0</v>
      </c>
      <c r="DX55" s="14">
        <f>SUM(CG$7:CG55)</f>
        <v>0</v>
      </c>
      <c r="DY55" s="14">
        <f>SUM(CH$7:CH55)</f>
        <v>0</v>
      </c>
      <c r="DZ55" s="14">
        <f>SUM(CI$7:CI55)</f>
        <v>0</v>
      </c>
      <c r="EA55" s="14">
        <f>SUM(CJ$7:CJ55)</f>
        <v>0</v>
      </c>
      <c r="EB55" s="14">
        <f>SUM(CK$7:CK55)</f>
        <v>0</v>
      </c>
      <c r="EC55" s="14">
        <f>SUM(CL$7:CL55)</f>
        <v>0</v>
      </c>
      <c r="ED55" s="14">
        <f>SUM(CM$7:CM55)</f>
        <v>0</v>
      </c>
      <c r="EE55" s="14">
        <f>SUM(CN$7:CN55)</f>
        <v>0</v>
      </c>
      <c r="EF55" s="14">
        <f>SUM(CO$7:CO55)</f>
        <v>0</v>
      </c>
      <c r="EG55" s="14">
        <f>SUM(CP$7:CP55)</f>
        <v>0</v>
      </c>
      <c r="EH55" s="14">
        <f>SUM(CQ$7:CQ55)</f>
        <v>0</v>
      </c>
      <c r="EI55" s="14">
        <f>SUM(CR$7:CR55)</f>
        <v>0</v>
      </c>
      <c r="EJ55" s="14">
        <f>SUM(CS$7:CS55)</f>
        <v>0</v>
      </c>
      <c r="EK55" s="14">
        <f>SUM(CT$7:CT55)</f>
        <v>0</v>
      </c>
      <c r="EL55" s="14">
        <f>SUM(CU$7:CU55)</f>
        <v>0</v>
      </c>
      <c r="EM55" s="14">
        <f>SUM(CV$7:CV55)</f>
        <v>0</v>
      </c>
      <c r="EN55" s="14">
        <f>SUM(CW$7:CW55)</f>
        <v>0</v>
      </c>
      <c r="EO55" s="14">
        <f>SUM(CX$7:CX55)</f>
        <v>0</v>
      </c>
      <c r="EP55" s="14">
        <f>SUM(CY$7:CY55)</f>
        <v>0</v>
      </c>
      <c r="EQ55" s="14">
        <f>SUM(CZ$7:CZ55)</f>
        <v>0</v>
      </c>
      <c r="ER55" s="14">
        <f>SUM(DA$7:DA55)</f>
        <v>0</v>
      </c>
      <c r="EU55" s="14">
        <f t="shared" si="14"/>
        <v>0</v>
      </c>
      <c r="EV55" s="14">
        <f t="shared" si="15"/>
        <v>0</v>
      </c>
      <c r="EW55" s="14">
        <f t="shared" si="16"/>
        <v>0</v>
      </c>
      <c r="EX55" s="14">
        <f t="shared" si="17"/>
        <v>0</v>
      </c>
      <c r="EY55" s="14">
        <f t="shared" si="18"/>
        <v>0</v>
      </c>
      <c r="EZ55" s="14">
        <f t="shared" si="19"/>
        <v>0</v>
      </c>
      <c r="FA55" s="14">
        <f t="shared" si="20"/>
        <v>0</v>
      </c>
      <c r="FB55" s="14">
        <f t="shared" si="21"/>
        <v>0</v>
      </c>
      <c r="FC55" s="14">
        <f t="shared" si="22"/>
        <v>0</v>
      </c>
      <c r="FD55" s="14">
        <f t="shared" si="23"/>
        <v>0</v>
      </c>
      <c r="FE55" s="14">
        <f t="shared" si="24"/>
        <v>0</v>
      </c>
      <c r="FF55" s="14">
        <f t="shared" si="25"/>
        <v>0</v>
      </c>
      <c r="FG55" s="14">
        <f t="shared" si="26"/>
        <v>0</v>
      </c>
      <c r="FH55" s="14">
        <f t="shared" si="27"/>
        <v>0</v>
      </c>
      <c r="FI55" s="14">
        <f t="shared" si="28"/>
        <v>0</v>
      </c>
      <c r="FJ55" s="14">
        <f t="shared" si="29"/>
        <v>0</v>
      </c>
      <c r="FK55" s="14">
        <f t="shared" si="30"/>
        <v>0</v>
      </c>
      <c r="FL55" s="14">
        <f t="shared" si="31"/>
        <v>0</v>
      </c>
      <c r="FM55" s="14">
        <f t="shared" si="32"/>
        <v>0</v>
      </c>
      <c r="FN55" s="14">
        <f t="shared" si="33"/>
        <v>0</v>
      </c>
      <c r="FO55" s="14">
        <f t="shared" si="34"/>
        <v>0</v>
      </c>
      <c r="FP55" s="14">
        <f t="shared" si="35"/>
        <v>0</v>
      </c>
      <c r="FQ55" s="14">
        <f t="shared" si="36"/>
        <v>0</v>
      </c>
      <c r="FR55" s="14">
        <f t="shared" si="37"/>
        <v>0</v>
      </c>
      <c r="FS55" s="14">
        <f t="shared" si="38"/>
        <v>0</v>
      </c>
      <c r="FT55" s="14">
        <f t="shared" si="39"/>
        <v>0</v>
      </c>
      <c r="FU55" s="14">
        <f t="shared" si="40"/>
        <v>0</v>
      </c>
      <c r="FV55" s="14">
        <f t="shared" si="41"/>
        <v>0</v>
      </c>
      <c r="FW55" s="14">
        <f t="shared" si="42"/>
        <v>0</v>
      </c>
      <c r="FX55" s="14">
        <f t="shared" si="43"/>
        <v>0</v>
      </c>
      <c r="FY55" s="14">
        <f t="shared" si="44"/>
        <v>0</v>
      </c>
      <c r="FZ55" s="14">
        <f t="shared" si="45"/>
        <v>0</v>
      </c>
      <c r="GA55" s="14">
        <f t="shared" si="46"/>
        <v>0</v>
      </c>
      <c r="GB55" s="14">
        <f t="shared" si="47"/>
        <v>0</v>
      </c>
      <c r="GC55" s="14">
        <f t="shared" si="48"/>
        <v>0</v>
      </c>
      <c r="GD55" s="14">
        <f t="shared" si="49"/>
        <v>0</v>
      </c>
      <c r="GE55" s="14">
        <f t="shared" si="50"/>
        <v>0</v>
      </c>
      <c r="GF55" s="14">
        <f t="shared" si="51"/>
        <v>0</v>
      </c>
      <c r="GG55" s="14">
        <f t="shared" si="52"/>
        <v>0</v>
      </c>
      <c r="GH55" s="14">
        <f t="shared" si="53"/>
        <v>0</v>
      </c>
      <c r="GI55" s="14">
        <f t="shared" si="54"/>
        <v>0</v>
      </c>
      <c r="GJ55" s="14">
        <f t="shared" si="55"/>
        <v>0</v>
      </c>
      <c r="GM55" s="91">
        <v>49</v>
      </c>
      <c r="GN55" s="14">
        <f t="shared" si="56"/>
        <v>4</v>
      </c>
      <c r="GO55" s="14">
        <f t="shared" si="57"/>
        <v>1606006</v>
      </c>
      <c r="GP55" s="14" t="str">
        <f t="shared" si="58"/>
        <v>神器2-1 : 6级</v>
      </c>
      <c r="GQ55" s="14" t="s">
        <v>816</v>
      </c>
      <c r="GR55" s="14">
        <f t="shared" si="59"/>
        <v>4</v>
      </c>
      <c r="GS55" s="14" t="str">
        <f t="shared" si="60"/>
        <v>神器2-1</v>
      </c>
      <c r="GT55" s="14">
        <f t="shared" si="61"/>
        <v>2</v>
      </c>
    </row>
    <row r="56" spans="14:202" ht="16.5" x14ac:dyDescent="0.2">
      <c r="AL56" s="87">
        <v>3</v>
      </c>
      <c r="AM56" s="87">
        <v>3</v>
      </c>
      <c r="AN56" s="87">
        <v>17</v>
      </c>
      <c r="AO56" s="144">
        <f t="shared" si="8"/>
        <v>4417</v>
      </c>
      <c r="AP56" s="144" t="s">
        <v>1251</v>
      </c>
      <c r="AQ56" s="144" t="str">
        <f t="shared" si="9"/>
        <v>神器本-3-噩梦-1  神器2-4</v>
      </c>
      <c r="AR56" s="87">
        <v>7</v>
      </c>
      <c r="AS56" s="87" t="s">
        <v>327</v>
      </c>
      <c r="AT56" s="87">
        <v>1000</v>
      </c>
      <c r="AU56" s="87">
        <v>1</v>
      </c>
      <c r="AV56" s="87">
        <v>1</v>
      </c>
      <c r="AW56" s="87">
        <f t="shared" si="10"/>
        <v>2</v>
      </c>
      <c r="AX56" s="14">
        <f t="shared" si="11"/>
        <v>0.1</v>
      </c>
      <c r="AY56" s="14">
        <f t="shared" si="12"/>
        <v>4.5</v>
      </c>
      <c r="BG56" s="87">
        <v>50</v>
      </c>
      <c r="BH56" s="14" t="e">
        <f>INDEX(节奏总表!#REF!,新神器!BG56)</f>
        <v>#REF!</v>
      </c>
      <c r="BI56" s="14" t="e">
        <f t="shared" si="13"/>
        <v>#REF!</v>
      </c>
      <c r="BJ56" s="87">
        <v>3</v>
      </c>
      <c r="BK56" s="87">
        <v>5</v>
      </c>
      <c r="BL56" s="14">
        <f t="shared" si="75"/>
        <v>0</v>
      </c>
      <c r="BM56" s="14">
        <f t="shared" si="75"/>
        <v>0</v>
      </c>
      <c r="BN56" s="14">
        <f t="shared" si="75"/>
        <v>0</v>
      </c>
      <c r="BO56" s="14">
        <f t="shared" si="75"/>
        <v>0</v>
      </c>
      <c r="BP56" s="14">
        <f t="shared" si="75"/>
        <v>0</v>
      </c>
      <c r="BQ56" s="14">
        <f t="shared" si="75"/>
        <v>0</v>
      </c>
      <c r="BR56" s="14">
        <f t="shared" si="75"/>
        <v>0</v>
      </c>
      <c r="BS56" s="14">
        <f t="shared" si="75"/>
        <v>0</v>
      </c>
      <c r="BT56" s="14">
        <f t="shared" si="75"/>
        <v>0</v>
      </c>
      <c r="BU56" s="14">
        <f t="shared" si="75"/>
        <v>0</v>
      </c>
      <c r="BV56" s="14">
        <f t="shared" si="76"/>
        <v>0</v>
      </c>
      <c r="BW56" s="14">
        <f t="shared" si="76"/>
        <v>0</v>
      </c>
      <c r="BX56" s="14">
        <f t="shared" si="76"/>
        <v>0</v>
      </c>
      <c r="BY56" s="14">
        <f t="shared" si="76"/>
        <v>0</v>
      </c>
      <c r="BZ56" s="14">
        <f t="shared" si="76"/>
        <v>0</v>
      </c>
      <c r="CA56" s="14">
        <f t="shared" si="76"/>
        <v>0</v>
      </c>
      <c r="CB56" s="14">
        <f t="shared" si="76"/>
        <v>0</v>
      </c>
      <c r="CC56" s="14">
        <f t="shared" si="76"/>
        <v>0</v>
      </c>
      <c r="CD56" s="14">
        <f t="shared" si="76"/>
        <v>0</v>
      </c>
      <c r="CE56" s="14">
        <f t="shared" si="76"/>
        <v>0</v>
      </c>
      <c r="CF56" s="14">
        <f t="shared" si="77"/>
        <v>0</v>
      </c>
      <c r="CG56" s="14">
        <f t="shared" si="77"/>
        <v>0</v>
      </c>
      <c r="CH56" s="14">
        <f t="shared" si="77"/>
        <v>0</v>
      </c>
      <c r="CI56" s="14">
        <f t="shared" si="77"/>
        <v>0</v>
      </c>
      <c r="CJ56" s="14">
        <f t="shared" si="77"/>
        <v>0</v>
      </c>
      <c r="CK56" s="14">
        <f t="shared" si="77"/>
        <v>0</v>
      </c>
      <c r="CL56" s="14">
        <f t="shared" si="77"/>
        <v>0</v>
      </c>
      <c r="CM56" s="14">
        <f t="shared" si="77"/>
        <v>0</v>
      </c>
      <c r="CN56" s="14">
        <f t="shared" si="77"/>
        <v>0</v>
      </c>
      <c r="CO56" s="14">
        <f t="shared" si="77"/>
        <v>0</v>
      </c>
      <c r="CP56" s="14">
        <f t="shared" si="78"/>
        <v>0</v>
      </c>
      <c r="CQ56" s="14">
        <f t="shared" si="78"/>
        <v>0</v>
      </c>
      <c r="CR56" s="14">
        <f t="shared" si="78"/>
        <v>0</v>
      </c>
      <c r="CS56" s="14">
        <f t="shared" si="78"/>
        <v>0</v>
      </c>
      <c r="CT56" s="14">
        <f t="shared" si="78"/>
        <v>0</v>
      </c>
      <c r="CU56" s="14">
        <f t="shared" si="78"/>
        <v>0</v>
      </c>
      <c r="CV56" s="14">
        <f t="shared" si="78"/>
        <v>0</v>
      </c>
      <c r="CW56" s="14">
        <f t="shared" si="78"/>
        <v>0</v>
      </c>
      <c r="CX56" s="14">
        <f t="shared" si="78"/>
        <v>0</v>
      </c>
      <c r="CY56" s="14">
        <f t="shared" si="78"/>
        <v>0</v>
      </c>
      <c r="CZ56" s="14">
        <f t="shared" si="78"/>
        <v>0</v>
      </c>
      <c r="DA56" s="14">
        <f t="shared" si="78"/>
        <v>0</v>
      </c>
      <c r="DC56" s="14">
        <f>SUM(BL$7:BL56)</f>
        <v>0</v>
      </c>
      <c r="DD56" s="14">
        <f>SUM(BM$7:BM56)</f>
        <v>0</v>
      </c>
      <c r="DE56" s="14">
        <f>SUM(BN$7:BN56)</f>
        <v>0</v>
      </c>
      <c r="DF56" s="14">
        <f>SUM(BO$7:BO56)</f>
        <v>0</v>
      </c>
      <c r="DG56" s="14">
        <f>SUM(BP$7:BP56)</f>
        <v>0</v>
      </c>
      <c r="DH56" s="14">
        <f>SUM(BQ$7:BQ56)</f>
        <v>0</v>
      </c>
      <c r="DI56" s="14">
        <f>SUM(BR$7:BR56)</f>
        <v>0</v>
      </c>
      <c r="DJ56" s="14">
        <f>SUM(BS$7:BS56)</f>
        <v>0</v>
      </c>
      <c r="DK56" s="14">
        <f>SUM(BT$7:BT56)</f>
        <v>0</v>
      </c>
      <c r="DL56" s="14">
        <f>SUM(BU$7:BU56)</f>
        <v>0</v>
      </c>
      <c r="DM56" s="14">
        <f>SUM(BV$7:BV56)</f>
        <v>0</v>
      </c>
      <c r="DN56" s="14">
        <f>SUM(BW$7:BW56)</f>
        <v>0</v>
      </c>
      <c r="DO56" s="14">
        <f>SUM(BX$7:BX56)</f>
        <v>0</v>
      </c>
      <c r="DP56" s="14">
        <f>SUM(BY$7:BY56)</f>
        <v>0</v>
      </c>
      <c r="DQ56" s="14">
        <f>SUM(BZ$7:BZ56)</f>
        <v>0</v>
      </c>
      <c r="DR56" s="14">
        <f>SUM(CA$7:CA56)</f>
        <v>0</v>
      </c>
      <c r="DS56" s="14">
        <f>SUM(CB$7:CB56)</f>
        <v>0</v>
      </c>
      <c r="DT56" s="14">
        <f>SUM(CC$7:CC56)</f>
        <v>0</v>
      </c>
      <c r="DU56" s="14">
        <f>SUM(CD$7:CD56)</f>
        <v>0</v>
      </c>
      <c r="DV56" s="14">
        <f>SUM(CE$7:CE56)</f>
        <v>0</v>
      </c>
      <c r="DW56" s="14">
        <f>SUM(CF$7:CF56)</f>
        <v>0</v>
      </c>
      <c r="DX56" s="14">
        <f>SUM(CG$7:CG56)</f>
        <v>0</v>
      </c>
      <c r="DY56" s="14">
        <f>SUM(CH$7:CH56)</f>
        <v>0</v>
      </c>
      <c r="DZ56" s="14">
        <f>SUM(CI$7:CI56)</f>
        <v>0</v>
      </c>
      <c r="EA56" s="14">
        <f>SUM(CJ$7:CJ56)</f>
        <v>0</v>
      </c>
      <c r="EB56" s="14">
        <f>SUM(CK$7:CK56)</f>
        <v>0</v>
      </c>
      <c r="EC56" s="14">
        <f>SUM(CL$7:CL56)</f>
        <v>0</v>
      </c>
      <c r="ED56" s="14">
        <f>SUM(CM$7:CM56)</f>
        <v>0</v>
      </c>
      <c r="EE56" s="14">
        <f>SUM(CN$7:CN56)</f>
        <v>0</v>
      </c>
      <c r="EF56" s="14">
        <f>SUM(CO$7:CO56)</f>
        <v>0</v>
      </c>
      <c r="EG56" s="14">
        <f>SUM(CP$7:CP56)</f>
        <v>0</v>
      </c>
      <c r="EH56" s="14">
        <f>SUM(CQ$7:CQ56)</f>
        <v>0</v>
      </c>
      <c r="EI56" s="14">
        <f>SUM(CR$7:CR56)</f>
        <v>0</v>
      </c>
      <c r="EJ56" s="14">
        <f>SUM(CS$7:CS56)</f>
        <v>0</v>
      </c>
      <c r="EK56" s="14">
        <f>SUM(CT$7:CT56)</f>
        <v>0</v>
      </c>
      <c r="EL56" s="14">
        <f>SUM(CU$7:CU56)</f>
        <v>0</v>
      </c>
      <c r="EM56" s="14">
        <f>SUM(CV$7:CV56)</f>
        <v>0</v>
      </c>
      <c r="EN56" s="14">
        <f>SUM(CW$7:CW56)</f>
        <v>0</v>
      </c>
      <c r="EO56" s="14">
        <f>SUM(CX$7:CX56)</f>
        <v>0</v>
      </c>
      <c r="EP56" s="14">
        <f>SUM(CY$7:CY56)</f>
        <v>0</v>
      </c>
      <c r="EQ56" s="14">
        <f>SUM(CZ$7:CZ56)</f>
        <v>0</v>
      </c>
      <c r="ER56" s="14">
        <f>SUM(DA$7:DA56)</f>
        <v>0</v>
      </c>
      <c r="EU56" s="14">
        <f t="shared" si="14"/>
        <v>0</v>
      </c>
      <c r="EV56" s="14">
        <f t="shared" si="15"/>
        <v>0</v>
      </c>
      <c r="EW56" s="14">
        <f t="shared" si="16"/>
        <v>0</v>
      </c>
      <c r="EX56" s="14">
        <f t="shared" si="17"/>
        <v>0</v>
      </c>
      <c r="EY56" s="14">
        <f t="shared" si="18"/>
        <v>0</v>
      </c>
      <c r="EZ56" s="14">
        <f t="shared" si="19"/>
        <v>0</v>
      </c>
      <c r="FA56" s="14">
        <f t="shared" si="20"/>
        <v>0</v>
      </c>
      <c r="FB56" s="14">
        <f t="shared" si="21"/>
        <v>0</v>
      </c>
      <c r="FC56" s="14">
        <f t="shared" si="22"/>
        <v>0</v>
      </c>
      <c r="FD56" s="14">
        <f t="shared" si="23"/>
        <v>0</v>
      </c>
      <c r="FE56" s="14">
        <f t="shared" si="24"/>
        <v>0</v>
      </c>
      <c r="FF56" s="14">
        <f t="shared" si="25"/>
        <v>0</v>
      </c>
      <c r="FG56" s="14">
        <f t="shared" si="26"/>
        <v>0</v>
      </c>
      <c r="FH56" s="14">
        <f t="shared" si="27"/>
        <v>0</v>
      </c>
      <c r="FI56" s="14">
        <f t="shared" si="28"/>
        <v>0</v>
      </c>
      <c r="FJ56" s="14">
        <f t="shared" si="29"/>
        <v>0</v>
      </c>
      <c r="FK56" s="14">
        <f t="shared" si="30"/>
        <v>0</v>
      </c>
      <c r="FL56" s="14">
        <f t="shared" si="31"/>
        <v>0</v>
      </c>
      <c r="FM56" s="14">
        <f t="shared" si="32"/>
        <v>0</v>
      </c>
      <c r="FN56" s="14">
        <f t="shared" si="33"/>
        <v>0</v>
      </c>
      <c r="FO56" s="14">
        <f t="shared" si="34"/>
        <v>0</v>
      </c>
      <c r="FP56" s="14">
        <f t="shared" si="35"/>
        <v>0</v>
      </c>
      <c r="FQ56" s="14">
        <f t="shared" si="36"/>
        <v>0</v>
      </c>
      <c r="FR56" s="14">
        <f t="shared" si="37"/>
        <v>0</v>
      </c>
      <c r="FS56" s="14">
        <f t="shared" si="38"/>
        <v>0</v>
      </c>
      <c r="FT56" s="14">
        <f t="shared" si="39"/>
        <v>0</v>
      </c>
      <c r="FU56" s="14">
        <f t="shared" si="40"/>
        <v>0</v>
      </c>
      <c r="FV56" s="14">
        <f t="shared" si="41"/>
        <v>0</v>
      </c>
      <c r="FW56" s="14">
        <f t="shared" si="42"/>
        <v>0</v>
      </c>
      <c r="FX56" s="14">
        <f t="shared" si="43"/>
        <v>0</v>
      </c>
      <c r="FY56" s="14">
        <f t="shared" si="44"/>
        <v>0</v>
      </c>
      <c r="FZ56" s="14">
        <f t="shared" si="45"/>
        <v>0</v>
      </c>
      <c r="GA56" s="14">
        <f t="shared" si="46"/>
        <v>0</v>
      </c>
      <c r="GB56" s="14">
        <f t="shared" si="47"/>
        <v>0</v>
      </c>
      <c r="GC56" s="14">
        <f t="shared" si="48"/>
        <v>0</v>
      </c>
      <c r="GD56" s="14">
        <f t="shared" si="49"/>
        <v>0</v>
      </c>
      <c r="GE56" s="14">
        <f t="shared" si="50"/>
        <v>0</v>
      </c>
      <c r="GF56" s="14">
        <f t="shared" si="51"/>
        <v>0</v>
      </c>
      <c r="GG56" s="14">
        <f t="shared" si="52"/>
        <v>0</v>
      </c>
      <c r="GH56" s="14">
        <f t="shared" si="53"/>
        <v>0</v>
      </c>
      <c r="GI56" s="14">
        <f t="shared" si="54"/>
        <v>0</v>
      </c>
      <c r="GJ56" s="14">
        <f t="shared" si="55"/>
        <v>0</v>
      </c>
      <c r="GM56" s="91">
        <v>50</v>
      </c>
      <c r="GN56" s="14">
        <f t="shared" si="56"/>
        <v>4</v>
      </c>
      <c r="GO56" s="14">
        <f t="shared" si="57"/>
        <v>1606006</v>
      </c>
      <c r="GP56" s="14" t="str">
        <f t="shared" si="58"/>
        <v>神器2-1 : 7级</v>
      </c>
      <c r="GQ56" s="14" t="s">
        <v>816</v>
      </c>
      <c r="GR56" s="14">
        <f t="shared" si="59"/>
        <v>5</v>
      </c>
      <c r="GS56" s="14" t="str">
        <f t="shared" si="60"/>
        <v>神器2-1</v>
      </c>
      <c r="GT56" s="14">
        <f t="shared" si="61"/>
        <v>2</v>
      </c>
    </row>
    <row r="57" spans="14:202" ht="16.5" x14ac:dyDescent="0.2">
      <c r="AL57" s="87">
        <v>3</v>
      </c>
      <c r="AM57" s="87">
        <v>3</v>
      </c>
      <c r="AN57" s="87">
        <v>17</v>
      </c>
      <c r="AO57" s="144">
        <f t="shared" si="8"/>
        <v>4417</v>
      </c>
      <c r="AP57" s="144" t="s">
        <v>1251</v>
      </c>
      <c r="AQ57" s="144" t="str">
        <f t="shared" si="9"/>
        <v>神器本-3-噩梦-1  神器2-5</v>
      </c>
      <c r="AR57" s="87">
        <v>8</v>
      </c>
      <c r="AS57" s="87" t="s">
        <v>328</v>
      </c>
      <c r="AT57" s="87">
        <v>1000</v>
      </c>
      <c r="AU57" s="87">
        <v>1</v>
      </c>
      <c r="AV57" s="87">
        <v>1</v>
      </c>
      <c r="AW57" s="87">
        <f t="shared" si="10"/>
        <v>3</v>
      </c>
      <c r="AX57" s="14">
        <f t="shared" si="11"/>
        <v>0.1</v>
      </c>
      <c r="AY57" s="14">
        <f t="shared" si="12"/>
        <v>10.5</v>
      </c>
      <c r="BG57" s="87">
        <v>51</v>
      </c>
      <c r="BH57" s="14" t="e">
        <f>INDEX(节奏总表!#REF!,新神器!BG57)</f>
        <v>#REF!</v>
      </c>
      <c r="BI57" s="14" t="e">
        <f t="shared" si="13"/>
        <v>#REF!</v>
      </c>
      <c r="BJ57" s="87">
        <v>3</v>
      </c>
      <c r="BK57" s="87">
        <v>5</v>
      </c>
      <c r="BL57" s="14">
        <f t="shared" ref="BL57:BU66" si="79">SUMIFS($AX$7:$AX$301,$AL$7:$AL$301,"="&amp;$BI57,$AM$7:$AM$301,"="&amp;$BJ57,$AR$7:$AR$301,"="&amp;BL$2)*$BK57</f>
        <v>0</v>
      </c>
      <c r="BM57" s="14">
        <f t="shared" si="79"/>
        <v>0</v>
      </c>
      <c r="BN57" s="14">
        <f t="shared" si="79"/>
        <v>0</v>
      </c>
      <c r="BO57" s="14">
        <f t="shared" si="79"/>
        <v>0</v>
      </c>
      <c r="BP57" s="14">
        <f t="shared" si="79"/>
        <v>0</v>
      </c>
      <c r="BQ57" s="14">
        <f t="shared" si="79"/>
        <v>0</v>
      </c>
      <c r="BR57" s="14">
        <f t="shared" si="79"/>
        <v>0</v>
      </c>
      <c r="BS57" s="14">
        <f t="shared" si="79"/>
        <v>0</v>
      </c>
      <c r="BT57" s="14">
        <f t="shared" si="79"/>
        <v>0</v>
      </c>
      <c r="BU57" s="14">
        <f t="shared" si="79"/>
        <v>0</v>
      </c>
      <c r="BV57" s="14">
        <f t="shared" ref="BV57:CE66" si="80">SUMIFS($AX$7:$AX$301,$AL$7:$AL$301,"="&amp;$BI57,$AM$7:$AM$301,"="&amp;$BJ57,$AR$7:$AR$301,"="&amp;BV$2)*$BK57</f>
        <v>0</v>
      </c>
      <c r="BW57" s="14">
        <f t="shared" si="80"/>
        <v>0</v>
      </c>
      <c r="BX57" s="14">
        <f t="shared" si="80"/>
        <v>0</v>
      </c>
      <c r="BY57" s="14">
        <f t="shared" si="80"/>
        <v>0</v>
      </c>
      <c r="BZ57" s="14">
        <f t="shared" si="80"/>
        <v>0</v>
      </c>
      <c r="CA57" s="14">
        <f t="shared" si="80"/>
        <v>0</v>
      </c>
      <c r="CB57" s="14">
        <f t="shared" si="80"/>
        <v>0</v>
      </c>
      <c r="CC57" s="14">
        <f t="shared" si="80"/>
        <v>0</v>
      </c>
      <c r="CD57" s="14">
        <f t="shared" si="80"/>
        <v>0</v>
      </c>
      <c r="CE57" s="14">
        <f t="shared" si="80"/>
        <v>0</v>
      </c>
      <c r="CF57" s="14">
        <f t="shared" ref="CF57:CO66" si="81">SUMIFS($AX$7:$AX$301,$AL$7:$AL$301,"="&amp;$BI57,$AM$7:$AM$301,"="&amp;$BJ57,$AR$7:$AR$301,"="&amp;CF$2)*$BK57</f>
        <v>0</v>
      </c>
      <c r="CG57" s="14">
        <f t="shared" si="81"/>
        <v>0</v>
      </c>
      <c r="CH57" s="14">
        <f t="shared" si="81"/>
        <v>0</v>
      </c>
      <c r="CI57" s="14">
        <f t="shared" si="81"/>
        <v>0</v>
      </c>
      <c r="CJ57" s="14">
        <f t="shared" si="81"/>
        <v>0</v>
      </c>
      <c r="CK57" s="14">
        <f t="shared" si="81"/>
        <v>0</v>
      </c>
      <c r="CL57" s="14">
        <f t="shared" si="81"/>
        <v>0</v>
      </c>
      <c r="CM57" s="14">
        <f t="shared" si="81"/>
        <v>0</v>
      </c>
      <c r="CN57" s="14">
        <f t="shared" si="81"/>
        <v>0</v>
      </c>
      <c r="CO57" s="14">
        <f t="shared" si="81"/>
        <v>0</v>
      </c>
      <c r="CP57" s="14">
        <f t="shared" ref="CP57:DA66" si="82">SUMIFS($AX$7:$AX$301,$AL$7:$AL$301,"="&amp;$BI57,$AM$7:$AM$301,"="&amp;$BJ57,$AR$7:$AR$301,"="&amp;CP$2)*$BK57</f>
        <v>0</v>
      </c>
      <c r="CQ57" s="14">
        <f t="shared" si="82"/>
        <v>0</v>
      </c>
      <c r="CR57" s="14">
        <f t="shared" si="82"/>
        <v>0</v>
      </c>
      <c r="CS57" s="14">
        <f t="shared" si="82"/>
        <v>0</v>
      </c>
      <c r="CT57" s="14">
        <f t="shared" si="82"/>
        <v>0</v>
      </c>
      <c r="CU57" s="14">
        <f t="shared" si="82"/>
        <v>0</v>
      </c>
      <c r="CV57" s="14">
        <f t="shared" si="82"/>
        <v>0</v>
      </c>
      <c r="CW57" s="14">
        <f t="shared" si="82"/>
        <v>0</v>
      </c>
      <c r="CX57" s="14">
        <f t="shared" si="82"/>
        <v>0</v>
      </c>
      <c r="CY57" s="14">
        <f t="shared" si="82"/>
        <v>0</v>
      </c>
      <c r="CZ57" s="14">
        <f t="shared" si="82"/>
        <v>0</v>
      </c>
      <c r="DA57" s="14">
        <f t="shared" si="82"/>
        <v>0</v>
      </c>
      <c r="DC57" s="14">
        <f>SUM(BL$7:BL57)</f>
        <v>0</v>
      </c>
      <c r="DD57" s="14">
        <f>SUM(BM$7:BM57)</f>
        <v>0</v>
      </c>
      <c r="DE57" s="14">
        <f>SUM(BN$7:BN57)</f>
        <v>0</v>
      </c>
      <c r="DF57" s="14">
        <f>SUM(BO$7:BO57)</f>
        <v>0</v>
      </c>
      <c r="DG57" s="14">
        <f>SUM(BP$7:BP57)</f>
        <v>0</v>
      </c>
      <c r="DH57" s="14">
        <f>SUM(BQ$7:BQ57)</f>
        <v>0</v>
      </c>
      <c r="DI57" s="14">
        <f>SUM(BR$7:BR57)</f>
        <v>0</v>
      </c>
      <c r="DJ57" s="14">
        <f>SUM(BS$7:BS57)</f>
        <v>0</v>
      </c>
      <c r="DK57" s="14">
        <f>SUM(BT$7:BT57)</f>
        <v>0</v>
      </c>
      <c r="DL57" s="14">
        <f>SUM(BU$7:BU57)</f>
        <v>0</v>
      </c>
      <c r="DM57" s="14">
        <f>SUM(BV$7:BV57)</f>
        <v>0</v>
      </c>
      <c r="DN57" s="14">
        <f>SUM(BW$7:BW57)</f>
        <v>0</v>
      </c>
      <c r="DO57" s="14">
        <f>SUM(BX$7:BX57)</f>
        <v>0</v>
      </c>
      <c r="DP57" s="14">
        <f>SUM(BY$7:BY57)</f>
        <v>0</v>
      </c>
      <c r="DQ57" s="14">
        <f>SUM(BZ$7:BZ57)</f>
        <v>0</v>
      </c>
      <c r="DR57" s="14">
        <f>SUM(CA$7:CA57)</f>
        <v>0</v>
      </c>
      <c r="DS57" s="14">
        <f>SUM(CB$7:CB57)</f>
        <v>0</v>
      </c>
      <c r="DT57" s="14">
        <f>SUM(CC$7:CC57)</f>
        <v>0</v>
      </c>
      <c r="DU57" s="14">
        <f>SUM(CD$7:CD57)</f>
        <v>0</v>
      </c>
      <c r="DV57" s="14">
        <f>SUM(CE$7:CE57)</f>
        <v>0</v>
      </c>
      <c r="DW57" s="14">
        <f>SUM(CF$7:CF57)</f>
        <v>0</v>
      </c>
      <c r="DX57" s="14">
        <f>SUM(CG$7:CG57)</f>
        <v>0</v>
      </c>
      <c r="DY57" s="14">
        <f>SUM(CH$7:CH57)</f>
        <v>0</v>
      </c>
      <c r="DZ57" s="14">
        <f>SUM(CI$7:CI57)</f>
        <v>0</v>
      </c>
      <c r="EA57" s="14">
        <f>SUM(CJ$7:CJ57)</f>
        <v>0</v>
      </c>
      <c r="EB57" s="14">
        <f>SUM(CK$7:CK57)</f>
        <v>0</v>
      </c>
      <c r="EC57" s="14">
        <f>SUM(CL$7:CL57)</f>
        <v>0</v>
      </c>
      <c r="ED57" s="14">
        <f>SUM(CM$7:CM57)</f>
        <v>0</v>
      </c>
      <c r="EE57" s="14">
        <f>SUM(CN$7:CN57)</f>
        <v>0</v>
      </c>
      <c r="EF57" s="14">
        <f>SUM(CO$7:CO57)</f>
        <v>0</v>
      </c>
      <c r="EG57" s="14">
        <f>SUM(CP$7:CP57)</f>
        <v>0</v>
      </c>
      <c r="EH57" s="14">
        <f>SUM(CQ$7:CQ57)</f>
        <v>0</v>
      </c>
      <c r="EI57" s="14">
        <f>SUM(CR$7:CR57)</f>
        <v>0</v>
      </c>
      <c r="EJ57" s="14">
        <f>SUM(CS$7:CS57)</f>
        <v>0</v>
      </c>
      <c r="EK57" s="14">
        <f>SUM(CT$7:CT57)</f>
        <v>0</v>
      </c>
      <c r="EL57" s="14">
        <f>SUM(CU$7:CU57)</f>
        <v>0</v>
      </c>
      <c r="EM57" s="14">
        <f>SUM(CV$7:CV57)</f>
        <v>0</v>
      </c>
      <c r="EN57" s="14">
        <f>SUM(CW$7:CW57)</f>
        <v>0</v>
      </c>
      <c r="EO57" s="14">
        <f>SUM(CX$7:CX57)</f>
        <v>0</v>
      </c>
      <c r="EP57" s="14">
        <f>SUM(CY$7:CY57)</f>
        <v>0</v>
      </c>
      <c r="EQ57" s="14">
        <f>SUM(CZ$7:CZ57)</f>
        <v>0</v>
      </c>
      <c r="ER57" s="14">
        <f>SUM(DA$7:DA57)</f>
        <v>0</v>
      </c>
      <c r="EU57" s="14">
        <f t="shared" si="14"/>
        <v>0</v>
      </c>
      <c r="EV57" s="14">
        <f t="shared" si="15"/>
        <v>0</v>
      </c>
      <c r="EW57" s="14">
        <f t="shared" si="16"/>
        <v>0</v>
      </c>
      <c r="EX57" s="14">
        <f t="shared" si="17"/>
        <v>0</v>
      </c>
      <c r="EY57" s="14">
        <f t="shared" si="18"/>
        <v>0</v>
      </c>
      <c r="EZ57" s="14">
        <f t="shared" si="19"/>
        <v>0</v>
      </c>
      <c r="FA57" s="14">
        <f t="shared" si="20"/>
        <v>0</v>
      </c>
      <c r="FB57" s="14">
        <f t="shared" si="21"/>
        <v>0</v>
      </c>
      <c r="FC57" s="14">
        <f t="shared" si="22"/>
        <v>0</v>
      </c>
      <c r="FD57" s="14">
        <f t="shared" si="23"/>
        <v>0</v>
      </c>
      <c r="FE57" s="14">
        <f t="shared" si="24"/>
        <v>0</v>
      </c>
      <c r="FF57" s="14">
        <f t="shared" si="25"/>
        <v>0</v>
      </c>
      <c r="FG57" s="14">
        <f t="shared" si="26"/>
        <v>0</v>
      </c>
      <c r="FH57" s="14">
        <f t="shared" si="27"/>
        <v>0</v>
      </c>
      <c r="FI57" s="14">
        <f t="shared" si="28"/>
        <v>0</v>
      </c>
      <c r="FJ57" s="14">
        <f t="shared" si="29"/>
        <v>0</v>
      </c>
      <c r="FK57" s="14">
        <f t="shared" si="30"/>
        <v>0</v>
      </c>
      <c r="FL57" s="14">
        <f t="shared" si="31"/>
        <v>0</v>
      </c>
      <c r="FM57" s="14">
        <f t="shared" si="32"/>
        <v>0</v>
      </c>
      <c r="FN57" s="14">
        <f t="shared" si="33"/>
        <v>0</v>
      </c>
      <c r="FO57" s="14">
        <f t="shared" si="34"/>
        <v>0</v>
      </c>
      <c r="FP57" s="14">
        <f t="shared" si="35"/>
        <v>0</v>
      </c>
      <c r="FQ57" s="14">
        <f t="shared" si="36"/>
        <v>0</v>
      </c>
      <c r="FR57" s="14">
        <f t="shared" si="37"/>
        <v>0</v>
      </c>
      <c r="FS57" s="14">
        <f t="shared" si="38"/>
        <v>0</v>
      </c>
      <c r="FT57" s="14">
        <f t="shared" si="39"/>
        <v>0</v>
      </c>
      <c r="FU57" s="14">
        <f t="shared" si="40"/>
        <v>0</v>
      </c>
      <c r="FV57" s="14">
        <f t="shared" si="41"/>
        <v>0</v>
      </c>
      <c r="FW57" s="14">
        <f t="shared" si="42"/>
        <v>0</v>
      </c>
      <c r="FX57" s="14">
        <f t="shared" si="43"/>
        <v>0</v>
      </c>
      <c r="FY57" s="14">
        <f t="shared" si="44"/>
        <v>0</v>
      </c>
      <c r="FZ57" s="14">
        <f t="shared" si="45"/>
        <v>0</v>
      </c>
      <c r="GA57" s="14">
        <f t="shared" si="46"/>
        <v>0</v>
      </c>
      <c r="GB57" s="14">
        <f t="shared" si="47"/>
        <v>0</v>
      </c>
      <c r="GC57" s="14">
        <f t="shared" si="48"/>
        <v>0</v>
      </c>
      <c r="GD57" s="14">
        <f t="shared" si="49"/>
        <v>0</v>
      </c>
      <c r="GE57" s="14">
        <f t="shared" si="50"/>
        <v>0</v>
      </c>
      <c r="GF57" s="14">
        <f t="shared" si="51"/>
        <v>0</v>
      </c>
      <c r="GG57" s="14">
        <f t="shared" si="52"/>
        <v>0</v>
      </c>
      <c r="GH57" s="14">
        <f t="shared" si="53"/>
        <v>0</v>
      </c>
      <c r="GI57" s="14">
        <f t="shared" si="54"/>
        <v>0</v>
      </c>
      <c r="GJ57" s="14">
        <f t="shared" si="55"/>
        <v>0</v>
      </c>
      <c r="GM57" s="91">
        <v>51</v>
      </c>
      <c r="GN57" s="14">
        <f t="shared" si="56"/>
        <v>4</v>
      </c>
      <c r="GO57" s="14">
        <f t="shared" si="57"/>
        <v>1606006</v>
      </c>
      <c r="GP57" s="14" t="str">
        <f t="shared" si="58"/>
        <v>神器2-1 : 8级</v>
      </c>
      <c r="GQ57" s="14" t="s">
        <v>816</v>
      </c>
      <c r="GR57" s="14">
        <f t="shared" si="59"/>
        <v>6</v>
      </c>
      <c r="GS57" s="14" t="str">
        <f t="shared" si="60"/>
        <v>神器2-1</v>
      </c>
      <c r="GT57" s="14">
        <f t="shared" si="61"/>
        <v>2</v>
      </c>
    </row>
    <row r="58" spans="14:202" ht="16.5" x14ac:dyDescent="0.2">
      <c r="AL58" s="87">
        <v>3</v>
      </c>
      <c r="AM58" s="87">
        <v>3</v>
      </c>
      <c r="AN58" s="87">
        <v>18</v>
      </c>
      <c r="AO58" s="144">
        <f t="shared" si="8"/>
        <v>4418</v>
      </c>
      <c r="AP58" s="144" t="s">
        <v>1252</v>
      </c>
      <c r="AQ58" s="144" t="str">
        <f t="shared" si="9"/>
        <v>神器本-3-噩梦-2  神器3-1</v>
      </c>
      <c r="AR58" s="87">
        <v>9</v>
      </c>
      <c r="AS58" s="87" t="s">
        <v>776</v>
      </c>
      <c r="AT58" s="87">
        <v>5000</v>
      </c>
      <c r="AU58" s="87">
        <v>1</v>
      </c>
      <c r="AV58" s="87">
        <v>3</v>
      </c>
      <c r="AW58" s="87">
        <f t="shared" si="10"/>
        <v>1</v>
      </c>
      <c r="AX58" s="14">
        <f t="shared" si="11"/>
        <v>1</v>
      </c>
      <c r="AY58" s="14">
        <f t="shared" si="12"/>
        <v>20</v>
      </c>
      <c r="BG58" s="87">
        <v>52</v>
      </c>
      <c r="BH58" s="14" t="e">
        <f>INDEX(节奏总表!#REF!,新神器!BG58)</f>
        <v>#REF!</v>
      </c>
      <c r="BI58" s="14" t="e">
        <f t="shared" si="13"/>
        <v>#REF!</v>
      </c>
      <c r="BJ58" s="87">
        <v>3</v>
      </c>
      <c r="BK58" s="87">
        <v>5</v>
      </c>
      <c r="BL58" s="14">
        <f t="shared" si="79"/>
        <v>0</v>
      </c>
      <c r="BM58" s="14">
        <f t="shared" si="79"/>
        <v>0</v>
      </c>
      <c r="BN58" s="14">
        <f t="shared" si="79"/>
        <v>0</v>
      </c>
      <c r="BO58" s="14">
        <f t="shared" si="79"/>
        <v>0</v>
      </c>
      <c r="BP58" s="14">
        <f t="shared" si="79"/>
        <v>0</v>
      </c>
      <c r="BQ58" s="14">
        <f t="shared" si="79"/>
        <v>0</v>
      </c>
      <c r="BR58" s="14">
        <f t="shared" si="79"/>
        <v>0</v>
      </c>
      <c r="BS58" s="14">
        <f t="shared" si="79"/>
        <v>0</v>
      </c>
      <c r="BT58" s="14">
        <f t="shared" si="79"/>
        <v>0</v>
      </c>
      <c r="BU58" s="14">
        <f t="shared" si="79"/>
        <v>0</v>
      </c>
      <c r="BV58" s="14">
        <f t="shared" si="80"/>
        <v>0</v>
      </c>
      <c r="BW58" s="14">
        <f t="shared" si="80"/>
        <v>0</v>
      </c>
      <c r="BX58" s="14">
        <f t="shared" si="80"/>
        <v>0</v>
      </c>
      <c r="BY58" s="14">
        <f t="shared" si="80"/>
        <v>0</v>
      </c>
      <c r="BZ58" s="14">
        <f t="shared" si="80"/>
        <v>0</v>
      </c>
      <c r="CA58" s="14">
        <f t="shared" si="80"/>
        <v>0</v>
      </c>
      <c r="CB58" s="14">
        <f t="shared" si="80"/>
        <v>0</v>
      </c>
      <c r="CC58" s="14">
        <f t="shared" si="80"/>
        <v>0</v>
      </c>
      <c r="CD58" s="14">
        <f t="shared" si="80"/>
        <v>0</v>
      </c>
      <c r="CE58" s="14">
        <f t="shared" si="80"/>
        <v>0</v>
      </c>
      <c r="CF58" s="14">
        <f t="shared" si="81"/>
        <v>0</v>
      </c>
      <c r="CG58" s="14">
        <f t="shared" si="81"/>
        <v>0</v>
      </c>
      <c r="CH58" s="14">
        <f t="shared" si="81"/>
        <v>0</v>
      </c>
      <c r="CI58" s="14">
        <f t="shared" si="81"/>
        <v>0</v>
      </c>
      <c r="CJ58" s="14">
        <f t="shared" si="81"/>
        <v>0</v>
      </c>
      <c r="CK58" s="14">
        <f t="shared" si="81"/>
        <v>0</v>
      </c>
      <c r="CL58" s="14">
        <f t="shared" si="81"/>
        <v>0</v>
      </c>
      <c r="CM58" s="14">
        <f t="shared" si="81"/>
        <v>0</v>
      </c>
      <c r="CN58" s="14">
        <f t="shared" si="81"/>
        <v>0</v>
      </c>
      <c r="CO58" s="14">
        <f t="shared" si="81"/>
        <v>0</v>
      </c>
      <c r="CP58" s="14">
        <f t="shared" si="82"/>
        <v>0</v>
      </c>
      <c r="CQ58" s="14">
        <f t="shared" si="82"/>
        <v>0</v>
      </c>
      <c r="CR58" s="14">
        <f t="shared" si="82"/>
        <v>0</v>
      </c>
      <c r="CS58" s="14">
        <f t="shared" si="82"/>
        <v>0</v>
      </c>
      <c r="CT58" s="14">
        <f t="shared" si="82"/>
        <v>0</v>
      </c>
      <c r="CU58" s="14">
        <f t="shared" si="82"/>
        <v>0</v>
      </c>
      <c r="CV58" s="14">
        <f t="shared" si="82"/>
        <v>0</v>
      </c>
      <c r="CW58" s="14">
        <f t="shared" si="82"/>
        <v>0</v>
      </c>
      <c r="CX58" s="14">
        <f t="shared" si="82"/>
        <v>0</v>
      </c>
      <c r="CY58" s="14">
        <f t="shared" si="82"/>
        <v>0</v>
      </c>
      <c r="CZ58" s="14">
        <f t="shared" si="82"/>
        <v>0</v>
      </c>
      <c r="DA58" s="14">
        <f t="shared" si="82"/>
        <v>0</v>
      </c>
      <c r="DC58" s="14">
        <f>SUM(BL$7:BL58)</f>
        <v>0</v>
      </c>
      <c r="DD58" s="14">
        <f>SUM(BM$7:BM58)</f>
        <v>0</v>
      </c>
      <c r="DE58" s="14">
        <f>SUM(BN$7:BN58)</f>
        <v>0</v>
      </c>
      <c r="DF58" s="14">
        <f>SUM(BO$7:BO58)</f>
        <v>0</v>
      </c>
      <c r="DG58" s="14">
        <f>SUM(BP$7:BP58)</f>
        <v>0</v>
      </c>
      <c r="DH58" s="14">
        <f>SUM(BQ$7:BQ58)</f>
        <v>0</v>
      </c>
      <c r="DI58" s="14">
        <f>SUM(BR$7:BR58)</f>
        <v>0</v>
      </c>
      <c r="DJ58" s="14">
        <f>SUM(BS$7:BS58)</f>
        <v>0</v>
      </c>
      <c r="DK58" s="14">
        <f>SUM(BT$7:BT58)</f>
        <v>0</v>
      </c>
      <c r="DL58" s="14">
        <f>SUM(BU$7:BU58)</f>
        <v>0</v>
      </c>
      <c r="DM58" s="14">
        <f>SUM(BV$7:BV58)</f>
        <v>0</v>
      </c>
      <c r="DN58" s="14">
        <f>SUM(BW$7:BW58)</f>
        <v>0</v>
      </c>
      <c r="DO58" s="14">
        <f>SUM(BX$7:BX58)</f>
        <v>0</v>
      </c>
      <c r="DP58" s="14">
        <f>SUM(BY$7:BY58)</f>
        <v>0</v>
      </c>
      <c r="DQ58" s="14">
        <f>SUM(BZ$7:BZ58)</f>
        <v>0</v>
      </c>
      <c r="DR58" s="14">
        <f>SUM(CA$7:CA58)</f>
        <v>0</v>
      </c>
      <c r="DS58" s="14">
        <f>SUM(CB$7:CB58)</f>
        <v>0</v>
      </c>
      <c r="DT58" s="14">
        <f>SUM(CC$7:CC58)</f>
        <v>0</v>
      </c>
      <c r="DU58" s="14">
        <f>SUM(CD$7:CD58)</f>
        <v>0</v>
      </c>
      <c r="DV58" s="14">
        <f>SUM(CE$7:CE58)</f>
        <v>0</v>
      </c>
      <c r="DW58" s="14">
        <f>SUM(CF$7:CF58)</f>
        <v>0</v>
      </c>
      <c r="DX58" s="14">
        <f>SUM(CG$7:CG58)</f>
        <v>0</v>
      </c>
      <c r="DY58" s="14">
        <f>SUM(CH$7:CH58)</f>
        <v>0</v>
      </c>
      <c r="DZ58" s="14">
        <f>SUM(CI$7:CI58)</f>
        <v>0</v>
      </c>
      <c r="EA58" s="14">
        <f>SUM(CJ$7:CJ58)</f>
        <v>0</v>
      </c>
      <c r="EB58" s="14">
        <f>SUM(CK$7:CK58)</f>
        <v>0</v>
      </c>
      <c r="EC58" s="14">
        <f>SUM(CL$7:CL58)</f>
        <v>0</v>
      </c>
      <c r="ED58" s="14">
        <f>SUM(CM$7:CM58)</f>
        <v>0</v>
      </c>
      <c r="EE58" s="14">
        <f>SUM(CN$7:CN58)</f>
        <v>0</v>
      </c>
      <c r="EF58" s="14">
        <f>SUM(CO$7:CO58)</f>
        <v>0</v>
      </c>
      <c r="EG58" s="14">
        <f>SUM(CP$7:CP58)</f>
        <v>0</v>
      </c>
      <c r="EH58" s="14">
        <f>SUM(CQ$7:CQ58)</f>
        <v>0</v>
      </c>
      <c r="EI58" s="14">
        <f>SUM(CR$7:CR58)</f>
        <v>0</v>
      </c>
      <c r="EJ58" s="14">
        <f>SUM(CS$7:CS58)</f>
        <v>0</v>
      </c>
      <c r="EK58" s="14">
        <f>SUM(CT$7:CT58)</f>
        <v>0</v>
      </c>
      <c r="EL58" s="14">
        <f>SUM(CU$7:CU58)</f>
        <v>0</v>
      </c>
      <c r="EM58" s="14">
        <f>SUM(CV$7:CV58)</f>
        <v>0</v>
      </c>
      <c r="EN58" s="14">
        <f>SUM(CW$7:CW58)</f>
        <v>0</v>
      </c>
      <c r="EO58" s="14">
        <f>SUM(CX$7:CX58)</f>
        <v>0</v>
      </c>
      <c r="EP58" s="14">
        <f>SUM(CY$7:CY58)</f>
        <v>0</v>
      </c>
      <c r="EQ58" s="14">
        <f>SUM(CZ$7:CZ58)</f>
        <v>0</v>
      </c>
      <c r="ER58" s="14">
        <f>SUM(DA$7:DA58)</f>
        <v>0</v>
      </c>
      <c r="EU58" s="14">
        <f t="shared" si="14"/>
        <v>0</v>
      </c>
      <c r="EV58" s="14">
        <f t="shared" si="15"/>
        <v>0</v>
      </c>
      <c r="EW58" s="14">
        <f t="shared" si="16"/>
        <v>0</v>
      </c>
      <c r="EX58" s="14">
        <f t="shared" si="17"/>
        <v>0</v>
      </c>
      <c r="EY58" s="14">
        <f t="shared" si="18"/>
        <v>0</v>
      </c>
      <c r="EZ58" s="14">
        <f t="shared" si="19"/>
        <v>0</v>
      </c>
      <c r="FA58" s="14">
        <f t="shared" si="20"/>
        <v>0</v>
      </c>
      <c r="FB58" s="14">
        <f t="shared" si="21"/>
        <v>0</v>
      </c>
      <c r="FC58" s="14">
        <f t="shared" si="22"/>
        <v>0</v>
      </c>
      <c r="FD58" s="14">
        <f t="shared" si="23"/>
        <v>0</v>
      </c>
      <c r="FE58" s="14">
        <f t="shared" si="24"/>
        <v>0</v>
      </c>
      <c r="FF58" s="14">
        <f t="shared" si="25"/>
        <v>0</v>
      </c>
      <c r="FG58" s="14">
        <f t="shared" si="26"/>
        <v>0</v>
      </c>
      <c r="FH58" s="14">
        <f t="shared" si="27"/>
        <v>0</v>
      </c>
      <c r="FI58" s="14">
        <f t="shared" si="28"/>
        <v>0</v>
      </c>
      <c r="FJ58" s="14">
        <f t="shared" si="29"/>
        <v>0</v>
      </c>
      <c r="FK58" s="14">
        <f t="shared" si="30"/>
        <v>0</v>
      </c>
      <c r="FL58" s="14">
        <f t="shared" si="31"/>
        <v>0</v>
      </c>
      <c r="FM58" s="14">
        <f t="shared" si="32"/>
        <v>0</v>
      </c>
      <c r="FN58" s="14">
        <f t="shared" si="33"/>
        <v>0</v>
      </c>
      <c r="FO58" s="14">
        <f t="shared" si="34"/>
        <v>0</v>
      </c>
      <c r="FP58" s="14">
        <f t="shared" si="35"/>
        <v>0</v>
      </c>
      <c r="FQ58" s="14">
        <f t="shared" si="36"/>
        <v>0</v>
      </c>
      <c r="FR58" s="14">
        <f t="shared" si="37"/>
        <v>0</v>
      </c>
      <c r="FS58" s="14">
        <f t="shared" si="38"/>
        <v>0</v>
      </c>
      <c r="FT58" s="14">
        <f t="shared" si="39"/>
        <v>0</v>
      </c>
      <c r="FU58" s="14">
        <f t="shared" si="40"/>
        <v>0</v>
      </c>
      <c r="FV58" s="14">
        <f t="shared" si="41"/>
        <v>0</v>
      </c>
      <c r="FW58" s="14">
        <f t="shared" si="42"/>
        <v>0</v>
      </c>
      <c r="FX58" s="14">
        <f t="shared" si="43"/>
        <v>0</v>
      </c>
      <c r="FY58" s="14">
        <f t="shared" si="44"/>
        <v>0</v>
      </c>
      <c r="FZ58" s="14">
        <f t="shared" si="45"/>
        <v>0</v>
      </c>
      <c r="GA58" s="14">
        <f t="shared" si="46"/>
        <v>0</v>
      </c>
      <c r="GB58" s="14">
        <f t="shared" si="47"/>
        <v>0</v>
      </c>
      <c r="GC58" s="14">
        <f t="shared" si="48"/>
        <v>0</v>
      </c>
      <c r="GD58" s="14">
        <f t="shared" si="49"/>
        <v>0</v>
      </c>
      <c r="GE58" s="14">
        <f t="shared" si="50"/>
        <v>0</v>
      </c>
      <c r="GF58" s="14">
        <f t="shared" si="51"/>
        <v>0</v>
      </c>
      <c r="GG58" s="14">
        <f t="shared" si="52"/>
        <v>0</v>
      </c>
      <c r="GH58" s="14">
        <f t="shared" si="53"/>
        <v>0</v>
      </c>
      <c r="GI58" s="14">
        <f t="shared" si="54"/>
        <v>0</v>
      </c>
      <c r="GJ58" s="14">
        <f t="shared" si="55"/>
        <v>0</v>
      </c>
      <c r="GM58" s="91">
        <v>52</v>
      </c>
      <c r="GN58" s="14">
        <f t="shared" si="56"/>
        <v>4</v>
      </c>
      <c r="GO58" s="14">
        <f t="shared" si="57"/>
        <v>1606006</v>
      </c>
      <c r="GP58" s="14" t="str">
        <f t="shared" si="58"/>
        <v>神器2-1 : 9级</v>
      </c>
      <c r="GQ58" s="14" t="s">
        <v>816</v>
      </c>
      <c r="GR58" s="14">
        <f t="shared" si="59"/>
        <v>7</v>
      </c>
      <c r="GS58" s="14" t="str">
        <f t="shared" si="60"/>
        <v>神器2-1</v>
      </c>
      <c r="GT58" s="14">
        <f t="shared" si="61"/>
        <v>3</v>
      </c>
    </row>
    <row r="59" spans="14:202" ht="16.5" x14ac:dyDescent="0.2">
      <c r="AL59" s="87">
        <v>3</v>
      </c>
      <c r="AM59" s="87">
        <v>3</v>
      </c>
      <c r="AN59" s="87">
        <v>18</v>
      </c>
      <c r="AO59" s="144">
        <f t="shared" si="8"/>
        <v>4418</v>
      </c>
      <c r="AP59" s="144" t="s">
        <v>1252</v>
      </c>
      <c r="AQ59" s="144" t="str">
        <f t="shared" si="9"/>
        <v>神器本-3-噩梦-2  神器3-2</v>
      </c>
      <c r="AR59" s="87">
        <v>10</v>
      </c>
      <c r="AS59" s="87" t="s">
        <v>330</v>
      </c>
      <c r="AT59" s="87">
        <v>5000</v>
      </c>
      <c r="AU59" s="87">
        <v>1</v>
      </c>
      <c r="AV59" s="87">
        <v>3</v>
      </c>
      <c r="AW59" s="87">
        <f t="shared" si="10"/>
        <v>1</v>
      </c>
      <c r="AX59" s="14">
        <f t="shared" si="11"/>
        <v>1</v>
      </c>
      <c r="AY59" s="14">
        <f t="shared" si="12"/>
        <v>20</v>
      </c>
      <c r="BG59" s="87">
        <v>53</v>
      </c>
      <c r="BH59" s="14" t="e">
        <f>INDEX(节奏总表!#REF!,新神器!BG59)</f>
        <v>#REF!</v>
      </c>
      <c r="BI59" s="14" t="e">
        <f t="shared" si="13"/>
        <v>#REF!</v>
      </c>
      <c r="BJ59" s="87">
        <v>3</v>
      </c>
      <c r="BK59" s="87">
        <v>5</v>
      </c>
      <c r="BL59" s="14">
        <f t="shared" si="79"/>
        <v>0</v>
      </c>
      <c r="BM59" s="14">
        <f t="shared" si="79"/>
        <v>0</v>
      </c>
      <c r="BN59" s="14">
        <f t="shared" si="79"/>
        <v>0</v>
      </c>
      <c r="BO59" s="14">
        <f t="shared" si="79"/>
        <v>0</v>
      </c>
      <c r="BP59" s="14">
        <f t="shared" si="79"/>
        <v>0</v>
      </c>
      <c r="BQ59" s="14">
        <f t="shared" si="79"/>
        <v>0</v>
      </c>
      <c r="BR59" s="14">
        <f t="shared" si="79"/>
        <v>0</v>
      </c>
      <c r="BS59" s="14">
        <f t="shared" si="79"/>
        <v>0</v>
      </c>
      <c r="BT59" s="14">
        <f t="shared" si="79"/>
        <v>0</v>
      </c>
      <c r="BU59" s="14">
        <f t="shared" si="79"/>
        <v>0</v>
      </c>
      <c r="BV59" s="14">
        <f t="shared" si="80"/>
        <v>0</v>
      </c>
      <c r="BW59" s="14">
        <f t="shared" si="80"/>
        <v>0</v>
      </c>
      <c r="BX59" s="14">
        <f t="shared" si="80"/>
        <v>0</v>
      </c>
      <c r="BY59" s="14">
        <f t="shared" si="80"/>
        <v>0</v>
      </c>
      <c r="BZ59" s="14">
        <f t="shared" si="80"/>
        <v>0</v>
      </c>
      <c r="CA59" s="14">
        <f t="shared" si="80"/>
        <v>0</v>
      </c>
      <c r="CB59" s="14">
        <f t="shared" si="80"/>
        <v>0</v>
      </c>
      <c r="CC59" s="14">
        <f t="shared" si="80"/>
        <v>0</v>
      </c>
      <c r="CD59" s="14">
        <f t="shared" si="80"/>
        <v>0</v>
      </c>
      <c r="CE59" s="14">
        <f t="shared" si="80"/>
        <v>0</v>
      </c>
      <c r="CF59" s="14">
        <f t="shared" si="81"/>
        <v>0</v>
      </c>
      <c r="CG59" s="14">
        <f t="shared" si="81"/>
        <v>0</v>
      </c>
      <c r="CH59" s="14">
        <f t="shared" si="81"/>
        <v>0</v>
      </c>
      <c r="CI59" s="14">
        <f t="shared" si="81"/>
        <v>0</v>
      </c>
      <c r="CJ59" s="14">
        <f t="shared" si="81"/>
        <v>0</v>
      </c>
      <c r="CK59" s="14">
        <f t="shared" si="81"/>
        <v>0</v>
      </c>
      <c r="CL59" s="14">
        <f t="shared" si="81"/>
        <v>0</v>
      </c>
      <c r="CM59" s="14">
        <f t="shared" si="81"/>
        <v>0</v>
      </c>
      <c r="CN59" s="14">
        <f t="shared" si="81"/>
        <v>0</v>
      </c>
      <c r="CO59" s="14">
        <f t="shared" si="81"/>
        <v>0</v>
      </c>
      <c r="CP59" s="14">
        <f t="shared" si="82"/>
        <v>0</v>
      </c>
      <c r="CQ59" s="14">
        <f t="shared" si="82"/>
        <v>0</v>
      </c>
      <c r="CR59" s="14">
        <f t="shared" si="82"/>
        <v>0</v>
      </c>
      <c r="CS59" s="14">
        <f t="shared" si="82"/>
        <v>0</v>
      </c>
      <c r="CT59" s="14">
        <f t="shared" si="82"/>
        <v>0</v>
      </c>
      <c r="CU59" s="14">
        <f t="shared" si="82"/>
        <v>0</v>
      </c>
      <c r="CV59" s="14">
        <f t="shared" si="82"/>
        <v>0</v>
      </c>
      <c r="CW59" s="14">
        <f t="shared" si="82"/>
        <v>0</v>
      </c>
      <c r="CX59" s="14">
        <f t="shared" si="82"/>
        <v>0</v>
      </c>
      <c r="CY59" s="14">
        <f t="shared" si="82"/>
        <v>0</v>
      </c>
      <c r="CZ59" s="14">
        <f t="shared" si="82"/>
        <v>0</v>
      </c>
      <c r="DA59" s="14">
        <f t="shared" si="82"/>
        <v>0</v>
      </c>
      <c r="DC59" s="14">
        <f>SUM(BL$7:BL59)</f>
        <v>0</v>
      </c>
      <c r="DD59" s="14">
        <f>SUM(BM$7:BM59)</f>
        <v>0</v>
      </c>
      <c r="DE59" s="14">
        <f>SUM(BN$7:BN59)</f>
        <v>0</v>
      </c>
      <c r="DF59" s="14">
        <f>SUM(BO$7:BO59)</f>
        <v>0</v>
      </c>
      <c r="DG59" s="14">
        <f>SUM(BP$7:BP59)</f>
        <v>0</v>
      </c>
      <c r="DH59" s="14">
        <f>SUM(BQ$7:BQ59)</f>
        <v>0</v>
      </c>
      <c r="DI59" s="14">
        <f>SUM(BR$7:BR59)</f>
        <v>0</v>
      </c>
      <c r="DJ59" s="14">
        <f>SUM(BS$7:BS59)</f>
        <v>0</v>
      </c>
      <c r="DK59" s="14">
        <f>SUM(BT$7:BT59)</f>
        <v>0</v>
      </c>
      <c r="DL59" s="14">
        <f>SUM(BU$7:BU59)</f>
        <v>0</v>
      </c>
      <c r="DM59" s="14">
        <f>SUM(BV$7:BV59)</f>
        <v>0</v>
      </c>
      <c r="DN59" s="14">
        <f>SUM(BW$7:BW59)</f>
        <v>0</v>
      </c>
      <c r="DO59" s="14">
        <f>SUM(BX$7:BX59)</f>
        <v>0</v>
      </c>
      <c r="DP59" s="14">
        <f>SUM(BY$7:BY59)</f>
        <v>0</v>
      </c>
      <c r="DQ59" s="14">
        <f>SUM(BZ$7:BZ59)</f>
        <v>0</v>
      </c>
      <c r="DR59" s="14">
        <f>SUM(CA$7:CA59)</f>
        <v>0</v>
      </c>
      <c r="DS59" s="14">
        <f>SUM(CB$7:CB59)</f>
        <v>0</v>
      </c>
      <c r="DT59" s="14">
        <f>SUM(CC$7:CC59)</f>
        <v>0</v>
      </c>
      <c r="DU59" s="14">
        <f>SUM(CD$7:CD59)</f>
        <v>0</v>
      </c>
      <c r="DV59" s="14">
        <f>SUM(CE$7:CE59)</f>
        <v>0</v>
      </c>
      <c r="DW59" s="14">
        <f>SUM(CF$7:CF59)</f>
        <v>0</v>
      </c>
      <c r="DX59" s="14">
        <f>SUM(CG$7:CG59)</f>
        <v>0</v>
      </c>
      <c r="DY59" s="14">
        <f>SUM(CH$7:CH59)</f>
        <v>0</v>
      </c>
      <c r="DZ59" s="14">
        <f>SUM(CI$7:CI59)</f>
        <v>0</v>
      </c>
      <c r="EA59" s="14">
        <f>SUM(CJ$7:CJ59)</f>
        <v>0</v>
      </c>
      <c r="EB59" s="14">
        <f>SUM(CK$7:CK59)</f>
        <v>0</v>
      </c>
      <c r="EC59" s="14">
        <f>SUM(CL$7:CL59)</f>
        <v>0</v>
      </c>
      <c r="ED59" s="14">
        <f>SUM(CM$7:CM59)</f>
        <v>0</v>
      </c>
      <c r="EE59" s="14">
        <f>SUM(CN$7:CN59)</f>
        <v>0</v>
      </c>
      <c r="EF59" s="14">
        <f>SUM(CO$7:CO59)</f>
        <v>0</v>
      </c>
      <c r="EG59" s="14">
        <f>SUM(CP$7:CP59)</f>
        <v>0</v>
      </c>
      <c r="EH59" s="14">
        <f>SUM(CQ$7:CQ59)</f>
        <v>0</v>
      </c>
      <c r="EI59" s="14">
        <f>SUM(CR$7:CR59)</f>
        <v>0</v>
      </c>
      <c r="EJ59" s="14">
        <f>SUM(CS$7:CS59)</f>
        <v>0</v>
      </c>
      <c r="EK59" s="14">
        <f>SUM(CT$7:CT59)</f>
        <v>0</v>
      </c>
      <c r="EL59" s="14">
        <f>SUM(CU$7:CU59)</f>
        <v>0</v>
      </c>
      <c r="EM59" s="14">
        <f>SUM(CV$7:CV59)</f>
        <v>0</v>
      </c>
      <c r="EN59" s="14">
        <f>SUM(CW$7:CW59)</f>
        <v>0</v>
      </c>
      <c r="EO59" s="14">
        <f>SUM(CX$7:CX59)</f>
        <v>0</v>
      </c>
      <c r="EP59" s="14">
        <f>SUM(CY$7:CY59)</f>
        <v>0</v>
      </c>
      <c r="EQ59" s="14">
        <f>SUM(CZ$7:CZ59)</f>
        <v>0</v>
      </c>
      <c r="ER59" s="14">
        <f>SUM(DA$7:DA59)</f>
        <v>0</v>
      </c>
      <c r="EU59" s="14">
        <f t="shared" si="14"/>
        <v>0</v>
      </c>
      <c r="EV59" s="14">
        <f t="shared" si="15"/>
        <v>0</v>
      </c>
      <c r="EW59" s="14">
        <f t="shared" si="16"/>
        <v>0</v>
      </c>
      <c r="EX59" s="14">
        <f t="shared" si="17"/>
        <v>0</v>
      </c>
      <c r="EY59" s="14">
        <f t="shared" si="18"/>
        <v>0</v>
      </c>
      <c r="EZ59" s="14">
        <f t="shared" si="19"/>
        <v>0</v>
      </c>
      <c r="FA59" s="14">
        <f t="shared" si="20"/>
        <v>0</v>
      </c>
      <c r="FB59" s="14">
        <f t="shared" si="21"/>
        <v>0</v>
      </c>
      <c r="FC59" s="14">
        <f t="shared" si="22"/>
        <v>0</v>
      </c>
      <c r="FD59" s="14">
        <f t="shared" si="23"/>
        <v>0</v>
      </c>
      <c r="FE59" s="14">
        <f t="shared" si="24"/>
        <v>0</v>
      </c>
      <c r="FF59" s="14">
        <f t="shared" si="25"/>
        <v>0</v>
      </c>
      <c r="FG59" s="14">
        <f t="shared" si="26"/>
        <v>0</v>
      </c>
      <c r="FH59" s="14">
        <f t="shared" si="27"/>
        <v>0</v>
      </c>
      <c r="FI59" s="14">
        <f t="shared" si="28"/>
        <v>0</v>
      </c>
      <c r="FJ59" s="14">
        <f t="shared" si="29"/>
        <v>0</v>
      </c>
      <c r="FK59" s="14">
        <f t="shared" si="30"/>
        <v>0</v>
      </c>
      <c r="FL59" s="14">
        <f t="shared" si="31"/>
        <v>0</v>
      </c>
      <c r="FM59" s="14">
        <f t="shared" si="32"/>
        <v>0</v>
      </c>
      <c r="FN59" s="14">
        <f t="shared" si="33"/>
        <v>0</v>
      </c>
      <c r="FO59" s="14">
        <f t="shared" si="34"/>
        <v>0</v>
      </c>
      <c r="FP59" s="14">
        <f t="shared" si="35"/>
        <v>0</v>
      </c>
      <c r="FQ59" s="14">
        <f t="shared" si="36"/>
        <v>0</v>
      </c>
      <c r="FR59" s="14">
        <f t="shared" si="37"/>
        <v>0</v>
      </c>
      <c r="FS59" s="14">
        <f t="shared" si="38"/>
        <v>0</v>
      </c>
      <c r="FT59" s="14">
        <f t="shared" si="39"/>
        <v>0</v>
      </c>
      <c r="FU59" s="14">
        <f t="shared" si="40"/>
        <v>0</v>
      </c>
      <c r="FV59" s="14">
        <f t="shared" si="41"/>
        <v>0</v>
      </c>
      <c r="FW59" s="14">
        <f t="shared" si="42"/>
        <v>0</v>
      </c>
      <c r="FX59" s="14">
        <f t="shared" si="43"/>
        <v>0</v>
      </c>
      <c r="FY59" s="14">
        <f t="shared" si="44"/>
        <v>0</v>
      </c>
      <c r="FZ59" s="14">
        <f t="shared" si="45"/>
        <v>0</v>
      </c>
      <c r="GA59" s="14">
        <f t="shared" si="46"/>
        <v>0</v>
      </c>
      <c r="GB59" s="14">
        <f t="shared" si="47"/>
        <v>0</v>
      </c>
      <c r="GC59" s="14">
        <f t="shared" si="48"/>
        <v>0</v>
      </c>
      <c r="GD59" s="14">
        <f t="shared" si="49"/>
        <v>0</v>
      </c>
      <c r="GE59" s="14">
        <f t="shared" si="50"/>
        <v>0</v>
      </c>
      <c r="GF59" s="14">
        <f t="shared" si="51"/>
        <v>0</v>
      </c>
      <c r="GG59" s="14">
        <f t="shared" si="52"/>
        <v>0</v>
      </c>
      <c r="GH59" s="14">
        <f t="shared" si="53"/>
        <v>0</v>
      </c>
      <c r="GI59" s="14">
        <f t="shared" si="54"/>
        <v>0</v>
      </c>
      <c r="GJ59" s="14">
        <f t="shared" si="55"/>
        <v>0</v>
      </c>
      <c r="GM59" s="91">
        <v>53</v>
      </c>
      <c r="GN59" s="14">
        <f t="shared" si="56"/>
        <v>4</v>
      </c>
      <c r="GO59" s="14">
        <f t="shared" si="57"/>
        <v>1606006</v>
      </c>
      <c r="GP59" s="14" t="str">
        <f t="shared" si="58"/>
        <v>神器2-1 : 10级</v>
      </c>
      <c r="GQ59" s="14" t="s">
        <v>816</v>
      </c>
      <c r="GR59" s="14">
        <f t="shared" si="59"/>
        <v>8</v>
      </c>
      <c r="GS59" s="14" t="str">
        <f t="shared" si="60"/>
        <v>神器2-1</v>
      </c>
      <c r="GT59" s="14">
        <f t="shared" si="61"/>
        <v>3</v>
      </c>
    </row>
    <row r="60" spans="14:202" ht="16.5" x14ac:dyDescent="0.2">
      <c r="AL60" s="87">
        <v>3</v>
      </c>
      <c r="AM60" s="87">
        <v>3</v>
      </c>
      <c r="AN60" s="87">
        <v>19</v>
      </c>
      <c r="AO60" s="144">
        <f t="shared" si="8"/>
        <v>4419</v>
      </c>
      <c r="AP60" s="144" t="s">
        <v>1253</v>
      </c>
      <c r="AQ60" s="144" t="str">
        <f t="shared" si="9"/>
        <v>神器本-3-噩梦-3  神器3-3</v>
      </c>
      <c r="AR60" s="87">
        <v>11</v>
      </c>
      <c r="AS60" s="87" t="s">
        <v>331</v>
      </c>
      <c r="AT60" s="87">
        <v>3500</v>
      </c>
      <c r="AU60" s="87">
        <v>1</v>
      </c>
      <c r="AV60" s="87">
        <v>2</v>
      </c>
      <c r="AW60" s="87">
        <f t="shared" si="10"/>
        <v>2</v>
      </c>
      <c r="AX60" s="14">
        <f t="shared" si="11"/>
        <v>0.52500000000000002</v>
      </c>
      <c r="AY60" s="14">
        <f t="shared" si="12"/>
        <v>31.5</v>
      </c>
      <c r="BG60" s="87">
        <v>54</v>
      </c>
      <c r="BH60" s="14" t="e">
        <f>INDEX(节奏总表!#REF!,新神器!BG60)</f>
        <v>#REF!</v>
      </c>
      <c r="BI60" s="14" t="e">
        <f t="shared" si="13"/>
        <v>#REF!</v>
      </c>
      <c r="BJ60" s="87">
        <v>3</v>
      </c>
      <c r="BK60" s="87">
        <v>5</v>
      </c>
      <c r="BL60" s="14">
        <f t="shared" si="79"/>
        <v>0</v>
      </c>
      <c r="BM60" s="14">
        <f t="shared" si="79"/>
        <v>0</v>
      </c>
      <c r="BN60" s="14">
        <f t="shared" si="79"/>
        <v>0</v>
      </c>
      <c r="BO60" s="14">
        <f t="shared" si="79"/>
        <v>0</v>
      </c>
      <c r="BP60" s="14">
        <f t="shared" si="79"/>
        <v>0</v>
      </c>
      <c r="BQ60" s="14">
        <f t="shared" si="79"/>
        <v>0</v>
      </c>
      <c r="BR60" s="14">
        <f t="shared" si="79"/>
        <v>0</v>
      </c>
      <c r="BS60" s="14">
        <f t="shared" si="79"/>
        <v>0</v>
      </c>
      <c r="BT60" s="14">
        <f t="shared" si="79"/>
        <v>0</v>
      </c>
      <c r="BU60" s="14">
        <f t="shared" si="79"/>
        <v>0</v>
      </c>
      <c r="BV60" s="14">
        <f t="shared" si="80"/>
        <v>0</v>
      </c>
      <c r="BW60" s="14">
        <f t="shared" si="80"/>
        <v>0</v>
      </c>
      <c r="BX60" s="14">
        <f t="shared" si="80"/>
        <v>0</v>
      </c>
      <c r="BY60" s="14">
        <f t="shared" si="80"/>
        <v>0</v>
      </c>
      <c r="BZ60" s="14">
        <f t="shared" si="80"/>
        <v>0</v>
      </c>
      <c r="CA60" s="14">
        <f t="shared" si="80"/>
        <v>0</v>
      </c>
      <c r="CB60" s="14">
        <f t="shared" si="80"/>
        <v>0</v>
      </c>
      <c r="CC60" s="14">
        <f t="shared" si="80"/>
        <v>0</v>
      </c>
      <c r="CD60" s="14">
        <f t="shared" si="80"/>
        <v>0</v>
      </c>
      <c r="CE60" s="14">
        <f t="shared" si="80"/>
        <v>0</v>
      </c>
      <c r="CF60" s="14">
        <f t="shared" si="81"/>
        <v>0</v>
      </c>
      <c r="CG60" s="14">
        <f t="shared" si="81"/>
        <v>0</v>
      </c>
      <c r="CH60" s="14">
        <f t="shared" si="81"/>
        <v>0</v>
      </c>
      <c r="CI60" s="14">
        <f t="shared" si="81"/>
        <v>0</v>
      </c>
      <c r="CJ60" s="14">
        <f t="shared" si="81"/>
        <v>0</v>
      </c>
      <c r="CK60" s="14">
        <f t="shared" si="81"/>
        <v>0</v>
      </c>
      <c r="CL60" s="14">
        <f t="shared" si="81"/>
        <v>0</v>
      </c>
      <c r="CM60" s="14">
        <f t="shared" si="81"/>
        <v>0</v>
      </c>
      <c r="CN60" s="14">
        <f t="shared" si="81"/>
        <v>0</v>
      </c>
      <c r="CO60" s="14">
        <f t="shared" si="81"/>
        <v>0</v>
      </c>
      <c r="CP60" s="14">
        <f t="shared" si="82"/>
        <v>0</v>
      </c>
      <c r="CQ60" s="14">
        <f t="shared" si="82"/>
        <v>0</v>
      </c>
      <c r="CR60" s="14">
        <f t="shared" si="82"/>
        <v>0</v>
      </c>
      <c r="CS60" s="14">
        <f t="shared" si="82"/>
        <v>0</v>
      </c>
      <c r="CT60" s="14">
        <f t="shared" si="82"/>
        <v>0</v>
      </c>
      <c r="CU60" s="14">
        <f t="shared" si="82"/>
        <v>0</v>
      </c>
      <c r="CV60" s="14">
        <f t="shared" si="82"/>
        <v>0</v>
      </c>
      <c r="CW60" s="14">
        <f t="shared" si="82"/>
        <v>0</v>
      </c>
      <c r="CX60" s="14">
        <f t="shared" si="82"/>
        <v>0</v>
      </c>
      <c r="CY60" s="14">
        <f t="shared" si="82"/>
        <v>0</v>
      </c>
      <c r="CZ60" s="14">
        <f t="shared" si="82"/>
        <v>0</v>
      </c>
      <c r="DA60" s="14">
        <f t="shared" si="82"/>
        <v>0</v>
      </c>
      <c r="DC60" s="14">
        <f>SUM(BL$7:BL60)</f>
        <v>0</v>
      </c>
      <c r="DD60" s="14">
        <f>SUM(BM$7:BM60)</f>
        <v>0</v>
      </c>
      <c r="DE60" s="14">
        <f>SUM(BN$7:BN60)</f>
        <v>0</v>
      </c>
      <c r="DF60" s="14">
        <f>SUM(BO$7:BO60)</f>
        <v>0</v>
      </c>
      <c r="DG60" s="14">
        <f>SUM(BP$7:BP60)</f>
        <v>0</v>
      </c>
      <c r="DH60" s="14">
        <f>SUM(BQ$7:BQ60)</f>
        <v>0</v>
      </c>
      <c r="DI60" s="14">
        <f>SUM(BR$7:BR60)</f>
        <v>0</v>
      </c>
      <c r="DJ60" s="14">
        <f>SUM(BS$7:BS60)</f>
        <v>0</v>
      </c>
      <c r="DK60" s="14">
        <f>SUM(BT$7:BT60)</f>
        <v>0</v>
      </c>
      <c r="DL60" s="14">
        <f>SUM(BU$7:BU60)</f>
        <v>0</v>
      </c>
      <c r="DM60" s="14">
        <f>SUM(BV$7:BV60)</f>
        <v>0</v>
      </c>
      <c r="DN60" s="14">
        <f>SUM(BW$7:BW60)</f>
        <v>0</v>
      </c>
      <c r="DO60" s="14">
        <f>SUM(BX$7:BX60)</f>
        <v>0</v>
      </c>
      <c r="DP60" s="14">
        <f>SUM(BY$7:BY60)</f>
        <v>0</v>
      </c>
      <c r="DQ60" s="14">
        <f>SUM(BZ$7:BZ60)</f>
        <v>0</v>
      </c>
      <c r="DR60" s="14">
        <f>SUM(CA$7:CA60)</f>
        <v>0</v>
      </c>
      <c r="DS60" s="14">
        <f>SUM(CB$7:CB60)</f>
        <v>0</v>
      </c>
      <c r="DT60" s="14">
        <f>SUM(CC$7:CC60)</f>
        <v>0</v>
      </c>
      <c r="DU60" s="14">
        <f>SUM(CD$7:CD60)</f>
        <v>0</v>
      </c>
      <c r="DV60" s="14">
        <f>SUM(CE$7:CE60)</f>
        <v>0</v>
      </c>
      <c r="DW60" s="14">
        <f>SUM(CF$7:CF60)</f>
        <v>0</v>
      </c>
      <c r="DX60" s="14">
        <f>SUM(CG$7:CG60)</f>
        <v>0</v>
      </c>
      <c r="DY60" s="14">
        <f>SUM(CH$7:CH60)</f>
        <v>0</v>
      </c>
      <c r="DZ60" s="14">
        <f>SUM(CI$7:CI60)</f>
        <v>0</v>
      </c>
      <c r="EA60" s="14">
        <f>SUM(CJ$7:CJ60)</f>
        <v>0</v>
      </c>
      <c r="EB60" s="14">
        <f>SUM(CK$7:CK60)</f>
        <v>0</v>
      </c>
      <c r="EC60" s="14">
        <f>SUM(CL$7:CL60)</f>
        <v>0</v>
      </c>
      <c r="ED60" s="14">
        <f>SUM(CM$7:CM60)</f>
        <v>0</v>
      </c>
      <c r="EE60" s="14">
        <f>SUM(CN$7:CN60)</f>
        <v>0</v>
      </c>
      <c r="EF60" s="14">
        <f>SUM(CO$7:CO60)</f>
        <v>0</v>
      </c>
      <c r="EG60" s="14">
        <f>SUM(CP$7:CP60)</f>
        <v>0</v>
      </c>
      <c r="EH60" s="14">
        <f>SUM(CQ$7:CQ60)</f>
        <v>0</v>
      </c>
      <c r="EI60" s="14">
        <f>SUM(CR$7:CR60)</f>
        <v>0</v>
      </c>
      <c r="EJ60" s="14">
        <f>SUM(CS$7:CS60)</f>
        <v>0</v>
      </c>
      <c r="EK60" s="14">
        <f>SUM(CT$7:CT60)</f>
        <v>0</v>
      </c>
      <c r="EL60" s="14">
        <f>SUM(CU$7:CU60)</f>
        <v>0</v>
      </c>
      <c r="EM60" s="14">
        <f>SUM(CV$7:CV60)</f>
        <v>0</v>
      </c>
      <c r="EN60" s="14">
        <f>SUM(CW$7:CW60)</f>
        <v>0</v>
      </c>
      <c r="EO60" s="14">
        <f>SUM(CX$7:CX60)</f>
        <v>0</v>
      </c>
      <c r="EP60" s="14">
        <f>SUM(CY$7:CY60)</f>
        <v>0</v>
      </c>
      <c r="EQ60" s="14">
        <f>SUM(CZ$7:CZ60)</f>
        <v>0</v>
      </c>
      <c r="ER60" s="14">
        <f>SUM(DA$7:DA60)</f>
        <v>0</v>
      </c>
      <c r="EU60" s="14">
        <f t="shared" si="14"/>
        <v>0</v>
      </c>
      <c r="EV60" s="14">
        <f t="shared" si="15"/>
        <v>0</v>
      </c>
      <c r="EW60" s="14">
        <f t="shared" si="16"/>
        <v>0</v>
      </c>
      <c r="EX60" s="14">
        <f t="shared" si="17"/>
        <v>0</v>
      </c>
      <c r="EY60" s="14">
        <f t="shared" si="18"/>
        <v>0</v>
      </c>
      <c r="EZ60" s="14">
        <f t="shared" si="19"/>
        <v>0</v>
      </c>
      <c r="FA60" s="14">
        <f t="shared" si="20"/>
        <v>0</v>
      </c>
      <c r="FB60" s="14">
        <f t="shared" si="21"/>
        <v>0</v>
      </c>
      <c r="FC60" s="14">
        <f t="shared" si="22"/>
        <v>0</v>
      </c>
      <c r="FD60" s="14">
        <f t="shared" si="23"/>
        <v>0</v>
      </c>
      <c r="FE60" s="14">
        <f t="shared" si="24"/>
        <v>0</v>
      </c>
      <c r="FF60" s="14">
        <f t="shared" si="25"/>
        <v>0</v>
      </c>
      <c r="FG60" s="14">
        <f t="shared" si="26"/>
        <v>0</v>
      </c>
      <c r="FH60" s="14">
        <f t="shared" si="27"/>
        <v>0</v>
      </c>
      <c r="FI60" s="14">
        <f t="shared" si="28"/>
        <v>0</v>
      </c>
      <c r="FJ60" s="14">
        <f t="shared" si="29"/>
        <v>0</v>
      </c>
      <c r="FK60" s="14">
        <f t="shared" si="30"/>
        <v>0</v>
      </c>
      <c r="FL60" s="14">
        <f t="shared" si="31"/>
        <v>0</v>
      </c>
      <c r="FM60" s="14">
        <f t="shared" si="32"/>
        <v>0</v>
      </c>
      <c r="FN60" s="14">
        <f t="shared" si="33"/>
        <v>0</v>
      </c>
      <c r="FO60" s="14">
        <f t="shared" si="34"/>
        <v>0</v>
      </c>
      <c r="FP60" s="14">
        <f t="shared" si="35"/>
        <v>0</v>
      </c>
      <c r="FQ60" s="14">
        <f t="shared" si="36"/>
        <v>0</v>
      </c>
      <c r="FR60" s="14">
        <f t="shared" si="37"/>
        <v>0</v>
      </c>
      <c r="FS60" s="14">
        <f t="shared" si="38"/>
        <v>0</v>
      </c>
      <c r="FT60" s="14">
        <f t="shared" si="39"/>
        <v>0</v>
      </c>
      <c r="FU60" s="14">
        <f t="shared" si="40"/>
        <v>0</v>
      </c>
      <c r="FV60" s="14">
        <f t="shared" si="41"/>
        <v>0</v>
      </c>
      <c r="FW60" s="14">
        <f t="shared" si="42"/>
        <v>0</v>
      </c>
      <c r="FX60" s="14">
        <f t="shared" si="43"/>
        <v>0</v>
      </c>
      <c r="FY60" s="14">
        <f t="shared" si="44"/>
        <v>0</v>
      </c>
      <c r="FZ60" s="14">
        <f t="shared" si="45"/>
        <v>0</v>
      </c>
      <c r="GA60" s="14">
        <f t="shared" si="46"/>
        <v>0</v>
      </c>
      <c r="GB60" s="14">
        <f t="shared" si="47"/>
        <v>0</v>
      </c>
      <c r="GC60" s="14">
        <f t="shared" si="48"/>
        <v>0</v>
      </c>
      <c r="GD60" s="14">
        <f t="shared" si="49"/>
        <v>0</v>
      </c>
      <c r="GE60" s="14">
        <f t="shared" si="50"/>
        <v>0</v>
      </c>
      <c r="GF60" s="14">
        <f t="shared" si="51"/>
        <v>0</v>
      </c>
      <c r="GG60" s="14">
        <f t="shared" si="52"/>
        <v>0</v>
      </c>
      <c r="GH60" s="14">
        <f t="shared" si="53"/>
        <v>0</v>
      </c>
      <c r="GI60" s="14">
        <f t="shared" si="54"/>
        <v>0</v>
      </c>
      <c r="GJ60" s="14">
        <f t="shared" si="55"/>
        <v>0</v>
      </c>
      <c r="GM60" s="91">
        <v>54</v>
      </c>
      <c r="GN60" s="14">
        <f t="shared" si="56"/>
        <v>4</v>
      </c>
      <c r="GO60" s="14">
        <f t="shared" si="57"/>
        <v>1606006</v>
      </c>
      <c r="GP60" s="14" t="str">
        <f t="shared" si="58"/>
        <v>神器2-1 : 11级</v>
      </c>
      <c r="GQ60" s="14" t="s">
        <v>816</v>
      </c>
      <c r="GR60" s="14">
        <f t="shared" si="59"/>
        <v>9</v>
      </c>
      <c r="GS60" s="14" t="str">
        <f t="shared" si="60"/>
        <v>神器2-1</v>
      </c>
      <c r="GT60" s="14">
        <f t="shared" si="61"/>
        <v>3</v>
      </c>
    </row>
    <row r="61" spans="14:202" ht="16.5" x14ac:dyDescent="0.2">
      <c r="AL61" s="87">
        <v>3</v>
      </c>
      <c r="AM61" s="87">
        <v>3</v>
      </c>
      <c r="AN61" s="87">
        <v>19</v>
      </c>
      <c r="AO61" s="144">
        <f t="shared" si="8"/>
        <v>4419</v>
      </c>
      <c r="AP61" s="144" t="s">
        <v>1253</v>
      </c>
      <c r="AQ61" s="144" t="str">
        <f t="shared" si="9"/>
        <v>神器本-3-噩梦-3  神器3-4</v>
      </c>
      <c r="AR61" s="87">
        <v>12</v>
      </c>
      <c r="AS61" s="87" t="s">
        <v>332</v>
      </c>
      <c r="AT61" s="87">
        <v>3500</v>
      </c>
      <c r="AU61" s="87">
        <v>1</v>
      </c>
      <c r="AV61" s="87">
        <v>2</v>
      </c>
      <c r="AW61" s="87">
        <f t="shared" si="10"/>
        <v>2</v>
      </c>
      <c r="AX61" s="14">
        <f t="shared" si="11"/>
        <v>0.52500000000000002</v>
      </c>
      <c r="AY61" s="14">
        <f t="shared" si="12"/>
        <v>31.5</v>
      </c>
      <c r="BG61" s="87">
        <v>55</v>
      </c>
      <c r="BH61" s="14" t="e">
        <f>INDEX(节奏总表!#REF!,新神器!BG61)</f>
        <v>#REF!</v>
      </c>
      <c r="BI61" s="14" t="e">
        <f t="shared" si="13"/>
        <v>#REF!</v>
      </c>
      <c r="BJ61" s="87">
        <v>3</v>
      </c>
      <c r="BK61" s="87">
        <v>5</v>
      </c>
      <c r="BL61" s="14">
        <f t="shared" si="79"/>
        <v>0</v>
      </c>
      <c r="BM61" s="14">
        <f t="shared" si="79"/>
        <v>0</v>
      </c>
      <c r="BN61" s="14">
        <f t="shared" si="79"/>
        <v>0</v>
      </c>
      <c r="BO61" s="14">
        <f t="shared" si="79"/>
        <v>0</v>
      </c>
      <c r="BP61" s="14">
        <f t="shared" si="79"/>
        <v>0</v>
      </c>
      <c r="BQ61" s="14">
        <f t="shared" si="79"/>
        <v>0</v>
      </c>
      <c r="BR61" s="14">
        <f t="shared" si="79"/>
        <v>0</v>
      </c>
      <c r="BS61" s="14">
        <f t="shared" si="79"/>
        <v>0</v>
      </c>
      <c r="BT61" s="14">
        <f t="shared" si="79"/>
        <v>0</v>
      </c>
      <c r="BU61" s="14">
        <f t="shared" si="79"/>
        <v>0</v>
      </c>
      <c r="BV61" s="14">
        <f t="shared" si="80"/>
        <v>0</v>
      </c>
      <c r="BW61" s="14">
        <f t="shared" si="80"/>
        <v>0</v>
      </c>
      <c r="BX61" s="14">
        <f t="shared" si="80"/>
        <v>0</v>
      </c>
      <c r="BY61" s="14">
        <f t="shared" si="80"/>
        <v>0</v>
      </c>
      <c r="BZ61" s="14">
        <f t="shared" si="80"/>
        <v>0</v>
      </c>
      <c r="CA61" s="14">
        <f t="shared" si="80"/>
        <v>0</v>
      </c>
      <c r="CB61" s="14">
        <f t="shared" si="80"/>
        <v>0</v>
      </c>
      <c r="CC61" s="14">
        <f t="shared" si="80"/>
        <v>0</v>
      </c>
      <c r="CD61" s="14">
        <f t="shared" si="80"/>
        <v>0</v>
      </c>
      <c r="CE61" s="14">
        <f t="shared" si="80"/>
        <v>0</v>
      </c>
      <c r="CF61" s="14">
        <f t="shared" si="81"/>
        <v>0</v>
      </c>
      <c r="CG61" s="14">
        <f t="shared" si="81"/>
        <v>0</v>
      </c>
      <c r="CH61" s="14">
        <f t="shared" si="81"/>
        <v>0</v>
      </c>
      <c r="CI61" s="14">
        <f t="shared" si="81"/>
        <v>0</v>
      </c>
      <c r="CJ61" s="14">
        <f t="shared" si="81"/>
        <v>0</v>
      </c>
      <c r="CK61" s="14">
        <f t="shared" si="81"/>
        <v>0</v>
      </c>
      <c r="CL61" s="14">
        <f t="shared" si="81"/>
        <v>0</v>
      </c>
      <c r="CM61" s="14">
        <f t="shared" si="81"/>
        <v>0</v>
      </c>
      <c r="CN61" s="14">
        <f t="shared" si="81"/>
        <v>0</v>
      </c>
      <c r="CO61" s="14">
        <f t="shared" si="81"/>
        <v>0</v>
      </c>
      <c r="CP61" s="14">
        <f t="shared" si="82"/>
        <v>0</v>
      </c>
      <c r="CQ61" s="14">
        <f t="shared" si="82"/>
        <v>0</v>
      </c>
      <c r="CR61" s="14">
        <f t="shared" si="82"/>
        <v>0</v>
      </c>
      <c r="CS61" s="14">
        <f t="shared" si="82"/>
        <v>0</v>
      </c>
      <c r="CT61" s="14">
        <f t="shared" si="82"/>
        <v>0</v>
      </c>
      <c r="CU61" s="14">
        <f t="shared" si="82"/>
        <v>0</v>
      </c>
      <c r="CV61" s="14">
        <f t="shared" si="82"/>
        <v>0</v>
      </c>
      <c r="CW61" s="14">
        <f t="shared" si="82"/>
        <v>0</v>
      </c>
      <c r="CX61" s="14">
        <f t="shared" si="82"/>
        <v>0</v>
      </c>
      <c r="CY61" s="14">
        <f t="shared" si="82"/>
        <v>0</v>
      </c>
      <c r="CZ61" s="14">
        <f t="shared" si="82"/>
        <v>0</v>
      </c>
      <c r="DA61" s="14">
        <f t="shared" si="82"/>
        <v>0</v>
      </c>
      <c r="DC61" s="14">
        <f>SUM(BL$7:BL61)</f>
        <v>0</v>
      </c>
      <c r="DD61" s="14">
        <f>SUM(BM$7:BM61)</f>
        <v>0</v>
      </c>
      <c r="DE61" s="14">
        <f>SUM(BN$7:BN61)</f>
        <v>0</v>
      </c>
      <c r="DF61" s="14">
        <f>SUM(BO$7:BO61)</f>
        <v>0</v>
      </c>
      <c r="DG61" s="14">
        <f>SUM(BP$7:BP61)</f>
        <v>0</v>
      </c>
      <c r="DH61" s="14">
        <f>SUM(BQ$7:BQ61)</f>
        <v>0</v>
      </c>
      <c r="DI61" s="14">
        <f>SUM(BR$7:BR61)</f>
        <v>0</v>
      </c>
      <c r="DJ61" s="14">
        <f>SUM(BS$7:BS61)</f>
        <v>0</v>
      </c>
      <c r="DK61" s="14">
        <f>SUM(BT$7:BT61)</f>
        <v>0</v>
      </c>
      <c r="DL61" s="14">
        <f>SUM(BU$7:BU61)</f>
        <v>0</v>
      </c>
      <c r="DM61" s="14">
        <f>SUM(BV$7:BV61)</f>
        <v>0</v>
      </c>
      <c r="DN61" s="14">
        <f>SUM(BW$7:BW61)</f>
        <v>0</v>
      </c>
      <c r="DO61" s="14">
        <f>SUM(BX$7:BX61)</f>
        <v>0</v>
      </c>
      <c r="DP61" s="14">
        <f>SUM(BY$7:BY61)</f>
        <v>0</v>
      </c>
      <c r="DQ61" s="14">
        <f>SUM(BZ$7:BZ61)</f>
        <v>0</v>
      </c>
      <c r="DR61" s="14">
        <f>SUM(CA$7:CA61)</f>
        <v>0</v>
      </c>
      <c r="DS61" s="14">
        <f>SUM(CB$7:CB61)</f>
        <v>0</v>
      </c>
      <c r="DT61" s="14">
        <f>SUM(CC$7:CC61)</f>
        <v>0</v>
      </c>
      <c r="DU61" s="14">
        <f>SUM(CD$7:CD61)</f>
        <v>0</v>
      </c>
      <c r="DV61" s="14">
        <f>SUM(CE$7:CE61)</f>
        <v>0</v>
      </c>
      <c r="DW61" s="14">
        <f>SUM(CF$7:CF61)</f>
        <v>0</v>
      </c>
      <c r="DX61" s="14">
        <f>SUM(CG$7:CG61)</f>
        <v>0</v>
      </c>
      <c r="DY61" s="14">
        <f>SUM(CH$7:CH61)</f>
        <v>0</v>
      </c>
      <c r="DZ61" s="14">
        <f>SUM(CI$7:CI61)</f>
        <v>0</v>
      </c>
      <c r="EA61" s="14">
        <f>SUM(CJ$7:CJ61)</f>
        <v>0</v>
      </c>
      <c r="EB61" s="14">
        <f>SUM(CK$7:CK61)</f>
        <v>0</v>
      </c>
      <c r="EC61" s="14">
        <f>SUM(CL$7:CL61)</f>
        <v>0</v>
      </c>
      <c r="ED61" s="14">
        <f>SUM(CM$7:CM61)</f>
        <v>0</v>
      </c>
      <c r="EE61" s="14">
        <f>SUM(CN$7:CN61)</f>
        <v>0</v>
      </c>
      <c r="EF61" s="14">
        <f>SUM(CO$7:CO61)</f>
        <v>0</v>
      </c>
      <c r="EG61" s="14">
        <f>SUM(CP$7:CP61)</f>
        <v>0</v>
      </c>
      <c r="EH61" s="14">
        <f>SUM(CQ$7:CQ61)</f>
        <v>0</v>
      </c>
      <c r="EI61" s="14">
        <f>SUM(CR$7:CR61)</f>
        <v>0</v>
      </c>
      <c r="EJ61" s="14">
        <f>SUM(CS$7:CS61)</f>
        <v>0</v>
      </c>
      <c r="EK61" s="14">
        <f>SUM(CT$7:CT61)</f>
        <v>0</v>
      </c>
      <c r="EL61" s="14">
        <f>SUM(CU$7:CU61)</f>
        <v>0</v>
      </c>
      <c r="EM61" s="14">
        <f>SUM(CV$7:CV61)</f>
        <v>0</v>
      </c>
      <c r="EN61" s="14">
        <f>SUM(CW$7:CW61)</f>
        <v>0</v>
      </c>
      <c r="EO61" s="14">
        <f>SUM(CX$7:CX61)</f>
        <v>0</v>
      </c>
      <c r="EP61" s="14">
        <f>SUM(CY$7:CY61)</f>
        <v>0</v>
      </c>
      <c r="EQ61" s="14">
        <f>SUM(CZ$7:CZ61)</f>
        <v>0</v>
      </c>
      <c r="ER61" s="14">
        <f>SUM(DA$7:DA61)</f>
        <v>0</v>
      </c>
      <c r="EU61" s="14">
        <f t="shared" si="14"/>
        <v>0</v>
      </c>
      <c r="EV61" s="14">
        <f t="shared" si="15"/>
        <v>0</v>
      </c>
      <c r="EW61" s="14">
        <f t="shared" si="16"/>
        <v>0</v>
      </c>
      <c r="EX61" s="14">
        <f t="shared" si="17"/>
        <v>0</v>
      </c>
      <c r="EY61" s="14">
        <f t="shared" si="18"/>
        <v>0</v>
      </c>
      <c r="EZ61" s="14">
        <f t="shared" si="19"/>
        <v>0</v>
      </c>
      <c r="FA61" s="14">
        <f t="shared" si="20"/>
        <v>0</v>
      </c>
      <c r="FB61" s="14">
        <f t="shared" si="21"/>
        <v>0</v>
      </c>
      <c r="FC61" s="14">
        <f t="shared" si="22"/>
        <v>0</v>
      </c>
      <c r="FD61" s="14">
        <f t="shared" si="23"/>
        <v>0</v>
      </c>
      <c r="FE61" s="14">
        <f t="shared" si="24"/>
        <v>0</v>
      </c>
      <c r="FF61" s="14">
        <f t="shared" si="25"/>
        <v>0</v>
      </c>
      <c r="FG61" s="14">
        <f t="shared" si="26"/>
        <v>0</v>
      </c>
      <c r="FH61" s="14">
        <f t="shared" si="27"/>
        <v>0</v>
      </c>
      <c r="FI61" s="14">
        <f t="shared" si="28"/>
        <v>0</v>
      </c>
      <c r="FJ61" s="14">
        <f t="shared" si="29"/>
        <v>0</v>
      </c>
      <c r="FK61" s="14">
        <f t="shared" si="30"/>
        <v>0</v>
      </c>
      <c r="FL61" s="14">
        <f t="shared" si="31"/>
        <v>0</v>
      </c>
      <c r="FM61" s="14">
        <f t="shared" si="32"/>
        <v>0</v>
      </c>
      <c r="FN61" s="14">
        <f t="shared" si="33"/>
        <v>0</v>
      </c>
      <c r="FO61" s="14">
        <f t="shared" si="34"/>
        <v>0</v>
      </c>
      <c r="FP61" s="14">
        <f t="shared" si="35"/>
        <v>0</v>
      </c>
      <c r="FQ61" s="14">
        <f t="shared" si="36"/>
        <v>0</v>
      </c>
      <c r="FR61" s="14">
        <f t="shared" si="37"/>
        <v>0</v>
      </c>
      <c r="FS61" s="14">
        <f t="shared" si="38"/>
        <v>0</v>
      </c>
      <c r="FT61" s="14">
        <f t="shared" si="39"/>
        <v>0</v>
      </c>
      <c r="FU61" s="14">
        <f t="shared" si="40"/>
        <v>0</v>
      </c>
      <c r="FV61" s="14">
        <f t="shared" si="41"/>
        <v>0</v>
      </c>
      <c r="FW61" s="14">
        <f t="shared" si="42"/>
        <v>0</v>
      </c>
      <c r="FX61" s="14">
        <f t="shared" si="43"/>
        <v>0</v>
      </c>
      <c r="FY61" s="14">
        <f t="shared" si="44"/>
        <v>0</v>
      </c>
      <c r="FZ61" s="14">
        <f t="shared" si="45"/>
        <v>0</v>
      </c>
      <c r="GA61" s="14">
        <f t="shared" si="46"/>
        <v>0</v>
      </c>
      <c r="GB61" s="14">
        <f t="shared" si="47"/>
        <v>0</v>
      </c>
      <c r="GC61" s="14">
        <f t="shared" si="48"/>
        <v>0</v>
      </c>
      <c r="GD61" s="14">
        <f t="shared" si="49"/>
        <v>0</v>
      </c>
      <c r="GE61" s="14">
        <f t="shared" si="50"/>
        <v>0</v>
      </c>
      <c r="GF61" s="14">
        <f t="shared" si="51"/>
        <v>0</v>
      </c>
      <c r="GG61" s="14">
        <f t="shared" si="52"/>
        <v>0</v>
      </c>
      <c r="GH61" s="14">
        <f t="shared" si="53"/>
        <v>0</v>
      </c>
      <c r="GI61" s="14">
        <f t="shared" si="54"/>
        <v>0</v>
      </c>
      <c r="GJ61" s="14">
        <f t="shared" si="55"/>
        <v>0</v>
      </c>
      <c r="GM61" s="91">
        <v>55</v>
      </c>
      <c r="GN61" s="14">
        <f t="shared" si="56"/>
        <v>4</v>
      </c>
      <c r="GO61" s="14">
        <f t="shared" si="57"/>
        <v>1606006</v>
      </c>
      <c r="GP61" s="14" t="str">
        <f t="shared" si="58"/>
        <v>神器2-1 : 12级</v>
      </c>
      <c r="GQ61" s="14" t="s">
        <v>816</v>
      </c>
      <c r="GR61" s="14">
        <f t="shared" si="59"/>
        <v>10</v>
      </c>
      <c r="GS61" s="14" t="str">
        <f t="shared" si="60"/>
        <v>神器2-1</v>
      </c>
      <c r="GT61" s="14">
        <f t="shared" si="61"/>
        <v>5</v>
      </c>
    </row>
    <row r="62" spans="14:202" ht="16.5" x14ac:dyDescent="0.2">
      <c r="AL62" s="87">
        <v>3</v>
      </c>
      <c r="AM62" s="87">
        <v>3</v>
      </c>
      <c r="AN62" s="87">
        <v>20</v>
      </c>
      <c r="AO62" s="144">
        <f t="shared" si="8"/>
        <v>4420</v>
      </c>
      <c r="AP62" s="144" t="s">
        <v>1254</v>
      </c>
      <c r="AQ62" s="144" t="str">
        <f t="shared" si="9"/>
        <v>神器本-3-噩梦-4  神器3-5</v>
      </c>
      <c r="AR62" s="87">
        <v>13</v>
      </c>
      <c r="AS62" s="87" t="s">
        <v>333</v>
      </c>
      <c r="AT62" s="87">
        <v>2000</v>
      </c>
      <c r="AU62" s="87">
        <v>1</v>
      </c>
      <c r="AV62" s="87">
        <v>1</v>
      </c>
      <c r="AW62" s="87">
        <f t="shared" si="10"/>
        <v>3</v>
      </c>
      <c r="AX62" s="14">
        <f t="shared" si="11"/>
        <v>0.2</v>
      </c>
      <c r="AY62" s="14">
        <f t="shared" si="12"/>
        <v>28</v>
      </c>
      <c r="BG62" s="87">
        <v>56</v>
      </c>
      <c r="BH62" s="14" t="e">
        <f>INDEX(节奏总表!#REF!,新神器!BG62)</f>
        <v>#REF!</v>
      </c>
      <c r="BI62" s="14" t="e">
        <f t="shared" si="13"/>
        <v>#REF!</v>
      </c>
      <c r="BJ62" s="87">
        <v>3</v>
      </c>
      <c r="BK62" s="87">
        <v>5</v>
      </c>
      <c r="BL62" s="14">
        <f t="shared" si="79"/>
        <v>0</v>
      </c>
      <c r="BM62" s="14">
        <f t="shared" si="79"/>
        <v>0</v>
      </c>
      <c r="BN62" s="14">
        <f t="shared" si="79"/>
        <v>0</v>
      </c>
      <c r="BO62" s="14">
        <f t="shared" si="79"/>
        <v>0</v>
      </c>
      <c r="BP62" s="14">
        <f t="shared" si="79"/>
        <v>0</v>
      </c>
      <c r="BQ62" s="14">
        <f t="shared" si="79"/>
        <v>0</v>
      </c>
      <c r="BR62" s="14">
        <f t="shared" si="79"/>
        <v>0</v>
      </c>
      <c r="BS62" s="14">
        <f t="shared" si="79"/>
        <v>0</v>
      </c>
      <c r="BT62" s="14">
        <f t="shared" si="79"/>
        <v>0</v>
      </c>
      <c r="BU62" s="14">
        <f t="shared" si="79"/>
        <v>0</v>
      </c>
      <c r="BV62" s="14">
        <f t="shared" si="80"/>
        <v>0</v>
      </c>
      <c r="BW62" s="14">
        <f t="shared" si="80"/>
        <v>0</v>
      </c>
      <c r="BX62" s="14">
        <f t="shared" si="80"/>
        <v>0</v>
      </c>
      <c r="BY62" s="14">
        <f t="shared" si="80"/>
        <v>0</v>
      </c>
      <c r="BZ62" s="14">
        <f t="shared" si="80"/>
        <v>0</v>
      </c>
      <c r="CA62" s="14">
        <f t="shared" si="80"/>
        <v>0</v>
      </c>
      <c r="CB62" s="14">
        <f t="shared" si="80"/>
        <v>0</v>
      </c>
      <c r="CC62" s="14">
        <f t="shared" si="80"/>
        <v>0</v>
      </c>
      <c r="CD62" s="14">
        <f t="shared" si="80"/>
        <v>0</v>
      </c>
      <c r="CE62" s="14">
        <f t="shared" si="80"/>
        <v>0</v>
      </c>
      <c r="CF62" s="14">
        <f t="shared" si="81"/>
        <v>0</v>
      </c>
      <c r="CG62" s="14">
        <f t="shared" si="81"/>
        <v>0</v>
      </c>
      <c r="CH62" s="14">
        <f t="shared" si="81"/>
        <v>0</v>
      </c>
      <c r="CI62" s="14">
        <f t="shared" si="81"/>
        <v>0</v>
      </c>
      <c r="CJ62" s="14">
        <f t="shared" si="81"/>
        <v>0</v>
      </c>
      <c r="CK62" s="14">
        <f t="shared" si="81"/>
        <v>0</v>
      </c>
      <c r="CL62" s="14">
        <f t="shared" si="81"/>
        <v>0</v>
      </c>
      <c r="CM62" s="14">
        <f t="shared" si="81"/>
        <v>0</v>
      </c>
      <c r="CN62" s="14">
        <f t="shared" si="81"/>
        <v>0</v>
      </c>
      <c r="CO62" s="14">
        <f t="shared" si="81"/>
        <v>0</v>
      </c>
      <c r="CP62" s="14">
        <f t="shared" si="82"/>
        <v>0</v>
      </c>
      <c r="CQ62" s="14">
        <f t="shared" si="82"/>
        <v>0</v>
      </c>
      <c r="CR62" s="14">
        <f t="shared" si="82"/>
        <v>0</v>
      </c>
      <c r="CS62" s="14">
        <f t="shared" si="82"/>
        <v>0</v>
      </c>
      <c r="CT62" s="14">
        <f t="shared" si="82"/>
        <v>0</v>
      </c>
      <c r="CU62" s="14">
        <f t="shared" si="82"/>
        <v>0</v>
      </c>
      <c r="CV62" s="14">
        <f t="shared" si="82"/>
        <v>0</v>
      </c>
      <c r="CW62" s="14">
        <f t="shared" si="82"/>
        <v>0</v>
      </c>
      <c r="CX62" s="14">
        <f t="shared" si="82"/>
        <v>0</v>
      </c>
      <c r="CY62" s="14">
        <f t="shared" si="82"/>
        <v>0</v>
      </c>
      <c r="CZ62" s="14">
        <f t="shared" si="82"/>
        <v>0</v>
      </c>
      <c r="DA62" s="14">
        <f t="shared" si="82"/>
        <v>0</v>
      </c>
      <c r="DC62" s="14">
        <f>SUM(BL$7:BL62)</f>
        <v>0</v>
      </c>
      <c r="DD62" s="14">
        <f>SUM(BM$7:BM62)</f>
        <v>0</v>
      </c>
      <c r="DE62" s="14">
        <f>SUM(BN$7:BN62)</f>
        <v>0</v>
      </c>
      <c r="DF62" s="14">
        <f>SUM(BO$7:BO62)</f>
        <v>0</v>
      </c>
      <c r="DG62" s="14">
        <f>SUM(BP$7:BP62)</f>
        <v>0</v>
      </c>
      <c r="DH62" s="14">
        <f>SUM(BQ$7:BQ62)</f>
        <v>0</v>
      </c>
      <c r="DI62" s="14">
        <f>SUM(BR$7:BR62)</f>
        <v>0</v>
      </c>
      <c r="DJ62" s="14">
        <f>SUM(BS$7:BS62)</f>
        <v>0</v>
      </c>
      <c r="DK62" s="14">
        <f>SUM(BT$7:BT62)</f>
        <v>0</v>
      </c>
      <c r="DL62" s="14">
        <f>SUM(BU$7:BU62)</f>
        <v>0</v>
      </c>
      <c r="DM62" s="14">
        <f>SUM(BV$7:BV62)</f>
        <v>0</v>
      </c>
      <c r="DN62" s="14">
        <f>SUM(BW$7:BW62)</f>
        <v>0</v>
      </c>
      <c r="DO62" s="14">
        <f>SUM(BX$7:BX62)</f>
        <v>0</v>
      </c>
      <c r="DP62" s="14">
        <f>SUM(BY$7:BY62)</f>
        <v>0</v>
      </c>
      <c r="DQ62" s="14">
        <f>SUM(BZ$7:BZ62)</f>
        <v>0</v>
      </c>
      <c r="DR62" s="14">
        <f>SUM(CA$7:CA62)</f>
        <v>0</v>
      </c>
      <c r="DS62" s="14">
        <f>SUM(CB$7:CB62)</f>
        <v>0</v>
      </c>
      <c r="DT62" s="14">
        <f>SUM(CC$7:CC62)</f>
        <v>0</v>
      </c>
      <c r="DU62" s="14">
        <f>SUM(CD$7:CD62)</f>
        <v>0</v>
      </c>
      <c r="DV62" s="14">
        <f>SUM(CE$7:CE62)</f>
        <v>0</v>
      </c>
      <c r="DW62" s="14">
        <f>SUM(CF$7:CF62)</f>
        <v>0</v>
      </c>
      <c r="DX62" s="14">
        <f>SUM(CG$7:CG62)</f>
        <v>0</v>
      </c>
      <c r="DY62" s="14">
        <f>SUM(CH$7:CH62)</f>
        <v>0</v>
      </c>
      <c r="DZ62" s="14">
        <f>SUM(CI$7:CI62)</f>
        <v>0</v>
      </c>
      <c r="EA62" s="14">
        <f>SUM(CJ$7:CJ62)</f>
        <v>0</v>
      </c>
      <c r="EB62" s="14">
        <f>SUM(CK$7:CK62)</f>
        <v>0</v>
      </c>
      <c r="EC62" s="14">
        <f>SUM(CL$7:CL62)</f>
        <v>0</v>
      </c>
      <c r="ED62" s="14">
        <f>SUM(CM$7:CM62)</f>
        <v>0</v>
      </c>
      <c r="EE62" s="14">
        <f>SUM(CN$7:CN62)</f>
        <v>0</v>
      </c>
      <c r="EF62" s="14">
        <f>SUM(CO$7:CO62)</f>
        <v>0</v>
      </c>
      <c r="EG62" s="14">
        <f>SUM(CP$7:CP62)</f>
        <v>0</v>
      </c>
      <c r="EH62" s="14">
        <f>SUM(CQ$7:CQ62)</f>
        <v>0</v>
      </c>
      <c r="EI62" s="14">
        <f>SUM(CR$7:CR62)</f>
        <v>0</v>
      </c>
      <c r="EJ62" s="14">
        <f>SUM(CS$7:CS62)</f>
        <v>0</v>
      </c>
      <c r="EK62" s="14">
        <f>SUM(CT$7:CT62)</f>
        <v>0</v>
      </c>
      <c r="EL62" s="14">
        <f>SUM(CU$7:CU62)</f>
        <v>0</v>
      </c>
      <c r="EM62" s="14">
        <f>SUM(CV$7:CV62)</f>
        <v>0</v>
      </c>
      <c r="EN62" s="14">
        <f>SUM(CW$7:CW62)</f>
        <v>0</v>
      </c>
      <c r="EO62" s="14">
        <f>SUM(CX$7:CX62)</f>
        <v>0</v>
      </c>
      <c r="EP62" s="14">
        <f>SUM(CY$7:CY62)</f>
        <v>0</v>
      </c>
      <c r="EQ62" s="14">
        <f>SUM(CZ$7:CZ62)</f>
        <v>0</v>
      </c>
      <c r="ER62" s="14">
        <f>SUM(DA$7:DA62)</f>
        <v>0</v>
      </c>
      <c r="EU62" s="14">
        <f t="shared" si="14"/>
        <v>0</v>
      </c>
      <c r="EV62" s="14">
        <f t="shared" si="15"/>
        <v>0</v>
      </c>
      <c r="EW62" s="14">
        <f t="shared" si="16"/>
        <v>0</v>
      </c>
      <c r="EX62" s="14">
        <f t="shared" si="17"/>
        <v>0</v>
      </c>
      <c r="EY62" s="14">
        <f t="shared" si="18"/>
        <v>0</v>
      </c>
      <c r="EZ62" s="14">
        <f t="shared" si="19"/>
        <v>0</v>
      </c>
      <c r="FA62" s="14">
        <f t="shared" si="20"/>
        <v>0</v>
      </c>
      <c r="FB62" s="14">
        <f t="shared" si="21"/>
        <v>0</v>
      </c>
      <c r="FC62" s="14">
        <f t="shared" si="22"/>
        <v>0</v>
      </c>
      <c r="FD62" s="14">
        <f t="shared" si="23"/>
        <v>0</v>
      </c>
      <c r="FE62" s="14">
        <f t="shared" si="24"/>
        <v>0</v>
      </c>
      <c r="FF62" s="14">
        <f t="shared" si="25"/>
        <v>0</v>
      </c>
      <c r="FG62" s="14">
        <f t="shared" si="26"/>
        <v>0</v>
      </c>
      <c r="FH62" s="14">
        <f t="shared" si="27"/>
        <v>0</v>
      </c>
      <c r="FI62" s="14">
        <f t="shared" si="28"/>
        <v>0</v>
      </c>
      <c r="FJ62" s="14">
        <f t="shared" si="29"/>
        <v>0</v>
      </c>
      <c r="FK62" s="14">
        <f t="shared" si="30"/>
        <v>0</v>
      </c>
      <c r="FL62" s="14">
        <f t="shared" si="31"/>
        <v>0</v>
      </c>
      <c r="FM62" s="14">
        <f t="shared" si="32"/>
        <v>0</v>
      </c>
      <c r="FN62" s="14">
        <f t="shared" si="33"/>
        <v>0</v>
      </c>
      <c r="FO62" s="14">
        <f t="shared" si="34"/>
        <v>0</v>
      </c>
      <c r="FP62" s="14">
        <f t="shared" si="35"/>
        <v>0</v>
      </c>
      <c r="FQ62" s="14">
        <f t="shared" si="36"/>
        <v>0</v>
      </c>
      <c r="FR62" s="14">
        <f t="shared" si="37"/>
        <v>0</v>
      </c>
      <c r="FS62" s="14">
        <f t="shared" si="38"/>
        <v>0</v>
      </c>
      <c r="FT62" s="14">
        <f t="shared" si="39"/>
        <v>0</v>
      </c>
      <c r="FU62" s="14">
        <f t="shared" si="40"/>
        <v>0</v>
      </c>
      <c r="FV62" s="14">
        <f t="shared" si="41"/>
        <v>0</v>
      </c>
      <c r="FW62" s="14">
        <f t="shared" si="42"/>
        <v>0</v>
      </c>
      <c r="FX62" s="14">
        <f t="shared" si="43"/>
        <v>0</v>
      </c>
      <c r="FY62" s="14">
        <f t="shared" si="44"/>
        <v>0</v>
      </c>
      <c r="FZ62" s="14">
        <f t="shared" si="45"/>
        <v>0</v>
      </c>
      <c r="GA62" s="14">
        <f t="shared" si="46"/>
        <v>0</v>
      </c>
      <c r="GB62" s="14">
        <f t="shared" si="47"/>
        <v>0</v>
      </c>
      <c r="GC62" s="14">
        <f t="shared" si="48"/>
        <v>0</v>
      </c>
      <c r="GD62" s="14">
        <f t="shared" si="49"/>
        <v>0</v>
      </c>
      <c r="GE62" s="14">
        <f t="shared" si="50"/>
        <v>0</v>
      </c>
      <c r="GF62" s="14">
        <f t="shared" si="51"/>
        <v>0</v>
      </c>
      <c r="GG62" s="14">
        <f t="shared" si="52"/>
        <v>0</v>
      </c>
      <c r="GH62" s="14">
        <f t="shared" si="53"/>
        <v>0</v>
      </c>
      <c r="GI62" s="14">
        <f t="shared" si="54"/>
        <v>0</v>
      </c>
      <c r="GJ62" s="14">
        <f t="shared" si="55"/>
        <v>0</v>
      </c>
      <c r="GM62" s="91">
        <v>56</v>
      </c>
      <c r="GN62" s="14">
        <f t="shared" si="56"/>
        <v>4</v>
      </c>
      <c r="GO62" s="14">
        <f t="shared" si="57"/>
        <v>1606006</v>
      </c>
      <c r="GP62" s="14" t="str">
        <f t="shared" si="58"/>
        <v>神器2-1 : 13级</v>
      </c>
      <c r="GQ62" s="14" t="s">
        <v>816</v>
      </c>
      <c r="GR62" s="14">
        <f t="shared" si="59"/>
        <v>11</v>
      </c>
      <c r="GS62" s="14" t="str">
        <f t="shared" si="60"/>
        <v>神器2-1</v>
      </c>
      <c r="GT62" s="14">
        <f t="shared" si="61"/>
        <v>5</v>
      </c>
    </row>
    <row r="63" spans="14:202" ht="16.5" x14ac:dyDescent="0.2">
      <c r="AL63" s="87">
        <v>3</v>
      </c>
      <c r="AM63" s="87">
        <v>3</v>
      </c>
      <c r="AN63" s="87">
        <v>21</v>
      </c>
      <c r="AO63" s="144">
        <f t="shared" si="8"/>
        <v>4421</v>
      </c>
      <c r="AP63" s="144" t="s">
        <v>1255</v>
      </c>
      <c r="AQ63" s="144" t="str">
        <f t="shared" si="9"/>
        <v>神器本-3-噩梦-5  神器3-6</v>
      </c>
      <c r="AR63" s="87">
        <v>14</v>
      </c>
      <c r="AS63" s="87" t="s">
        <v>334</v>
      </c>
      <c r="AT63" s="87">
        <v>1000</v>
      </c>
      <c r="AU63" s="87">
        <v>1</v>
      </c>
      <c r="AV63" s="87">
        <v>1</v>
      </c>
      <c r="AW63" s="87">
        <f t="shared" si="10"/>
        <v>4</v>
      </c>
      <c r="AX63" s="14">
        <f t="shared" si="11"/>
        <v>0.1</v>
      </c>
      <c r="AY63" s="14">
        <f t="shared" si="12"/>
        <v>30</v>
      </c>
      <c r="BG63" s="87">
        <v>57</v>
      </c>
      <c r="BH63" s="14" t="e">
        <f>INDEX(节奏总表!#REF!,新神器!BG63)</f>
        <v>#REF!</v>
      </c>
      <c r="BI63" s="14" t="e">
        <f t="shared" si="13"/>
        <v>#REF!</v>
      </c>
      <c r="BJ63" s="87">
        <v>3</v>
      </c>
      <c r="BK63" s="87">
        <v>5</v>
      </c>
      <c r="BL63" s="14">
        <f t="shared" si="79"/>
        <v>0</v>
      </c>
      <c r="BM63" s="14">
        <f t="shared" si="79"/>
        <v>0</v>
      </c>
      <c r="BN63" s="14">
        <f t="shared" si="79"/>
        <v>0</v>
      </c>
      <c r="BO63" s="14">
        <f t="shared" si="79"/>
        <v>0</v>
      </c>
      <c r="BP63" s="14">
        <f t="shared" si="79"/>
        <v>0</v>
      </c>
      <c r="BQ63" s="14">
        <f t="shared" si="79"/>
        <v>0</v>
      </c>
      <c r="BR63" s="14">
        <f t="shared" si="79"/>
        <v>0</v>
      </c>
      <c r="BS63" s="14">
        <f t="shared" si="79"/>
        <v>0</v>
      </c>
      <c r="BT63" s="14">
        <f t="shared" si="79"/>
        <v>0</v>
      </c>
      <c r="BU63" s="14">
        <f t="shared" si="79"/>
        <v>0</v>
      </c>
      <c r="BV63" s="14">
        <f t="shared" si="80"/>
        <v>0</v>
      </c>
      <c r="BW63" s="14">
        <f t="shared" si="80"/>
        <v>0</v>
      </c>
      <c r="BX63" s="14">
        <f t="shared" si="80"/>
        <v>0</v>
      </c>
      <c r="BY63" s="14">
        <f t="shared" si="80"/>
        <v>0</v>
      </c>
      <c r="BZ63" s="14">
        <f t="shared" si="80"/>
        <v>0</v>
      </c>
      <c r="CA63" s="14">
        <f t="shared" si="80"/>
        <v>0</v>
      </c>
      <c r="CB63" s="14">
        <f t="shared" si="80"/>
        <v>0</v>
      </c>
      <c r="CC63" s="14">
        <f t="shared" si="80"/>
        <v>0</v>
      </c>
      <c r="CD63" s="14">
        <f t="shared" si="80"/>
        <v>0</v>
      </c>
      <c r="CE63" s="14">
        <f t="shared" si="80"/>
        <v>0</v>
      </c>
      <c r="CF63" s="14">
        <f t="shared" si="81"/>
        <v>0</v>
      </c>
      <c r="CG63" s="14">
        <f t="shared" si="81"/>
        <v>0</v>
      </c>
      <c r="CH63" s="14">
        <f t="shared" si="81"/>
        <v>0</v>
      </c>
      <c r="CI63" s="14">
        <f t="shared" si="81"/>
        <v>0</v>
      </c>
      <c r="CJ63" s="14">
        <f t="shared" si="81"/>
        <v>0</v>
      </c>
      <c r="CK63" s="14">
        <f t="shared" si="81"/>
        <v>0</v>
      </c>
      <c r="CL63" s="14">
        <f t="shared" si="81"/>
        <v>0</v>
      </c>
      <c r="CM63" s="14">
        <f t="shared" si="81"/>
        <v>0</v>
      </c>
      <c r="CN63" s="14">
        <f t="shared" si="81"/>
        <v>0</v>
      </c>
      <c r="CO63" s="14">
        <f t="shared" si="81"/>
        <v>0</v>
      </c>
      <c r="CP63" s="14">
        <f t="shared" si="82"/>
        <v>0</v>
      </c>
      <c r="CQ63" s="14">
        <f t="shared" si="82"/>
        <v>0</v>
      </c>
      <c r="CR63" s="14">
        <f t="shared" si="82"/>
        <v>0</v>
      </c>
      <c r="CS63" s="14">
        <f t="shared" si="82"/>
        <v>0</v>
      </c>
      <c r="CT63" s="14">
        <f t="shared" si="82"/>
        <v>0</v>
      </c>
      <c r="CU63" s="14">
        <f t="shared" si="82"/>
        <v>0</v>
      </c>
      <c r="CV63" s="14">
        <f t="shared" si="82"/>
        <v>0</v>
      </c>
      <c r="CW63" s="14">
        <f t="shared" si="82"/>
        <v>0</v>
      </c>
      <c r="CX63" s="14">
        <f t="shared" si="82"/>
        <v>0</v>
      </c>
      <c r="CY63" s="14">
        <f t="shared" si="82"/>
        <v>0</v>
      </c>
      <c r="CZ63" s="14">
        <f t="shared" si="82"/>
        <v>0</v>
      </c>
      <c r="DA63" s="14">
        <f t="shared" si="82"/>
        <v>0</v>
      </c>
      <c r="DC63" s="14">
        <f>SUM(BL$7:BL63)</f>
        <v>0</v>
      </c>
      <c r="DD63" s="14">
        <f>SUM(BM$7:BM63)</f>
        <v>0</v>
      </c>
      <c r="DE63" s="14">
        <f>SUM(BN$7:BN63)</f>
        <v>0</v>
      </c>
      <c r="DF63" s="14">
        <f>SUM(BO$7:BO63)</f>
        <v>0</v>
      </c>
      <c r="DG63" s="14">
        <f>SUM(BP$7:BP63)</f>
        <v>0</v>
      </c>
      <c r="DH63" s="14">
        <f>SUM(BQ$7:BQ63)</f>
        <v>0</v>
      </c>
      <c r="DI63" s="14">
        <f>SUM(BR$7:BR63)</f>
        <v>0</v>
      </c>
      <c r="DJ63" s="14">
        <f>SUM(BS$7:BS63)</f>
        <v>0</v>
      </c>
      <c r="DK63" s="14">
        <f>SUM(BT$7:BT63)</f>
        <v>0</v>
      </c>
      <c r="DL63" s="14">
        <f>SUM(BU$7:BU63)</f>
        <v>0</v>
      </c>
      <c r="DM63" s="14">
        <f>SUM(BV$7:BV63)</f>
        <v>0</v>
      </c>
      <c r="DN63" s="14">
        <f>SUM(BW$7:BW63)</f>
        <v>0</v>
      </c>
      <c r="DO63" s="14">
        <f>SUM(BX$7:BX63)</f>
        <v>0</v>
      </c>
      <c r="DP63" s="14">
        <f>SUM(BY$7:BY63)</f>
        <v>0</v>
      </c>
      <c r="DQ63" s="14">
        <f>SUM(BZ$7:BZ63)</f>
        <v>0</v>
      </c>
      <c r="DR63" s="14">
        <f>SUM(CA$7:CA63)</f>
        <v>0</v>
      </c>
      <c r="DS63" s="14">
        <f>SUM(CB$7:CB63)</f>
        <v>0</v>
      </c>
      <c r="DT63" s="14">
        <f>SUM(CC$7:CC63)</f>
        <v>0</v>
      </c>
      <c r="DU63" s="14">
        <f>SUM(CD$7:CD63)</f>
        <v>0</v>
      </c>
      <c r="DV63" s="14">
        <f>SUM(CE$7:CE63)</f>
        <v>0</v>
      </c>
      <c r="DW63" s="14">
        <f>SUM(CF$7:CF63)</f>
        <v>0</v>
      </c>
      <c r="DX63" s="14">
        <f>SUM(CG$7:CG63)</f>
        <v>0</v>
      </c>
      <c r="DY63" s="14">
        <f>SUM(CH$7:CH63)</f>
        <v>0</v>
      </c>
      <c r="DZ63" s="14">
        <f>SUM(CI$7:CI63)</f>
        <v>0</v>
      </c>
      <c r="EA63" s="14">
        <f>SUM(CJ$7:CJ63)</f>
        <v>0</v>
      </c>
      <c r="EB63" s="14">
        <f>SUM(CK$7:CK63)</f>
        <v>0</v>
      </c>
      <c r="EC63" s="14">
        <f>SUM(CL$7:CL63)</f>
        <v>0</v>
      </c>
      <c r="ED63" s="14">
        <f>SUM(CM$7:CM63)</f>
        <v>0</v>
      </c>
      <c r="EE63" s="14">
        <f>SUM(CN$7:CN63)</f>
        <v>0</v>
      </c>
      <c r="EF63" s="14">
        <f>SUM(CO$7:CO63)</f>
        <v>0</v>
      </c>
      <c r="EG63" s="14">
        <f>SUM(CP$7:CP63)</f>
        <v>0</v>
      </c>
      <c r="EH63" s="14">
        <f>SUM(CQ$7:CQ63)</f>
        <v>0</v>
      </c>
      <c r="EI63" s="14">
        <f>SUM(CR$7:CR63)</f>
        <v>0</v>
      </c>
      <c r="EJ63" s="14">
        <f>SUM(CS$7:CS63)</f>
        <v>0</v>
      </c>
      <c r="EK63" s="14">
        <f>SUM(CT$7:CT63)</f>
        <v>0</v>
      </c>
      <c r="EL63" s="14">
        <f>SUM(CU$7:CU63)</f>
        <v>0</v>
      </c>
      <c r="EM63" s="14">
        <f>SUM(CV$7:CV63)</f>
        <v>0</v>
      </c>
      <c r="EN63" s="14">
        <f>SUM(CW$7:CW63)</f>
        <v>0</v>
      </c>
      <c r="EO63" s="14">
        <f>SUM(CX$7:CX63)</f>
        <v>0</v>
      </c>
      <c r="EP63" s="14">
        <f>SUM(CY$7:CY63)</f>
        <v>0</v>
      </c>
      <c r="EQ63" s="14">
        <f>SUM(CZ$7:CZ63)</f>
        <v>0</v>
      </c>
      <c r="ER63" s="14">
        <f>SUM(DA$7:DA63)</f>
        <v>0</v>
      </c>
      <c r="EU63" s="14">
        <f t="shared" si="14"/>
        <v>0</v>
      </c>
      <c r="EV63" s="14">
        <f t="shared" si="15"/>
        <v>0</v>
      </c>
      <c r="EW63" s="14">
        <f t="shared" si="16"/>
        <v>0</v>
      </c>
      <c r="EX63" s="14">
        <f t="shared" si="17"/>
        <v>0</v>
      </c>
      <c r="EY63" s="14">
        <f t="shared" si="18"/>
        <v>0</v>
      </c>
      <c r="EZ63" s="14">
        <f t="shared" si="19"/>
        <v>0</v>
      </c>
      <c r="FA63" s="14">
        <f t="shared" si="20"/>
        <v>0</v>
      </c>
      <c r="FB63" s="14">
        <f t="shared" si="21"/>
        <v>0</v>
      </c>
      <c r="FC63" s="14">
        <f t="shared" si="22"/>
        <v>0</v>
      </c>
      <c r="FD63" s="14">
        <f t="shared" si="23"/>
        <v>0</v>
      </c>
      <c r="FE63" s="14">
        <f t="shared" si="24"/>
        <v>0</v>
      </c>
      <c r="FF63" s="14">
        <f t="shared" si="25"/>
        <v>0</v>
      </c>
      <c r="FG63" s="14">
        <f t="shared" si="26"/>
        <v>0</v>
      </c>
      <c r="FH63" s="14">
        <f t="shared" si="27"/>
        <v>0</v>
      </c>
      <c r="FI63" s="14">
        <f t="shared" si="28"/>
        <v>0</v>
      </c>
      <c r="FJ63" s="14">
        <f t="shared" si="29"/>
        <v>0</v>
      </c>
      <c r="FK63" s="14">
        <f t="shared" si="30"/>
        <v>0</v>
      </c>
      <c r="FL63" s="14">
        <f t="shared" si="31"/>
        <v>0</v>
      </c>
      <c r="FM63" s="14">
        <f t="shared" si="32"/>
        <v>0</v>
      </c>
      <c r="FN63" s="14">
        <f t="shared" si="33"/>
        <v>0</v>
      </c>
      <c r="FO63" s="14">
        <f t="shared" si="34"/>
        <v>0</v>
      </c>
      <c r="FP63" s="14">
        <f t="shared" si="35"/>
        <v>0</v>
      </c>
      <c r="FQ63" s="14">
        <f t="shared" si="36"/>
        <v>0</v>
      </c>
      <c r="FR63" s="14">
        <f t="shared" si="37"/>
        <v>0</v>
      </c>
      <c r="FS63" s="14">
        <f t="shared" si="38"/>
        <v>0</v>
      </c>
      <c r="FT63" s="14">
        <f t="shared" si="39"/>
        <v>0</v>
      </c>
      <c r="FU63" s="14">
        <f t="shared" si="40"/>
        <v>0</v>
      </c>
      <c r="FV63" s="14">
        <f t="shared" si="41"/>
        <v>0</v>
      </c>
      <c r="FW63" s="14">
        <f t="shared" si="42"/>
        <v>0</v>
      </c>
      <c r="FX63" s="14">
        <f t="shared" si="43"/>
        <v>0</v>
      </c>
      <c r="FY63" s="14">
        <f t="shared" si="44"/>
        <v>0</v>
      </c>
      <c r="FZ63" s="14">
        <f t="shared" si="45"/>
        <v>0</v>
      </c>
      <c r="GA63" s="14">
        <f t="shared" si="46"/>
        <v>0</v>
      </c>
      <c r="GB63" s="14">
        <f t="shared" si="47"/>
        <v>0</v>
      </c>
      <c r="GC63" s="14">
        <f t="shared" si="48"/>
        <v>0</v>
      </c>
      <c r="GD63" s="14">
        <f t="shared" si="49"/>
        <v>0</v>
      </c>
      <c r="GE63" s="14">
        <f t="shared" si="50"/>
        <v>0</v>
      </c>
      <c r="GF63" s="14">
        <f t="shared" si="51"/>
        <v>0</v>
      </c>
      <c r="GG63" s="14">
        <f t="shared" si="52"/>
        <v>0</v>
      </c>
      <c r="GH63" s="14">
        <f t="shared" si="53"/>
        <v>0</v>
      </c>
      <c r="GI63" s="14">
        <f t="shared" si="54"/>
        <v>0</v>
      </c>
      <c r="GJ63" s="14">
        <f t="shared" si="55"/>
        <v>0</v>
      </c>
      <c r="GM63" s="91">
        <v>57</v>
      </c>
      <c r="GN63" s="14">
        <f t="shared" si="56"/>
        <v>4</v>
      </c>
      <c r="GO63" s="14">
        <f t="shared" si="57"/>
        <v>1606006</v>
      </c>
      <c r="GP63" s="14" t="str">
        <f t="shared" si="58"/>
        <v>神器2-1 : 14级</v>
      </c>
      <c r="GQ63" s="14" t="s">
        <v>816</v>
      </c>
      <c r="GR63" s="14">
        <f t="shared" si="59"/>
        <v>12</v>
      </c>
      <c r="GS63" s="14" t="str">
        <f t="shared" si="60"/>
        <v>神器2-1</v>
      </c>
      <c r="GT63" s="14">
        <f t="shared" si="61"/>
        <v>6</v>
      </c>
    </row>
    <row r="64" spans="14:202" ht="16.5" x14ac:dyDescent="0.2">
      <c r="AL64" s="87">
        <v>4</v>
      </c>
      <c r="AM64" s="87">
        <v>1</v>
      </c>
      <c r="AN64" s="87">
        <v>22</v>
      </c>
      <c r="AO64" s="144">
        <f t="shared" si="8"/>
        <v>4422</v>
      </c>
      <c r="AP64" s="144" t="s">
        <v>1256</v>
      </c>
      <c r="AQ64" s="144" t="str">
        <f t="shared" si="9"/>
        <v>神器本-4-普通-1  神器1-1</v>
      </c>
      <c r="AR64" s="87">
        <v>1</v>
      </c>
      <c r="AS64" s="87" t="s">
        <v>321</v>
      </c>
      <c r="AT64" s="87">
        <v>1500</v>
      </c>
      <c r="AU64" s="87">
        <v>1</v>
      </c>
      <c r="AV64" s="87">
        <v>1</v>
      </c>
      <c r="AW64" s="87">
        <f t="shared" si="10"/>
        <v>1</v>
      </c>
      <c r="AX64" s="14">
        <f t="shared" si="11"/>
        <v>0.15</v>
      </c>
      <c r="AY64" s="14">
        <f t="shared" si="12"/>
        <v>1.5</v>
      </c>
      <c r="BG64" s="87">
        <v>58</v>
      </c>
      <c r="BH64" s="14" t="e">
        <f>INDEX(节奏总表!#REF!,新神器!BG64)</f>
        <v>#REF!</v>
      </c>
      <c r="BI64" s="14" t="e">
        <f t="shared" si="13"/>
        <v>#REF!</v>
      </c>
      <c r="BJ64" s="87">
        <v>3</v>
      </c>
      <c r="BK64" s="87">
        <v>5</v>
      </c>
      <c r="BL64" s="14">
        <f t="shared" si="79"/>
        <v>0</v>
      </c>
      <c r="BM64" s="14">
        <f t="shared" si="79"/>
        <v>0</v>
      </c>
      <c r="BN64" s="14">
        <f t="shared" si="79"/>
        <v>0</v>
      </c>
      <c r="BO64" s="14">
        <f t="shared" si="79"/>
        <v>0</v>
      </c>
      <c r="BP64" s="14">
        <f t="shared" si="79"/>
        <v>0</v>
      </c>
      <c r="BQ64" s="14">
        <f t="shared" si="79"/>
        <v>0</v>
      </c>
      <c r="BR64" s="14">
        <f t="shared" si="79"/>
        <v>0</v>
      </c>
      <c r="BS64" s="14">
        <f t="shared" si="79"/>
        <v>0</v>
      </c>
      <c r="BT64" s="14">
        <f t="shared" si="79"/>
        <v>0</v>
      </c>
      <c r="BU64" s="14">
        <f t="shared" si="79"/>
        <v>0</v>
      </c>
      <c r="BV64" s="14">
        <f t="shared" si="80"/>
        <v>0</v>
      </c>
      <c r="BW64" s="14">
        <f t="shared" si="80"/>
        <v>0</v>
      </c>
      <c r="BX64" s="14">
        <f t="shared" si="80"/>
        <v>0</v>
      </c>
      <c r="BY64" s="14">
        <f t="shared" si="80"/>
        <v>0</v>
      </c>
      <c r="BZ64" s="14">
        <f t="shared" si="80"/>
        <v>0</v>
      </c>
      <c r="CA64" s="14">
        <f t="shared" si="80"/>
        <v>0</v>
      </c>
      <c r="CB64" s="14">
        <f t="shared" si="80"/>
        <v>0</v>
      </c>
      <c r="CC64" s="14">
        <f t="shared" si="80"/>
        <v>0</v>
      </c>
      <c r="CD64" s="14">
        <f t="shared" si="80"/>
        <v>0</v>
      </c>
      <c r="CE64" s="14">
        <f t="shared" si="80"/>
        <v>0</v>
      </c>
      <c r="CF64" s="14">
        <f t="shared" si="81"/>
        <v>0</v>
      </c>
      <c r="CG64" s="14">
        <f t="shared" si="81"/>
        <v>0</v>
      </c>
      <c r="CH64" s="14">
        <f t="shared" si="81"/>
        <v>0</v>
      </c>
      <c r="CI64" s="14">
        <f t="shared" si="81"/>
        <v>0</v>
      </c>
      <c r="CJ64" s="14">
        <f t="shared" si="81"/>
        <v>0</v>
      </c>
      <c r="CK64" s="14">
        <f t="shared" si="81"/>
        <v>0</v>
      </c>
      <c r="CL64" s="14">
        <f t="shared" si="81"/>
        <v>0</v>
      </c>
      <c r="CM64" s="14">
        <f t="shared" si="81"/>
        <v>0</v>
      </c>
      <c r="CN64" s="14">
        <f t="shared" si="81"/>
        <v>0</v>
      </c>
      <c r="CO64" s="14">
        <f t="shared" si="81"/>
        <v>0</v>
      </c>
      <c r="CP64" s="14">
        <f t="shared" si="82"/>
        <v>0</v>
      </c>
      <c r="CQ64" s="14">
        <f t="shared" si="82"/>
        <v>0</v>
      </c>
      <c r="CR64" s="14">
        <f t="shared" si="82"/>
        <v>0</v>
      </c>
      <c r="CS64" s="14">
        <f t="shared" si="82"/>
        <v>0</v>
      </c>
      <c r="CT64" s="14">
        <f t="shared" si="82"/>
        <v>0</v>
      </c>
      <c r="CU64" s="14">
        <f t="shared" si="82"/>
        <v>0</v>
      </c>
      <c r="CV64" s="14">
        <f t="shared" si="82"/>
        <v>0</v>
      </c>
      <c r="CW64" s="14">
        <f t="shared" si="82"/>
        <v>0</v>
      </c>
      <c r="CX64" s="14">
        <f t="shared" si="82"/>
        <v>0</v>
      </c>
      <c r="CY64" s="14">
        <f t="shared" si="82"/>
        <v>0</v>
      </c>
      <c r="CZ64" s="14">
        <f t="shared" si="82"/>
        <v>0</v>
      </c>
      <c r="DA64" s="14">
        <f t="shared" si="82"/>
        <v>0</v>
      </c>
      <c r="DC64" s="14">
        <f>SUM(BL$7:BL64)</f>
        <v>0</v>
      </c>
      <c r="DD64" s="14">
        <f>SUM(BM$7:BM64)</f>
        <v>0</v>
      </c>
      <c r="DE64" s="14">
        <f>SUM(BN$7:BN64)</f>
        <v>0</v>
      </c>
      <c r="DF64" s="14">
        <f>SUM(BO$7:BO64)</f>
        <v>0</v>
      </c>
      <c r="DG64" s="14">
        <f>SUM(BP$7:BP64)</f>
        <v>0</v>
      </c>
      <c r="DH64" s="14">
        <f>SUM(BQ$7:BQ64)</f>
        <v>0</v>
      </c>
      <c r="DI64" s="14">
        <f>SUM(BR$7:BR64)</f>
        <v>0</v>
      </c>
      <c r="DJ64" s="14">
        <f>SUM(BS$7:BS64)</f>
        <v>0</v>
      </c>
      <c r="DK64" s="14">
        <f>SUM(BT$7:BT64)</f>
        <v>0</v>
      </c>
      <c r="DL64" s="14">
        <f>SUM(BU$7:BU64)</f>
        <v>0</v>
      </c>
      <c r="DM64" s="14">
        <f>SUM(BV$7:BV64)</f>
        <v>0</v>
      </c>
      <c r="DN64" s="14">
        <f>SUM(BW$7:BW64)</f>
        <v>0</v>
      </c>
      <c r="DO64" s="14">
        <f>SUM(BX$7:BX64)</f>
        <v>0</v>
      </c>
      <c r="DP64" s="14">
        <f>SUM(BY$7:BY64)</f>
        <v>0</v>
      </c>
      <c r="DQ64" s="14">
        <f>SUM(BZ$7:BZ64)</f>
        <v>0</v>
      </c>
      <c r="DR64" s="14">
        <f>SUM(CA$7:CA64)</f>
        <v>0</v>
      </c>
      <c r="DS64" s="14">
        <f>SUM(CB$7:CB64)</f>
        <v>0</v>
      </c>
      <c r="DT64" s="14">
        <f>SUM(CC$7:CC64)</f>
        <v>0</v>
      </c>
      <c r="DU64" s="14">
        <f>SUM(CD$7:CD64)</f>
        <v>0</v>
      </c>
      <c r="DV64" s="14">
        <f>SUM(CE$7:CE64)</f>
        <v>0</v>
      </c>
      <c r="DW64" s="14">
        <f>SUM(CF$7:CF64)</f>
        <v>0</v>
      </c>
      <c r="DX64" s="14">
        <f>SUM(CG$7:CG64)</f>
        <v>0</v>
      </c>
      <c r="DY64" s="14">
        <f>SUM(CH$7:CH64)</f>
        <v>0</v>
      </c>
      <c r="DZ64" s="14">
        <f>SUM(CI$7:CI64)</f>
        <v>0</v>
      </c>
      <c r="EA64" s="14">
        <f>SUM(CJ$7:CJ64)</f>
        <v>0</v>
      </c>
      <c r="EB64" s="14">
        <f>SUM(CK$7:CK64)</f>
        <v>0</v>
      </c>
      <c r="EC64" s="14">
        <f>SUM(CL$7:CL64)</f>
        <v>0</v>
      </c>
      <c r="ED64" s="14">
        <f>SUM(CM$7:CM64)</f>
        <v>0</v>
      </c>
      <c r="EE64" s="14">
        <f>SUM(CN$7:CN64)</f>
        <v>0</v>
      </c>
      <c r="EF64" s="14">
        <f>SUM(CO$7:CO64)</f>
        <v>0</v>
      </c>
      <c r="EG64" s="14">
        <f>SUM(CP$7:CP64)</f>
        <v>0</v>
      </c>
      <c r="EH64" s="14">
        <f>SUM(CQ$7:CQ64)</f>
        <v>0</v>
      </c>
      <c r="EI64" s="14">
        <f>SUM(CR$7:CR64)</f>
        <v>0</v>
      </c>
      <c r="EJ64" s="14">
        <f>SUM(CS$7:CS64)</f>
        <v>0</v>
      </c>
      <c r="EK64" s="14">
        <f>SUM(CT$7:CT64)</f>
        <v>0</v>
      </c>
      <c r="EL64" s="14">
        <f>SUM(CU$7:CU64)</f>
        <v>0</v>
      </c>
      <c r="EM64" s="14">
        <f>SUM(CV$7:CV64)</f>
        <v>0</v>
      </c>
      <c r="EN64" s="14">
        <f>SUM(CW$7:CW64)</f>
        <v>0</v>
      </c>
      <c r="EO64" s="14">
        <f>SUM(CX$7:CX64)</f>
        <v>0</v>
      </c>
      <c r="EP64" s="14">
        <f>SUM(CY$7:CY64)</f>
        <v>0</v>
      </c>
      <c r="EQ64" s="14">
        <f>SUM(CZ$7:CZ64)</f>
        <v>0</v>
      </c>
      <c r="ER64" s="14">
        <f>SUM(DA$7:DA64)</f>
        <v>0</v>
      </c>
      <c r="EU64" s="14">
        <f t="shared" si="14"/>
        <v>0</v>
      </c>
      <c r="EV64" s="14">
        <f t="shared" si="15"/>
        <v>0</v>
      </c>
      <c r="EW64" s="14">
        <f t="shared" si="16"/>
        <v>0</v>
      </c>
      <c r="EX64" s="14">
        <f t="shared" si="17"/>
        <v>0</v>
      </c>
      <c r="EY64" s="14">
        <f t="shared" si="18"/>
        <v>0</v>
      </c>
      <c r="EZ64" s="14">
        <f t="shared" si="19"/>
        <v>0</v>
      </c>
      <c r="FA64" s="14">
        <f t="shared" si="20"/>
        <v>0</v>
      </c>
      <c r="FB64" s="14">
        <f t="shared" si="21"/>
        <v>0</v>
      </c>
      <c r="FC64" s="14">
        <f t="shared" si="22"/>
        <v>0</v>
      </c>
      <c r="FD64" s="14">
        <f t="shared" si="23"/>
        <v>0</v>
      </c>
      <c r="FE64" s="14">
        <f t="shared" si="24"/>
        <v>0</v>
      </c>
      <c r="FF64" s="14">
        <f t="shared" si="25"/>
        <v>0</v>
      </c>
      <c r="FG64" s="14">
        <f t="shared" si="26"/>
        <v>0</v>
      </c>
      <c r="FH64" s="14">
        <f t="shared" si="27"/>
        <v>0</v>
      </c>
      <c r="FI64" s="14">
        <f t="shared" si="28"/>
        <v>0</v>
      </c>
      <c r="FJ64" s="14">
        <f t="shared" si="29"/>
        <v>0</v>
      </c>
      <c r="FK64" s="14">
        <f t="shared" si="30"/>
        <v>0</v>
      </c>
      <c r="FL64" s="14">
        <f t="shared" si="31"/>
        <v>0</v>
      </c>
      <c r="FM64" s="14">
        <f t="shared" si="32"/>
        <v>0</v>
      </c>
      <c r="FN64" s="14">
        <f t="shared" si="33"/>
        <v>0</v>
      </c>
      <c r="FO64" s="14">
        <f t="shared" si="34"/>
        <v>0</v>
      </c>
      <c r="FP64" s="14">
        <f t="shared" si="35"/>
        <v>0</v>
      </c>
      <c r="FQ64" s="14">
        <f t="shared" si="36"/>
        <v>0</v>
      </c>
      <c r="FR64" s="14">
        <f t="shared" si="37"/>
        <v>0</v>
      </c>
      <c r="FS64" s="14">
        <f t="shared" si="38"/>
        <v>0</v>
      </c>
      <c r="FT64" s="14">
        <f t="shared" si="39"/>
        <v>0</v>
      </c>
      <c r="FU64" s="14">
        <f t="shared" si="40"/>
        <v>0</v>
      </c>
      <c r="FV64" s="14">
        <f t="shared" si="41"/>
        <v>0</v>
      </c>
      <c r="FW64" s="14">
        <f t="shared" si="42"/>
        <v>0</v>
      </c>
      <c r="FX64" s="14">
        <f t="shared" si="43"/>
        <v>0</v>
      </c>
      <c r="FY64" s="14">
        <f t="shared" si="44"/>
        <v>0</v>
      </c>
      <c r="FZ64" s="14">
        <f t="shared" si="45"/>
        <v>0</v>
      </c>
      <c r="GA64" s="14">
        <f t="shared" si="46"/>
        <v>0</v>
      </c>
      <c r="GB64" s="14">
        <f t="shared" si="47"/>
        <v>0</v>
      </c>
      <c r="GC64" s="14">
        <f t="shared" si="48"/>
        <v>0</v>
      </c>
      <c r="GD64" s="14">
        <f t="shared" si="49"/>
        <v>0</v>
      </c>
      <c r="GE64" s="14">
        <f t="shared" si="50"/>
        <v>0</v>
      </c>
      <c r="GF64" s="14">
        <f t="shared" si="51"/>
        <v>0</v>
      </c>
      <c r="GG64" s="14">
        <f t="shared" si="52"/>
        <v>0</v>
      </c>
      <c r="GH64" s="14">
        <f t="shared" si="53"/>
        <v>0</v>
      </c>
      <c r="GI64" s="14">
        <f t="shared" si="54"/>
        <v>0</v>
      </c>
      <c r="GJ64" s="14">
        <f t="shared" si="55"/>
        <v>0</v>
      </c>
      <c r="GM64" s="91">
        <v>58</v>
      </c>
      <c r="GN64" s="14">
        <f t="shared" si="56"/>
        <v>4</v>
      </c>
      <c r="GO64" s="14">
        <f t="shared" si="57"/>
        <v>1606006</v>
      </c>
      <c r="GP64" s="14" t="str">
        <f t="shared" si="58"/>
        <v>神器2-1 : 1级</v>
      </c>
      <c r="GQ64" s="14" t="s">
        <v>816</v>
      </c>
      <c r="GR64" s="14">
        <f t="shared" si="59"/>
        <v>13</v>
      </c>
      <c r="GS64" s="14" t="str">
        <f t="shared" si="60"/>
        <v>神器2-1</v>
      </c>
      <c r="GT64" s="14">
        <f t="shared" si="61"/>
        <v>7</v>
      </c>
    </row>
    <row r="65" spans="38:202" ht="16.5" x14ac:dyDescent="0.2">
      <c r="AL65" s="87">
        <v>4</v>
      </c>
      <c r="AM65" s="87">
        <v>1</v>
      </c>
      <c r="AN65" s="87">
        <v>22</v>
      </c>
      <c r="AO65" s="144">
        <f t="shared" si="8"/>
        <v>4422</v>
      </c>
      <c r="AP65" s="144" t="s">
        <v>1256</v>
      </c>
      <c r="AQ65" s="144" t="str">
        <f t="shared" si="9"/>
        <v>神器本-4-普通-1  神器1-2</v>
      </c>
      <c r="AR65" s="87">
        <v>2</v>
      </c>
      <c r="AS65" s="87" t="s">
        <v>322</v>
      </c>
      <c r="AT65" s="87">
        <v>1500</v>
      </c>
      <c r="AU65" s="87">
        <v>1</v>
      </c>
      <c r="AV65" s="87">
        <v>1</v>
      </c>
      <c r="AW65" s="87">
        <f t="shared" si="10"/>
        <v>1</v>
      </c>
      <c r="AX65" s="14">
        <f t="shared" si="11"/>
        <v>0.15</v>
      </c>
      <c r="AY65" s="14">
        <f t="shared" si="12"/>
        <v>1.5</v>
      </c>
      <c r="BG65" s="87">
        <v>59</v>
      </c>
      <c r="BH65" s="14" t="e">
        <f>INDEX(节奏总表!#REF!,新神器!BG65)</f>
        <v>#REF!</v>
      </c>
      <c r="BI65" s="14" t="e">
        <f t="shared" si="13"/>
        <v>#REF!</v>
      </c>
      <c r="BJ65" s="87">
        <v>3</v>
      </c>
      <c r="BK65" s="87">
        <v>5</v>
      </c>
      <c r="BL65" s="14">
        <f t="shared" si="79"/>
        <v>0</v>
      </c>
      <c r="BM65" s="14">
        <f t="shared" si="79"/>
        <v>0</v>
      </c>
      <c r="BN65" s="14">
        <f t="shared" si="79"/>
        <v>0</v>
      </c>
      <c r="BO65" s="14">
        <f t="shared" si="79"/>
        <v>0</v>
      </c>
      <c r="BP65" s="14">
        <f t="shared" si="79"/>
        <v>0</v>
      </c>
      <c r="BQ65" s="14">
        <f t="shared" si="79"/>
        <v>0</v>
      </c>
      <c r="BR65" s="14">
        <f t="shared" si="79"/>
        <v>0</v>
      </c>
      <c r="BS65" s="14">
        <f t="shared" si="79"/>
        <v>0</v>
      </c>
      <c r="BT65" s="14">
        <f t="shared" si="79"/>
        <v>0</v>
      </c>
      <c r="BU65" s="14">
        <f t="shared" si="79"/>
        <v>0</v>
      </c>
      <c r="BV65" s="14">
        <f t="shared" si="80"/>
        <v>0</v>
      </c>
      <c r="BW65" s="14">
        <f t="shared" si="80"/>
        <v>0</v>
      </c>
      <c r="BX65" s="14">
        <f t="shared" si="80"/>
        <v>0</v>
      </c>
      <c r="BY65" s="14">
        <f t="shared" si="80"/>
        <v>0</v>
      </c>
      <c r="BZ65" s="14">
        <f t="shared" si="80"/>
        <v>0</v>
      </c>
      <c r="CA65" s="14">
        <f t="shared" si="80"/>
        <v>0</v>
      </c>
      <c r="CB65" s="14">
        <f t="shared" si="80"/>
        <v>0</v>
      </c>
      <c r="CC65" s="14">
        <f t="shared" si="80"/>
        <v>0</v>
      </c>
      <c r="CD65" s="14">
        <f t="shared" si="80"/>
        <v>0</v>
      </c>
      <c r="CE65" s="14">
        <f t="shared" si="80"/>
        <v>0</v>
      </c>
      <c r="CF65" s="14">
        <f t="shared" si="81"/>
        <v>0</v>
      </c>
      <c r="CG65" s="14">
        <f t="shared" si="81"/>
        <v>0</v>
      </c>
      <c r="CH65" s="14">
        <f t="shared" si="81"/>
        <v>0</v>
      </c>
      <c r="CI65" s="14">
        <f t="shared" si="81"/>
        <v>0</v>
      </c>
      <c r="CJ65" s="14">
        <f t="shared" si="81"/>
        <v>0</v>
      </c>
      <c r="CK65" s="14">
        <f t="shared" si="81"/>
        <v>0</v>
      </c>
      <c r="CL65" s="14">
        <f t="shared" si="81"/>
        <v>0</v>
      </c>
      <c r="CM65" s="14">
        <f t="shared" si="81"/>
        <v>0</v>
      </c>
      <c r="CN65" s="14">
        <f t="shared" si="81"/>
        <v>0</v>
      </c>
      <c r="CO65" s="14">
        <f t="shared" si="81"/>
        <v>0</v>
      </c>
      <c r="CP65" s="14">
        <f t="shared" si="82"/>
        <v>0</v>
      </c>
      <c r="CQ65" s="14">
        <f t="shared" si="82"/>
        <v>0</v>
      </c>
      <c r="CR65" s="14">
        <f t="shared" si="82"/>
        <v>0</v>
      </c>
      <c r="CS65" s="14">
        <f t="shared" si="82"/>
        <v>0</v>
      </c>
      <c r="CT65" s="14">
        <f t="shared" si="82"/>
        <v>0</v>
      </c>
      <c r="CU65" s="14">
        <f t="shared" si="82"/>
        <v>0</v>
      </c>
      <c r="CV65" s="14">
        <f t="shared" si="82"/>
        <v>0</v>
      </c>
      <c r="CW65" s="14">
        <f t="shared" si="82"/>
        <v>0</v>
      </c>
      <c r="CX65" s="14">
        <f t="shared" si="82"/>
        <v>0</v>
      </c>
      <c r="CY65" s="14">
        <f t="shared" si="82"/>
        <v>0</v>
      </c>
      <c r="CZ65" s="14">
        <f t="shared" si="82"/>
        <v>0</v>
      </c>
      <c r="DA65" s="14">
        <f t="shared" si="82"/>
        <v>0</v>
      </c>
      <c r="DC65" s="14">
        <f>SUM(BL$7:BL65)</f>
        <v>0</v>
      </c>
      <c r="DD65" s="14">
        <f>SUM(BM$7:BM65)</f>
        <v>0</v>
      </c>
      <c r="DE65" s="14">
        <f>SUM(BN$7:BN65)</f>
        <v>0</v>
      </c>
      <c r="DF65" s="14">
        <f>SUM(BO$7:BO65)</f>
        <v>0</v>
      </c>
      <c r="DG65" s="14">
        <f>SUM(BP$7:BP65)</f>
        <v>0</v>
      </c>
      <c r="DH65" s="14">
        <f>SUM(BQ$7:BQ65)</f>
        <v>0</v>
      </c>
      <c r="DI65" s="14">
        <f>SUM(BR$7:BR65)</f>
        <v>0</v>
      </c>
      <c r="DJ65" s="14">
        <f>SUM(BS$7:BS65)</f>
        <v>0</v>
      </c>
      <c r="DK65" s="14">
        <f>SUM(BT$7:BT65)</f>
        <v>0</v>
      </c>
      <c r="DL65" s="14">
        <f>SUM(BU$7:BU65)</f>
        <v>0</v>
      </c>
      <c r="DM65" s="14">
        <f>SUM(BV$7:BV65)</f>
        <v>0</v>
      </c>
      <c r="DN65" s="14">
        <f>SUM(BW$7:BW65)</f>
        <v>0</v>
      </c>
      <c r="DO65" s="14">
        <f>SUM(BX$7:BX65)</f>
        <v>0</v>
      </c>
      <c r="DP65" s="14">
        <f>SUM(BY$7:BY65)</f>
        <v>0</v>
      </c>
      <c r="DQ65" s="14">
        <f>SUM(BZ$7:BZ65)</f>
        <v>0</v>
      </c>
      <c r="DR65" s="14">
        <f>SUM(CA$7:CA65)</f>
        <v>0</v>
      </c>
      <c r="DS65" s="14">
        <f>SUM(CB$7:CB65)</f>
        <v>0</v>
      </c>
      <c r="DT65" s="14">
        <f>SUM(CC$7:CC65)</f>
        <v>0</v>
      </c>
      <c r="DU65" s="14">
        <f>SUM(CD$7:CD65)</f>
        <v>0</v>
      </c>
      <c r="DV65" s="14">
        <f>SUM(CE$7:CE65)</f>
        <v>0</v>
      </c>
      <c r="DW65" s="14">
        <f>SUM(CF$7:CF65)</f>
        <v>0</v>
      </c>
      <c r="DX65" s="14">
        <f>SUM(CG$7:CG65)</f>
        <v>0</v>
      </c>
      <c r="DY65" s="14">
        <f>SUM(CH$7:CH65)</f>
        <v>0</v>
      </c>
      <c r="DZ65" s="14">
        <f>SUM(CI$7:CI65)</f>
        <v>0</v>
      </c>
      <c r="EA65" s="14">
        <f>SUM(CJ$7:CJ65)</f>
        <v>0</v>
      </c>
      <c r="EB65" s="14">
        <f>SUM(CK$7:CK65)</f>
        <v>0</v>
      </c>
      <c r="EC65" s="14">
        <f>SUM(CL$7:CL65)</f>
        <v>0</v>
      </c>
      <c r="ED65" s="14">
        <f>SUM(CM$7:CM65)</f>
        <v>0</v>
      </c>
      <c r="EE65" s="14">
        <f>SUM(CN$7:CN65)</f>
        <v>0</v>
      </c>
      <c r="EF65" s="14">
        <f>SUM(CO$7:CO65)</f>
        <v>0</v>
      </c>
      <c r="EG65" s="14">
        <f>SUM(CP$7:CP65)</f>
        <v>0</v>
      </c>
      <c r="EH65" s="14">
        <f>SUM(CQ$7:CQ65)</f>
        <v>0</v>
      </c>
      <c r="EI65" s="14">
        <f>SUM(CR$7:CR65)</f>
        <v>0</v>
      </c>
      <c r="EJ65" s="14">
        <f>SUM(CS$7:CS65)</f>
        <v>0</v>
      </c>
      <c r="EK65" s="14">
        <f>SUM(CT$7:CT65)</f>
        <v>0</v>
      </c>
      <c r="EL65" s="14">
        <f>SUM(CU$7:CU65)</f>
        <v>0</v>
      </c>
      <c r="EM65" s="14">
        <f>SUM(CV$7:CV65)</f>
        <v>0</v>
      </c>
      <c r="EN65" s="14">
        <f>SUM(CW$7:CW65)</f>
        <v>0</v>
      </c>
      <c r="EO65" s="14">
        <f>SUM(CX$7:CX65)</f>
        <v>0</v>
      </c>
      <c r="EP65" s="14">
        <f>SUM(CY$7:CY65)</f>
        <v>0</v>
      </c>
      <c r="EQ65" s="14">
        <f>SUM(CZ$7:CZ65)</f>
        <v>0</v>
      </c>
      <c r="ER65" s="14">
        <f>SUM(DA$7:DA65)</f>
        <v>0</v>
      </c>
      <c r="EU65" s="14">
        <f t="shared" si="14"/>
        <v>0</v>
      </c>
      <c r="EV65" s="14">
        <f t="shared" si="15"/>
        <v>0</v>
      </c>
      <c r="EW65" s="14">
        <f t="shared" si="16"/>
        <v>0</v>
      </c>
      <c r="EX65" s="14">
        <f t="shared" si="17"/>
        <v>0</v>
      </c>
      <c r="EY65" s="14">
        <f t="shared" si="18"/>
        <v>0</v>
      </c>
      <c r="EZ65" s="14">
        <f t="shared" si="19"/>
        <v>0</v>
      </c>
      <c r="FA65" s="14">
        <f t="shared" si="20"/>
        <v>0</v>
      </c>
      <c r="FB65" s="14">
        <f t="shared" si="21"/>
        <v>0</v>
      </c>
      <c r="FC65" s="14">
        <f t="shared" si="22"/>
        <v>0</v>
      </c>
      <c r="FD65" s="14">
        <f t="shared" si="23"/>
        <v>0</v>
      </c>
      <c r="FE65" s="14">
        <f t="shared" si="24"/>
        <v>0</v>
      </c>
      <c r="FF65" s="14">
        <f t="shared" si="25"/>
        <v>0</v>
      </c>
      <c r="FG65" s="14">
        <f t="shared" si="26"/>
        <v>0</v>
      </c>
      <c r="FH65" s="14">
        <f t="shared" si="27"/>
        <v>0</v>
      </c>
      <c r="FI65" s="14">
        <f t="shared" si="28"/>
        <v>0</v>
      </c>
      <c r="FJ65" s="14">
        <f t="shared" si="29"/>
        <v>0</v>
      </c>
      <c r="FK65" s="14">
        <f t="shared" si="30"/>
        <v>0</v>
      </c>
      <c r="FL65" s="14">
        <f t="shared" si="31"/>
        <v>0</v>
      </c>
      <c r="FM65" s="14">
        <f t="shared" si="32"/>
        <v>0</v>
      </c>
      <c r="FN65" s="14">
        <f t="shared" si="33"/>
        <v>0</v>
      </c>
      <c r="FO65" s="14">
        <f t="shared" si="34"/>
        <v>0</v>
      </c>
      <c r="FP65" s="14">
        <f t="shared" si="35"/>
        <v>0</v>
      </c>
      <c r="FQ65" s="14">
        <f t="shared" si="36"/>
        <v>0</v>
      </c>
      <c r="FR65" s="14">
        <f t="shared" si="37"/>
        <v>0</v>
      </c>
      <c r="FS65" s="14">
        <f t="shared" si="38"/>
        <v>0</v>
      </c>
      <c r="FT65" s="14">
        <f t="shared" si="39"/>
        <v>0</v>
      </c>
      <c r="FU65" s="14">
        <f t="shared" si="40"/>
        <v>0</v>
      </c>
      <c r="FV65" s="14">
        <f t="shared" si="41"/>
        <v>0</v>
      </c>
      <c r="FW65" s="14">
        <f t="shared" si="42"/>
        <v>0</v>
      </c>
      <c r="FX65" s="14">
        <f t="shared" si="43"/>
        <v>0</v>
      </c>
      <c r="FY65" s="14">
        <f t="shared" si="44"/>
        <v>0</v>
      </c>
      <c r="FZ65" s="14">
        <f t="shared" si="45"/>
        <v>0</v>
      </c>
      <c r="GA65" s="14">
        <f t="shared" si="46"/>
        <v>0</v>
      </c>
      <c r="GB65" s="14">
        <f t="shared" si="47"/>
        <v>0</v>
      </c>
      <c r="GC65" s="14">
        <f t="shared" si="48"/>
        <v>0</v>
      </c>
      <c r="GD65" s="14">
        <f t="shared" si="49"/>
        <v>0</v>
      </c>
      <c r="GE65" s="14">
        <f t="shared" si="50"/>
        <v>0</v>
      </c>
      <c r="GF65" s="14">
        <f t="shared" si="51"/>
        <v>0</v>
      </c>
      <c r="GG65" s="14">
        <f t="shared" si="52"/>
        <v>0</v>
      </c>
      <c r="GH65" s="14">
        <f t="shared" si="53"/>
        <v>0</v>
      </c>
      <c r="GI65" s="14">
        <f t="shared" si="54"/>
        <v>0</v>
      </c>
      <c r="GJ65" s="14">
        <f t="shared" si="55"/>
        <v>0</v>
      </c>
      <c r="GM65" s="91">
        <v>59</v>
      </c>
      <c r="GN65" s="14">
        <f t="shared" si="56"/>
        <v>4</v>
      </c>
      <c r="GO65" s="14">
        <f t="shared" si="57"/>
        <v>1606006</v>
      </c>
      <c r="GP65" s="14" t="str">
        <f t="shared" si="58"/>
        <v>神器2-1 : 2级</v>
      </c>
      <c r="GQ65" s="14" t="s">
        <v>816</v>
      </c>
      <c r="GR65" s="14">
        <f t="shared" si="59"/>
        <v>14</v>
      </c>
      <c r="GS65" s="14" t="str">
        <f t="shared" si="60"/>
        <v>神器2-1</v>
      </c>
      <c r="GT65" s="14">
        <f t="shared" si="61"/>
        <v>7</v>
      </c>
    </row>
    <row r="66" spans="38:202" ht="16.5" x14ac:dyDescent="0.2">
      <c r="AL66" s="87">
        <v>4</v>
      </c>
      <c r="AM66" s="87">
        <v>1</v>
      </c>
      <c r="AN66" s="87">
        <v>22</v>
      </c>
      <c r="AO66" s="144">
        <f t="shared" si="8"/>
        <v>4422</v>
      </c>
      <c r="AP66" s="144" t="s">
        <v>1256</v>
      </c>
      <c r="AQ66" s="144" t="str">
        <f t="shared" si="9"/>
        <v>神器本-4-普通-1  神器1-3</v>
      </c>
      <c r="AR66" s="87">
        <v>3</v>
      </c>
      <c r="AS66" s="87" t="s">
        <v>323</v>
      </c>
      <c r="AT66" s="87">
        <v>1000</v>
      </c>
      <c r="AU66" s="87">
        <v>1</v>
      </c>
      <c r="AV66" s="87">
        <v>1</v>
      </c>
      <c r="AW66" s="87">
        <f t="shared" si="10"/>
        <v>2</v>
      </c>
      <c r="AX66" s="14">
        <f t="shared" si="11"/>
        <v>0.1</v>
      </c>
      <c r="AY66" s="14">
        <f t="shared" si="12"/>
        <v>3</v>
      </c>
      <c r="BG66" s="87">
        <v>60</v>
      </c>
      <c r="BH66" s="14" t="e">
        <f>INDEX(节奏总表!#REF!,新神器!BG66)</f>
        <v>#REF!</v>
      </c>
      <c r="BI66" s="14" t="e">
        <f t="shared" si="13"/>
        <v>#REF!</v>
      </c>
      <c r="BJ66" s="87">
        <v>3</v>
      </c>
      <c r="BK66" s="87">
        <v>5</v>
      </c>
      <c r="BL66" s="14">
        <f t="shared" si="79"/>
        <v>0</v>
      </c>
      <c r="BM66" s="14">
        <f t="shared" si="79"/>
        <v>0</v>
      </c>
      <c r="BN66" s="14">
        <f t="shared" si="79"/>
        <v>0</v>
      </c>
      <c r="BO66" s="14">
        <f t="shared" si="79"/>
        <v>0</v>
      </c>
      <c r="BP66" s="14">
        <f t="shared" si="79"/>
        <v>0</v>
      </c>
      <c r="BQ66" s="14">
        <f t="shared" si="79"/>
        <v>0</v>
      </c>
      <c r="BR66" s="14">
        <f t="shared" si="79"/>
        <v>0</v>
      </c>
      <c r="BS66" s="14">
        <f t="shared" si="79"/>
        <v>0</v>
      </c>
      <c r="BT66" s="14">
        <f t="shared" si="79"/>
        <v>0</v>
      </c>
      <c r="BU66" s="14">
        <f t="shared" si="79"/>
        <v>0</v>
      </c>
      <c r="BV66" s="14">
        <f t="shared" si="80"/>
        <v>0</v>
      </c>
      <c r="BW66" s="14">
        <f t="shared" si="80"/>
        <v>0</v>
      </c>
      <c r="BX66" s="14">
        <f t="shared" si="80"/>
        <v>0</v>
      </c>
      <c r="BY66" s="14">
        <f t="shared" si="80"/>
        <v>0</v>
      </c>
      <c r="BZ66" s="14">
        <f t="shared" si="80"/>
        <v>0</v>
      </c>
      <c r="CA66" s="14">
        <f t="shared" si="80"/>
        <v>0</v>
      </c>
      <c r="CB66" s="14">
        <f t="shared" si="80"/>
        <v>0</v>
      </c>
      <c r="CC66" s="14">
        <f t="shared" si="80"/>
        <v>0</v>
      </c>
      <c r="CD66" s="14">
        <f t="shared" si="80"/>
        <v>0</v>
      </c>
      <c r="CE66" s="14">
        <f t="shared" si="80"/>
        <v>0</v>
      </c>
      <c r="CF66" s="14">
        <f t="shared" si="81"/>
        <v>0</v>
      </c>
      <c r="CG66" s="14">
        <f t="shared" si="81"/>
        <v>0</v>
      </c>
      <c r="CH66" s="14">
        <f t="shared" si="81"/>
        <v>0</v>
      </c>
      <c r="CI66" s="14">
        <f t="shared" si="81"/>
        <v>0</v>
      </c>
      <c r="CJ66" s="14">
        <f t="shared" si="81"/>
        <v>0</v>
      </c>
      <c r="CK66" s="14">
        <f t="shared" si="81"/>
        <v>0</v>
      </c>
      <c r="CL66" s="14">
        <f t="shared" si="81"/>
        <v>0</v>
      </c>
      <c r="CM66" s="14">
        <f t="shared" si="81"/>
        <v>0</v>
      </c>
      <c r="CN66" s="14">
        <f t="shared" si="81"/>
        <v>0</v>
      </c>
      <c r="CO66" s="14">
        <f t="shared" si="81"/>
        <v>0</v>
      </c>
      <c r="CP66" s="14">
        <f t="shared" si="82"/>
        <v>0</v>
      </c>
      <c r="CQ66" s="14">
        <f t="shared" si="82"/>
        <v>0</v>
      </c>
      <c r="CR66" s="14">
        <f t="shared" si="82"/>
        <v>0</v>
      </c>
      <c r="CS66" s="14">
        <f t="shared" si="82"/>
        <v>0</v>
      </c>
      <c r="CT66" s="14">
        <f t="shared" si="82"/>
        <v>0</v>
      </c>
      <c r="CU66" s="14">
        <f t="shared" si="82"/>
        <v>0</v>
      </c>
      <c r="CV66" s="14">
        <f t="shared" si="82"/>
        <v>0</v>
      </c>
      <c r="CW66" s="14">
        <f t="shared" si="82"/>
        <v>0</v>
      </c>
      <c r="CX66" s="14">
        <f t="shared" si="82"/>
        <v>0</v>
      </c>
      <c r="CY66" s="14">
        <f t="shared" si="82"/>
        <v>0</v>
      </c>
      <c r="CZ66" s="14">
        <f t="shared" si="82"/>
        <v>0</v>
      </c>
      <c r="DA66" s="14">
        <f t="shared" si="82"/>
        <v>0</v>
      </c>
      <c r="DC66" s="14">
        <f>SUM(BL$7:BL66)</f>
        <v>0</v>
      </c>
      <c r="DD66" s="14">
        <f>SUM(BM$7:BM66)</f>
        <v>0</v>
      </c>
      <c r="DE66" s="14">
        <f>SUM(BN$7:BN66)</f>
        <v>0</v>
      </c>
      <c r="DF66" s="14">
        <f>SUM(BO$7:BO66)</f>
        <v>0</v>
      </c>
      <c r="DG66" s="14">
        <f>SUM(BP$7:BP66)</f>
        <v>0</v>
      </c>
      <c r="DH66" s="14">
        <f>SUM(BQ$7:BQ66)</f>
        <v>0</v>
      </c>
      <c r="DI66" s="14">
        <f>SUM(BR$7:BR66)</f>
        <v>0</v>
      </c>
      <c r="DJ66" s="14">
        <f>SUM(BS$7:BS66)</f>
        <v>0</v>
      </c>
      <c r="DK66" s="14">
        <f>SUM(BT$7:BT66)</f>
        <v>0</v>
      </c>
      <c r="DL66" s="14">
        <f>SUM(BU$7:BU66)</f>
        <v>0</v>
      </c>
      <c r="DM66" s="14">
        <f>SUM(BV$7:BV66)</f>
        <v>0</v>
      </c>
      <c r="DN66" s="14">
        <f>SUM(BW$7:BW66)</f>
        <v>0</v>
      </c>
      <c r="DO66" s="14">
        <f>SUM(BX$7:BX66)</f>
        <v>0</v>
      </c>
      <c r="DP66" s="14">
        <f>SUM(BY$7:BY66)</f>
        <v>0</v>
      </c>
      <c r="DQ66" s="14">
        <f>SUM(BZ$7:BZ66)</f>
        <v>0</v>
      </c>
      <c r="DR66" s="14">
        <f>SUM(CA$7:CA66)</f>
        <v>0</v>
      </c>
      <c r="DS66" s="14">
        <f>SUM(CB$7:CB66)</f>
        <v>0</v>
      </c>
      <c r="DT66" s="14">
        <f>SUM(CC$7:CC66)</f>
        <v>0</v>
      </c>
      <c r="DU66" s="14">
        <f>SUM(CD$7:CD66)</f>
        <v>0</v>
      </c>
      <c r="DV66" s="14">
        <f>SUM(CE$7:CE66)</f>
        <v>0</v>
      </c>
      <c r="DW66" s="14">
        <f>SUM(CF$7:CF66)</f>
        <v>0</v>
      </c>
      <c r="DX66" s="14">
        <f>SUM(CG$7:CG66)</f>
        <v>0</v>
      </c>
      <c r="DY66" s="14">
        <f>SUM(CH$7:CH66)</f>
        <v>0</v>
      </c>
      <c r="DZ66" s="14">
        <f>SUM(CI$7:CI66)</f>
        <v>0</v>
      </c>
      <c r="EA66" s="14">
        <f>SUM(CJ$7:CJ66)</f>
        <v>0</v>
      </c>
      <c r="EB66" s="14">
        <f>SUM(CK$7:CK66)</f>
        <v>0</v>
      </c>
      <c r="EC66" s="14">
        <f>SUM(CL$7:CL66)</f>
        <v>0</v>
      </c>
      <c r="ED66" s="14">
        <f>SUM(CM$7:CM66)</f>
        <v>0</v>
      </c>
      <c r="EE66" s="14">
        <f>SUM(CN$7:CN66)</f>
        <v>0</v>
      </c>
      <c r="EF66" s="14">
        <f>SUM(CO$7:CO66)</f>
        <v>0</v>
      </c>
      <c r="EG66" s="14">
        <f>SUM(CP$7:CP66)</f>
        <v>0</v>
      </c>
      <c r="EH66" s="14">
        <f>SUM(CQ$7:CQ66)</f>
        <v>0</v>
      </c>
      <c r="EI66" s="14">
        <f>SUM(CR$7:CR66)</f>
        <v>0</v>
      </c>
      <c r="EJ66" s="14">
        <f>SUM(CS$7:CS66)</f>
        <v>0</v>
      </c>
      <c r="EK66" s="14">
        <f>SUM(CT$7:CT66)</f>
        <v>0</v>
      </c>
      <c r="EL66" s="14">
        <f>SUM(CU$7:CU66)</f>
        <v>0</v>
      </c>
      <c r="EM66" s="14">
        <f>SUM(CV$7:CV66)</f>
        <v>0</v>
      </c>
      <c r="EN66" s="14">
        <f>SUM(CW$7:CW66)</f>
        <v>0</v>
      </c>
      <c r="EO66" s="14">
        <f>SUM(CX$7:CX66)</f>
        <v>0</v>
      </c>
      <c r="EP66" s="14">
        <f>SUM(CY$7:CY66)</f>
        <v>0</v>
      </c>
      <c r="EQ66" s="14">
        <f>SUM(CZ$7:CZ66)</f>
        <v>0</v>
      </c>
      <c r="ER66" s="14">
        <f>SUM(DA$7:DA66)</f>
        <v>0</v>
      </c>
      <c r="EU66" s="14">
        <f t="shared" si="14"/>
        <v>0</v>
      </c>
      <c r="EV66" s="14">
        <f t="shared" si="15"/>
        <v>0</v>
      </c>
      <c r="EW66" s="14">
        <f t="shared" si="16"/>
        <v>0</v>
      </c>
      <c r="EX66" s="14">
        <f t="shared" si="17"/>
        <v>0</v>
      </c>
      <c r="EY66" s="14">
        <f t="shared" si="18"/>
        <v>0</v>
      </c>
      <c r="EZ66" s="14">
        <f t="shared" si="19"/>
        <v>0</v>
      </c>
      <c r="FA66" s="14">
        <f t="shared" si="20"/>
        <v>0</v>
      </c>
      <c r="FB66" s="14">
        <f t="shared" si="21"/>
        <v>0</v>
      </c>
      <c r="FC66" s="14">
        <f t="shared" si="22"/>
        <v>0</v>
      </c>
      <c r="FD66" s="14">
        <f t="shared" si="23"/>
        <v>0</v>
      </c>
      <c r="FE66" s="14">
        <f t="shared" si="24"/>
        <v>0</v>
      </c>
      <c r="FF66" s="14">
        <f t="shared" si="25"/>
        <v>0</v>
      </c>
      <c r="FG66" s="14">
        <f t="shared" si="26"/>
        <v>0</v>
      </c>
      <c r="FH66" s="14">
        <f t="shared" si="27"/>
        <v>0</v>
      </c>
      <c r="FI66" s="14">
        <f t="shared" si="28"/>
        <v>0</v>
      </c>
      <c r="FJ66" s="14">
        <f t="shared" si="29"/>
        <v>0</v>
      </c>
      <c r="FK66" s="14">
        <f t="shared" si="30"/>
        <v>0</v>
      </c>
      <c r="FL66" s="14">
        <f t="shared" si="31"/>
        <v>0</v>
      </c>
      <c r="FM66" s="14">
        <f t="shared" si="32"/>
        <v>0</v>
      </c>
      <c r="FN66" s="14">
        <f t="shared" si="33"/>
        <v>0</v>
      </c>
      <c r="FO66" s="14">
        <f t="shared" si="34"/>
        <v>0</v>
      </c>
      <c r="FP66" s="14">
        <f t="shared" si="35"/>
        <v>0</v>
      </c>
      <c r="FQ66" s="14">
        <f t="shared" si="36"/>
        <v>0</v>
      </c>
      <c r="FR66" s="14">
        <f t="shared" si="37"/>
        <v>0</v>
      </c>
      <c r="FS66" s="14">
        <f t="shared" si="38"/>
        <v>0</v>
      </c>
      <c r="FT66" s="14">
        <f t="shared" si="39"/>
        <v>0</v>
      </c>
      <c r="FU66" s="14">
        <f t="shared" si="40"/>
        <v>0</v>
      </c>
      <c r="FV66" s="14">
        <f t="shared" si="41"/>
        <v>0</v>
      </c>
      <c r="FW66" s="14">
        <f t="shared" si="42"/>
        <v>0</v>
      </c>
      <c r="FX66" s="14">
        <f t="shared" si="43"/>
        <v>0</v>
      </c>
      <c r="FY66" s="14">
        <f t="shared" si="44"/>
        <v>0</v>
      </c>
      <c r="FZ66" s="14">
        <f t="shared" si="45"/>
        <v>0</v>
      </c>
      <c r="GA66" s="14">
        <f t="shared" si="46"/>
        <v>0</v>
      </c>
      <c r="GB66" s="14">
        <f t="shared" si="47"/>
        <v>0</v>
      </c>
      <c r="GC66" s="14">
        <f t="shared" si="48"/>
        <v>0</v>
      </c>
      <c r="GD66" s="14">
        <f t="shared" si="49"/>
        <v>0</v>
      </c>
      <c r="GE66" s="14">
        <f t="shared" si="50"/>
        <v>0</v>
      </c>
      <c r="GF66" s="14">
        <f t="shared" si="51"/>
        <v>0</v>
      </c>
      <c r="GG66" s="14">
        <f t="shared" si="52"/>
        <v>0</v>
      </c>
      <c r="GH66" s="14">
        <f t="shared" si="53"/>
        <v>0</v>
      </c>
      <c r="GI66" s="14">
        <f t="shared" si="54"/>
        <v>0</v>
      </c>
      <c r="GJ66" s="14">
        <f t="shared" si="55"/>
        <v>0</v>
      </c>
      <c r="GM66" s="91">
        <v>60</v>
      </c>
      <c r="GN66" s="14">
        <f t="shared" si="56"/>
        <v>4</v>
      </c>
      <c r="GO66" s="14">
        <f t="shared" si="57"/>
        <v>1606006</v>
      </c>
      <c r="GP66" s="14" t="str">
        <f t="shared" si="58"/>
        <v>神器2-1 : 3级</v>
      </c>
      <c r="GQ66" s="14" t="s">
        <v>816</v>
      </c>
      <c r="GR66" s="14">
        <f t="shared" si="59"/>
        <v>15</v>
      </c>
      <c r="GS66" s="14" t="str">
        <f t="shared" si="60"/>
        <v>神器2-1</v>
      </c>
      <c r="GT66" s="14">
        <f t="shared" si="61"/>
        <v>7</v>
      </c>
    </row>
    <row r="67" spans="38:202" ht="16.5" x14ac:dyDescent="0.2">
      <c r="AL67" s="87">
        <v>4</v>
      </c>
      <c r="AM67" s="87">
        <v>1</v>
      </c>
      <c r="AN67" s="87">
        <v>22</v>
      </c>
      <c r="AO67" s="144">
        <f t="shared" si="8"/>
        <v>4422</v>
      </c>
      <c r="AP67" s="144" t="s">
        <v>1256</v>
      </c>
      <c r="AQ67" s="144" t="str">
        <f t="shared" si="9"/>
        <v>神器本-4-普通-1  神器2-1</v>
      </c>
      <c r="AR67" s="87">
        <v>4</v>
      </c>
      <c r="AS67" s="87" t="s">
        <v>324</v>
      </c>
      <c r="AT67" s="87">
        <v>1500</v>
      </c>
      <c r="AU67" s="87">
        <v>1</v>
      </c>
      <c r="AV67" s="87">
        <v>1</v>
      </c>
      <c r="AW67" s="87">
        <f t="shared" si="10"/>
        <v>1</v>
      </c>
      <c r="AX67" s="14">
        <f t="shared" si="11"/>
        <v>0.15</v>
      </c>
      <c r="AY67" s="14">
        <f t="shared" si="12"/>
        <v>2.25</v>
      </c>
      <c r="GM67" s="91">
        <v>61</v>
      </c>
      <c r="GN67" s="14">
        <f t="shared" si="56"/>
        <v>5</v>
      </c>
      <c r="GO67" s="14">
        <f t="shared" si="57"/>
        <v>1606007</v>
      </c>
      <c r="GP67" s="14" t="str">
        <f t="shared" si="58"/>
        <v>神器2-2 : 4级</v>
      </c>
      <c r="GQ67" s="14" t="s">
        <v>816</v>
      </c>
      <c r="GR67" s="14">
        <f t="shared" si="59"/>
        <v>1</v>
      </c>
      <c r="GS67" s="14" t="str">
        <f t="shared" si="60"/>
        <v>神器2-2</v>
      </c>
      <c r="GT67" s="14">
        <f t="shared" si="61"/>
        <v>1</v>
      </c>
    </row>
    <row r="68" spans="38:202" ht="16.5" x14ac:dyDescent="0.2">
      <c r="AL68" s="87">
        <v>4</v>
      </c>
      <c r="AM68" s="87">
        <v>1</v>
      </c>
      <c r="AN68" s="87">
        <v>22</v>
      </c>
      <c r="AO68" s="144">
        <f t="shared" si="8"/>
        <v>4422</v>
      </c>
      <c r="AP68" s="144" t="s">
        <v>1256</v>
      </c>
      <c r="AQ68" s="144" t="str">
        <f t="shared" si="9"/>
        <v>神器本-4-普通-1  神器2-2</v>
      </c>
      <c r="AR68" s="87">
        <v>5</v>
      </c>
      <c r="AS68" s="87" t="s">
        <v>325</v>
      </c>
      <c r="AT68" s="87">
        <v>1500</v>
      </c>
      <c r="AU68" s="87">
        <v>1</v>
      </c>
      <c r="AV68" s="87">
        <v>1</v>
      </c>
      <c r="AW68" s="87">
        <f t="shared" si="10"/>
        <v>1</v>
      </c>
      <c r="AX68" s="14">
        <f t="shared" si="11"/>
        <v>0.15</v>
      </c>
      <c r="AY68" s="14">
        <f t="shared" si="12"/>
        <v>2.25</v>
      </c>
      <c r="GM68" s="91">
        <v>62</v>
      </c>
      <c r="GN68" s="14">
        <f t="shared" si="56"/>
        <v>5</v>
      </c>
      <c r="GO68" s="14">
        <f t="shared" si="57"/>
        <v>1606007</v>
      </c>
      <c r="GP68" s="14" t="str">
        <f t="shared" si="58"/>
        <v>神器2-2 : 5级</v>
      </c>
      <c r="GQ68" s="14" t="s">
        <v>816</v>
      </c>
      <c r="GR68" s="14">
        <f t="shared" si="59"/>
        <v>2</v>
      </c>
      <c r="GS68" s="14" t="str">
        <f t="shared" si="60"/>
        <v>神器2-2</v>
      </c>
      <c r="GT68" s="14">
        <f t="shared" si="61"/>
        <v>1</v>
      </c>
    </row>
    <row r="69" spans="38:202" ht="16.5" x14ac:dyDescent="0.2">
      <c r="AL69" s="87">
        <v>4</v>
      </c>
      <c r="AM69" s="87">
        <v>1</v>
      </c>
      <c r="AN69" s="87">
        <v>22</v>
      </c>
      <c r="AO69" s="144">
        <f t="shared" si="8"/>
        <v>4422</v>
      </c>
      <c r="AP69" s="144" t="s">
        <v>1256</v>
      </c>
      <c r="AQ69" s="144" t="str">
        <f t="shared" si="9"/>
        <v>神器本-4-普通-1  神器2-3</v>
      </c>
      <c r="AR69" s="87">
        <v>6</v>
      </c>
      <c r="AS69" s="87" t="s">
        <v>326</v>
      </c>
      <c r="AT69" s="87">
        <v>1000</v>
      </c>
      <c r="AU69" s="87">
        <v>1</v>
      </c>
      <c r="AV69" s="87">
        <v>1</v>
      </c>
      <c r="AW69" s="87">
        <f t="shared" si="10"/>
        <v>2</v>
      </c>
      <c r="AX69" s="14">
        <f t="shared" si="11"/>
        <v>0.1</v>
      </c>
      <c r="AY69" s="14">
        <f t="shared" si="12"/>
        <v>4.5</v>
      </c>
      <c r="GM69" s="91">
        <v>63</v>
      </c>
      <c r="GN69" s="14">
        <f t="shared" si="56"/>
        <v>5</v>
      </c>
      <c r="GO69" s="14">
        <f t="shared" si="57"/>
        <v>1606007</v>
      </c>
      <c r="GP69" s="14" t="str">
        <f t="shared" si="58"/>
        <v>神器2-2 : 6级</v>
      </c>
      <c r="GQ69" s="14" t="s">
        <v>816</v>
      </c>
      <c r="GR69" s="14">
        <f t="shared" si="59"/>
        <v>3</v>
      </c>
      <c r="GS69" s="14" t="str">
        <f t="shared" si="60"/>
        <v>神器2-2</v>
      </c>
      <c r="GT69" s="14">
        <f t="shared" si="61"/>
        <v>1</v>
      </c>
    </row>
    <row r="70" spans="38:202" ht="16.5" x14ac:dyDescent="0.2">
      <c r="AL70" s="87">
        <v>4</v>
      </c>
      <c r="AM70" s="87">
        <v>1</v>
      </c>
      <c r="AN70" s="87">
        <v>22</v>
      </c>
      <c r="AO70" s="144">
        <f t="shared" si="8"/>
        <v>4422</v>
      </c>
      <c r="AP70" s="144" t="s">
        <v>1256</v>
      </c>
      <c r="AQ70" s="144" t="str">
        <f t="shared" si="9"/>
        <v>神器本-4-普通-1  神器2-4</v>
      </c>
      <c r="AR70" s="87">
        <v>7</v>
      </c>
      <c r="AS70" s="87" t="s">
        <v>327</v>
      </c>
      <c r="AT70" s="87">
        <v>1000</v>
      </c>
      <c r="AU70" s="87">
        <v>1</v>
      </c>
      <c r="AV70" s="87">
        <v>1</v>
      </c>
      <c r="AW70" s="87">
        <f t="shared" si="10"/>
        <v>2</v>
      </c>
      <c r="AX70" s="14">
        <f t="shared" si="11"/>
        <v>0.1</v>
      </c>
      <c r="AY70" s="14">
        <f t="shared" si="12"/>
        <v>4.5</v>
      </c>
      <c r="GM70" s="91">
        <v>64</v>
      </c>
      <c r="GN70" s="14">
        <f t="shared" si="56"/>
        <v>5</v>
      </c>
      <c r="GO70" s="14">
        <f t="shared" si="57"/>
        <v>1606007</v>
      </c>
      <c r="GP70" s="14" t="str">
        <f t="shared" si="58"/>
        <v>神器2-2 : 7级</v>
      </c>
      <c r="GQ70" s="14" t="s">
        <v>816</v>
      </c>
      <c r="GR70" s="14">
        <f t="shared" si="59"/>
        <v>4</v>
      </c>
      <c r="GS70" s="14" t="str">
        <f t="shared" si="60"/>
        <v>神器2-2</v>
      </c>
      <c r="GT70" s="14">
        <f t="shared" si="61"/>
        <v>2</v>
      </c>
    </row>
    <row r="71" spans="38:202" ht="16.5" x14ac:dyDescent="0.2">
      <c r="AL71" s="87">
        <v>4</v>
      </c>
      <c r="AM71" s="87">
        <v>1</v>
      </c>
      <c r="AN71" s="87">
        <v>22</v>
      </c>
      <c r="AO71" s="144">
        <f t="shared" si="8"/>
        <v>4422</v>
      </c>
      <c r="AP71" s="144" t="s">
        <v>1256</v>
      </c>
      <c r="AQ71" s="144" t="str">
        <f t="shared" si="9"/>
        <v>神器本-4-普通-1  神器2-5</v>
      </c>
      <c r="AR71" s="87">
        <v>8</v>
      </c>
      <c r="AS71" s="87" t="s">
        <v>328</v>
      </c>
      <c r="AT71" s="87">
        <v>1000</v>
      </c>
      <c r="AU71" s="87">
        <v>1</v>
      </c>
      <c r="AV71" s="87">
        <v>1</v>
      </c>
      <c r="AW71" s="87">
        <f t="shared" si="10"/>
        <v>3</v>
      </c>
      <c r="AX71" s="14">
        <f t="shared" si="11"/>
        <v>0.1</v>
      </c>
      <c r="AY71" s="14">
        <f t="shared" si="12"/>
        <v>10.5</v>
      </c>
      <c r="GM71" s="91">
        <v>65</v>
      </c>
      <c r="GN71" s="14">
        <f t="shared" si="56"/>
        <v>5</v>
      </c>
      <c r="GO71" s="14">
        <f t="shared" si="57"/>
        <v>1606007</v>
      </c>
      <c r="GP71" s="14" t="str">
        <f t="shared" si="58"/>
        <v>神器2-2 : 8级</v>
      </c>
      <c r="GQ71" s="14" t="s">
        <v>816</v>
      </c>
      <c r="GR71" s="14">
        <f t="shared" si="59"/>
        <v>5</v>
      </c>
      <c r="GS71" s="14" t="str">
        <f t="shared" si="60"/>
        <v>神器2-2</v>
      </c>
      <c r="GT71" s="14">
        <f t="shared" si="61"/>
        <v>2</v>
      </c>
    </row>
    <row r="72" spans="38:202" ht="16.5" x14ac:dyDescent="0.2">
      <c r="AL72" s="87">
        <v>4</v>
      </c>
      <c r="AM72" s="87">
        <v>1</v>
      </c>
      <c r="AN72" s="87">
        <v>23</v>
      </c>
      <c r="AO72" s="144">
        <f t="shared" ref="AO72:AO135" si="83">4400+AN72</f>
        <v>4423</v>
      </c>
      <c r="AP72" s="144" t="s">
        <v>1257</v>
      </c>
      <c r="AQ72" s="144" t="str">
        <f t="shared" ref="AQ72:AQ135" si="84">AP72&amp;"  "&amp;AS72</f>
        <v>神器本-4-普通-2  神器4-1</v>
      </c>
      <c r="AR72" s="87">
        <v>15</v>
      </c>
      <c r="AS72" s="87" t="s">
        <v>335</v>
      </c>
      <c r="AT72" s="87">
        <v>5000</v>
      </c>
      <c r="AU72" s="87">
        <v>1</v>
      </c>
      <c r="AV72" s="87">
        <v>3</v>
      </c>
      <c r="AW72" s="87">
        <f t="shared" ref="AW72:AW135" si="85">INDEX($AH$7:$AH$48,AR72)</f>
        <v>1</v>
      </c>
      <c r="AX72" s="14">
        <f t="shared" ref="AX72:AX135" si="86">(AU72+AV72)/2*AT72/10000</f>
        <v>1</v>
      </c>
      <c r="AY72" s="14">
        <f t="shared" ref="AY72:AY135" si="87">(AU72+AV72)/2*AT72/10000*INDEX($AI$7:$AI$48,AR72)</f>
        <v>25</v>
      </c>
      <c r="GM72" s="91">
        <v>66</v>
      </c>
      <c r="GN72" s="14">
        <f t="shared" ref="GN72:GN135" si="88">MATCH(GM72-1,$R$7:$R$49,1)</f>
        <v>5</v>
      </c>
      <c r="GO72" s="14">
        <f t="shared" ref="GO72:GO135" si="89">INDEX($S$8:$S$49,GN72)</f>
        <v>1606007</v>
      </c>
      <c r="GP72" s="14" t="str">
        <f t="shared" ref="GP72:GP135" si="90">INDEX($T$8:$T$49,GN72)&amp;" : "&amp;AR72&amp;"级"</f>
        <v>神器2-2 : 15级</v>
      </c>
      <c r="GQ72" s="14" t="s">
        <v>816</v>
      </c>
      <c r="GR72" s="14">
        <f t="shared" ref="GR72:GR135" si="91">GM72-INDEX($R$7:$R$49,GN72)</f>
        <v>6</v>
      </c>
      <c r="GS72" s="14" t="str">
        <f t="shared" ref="GS72:GS135" si="92">INDEX($T$8:$T$49,GN72)</f>
        <v>神器2-2</v>
      </c>
      <c r="GT72" s="14">
        <f t="shared" ref="GT72:GT135" si="93">INDEX($K$8:$K$28,GR72)</f>
        <v>2</v>
      </c>
    </row>
    <row r="73" spans="38:202" ht="16.5" x14ac:dyDescent="0.2">
      <c r="AL73" s="87">
        <v>4</v>
      </c>
      <c r="AM73" s="87">
        <v>1</v>
      </c>
      <c r="AN73" s="87">
        <v>23</v>
      </c>
      <c r="AO73" s="144">
        <f t="shared" si="83"/>
        <v>4423</v>
      </c>
      <c r="AP73" s="144" t="s">
        <v>1257</v>
      </c>
      <c r="AQ73" s="144" t="str">
        <f t="shared" si="84"/>
        <v>神器本-4-普通-2  神器4-2</v>
      </c>
      <c r="AR73" s="87">
        <v>16</v>
      </c>
      <c r="AS73" s="87" t="s">
        <v>336</v>
      </c>
      <c r="AT73" s="87">
        <v>5000</v>
      </c>
      <c r="AU73" s="87">
        <v>1</v>
      </c>
      <c r="AV73" s="87">
        <v>3</v>
      </c>
      <c r="AW73" s="87">
        <f t="shared" si="85"/>
        <v>1</v>
      </c>
      <c r="AX73" s="14">
        <f t="shared" si="86"/>
        <v>1</v>
      </c>
      <c r="AY73" s="14">
        <f t="shared" si="87"/>
        <v>25</v>
      </c>
      <c r="GM73" s="91">
        <v>67</v>
      </c>
      <c r="GN73" s="14">
        <f t="shared" si="88"/>
        <v>5</v>
      </c>
      <c r="GO73" s="14">
        <f t="shared" si="89"/>
        <v>1606007</v>
      </c>
      <c r="GP73" s="14" t="str">
        <f t="shared" si="90"/>
        <v>神器2-2 : 16级</v>
      </c>
      <c r="GQ73" s="14" t="s">
        <v>816</v>
      </c>
      <c r="GR73" s="14">
        <f t="shared" si="91"/>
        <v>7</v>
      </c>
      <c r="GS73" s="14" t="str">
        <f t="shared" si="92"/>
        <v>神器2-2</v>
      </c>
      <c r="GT73" s="14">
        <f t="shared" si="93"/>
        <v>3</v>
      </c>
    </row>
    <row r="74" spans="38:202" ht="16.5" x14ac:dyDescent="0.2">
      <c r="AL74" s="87">
        <v>4</v>
      </c>
      <c r="AM74" s="87">
        <v>1</v>
      </c>
      <c r="AN74" s="87">
        <v>24</v>
      </c>
      <c r="AO74" s="144">
        <f t="shared" si="83"/>
        <v>4424</v>
      </c>
      <c r="AP74" s="144" t="s">
        <v>1258</v>
      </c>
      <c r="AQ74" s="144" t="str">
        <f t="shared" si="84"/>
        <v>神器本-4-普通-3  神器4-3</v>
      </c>
      <c r="AR74" s="87">
        <v>17</v>
      </c>
      <c r="AS74" s="87" t="s">
        <v>337</v>
      </c>
      <c r="AT74" s="87">
        <v>3500</v>
      </c>
      <c r="AU74" s="87">
        <v>1</v>
      </c>
      <c r="AV74" s="87">
        <v>2</v>
      </c>
      <c r="AW74" s="87">
        <f t="shared" si="85"/>
        <v>2</v>
      </c>
      <c r="AX74" s="14">
        <f t="shared" si="86"/>
        <v>0.52500000000000002</v>
      </c>
      <c r="AY74" s="14">
        <f t="shared" si="87"/>
        <v>39.375</v>
      </c>
      <c r="GM74" s="91">
        <v>68</v>
      </c>
      <c r="GN74" s="14">
        <f t="shared" si="88"/>
        <v>5</v>
      </c>
      <c r="GO74" s="14">
        <f t="shared" si="89"/>
        <v>1606007</v>
      </c>
      <c r="GP74" s="14" t="str">
        <f t="shared" si="90"/>
        <v>神器2-2 : 17级</v>
      </c>
      <c r="GQ74" s="14" t="s">
        <v>816</v>
      </c>
      <c r="GR74" s="14">
        <f t="shared" si="91"/>
        <v>8</v>
      </c>
      <c r="GS74" s="14" t="str">
        <f t="shared" si="92"/>
        <v>神器2-2</v>
      </c>
      <c r="GT74" s="14">
        <f t="shared" si="93"/>
        <v>3</v>
      </c>
    </row>
    <row r="75" spans="38:202" ht="16.5" x14ac:dyDescent="0.2">
      <c r="AL75" s="87">
        <v>4</v>
      </c>
      <c r="AM75" s="87">
        <v>1</v>
      </c>
      <c r="AN75" s="87">
        <v>24</v>
      </c>
      <c r="AO75" s="144">
        <f t="shared" si="83"/>
        <v>4424</v>
      </c>
      <c r="AP75" s="144" t="s">
        <v>1258</v>
      </c>
      <c r="AQ75" s="144" t="str">
        <f t="shared" si="84"/>
        <v>神器本-4-普通-3  神器4-4</v>
      </c>
      <c r="AR75" s="87">
        <v>18</v>
      </c>
      <c r="AS75" s="87" t="s">
        <v>338</v>
      </c>
      <c r="AT75" s="87">
        <v>3500</v>
      </c>
      <c r="AU75" s="87">
        <v>1</v>
      </c>
      <c r="AV75" s="87">
        <v>2</v>
      </c>
      <c r="AW75" s="87">
        <f t="shared" si="85"/>
        <v>2</v>
      </c>
      <c r="AX75" s="14">
        <f t="shared" si="86"/>
        <v>0.52500000000000002</v>
      </c>
      <c r="AY75" s="14">
        <f t="shared" si="87"/>
        <v>39.375</v>
      </c>
      <c r="GM75" s="91">
        <v>69</v>
      </c>
      <c r="GN75" s="14">
        <f t="shared" si="88"/>
        <v>5</v>
      </c>
      <c r="GO75" s="14">
        <f t="shared" si="89"/>
        <v>1606007</v>
      </c>
      <c r="GP75" s="14" t="str">
        <f t="shared" si="90"/>
        <v>神器2-2 : 18级</v>
      </c>
      <c r="GQ75" s="14" t="s">
        <v>816</v>
      </c>
      <c r="GR75" s="14">
        <f t="shared" si="91"/>
        <v>9</v>
      </c>
      <c r="GS75" s="14" t="str">
        <f t="shared" si="92"/>
        <v>神器2-2</v>
      </c>
      <c r="GT75" s="14">
        <f t="shared" si="93"/>
        <v>3</v>
      </c>
    </row>
    <row r="76" spans="38:202" ht="16.5" x14ac:dyDescent="0.2">
      <c r="AL76" s="87">
        <v>4</v>
      </c>
      <c r="AM76" s="87">
        <v>2</v>
      </c>
      <c r="AN76" s="87">
        <v>25</v>
      </c>
      <c r="AO76" s="144">
        <f t="shared" si="83"/>
        <v>4425</v>
      </c>
      <c r="AP76" s="144" t="s">
        <v>1259</v>
      </c>
      <c r="AQ76" s="144" t="str">
        <f t="shared" si="84"/>
        <v>神器本-4-困难-1  神器1-1</v>
      </c>
      <c r="AR76" s="87">
        <v>1</v>
      </c>
      <c r="AS76" s="87" t="s">
        <v>321</v>
      </c>
      <c r="AT76" s="87">
        <v>1500</v>
      </c>
      <c r="AU76" s="87">
        <v>1</v>
      </c>
      <c r="AV76" s="87">
        <v>1</v>
      </c>
      <c r="AW76" s="87">
        <f t="shared" si="85"/>
        <v>1</v>
      </c>
      <c r="AX76" s="14">
        <f t="shared" si="86"/>
        <v>0.15</v>
      </c>
      <c r="AY76" s="14">
        <f t="shared" si="87"/>
        <v>1.5</v>
      </c>
      <c r="GM76" s="91">
        <v>70</v>
      </c>
      <c r="GN76" s="14">
        <f t="shared" si="88"/>
        <v>5</v>
      </c>
      <c r="GO76" s="14">
        <f t="shared" si="89"/>
        <v>1606007</v>
      </c>
      <c r="GP76" s="14" t="str">
        <f t="shared" si="90"/>
        <v>神器2-2 : 1级</v>
      </c>
      <c r="GQ76" s="14" t="s">
        <v>816</v>
      </c>
      <c r="GR76" s="14">
        <f t="shared" si="91"/>
        <v>10</v>
      </c>
      <c r="GS76" s="14" t="str">
        <f t="shared" si="92"/>
        <v>神器2-2</v>
      </c>
      <c r="GT76" s="14">
        <f t="shared" si="93"/>
        <v>5</v>
      </c>
    </row>
    <row r="77" spans="38:202" ht="16.5" x14ac:dyDescent="0.2">
      <c r="AL77" s="87">
        <v>4</v>
      </c>
      <c r="AM77" s="87">
        <v>2</v>
      </c>
      <c r="AN77" s="87">
        <v>25</v>
      </c>
      <c r="AO77" s="144">
        <f t="shared" si="83"/>
        <v>4425</v>
      </c>
      <c r="AP77" s="144" t="s">
        <v>1259</v>
      </c>
      <c r="AQ77" s="144" t="str">
        <f t="shared" si="84"/>
        <v>神器本-4-困难-1  神器1-2</v>
      </c>
      <c r="AR77" s="87">
        <v>2</v>
      </c>
      <c r="AS77" s="87" t="s">
        <v>322</v>
      </c>
      <c r="AT77" s="87">
        <v>1500</v>
      </c>
      <c r="AU77" s="87">
        <v>1</v>
      </c>
      <c r="AV77" s="87">
        <v>1</v>
      </c>
      <c r="AW77" s="87">
        <f t="shared" si="85"/>
        <v>1</v>
      </c>
      <c r="AX77" s="14">
        <f t="shared" si="86"/>
        <v>0.15</v>
      </c>
      <c r="AY77" s="14">
        <f t="shared" si="87"/>
        <v>1.5</v>
      </c>
      <c r="GM77" s="91">
        <v>71</v>
      </c>
      <c r="GN77" s="14">
        <f t="shared" si="88"/>
        <v>5</v>
      </c>
      <c r="GO77" s="14">
        <f t="shared" si="89"/>
        <v>1606007</v>
      </c>
      <c r="GP77" s="14" t="str">
        <f t="shared" si="90"/>
        <v>神器2-2 : 2级</v>
      </c>
      <c r="GQ77" s="14" t="s">
        <v>816</v>
      </c>
      <c r="GR77" s="14">
        <f t="shared" si="91"/>
        <v>11</v>
      </c>
      <c r="GS77" s="14" t="str">
        <f t="shared" si="92"/>
        <v>神器2-2</v>
      </c>
      <c r="GT77" s="14">
        <f t="shared" si="93"/>
        <v>5</v>
      </c>
    </row>
    <row r="78" spans="38:202" ht="16.5" x14ac:dyDescent="0.2">
      <c r="AL78" s="87">
        <v>4</v>
      </c>
      <c r="AM78" s="87">
        <v>2</v>
      </c>
      <c r="AN78" s="87">
        <v>25</v>
      </c>
      <c r="AO78" s="144">
        <f t="shared" si="83"/>
        <v>4425</v>
      </c>
      <c r="AP78" s="144" t="s">
        <v>1259</v>
      </c>
      <c r="AQ78" s="144" t="str">
        <f t="shared" si="84"/>
        <v>神器本-4-困难-1  神器1-3</v>
      </c>
      <c r="AR78" s="87">
        <v>3</v>
      </c>
      <c r="AS78" s="87" t="s">
        <v>323</v>
      </c>
      <c r="AT78" s="87">
        <v>1000</v>
      </c>
      <c r="AU78" s="87">
        <v>1</v>
      </c>
      <c r="AV78" s="87">
        <v>1</v>
      </c>
      <c r="AW78" s="87">
        <f t="shared" si="85"/>
        <v>2</v>
      </c>
      <c r="AX78" s="14">
        <f t="shared" si="86"/>
        <v>0.1</v>
      </c>
      <c r="AY78" s="14">
        <f t="shared" si="87"/>
        <v>3</v>
      </c>
      <c r="GM78" s="91">
        <v>72</v>
      </c>
      <c r="GN78" s="14">
        <f t="shared" si="88"/>
        <v>5</v>
      </c>
      <c r="GO78" s="14">
        <f t="shared" si="89"/>
        <v>1606007</v>
      </c>
      <c r="GP78" s="14" t="str">
        <f t="shared" si="90"/>
        <v>神器2-2 : 3级</v>
      </c>
      <c r="GQ78" s="14" t="s">
        <v>816</v>
      </c>
      <c r="GR78" s="14">
        <f t="shared" si="91"/>
        <v>12</v>
      </c>
      <c r="GS78" s="14" t="str">
        <f t="shared" si="92"/>
        <v>神器2-2</v>
      </c>
      <c r="GT78" s="14">
        <f t="shared" si="93"/>
        <v>6</v>
      </c>
    </row>
    <row r="79" spans="38:202" ht="16.5" x14ac:dyDescent="0.2">
      <c r="AL79" s="87">
        <v>4</v>
      </c>
      <c r="AM79" s="87">
        <v>2</v>
      </c>
      <c r="AN79" s="87">
        <v>25</v>
      </c>
      <c r="AO79" s="144">
        <f t="shared" si="83"/>
        <v>4425</v>
      </c>
      <c r="AP79" s="144" t="s">
        <v>1259</v>
      </c>
      <c r="AQ79" s="144" t="str">
        <f t="shared" si="84"/>
        <v>神器本-4-困难-1  神器2-1</v>
      </c>
      <c r="AR79" s="87">
        <v>4</v>
      </c>
      <c r="AS79" s="87" t="s">
        <v>324</v>
      </c>
      <c r="AT79" s="87">
        <v>1500</v>
      </c>
      <c r="AU79" s="87">
        <v>1</v>
      </c>
      <c r="AV79" s="87">
        <v>1</v>
      </c>
      <c r="AW79" s="87">
        <f t="shared" si="85"/>
        <v>1</v>
      </c>
      <c r="AX79" s="14">
        <f t="shared" si="86"/>
        <v>0.15</v>
      </c>
      <c r="AY79" s="14">
        <f t="shared" si="87"/>
        <v>2.25</v>
      </c>
      <c r="GM79" s="91">
        <v>73</v>
      </c>
      <c r="GN79" s="14">
        <f t="shared" si="88"/>
        <v>5</v>
      </c>
      <c r="GO79" s="14">
        <f t="shared" si="89"/>
        <v>1606007</v>
      </c>
      <c r="GP79" s="14" t="str">
        <f t="shared" si="90"/>
        <v>神器2-2 : 4级</v>
      </c>
      <c r="GQ79" s="14" t="s">
        <v>816</v>
      </c>
      <c r="GR79" s="14">
        <f t="shared" si="91"/>
        <v>13</v>
      </c>
      <c r="GS79" s="14" t="str">
        <f t="shared" si="92"/>
        <v>神器2-2</v>
      </c>
      <c r="GT79" s="14">
        <f t="shared" si="93"/>
        <v>7</v>
      </c>
    </row>
    <row r="80" spans="38:202" ht="16.5" x14ac:dyDescent="0.2">
      <c r="AL80" s="87">
        <v>4</v>
      </c>
      <c r="AM80" s="87">
        <v>2</v>
      </c>
      <c r="AN80" s="87">
        <v>25</v>
      </c>
      <c r="AO80" s="144">
        <f t="shared" si="83"/>
        <v>4425</v>
      </c>
      <c r="AP80" s="144" t="s">
        <v>1259</v>
      </c>
      <c r="AQ80" s="144" t="str">
        <f t="shared" si="84"/>
        <v>神器本-4-困难-1  神器2-2</v>
      </c>
      <c r="AR80" s="87">
        <v>5</v>
      </c>
      <c r="AS80" s="87" t="s">
        <v>325</v>
      </c>
      <c r="AT80" s="87">
        <v>1500</v>
      </c>
      <c r="AU80" s="87">
        <v>1</v>
      </c>
      <c r="AV80" s="87">
        <v>1</v>
      </c>
      <c r="AW80" s="87">
        <f t="shared" si="85"/>
        <v>1</v>
      </c>
      <c r="AX80" s="14">
        <f t="shared" si="86"/>
        <v>0.15</v>
      </c>
      <c r="AY80" s="14">
        <f t="shared" si="87"/>
        <v>2.25</v>
      </c>
      <c r="GM80" s="91">
        <v>74</v>
      </c>
      <c r="GN80" s="14">
        <f t="shared" si="88"/>
        <v>5</v>
      </c>
      <c r="GO80" s="14">
        <f t="shared" si="89"/>
        <v>1606007</v>
      </c>
      <c r="GP80" s="14" t="str">
        <f t="shared" si="90"/>
        <v>神器2-2 : 5级</v>
      </c>
      <c r="GQ80" s="14" t="s">
        <v>816</v>
      </c>
      <c r="GR80" s="14">
        <f t="shared" si="91"/>
        <v>14</v>
      </c>
      <c r="GS80" s="14" t="str">
        <f t="shared" si="92"/>
        <v>神器2-2</v>
      </c>
      <c r="GT80" s="14">
        <f t="shared" si="93"/>
        <v>7</v>
      </c>
    </row>
    <row r="81" spans="38:202" ht="16.5" x14ac:dyDescent="0.2">
      <c r="AL81" s="87">
        <v>4</v>
      </c>
      <c r="AM81" s="87">
        <v>2</v>
      </c>
      <c r="AN81" s="87">
        <v>25</v>
      </c>
      <c r="AO81" s="144">
        <f t="shared" si="83"/>
        <v>4425</v>
      </c>
      <c r="AP81" s="144" t="s">
        <v>1259</v>
      </c>
      <c r="AQ81" s="144" t="str">
        <f t="shared" si="84"/>
        <v>神器本-4-困难-1  神器2-3</v>
      </c>
      <c r="AR81" s="87">
        <v>6</v>
      </c>
      <c r="AS81" s="87" t="s">
        <v>326</v>
      </c>
      <c r="AT81" s="87">
        <v>1000</v>
      </c>
      <c r="AU81" s="87">
        <v>1</v>
      </c>
      <c r="AV81" s="87">
        <v>1</v>
      </c>
      <c r="AW81" s="87">
        <f t="shared" si="85"/>
        <v>2</v>
      </c>
      <c r="AX81" s="14">
        <f t="shared" si="86"/>
        <v>0.1</v>
      </c>
      <c r="AY81" s="14">
        <f t="shared" si="87"/>
        <v>4.5</v>
      </c>
      <c r="GM81" s="91">
        <v>75</v>
      </c>
      <c r="GN81" s="14">
        <f t="shared" si="88"/>
        <v>5</v>
      </c>
      <c r="GO81" s="14">
        <f t="shared" si="89"/>
        <v>1606007</v>
      </c>
      <c r="GP81" s="14" t="str">
        <f t="shared" si="90"/>
        <v>神器2-2 : 6级</v>
      </c>
      <c r="GQ81" s="14" t="s">
        <v>816</v>
      </c>
      <c r="GR81" s="14">
        <f t="shared" si="91"/>
        <v>15</v>
      </c>
      <c r="GS81" s="14" t="str">
        <f t="shared" si="92"/>
        <v>神器2-2</v>
      </c>
      <c r="GT81" s="14">
        <f t="shared" si="93"/>
        <v>7</v>
      </c>
    </row>
    <row r="82" spans="38:202" ht="16.5" x14ac:dyDescent="0.2">
      <c r="AL82" s="87">
        <v>4</v>
      </c>
      <c r="AM82" s="87">
        <v>2</v>
      </c>
      <c r="AN82" s="87">
        <v>25</v>
      </c>
      <c r="AO82" s="144">
        <f t="shared" si="83"/>
        <v>4425</v>
      </c>
      <c r="AP82" s="144" t="s">
        <v>1259</v>
      </c>
      <c r="AQ82" s="144" t="str">
        <f t="shared" si="84"/>
        <v>神器本-4-困难-1  神器2-4</v>
      </c>
      <c r="AR82" s="87">
        <v>7</v>
      </c>
      <c r="AS82" s="87" t="s">
        <v>327</v>
      </c>
      <c r="AT82" s="87">
        <v>1000</v>
      </c>
      <c r="AU82" s="87">
        <v>1</v>
      </c>
      <c r="AV82" s="87">
        <v>1</v>
      </c>
      <c r="AW82" s="87">
        <f t="shared" si="85"/>
        <v>2</v>
      </c>
      <c r="AX82" s="14">
        <f t="shared" si="86"/>
        <v>0.1</v>
      </c>
      <c r="AY82" s="14">
        <f t="shared" si="87"/>
        <v>4.5</v>
      </c>
      <c r="GM82" s="91">
        <v>76</v>
      </c>
      <c r="GN82" s="14">
        <f t="shared" si="88"/>
        <v>6</v>
      </c>
      <c r="GO82" s="14">
        <f t="shared" si="89"/>
        <v>1606008</v>
      </c>
      <c r="GP82" s="14" t="str">
        <f t="shared" si="90"/>
        <v>神器2-3 : 7级</v>
      </c>
      <c r="GQ82" s="14" t="s">
        <v>816</v>
      </c>
      <c r="GR82" s="14">
        <f t="shared" si="91"/>
        <v>1</v>
      </c>
      <c r="GS82" s="14" t="str">
        <f t="shared" si="92"/>
        <v>神器2-3</v>
      </c>
      <c r="GT82" s="14">
        <f t="shared" si="93"/>
        <v>1</v>
      </c>
    </row>
    <row r="83" spans="38:202" ht="16.5" x14ac:dyDescent="0.2">
      <c r="AL83" s="87">
        <v>4</v>
      </c>
      <c r="AM83" s="87">
        <v>2</v>
      </c>
      <c r="AN83" s="87">
        <v>25</v>
      </c>
      <c r="AO83" s="144">
        <f t="shared" si="83"/>
        <v>4425</v>
      </c>
      <c r="AP83" s="144" t="s">
        <v>1259</v>
      </c>
      <c r="AQ83" s="144" t="str">
        <f t="shared" si="84"/>
        <v>神器本-4-困难-1  神器2-5</v>
      </c>
      <c r="AR83" s="87">
        <v>8</v>
      </c>
      <c r="AS83" s="87" t="s">
        <v>328</v>
      </c>
      <c r="AT83" s="87">
        <v>1000</v>
      </c>
      <c r="AU83" s="87">
        <v>1</v>
      </c>
      <c r="AV83" s="87">
        <v>1</v>
      </c>
      <c r="AW83" s="87">
        <f t="shared" si="85"/>
        <v>3</v>
      </c>
      <c r="AX83" s="14">
        <f t="shared" si="86"/>
        <v>0.1</v>
      </c>
      <c r="AY83" s="14">
        <f t="shared" si="87"/>
        <v>10.5</v>
      </c>
      <c r="GM83" s="91">
        <v>77</v>
      </c>
      <c r="GN83" s="14">
        <f t="shared" si="88"/>
        <v>6</v>
      </c>
      <c r="GO83" s="14">
        <f t="shared" si="89"/>
        <v>1606008</v>
      </c>
      <c r="GP83" s="14" t="str">
        <f t="shared" si="90"/>
        <v>神器2-3 : 8级</v>
      </c>
      <c r="GQ83" s="14" t="s">
        <v>816</v>
      </c>
      <c r="GR83" s="14">
        <f t="shared" si="91"/>
        <v>2</v>
      </c>
      <c r="GS83" s="14" t="str">
        <f t="shared" si="92"/>
        <v>神器2-3</v>
      </c>
      <c r="GT83" s="14">
        <f t="shared" si="93"/>
        <v>1</v>
      </c>
    </row>
    <row r="84" spans="38:202" ht="16.5" x14ac:dyDescent="0.2">
      <c r="AL84" s="87">
        <v>4</v>
      </c>
      <c r="AM84" s="87">
        <v>2</v>
      </c>
      <c r="AN84" s="87">
        <v>26</v>
      </c>
      <c r="AO84" s="144">
        <f t="shared" si="83"/>
        <v>4426</v>
      </c>
      <c r="AP84" s="144" t="s">
        <v>1260</v>
      </c>
      <c r="AQ84" s="144" t="str">
        <f t="shared" si="84"/>
        <v>神器本-4-困难-2  神器4-1</v>
      </c>
      <c r="AR84" s="87">
        <v>15</v>
      </c>
      <c r="AS84" s="87" t="s">
        <v>335</v>
      </c>
      <c r="AT84" s="87">
        <v>5000</v>
      </c>
      <c r="AU84" s="87">
        <v>1</v>
      </c>
      <c r="AV84" s="87">
        <v>3</v>
      </c>
      <c r="AW84" s="87">
        <f t="shared" si="85"/>
        <v>1</v>
      </c>
      <c r="AX84" s="14">
        <f t="shared" si="86"/>
        <v>1</v>
      </c>
      <c r="AY84" s="14">
        <f t="shared" si="87"/>
        <v>25</v>
      </c>
      <c r="GM84" s="91">
        <v>78</v>
      </c>
      <c r="GN84" s="14">
        <f t="shared" si="88"/>
        <v>6</v>
      </c>
      <c r="GO84" s="14">
        <f t="shared" si="89"/>
        <v>1606008</v>
      </c>
      <c r="GP84" s="14" t="str">
        <f t="shared" si="90"/>
        <v>神器2-3 : 15级</v>
      </c>
      <c r="GQ84" s="14" t="s">
        <v>816</v>
      </c>
      <c r="GR84" s="14">
        <f t="shared" si="91"/>
        <v>3</v>
      </c>
      <c r="GS84" s="14" t="str">
        <f t="shared" si="92"/>
        <v>神器2-3</v>
      </c>
      <c r="GT84" s="14">
        <f t="shared" si="93"/>
        <v>1</v>
      </c>
    </row>
    <row r="85" spans="38:202" ht="16.5" x14ac:dyDescent="0.2">
      <c r="AL85" s="87">
        <v>4</v>
      </c>
      <c r="AM85" s="87">
        <v>2</v>
      </c>
      <c r="AN85" s="87">
        <v>26</v>
      </c>
      <c r="AO85" s="144">
        <f t="shared" si="83"/>
        <v>4426</v>
      </c>
      <c r="AP85" s="144" t="s">
        <v>1260</v>
      </c>
      <c r="AQ85" s="144" t="str">
        <f t="shared" si="84"/>
        <v>神器本-4-困难-2  神器4-2</v>
      </c>
      <c r="AR85" s="87">
        <v>16</v>
      </c>
      <c r="AS85" s="87" t="s">
        <v>336</v>
      </c>
      <c r="AT85" s="87">
        <v>5000</v>
      </c>
      <c r="AU85" s="87">
        <v>1</v>
      </c>
      <c r="AV85" s="87">
        <v>3</v>
      </c>
      <c r="AW85" s="87">
        <f t="shared" si="85"/>
        <v>1</v>
      </c>
      <c r="AX85" s="14">
        <f t="shared" si="86"/>
        <v>1</v>
      </c>
      <c r="AY85" s="14">
        <f t="shared" si="87"/>
        <v>25</v>
      </c>
      <c r="GM85" s="91">
        <v>79</v>
      </c>
      <c r="GN85" s="14">
        <f t="shared" si="88"/>
        <v>6</v>
      </c>
      <c r="GO85" s="14">
        <f t="shared" si="89"/>
        <v>1606008</v>
      </c>
      <c r="GP85" s="14" t="str">
        <f t="shared" si="90"/>
        <v>神器2-3 : 16级</v>
      </c>
      <c r="GQ85" s="14" t="s">
        <v>816</v>
      </c>
      <c r="GR85" s="14">
        <f t="shared" si="91"/>
        <v>4</v>
      </c>
      <c r="GS85" s="14" t="str">
        <f t="shared" si="92"/>
        <v>神器2-3</v>
      </c>
      <c r="GT85" s="14">
        <f t="shared" si="93"/>
        <v>2</v>
      </c>
    </row>
    <row r="86" spans="38:202" ht="16.5" x14ac:dyDescent="0.2">
      <c r="AL86" s="87">
        <v>4</v>
      </c>
      <c r="AM86" s="87">
        <v>2</v>
      </c>
      <c r="AN86" s="87">
        <v>27</v>
      </c>
      <c r="AO86" s="144">
        <f t="shared" si="83"/>
        <v>4427</v>
      </c>
      <c r="AP86" s="144" t="s">
        <v>1261</v>
      </c>
      <c r="AQ86" s="144" t="str">
        <f t="shared" si="84"/>
        <v>神器本-4-困难-3  神器4-3</v>
      </c>
      <c r="AR86" s="87">
        <v>17</v>
      </c>
      <c r="AS86" s="87" t="s">
        <v>337</v>
      </c>
      <c r="AT86" s="87">
        <v>3500</v>
      </c>
      <c r="AU86" s="87">
        <v>1</v>
      </c>
      <c r="AV86" s="87">
        <v>2</v>
      </c>
      <c r="AW86" s="87">
        <f t="shared" si="85"/>
        <v>2</v>
      </c>
      <c r="AX86" s="14">
        <f t="shared" si="86"/>
        <v>0.52500000000000002</v>
      </c>
      <c r="AY86" s="14">
        <f t="shared" si="87"/>
        <v>39.375</v>
      </c>
      <c r="GM86" s="91">
        <v>80</v>
      </c>
      <c r="GN86" s="14">
        <f t="shared" si="88"/>
        <v>6</v>
      </c>
      <c r="GO86" s="14">
        <f t="shared" si="89"/>
        <v>1606008</v>
      </c>
      <c r="GP86" s="14" t="str">
        <f t="shared" si="90"/>
        <v>神器2-3 : 17级</v>
      </c>
      <c r="GQ86" s="14" t="s">
        <v>816</v>
      </c>
      <c r="GR86" s="14">
        <f t="shared" si="91"/>
        <v>5</v>
      </c>
      <c r="GS86" s="14" t="str">
        <f t="shared" si="92"/>
        <v>神器2-3</v>
      </c>
      <c r="GT86" s="14">
        <f t="shared" si="93"/>
        <v>2</v>
      </c>
    </row>
    <row r="87" spans="38:202" ht="16.5" x14ac:dyDescent="0.2">
      <c r="AL87" s="87">
        <v>4</v>
      </c>
      <c r="AM87" s="87">
        <v>2</v>
      </c>
      <c r="AN87" s="87">
        <v>27</v>
      </c>
      <c r="AO87" s="144">
        <f t="shared" si="83"/>
        <v>4427</v>
      </c>
      <c r="AP87" s="144" t="s">
        <v>1261</v>
      </c>
      <c r="AQ87" s="144" t="str">
        <f t="shared" si="84"/>
        <v>神器本-4-困难-3  神器4-4</v>
      </c>
      <c r="AR87" s="87">
        <v>18</v>
      </c>
      <c r="AS87" s="87" t="s">
        <v>338</v>
      </c>
      <c r="AT87" s="87">
        <v>3500</v>
      </c>
      <c r="AU87" s="87">
        <v>1</v>
      </c>
      <c r="AV87" s="87">
        <v>2</v>
      </c>
      <c r="AW87" s="87">
        <f t="shared" si="85"/>
        <v>2</v>
      </c>
      <c r="AX87" s="14">
        <f t="shared" si="86"/>
        <v>0.52500000000000002</v>
      </c>
      <c r="AY87" s="14">
        <f t="shared" si="87"/>
        <v>39.375</v>
      </c>
      <c r="GM87" s="91">
        <v>81</v>
      </c>
      <c r="GN87" s="14">
        <f t="shared" si="88"/>
        <v>6</v>
      </c>
      <c r="GO87" s="14">
        <f t="shared" si="89"/>
        <v>1606008</v>
      </c>
      <c r="GP87" s="14" t="str">
        <f t="shared" si="90"/>
        <v>神器2-3 : 18级</v>
      </c>
      <c r="GQ87" s="14" t="s">
        <v>816</v>
      </c>
      <c r="GR87" s="14">
        <f t="shared" si="91"/>
        <v>6</v>
      </c>
      <c r="GS87" s="14" t="str">
        <f t="shared" si="92"/>
        <v>神器2-3</v>
      </c>
      <c r="GT87" s="14">
        <f t="shared" si="93"/>
        <v>2</v>
      </c>
    </row>
    <row r="88" spans="38:202" ht="16.5" x14ac:dyDescent="0.2">
      <c r="AL88" s="87">
        <v>4</v>
      </c>
      <c r="AM88" s="87">
        <v>2</v>
      </c>
      <c r="AN88" s="87">
        <v>28</v>
      </c>
      <c r="AO88" s="144">
        <f t="shared" si="83"/>
        <v>4428</v>
      </c>
      <c r="AP88" s="144" t="s">
        <v>1262</v>
      </c>
      <c r="AQ88" s="144" t="str">
        <f t="shared" si="84"/>
        <v>神器本-4-困难-4  神器4-5</v>
      </c>
      <c r="AR88" s="87">
        <v>19</v>
      </c>
      <c r="AS88" s="87" t="s">
        <v>339</v>
      </c>
      <c r="AT88" s="87">
        <v>2000</v>
      </c>
      <c r="AU88" s="87">
        <v>1</v>
      </c>
      <c r="AV88" s="87">
        <v>1</v>
      </c>
      <c r="AW88" s="87">
        <f t="shared" si="85"/>
        <v>3</v>
      </c>
      <c r="AX88" s="14">
        <f t="shared" si="86"/>
        <v>0.2</v>
      </c>
      <c r="AY88" s="14">
        <f t="shared" si="87"/>
        <v>35</v>
      </c>
      <c r="GM88" s="91">
        <v>82</v>
      </c>
      <c r="GN88" s="14">
        <f t="shared" si="88"/>
        <v>6</v>
      </c>
      <c r="GO88" s="14">
        <f t="shared" si="89"/>
        <v>1606008</v>
      </c>
      <c r="GP88" s="14" t="str">
        <f t="shared" si="90"/>
        <v>神器2-3 : 19级</v>
      </c>
      <c r="GQ88" s="14" t="s">
        <v>816</v>
      </c>
      <c r="GR88" s="14">
        <f t="shared" si="91"/>
        <v>7</v>
      </c>
      <c r="GS88" s="14" t="str">
        <f t="shared" si="92"/>
        <v>神器2-3</v>
      </c>
      <c r="GT88" s="14">
        <f t="shared" si="93"/>
        <v>3</v>
      </c>
    </row>
    <row r="89" spans="38:202" ht="16.5" x14ac:dyDescent="0.2">
      <c r="AL89" s="87">
        <v>4</v>
      </c>
      <c r="AM89" s="87">
        <v>3</v>
      </c>
      <c r="AN89" s="87">
        <v>29</v>
      </c>
      <c r="AO89" s="144">
        <f t="shared" si="83"/>
        <v>4429</v>
      </c>
      <c r="AP89" s="144" t="s">
        <v>1264</v>
      </c>
      <c r="AQ89" s="144" t="str">
        <f t="shared" si="84"/>
        <v>神器本-4-噩梦-1  神器1-1</v>
      </c>
      <c r="AR89" s="87">
        <v>1</v>
      </c>
      <c r="AS89" s="87" t="s">
        <v>321</v>
      </c>
      <c r="AT89" s="87">
        <v>1500</v>
      </c>
      <c r="AU89" s="87">
        <v>1</v>
      </c>
      <c r="AV89" s="87">
        <v>1</v>
      </c>
      <c r="AW89" s="87">
        <f t="shared" si="85"/>
        <v>1</v>
      </c>
      <c r="AX89" s="14">
        <f t="shared" si="86"/>
        <v>0.15</v>
      </c>
      <c r="AY89" s="14">
        <f t="shared" si="87"/>
        <v>1.5</v>
      </c>
      <c r="GM89" s="91">
        <v>83</v>
      </c>
      <c r="GN89" s="14">
        <f t="shared" si="88"/>
        <v>6</v>
      </c>
      <c r="GO89" s="14">
        <f t="shared" si="89"/>
        <v>1606008</v>
      </c>
      <c r="GP89" s="14" t="str">
        <f t="shared" si="90"/>
        <v>神器2-3 : 1级</v>
      </c>
      <c r="GQ89" s="14" t="s">
        <v>816</v>
      </c>
      <c r="GR89" s="14">
        <f t="shared" si="91"/>
        <v>8</v>
      </c>
      <c r="GS89" s="14" t="str">
        <f t="shared" si="92"/>
        <v>神器2-3</v>
      </c>
      <c r="GT89" s="14">
        <f t="shared" si="93"/>
        <v>3</v>
      </c>
    </row>
    <row r="90" spans="38:202" ht="16.5" x14ac:dyDescent="0.2">
      <c r="AL90" s="87">
        <v>4</v>
      </c>
      <c r="AM90" s="87">
        <v>3</v>
      </c>
      <c r="AN90" s="87">
        <v>29</v>
      </c>
      <c r="AO90" s="144">
        <f t="shared" si="83"/>
        <v>4429</v>
      </c>
      <c r="AP90" s="144" t="s">
        <v>1264</v>
      </c>
      <c r="AQ90" s="144" t="str">
        <f t="shared" si="84"/>
        <v>神器本-4-噩梦-1  神器1-2</v>
      </c>
      <c r="AR90" s="87">
        <v>2</v>
      </c>
      <c r="AS90" s="87" t="s">
        <v>322</v>
      </c>
      <c r="AT90" s="87">
        <v>1500</v>
      </c>
      <c r="AU90" s="87">
        <v>1</v>
      </c>
      <c r="AV90" s="87">
        <v>1</v>
      </c>
      <c r="AW90" s="87">
        <f t="shared" si="85"/>
        <v>1</v>
      </c>
      <c r="AX90" s="14">
        <f t="shared" si="86"/>
        <v>0.15</v>
      </c>
      <c r="AY90" s="14">
        <f t="shared" si="87"/>
        <v>1.5</v>
      </c>
      <c r="GM90" s="91">
        <v>84</v>
      </c>
      <c r="GN90" s="14">
        <f t="shared" si="88"/>
        <v>6</v>
      </c>
      <c r="GO90" s="14">
        <f t="shared" si="89"/>
        <v>1606008</v>
      </c>
      <c r="GP90" s="14" t="str">
        <f t="shared" si="90"/>
        <v>神器2-3 : 2级</v>
      </c>
      <c r="GQ90" s="14" t="s">
        <v>816</v>
      </c>
      <c r="GR90" s="14">
        <f t="shared" si="91"/>
        <v>9</v>
      </c>
      <c r="GS90" s="14" t="str">
        <f t="shared" si="92"/>
        <v>神器2-3</v>
      </c>
      <c r="GT90" s="14">
        <f t="shared" si="93"/>
        <v>3</v>
      </c>
    </row>
    <row r="91" spans="38:202" ht="16.5" x14ac:dyDescent="0.2">
      <c r="AL91" s="87">
        <v>4</v>
      </c>
      <c r="AM91" s="87">
        <v>3</v>
      </c>
      <c r="AN91" s="87">
        <v>29</v>
      </c>
      <c r="AO91" s="144">
        <f t="shared" si="83"/>
        <v>4429</v>
      </c>
      <c r="AP91" s="144" t="s">
        <v>1264</v>
      </c>
      <c r="AQ91" s="144" t="str">
        <f t="shared" si="84"/>
        <v>神器本-4-噩梦-1  神器1-3</v>
      </c>
      <c r="AR91" s="87">
        <v>3</v>
      </c>
      <c r="AS91" s="87" t="s">
        <v>323</v>
      </c>
      <c r="AT91" s="87">
        <v>1000</v>
      </c>
      <c r="AU91" s="87">
        <v>1</v>
      </c>
      <c r="AV91" s="87">
        <v>1</v>
      </c>
      <c r="AW91" s="87">
        <f t="shared" si="85"/>
        <v>2</v>
      </c>
      <c r="AX91" s="14">
        <f t="shared" si="86"/>
        <v>0.1</v>
      </c>
      <c r="AY91" s="14">
        <f t="shared" si="87"/>
        <v>3</v>
      </c>
      <c r="GM91" s="91">
        <v>85</v>
      </c>
      <c r="GN91" s="14">
        <f t="shared" si="88"/>
        <v>6</v>
      </c>
      <c r="GO91" s="14">
        <f t="shared" si="89"/>
        <v>1606008</v>
      </c>
      <c r="GP91" s="14" t="str">
        <f t="shared" si="90"/>
        <v>神器2-3 : 3级</v>
      </c>
      <c r="GQ91" s="14" t="s">
        <v>816</v>
      </c>
      <c r="GR91" s="14">
        <f t="shared" si="91"/>
        <v>10</v>
      </c>
      <c r="GS91" s="14" t="str">
        <f t="shared" si="92"/>
        <v>神器2-3</v>
      </c>
      <c r="GT91" s="14">
        <f t="shared" si="93"/>
        <v>5</v>
      </c>
    </row>
    <row r="92" spans="38:202" ht="16.5" x14ac:dyDescent="0.2">
      <c r="AL92" s="87">
        <v>4</v>
      </c>
      <c r="AM92" s="87">
        <v>3</v>
      </c>
      <c r="AN92" s="87">
        <v>29</v>
      </c>
      <c r="AO92" s="144">
        <f t="shared" si="83"/>
        <v>4429</v>
      </c>
      <c r="AP92" s="144" t="s">
        <v>1264</v>
      </c>
      <c r="AQ92" s="144" t="str">
        <f t="shared" si="84"/>
        <v>神器本-4-噩梦-1  神器2-1</v>
      </c>
      <c r="AR92" s="87">
        <v>4</v>
      </c>
      <c r="AS92" s="87" t="s">
        <v>324</v>
      </c>
      <c r="AT92" s="87">
        <v>1500</v>
      </c>
      <c r="AU92" s="87">
        <v>1</v>
      </c>
      <c r="AV92" s="87">
        <v>1</v>
      </c>
      <c r="AW92" s="87">
        <f t="shared" si="85"/>
        <v>1</v>
      </c>
      <c r="AX92" s="14">
        <f t="shared" si="86"/>
        <v>0.15</v>
      </c>
      <c r="AY92" s="14">
        <f t="shared" si="87"/>
        <v>2.25</v>
      </c>
      <c r="GM92" s="91">
        <v>86</v>
      </c>
      <c r="GN92" s="14">
        <f t="shared" si="88"/>
        <v>6</v>
      </c>
      <c r="GO92" s="14">
        <f t="shared" si="89"/>
        <v>1606008</v>
      </c>
      <c r="GP92" s="14" t="str">
        <f t="shared" si="90"/>
        <v>神器2-3 : 4级</v>
      </c>
      <c r="GQ92" s="14" t="s">
        <v>816</v>
      </c>
      <c r="GR92" s="14">
        <f t="shared" si="91"/>
        <v>11</v>
      </c>
      <c r="GS92" s="14" t="str">
        <f t="shared" si="92"/>
        <v>神器2-3</v>
      </c>
      <c r="GT92" s="14">
        <f t="shared" si="93"/>
        <v>5</v>
      </c>
    </row>
    <row r="93" spans="38:202" ht="16.5" x14ac:dyDescent="0.2">
      <c r="AL93" s="87">
        <v>4</v>
      </c>
      <c r="AM93" s="87">
        <v>3</v>
      </c>
      <c r="AN93" s="87">
        <v>29</v>
      </c>
      <c r="AO93" s="144">
        <f t="shared" si="83"/>
        <v>4429</v>
      </c>
      <c r="AP93" s="144" t="s">
        <v>1264</v>
      </c>
      <c r="AQ93" s="144" t="str">
        <f t="shared" si="84"/>
        <v>神器本-4-噩梦-1  神器2-2</v>
      </c>
      <c r="AR93" s="87">
        <v>5</v>
      </c>
      <c r="AS93" s="87" t="s">
        <v>325</v>
      </c>
      <c r="AT93" s="87">
        <v>1500</v>
      </c>
      <c r="AU93" s="87">
        <v>1</v>
      </c>
      <c r="AV93" s="87">
        <v>1</v>
      </c>
      <c r="AW93" s="87">
        <f t="shared" si="85"/>
        <v>1</v>
      </c>
      <c r="AX93" s="14">
        <f t="shared" si="86"/>
        <v>0.15</v>
      </c>
      <c r="AY93" s="14">
        <f t="shared" si="87"/>
        <v>2.25</v>
      </c>
      <c r="GM93" s="91">
        <v>87</v>
      </c>
      <c r="GN93" s="14">
        <f t="shared" si="88"/>
        <v>6</v>
      </c>
      <c r="GO93" s="14">
        <f t="shared" si="89"/>
        <v>1606008</v>
      </c>
      <c r="GP93" s="14" t="str">
        <f t="shared" si="90"/>
        <v>神器2-3 : 5级</v>
      </c>
      <c r="GQ93" s="14" t="s">
        <v>816</v>
      </c>
      <c r="GR93" s="14">
        <f t="shared" si="91"/>
        <v>12</v>
      </c>
      <c r="GS93" s="14" t="str">
        <f t="shared" si="92"/>
        <v>神器2-3</v>
      </c>
      <c r="GT93" s="14">
        <f t="shared" si="93"/>
        <v>6</v>
      </c>
    </row>
    <row r="94" spans="38:202" ht="16.5" x14ac:dyDescent="0.2">
      <c r="AL94" s="87">
        <v>4</v>
      </c>
      <c r="AM94" s="87">
        <v>3</v>
      </c>
      <c r="AN94" s="87">
        <v>29</v>
      </c>
      <c r="AO94" s="144">
        <f t="shared" si="83"/>
        <v>4429</v>
      </c>
      <c r="AP94" s="144" t="s">
        <v>1264</v>
      </c>
      <c r="AQ94" s="144" t="str">
        <f t="shared" si="84"/>
        <v>神器本-4-噩梦-1  神器2-3</v>
      </c>
      <c r="AR94" s="87">
        <v>6</v>
      </c>
      <c r="AS94" s="87" t="s">
        <v>326</v>
      </c>
      <c r="AT94" s="87">
        <v>1000</v>
      </c>
      <c r="AU94" s="87">
        <v>1</v>
      </c>
      <c r="AV94" s="87">
        <v>1</v>
      </c>
      <c r="AW94" s="87">
        <f t="shared" si="85"/>
        <v>2</v>
      </c>
      <c r="AX94" s="14">
        <f t="shared" si="86"/>
        <v>0.1</v>
      </c>
      <c r="AY94" s="14">
        <f t="shared" si="87"/>
        <v>4.5</v>
      </c>
      <c r="GM94" s="91">
        <v>88</v>
      </c>
      <c r="GN94" s="14">
        <f t="shared" si="88"/>
        <v>6</v>
      </c>
      <c r="GO94" s="14">
        <f t="shared" si="89"/>
        <v>1606008</v>
      </c>
      <c r="GP94" s="14" t="str">
        <f t="shared" si="90"/>
        <v>神器2-3 : 6级</v>
      </c>
      <c r="GQ94" s="14" t="s">
        <v>816</v>
      </c>
      <c r="GR94" s="14">
        <f t="shared" si="91"/>
        <v>13</v>
      </c>
      <c r="GS94" s="14" t="str">
        <f t="shared" si="92"/>
        <v>神器2-3</v>
      </c>
      <c r="GT94" s="14">
        <f t="shared" si="93"/>
        <v>7</v>
      </c>
    </row>
    <row r="95" spans="38:202" ht="16.5" x14ac:dyDescent="0.2">
      <c r="AL95" s="87">
        <v>4</v>
      </c>
      <c r="AM95" s="87">
        <v>3</v>
      </c>
      <c r="AN95" s="87">
        <v>29</v>
      </c>
      <c r="AO95" s="144">
        <f t="shared" si="83"/>
        <v>4429</v>
      </c>
      <c r="AP95" s="144" t="s">
        <v>1264</v>
      </c>
      <c r="AQ95" s="144" t="str">
        <f t="shared" si="84"/>
        <v>神器本-4-噩梦-1  神器2-4</v>
      </c>
      <c r="AR95" s="87">
        <v>7</v>
      </c>
      <c r="AS95" s="87" t="s">
        <v>327</v>
      </c>
      <c r="AT95" s="87">
        <v>1000</v>
      </c>
      <c r="AU95" s="87">
        <v>1</v>
      </c>
      <c r="AV95" s="87">
        <v>1</v>
      </c>
      <c r="AW95" s="87">
        <f t="shared" si="85"/>
        <v>2</v>
      </c>
      <c r="AX95" s="14">
        <f t="shared" si="86"/>
        <v>0.1</v>
      </c>
      <c r="AY95" s="14">
        <f t="shared" si="87"/>
        <v>4.5</v>
      </c>
      <c r="GM95" s="91">
        <v>89</v>
      </c>
      <c r="GN95" s="14">
        <f t="shared" si="88"/>
        <v>6</v>
      </c>
      <c r="GO95" s="14">
        <f t="shared" si="89"/>
        <v>1606008</v>
      </c>
      <c r="GP95" s="14" t="str">
        <f t="shared" si="90"/>
        <v>神器2-3 : 7级</v>
      </c>
      <c r="GQ95" s="14" t="s">
        <v>816</v>
      </c>
      <c r="GR95" s="14">
        <f t="shared" si="91"/>
        <v>14</v>
      </c>
      <c r="GS95" s="14" t="str">
        <f t="shared" si="92"/>
        <v>神器2-3</v>
      </c>
      <c r="GT95" s="14">
        <f t="shared" si="93"/>
        <v>7</v>
      </c>
    </row>
    <row r="96" spans="38:202" ht="16.5" x14ac:dyDescent="0.2">
      <c r="AL96" s="87">
        <v>4</v>
      </c>
      <c r="AM96" s="87">
        <v>3</v>
      </c>
      <c r="AN96" s="87">
        <v>29</v>
      </c>
      <c r="AO96" s="144">
        <f t="shared" si="83"/>
        <v>4429</v>
      </c>
      <c r="AP96" s="144" t="s">
        <v>1264</v>
      </c>
      <c r="AQ96" s="144" t="str">
        <f t="shared" si="84"/>
        <v>神器本-4-噩梦-1  神器2-5</v>
      </c>
      <c r="AR96" s="87">
        <v>8</v>
      </c>
      <c r="AS96" s="87" t="s">
        <v>328</v>
      </c>
      <c r="AT96" s="87">
        <v>1000</v>
      </c>
      <c r="AU96" s="87">
        <v>1</v>
      </c>
      <c r="AV96" s="87">
        <v>1</v>
      </c>
      <c r="AW96" s="87">
        <f t="shared" si="85"/>
        <v>3</v>
      </c>
      <c r="AX96" s="14">
        <f t="shared" si="86"/>
        <v>0.1</v>
      </c>
      <c r="AY96" s="14">
        <f t="shared" si="87"/>
        <v>10.5</v>
      </c>
      <c r="GM96" s="91">
        <v>90</v>
      </c>
      <c r="GN96" s="14">
        <f t="shared" si="88"/>
        <v>6</v>
      </c>
      <c r="GO96" s="14">
        <f t="shared" si="89"/>
        <v>1606008</v>
      </c>
      <c r="GP96" s="14" t="str">
        <f t="shared" si="90"/>
        <v>神器2-3 : 8级</v>
      </c>
      <c r="GQ96" s="14" t="s">
        <v>816</v>
      </c>
      <c r="GR96" s="14">
        <f t="shared" si="91"/>
        <v>15</v>
      </c>
      <c r="GS96" s="14" t="str">
        <f t="shared" si="92"/>
        <v>神器2-3</v>
      </c>
      <c r="GT96" s="14">
        <f t="shared" si="93"/>
        <v>7</v>
      </c>
    </row>
    <row r="97" spans="38:202" ht="16.5" x14ac:dyDescent="0.2">
      <c r="AL97" s="87">
        <v>4</v>
      </c>
      <c r="AM97" s="87">
        <v>3</v>
      </c>
      <c r="AN97" s="87">
        <v>30</v>
      </c>
      <c r="AO97" s="144">
        <f t="shared" si="83"/>
        <v>4430</v>
      </c>
      <c r="AP97" s="144" t="s">
        <v>1265</v>
      </c>
      <c r="AQ97" s="144" t="str">
        <f t="shared" si="84"/>
        <v>神器本-4-噩梦-2  神器4-1</v>
      </c>
      <c r="AR97" s="87">
        <v>15</v>
      </c>
      <c r="AS97" s="87" t="s">
        <v>335</v>
      </c>
      <c r="AT97" s="87">
        <v>5000</v>
      </c>
      <c r="AU97" s="87">
        <v>1</v>
      </c>
      <c r="AV97" s="87">
        <v>3</v>
      </c>
      <c r="AW97" s="87">
        <f t="shared" si="85"/>
        <v>1</v>
      </c>
      <c r="AX97" s="14">
        <f t="shared" si="86"/>
        <v>1</v>
      </c>
      <c r="AY97" s="14">
        <f t="shared" si="87"/>
        <v>25</v>
      </c>
      <c r="GM97" s="91">
        <v>91</v>
      </c>
      <c r="GN97" s="14">
        <f t="shared" si="88"/>
        <v>7</v>
      </c>
      <c r="GO97" s="14">
        <f t="shared" si="89"/>
        <v>1606009</v>
      </c>
      <c r="GP97" s="14" t="str">
        <f t="shared" si="90"/>
        <v>神器2-4 : 15级</v>
      </c>
      <c r="GQ97" s="14" t="s">
        <v>816</v>
      </c>
      <c r="GR97" s="14">
        <f t="shared" si="91"/>
        <v>1</v>
      </c>
      <c r="GS97" s="14" t="str">
        <f t="shared" si="92"/>
        <v>神器2-4</v>
      </c>
      <c r="GT97" s="14">
        <f t="shared" si="93"/>
        <v>1</v>
      </c>
    </row>
    <row r="98" spans="38:202" ht="16.5" x14ac:dyDescent="0.2">
      <c r="AL98" s="87">
        <v>4</v>
      </c>
      <c r="AM98" s="87">
        <v>3</v>
      </c>
      <c r="AN98" s="87">
        <v>30</v>
      </c>
      <c r="AO98" s="144">
        <f t="shared" si="83"/>
        <v>4430</v>
      </c>
      <c r="AP98" s="144" t="s">
        <v>1265</v>
      </c>
      <c r="AQ98" s="144" t="str">
        <f t="shared" si="84"/>
        <v>神器本-4-噩梦-2  神器4-2</v>
      </c>
      <c r="AR98" s="87">
        <v>16</v>
      </c>
      <c r="AS98" s="87" t="s">
        <v>336</v>
      </c>
      <c r="AT98" s="87">
        <v>5000</v>
      </c>
      <c r="AU98" s="87">
        <v>1</v>
      </c>
      <c r="AV98" s="87">
        <v>3</v>
      </c>
      <c r="AW98" s="87">
        <f t="shared" si="85"/>
        <v>1</v>
      </c>
      <c r="AX98" s="14">
        <f t="shared" si="86"/>
        <v>1</v>
      </c>
      <c r="AY98" s="14">
        <f t="shared" si="87"/>
        <v>25</v>
      </c>
      <c r="GM98" s="91">
        <v>92</v>
      </c>
      <c r="GN98" s="14">
        <f t="shared" si="88"/>
        <v>7</v>
      </c>
      <c r="GO98" s="14">
        <f t="shared" si="89"/>
        <v>1606009</v>
      </c>
      <c r="GP98" s="14" t="str">
        <f t="shared" si="90"/>
        <v>神器2-4 : 16级</v>
      </c>
      <c r="GQ98" s="14" t="s">
        <v>816</v>
      </c>
      <c r="GR98" s="14">
        <f t="shared" si="91"/>
        <v>2</v>
      </c>
      <c r="GS98" s="14" t="str">
        <f t="shared" si="92"/>
        <v>神器2-4</v>
      </c>
      <c r="GT98" s="14">
        <f t="shared" si="93"/>
        <v>1</v>
      </c>
    </row>
    <row r="99" spans="38:202" ht="16.5" x14ac:dyDescent="0.2">
      <c r="AL99" s="87">
        <v>4</v>
      </c>
      <c r="AM99" s="87">
        <v>3</v>
      </c>
      <c r="AN99" s="87">
        <v>31</v>
      </c>
      <c r="AO99" s="144">
        <f t="shared" si="83"/>
        <v>4431</v>
      </c>
      <c r="AP99" s="144" t="s">
        <v>1266</v>
      </c>
      <c r="AQ99" s="144" t="str">
        <f t="shared" si="84"/>
        <v>神器本-4-噩梦-3  神器4-3</v>
      </c>
      <c r="AR99" s="87">
        <v>17</v>
      </c>
      <c r="AS99" s="87" t="s">
        <v>337</v>
      </c>
      <c r="AT99" s="87">
        <v>3500</v>
      </c>
      <c r="AU99" s="87">
        <v>1</v>
      </c>
      <c r="AV99" s="87">
        <v>2</v>
      </c>
      <c r="AW99" s="87">
        <f t="shared" si="85"/>
        <v>2</v>
      </c>
      <c r="AX99" s="14">
        <f t="shared" si="86"/>
        <v>0.52500000000000002</v>
      </c>
      <c r="AY99" s="14">
        <f t="shared" si="87"/>
        <v>39.375</v>
      </c>
      <c r="GM99" s="91">
        <v>93</v>
      </c>
      <c r="GN99" s="14">
        <f t="shared" si="88"/>
        <v>7</v>
      </c>
      <c r="GO99" s="14">
        <f t="shared" si="89"/>
        <v>1606009</v>
      </c>
      <c r="GP99" s="14" t="str">
        <f t="shared" si="90"/>
        <v>神器2-4 : 17级</v>
      </c>
      <c r="GQ99" s="14" t="s">
        <v>816</v>
      </c>
      <c r="GR99" s="14">
        <f t="shared" si="91"/>
        <v>3</v>
      </c>
      <c r="GS99" s="14" t="str">
        <f t="shared" si="92"/>
        <v>神器2-4</v>
      </c>
      <c r="GT99" s="14">
        <f t="shared" si="93"/>
        <v>1</v>
      </c>
    </row>
    <row r="100" spans="38:202" ht="16.5" x14ac:dyDescent="0.2">
      <c r="AL100" s="87">
        <v>4</v>
      </c>
      <c r="AM100" s="87">
        <v>3</v>
      </c>
      <c r="AN100" s="87">
        <v>31</v>
      </c>
      <c r="AO100" s="144">
        <f t="shared" si="83"/>
        <v>4431</v>
      </c>
      <c r="AP100" s="144" t="s">
        <v>1266</v>
      </c>
      <c r="AQ100" s="144" t="str">
        <f t="shared" si="84"/>
        <v>神器本-4-噩梦-3  神器4-4</v>
      </c>
      <c r="AR100" s="87">
        <v>18</v>
      </c>
      <c r="AS100" s="87" t="s">
        <v>338</v>
      </c>
      <c r="AT100" s="87">
        <v>3500</v>
      </c>
      <c r="AU100" s="87">
        <v>1</v>
      </c>
      <c r="AV100" s="87">
        <v>2</v>
      </c>
      <c r="AW100" s="87">
        <f t="shared" si="85"/>
        <v>2</v>
      </c>
      <c r="AX100" s="14">
        <f t="shared" si="86"/>
        <v>0.52500000000000002</v>
      </c>
      <c r="AY100" s="14">
        <f t="shared" si="87"/>
        <v>39.375</v>
      </c>
      <c r="GM100" s="91">
        <v>94</v>
      </c>
      <c r="GN100" s="14">
        <f t="shared" si="88"/>
        <v>7</v>
      </c>
      <c r="GO100" s="14">
        <f t="shared" si="89"/>
        <v>1606009</v>
      </c>
      <c r="GP100" s="14" t="str">
        <f t="shared" si="90"/>
        <v>神器2-4 : 18级</v>
      </c>
      <c r="GQ100" s="14" t="s">
        <v>816</v>
      </c>
      <c r="GR100" s="14">
        <f t="shared" si="91"/>
        <v>4</v>
      </c>
      <c r="GS100" s="14" t="str">
        <f t="shared" si="92"/>
        <v>神器2-4</v>
      </c>
      <c r="GT100" s="14">
        <f t="shared" si="93"/>
        <v>2</v>
      </c>
    </row>
    <row r="101" spans="38:202" ht="16.5" x14ac:dyDescent="0.2">
      <c r="AL101" s="87">
        <v>4</v>
      </c>
      <c r="AM101" s="87">
        <v>3</v>
      </c>
      <c r="AN101" s="87">
        <v>32</v>
      </c>
      <c r="AO101" s="144">
        <f t="shared" si="83"/>
        <v>4432</v>
      </c>
      <c r="AP101" s="144" t="s">
        <v>1267</v>
      </c>
      <c r="AQ101" s="144" t="str">
        <f t="shared" si="84"/>
        <v>神器本-4-噩梦-4  神器4-5</v>
      </c>
      <c r="AR101" s="87">
        <v>19</v>
      </c>
      <c r="AS101" s="87" t="s">
        <v>339</v>
      </c>
      <c r="AT101" s="87">
        <v>2000</v>
      </c>
      <c r="AU101" s="87">
        <v>1</v>
      </c>
      <c r="AV101" s="87">
        <v>1</v>
      </c>
      <c r="AW101" s="87">
        <f t="shared" si="85"/>
        <v>3</v>
      </c>
      <c r="AX101" s="14">
        <f t="shared" si="86"/>
        <v>0.2</v>
      </c>
      <c r="AY101" s="14">
        <f t="shared" si="87"/>
        <v>35</v>
      </c>
      <c r="GM101" s="91">
        <v>95</v>
      </c>
      <c r="GN101" s="14">
        <f t="shared" si="88"/>
        <v>7</v>
      </c>
      <c r="GO101" s="14">
        <f t="shared" si="89"/>
        <v>1606009</v>
      </c>
      <c r="GP101" s="14" t="str">
        <f t="shared" si="90"/>
        <v>神器2-4 : 19级</v>
      </c>
      <c r="GQ101" s="14" t="s">
        <v>816</v>
      </c>
      <c r="GR101" s="14">
        <f t="shared" si="91"/>
        <v>5</v>
      </c>
      <c r="GS101" s="14" t="str">
        <f t="shared" si="92"/>
        <v>神器2-4</v>
      </c>
      <c r="GT101" s="14">
        <f t="shared" si="93"/>
        <v>2</v>
      </c>
    </row>
    <row r="102" spans="38:202" ht="16.5" x14ac:dyDescent="0.2">
      <c r="AL102" s="87">
        <v>4</v>
      </c>
      <c r="AM102" s="87">
        <v>3</v>
      </c>
      <c r="AN102" s="87">
        <v>33</v>
      </c>
      <c r="AO102" s="144">
        <f t="shared" si="83"/>
        <v>4433</v>
      </c>
      <c r="AP102" s="144" t="s">
        <v>1268</v>
      </c>
      <c r="AQ102" s="144" t="str">
        <f t="shared" si="84"/>
        <v>神器本-4-噩梦-5  神器4-6</v>
      </c>
      <c r="AR102" s="87">
        <v>20</v>
      </c>
      <c r="AS102" s="87" t="s">
        <v>340</v>
      </c>
      <c r="AT102" s="87">
        <v>1000</v>
      </c>
      <c r="AU102" s="87">
        <v>1</v>
      </c>
      <c r="AV102" s="87">
        <v>1</v>
      </c>
      <c r="AW102" s="87">
        <f t="shared" si="85"/>
        <v>4</v>
      </c>
      <c r="AX102" s="14">
        <f t="shared" si="86"/>
        <v>0.1</v>
      </c>
      <c r="AY102" s="14">
        <f t="shared" si="87"/>
        <v>37.5</v>
      </c>
      <c r="GM102" s="91">
        <v>96</v>
      </c>
      <c r="GN102" s="14">
        <f t="shared" si="88"/>
        <v>7</v>
      </c>
      <c r="GO102" s="14">
        <f t="shared" si="89"/>
        <v>1606009</v>
      </c>
      <c r="GP102" s="14" t="str">
        <f t="shared" si="90"/>
        <v>神器2-4 : 20级</v>
      </c>
      <c r="GQ102" s="14" t="s">
        <v>816</v>
      </c>
      <c r="GR102" s="14">
        <f t="shared" si="91"/>
        <v>6</v>
      </c>
      <c r="GS102" s="14" t="str">
        <f t="shared" si="92"/>
        <v>神器2-4</v>
      </c>
      <c r="GT102" s="14">
        <f t="shared" si="93"/>
        <v>2</v>
      </c>
    </row>
    <row r="103" spans="38:202" ht="16.5" x14ac:dyDescent="0.2">
      <c r="AL103" s="87">
        <v>5</v>
      </c>
      <c r="AM103" s="87">
        <v>1</v>
      </c>
      <c r="AN103" s="87">
        <v>34</v>
      </c>
      <c r="AO103" s="144">
        <f t="shared" si="83"/>
        <v>4434</v>
      </c>
      <c r="AP103" s="144" t="s">
        <v>1269</v>
      </c>
      <c r="AQ103" s="144" t="str">
        <f t="shared" si="84"/>
        <v>神器本-5-普通-1  神器1-1</v>
      </c>
      <c r="AR103" s="87">
        <v>1</v>
      </c>
      <c r="AS103" s="87" t="s">
        <v>321</v>
      </c>
      <c r="AT103" s="87">
        <v>1500</v>
      </c>
      <c r="AU103" s="87">
        <v>1</v>
      </c>
      <c r="AV103" s="87">
        <v>1</v>
      </c>
      <c r="AW103" s="87">
        <f t="shared" si="85"/>
        <v>1</v>
      </c>
      <c r="AX103" s="14">
        <f t="shared" si="86"/>
        <v>0.15</v>
      </c>
      <c r="AY103" s="14">
        <f t="shared" si="87"/>
        <v>1.5</v>
      </c>
      <c r="GM103" s="91">
        <v>97</v>
      </c>
      <c r="GN103" s="14">
        <f t="shared" si="88"/>
        <v>7</v>
      </c>
      <c r="GO103" s="14">
        <f t="shared" si="89"/>
        <v>1606009</v>
      </c>
      <c r="GP103" s="14" t="str">
        <f t="shared" si="90"/>
        <v>神器2-4 : 1级</v>
      </c>
      <c r="GQ103" s="14" t="s">
        <v>816</v>
      </c>
      <c r="GR103" s="14">
        <f t="shared" si="91"/>
        <v>7</v>
      </c>
      <c r="GS103" s="14" t="str">
        <f t="shared" si="92"/>
        <v>神器2-4</v>
      </c>
      <c r="GT103" s="14">
        <f t="shared" si="93"/>
        <v>3</v>
      </c>
    </row>
    <row r="104" spans="38:202" ht="16.5" x14ac:dyDescent="0.2">
      <c r="AL104" s="87">
        <v>5</v>
      </c>
      <c r="AM104" s="87">
        <v>1</v>
      </c>
      <c r="AN104" s="87">
        <v>34</v>
      </c>
      <c r="AO104" s="144">
        <f t="shared" si="83"/>
        <v>4434</v>
      </c>
      <c r="AP104" s="144" t="s">
        <v>1269</v>
      </c>
      <c r="AQ104" s="144" t="str">
        <f t="shared" si="84"/>
        <v>神器本-5-普通-1  神器1-2</v>
      </c>
      <c r="AR104" s="87">
        <v>2</v>
      </c>
      <c r="AS104" s="87" t="s">
        <v>322</v>
      </c>
      <c r="AT104" s="87">
        <v>1500</v>
      </c>
      <c r="AU104" s="87">
        <v>1</v>
      </c>
      <c r="AV104" s="87">
        <v>1</v>
      </c>
      <c r="AW104" s="87">
        <f t="shared" si="85"/>
        <v>1</v>
      </c>
      <c r="AX104" s="14">
        <f t="shared" si="86"/>
        <v>0.15</v>
      </c>
      <c r="AY104" s="14">
        <f t="shared" si="87"/>
        <v>1.5</v>
      </c>
      <c r="GM104" s="91">
        <v>98</v>
      </c>
      <c r="GN104" s="14">
        <f t="shared" si="88"/>
        <v>7</v>
      </c>
      <c r="GO104" s="14">
        <f t="shared" si="89"/>
        <v>1606009</v>
      </c>
      <c r="GP104" s="14" t="str">
        <f t="shared" si="90"/>
        <v>神器2-4 : 2级</v>
      </c>
      <c r="GQ104" s="14" t="s">
        <v>816</v>
      </c>
      <c r="GR104" s="14">
        <f t="shared" si="91"/>
        <v>8</v>
      </c>
      <c r="GS104" s="14" t="str">
        <f t="shared" si="92"/>
        <v>神器2-4</v>
      </c>
      <c r="GT104" s="14">
        <f t="shared" si="93"/>
        <v>3</v>
      </c>
    </row>
    <row r="105" spans="38:202" ht="16.5" x14ac:dyDescent="0.2">
      <c r="AL105" s="87">
        <v>5</v>
      </c>
      <c r="AM105" s="87">
        <v>1</v>
      </c>
      <c r="AN105" s="87">
        <v>34</v>
      </c>
      <c r="AO105" s="144">
        <f t="shared" si="83"/>
        <v>4434</v>
      </c>
      <c r="AP105" s="144" t="s">
        <v>1269</v>
      </c>
      <c r="AQ105" s="144" t="str">
        <f t="shared" si="84"/>
        <v>神器本-5-普通-1  神器1-3</v>
      </c>
      <c r="AR105" s="87">
        <v>3</v>
      </c>
      <c r="AS105" s="87" t="s">
        <v>323</v>
      </c>
      <c r="AT105" s="87">
        <v>1000</v>
      </c>
      <c r="AU105" s="87">
        <v>1</v>
      </c>
      <c r="AV105" s="87">
        <v>1</v>
      </c>
      <c r="AW105" s="87">
        <f t="shared" si="85"/>
        <v>2</v>
      </c>
      <c r="AX105" s="14">
        <f t="shared" si="86"/>
        <v>0.1</v>
      </c>
      <c r="AY105" s="14">
        <f t="shared" si="87"/>
        <v>3</v>
      </c>
      <c r="GM105" s="91">
        <v>99</v>
      </c>
      <c r="GN105" s="14">
        <f t="shared" si="88"/>
        <v>7</v>
      </c>
      <c r="GO105" s="14">
        <f t="shared" si="89"/>
        <v>1606009</v>
      </c>
      <c r="GP105" s="14" t="str">
        <f t="shared" si="90"/>
        <v>神器2-4 : 3级</v>
      </c>
      <c r="GQ105" s="14" t="s">
        <v>816</v>
      </c>
      <c r="GR105" s="14">
        <f t="shared" si="91"/>
        <v>9</v>
      </c>
      <c r="GS105" s="14" t="str">
        <f t="shared" si="92"/>
        <v>神器2-4</v>
      </c>
      <c r="GT105" s="14">
        <f t="shared" si="93"/>
        <v>3</v>
      </c>
    </row>
    <row r="106" spans="38:202" ht="16.5" x14ac:dyDescent="0.2">
      <c r="AL106" s="87">
        <v>5</v>
      </c>
      <c r="AM106" s="87">
        <v>1</v>
      </c>
      <c r="AN106" s="87">
        <v>34</v>
      </c>
      <c r="AO106" s="144">
        <f t="shared" si="83"/>
        <v>4434</v>
      </c>
      <c r="AP106" s="144" t="s">
        <v>1269</v>
      </c>
      <c r="AQ106" s="144" t="str">
        <f t="shared" si="84"/>
        <v>神器本-5-普通-1  神器2-1</v>
      </c>
      <c r="AR106" s="87">
        <v>4</v>
      </c>
      <c r="AS106" s="87" t="s">
        <v>324</v>
      </c>
      <c r="AT106" s="87">
        <v>1500</v>
      </c>
      <c r="AU106" s="87">
        <v>1</v>
      </c>
      <c r="AV106" s="87">
        <v>1</v>
      </c>
      <c r="AW106" s="87">
        <f t="shared" si="85"/>
        <v>1</v>
      </c>
      <c r="AX106" s="14">
        <f t="shared" si="86"/>
        <v>0.15</v>
      </c>
      <c r="AY106" s="14">
        <f t="shared" si="87"/>
        <v>2.25</v>
      </c>
      <c r="GM106" s="91">
        <v>100</v>
      </c>
      <c r="GN106" s="14">
        <f t="shared" si="88"/>
        <v>7</v>
      </c>
      <c r="GO106" s="14">
        <f t="shared" si="89"/>
        <v>1606009</v>
      </c>
      <c r="GP106" s="14" t="str">
        <f t="shared" si="90"/>
        <v>神器2-4 : 4级</v>
      </c>
      <c r="GQ106" s="14" t="s">
        <v>816</v>
      </c>
      <c r="GR106" s="14">
        <f t="shared" si="91"/>
        <v>10</v>
      </c>
      <c r="GS106" s="14" t="str">
        <f t="shared" si="92"/>
        <v>神器2-4</v>
      </c>
      <c r="GT106" s="14">
        <f t="shared" si="93"/>
        <v>5</v>
      </c>
    </row>
    <row r="107" spans="38:202" ht="16.5" x14ac:dyDescent="0.2">
      <c r="AL107" s="87">
        <v>5</v>
      </c>
      <c r="AM107" s="87">
        <v>1</v>
      </c>
      <c r="AN107" s="87">
        <v>34</v>
      </c>
      <c r="AO107" s="144">
        <f t="shared" si="83"/>
        <v>4434</v>
      </c>
      <c r="AP107" s="144" t="s">
        <v>1269</v>
      </c>
      <c r="AQ107" s="144" t="str">
        <f t="shared" si="84"/>
        <v>神器本-5-普通-1  神器2-2</v>
      </c>
      <c r="AR107" s="87">
        <v>5</v>
      </c>
      <c r="AS107" s="87" t="s">
        <v>325</v>
      </c>
      <c r="AT107" s="87">
        <v>1500</v>
      </c>
      <c r="AU107" s="87">
        <v>1</v>
      </c>
      <c r="AV107" s="87">
        <v>1</v>
      </c>
      <c r="AW107" s="87">
        <f t="shared" si="85"/>
        <v>1</v>
      </c>
      <c r="AX107" s="14">
        <f t="shared" si="86"/>
        <v>0.15</v>
      </c>
      <c r="AY107" s="14">
        <f t="shared" si="87"/>
        <v>2.25</v>
      </c>
      <c r="GM107" s="91">
        <v>101</v>
      </c>
      <c r="GN107" s="14">
        <f t="shared" si="88"/>
        <v>7</v>
      </c>
      <c r="GO107" s="14">
        <f t="shared" si="89"/>
        <v>1606009</v>
      </c>
      <c r="GP107" s="14" t="str">
        <f t="shared" si="90"/>
        <v>神器2-4 : 5级</v>
      </c>
      <c r="GQ107" s="14" t="s">
        <v>816</v>
      </c>
      <c r="GR107" s="14">
        <f t="shared" si="91"/>
        <v>11</v>
      </c>
      <c r="GS107" s="14" t="str">
        <f t="shared" si="92"/>
        <v>神器2-4</v>
      </c>
      <c r="GT107" s="14">
        <f t="shared" si="93"/>
        <v>5</v>
      </c>
    </row>
    <row r="108" spans="38:202" ht="16.5" x14ac:dyDescent="0.2">
      <c r="AL108" s="87">
        <v>5</v>
      </c>
      <c r="AM108" s="87">
        <v>1</v>
      </c>
      <c r="AN108" s="87">
        <v>34</v>
      </c>
      <c r="AO108" s="144">
        <f t="shared" si="83"/>
        <v>4434</v>
      </c>
      <c r="AP108" s="144" t="s">
        <v>1269</v>
      </c>
      <c r="AQ108" s="144" t="str">
        <f t="shared" si="84"/>
        <v>神器本-5-普通-1  神器2-3</v>
      </c>
      <c r="AR108" s="87">
        <v>6</v>
      </c>
      <c r="AS108" s="87" t="s">
        <v>326</v>
      </c>
      <c r="AT108" s="87">
        <v>1000</v>
      </c>
      <c r="AU108" s="87">
        <v>1</v>
      </c>
      <c r="AV108" s="87">
        <v>1</v>
      </c>
      <c r="AW108" s="87">
        <f t="shared" si="85"/>
        <v>2</v>
      </c>
      <c r="AX108" s="14">
        <f t="shared" si="86"/>
        <v>0.1</v>
      </c>
      <c r="AY108" s="14">
        <f t="shared" si="87"/>
        <v>4.5</v>
      </c>
      <c r="GM108" s="91">
        <v>102</v>
      </c>
      <c r="GN108" s="14">
        <f t="shared" si="88"/>
        <v>7</v>
      </c>
      <c r="GO108" s="14">
        <f t="shared" si="89"/>
        <v>1606009</v>
      </c>
      <c r="GP108" s="14" t="str">
        <f t="shared" si="90"/>
        <v>神器2-4 : 6级</v>
      </c>
      <c r="GQ108" s="14" t="s">
        <v>816</v>
      </c>
      <c r="GR108" s="14">
        <f t="shared" si="91"/>
        <v>12</v>
      </c>
      <c r="GS108" s="14" t="str">
        <f t="shared" si="92"/>
        <v>神器2-4</v>
      </c>
      <c r="GT108" s="14">
        <f t="shared" si="93"/>
        <v>6</v>
      </c>
    </row>
    <row r="109" spans="38:202" ht="16.5" x14ac:dyDescent="0.2">
      <c r="AL109" s="87">
        <v>5</v>
      </c>
      <c r="AM109" s="87">
        <v>1</v>
      </c>
      <c r="AN109" s="87">
        <v>34</v>
      </c>
      <c r="AO109" s="144">
        <f t="shared" si="83"/>
        <v>4434</v>
      </c>
      <c r="AP109" s="144" t="s">
        <v>1269</v>
      </c>
      <c r="AQ109" s="144" t="str">
        <f t="shared" si="84"/>
        <v>神器本-5-普通-1  神器2-4</v>
      </c>
      <c r="AR109" s="87">
        <v>7</v>
      </c>
      <c r="AS109" s="87" t="s">
        <v>327</v>
      </c>
      <c r="AT109" s="87">
        <v>1000</v>
      </c>
      <c r="AU109" s="87">
        <v>1</v>
      </c>
      <c r="AV109" s="87">
        <v>1</v>
      </c>
      <c r="AW109" s="87">
        <f t="shared" si="85"/>
        <v>2</v>
      </c>
      <c r="AX109" s="14">
        <f t="shared" si="86"/>
        <v>0.1</v>
      </c>
      <c r="AY109" s="14">
        <f t="shared" si="87"/>
        <v>4.5</v>
      </c>
      <c r="GM109" s="91">
        <v>103</v>
      </c>
      <c r="GN109" s="14">
        <f t="shared" si="88"/>
        <v>7</v>
      </c>
      <c r="GO109" s="14">
        <f t="shared" si="89"/>
        <v>1606009</v>
      </c>
      <c r="GP109" s="14" t="str">
        <f t="shared" si="90"/>
        <v>神器2-4 : 7级</v>
      </c>
      <c r="GQ109" s="14" t="s">
        <v>816</v>
      </c>
      <c r="GR109" s="14">
        <f t="shared" si="91"/>
        <v>13</v>
      </c>
      <c r="GS109" s="14" t="str">
        <f t="shared" si="92"/>
        <v>神器2-4</v>
      </c>
      <c r="GT109" s="14">
        <f t="shared" si="93"/>
        <v>7</v>
      </c>
    </row>
    <row r="110" spans="38:202" ht="16.5" x14ac:dyDescent="0.2">
      <c r="AL110" s="87">
        <v>5</v>
      </c>
      <c r="AM110" s="87">
        <v>1</v>
      </c>
      <c r="AN110" s="87">
        <v>34</v>
      </c>
      <c r="AO110" s="144">
        <f t="shared" si="83"/>
        <v>4434</v>
      </c>
      <c r="AP110" s="144" t="s">
        <v>1269</v>
      </c>
      <c r="AQ110" s="144" t="str">
        <f t="shared" si="84"/>
        <v>神器本-5-普通-1  神器2-5</v>
      </c>
      <c r="AR110" s="87">
        <v>8</v>
      </c>
      <c r="AS110" s="87" t="s">
        <v>328</v>
      </c>
      <c r="AT110" s="87">
        <v>1000</v>
      </c>
      <c r="AU110" s="87">
        <v>1</v>
      </c>
      <c r="AV110" s="87">
        <v>1</v>
      </c>
      <c r="AW110" s="87">
        <f t="shared" si="85"/>
        <v>3</v>
      </c>
      <c r="AX110" s="14">
        <f t="shared" si="86"/>
        <v>0.1</v>
      </c>
      <c r="AY110" s="14">
        <f t="shared" si="87"/>
        <v>10.5</v>
      </c>
      <c r="GM110" s="91">
        <v>104</v>
      </c>
      <c r="GN110" s="14">
        <f t="shared" si="88"/>
        <v>7</v>
      </c>
      <c r="GO110" s="14">
        <f t="shared" si="89"/>
        <v>1606009</v>
      </c>
      <c r="GP110" s="14" t="str">
        <f t="shared" si="90"/>
        <v>神器2-4 : 8级</v>
      </c>
      <c r="GQ110" s="14" t="s">
        <v>816</v>
      </c>
      <c r="GR110" s="14">
        <f t="shared" si="91"/>
        <v>14</v>
      </c>
      <c r="GS110" s="14" t="str">
        <f t="shared" si="92"/>
        <v>神器2-4</v>
      </c>
      <c r="GT110" s="14">
        <f t="shared" si="93"/>
        <v>7</v>
      </c>
    </row>
    <row r="111" spans="38:202" ht="16.5" x14ac:dyDescent="0.2">
      <c r="AL111" s="87">
        <v>5</v>
      </c>
      <c r="AM111" s="87">
        <v>1</v>
      </c>
      <c r="AN111" s="87">
        <v>35</v>
      </c>
      <c r="AO111" s="144">
        <f t="shared" si="83"/>
        <v>4435</v>
      </c>
      <c r="AP111" s="144" t="s">
        <v>1270</v>
      </c>
      <c r="AQ111" s="144" t="str">
        <f t="shared" si="84"/>
        <v>神器本-5-普通-2  神器5-1</v>
      </c>
      <c r="AR111" s="87">
        <v>21</v>
      </c>
      <c r="AS111" s="87" t="s">
        <v>341</v>
      </c>
      <c r="AT111" s="87">
        <v>5000</v>
      </c>
      <c r="AU111" s="87">
        <v>1</v>
      </c>
      <c r="AV111" s="87">
        <v>3</v>
      </c>
      <c r="AW111" s="87">
        <f t="shared" si="85"/>
        <v>1</v>
      </c>
      <c r="AX111" s="14">
        <f t="shared" si="86"/>
        <v>1</v>
      </c>
      <c r="AY111" s="14">
        <f t="shared" si="87"/>
        <v>30</v>
      </c>
      <c r="GM111" s="91">
        <v>105</v>
      </c>
      <c r="GN111" s="14">
        <f t="shared" si="88"/>
        <v>7</v>
      </c>
      <c r="GO111" s="14">
        <f t="shared" si="89"/>
        <v>1606009</v>
      </c>
      <c r="GP111" s="14" t="str">
        <f t="shared" si="90"/>
        <v>神器2-4 : 21级</v>
      </c>
      <c r="GQ111" s="14" t="s">
        <v>816</v>
      </c>
      <c r="GR111" s="14">
        <f t="shared" si="91"/>
        <v>15</v>
      </c>
      <c r="GS111" s="14" t="str">
        <f t="shared" si="92"/>
        <v>神器2-4</v>
      </c>
      <c r="GT111" s="14">
        <f t="shared" si="93"/>
        <v>7</v>
      </c>
    </row>
    <row r="112" spans="38:202" ht="16.5" x14ac:dyDescent="0.2">
      <c r="AL112" s="87">
        <v>5</v>
      </c>
      <c r="AM112" s="87">
        <v>1</v>
      </c>
      <c r="AN112" s="87">
        <v>35</v>
      </c>
      <c r="AO112" s="144">
        <f t="shared" si="83"/>
        <v>4435</v>
      </c>
      <c r="AP112" s="144" t="s">
        <v>1270</v>
      </c>
      <c r="AQ112" s="144" t="str">
        <f t="shared" si="84"/>
        <v>神器本-5-普通-2  神器5-2</v>
      </c>
      <c r="AR112" s="87">
        <v>22</v>
      </c>
      <c r="AS112" s="87" t="s">
        <v>342</v>
      </c>
      <c r="AT112" s="87">
        <v>5000</v>
      </c>
      <c r="AU112" s="87">
        <v>1</v>
      </c>
      <c r="AV112" s="87">
        <v>3</v>
      </c>
      <c r="AW112" s="87">
        <f t="shared" si="85"/>
        <v>1</v>
      </c>
      <c r="AX112" s="14">
        <f t="shared" si="86"/>
        <v>1</v>
      </c>
      <c r="AY112" s="14">
        <f t="shared" si="87"/>
        <v>30</v>
      </c>
      <c r="GM112" s="91">
        <v>106</v>
      </c>
      <c r="GN112" s="14">
        <f t="shared" si="88"/>
        <v>8</v>
      </c>
      <c r="GO112" s="14">
        <f t="shared" si="89"/>
        <v>1606010</v>
      </c>
      <c r="GP112" s="14" t="str">
        <f t="shared" si="90"/>
        <v>神器2-5 : 22级</v>
      </c>
      <c r="GQ112" s="14" t="s">
        <v>816</v>
      </c>
      <c r="GR112" s="14">
        <f t="shared" si="91"/>
        <v>1</v>
      </c>
      <c r="GS112" s="14" t="str">
        <f t="shared" si="92"/>
        <v>神器2-5</v>
      </c>
      <c r="GT112" s="14">
        <f t="shared" si="93"/>
        <v>1</v>
      </c>
    </row>
    <row r="113" spans="38:202" ht="16.5" x14ac:dyDescent="0.2">
      <c r="AL113" s="87">
        <v>5</v>
      </c>
      <c r="AM113" s="87">
        <v>1</v>
      </c>
      <c r="AN113" s="87">
        <v>36</v>
      </c>
      <c r="AO113" s="144">
        <f t="shared" si="83"/>
        <v>4436</v>
      </c>
      <c r="AP113" s="144" t="s">
        <v>1295</v>
      </c>
      <c r="AQ113" s="144" t="str">
        <f t="shared" si="84"/>
        <v>神器本-5-普通-3  神器5-3</v>
      </c>
      <c r="AR113" s="87">
        <v>23</v>
      </c>
      <c r="AS113" s="87" t="s">
        <v>343</v>
      </c>
      <c r="AT113" s="87">
        <v>3500</v>
      </c>
      <c r="AU113" s="87">
        <v>1</v>
      </c>
      <c r="AV113" s="87">
        <v>2</v>
      </c>
      <c r="AW113" s="87">
        <f t="shared" si="85"/>
        <v>2</v>
      </c>
      <c r="AX113" s="14">
        <f t="shared" si="86"/>
        <v>0.52500000000000002</v>
      </c>
      <c r="AY113" s="14">
        <f t="shared" si="87"/>
        <v>47.25</v>
      </c>
      <c r="GM113" s="91">
        <v>107</v>
      </c>
      <c r="GN113" s="14">
        <f t="shared" si="88"/>
        <v>8</v>
      </c>
      <c r="GO113" s="14">
        <f t="shared" si="89"/>
        <v>1606010</v>
      </c>
      <c r="GP113" s="14" t="str">
        <f t="shared" si="90"/>
        <v>神器2-5 : 23级</v>
      </c>
      <c r="GQ113" s="14" t="s">
        <v>816</v>
      </c>
      <c r="GR113" s="14">
        <f t="shared" si="91"/>
        <v>2</v>
      </c>
      <c r="GS113" s="14" t="str">
        <f t="shared" si="92"/>
        <v>神器2-5</v>
      </c>
      <c r="GT113" s="14">
        <f t="shared" si="93"/>
        <v>1</v>
      </c>
    </row>
    <row r="114" spans="38:202" ht="16.5" x14ac:dyDescent="0.2">
      <c r="AL114" s="87">
        <v>5</v>
      </c>
      <c r="AM114" s="87">
        <v>1</v>
      </c>
      <c r="AN114" s="87">
        <v>36</v>
      </c>
      <c r="AO114" s="144">
        <f t="shared" si="83"/>
        <v>4436</v>
      </c>
      <c r="AP114" s="144" t="s">
        <v>1296</v>
      </c>
      <c r="AQ114" s="144" t="str">
        <f t="shared" si="84"/>
        <v>神器本-5-普通-3  神器5-4</v>
      </c>
      <c r="AR114" s="87">
        <v>24</v>
      </c>
      <c r="AS114" s="87" t="s">
        <v>344</v>
      </c>
      <c r="AT114" s="87">
        <v>3500</v>
      </c>
      <c r="AU114" s="87">
        <v>1</v>
      </c>
      <c r="AV114" s="87">
        <v>2</v>
      </c>
      <c r="AW114" s="87">
        <f t="shared" si="85"/>
        <v>2</v>
      </c>
      <c r="AX114" s="14">
        <f t="shared" si="86"/>
        <v>0.52500000000000002</v>
      </c>
      <c r="AY114" s="14">
        <f t="shared" si="87"/>
        <v>47.25</v>
      </c>
      <c r="GM114" s="91">
        <v>108</v>
      </c>
      <c r="GN114" s="14">
        <f t="shared" si="88"/>
        <v>8</v>
      </c>
      <c r="GO114" s="14">
        <f t="shared" si="89"/>
        <v>1606010</v>
      </c>
      <c r="GP114" s="14" t="str">
        <f t="shared" si="90"/>
        <v>神器2-5 : 24级</v>
      </c>
      <c r="GQ114" s="14" t="s">
        <v>816</v>
      </c>
      <c r="GR114" s="14">
        <f t="shared" si="91"/>
        <v>3</v>
      </c>
      <c r="GS114" s="14" t="str">
        <f t="shared" si="92"/>
        <v>神器2-5</v>
      </c>
      <c r="GT114" s="14">
        <f t="shared" si="93"/>
        <v>1</v>
      </c>
    </row>
    <row r="115" spans="38:202" ht="16.5" x14ac:dyDescent="0.2">
      <c r="AL115" s="87">
        <v>5</v>
      </c>
      <c r="AM115" s="87">
        <v>2</v>
      </c>
      <c r="AN115" s="87">
        <v>37</v>
      </c>
      <c r="AO115" s="144">
        <f t="shared" si="83"/>
        <v>4437</v>
      </c>
      <c r="AP115" s="144" t="s">
        <v>1271</v>
      </c>
      <c r="AQ115" s="144" t="str">
        <f t="shared" si="84"/>
        <v>神器本-5-困难-1  神器1-1</v>
      </c>
      <c r="AR115" s="87">
        <v>1</v>
      </c>
      <c r="AS115" s="87" t="s">
        <v>321</v>
      </c>
      <c r="AT115" s="87">
        <v>1500</v>
      </c>
      <c r="AU115" s="87">
        <v>1</v>
      </c>
      <c r="AV115" s="87">
        <v>1</v>
      </c>
      <c r="AW115" s="87">
        <f t="shared" si="85"/>
        <v>1</v>
      </c>
      <c r="AX115" s="14">
        <f t="shared" si="86"/>
        <v>0.15</v>
      </c>
      <c r="AY115" s="14">
        <f t="shared" si="87"/>
        <v>1.5</v>
      </c>
      <c r="GM115" s="91">
        <v>109</v>
      </c>
      <c r="GN115" s="14">
        <f t="shared" si="88"/>
        <v>8</v>
      </c>
      <c r="GO115" s="14">
        <f t="shared" si="89"/>
        <v>1606010</v>
      </c>
      <c r="GP115" s="14" t="str">
        <f t="shared" si="90"/>
        <v>神器2-5 : 1级</v>
      </c>
      <c r="GQ115" s="14" t="s">
        <v>816</v>
      </c>
      <c r="GR115" s="14">
        <f t="shared" si="91"/>
        <v>4</v>
      </c>
      <c r="GS115" s="14" t="str">
        <f t="shared" si="92"/>
        <v>神器2-5</v>
      </c>
      <c r="GT115" s="14">
        <f t="shared" si="93"/>
        <v>2</v>
      </c>
    </row>
    <row r="116" spans="38:202" ht="16.5" x14ac:dyDescent="0.2">
      <c r="AL116" s="87">
        <v>5</v>
      </c>
      <c r="AM116" s="87">
        <v>2</v>
      </c>
      <c r="AN116" s="87">
        <v>37</v>
      </c>
      <c r="AO116" s="144">
        <f t="shared" si="83"/>
        <v>4437</v>
      </c>
      <c r="AP116" s="144" t="s">
        <v>1271</v>
      </c>
      <c r="AQ116" s="144" t="str">
        <f t="shared" si="84"/>
        <v>神器本-5-困难-1  神器1-2</v>
      </c>
      <c r="AR116" s="87">
        <v>2</v>
      </c>
      <c r="AS116" s="87" t="s">
        <v>322</v>
      </c>
      <c r="AT116" s="87">
        <v>1500</v>
      </c>
      <c r="AU116" s="87">
        <v>1</v>
      </c>
      <c r="AV116" s="87">
        <v>1</v>
      </c>
      <c r="AW116" s="87">
        <f t="shared" si="85"/>
        <v>1</v>
      </c>
      <c r="AX116" s="14">
        <f t="shared" si="86"/>
        <v>0.15</v>
      </c>
      <c r="AY116" s="14">
        <f t="shared" si="87"/>
        <v>1.5</v>
      </c>
      <c r="GM116" s="91">
        <v>110</v>
      </c>
      <c r="GN116" s="14">
        <f t="shared" si="88"/>
        <v>8</v>
      </c>
      <c r="GO116" s="14">
        <f t="shared" si="89"/>
        <v>1606010</v>
      </c>
      <c r="GP116" s="14" t="str">
        <f t="shared" si="90"/>
        <v>神器2-5 : 2级</v>
      </c>
      <c r="GQ116" s="14" t="s">
        <v>816</v>
      </c>
      <c r="GR116" s="14">
        <f t="shared" si="91"/>
        <v>5</v>
      </c>
      <c r="GS116" s="14" t="str">
        <f t="shared" si="92"/>
        <v>神器2-5</v>
      </c>
      <c r="GT116" s="14">
        <f t="shared" si="93"/>
        <v>2</v>
      </c>
    </row>
    <row r="117" spans="38:202" ht="16.5" x14ac:dyDescent="0.2">
      <c r="AL117" s="87">
        <v>5</v>
      </c>
      <c r="AM117" s="87">
        <v>2</v>
      </c>
      <c r="AN117" s="87">
        <v>37</v>
      </c>
      <c r="AO117" s="144">
        <f t="shared" si="83"/>
        <v>4437</v>
      </c>
      <c r="AP117" s="144" t="s">
        <v>1271</v>
      </c>
      <c r="AQ117" s="144" t="str">
        <f t="shared" si="84"/>
        <v>神器本-5-困难-1  神器1-3</v>
      </c>
      <c r="AR117" s="87">
        <v>3</v>
      </c>
      <c r="AS117" s="87" t="s">
        <v>323</v>
      </c>
      <c r="AT117" s="87">
        <v>1000</v>
      </c>
      <c r="AU117" s="87">
        <v>1</v>
      </c>
      <c r="AV117" s="87">
        <v>1</v>
      </c>
      <c r="AW117" s="87">
        <f t="shared" si="85"/>
        <v>2</v>
      </c>
      <c r="AX117" s="14">
        <f t="shared" si="86"/>
        <v>0.1</v>
      </c>
      <c r="AY117" s="14">
        <f t="shared" si="87"/>
        <v>3</v>
      </c>
      <c r="GM117" s="91">
        <v>111</v>
      </c>
      <c r="GN117" s="14">
        <f t="shared" si="88"/>
        <v>8</v>
      </c>
      <c r="GO117" s="14">
        <f t="shared" si="89"/>
        <v>1606010</v>
      </c>
      <c r="GP117" s="14" t="str">
        <f t="shared" si="90"/>
        <v>神器2-5 : 3级</v>
      </c>
      <c r="GQ117" s="14" t="s">
        <v>816</v>
      </c>
      <c r="GR117" s="14">
        <f t="shared" si="91"/>
        <v>6</v>
      </c>
      <c r="GS117" s="14" t="str">
        <f t="shared" si="92"/>
        <v>神器2-5</v>
      </c>
      <c r="GT117" s="14">
        <f t="shared" si="93"/>
        <v>2</v>
      </c>
    </row>
    <row r="118" spans="38:202" ht="16.5" x14ac:dyDescent="0.2">
      <c r="AL118" s="87">
        <v>5</v>
      </c>
      <c r="AM118" s="87">
        <v>2</v>
      </c>
      <c r="AN118" s="87">
        <v>37</v>
      </c>
      <c r="AO118" s="144">
        <f t="shared" si="83"/>
        <v>4437</v>
      </c>
      <c r="AP118" s="144" t="s">
        <v>1271</v>
      </c>
      <c r="AQ118" s="144" t="str">
        <f t="shared" si="84"/>
        <v>神器本-5-困难-1  神器2-1</v>
      </c>
      <c r="AR118" s="87">
        <v>4</v>
      </c>
      <c r="AS118" s="87" t="s">
        <v>324</v>
      </c>
      <c r="AT118" s="87">
        <v>1500</v>
      </c>
      <c r="AU118" s="87">
        <v>1</v>
      </c>
      <c r="AV118" s="87">
        <v>1</v>
      </c>
      <c r="AW118" s="87">
        <f t="shared" si="85"/>
        <v>1</v>
      </c>
      <c r="AX118" s="14">
        <f t="shared" si="86"/>
        <v>0.15</v>
      </c>
      <c r="AY118" s="14">
        <f t="shared" si="87"/>
        <v>2.25</v>
      </c>
      <c r="GM118" s="91">
        <v>112</v>
      </c>
      <c r="GN118" s="14">
        <f t="shared" si="88"/>
        <v>8</v>
      </c>
      <c r="GO118" s="14">
        <f t="shared" si="89"/>
        <v>1606010</v>
      </c>
      <c r="GP118" s="14" t="str">
        <f t="shared" si="90"/>
        <v>神器2-5 : 4级</v>
      </c>
      <c r="GQ118" s="14" t="s">
        <v>816</v>
      </c>
      <c r="GR118" s="14">
        <f t="shared" si="91"/>
        <v>7</v>
      </c>
      <c r="GS118" s="14" t="str">
        <f t="shared" si="92"/>
        <v>神器2-5</v>
      </c>
      <c r="GT118" s="14">
        <f t="shared" si="93"/>
        <v>3</v>
      </c>
    </row>
    <row r="119" spans="38:202" ht="16.5" x14ac:dyDescent="0.2">
      <c r="AL119" s="87">
        <v>5</v>
      </c>
      <c r="AM119" s="87">
        <v>2</v>
      </c>
      <c r="AN119" s="87">
        <v>37</v>
      </c>
      <c r="AO119" s="144">
        <f t="shared" si="83"/>
        <v>4437</v>
      </c>
      <c r="AP119" s="144" t="s">
        <v>1271</v>
      </c>
      <c r="AQ119" s="144" t="str">
        <f t="shared" si="84"/>
        <v>神器本-5-困难-1  神器2-2</v>
      </c>
      <c r="AR119" s="87">
        <v>5</v>
      </c>
      <c r="AS119" s="87" t="s">
        <v>325</v>
      </c>
      <c r="AT119" s="87">
        <v>1500</v>
      </c>
      <c r="AU119" s="87">
        <v>1</v>
      </c>
      <c r="AV119" s="87">
        <v>1</v>
      </c>
      <c r="AW119" s="87">
        <f t="shared" si="85"/>
        <v>1</v>
      </c>
      <c r="AX119" s="14">
        <f t="shared" si="86"/>
        <v>0.15</v>
      </c>
      <c r="AY119" s="14">
        <f t="shared" si="87"/>
        <v>2.25</v>
      </c>
      <c r="GM119" s="91">
        <v>113</v>
      </c>
      <c r="GN119" s="14">
        <f t="shared" si="88"/>
        <v>8</v>
      </c>
      <c r="GO119" s="14">
        <f t="shared" si="89"/>
        <v>1606010</v>
      </c>
      <c r="GP119" s="14" t="str">
        <f t="shared" si="90"/>
        <v>神器2-5 : 5级</v>
      </c>
      <c r="GQ119" s="14" t="s">
        <v>816</v>
      </c>
      <c r="GR119" s="14">
        <f t="shared" si="91"/>
        <v>8</v>
      </c>
      <c r="GS119" s="14" t="str">
        <f t="shared" si="92"/>
        <v>神器2-5</v>
      </c>
      <c r="GT119" s="14">
        <f t="shared" si="93"/>
        <v>3</v>
      </c>
    </row>
    <row r="120" spans="38:202" ht="16.5" x14ac:dyDescent="0.2">
      <c r="AL120" s="87">
        <v>5</v>
      </c>
      <c r="AM120" s="87">
        <v>2</v>
      </c>
      <c r="AN120" s="87">
        <v>37</v>
      </c>
      <c r="AO120" s="144">
        <f t="shared" si="83"/>
        <v>4437</v>
      </c>
      <c r="AP120" s="144" t="s">
        <v>1271</v>
      </c>
      <c r="AQ120" s="144" t="str">
        <f t="shared" si="84"/>
        <v>神器本-5-困难-1  神器2-3</v>
      </c>
      <c r="AR120" s="87">
        <v>6</v>
      </c>
      <c r="AS120" s="87" t="s">
        <v>326</v>
      </c>
      <c r="AT120" s="87">
        <v>1000</v>
      </c>
      <c r="AU120" s="87">
        <v>1</v>
      </c>
      <c r="AV120" s="87">
        <v>1</v>
      </c>
      <c r="AW120" s="87">
        <f t="shared" si="85"/>
        <v>2</v>
      </c>
      <c r="AX120" s="14">
        <f t="shared" si="86"/>
        <v>0.1</v>
      </c>
      <c r="AY120" s="14">
        <f t="shared" si="87"/>
        <v>4.5</v>
      </c>
      <c r="GM120" s="91">
        <v>114</v>
      </c>
      <c r="GN120" s="14">
        <f t="shared" si="88"/>
        <v>8</v>
      </c>
      <c r="GO120" s="14">
        <f t="shared" si="89"/>
        <v>1606010</v>
      </c>
      <c r="GP120" s="14" t="str">
        <f t="shared" si="90"/>
        <v>神器2-5 : 6级</v>
      </c>
      <c r="GQ120" s="14" t="s">
        <v>816</v>
      </c>
      <c r="GR120" s="14">
        <f t="shared" si="91"/>
        <v>9</v>
      </c>
      <c r="GS120" s="14" t="str">
        <f t="shared" si="92"/>
        <v>神器2-5</v>
      </c>
      <c r="GT120" s="14">
        <f t="shared" si="93"/>
        <v>3</v>
      </c>
    </row>
    <row r="121" spans="38:202" ht="16.5" x14ac:dyDescent="0.2">
      <c r="AL121" s="87">
        <v>5</v>
      </c>
      <c r="AM121" s="87">
        <v>2</v>
      </c>
      <c r="AN121" s="87">
        <v>37</v>
      </c>
      <c r="AO121" s="144">
        <f t="shared" si="83"/>
        <v>4437</v>
      </c>
      <c r="AP121" s="144" t="s">
        <v>1271</v>
      </c>
      <c r="AQ121" s="144" t="str">
        <f t="shared" si="84"/>
        <v>神器本-5-困难-1  神器2-4</v>
      </c>
      <c r="AR121" s="87">
        <v>7</v>
      </c>
      <c r="AS121" s="87" t="s">
        <v>327</v>
      </c>
      <c r="AT121" s="87">
        <v>1000</v>
      </c>
      <c r="AU121" s="87">
        <v>1</v>
      </c>
      <c r="AV121" s="87">
        <v>1</v>
      </c>
      <c r="AW121" s="87">
        <f t="shared" si="85"/>
        <v>2</v>
      </c>
      <c r="AX121" s="14">
        <f t="shared" si="86"/>
        <v>0.1</v>
      </c>
      <c r="AY121" s="14">
        <f t="shared" si="87"/>
        <v>4.5</v>
      </c>
      <c r="GM121" s="91">
        <v>115</v>
      </c>
      <c r="GN121" s="14">
        <f t="shared" si="88"/>
        <v>8</v>
      </c>
      <c r="GO121" s="14">
        <f t="shared" si="89"/>
        <v>1606010</v>
      </c>
      <c r="GP121" s="14" t="str">
        <f t="shared" si="90"/>
        <v>神器2-5 : 7级</v>
      </c>
      <c r="GQ121" s="14" t="s">
        <v>816</v>
      </c>
      <c r="GR121" s="14">
        <f t="shared" si="91"/>
        <v>10</v>
      </c>
      <c r="GS121" s="14" t="str">
        <f t="shared" si="92"/>
        <v>神器2-5</v>
      </c>
      <c r="GT121" s="14">
        <f t="shared" si="93"/>
        <v>5</v>
      </c>
    </row>
    <row r="122" spans="38:202" ht="16.5" x14ac:dyDescent="0.2">
      <c r="AL122" s="87">
        <v>5</v>
      </c>
      <c r="AM122" s="87">
        <v>2</v>
      </c>
      <c r="AN122" s="87">
        <v>37</v>
      </c>
      <c r="AO122" s="144">
        <f t="shared" si="83"/>
        <v>4437</v>
      </c>
      <c r="AP122" s="144" t="s">
        <v>1271</v>
      </c>
      <c r="AQ122" s="144" t="str">
        <f t="shared" si="84"/>
        <v>神器本-5-困难-1  神器2-5</v>
      </c>
      <c r="AR122" s="87">
        <v>8</v>
      </c>
      <c r="AS122" s="87" t="s">
        <v>328</v>
      </c>
      <c r="AT122" s="87">
        <v>1000</v>
      </c>
      <c r="AU122" s="87">
        <v>1</v>
      </c>
      <c r="AV122" s="87">
        <v>1</v>
      </c>
      <c r="AW122" s="87">
        <f t="shared" si="85"/>
        <v>3</v>
      </c>
      <c r="AX122" s="14">
        <f t="shared" si="86"/>
        <v>0.1</v>
      </c>
      <c r="AY122" s="14">
        <f t="shared" si="87"/>
        <v>10.5</v>
      </c>
      <c r="GM122" s="91">
        <v>116</v>
      </c>
      <c r="GN122" s="14">
        <f t="shared" si="88"/>
        <v>8</v>
      </c>
      <c r="GO122" s="14">
        <f t="shared" si="89"/>
        <v>1606010</v>
      </c>
      <c r="GP122" s="14" t="str">
        <f t="shared" si="90"/>
        <v>神器2-5 : 8级</v>
      </c>
      <c r="GQ122" s="14" t="s">
        <v>816</v>
      </c>
      <c r="GR122" s="14">
        <f t="shared" si="91"/>
        <v>11</v>
      </c>
      <c r="GS122" s="14" t="str">
        <f t="shared" si="92"/>
        <v>神器2-5</v>
      </c>
      <c r="GT122" s="14">
        <f t="shared" si="93"/>
        <v>5</v>
      </c>
    </row>
    <row r="123" spans="38:202" ht="16.5" x14ac:dyDescent="0.2">
      <c r="AL123" s="87">
        <v>5</v>
      </c>
      <c r="AM123" s="87">
        <v>2</v>
      </c>
      <c r="AN123" s="87">
        <v>38</v>
      </c>
      <c r="AO123" s="144">
        <f t="shared" si="83"/>
        <v>4438</v>
      </c>
      <c r="AP123" s="144" t="s">
        <v>1272</v>
      </c>
      <c r="AQ123" s="144" t="str">
        <f t="shared" si="84"/>
        <v>神器本-5-困难-2  神器5-1</v>
      </c>
      <c r="AR123" s="87">
        <v>21</v>
      </c>
      <c r="AS123" s="87" t="s">
        <v>341</v>
      </c>
      <c r="AT123" s="87">
        <v>5000</v>
      </c>
      <c r="AU123" s="87">
        <v>1</v>
      </c>
      <c r="AV123" s="87">
        <v>3</v>
      </c>
      <c r="AW123" s="87">
        <f t="shared" si="85"/>
        <v>1</v>
      </c>
      <c r="AX123" s="14">
        <f t="shared" si="86"/>
        <v>1</v>
      </c>
      <c r="AY123" s="14">
        <f t="shared" si="87"/>
        <v>30</v>
      </c>
      <c r="GM123" s="91">
        <v>117</v>
      </c>
      <c r="GN123" s="14">
        <f t="shared" si="88"/>
        <v>8</v>
      </c>
      <c r="GO123" s="14">
        <f t="shared" si="89"/>
        <v>1606010</v>
      </c>
      <c r="GP123" s="14" t="str">
        <f t="shared" si="90"/>
        <v>神器2-5 : 21级</v>
      </c>
      <c r="GQ123" s="14" t="s">
        <v>816</v>
      </c>
      <c r="GR123" s="14">
        <f t="shared" si="91"/>
        <v>12</v>
      </c>
      <c r="GS123" s="14" t="str">
        <f t="shared" si="92"/>
        <v>神器2-5</v>
      </c>
      <c r="GT123" s="14">
        <f t="shared" si="93"/>
        <v>6</v>
      </c>
    </row>
    <row r="124" spans="38:202" ht="16.5" x14ac:dyDescent="0.2">
      <c r="AL124" s="87">
        <v>5</v>
      </c>
      <c r="AM124" s="87">
        <v>2</v>
      </c>
      <c r="AN124" s="87">
        <v>38</v>
      </c>
      <c r="AO124" s="144">
        <f t="shared" si="83"/>
        <v>4438</v>
      </c>
      <c r="AP124" s="144" t="s">
        <v>1272</v>
      </c>
      <c r="AQ124" s="144" t="str">
        <f t="shared" si="84"/>
        <v>神器本-5-困难-2  神器5-2</v>
      </c>
      <c r="AR124" s="87">
        <v>22</v>
      </c>
      <c r="AS124" s="87" t="s">
        <v>342</v>
      </c>
      <c r="AT124" s="87">
        <v>5000</v>
      </c>
      <c r="AU124" s="87">
        <v>1</v>
      </c>
      <c r="AV124" s="87">
        <v>3</v>
      </c>
      <c r="AW124" s="87">
        <f t="shared" si="85"/>
        <v>1</v>
      </c>
      <c r="AX124" s="14">
        <f t="shared" si="86"/>
        <v>1</v>
      </c>
      <c r="AY124" s="14">
        <f t="shared" si="87"/>
        <v>30</v>
      </c>
      <c r="GM124" s="91">
        <v>118</v>
      </c>
      <c r="GN124" s="14">
        <f t="shared" si="88"/>
        <v>8</v>
      </c>
      <c r="GO124" s="14">
        <f t="shared" si="89"/>
        <v>1606010</v>
      </c>
      <c r="GP124" s="14" t="str">
        <f t="shared" si="90"/>
        <v>神器2-5 : 22级</v>
      </c>
      <c r="GQ124" s="14" t="s">
        <v>816</v>
      </c>
      <c r="GR124" s="14">
        <f t="shared" si="91"/>
        <v>13</v>
      </c>
      <c r="GS124" s="14" t="str">
        <f t="shared" si="92"/>
        <v>神器2-5</v>
      </c>
      <c r="GT124" s="14">
        <f t="shared" si="93"/>
        <v>7</v>
      </c>
    </row>
    <row r="125" spans="38:202" ht="16.5" x14ac:dyDescent="0.2">
      <c r="AL125" s="87">
        <v>5</v>
      </c>
      <c r="AM125" s="87">
        <v>2</v>
      </c>
      <c r="AN125" s="87">
        <v>39</v>
      </c>
      <c r="AO125" s="144">
        <f t="shared" si="83"/>
        <v>4439</v>
      </c>
      <c r="AP125" s="144" t="s">
        <v>1272</v>
      </c>
      <c r="AQ125" s="144" t="str">
        <f t="shared" si="84"/>
        <v>神器本-5-困难-2  神器5-3</v>
      </c>
      <c r="AR125" s="87">
        <v>23</v>
      </c>
      <c r="AS125" s="87" t="s">
        <v>343</v>
      </c>
      <c r="AT125" s="87">
        <v>3500</v>
      </c>
      <c r="AU125" s="87">
        <v>1</v>
      </c>
      <c r="AV125" s="87">
        <v>2</v>
      </c>
      <c r="AW125" s="87">
        <f t="shared" si="85"/>
        <v>2</v>
      </c>
      <c r="AX125" s="14">
        <f t="shared" si="86"/>
        <v>0.52500000000000002</v>
      </c>
      <c r="AY125" s="14">
        <f t="shared" si="87"/>
        <v>47.25</v>
      </c>
      <c r="GM125" s="91">
        <v>119</v>
      </c>
      <c r="GN125" s="14">
        <f t="shared" si="88"/>
        <v>8</v>
      </c>
      <c r="GO125" s="14">
        <f t="shared" si="89"/>
        <v>1606010</v>
      </c>
      <c r="GP125" s="14" t="str">
        <f t="shared" si="90"/>
        <v>神器2-5 : 23级</v>
      </c>
      <c r="GQ125" s="14" t="s">
        <v>816</v>
      </c>
      <c r="GR125" s="14">
        <f t="shared" si="91"/>
        <v>14</v>
      </c>
      <c r="GS125" s="14" t="str">
        <f t="shared" si="92"/>
        <v>神器2-5</v>
      </c>
      <c r="GT125" s="14">
        <f t="shared" si="93"/>
        <v>7</v>
      </c>
    </row>
    <row r="126" spans="38:202" ht="16.5" x14ac:dyDescent="0.2">
      <c r="AL126" s="87">
        <v>5</v>
      </c>
      <c r="AM126" s="87">
        <v>2</v>
      </c>
      <c r="AN126" s="87">
        <v>39</v>
      </c>
      <c r="AO126" s="144">
        <f t="shared" si="83"/>
        <v>4439</v>
      </c>
      <c r="AP126" s="144" t="s">
        <v>1272</v>
      </c>
      <c r="AQ126" s="144" t="str">
        <f t="shared" si="84"/>
        <v>神器本-5-困难-2  神器5-4</v>
      </c>
      <c r="AR126" s="87">
        <v>24</v>
      </c>
      <c r="AS126" s="87" t="s">
        <v>344</v>
      </c>
      <c r="AT126" s="87">
        <v>3500</v>
      </c>
      <c r="AU126" s="87">
        <v>1</v>
      </c>
      <c r="AV126" s="87">
        <v>2</v>
      </c>
      <c r="AW126" s="87">
        <f t="shared" si="85"/>
        <v>2</v>
      </c>
      <c r="AX126" s="14">
        <f t="shared" si="86"/>
        <v>0.52500000000000002</v>
      </c>
      <c r="AY126" s="14">
        <f t="shared" si="87"/>
        <v>47.25</v>
      </c>
      <c r="GM126" s="91">
        <v>120</v>
      </c>
      <c r="GN126" s="14">
        <f t="shared" si="88"/>
        <v>8</v>
      </c>
      <c r="GO126" s="14">
        <f t="shared" si="89"/>
        <v>1606010</v>
      </c>
      <c r="GP126" s="14" t="str">
        <f t="shared" si="90"/>
        <v>神器2-5 : 24级</v>
      </c>
      <c r="GQ126" s="14" t="s">
        <v>816</v>
      </c>
      <c r="GR126" s="14">
        <f t="shared" si="91"/>
        <v>15</v>
      </c>
      <c r="GS126" s="14" t="str">
        <f t="shared" si="92"/>
        <v>神器2-5</v>
      </c>
      <c r="GT126" s="14">
        <f t="shared" si="93"/>
        <v>7</v>
      </c>
    </row>
    <row r="127" spans="38:202" ht="16.5" x14ac:dyDescent="0.2">
      <c r="AL127" s="87">
        <v>5</v>
      </c>
      <c r="AM127" s="87">
        <v>2</v>
      </c>
      <c r="AN127" s="87">
        <v>40</v>
      </c>
      <c r="AO127" s="144">
        <f t="shared" si="83"/>
        <v>4440</v>
      </c>
      <c r="AP127" s="144" t="s">
        <v>1263</v>
      </c>
      <c r="AQ127" s="144" t="str">
        <f t="shared" si="84"/>
        <v>神器本-5-困难-3  神器5-5</v>
      </c>
      <c r="AR127" s="87">
        <v>25</v>
      </c>
      <c r="AS127" s="87" t="s">
        <v>345</v>
      </c>
      <c r="AT127" s="87">
        <v>2000</v>
      </c>
      <c r="AU127" s="87">
        <v>1</v>
      </c>
      <c r="AV127" s="87">
        <v>1</v>
      </c>
      <c r="AW127" s="87">
        <f t="shared" si="85"/>
        <v>3</v>
      </c>
      <c r="AX127" s="14">
        <f t="shared" si="86"/>
        <v>0.2</v>
      </c>
      <c r="AY127" s="14">
        <f t="shared" si="87"/>
        <v>42</v>
      </c>
      <c r="GM127" s="91">
        <v>121</v>
      </c>
      <c r="GN127" s="14">
        <f t="shared" si="88"/>
        <v>9</v>
      </c>
      <c r="GO127" s="14">
        <f t="shared" si="89"/>
        <v>1606011</v>
      </c>
      <c r="GP127" s="14" t="str">
        <f t="shared" si="90"/>
        <v>神器3-1 : 25级</v>
      </c>
      <c r="GQ127" s="14" t="s">
        <v>816</v>
      </c>
      <c r="GR127" s="14">
        <f t="shared" si="91"/>
        <v>1</v>
      </c>
      <c r="GS127" s="14" t="str">
        <f t="shared" si="92"/>
        <v>神器3-1</v>
      </c>
      <c r="GT127" s="14">
        <f t="shared" si="93"/>
        <v>1</v>
      </c>
    </row>
    <row r="128" spans="38:202" ht="16.5" x14ac:dyDescent="0.2">
      <c r="AL128" s="87">
        <v>5</v>
      </c>
      <c r="AM128" s="87">
        <v>3</v>
      </c>
      <c r="AN128" s="87">
        <v>41</v>
      </c>
      <c r="AO128" s="144">
        <f t="shared" si="83"/>
        <v>4441</v>
      </c>
      <c r="AP128" s="144" t="s">
        <v>1275</v>
      </c>
      <c r="AQ128" s="144" t="str">
        <f t="shared" si="84"/>
        <v>神器本-5-噩梦-1  神器1-1</v>
      </c>
      <c r="AR128" s="87">
        <v>1</v>
      </c>
      <c r="AS128" s="87" t="s">
        <v>321</v>
      </c>
      <c r="AT128" s="87">
        <v>1500</v>
      </c>
      <c r="AU128" s="87">
        <v>1</v>
      </c>
      <c r="AV128" s="87">
        <v>1</v>
      </c>
      <c r="AW128" s="87">
        <f t="shared" si="85"/>
        <v>1</v>
      </c>
      <c r="AX128" s="14">
        <f t="shared" si="86"/>
        <v>0.15</v>
      </c>
      <c r="AY128" s="14">
        <f t="shared" si="87"/>
        <v>1.5</v>
      </c>
      <c r="GM128" s="91">
        <v>122</v>
      </c>
      <c r="GN128" s="14">
        <f t="shared" si="88"/>
        <v>9</v>
      </c>
      <c r="GO128" s="14">
        <f t="shared" si="89"/>
        <v>1606011</v>
      </c>
      <c r="GP128" s="14" t="str">
        <f t="shared" si="90"/>
        <v>神器3-1 : 1级</v>
      </c>
      <c r="GQ128" s="14" t="s">
        <v>816</v>
      </c>
      <c r="GR128" s="14">
        <f t="shared" si="91"/>
        <v>2</v>
      </c>
      <c r="GS128" s="14" t="str">
        <f t="shared" si="92"/>
        <v>神器3-1</v>
      </c>
      <c r="GT128" s="14">
        <f t="shared" si="93"/>
        <v>1</v>
      </c>
    </row>
    <row r="129" spans="38:202" ht="16.5" x14ac:dyDescent="0.2">
      <c r="AL129" s="87">
        <v>5</v>
      </c>
      <c r="AM129" s="87">
        <v>3</v>
      </c>
      <c r="AN129" s="87">
        <v>41</v>
      </c>
      <c r="AO129" s="144">
        <f t="shared" si="83"/>
        <v>4441</v>
      </c>
      <c r="AP129" s="144" t="s">
        <v>1275</v>
      </c>
      <c r="AQ129" s="144" t="str">
        <f t="shared" si="84"/>
        <v>神器本-5-噩梦-1  神器1-2</v>
      </c>
      <c r="AR129" s="87">
        <v>2</v>
      </c>
      <c r="AS129" s="87" t="s">
        <v>322</v>
      </c>
      <c r="AT129" s="87">
        <v>1500</v>
      </c>
      <c r="AU129" s="87">
        <v>1</v>
      </c>
      <c r="AV129" s="87">
        <v>1</v>
      </c>
      <c r="AW129" s="87">
        <f t="shared" si="85"/>
        <v>1</v>
      </c>
      <c r="AX129" s="14">
        <f t="shared" si="86"/>
        <v>0.15</v>
      </c>
      <c r="AY129" s="14">
        <f t="shared" si="87"/>
        <v>1.5</v>
      </c>
      <c r="GM129" s="91">
        <v>123</v>
      </c>
      <c r="GN129" s="14">
        <f t="shared" si="88"/>
        <v>9</v>
      </c>
      <c r="GO129" s="14">
        <f t="shared" si="89"/>
        <v>1606011</v>
      </c>
      <c r="GP129" s="14" t="str">
        <f t="shared" si="90"/>
        <v>神器3-1 : 2级</v>
      </c>
      <c r="GQ129" s="14" t="s">
        <v>816</v>
      </c>
      <c r="GR129" s="14">
        <f t="shared" si="91"/>
        <v>3</v>
      </c>
      <c r="GS129" s="14" t="str">
        <f t="shared" si="92"/>
        <v>神器3-1</v>
      </c>
      <c r="GT129" s="14">
        <f t="shared" si="93"/>
        <v>1</v>
      </c>
    </row>
    <row r="130" spans="38:202" ht="16.5" x14ac:dyDescent="0.2">
      <c r="AL130" s="87">
        <v>5</v>
      </c>
      <c r="AM130" s="87">
        <v>3</v>
      </c>
      <c r="AN130" s="87">
        <v>41</v>
      </c>
      <c r="AO130" s="144">
        <f t="shared" si="83"/>
        <v>4441</v>
      </c>
      <c r="AP130" s="144" t="s">
        <v>1275</v>
      </c>
      <c r="AQ130" s="144" t="str">
        <f t="shared" si="84"/>
        <v>神器本-5-噩梦-1  神器1-3</v>
      </c>
      <c r="AR130" s="87">
        <v>3</v>
      </c>
      <c r="AS130" s="87" t="s">
        <v>323</v>
      </c>
      <c r="AT130" s="87">
        <v>1000</v>
      </c>
      <c r="AU130" s="87">
        <v>1</v>
      </c>
      <c r="AV130" s="87">
        <v>1</v>
      </c>
      <c r="AW130" s="87">
        <f t="shared" si="85"/>
        <v>2</v>
      </c>
      <c r="AX130" s="14">
        <f t="shared" si="86"/>
        <v>0.1</v>
      </c>
      <c r="AY130" s="14">
        <f t="shared" si="87"/>
        <v>3</v>
      </c>
      <c r="GM130" s="91">
        <v>124</v>
      </c>
      <c r="GN130" s="14">
        <f t="shared" si="88"/>
        <v>9</v>
      </c>
      <c r="GO130" s="14">
        <f t="shared" si="89"/>
        <v>1606011</v>
      </c>
      <c r="GP130" s="14" t="str">
        <f t="shared" si="90"/>
        <v>神器3-1 : 3级</v>
      </c>
      <c r="GQ130" s="14" t="s">
        <v>816</v>
      </c>
      <c r="GR130" s="14">
        <f t="shared" si="91"/>
        <v>4</v>
      </c>
      <c r="GS130" s="14" t="str">
        <f t="shared" si="92"/>
        <v>神器3-1</v>
      </c>
      <c r="GT130" s="14">
        <f t="shared" si="93"/>
        <v>2</v>
      </c>
    </row>
    <row r="131" spans="38:202" ht="16.5" x14ac:dyDescent="0.2">
      <c r="AL131" s="87">
        <v>5</v>
      </c>
      <c r="AM131" s="87">
        <v>3</v>
      </c>
      <c r="AN131" s="87">
        <v>41</v>
      </c>
      <c r="AO131" s="144">
        <f t="shared" si="83"/>
        <v>4441</v>
      </c>
      <c r="AP131" s="144" t="s">
        <v>1275</v>
      </c>
      <c r="AQ131" s="144" t="str">
        <f t="shared" si="84"/>
        <v>神器本-5-噩梦-1  神器2-1</v>
      </c>
      <c r="AR131" s="87">
        <v>4</v>
      </c>
      <c r="AS131" s="87" t="s">
        <v>324</v>
      </c>
      <c r="AT131" s="87">
        <v>1500</v>
      </c>
      <c r="AU131" s="87">
        <v>1</v>
      </c>
      <c r="AV131" s="87">
        <v>1</v>
      </c>
      <c r="AW131" s="87">
        <f t="shared" si="85"/>
        <v>1</v>
      </c>
      <c r="AX131" s="14">
        <f t="shared" si="86"/>
        <v>0.15</v>
      </c>
      <c r="AY131" s="14">
        <f t="shared" si="87"/>
        <v>2.25</v>
      </c>
      <c r="GM131" s="91">
        <v>125</v>
      </c>
      <c r="GN131" s="14">
        <f t="shared" si="88"/>
        <v>9</v>
      </c>
      <c r="GO131" s="14">
        <f t="shared" si="89"/>
        <v>1606011</v>
      </c>
      <c r="GP131" s="14" t="str">
        <f t="shared" si="90"/>
        <v>神器3-1 : 4级</v>
      </c>
      <c r="GQ131" s="14" t="s">
        <v>816</v>
      </c>
      <c r="GR131" s="14">
        <f t="shared" si="91"/>
        <v>5</v>
      </c>
      <c r="GS131" s="14" t="str">
        <f t="shared" si="92"/>
        <v>神器3-1</v>
      </c>
      <c r="GT131" s="14">
        <f t="shared" si="93"/>
        <v>2</v>
      </c>
    </row>
    <row r="132" spans="38:202" ht="16.5" x14ac:dyDescent="0.2">
      <c r="AL132" s="87">
        <v>5</v>
      </c>
      <c r="AM132" s="87">
        <v>3</v>
      </c>
      <c r="AN132" s="87">
        <v>41</v>
      </c>
      <c r="AO132" s="144">
        <f t="shared" si="83"/>
        <v>4441</v>
      </c>
      <c r="AP132" s="144" t="s">
        <v>1275</v>
      </c>
      <c r="AQ132" s="144" t="str">
        <f t="shared" si="84"/>
        <v>神器本-5-噩梦-1  神器2-2</v>
      </c>
      <c r="AR132" s="87">
        <v>5</v>
      </c>
      <c r="AS132" s="87" t="s">
        <v>325</v>
      </c>
      <c r="AT132" s="87">
        <v>1500</v>
      </c>
      <c r="AU132" s="87">
        <v>1</v>
      </c>
      <c r="AV132" s="87">
        <v>1</v>
      </c>
      <c r="AW132" s="87">
        <f t="shared" si="85"/>
        <v>1</v>
      </c>
      <c r="AX132" s="14">
        <f t="shared" si="86"/>
        <v>0.15</v>
      </c>
      <c r="AY132" s="14">
        <f t="shared" si="87"/>
        <v>2.25</v>
      </c>
      <c r="GM132" s="91">
        <v>126</v>
      </c>
      <c r="GN132" s="14">
        <f t="shared" si="88"/>
        <v>9</v>
      </c>
      <c r="GO132" s="14">
        <f t="shared" si="89"/>
        <v>1606011</v>
      </c>
      <c r="GP132" s="14" t="str">
        <f t="shared" si="90"/>
        <v>神器3-1 : 5级</v>
      </c>
      <c r="GQ132" s="14" t="s">
        <v>816</v>
      </c>
      <c r="GR132" s="14">
        <f t="shared" si="91"/>
        <v>6</v>
      </c>
      <c r="GS132" s="14" t="str">
        <f t="shared" si="92"/>
        <v>神器3-1</v>
      </c>
      <c r="GT132" s="14">
        <f t="shared" si="93"/>
        <v>2</v>
      </c>
    </row>
    <row r="133" spans="38:202" ht="16.5" x14ac:dyDescent="0.2">
      <c r="AL133" s="87">
        <v>5</v>
      </c>
      <c r="AM133" s="87">
        <v>3</v>
      </c>
      <c r="AN133" s="87">
        <v>41</v>
      </c>
      <c r="AO133" s="144">
        <f t="shared" si="83"/>
        <v>4441</v>
      </c>
      <c r="AP133" s="144" t="s">
        <v>1275</v>
      </c>
      <c r="AQ133" s="144" t="str">
        <f t="shared" si="84"/>
        <v>神器本-5-噩梦-1  神器2-3</v>
      </c>
      <c r="AR133" s="87">
        <v>6</v>
      </c>
      <c r="AS133" s="87" t="s">
        <v>326</v>
      </c>
      <c r="AT133" s="87">
        <v>1000</v>
      </c>
      <c r="AU133" s="87">
        <v>1</v>
      </c>
      <c r="AV133" s="87">
        <v>1</v>
      </c>
      <c r="AW133" s="87">
        <f t="shared" si="85"/>
        <v>2</v>
      </c>
      <c r="AX133" s="14">
        <f t="shared" si="86"/>
        <v>0.1</v>
      </c>
      <c r="AY133" s="14">
        <f t="shared" si="87"/>
        <v>4.5</v>
      </c>
      <c r="GM133" s="91">
        <v>127</v>
      </c>
      <c r="GN133" s="14">
        <f t="shared" si="88"/>
        <v>9</v>
      </c>
      <c r="GO133" s="14">
        <f t="shared" si="89"/>
        <v>1606011</v>
      </c>
      <c r="GP133" s="14" t="str">
        <f t="shared" si="90"/>
        <v>神器3-1 : 6级</v>
      </c>
      <c r="GQ133" s="14" t="s">
        <v>816</v>
      </c>
      <c r="GR133" s="14">
        <f t="shared" si="91"/>
        <v>7</v>
      </c>
      <c r="GS133" s="14" t="str">
        <f t="shared" si="92"/>
        <v>神器3-1</v>
      </c>
      <c r="GT133" s="14">
        <f t="shared" si="93"/>
        <v>3</v>
      </c>
    </row>
    <row r="134" spans="38:202" ht="16.5" x14ac:dyDescent="0.2">
      <c r="AL134" s="87">
        <v>5</v>
      </c>
      <c r="AM134" s="87">
        <v>3</v>
      </c>
      <c r="AN134" s="87">
        <v>41</v>
      </c>
      <c r="AO134" s="144">
        <f t="shared" si="83"/>
        <v>4441</v>
      </c>
      <c r="AP134" s="144" t="s">
        <v>1275</v>
      </c>
      <c r="AQ134" s="144" t="str">
        <f t="shared" si="84"/>
        <v>神器本-5-噩梦-1  神器2-4</v>
      </c>
      <c r="AR134" s="87">
        <v>7</v>
      </c>
      <c r="AS134" s="87" t="s">
        <v>327</v>
      </c>
      <c r="AT134" s="87">
        <v>1000</v>
      </c>
      <c r="AU134" s="87">
        <v>1</v>
      </c>
      <c r="AV134" s="87">
        <v>1</v>
      </c>
      <c r="AW134" s="87">
        <f t="shared" si="85"/>
        <v>2</v>
      </c>
      <c r="AX134" s="14">
        <f t="shared" si="86"/>
        <v>0.1</v>
      </c>
      <c r="AY134" s="14">
        <f t="shared" si="87"/>
        <v>4.5</v>
      </c>
      <c r="GM134" s="91">
        <v>128</v>
      </c>
      <c r="GN134" s="14">
        <f t="shared" si="88"/>
        <v>9</v>
      </c>
      <c r="GO134" s="14">
        <f t="shared" si="89"/>
        <v>1606011</v>
      </c>
      <c r="GP134" s="14" t="str">
        <f t="shared" si="90"/>
        <v>神器3-1 : 7级</v>
      </c>
      <c r="GQ134" s="14" t="s">
        <v>816</v>
      </c>
      <c r="GR134" s="14">
        <f t="shared" si="91"/>
        <v>8</v>
      </c>
      <c r="GS134" s="14" t="str">
        <f t="shared" si="92"/>
        <v>神器3-1</v>
      </c>
      <c r="GT134" s="14">
        <f t="shared" si="93"/>
        <v>3</v>
      </c>
    </row>
    <row r="135" spans="38:202" ht="16.5" x14ac:dyDescent="0.2">
      <c r="AL135" s="87">
        <v>5</v>
      </c>
      <c r="AM135" s="87">
        <v>3</v>
      </c>
      <c r="AN135" s="87">
        <v>41</v>
      </c>
      <c r="AO135" s="144">
        <f t="shared" si="83"/>
        <v>4441</v>
      </c>
      <c r="AP135" s="144" t="s">
        <v>1275</v>
      </c>
      <c r="AQ135" s="144" t="str">
        <f t="shared" si="84"/>
        <v>神器本-5-噩梦-1  神器2-5</v>
      </c>
      <c r="AR135" s="87">
        <v>8</v>
      </c>
      <c r="AS135" s="87" t="s">
        <v>328</v>
      </c>
      <c r="AT135" s="87">
        <v>1000</v>
      </c>
      <c r="AU135" s="87">
        <v>1</v>
      </c>
      <c r="AV135" s="87">
        <v>1</v>
      </c>
      <c r="AW135" s="87">
        <f t="shared" si="85"/>
        <v>3</v>
      </c>
      <c r="AX135" s="14">
        <f t="shared" si="86"/>
        <v>0.1</v>
      </c>
      <c r="AY135" s="14">
        <f t="shared" si="87"/>
        <v>10.5</v>
      </c>
      <c r="GM135" s="91">
        <v>129</v>
      </c>
      <c r="GN135" s="14">
        <f t="shared" si="88"/>
        <v>9</v>
      </c>
      <c r="GO135" s="14">
        <f t="shared" si="89"/>
        <v>1606011</v>
      </c>
      <c r="GP135" s="14" t="str">
        <f t="shared" si="90"/>
        <v>神器3-1 : 8级</v>
      </c>
      <c r="GQ135" s="14" t="s">
        <v>816</v>
      </c>
      <c r="GR135" s="14">
        <f t="shared" si="91"/>
        <v>9</v>
      </c>
      <c r="GS135" s="14" t="str">
        <f t="shared" si="92"/>
        <v>神器3-1</v>
      </c>
      <c r="GT135" s="14">
        <f t="shared" si="93"/>
        <v>3</v>
      </c>
    </row>
    <row r="136" spans="38:202" ht="16.5" x14ac:dyDescent="0.2">
      <c r="AL136" s="87">
        <v>5</v>
      </c>
      <c r="AM136" s="87">
        <v>3</v>
      </c>
      <c r="AN136" s="87">
        <v>42</v>
      </c>
      <c r="AO136" s="144">
        <f t="shared" ref="AO136:AO199" si="94">4400+AN136</f>
        <v>4442</v>
      </c>
      <c r="AP136" s="144" t="s">
        <v>1276</v>
      </c>
      <c r="AQ136" s="144" t="str">
        <f t="shared" ref="AQ136:AQ199" si="95">AP136&amp;"  "&amp;AS136</f>
        <v>神器本-5-噩梦-2  神器5-1</v>
      </c>
      <c r="AR136" s="87">
        <v>21</v>
      </c>
      <c r="AS136" s="87" t="s">
        <v>341</v>
      </c>
      <c r="AT136" s="87">
        <v>5000</v>
      </c>
      <c r="AU136" s="87">
        <v>1</v>
      </c>
      <c r="AV136" s="87">
        <v>3</v>
      </c>
      <c r="AW136" s="87">
        <f t="shared" ref="AW136:AW199" si="96">INDEX($AH$7:$AH$48,AR136)</f>
        <v>1</v>
      </c>
      <c r="AX136" s="14">
        <f t="shared" ref="AX136:AX199" si="97">(AU136+AV136)/2*AT136/10000</f>
        <v>1</v>
      </c>
      <c r="AY136" s="14">
        <f t="shared" ref="AY136:AY199" si="98">(AU136+AV136)/2*AT136/10000*INDEX($AI$7:$AI$48,AR136)</f>
        <v>30</v>
      </c>
      <c r="GM136" s="91">
        <v>130</v>
      </c>
      <c r="GN136" s="14">
        <f t="shared" ref="GN136:GN199" si="99">MATCH(GM136-1,$R$7:$R$49,1)</f>
        <v>9</v>
      </c>
      <c r="GO136" s="14">
        <f t="shared" ref="GO136:GO199" si="100">INDEX($S$8:$S$49,GN136)</f>
        <v>1606011</v>
      </c>
      <c r="GP136" s="14" t="str">
        <f t="shared" ref="GP136:GP199" si="101">INDEX($T$8:$T$49,GN136)&amp;" : "&amp;AR136&amp;"级"</f>
        <v>神器3-1 : 21级</v>
      </c>
      <c r="GQ136" s="14" t="s">
        <v>816</v>
      </c>
      <c r="GR136" s="14">
        <f t="shared" ref="GR136:GR199" si="102">GM136-INDEX($R$7:$R$49,GN136)</f>
        <v>10</v>
      </c>
      <c r="GS136" s="14" t="str">
        <f t="shared" ref="GS136:GS199" si="103">INDEX($T$8:$T$49,GN136)</f>
        <v>神器3-1</v>
      </c>
      <c r="GT136" s="14">
        <f t="shared" ref="GT136:GT199" si="104">INDEX($K$8:$K$28,GR136)</f>
        <v>5</v>
      </c>
    </row>
    <row r="137" spans="38:202" ht="16.5" x14ac:dyDescent="0.2">
      <c r="AL137" s="87">
        <v>5</v>
      </c>
      <c r="AM137" s="87">
        <v>3</v>
      </c>
      <c r="AN137" s="87">
        <v>42</v>
      </c>
      <c r="AO137" s="144">
        <f t="shared" si="94"/>
        <v>4442</v>
      </c>
      <c r="AP137" s="144" t="s">
        <v>1276</v>
      </c>
      <c r="AQ137" s="144" t="str">
        <f t="shared" si="95"/>
        <v>神器本-5-噩梦-2  神器5-2</v>
      </c>
      <c r="AR137" s="87">
        <v>22</v>
      </c>
      <c r="AS137" s="87" t="s">
        <v>342</v>
      </c>
      <c r="AT137" s="87">
        <v>5000</v>
      </c>
      <c r="AU137" s="87">
        <v>1</v>
      </c>
      <c r="AV137" s="87">
        <v>3</v>
      </c>
      <c r="AW137" s="87">
        <f t="shared" si="96"/>
        <v>1</v>
      </c>
      <c r="AX137" s="14">
        <f t="shared" si="97"/>
        <v>1</v>
      </c>
      <c r="AY137" s="14">
        <f t="shared" si="98"/>
        <v>30</v>
      </c>
      <c r="GM137" s="91">
        <v>131</v>
      </c>
      <c r="GN137" s="14">
        <f t="shared" si="99"/>
        <v>9</v>
      </c>
      <c r="GO137" s="14">
        <f t="shared" si="100"/>
        <v>1606011</v>
      </c>
      <c r="GP137" s="14" t="str">
        <f t="shared" si="101"/>
        <v>神器3-1 : 22级</v>
      </c>
      <c r="GQ137" s="14" t="s">
        <v>816</v>
      </c>
      <c r="GR137" s="14">
        <f t="shared" si="102"/>
        <v>11</v>
      </c>
      <c r="GS137" s="14" t="str">
        <f t="shared" si="103"/>
        <v>神器3-1</v>
      </c>
      <c r="GT137" s="14">
        <f t="shared" si="104"/>
        <v>5</v>
      </c>
    </row>
    <row r="138" spans="38:202" ht="16.5" x14ac:dyDescent="0.2">
      <c r="AL138" s="87">
        <v>5</v>
      </c>
      <c r="AM138" s="87">
        <v>3</v>
      </c>
      <c r="AN138" s="87">
        <v>43</v>
      </c>
      <c r="AO138" s="144">
        <f t="shared" si="94"/>
        <v>4443</v>
      </c>
      <c r="AP138" s="144" t="s">
        <v>1276</v>
      </c>
      <c r="AQ138" s="144" t="str">
        <f t="shared" si="95"/>
        <v>神器本-5-噩梦-2  神器5-3</v>
      </c>
      <c r="AR138" s="87">
        <v>23</v>
      </c>
      <c r="AS138" s="87" t="s">
        <v>343</v>
      </c>
      <c r="AT138" s="87">
        <v>3500</v>
      </c>
      <c r="AU138" s="87">
        <v>1</v>
      </c>
      <c r="AV138" s="87">
        <v>2</v>
      </c>
      <c r="AW138" s="87">
        <f t="shared" si="96"/>
        <v>2</v>
      </c>
      <c r="AX138" s="14">
        <f t="shared" si="97"/>
        <v>0.52500000000000002</v>
      </c>
      <c r="AY138" s="14">
        <f t="shared" si="98"/>
        <v>47.25</v>
      </c>
      <c r="GM138" s="91">
        <v>132</v>
      </c>
      <c r="GN138" s="14">
        <f t="shared" si="99"/>
        <v>9</v>
      </c>
      <c r="GO138" s="14">
        <f t="shared" si="100"/>
        <v>1606011</v>
      </c>
      <c r="GP138" s="14" t="str">
        <f t="shared" si="101"/>
        <v>神器3-1 : 23级</v>
      </c>
      <c r="GQ138" s="14" t="s">
        <v>816</v>
      </c>
      <c r="GR138" s="14">
        <f t="shared" si="102"/>
        <v>12</v>
      </c>
      <c r="GS138" s="14" t="str">
        <f t="shared" si="103"/>
        <v>神器3-1</v>
      </c>
      <c r="GT138" s="14">
        <f t="shared" si="104"/>
        <v>6</v>
      </c>
    </row>
    <row r="139" spans="38:202" ht="16.5" x14ac:dyDescent="0.2">
      <c r="AL139" s="87">
        <v>5</v>
      </c>
      <c r="AM139" s="87">
        <v>3</v>
      </c>
      <c r="AN139" s="87">
        <v>43</v>
      </c>
      <c r="AO139" s="144">
        <f t="shared" si="94"/>
        <v>4443</v>
      </c>
      <c r="AP139" s="144" t="s">
        <v>1276</v>
      </c>
      <c r="AQ139" s="144" t="str">
        <f t="shared" si="95"/>
        <v>神器本-5-噩梦-2  神器5-4</v>
      </c>
      <c r="AR139" s="87">
        <v>24</v>
      </c>
      <c r="AS139" s="87" t="s">
        <v>344</v>
      </c>
      <c r="AT139" s="87">
        <v>3500</v>
      </c>
      <c r="AU139" s="87">
        <v>1</v>
      </c>
      <c r="AV139" s="87">
        <v>2</v>
      </c>
      <c r="AW139" s="87">
        <f t="shared" si="96"/>
        <v>2</v>
      </c>
      <c r="AX139" s="14">
        <f t="shared" si="97"/>
        <v>0.52500000000000002</v>
      </c>
      <c r="AY139" s="14">
        <f t="shared" si="98"/>
        <v>47.25</v>
      </c>
      <c r="GM139" s="91">
        <v>133</v>
      </c>
      <c r="GN139" s="14">
        <f t="shared" si="99"/>
        <v>9</v>
      </c>
      <c r="GO139" s="14">
        <f t="shared" si="100"/>
        <v>1606011</v>
      </c>
      <c r="GP139" s="14" t="str">
        <f t="shared" si="101"/>
        <v>神器3-1 : 24级</v>
      </c>
      <c r="GQ139" s="14" t="s">
        <v>816</v>
      </c>
      <c r="GR139" s="14">
        <f t="shared" si="102"/>
        <v>13</v>
      </c>
      <c r="GS139" s="14" t="str">
        <f t="shared" si="103"/>
        <v>神器3-1</v>
      </c>
      <c r="GT139" s="14">
        <f t="shared" si="104"/>
        <v>7</v>
      </c>
    </row>
    <row r="140" spans="38:202" ht="16.5" x14ac:dyDescent="0.2">
      <c r="AL140" s="87">
        <v>5</v>
      </c>
      <c r="AM140" s="87">
        <v>3</v>
      </c>
      <c r="AN140" s="87">
        <v>44</v>
      </c>
      <c r="AO140" s="144">
        <f t="shared" si="94"/>
        <v>4444</v>
      </c>
      <c r="AP140" s="144" t="s">
        <v>1277</v>
      </c>
      <c r="AQ140" s="144" t="str">
        <f t="shared" si="95"/>
        <v>神器本-5-噩梦-3  神器5-5</v>
      </c>
      <c r="AR140" s="87">
        <v>25</v>
      </c>
      <c r="AS140" s="87" t="s">
        <v>345</v>
      </c>
      <c r="AT140" s="87">
        <v>2000</v>
      </c>
      <c r="AU140" s="87">
        <v>1</v>
      </c>
      <c r="AV140" s="87">
        <v>1</v>
      </c>
      <c r="AW140" s="87">
        <f t="shared" si="96"/>
        <v>3</v>
      </c>
      <c r="AX140" s="14">
        <f t="shared" si="97"/>
        <v>0.2</v>
      </c>
      <c r="AY140" s="14">
        <f t="shared" si="98"/>
        <v>42</v>
      </c>
      <c r="GM140" s="91">
        <v>134</v>
      </c>
      <c r="GN140" s="14">
        <f t="shared" si="99"/>
        <v>9</v>
      </c>
      <c r="GO140" s="14">
        <f t="shared" si="100"/>
        <v>1606011</v>
      </c>
      <c r="GP140" s="14" t="str">
        <f t="shared" si="101"/>
        <v>神器3-1 : 25级</v>
      </c>
      <c r="GQ140" s="14" t="s">
        <v>816</v>
      </c>
      <c r="GR140" s="14">
        <f t="shared" si="102"/>
        <v>14</v>
      </c>
      <c r="GS140" s="14" t="str">
        <f t="shared" si="103"/>
        <v>神器3-1</v>
      </c>
      <c r="GT140" s="14">
        <f t="shared" si="104"/>
        <v>7</v>
      </c>
    </row>
    <row r="141" spans="38:202" ht="16.5" x14ac:dyDescent="0.2">
      <c r="AL141" s="87">
        <v>5</v>
      </c>
      <c r="AM141" s="87">
        <v>3</v>
      </c>
      <c r="AN141" s="87">
        <v>45</v>
      </c>
      <c r="AO141" s="144">
        <f t="shared" si="94"/>
        <v>4445</v>
      </c>
      <c r="AP141" s="144" t="s">
        <v>1278</v>
      </c>
      <c r="AQ141" s="144" t="str">
        <f t="shared" si="95"/>
        <v>神器本-5-噩梦-4  神器5-6</v>
      </c>
      <c r="AR141" s="87">
        <v>26</v>
      </c>
      <c r="AS141" s="87" t="s">
        <v>346</v>
      </c>
      <c r="AT141" s="87">
        <v>1000</v>
      </c>
      <c r="AU141" s="87">
        <v>1</v>
      </c>
      <c r="AV141" s="87">
        <v>1</v>
      </c>
      <c r="AW141" s="87">
        <f t="shared" si="96"/>
        <v>4</v>
      </c>
      <c r="AX141" s="14">
        <f t="shared" si="97"/>
        <v>0.1</v>
      </c>
      <c r="AY141" s="14">
        <f t="shared" si="98"/>
        <v>45</v>
      </c>
      <c r="GM141" s="91">
        <v>135</v>
      </c>
      <c r="GN141" s="14">
        <f t="shared" si="99"/>
        <v>9</v>
      </c>
      <c r="GO141" s="14">
        <f t="shared" si="100"/>
        <v>1606011</v>
      </c>
      <c r="GP141" s="14" t="str">
        <f t="shared" si="101"/>
        <v>神器3-1 : 26级</v>
      </c>
      <c r="GQ141" s="14" t="s">
        <v>816</v>
      </c>
      <c r="GR141" s="14">
        <f t="shared" si="102"/>
        <v>15</v>
      </c>
      <c r="GS141" s="14" t="str">
        <f t="shared" si="103"/>
        <v>神器3-1</v>
      </c>
      <c r="GT141" s="14">
        <f t="shared" si="104"/>
        <v>7</v>
      </c>
    </row>
    <row r="142" spans="38:202" ht="16.5" x14ac:dyDescent="0.2">
      <c r="AL142" s="87">
        <v>6</v>
      </c>
      <c r="AM142" s="87">
        <v>1</v>
      </c>
      <c r="AN142" s="87">
        <v>46</v>
      </c>
      <c r="AO142" s="144">
        <f t="shared" si="94"/>
        <v>4446</v>
      </c>
      <c r="AP142" s="144" t="s">
        <v>1279</v>
      </c>
      <c r="AQ142" s="144" t="str">
        <f t="shared" si="95"/>
        <v>神器本-6-普通-1  神器3-1</v>
      </c>
      <c r="AR142" s="87">
        <v>9</v>
      </c>
      <c r="AS142" s="87" t="s">
        <v>776</v>
      </c>
      <c r="AT142" s="87">
        <v>833</v>
      </c>
      <c r="AU142" s="87">
        <v>1</v>
      </c>
      <c r="AV142" s="87">
        <v>1</v>
      </c>
      <c r="AW142" s="87">
        <f t="shared" si="96"/>
        <v>1</v>
      </c>
      <c r="AX142" s="14">
        <f t="shared" si="97"/>
        <v>8.3299999999999999E-2</v>
      </c>
      <c r="AY142" s="14">
        <f t="shared" si="98"/>
        <v>1.6659999999999999</v>
      </c>
      <c r="GM142" s="91">
        <v>136</v>
      </c>
      <c r="GN142" s="14">
        <f t="shared" si="99"/>
        <v>9</v>
      </c>
      <c r="GO142" s="14">
        <f t="shared" si="100"/>
        <v>1606011</v>
      </c>
      <c r="GP142" s="14" t="str">
        <f t="shared" si="101"/>
        <v>神器3-1 : 9级</v>
      </c>
      <c r="GQ142" s="14" t="s">
        <v>816</v>
      </c>
      <c r="GR142" s="14">
        <f t="shared" si="102"/>
        <v>16</v>
      </c>
      <c r="GS142" s="14" t="str">
        <f t="shared" si="103"/>
        <v>神器3-1</v>
      </c>
      <c r="GT142" s="14">
        <f t="shared" si="104"/>
        <v>10</v>
      </c>
    </row>
    <row r="143" spans="38:202" ht="16.5" x14ac:dyDescent="0.2">
      <c r="AL143" s="87">
        <v>6</v>
      </c>
      <c r="AM143" s="87">
        <v>1</v>
      </c>
      <c r="AN143" s="87">
        <v>46</v>
      </c>
      <c r="AO143" s="144">
        <f t="shared" si="94"/>
        <v>4446</v>
      </c>
      <c r="AP143" s="144" t="s">
        <v>1279</v>
      </c>
      <c r="AQ143" s="144" t="str">
        <f t="shared" si="95"/>
        <v>神器本-6-普通-1  神器3-2</v>
      </c>
      <c r="AR143" s="87">
        <v>10</v>
      </c>
      <c r="AS143" s="87" t="s">
        <v>330</v>
      </c>
      <c r="AT143" s="87">
        <v>833</v>
      </c>
      <c r="AU143" s="87">
        <v>1</v>
      </c>
      <c r="AV143" s="87">
        <v>1</v>
      </c>
      <c r="AW143" s="87">
        <f t="shared" si="96"/>
        <v>1</v>
      </c>
      <c r="AX143" s="14">
        <f t="shared" si="97"/>
        <v>8.3299999999999999E-2</v>
      </c>
      <c r="AY143" s="14">
        <f t="shared" si="98"/>
        <v>1.6659999999999999</v>
      </c>
      <c r="GM143" s="91">
        <v>137</v>
      </c>
      <c r="GN143" s="14">
        <f t="shared" si="99"/>
        <v>9</v>
      </c>
      <c r="GO143" s="14">
        <f t="shared" si="100"/>
        <v>1606011</v>
      </c>
      <c r="GP143" s="14" t="str">
        <f t="shared" si="101"/>
        <v>神器3-1 : 10级</v>
      </c>
      <c r="GQ143" s="14" t="s">
        <v>816</v>
      </c>
      <c r="GR143" s="14">
        <f t="shared" si="102"/>
        <v>17</v>
      </c>
      <c r="GS143" s="14" t="str">
        <f t="shared" si="103"/>
        <v>神器3-1</v>
      </c>
      <c r="GT143" s="14">
        <f t="shared" si="104"/>
        <v>10</v>
      </c>
    </row>
    <row r="144" spans="38:202" ht="16.5" x14ac:dyDescent="0.2">
      <c r="AL144" s="87">
        <v>6</v>
      </c>
      <c r="AM144" s="87">
        <v>1</v>
      </c>
      <c r="AN144" s="87">
        <v>46</v>
      </c>
      <c r="AO144" s="144">
        <f t="shared" si="94"/>
        <v>4446</v>
      </c>
      <c r="AP144" s="144" t="s">
        <v>1279</v>
      </c>
      <c r="AQ144" s="144" t="str">
        <f t="shared" si="95"/>
        <v>神器本-6-普通-1  神器3-3</v>
      </c>
      <c r="AR144" s="87">
        <v>11</v>
      </c>
      <c r="AS144" s="87" t="s">
        <v>331</v>
      </c>
      <c r="AT144" s="87">
        <v>500</v>
      </c>
      <c r="AU144" s="87">
        <v>1</v>
      </c>
      <c r="AV144" s="87">
        <v>1</v>
      </c>
      <c r="AW144" s="87">
        <f t="shared" si="96"/>
        <v>2</v>
      </c>
      <c r="AX144" s="14">
        <f t="shared" si="97"/>
        <v>0.05</v>
      </c>
      <c r="AY144" s="14">
        <f t="shared" si="98"/>
        <v>3</v>
      </c>
      <c r="GM144" s="91">
        <v>138</v>
      </c>
      <c r="GN144" s="14">
        <f t="shared" si="99"/>
        <v>9</v>
      </c>
      <c r="GO144" s="14">
        <f t="shared" si="100"/>
        <v>1606011</v>
      </c>
      <c r="GP144" s="14" t="str">
        <f t="shared" si="101"/>
        <v>神器3-1 : 11级</v>
      </c>
      <c r="GQ144" s="14" t="s">
        <v>816</v>
      </c>
      <c r="GR144" s="14">
        <f t="shared" si="102"/>
        <v>18</v>
      </c>
      <c r="GS144" s="14" t="str">
        <f t="shared" si="103"/>
        <v>神器3-1</v>
      </c>
      <c r="GT144" s="14">
        <f t="shared" si="104"/>
        <v>10</v>
      </c>
    </row>
    <row r="145" spans="38:202" ht="16.5" x14ac:dyDescent="0.2">
      <c r="AL145" s="87">
        <v>6</v>
      </c>
      <c r="AM145" s="87">
        <v>1</v>
      </c>
      <c r="AN145" s="87">
        <v>46</v>
      </c>
      <c r="AO145" s="144">
        <f t="shared" si="94"/>
        <v>4446</v>
      </c>
      <c r="AP145" s="144" t="s">
        <v>1279</v>
      </c>
      <c r="AQ145" s="144" t="str">
        <f t="shared" si="95"/>
        <v>神器本-6-普通-1  神器3-4</v>
      </c>
      <c r="AR145" s="87">
        <v>12</v>
      </c>
      <c r="AS145" s="87" t="s">
        <v>332</v>
      </c>
      <c r="AT145" s="87">
        <v>500</v>
      </c>
      <c r="AU145" s="87">
        <v>1</v>
      </c>
      <c r="AV145" s="87">
        <v>1</v>
      </c>
      <c r="AW145" s="87">
        <f t="shared" si="96"/>
        <v>2</v>
      </c>
      <c r="AX145" s="14">
        <f t="shared" si="97"/>
        <v>0.05</v>
      </c>
      <c r="AY145" s="14">
        <f t="shared" si="98"/>
        <v>3</v>
      </c>
      <c r="GM145" s="91">
        <v>139</v>
      </c>
      <c r="GN145" s="14">
        <f t="shared" si="99"/>
        <v>10</v>
      </c>
      <c r="GO145" s="14">
        <f t="shared" si="100"/>
        <v>1606012</v>
      </c>
      <c r="GP145" s="14" t="str">
        <f t="shared" si="101"/>
        <v>神器3-2 : 12级</v>
      </c>
      <c r="GQ145" s="14" t="s">
        <v>816</v>
      </c>
      <c r="GR145" s="14">
        <f t="shared" si="102"/>
        <v>1</v>
      </c>
      <c r="GS145" s="14" t="str">
        <f t="shared" si="103"/>
        <v>神器3-2</v>
      </c>
      <c r="GT145" s="14">
        <f t="shared" si="104"/>
        <v>1</v>
      </c>
    </row>
    <row r="146" spans="38:202" ht="16.5" x14ac:dyDescent="0.2">
      <c r="AL146" s="87">
        <v>6</v>
      </c>
      <c r="AM146" s="87">
        <v>1</v>
      </c>
      <c r="AN146" s="87">
        <v>46</v>
      </c>
      <c r="AO146" s="144">
        <f t="shared" si="94"/>
        <v>4446</v>
      </c>
      <c r="AP146" s="144" t="s">
        <v>1279</v>
      </c>
      <c r="AQ146" s="144" t="str">
        <f t="shared" si="95"/>
        <v>神器本-6-普通-1  神器3-5</v>
      </c>
      <c r="AR146" s="87">
        <v>13</v>
      </c>
      <c r="AS146" s="87" t="s">
        <v>333</v>
      </c>
      <c r="AT146" s="87">
        <v>500</v>
      </c>
      <c r="AU146" s="87">
        <v>1</v>
      </c>
      <c r="AV146" s="87">
        <v>1</v>
      </c>
      <c r="AW146" s="87">
        <f t="shared" si="96"/>
        <v>3</v>
      </c>
      <c r="AX146" s="14">
        <f t="shared" si="97"/>
        <v>0.05</v>
      </c>
      <c r="AY146" s="14">
        <f t="shared" si="98"/>
        <v>7</v>
      </c>
      <c r="GM146" s="91">
        <v>140</v>
      </c>
      <c r="GN146" s="14">
        <f t="shared" si="99"/>
        <v>10</v>
      </c>
      <c r="GO146" s="14">
        <f t="shared" si="100"/>
        <v>1606012</v>
      </c>
      <c r="GP146" s="14" t="str">
        <f t="shared" si="101"/>
        <v>神器3-2 : 13级</v>
      </c>
      <c r="GQ146" s="14" t="s">
        <v>816</v>
      </c>
      <c r="GR146" s="14">
        <f t="shared" si="102"/>
        <v>2</v>
      </c>
      <c r="GS146" s="14" t="str">
        <f t="shared" si="103"/>
        <v>神器3-2</v>
      </c>
      <c r="GT146" s="14">
        <f t="shared" si="104"/>
        <v>1</v>
      </c>
    </row>
    <row r="147" spans="38:202" ht="16.5" x14ac:dyDescent="0.2">
      <c r="AL147" s="87">
        <v>6</v>
      </c>
      <c r="AM147" s="87">
        <v>1</v>
      </c>
      <c r="AN147" s="87">
        <v>46</v>
      </c>
      <c r="AO147" s="144">
        <f t="shared" si="94"/>
        <v>4446</v>
      </c>
      <c r="AP147" s="144" t="s">
        <v>1279</v>
      </c>
      <c r="AQ147" s="144" t="str">
        <f t="shared" si="95"/>
        <v>神器本-6-普通-1  神器3-6</v>
      </c>
      <c r="AR147" s="87">
        <v>14</v>
      </c>
      <c r="AS147" s="87" t="s">
        <v>334</v>
      </c>
      <c r="AT147" s="87">
        <v>170</v>
      </c>
      <c r="AU147" s="87">
        <v>1</v>
      </c>
      <c r="AV147" s="87">
        <v>1</v>
      </c>
      <c r="AW147" s="87">
        <f t="shared" si="96"/>
        <v>4</v>
      </c>
      <c r="AX147" s="14">
        <f t="shared" si="97"/>
        <v>1.7000000000000001E-2</v>
      </c>
      <c r="AY147" s="14">
        <f t="shared" si="98"/>
        <v>5.1000000000000005</v>
      </c>
      <c r="GM147" s="91">
        <v>141</v>
      </c>
      <c r="GN147" s="14">
        <f t="shared" si="99"/>
        <v>10</v>
      </c>
      <c r="GO147" s="14">
        <f t="shared" si="100"/>
        <v>1606012</v>
      </c>
      <c r="GP147" s="14" t="str">
        <f t="shared" si="101"/>
        <v>神器3-2 : 14级</v>
      </c>
      <c r="GQ147" s="14" t="s">
        <v>816</v>
      </c>
      <c r="GR147" s="14">
        <f t="shared" si="102"/>
        <v>3</v>
      </c>
      <c r="GS147" s="14" t="str">
        <f t="shared" si="103"/>
        <v>神器3-2</v>
      </c>
      <c r="GT147" s="14">
        <f t="shared" si="104"/>
        <v>1</v>
      </c>
    </row>
    <row r="148" spans="38:202" ht="16.5" x14ac:dyDescent="0.2">
      <c r="AL148" s="87">
        <v>6</v>
      </c>
      <c r="AM148" s="87">
        <v>1</v>
      </c>
      <c r="AN148" s="87">
        <v>46</v>
      </c>
      <c r="AO148" s="144">
        <f t="shared" si="94"/>
        <v>4446</v>
      </c>
      <c r="AP148" s="144" t="s">
        <v>1279</v>
      </c>
      <c r="AQ148" s="144" t="str">
        <f t="shared" si="95"/>
        <v>神器本-6-普通-1  神器4-1</v>
      </c>
      <c r="AR148" s="87">
        <v>15</v>
      </c>
      <c r="AS148" s="87" t="s">
        <v>335</v>
      </c>
      <c r="AT148" s="87">
        <v>833</v>
      </c>
      <c r="AU148" s="87">
        <v>1</v>
      </c>
      <c r="AV148" s="87">
        <v>1</v>
      </c>
      <c r="AW148" s="87">
        <f t="shared" si="96"/>
        <v>1</v>
      </c>
      <c r="AX148" s="14">
        <f t="shared" si="97"/>
        <v>8.3299999999999999E-2</v>
      </c>
      <c r="AY148" s="14">
        <f t="shared" si="98"/>
        <v>2.0825</v>
      </c>
      <c r="GM148" s="91">
        <v>142</v>
      </c>
      <c r="GN148" s="14">
        <f t="shared" si="99"/>
        <v>10</v>
      </c>
      <c r="GO148" s="14">
        <f t="shared" si="100"/>
        <v>1606012</v>
      </c>
      <c r="GP148" s="14" t="str">
        <f t="shared" si="101"/>
        <v>神器3-2 : 15级</v>
      </c>
      <c r="GQ148" s="14" t="s">
        <v>816</v>
      </c>
      <c r="GR148" s="14">
        <f t="shared" si="102"/>
        <v>4</v>
      </c>
      <c r="GS148" s="14" t="str">
        <f t="shared" si="103"/>
        <v>神器3-2</v>
      </c>
      <c r="GT148" s="14">
        <f t="shared" si="104"/>
        <v>2</v>
      </c>
    </row>
    <row r="149" spans="38:202" ht="16.5" x14ac:dyDescent="0.2">
      <c r="AL149" s="87">
        <v>6</v>
      </c>
      <c r="AM149" s="87">
        <v>1</v>
      </c>
      <c r="AN149" s="87">
        <v>46</v>
      </c>
      <c r="AO149" s="144">
        <f t="shared" si="94"/>
        <v>4446</v>
      </c>
      <c r="AP149" s="144" t="s">
        <v>1279</v>
      </c>
      <c r="AQ149" s="144" t="str">
        <f t="shared" si="95"/>
        <v>神器本-6-普通-1  神器4-2</v>
      </c>
      <c r="AR149" s="87">
        <v>16</v>
      </c>
      <c r="AS149" s="87" t="s">
        <v>336</v>
      </c>
      <c r="AT149" s="87">
        <v>833</v>
      </c>
      <c r="AU149" s="87">
        <v>1</v>
      </c>
      <c r="AV149" s="87">
        <v>1</v>
      </c>
      <c r="AW149" s="87">
        <f t="shared" si="96"/>
        <v>1</v>
      </c>
      <c r="AX149" s="14">
        <f t="shared" si="97"/>
        <v>8.3299999999999999E-2</v>
      </c>
      <c r="AY149" s="14">
        <f t="shared" si="98"/>
        <v>2.0825</v>
      </c>
      <c r="GM149" s="91">
        <v>143</v>
      </c>
      <c r="GN149" s="14">
        <f t="shared" si="99"/>
        <v>10</v>
      </c>
      <c r="GO149" s="14">
        <f t="shared" si="100"/>
        <v>1606012</v>
      </c>
      <c r="GP149" s="14" t="str">
        <f t="shared" si="101"/>
        <v>神器3-2 : 16级</v>
      </c>
      <c r="GQ149" s="14" t="s">
        <v>816</v>
      </c>
      <c r="GR149" s="14">
        <f t="shared" si="102"/>
        <v>5</v>
      </c>
      <c r="GS149" s="14" t="str">
        <f t="shared" si="103"/>
        <v>神器3-2</v>
      </c>
      <c r="GT149" s="14">
        <f t="shared" si="104"/>
        <v>2</v>
      </c>
    </row>
    <row r="150" spans="38:202" ht="16.5" x14ac:dyDescent="0.2">
      <c r="AL150" s="87">
        <v>6</v>
      </c>
      <c r="AM150" s="87">
        <v>1</v>
      </c>
      <c r="AN150" s="87">
        <v>46</v>
      </c>
      <c r="AO150" s="144">
        <f t="shared" si="94"/>
        <v>4446</v>
      </c>
      <c r="AP150" s="144" t="s">
        <v>1279</v>
      </c>
      <c r="AQ150" s="144" t="str">
        <f t="shared" si="95"/>
        <v>神器本-6-普通-1  神器4-3</v>
      </c>
      <c r="AR150" s="87">
        <v>17</v>
      </c>
      <c r="AS150" s="87" t="s">
        <v>337</v>
      </c>
      <c r="AT150" s="87">
        <v>500</v>
      </c>
      <c r="AU150" s="87">
        <v>1</v>
      </c>
      <c r="AV150" s="87">
        <v>1</v>
      </c>
      <c r="AW150" s="87">
        <f t="shared" si="96"/>
        <v>2</v>
      </c>
      <c r="AX150" s="14">
        <f t="shared" si="97"/>
        <v>0.05</v>
      </c>
      <c r="AY150" s="14">
        <f t="shared" si="98"/>
        <v>3.75</v>
      </c>
      <c r="GM150" s="91">
        <v>144</v>
      </c>
      <c r="GN150" s="14">
        <f t="shared" si="99"/>
        <v>10</v>
      </c>
      <c r="GO150" s="14">
        <f t="shared" si="100"/>
        <v>1606012</v>
      </c>
      <c r="GP150" s="14" t="str">
        <f t="shared" si="101"/>
        <v>神器3-2 : 17级</v>
      </c>
      <c r="GQ150" s="14" t="s">
        <v>816</v>
      </c>
      <c r="GR150" s="14">
        <f t="shared" si="102"/>
        <v>6</v>
      </c>
      <c r="GS150" s="14" t="str">
        <f t="shared" si="103"/>
        <v>神器3-2</v>
      </c>
      <c r="GT150" s="14">
        <f t="shared" si="104"/>
        <v>2</v>
      </c>
    </row>
    <row r="151" spans="38:202" ht="16.5" x14ac:dyDescent="0.2">
      <c r="AL151" s="87">
        <v>6</v>
      </c>
      <c r="AM151" s="87">
        <v>1</v>
      </c>
      <c r="AN151" s="87">
        <v>46</v>
      </c>
      <c r="AO151" s="144">
        <f t="shared" si="94"/>
        <v>4446</v>
      </c>
      <c r="AP151" s="144" t="s">
        <v>1279</v>
      </c>
      <c r="AQ151" s="144" t="str">
        <f t="shared" si="95"/>
        <v>神器本-6-普通-1  神器4-4</v>
      </c>
      <c r="AR151" s="87">
        <v>18</v>
      </c>
      <c r="AS151" s="87" t="s">
        <v>338</v>
      </c>
      <c r="AT151" s="87">
        <v>500</v>
      </c>
      <c r="AU151" s="87">
        <v>1</v>
      </c>
      <c r="AV151" s="87">
        <v>1</v>
      </c>
      <c r="AW151" s="87">
        <f t="shared" si="96"/>
        <v>2</v>
      </c>
      <c r="AX151" s="14">
        <f t="shared" si="97"/>
        <v>0.05</v>
      </c>
      <c r="AY151" s="14">
        <f t="shared" si="98"/>
        <v>3.75</v>
      </c>
      <c r="GM151" s="91">
        <v>145</v>
      </c>
      <c r="GN151" s="14">
        <f t="shared" si="99"/>
        <v>10</v>
      </c>
      <c r="GO151" s="14">
        <f t="shared" si="100"/>
        <v>1606012</v>
      </c>
      <c r="GP151" s="14" t="str">
        <f t="shared" si="101"/>
        <v>神器3-2 : 18级</v>
      </c>
      <c r="GQ151" s="14" t="s">
        <v>816</v>
      </c>
      <c r="GR151" s="14">
        <f t="shared" si="102"/>
        <v>7</v>
      </c>
      <c r="GS151" s="14" t="str">
        <f t="shared" si="103"/>
        <v>神器3-2</v>
      </c>
      <c r="GT151" s="14">
        <f t="shared" si="104"/>
        <v>3</v>
      </c>
    </row>
    <row r="152" spans="38:202" ht="16.5" x14ac:dyDescent="0.2">
      <c r="AL152" s="87">
        <v>6</v>
      </c>
      <c r="AM152" s="87">
        <v>1</v>
      </c>
      <c r="AN152" s="87">
        <v>46</v>
      </c>
      <c r="AO152" s="144">
        <f t="shared" si="94"/>
        <v>4446</v>
      </c>
      <c r="AP152" s="144" t="s">
        <v>1279</v>
      </c>
      <c r="AQ152" s="144" t="str">
        <f t="shared" si="95"/>
        <v>神器本-6-普通-1  神器4-5</v>
      </c>
      <c r="AR152" s="87">
        <v>19</v>
      </c>
      <c r="AS152" s="87" t="s">
        <v>339</v>
      </c>
      <c r="AT152" s="87">
        <v>500</v>
      </c>
      <c r="AU152" s="87">
        <v>1</v>
      </c>
      <c r="AV152" s="87">
        <v>1</v>
      </c>
      <c r="AW152" s="87">
        <f t="shared" si="96"/>
        <v>3</v>
      </c>
      <c r="AX152" s="14">
        <f t="shared" si="97"/>
        <v>0.05</v>
      </c>
      <c r="AY152" s="14">
        <f t="shared" si="98"/>
        <v>8.75</v>
      </c>
      <c r="GM152" s="91">
        <v>146</v>
      </c>
      <c r="GN152" s="14">
        <f t="shared" si="99"/>
        <v>10</v>
      </c>
      <c r="GO152" s="14">
        <f t="shared" si="100"/>
        <v>1606012</v>
      </c>
      <c r="GP152" s="14" t="str">
        <f t="shared" si="101"/>
        <v>神器3-2 : 19级</v>
      </c>
      <c r="GQ152" s="14" t="s">
        <v>816</v>
      </c>
      <c r="GR152" s="14">
        <f t="shared" si="102"/>
        <v>8</v>
      </c>
      <c r="GS152" s="14" t="str">
        <f t="shared" si="103"/>
        <v>神器3-2</v>
      </c>
      <c r="GT152" s="14">
        <f t="shared" si="104"/>
        <v>3</v>
      </c>
    </row>
    <row r="153" spans="38:202" ht="16.5" x14ac:dyDescent="0.2">
      <c r="AL153" s="87">
        <v>6</v>
      </c>
      <c r="AM153" s="87">
        <v>1</v>
      </c>
      <c r="AN153" s="87">
        <v>46</v>
      </c>
      <c r="AO153" s="144">
        <f t="shared" si="94"/>
        <v>4446</v>
      </c>
      <c r="AP153" s="144" t="s">
        <v>1279</v>
      </c>
      <c r="AQ153" s="144" t="str">
        <f t="shared" si="95"/>
        <v>神器本-6-普通-1  神器4-6</v>
      </c>
      <c r="AR153" s="87">
        <v>20</v>
      </c>
      <c r="AS153" s="87" t="s">
        <v>340</v>
      </c>
      <c r="AT153" s="87">
        <v>166</v>
      </c>
      <c r="AU153" s="87">
        <v>1</v>
      </c>
      <c r="AV153" s="87">
        <v>1</v>
      </c>
      <c r="AW153" s="87">
        <f t="shared" si="96"/>
        <v>4</v>
      </c>
      <c r="AX153" s="14">
        <f t="shared" si="97"/>
        <v>1.66E-2</v>
      </c>
      <c r="AY153" s="14">
        <f t="shared" si="98"/>
        <v>6.2249999999999996</v>
      </c>
      <c r="GM153" s="91">
        <v>147</v>
      </c>
      <c r="GN153" s="14">
        <f t="shared" si="99"/>
        <v>10</v>
      </c>
      <c r="GO153" s="14">
        <f t="shared" si="100"/>
        <v>1606012</v>
      </c>
      <c r="GP153" s="14" t="str">
        <f t="shared" si="101"/>
        <v>神器3-2 : 20级</v>
      </c>
      <c r="GQ153" s="14" t="s">
        <v>816</v>
      </c>
      <c r="GR153" s="14">
        <f t="shared" si="102"/>
        <v>9</v>
      </c>
      <c r="GS153" s="14" t="str">
        <f t="shared" si="103"/>
        <v>神器3-2</v>
      </c>
      <c r="GT153" s="14">
        <f t="shared" si="104"/>
        <v>3</v>
      </c>
    </row>
    <row r="154" spans="38:202" ht="16.5" x14ac:dyDescent="0.2">
      <c r="AL154" s="87">
        <v>6</v>
      </c>
      <c r="AM154" s="87">
        <v>1</v>
      </c>
      <c r="AN154" s="87">
        <v>46</v>
      </c>
      <c r="AO154" s="144">
        <f t="shared" si="94"/>
        <v>4446</v>
      </c>
      <c r="AP154" s="144" t="s">
        <v>1279</v>
      </c>
      <c r="AQ154" s="144" t="str">
        <f t="shared" si="95"/>
        <v>神器本-6-普通-1  神器5-1</v>
      </c>
      <c r="AR154" s="87">
        <v>21</v>
      </c>
      <c r="AS154" s="87" t="s">
        <v>341</v>
      </c>
      <c r="AT154" s="87">
        <v>833</v>
      </c>
      <c r="AU154" s="87">
        <v>1</v>
      </c>
      <c r="AV154" s="87">
        <v>1</v>
      </c>
      <c r="AW154" s="87">
        <f t="shared" si="96"/>
        <v>1</v>
      </c>
      <c r="AX154" s="14">
        <f t="shared" si="97"/>
        <v>8.3299999999999999E-2</v>
      </c>
      <c r="AY154" s="14">
        <f t="shared" si="98"/>
        <v>2.4990000000000001</v>
      </c>
      <c r="GM154" s="91">
        <v>148</v>
      </c>
      <c r="GN154" s="14">
        <f t="shared" si="99"/>
        <v>10</v>
      </c>
      <c r="GO154" s="14">
        <f t="shared" si="100"/>
        <v>1606012</v>
      </c>
      <c r="GP154" s="14" t="str">
        <f t="shared" si="101"/>
        <v>神器3-2 : 21级</v>
      </c>
      <c r="GQ154" s="14" t="s">
        <v>816</v>
      </c>
      <c r="GR154" s="14">
        <f t="shared" si="102"/>
        <v>10</v>
      </c>
      <c r="GS154" s="14" t="str">
        <f t="shared" si="103"/>
        <v>神器3-2</v>
      </c>
      <c r="GT154" s="14">
        <f t="shared" si="104"/>
        <v>5</v>
      </c>
    </row>
    <row r="155" spans="38:202" ht="16.5" x14ac:dyDescent="0.2">
      <c r="AL155" s="87">
        <v>6</v>
      </c>
      <c r="AM155" s="87">
        <v>1</v>
      </c>
      <c r="AN155" s="87">
        <v>46</v>
      </c>
      <c r="AO155" s="144">
        <f t="shared" si="94"/>
        <v>4446</v>
      </c>
      <c r="AP155" s="144" t="s">
        <v>1279</v>
      </c>
      <c r="AQ155" s="144" t="str">
        <f t="shared" si="95"/>
        <v>神器本-6-普通-1  神器5-2</v>
      </c>
      <c r="AR155" s="87">
        <v>22</v>
      </c>
      <c r="AS155" s="87" t="s">
        <v>342</v>
      </c>
      <c r="AT155" s="87">
        <v>833</v>
      </c>
      <c r="AU155" s="87">
        <v>1</v>
      </c>
      <c r="AV155" s="87">
        <v>1</v>
      </c>
      <c r="AW155" s="87">
        <f t="shared" si="96"/>
        <v>1</v>
      </c>
      <c r="AX155" s="14">
        <f t="shared" si="97"/>
        <v>8.3299999999999999E-2</v>
      </c>
      <c r="AY155" s="14">
        <f t="shared" si="98"/>
        <v>2.4990000000000001</v>
      </c>
      <c r="GM155" s="91">
        <v>149</v>
      </c>
      <c r="GN155" s="14">
        <f t="shared" si="99"/>
        <v>10</v>
      </c>
      <c r="GO155" s="14">
        <f t="shared" si="100"/>
        <v>1606012</v>
      </c>
      <c r="GP155" s="14" t="str">
        <f t="shared" si="101"/>
        <v>神器3-2 : 22级</v>
      </c>
      <c r="GQ155" s="14" t="s">
        <v>816</v>
      </c>
      <c r="GR155" s="14">
        <f t="shared" si="102"/>
        <v>11</v>
      </c>
      <c r="GS155" s="14" t="str">
        <f t="shared" si="103"/>
        <v>神器3-2</v>
      </c>
      <c r="GT155" s="14">
        <f t="shared" si="104"/>
        <v>5</v>
      </c>
    </row>
    <row r="156" spans="38:202" ht="16.5" x14ac:dyDescent="0.2">
      <c r="AL156" s="87">
        <v>6</v>
      </c>
      <c r="AM156" s="87">
        <v>1</v>
      </c>
      <c r="AN156" s="87">
        <v>46</v>
      </c>
      <c r="AO156" s="144">
        <f t="shared" si="94"/>
        <v>4446</v>
      </c>
      <c r="AP156" s="144" t="s">
        <v>1279</v>
      </c>
      <c r="AQ156" s="144" t="str">
        <f t="shared" si="95"/>
        <v>神器本-6-普通-1  神器5-3</v>
      </c>
      <c r="AR156" s="87">
        <v>23</v>
      </c>
      <c r="AS156" s="87" t="s">
        <v>343</v>
      </c>
      <c r="AT156" s="87">
        <v>500</v>
      </c>
      <c r="AU156" s="87">
        <v>1</v>
      </c>
      <c r="AV156" s="87">
        <v>1</v>
      </c>
      <c r="AW156" s="87">
        <f t="shared" si="96"/>
        <v>2</v>
      </c>
      <c r="AX156" s="14">
        <f t="shared" si="97"/>
        <v>0.05</v>
      </c>
      <c r="AY156" s="14">
        <f t="shared" si="98"/>
        <v>4.5</v>
      </c>
      <c r="GM156" s="91">
        <v>150</v>
      </c>
      <c r="GN156" s="14">
        <f t="shared" si="99"/>
        <v>10</v>
      </c>
      <c r="GO156" s="14">
        <f t="shared" si="100"/>
        <v>1606012</v>
      </c>
      <c r="GP156" s="14" t="str">
        <f t="shared" si="101"/>
        <v>神器3-2 : 23级</v>
      </c>
      <c r="GQ156" s="14" t="s">
        <v>816</v>
      </c>
      <c r="GR156" s="14">
        <f t="shared" si="102"/>
        <v>12</v>
      </c>
      <c r="GS156" s="14" t="str">
        <f t="shared" si="103"/>
        <v>神器3-2</v>
      </c>
      <c r="GT156" s="14">
        <f t="shared" si="104"/>
        <v>6</v>
      </c>
    </row>
    <row r="157" spans="38:202" ht="16.5" x14ac:dyDescent="0.2">
      <c r="AL157" s="87">
        <v>6</v>
      </c>
      <c r="AM157" s="87">
        <v>1</v>
      </c>
      <c r="AN157" s="87">
        <v>46</v>
      </c>
      <c r="AO157" s="144">
        <f t="shared" si="94"/>
        <v>4446</v>
      </c>
      <c r="AP157" s="144" t="s">
        <v>1279</v>
      </c>
      <c r="AQ157" s="144" t="str">
        <f t="shared" si="95"/>
        <v>神器本-6-普通-1  神器5-4</v>
      </c>
      <c r="AR157" s="87">
        <v>24</v>
      </c>
      <c r="AS157" s="87" t="s">
        <v>344</v>
      </c>
      <c r="AT157" s="87">
        <v>500</v>
      </c>
      <c r="AU157" s="87">
        <v>1</v>
      </c>
      <c r="AV157" s="87">
        <v>1</v>
      </c>
      <c r="AW157" s="87">
        <f t="shared" si="96"/>
        <v>2</v>
      </c>
      <c r="AX157" s="14">
        <f t="shared" si="97"/>
        <v>0.05</v>
      </c>
      <c r="AY157" s="14">
        <f t="shared" si="98"/>
        <v>4.5</v>
      </c>
      <c r="GM157" s="91">
        <v>151</v>
      </c>
      <c r="GN157" s="14">
        <f t="shared" si="99"/>
        <v>10</v>
      </c>
      <c r="GO157" s="14">
        <f t="shared" si="100"/>
        <v>1606012</v>
      </c>
      <c r="GP157" s="14" t="str">
        <f t="shared" si="101"/>
        <v>神器3-2 : 24级</v>
      </c>
      <c r="GQ157" s="14" t="s">
        <v>816</v>
      </c>
      <c r="GR157" s="14">
        <f t="shared" si="102"/>
        <v>13</v>
      </c>
      <c r="GS157" s="14" t="str">
        <f t="shared" si="103"/>
        <v>神器3-2</v>
      </c>
      <c r="GT157" s="14">
        <f t="shared" si="104"/>
        <v>7</v>
      </c>
    </row>
    <row r="158" spans="38:202" ht="16.5" x14ac:dyDescent="0.2">
      <c r="AL158" s="87">
        <v>6</v>
      </c>
      <c r="AM158" s="87">
        <v>1</v>
      </c>
      <c r="AN158" s="87">
        <v>46</v>
      </c>
      <c r="AO158" s="144">
        <f t="shared" si="94"/>
        <v>4446</v>
      </c>
      <c r="AP158" s="144" t="s">
        <v>1279</v>
      </c>
      <c r="AQ158" s="144" t="str">
        <f t="shared" si="95"/>
        <v>神器本-6-普通-1  神器5-5</v>
      </c>
      <c r="AR158" s="87">
        <v>25</v>
      </c>
      <c r="AS158" s="87" t="s">
        <v>345</v>
      </c>
      <c r="AT158" s="87">
        <v>500</v>
      </c>
      <c r="AU158" s="87">
        <v>1</v>
      </c>
      <c r="AV158" s="87">
        <v>1</v>
      </c>
      <c r="AW158" s="87">
        <f t="shared" si="96"/>
        <v>3</v>
      </c>
      <c r="AX158" s="14">
        <f t="shared" si="97"/>
        <v>0.05</v>
      </c>
      <c r="AY158" s="14">
        <f t="shared" si="98"/>
        <v>10.5</v>
      </c>
      <c r="GM158" s="91">
        <v>152</v>
      </c>
      <c r="GN158" s="14">
        <f t="shared" si="99"/>
        <v>10</v>
      </c>
      <c r="GO158" s="14">
        <f t="shared" si="100"/>
        <v>1606012</v>
      </c>
      <c r="GP158" s="14" t="str">
        <f t="shared" si="101"/>
        <v>神器3-2 : 25级</v>
      </c>
      <c r="GQ158" s="14" t="s">
        <v>816</v>
      </c>
      <c r="GR158" s="14">
        <f t="shared" si="102"/>
        <v>14</v>
      </c>
      <c r="GS158" s="14" t="str">
        <f t="shared" si="103"/>
        <v>神器3-2</v>
      </c>
      <c r="GT158" s="14">
        <f t="shared" si="104"/>
        <v>7</v>
      </c>
    </row>
    <row r="159" spans="38:202" ht="16.5" x14ac:dyDescent="0.2">
      <c r="AL159" s="87">
        <v>6</v>
      </c>
      <c r="AM159" s="87">
        <v>1</v>
      </c>
      <c r="AN159" s="87">
        <v>46</v>
      </c>
      <c r="AO159" s="144">
        <f t="shared" si="94"/>
        <v>4446</v>
      </c>
      <c r="AP159" s="144" t="s">
        <v>1279</v>
      </c>
      <c r="AQ159" s="144" t="str">
        <f t="shared" si="95"/>
        <v>神器本-6-普通-1  神器5-6</v>
      </c>
      <c r="AR159" s="87">
        <v>26</v>
      </c>
      <c r="AS159" s="87" t="s">
        <v>346</v>
      </c>
      <c r="AT159" s="87">
        <v>166</v>
      </c>
      <c r="AU159" s="87">
        <v>1</v>
      </c>
      <c r="AV159" s="87">
        <v>1</v>
      </c>
      <c r="AW159" s="87">
        <f t="shared" si="96"/>
        <v>4</v>
      </c>
      <c r="AX159" s="14">
        <f t="shared" si="97"/>
        <v>1.66E-2</v>
      </c>
      <c r="AY159" s="14">
        <f t="shared" si="98"/>
        <v>7.47</v>
      </c>
      <c r="GM159" s="91">
        <v>153</v>
      </c>
      <c r="GN159" s="14">
        <f t="shared" si="99"/>
        <v>10</v>
      </c>
      <c r="GO159" s="14">
        <f t="shared" si="100"/>
        <v>1606012</v>
      </c>
      <c r="GP159" s="14" t="str">
        <f t="shared" si="101"/>
        <v>神器3-2 : 26级</v>
      </c>
      <c r="GQ159" s="14" t="s">
        <v>816</v>
      </c>
      <c r="GR159" s="14">
        <f t="shared" si="102"/>
        <v>15</v>
      </c>
      <c r="GS159" s="14" t="str">
        <f t="shared" si="103"/>
        <v>神器3-2</v>
      </c>
      <c r="GT159" s="14">
        <f t="shared" si="104"/>
        <v>7</v>
      </c>
    </row>
    <row r="160" spans="38:202" ht="16.5" x14ac:dyDescent="0.2">
      <c r="AL160" s="87">
        <v>6</v>
      </c>
      <c r="AM160" s="87">
        <v>1</v>
      </c>
      <c r="AN160" s="87">
        <v>47</v>
      </c>
      <c r="AO160" s="144">
        <f t="shared" si="94"/>
        <v>4447</v>
      </c>
      <c r="AP160" s="144" t="s">
        <v>1280</v>
      </c>
      <c r="AQ160" s="144" t="str">
        <f t="shared" si="95"/>
        <v>神器本-6-普通-2  神器6-1</v>
      </c>
      <c r="AR160" s="87">
        <v>27</v>
      </c>
      <c r="AS160" s="87" t="s">
        <v>777</v>
      </c>
      <c r="AT160" s="87">
        <v>2000</v>
      </c>
      <c r="AU160" s="87">
        <v>1</v>
      </c>
      <c r="AV160" s="87">
        <v>2</v>
      </c>
      <c r="AW160" s="87">
        <f t="shared" si="96"/>
        <v>2</v>
      </c>
      <c r="AX160" s="14">
        <f t="shared" si="97"/>
        <v>0.3</v>
      </c>
      <c r="AY160" s="14">
        <f t="shared" si="98"/>
        <v>36</v>
      </c>
      <c r="GM160" s="91">
        <v>154</v>
      </c>
      <c r="GN160" s="14">
        <f t="shared" si="99"/>
        <v>10</v>
      </c>
      <c r="GO160" s="14">
        <f t="shared" si="100"/>
        <v>1606012</v>
      </c>
      <c r="GP160" s="14" t="str">
        <f t="shared" si="101"/>
        <v>神器3-2 : 27级</v>
      </c>
      <c r="GQ160" s="14" t="s">
        <v>816</v>
      </c>
      <c r="GR160" s="14">
        <f t="shared" si="102"/>
        <v>16</v>
      </c>
      <c r="GS160" s="14" t="str">
        <f t="shared" si="103"/>
        <v>神器3-2</v>
      </c>
      <c r="GT160" s="14">
        <f t="shared" si="104"/>
        <v>10</v>
      </c>
    </row>
    <row r="161" spans="38:202" ht="16.5" x14ac:dyDescent="0.2">
      <c r="AL161" s="87">
        <v>6</v>
      </c>
      <c r="AM161" s="87">
        <v>1</v>
      </c>
      <c r="AN161" s="87">
        <v>47</v>
      </c>
      <c r="AO161" s="144">
        <f t="shared" si="94"/>
        <v>4447</v>
      </c>
      <c r="AP161" s="144" t="s">
        <v>1280</v>
      </c>
      <c r="AQ161" s="144" t="str">
        <f t="shared" si="95"/>
        <v>神器本-6-普通-2  神器6-2</v>
      </c>
      <c r="AR161" s="87">
        <v>28</v>
      </c>
      <c r="AS161" s="87" t="s">
        <v>778</v>
      </c>
      <c r="AT161" s="87">
        <v>2000</v>
      </c>
      <c r="AU161" s="87">
        <v>1</v>
      </c>
      <c r="AV161" s="87">
        <v>2</v>
      </c>
      <c r="AW161" s="87">
        <f t="shared" si="96"/>
        <v>2</v>
      </c>
      <c r="AX161" s="14">
        <f t="shared" si="97"/>
        <v>0.3</v>
      </c>
      <c r="AY161" s="14">
        <f t="shared" si="98"/>
        <v>36</v>
      </c>
      <c r="GM161" s="91">
        <v>155</v>
      </c>
      <c r="GN161" s="14">
        <f t="shared" si="99"/>
        <v>10</v>
      </c>
      <c r="GO161" s="14">
        <f t="shared" si="100"/>
        <v>1606012</v>
      </c>
      <c r="GP161" s="14" t="str">
        <f t="shared" si="101"/>
        <v>神器3-2 : 28级</v>
      </c>
      <c r="GQ161" s="14" t="s">
        <v>816</v>
      </c>
      <c r="GR161" s="14">
        <f t="shared" si="102"/>
        <v>17</v>
      </c>
      <c r="GS161" s="14" t="str">
        <f t="shared" si="103"/>
        <v>神器3-2</v>
      </c>
      <c r="GT161" s="14">
        <f t="shared" si="104"/>
        <v>10</v>
      </c>
    </row>
    <row r="162" spans="38:202" ht="16.5" x14ac:dyDescent="0.2">
      <c r="AL162" s="87">
        <v>6</v>
      </c>
      <c r="AM162" s="87">
        <v>1</v>
      </c>
      <c r="AN162" s="87">
        <v>47</v>
      </c>
      <c r="AO162" s="144">
        <f t="shared" si="94"/>
        <v>4447</v>
      </c>
      <c r="AP162" s="144" t="s">
        <v>1280</v>
      </c>
      <c r="AQ162" s="144" t="str">
        <f t="shared" si="95"/>
        <v>神器本-6-普通-2  神器6-3</v>
      </c>
      <c r="AR162" s="87">
        <v>29</v>
      </c>
      <c r="AS162" s="87" t="s">
        <v>779</v>
      </c>
      <c r="AT162" s="87">
        <v>2000</v>
      </c>
      <c r="AU162" s="87">
        <v>1</v>
      </c>
      <c r="AV162" s="87">
        <v>2</v>
      </c>
      <c r="AW162" s="87">
        <f t="shared" si="96"/>
        <v>2</v>
      </c>
      <c r="AX162" s="14">
        <f t="shared" si="97"/>
        <v>0.3</v>
      </c>
      <c r="AY162" s="14">
        <f t="shared" si="98"/>
        <v>36</v>
      </c>
      <c r="GM162" s="91">
        <v>156</v>
      </c>
      <c r="GN162" s="14">
        <f t="shared" si="99"/>
        <v>10</v>
      </c>
      <c r="GO162" s="14">
        <f t="shared" si="100"/>
        <v>1606012</v>
      </c>
      <c r="GP162" s="14" t="str">
        <f t="shared" si="101"/>
        <v>神器3-2 : 29级</v>
      </c>
      <c r="GQ162" s="14" t="s">
        <v>816</v>
      </c>
      <c r="GR162" s="14">
        <f t="shared" si="102"/>
        <v>18</v>
      </c>
      <c r="GS162" s="14" t="str">
        <f t="shared" si="103"/>
        <v>神器3-2</v>
      </c>
      <c r="GT162" s="14">
        <f t="shared" si="104"/>
        <v>10</v>
      </c>
    </row>
    <row r="163" spans="38:202" ht="16.5" x14ac:dyDescent="0.2">
      <c r="AL163" s="87">
        <v>6</v>
      </c>
      <c r="AM163" s="87">
        <v>2</v>
      </c>
      <c r="AN163" s="87">
        <v>48</v>
      </c>
      <c r="AO163" s="144">
        <f t="shared" si="94"/>
        <v>4448</v>
      </c>
      <c r="AP163" s="144" t="s">
        <v>1273</v>
      </c>
      <c r="AQ163" s="144" t="str">
        <f t="shared" si="95"/>
        <v>神器本-6-困难-1  神器3-1</v>
      </c>
      <c r="AR163" s="87">
        <v>9</v>
      </c>
      <c r="AS163" s="87" t="s">
        <v>776</v>
      </c>
      <c r="AT163" s="87">
        <v>833</v>
      </c>
      <c r="AU163" s="87">
        <v>1</v>
      </c>
      <c r="AV163" s="87">
        <v>1</v>
      </c>
      <c r="AW163" s="87">
        <f t="shared" si="96"/>
        <v>1</v>
      </c>
      <c r="AX163" s="14">
        <f t="shared" si="97"/>
        <v>8.3299999999999999E-2</v>
      </c>
      <c r="AY163" s="14">
        <f t="shared" si="98"/>
        <v>1.6659999999999999</v>
      </c>
      <c r="GM163" s="91">
        <v>157</v>
      </c>
      <c r="GN163" s="14">
        <f t="shared" si="99"/>
        <v>11</v>
      </c>
      <c r="GO163" s="14">
        <f t="shared" si="100"/>
        <v>1606013</v>
      </c>
      <c r="GP163" s="14" t="str">
        <f t="shared" si="101"/>
        <v>神器3-3 : 9级</v>
      </c>
      <c r="GQ163" s="14" t="s">
        <v>816</v>
      </c>
      <c r="GR163" s="14">
        <f t="shared" si="102"/>
        <v>1</v>
      </c>
      <c r="GS163" s="14" t="str">
        <f t="shared" si="103"/>
        <v>神器3-3</v>
      </c>
      <c r="GT163" s="14">
        <f t="shared" si="104"/>
        <v>1</v>
      </c>
    </row>
    <row r="164" spans="38:202" ht="16.5" x14ac:dyDescent="0.2">
      <c r="AL164" s="87">
        <v>6</v>
      </c>
      <c r="AM164" s="87">
        <v>2</v>
      </c>
      <c r="AN164" s="87">
        <v>48</v>
      </c>
      <c r="AO164" s="144">
        <f t="shared" si="94"/>
        <v>4448</v>
      </c>
      <c r="AP164" s="144" t="s">
        <v>1273</v>
      </c>
      <c r="AQ164" s="144" t="str">
        <f t="shared" si="95"/>
        <v>神器本-6-困难-1  神器3-2</v>
      </c>
      <c r="AR164" s="87">
        <v>10</v>
      </c>
      <c r="AS164" s="87" t="s">
        <v>330</v>
      </c>
      <c r="AT164" s="87">
        <v>833</v>
      </c>
      <c r="AU164" s="87">
        <v>1</v>
      </c>
      <c r="AV164" s="87">
        <v>1</v>
      </c>
      <c r="AW164" s="87">
        <f t="shared" si="96"/>
        <v>1</v>
      </c>
      <c r="AX164" s="14">
        <f t="shared" si="97"/>
        <v>8.3299999999999999E-2</v>
      </c>
      <c r="AY164" s="14">
        <f t="shared" si="98"/>
        <v>1.6659999999999999</v>
      </c>
      <c r="GM164" s="91">
        <v>158</v>
      </c>
      <c r="GN164" s="14">
        <f t="shared" si="99"/>
        <v>11</v>
      </c>
      <c r="GO164" s="14">
        <f t="shared" si="100"/>
        <v>1606013</v>
      </c>
      <c r="GP164" s="14" t="str">
        <f t="shared" si="101"/>
        <v>神器3-3 : 10级</v>
      </c>
      <c r="GQ164" s="14" t="s">
        <v>816</v>
      </c>
      <c r="GR164" s="14">
        <f t="shared" si="102"/>
        <v>2</v>
      </c>
      <c r="GS164" s="14" t="str">
        <f t="shared" si="103"/>
        <v>神器3-3</v>
      </c>
      <c r="GT164" s="14">
        <f t="shared" si="104"/>
        <v>1</v>
      </c>
    </row>
    <row r="165" spans="38:202" ht="16.5" x14ac:dyDescent="0.2">
      <c r="AL165" s="87">
        <v>6</v>
      </c>
      <c r="AM165" s="87">
        <v>2</v>
      </c>
      <c r="AN165" s="87">
        <v>48</v>
      </c>
      <c r="AO165" s="144">
        <f t="shared" si="94"/>
        <v>4448</v>
      </c>
      <c r="AP165" s="144" t="s">
        <v>1273</v>
      </c>
      <c r="AQ165" s="144" t="str">
        <f t="shared" si="95"/>
        <v>神器本-6-困难-1  神器3-3</v>
      </c>
      <c r="AR165" s="87">
        <v>11</v>
      </c>
      <c r="AS165" s="87" t="s">
        <v>331</v>
      </c>
      <c r="AT165" s="87">
        <v>500</v>
      </c>
      <c r="AU165" s="87">
        <v>1</v>
      </c>
      <c r="AV165" s="87">
        <v>1</v>
      </c>
      <c r="AW165" s="87">
        <f t="shared" si="96"/>
        <v>2</v>
      </c>
      <c r="AX165" s="14">
        <f t="shared" si="97"/>
        <v>0.05</v>
      </c>
      <c r="AY165" s="14">
        <f t="shared" si="98"/>
        <v>3</v>
      </c>
      <c r="GM165" s="91">
        <v>159</v>
      </c>
      <c r="GN165" s="14">
        <f t="shared" si="99"/>
        <v>11</v>
      </c>
      <c r="GO165" s="14">
        <f t="shared" si="100"/>
        <v>1606013</v>
      </c>
      <c r="GP165" s="14" t="str">
        <f t="shared" si="101"/>
        <v>神器3-3 : 11级</v>
      </c>
      <c r="GQ165" s="14" t="s">
        <v>816</v>
      </c>
      <c r="GR165" s="14">
        <f t="shared" si="102"/>
        <v>3</v>
      </c>
      <c r="GS165" s="14" t="str">
        <f t="shared" si="103"/>
        <v>神器3-3</v>
      </c>
      <c r="GT165" s="14">
        <f t="shared" si="104"/>
        <v>1</v>
      </c>
    </row>
    <row r="166" spans="38:202" ht="16.5" x14ac:dyDescent="0.2">
      <c r="AL166" s="87">
        <v>6</v>
      </c>
      <c r="AM166" s="87">
        <v>2</v>
      </c>
      <c r="AN166" s="87">
        <v>48</v>
      </c>
      <c r="AO166" s="144">
        <f t="shared" si="94"/>
        <v>4448</v>
      </c>
      <c r="AP166" s="144" t="s">
        <v>1273</v>
      </c>
      <c r="AQ166" s="144" t="str">
        <f t="shared" si="95"/>
        <v>神器本-6-困难-1  神器3-4</v>
      </c>
      <c r="AR166" s="87">
        <v>12</v>
      </c>
      <c r="AS166" s="87" t="s">
        <v>332</v>
      </c>
      <c r="AT166" s="87">
        <v>500</v>
      </c>
      <c r="AU166" s="87">
        <v>1</v>
      </c>
      <c r="AV166" s="87">
        <v>1</v>
      </c>
      <c r="AW166" s="87">
        <f t="shared" si="96"/>
        <v>2</v>
      </c>
      <c r="AX166" s="14">
        <f t="shared" si="97"/>
        <v>0.05</v>
      </c>
      <c r="AY166" s="14">
        <f t="shared" si="98"/>
        <v>3</v>
      </c>
      <c r="GM166" s="91">
        <v>160</v>
      </c>
      <c r="GN166" s="14">
        <f t="shared" si="99"/>
        <v>11</v>
      </c>
      <c r="GO166" s="14">
        <f t="shared" si="100"/>
        <v>1606013</v>
      </c>
      <c r="GP166" s="14" t="str">
        <f t="shared" si="101"/>
        <v>神器3-3 : 12级</v>
      </c>
      <c r="GQ166" s="14" t="s">
        <v>816</v>
      </c>
      <c r="GR166" s="14">
        <f t="shared" si="102"/>
        <v>4</v>
      </c>
      <c r="GS166" s="14" t="str">
        <f t="shared" si="103"/>
        <v>神器3-3</v>
      </c>
      <c r="GT166" s="14">
        <f t="shared" si="104"/>
        <v>2</v>
      </c>
    </row>
    <row r="167" spans="38:202" ht="16.5" x14ac:dyDescent="0.2">
      <c r="AL167" s="87">
        <v>6</v>
      </c>
      <c r="AM167" s="87">
        <v>2</v>
      </c>
      <c r="AN167" s="87">
        <v>48</v>
      </c>
      <c r="AO167" s="144">
        <f t="shared" si="94"/>
        <v>4448</v>
      </c>
      <c r="AP167" s="144" t="s">
        <v>1273</v>
      </c>
      <c r="AQ167" s="144" t="str">
        <f t="shared" si="95"/>
        <v>神器本-6-困难-1  神器3-5</v>
      </c>
      <c r="AR167" s="87">
        <v>13</v>
      </c>
      <c r="AS167" s="87" t="s">
        <v>333</v>
      </c>
      <c r="AT167" s="87">
        <v>500</v>
      </c>
      <c r="AU167" s="87">
        <v>1</v>
      </c>
      <c r="AV167" s="87">
        <v>1</v>
      </c>
      <c r="AW167" s="87">
        <f t="shared" si="96"/>
        <v>3</v>
      </c>
      <c r="AX167" s="14">
        <f t="shared" si="97"/>
        <v>0.05</v>
      </c>
      <c r="AY167" s="14">
        <f t="shared" si="98"/>
        <v>7</v>
      </c>
      <c r="GM167" s="91">
        <v>161</v>
      </c>
      <c r="GN167" s="14">
        <f t="shared" si="99"/>
        <v>11</v>
      </c>
      <c r="GO167" s="14">
        <f t="shared" si="100"/>
        <v>1606013</v>
      </c>
      <c r="GP167" s="14" t="str">
        <f t="shared" si="101"/>
        <v>神器3-3 : 13级</v>
      </c>
      <c r="GQ167" s="14" t="s">
        <v>816</v>
      </c>
      <c r="GR167" s="14">
        <f t="shared" si="102"/>
        <v>5</v>
      </c>
      <c r="GS167" s="14" t="str">
        <f t="shared" si="103"/>
        <v>神器3-3</v>
      </c>
      <c r="GT167" s="14">
        <f t="shared" si="104"/>
        <v>2</v>
      </c>
    </row>
    <row r="168" spans="38:202" ht="16.5" x14ac:dyDescent="0.2">
      <c r="AL168" s="87">
        <v>6</v>
      </c>
      <c r="AM168" s="87">
        <v>2</v>
      </c>
      <c r="AN168" s="87">
        <v>48</v>
      </c>
      <c r="AO168" s="144">
        <f t="shared" si="94"/>
        <v>4448</v>
      </c>
      <c r="AP168" s="144" t="s">
        <v>1273</v>
      </c>
      <c r="AQ168" s="144" t="str">
        <f t="shared" si="95"/>
        <v>神器本-6-困难-1  神器3-6</v>
      </c>
      <c r="AR168" s="87">
        <v>14</v>
      </c>
      <c r="AS168" s="87" t="s">
        <v>334</v>
      </c>
      <c r="AT168" s="87">
        <v>170</v>
      </c>
      <c r="AU168" s="87">
        <v>1</v>
      </c>
      <c r="AV168" s="87">
        <v>1</v>
      </c>
      <c r="AW168" s="87">
        <f t="shared" si="96"/>
        <v>4</v>
      </c>
      <c r="AX168" s="14">
        <f t="shared" si="97"/>
        <v>1.7000000000000001E-2</v>
      </c>
      <c r="AY168" s="14">
        <f t="shared" si="98"/>
        <v>5.1000000000000005</v>
      </c>
      <c r="GM168" s="91">
        <v>162</v>
      </c>
      <c r="GN168" s="14">
        <f t="shared" si="99"/>
        <v>11</v>
      </c>
      <c r="GO168" s="14">
        <f t="shared" si="100"/>
        <v>1606013</v>
      </c>
      <c r="GP168" s="14" t="str">
        <f t="shared" si="101"/>
        <v>神器3-3 : 14级</v>
      </c>
      <c r="GQ168" s="14" t="s">
        <v>816</v>
      </c>
      <c r="GR168" s="14">
        <f t="shared" si="102"/>
        <v>6</v>
      </c>
      <c r="GS168" s="14" t="str">
        <f t="shared" si="103"/>
        <v>神器3-3</v>
      </c>
      <c r="GT168" s="14">
        <f t="shared" si="104"/>
        <v>2</v>
      </c>
    </row>
    <row r="169" spans="38:202" ht="16.5" x14ac:dyDescent="0.2">
      <c r="AL169" s="87">
        <v>6</v>
      </c>
      <c r="AM169" s="87">
        <v>2</v>
      </c>
      <c r="AN169" s="87">
        <v>48</v>
      </c>
      <c r="AO169" s="144">
        <f t="shared" si="94"/>
        <v>4448</v>
      </c>
      <c r="AP169" s="144" t="s">
        <v>1273</v>
      </c>
      <c r="AQ169" s="144" t="str">
        <f t="shared" si="95"/>
        <v>神器本-6-困难-1  神器4-1</v>
      </c>
      <c r="AR169" s="87">
        <v>15</v>
      </c>
      <c r="AS169" s="87" t="s">
        <v>335</v>
      </c>
      <c r="AT169" s="87">
        <v>833</v>
      </c>
      <c r="AU169" s="87">
        <v>1</v>
      </c>
      <c r="AV169" s="87">
        <v>1</v>
      </c>
      <c r="AW169" s="87">
        <f t="shared" si="96"/>
        <v>1</v>
      </c>
      <c r="AX169" s="14">
        <f t="shared" si="97"/>
        <v>8.3299999999999999E-2</v>
      </c>
      <c r="AY169" s="14">
        <f t="shared" si="98"/>
        <v>2.0825</v>
      </c>
      <c r="GM169" s="91">
        <v>163</v>
      </c>
      <c r="GN169" s="14">
        <f t="shared" si="99"/>
        <v>11</v>
      </c>
      <c r="GO169" s="14">
        <f t="shared" si="100"/>
        <v>1606013</v>
      </c>
      <c r="GP169" s="14" t="str">
        <f t="shared" si="101"/>
        <v>神器3-3 : 15级</v>
      </c>
      <c r="GQ169" s="14" t="s">
        <v>816</v>
      </c>
      <c r="GR169" s="14">
        <f t="shared" si="102"/>
        <v>7</v>
      </c>
      <c r="GS169" s="14" t="str">
        <f t="shared" si="103"/>
        <v>神器3-3</v>
      </c>
      <c r="GT169" s="14">
        <f t="shared" si="104"/>
        <v>3</v>
      </c>
    </row>
    <row r="170" spans="38:202" ht="16.5" x14ac:dyDescent="0.2">
      <c r="AL170" s="87">
        <v>6</v>
      </c>
      <c r="AM170" s="87">
        <v>2</v>
      </c>
      <c r="AN170" s="87">
        <v>48</v>
      </c>
      <c r="AO170" s="144">
        <f t="shared" si="94"/>
        <v>4448</v>
      </c>
      <c r="AP170" s="144" t="s">
        <v>1273</v>
      </c>
      <c r="AQ170" s="144" t="str">
        <f t="shared" si="95"/>
        <v>神器本-6-困难-1  神器4-2</v>
      </c>
      <c r="AR170" s="87">
        <v>16</v>
      </c>
      <c r="AS170" s="87" t="s">
        <v>336</v>
      </c>
      <c r="AT170" s="87">
        <v>833</v>
      </c>
      <c r="AU170" s="87">
        <v>1</v>
      </c>
      <c r="AV170" s="87">
        <v>1</v>
      </c>
      <c r="AW170" s="87">
        <f t="shared" si="96"/>
        <v>1</v>
      </c>
      <c r="AX170" s="14">
        <f t="shared" si="97"/>
        <v>8.3299999999999999E-2</v>
      </c>
      <c r="AY170" s="14">
        <f t="shared" si="98"/>
        <v>2.0825</v>
      </c>
      <c r="GM170" s="91">
        <v>164</v>
      </c>
      <c r="GN170" s="14">
        <f t="shared" si="99"/>
        <v>11</v>
      </c>
      <c r="GO170" s="14">
        <f t="shared" si="100"/>
        <v>1606013</v>
      </c>
      <c r="GP170" s="14" t="str">
        <f t="shared" si="101"/>
        <v>神器3-3 : 16级</v>
      </c>
      <c r="GQ170" s="14" t="s">
        <v>816</v>
      </c>
      <c r="GR170" s="14">
        <f t="shared" si="102"/>
        <v>8</v>
      </c>
      <c r="GS170" s="14" t="str">
        <f t="shared" si="103"/>
        <v>神器3-3</v>
      </c>
      <c r="GT170" s="14">
        <f t="shared" si="104"/>
        <v>3</v>
      </c>
    </row>
    <row r="171" spans="38:202" ht="16.5" x14ac:dyDescent="0.2">
      <c r="AL171" s="87">
        <v>6</v>
      </c>
      <c r="AM171" s="87">
        <v>2</v>
      </c>
      <c r="AN171" s="87">
        <v>48</v>
      </c>
      <c r="AO171" s="144">
        <f t="shared" si="94"/>
        <v>4448</v>
      </c>
      <c r="AP171" s="144" t="s">
        <v>1273</v>
      </c>
      <c r="AQ171" s="144" t="str">
        <f t="shared" si="95"/>
        <v>神器本-6-困难-1  神器4-3</v>
      </c>
      <c r="AR171" s="87">
        <v>17</v>
      </c>
      <c r="AS171" s="87" t="s">
        <v>337</v>
      </c>
      <c r="AT171" s="87">
        <v>500</v>
      </c>
      <c r="AU171" s="87">
        <v>1</v>
      </c>
      <c r="AV171" s="87">
        <v>1</v>
      </c>
      <c r="AW171" s="87">
        <f t="shared" si="96"/>
        <v>2</v>
      </c>
      <c r="AX171" s="14">
        <f t="shared" si="97"/>
        <v>0.05</v>
      </c>
      <c r="AY171" s="14">
        <f t="shared" si="98"/>
        <v>3.75</v>
      </c>
      <c r="GM171" s="91">
        <v>165</v>
      </c>
      <c r="GN171" s="14">
        <f t="shared" si="99"/>
        <v>11</v>
      </c>
      <c r="GO171" s="14">
        <f t="shared" si="100"/>
        <v>1606013</v>
      </c>
      <c r="GP171" s="14" t="str">
        <f t="shared" si="101"/>
        <v>神器3-3 : 17级</v>
      </c>
      <c r="GQ171" s="14" t="s">
        <v>816</v>
      </c>
      <c r="GR171" s="14">
        <f t="shared" si="102"/>
        <v>9</v>
      </c>
      <c r="GS171" s="14" t="str">
        <f t="shared" si="103"/>
        <v>神器3-3</v>
      </c>
      <c r="GT171" s="14">
        <f t="shared" si="104"/>
        <v>3</v>
      </c>
    </row>
    <row r="172" spans="38:202" ht="16.5" x14ac:dyDescent="0.2">
      <c r="AL172" s="87">
        <v>6</v>
      </c>
      <c r="AM172" s="87">
        <v>2</v>
      </c>
      <c r="AN172" s="87">
        <v>48</v>
      </c>
      <c r="AO172" s="144">
        <f t="shared" si="94"/>
        <v>4448</v>
      </c>
      <c r="AP172" s="144" t="s">
        <v>1273</v>
      </c>
      <c r="AQ172" s="144" t="str">
        <f t="shared" si="95"/>
        <v>神器本-6-困难-1  神器4-4</v>
      </c>
      <c r="AR172" s="87">
        <v>18</v>
      </c>
      <c r="AS172" s="87" t="s">
        <v>338</v>
      </c>
      <c r="AT172" s="87">
        <v>500</v>
      </c>
      <c r="AU172" s="87">
        <v>1</v>
      </c>
      <c r="AV172" s="87">
        <v>1</v>
      </c>
      <c r="AW172" s="87">
        <f t="shared" si="96"/>
        <v>2</v>
      </c>
      <c r="AX172" s="14">
        <f t="shared" si="97"/>
        <v>0.05</v>
      </c>
      <c r="AY172" s="14">
        <f t="shared" si="98"/>
        <v>3.75</v>
      </c>
      <c r="GM172" s="91">
        <v>166</v>
      </c>
      <c r="GN172" s="14">
        <f t="shared" si="99"/>
        <v>11</v>
      </c>
      <c r="GO172" s="14">
        <f t="shared" si="100"/>
        <v>1606013</v>
      </c>
      <c r="GP172" s="14" t="str">
        <f t="shared" si="101"/>
        <v>神器3-3 : 18级</v>
      </c>
      <c r="GQ172" s="14" t="s">
        <v>816</v>
      </c>
      <c r="GR172" s="14">
        <f t="shared" si="102"/>
        <v>10</v>
      </c>
      <c r="GS172" s="14" t="str">
        <f t="shared" si="103"/>
        <v>神器3-3</v>
      </c>
      <c r="GT172" s="14">
        <f t="shared" si="104"/>
        <v>5</v>
      </c>
    </row>
    <row r="173" spans="38:202" ht="16.5" x14ac:dyDescent="0.2">
      <c r="AL173" s="87">
        <v>6</v>
      </c>
      <c r="AM173" s="87">
        <v>2</v>
      </c>
      <c r="AN173" s="87">
        <v>48</v>
      </c>
      <c r="AO173" s="144">
        <f t="shared" si="94"/>
        <v>4448</v>
      </c>
      <c r="AP173" s="144" t="s">
        <v>1273</v>
      </c>
      <c r="AQ173" s="144" t="str">
        <f t="shared" si="95"/>
        <v>神器本-6-困难-1  神器4-5</v>
      </c>
      <c r="AR173" s="87">
        <v>19</v>
      </c>
      <c r="AS173" s="87" t="s">
        <v>339</v>
      </c>
      <c r="AT173" s="87">
        <v>500</v>
      </c>
      <c r="AU173" s="87">
        <v>1</v>
      </c>
      <c r="AV173" s="87">
        <v>1</v>
      </c>
      <c r="AW173" s="87">
        <f t="shared" si="96"/>
        <v>3</v>
      </c>
      <c r="AX173" s="14">
        <f t="shared" si="97"/>
        <v>0.05</v>
      </c>
      <c r="AY173" s="14">
        <f t="shared" si="98"/>
        <v>8.75</v>
      </c>
      <c r="GM173" s="91">
        <v>167</v>
      </c>
      <c r="GN173" s="14">
        <f t="shared" si="99"/>
        <v>11</v>
      </c>
      <c r="GO173" s="14">
        <f t="shared" si="100"/>
        <v>1606013</v>
      </c>
      <c r="GP173" s="14" t="str">
        <f t="shared" si="101"/>
        <v>神器3-3 : 19级</v>
      </c>
      <c r="GQ173" s="14" t="s">
        <v>816</v>
      </c>
      <c r="GR173" s="14">
        <f t="shared" si="102"/>
        <v>11</v>
      </c>
      <c r="GS173" s="14" t="str">
        <f t="shared" si="103"/>
        <v>神器3-3</v>
      </c>
      <c r="GT173" s="14">
        <f t="shared" si="104"/>
        <v>5</v>
      </c>
    </row>
    <row r="174" spans="38:202" ht="16.5" x14ac:dyDescent="0.2">
      <c r="AL174" s="87">
        <v>6</v>
      </c>
      <c r="AM174" s="87">
        <v>2</v>
      </c>
      <c r="AN174" s="87">
        <v>48</v>
      </c>
      <c r="AO174" s="144">
        <f t="shared" si="94"/>
        <v>4448</v>
      </c>
      <c r="AP174" s="144" t="s">
        <v>1273</v>
      </c>
      <c r="AQ174" s="144" t="str">
        <f t="shared" si="95"/>
        <v>神器本-6-困难-1  神器4-6</v>
      </c>
      <c r="AR174" s="87">
        <v>20</v>
      </c>
      <c r="AS174" s="87" t="s">
        <v>340</v>
      </c>
      <c r="AT174" s="87">
        <v>166</v>
      </c>
      <c r="AU174" s="87">
        <v>1</v>
      </c>
      <c r="AV174" s="87">
        <v>1</v>
      </c>
      <c r="AW174" s="87">
        <f t="shared" si="96"/>
        <v>4</v>
      </c>
      <c r="AX174" s="14">
        <f t="shared" si="97"/>
        <v>1.66E-2</v>
      </c>
      <c r="AY174" s="14">
        <f t="shared" si="98"/>
        <v>6.2249999999999996</v>
      </c>
      <c r="GM174" s="91">
        <v>168</v>
      </c>
      <c r="GN174" s="14">
        <f t="shared" si="99"/>
        <v>11</v>
      </c>
      <c r="GO174" s="14">
        <f t="shared" si="100"/>
        <v>1606013</v>
      </c>
      <c r="GP174" s="14" t="str">
        <f t="shared" si="101"/>
        <v>神器3-3 : 20级</v>
      </c>
      <c r="GQ174" s="14" t="s">
        <v>816</v>
      </c>
      <c r="GR174" s="14">
        <f t="shared" si="102"/>
        <v>12</v>
      </c>
      <c r="GS174" s="14" t="str">
        <f t="shared" si="103"/>
        <v>神器3-3</v>
      </c>
      <c r="GT174" s="14">
        <f t="shared" si="104"/>
        <v>6</v>
      </c>
    </row>
    <row r="175" spans="38:202" ht="16.5" x14ac:dyDescent="0.2">
      <c r="AL175" s="87">
        <v>6</v>
      </c>
      <c r="AM175" s="87">
        <v>2</v>
      </c>
      <c r="AN175" s="87">
        <v>48</v>
      </c>
      <c r="AO175" s="144">
        <f t="shared" si="94"/>
        <v>4448</v>
      </c>
      <c r="AP175" s="144" t="s">
        <v>1273</v>
      </c>
      <c r="AQ175" s="144" t="str">
        <f t="shared" si="95"/>
        <v>神器本-6-困难-1  神器5-1</v>
      </c>
      <c r="AR175" s="87">
        <v>21</v>
      </c>
      <c r="AS175" s="87" t="s">
        <v>341</v>
      </c>
      <c r="AT175" s="87">
        <v>833</v>
      </c>
      <c r="AU175" s="87">
        <v>1</v>
      </c>
      <c r="AV175" s="87">
        <v>1</v>
      </c>
      <c r="AW175" s="87">
        <f t="shared" si="96"/>
        <v>1</v>
      </c>
      <c r="AX175" s="14">
        <f t="shared" si="97"/>
        <v>8.3299999999999999E-2</v>
      </c>
      <c r="AY175" s="14">
        <f t="shared" si="98"/>
        <v>2.4990000000000001</v>
      </c>
      <c r="GM175" s="91">
        <v>169</v>
      </c>
      <c r="GN175" s="14">
        <f t="shared" si="99"/>
        <v>11</v>
      </c>
      <c r="GO175" s="14">
        <f t="shared" si="100"/>
        <v>1606013</v>
      </c>
      <c r="GP175" s="14" t="str">
        <f t="shared" si="101"/>
        <v>神器3-3 : 21级</v>
      </c>
      <c r="GQ175" s="14" t="s">
        <v>816</v>
      </c>
      <c r="GR175" s="14">
        <f t="shared" si="102"/>
        <v>13</v>
      </c>
      <c r="GS175" s="14" t="str">
        <f t="shared" si="103"/>
        <v>神器3-3</v>
      </c>
      <c r="GT175" s="14">
        <f t="shared" si="104"/>
        <v>7</v>
      </c>
    </row>
    <row r="176" spans="38:202" ht="16.5" x14ac:dyDescent="0.2">
      <c r="AL176" s="87">
        <v>6</v>
      </c>
      <c r="AM176" s="87">
        <v>2</v>
      </c>
      <c r="AN176" s="87">
        <v>48</v>
      </c>
      <c r="AO176" s="144">
        <f t="shared" si="94"/>
        <v>4448</v>
      </c>
      <c r="AP176" s="144" t="s">
        <v>1273</v>
      </c>
      <c r="AQ176" s="144" t="str">
        <f t="shared" si="95"/>
        <v>神器本-6-困难-1  神器5-2</v>
      </c>
      <c r="AR176" s="87">
        <v>22</v>
      </c>
      <c r="AS176" s="87" t="s">
        <v>342</v>
      </c>
      <c r="AT176" s="87">
        <v>833</v>
      </c>
      <c r="AU176" s="87">
        <v>1</v>
      </c>
      <c r="AV176" s="87">
        <v>1</v>
      </c>
      <c r="AW176" s="87">
        <f t="shared" si="96"/>
        <v>1</v>
      </c>
      <c r="AX176" s="14">
        <f t="shared" si="97"/>
        <v>8.3299999999999999E-2</v>
      </c>
      <c r="AY176" s="14">
        <f t="shared" si="98"/>
        <v>2.4990000000000001</v>
      </c>
      <c r="GM176" s="91">
        <v>170</v>
      </c>
      <c r="GN176" s="14">
        <f t="shared" si="99"/>
        <v>11</v>
      </c>
      <c r="GO176" s="14">
        <f t="shared" si="100"/>
        <v>1606013</v>
      </c>
      <c r="GP176" s="14" t="str">
        <f t="shared" si="101"/>
        <v>神器3-3 : 22级</v>
      </c>
      <c r="GQ176" s="14" t="s">
        <v>816</v>
      </c>
      <c r="GR176" s="14">
        <f t="shared" si="102"/>
        <v>14</v>
      </c>
      <c r="GS176" s="14" t="str">
        <f t="shared" si="103"/>
        <v>神器3-3</v>
      </c>
      <c r="GT176" s="14">
        <f t="shared" si="104"/>
        <v>7</v>
      </c>
    </row>
    <row r="177" spans="38:202" ht="16.5" x14ac:dyDescent="0.2">
      <c r="AL177" s="87">
        <v>6</v>
      </c>
      <c r="AM177" s="87">
        <v>2</v>
      </c>
      <c r="AN177" s="87">
        <v>48</v>
      </c>
      <c r="AO177" s="144">
        <f t="shared" si="94"/>
        <v>4448</v>
      </c>
      <c r="AP177" s="144" t="s">
        <v>1273</v>
      </c>
      <c r="AQ177" s="144" t="str">
        <f t="shared" si="95"/>
        <v>神器本-6-困难-1  神器5-3</v>
      </c>
      <c r="AR177" s="87">
        <v>23</v>
      </c>
      <c r="AS177" s="87" t="s">
        <v>343</v>
      </c>
      <c r="AT177" s="87">
        <v>500</v>
      </c>
      <c r="AU177" s="87">
        <v>1</v>
      </c>
      <c r="AV177" s="87">
        <v>1</v>
      </c>
      <c r="AW177" s="87">
        <f t="shared" si="96"/>
        <v>2</v>
      </c>
      <c r="AX177" s="14">
        <f t="shared" si="97"/>
        <v>0.05</v>
      </c>
      <c r="AY177" s="14">
        <f t="shared" si="98"/>
        <v>4.5</v>
      </c>
      <c r="GM177" s="91">
        <v>171</v>
      </c>
      <c r="GN177" s="14">
        <f t="shared" si="99"/>
        <v>11</v>
      </c>
      <c r="GO177" s="14">
        <f t="shared" si="100"/>
        <v>1606013</v>
      </c>
      <c r="GP177" s="14" t="str">
        <f t="shared" si="101"/>
        <v>神器3-3 : 23级</v>
      </c>
      <c r="GQ177" s="14" t="s">
        <v>816</v>
      </c>
      <c r="GR177" s="14">
        <f t="shared" si="102"/>
        <v>15</v>
      </c>
      <c r="GS177" s="14" t="str">
        <f t="shared" si="103"/>
        <v>神器3-3</v>
      </c>
      <c r="GT177" s="14">
        <f t="shared" si="104"/>
        <v>7</v>
      </c>
    </row>
    <row r="178" spans="38:202" ht="16.5" x14ac:dyDescent="0.2">
      <c r="AL178" s="87">
        <v>6</v>
      </c>
      <c r="AM178" s="87">
        <v>2</v>
      </c>
      <c r="AN178" s="87">
        <v>48</v>
      </c>
      <c r="AO178" s="144">
        <f t="shared" si="94"/>
        <v>4448</v>
      </c>
      <c r="AP178" s="144" t="s">
        <v>1273</v>
      </c>
      <c r="AQ178" s="144" t="str">
        <f t="shared" si="95"/>
        <v>神器本-6-困难-1  神器5-4</v>
      </c>
      <c r="AR178" s="87">
        <v>24</v>
      </c>
      <c r="AS178" s="87" t="s">
        <v>344</v>
      </c>
      <c r="AT178" s="87">
        <v>500</v>
      </c>
      <c r="AU178" s="87">
        <v>1</v>
      </c>
      <c r="AV178" s="87">
        <v>1</v>
      </c>
      <c r="AW178" s="87">
        <f t="shared" si="96"/>
        <v>2</v>
      </c>
      <c r="AX178" s="14">
        <f t="shared" si="97"/>
        <v>0.05</v>
      </c>
      <c r="AY178" s="14">
        <f t="shared" si="98"/>
        <v>4.5</v>
      </c>
      <c r="GM178" s="91">
        <v>172</v>
      </c>
      <c r="GN178" s="14">
        <f t="shared" si="99"/>
        <v>11</v>
      </c>
      <c r="GO178" s="14">
        <f t="shared" si="100"/>
        <v>1606013</v>
      </c>
      <c r="GP178" s="14" t="str">
        <f t="shared" si="101"/>
        <v>神器3-3 : 24级</v>
      </c>
      <c r="GQ178" s="14" t="s">
        <v>816</v>
      </c>
      <c r="GR178" s="14">
        <f t="shared" si="102"/>
        <v>16</v>
      </c>
      <c r="GS178" s="14" t="str">
        <f t="shared" si="103"/>
        <v>神器3-3</v>
      </c>
      <c r="GT178" s="14">
        <f t="shared" si="104"/>
        <v>10</v>
      </c>
    </row>
    <row r="179" spans="38:202" ht="16.5" x14ac:dyDescent="0.2">
      <c r="AL179" s="87">
        <v>6</v>
      </c>
      <c r="AM179" s="87">
        <v>2</v>
      </c>
      <c r="AN179" s="87">
        <v>48</v>
      </c>
      <c r="AO179" s="144">
        <f t="shared" si="94"/>
        <v>4448</v>
      </c>
      <c r="AP179" s="144" t="s">
        <v>1273</v>
      </c>
      <c r="AQ179" s="144" t="str">
        <f t="shared" si="95"/>
        <v>神器本-6-困难-1  神器5-5</v>
      </c>
      <c r="AR179" s="87">
        <v>25</v>
      </c>
      <c r="AS179" s="87" t="s">
        <v>345</v>
      </c>
      <c r="AT179" s="87">
        <v>500</v>
      </c>
      <c r="AU179" s="87">
        <v>1</v>
      </c>
      <c r="AV179" s="87">
        <v>1</v>
      </c>
      <c r="AW179" s="87">
        <f t="shared" si="96"/>
        <v>3</v>
      </c>
      <c r="AX179" s="14">
        <f t="shared" si="97"/>
        <v>0.05</v>
      </c>
      <c r="AY179" s="14">
        <f t="shared" si="98"/>
        <v>10.5</v>
      </c>
      <c r="GM179" s="91">
        <v>173</v>
      </c>
      <c r="GN179" s="14">
        <f t="shared" si="99"/>
        <v>11</v>
      </c>
      <c r="GO179" s="14">
        <f t="shared" si="100"/>
        <v>1606013</v>
      </c>
      <c r="GP179" s="14" t="str">
        <f t="shared" si="101"/>
        <v>神器3-3 : 25级</v>
      </c>
      <c r="GQ179" s="14" t="s">
        <v>816</v>
      </c>
      <c r="GR179" s="14">
        <f t="shared" si="102"/>
        <v>17</v>
      </c>
      <c r="GS179" s="14" t="str">
        <f t="shared" si="103"/>
        <v>神器3-3</v>
      </c>
      <c r="GT179" s="14">
        <f t="shared" si="104"/>
        <v>10</v>
      </c>
    </row>
    <row r="180" spans="38:202" ht="16.5" x14ac:dyDescent="0.2">
      <c r="AL180" s="87">
        <v>6</v>
      </c>
      <c r="AM180" s="87">
        <v>2</v>
      </c>
      <c r="AN180" s="87">
        <v>48</v>
      </c>
      <c r="AO180" s="144">
        <f t="shared" si="94"/>
        <v>4448</v>
      </c>
      <c r="AP180" s="144" t="s">
        <v>1273</v>
      </c>
      <c r="AQ180" s="144" t="str">
        <f t="shared" si="95"/>
        <v>神器本-6-困难-1  神器5-6</v>
      </c>
      <c r="AR180" s="87">
        <v>26</v>
      </c>
      <c r="AS180" s="87" t="s">
        <v>346</v>
      </c>
      <c r="AT180" s="87">
        <v>166</v>
      </c>
      <c r="AU180" s="87">
        <v>1</v>
      </c>
      <c r="AV180" s="87">
        <v>1</v>
      </c>
      <c r="AW180" s="87">
        <f t="shared" si="96"/>
        <v>4</v>
      </c>
      <c r="AX180" s="14">
        <f t="shared" si="97"/>
        <v>1.66E-2</v>
      </c>
      <c r="AY180" s="14">
        <f t="shared" si="98"/>
        <v>7.47</v>
      </c>
      <c r="GM180" s="91">
        <v>174</v>
      </c>
      <c r="GN180" s="14">
        <f t="shared" si="99"/>
        <v>11</v>
      </c>
      <c r="GO180" s="14">
        <f t="shared" si="100"/>
        <v>1606013</v>
      </c>
      <c r="GP180" s="14" t="str">
        <f t="shared" si="101"/>
        <v>神器3-3 : 26级</v>
      </c>
      <c r="GQ180" s="14" t="s">
        <v>816</v>
      </c>
      <c r="GR180" s="14">
        <f t="shared" si="102"/>
        <v>18</v>
      </c>
      <c r="GS180" s="14" t="str">
        <f t="shared" si="103"/>
        <v>神器3-3</v>
      </c>
      <c r="GT180" s="14">
        <f t="shared" si="104"/>
        <v>10</v>
      </c>
    </row>
    <row r="181" spans="38:202" ht="16.5" x14ac:dyDescent="0.2">
      <c r="AL181" s="87">
        <v>6</v>
      </c>
      <c r="AM181" s="87">
        <v>2</v>
      </c>
      <c r="AN181" s="87">
        <v>49</v>
      </c>
      <c r="AO181" s="144">
        <f t="shared" si="94"/>
        <v>4449</v>
      </c>
      <c r="AP181" s="144" t="s">
        <v>1274</v>
      </c>
      <c r="AQ181" s="144" t="str">
        <f t="shared" si="95"/>
        <v>神器本-6-困难-2  神器6-1</v>
      </c>
      <c r="AR181" s="87">
        <v>27</v>
      </c>
      <c r="AS181" s="87" t="s">
        <v>777</v>
      </c>
      <c r="AT181" s="87">
        <v>2000</v>
      </c>
      <c r="AU181" s="87">
        <v>1</v>
      </c>
      <c r="AV181" s="87">
        <v>2</v>
      </c>
      <c r="AW181" s="87">
        <f t="shared" si="96"/>
        <v>2</v>
      </c>
      <c r="AX181" s="14">
        <f t="shared" si="97"/>
        <v>0.3</v>
      </c>
      <c r="AY181" s="14">
        <f t="shared" si="98"/>
        <v>36</v>
      </c>
      <c r="GM181" s="91">
        <v>175</v>
      </c>
      <c r="GN181" s="14">
        <f t="shared" si="99"/>
        <v>12</v>
      </c>
      <c r="GO181" s="14">
        <f t="shared" si="100"/>
        <v>1606014</v>
      </c>
      <c r="GP181" s="14" t="str">
        <f t="shared" si="101"/>
        <v>神器3-4 : 27级</v>
      </c>
      <c r="GQ181" s="14" t="s">
        <v>816</v>
      </c>
      <c r="GR181" s="14">
        <f t="shared" si="102"/>
        <v>1</v>
      </c>
      <c r="GS181" s="14" t="str">
        <f t="shared" si="103"/>
        <v>神器3-4</v>
      </c>
      <c r="GT181" s="14">
        <f t="shared" si="104"/>
        <v>1</v>
      </c>
    </row>
    <row r="182" spans="38:202" ht="16.5" x14ac:dyDescent="0.2">
      <c r="AL182" s="87">
        <v>6</v>
      </c>
      <c r="AM182" s="87">
        <v>2</v>
      </c>
      <c r="AN182" s="87">
        <v>49</v>
      </c>
      <c r="AO182" s="144">
        <f t="shared" si="94"/>
        <v>4449</v>
      </c>
      <c r="AP182" s="144" t="s">
        <v>1274</v>
      </c>
      <c r="AQ182" s="144" t="str">
        <f t="shared" si="95"/>
        <v>神器本-6-困难-2  神器6-2</v>
      </c>
      <c r="AR182" s="87">
        <v>28</v>
      </c>
      <c r="AS182" s="87" t="s">
        <v>778</v>
      </c>
      <c r="AT182" s="87">
        <v>2000</v>
      </c>
      <c r="AU182" s="87">
        <v>1</v>
      </c>
      <c r="AV182" s="87">
        <v>2</v>
      </c>
      <c r="AW182" s="87">
        <f t="shared" si="96"/>
        <v>2</v>
      </c>
      <c r="AX182" s="14">
        <f t="shared" si="97"/>
        <v>0.3</v>
      </c>
      <c r="AY182" s="14">
        <f t="shared" si="98"/>
        <v>36</v>
      </c>
      <c r="GM182" s="91">
        <v>176</v>
      </c>
      <c r="GN182" s="14">
        <f t="shared" si="99"/>
        <v>12</v>
      </c>
      <c r="GO182" s="14">
        <f t="shared" si="100"/>
        <v>1606014</v>
      </c>
      <c r="GP182" s="14" t="str">
        <f t="shared" si="101"/>
        <v>神器3-4 : 28级</v>
      </c>
      <c r="GQ182" s="14" t="s">
        <v>816</v>
      </c>
      <c r="GR182" s="14">
        <f t="shared" si="102"/>
        <v>2</v>
      </c>
      <c r="GS182" s="14" t="str">
        <f t="shared" si="103"/>
        <v>神器3-4</v>
      </c>
      <c r="GT182" s="14">
        <f t="shared" si="104"/>
        <v>1</v>
      </c>
    </row>
    <row r="183" spans="38:202" ht="16.5" x14ac:dyDescent="0.2">
      <c r="AL183" s="87">
        <v>6</v>
      </c>
      <c r="AM183" s="87">
        <v>2</v>
      </c>
      <c r="AN183" s="87">
        <v>49</v>
      </c>
      <c r="AO183" s="144">
        <f t="shared" si="94"/>
        <v>4449</v>
      </c>
      <c r="AP183" s="144" t="s">
        <v>1274</v>
      </c>
      <c r="AQ183" s="144" t="str">
        <f t="shared" si="95"/>
        <v>神器本-6-困难-2  神器6-3</v>
      </c>
      <c r="AR183" s="87">
        <v>29</v>
      </c>
      <c r="AS183" s="87" t="s">
        <v>779</v>
      </c>
      <c r="AT183" s="87">
        <v>2000</v>
      </c>
      <c r="AU183" s="87">
        <v>1</v>
      </c>
      <c r="AV183" s="87">
        <v>2</v>
      </c>
      <c r="AW183" s="87">
        <f t="shared" si="96"/>
        <v>2</v>
      </c>
      <c r="AX183" s="14">
        <f t="shared" si="97"/>
        <v>0.3</v>
      </c>
      <c r="AY183" s="14">
        <f t="shared" si="98"/>
        <v>36</v>
      </c>
      <c r="GM183" s="91">
        <v>177</v>
      </c>
      <c r="GN183" s="14">
        <f t="shared" si="99"/>
        <v>12</v>
      </c>
      <c r="GO183" s="14">
        <f t="shared" si="100"/>
        <v>1606014</v>
      </c>
      <c r="GP183" s="14" t="str">
        <f t="shared" si="101"/>
        <v>神器3-4 : 29级</v>
      </c>
      <c r="GQ183" s="14" t="s">
        <v>816</v>
      </c>
      <c r="GR183" s="14">
        <f t="shared" si="102"/>
        <v>3</v>
      </c>
      <c r="GS183" s="14" t="str">
        <f t="shared" si="103"/>
        <v>神器3-4</v>
      </c>
      <c r="GT183" s="14">
        <f t="shared" si="104"/>
        <v>1</v>
      </c>
    </row>
    <row r="184" spans="38:202" ht="16.5" x14ac:dyDescent="0.2">
      <c r="AL184" s="87">
        <v>6</v>
      </c>
      <c r="AM184" s="87">
        <v>2</v>
      </c>
      <c r="AN184" s="87">
        <v>50</v>
      </c>
      <c r="AO184" s="144">
        <f t="shared" si="94"/>
        <v>4450</v>
      </c>
      <c r="AP184" s="144" t="s">
        <v>1281</v>
      </c>
      <c r="AQ184" s="144" t="str">
        <f t="shared" si="95"/>
        <v>神器本-6-困难-3  神器6-4</v>
      </c>
      <c r="AR184" s="87">
        <v>30</v>
      </c>
      <c r="AS184" s="87" t="s">
        <v>350</v>
      </c>
      <c r="AT184" s="87">
        <v>1000</v>
      </c>
      <c r="AU184" s="87">
        <v>1</v>
      </c>
      <c r="AV184" s="87">
        <v>1</v>
      </c>
      <c r="AW184" s="87">
        <f t="shared" si="96"/>
        <v>3</v>
      </c>
      <c r="AX184" s="14">
        <f t="shared" si="97"/>
        <v>0.1</v>
      </c>
      <c r="AY184" s="14">
        <f t="shared" si="98"/>
        <v>28</v>
      </c>
      <c r="GM184" s="91">
        <v>178</v>
      </c>
      <c r="GN184" s="14">
        <f t="shared" si="99"/>
        <v>12</v>
      </c>
      <c r="GO184" s="14">
        <f t="shared" si="100"/>
        <v>1606014</v>
      </c>
      <c r="GP184" s="14" t="str">
        <f t="shared" si="101"/>
        <v>神器3-4 : 30级</v>
      </c>
      <c r="GQ184" s="14" t="s">
        <v>816</v>
      </c>
      <c r="GR184" s="14">
        <f t="shared" si="102"/>
        <v>4</v>
      </c>
      <c r="GS184" s="14" t="str">
        <f t="shared" si="103"/>
        <v>神器3-4</v>
      </c>
      <c r="GT184" s="14">
        <f t="shared" si="104"/>
        <v>2</v>
      </c>
    </row>
    <row r="185" spans="38:202" ht="16.5" x14ac:dyDescent="0.2">
      <c r="AL185" s="87">
        <v>6</v>
      </c>
      <c r="AM185" s="87">
        <v>2</v>
      </c>
      <c r="AN185" s="87">
        <v>50</v>
      </c>
      <c r="AO185" s="144">
        <f t="shared" si="94"/>
        <v>4450</v>
      </c>
      <c r="AP185" s="144" t="s">
        <v>1281</v>
      </c>
      <c r="AQ185" s="144" t="str">
        <f t="shared" si="95"/>
        <v>神器本-6-困难-3  神器6-5</v>
      </c>
      <c r="AR185" s="87">
        <v>31</v>
      </c>
      <c r="AS185" s="87" t="s">
        <v>351</v>
      </c>
      <c r="AT185" s="87">
        <v>1000</v>
      </c>
      <c r="AU185" s="87">
        <v>1</v>
      </c>
      <c r="AV185" s="87">
        <v>1</v>
      </c>
      <c r="AW185" s="87">
        <f t="shared" si="96"/>
        <v>3</v>
      </c>
      <c r="AX185" s="14">
        <f t="shared" si="97"/>
        <v>0.1</v>
      </c>
      <c r="AY185" s="14">
        <f t="shared" si="98"/>
        <v>28</v>
      </c>
      <c r="GM185" s="91">
        <v>179</v>
      </c>
      <c r="GN185" s="14">
        <f t="shared" si="99"/>
        <v>12</v>
      </c>
      <c r="GO185" s="14">
        <f t="shared" si="100"/>
        <v>1606014</v>
      </c>
      <c r="GP185" s="14" t="str">
        <f t="shared" si="101"/>
        <v>神器3-4 : 31级</v>
      </c>
      <c r="GQ185" s="14" t="s">
        <v>816</v>
      </c>
      <c r="GR185" s="14">
        <f t="shared" si="102"/>
        <v>5</v>
      </c>
      <c r="GS185" s="14" t="str">
        <f t="shared" si="103"/>
        <v>神器3-4</v>
      </c>
      <c r="GT185" s="14">
        <f t="shared" si="104"/>
        <v>2</v>
      </c>
    </row>
    <row r="186" spans="38:202" ht="16.5" x14ac:dyDescent="0.2">
      <c r="AL186" s="87">
        <v>6</v>
      </c>
      <c r="AM186" s="87">
        <v>2</v>
      </c>
      <c r="AN186" s="87">
        <v>50</v>
      </c>
      <c r="AO186" s="144">
        <f t="shared" si="94"/>
        <v>4450</v>
      </c>
      <c r="AP186" s="144" t="s">
        <v>1281</v>
      </c>
      <c r="AQ186" s="144" t="str">
        <f t="shared" si="95"/>
        <v>神器本-6-困难-3  神器6-6</v>
      </c>
      <c r="AR186" s="87">
        <v>32</v>
      </c>
      <c r="AS186" s="87" t="s">
        <v>352</v>
      </c>
      <c r="AT186" s="87">
        <v>1000</v>
      </c>
      <c r="AU186" s="87">
        <v>1</v>
      </c>
      <c r="AV186" s="87">
        <v>1</v>
      </c>
      <c r="AW186" s="87">
        <f t="shared" si="96"/>
        <v>3</v>
      </c>
      <c r="AX186" s="14">
        <f t="shared" si="97"/>
        <v>0.1</v>
      </c>
      <c r="AY186" s="14">
        <f t="shared" si="98"/>
        <v>28</v>
      </c>
      <c r="GM186" s="91">
        <v>180</v>
      </c>
      <c r="GN186" s="14">
        <f t="shared" si="99"/>
        <v>12</v>
      </c>
      <c r="GO186" s="14">
        <f t="shared" si="100"/>
        <v>1606014</v>
      </c>
      <c r="GP186" s="14" t="str">
        <f t="shared" si="101"/>
        <v>神器3-4 : 32级</v>
      </c>
      <c r="GQ186" s="14" t="s">
        <v>816</v>
      </c>
      <c r="GR186" s="14">
        <f t="shared" si="102"/>
        <v>6</v>
      </c>
      <c r="GS186" s="14" t="str">
        <f t="shared" si="103"/>
        <v>神器3-4</v>
      </c>
      <c r="GT186" s="14">
        <f t="shared" si="104"/>
        <v>2</v>
      </c>
    </row>
    <row r="187" spans="38:202" ht="16.5" x14ac:dyDescent="0.2">
      <c r="AL187" s="87">
        <v>6</v>
      </c>
      <c r="AM187" s="87">
        <v>3</v>
      </c>
      <c r="AN187" s="87">
        <v>51</v>
      </c>
      <c r="AO187" s="144">
        <f t="shared" si="94"/>
        <v>4451</v>
      </c>
      <c r="AP187" s="144" t="s">
        <v>1285</v>
      </c>
      <c r="AQ187" s="144" t="str">
        <f t="shared" si="95"/>
        <v>神器本-6-噩梦-1  神器3-1</v>
      </c>
      <c r="AR187" s="87">
        <v>9</v>
      </c>
      <c r="AS187" s="87" t="s">
        <v>776</v>
      </c>
      <c r="AT187" s="87">
        <v>833</v>
      </c>
      <c r="AU187" s="87">
        <v>1</v>
      </c>
      <c r="AV187" s="87">
        <v>1</v>
      </c>
      <c r="AW187" s="87">
        <f t="shared" si="96"/>
        <v>1</v>
      </c>
      <c r="AX187" s="14">
        <f t="shared" si="97"/>
        <v>8.3299999999999999E-2</v>
      </c>
      <c r="AY187" s="14">
        <f t="shared" si="98"/>
        <v>1.6659999999999999</v>
      </c>
      <c r="GM187" s="91">
        <v>181</v>
      </c>
      <c r="GN187" s="14">
        <f t="shared" si="99"/>
        <v>12</v>
      </c>
      <c r="GO187" s="14">
        <f t="shared" si="100"/>
        <v>1606014</v>
      </c>
      <c r="GP187" s="14" t="str">
        <f t="shared" si="101"/>
        <v>神器3-4 : 9级</v>
      </c>
      <c r="GQ187" s="14" t="s">
        <v>816</v>
      </c>
      <c r="GR187" s="14">
        <f t="shared" si="102"/>
        <v>7</v>
      </c>
      <c r="GS187" s="14" t="str">
        <f t="shared" si="103"/>
        <v>神器3-4</v>
      </c>
      <c r="GT187" s="14">
        <f t="shared" si="104"/>
        <v>3</v>
      </c>
    </row>
    <row r="188" spans="38:202" ht="16.5" x14ac:dyDescent="0.2">
      <c r="AL188" s="87">
        <v>6</v>
      </c>
      <c r="AM188" s="87">
        <v>3</v>
      </c>
      <c r="AN188" s="87">
        <v>51</v>
      </c>
      <c r="AO188" s="144">
        <f t="shared" si="94"/>
        <v>4451</v>
      </c>
      <c r="AP188" s="144" t="s">
        <v>1285</v>
      </c>
      <c r="AQ188" s="144" t="str">
        <f t="shared" si="95"/>
        <v>神器本-6-噩梦-1  神器3-2</v>
      </c>
      <c r="AR188" s="87">
        <v>10</v>
      </c>
      <c r="AS188" s="87" t="s">
        <v>330</v>
      </c>
      <c r="AT188" s="87">
        <v>833</v>
      </c>
      <c r="AU188" s="87">
        <v>1</v>
      </c>
      <c r="AV188" s="87">
        <v>1</v>
      </c>
      <c r="AW188" s="87">
        <f t="shared" si="96"/>
        <v>1</v>
      </c>
      <c r="AX188" s="14">
        <f t="shared" si="97"/>
        <v>8.3299999999999999E-2</v>
      </c>
      <c r="AY188" s="14">
        <f t="shared" si="98"/>
        <v>1.6659999999999999</v>
      </c>
      <c r="GM188" s="91">
        <v>182</v>
      </c>
      <c r="GN188" s="14">
        <f t="shared" si="99"/>
        <v>12</v>
      </c>
      <c r="GO188" s="14">
        <f t="shared" si="100"/>
        <v>1606014</v>
      </c>
      <c r="GP188" s="14" t="str">
        <f t="shared" si="101"/>
        <v>神器3-4 : 10级</v>
      </c>
      <c r="GQ188" s="14" t="s">
        <v>816</v>
      </c>
      <c r="GR188" s="14">
        <f t="shared" si="102"/>
        <v>8</v>
      </c>
      <c r="GS188" s="14" t="str">
        <f t="shared" si="103"/>
        <v>神器3-4</v>
      </c>
      <c r="GT188" s="14">
        <f t="shared" si="104"/>
        <v>3</v>
      </c>
    </row>
    <row r="189" spans="38:202" ht="16.5" x14ac:dyDescent="0.2">
      <c r="AL189" s="87">
        <v>6</v>
      </c>
      <c r="AM189" s="87">
        <v>3</v>
      </c>
      <c r="AN189" s="87">
        <v>51</v>
      </c>
      <c r="AO189" s="144">
        <f t="shared" si="94"/>
        <v>4451</v>
      </c>
      <c r="AP189" s="144" t="s">
        <v>1285</v>
      </c>
      <c r="AQ189" s="144" t="str">
        <f t="shared" si="95"/>
        <v>神器本-6-噩梦-1  神器3-3</v>
      </c>
      <c r="AR189" s="87">
        <v>11</v>
      </c>
      <c r="AS189" s="87" t="s">
        <v>331</v>
      </c>
      <c r="AT189" s="87">
        <v>500</v>
      </c>
      <c r="AU189" s="87">
        <v>1</v>
      </c>
      <c r="AV189" s="87">
        <v>1</v>
      </c>
      <c r="AW189" s="87">
        <f t="shared" si="96"/>
        <v>2</v>
      </c>
      <c r="AX189" s="14">
        <f t="shared" si="97"/>
        <v>0.05</v>
      </c>
      <c r="AY189" s="14">
        <f t="shared" si="98"/>
        <v>3</v>
      </c>
      <c r="GM189" s="91">
        <v>183</v>
      </c>
      <c r="GN189" s="14">
        <f t="shared" si="99"/>
        <v>12</v>
      </c>
      <c r="GO189" s="14">
        <f t="shared" si="100"/>
        <v>1606014</v>
      </c>
      <c r="GP189" s="14" t="str">
        <f t="shared" si="101"/>
        <v>神器3-4 : 11级</v>
      </c>
      <c r="GQ189" s="14" t="s">
        <v>816</v>
      </c>
      <c r="GR189" s="14">
        <f t="shared" si="102"/>
        <v>9</v>
      </c>
      <c r="GS189" s="14" t="str">
        <f t="shared" si="103"/>
        <v>神器3-4</v>
      </c>
      <c r="GT189" s="14">
        <f t="shared" si="104"/>
        <v>3</v>
      </c>
    </row>
    <row r="190" spans="38:202" ht="16.5" x14ac:dyDescent="0.2">
      <c r="AL190" s="87">
        <v>6</v>
      </c>
      <c r="AM190" s="87">
        <v>3</v>
      </c>
      <c r="AN190" s="87">
        <v>51</v>
      </c>
      <c r="AO190" s="144">
        <f t="shared" si="94"/>
        <v>4451</v>
      </c>
      <c r="AP190" s="144" t="s">
        <v>1285</v>
      </c>
      <c r="AQ190" s="144" t="str">
        <f t="shared" si="95"/>
        <v>神器本-6-噩梦-1  神器3-4</v>
      </c>
      <c r="AR190" s="87">
        <v>12</v>
      </c>
      <c r="AS190" s="87" t="s">
        <v>332</v>
      </c>
      <c r="AT190" s="87">
        <v>500</v>
      </c>
      <c r="AU190" s="87">
        <v>1</v>
      </c>
      <c r="AV190" s="87">
        <v>1</v>
      </c>
      <c r="AW190" s="87">
        <f t="shared" si="96"/>
        <v>2</v>
      </c>
      <c r="AX190" s="14">
        <f t="shared" si="97"/>
        <v>0.05</v>
      </c>
      <c r="AY190" s="14">
        <f t="shared" si="98"/>
        <v>3</v>
      </c>
      <c r="GM190" s="91">
        <v>184</v>
      </c>
      <c r="GN190" s="14">
        <f t="shared" si="99"/>
        <v>12</v>
      </c>
      <c r="GO190" s="14">
        <f t="shared" si="100"/>
        <v>1606014</v>
      </c>
      <c r="GP190" s="14" t="str">
        <f t="shared" si="101"/>
        <v>神器3-4 : 12级</v>
      </c>
      <c r="GQ190" s="14" t="s">
        <v>816</v>
      </c>
      <c r="GR190" s="14">
        <f t="shared" si="102"/>
        <v>10</v>
      </c>
      <c r="GS190" s="14" t="str">
        <f t="shared" si="103"/>
        <v>神器3-4</v>
      </c>
      <c r="GT190" s="14">
        <f t="shared" si="104"/>
        <v>5</v>
      </c>
    </row>
    <row r="191" spans="38:202" ht="16.5" x14ac:dyDescent="0.2">
      <c r="AL191" s="87">
        <v>6</v>
      </c>
      <c r="AM191" s="87">
        <v>3</v>
      </c>
      <c r="AN191" s="87">
        <v>51</v>
      </c>
      <c r="AO191" s="144">
        <f t="shared" si="94"/>
        <v>4451</v>
      </c>
      <c r="AP191" s="144" t="s">
        <v>1285</v>
      </c>
      <c r="AQ191" s="144" t="str">
        <f t="shared" si="95"/>
        <v>神器本-6-噩梦-1  神器3-5</v>
      </c>
      <c r="AR191" s="87">
        <v>13</v>
      </c>
      <c r="AS191" s="87" t="s">
        <v>333</v>
      </c>
      <c r="AT191" s="87">
        <v>500</v>
      </c>
      <c r="AU191" s="87">
        <v>1</v>
      </c>
      <c r="AV191" s="87">
        <v>1</v>
      </c>
      <c r="AW191" s="87">
        <f t="shared" si="96"/>
        <v>3</v>
      </c>
      <c r="AX191" s="14">
        <f t="shared" si="97"/>
        <v>0.05</v>
      </c>
      <c r="AY191" s="14">
        <f t="shared" si="98"/>
        <v>7</v>
      </c>
      <c r="GM191" s="91">
        <v>185</v>
      </c>
      <c r="GN191" s="14">
        <f t="shared" si="99"/>
        <v>12</v>
      </c>
      <c r="GO191" s="14">
        <f t="shared" si="100"/>
        <v>1606014</v>
      </c>
      <c r="GP191" s="14" t="str">
        <f t="shared" si="101"/>
        <v>神器3-4 : 13级</v>
      </c>
      <c r="GQ191" s="14" t="s">
        <v>816</v>
      </c>
      <c r="GR191" s="14">
        <f t="shared" si="102"/>
        <v>11</v>
      </c>
      <c r="GS191" s="14" t="str">
        <f t="shared" si="103"/>
        <v>神器3-4</v>
      </c>
      <c r="GT191" s="14">
        <f t="shared" si="104"/>
        <v>5</v>
      </c>
    </row>
    <row r="192" spans="38:202" ht="16.5" x14ac:dyDescent="0.2">
      <c r="AL192" s="87">
        <v>6</v>
      </c>
      <c r="AM192" s="87">
        <v>3</v>
      </c>
      <c r="AN192" s="87">
        <v>51</v>
      </c>
      <c r="AO192" s="144">
        <f t="shared" si="94"/>
        <v>4451</v>
      </c>
      <c r="AP192" s="144" t="s">
        <v>1285</v>
      </c>
      <c r="AQ192" s="144" t="str">
        <f t="shared" si="95"/>
        <v>神器本-6-噩梦-1  神器3-6</v>
      </c>
      <c r="AR192" s="87">
        <v>14</v>
      </c>
      <c r="AS192" s="87" t="s">
        <v>334</v>
      </c>
      <c r="AT192" s="87">
        <v>170</v>
      </c>
      <c r="AU192" s="87">
        <v>1</v>
      </c>
      <c r="AV192" s="87">
        <v>1</v>
      </c>
      <c r="AW192" s="87">
        <f t="shared" si="96"/>
        <v>4</v>
      </c>
      <c r="AX192" s="14">
        <f t="shared" si="97"/>
        <v>1.7000000000000001E-2</v>
      </c>
      <c r="AY192" s="14">
        <f t="shared" si="98"/>
        <v>5.1000000000000005</v>
      </c>
      <c r="GM192" s="91">
        <v>186</v>
      </c>
      <c r="GN192" s="14">
        <f t="shared" si="99"/>
        <v>12</v>
      </c>
      <c r="GO192" s="14">
        <f t="shared" si="100"/>
        <v>1606014</v>
      </c>
      <c r="GP192" s="14" t="str">
        <f t="shared" si="101"/>
        <v>神器3-4 : 14级</v>
      </c>
      <c r="GQ192" s="14" t="s">
        <v>816</v>
      </c>
      <c r="GR192" s="14">
        <f t="shared" si="102"/>
        <v>12</v>
      </c>
      <c r="GS192" s="14" t="str">
        <f t="shared" si="103"/>
        <v>神器3-4</v>
      </c>
      <c r="GT192" s="14">
        <f t="shared" si="104"/>
        <v>6</v>
      </c>
    </row>
    <row r="193" spans="38:202" ht="16.5" x14ac:dyDescent="0.2">
      <c r="AL193" s="87">
        <v>6</v>
      </c>
      <c r="AM193" s="87">
        <v>3</v>
      </c>
      <c r="AN193" s="87">
        <v>51</v>
      </c>
      <c r="AO193" s="144">
        <f t="shared" si="94"/>
        <v>4451</v>
      </c>
      <c r="AP193" s="144" t="s">
        <v>1285</v>
      </c>
      <c r="AQ193" s="144" t="str">
        <f t="shared" si="95"/>
        <v>神器本-6-噩梦-1  神器4-1</v>
      </c>
      <c r="AR193" s="87">
        <v>15</v>
      </c>
      <c r="AS193" s="87" t="s">
        <v>335</v>
      </c>
      <c r="AT193" s="87">
        <v>833</v>
      </c>
      <c r="AU193" s="87">
        <v>1</v>
      </c>
      <c r="AV193" s="87">
        <v>1</v>
      </c>
      <c r="AW193" s="87">
        <f t="shared" si="96"/>
        <v>1</v>
      </c>
      <c r="AX193" s="14">
        <f t="shared" si="97"/>
        <v>8.3299999999999999E-2</v>
      </c>
      <c r="AY193" s="14">
        <f t="shared" si="98"/>
        <v>2.0825</v>
      </c>
      <c r="GM193" s="91">
        <v>187</v>
      </c>
      <c r="GN193" s="14">
        <f t="shared" si="99"/>
        <v>12</v>
      </c>
      <c r="GO193" s="14">
        <f t="shared" si="100"/>
        <v>1606014</v>
      </c>
      <c r="GP193" s="14" t="str">
        <f t="shared" si="101"/>
        <v>神器3-4 : 15级</v>
      </c>
      <c r="GQ193" s="14" t="s">
        <v>816</v>
      </c>
      <c r="GR193" s="14">
        <f t="shared" si="102"/>
        <v>13</v>
      </c>
      <c r="GS193" s="14" t="str">
        <f t="shared" si="103"/>
        <v>神器3-4</v>
      </c>
      <c r="GT193" s="14">
        <f t="shared" si="104"/>
        <v>7</v>
      </c>
    </row>
    <row r="194" spans="38:202" ht="16.5" x14ac:dyDescent="0.2">
      <c r="AL194" s="87">
        <v>6</v>
      </c>
      <c r="AM194" s="87">
        <v>3</v>
      </c>
      <c r="AN194" s="87">
        <v>51</v>
      </c>
      <c r="AO194" s="144">
        <f t="shared" si="94"/>
        <v>4451</v>
      </c>
      <c r="AP194" s="144" t="s">
        <v>1285</v>
      </c>
      <c r="AQ194" s="144" t="str">
        <f t="shared" si="95"/>
        <v>神器本-6-噩梦-1  神器4-2</v>
      </c>
      <c r="AR194" s="87">
        <v>16</v>
      </c>
      <c r="AS194" s="87" t="s">
        <v>336</v>
      </c>
      <c r="AT194" s="87">
        <v>833</v>
      </c>
      <c r="AU194" s="87">
        <v>1</v>
      </c>
      <c r="AV194" s="87">
        <v>1</v>
      </c>
      <c r="AW194" s="87">
        <f t="shared" si="96"/>
        <v>1</v>
      </c>
      <c r="AX194" s="14">
        <f t="shared" si="97"/>
        <v>8.3299999999999999E-2</v>
      </c>
      <c r="AY194" s="14">
        <f t="shared" si="98"/>
        <v>2.0825</v>
      </c>
      <c r="GM194" s="91">
        <v>188</v>
      </c>
      <c r="GN194" s="14">
        <f t="shared" si="99"/>
        <v>12</v>
      </c>
      <c r="GO194" s="14">
        <f t="shared" si="100"/>
        <v>1606014</v>
      </c>
      <c r="GP194" s="14" t="str">
        <f t="shared" si="101"/>
        <v>神器3-4 : 16级</v>
      </c>
      <c r="GQ194" s="14" t="s">
        <v>816</v>
      </c>
      <c r="GR194" s="14">
        <f t="shared" si="102"/>
        <v>14</v>
      </c>
      <c r="GS194" s="14" t="str">
        <f t="shared" si="103"/>
        <v>神器3-4</v>
      </c>
      <c r="GT194" s="14">
        <f t="shared" si="104"/>
        <v>7</v>
      </c>
    </row>
    <row r="195" spans="38:202" ht="16.5" x14ac:dyDescent="0.2">
      <c r="AL195" s="87">
        <v>6</v>
      </c>
      <c r="AM195" s="87">
        <v>3</v>
      </c>
      <c r="AN195" s="87">
        <v>51</v>
      </c>
      <c r="AO195" s="144">
        <f t="shared" si="94"/>
        <v>4451</v>
      </c>
      <c r="AP195" s="144" t="s">
        <v>1285</v>
      </c>
      <c r="AQ195" s="144" t="str">
        <f t="shared" si="95"/>
        <v>神器本-6-噩梦-1  神器4-3</v>
      </c>
      <c r="AR195" s="87">
        <v>17</v>
      </c>
      <c r="AS195" s="87" t="s">
        <v>337</v>
      </c>
      <c r="AT195" s="87">
        <v>500</v>
      </c>
      <c r="AU195" s="87">
        <v>1</v>
      </c>
      <c r="AV195" s="87">
        <v>1</v>
      </c>
      <c r="AW195" s="87">
        <f t="shared" si="96"/>
        <v>2</v>
      </c>
      <c r="AX195" s="14">
        <f t="shared" si="97"/>
        <v>0.05</v>
      </c>
      <c r="AY195" s="14">
        <f t="shared" si="98"/>
        <v>3.75</v>
      </c>
      <c r="GM195" s="91">
        <v>189</v>
      </c>
      <c r="GN195" s="14">
        <f t="shared" si="99"/>
        <v>12</v>
      </c>
      <c r="GO195" s="14">
        <f t="shared" si="100"/>
        <v>1606014</v>
      </c>
      <c r="GP195" s="14" t="str">
        <f t="shared" si="101"/>
        <v>神器3-4 : 17级</v>
      </c>
      <c r="GQ195" s="14" t="s">
        <v>816</v>
      </c>
      <c r="GR195" s="14">
        <f t="shared" si="102"/>
        <v>15</v>
      </c>
      <c r="GS195" s="14" t="str">
        <f t="shared" si="103"/>
        <v>神器3-4</v>
      </c>
      <c r="GT195" s="14">
        <f t="shared" si="104"/>
        <v>7</v>
      </c>
    </row>
    <row r="196" spans="38:202" ht="16.5" x14ac:dyDescent="0.2">
      <c r="AL196" s="87">
        <v>6</v>
      </c>
      <c r="AM196" s="87">
        <v>3</v>
      </c>
      <c r="AN196" s="87">
        <v>51</v>
      </c>
      <c r="AO196" s="144">
        <f t="shared" si="94"/>
        <v>4451</v>
      </c>
      <c r="AP196" s="144" t="s">
        <v>1285</v>
      </c>
      <c r="AQ196" s="144" t="str">
        <f t="shared" si="95"/>
        <v>神器本-6-噩梦-1  神器4-4</v>
      </c>
      <c r="AR196" s="87">
        <v>18</v>
      </c>
      <c r="AS196" s="87" t="s">
        <v>338</v>
      </c>
      <c r="AT196" s="87">
        <v>500</v>
      </c>
      <c r="AU196" s="87">
        <v>1</v>
      </c>
      <c r="AV196" s="87">
        <v>1</v>
      </c>
      <c r="AW196" s="87">
        <f t="shared" si="96"/>
        <v>2</v>
      </c>
      <c r="AX196" s="14">
        <f t="shared" si="97"/>
        <v>0.05</v>
      </c>
      <c r="AY196" s="14">
        <f t="shared" si="98"/>
        <v>3.75</v>
      </c>
      <c r="GM196" s="91">
        <v>190</v>
      </c>
      <c r="GN196" s="14">
        <f t="shared" si="99"/>
        <v>12</v>
      </c>
      <c r="GO196" s="14">
        <f t="shared" si="100"/>
        <v>1606014</v>
      </c>
      <c r="GP196" s="14" t="str">
        <f t="shared" si="101"/>
        <v>神器3-4 : 18级</v>
      </c>
      <c r="GQ196" s="14" t="s">
        <v>816</v>
      </c>
      <c r="GR196" s="14">
        <f t="shared" si="102"/>
        <v>16</v>
      </c>
      <c r="GS196" s="14" t="str">
        <f t="shared" si="103"/>
        <v>神器3-4</v>
      </c>
      <c r="GT196" s="14">
        <f t="shared" si="104"/>
        <v>10</v>
      </c>
    </row>
    <row r="197" spans="38:202" ht="16.5" x14ac:dyDescent="0.2">
      <c r="AL197" s="87">
        <v>6</v>
      </c>
      <c r="AM197" s="87">
        <v>3</v>
      </c>
      <c r="AN197" s="87">
        <v>51</v>
      </c>
      <c r="AO197" s="144">
        <f t="shared" si="94"/>
        <v>4451</v>
      </c>
      <c r="AP197" s="144" t="s">
        <v>1285</v>
      </c>
      <c r="AQ197" s="144" t="str">
        <f t="shared" si="95"/>
        <v>神器本-6-噩梦-1  神器4-5</v>
      </c>
      <c r="AR197" s="87">
        <v>19</v>
      </c>
      <c r="AS197" s="87" t="s">
        <v>339</v>
      </c>
      <c r="AT197" s="87">
        <v>500</v>
      </c>
      <c r="AU197" s="87">
        <v>1</v>
      </c>
      <c r="AV197" s="87">
        <v>1</v>
      </c>
      <c r="AW197" s="87">
        <f t="shared" si="96"/>
        <v>3</v>
      </c>
      <c r="AX197" s="14">
        <f t="shared" si="97"/>
        <v>0.05</v>
      </c>
      <c r="AY197" s="14">
        <f t="shared" si="98"/>
        <v>8.75</v>
      </c>
      <c r="GM197" s="91">
        <v>191</v>
      </c>
      <c r="GN197" s="14">
        <f t="shared" si="99"/>
        <v>12</v>
      </c>
      <c r="GO197" s="14">
        <f t="shared" si="100"/>
        <v>1606014</v>
      </c>
      <c r="GP197" s="14" t="str">
        <f t="shared" si="101"/>
        <v>神器3-4 : 19级</v>
      </c>
      <c r="GQ197" s="14" t="s">
        <v>816</v>
      </c>
      <c r="GR197" s="14">
        <f t="shared" si="102"/>
        <v>17</v>
      </c>
      <c r="GS197" s="14" t="str">
        <f t="shared" si="103"/>
        <v>神器3-4</v>
      </c>
      <c r="GT197" s="14">
        <f t="shared" si="104"/>
        <v>10</v>
      </c>
    </row>
    <row r="198" spans="38:202" ht="16.5" x14ac:dyDescent="0.2">
      <c r="AL198" s="87">
        <v>6</v>
      </c>
      <c r="AM198" s="87">
        <v>3</v>
      </c>
      <c r="AN198" s="87">
        <v>51</v>
      </c>
      <c r="AO198" s="144">
        <f t="shared" si="94"/>
        <v>4451</v>
      </c>
      <c r="AP198" s="144" t="s">
        <v>1285</v>
      </c>
      <c r="AQ198" s="144" t="str">
        <f t="shared" si="95"/>
        <v>神器本-6-噩梦-1  神器4-6</v>
      </c>
      <c r="AR198" s="87">
        <v>20</v>
      </c>
      <c r="AS198" s="87" t="s">
        <v>340</v>
      </c>
      <c r="AT198" s="87">
        <v>166</v>
      </c>
      <c r="AU198" s="87">
        <v>1</v>
      </c>
      <c r="AV198" s="87">
        <v>1</v>
      </c>
      <c r="AW198" s="87">
        <f t="shared" si="96"/>
        <v>4</v>
      </c>
      <c r="AX198" s="14">
        <f t="shared" si="97"/>
        <v>1.66E-2</v>
      </c>
      <c r="AY198" s="14">
        <f t="shared" si="98"/>
        <v>6.2249999999999996</v>
      </c>
      <c r="GM198" s="91">
        <v>192</v>
      </c>
      <c r="GN198" s="14">
        <f t="shared" si="99"/>
        <v>12</v>
      </c>
      <c r="GO198" s="14">
        <f t="shared" si="100"/>
        <v>1606014</v>
      </c>
      <c r="GP198" s="14" t="str">
        <f t="shared" si="101"/>
        <v>神器3-4 : 20级</v>
      </c>
      <c r="GQ198" s="14" t="s">
        <v>816</v>
      </c>
      <c r="GR198" s="14">
        <f t="shared" si="102"/>
        <v>18</v>
      </c>
      <c r="GS198" s="14" t="str">
        <f t="shared" si="103"/>
        <v>神器3-4</v>
      </c>
      <c r="GT198" s="14">
        <f t="shared" si="104"/>
        <v>10</v>
      </c>
    </row>
    <row r="199" spans="38:202" ht="16.5" x14ac:dyDescent="0.2">
      <c r="AL199" s="87">
        <v>6</v>
      </c>
      <c r="AM199" s="87">
        <v>3</v>
      </c>
      <c r="AN199" s="87">
        <v>51</v>
      </c>
      <c r="AO199" s="144">
        <f t="shared" si="94"/>
        <v>4451</v>
      </c>
      <c r="AP199" s="144" t="s">
        <v>1285</v>
      </c>
      <c r="AQ199" s="144" t="str">
        <f t="shared" si="95"/>
        <v>神器本-6-噩梦-1  神器5-1</v>
      </c>
      <c r="AR199" s="87">
        <v>21</v>
      </c>
      <c r="AS199" s="87" t="s">
        <v>341</v>
      </c>
      <c r="AT199" s="87">
        <v>833</v>
      </c>
      <c r="AU199" s="87">
        <v>1</v>
      </c>
      <c r="AV199" s="87">
        <v>1</v>
      </c>
      <c r="AW199" s="87">
        <f t="shared" si="96"/>
        <v>1</v>
      </c>
      <c r="AX199" s="14">
        <f t="shared" si="97"/>
        <v>8.3299999999999999E-2</v>
      </c>
      <c r="AY199" s="14">
        <f t="shared" si="98"/>
        <v>2.4990000000000001</v>
      </c>
      <c r="GM199" s="91">
        <v>193</v>
      </c>
      <c r="GN199" s="14">
        <f t="shared" si="99"/>
        <v>13</v>
      </c>
      <c r="GO199" s="14">
        <f t="shared" si="100"/>
        <v>1606015</v>
      </c>
      <c r="GP199" s="14" t="str">
        <f t="shared" si="101"/>
        <v>神器3-5 : 21级</v>
      </c>
      <c r="GQ199" s="14" t="s">
        <v>816</v>
      </c>
      <c r="GR199" s="14">
        <f t="shared" si="102"/>
        <v>1</v>
      </c>
      <c r="GS199" s="14" t="str">
        <f t="shared" si="103"/>
        <v>神器3-5</v>
      </c>
      <c r="GT199" s="14">
        <f t="shared" si="104"/>
        <v>1</v>
      </c>
    </row>
    <row r="200" spans="38:202" ht="16.5" x14ac:dyDescent="0.2">
      <c r="AL200" s="87">
        <v>6</v>
      </c>
      <c r="AM200" s="87">
        <v>3</v>
      </c>
      <c r="AN200" s="87">
        <v>51</v>
      </c>
      <c r="AO200" s="144">
        <f t="shared" ref="AO200:AO263" si="105">4400+AN200</f>
        <v>4451</v>
      </c>
      <c r="AP200" s="144" t="s">
        <v>1285</v>
      </c>
      <c r="AQ200" s="144" t="str">
        <f t="shared" ref="AQ200:AQ263" si="106">AP200&amp;"  "&amp;AS200</f>
        <v>神器本-6-噩梦-1  神器5-2</v>
      </c>
      <c r="AR200" s="87">
        <v>22</v>
      </c>
      <c r="AS200" s="87" t="s">
        <v>342</v>
      </c>
      <c r="AT200" s="87">
        <v>833</v>
      </c>
      <c r="AU200" s="87">
        <v>1</v>
      </c>
      <c r="AV200" s="87">
        <v>1</v>
      </c>
      <c r="AW200" s="87">
        <f t="shared" ref="AW200:AW236" si="107">INDEX($AH$7:$AH$48,AR200)</f>
        <v>1</v>
      </c>
      <c r="AX200" s="14">
        <f t="shared" ref="AX200:AX230" si="108">(AU200+AV200)/2*AT200/10000</f>
        <v>8.3299999999999999E-2</v>
      </c>
      <c r="AY200" s="14">
        <f t="shared" ref="AY200:AY230" si="109">(AU200+AV200)/2*AT200/10000*INDEX($AI$7:$AI$48,AR200)</f>
        <v>2.4990000000000001</v>
      </c>
      <c r="GM200" s="91">
        <v>194</v>
      </c>
      <c r="GN200" s="14">
        <f t="shared" ref="GN200:GN263" si="110">MATCH(GM200-1,$R$7:$R$49,1)</f>
        <v>13</v>
      </c>
      <c r="GO200" s="14">
        <f t="shared" ref="GO200:GO263" si="111">INDEX($S$8:$S$49,GN200)</f>
        <v>1606015</v>
      </c>
      <c r="GP200" s="14" t="str">
        <f t="shared" ref="GP200:GP215" si="112">INDEX($T$8:$T$49,GN200)&amp;" : "&amp;AR200&amp;"级"</f>
        <v>神器3-5 : 22级</v>
      </c>
      <c r="GQ200" s="14" t="s">
        <v>816</v>
      </c>
      <c r="GR200" s="14">
        <f t="shared" ref="GR200:GR263" si="113">GM200-INDEX($R$7:$R$49,GN200)</f>
        <v>2</v>
      </c>
      <c r="GS200" s="14" t="str">
        <f t="shared" ref="GS200:GS263" si="114">INDEX($T$8:$T$49,GN200)</f>
        <v>神器3-5</v>
      </c>
      <c r="GT200" s="14">
        <f t="shared" ref="GT200:GT263" si="115">INDEX($K$8:$K$28,GR200)</f>
        <v>1</v>
      </c>
    </row>
    <row r="201" spans="38:202" ht="16.5" x14ac:dyDescent="0.2">
      <c r="AL201" s="87">
        <v>6</v>
      </c>
      <c r="AM201" s="87">
        <v>3</v>
      </c>
      <c r="AN201" s="87">
        <v>51</v>
      </c>
      <c r="AO201" s="144">
        <f t="shared" si="105"/>
        <v>4451</v>
      </c>
      <c r="AP201" s="144" t="s">
        <v>1285</v>
      </c>
      <c r="AQ201" s="144" t="str">
        <f t="shared" si="106"/>
        <v>神器本-6-噩梦-1  神器5-3</v>
      </c>
      <c r="AR201" s="87">
        <v>23</v>
      </c>
      <c r="AS201" s="87" t="s">
        <v>343</v>
      </c>
      <c r="AT201" s="87">
        <v>500</v>
      </c>
      <c r="AU201" s="87">
        <v>1</v>
      </c>
      <c r="AV201" s="87">
        <v>1</v>
      </c>
      <c r="AW201" s="87">
        <f t="shared" si="107"/>
        <v>2</v>
      </c>
      <c r="AX201" s="14">
        <f t="shared" si="108"/>
        <v>0.05</v>
      </c>
      <c r="AY201" s="14">
        <f t="shared" si="109"/>
        <v>4.5</v>
      </c>
      <c r="GM201" s="91">
        <v>195</v>
      </c>
      <c r="GN201" s="14">
        <f t="shared" si="110"/>
        <v>13</v>
      </c>
      <c r="GO201" s="14">
        <f t="shared" si="111"/>
        <v>1606015</v>
      </c>
      <c r="GP201" s="14" t="str">
        <f t="shared" si="112"/>
        <v>神器3-5 : 23级</v>
      </c>
      <c r="GQ201" s="14" t="s">
        <v>816</v>
      </c>
      <c r="GR201" s="14">
        <f t="shared" si="113"/>
        <v>3</v>
      </c>
      <c r="GS201" s="14" t="str">
        <f t="shared" si="114"/>
        <v>神器3-5</v>
      </c>
      <c r="GT201" s="14">
        <f t="shared" si="115"/>
        <v>1</v>
      </c>
    </row>
    <row r="202" spans="38:202" ht="16.5" x14ac:dyDescent="0.2">
      <c r="AL202" s="87">
        <v>6</v>
      </c>
      <c r="AM202" s="87">
        <v>3</v>
      </c>
      <c r="AN202" s="87">
        <v>51</v>
      </c>
      <c r="AO202" s="144">
        <f t="shared" si="105"/>
        <v>4451</v>
      </c>
      <c r="AP202" s="144" t="s">
        <v>1285</v>
      </c>
      <c r="AQ202" s="144" t="str">
        <f t="shared" si="106"/>
        <v>神器本-6-噩梦-1  神器5-4</v>
      </c>
      <c r="AR202" s="87">
        <v>24</v>
      </c>
      <c r="AS202" s="87" t="s">
        <v>344</v>
      </c>
      <c r="AT202" s="87">
        <v>500</v>
      </c>
      <c r="AU202" s="87">
        <v>1</v>
      </c>
      <c r="AV202" s="87">
        <v>1</v>
      </c>
      <c r="AW202" s="87">
        <f t="shared" si="107"/>
        <v>2</v>
      </c>
      <c r="AX202" s="14">
        <f t="shared" si="108"/>
        <v>0.05</v>
      </c>
      <c r="AY202" s="14">
        <f t="shared" si="109"/>
        <v>4.5</v>
      </c>
      <c r="GM202" s="91">
        <v>196</v>
      </c>
      <c r="GN202" s="14">
        <f t="shared" si="110"/>
        <v>13</v>
      </c>
      <c r="GO202" s="14">
        <f t="shared" si="111"/>
        <v>1606015</v>
      </c>
      <c r="GP202" s="14" t="str">
        <f t="shared" si="112"/>
        <v>神器3-5 : 24级</v>
      </c>
      <c r="GQ202" s="14" t="s">
        <v>816</v>
      </c>
      <c r="GR202" s="14">
        <f t="shared" si="113"/>
        <v>4</v>
      </c>
      <c r="GS202" s="14" t="str">
        <f t="shared" si="114"/>
        <v>神器3-5</v>
      </c>
      <c r="GT202" s="14">
        <f t="shared" si="115"/>
        <v>2</v>
      </c>
    </row>
    <row r="203" spans="38:202" ht="16.5" x14ac:dyDescent="0.2">
      <c r="AL203" s="87">
        <v>6</v>
      </c>
      <c r="AM203" s="87">
        <v>3</v>
      </c>
      <c r="AN203" s="87">
        <v>51</v>
      </c>
      <c r="AO203" s="144">
        <f t="shared" si="105"/>
        <v>4451</v>
      </c>
      <c r="AP203" s="144" t="s">
        <v>1285</v>
      </c>
      <c r="AQ203" s="144" t="str">
        <f t="shared" si="106"/>
        <v>神器本-6-噩梦-1  神器5-5</v>
      </c>
      <c r="AR203" s="87">
        <v>25</v>
      </c>
      <c r="AS203" s="87" t="s">
        <v>345</v>
      </c>
      <c r="AT203" s="87">
        <v>500</v>
      </c>
      <c r="AU203" s="87">
        <v>1</v>
      </c>
      <c r="AV203" s="87">
        <v>1</v>
      </c>
      <c r="AW203" s="87">
        <f t="shared" si="107"/>
        <v>3</v>
      </c>
      <c r="AX203" s="14">
        <f t="shared" si="108"/>
        <v>0.05</v>
      </c>
      <c r="AY203" s="14">
        <f t="shared" si="109"/>
        <v>10.5</v>
      </c>
      <c r="GM203" s="91">
        <v>197</v>
      </c>
      <c r="GN203" s="14">
        <f t="shared" si="110"/>
        <v>13</v>
      </c>
      <c r="GO203" s="14">
        <f t="shared" si="111"/>
        <v>1606015</v>
      </c>
      <c r="GP203" s="14" t="str">
        <f t="shared" si="112"/>
        <v>神器3-5 : 25级</v>
      </c>
      <c r="GQ203" s="14" t="s">
        <v>816</v>
      </c>
      <c r="GR203" s="14">
        <f t="shared" si="113"/>
        <v>5</v>
      </c>
      <c r="GS203" s="14" t="str">
        <f t="shared" si="114"/>
        <v>神器3-5</v>
      </c>
      <c r="GT203" s="14">
        <f t="shared" si="115"/>
        <v>2</v>
      </c>
    </row>
    <row r="204" spans="38:202" ht="16.5" x14ac:dyDescent="0.2">
      <c r="AL204" s="87">
        <v>6</v>
      </c>
      <c r="AM204" s="87">
        <v>3</v>
      </c>
      <c r="AN204" s="87">
        <v>51</v>
      </c>
      <c r="AO204" s="144">
        <f t="shared" si="105"/>
        <v>4451</v>
      </c>
      <c r="AP204" s="144" t="s">
        <v>1285</v>
      </c>
      <c r="AQ204" s="144" t="str">
        <f t="shared" si="106"/>
        <v>神器本-6-噩梦-1  神器5-6</v>
      </c>
      <c r="AR204" s="87">
        <v>26</v>
      </c>
      <c r="AS204" s="87" t="s">
        <v>346</v>
      </c>
      <c r="AT204" s="87">
        <v>166</v>
      </c>
      <c r="AU204" s="87">
        <v>1</v>
      </c>
      <c r="AV204" s="87">
        <v>1</v>
      </c>
      <c r="AW204" s="87">
        <f t="shared" si="107"/>
        <v>4</v>
      </c>
      <c r="AX204" s="14">
        <f t="shared" si="108"/>
        <v>1.66E-2</v>
      </c>
      <c r="AY204" s="14">
        <f t="shared" si="109"/>
        <v>7.47</v>
      </c>
      <c r="GM204" s="91">
        <v>198</v>
      </c>
      <c r="GN204" s="14">
        <f t="shared" si="110"/>
        <v>13</v>
      </c>
      <c r="GO204" s="14">
        <f t="shared" si="111"/>
        <v>1606015</v>
      </c>
      <c r="GP204" s="14" t="str">
        <f t="shared" si="112"/>
        <v>神器3-5 : 26级</v>
      </c>
      <c r="GQ204" s="14" t="s">
        <v>816</v>
      </c>
      <c r="GR204" s="14">
        <f t="shared" si="113"/>
        <v>6</v>
      </c>
      <c r="GS204" s="14" t="str">
        <f t="shared" si="114"/>
        <v>神器3-5</v>
      </c>
      <c r="GT204" s="14">
        <f t="shared" si="115"/>
        <v>2</v>
      </c>
    </row>
    <row r="205" spans="38:202" ht="16.5" x14ac:dyDescent="0.2">
      <c r="AL205" s="87">
        <v>6</v>
      </c>
      <c r="AM205" s="87">
        <v>3</v>
      </c>
      <c r="AN205" s="87">
        <v>52</v>
      </c>
      <c r="AO205" s="144">
        <f t="shared" si="105"/>
        <v>4452</v>
      </c>
      <c r="AP205" s="144" t="s">
        <v>1286</v>
      </c>
      <c r="AQ205" s="144" t="str">
        <f t="shared" si="106"/>
        <v>神器本-6-噩梦-2  神器6-1</v>
      </c>
      <c r="AR205" s="87">
        <v>27</v>
      </c>
      <c r="AS205" s="87" t="s">
        <v>777</v>
      </c>
      <c r="AT205" s="87">
        <v>2000</v>
      </c>
      <c r="AU205" s="87">
        <v>1</v>
      </c>
      <c r="AV205" s="87">
        <v>2</v>
      </c>
      <c r="AW205" s="87">
        <f t="shared" si="107"/>
        <v>2</v>
      </c>
      <c r="AX205" s="14">
        <f t="shared" si="108"/>
        <v>0.3</v>
      </c>
      <c r="AY205" s="14">
        <f t="shared" si="109"/>
        <v>36</v>
      </c>
      <c r="GM205" s="91">
        <v>199</v>
      </c>
      <c r="GN205" s="14">
        <f t="shared" si="110"/>
        <v>13</v>
      </c>
      <c r="GO205" s="14">
        <f t="shared" si="111"/>
        <v>1606015</v>
      </c>
      <c r="GP205" s="14" t="str">
        <f t="shared" si="112"/>
        <v>神器3-5 : 27级</v>
      </c>
      <c r="GQ205" s="14" t="s">
        <v>816</v>
      </c>
      <c r="GR205" s="14">
        <f t="shared" si="113"/>
        <v>7</v>
      </c>
      <c r="GS205" s="14" t="str">
        <f t="shared" si="114"/>
        <v>神器3-5</v>
      </c>
      <c r="GT205" s="14">
        <f t="shared" si="115"/>
        <v>3</v>
      </c>
    </row>
    <row r="206" spans="38:202" ht="16.5" x14ac:dyDescent="0.2">
      <c r="AL206" s="87">
        <v>6</v>
      </c>
      <c r="AM206" s="87">
        <v>3</v>
      </c>
      <c r="AN206" s="87">
        <v>52</v>
      </c>
      <c r="AO206" s="144">
        <f t="shared" si="105"/>
        <v>4452</v>
      </c>
      <c r="AP206" s="144" t="s">
        <v>1286</v>
      </c>
      <c r="AQ206" s="144" t="str">
        <f t="shared" si="106"/>
        <v>神器本-6-噩梦-2  神器6-2</v>
      </c>
      <c r="AR206" s="87">
        <v>28</v>
      </c>
      <c r="AS206" s="87" t="s">
        <v>778</v>
      </c>
      <c r="AT206" s="87">
        <v>2000</v>
      </c>
      <c r="AU206" s="87">
        <v>1</v>
      </c>
      <c r="AV206" s="87">
        <v>2</v>
      </c>
      <c r="AW206" s="87">
        <f t="shared" si="107"/>
        <v>2</v>
      </c>
      <c r="AX206" s="14">
        <f t="shared" si="108"/>
        <v>0.3</v>
      </c>
      <c r="AY206" s="14">
        <f t="shared" si="109"/>
        <v>36</v>
      </c>
      <c r="GM206" s="91">
        <v>200</v>
      </c>
      <c r="GN206" s="14">
        <f t="shared" si="110"/>
        <v>13</v>
      </c>
      <c r="GO206" s="14">
        <f t="shared" si="111"/>
        <v>1606015</v>
      </c>
      <c r="GP206" s="14" t="str">
        <f t="shared" si="112"/>
        <v>神器3-5 : 28级</v>
      </c>
      <c r="GQ206" s="14" t="s">
        <v>816</v>
      </c>
      <c r="GR206" s="14">
        <f t="shared" si="113"/>
        <v>8</v>
      </c>
      <c r="GS206" s="14" t="str">
        <f t="shared" si="114"/>
        <v>神器3-5</v>
      </c>
      <c r="GT206" s="14">
        <f t="shared" si="115"/>
        <v>3</v>
      </c>
    </row>
    <row r="207" spans="38:202" ht="16.5" x14ac:dyDescent="0.2">
      <c r="AL207" s="87">
        <v>6</v>
      </c>
      <c r="AM207" s="87">
        <v>3</v>
      </c>
      <c r="AN207" s="87">
        <v>52</v>
      </c>
      <c r="AO207" s="144">
        <f t="shared" si="105"/>
        <v>4452</v>
      </c>
      <c r="AP207" s="144" t="s">
        <v>1286</v>
      </c>
      <c r="AQ207" s="144" t="str">
        <f t="shared" si="106"/>
        <v>神器本-6-噩梦-2  神器6-3</v>
      </c>
      <c r="AR207" s="87">
        <v>29</v>
      </c>
      <c r="AS207" s="87" t="s">
        <v>779</v>
      </c>
      <c r="AT207" s="87">
        <v>2000</v>
      </c>
      <c r="AU207" s="87">
        <v>1</v>
      </c>
      <c r="AV207" s="87">
        <v>2</v>
      </c>
      <c r="AW207" s="87">
        <f t="shared" si="107"/>
        <v>2</v>
      </c>
      <c r="AX207" s="14">
        <f t="shared" si="108"/>
        <v>0.3</v>
      </c>
      <c r="AY207" s="14">
        <f t="shared" si="109"/>
        <v>36</v>
      </c>
      <c r="GM207" s="91">
        <v>201</v>
      </c>
      <c r="GN207" s="14">
        <f t="shared" si="110"/>
        <v>13</v>
      </c>
      <c r="GO207" s="14">
        <f t="shared" si="111"/>
        <v>1606015</v>
      </c>
      <c r="GP207" s="14" t="str">
        <f t="shared" si="112"/>
        <v>神器3-5 : 29级</v>
      </c>
      <c r="GQ207" s="14" t="s">
        <v>816</v>
      </c>
      <c r="GR207" s="14">
        <f t="shared" si="113"/>
        <v>9</v>
      </c>
      <c r="GS207" s="14" t="str">
        <f t="shared" si="114"/>
        <v>神器3-5</v>
      </c>
      <c r="GT207" s="14">
        <f t="shared" si="115"/>
        <v>3</v>
      </c>
    </row>
    <row r="208" spans="38:202" ht="16.5" x14ac:dyDescent="0.2">
      <c r="AL208" s="87">
        <v>6</v>
      </c>
      <c r="AM208" s="87">
        <v>3</v>
      </c>
      <c r="AN208" s="87">
        <v>53</v>
      </c>
      <c r="AO208" s="144">
        <f t="shared" si="105"/>
        <v>4453</v>
      </c>
      <c r="AP208" s="144" t="s">
        <v>1287</v>
      </c>
      <c r="AQ208" s="144" t="str">
        <f t="shared" si="106"/>
        <v>神器本-6-噩梦-3  神器6-4</v>
      </c>
      <c r="AR208" s="87">
        <v>30</v>
      </c>
      <c r="AS208" s="87" t="s">
        <v>350</v>
      </c>
      <c r="AT208" s="87">
        <v>1000</v>
      </c>
      <c r="AU208" s="87">
        <v>1</v>
      </c>
      <c r="AV208" s="87">
        <v>1</v>
      </c>
      <c r="AW208" s="87">
        <f t="shared" si="107"/>
        <v>3</v>
      </c>
      <c r="AX208" s="14">
        <f t="shared" si="108"/>
        <v>0.1</v>
      </c>
      <c r="AY208" s="14">
        <f t="shared" si="109"/>
        <v>28</v>
      </c>
      <c r="GM208" s="91">
        <v>202</v>
      </c>
      <c r="GN208" s="14">
        <f t="shared" si="110"/>
        <v>13</v>
      </c>
      <c r="GO208" s="14">
        <f t="shared" si="111"/>
        <v>1606015</v>
      </c>
      <c r="GP208" s="14" t="str">
        <f t="shared" si="112"/>
        <v>神器3-5 : 30级</v>
      </c>
      <c r="GQ208" s="14" t="s">
        <v>816</v>
      </c>
      <c r="GR208" s="14">
        <f t="shared" si="113"/>
        <v>10</v>
      </c>
      <c r="GS208" s="14" t="str">
        <f t="shared" si="114"/>
        <v>神器3-5</v>
      </c>
      <c r="GT208" s="14">
        <f t="shared" si="115"/>
        <v>5</v>
      </c>
    </row>
    <row r="209" spans="38:202" ht="16.5" x14ac:dyDescent="0.2">
      <c r="AL209" s="87">
        <v>6</v>
      </c>
      <c r="AM209" s="87">
        <v>3</v>
      </c>
      <c r="AN209" s="87">
        <v>53</v>
      </c>
      <c r="AO209" s="144">
        <f t="shared" si="105"/>
        <v>4453</v>
      </c>
      <c r="AP209" s="144" t="s">
        <v>1287</v>
      </c>
      <c r="AQ209" s="144" t="str">
        <f t="shared" si="106"/>
        <v>神器本-6-噩梦-3  神器6-5</v>
      </c>
      <c r="AR209" s="87">
        <v>31</v>
      </c>
      <c r="AS209" s="87" t="s">
        <v>351</v>
      </c>
      <c r="AT209" s="87">
        <v>1000</v>
      </c>
      <c r="AU209" s="87">
        <v>1</v>
      </c>
      <c r="AV209" s="87">
        <v>1</v>
      </c>
      <c r="AW209" s="87">
        <f t="shared" si="107"/>
        <v>3</v>
      </c>
      <c r="AX209" s="14">
        <f t="shared" si="108"/>
        <v>0.1</v>
      </c>
      <c r="AY209" s="14">
        <f t="shared" si="109"/>
        <v>28</v>
      </c>
      <c r="GM209" s="91">
        <v>203</v>
      </c>
      <c r="GN209" s="14">
        <f t="shared" si="110"/>
        <v>13</v>
      </c>
      <c r="GO209" s="14">
        <f t="shared" si="111"/>
        <v>1606015</v>
      </c>
      <c r="GP209" s="14" t="str">
        <f t="shared" si="112"/>
        <v>神器3-5 : 31级</v>
      </c>
      <c r="GQ209" s="14" t="s">
        <v>816</v>
      </c>
      <c r="GR209" s="14">
        <f t="shared" si="113"/>
        <v>11</v>
      </c>
      <c r="GS209" s="14" t="str">
        <f t="shared" si="114"/>
        <v>神器3-5</v>
      </c>
      <c r="GT209" s="14">
        <f t="shared" si="115"/>
        <v>5</v>
      </c>
    </row>
    <row r="210" spans="38:202" ht="16.5" x14ac:dyDescent="0.2">
      <c r="AL210" s="87">
        <v>6</v>
      </c>
      <c r="AM210" s="87">
        <v>3</v>
      </c>
      <c r="AN210" s="87">
        <v>53</v>
      </c>
      <c r="AO210" s="144">
        <f t="shared" si="105"/>
        <v>4453</v>
      </c>
      <c r="AP210" s="144" t="s">
        <v>1287</v>
      </c>
      <c r="AQ210" s="144" t="str">
        <f t="shared" si="106"/>
        <v>神器本-6-噩梦-3  神器6-6</v>
      </c>
      <c r="AR210" s="87">
        <v>32</v>
      </c>
      <c r="AS210" s="87" t="s">
        <v>352</v>
      </c>
      <c r="AT210" s="87">
        <v>1000</v>
      </c>
      <c r="AU210" s="87">
        <v>1</v>
      </c>
      <c r="AV210" s="87">
        <v>1</v>
      </c>
      <c r="AW210" s="87">
        <f t="shared" si="107"/>
        <v>3</v>
      </c>
      <c r="AX210" s="14">
        <f t="shared" si="108"/>
        <v>0.1</v>
      </c>
      <c r="AY210" s="14">
        <f t="shared" si="109"/>
        <v>28</v>
      </c>
      <c r="GM210" s="91">
        <v>204</v>
      </c>
      <c r="GN210" s="14">
        <f t="shared" si="110"/>
        <v>13</v>
      </c>
      <c r="GO210" s="14">
        <f t="shared" si="111"/>
        <v>1606015</v>
      </c>
      <c r="GP210" s="14" t="str">
        <f t="shared" si="112"/>
        <v>神器3-5 : 32级</v>
      </c>
      <c r="GQ210" s="14" t="s">
        <v>816</v>
      </c>
      <c r="GR210" s="14">
        <f t="shared" si="113"/>
        <v>12</v>
      </c>
      <c r="GS210" s="14" t="str">
        <f t="shared" si="114"/>
        <v>神器3-5</v>
      </c>
      <c r="GT210" s="14">
        <f t="shared" si="115"/>
        <v>6</v>
      </c>
    </row>
    <row r="211" spans="38:202" ht="16.5" x14ac:dyDescent="0.2">
      <c r="AL211" s="87">
        <v>6</v>
      </c>
      <c r="AM211" s="87">
        <v>3</v>
      </c>
      <c r="AN211" s="87">
        <v>54</v>
      </c>
      <c r="AO211" s="144">
        <f t="shared" si="105"/>
        <v>4454</v>
      </c>
      <c r="AP211" s="144" t="s">
        <v>1288</v>
      </c>
      <c r="AQ211" s="144" t="str">
        <f t="shared" si="106"/>
        <v>神器本-6-噩梦-4  神器6-7</v>
      </c>
      <c r="AR211" s="87">
        <v>33</v>
      </c>
      <c r="AS211" s="87" t="s">
        <v>353</v>
      </c>
      <c r="AT211" s="87">
        <v>750</v>
      </c>
      <c r="AU211" s="87">
        <v>1</v>
      </c>
      <c r="AV211" s="87">
        <v>1</v>
      </c>
      <c r="AW211" s="87">
        <f t="shared" si="107"/>
        <v>4</v>
      </c>
      <c r="AX211" s="14">
        <f t="shared" si="108"/>
        <v>7.4999999999999997E-2</v>
      </c>
      <c r="AY211" s="14">
        <f t="shared" si="109"/>
        <v>45</v>
      </c>
      <c r="GM211" s="91">
        <v>205</v>
      </c>
      <c r="GN211" s="14">
        <f t="shared" si="110"/>
        <v>13</v>
      </c>
      <c r="GO211" s="14">
        <f t="shared" si="111"/>
        <v>1606015</v>
      </c>
      <c r="GP211" s="14" t="str">
        <f t="shared" si="112"/>
        <v>神器3-5 : 33级</v>
      </c>
      <c r="GQ211" s="14" t="s">
        <v>816</v>
      </c>
      <c r="GR211" s="14">
        <f t="shared" si="113"/>
        <v>13</v>
      </c>
      <c r="GS211" s="14" t="str">
        <f t="shared" si="114"/>
        <v>神器3-5</v>
      </c>
      <c r="GT211" s="14">
        <f t="shared" si="115"/>
        <v>7</v>
      </c>
    </row>
    <row r="212" spans="38:202" ht="16.5" x14ac:dyDescent="0.2">
      <c r="AL212" s="87">
        <v>6</v>
      </c>
      <c r="AM212" s="87">
        <v>3</v>
      </c>
      <c r="AN212" s="87">
        <v>54</v>
      </c>
      <c r="AO212" s="144">
        <f t="shared" si="105"/>
        <v>4454</v>
      </c>
      <c r="AP212" s="144" t="s">
        <v>1288</v>
      </c>
      <c r="AQ212" s="144" t="str">
        <f t="shared" si="106"/>
        <v>神器本-6-噩梦-4  神器6-8</v>
      </c>
      <c r="AR212" s="87">
        <v>34</v>
      </c>
      <c r="AS212" s="87" t="s">
        <v>354</v>
      </c>
      <c r="AT212" s="87">
        <v>750</v>
      </c>
      <c r="AU212" s="87">
        <v>1</v>
      </c>
      <c r="AV212" s="87">
        <v>1</v>
      </c>
      <c r="AW212" s="87">
        <f t="shared" si="107"/>
        <v>4</v>
      </c>
      <c r="AX212" s="14">
        <f t="shared" si="108"/>
        <v>7.4999999999999997E-2</v>
      </c>
      <c r="AY212" s="14">
        <f t="shared" si="109"/>
        <v>45</v>
      </c>
      <c r="GM212" s="91">
        <v>206</v>
      </c>
      <c r="GN212" s="14">
        <f t="shared" si="110"/>
        <v>13</v>
      </c>
      <c r="GO212" s="14">
        <f t="shared" si="111"/>
        <v>1606015</v>
      </c>
      <c r="GP212" s="14" t="str">
        <f t="shared" si="112"/>
        <v>神器3-5 : 34级</v>
      </c>
      <c r="GQ212" s="14" t="s">
        <v>816</v>
      </c>
      <c r="GR212" s="14">
        <f t="shared" si="113"/>
        <v>14</v>
      </c>
      <c r="GS212" s="14" t="str">
        <f t="shared" si="114"/>
        <v>神器3-5</v>
      </c>
      <c r="GT212" s="14">
        <f t="shared" si="115"/>
        <v>7</v>
      </c>
    </row>
    <row r="213" spans="38:202" ht="16.5" x14ac:dyDescent="0.2">
      <c r="AL213" s="87">
        <v>7</v>
      </c>
      <c r="AM213" s="87">
        <v>1</v>
      </c>
      <c r="AN213" s="87">
        <v>55</v>
      </c>
      <c r="AO213" s="144">
        <f t="shared" si="105"/>
        <v>4455</v>
      </c>
      <c r="AP213" s="144" t="s">
        <v>1297</v>
      </c>
      <c r="AQ213" s="144" t="str">
        <f t="shared" si="106"/>
        <v>神器本-7-普通-1  神器3-1</v>
      </c>
      <c r="AR213" s="87">
        <v>9</v>
      </c>
      <c r="AS213" s="87" t="s">
        <v>776</v>
      </c>
      <c r="AT213" s="87">
        <v>700</v>
      </c>
      <c r="AU213" s="87">
        <v>1</v>
      </c>
      <c r="AV213" s="87">
        <v>1</v>
      </c>
      <c r="AW213" s="87">
        <f t="shared" si="107"/>
        <v>1</v>
      </c>
      <c r="AX213" s="14">
        <f t="shared" si="108"/>
        <v>7.0000000000000007E-2</v>
      </c>
      <c r="AY213" s="14">
        <f t="shared" si="109"/>
        <v>1.4000000000000001</v>
      </c>
      <c r="GM213" s="91">
        <v>207</v>
      </c>
      <c r="GN213" s="14">
        <f t="shared" si="110"/>
        <v>13</v>
      </c>
      <c r="GO213" s="14">
        <f t="shared" si="111"/>
        <v>1606015</v>
      </c>
      <c r="GP213" s="14" t="str">
        <f t="shared" si="112"/>
        <v>神器3-5 : 9级</v>
      </c>
      <c r="GQ213" s="14" t="s">
        <v>816</v>
      </c>
      <c r="GR213" s="14">
        <f t="shared" si="113"/>
        <v>15</v>
      </c>
      <c r="GS213" s="14" t="str">
        <f t="shared" si="114"/>
        <v>神器3-5</v>
      </c>
      <c r="GT213" s="14">
        <f t="shared" si="115"/>
        <v>7</v>
      </c>
    </row>
    <row r="214" spans="38:202" ht="16.5" x14ac:dyDescent="0.2">
      <c r="AL214" s="87">
        <v>7</v>
      </c>
      <c r="AM214" s="87">
        <v>1</v>
      </c>
      <c r="AN214" s="87">
        <v>55</v>
      </c>
      <c r="AO214" s="144">
        <f t="shared" si="105"/>
        <v>4455</v>
      </c>
      <c r="AP214" s="144" t="s">
        <v>1289</v>
      </c>
      <c r="AQ214" s="144" t="str">
        <f t="shared" si="106"/>
        <v>神器本-7-普通-1  神器3-2</v>
      </c>
      <c r="AR214" s="87">
        <v>10</v>
      </c>
      <c r="AS214" s="87" t="s">
        <v>330</v>
      </c>
      <c r="AT214" s="87">
        <v>700</v>
      </c>
      <c r="AU214" s="87">
        <v>1</v>
      </c>
      <c r="AV214" s="87">
        <v>1</v>
      </c>
      <c r="AW214" s="87">
        <f t="shared" si="107"/>
        <v>1</v>
      </c>
      <c r="AX214" s="14">
        <f t="shared" si="108"/>
        <v>7.0000000000000007E-2</v>
      </c>
      <c r="AY214" s="14">
        <f t="shared" si="109"/>
        <v>1.4000000000000001</v>
      </c>
      <c r="GM214" s="91">
        <v>208</v>
      </c>
      <c r="GN214" s="14">
        <f t="shared" si="110"/>
        <v>13</v>
      </c>
      <c r="GO214" s="14">
        <f t="shared" si="111"/>
        <v>1606015</v>
      </c>
      <c r="GP214" s="14" t="str">
        <f t="shared" si="112"/>
        <v>神器3-5 : 10级</v>
      </c>
      <c r="GQ214" s="14" t="s">
        <v>816</v>
      </c>
      <c r="GR214" s="14">
        <f t="shared" si="113"/>
        <v>16</v>
      </c>
      <c r="GS214" s="14" t="str">
        <f t="shared" si="114"/>
        <v>神器3-5</v>
      </c>
      <c r="GT214" s="14">
        <f t="shared" si="115"/>
        <v>10</v>
      </c>
    </row>
    <row r="215" spans="38:202" ht="16.5" x14ac:dyDescent="0.2">
      <c r="AL215" s="87">
        <v>7</v>
      </c>
      <c r="AM215" s="87">
        <v>1</v>
      </c>
      <c r="AN215" s="87">
        <v>55</v>
      </c>
      <c r="AO215" s="144">
        <f t="shared" si="105"/>
        <v>4455</v>
      </c>
      <c r="AP215" s="144" t="s">
        <v>1289</v>
      </c>
      <c r="AQ215" s="144" t="str">
        <f t="shared" si="106"/>
        <v>神器本-7-普通-1  神器3-3</v>
      </c>
      <c r="AR215" s="87">
        <v>11</v>
      </c>
      <c r="AS215" s="87" t="s">
        <v>331</v>
      </c>
      <c r="AT215" s="87">
        <v>414</v>
      </c>
      <c r="AU215" s="87">
        <v>1</v>
      </c>
      <c r="AV215" s="87">
        <v>1</v>
      </c>
      <c r="AW215" s="87">
        <f t="shared" si="107"/>
        <v>2</v>
      </c>
      <c r="AX215" s="14">
        <f t="shared" si="108"/>
        <v>4.1399999999999999E-2</v>
      </c>
      <c r="AY215" s="14">
        <f t="shared" si="109"/>
        <v>2.484</v>
      </c>
      <c r="GM215" s="91">
        <v>209</v>
      </c>
      <c r="GN215" s="14">
        <f t="shared" si="110"/>
        <v>13</v>
      </c>
      <c r="GO215" s="14">
        <f t="shared" si="111"/>
        <v>1606015</v>
      </c>
      <c r="GP215" s="14" t="str">
        <f t="shared" si="112"/>
        <v>神器3-5 : 11级</v>
      </c>
      <c r="GQ215" s="14" t="s">
        <v>816</v>
      </c>
      <c r="GR215" s="14">
        <f t="shared" si="113"/>
        <v>17</v>
      </c>
      <c r="GS215" s="14" t="str">
        <f t="shared" si="114"/>
        <v>神器3-5</v>
      </c>
      <c r="GT215" s="14">
        <f t="shared" si="115"/>
        <v>10</v>
      </c>
    </row>
    <row r="216" spans="38:202" ht="16.5" x14ac:dyDescent="0.2">
      <c r="AL216" s="87">
        <v>7</v>
      </c>
      <c r="AM216" s="87">
        <v>1</v>
      </c>
      <c r="AN216" s="87">
        <v>55</v>
      </c>
      <c r="AO216" s="144">
        <f t="shared" si="105"/>
        <v>4455</v>
      </c>
      <c r="AP216" s="144" t="s">
        <v>1289</v>
      </c>
      <c r="AQ216" s="144" t="str">
        <f t="shared" si="106"/>
        <v>神器本-7-普通-1  神器3-4</v>
      </c>
      <c r="AR216" s="87">
        <v>12</v>
      </c>
      <c r="AS216" s="87" t="s">
        <v>332</v>
      </c>
      <c r="AT216" s="87">
        <v>414</v>
      </c>
      <c r="AU216" s="87">
        <v>1</v>
      </c>
      <c r="AV216" s="87">
        <v>1</v>
      </c>
      <c r="AW216" s="87">
        <f t="shared" si="107"/>
        <v>2</v>
      </c>
      <c r="AX216" s="14">
        <f t="shared" si="108"/>
        <v>4.1399999999999999E-2</v>
      </c>
      <c r="AY216" s="14">
        <f t="shared" si="109"/>
        <v>2.484</v>
      </c>
      <c r="GM216" s="91">
        <v>210</v>
      </c>
      <c r="GN216" s="14">
        <f t="shared" si="110"/>
        <v>13</v>
      </c>
      <c r="GO216" s="14">
        <f t="shared" si="111"/>
        <v>1606015</v>
      </c>
      <c r="GP216" s="14" t="str">
        <f t="shared" ref="GP216:GP279" si="116">INDEX($T$8:$T$49,GN216)&amp;" : "&amp;AR216&amp;"级"</f>
        <v>神器3-5 : 12级</v>
      </c>
      <c r="GQ216" s="14" t="s">
        <v>816</v>
      </c>
      <c r="GR216" s="14">
        <f t="shared" si="113"/>
        <v>18</v>
      </c>
      <c r="GS216" s="14" t="str">
        <f t="shared" si="114"/>
        <v>神器3-5</v>
      </c>
      <c r="GT216" s="14">
        <f t="shared" si="115"/>
        <v>10</v>
      </c>
    </row>
    <row r="217" spans="38:202" ht="16.5" x14ac:dyDescent="0.2">
      <c r="AL217" s="87">
        <v>7</v>
      </c>
      <c r="AM217" s="87">
        <v>1</v>
      </c>
      <c r="AN217" s="87">
        <v>55</v>
      </c>
      <c r="AO217" s="144">
        <f t="shared" si="105"/>
        <v>4455</v>
      </c>
      <c r="AP217" s="144" t="s">
        <v>1289</v>
      </c>
      <c r="AQ217" s="144" t="str">
        <f t="shared" si="106"/>
        <v>神器本-7-普通-1  神器3-5</v>
      </c>
      <c r="AR217" s="87">
        <v>13</v>
      </c>
      <c r="AS217" s="87" t="s">
        <v>333</v>
      </c>
      <c r="AT217" s="87">
        <v>275</v>
      </c>
      <c r="AU217" s="87">
        <v>1</v>
      </c>
      <c r="AV217" s="87">
        <v>1</v>
      </c>
      <c r="AW217" s="87">
        <f t="shared" si="107"/>
        <v>3</v>
      </c>
      <c r="AX217" s="14">
        <f t="shared" si="108"/>
        <v>2.75E-2</v>
      </c>
      <c r="AY217" s="14">
        <f t="shared" si="109"/>
        <v>3.85</v>
      </c>
      <c r="GM217" s="91">
        <v>211</v>
      </c>
      <c r="GN217" s="14">
        <f t="shared" si="110"/>
        <v>14</v>
      </c>
      <c r="GO217" s="14">
        <f t="shared" si="111"/>
        <v>1606016</v>
      </c>
      <c r="GP217" s="14" t="str">
        <f t="shared" si="116"/>
        <v>神器3-6 : 13级</v>
      </c>
      <c r="GQ217" s="14" t="s">
        <v>816</v>
      </c>
      <c r="GR217" s="14">
        <f t="shared" si="113"/>
        <v>1</v>
      </c>
      <c r="GS217" s="14" t="str">
        <f t="shared" si="114"/>
        <v>神器3-6</v>
      </c>
      <c r="GT217" s="14">
        <f t="shared" si="115"/>
        <v>1</v>
      </c>
    </row>
    <row r="218" spans="38:202" ht="16.5" x14ac:dyDescent="0.2">
      <c r="AL218" s="87">
        <v>7</v>
      </c>
      <c r="AM218" s="87">
        <v>1</v>
      </c>
      <c r="AN218" s="87">
        <v>55</v>
      </c>
      <c r="AO218" s="144">
        <f t="shared" si="105"/>
        <v>4455</v>
      </c>
      <c r="AP218" s="144" t="s">
        <v>1289</v>
      </c>
      <c r="AQ218" s="144" t="str">
        <f t="shared" si="106"/>
        <v>神器本-7-普通-1  神器3-6</v>
      </c>
      <c r="AR218" s="87">
        <v>14</v>
      </c>
      <c r="AS218" s="87" t="s">
        <v>334</v>
      </c>
      <c r="AT218" s="87">
        <v>138</v>
      </c>
      <c r="AU218" s="87">
        <v>1</v>
      </c>
      <c r="AV218" s="87">
        <v>1</v>
      </c>
      <c r="AW218" s="87">
        <f t="shared" si="107"/>
        <v>4</v>
      </c>
      <c r="AX218" s="14">
        <f t="shared" si="108"/>
        <v>1.38E-2</v>
      </c>
      <c r="AY218" s="14">
        <f t="shared" si="109"/>
        <v>4.1399999999999997</v>
      </c>
      <c r="GM218" s="91">
        <v>212</v>
      </c>
      <c r="GN218" s="14">
        <f t="shared" si="110"/>
        <v>14</v>
      </c>
      <c r="GO218" s="14">
        <f t="shared" si="111"/>
        <v>1606016</v>
      </c>
      <c r="GP218" s="14" t="str">
        <f t="shared" si="116"/>
        <v>神器3-6 : 14级</v>
      </c>
      <c r="GQ218" s="14" t="s">
        <v>816</v>
      </c>
      <c r="GR218" s="14">
        <f t="shared" si="113"/>
        <v>2</v>
      </c>
      <c r="GS218" s="14" t="str">
        <f t="shared" si="114"/>
        <v>神器3-6</v>
      </c>
      <c r="GT218" s="14">
        <f t="shared" si="115"/>
        <v>1</v>
      </c>
    </row>
    <row r="219" spans="38:202" ht="16.5" x14ac:dyDescent="0.2">
      <c r="AL219" s="87">
        <v>7</v>
      </c>
      <c r="AM219" s="87">
        <v>1</v>
      </c>
      <c r="AN219" s="87">
        <v>55</v>
      </c>
      <c r="AO219" s="144">
        <f t="shared" si="105"/>
        <v>4455</v>
      </c>
      <c r="AP219" s="144" t="s">
        <v>1289</v>
      </c>
      <c r="AQ219" s="144" t="str">
        <f t="shared" si="106"/>
        <v>神器本-7-普通-1  神器4-1</v>
      </c>
      <c r="AR219" s="87">
        <v>15</v>
      </c>
      <c r="AS219" s="87" t="s">
        <v>335</v>
      </c>
      <c r="AT219" s="87">
        <v>700</v>
      </c>
      <c r="AU219" s="87">
        <v>1</v>
      </c>
      <c r="AV219" s="87">
        <v>1</v>
      </c>
      <c r="AW219" s="87">
        <f t="shared" si="107"/>
        <v>1</v>
      </c>
      <c r="AX219" s="14">
        <f t="shared" si="108"/>
        <v>7.0000000000000007E-2</v>
      </c>
      <c r="AY219" s="14">
        <f t="shared" si="109"/>
        <v>1.7500000000000002</v>
      </c>
      <c r="GM219" s="91">
        <v>213</v>
      </c>
      <c r="GN219" s="14">
        <f t="shared" si="110"/>
        <v>14</v>
      </c>
      <c r="GO219" s="14">
        <f t="shared" si="111"/>
        <v>1606016</v>
      </c>
      <c r="GP219" s="14" t="str">
        <f t="shared" si="116"/>
        <v>神器3-6 : 15级</v>
      </c>
      <c r="GQ219" s="14" t="s">
        <v>816</v>
      </c>
      <c r="GR219" s="14">
        <f t="shared" si="113"/>
        <v>3</v>
      </c>
      <c r="GS219" s="14" t="str">
        <f t="shared" si="114"/>
        <v>神器3-6</v>
      </c>
      <c r="GT219" s="14">
        <f t="shared" si="115"/>
        <v>1</v>
      </c>
    </row>
    <row r="220" spans="38:202" ht="16.5" x14ac:dyDescent="0.2">
      <c r="AL220" s="87">
        <v>7</v>
      </c>
      <c r="AM220" s="87">
        <v>1</v>
      </c>
      <c r="AN220" s="87">
        <v>55</v>
      </c>
      <c r="AO220" s="144">
        <f t="shared" si="105"/>
        <v>4455</v>
      </c>
      <c r="AP220" s="144" t="s">
        <v>1289</v>
      </c>
      <c r="AQ220" s="144" t="str">
        <f t="shared" si="106"/>
        <v>神器本-7-普通-1  神器4-2</v>
      </c>
      <c r="AR220" s="87">
        <v>16</v>
      </c>
      <c r="AS220" s="87" t="s">
        <v>336</v>
      </c>
      <c r="AT220" s="87">
        <v>700</v>
      </c>
      <c r="AU220" s="87">
        <v>1</v>
      </c>
      <c r="AV220" s="87">
        <v>1</v>
      </c>
      <c r="AW220" s="87">
        <f t="shared" si="107"/>
        <v>1</v>
      </c>
      <c r="AX220" s="14">
        <f t="shared" si="108"/>
        <v>7.0000000000000007E-2</v>
      </c>
      <c r="AY220" s="14">
        <f t="shared" si="109"/>
        <v>1.7500000000000002</v>
      </c>
      <c r="GM220" s="91">
        <v>214</v>
      </c>
      <c r="GN220" s="14">
        <f t="shared" si="110"/>
        <v>14</v>
      </c>
      <c r="GO220" s="14">
        <f t="shared" si="111"/>
        <v>1606016</v>
      </c>
      <c r="GP220" s="14" t="str">
        <f t="shared" si="116"/>
        <v>神器3-6 : 16级</v>
      </c>
      <c r="GQ220" s="14" t="s">
        <v>816</v>
      </c>
      <c r="GR220" s="14">
        <f t="shared" si="113"/>
        <v>4</v>
      </c>
      <c r="GS220" s="14" t="str">
        <f t="shared" si="114"/>
        <v>神器3-6</v>
      </c>
      <c r="GT220" s="14">
        <f t="shared" si="115"/>
        <v>2</v>
      </c>
    </row>
    <row r="221" spans="38:202" ht="16.5" x14ac:dyDescent="0.2">
      <c r="AL221" s="87">
        <v>7</v>
      </c>
      <c r="AM221" s="87">
        <v>1</v>
      </c>
      <c r="AN221" s="87">
        <v>55</v>
      </c>
      <c r="AO221" s="144">
        <f t="shared" si="105"/>
        <v>4455</v>
      </c>
      <c r="AP221" s="144" t="s">
        <v>1289</v>
      </c>
      <c r="AQ221" s="144" t="str">
        <f t="shared" si="106"/>
        <v>神器本-7-普通-1  神器4-3</v>
      </c>
      <c r="AR221" s="87">
        <v>17</v>
      </c>
      <c r="AS221" s="87" t="s">
        <v>337</v>
      </c>
      <c r="AT221" s="87">
        <v>414</v>
      </c>
      <c r="AU221" s="87">
        <v>1</v>
      </c>
      <c r="AV221" s="87">
        <v>1</v>
      </c>
      <c r="AW221" s="87">
        <f t="shared" si="107"/>
        <v>2</v>
      </c>
      <c r="AX221" s="14">
        <f t="shared" si="108"/>
        <v>4.1399999999999999E-2</v>
      </c>
      <c r="AY221" s="14">
        <f t="shared" si="109"/>
        <v>3.105</v>
      </c>
      <c r="GM221" s="91">
        <v>215</v>
      </c>
      <c r="GN221" s="14">
        <f t="shared" si="110"/>
        <v>14</v>
      </c>
      <c r="GO221" s="14">
        <f t="shared" si="111"/>
        <v>1606016</v>
      </c>
      <c r="GP221" s="14" t="str">
        <f t="shared" si="116"/>
        <v>神器3-6 : 17级</v>
      </c>
      <c r="GQ221" s="14" t="s">
        <v>816</v>
      </c>
      <c r="GR221" s="14">
        <f t="shared" si="113"/>
        <v>5</v>
      </c>
      <c r="GS221" s="14" t="str">
        <f t="shared" si="114"/>
        <v>神器3-6</v>
      </c>
      <c r="GT221" s="14">
        <f t="shared" si="115"/>
        <v>2</v>
      </c>
    </row>
    <row r="222" spans="38:202" ht="16.5" x14ac:dyDescent="0.2">
      <c r="AL222" s="87">
        <v>7</v>
      </c>
      <c r="AM222" s="87">
        <v>1</v>
      </c>
      <c r="AN222" s="87">
        <v>55</v>
      </c>
      <c r="AO222" s="144">
        <f t="shared" si="105"/>
        <v>4455</v>
      </c>
      <c r="AP222" s="144" t="s">
        <v>1289</v>
      </c>
      <c r="AQ222" s="144" t="str">
        <f t="shared" si="106"/>
        <v>神器本-7-普通-1  神器4-4</v>
      </c>
      <c r="AR222" s="87">
        <v>18</v>
      </c>
      <c r="AS222" s="87" t="s">
        <v>338</v>
      </c>
      <c r="AT222" s="87">
        <v>414</v>
      </c>
      <c r="AU222" s="87">
        <v>1</v>
      </c>
      <c r="AV222" s="87">
        <v>1</v>
      </c>
      <c r="AW222" s="87">
        <f t="shared" si="107"/>
        <v>2</v>
      </c>
      <c r="AX222" s="14">
        <f t="shared" si="108"/>
        <v>4.1399999999999999E-2</v>
      </c>
      <c r="AY222" s="14">
        <f t="shared" si="109"/>
        <v>3.105</v>
      </c>
      <c r="GM222" s="91">
        <v>216</v>
      </c>
      <c r="GN222" s="14">
        <f t="shared" si="110"/>
        <v>14</v>
      </c>
      <c r="GO222" s="14">
        <f t="shared" si="111"/>
        <v>1606016</v>
      </c>
      <c r="GP222" s="14" t="str">
        <f t="shared" si="116"/>
        <v>神器3-6 : 18级</v>
      </c>
      <c r="GQ222" s="14" t="s">
        <v>816</v>
      </c>
      <c r="GR222" s="14">
        <f t="shared" si="113"/>
        <v>6</v>
      </c>
      <c r="GS222" s="14" t="str">
        <f t="shared" si="114"/>
        <v>神器3-6</v>
      </c>
      <c r="GT222" s="14">
        <f t="shared" si="115"/>
        <v>2</v>
      </c>
    </row>
    <row r="223" spans="38:202" ht="16.5" x14ac:dyDescent="0.2">
      <c r="AL223" s="87">
        <v>7</v>
      </c>
      <c r="AM223" s="87">
        <v>1</v>
      </c>
      <c r="AN223" s="87">
        <v>55</v>
      </c>
      <c r="AO223" s="144">
        <f t="shared" si="105"/>
        <v>4455</v>
      </c>
      <c r="AP223" s="144" t="s">
        <v>1289</v>
      </c>
      <c r="AQ223" s="144" t="str">
        <f t="shared" si="106"/>
        <v>神器本-7-普通-1  神器4-5</v>
      </c>
      <c r="AR223" s="87">
        <v>19</v>
      </c>
      <c r="AS223" s="87" t="s">
        <v>339</v>
      </c>
      <c r="AT223" s="87">
        <v>275</v>
      </c>
      <c r="AU223" s="87">
        <v>1</v>
      </c>
      <c r="AV223" s="87">
        <v>1</v>
      </c>
      <c r="AW223" s="87">
        <f t="shared" si="107"/>
        <v>3</v>
      </c>
      <c r="AX223" s="14">
        <f t="shared" si="108"/>
        <v>2.75E-2</v>
      </c>
      <c r="AY223" s="14">
        <f t="shared" si="109"/>
        <v>4.8125</v>
      </c>
      <c r="GM223" s="91">
        <v>217</v>
      </c>
      <c r="GN223" s="14">
        <f t="shared" si="110"/>
        <v>14</v>
      </c>
      <c r="GO223" s="14">
        <f t="shared" si="111"/>
        <v>1606016</v>
      </c>
      <c r="GP223" s="14" t="str">
        <f t="shared" si="116"/>
        <v>神器3-6 : 19级</v>
      </c>
      <c r="GQ223" s="14" t="s">
        <v>816</v>
      </c>
      <c r="GR223" s="14">
        <f t="shared" si="113"/>
        <v>7</v>
      </c>
      <c r="GS223" s="14" t="str">
        <f t="shared" si="114"/>
        <v>神器3-6</v>
      </c>
      <c r="GT223" s="14">
        <f t="shared" si="115"/>
        <v>3</v>
      </c>
    </row>
    <row r="224" spans="38:202" ht="16.5" x14ac:dyDescent="0.2">
      <c r="AL224" s="87">
        <v>7</v>
      </c>
      <c r="AM224" s="87">
        <v>1</v>
      </c>
      <c r="AN224" s="87">
        <v>55</v>
      </c>
      <c r="AO224" s="144">
        <f t="shared" si="105"/>
        <v>4455</v>
      </c>
      <c r="AP224" s="144" t="s">
        <v>1289</v>
      </c>
      <c r="AQ224" s="144" t="str">
        <f t="shared" si="106"/>
        <v>神器本-7-普通-1  神器4-6</v>
      </c>
      <c r="AR224" s="87">
        <v>20</v>
      </c>
      <c r="AS224" s="87" t="s">
        <v>340</v>
      </c>
      <c r="AT224" s="87">
        <v>138</v>
      </c>
      <c r="AU224" s="87">
        <v>1</v>
      </c>
      <c r="AV224" s="87">
        <v>1</v>
      </c>
      <c r="AW224" s="87">
        <f t="shared" si="107"/>
        <v>4</v>
      </c>
      <c r="AX224" s="14">
        <f t="shared" si="108"/>
        <v>1.38E-2</v>
      </c>
      <c r="AY224" s="14">
        <f t="shared" si="109"/>
        <v>5.1749999999999998</v>
      </c>
      <c r="GM224" s="91">
        <v>218</v>
      </c>
      <c r="GN224" s="14">
        <f t="shared" si="110"/>
        <v>14</v>
      </c>
      <c r="GO224" s="14">
        <f t="shared" si="111"/>
        <v>1606016</v>
      </c>
      <c r="GP224" s="14" t="str">
        <f t="shared" si="116"/>
        <v>神器3-6 : 20级</v>
      </c>
      <c r="GQ224" s="14" t="s">
        <v>816</v>
      </c>
      <c r="GR224" s="14">
        <f t="shared" si="113"/>
        <v>8</v>
      </c>
      <c r="GS224" s="14" t="str">
        <f t="shared" si="114"/>
        <v>神器3-6</v>
      </c>
      <c r="GT224" s="14">
        <f t="shared" si="115"/>
        <v>3</v>
      </c>
    </row>
    <row r="225" spans="38:202" ht="16.5" x14ac:dyDescent="0.2">
      <c r="AL225" s="87">
        <v>7</v>
      </c>
      <c r="AM225" s="87">
        <v>1</v>
      </c>
      <c r="AN225" s="87">
        <v>55</v>
      </c>
      <c r="AO225" s="144">
        <f t="shared" si="105"/>
        <v>4455</v>
      </c>
      <c r="AP225" s="144" t="s">
        <v>1289</v>
      </c>
      <c r="AQ225" s="144" t="str">
        <f t="shared" si="106"/>
        <v>神器本-7-普通-1  神器5-1</v>
      </c>
      <c r="AR225" s="87">
        <v>21</v>
      </c>
      <c r="AS225" s="87" t="s">
        <v>341</v>
      </c>
      <c r="AT225" s="87">
        <v>700</v>
      </c>
      <c r="AU225" s="87">
        <v>1</v>
      </c>
      <c r="AV225" s="87">
        <v>1</v>
      </c>
      <c r="AW225" s="87">
        <f t="shared" si="107"/>
        <v>1</v>
      </c>
      <c r="AX225" s="14">
        <f t="shared" si="108"/>
        <v>7.0000000000000007E-2</v>
      </c>
      <c r="AY225" s="14">
        <f t="shared" si="109"/>
        <v>2.1</v>
      </c>
      <c r="GM225" s="91">
        <v>219</v>
      </c>
      <c r="GN225" s="14">
        <f t="shared" si="110"/>
        <v>14</v>
      </c>
      <c r="GO225" s="14">
        <f t="shared" si="111"/>
        <v>1606016</v>
      </c>
      <c r="GP225" s="14" t="str">
        <f t="shared" si="116"/>
        <v>神器3-6 : 21级</v>
      </c>
      <c r="GQ225" s="14" t="s">
        <v>816</v>
      </c>
      <c r="GR225" s="14">
        <f t="shared" si="113"/>
        <v>9</v>
      </c>
      <c r="GS225" s="14" t="str">
        <f t="shared" si="114"/>
        <v>神器3-6</v>
      </c>
      <c r="GT225" s="14">
        <f t="shared" si="115"/>
        <v>3</v>
      </c>
    </row>
    <row r="226" spans="38:202" ht="16.5" x14ac:dyDescent="0.2">
      <c r="AL226" s="87">
        <v>7</v>
      </c>
      <c r="AM226" s="87">
        <v>1</v>
      </c>
      <c r="AN226" s="87">
        <v>55</v>
      </c>
      <c r="AO226" s="144">
        <f t="shared" si="105"/>
        <v>4455</v>
      </c>
      <c r="AP226" s="144" t="s">
        <v>1289</v>
      </c>
      <c r="AQ226" s="144" t="str">
        <f t="shared" si="106"/>
        <v>神器本-7-普通-1  神器5-2</v>
      </c>
      <c r="AR226" s="87">
        <v>22</v>
      </c>
      <c r="AS226" s="87" t="s">
        <v>342</v>
      </c>
      <c r="AT226" s="87">
        <v>700</v>
      </c>
      <c r="AU226" s="87">
        <v>1</v>
      </c>
      <c r="AV226" s="87">
        <v>1</v>
      </c>
      <c r="AW226" s="87">
        <f t="shared" si="107"/>
        <v>1</v>
      </c>
      <c r="AX226" s="14">
        <f t="shared" si="108"/>
        <v>7.0000000000000007E-2</v>
      </c>
      <c r="AY226" s="14">
        <f t="shared" si="109"/>
        <v>2.1</v>
      </c>
      <c r="GM226" s="91">
        <v>220</v>
      </c>
      <c r="GN226" s="14">
        <f t="shared" si="110"/>
        <v>14</v>
      </c>
      <c r="GO226" s="14">
        <f t="shared" si="111"/>
        <v>1606016</v>
      </c>
      <c r="GP226" s="14" t="str">
        <f t="shared" si="116"/>
        <v>神器3-6 : 22级</v>
      </c>
      <c r="GQ226" s="14" t="s">
        <v>816</v>
      </c>
      <c r="GR226" s="14">
        <f t="shared" si="113"/>
        <v>10</v>
      </c>
      <c r="GS226" s="14" t="str">
        <f t="shared" si="114"/>
        <v>神器3-6</v>
      </c>
      <c r="GT226" s="14">
        <f t="shared" si="115"/>
        <v>5</v>
      </c>
    </row>
    <row r="227" spans="38:202" ht="16.5" x14ac:dyDescent="0.2">
      <c r="AL227" s="87">
        <v>7</v>
      </c>
      <c r="AM227" s="87">
        <v>1</v>
      </c>
      <c r="AN227" s="87">
        <v>55</v>
      </c>
      <c r="AO227" s="144">
        <f t="shared" si="105"/>
        <v>4455</v>
      </c>
      <c r="AP227" s="144" t="s">
        <v>1289</v>
      </c>
      <c r="AQ227" s="144" t="str">
        <f t="shared" si="106"/>
        <v>神器本-7-普通-1  神器5-3</v>
      </c>
      <c r="AR227" s="87">
        <v>23</v>
      </c>
      <c r="AS227" s="87" t="s">
        <v>343</v>
      </c>
      <c r="AT227" s="87">
        <v>414</v>
      </c>
      <c r="AU227" s="87">
        <v>1</v>
      </c>
      <c r="AV227" s="87">
        <v>1</v>
      </c>
      <c r="AW227" s="87">
        <f t="shared" si="107"/>
        <v>2</v>
      </c>
      <c r="AX227" s="14">
        <f t="shared" si="108"/>
        <v>4.1399999999999999E-2</v>
      </c>
      <c r="AY227" s="14">
        <f t="shared" si="109"/>
        <v>3.726</v>
      </c>
      <c r="GM227" s="91">
        <v>221</v>
      </c>
      <c r="GN227" s="14">
        <f t="shared" si="110"/>
        <v>14</v>
      </c>
      <c r="GO227" s="14">
        <f t="shared" si="111"/>
        <v>1606016</v>
      </c>
      <c r="GP227" s="14" t="str">
        <f t="shared" si="116"/>
        <v>神器3-6 : 23级</v>
      </c>
      <c r="GQ227" s="14" t="s">
        <v>816</v>
      </c>
      <c r="GR227" s="14">
        <f t="shared" si="113"/>
        <v>11</v>
      </c>
      <c r="GS227" s="14" t="str">
        <f t="shared" si="114"/>
        <v>神器3-6</v>
      </c>
      <c r="GT227" s="14">
        <f t="shared" si="115"/>
        <v>5</v>
      </c>
    </row>
    <row r="228" spans="38:202" ht="16.5" x14ac:dyDescent="0.2">
      <c r="AL228" s="87">
        <v>7</v>
      </c>
      <c r="AM228" s="87">
        <v>1</v>
      </c>
      <c r="AN228" s="87">
        <v>55</v>
      </c>
      <c r="AO228" s="144">
        <f t="shared" si="105"/>
        <v>4455</v>
      </c>
      <c r="AP228" s="144" t="s">
        <v>1289</v>
      </c>
      <c r="AQ228" s="144" t="str">
        <f t="shared" si="106"/>
        <v>神器本-7-普通-1  神器5-4</v>
      </c>
      <c r="AR228" s="87">
        <v>24</v>
      </c>
      <c r="AS228" s="87" t="s">
        <v>344</v>
      </c>
      <c r="AT228" s="87">
        <v>414</v>
      </c>
      <c r="AU228" s="87">
        <v>1</v>
      </c>
      <c r="AV228" s="87">
        <v>1</v>
      </c>
      <c r="AW228" s="87">
        <f t="shared" si="107"/>
        <v>2</v>
      </c>
      <c r="AX228" s="14">
        <f t="shared" si="108"/>
        <v>4.1399999999999999E-2</v>
      </c>
      <c r="AY228" s="14">
        <f t="shared" si="109"/>
        <v>3.726</v>
      </c>
      <c r="GM228" s="91">
        <v>222</v>
      </c>
      <c r="GN228" s="14">
        <f t="shared" si="110"/>
        <v>14</v>
      </c>
      <c r="GO228" s="14">
        <f t="shared" si="111"/>
        <v>1606016</v>
      </c>
      <c r="GP228" s="14" t="str">
        <f t="shared" si="116"/>
        <v>神器3-6 : 24级</v>
      </c>
      <c r="GQ228" s="14" t="s">
        <v>816</v>
      </c>
      <c r="GR228" s="14">
        <f t="shared" si="113"/>
        <v>12</v>
      </c>
      <c r="GS228" s="14" t="str">
        <f t="shared" si="114"/>
        <v>神器3-6</v>
      </c>
      <c r="GT228" s="14">
        <f t="shared" si="115"/>
        <v>6</v>
      </c>
    </row>
    <row r="229" spans="38:202" ht="16.5" x14ac:dyDescent="0.2">
      <c r="AL229" s="87">
        <v>7</v>
      </c>
      <c r="AM229" s="87">
        <v>1</v>
      </c>
      <c r="AN229" s="87">
        <v>55</v>
      </c>
      <c r="AO229" s="144">
        <f t="shared" si="105"/>
        <v>4455</v>
      </c>
      <c r="AP229" s="144" t="s">
        <v>1289</v>
      </c>
      <c r="AQ229" s="144" t="str">
        <f t="shared" si="106"/>
        <v>神器本-7-普通-1  神器5-5</v>
      </c>
      <c r="AR229" s="87">
        <v>25</v>
      </c>
      <c r="AS229" s="87" t="s">
        <v>345</v>
      </c>
      <c r="AT229" s="87">
        <v>275</v>
      </c>
      <c r="AU229" s="87">
        <v>1</v>
      </c>
      <c r="AV229" s="87">
        <v>1</v>
      </c>
      <c r="AW229" s="87">
        <f t="shared" si="107"/>
        <v>3</v>
      </c>
      <c r="AX229" s="14">
        <f t="shared" si="108"/>
        <v>2.75E-2</v>
      </c>
      <c r="AY229" s="14">
        <f t="shared" si="109"/>
        <v>5.7750000000000004</v>
      </c>
      <c r="GM229" s="91">
        <v>223</v>
      </c>
      <c r="GN229" s="14">
        <f t="shared" si="110"/>
        <v>14</v>
      </c>
      <c r="GO229" s="14">
        <f t="shared" si="111"/>
        <v>1606016</v>
      </c>
      <c r="GP229" s="14" t="str">
        <f t="shared" si="116"/>
        <v>神器3-6 : 25级</v>
      </c>
      <c r="GQ229" s="14" t="s">
        <v>816</v>
      </c>
      <c r="GR229" s="14">
        <f t="shared" si="113"/>
        <v>13</v>
      </c>
      <c r="GS229" s="14" t="str">
        <f t="shared" si="114"/>
        <v>神器3-6</v>
      </c>
      <c r="GT229" s="14">
        <f t="shared" si="115"/>
        <v>7</v>
      </c>
    </row>
    <row r="230" spans="38:202" ht="16.5" x14ac:dyDescent="0.2">
      <c r="AL230" s="87">
        <v>7</v>
      </c>
      <c r="AM230" s="87">
        <v>1</v>
      </c>
      <c r="AN230" s="87">
        <v>55</v>
      </c>
      <c r="AO230" s="144">
        <f t="shared" si="105"/>
        <v>4455</v>
      </c>
      <c r="AP230" s="144" t="s">
        <v>1289</v>
      </c>
      <c r="AQ230" s="144" t="str">
        <f t="shared" si="106"/>
        <v>神器本-7-普通-1  神器5-6</v>
      </c>
      <c r="AR230" s="87">
        <v>26</v>
      </c>
      <c r="AS230" s="87" t="s">
        <v>346</v>
      </c>
      <c r="AT230" s="87">
        <v>139</v>
      </c>
      <c r="AU230" s="87">
        <v>1</v>
      </c>
      <c r="AV230" s="87">
        <v>1</v>
      </c>
      <c r="AW230" s="87">
        <f t="shared" si="107"/>
        <v>4</v>
      </c>
      <c r="AX230" s="14">
        <f t="shared" si="108"/>
        <v>1.3899999999999999E-2</v>
      </c>
      <c r="AY230" s="14">
        <f t="shared" si="109"/>
        <v>6.2549999999999999</v>
      </c>
      <c r="GM230" s="91">
        <v>224</v>
      </c>
      <c r="GN230" s="14">
        <f t="shared" si="110"/>
        <v>14</v>
      </c>
      <c r="GO230" s="14">
        <f t="shared" si="111"/>
        <v>1606016</v>
      </c>
      <c r="GP230" s="14" t="str">
        <f t="shared" si="116"/>
        <v>神器3-6 : 26级</v>
      </c>
      <c r="GQ230" s="14" t="s">
        <v>816</v>
      </c>
      <c r="GR230" s="14">
        <f t="shared" si="113"/>
        <v>14</v>
      </c>
      <c r="GS230" s="14" t="str">
        <f t="shared" si="114"/>
        <v>神器3-6</v>
      </c>
      <c r="GT230" s="14">
        <f t="shared" si="115"/>
        <v>7</v>
      </c>
    </row>
    <row r="231" spans="38:202" ht="16.5" x14ac:dyDescent="0.2">
      <c r="AL231" s="87">
        <v>7</v>
      </c>
      <c r="AM231" s="87">
        <v>1</v>
      </c>
      <c r="AN231" s="87">
        <v>55</v>
      </c>
      <c r="AO231" s="144">
        <f t="shared" si="105"/>
        <v>4455</v>
      </c>
      <c r="AP231" s="144" t="s">
        <v>1289</v>
      </c>
      <c r="AQ231" s="144" t="str">
        <f t="shared" si="106"/>
        <v>神器本-7-普通-1  神器6-1</v>
      </c>
      <c r="AR231" s="87">
        <v>27</v>
      </c>
      <c r="AS231" s="87" t="s">
        <v>801</v>
      </c>
      <c r="AT231" s="87">
        <v>416</v>
      </c>
      <c r="AU231" s="87">
        <v>1</v>
      </c>
      <c r="AV231" s="87">
        <v>1</v>
      </c>
      <c r="AW231" s="87">
        <f t="shared" si="107"/>
        <v>2</v>
      </c>
      <c r="AX231" s="14">
        <f t="shared" ref="AX231:AX236" si="117">(AU231+AV231)/2*AT231/10000</f>
        <v>4.1599999999999998E-2</v>
      </c>
      <c r="AY231" s="14">
        <f t="shared" ref="AY231:AY236" si="118">(AU231+AV231)/2*AT231/10000*INDEX($AI$7:$AI$48,AR231)</f>
        <v>4.992</v>
      </c>
      <c r="GM231" s="91">
        <v>225</v>
      </c>
      <c r="GN231" s="14">
        <f t="shared" si="110"/>
        <v>14</v>
      </c>
      <c r="GO231" s="14">
        <f t="shared" si="111"/>
        <v>1606016</v>
      </c>
      <c r="GP231" s="14" t="str">
        <f t="shared" si="116"/>
        <v>神器3-6 : 27级</v>
      </c>
      <c r="GQ231" s="14" t="s">
        <v>816</v>
      </c>
      <c r="GR231" s="14">
        <f t="shared" si="113"/>
        <v>15</v>
      </c>
      <c r="GS231" s="14" t="str">
        <f t="shared" si="114"/>
        <v>神器3-6</v>
      </c>
      <c r="GT231" s="14">
        <f t="shared" si="115"/>
        <v>7</v>
      </c>
    </row>
    <row r="232" spans="38:202" ht="16.5" x14ac:dyDescent="0.2">
      <c r="AL232" s="87">
        <v>7</v>
      </c>
      <c r="AM232" s="87">
        <v>1</v>
      </c>
      <c r="AN232" s="87">
        <v>55</v>
      </c>
      <c r="AO232" s="144">
        <f t="shared" si="105"/>
        <v>4455</v>
      </c>
      <c r="AP232" s="144" t="s">
        <v>1289</v>
      </c>
      <c r="AQ232" s="144" t="str">
        <f t="shared" si="106"/>
        <v>神器本-7-普通-1  神器6-2</v>
      </c>
      <c r="AR232" s="87">
        <v>28</v>
      </c>
      <c r="AS232" s="87" t="s">
        <v>348</v>
      </c>
      <c r="AT232" s="87">
        <v>416</v>
      </c>
      <c r="AU232" s="87">
        <v>1</v>
      </c>
      <c r="AV232" s="87">
        <v>1</v>
      </c>
      <c r="AW232" s="87">
        <f t="shared" si="107"/>
        <v>2</v>
      </c>
      <c r="AX232" s="14">
        <f t="shared" si="117"/>
        <v>4.1599999999999998E-2</v>
      </c>
      <c r="AY232" s="14">
        <f t="shared" si="118"/>
        <v>4.992</v>
      </c>
      <c r="GM232" s="91">
        <v>226</v>
      </c>
      <c r="GN232" s="14">
        <f t="shared" si="110"/>
        <v>14</v>
      </c>
      <c r="GO232" s="14">
        <f t="shared" si="111"/>
        <v>1606016</v>
      </c>
      <c r="GP232" s="14" t="str">
        <f t="shared" si="116"/>
        <v>神器3-6 : 28级</v>
      </c>
      <c r="GQ232" s="14" t="s">
        <v>816</v>
      </c>
      <c r="GR232" s="14">
        <f t="shared" si="113"/>
        <v>16</v>
      </c>
      <c r="GS232" s="14" t="str">
        <f t="shared" si="114"/>
        <v>神器3-6</v>
      </c>
      <c r="GT232" s="14">
        <f t="shared" si="115"/>
        <v>10</v>
      </c>
    </row>
    <row r="233" spans="38:202" ht="16.5" x14ac:dyDescent="0.2">
      <c r="AL233" s="87">
        <v>7</v>
      </c>
      <c r="AM233" s="87">
        <v>1</v>
      </c>
      <c r="AN233" s="87">
        <v>55</v>
      </c>
      <c r="AO233" s="144">
        <f t="shared" si="105"/>
        <v>4455</v>
      </c>
      <c r="AP233" s="144" t="s">
        <v>1289</v>
      </c>
      <c r="AQ233" s="144" t="str">
        <f t="shared" si="106"/>
        <v>神器本-7-普通-1  神器6-3</v>
      </c>
      <c r="AR233" s="87">
        <v>29</v>
      </c>
      <c r="AS233" s="87" t="s">
        <v>349</v>
      </c>
      <c r="AT233" s="87">
        <v>416</v>
      </c>
      <c r="AU233" s="87">
        <v>1</v>
      </c>
      <c r="AV233" s="87">
        <v>1</v>
      </c>
      <c r="AW233" s="87">
        <f t="shared" si="107"/>
        <v>2</v>
      </c>
      <c r="AX233" s="14">
        <f t="shared" si="117"/>
        <v>4.1599999999999998E-2</v>
      </c>
      <c r="AY233" s="14">
        <f t="shared" si="118"/>
        <v>4.992</v>
      </c>
      <c r="GM233" s="91">
        <v>227</v>
      </c>
      <c r="GN233" s="14">
        <f t="shared" si="110"/>
        <v>14</v>
      </c>
      <c r="GO233" s="14">
        <f t="shared" si="111"/>
        <v>1606016</v>
      </c>
      <c r="GP233" s="14" t="str">
        <f t="shared" si="116"/>
        <v>神器3-6 : 29级</v>
      </c>
      <c r="GQ233" s="14" t="s">
        <v>816</v>
      </c>
      <c r="GR233" s="14">
        <f t="shared" si="113"/>
        <v>17</v>
      </c>
      <c r="GS233" s="14" t="str">
        <f t="shared" si="114"/>
        <v>神器3-6</v>
      </c>
      <c r="GT233" s="14">
        <f t="shared" si="115"/>
        <v>10</v>
      </c>
    </row>
    <row r="234" spans="38:202" ht="16.5" x14ac:dyDescent="0.2">
      <c r="AL234" s="87">
        <v>7</v>
      </c>
      <c r="AM234" s="87">
        <v>1</v>
      </c>
      <c r="AN234" s="87">
        <v>55</v>
      </c>
      <c r="AO234" s="144">
        <f t="shared" si="105"/>
        <v>4455</v>
      </c>
      <c r="AP234" s="144" t="s">
        <v>1289</v>
      </c>
      <c r="AQ234" s="144" t="str">
        <f t="shared" si="106"/>
        <v>神器本-7-普通-1  神器6-4</v>
      </c>
      <c r="AR234" s="87">
        <v>30</v>
      </c>
      <c r="AS234" s="87" t="s">
        <v>350</v>
      </c>
      <c r="AT234" s="87">
        <v>276</v>
      </c>
      <c r="AU234" s="87">
        <v>1</v>
      </c>
      <c r="AV234" s="87">
        <v>1</v>
      </c>
      <c r="AW234" s="87">
        <f t="shared" si="107"/>
        <v>3</v>
      </c>
      <c r="AX234" s="14">
        <f t="shared" si="117"/>
        <v>2.76E-2</v>
      </c>
      <c r="AY234" s="14">
        <f t="shared" si="118"/>
        <v>7.7279999999999998</v>
      </c>
      <c r="GM234" s="91">
        <v>228</v>
      </c>
      <c r="GN234" s="14">
        <f t="shared" si="110"/>
        <v>14</v>
      </c>
      <c r="GO234" s="14">
        <f t="shared" si="111"/>
        <v>1606016</v>
      </c>
      <c r="GP234" s="14" t="str">
        <f t="shared" si="116"/>
        <v>神器3-6 : 30级</v>
      </c>
      <c r="GQ234" s="14" t="s">
        <v>816</v>
      </c>
      <c r="GR234" s="14">
        <f t="shared" si="113"/>
        <v>18</v>
      </c>
      <c r="GS234" s="14" t="str">
        <f t="shared" si="114"/>
        <v>神器3-6</v>
      </c>
      <c r="GT234" s="14">
        <f t="shared" si="115"/>
        <v>10</v>
      </c>
    </row>
    <row r="235" spans="38:202" ht="16.5" x14ac:dyDescent="0.2">
      <c r="AL235" s="87">
        <v>7</v>
      </c>
      <c r="AM235" s="87">
        <v>1</v>
      </c>
      <c r="AN235" s="87">
        <v>55</v>
      </c>
      <c r="AO235" s="144">
        <f t="shared" si="105"/>
        <v>4455</v>
      </c>
      <c r="AP235" s="144" t="s">
        <v>1289</v>
      </c>
      <c r="AQ235" s="144" t="str">
        <f t="shared" si="106"/>
        <v>神器本-7-普通-1  神器6-5</v>
      </c>
      <c r="AR235" s="87">
        <v>31</v>
      </c>
      <c r="AS235" s="87" t="s">
        <v>351</v>
      </c>
      <c r="AT235" s="87">
        <v>276</v>
      </c>
      <c r="AU235" s="87">
        <v>1</v>
      </c>
      <c r="AV235" s="87">
        <v>1</v>
      </c>
      <c r="AW235" s="87">
        <f t="shared" si="107"/>
        <v>3</v>
      </c>
      <c r="AX235" s="14">
        <f t="shared" si="117"/>
        <v>2.76E-2</v>
      </c>
      <c r="AY235" s="14">
        <f t="shared" si="118"/>
        <v>7.7279999999999998</v>
      </c>
      <c r="GM235" s="91">
        <v>229</v>
      </c>
      <c r="GN235" s="14">
        <f t="shared" si="110"/>
        <v>15</v>
      </c>
      <c r="GO235" s="14">
        <f t="shared" si="111"/>
        <v>1606019</v>
      </c>
      <c r="GP235" s="14" t="str">
        <f t="shared" si="116"/>
        <v>神器4-1 : 31级</v>
      </c>
      <c r="GQ235" s="14" t="s">
        <v>816</v>
      </c>
      <c r="GR235" s="14">
        <f t="shared" si="113"/>
        <v>1</v>
      </c>
      <c r="GS235" s="14" t="str">
        <f t="shared" si="114"/>
        <v>神器4-1</v>
      </c>
      <c r="GT235" s="14">
        <f t="shared" si="115"/>
        <v>1</v>
      </c>
    </row>
    <row r="236" spans="38:202" ht="16.5" x14ac:dyDescent="0.2">
      <c r="AL236" s="87">
        <v>7</v>
      </c>
      <c r="AM236" s="87">
        <v>1</v>
      </c>
      <c r="AN236" s="87">
        <v>55</v>
      </c>
      <c r="AO236" s="144">
        <f t="shared" si="105"/>
        <v>4455</v>
      </c>
      <c r="AP236" s="144" t="s">
        <v>1289</v>
      </c>
      <c r="AQ236" s="144" t="str">
        <f t="shared" si="106"/>
        <v>神器本-7-普通-1  神器6-6</v>
      </c>
      <c r="AR236" s="87">
        <v>32</v>
      </c>
      <c r="AS236" s="87" t="s">
        <v>352</v>
      </c>
      <c r="AT236" s="87">
        <v>276</v>
      </c>
      <c r="AU236" s="87">
        <v>1</v>
      </c>
      <c r="AV236" s="87">
        <v>1</v>
      </c>
      <c r="AW236" s="87">
        <f t="shared" si="107"/>
        <v>3</v>
      </c>
      <c r="AX236" s="14">
        <f t="shared" si="117"/>
        <v>2.76E-2</v>
      </c>
      <c r="AY236" s="14">
        <f t="shared" si="118"/>
        <v>7.7279999999999998</v>
      </c>
      <c r="GM236" s="91">
        <v>230</v>
      </c>
      <c r="GN236" s="14">
        <f t="shared" si="110"/>
        <v>15</v>
      </c>
      <c r="GO236" s="14">
        <f t="shared" si="111"/>
        <v>1606019</v>
      </c>
      <c r="GP236" s="14" t="str">
        <f t="shared" si="116"/>
        <v>神器4-1 : 32级</v>
      </c>
      <c r="GQ236" s="14" t="s">
        <v>816</v>
      </c>
      <c r="GR236" s="14">
        <f t="shared" si="113"/>
        <v>2</v>
      </c>
      <c r="GS236" s="14" t="str">
        <f t="shared" si="114"/>
        <v>神器4-1</v>
      </c>
      <c r="GT236" s="14">
        <f t="shared" si="115"/>
        <v>1</v>
      </c>
    </row>
    <row r="237" spans="38:202" ht="16.5" x14ac:dyDescent="0.2">
      <c r="AL237" s="87">
        <v>7</v>
      </c>
      <c r="AM237" s="87">
        <v>1</v>
      </c>
      <c r="AN237" s="87">
        <v>56</v>
      </c>
      <c r="AO237" s="144">
        <f t="shared" si="105"/>
        <v>4456</v>
      </c>
      <c r="AP237" s="144" t="s">
        <v>1290</v>
      </c>
      <c r="AQ237" s="144" t="str">
        <f t="shared" si="106"/>
        <v>神器本-7-普通-2  神器7-1</v>
      </c>
      <c r="AR237" s="87">
        <v>35</v>
      </c>
      <c r="AS237" s="87" t="s">
        <v>355</v>
      </c>
      <c r="AT237" s="87">
        <v>2000</v>
      </c>
      <c r="AU237" s="87">
        <v>1</v>
      </c>
      <c r="AV237" s="87">
        <v>2</v>
      </c>
      <c r="AW237" s="87">
        <f t="shared" ref="AW237:AW257" si="119">INDEX($AH$7:$AH$48,AR237)</f>
        <v>2</v>
      </c>
      <c r="AX237" s="14">
        <f t="shared" ref="AX237:AX257" si="120">(AU237+AV237)/2*AT237/10000</f>
        <v>0.3</v>
      </c>
      <c r="AY237" s="14">
        <f t="shared" ref="AY237:AY257" si="121">(AU237+AV237)/2*AT237/10000*INDEX($AI$7:$AI$48,AR237)</f>
        <v>45</v>
      </c>
      <c r="GM237" s="91">
        <v>231</v>
      </c>
      <c r="GN237" s="14">
        <f t="shared" si="110"/>
        <v>15</v>
      </c>
      <c r="GO237" s="14">
        <f t="shared" si="111"/>
        <v>1606019</v>
      </c>
      <c r="GP237" s="14" t="str">
        <f t="shared" si="116"/>
        <v>神器4-1 : 35级</v>
      </c>
      <c r="GQ237" s="14" t="s">
        <v>816</v>
      </c>
      <c r="GR237" s="14">
        <f t="shared" si="113"/>
        <v>3</v>
      </c>
      <c r="GS237" s="14" t="str">
        <f t="shared" si="114"/>
        <v>神器4-1</v>
      </c>
      <c r="GT237" s="14">
        <f t="shared" si="115"/>
        <v>1</v>
      </c>
    </row>
    <row r="238" spans="38:202" ht="16.5" x14ac:dyDescent="0.2">
      <c r="AL238" s="87">
        <v>7</v>
      </c>
      <c r="AM238" s="87">
        <v>1</v>
      </c>
      <c r="AN238" s="87">
        <v>56</v>
      </c>
      <c r="AO238" s="144">
        <f t="shared" si="105"/>
        <v>4456</v>
      </c>
      <c r="AP238" s="144" t="s">
        <v>1290</v>
      </c>
      <c r="AQ238" s="144" t="str">
        <f t="shared" si="106"/>
        <v>神器本-7-普通-2  神器7-2</v>
      </c>
      <c r="AR238" s="87">
        <v>36</v>
      </c>
      <c r="AS238" s="87" t="s">
        <v>356</v>
      </c>
      <c r="AT238" s="87">
        <v>2000</v>
      </c>
      <c r="AU238" s="87">
        <v>1</v>
      </c>
      <c r="AV238" s="87">
        <v>2</v>
      </c>
      <c r="AW238" s="87">
        <f t="shared" si="119"/>
        <v>2</v>
      </c>
      <c r="AX238" s="14">
        <f t="shared" si="120"/>
        <v>0.3</v>
      </c>
      <c r="AY238" s="14">
        <f t="shared" si="121"/>
        <v>45</v>
      </c>
      <c r="GM238" s="91">
        <v>232</v>
      </c>
      <c r="GN238" s="14">
        <f t="shared" si="110"/>
        <v>15</v>
      </c>
      <c r="GO238" s="14">
        <f t="shared" si="111"/>
        <v>1606019</v>
      </c>
      <c r="GP238" s="14" t="str">
        <f t="shared" si="116"/>
        <v>神器4-1 : 36级</v>
      </c>
      <c r="GQ238" s="14" t="s">
        <v>816</v>
      </c>
      <c r="GR238" s="14">
        <f t="shared" si="113"/>
        <v>4</v>
      </c>
      <c r="GS238" s="14" t="str">
        <f t="shared" si="114"/>
        <v>神器4-1</v>
      </c>
      <c r="GT238" s="14">
        <f t="shared" si="115"/>
        <v>2</v>
      </c>
    </row>
    <row r="239" spans="38:202" ht="16.5" x14ac:dyDescent="0.2">
      <c r="AL239" s="87">
        <v>7</v>
      </c>
      <c r="AM239" s="87">
        <v>1</v>
      </c>
      <c r="AN239" s="87">
        <v>56</v>
      </c>
      <c r="AO239" s="144">
        <f t="shared" si="105"/>
        <v>4456</v>
      </c>
      <c r="AP239" s="144" t="s">
        <v>1290</v>
      </c>
      <c r="AQ239" s="144" t="str">
        <f t="shared" si="106"/>
        <v>神器本-7-普通-2  神器7-3</v>
      </c>
      <c r="AR239" s="87">
        <v>37</v>
      </c>
      <c r="AS239" s="87" t="s">
        <v>357</v>
      </c>
      <c r="AT239" s="87">
        <v>2000</v>
      </c>
      <c r="AU239" s="87">
        <v>1</v>
      </c>
      <c r="AV239" s="87">
        <v>2</v>
      </c>
      <c r="AW239" s="87">
        <f t="shared" si="119"/>
        <v>2</v>
      </c>
      <c r="AX239" s="14">
        <f t="shared" si="120"/>
        <v>0.3</v>
      </c>
      <c r="AY239" s="14">
        <f t="shared" si="121"/>
        <v>45</v>
      </c>
      <c r="GM239" s="91">
        <v>233</v>
      </c>
      <c r="GN239" s="14">
        <f t="shared" si="110"/>
        <v>15</v>
      </c>
      <c r="GO239" s="14">
        <f t="shared" si="111"/>
        <v>1606019</v>
      </c>
      <c r="GP239" s="14" t="str">
        <f t="shared" si="116"/>
        <v>神器4-1 : 37级</v>
      </c>
      <c r="GQ239" s="14" t="s">
        <v>816</v>
      </c>
      <c r="GR239" s="14">
        <f t="shared" si="113"/>
        <v>5</v>
      </c>
      <c r="GS239" s="14" t="str">
        <f t="shared" si="114"/>
        <v>神器4-1</v>
      </c>
      <c r="GT239" s="14">
        <f t="shared" si="115"/>
        <v>2</v>
      </c>
    </row>
    <row r="240" spans="38:202" ht="16.5" x14ac:dyDescent="0.2">
      <c r="AL240" s="87">
        <v>7</v>
      </c>
      <c r="AM240" s="87">
        <v>2</v>
      </c>
      <c r="AN240" s="87">
        <v>57</v>
      </c>
      <c r="AO240" s="144">
        <f t="shared" si="105"/>
        <v>4457</v>
      </c>
      <c r="AP240" s="144" t="s">
        <v>1282</v>
      </c>
      <c r="AQ240" s="144" t="str">
        <f t="shared" si="106"/>
        <v>神器本-7-困难-1  神器3-1</v>
      </c>
      <c r="AR240" s="87">
        <v>9</v>
      </c>
      <c r="AS240" s="87" t="s">
        <v>776</v>
      </c>
      <c r="AT240" s="87">
        <v>700</v>
      </c>
      <c r="AU240" s="87">
        <v>1</v>
      </c>
      <c r="AV240" s="87">
        <v>1</v>
      </c>
      <c r="AW240" s="87">
        <f t="shared" si="119"/>
        <v>1</v>
      </c>
      <c r="AX240" s="14">
        <f t="shared" si="120"/>
        <v>7.0000000000000007E-2</v>
      </c>
      <c r="AY240" s="14">
        <f t="shared" si="121"/>
        <v>1.4000000000000001</v>
      </c>
      <c r="GM240" s="91">
        <v>234</v>
      </c>
      <c r="GN240" s="14">
        <f t="shared" si="110"/>
        <v>15</v>
      </c>
      <c r="GO240" s="14">
        <f t="shared" si="111"/>
        <v>1606019</v>
      </c>
      <c r="GP240" s="14" t="str">
        <f t="shared" si="116"/>
        <v>神器4-1 : 9级</v>
      </c>
      <c r="GQ240" s="14" t="s">
        <v>816</v>
      </c>
      <c r="GR240" s="14">
        <f t="shared" si="113"/>
        <v>6</v>
      </c>
      <c r="GS240" s="14" t="str">
        <f t="shared" si="114"/>
        <v>神器4-1</v>
      </c>
      <c r="GT240" s="14">
        <f t="shared" si="115"/>
        <v>2</v>
      </c>
    </row>
    <row r="241" spans="38:202" ht="16.5" x14ac:dyDescent="0.2">
      <c r="AL241" s="87">
        <v>7</v>
      </c>
      <c r="AM241" s="87">
        <v>2</v>
      </c>
      <c r="AN241" s="87">
        <v>57</v>
      </c>
      <c r="AO241" s="144">
        <f t="shared" si="105"/>
        <v>4457</v>
      </c>
      <c r="AP241" s="144" t="s">
        <v>1282</v>
      </c>
      <c r="AQ241" s="144" t="str">
        <f t="shared" si="106"/>
        <v>神器本-7-困难-1  神器3-2</v>
      </c>
      <c r="AR241" s="87">
        <v>10</v>
      </c>
      <c r="AS241" s="87" t="s">
        <v>330</v>
      </c>
      <c r="AT241" s="87">
        <v>700</v>
      </c>
      <c r="AU241" s="87">
        <v>1</v>
      </c>
      <c r="AV241" s="87">
        <v>1</v>
      </c>
      <c r="AW241" s="87">
        <f t="shared" si="119"/>
        <v>1</v>
      </c>
      <c r="AX241" s="14">
        <f t="shared" si="120"/>
        <v>7.0000000000000007E-2</v>
      </c>
      <c r="AY241" s="14">
        <f t="shared" si="121"/>
        <v>1.4000000000000001</v>
      </c>
      <c r="GM241" s="91">
        <v>235</v>
      </c>
      <c r="GN241" s="14">
        <f t="shared" si="110"/>
        <v>15</v>
      </c>
      <c r="GO241" s="14">
        <f t="shared" si="111"/>
        <v>1606019</v>
      </c>
      <c r="GP241" s="14" t="str">
        <f t="shared" si="116"/>
        <v>神器4-1 : 10级</v>
      </c>
      <c r="GQ241" s="14" t="s">
        <v>816</v>
      </c>
      <c r="GR241" s="14">
        <f t="shared" si="113"/>
        <v>7</v>
      </c>
      <c r="GS241" s="14" t="str">
        <f t="shared" si="114"/>
        <v>神器4-1</v>
      </c>
      <c r="GT241" s="14">
        <f t="shared" si="115"/>
        <v>3</v>
      </c>
    </row>
    <row r="242" spans="38:202" ht="16.5" x14ac:dyDescent="0.2">
      <c r="AL242" s="87">
        <v>7</v>
      </c>
      <c r="AM242" s="87">
        <v>2</v>
      </c>
      <c r="AN242" s="87">
        <v>57</v>
      </c>
      <c r="AO242" s="144">
        <f t="shared" si="105"/>
        <v>4457</v>
      </c>
      <c r="AP242" s="144" t="s">
        <v>1282</v>
      </c>
      <c r="AQ242" s="144" t="str">
        <f t="shared" si="106"/>
        <v>神器本-7-困难-1  神器3-3</v>
      </c>
      <c r="AR242" s="87">
        <v>11</v>
      </c>
      <c r="AS242" s="87" t="s">
        <v>331</v>
      </c>
      <c r="AT242" s="87">
        <v>414</v>
      </c>
      <c r="AU242" s="87">
        <v>1</v>
      </c>
      <c r="AV242" s="87">
        <v>1</v>
      </c>
      <c r="AW242" s="87">
        <f t="shared" si="119"/>
        <v>2</v>
      </c>
      <c r="AX242" s="14">
        <f t="shared" si="120"/>
        <v>4.1399999999999999E-2</v>
      </c>
      <c r="AY242" s="14">
        <f t="shared" si="121"/>
        <v>2.484</v>
      </c>
      <c r="GM242" s="91">
        <v>236</v>
      </c>
      <c r="GN242" s="14">
        <f t="shared" si="110"/>
        <v>15</v>
      </c>
      <c r="GO242" s="14">
        <f t="shared" si="111"/>
        <v>1606019</v>
      </c>
      <c r="GP242" s="14" t="str">
        <f t="shared" si="116"/>
        <v>神器4-1 : 11级</v>
      </c>
      <c r="GQ242" s="14" t="s">
        <v>816</v>
      </c>
      <c r="GR242" s="14">
        <f t="shared" si="113"/>
        <v>8</v>
      </c>
      <c r="GS242" s="14" t="str">
        <f t="shared" si="114"/>
        <v>神器4-1</v>
      </c>
      <c r="GT242" s="14">
        <f t="shared" si="115"/>
        <v>3</v>
      </c>
    </row>
    <row r="243" spans="38:202" ht="16.5" x14ac:dyDescent="0.2">
      <c r="AL243" s="87">
        <v>7</v>
      </c>
      <c r="AM243" s="87">
        <v>2</v>
      </c>
      <c r="AN243" s="87">
        <v>57</v>
      </c>
      <c r="AO243" s="144">
        <f t="shared" si="105"/>
        <v>4457</v>
      </c>
      <c r="AP243" s="144" t="s">
        <v>1282</v>
      </c>
      <c r="AQ243" s="144" t="str">
        <f t="shared" si="106"/>
        <v>神器本-7-困难-1  神器3-4</v>
      </c>
      <c r="AR243" s="87">
        <v>12</v>
      </c>
      <c r="AS243" s="87" t="s">
        <v>332</v>
      </c>
      <c r="AT243" s="87">
        <v>414</v>
      </c>
      <c r="AU243" s="87">
        <v>1</v>
      </c>
      <c r="AV243" s="87">
        <v>1</v>
      </c>
      <c r="AW243" s="87">
        <f t="shared" si="119"/>
        <v>2</v>
      </c>
      <c r="AX243" s="14">
        <f t="shared" si="120"/>
        <v>4.1399999999999999E-2</v>
      </c>
      <c r="AY243" s="14">
        <f t="shared" si="121"/>
        <v>2.484</v>
      </c>
      <c r="GM243" s="91">
        <v>237</v>
      </c>
      <c r="GN243" s="14">
        <f t="shared" si="110"/>
        <v>15</v>
      </c>
      <c r="GO243" s="14">
        <f t="shared" si="111"/>
        <v>1606019</v>
      </c>
      <c r="GP243" s="14" t="str">
        <f t="shared" si="116"/>
        <v>神器4-1 : 12级</v>
      </c>
      <c r="GQ243" s="14" t="s">
        <v>816</v>
      </c>
      <c r="GR243" s="14">
        <f t="shared" si="113"/>
        <v>9</v>
      </c>
      <c r="GS243" s="14" t="str">
        <f t="shared" si="114"/>
        <v>神器4-1</v>
      </c>
      <c r="GT243" s="14">
        <f t="shared" si="115"/>
        <v>3</v>
      </c>
    </row>
    <row r="244" spans="38:202" ht="16.5" x14ac:dyDescent="0.2">
      <c r="AL244" s="87">
        <v>7</v>
      </c>
      <c r="AM244" s="87">
        <v>2</v>
      </c>
      <c r="AN244" s="87">
        <v>57</v>
      </c>
      <c r="AO244" s="144">
        <f t="shared" si="105"/>
        <v>4457</v>
      </c>
      <c r="AP244" s="144" t="s">
        <v>1282</v>
      </c>
      <c r="AQ244" s="144" t="str">
        <f t="shared" si="106"/>
        <v>神器本-7-困难-1  神器3-5</v>
      </c>
      <c r="AR244" s="87">
        <v>13</v>
      </c>
      <c r="AS244" s="87" t="s">
        <v>333</v>
      </c>
      <c r="AT244" s="87">
        <v>275</v>
      </c>
      <c r="AU244" s="87">
        <v>1</v>
      </c>
      <c r="AV244" s="87">
        <v>1</v>
      </c>
      <c r="AW244" s="87">
        <f t="shared" si="119"/>
        <v>3</v>
      </c>
      <c r="AX244" s="14">
        <f t="shared" si="120"/>
        <v>2.75E-2</v>
      </c>
      <c r="AY244" s="14">
        <f t="shared" si="121"/>
        <v>3.85</v>
      </c>
      <c r="GM244" s="91">
        <v>238</v>
      </c>
      <c r="GN244" s="14">
        <f t="shared" si="110"/>
        <v>15</v>
      </c>
      <c r="GO244" s="14">
        <f t="shared" si="111"/>
        <v>1606019</v>
      </c>
      <c r="GP244" s="14" t="str">
        <f t="shared" si="116"/>
        <v>神器4-1 : 13级</v>
      </c>
      <c r="GQ244" s="14" t="s">
        <v>816</v>
      </c>
      <c r="GR244" s="14">
        <f t="shared" si="113"/>
        <v>10</v>
      </c>
      <c r="GS244" s="14" t="str">
        <f t="shared" si="114"/>
        <v>神器4-1</v>
      </c>
      <c r="GT244" s="14">
        <f t="shared" si="115"/>
        <v>5</v>
      </c>
    </row>
    <row r="245" spans="38:202" ht="16.5" x14ac:dyDescent="0.2">
      <c r="AL245" s="87">
        <v>7</v>
      </c>
      <c r="AM245" s="87">
        <v>2</v>
      </c>
      <c r="AN245" s="87">
        <v>57</v>
      </c>
      <c r="AO245" s="144">
        <f t="shared" si="105"/>
        <v>4457</v>
      </c>
      <c r="AP245" s="144" t="s">
        <v>1282</v>
      </c>
      <c r="AQ245" s="144" t="str">
        <f t="shared" si="106"/>
        <v>神器本-7-困难-1  神器3-6</v>
      </c>
      <c r="AR245" s="87">
        <v>14</v>
      </c>
      <c r="AS245" s="87" t="s">
        <v>334</v>
      </c>
      <c r="AT245" s="87">
        <v>138</v>
      </c>
      <c r="AU245" s="87">
        <v>1</v>
      </c>
      <c r="AV245" s="87">
        <v>1</v>
      </c>
      <c r="AW245" s="87">
        <f t="shared" si="119"/>
        <v>4</v>
      </c>
      <c r="AX245" s="14">
        <f t="shared" si="120"/>
        <v>1.38E-2</v>
      </c>
      <c r="AY245" s="14">
        <f t="shared" si="121"/>
        <v>4.1399999999999997</v>
      </c>
      <c r="GM245" s="91">
        <v>239</v>
      </c>
      <c r="GN245" s="14">
        <f t="shared" si="110"/>
        <v>15</v>
      </c>
      <c r="GO245" s="14">
        <f t="shared" si="111"/>
        <v>1606019</v>
      </c>
      <c r="GP245" s="14" t="str">
        <f t="shared" si="116"/>
        <v>神器4-1 : 14级</v>
      </c>
      <c r="GQ245" s="14" t="s">
        <v>816</v>
      </c>
      <c r="GR245" s="14">
        <f t="shared" si="113"/>
        <v>11</v>
      </c>
      <c r="GS245" s="14" t="str">
        <f t="shared" si="114"/>
        <v>神器4-1</v>
      </c>
      <c r="GT245" s="14">
        <f t="shared" si="115"/>
        <v>5</v>
      </c>
    </row>
    <row r="246" spans="38:202" ht="16.5" x14ac:dyDescent="0.2">
      <c r="AL246" s="87">
        <v>7</v>
      </c>
      <c r="AM246" s="87">
        <v>2</v>
      </c>
      <c r="AN246" s="87">
        <v>57</v>
      </c>
      <c r="AO246" s="144">
        <f t="shared" si="105"/>
        <v>4457</v>
      </c>
      <c r="AP246" s="144" t="s">
        <v>1282</v>
      </c>
      <c r="AQ246" s="144" t="str">
        <f t="shared" si="106"/>
        <v>神器本-7-困难-1  神器4-1</v>
      </c>
      <c r="AR246" s="87">
        <v>15</v>
      </c>
      <c r="AS246" s="87" t="s">
        <v>335</v>
      </c>
      <c r="AT246" s="87">
        <v>700</v>
      </c>
      <c r="AU246" s="87">
        <v>1</v>
      </c>
      <c r="AV246" s="87">
        <v>1</v>
      </c>
      <c r="AW246" s="87">
        <f t="shared" si="119"/>
        <v>1</v>
      </c>
      <c r="AX246" s="14">
        <f t="shared" si="120"/>
        <v>7.0000000000000007E-2</v>
      </c>
      <c r="AY246" s="14">
        <f t="shared" si="121"/>
        <v>1.7500000000000002</v>
      </c>
      <c r="GM246" s="91">
        <v>240</v>
      </c>
      <c r="GN246" s="14">
        <f t="shared" si="110"/>
        <v>15</v>
      </c>
      <c r="GO246" s="14">
        <f t="shared" si="111"/>
        <v>1606019</v>
      </c>
      <c r="GP246" s="14" t="str">
        <f t="shared" si="116"/>
        <v>神器4-1 : 15级</v>
      </c>
      <c r="GQ246" s="14" t="s">
        <v>816</v>
      </c>
      <c r="GR246" s="14">
        <f t="shared" si="113"/>
        <v>12</v>
      </c>
      <c r="GS246" s="14" t="str">
        <f t="shared" si="114"/>
        <v>神器4-1</v>
      </c>
      <c r="GT246" s="14">
        <f t="shared" si="115"/>
        <v>6</v>
      </c>
    </row>
    <row r="247" spans="38:202" ht="16.5" x14ac:dyDescent="0.2">
      <c r="AL247" s="87">
        <v>7</v>
      </c>
      <c r="AM247" s="87">
        <v>2</v>
      </c>
      <c r="AN247" s="87">
        <v>57</v>
      </c>
      <c r="AO247" s="144">
        <f t="shared" si="105"/>
        <v>4457</v>
      </c>
      <c r="AP247" s="144" t="s">
        <v>1282</v>
      </c>
      <c r="AQ247" s="144" t="str">
        <f t="shared" si="106"/>
        <v>神器本-7-困难-1  神器4-2</v>
      </c>
      <c r="AR247" s="87">
        <v>16</v>
      </c>
      <c r="AS247" s="87" t="s">
        <v>336</v>
      </c>
      <c r="AT247" s="87">
        <v>700</v>
      </c>
      <c r="AU247" s="87">
        <v>1</v>
      </c>
      <c r="AV247" s="87">
        <v>1</v>
      </c>
      <c r="AW247" s="87">
        <f t="shared" si="119"/>
        <v>1</v>
      </c>
      <c r="AX247" s="14">
        <f t="shared" si="120"/>
        <v>7.0000000000000007E-2</v>
      </c>
      <c r="AY247" s="14">
        <f t="shared" si="121"/>
        <v>1.7500000000000002</v>
      </c>
      <c r="GM247" s="91">
        <v>241</v>
      </c>
      <c r="GN247" s="14">
        <f t="shared" si="110"/>
        <v>15</v>
      </c>
      <c r="GO247" s="14">
        <f t="shared" si="111"/>
        <v>1606019</v>
      </c>
      <c r="GP247" s="14" t="str">
        <f t="shared" si="116"/>
        <v>神器4-1 : 16级</v>
      </c>
      <c r="GQ247" s="14" t="s">
        <v>816</v>
      </c>
      <c r="GR247" s="14">
        <f t="shared" si="113"/>
        <v>13</v>
      </c>
      <c r="GS247" s="14" t="str">
        <f t="shared" si="114"/>
        <v>神器4-1</v>
      </c>
      <c r="GT247" s="14">
        <f t="shared" si="115"/>
        <v>7</v>
      </c>
    </row>
    <row r="248" spans="38:202" ht="16.5" x14ac:dyDescent="0.2">
      <c r="AL248" s="87">
        <v>7</v>
      </c>
      <c r="AM248" s="87">
        <v>2</v>
      </c>
      <c r="AN248" s="87">
        <v>57</v>
      </c>
      <c r="AO248" s="144">
        <f t="shared" si="105"/>
        <v>4457</v>
      </c>
      <c r="AP248" s="144" t="s">
        <v>1282</v>
      </c>
      <c r="AQ248" s="144" t="str">
        <f t="shared" si="106"/>
        <v>神器本-7-困难-1  神器4-3</v>
      </c>
      <c r="AR248" s="87">
        <v>17</v>
      </c>
      <c r="AS248" s="87" t="s">
        <v>337</v>
      </c>
      <c r="AT248" s="87">
        <v>414</v>
      </c>
      <c r="AU248" s="87">
        <v>1</v>
      </c>
      <c r="AV248" s="87">
        <v>1</v>
      </c>
      <c r="AW248" s="87">
        <f t="shared" si="119"/>
        <v>2</v>
      </c>
      <c r="AX248" s="14">
        <f t="shared" si="120"/>
        <v>4.1399999999999999E-2</v>
      </c>
      <c r="AY248" s="14">
        <f t="shared" si="121"/>
        <v>3.105</v>
      </c>
      <c r="GM248" s="91">
        <v>242</v>
      </c>
      <c r="GN248" s="14">
        <f t="shared" si="110"/>
        <v>15</v>
      </c>
      <c r="GO248" s="14">
        <f t="shared" si="111"/>
        <v>1606019</v>
      </c>
      <c r="GP248" s="14" t="str">
        <f t="shared" si="116"/>
        <v>神器4-1 : 17级</v>
      </c>
      <c r="GQ248" s="14" t="s">
        <v>816</v>
      </c>
      <c r="GR248" s="14">
        <f t="shared" si="113"/>
        <v>14</v>
      </c>
      <c r="GS248" s="14" t="str">
        <f t="shared" si="114"/>
        <v>神器4-1</v>
      </c>
      <c r="GT248" s="14">
        <f t="shared" si="115"/>
        <v>7</v>
      </c>
    </row>
    <row r="249" spans="38:202" ht="16.5" x14ac:dyDescent="0.2">
      <c r="AL249" s="87">
        <v>7</v>
      </c>
      <c r="AM249" s="87">
        <v>2</v>
      </c>
      <c r="AN249" s="87">
        <v>57</v>
      </c>
      <c r="AO249" s="144">
        <f t="shared" si="105"/>
        <v>4457</v>
      </c>
      <c r="AP249" s="144" t="s">
        <v>1282</v>
      </c>
      <c r="AQ249" s="144" t="str">
        <f t="shared" si="106"/>
        <v>神器本-7-困难-1  神器4-4</v>
      </c>
      <c r="AR249" s="87">
        <v>18</v>
      </c>
      <c r="AS249" s="87" t="s">
        <v>338</v>
      </c>
      <c r="AT249" s="87">
        <v>414</v>
      </c>
      <c r="AU249" s="87">
        <v>1</v>
      </c>
      <c r="AV249" s="87">
        <v>1</v>
      </c>
      <c r="AW249" s="87">
        <f t="shared" si="119"/>
        <v>2</v>
      </c>
      <c r="AX249" s="14">
        <f t="shared" si="120"/>
        <v>4.1399999999999999E-2</v>
      </c>
      <c r="AY249" s="14">
        <f t="shared" si="121"/>
        <v>3.105</v>
      </c>
      <c r="GM249" s="91">
        <v>243</v>
      </c>
      <c r="GN249" s="14">
        <f t="shared" si="110"/>
        <v>15</v>
      </c>
      <c r="GO249" s="14">
        <f t="shared" si="111"/>
        <v>1606019</v>
      </c>
      <c r="GP249" s="14" t="str">
        <f t="shared" si="116"/>
        <v>神器4-1 : 18级</v>
      </c>
      <c r="GQ249" s="14" t="s">
        <v>816</v>
      </c>
      <c r="GR249" s="14">
        <f t="shared" si="113"/>
        <v>15</v>
      </c>
      <c r="GS249" s="14" t="str">
        <f t="shared" si="114"/>
        <v>神器4-1</v>
      </c>
      <c r="GT249" s="14">
        <f t="shared" si="115"/>
        <v>7</v>
      </c>
    </row>
    <row r="250" spans="38:202" ht="16.5" x14ac:dyDescent="0.2">
      <c r="AL250" s="87">
        <v>7</v>
      </c>
      <c r="AM250" s="87">
        <v>2</v>
      </c>
      <c r="AN250" s="87">
        <v>57</v>
      </c>
      <c r="AO250" s="144">
        <f t="shared" si="105"/>
        <v>4457</v>
      </c>
      <c r="AP250" s="144" t="s">
        <v>1282</v>
      </c>
      <c r="AQ250" s="144" t="str">
        <f t="shared" si="106"/>
        <v>神器本-7-困难-1  神器4-5</v>
      </c>
      <c r="AR250" s="87">
        <v>19</v>
      </c>
      <c r="AS250" s="87" t="s">
        <v>339</v>
      </c>
      <c r="AT250" s="87">
        <v>275</v>
      </c>
      <c r="AU250" s="87">
        <v>1</v>
      </c>
      <c r="AV250" s="87">
        <v>1</v>
      </c>
      <c r="AW250" s="87">
        <f t="shared" si="119"/>
        <v>3</v>
      </c>
      <c r="AX250" s="14">
        <f t="shared" si="120"/>
        <v>2.75E-2</v>
      </c>
      <c r="AY250" s="14">
        <f t="shared" si="121"/>
        <v>4.8125</v>
      </c>
      <c r="GM250" s="91">
        <v>244</v>
      </c>
      <c r="GN250" s="14">
        <f t="shared" si="110"/>
        <v>15</v>
      </c>
      <c r="GO250" s="14">
        <f t="shared" si="111"/>
        <v>1606019</v>
      </c>
      <c r="GP250" s="14" t="str">
        <f t="shared" si="116"/>
        <v>神器4-1 : 19级</v>
      </c>
      <c r="GQ250" s="14" t="s">
        <v>816</v>
      </c>
      <c r="GR250" s="14">
        <f t="shared" si="113"/>
        <v>16</v>
      </c>
      <c r="GS250" s="14" t="str">
        <f t="shared" si="114"/>
        <v>神器4-1</v>
      </c>
      <c r="GT250" s="14">
        <f t="shared" si="115"/>
        <v>10</v>
      </c>
    </row>
    <row r="251" spans="38:202" ht="16.5" x14ac:dyDescent="0.2">
      <c r="AL251" s="87">
        <v>7</v>
      </c>
      <c r="AM251" s="87">
        <v>2</v>
      </c>
      <c r="AN251" s="87">
        <v>57</v>
      </c>
      <c r="AO251" s="144">
        <f t="shared" si="105"/>
        <v>4457</v>
      </c>
      <c r="AP251" s="144" t="s">
        <v>1282</v>
      </c>
      <c r="AQ251" s="144" t="str">
        <f t="shared" si="106"/>
        <v>神器本-7-困难-1  神器4-6</v>
      </c>
      <c r="AR251" s="87">
        <v>20</v>
      </c>
      <c r="AS251" s="87" t="s">
        <v>340</v>
      </c>
      <c r="AT251" s="87">
        <v>138</v>
      </c>
      <c r="AU251" s="87">
        <v>1</v>
      </c>
      <c r="AV251" s="87">
        <v>1</v>
      </c>
      <c r="AW251" s="87">
        <f t="shared" si="119"/>
        <v>4</v>
      </c>
      <c r="AX251" s="14">
        <f t="shared" si="120"/>
        <v>1.38E-2</v>
      </c>
      <c r="AY251" s="14">
        <f t="shared" si="121"/>
        <v>5.1749999999999998</v>
      </c>
      <c r="GM251" s="91">
        <v>245</v>
      </c>
      <c r="GN251" s="14">
        <f t="shared" si="110"/>
        <v>15</v>
      </c>
      <c r="GO251" s="14">
        <f t="shared" si="111"/>
        <v>1606019</v>
      </c>
      <c r="GP251" s="14" t="str">
        <f t="shared" si="116"/>
        <v>神器4-1 : 20级</v>
      </c>
      <c r="GQ251" s="14" t="s">
        <v>816</v>
      </c>
      <c r="GR251" s="14">
        <f t="shared" si="113"/>
        <v>17</v>
      </c>
      <c r="GS251" s="14" t="str">
        <f t="shared" si="114"/>
        <v>神器4-1</v>
      </c>
      <c r="GT251" s="14">
        <f t="shared" si="115"/>
        <v>10</v>
      </c>
    </row>
    <row r="252" spans="38:202" ht="16.5" x14ac:dyDescent="0.2">
      <c r="AL252" s="87">
        <v>7</v>
      </c>
      <c r="AM252" s="87">
        <v>2</v>
      </c>
      <c r="AN252" s="87">
        <v>57</v>
      </c>
      <c r="AO252" s="144">
        <f t="shared" si="105"/>
        <v>4457</v>
      </c>
      <c r="AP252" s="144" t="s">
        <v>1282</v>
      </c>
      <c r="AQ252" s="144" t="str">
        <f t="shared" si="106"/>
        <v>神器本-7-困难-1  神器5-1</v>
      </c>
      <c r="AR252" s="87">
        <v>21</v>
      </c>
      <c r="AS252" s="87" t="s">
        <v>341</v>
      </c>
      <c r="AT252" s="87">
        <v>700</v>
      </c>
      <c r="AU252" s="87">
        <v>1</v>
      </c>
      <c r="AV252" s="87">
        <v>1</v>
      </c>
      <c r="AW252" s="87">
        <f t="shared" si="119"/>
        <v>1</v>
      </c>
      <c r="AX252" s="14">
        <f t="shared" si="120"/>
        <v>7.0000000000000007E-2</v>
      </c>
      <c r="AY252" s="14">
        <f t="shared" si="121"/>
        <v>2.1</v>
      </c>
      <c r="GM252" s="91">
        <v>246</v>
      </c>
      <c r="GN252" s="14">
        <f t="shared" si="110"/>
        <v>15</v>
      </c>
      <c r="GO252" s="14">
        <f t="shared" si="111"/>
        <v>1606019</v>
      </c>
      <c r="GP252" s="14" t="str">
        <f t="shared" si="116"/>
        <v>神器4-1 : 21级</v>
      </c>
      <c r="GQ252" s="14" t="s">
        <v>816</v>
      </c>
      <c r="GR252" s="14">
        <f t="shared" si="113"/>
        <v>18</v>
      </c>
      <c r="GS252" s="14" t="str">
        <f t="shared" si="114"/>
        <v>神器4-1</v>
      </c>
      <c r="GT252" s="14">
        <f t="shared" si="115"/>
        <v>10</v>
      </c>
    </row>
    <row r="253" spans="38:202" ht="16.5" x14ac:dyDescent="0.2">
      <c r="AL253" s="87">
        <v>7</v>
      </c>
      <c r="AM253" s="87">
        <v>2</v>
      </c>
      <c r="AN253" s="87">
        <v>57</v>
      </c>
      <c r="AO253" s="144">
        <f t="shared" si="105"/>
        <v>4457</v>
      </c>
      <c r="AP253" s="144" t="s">
        <v>1282</v>
      </c>
      <c r="AQ253" s="144" t="str">
        <f t="shared" si="106"/>
        <v>神器本-7-困难-1  神器5-2</v>
      </c>
      <c r="AR253" s="87">
        <v>22</v>
      </c>
      <c r="AS253" s="87" t="s">
        <v>342</v>
      </c>
      <c r="AT253" s="87">
        <v>700</v>
      </c>
      <c r="AU253" s="87">
        <v>1</v>
      </c>
      <c r="AV253" s="87">
        <v>1</v>
      </c>
      <c r="AW253" s="87">
        <f t="shared" si="119"/>
        <v>1</v>
      </c>
      <c r="AX253" s="14">
        <f t="shared" si="120"/>
        <v>7.0000000000000007E-2</v>
      </c>
      <c r="AY253" s="14">
        <f t="shared" si="121"/>
        <v>2.1</v>
      </c>
      <c r="GM253" s="91">
        <v>247</v>
      </c>
      <c r="GN253" s="14">
        <f t="shared" si="110"/>
        <v>16</v>
      </c>
      <c r="GO253" s="14">
        <f t="shared" si="111"/>
        <v>1606020</v>
      </c>
      <c r="GP253" s="14" t="str">
        <f t="shared" si="116"/>
        <v>神器4-2 : 22级</v>
      </c>
      <c r="GQ253" s="14" t="s">
        <v>816</v>
      </c>
      <c r="GR253" s="14">
        <f t="shared" si="113"/>
        <v>1</v>
      </c>
      <c r="GS253" s="14" t="str">
        <f t="shared" si="114"/>
        <v>神器4-2</v>
      </c>
      <c r="GT253" s="14">
        <f t="shared" si="115"/>
        <v>1</v>
      </c>
    </row>
    <row r="254" spans="38:202" ht="16.5" x14ac:dyDescent="0.2">
      <c r="AL254" s="87">
        <v>7</v>
      </c>
      <c r="AM254" s="87">
        <v>2</v>
      </c>
      <c r="AN254" s="87">
        <v>57</v>
      </c>
      <c r="AO254" s="144">
        <f t="shared" si="105"/>
        <v>4457</v>
      </c>
      <c r="AP254" s="144" t="s">
        <v>1282</v>
      </c>
      <c r="AQ254" s="144" t="str">
        <f t="shared" si="106"/>
        <v>神器本-7-困难-1  神器5-3</v>
      </c>
      <c r="AR254" s="87">
        <v>23</v>
      </c>
      <c r="AS254" s="87" t="s">
        <v>343</v>
      </c>
      <c r="AT254" s="87">
        <v>414</v>
      </c>
      <c r="AU254" s="87">
        <v>1</v>
      </c>
      <c r="AV254" s="87">
        <v>1</v>
      </c>
      <c r="AW254" s="87">
        <f t="shared" si="119"/>
        <v>2</v>
      </c>
      <c r="AX254" s="14">
        <f t="shared" si="120"/>
        <v>4.1399999999999999E-2</v>
      </c>
      <c r="AY254" s="14">
        <f t="shared" si="121"/>
        <v>3.726</v>
      </c>
      <c r="GM254" s="91">
        <v>248</v>
      </c>
      <c r="GN254" s="14">
        <f t="shared" si="110"/>
        <v>16</v>
      </c>
      <c r="GO254" s="14">
        <f t="shared" si="111"/>
        <v>1606020</v>
      </c>
      <c r="GP254" s="14" t="str">
        <f t="shared" si="116"/>
        <v>神器4-2 : 23级</v>
      </c>
      <c r="GQ254" s="14" t="s">
        <v>816</v>
      </c>
      <c r="GR254" s="14">
        <f t="shared" si="113"/>
        <v>2</v>
      </c>
      <c r="GS254" s="14" t="str">
        <f t="shared" si="114"/>
        <v>神器4-2</v>
      </c>
      <c r="GT254" s="14">
        <f t="shared" si="115"/>
        <v>1</v>
      </c>
    </row>
    <row r="255" spans="38:202" ht="16.5" x14ac:dyDescent="0.2">
      <c r="AL255" s="87">
        <v>7</v>
      </c>
      <c r="AM255" s="87">
        <v>2</v>
      </c>
      <c r="AN255" s="87">
        <v>57</v>
      </c>
      <c r="AO255" s="144">
        <f t="shared" si="105"/>
        <v>4457</v>
      </c>
      <c r="AP255" s="144" t="s">
        <v>1282</v>
      </c>
      <c r="AQ255" s="144" t="str">
        <f t="shared" si="106"/>
        <v>神器本-7-困难-1  神器5-4</v>
      </c>
      <c r="AR255" s="87">
        <v>24</v>
      </c>
      <c r="AS255" s="87" t="s">
        <v>344</v>
      </c>
      <c r="AT255" s="87">
        <v>414</v>
      </c>
      <c r="AU255" s="87">
        <v>1</v>
      </c>
      <c r="AV255" s="87">
        <v>1</v>
      </c>
      <c r="AW255" s="87">
        <f t="shared" si="119"/>
        <v>2</v>
      </c>
      <c r="AX255" s="14">
        <f t="shared" si="120"/>
        <v>4.1399999999999999E-2</v>
      </c>
      <c r="AY255" s="14">
        <f t="shared" si="121"/>
        <v>3.726</v>
      </c>
      <c r="GM255" s="91">
        <v>249</v>
      </c>
      <c r="GN255" s="14">
        <f t="shared" si="110"/>
        <v>16</v>
      </c>
      <c r="GO255" s="14">
        <f t="shared" si="111"/>
        <v>1606020</v>
      </c>
      <c r="GP255" s="14" t="str">
        <f t="shared" si="116"/>
        <v>神器4-2 : 24级</v>
      </c>
      <c r="GQ255" s="14" t="s">
        <v>816</v>
      </c>
      <c r="GR255" s="14">
        <f t="shared" si="113"/>
        <v>3</v>
      </c>
      <c r="GS255" s="14" t="str">
        <f t="shared" si="114"/>
        <v>神器4-2</v>
      </c>
      <c r="GT255" s="14">
        <f t="shared" si="115"/>
        <v>1</v>
      </c>
    </row>
    <row r="256" spans="38:202" ht="16.5" x14ac:dyDescent="0.2">
      <c r="AL256" s="87">
        <v>7</v>
      </c>
      <c r="AM256" s="87">
        <v>2</v>
      </c>
      <c r="AN256" s="87">
        <v>57</v>
      </c>
      <c r="AO256" s="144">
        <f t="shared" si="105"/>
        <v>4457</v>
      </c>
      <c r="AP256" s="144" t="s">
        <v>1282</v>
      </c>
      <c r="AQ256" s="144" t="str">
        <f t="shared" si="106"/>
        <v>神器本-7-困难-1  神器5-5</v>
      </c>
      <c r="AR256" s="87">
        <v>25</v>
      </c>
      <c r="AS256" s="87" t="s">
        <v>345</v>
      </c>
      <c r="AT256" s="87">
        <v>275</v>
      </c>
      <c r="AU256" s="87">
        <v>1</v>
      </c>
      <c r="AV256" s="87">
        <v>1</v>
      </c>
      <c r="AW256" s="87">
        <f t="shared" si="119"/>
        <v>3</v>
      </c>
      <c r="AX256" s="14">
        <f t="shared" si="120"/>
        <v>2.75E-2</v>
      </c>
      <c r="AY256" s="14">
        <f t="shared" si="121"/>
        <v>5.7750000000000004</v>
      </c>
      <c r="GM256" s="91">
        <v>250</v>
      </c>
      <c r="GN256" s="14">
        <f t="shared" si="110"/>
        <v>16</v>
      </c>
      <c r="GO256" s="14">
        <f t="shared" si="111"/>
        <v>1606020</v>
      </c>
      <c r="GP256" s="14" t="str">
        <f t="shared" si="116"/>
        <v>神器4-2 : 25级</v>
      </c>
      <c r="GQ256" s="14" t="s">
        <v>816</v>
      </c>
      <c r="GR256" s="14">
        <f t="shared" si="113"/>
        <v>4</v>
      </c>
      <c r="GS256" s="14" t="str">
        <f t="shared" si="114"/>
        <v>神器4-2</v>
      </c>
      <c r="GT256" s="14">
        <f t="shared" si="115"/>
        <v>2</v>
      </c>
    </row>
    <row r="257" spans="38:202" ht="16.5" x14ac:dyDescent="0.2">
      <c r="AL257" s="87">
        <v>7</v>
      </c>
      <c r="AM257" s="87">
        <v>2</v>
      </c>
      <c r="AN257" s="87">
        <v>57</v>
      </c>
      <c r="AO257" s="144">
        <f t="shared" si="105"/>
        <v>4457</v>
      </c>
      <c r="AP257" s="144" t="s">
        <v>1282</v>
      </c>
      <c r="AQ257" s="144" t="str">
        <f t="shared" si="106"/>
        <v>神器本-7-困难-1  神器5-6</v>
      </c>
      <c r="AR257" s="87">
        <v>26</v>
      </c>
      <c r="AS257" s="87" t="s">
        <v>346</v>
      </c>
      <c r="AT257" s="87">
        <v>139</v>
      </c>
      <c r="AU257" s="87">
        <v>1</v>
      </c>
      <c r="AV257" s="87">
        <v>1</v>
      </c>
      <c r="AW257" s="87">
        <f t="shared" si="119"/>
        <v>4</v>
      </c>
      <c r="AX257" s="14">
        <f t="shared" si="120"/>
        <v>1.3899999999999999E-2</v>
      </c>
      <c r="AY257" s="14">
        <f t="shared" si="121"/>
        <v>6.2549999999999999</v>
      </c>
      <c r="GM257" s="91">
        <v>251</v>
      </c>
      <c r="GN257" s="14">
        <f t="shared" si="110"/>
        <v>16</v>
      </c>
      <c r="GO257" s="14">
        <f t="shared" si="111"/>
        <v>1606020</v>
      </c>
      <c r="GP257" s="14" t="str">
        <f t="shared" si="116"/>
        <v>神器4-2 : 26级</v>
      </c>
      <c r="GQ257" s="14" t="s">
        <v>816</v>
      </c>
      <c r="GR257" s="14">
        <f t="shared" si="113"/>
        <v>5</v>
      </c>
      <c r="GS257" s="14" t="str">
        <f t="shared" si="114"/>
        <v>神器4-2</v>
      </c>
      <c r="GT257" s="14">
        <f t="shared" si="115"/>
        <v>2</v>
      </c>
    </row>
    <row r="258" spans="38:202" ht="16.5" x14ac:dyDescent="0.2">
      <c r="AL258" s="87">
        <v>7</v>
      </c>
      <c r="AM258" s="87">
        <v>2</v>
      </c>
      <c r="AN258" s="87">
        <v>57</v>
      </c>
      <c r="AO258" s="144">
        <f t="shared" si="105"/>
        <v>4457</v>
      </c>
      <c r="AP258" s="144" t="s">
        <v>1282</v>
      </c>
      <c r="AQ258" s="144" t="str">
        <f t="shared" si="106"/>
        <v>神器本-7-困难-1  神器6-1</v>
      </c>
      <c r="AR258" s="87">
        <v>27</v>
      </c>
      <c r="AS258" s="87" t="s">
        <v>801</v>
      </c>
      <c r="AT258" s="87">
        <v>416</v>
      </c>
      <c r="AU258" s="87">
        <v>1</v>
      </c>
      <c r="AV258" s="87">
        <v>1</v>
      </c>
      <c r="AW258" s="87">
        <f t="shared" ref="AW258:AW263" si="122">INDEX($AH$7:$AH$48,AR258)</f>
        <v>2</v>
      </c>
      <c r="AX258" s="14">
        <f t="shared" ref="AX258:AX263" si="123">(AU258+AV258)/2*AT258/10000</f>
        <v>4.1599999999999998E-2</v>
      </c>
      <c r="AY258" s="14">
        <f t="shared" ref="AY258:AY263" si="124">(AU258+AV258)/2*AT258/10000*INDEX($AI$7:$AI$48,AR258)</f>
        <v>4.992</v>
      </c>
      <c r="GM258" s="91">
        <v>252</v>
      </c>
      <c r="GN258" s="14">
        <f t="shared" si="110"/>
        <v>16</v>
      </c>
      <c r="GO258" s="14">
        <f t="shared" si="111"/>
        <v>1606020</v>
      </c>
      <c r="GP258" s="14" t="str">
        <f t="shared" si="116"/>
        <v>神器4-2 : 27级</v>
      </c>
      <c r="GQ258" s="14" t="s">
        <v>816</v>
      </c>
      <c r="GR258" s="14">
        <f t="shared" si="113"/>
        <v>6</v>
      </c>
      <c r="GS258" s="14" t="str">
        <f t="shared" si="114"/>
        <v>神器4-2</v>
      </c>
      <c r="GT258" s="14">
        <f t="shared" si="115"/>
        <v>2</v>
      </c>
    </row>
    <row r="259" spans="38:202" ht="16.5" x14ac:dyDescent="0.2">
      <c r="AL259" s="87">
        <v>7</v>
      </c>
      <c r="AM259" s="87">
        <v>2</v>
      </c>
      <c r="AN259" s="87">
        <v>57</v>
      </c>
      <c r="AO259" s="144">
        <f t="shared" si="105"/>
        <v>4457</v>
      </c>
      <c r="AP259" s="144" t="s">
        <v>1282</v>
      </c>
      <c r="AQ259" s="144" t="str">
        <f t="shared" si="106"/>
        <v>神器本-7-困难-1  神器6-2</v>
      </c>
      <c r="AR259" s="87">
        <v>28</v>
      </c>
      <c r="AS259" s="87" t="s">
        <v>348</v>
      </c>
      <c r="AT259" s="87">
        <v>416</v>
      </c>
      <c r="AU259" s="87">
        <v>1</v>
      </c>
      <c r="AV259" s="87">
        <v>1</v>
      </c>
      <c r="AW259" s="87">
        <f t="shared" si="122"/>
        <v>2</v>
      </c>
      <c r="AX259" s="14">
        <f t="shared" si="123"/>
        <v>4.1599999999999998E-2</v>
      </c>
      <c r="AY259" s="14">
        <f t="shared" si="124"/>
        <v>4.992</v>
      </c>
      <c r="GM259" s="91">
        <v>253</v>
      </c>
      <c r="GN259" s="14">
        <f t="shared" si="110"/>
        <v>16</v>
      </c>
      <c r="GO259" s="14">
        <f t="shared" si="111"/>
        <v>1606020</v>
      </c>
      <c r="GP259" s="14" t="str">
        <f t="shared" si="116"/>
        <v>神器4-2 : 28级</v>
      </c>
      <c r="GQ259" s="14" t="s">
        <v>816</v>
      </c>
      <c r="GR259" s="14">
        <f t="shared" si="113"/>
        <v>7</v>
      </c>
      <c r="GS259" s="14" t="str">
        <f t="shared" si="114"/>
        <v>神器4-2</v>
      </c>
      <c r="GT259" s="14">
        <f t="shared" si="115"/>
        <v>3</v>
      </c>
    </row>
    <row r="260" spans="38:202" ht="16.5" x14ac:dyDescent="0.2">
      <c r="AL260" s="87">
        <v>7</v>
      </c>
      <c r="AM260" s="87">
        <v>2</v>
      </c>
      <c r="AN260" s="87">
        <v>57</v>
      </c>
      <c r="AO260" s="144">
        <f t="shared" si="105"/>
        <v>4457</v>
      </c>
      <c r="AP260" s="144" t="s">
        <v>1282</v>
      </c>
      <c r="AQ260" s="144" t="str">
        <f t="shared" si="106"/>
        <v>神器本-7-困难-1  神器6-3</v>
      </c>
      <c r="AR260" s="87">
        <v>29</v>
      </c>
      <c r="AS260" s="87" t="s">
        <v>349</v>
      </c>
      <c r="AT260" s="87">
        <v>416</v>
      </c>
      <c r="AU260" s="87">
        <v>1</v>
      </c>
      <c r="AV260" s="87">
        <v>1</v>
      </c>
      <c r="AW260" s="87">
        <f t="shared" si="122"/>
        <v>2</v>
      </c>
      <c r="AX260" s="14">
        <f t="shared" si="123"/>
        <v>4.1599999999999998E-2</v>
      </c>
      <c r="AY260" s="14">
        <f t="shared" si="124"/>
        <v>4.992</v>
      </c>
      <c r="GM260" s="91">
        <v>254</v>
      </c>
      <c r="GN260" s="14">
        <f t="shared" si="110"/>
        <v>16</v>
      </c>
      <c r="GO260" s="14">
        <f t="shared" si="111"/>
        <v>1606020</v>
      </c>
      <c r="GP260" s="14" t="str">
        <f t="shared" si="116"/>
        <v>神器4-2 : 29级</v>
      </c>
      <c r="GQ260" s="14" t="s">
        <v>816</v>
      </c>
      <c r="GR260" s="14">
        <f t="shared" si="113"/>
        <v>8</v>
      </c>
      <c r="GS260" s="14" t="str">
        <f t="shared" si="114"/>
        <v>神器4-2</v>
      </c>
      <c r="GT260" s="14">
        <f t="shared" si="115"/>
        <v>3</v>
      </c>
    </row>
    <row r="261" spans="38:202" ht="16.5" x14ac:dyDescent="0.2">
      <c r="AL261" s="87">
        <v>7</v>
      </c>
      <c r="AM261" s="87">
        <v>2</v>
      </c>
      <c r="AN261" s="87">
        <v>57</v>
      </c>
      <c r="AO261" s="144">
        <f t="shared" si="105"/>
        <v>4457</v>
      </c>
      <c r="AP261" s="144" t="s">
        <v>1282</v>
      </c>
      <c r="AQ261" s="144" t="str">
        <f t="shared" si="106"/>
        <v>神器本-7-困难-1  神器6-4</v>
      </c>
      <c r="AR261" s="87">
        <v>30</v>
      </c>
      <c r="AS261" s="87" t="s">
        <v>350</v>
      </c>
      <c r="AT261" s="87">
        <v>276</v>
      </c>
      <c r="AU261" s="87">
        <v>1</v>
      </c>
      <c r="AV261" s="87">
        <v>1</v>
      </c>
      <c r="AW261" s="87">
        <f t="shared" si="122"/>
        <v>3</v>
      </c>
      <c r="AX261" s="14">
        <f t="shared" si="123"/>
        <v>2.76E-2</v>
      </c>
      <c r="AY261" s="14">
        <f t="shared" si="124"/>
        <v>7.7279999999999998</v>
      </c>
      <c r="GM261" s="91">
        <v>255</v>
      </c>
      <c r="GN261" s="14">
        <f t="shared" si="110"/>
        <v>16</v>
      </c>
      <c r="GO261" s="14">
        <f t="shared" si="111"/>
        <v>1606020</v>
      </c>
      <c r="GP261" s="14" t="str">
        <f t="shared" si="116"/>
        <v>神器4-2 : 30级</v>
      </c>
      <c r="GQ261" s="14" t="s">
        <v>816</v>
      </c>
      <c r="GR261" s="14">
        <f t="shared" si="113"/>
        <v>9</v>
      </c>
      <c r="GS261" s="14" t="str">
        <f t="shared" si="114"/>
        <v>神器4-2</v>
      </c>
      <c r="GT261" s="14">
        <f t="shared" si="115"/>
        <v>3</v>
      </c>
    </row>
    <row r="262" spans="38:202" ht="16.5" x14ac:dyDescent="0.2">
      <c r="AL262" s="87">
        <v>7</v>
      </c>
      <c r="AM262" s="87">
        <v>2</v>
      </c>
      <c r="AN262" s="87">
        <v>57</v>
      </c>
      <c r="AO262" s="144">
        <f t="shared" si="105"/>
        <v>4457</v>
      </c>
      <c r="AP262" s="144" t="s">
        <v>1282</v>
      </c>
      <c r="AQ262" s="144" t="str">
        <f t="shared" si="106"/>
        <v>神器本-7-困难-1  神器6-5</v>
      </c>
      <c r="AR262" s="87">
        <v>31</v>
      </c>
      <c r="AS262" s="87" t="s">
        <v>351</v>
      </c>
      <c r="AT262" s="87">
        <v>276</v>
      </c>
      <c r="AU262" s="87">
        <v>1</v>
      </c>
      <c r="AV262" s="87">
        <v>1</v>
      </c>
      <c r="AW262" s="87">
        <f t="shared" si="122"/>
        <v>3</v>
      </c>
      <c r="AX262" s="14">
        <f t="shared" si="123"/>
        <v>2.76E-2</v>
      </c>
      <c r="AY262" s="14">
        <f t="shared" si="124"/>
        <v>7.7279999999999998</v>
      </c>
      <c r="GM262" s="91">
        <v>256</v>
      </c>
      <c r="GN262" s="14">
        <f t="shared" si="110"/>
        <v>16</v>
      </c>
      <c r="GO262" s="14">
        <f t="shared" si="111"/>
        <v>1606020</v>
      </c>
      <c r="GP262" s="14" t="str">
        <f t="shared" si="116"/>
        <v>神器4-2 : 31级</v>
      </c>
      <c r="GQ262" s="14" t="s">
        <v>816</v>
      </c>
      <c r="GR262" s="14">
        <f t="shared" si="113"/>
        <v>10</v>
      </c>
      <c r="GS262" s="14" t="str">
        <f t="shared" si="114"/>
        <v>神器4-2</v>
      </c>
      <c r="GT262" s="14">
        <f t="shared" si="115"/>
        <v>5</v>
      </c>
    </row>
    <row r="263" spans="38:202" ht="16.5" x14ac:dyDescent="0.2">
      <c r="AL263" s="87">
        <v>7</v>
      </c>
      <c r="AM263" s="87">
        <v>2</v>
      </c>
      <c r="AN263" s="87">
        <v>57</v>
      </c>
      <c r="AO263" s="144">
        <f t="shared" si="105"/>
        <v>4457</v>
      </c>
      <c r="AP263" s="144" t="s">
        <v>1282</v>
      </c>
      <c r="AQ263" s="144" t="str">
        <f t="shared" si="106"/>
        <v>神器本-7-困难-1  神器6-6</v>
      </c>
      <c r="AR263" s="87">
        <v>32</v>
      </c>
      <c r="AS263" s="87" t="s">
        <v>352</v>
      </c>
      <c r="AT263" s="87">
        <v>276</v>
      </c>
      <c r="AU263" s="87">
        <v>1</v>
      </c>
      <c r="AV263" s="87">
        <v>1</v>
      </c>
      <c r="AW263" s="87">
        <f t="shared" si="122"/>
        <v>3</v>
      </c>
      <c r="AX263" s="14">
        <f t="shared" si="123"/>
        <v>2.76E-2</v>
      </c>
      <c r="AY263" s="14">
        <f t="shared" si="124"/>
        <v>7.7279999999999998</v>
      </c>
      <c r="GM263" s="91">
        <v>257</v>
      </c>
      <c r="GN263" s="14">
        <f t="shared" si="110"/>
        <v>16</v>
      </c>
      <c r="GO263" s="14">
        <f t="shared" si="111"/>
        <v>1606020</v>
      </c>
      <c r="GP263" s="14" t="str">
        <f t="shared" si="116"/>
        <v>神器4-2 : 32级</v>
      </c>
      <c r="GQ263" s="14" t="s">
        <v>816</v>
      </c>
      <c r="GR263" s="14">
        <f t="shared" si="113"/>
        <v>11</v>
      </c>
      <c r="GS263" s="14" t="str">
        <f t="shared" si="114"/>
        <v>神器4-2</v>
      </c>
      <c r="GT263" s="14">
        <f t="shared" si="115"/>
        <v>5</v>
      </c>
    </row>
    <row r="264" spans="38:202" ht="16.5" x14ac:dyDescent="0.2">
      <c r="AL264" s="87">
        <v>7</v>
      </c>
      <c r="AM264" s="87">
        <v>2</v>
      </c>
      <c r="AN264" s="87">
        <v>58</v>
      </c>
      <c r="AO264" s="144">
        <f t="shared" ref="AO264:AO301" si="125">4400+AN264</f>
        <v>4458</v>
      </c>
      <c r="AP264" s="144" t="s">
        <v>1283</v>
      </c>
      <c r="AQ264" s="144" t="str">
        <f t="shared" ref="AQ264:AQ301" si="126">AP264&amp;"  "&amp;AS264</f>
        <v>神器本-7-困难-2  神器7-1</v>
      </c>
      <c r="AR264" s="87">
        <v>35</v>
      </c>
      <c r="AS264" s="87" t="s">
        <v>355</v>
      </c>
      <c r="AT264" s="87">
        <v>2000</v>
      </c>
      <c r="AU264" s="87">
        <v>1</v>
      </c>
      <c r="AV264" s="87">
        <v>2</v>
      </c>
      <c r="AW264" s="87">
        <f t="shared" ref="AW264:AW275" si="127">INDEX($AH$7:$AH$48,AR264)</f>
        <v>2</v>
      </c>
      <c r="AX264" s="14">
        <f t="shared" ref="AX264:AX275" si="128">(AU264+AV264)/2*AT264/10000</f>
        <v>0.3</v>
      </c>
      <c r="AY264" s="14">
        <f t="shared" ref="AY264:AY275" si="129">(AU264+AV264)/2*AT264/10000*INDEX($AI$7:$AI$48,AR264)</f>
        <v>45</v>
      </c>
      <c r="GM264" s="91">
        <v>258</v>
      </c>
      <c r="GN264" s="14">
        <f t="shared" ref="GN264:GN327" si="130">MATCH(GM264-1,$R$7:$R$49,1)</f>
        <v>16</v>
      </c>
      <c r="GO264" s="14">
        <f t="shared" ref="GO264:GO327" si="131">INDEX($S$8:$S$49,GN264)</f>
        <v>1606020</v>
      </c>
      <c r="GP264" s="14" t="str">
        <f t="shared" si="116"/>
        <v>神器4-2 : 35级</v>
      </c>
      <c r="GQ264" s="14" t="s">
        <v>816</v>
      </c>
      <c r="GR264" s="14">
        <f t="shared" ref="GR264:GR327" si="132">GM264-INDEX($R$7:$R$49,GN264)</f>
        <v>12</v>
      </c>
      <c r="GS264" s="14" t="str">
        <f t="shared" ref="GS264:GS327" si="133">INDEX($T$8:$T$49,GN264)</f>
        <v>神器4-2</v>
      </c>
      <c r="GT264" s="14">
        <f t="shared" ref="GT264:GT327" si="134">INDEX($K$8:$K$28,GR264)</f>
        <v>6</v>
      </c>
    </row>
    <row r="265" spans="38:202" ht="16.5" x14ac:dyDescent="0.2">
      <c r="AL265" s="87">
        <v>7</v>
      </c>
      <c r="AM265" s="87">
        <v>2</v>
      </c>
      <c r="AN265" s="87">
        <v>58</v>
      </c>
      <c r="AO265" s="144">
        <f t="shared" si="125"/>
        <v>4458</v>
      </c>
      <c r="AP265" s="144" t="s">
        <v>1283</v>
      </c>
      <c r="AQ265" s="144" t="str">
        <f t="shared" si="126"/>
        <v>神器本-7-困难-2  神器7-2</v>
      </c>
      <c r="AR265" s="87">
        <v>36</v>
      </c>
      <c r="AS265" s="87" t="s">
        <v>356</v>
      </c>
      <c r="AT265" s="87">
        <v>2000</v>
      </c>
      <c r="AU265" s="87">
        <v>1</v>
      </c>
      <c r="AV265" s="87">
        <v>2</v>
      </c>
      <c r="AW265" s="87">
        <f t="shared" si="127"/>
        <v>2</v>
      </c>
      <c r="AX265" s="14">
        <f t="shared" si="128"/>
        <v>0.3</v>
      </c>
      <c r="AY265" s="14">
        <f t="shared" si="129"/>
        <v>45</v>
      </c>
      <c r="GM265" s="91">
        <v>259</v>
      </c>
      <c r="GN265" s="14">
        <f t="shared" si="130"/>
        <v>16</v>
      </c>
      <c r="GO265" s="14">
        <f t="shared" si="131"/>
        <v>1606020</v>
      </c>
      <c r="GP265" s="14" t="str">
        <f t="shared" si="116"/>
        <v>神器4-2 : 36级</v>
      </c>
      <c r="GQ265" s="14" t="s">
        <v>816</v>
      </c>
      <c r="GR265" s="14">
        <f t="shared" si="132"/>
        <v>13</v>
      </c>
      <c r="GS265" s="14" t="str">
        <f t="shared" si="133"/>
        <v>神器4-2</v>
      </c>
      <c r="GT265" s="14">
        <f t="shared" si="134"/>
        <v>7</v>
      </c>
    </row>
    <row r="266" spans="38:202" ht="16.5" x14ac:dyDescent="0.2">
      <c r="AL266" s="87">
        <v>7</v>
      </c>
      <c r="AM266" s="87">
        <v>2</v>
      </c>
      <c r="AN266" s="87">
        <v>58</v>
      </c>
      <c r="AO266" s="144">
        <f t="shared" si="125"/>
        <v>4458</v>
      </c>
      <c r="AP266" s="144" t="s">
        <v>1283</v>
      </c>
      <c r="AQ266" s="144" t="str">
        <f t="shared" si="126"/>
        <v>神器本-7-困难-2  神器7-3</v>
      </c>
      <c r="AR266" s="87">
        <v>37</v>
      </c>
      <c r="AS266" s="87" t="s">
        <v>357</v>
      </c>
      <c r="AT266" s="87">
        <v>2000</v>
      </c>
      <c r="AU266" s="87">
        <v>1</v>
      </c>
      <c r="AV266" s="87">
        <v>2</v>
      </c>
      <c r="AW266" s="87">
        <f t="shared" si="127"/>
        <v>2</v>
      </c>
      <c r="AX266" s="14">
        <f t="shared" si="128"/>
        <v>0.3</v>
      </c>
      <c r="AY266" s="14">
        <f t="shared" si="129"/>
        <v>45</v>
      </c>
      <c r="GM266" s="91">
        <v>260</v>
      </c>
      <c r="GN266" s="14">
        <f t="shared" si="130"/>
        <v>16</v>
      </c>
      <c r="GO266" s="14">
        <f t="shared" si="131"/>
        <v>1606020</v>
      </c>
      <c r="GP266" s="14" t="str">
        <f t="shared" si="116"/>
        <v>神器4-2 : 37级</v>
      </c>
      <c r="GQ266" s="14" t="s">
        <v>816</v>
      </c>
      <c r="GR266" s="14">
        <f t="shared" si="132"/>
        <v>14</v>
      </c>
      <c r="GS266" s="14" t="str">
        <f t="shared" si="133"/>
        <v>神器4-2</v>
      </c>
      <c r="GT266" s="14">
        <f t="shared" si="134"/>
        <v>7</v>
      </c>
    </row>
    <row r="267" spans="38:202" ht="16.5" x14ac:dyDescent="0.2">
      <c r="AL267" s="87">
        <v>7</v>
      </c>
      <c r="AM267" s="87">
        <v>2</v>
      </c>
      <c r="AN267" s="87">
        <v>59</v>
      </c>
      <c r="AO267" s="144">
        <f t="shared" si="125"/>
        <v>4459</v>
      </c>
      <c r="AP267" s="144" t="s">
        <v>1284</v>
      </c>
      <c r="AQ267" s="144" t="str">
        <f t="shared" si="126"/>
        <v>神器本-7-困难-3  神器7-4</v>
      </c>
      <c r="AR267" s="87">
        <v>38</v>
      </c>
      <c r="AS267" s="87" t="s">
        <v>358</v>
      </c>
      <c r="AT267" s="87">
        <v>1000</v>
      </c>
      <c r="AU267" s="87">
        <v>1</v>
      </c>
      <c r="AV267" s="87">
        <v>1</v>
      </c>
      <c r="AW267" s="87">
        <f t="shared" si="127"/>
        <v>3</v>
      </c>
      <c r="AX267" s="14">
        <f t="shared" si="128"/>
        <v>0.1</v>
      </c>
      <c r="AY267" s="14">
        <f t="shared" si="129"/>
        <v>35</v>
      </c>
      <c r="GM267" s="91">
        <v>261</v>
      </c>
      <c r="GN267" s="14">
        <f t="shared" si="130"/>
        <v>16</v>
      </c>
      <c r="GO267" s="14">
        <f t="shared" si="131"/>
        <v>1606020</v>
      </c>
      <c r="GP267" s="14" t="str">
        <f t="shared" si="116"/>
        <v>神器4-2 : 38级</v>
      </c>
      <c r="GQ267" s="14" t="s">
        <v>816</v>
      </c>
      <c r="GR267" s="14">
        <f t="shared" si="132"/>
        <v>15</v>
      </c>
      <c r="GS267" s="14" t="str">
        <f t="shared" si="133"/>
        <v>神器4-2</v>
      </c>
      <c r="GT267" s="14">
        <f t="shared" si="134"/>
        <v>7</v>
      </c>
    </row>
    <row r="268" spans="38:202" ht="16.5" x14ac:dyDescent="0.2">
      <c r="AL268" s="87">
        <v>7</v>
      </c>
      <c r="AM268" s="87">
        <v>2</v>
      </c>
      <c r="AN268" s="87">
        <v>59</v>
      </c>
      <c r="AO268" s="144">
        <f t="shared" si="125"/>
        <v>4459</v>
      </c>
      <c r="AP268" s="144" t="s">
        <v>1284</v>
      </c>
      <c r="AQ268" s="144" t="str">
        <f t="shared" si="126"/>
        <v>神器本-7-困难-3  神器7-5</v>
      </c>
      <c r="AR268" s="87">
        <v>39</v>
      </c>
      <c r="AS268" s="87" t="s">
        <v>359</v>
      </c>
      <c r="AT268" s="87">
        <v>1000</v>
      </c>
      <c r="AU268" s="87">
        <v>1</v>
      </c>
      <c r="AV268" s="87">
        <v>1</v>
      </c>
      <c r="AW268" s="87">
        <f t="shared" si="127"/>
        <v>3</v>
      </c>
      <c r="AX268" s="14">
        <f t="shared" si="128"/>
        <v>0.1</v>
      </c>
      <c r="AY268" s="14">
        <f t="shared" si="129"/>
        <v>35</v>
      </c>
      <c r="GM268" s="91">
        <v>262</v>
      </c>
      <c r="GN268" s="14">
        <f t="shared" si="130"/>
        <v>16</v>
      </c>
      <c r="GO268" s="14">
        <f t="shared" si="131"/>
        <v>1606020</v>
      </c>
      <c r="GP268" s="14" t="str">
        <f t="shared" si="116"/>
        <v>神器4-2 : 39级</v>
      </c>
      <c r="GQ268" s="14" t="s">
        <v>816</v>
      </c>
      <c r="GR268" s="14">
        <f t="shared" si="132"/>
        <v>16</v>
      </c>
      <c r="GS268" s="14" t="str">
        <f t="shared" si="133"/>
        <v>神器4-2</v>
      </c>
      <c r="GT268" s="14">
        <f t="shared" si="134"/>
        <v>10</v>
      </c>
    </row>
    <row r="269" spans="38:202" ht="16.5" x14ac:dyDescent="0.2">
      <c r="AL269" s="87">
        <v>7</v>
      </c>
      <c r="AM269" s="87">
        <v>2</v>
      </c>
      <c r="AN269" s="87">
        <v>59</v>
      </c>
      <c r="AO269" s="144">
        <f t="shared" si="125"/>
        <v>4459</v>
      </c>
      <c r="AP269" s="144" t="s">
        <v>1284</v>
      </c>
      <c r="AQ269" s="144" t="str">
        <f t="shared" si="126"/>
        <v>神器本-7-困难-3  神器7-6</v>
      </c>
      <c r="AR269" s="87">
        <v>40</v>
      </c>
      <c r="AS269" s="87" t="s">
        <v>360</v>
      </c>
      <c r="AT269" s="87">
        <v>1000</v>
      </c>
      <c r="AU269" s="87">
        <v>1</v>
      </c>
      <c r="AV269" s="87">
        <v>1</v>
      </c>
      <c r="AW269" s="87">
        <f t="shared" si="127"/>
        <v>3</v>
      </c>
      <c r="AX269" s="14">
        <f t="shared" si="128"/>
        <v>0.1</v>
      </c>
      <c r="AY269" s="14">
        <f t="shared" si="129"/>
        <v>35</v>
      </c>
      <c r="GM269" s="91">
        <v>263</v>
      </c>
      <c r="GN269" s="14">
        <f t="shared" si="130"/>
        <v>16</v>
      </c>
      <c r="GO269" s="14">
        <f t="shared" si="131"/>
        <v>1606020</v>
      </c>
      <c r="GP269" s="14" t="str">
        <f t="shared" si="116"/>
        <v>神器4-2 : 40级</v>
      </c>
      <c r="GQ269" s="14" t="s">
        <v>816</v>
      </c>
      <c r="GR269" s="14">
        <f t="shared" si="132"/>
        <v>17</v>
      </c>
      <c r="GS269" s="14" t="str">
        <f t="shared" si="133"/>
        <v>神器4-2</v>
      </c>
      <c r="GT269" s="14">
        <f t="shared" si="134"/>
        <v>10</v>
      </c>
    </row>
    <row r="270" spans="38:202" ht="16.5" x14ac:dyDescent="0.2">
      <c r="AL270" s="87">
        <v>7</v>
      </c>
      <c r="AM270" s="87">
        <v>3</v>
      </c>
      <c r="AN270" s="87">
        <v>60</v>
      </c>
      <c r="AO270" s="144">
        <f t="shared" si="125"/>
        <v>4460</v>
      </c>
      <c r="AP270" s="144" t="s">
        <v>1298</v>
      </c>
      <c r="AQ270" s="144" t="str">
        <f t="shared" si="126"/>
        <v>神器本-7-噩梦-1  神器3-1</v>
      </c>
      <c r="AR270" s="87">
        <v>9</v>
      </c>
      <c r="AS270" s="87" t="s">
        <v>776</v>
      </c>
      <c r="AT270" s="87">
        <v>700</v>
      </c>
      <c r="AU270" s="87">
        <v>1</v>
      </c>
      <c r="AV270" s="87">
        <v>1</v>
      </c>
      <c r="AW270" s="87">
        <f t="shared" si="127"/>
        <v>1</v>
      </c>
      <c r="AX270" s="14">
        <f t="shared" si="128"/>
        <v>7.0000000000000007E-2</v>
      </c>
      <c r="AY270" s="14">
        <f t="shared" si="129"/>
        <v>1.4000000000000001</v>
      </c>
      <c r="GM270" s="91">
        <v>264</v>
      </c>
      <c r="GN270" s="14">
        <f t="shared" si="130"/>
        <v>16</v>
      </c>
      <c r="GO270" s="14">
        <f t="shared" si="131"/>
        <v>1606020</v>
      </c>
      <c r="GP270" s="14" t="str">
        <f t="shared" si="116"/>
        <v>神器4-2 : 9级</v>
      </c>
      <c r="GQ270" s="14" t="s">
        <v>816</v>
      </c>
      <c r="GR270" s="14">
        <f t="shared" si="132"/>
        <v>18</v>
      </c>
      <c r="GS270" s="14" t="str">
        <f t="shared" si="133"/>
        <v>神器4-2</v>
      </c>
      <c r="GT270" s="14">
        <f t="shared" si="134"/>
        <v>10</v>
      </c>
    </row>
    <row r="271" spans="38:202" ht="16.5" x14ac:dyDescent="0.2">
      <c r="AL271" s="87">
        <v>7</v>
      </c>
      <c r="AM271" s="87">
        <v>3</v>
      </c>
      <c r="AN271" s="87">
        <v>60</v>
      </c>
      <c r="AO271" s="144">
        <f t="shared" si="125"/>
        <v>4460</v>
      </c>
      <c r="AP271" s="144" t="s">
        <v>1291</v>
      </c>
      <c r="AQ271" s="144" t="str">
        <f t="shared" si="126"/>
        <v>神器本-7-噩梦-1  神器3-2</v>
      </c>
      <c r="AR271" s="87">
        <v>10</v>
      </c>
      <c r="AS271" s="87" t="s">
        <v>330</v>
      </c>
      <c r="AT271" s="87">
        <v>700</v>
      </c>
      <c r="AU271" s="87">
        <v>1</v>
      </c>
      <c r="AV271" s="87">
        <v>1</v>
      </c>
      <c r="AW271" s="87">
        <f t="shared" si="127"/>
        <v>1</v>
      </c>
      <c r="AX271" s="14">
        <f t="shared" si="128"/>
        <v>7.0000000000000007E-2</v>
      </c>
      <c r="AY271" s="14">
        <f t="shared" si="129"/>
        <v>1.4000000000000001</v>
      </c>
      <c r="GM271" s="91">
        <v>265</v>
      </c>
      <c r="GN271" s="14">
        <f t="shared" si="130"/>
        <v>17</v>
      </c>
      <c r="GO271" s="14">
        <f t="shared" si="131"/>
        <v>1606021</v>
      </c>
      <c r="GP271" s="14" t="str">
        <f t="shared" si="116"/>
        <v>神器4-3 : 10级</v>
      </c>
      <c r="GQ271" s="14" t="s">
        <v>816</v>
      </c>
      <c r="GR271" s="14">
        <f t="shared" si="132"/>
        <v>1</v>
      </c>
      <c r="GS271" s="14" t="str">
        <f t="shared" si="133"/>
        <v>神器4-3</v>
      </c>
      <c r="GT271" s="14">
        <f t="shared" si="134"/>
        <v>1</v>
      </c>
    </row>
    <row r="272" spans="38:202" ht="16.5" x14ac:dyDescent="0.2">
      <c r="AL272" s="87">
        <v>7</v>
      </c>
      <c r="AM272" s="87">
        <v>3</v>
      </c>
      <c r="AN272" s="87">
        <v>60</v>
      </c>
      <c r="AO272" s="144">
        <f t="shared" si="125"/>
        <v>4460</v>
      </c>
      <c r="AP272" s="144" t="s">
        <v>1291</v>
      </c>
      <c r="AQ272" s="144" t="str">
        <f t="shared" si="126"/>
        <v>神器本-7-噩梦-1  神器3-3</v>
      </c>
      <c r="AR272" s="87">
        <v>11</v>
      </c>
      <c r="AS272" s="87" t="s">
        <v>331</v>
      </c>
      <c r="AT272" s="87">
        <v>414</v>
      </c>
      <c r="AU272" s="87">
        <v>1</v>
      </c>
      <c r="AV272" s="87">
        <v>1</v>
      </c>
      <c r="AW272" s="87">
        <f t="shared" si="127"/>
        <v>2</v>
      </c>
      <c r="AX272" s="14">
        <f t="shared" si="128"/>
        <v>4.1399999999999999E-2</v>
      </c>
      <c r="AY272" s="14">
        <f t="shared" si="129"/>
        <v>2.484</v>
      </c>
      <c r="GM272" s="91">
        <v>266</v>
      </c>
      <c r="GN272" s="14">
        <f t="shared" si="130"/>
        <v>17</v>
      </c>
      <c r="GO272" s="14">
        <f t="shared" si="131"/>
        <v>1606021</v>
      </c>
      <c r="GP272" s="14" t="str">
        <f t="shared" si="116"/>
        <v>神器4-3 : 11级</v>
      </c>
      <c r="GQ272" s="14" t="s">
        <v>816</v>
      </c>
      <c r="GR272" s="14">
        <f t="shared" si="132"/>
        <v>2</v>
      </c>
      <c r="GS272" s="14" t="str">
        <f t="shared" si="133"/>
        <v>神器4-3</v>
      </c>
      <c r="GT272" s="14">
        <f t="shared" si="134"/>
        <v>1</v>
      </c>
    </row>
    <row r="273" spans="38:202" ht="16.5" x14ac:dyDescent="0.2">
      <c r="AL273" s="87">
        <v>7</v>
      </c>
      <c r="AM273" s="87">
        <v>3</v>
      </c>
      <c r="AN273" s="87">
        <v>60</v>
      </c>
      <c r="AO273" s="144">
        <f t="shared" si="125"/>
        <v>4460</v>
      </c>
      <c r="AP273" s="144" t="s">
        <v>1291</v>
      </c>
      <c r="AQ273" s="144" t="str">
        <f t="shared" si="126"/>
        <v>神器本-7-噩梦-1  神器3-4</v>
      </c>
      <c r="AR273" s="87">
        <v>12</v>
      </c>
      <c r="AS273" s="87" t="s">
        <v>332</v>
      </c>
      <c r="AT273" s="87">
        <v>414</v>
      </c>
      <c r="AU273" s="87">
        <v>1</v>
      </c>
      <c r="AV273" s="87">
        <v>1</v>
      </c>
      <c r="AW273" s="87">
        <f t="shared" si="127"/>
        <v>2</v>
      </c>
      <c r="AX273" s="14">
        <f t="shared" si="128"/>
        <v>4.1399999999999999E-2</v>
      </c>
      <c r="AY273" s="14">
        <f t="shared" si="129"/>
        <v>2.484</v>
      </c>
      <c r="GM273" s="91">
        <v>267</v>
      </c>
      <c r="GN273" s="14">
        <f t="shared" si="130"/>
        <v>17</v>
      </c>
      <c r="GO273" s="14">
        <f t="shared" si="131"/>
        <v>1606021</v>
      </c>
      <c r="GP273" s="14" t="str">
        <f t="shared" si="116"/>
        <v>神器4-3 : 12级</v>
      </c>
      <c r="GQ273" s="14" t="s">
        <v>816</v>
      </c>
      <c r="GR273" s="14">
        <f t="shared" si="132"/>
        <v>3</v>
      </c>
      <c r="GS273" s="14" t="str">
        <f t="shared" si="133"/>
        <v>神器4-3</v>
      </c>
      <c r="GT273" s="14">
        <f t="shared" si="134"/>
        <v>1</v>
      </c>
    </row>
    <row r="274" spans="38:202" ht="16.5" x14ac:dyDescent="0.2">
      <c r="AL274" s="87">
        <v>7</v>
      </c>
      <c r="AM274" s="87">
        <v>3</v>
      </c>
      <c r="AN274" s="87">
        <v>60</v>
      </c>
      <c r="AO274" s="144">
        <f t="shared" si="125"/>
        <v>4460</v>
      </c>
      <c r="AP274" s="144" t="s">
        <v>1291</v>
      </c>
      <c r="AQ274" s="144" t="str">
        <f t="shared" si="126"/>
        <v>神器本-7-噩梦-1  神器3-5</v>
      </c>
      <c r="AR274" s="87">
        <v>13</v>
      </c>
      <c r="AS274" s="87" t="s">
        <v>333</v>
      </c>
      <c r="AT274" s="87">
        <v>275</v>
      </c>
      <c r="AU274" s="87">
        <v>1</v>
      </c>
      <c r="AV274" s="87">
        <v>1</v>
      </c>
      <c r="AW274" s="87">
        <f t="shared" si="127"/>
        <v>3</v>
      </c>
      <c r="AX274" s="14">
        <f t="shared" si="128"/>
        <v>2.75E-2</v>
      </c>
      <c r="AY274" s="14">
        <f t="shared" si="129"/>
        <v>3.85</v>
      </c>
      <c r="GM274" s="91">
        <v>268</v>
      </c>
      <c r="GN274" s="14">
        <f t="shared" si="130"/>
        <v>17</v>
      </c>
      <c r="GO274" s="14">
        <f t="shared" si="131"/>
        <v>1606021</v>
      </c>
      <c r="GP274" s="14" t="str">
        <f t="shared" si="116"/>
        <v>神器4-3 : 13级</v>
      </c>
      <c r="GQ274" s="14" t="s">
        <v>816</v>
      </c>
      <c r="GR274" s="14">
        <f t="shared" si="132"/>
        <v>4</v>
      </c>
      <c r="GS274" s="14" t="str">
        <f t="shared" si="133"/>
        <v>神器4-3</v>
      </c>
      <c r="GT274" s="14">
        <f t="shared" si="134"/>
        <v>2</v>
      </c>
    </row>
    <row r="275" spans="38:202" ht="16.5" x14ac:dyDescent="0.2">
      <c r="AL275" s="87">
        <v>7</v>
      </c>
      <c r="AM275" s="87">
        <v>3</v>
      </c>
      <c r="AN275" s="87">
        <v>60</v>
      </c>
      <c r="AO275" s="144">
        <f t="shared" si="125"/>
        <v>4460</v>
      </c>
      <c r="AP275" s="144" t="s">
        <v>1291</v>
      </c>
      <c r="AQ275" s="144" t="str">
        <f t="shared" si="126"/>
        <v>神器本-7-噩梦-1  神器3-6</v>
      </c>
      <c r="AR275" s="87">
        <v>14</v>
      </c>
      <c r="AS275" s="87" t="s">
        <v>334</v>
      </c>
      <c r="AT275" s="87">
        <v>138</v>
      </c>
      <c r="AU275" s="87">
        <v>1</v>
      </c>
      <c r="AV275" s="87">
        <v>1</v>
      </c>
      <c r="AW275" s="87">
        <f t="shared" si="127"/>
        <v>4</v>
      </c>
      <c r="AX275" s="14">
        <f t="shared" si="128"/>
        <v>1.38E-2</v>
      </c>
      <c r="AY275" s="14">
        <f t="shared" si="129"/>
        <v>4.1399999999999997</v>
      </c>
      <c r="GM275" s="91">
        <v>269</v>
      </c>
      <c r="GN275" s="14">
        <f t="shared" si="130"/>
        <v>17</v>
      </c>
      <c r="GO275" s="14">
        <f t="shared" si="131"/>
        <v>1606021</v>
      </c>
      <c r="GP275" s="14" t="str">
        <f t="shared" si="116"/>
        <v>神器4-3 : 14级</v>
      </c>
      <c r="GQ275" s="14" t="s">
        <v>816</v>
      </c>
      <c r="GR275" s="14">
        <f t="shared" si="132"/>
        <v>5</v>
      </c>
      <c r="GS275" s="14" t="str">
        <f t="shared" si="133"/>
        <v>神器4-3</v>
      </c>
      <c r="GT275" s="14">
        <f t="shared" si="134"/>
        <v>2</v>
      </c>
    </row>
    <row r="276" spans="38:202" ht="16.5" x14ac:dyDescent="0.2">
      <c r="AL276" s="87">
        <v>7</v>
      </c>
      <c r="AM276" s="87">
        <v>3</v>
      </c>
      <c r="AN276" s="87">
        <v>60</v>
      </c>
      <c r="AO276" s="144">
        <f t="shared" si="125"/>
        <v>4460</v>
      </c>
      <c r="AP276" s="144" t="s">
        <v>1291</v>
      </c>
      <c r="AQ276" s="144" t="str">
        <f t="shared" si="126"/>
        <v>神器本-7-噩梦-1  神器4-1</v>
      </c>
      <c r="AR276" s="87">
        <v>15</v>
      </c>
      <c r="AS276" s="87" t="s">
        <v>335</v>
      </c>
      <c r="AT276" s="87">
        <v>700</v>
      </c>
      <c r="AU276" s="87">
        <v>1</v>
      </c>
      <c r="AV276" s="87">
        <v>1</v>
      </c>
      <c r="AW276" s="87">
        <f t="shared" ref="AW276:AW293" si="135">INDEX($AH$7:$AH$48,AR276)</f>
        <v>1</v>
      </c>
      <c r="AX276" s="14">
        <f t="shared" ref="AX276:AX293" si="136">(AU276+AV276)/2*AT276/10000</f>
        <v>7.0000000000000007E-2</v>
      </c>
      <c r="AY276" s="14">
        <f t="shared" ref="AY276:AY293" si="137">(AU276+AV276)/2*AT276/10000*INDEX($AI$7:$AI$48,AR276)</f>
        <v>1.7500000000000002</v>
      </c>
      <c r="GM276" s="91">
        <v>270</v>
      </c>
      <c r="GN276" s="14">
        <f t="shared" si="130"/>
        <v>17</v>
      </c>
      <c r="GO276" s="14">
        <f t="shared" si="131"/>
        <v>1606021</v>
      </c>
      <c r="GP276" s="14" t="str">
        <f t="shared" si="116"/>
        <v>神器4-3 : 15级</v>
      </c>
      <c r="GQ276" s="14" t="s">
        <v>816</v>
      </c>
      <c r="GR276" s="14">
        <f t="shared" si="132"/>
        <v>6</v>
      </c>
      <c r="GS276" s="14" t="str">
        <f t="shared" si="133"/>
        <v>神器4-3</v>
      </c>
      <c r="GT276" s="14">
        <f t="shared" si="134"/>
        <v>2</v>
      </c>
    </row>
    <row r="277" spans="38:202" ht="16.5" x14ac:dyDescent="0.2">
      <c r="AL277" s="87">
        <v>7</v>
      </c>
      <c r="AM277" s="87">
        <v>3</v>
      </c>
      <c r="AN277" s="87">
        <v>60</v>
      </c>
      <c r="AO277" s="144">
        <f t="shared" si="125"/>
        <v>4460</v>
      </c>
      <c r="AP277" s="144" t="s">
        <v>1291</v>
      </c>
      <c r="AQ277" s="144" t="str">
        <f t="shared" si="126"/>
        <v>神器本-7-噩梦-1  神器4-2</v>
      </c>
      <c r="AR277" s="87">
        <v>16</v>
      </c>
      <c r="AS277" s="87" t="s">
        <v>336</v>
      </c>
      <c r="AT277" s="87">
        <v>700</v>
      </c>
      <c r="AU277" s="87">
        <v>1</v>
      </c>
      <c r="AV277" s="87">
        <v>1</v>
      </c>
      <c r="AW277" s="87">
        <f t="shared" si="135"/>
        <v>1</v>
      </c>
      <c r="AX277" s="14">
        <f t="shared" si="136"/>
        <v>7.0000000000000007E-2</v>
      </c>
      <c r="AY277" s="14">
        <f t="shared" si="137"/>
        <v>1.7500000000000002</v>
      </c>
      <c r="GM277" s="91">
        <v>271</v>
      </c>
      <c r="GN277" s="14">
        <f t="shared" si="130"/>
        <v>17</v>
      </c>
      <c r="GO277" s="14">
        <f t="shared" si="131"/>
        <v>1606021</v>
      </c>
      <c r="GP277" s="14" t="str">
        <f t="shared" si="116"/>
        <v>神器4-3 : 16级</v>
      </c>
      <c r="GQ277" s="14" t="s">
        <v>816</v>
      </c>
      <c r="GR277" s="14">
        <f t="shared" si="132"/>
        <v>7</v>
      </c>
      <c r="GS277" s="14" t="str">
        <f t="shared" si="133"/>
        <v>神器4-3</v>
      </c>
      <c r="GT277" s="14">
        <f t="shared" si="134"/>
        <v>3</v>
      </c>
    </row>
    <row r="278" spans="38:202" ht="16.5" x14ac:dyDescent="0.2">
      <c r="AL278" s="87">
        <v>7</v>
      </c>
      <c r="AM278" s="87">
        <v>3</v>
      </c>
      <c r="AN278" s="87">
        <v>60</v>
      </c>
      <c r="AO278" s="144">
        <f t="shared" si="125"/>
        <v>4460</v>
      </c>
      <c r="AP278" s="144" t="s">
        <v>1291</v>
      </c>
      <c r="AQ278" s="144" t="str">
        <f t="shared" si="126"/>
        <v>神器本-7-噩梦-1  神器4-3</v>
      </c>
      <c r="AR278" s="87">
        <v>17</v>
      </c>
      <c r="AS278" s="87" t="s">
        <v>337</v>
      </c>
      <c r="AT278" s="87">
        <v>414</v>
      </c>
      <c r="AU278" s="87">
        <v>1</v>
      </c>
      <c r="AV278" s="87">
        <v>1</v>
      </c>
      <c r="AW278" s="87">
        <f t="shared" si="135"/>
        <v>2</v>
      </c>
      <c r="AX278" s="14">
        <f t="shared" si="136"/>
        <v>4.1399999999999999E-2</v>
      </c>
      <c r="AY278" s="14">
        <f t="shared" si="137"/>
        <v>3.105</v>
      </c>
      <c r="GM278" s="91">
        <v>272</v>
      </c>
      <c r="GN278" s="14">
        <f t="shared" si="130"/>
        <v>17</v>
      </c>
      <c r="GO278" s="14">
        <f t="shared" si="131"/>
        <v>1606021</v>
      </c>
      <c r="GP278" s="14" t="str">
        <f t="shared" si="116"/>
        <v>神器4-3 : 17级</v>
      </c>
      <c r="GQ278" s="14" t="s">
        <v>816</v>
      </c>
      <c r="GR278" s="14">
        <f t="shared" si="132"/>
        <v>8</v>
      </c>
      <c r="GS278" s="14" t="str">
        <f t="shared" si="133"/>
        <v>神器4-3</v>
      </c>
      <c r="GT278" s="14">
        <f t="shared" si="134"/>
        <v>3</v>
      </c>
    </row>
    <row r="279" spans="38:202" ht="16.5" x14ac:dyDescent="0.2">
      <c r="AL279" s="87">
        <v>7</v>
      </c>
      <c r="AM279" s="87">
        <v>3</v>
      </c>
      <c r="AN279" s="87">
        <v>60</v>
      </c>
      <c r="AO279" s="144">
        <f t="shared" si="125"/>
        <v>4460</v>
      </c>
      <c r="AP279" s="144" t="s">
        <v>1291</v>
      </c>
      <c r="AQ279" s="144" t="str">
        <f t="shared" si="126"/>
        <v>神器本-7-噩梦-1  神器4-4</v>
      </c>
      <c r="AR279" s="87">
        <v>18</v>
      </c>
      <c r="AS279" s="87" t="s">
        <v>338</v>
      </c>
      <c r="AT279" s="87">
        <v>414</v>
      </c>
      <c r="AU279" s="87">
        <v>1</v>
      </c>
      <c r="AV279" s="87">
        <v>1</v>
      </c>
      <c r="AW279" s="87">
        <f t="shared" si="135"/>
        <v>2</v>
      </c>
      <c r="AX279" s="14">
        <f t="shared" si="136"/>
        <v>4.1399999999999999E-2</v>
      </c>
      <c r="AY279" s="14">
        <f t="shared" si="137"/>
        <v>3.105</v>
      </c>
      <c r="GM279" s="91">
        <v>273</v>
      </c>
      <c r="GN279" s="14">
        <f t="shared" si="130"/>
        <v>17</v>
      </c>
      <c r="GO279" s="14">
        <f t="shared" si="131"/>
        <v>1606021</v>
      </c>
      <c r="GP279" s="14" t="str">
        <f t="shared" si="116"/>
        <v>神器4-3 : 18级</v>
      </c>
      <c r="GQ279" s="14" t="s">
        <v>816</v>
      </c>
      <c r="GR279" s="14">
        <f t="shared" si="132"/>
        <v>9</v>
      </c>
      <c r="GS279" s="14" t="str">
        <f t="shared" si="133"/>
        <v>神器4-3</v>
      </c>
      <c r="GT279" s="14">
        <f t="shared" si="134"/>
        <v>3</v>
      </c>
    </row>
    <row r="280" spans="38:202" ht="16.5" x14ac:dyDescent="0.2">
      <c r="AL280" s="87">
        <v>7</v>
      </c>
      <c r="AM280" s="87">
        <v>3</v>
      </c>
      <c r="AN280" s="87">
        <v>60</v>
      </c>
      <c r="AO280" s="144">
        <f t="shared" si="125"/>
        <v>4460</v>
      </c>
      <c r="AP280" s="144" t="s">
        <v>1291</v>
      </c>
      <c r="AQ280" s="144" t="str">
        <f t="shared" si="126"/>
        <v>神器本-7-噩梦-1  神器4-5</v>
      </c>
      <c r="AR280" s="87">
        <v>19</v>
      </c>
      <c r="AS280" s="87" t="s">
        <v>339</v>
      </c>
      <c r="AT280" s="87">
        <v>275</v>
      </c>
      <c r="AU280" s="87">
        <v>1</v>
      </c>
      <c r="AV280" s="87">
        <v>1</v>
      </c>
      <c r="AW280" s="87">
        <f t="shared" si="135"/>
        <v>3</v>
      </c>
      <c r="AX280" s="14">
        <f t="shared" si="136"/>
        <v>2.75E-2</v>
      </c>
      <c r="AY280" s="14">
        <f t="shared" si="137"/>
        <v>4.8125</v>
      </c>
      <c r="GM280" s="91">
        <v>274</v>
      </c>
      <c r="GN280" s="14">
        <f t="shared" si="130"/>
        <v>17</v>
      </c>
      <c r="GO280" s="14">
        <f t="shared" si="131"/>
        <v>1606021</v>
      </c>
      <c r="GP280" s="14" t="str">
        <f t="shared" ref="GP280:GP343" si="138">INDEX($T$8:$T$49,GN280)&amp;" : "&amp;AR280&amp;"级"</f>
        <v>神器4-3 : 19级</v>
      </c>
      <c r="GQ280" s="14" t="s">
        <v>816</v>
      </c>
      <c r="GR280" s="14">
        <f t="shared" si="132"/>
        <v>10</v>
      </c>
      <c r="GS280" s="14" t="str">
        <f t="shared" si="133"/>
        <v>神器4-3</v>
      </c>
      <c r="GT280" s="14">
        <f t="shared" si="134"/>
        <v>5</v>
      </c>
    </row>
    <row r="281" spans="38:202" ht="16.5" x14ac:dyDescent="0.2">
      <c r="AL281" s="87">
        <v>7</v>
      </c>
      <c r="AM281" s="87">
        <v>3</v>
      </c>
      <c r="AN281" s="87">
        <v>60</v>
      </c>
      <c r="AO281" s="144">
        <f t="shared" si="125"/>
        <v>4460</v>
      </c>
      <c r="AP281" s="144" t="s">
        <v>1291</v>
      </c>
      <c r="AQ281" s="144" t="str">
        <f t="shared" si="126"/>
        <v>神器本-7-噩梦-1  神器4-6</v>
      </c>
      <c r="AR281" s="87">
        <v>20</v>
      </c>
      <c r="AS281" s="87" t="s">
        <v>340</v>
      </c>
      <c r="AT281" s="87">
        <v>138</v>
      </c>
      <c r="AU281" s="87">
        <v>1</v>
      </c>
      <c r="AV281" s="87">
        <v>1</v>
      </c>
      <c r="AW281" s="87">
        <f t="shared" si="135"/>
        <v>4</v>
      </c>
      <c r="AX281" s="14">
        <f t="shared" si="136"/>
        <v>1.38E-2</v>
      </c>
      <c r="AY281" s="14">
        <f t="shared" si="137"/>
        <v>5.1749999999999998</v>
      </c>
      <c r="GM281" s="91">
        <v>275</v>
      </c>
      <c r="GN281" s="14">
        <f t="shared" si="130"/>
        <v>17</v>
      </c>
      <c r="GO281" s="14">
        <f t="shared" si="131"/>
        <v>1606021</v>
      </c>
      <c r="GP281" s="14" t="str">
        <f t="shared" si="138"/>
        <v>神器4-3 : 20级</v>
      </c>
      <c r="GQ281" s="14" t="s">
        <v>816</v>
      </c>
      <c r="GR281" s="14">
        <f t="shared" si="132"/>
        <v>11</v>
      </c>
      <c r="GS281" s="14" t="str">
        <f t="shared" si="133"/>
        <v>神器4-3</v>
      </c>
      <c r="GT281" s="14">
        <f t="shared" si="134"/>
        <v>5</v>
      </c>
    </row>
    <row r="282" spans="38:202" ht="16.5" x14ac:dyDescent="0.2">
      <c r="AL282" s="87">
        <v>7</v>
      </c>
      <c r="AM282" s="87">
        <v>3</v>
      </c>
      <c r="AN282" s="87">
        <v>60</v>
      </c>
      <c r="AO282" s="144">
        <f t="shared" si="125"/>
        <v>4460</v>
      </c>
      <c r="AP282" s="144" t="s">
        <v>1291</v>
      </c>
      <c r="AQ282" s="144" t="str">
        <f t="shared" si="126"/>
        <v>神器本-7-噩梦-1  神器5-1</v>
      </c>
      <c r="AR282" s="87">
        <v>21</v>
      </c>
      <c r="AS282" s="87" t="s">
        <v>341</v>
      </c>
      <c r="AT282" s="87">
        <v>700</v>
      </c>
      <c r="AU282" s="87">
        <v>1</v>
      </c>
      <c r="AV282" s="87">
        <v>1</v>
      </c>
      <c r="AW282" s="87">
        <f t="shared" si="135"/>
        <v>1</v>
      </c>
      <c r="AX282" s="14">
        <f t="shared" si="136"/>
        <v>7.0000000000000007E-2</v>
      </c>
      <c r="AY282" s="14">
        <f t="shared" si="137"/>
        <v>2.1</v>
      </c>
      <c r="GM282" s="91">
        <v>276</v>
      </c>
      <c r="GN282" s="14">
        <f t="shared" si="130"/>
        <v>17</v>
      </c>
      <c r="GO282" s="14">
        <f t="shared" si="131"/>
        <v>1606021</v>
      </c>
      <c r="GP282" s="14" t="str">
        <f t="shared" si="138"/>
        <v>神器4-3 : 21级</v>
      </c>
      <c r="GQ282" s="14" t="s">
        <v>816</v>
      </c>
      <c r="GR282" s="14">
        <f t="shared" si="132"/>
        <v>12</v>
      </c>
      <c r="GS282" s="14" t="str">
        <f t="shared" si="133"/>
        <v>神器4-3</v>
      </c>
      <c r="GT282" s="14">
        <f t="shared" si="134"/>
        <v>6</v>
      </c>
    </row>
    <row r="283" spans="38:202" ht="16.5" x14ac:dyDescent="0.2">
      <c r="AL283" s="87">
        <v>7</v>
      </c>
      <c r="AM283" s="87">
        <v>3</v>
      </c>
      <c r="AN283" s="87">
        <v>60</v>
      </c>
      <c r="AO283" s="144">
        <f t="shared" si="125"/>
        <v>4460</v>
      </c>
      <c r="AP283" s="144" t="s">
        <v>1291</v>
      </c>
      <c r="AQ283" s="144" t="str">
        <f t="shared" si="126"/>
        <v>神器本-7-噩梦-1  神器5-2</v>
      </c>
      <c r="AR283" s="87">
        <v>22</v>
      </c>
      <c r="AS283" s="87" t="s">
        <v>342</v>
      </c>
      <c r="AT283" s="87">
        <v>700</v>
      </c>
      <c r="AU283" s="87">
        <v>1</v>
      </c>
      <c r="AV283" s="87">
        <v>1</v>
      </c>
      <c r="AW283" s="87">
        <f t="shared" si="135"/>
        <v>1</v>
      </c>
      <c r="AX283" s="14">
        <f t="shared" si="136"/>
        <v>7.0000000000000007E-2</v>
      </c>
      <c r="AY283" s="14">
        <f t="shared" si="137"/>
        <v>2.1</v>
      </c>
      <c r="GM283" s="91">
        <v>277</v>
      </c>
      <c r="GN283" s="14">
        <f t="shared" si="130"/>
        <v>17</v>
      </c>
      <c r="GO283" s="14">
        <f t="shared" si="131"/>
        <v>1606021</v>
      </c>
      <c r="GP283" s="14" t="str">
        <f t="shared" si="138"/>
        <v>神器4-3 : 22级</v>
      </c>
      <c r="GQ283" s="14" t="s">
        <v>816</v>
      </c>
      <c r="GR283" s="14">
        <f t="shared" si="132"/>
        <v>13</v>
      </c>
      <c r="GS283" s="14" t="str">
        <f t="shared" si="133"/>
        <v>神器4-3</v>
      </c>
      <c r="GT283" s="14">
        <f t="shared" si="134"/>
        <v>7</v>
      </c>
    </row>
    <row r="284" spans="38:202" ht="16.5" x14ac:dyDescent="0.2">
      <c r="AL284" s="87">
        <v>7</v>
      </c>
      <c r="AM284" s="87">
        <v>3</v>
      </c>
      <c r="AN284" s="87">
        <v>60</v>
      </c>
      <c r="AO284" s="144">
        <f t="shared" si="125"/>
        <v>4460</v>
      </c>
      <c r="AP284" s="144" t="s">
        <v>1291</v>
      </c>
      <c r="AQ284" s="144" t="str">
        <f t="shared" si="126"/>
        <v>神器本-7-噩梦-1  神器5-3</v>
      </c>
      <c r="AR284" s="87">
        <v>23</v>
      </c>
      <c r="AS284" s="87" t="s">
        <v>343</v>
      </c>
      <c r="AT284" s="87">
        <v>414</v>
      </c>
      <c r="AU284" s="87">
        <v>1</v>
      </c>
      <c r="AV284" s="87">
        <v>1</v>
      </c>
      <c r="AW284" s="87">
        <f t="shared" si="135"/>
        <v>2</v>
      </c>
      <c r="AX284" s="14">
        <f t="shared" si="136"/>
        <v>4.1399999999999999E-2</v>
      </c>
      <c r="AY284" s="14">
        <f t="shared" si="137"/>
        <v>3.726</v>
      </c>
      <c r="GM284" s="91">
        <v>278</v>
      </c>
      <c r="GN284" s="14">
        <f t="shared" si="130"/>
        <v>17</v>
      </c>
      <c r="GO284" s="14">
        <f t="shared" si="131"/>
        <v>1606021</v>
      </c>
      <c r="GP284" s="14" t="str">
        <f t="shared" si="138"/>
        <v>神器4-3 : 23级</v>
      </c>
      <c r="GQ284" s="14" t="s">
        <v>816</v>
      </c>
      <c r="GR284" s="14">
        <f t="shared" si="132"/>
        <v>14</v>
      </c>
      <c r="GS284" s="14" t="str">
        <f t="shared" si="133"/>
        <v>神器4-3</v>
      </c>
      <c r="GT284" s="14">
        <f t="shared" si="134"/>
        <v>7</v>
      </c>
    </row>
    <row r="285" spans="38:202" ht="16.5" x14ac:dyDescent="0.2">
      <c r="AL285" s="87">
        <v>7</v>
      </c>
      <c r="AM285" s="87">
        <v>3</v>
      </c>
      <c r="AN285" s="87">
        <v>60</v>
      </c>
      <c r="AO285" s="144">
        <f t="shared" si="125"/>
        <v>4460</v>
      </c>
      <c r="AP285" s="144" t="s">
        <v>1291</v>
      </c>
      <c r="AQ285" s="144" t="str">
        <f t="shared" si="126"/>
        <v>神器本-7-噩梦-1  神器5-4</v>
      </c>
      <c r="AR285" s="87">
        <v>24</v>
      </c>
      <c r="AS285" s="87" t="s">
        <v>344</v>
      </c>
      <c r="AT285" s="87">
        <v>414</v>
      </c>
      <c r="AU285" s="87">
        <v>1</v>
      </c>
      <c r="AV285" s="87">
        <v>1</v>
      </c>
      <c r="AW285" s="87">
        <f t="shared" si="135"/>
        <v>2</v>
      </c>
      <c r="AX285" s="14">
        <f t="shared" si="136"/>
        <v>4.1399999999999999E-2</v>
      </c>
      <c r="AY285" s="14">
        <f t="shared" si="137"/>
        <v>3.726</v>
      </c>
      <c r="GM285" s="91">
        <v>279</v>
      </c>
      <c r="GN285" s="14">
        <f t="shared" si="130"/>
        <v>17</v>
      </c>
      <c r="GO285" s="14">
        <f t="shared" si="131"/>
        <v>1606021</v>
      </c>
      <c r="GP285" s="14" t="str">
        <f t="shared" si="138"/>
        <v>神器4-3 : 24级</v>
      </c>
      <c r="GQ285" s="14" t="s">
        <v>816</v>
      </c>
      <c r="GR285" s="14">
        <f t="shared" si="132"/>
        <v>15</v>
      </c>
      <c r="GS285" s="14" t="str">
        <f t="shared" si="133"/>
        <v>神器4-3</v>
      </c>
      <c r="GT285" s="14">
        <f t="shared" si="134"/>
        <v>7</v>
      </c>
    </row>
    <row r="286" spans="38:202" ht="16.5" x14ac:dyDescent="0.2">
      <c r="AL286" s="87">
        <v>7</v>
      </c>
      <c r="AM286" s="87">
        <v>3</v>
      </c>
      <c r="AN286" s="87">
        <v>60</v>
      </c>
      <c r="AO286" s="144">
        <f t="shared" si="125"/>
        <v>4460</v>
      </c>
      <c r="AP286" s="144" t="s">
        <v>1291</v>
      </c>
      <c r="AQ286" s="144" t="str">
        <f t="shared" si="126"/>
        <v>神器本-7-噩梦-1  神器5-5</v>
      </c>
      <c r="AR286" s="87">
        <v>25</v>
      </c>
      <c r="AS286" s="87" t="s">
        <v>345</v>
      </c>
      <c r="AT286" s="87">
        <v>275</v>
      </c>
      <c r="AU286" s="87">
        <v>1</v>
      </c>
      <c r="AV286" s="87">
        <v>1</v>
      </c>
      <c r="AW286" s="87">
        <f t="shared" si="135"/>
        <v>3</v>
      </c>
      <c r="AX286" s="14">
        <f t="shared" si="136"/>
        <v>2.75E-2</v>
      </c>
      <c r="AY286" s="14">
        <f t="shared" si="137"/>
        <v>5.7750000000000004</v>
      </c>
      <c r="GM286" s="91">
        <v>280</v>
      </c>
      <c r="GN286" s="14">
        <f t="shared" si="130"/>
        <v>17</v>
      </c>
      <c r="GO286" s="14">
        <f t="shared" si="131"/>
        <v>1606021</v>
      </c>
      <c r="GP286" s="14" t="str">
        <f t="shared" si="138"/>
        <v>神器4-3 : 25级</v>
      </c>
      <c r="GQ286" s="14" t="s">
        <v>816</v>
      </c>
      <c r="GR286" s="14">
        <f t="shared" si="132"/>
        <v>16</v>
      </c>
      <c r="GS286" s="14" t="str">
        <f t="shared" si="133"/>
        <v>神器4-3</v>
      </c>
      <c r="GT286" s="14">
        <f t="shared" si="134"/>
        <v>10</v>
      </c>
    </row>
    <row r="287" spans="38:202" ht="16.5" x14ac:dyDescent="0.2">
      <c r="AL287" s="87">
        <v>7</v>
      </c>
      <c r="AM287" s="87">
        <v>3</v>
      </c>
      <c r="AN287" s="87">
        <v>60</v>
      </c>
      <c r="AO287" s="144">
        <f t="shared" si="125"/>
        <v>4460</v>
      </c>
      <c r="AP287" s="144" t="s">
        <v>1291</v>
      </c>
      <c r="AQ287" s="144" t="str">
        <f t="shared" si="126"/>
        <v>神器本-7-噩梦-1  神器5-6</v>
      </c>
      <c r="AR287" s="87">
        <v>26</v>
      </c>
      <c r="AS287" s="87" t="s">
        <v>346</v>
      </c>
      <c r="AT287" s="87">
        <v>139</v>
      </c>
      <c r="AU287" s="87">
        <v>1</v>
      </c>
      <c r="AV287" s="87">
        <v>1</v>
      </c>
      <c r="AW287" s="87">
        <f t="shared" si="135"/>
        <v>4</v>
      </c>
      <c r="AX287" s="14">
        <f t="shared" si="136"/>
        <v>1.3899999999999999E-2</v>
      </c>
      <c r="AY287" s="14">
        <f t="shared" si="137"/>
        <v>6.2549999999999999</v>
      </c>
      <c r="GM287" s="91">
        <v>281</v>
      </c>
      <c r="GN287" s="14">
        <f t="shared" si="130"/>
        <v>17</v>
      </c>
      <c r="GO287" s="14">
        <f t="shared" si="131"/>
        <v>1606021</v>
      </c>
      <c r="GP287" s="14" t="str">
        <f t="shared" si="138"/>
        <v>神器4-3 : 26级</v>
      </c>
      <c r="GQ287" s="14" t="s">
        <v>816</v>
      </c>
      <c r="GR287" s="14">
        <f t="shared" si="132"/>
        <v>17</v>
      </c>
      <c r="GS287" s="14" t="str">
        <f t="shared" si="133"/>
        <v>神器4-3</v>
      </c>
      <c r="GT287" s="14">
        <f t="shared" si="134"/>
        <v>10</v>
      </c>
    </row>
    <row r="288" spans="38:202" ht="16.5" x14ac:dyDescent="0.2">
      <c r="AL288" s="87">
        <v>7</v>
      </c>
      <c r="AM288" s="87">
        <v>3</v>
      </c>
      <c r="AN288" s="87">
        <v>60</v>
      </c>
      <c r="AO288" s="144">
        <f t="shared" si="125"/>
        <v>4460</v>
      </c>
      <c r="AP288" s="144" t="s">
        <v>1291</v>
      </c>
      <c r="AQ288" s="144" t="str">
        <f t="shared" si="126"/>
        <v>神器本-7-噩梦-1  神器6-1</v>
      </c>
      <c r="AR288" s="87">
        <v>27</v>
      </c>
      <c r="AS288" s="87" t="s">
        <v>801</v>
      </c>
      <c r="AT288" s="87">
        <v>416</v>
      </c>
      <c r="AU288" s="87">
        <v>1</v>
      </c>
      <c r="AV288" s="87">
        <v>1</v>
      </c>
      <c r="AW288" s="87">
        <f t="shared" si="135"/>
        <v>2</v>
      </c>
      <c r="AX288" s="14">
        <f t="shared" si="136"/>
        <v>4.1599999999999998E-2</v>
      </c>
      <c r="AY288" s="14">
        <f t="shared" si="137"/>
        <v>4.992</v>
      </c>
      <c r="GM288" s="91">
        <v>282</v>
      </c>
      <c r="GN288" s="14">
        <f t="shared" si="130"/>
        <v>17</v>
      </c>
      <c r="GO288" s="14">
        <f t="shared" si="131"/>
        <v>1606021</v>
      </c>
      <c r="GP288" s="14" t="str">
        <f t="shared" si="138"/>
        <v>神器4-3 : 27级</v>
      </c>
      <c r="GQ288" s="14" t="s">
        <v>816</v>
      </c>
      <c r="GR288" s="14">
        <f t="shared" si="132"/>
        <v>18</v>
      </c>
      <c r="GS288" s="14" t="str">
        <f t="shared" si="133"/>
        <v>神器4-3</v>
      </c>
      <c r="GT288" s="14">
        <f t="shared" si="134"/>
        <v>10</v>
      </c>
    </row>
    <row r="289" spans="38:202" ht="16.5" x14ac:dyDescent="0.2">
      <c r="AL289" s="87">
        <v>7</v>
      </c>
      <c r="AM289" s="87">
        <v>3</v>
      </c>
      <c r="AN289" s="87">
        <v>60</v>
      </c>
      <c r="AO289" s="144">
        <f t="shared" si="125"/>
        <v>4460</v>
      </c>
      <c r="AP289" s="144" t="s">
        <v>1291</v>
      </c>
      <c r="AQ289" s="144" t="str">
        <f t="shared" si="126"/>
        <v>神器本-7-噩梦-1  神器6-2</v>
      </c>
      <c r="AR289" s="87">
        <v>28</v>
      </c>
      <c r="AS289" s="87" t="s">
        <v>348</v>
      </c>
      <c r="AT289" s="87">
        <v>416</v>
      </c>
      <c r="AU289" s="87">
        <v>1</v>
      </c>
      <c r="AV289" s="87">
        <v>1</v>
      </c>
      <c r="AW289" s="87">
        <f t="shared" si="135"/>
        <v>2</v>
      </c>
      <c r="AX289" s="14">
        <f t="shared" si="136"/>
        <v>4.1599999999999998E-2</v>
      </c>
      <c r="AY289" s="14">
        <f t="shared" si="137"/>
        <v>4.992</v>
      </c>
      <c r="GM289" s="91">
        <v>283</v>
      </c>
      <c r="GN289" s="14">
        <f t="shared" si="130"/>
        <v>18</v>
      </c>
      <c r="GO289" s="14">
        <f t="shared" si="131"/>
        <v>1606022</v>
      </c>
      <c r="GP289" s="14" t="str">
        <f t="shared" si="138"/>
        <v>神器4-4 : 28级</v>
      </c>
      <c r="GQ289" s="14" t="s">
        <v>816</v>
      </c>
      <c r="GR289" s="14">
        <f t="shared" si="132"/>
        <v>1</v>
      </c>
      <c r="GS289" s="14" t="str">
        <f t="shared" si="133"/>
        <v>神器4-4</v>
      </c>
      <c r="GT289" s="14">
        <f t="shared" si="134"/>
        <v>1</v>
      </c>
    </row>
    <row r="290" spans="38:202" ht="16.5" x14ac:dyDescent="0.2">
      <c r="AL290" s="87">
        <v>7</v>
      </c>
      <c r="AM290" s="87">
        <v>3</v>
      </c>
      <c r="AN290" s="87">
        <v>60</v>
      </c>
      <c r="AO290" s="144">
        <f t="shared" si="125"/>
        <v>4460</v>
      </c>
      <c r="AP290" s="144" t="s">
        <v>1291</v>
      </c>
      <c r="AQ290" s="144" t="str">
        <f t="shared" si="126"/>
        <v>神器本-7-噩梦-1  神器6-3</v>
      </c>
      <c r="AR290" s="87">
        <v>29</v>
      </c>
      <c r="AS290" s="87" t="s">
        <v>349</v>
      </c>
      <c r="AT290" s="87">
        <v>416</v>
      </c>
      <c r="AU290" s="87">
        <v>1</v>
      </c>
      <c r="AV290" s="87">
        <v>1</v>
      </c>
      <c r="AW290" s="87">
        <f t="shared" si="135"/>
        <v>2</v>
      </c>
      <c r="AX290" s="14">
        <f t="shared" si="136"/>
        <v>4.1599999999999998E-2</v>
      </c>
      <c r="AY290" s="14">
        <f t="shared" si="137"/>
        <v>4.992</v>
      </c>
      <c r="GM290" s="91">
        <v>284</v>
      </c>
      <c r="GN290" s="14">
        <f t="shared" si="130"/>
        <v>18</v>
      </c>
      <c r="GO290" s="14">
        <f t="shared" si="131"/>
        <v>1606022</v>
      </c>
      <c r="GP290" s="14" t="str">
        <f t="shared" si="138"/>
        <v>神器4-4 : 29级</v>
      </c>
      <c r="GQ290" s="14" t="s">
        <v>816</v>
      </c>
      <c r="GR290" s="14">
        <f t="shared" si="132"/>
        <v>2</v>
      </c>
      <c r="GS290" s="14" t="str">
        <f t="shared" si="133"/>
        <v>神器4-4</v>
      </c>
      <c r="GT290" s="14">
        <f t="shared" si="134"/>
        <v>1</v>
      </c>
    </row>
    <row r="291" spans="38:202" ht="16.5" x14ac:dyDescent="0.2">
      <c r="AL291" s="87">
        <v>7</v>
      </c>
      <c r="AM291" s="87">
        <v>3</v>
      </c>
      <c r="AN291" s="87">
        <v>60</v>
      </c>
      <c r="AO291" s="144">
        <f t="shared" si="125"/>
        <v>4460</v>
      </c>
      <c r="AP291" s="144" t="s">
        <v>1291</v>
      </c>
      <c r="AQ291" s="144" t="str">
        <f t="shared" si="126"/>
        <v>神器本-7-噩梦-1  神器6-4</v>
      </c>
      <c r="AR291" s="87">
        <v>30</v>
      </c>
      <c r="AS291" s="87" t="s">
        <v>350</v>
      </c>
      <c r="AT291" s="87">
        <v>276</v>
      </c>
      <c r="AU291" s="87">
        <v>1</v>
      </c>
      <c r="AV291" s="87">
        <v>1</v>
      </c>
      <c r="AW291" s="87">
        <f t="shared" si="135"/>
        <v>3</v>
      </c>
      <c r="AX291" s="14">
        <f t="shared" si="136"/>
        <v>2.76E-2</v>
      </c>
      <c r="AY291" s="14">
        <f t="shared" si="137"/>
        <v>7.7279999999999998</v>
      </c>
      <c r="GM291" s="91">
        <v>285</v>
      </c>
      <c r="GN291" s="14">
        <f t="shared" si="130"/>
        <v>18</v>
      </c>
      <c r="GO291" s="14">
        <f t="shared" si="131"/>
        <v>1606022</v>
      </c>
      <c r="GP291" s="14" t="str">
        <f t="shared" si="138"/>
        <v>神器4-4 : 30级</v>
      </c>
      <c r="GQ291" s="14" t="s">
        <v>816</v>
      </c>
      <c r="GR291" s="14">
        <f t="shared" si="132"/>
        <v>3</v>
      </c>
      <c r="GS291" s="14" t="str">
        <f t="shared" si="133"/>
        <v>神器4-4</v>
      </c>
      <c r="GT291" s="14">
        <f t="shared" si="134"/>
        <v>1</v>
      </c>
    </row>
    <row r="292" spans="38:202" ht="16.5" x14ac:dyDescent="0.2">
      <c r="AL292" s="87">
        <v>7</v>
      </c>
      <c r="AM292" s="87">
        <v>3</v>
      </c>
      <c r="AN292" s="87">
        <v>60</v>
      </c>
      <c r="AO292" s="144">
        <f t="shared" si="125"/>
        <v>4460</v>
      </c>
      <c r="AP292" s="144" t="s">
        <v>1291</v>
      </c>
      <c r="AQ292" s="144" t="str">
        <f t="shared" si="126"/>
        <v>神器本-7-噩梦-1  神器6-5</v>
      </c>
      <c r="AR292" s="87">
        <v>31</v>
      </c>
      <c r="AS292" s="87" t="s">
        <v>351</v>
      </c>
      <c r="AT292" s="87">
        <v>276</v>
      </c>
      <c r="AU292" s="87">
        <v>1</v>
      </c>
      <c r="AV292" s="87">
        <v>1</v>
      </c>
      <c r="AW292" s="87">
        <f t="shared" si="135"/>
        <v>3</v>
      </c>
      <c r="AX292" s="14">
        <f t="shared" si="136"/>
        <v>2.76E-2</v>
      </c>
      <c r="AY292" s="14">
        <f t="shared" si="137"/>
        <v>7.7279999999999998</v>
      </c>
      <c r="GM292" s="91">
        <v>286</v>
      </c>
      <c r="GN292" s="14">
        <f t="shared" si="130"/>
        <v>18</v>
      </c>
      <c r="GO292" s="14">
        <f t="shared" si="131"/>
        <v>1606022</v>
      </c>
      <c r="GP292" s="14" t="str">
        <f t="shared" si="138"/>
        <v>神器4-4 : 31级</v>
      </c>
      <c r="GQ292" s="14" t="s">
        <v>816</v>
      </c>
      <c r="GR292" s="14">
        <f t="shared" si="132"/>
        <v>4</v>
      </c>
      <c r="GS292" s="14" t="str">
        <f t="shared" si="133"/>
        <v>神器4-4</v>
      </c>
      <c r="GT292" s="14">
        <f t="shared" si="134"/>
        <v>2</v>
      </c>
    </row>
    <row r="293" spans="38:202" ht="16.5" x14ac:dyDescent="0.2">
      <c r="AL293" s="87">
        <v>7</v>
      </c>
      <c r="AM293" s="87">
        <v>3</v>
      </c>
      <c r="AN293" s="87">
        <v>60</v>
      </c>
      <c r="AO293" s="144">
        <f t="shared" si="125"/>
        <v>4460</v>
      </c>
      <c r="AP293" s="144" t="s">
        <v>1291</v>
      </c>
      <c r="AQ293" s="144" t="str">
        <f t="shared" si="126"/>
        <v>神器本-7-噩梦-1  神器6-6</v>
      </c>
      <c r="AR293" s="87">
        <v>32</v>
      </c>
      <c r="AS293" s="87" t="s">
        <v>352</v>
      </c>
      <c r="AT293" s="87">
        <v>276</v>
      </c>
      <c r="AU293" s="87">
        <v>1</v>
      </c>
      <c r="AV293" s="87">
        <v>1</v>
      </c>
      <c r="AW293" s="87">
        <f t="shared" si="135"/>
        <v>3</v>
      </c>
      <c r="AX293" s="14">
        <f t="shared" si="136"/>
        <v>2.76E-2</v>
      </c>
      <c r="AY293" s="14">
        <f t="shared" si="137"/>
        <v>7.7279999999999998</v>
      </c>
      <c r="GM293" s="91">
        <v>287</v>
      </c>
      <c r="GN293" s="14">
        <f t="shared" si="130"/>
        <v>18</v>
      </c>
      <c r="GO293" s="14">
        <f t="shared" si="131"/>
        <v>1606022</v>
      </c>
      <c r="GP293" s="14" t="str">
        <f t="shared" si="138"/>
        <v>神器4-4 : 32级</v>
      </c>
      <c r="GQ293" s="14" t="s">
        <v>816</v>
      </c>
      <c r="GR293" s="14">
        <f t="shared" si="132"/>
        <v>5</v>
      </c>
      <c r="GS293" s="14" t="str">
        <f t="shared" si="133"/>
        <v>神器4-4</v>
      </c>
      <c r="GT293" s="14">
        <f t="shared" si="134"/>
        <v>2</v>
      </c>
    </row>
    <row r="294" spans="38:202" ht="16.5" x14ac:dyDescent="0.2">
      <c r="AL294" s="87">
        <v>7</v>
      </c>
      <c r="AM294" s="87">
        <v>3</v>
      </c>
      <c r="AN294" s="87">
        <v>61</v>
      </c>
      <c r="AO294" s="144">
        <f t="shared" si="125"/>
        <v>4461</v>
      </c>
      <c r="AP294" s="144" t="s">
        <v>1292</v>
      </c>
      <c r="AQ294" s="144" t="str">
        <f t="shared" si="126"/>
        <v>神器本-7-噩梦-2  神器7-1</v>
      </c>
      <c r="AR294" s="87">
        <v>35</v>
      </c>
      <c r="AS294" s="87" t="s">
        <v>685</v>
      </c>
      <c r="AT294" s="87">
        <v>2000</v>
      </c>
      <c r="AU294" s="87">
        <v>1</v>
      </c>
      <c r="AV294" s="87">
        <v>2</v>
      </c>
      <c r="AW294" s="87">
        <f t="shared" ref="AW294:AW301" si="139">INDEX($AH$7:$AH$48,AR294)</f>
        <v>2</v>
      </c>
      <c r="AX294" s="14">
        <f t="shared" ref="AX294:AX301" si="140">(AU294+AV294)/2*AT294/10000</f>
        <v>0.3</v>
      </c>
      <c r="AY294" s="14">
        <f t="shared" ref="AY294:AY301" si="141">(AU294+AV294)/2*AT294/10000*INDEX($AI$7:$AI$48,AR294)</f>
        <v>45</v>
      </c>
      <c r="GM294" s="91">
        <v>288</v>
      </c>
      <c r="GN294" s="14">
        <f t="shared" si="130"/>
        <v>18</v>
      </c>
      <c r="GO294" s="14">
        <f t="shared" si="131"/>
        <v>1606022</v>
      </c>
      <c r="GP294" s="14" t="str">
        <f t="shared" si="138"/>
        <v>神器4-4 : 35级</v>
      </c>
      <c r="GQ294" s="14" t="s">
        <v>816</v>
      </c>
      <c r="GR294" s="14">
        <f t="shared" si="132"/>
        <v>6</v>
      </c>
      <c r="GS294" s="14" t="str">
        <f t="shared" si="133"/>
        <v>神器4-4</v>
      </c>
      <c r="GT294" s="14">
        <f t="shared" si="134"/>
        <v>2</v>
      </c>
    </row>
    <row r="295" spans="38:202" ht="16.5" x14ac:dyDescent="0.2">
      <c r="AL295" s="87">
        <v>7</v>
      </c>
      <c r="AM295" s="87">
        <v>3</v>
      </c>
      <c r="AN295" s="87">
        <v>61</v>
      </c>
      <c r="AO295" s="144">
        <f t="shared" si="125"/>
        <v>4461</v>
      </c>
      <c r="AP295" s="144" t="s">
        <v>1292</v>
      </c>
      <c r="AQ295" s="144" t="str">
        <f t="shared" si="126"/>
        <v>神器本-7-噩梦-2  神器7-2</v>
      </c>
      <c r="AR295" s="87">
        <v>36</v>
      </c>
      <c r="AS295" s="87" t="s">
        <v>780</v>
      </c>
      <c r="AT295" s="87">
        <v>2000</v>
      </c>
      <c r="AU295" s="87">
        <v>1</v>
      </c>
      <c r="AV295" s="87">
        <v>2</v>
      </c>
      <c r="AW295" s="87">
        <f t="shared" si="139"/>
        <v>2</v>
      </c>
      <c r="AX295" s="14">
        <f t="shared" si="140"/>
        <v>0.3</v>
      </c>
      <c r="AY295" s="14">
        <f t="shared" si="141"/>
        <v>45</v>
      </c>
      <c r="GM295" s="91">
        <v>289</v>
      </c>
      <c r="GN295" s="14">
        <f t="shared" si="130"/>
        <v>18</v>
      </c>
      <c r="GO295" s="14">
        <f t="shared" si="131"/>
        <v>1606022</v>
      </c>
      <c r="GP295" s="14" t="str">
        <f t="shared" si="138"/>
        <v>神器4-4 : 36级</v>
      </c>
      <c r="GQ295" s="14" t="s">
        <v>816</v>
      </c>
      <c r="GR295" s="14">
        <f t="shared" si="132"/>
        <v>7</v>
      </c>
      <c r="GS295" s="14" t="str">
        <f t="shared" si="133"/>
        <v>神器4-4</v>
      </c>
      <c r="GT295" s="14">
        <f t="shared" si="134"/>
        <v>3</v>
      </c>
    </row>
    <row r="296" spans="38:202" ht="16.5" x14ac:dyDescent="0.2">
      <c r="AL296" s="87">
        <v>7</v>
      </c>
      <c r="AM296" s="87">
        <v>3</v>
      </c>
      <c r="AN296" s="87">
        <v>61</v>
      </c>
      <c r="AO296" s="144">
        <f t="shared" si="125"/>
        <v>4461</v>
      </c>
      <c r="AP296" s="144" t="s">
        <v>1292</v>
      </c>
      <c r="AQ296" s="144" t="str">
        <f t="shared" si="126"/>
        <v>神器本-7-噩梦-2  神器7-3</v>
      </c>
      <c r="AR296" s="87">
        <v>37</v>
      </c>
      <c r="AS296" s="87" t="s">
        <v>781</v>
      </c>
      <c r="AT296" s="87">
        <v>2000</v>
      </c>
      <c r="AU296" s="87">
        <v>1</v>
      </c>
      <c r="AV296" s="87">
        <v>2</v>
      </c>
      <c r="AW296" s="87">
        <f t="shared" si="139"/>
        <v>2</v>
      </c>
      <c r="AX296" s="14">
        <f t="shared" si="140"/>
        <v>0.3</v>
      </c>
      <c r="AY296" s="14">
        <f t="shared" si="141"/>
        <v>45</v>
      </c>
      <c r="GM296" s="91">
        <v>290</v>
      </c>
      <c r="GN296" s="14">
        <f t="shared" si="130"/>
        <v>18</v>
      </c>
      <c r="GO296" s="14">
        <f t="shared" si="131"/>
        <v>1606022</v>
      </c>
      <c r="GP296" s="14" t="str">
        <f t="shared" si="138"/>
        <v>神器4-4 : 37级</v>
      </c>
      <c r="GQ296" s="14" t="s">
        <v>816</v>
      </c>
      <c r="GR296" s="14">
        <f t="shared" si="132"/>
        <v>8</v>
      </c>
      <c r="GS296" s="14" t="str">
        <f t="shared" si="133"/>
        <v>神器4-4</v>
      </c>
      <c r="GT296" s="14">
        <f t="shared" si="134"/>
        <v>3</v>
      </c>
    </row>
    <row r="297" spans="38:202" ht="16.5" x14ac:dyDescent="0.2">
      <c r="AL297" s="87">
        <v>7</v>
      </c>
      <c r="AM297" s="87">
        <v>3</v>
      </c>
      <c r="AN297" s="87">
        <v>62</v>
      </c>
      <c r="AO297" s="144">
        <f t="shared" si="125"/>
        <v>4462</v>
      </c>
      <c r="AP297" s="144" t="s">
        <v>1293</v>
      </c>
      <c r="AQ297" s="144" t="str">
        <f t="shared" si="126"/>
        <v>神器本-7-噩梦-3  神器7-4</v>
      </c>
      <c r="AR297" s="87">
        <v>38</v>
      </c>
      <c r="AS297" s="87" t="s">
        <v>782</v>
      </c>
      <c r="AT297" s="87">
        <v>1000</v>
      </c>
      <c r="AU297" s="87">
        <v>1</v>
      </c>
      <c r="AV297" s="87">
        <v>1</v>
      </c>
      <c r="AW297" s="87">
        <f t="shared" si="139"/>
        <v>3</v>
      </c>
      <c r="AX297" s="14">
        <f t="shared" si="140"/>
        <v>0.1</v>
      </c>
      <c r="AY297" s="14">
        <f t="shared" si="141"/>
        <v>35</v>
      </c>
      <c r="GM297" s="91">
        <v>291</v>
      </c>
      <c r="GN297" s="14">
        <f t="shared" si="130"/>
        <v>18</v>
      </c>
      <c r="GO297" s="14">
        <f t="shared" si="131"/>
        <v>1606022</v>
      </c>
      <c r="GP297" s="14" t="str">
        <f t="shared" si="138"/>
        <v>神器4-4 : 38级</v>
      </c>
      <c r="GQ297" s="14" t="s">
        <v>816</v>
      </c>
      <c r="GR297" s="14">
        <f t="shared" si="132"/>
        <v>9</v>
      </c>
      <c r="GS297" s="14" t="str">
        <f t="shared" si="133"/>
        <v>神器4-4</v>
      </c>
      <c r="GT297" s="14">
        <f t="shared" si="134"/>
        <v>3</v>
      </c>
    </row>
    <row r="298" spans="38:202" ht="16.5" x14ac:dyDescent="0.2">
      <c r="AL298" s="87">
        <v>7</v>
      </c>
      <c r="AM298" s="87">
        <v>3</v>
      </c>
      <c r="AN298" s="87">
        <v>62</v>
      </c>
      <c r="AO298" s="144">
        <f t="shared" si="125"/>
        <v>4462</v>
      </c>
      <c r="AP298" s="144" t="s">
        <v>1293</v>
      </c>
      <c r="AQ298" s="144" t="str">
        <f t="shared" si="126"/>
        <v>神器本-7-噩梦-3  神器7-5</v>
      </c>
      <c r="AR298" s="87">
        <v>39</v>
      </c>
      <c r="AS298" s="87" t="s">
        <v>783</v>
      </c>
      <c r="AT298" s="87">
        <v>1000</v>
      </c>
      <c r="AU298" s="87">
        <v>1</v>
      </c>
      <c r="AV298" s="87">
        <v>1</v>
      </c>
      <c r="AW298" s="87">
        <f t="shared" si="139"/>
        <v>3</v>
      </c>
      <c r="AX298" s="14">
        <f t="shared" si="140"/>
        <v>0.1</v>
      </c>
      <c r="AY298" s="14">
        <f t="shared" si="141"/>
        <v>35</v>
      </c>
      <c r="GM298" s="91">
        <v>292</v>
      </c>
      <c r="GN298" s="14">
        <f t="shared" si="130"/>
        <v>18</v>
      </c>
      <c r="GO298" s="14">
        <f t="shared" si="131"/>
        <v>1606022</v>
      </c>
      <c r="GP298" s="14" t="str">
        <f t="shared" si="138"/>
        <v>神器4-4 : 39级</v>
      </c>
      <c r="GQ298" s="14" t="s">
        <v>816</v>
      </c>
      <c r="GR298" s="14">
        <f t="shared" si="132"/>
        <v>10</v>
      </c>
      <c r="GS298" s="14" t="str">
        <f t="shared" si="133"/>
        <v>神器4-4</v>
      </c>
      <c r="GT298" s="14">
        <f t="shared" si="134"/>
        <v>5</v>
      </c>
    </row>
    <row r="299" spans="38:202" ht="16.5" x14ac:dyDescent="0.2">
      <c r="AL299" s="87">
        <v>7</v>
      </c>
      <c r="AM299" s="87">
        <v>3</v>
      </c>
      <c r="AN299" s="87">
        <v>62</v>
      </c>
      <c r="AO299" s="144">
        <f t="shared" si="125"/>
        <v>4462</v>
      </c>
      <c r="AP299" s="144" t="s">
        <v>1293</v>
      </c>
      <c r="AQ299" s="144" t="str">
        <f t="shared" si="126"/>
        <v>神器本-7-噩梦-3  神器7-6</v>
      </c>
      <c r="AR299" s="87">
        <v>40</v>
      </c>
      <c r="AS299" s="87" t="s">
        <v>784</v>
      </c>
      <c r="AT299" s="87">
        <v>1000</v>
      </c>
      <c r="AU299" s="87">
        <v>1</v>
      </c>
      <c r="AV299" s="87">
        <v>1</v>
      </c>
      <c r="AW299" s="87">
        <f t="shared" si="139"/>
        <v>3</v>
      </c>
      <c r="AX299" s="14">
        <f t="shared" si="140"/>
        <v>0.1</v>
      </c>
      <c r="AY299" s="14">
        <f t="shared" si="141"/>
        <v>35</v>
      </c>
      <c r="GM299" s="91">
        <v>293</v>
      </c>
      <c r="GN299" s="14">
        <f t="shared" si="130"/>
        <v>18</v>
      </c>
      <c r="GO299" s="14">
        <f t="shared" si="131"/>
        <v>1606022</v>
      </c>
      <c r="GP299" s="14" t="str">
        <f t="shared" si="138"/>
        <v>神器4-4 : 40级</v>
      </c>
      <c r="GQ299" s="14" t="s">
        <v>816</v>
      </c>
      <c r="GR299" s="14">
        <f t="shared" si="132"/>
        <v>11</v>
      </c>
      <c r="GS299" s="14" t="str">
        <f t="shared" si="133"/>
        <v>神器4-4</v>
      </c>
      <c r="GT299" s="14">
        <f t="shared" si="134"/>
        <v>5</v>
      </c>
    </row>
    <row r="300" spans="38:202" ht="16.5" x14ac:dyDescent="0.2">
      <c r="AL300" s="87">
        <v>7</v>
      </c>
      <c r="AM300" s="87">
        <v>3</v>
      </c>
      <c r="AN300" s="87">
        <v>63</v>
      </c>
      <c r="AO300" s="144">
        <f t="shared" si="125"/>
        <v>4463</v>
      </c>
      <c r="AP300" s="144" t="s">
        <v>1294</v>
      </c>
      <c r="AQ300" s="144" t="str">
        <f t="shared" si="126"/>
        <v>神器本-7-噩梦-4  神器7-7</v>
      </c>
      <c r="AR300" s="87">
        <v>41</v>
      </c>
      <c r="AS300" s="87" t="s">
        <v>785</v>
      </c>
      <c r="AT300" s="87">
        <v>750</v>
      </c>
      <c r="AU300" s="87">
        <v>1</v>
      </c>
      <c r="AV300" s="87">
        <v>1</v>
      </c>
      <c r="AW300" s="87">
        <f t="shared" si="139"/>
        <v>4</v>
      </c>
      <c r="AX300" s="14">
        <f t="shared" si="140"/>
        <v>7.4999999999999997E-2</v>
      </c>
      <c r="AY300" s="14">
        <f t="shared" si="141"/>
        <v>56.25</v>
      </c>
      <c r="GM300" s="91">
        <v>294</v>
      </c>
      <c r="GN300" s="14">
        <f t="shared" si="130"/>
        <v>18</v>
      </c>
      <c r="GO300" s="14">
        <f t="shared" si="131"/>
        <v>1606022</v>
      </c>
      <c r="GP300" s="14" t="str">
        <f t="shared" si="138"/>
        <v>神器4-4 : 41级</v>
      </c>
      <c r="GQ300" s="14" t="s">
        <v>816</v>
      </c>
      <c r="GR300" s="14">
        <f t="shared" si="132"/>
        <v>12</v>
      </c>
      <c r="GS300" s="14" t="str">
        <f t="shared" si="133"/>
        <v>神器4-4</v>
      </c>
      <c r="GT300" s="14">
        <f t="shared" si="134"/>
        <v>6</v>
      </c>
    </row>
    <row r="301" spans="38:202" ht="16.5" x14ac:dyDescent="0.2">
      <c r="AL301" s="87">
        <v>7</v>
      </c>
      <c r="AM301" s="87">
        <v>3</v>
      </c>
      <c r="AN301" s="87">
        <v>63</v>
      </c>
      <c r="AO301" s="144">
        <f t="shared" si="125"/>
        <v>4463</v>
      </c>
      <c r="AP301" s="144" t="s">
        <v>1294</v>
      </c>
      <c r="AQ301" s="144" t="str">
        <f t="shared" si="126"/>
        <v>神器本-7-噩梦-4  神器7-8</v>
      </c>
      <c r="AR301" s="87">
        <v>42</v>
      </c>
      <c r="AS301" s="87" t="s">
        <v>786</v>
      </c>
      <c r="AT301" s="87">
        <v>750</v>
      </c>
      <c r="AU301" s="87">
        <v>1</v>
      </c>
      <c r="AV301" s="87">
        <v>1</v>
      </c>
      <c r="AW301" s="87">
        <f t="shared" si="139"/>
        <v>4</v>
      </c>
      <c r="AX301" s="14">
        <f t="shared" si="140"/>
        <v>7.4999999999999997E-2</v>
      </c>
      <c r="AY301" s="14">
        <f t="shared" si="141"/>
        <v>56.25</v>
      </c>
      <c r="GM301" s="91">
        <v>295</v>
      </c>
      <c r="GN301" s="14">
        <f t="shared" si="130"/>
        <v>18</v>
      </c>
      <c r="GO301" s="14">
        <f t="shared" si="131"/>
        <v>1606022</v>
      </c>
      <c r="GP301" s="14" t="str">
        <f t="shared" si="138"/>
        <v>神器4-4 : 42级</v>
      </c>
      <c r="GQ301" s="14" t="s">
        <v>816</v>
      </c>
      <c r="GR301" s="14">
        <f t="shared" si="132"/>
        <v>13</v>
      </c>
      <c r="GS301" s="14" t="str">
        <f t="shared" si="133"/>
        <v>神器4-4</v>
      </c>
      <c r="GT301" s="14">
        <f t="shared" si="134"/>
        <v>7</v>
      </c>
    </row>
    <row r="302" spans="38:202" ht="16.5" x14ac:dyDescent="0.2">
      <c r="GM302" s="91">
        <v>296</v>
      </c>
      <c r="GN302" s="14">
        <f t="shared" si="130"/>
        <v>18</v>
      </c>
      <c r="GO302" s="14">
        <f t="shared" si="131"/>
        <v>1606022</v>
      </c>
      <c r="GP302" s="14" t="str">
        <f t="shared" si="138"/>
        <v>神器4-4 : 级</v>
      </c>
      <c r="GQ302" s="14" t="s">
        <v>816</v>
      </c>
      <c r="GR302" s="14">
        <f t="shared" si="132"/>
        <v>14</v>
      </c>
      <c r="GS302" s="14" t="str">
        <f t="shared" si="133"/>
        <v>神器4-4</v>
      </c>
      <c r="GT302" s="14">
        <f t="shared" si="134"/>
        <v>7</v>
      </c>
    </row>
    <row r="303" spans="38:202" ht="16.5" x14ac:dyDescent="0.2">
      <c r="GM303" s="91">
        <v>297</v>
      </c>
      <c r="GN303" s="14">
        <f t="shared" si="130"/>
        <v>18</v>
      </c>
      <c r="GO303" s="14">
        <f t="shared" si="131"/>
        <v>1606022</v>
      </c>
      <c r="GP303" s="14" t="str">
        <f t="shared" si="138"/>
        <v>神器4-4 : 级</v>
      </c>
      <c r="GQ303" s="14" t="s">
        <v>816</v>
      </c>
      <c r="GR303" s="14">
        <f t="shared" si="132"/>
        <v>15</v>
      </c>
      <c r="GS303" s="14" t="str">
        <f t="shared" si="133"/>
        <v>神器4-4</v>
      </c>
      <c r="GT303" s="14">
        <f t="shared" si="134"/>
        <v>7</v>
      </c>
    </row>
    <row r="304" spans="38:202" ht="16.5" x14ac:dyDescent="0.2">
      <c r="GM304" s="91">
        <v>298</v>
      </c>
      <c r="GN304" s="14">
        <f t="shared" si="130"/>
        <v>18</v>
      </c>
      <c r="GO304" s="14">
        <f t="shared" si="131"/>
        <v>1606022</v>
      </c>
      <c r="GP304" s="14" t="str">
        <f t="shared" si="138"/>
        <v>神器4-4 : 级</v>
      </c>
      <c r="GQ304" s="14" t="s">
        <v>816</v>
      </c>
      <c r="GR304" s="14">
        <f t="shared" si="132"/>
        <v>16</v>
      </c>
      <c r="GS304" s="14" t="str">
        <f t="shared" si="133"/>
        <v>神器4-4</v>
      </c>
      <c r="GT304" s="14">
        <f t="shared" si="134"/>
        <v>10</v>
      </c>
    </row>
    <row r="305" spans="195:202" ht="16.5" x14ac:dyDescent="0.2">
      <c r="GM305" s="91">
        <v>299</v>
      </c>
      <c r="GN305" s="14">
        <f t="shared" si="130"/>
        <v>18</v>
      </c>
      <c r="GO305" s="14">
        <f t="shared" si="131"/>
        <v>1606022</v>
      </c>
      <c r="GP305" s="14" t="str">
        <f t="shared" si="138"/>
        <v>神器4-4 : 级</v>
      </c>
      <c r="GQ305" s="14" t="s">
        <v>816</v>
      </c>
      <c r="GR305" s="14">
        <f t="shared" si="132"/>
        <v>17</v>
      </c>
      <c r="GS305" s="14" t="str">
        <f t="shared" si="133"/>
        <v>神器4-4</v>
      </c>
      <c r="GT305" s="14">
        <f t="shared" si="134"/>
        <v>10</v>
      </c>
    </row>
    <row r="306" spans="195:202" ht="16.5" x14ac:dyDescent="0.2">
      <c r="GM306" s="91">
        <v>300</v>
      </c>
      <c r="GN306" s="14">
        <f t="shared" si="130"/>
        <v>18</v>
      </c>
      <c r="GO306" s="14">
        <f t="shared" si="131"/>
        <v>1606022</v>
      </c>
      <c r="GP306" s="14" t="str">
        <f t="shared" si="138"/>
        <v>神器4-4 : 级</v>
      </c>
      <c r="GQ306" s="14" t="s">
        <v>816</v>
      </c>
      <c r="GR306" s="14">
        <f t="shared" si="132"/>
        <v>18</v>
      </c>
      <c r="GS306" s="14" t="str">
        <f t="shared" si="133"/>
        <v>神器4-4</v>
      </c>
      <c r="GT306" s="14">
        <f t="shared" si="134"/>
        <v>10</v>
      </c>
    </row>
    <row r="307" spans="195:202" ht="16.5" x14ac:dyDescent="0.2">
      <c r="GM307" s="91">
        <v>301</v>
      </c>
      <c r="GN307" s="14">
        <f t="shared" si="130"/>
        <v>19</v>
      </c>
      <c r="GO307" s="14">
        <f t="shared" si="131"/>
        <v>1606023</v>
      </c>
      <c r="GP307" s="14" t="str">
        <f t="shared" si="138"/>
        <v>神器4-5 : 级</v>
      </c>
      <c r="GQ307" s="14" t="s">
        <v>816</v>
      </c>
      <c r="GR307" s="14">
        <f t="shared" si="132"/>
        <v>1</v>
      </c>
      <c r="GS307" s="14" t="str">
        <f t="shared" si="133"/>
        <v>神器4-5</v>
      </c>
      <c r="GT307" s="14">
        <f t="shared" si="134"/>
        <v>1</v>
      </c>
    </row>
    <row r="308" spans="195:202" ht="16.5" x14ac:dyDescent="0.2">
      <c r="GM308" s="91">
        <v>302</v>
      </c>
      <c r="GN308" s="14">
        <f t="shared" si="130"/>
        <v>19</v>
      </c>
      <c r="GO308" s="14">
        <f t="shared" si="131"/>
        <v>1606023</v>
      </c>
      <c r="GP308" s="14" t="str">
        <f t="shared" si="138"/>
        <v>神器4-5 : 级</v>
      </c>
      <c r="GQ308" s="14" t="s">
        <v>816</v>
      </c>
      <c r="GR308" s="14">
        <f t="shared" si="132"/>
        <v>2</v>
      </c>
      <c r="GS308" s="14" t="str">
        <f t="shared" si="133"/>
        <v>神器4-5</v>
      </c>
      <c r="GT308" s="14">
        <f t="shared" si="134"/>
        <v>1</v>
      </c>
    </row>
    <row r="309" spans="195:202" ht="16.5" x14ac:dyDescent="0.2">
      <c r="GM309" s="91">
        <v>303</v>
      </c>
      <c r="GN309" s="14">
        <f t="shared" si="130"/>
        <v>19</v>
      </c>
      <c r="GO309" s="14">
        <f t="shared" si="131"/>
        <v>1606023</v>
      </c>
      <c r="GP309" s="14" t="str">
        <f t="shared" si="138"/>
        <v>神器4-5 : 级</v>
      </c>
      <c r="GQ309" s="14" t="s">
        <v>816</v>
      </c>
      <c r="GR309" s="14">
        <f t="shared" si="132"/>
        <v>3</v>
      </c>
      <c r="GS309" s="14" t="str">
        <f t="shared" si="133"/>
        <v>神器4-5</v>
      </c>
      <c r="GT309" s="14">
        <f t="shared" si="134"/>
        <v>1</v>
      </c>
    </row>
    <row r="310" spans="195:202" ht="16.5" x14ac:dyDescent="0.2">
      <c r="GM310" s="91">
        <v>304</v>
      </c>
      <c r="GN310" s="14">
        <f t="shared" si="130"/>
        <v>19</v>
      </c>
      <c r="GO310" s="14">
        <f t="shared" si="131"/>
        <v>1606023</v>
      </c>
      <c r="GP310" s="14" t="str">
        <f t="shared" si="138"/>
        <v>神器4-5 : 级</v>
      </c>
      <c r="GQ310" s="14" t="s">
        <v>816</v>
      </c>
      <c r="GR310" s="14">
        <f t="shared" si="132"/>
        <v>4</v>
      </c>
      <c r="GS310" s="14" t="str">
        <f t="shared" si="133"/>
        <v>神器4-5</v>
      </c>
      <c r="GT310" s="14">
        <f t="shared" si="134"/>
        <v>2</v>
      </c>
    </row>
    <row r="311" spans="195:202" ht="16.5" x14ac:dyDescent="0.2">
      <c r="GM311" s="91">
        <v>305</v>
      </c>
      <c r="GN311" s="14">
        <f t="shared" si="130"/>
        <v>19</v>
      </c>
      <c r="GO311" s="14">
        <f t="shared" si="131"/>
        <v>1606023</v>
      </c>
      <c r="GP311" s="14" t="str">
        <f t="shared" si="138"/>
        <v>神器4-5 : 级</v>
      </c>
      <c r="GQ311" s="14" t="s">
        <v>816</v>
      </c>
      <c r="GR311" s="14">
        <f t="shared" si="132"/>
        <v>5</v>
      </c>
      <c r="GS311" s="14" t="str">
        <f t="shared" si="133"/>
        <v>神器4-5</v>
      </c>
      <c r="GT311" s="14">
        <f t="shared" si="134"/>
        <v>2</v>
      </c>
    </row>
    <row r="312" spans="195:202" ht="16.5" x14ac:dyDescent="0.2">
      <c r="GM312" s="91">
        <v>306</v>
      </c>
      <c r="GN312" s="14">
        <f t="shared" si="130"/>
        <v>19</v>
      </c>
      <c r="GO312" s="14">
        <f t="shared" si="131"/>
        <v>1606023</v>
      </c>
      <c r="GP312" s="14" t="str">
        <f t="shared" si="138"/>
        <v>神器4-5 : 级</v>
      </c>
      <c r="GQ312" s="14" t="s">
        <v>816</v>
      </c>
      <c r="GR312" s="14">
        <f t="shared" si="132"/>
        <v>6</v>
      </c>
      <c r="GS312" s="14" t="str">
        <f t="shared" si="133"/>
        <v>神器4-5</v>
      </c>
      <c r="GT312" s="14">
        <f t="shared" si="134"/>
        <v>2</v>
      </c>
    </row>
    <row r="313" spans="195:202" ht="16.5" x14ac:dyDescent="0.2">
      <c r="GM313" s="91">
        <v>307</v>
      </c>
      <c r="GN313" s="14">
        <f t="shared" si="130"/>
        <v>19</v>
      </c>
      <c r="GO313" s="14">
        <f t="shared" si="131"/>
        <v>1606023</v>
      </c>
      <c r="GP313" s="14" t="str">
        <f t="shared" si="138"/>
        <v>神器4-5 : 级</v>
      </c>
      <c r="GQ313" s="14" t="s">
        <v>816</v>
      </c>
      <c r="GR313" s="14">
        <f t="shared" si="132"/>
        <v>7</v>
      </c>
      <c r="GS313" s="14" t="str">
        <f t="shared" si="133"/>
        <v>神器4-5</v>
      </c>
      <c r="GT313" s="14">
        <f t="shared" si="134"/>
        <v>3</v>
      </c>
    </row>
    <row r="314" spans="195:202" ht="16.5" x14ac:dyDescent="0.2">
      <c r="GM314" s="91">
        <v>308</v>
      </c>
      <c r="GN314" s="14">
        <f t="shared" si="130"/>
        <v>19</v>
      </c>
      <c r="GO314" s="14">
        <f t="shared" si="131"/>
        <v>1606023</v>
      </c>
      <c r="GP314" s="14" t="str">
        <f t="shared" si="138"/>
        <v>神器4-5 : 级</v>
      </c>
      <c r="GQ314" s="14" t="s">
        <v>816</v>
      </c>
      <c r="GR314" s="14">
        <f t="shared" si="132"/>
        <v>8</v>
      </c>
      <c r="GS314" s="14" t="str">
        <f t="shared" si="133"/>
        <v>神器4-5</v>
      </c>
      <c r="GT314" s="14">
        <f t="shared" si="134"/>
        <v>3</v>
      </c>
    </row>
    <row r="315" spans="195:202" ht="16.5" x14ac:dyDescent="0.2">
      <c r="GM315" s="91">
        <v>309</v>
      </c>
      <c r="GN315" s="14">
        <f t="shared" si="130"/>
        <v>19</v>
      </c>
      <c r="GO315" s="14">
        <f t="shared" si="131"/>
        <v>1606023</v>
      </c>
      <c r="GP315" s="14" t="str">
        <f t="shared" si="138"/>
        <v>神器4-5 : 级</v>
      </c>
      <c r="GQ315" s="14" t="s">
        <v>816</v>
      </c>
      <c r="GR315" s="14">
        <f t="shared" si="132"/>
        <v>9</v>
      </c>
      <c r="GS315" s="14" t="str">
        <f t="shared" si="133"/>
        <v>神器4-5</v>
      </c>
      <c r="GT315" s="14">
        <f t="shared" si="134"/>
        <v>3</v>
      </c>
    </row>
    <row r="316" spans="195:202" ht="16.5" x14ac:dyDescent="0.2">
      <c r="GM316" s="91">
        <v>310</v>
      </c>
      <c r="GN316" s="14">
        <f t="shared" si="130"/>
        <v>19</v>
      </c>
      <c r="GO316" s="14">
        <f t="shared" si="131"/>
        <v>1606023</v>
      </c>
      <c r="GP316" s="14" t="str">
        <f t="shared" si="138"/>
        <v>神器4-5 : 级</v>
      </c>
      <c r="GQ316" s="14" t="s">
        <v>816</v>
      </c>
      <c r="GR316" s="14">
        <f t="shared" si="132"/>
        <v>10</v>
      </c>
      <c r="GS316" s="14" t="str">
        <f t="shared" si="133"/>
        <v>神器4-5</v>
      </c>
      <c r="GT316" s="14">
        <f t="shared" si="134"/>
        <v>5</v>
      </c>
    </row>
    <row r="317" spans="195:202" ht="16.5" x14ac:dyDescent="0.2">
      <c r="GM317" s="91">
        <v>311</v>
      </c>
      <c r="GN317" s="14">
        <f t="shared" si="130"/>
        <v>19</v>
      </c>
      <c r="GO317" s="14">
        <f t="shared" si="131"/>
        <v>1606023</v>
      </c>
      <c r="GP317" s="14" t="str">
        <f t="shared" si="138"/>
        <v>神器4-5 : 级</v>
      </c>
      <c r="GQ317" s="14" t="s">
        <v>816</v>
      </c>
      <c r="GR317" s="14">
        <f t="shared" si="132"/>
        <v>11</v>
      </c>
      <c r="GS317" s="14" t="str">
        <f t="shared" si="133"/>
        <v>神器4-5</v>
      </c>
      <c r="GT317" s="14">
        <f t="shared" si="134"/>
        <v>5</v>
      </c>
    </row>
    <row r="318" spans="195:202" ht="16.5" x14ac:dyDescent="0.2">
      <c r="GM318" s="91">
        <v>312</v>
      </c>
      <c r="GN318" s="14">
        <f t="shared" si="130"/>
        <v>19</v>
      </c>
      <c r="GO318" s="14">
        <f t="shared" si="131"/>
        <v>1606023</v>
      </c>
      <c r="GP318" s="14" t="str">
        <f t="shared" si="138"/>
        <v>神器4-5 : 级</v>
      </c>
      <c r="GQ318" s="14" t="s">
        <v>816</v>
      </c>
      <c r="GR318" s="14">
        <f t="shared" si="132"/>
        <v>12</v>
      </c>
      <c r="GS318" s="14" t="str">
        <f t="shared" si="133"/>
        <v>神器4-5</v>
      </c>
      <c r="GT318" s="14">
        <f t="shared" si="134"/>
        <v>6</v>
      </c>
    </row>
    <row r="319" spans="195:202" ht="16.5" x14ac:dyDescent="0.2">
      <c r="GM319" s="91">
        <v>313</v>
      </c>
      <c r="GN319" s="14">
        <f t="shared" si="130"/>
        <v>19</v>
      </c>
      <c r="GO319" s="14">
        <f t="shared" si="131"/>
        <v>1606023</v>
      </c>
      <c r="GP319" s="14" t="str">
        <f t="shared" si="138"/>
        <v>神器4-5 : 级</v>
      </c>
      <c r="GQ319" s="14" t="s">
        <v>816</v>
      </c>
      <c r="GR319" s="14">
        <f t="shared" si="132"/>
        <v>13</v>
      </c>
      <c r="GS319" s="14" t="str">
        <f t="shared" si="133"/>
        <v>神器4-5</v>
      </c>
      <c r="GT319" s="14">
        <f t="shared" si="134"/>
        <v>7</v>
      </c>
    </row>
    <row r="320" spans="195:202" ht="16.5" x14ac:dyDescent="0.2">
      <c r="GM320" s="91">
        <v>314</v>
      </c>
      <c r="GN320" s="14">
        <f t="shared" si="130"/>
        <v>19</v>
      </c>
      <c r="GO320" s="14">
        <f t="shared" si="131"/>
        <v>1606023</v>
      </c>
      <c r="GP320" s="14" t="str">
        <f t="shared" si="138"/>
        <v>神器4-5 : 级</v>
      </c>
      <c r="GQ320" s="14" t="s">
        <v>816</v>
      </c>
      <c r="GR320" s="14">
        <f t="shared" si="132"/>
        <v>14</v>
      </c>
      <c r="GS320" s="14" t="str">
        <f t="shared" si="133"/>
        <v>神器4-5</v>
      </c>
      <c r="GT320" s="14">
        <f t="shared" si="134"/>
        <v>7</v>
      </c>
    </row>
    <row r="321" spans="195:202" ht="16.5" x14ac:dyDescent="0.2">
      <c r="GM321" s="91">
        <v>315</v>
      </c>
      <c r="GN321" s="14">
        <f t="shared" si="130"/>
        <v>19</v>
      </c>
      <c r="GO321" s="14">
        <f t="shared" si="131"/>
        <v>1606023</v>
      </c>
      <c r="GP321" s="14" t="str">
        <f t="shared" si="138"/>
        <v>神器4-5 : 级</v>
      </c>
      <c r="GQ321" s="14" t="s">
        <v>816</v>
      </c>
      <c r="GR321" s="14">
        <f t="shared" si="132"/>
        <v>15</v>
      </c>
      <c r="GS321" s="14" t="str">
        <f t="shared" si="133"/>
        <v>神器4-5</v>
      </c>
      <c r="GT321" s="14">
        <f t="shared" si="134"/>
        <v>7</v>
      </c>
    </row>
    <row r="322" spans="195:202" ht="16.5" x14ac:dyDescent="0.2">
      <c r="GM322" s="91">
        <v>316</v>
      </c>
      <c r="GN322" s="14">
        <f t="shared" si="130"/>
        <v>19</v>
      </c>
      <c r="GO322" s="14">
        <f t="shared" si="131"/>
        <v>1606023</v>
      </c>
      <c r="GP322" s="14" t="str">
        <f t="shared" si="138"/>
        <v>神器4-5 : 级</v>
      </c>
      <c r="GQ322" s="14" t="s">
        <v>816</v>
      </c>
      <c r="GR322" s="14">
        <f t="shared" si="132"/>
        <v>16</v>
      </c>
      <c r="GS322" s="14" t="str">
        <f t="shared" si="133"/>
        <v>神器4-5</v>
      </c>
      <c r="GT322" s="14">
        <f t="shared" si="134"/>
        <v>10</v>
      </c>
    </row>
    <row r="323" spans="195:202" ht="16.5" x14ac:dyDescent="0.2">
      <c r="GM323" s="91">
        <v>317</v>
      </c>
      <c r="GN323" s="14">
        <f t="shared" si="130"/>
        <v>19</v>
      </c>
      <c r="GO323" s="14">
        <f t="shared" si="131"/>
        <v>1606023</v>
      </c>
      <c r="GP323" s="14" t="str">
        <f t="shared" si="138"/>
        <v>神器4-5 : 级</v>
      </c>
      <c r="GQ323" s="14" t="s">
        <v>816</v>
      </c>
      <c r="GR323" s="14">
        <f t="shared" si="132"/>
        <v>17</v>
      </c>
      <c r="GS323" s="14" t="str">
        <f t="shared" si="133"/>
        <v>神器4-5</v>
      </c>
      <c r="GT323" s="14">
        <f t="shared" si="134"/>
        <v>10</v>
      </c>
    </row>
    <row r="324" spans="195:202" ht="16.5" x14ac:dyDescent="0.2">
      <c r="GM324" s="91">
        <v>318</v>
      </c>
      <c r="GN324" s="14">
        <f t="shared" si="130"/>
        <v>19</v>
      </c>
      <c r="GO324" s="14">
        <f t="shared" si="131"/>
        <v>1606023</v>
      </c>
      <c r="GP324" s="14" t="str">
        <f t="shared" si="138"/>
        <v>神器4-5 : 级</v>
      </c>
      <c r="GQ324" s="14" t="s">
        <v>816</v>
      </c>
      <c r="GR324" s="14">
        <f t="shared" si="132"/>
        <v>18</v>
      </c>
      <c r="GS324" s="14" t="str">
        <f t="shared" si="133"/>
        <v>神器4-5</v>
      </c>
      <c r="GT324" s="14">
        <f t="shared" si="134"/>
        <v>10</v>
      </c>
    </row>
    <row r="325" spans="195:202" ht="16.5" x14ac:dyDescent="0.2">
      <c r="GM325" s="91">
        <v>319</v>
      </c>
      <c r="GN325" s="14">
        <f t="shared" si="130"/>
        <v>20</v>
      </c>
      <c r="GO325" s="14">
        <f t="shared" si="131"/>
        <v>1606024</v>
      </c>
      <c r="GP325" s="14" t="str">
        <f t="shared" si="138"/>
        <v>神器4-6 : 级</v>
      </c>
      <c r="GQ325" s="14" t="s">
        <v>816</v>
      </c>
      <c r="GR325" s="14">
        <f t="shared" si="132"/>
        <v>1</v>
      </c>
      <c r="GS325" s="14" t="str">
        <f t="shared" si="133"/>
        <v>神器4-6</v>
      </c>
      <c r="GT325" s="14">
        <f t="shared" si="134"/>
        <v>1</v>
      </c>
    </row>
    <row r="326" spans="195:202" ht="16.5" x14ac:dyDescent="0.2">
      <c r="GM326" s="91">
        <v>320</v>
      </c>
      <c r="GN326" s="14">
        <f t="shared" si="130"/>
        <v>20</v>
      </c>
      <c r="GO326" s="14">
        <f t="shared" si="131"/>
        <v>1606024</v>
      </c>
      <c r="GP326" s="14" t="str">
        <f t="shared" si="138"/>
        <v>神器4-6 : 级</v>
      </c>
      <c r="GQ326" s="14" t="s">
        <v>816</v>
      </c>
      <c r="GR326" s="14">
        <f t="shared" si="132"/>
        <v>2</v>
      </c>
      <c r="GS326" s="14" t="str">
        <f t="shared" si="133"/>
        <v>神器4-6</v>
      </c>
      <c r="GT326" s="14">
        <f t="shared" si="134"/>
        <v>1</v>
      </c>
    </row>
    <row r="327" spans="195:202" ht="16.5" x14ac:dyDescent="0.2">
      <c r="GM327" s="91">
        <v>321</v>
      </c>
      <c r="GN327" s="14">
        <f t="shared" si="130"/>
        <v>20</v>
      </c>
      <c r="GO327" s="14">
        <f t="shared" si="131"/>
        <v>1606024</v>
      </c>
      <c r="GP327" s="14" t="str">
        <f t="shared" si="138"/>
        <v>神器4-6 : 级</v>
      </c>
      <c r="GQ327" s="14" t="s">
        <v>816</v>
      </c>
      <c r="GR327" s="14">
        <f t="shared" si="132"/>
        <v>3</v>
      </c>
      <c r="GS327" s="14" t="str">
        <f t="shared" si="133"/>
        <v>神器4-6</v>
      </c>
      <c r="GT327" s="14">
        <f t="shared" si="134"/>
        <v>1</v>
      </c>
    </row>
    <row r="328" spans="195:202" ht="16.5" x14ac:dyDescent="0.2">
      <c r="GM328" s="91">
        <v>322</v>
      </c>
      <c r="GN328" s="14">
        <f t="shared" ref="GN328:GN391" si="142">MATCH(GM328-1,$R$7:$R$49,1)</f>
        <v>20</v>
      </c>
      <c r="GO328" s="14">
        <f t="shared" ref="GO328:GO391" si="143">INDEX($S$8:$S$49,GN328)</f>
        <v>1606024</v>
      </c>
      <c r="GP328" s="14" t="str">
        <f t="shared" si="138"/>
        <v>神器4-6 : 级</v>
      </c>
      <c r="GQ328" s="14" t="s">
        <v>816</v>
      </c>
      <c r="GR328" s="14">
        <f t="shared" ref="GR328:GR391" si="144">GM328-INDEX($R$7:$R$49,GN328)</f>
        <v>4</v>
      </c>
      <c r="GS328" s="14" t="str">
        <f t="shared" ref="GS328:GS391" si="145">INDEX($T$8:$T$49,GN328)</f>
        <v>神器4-6</v>
      </c>
      <c r="GT328" s="14">
        <f t="shared" ref="GT328:GT391" si="146">INDEX($K$8:$K$28,GR328)</f>
        <v>2</v>
      </c>
    </row>
    <row r="329" spans="195:202" ht="16.5" x14ac:dyDescent="0.2">
      <c r="GM329" s="91">
        <v>323</v>
      </c>
      <c r="GN329" s="14">
        <f t="shared" si="142"/>
        <v>20</v>
      </c>
      <c r="GO329" s="14">
        <f t="shared" si="143"/>
        <v>1606024</v>
      </c>
      <c r="GP329" s="14" t="str">
        <f t="shared" si="138"/>
        <v>神器4-6 : 级</v>
      </c>
      <c r="GQ329" s="14" t="s">
        <v>816</v>
      </c>
      <c r="GR329" s="14">
        <f t="shared" si="144"/>
        <v>5</v>
      </c>
      <c r="GS329" s="14" t="str">
        <f t="shared" si="145"/>
        <v>神器4-6</v>
      </c>
      <c r="GT329" s="14">
        <f t="shared" si="146"/>
        <v>2</v>
      </c>
    </row>
    <row r="330" spans="195:202" ht="16.5" x14ac:dyDescent="0.2">
      <c r="GM330" s="91">
        <v>324</v>
      </c>
      <c r="GN330" s="14">
        <f t="shared" si="142"/>
        <v>20</v>
      </c>
      <c r="GO330" s="14">
        <f t="shared" si="143"/>
        <v>1606024</v>
      </c>
      <c r="GP330" s="14" t="str">
        <f t="shared" si="138"/>
        <v>神器4-6 : 级</v>
      </c>
      <c r="GQ330" s="14" t="s">
        <v>816</v>
      </c>
      <c r="GR330" s="14">
        <f t="shared" si="144"/>
        <v>6</v>
      </c>
      <c r="GS330" s="14" t="str">
        <f t="shared" si="145"/>
        <v>神器4-6</v>
      </c>
      <c r="GT330" s="14">
        <f t="shared" si="146"/>
        <v>2</v>
      </c>
    </row>
    <row r="331" spans="195:202" ht="16.5" x14ac:dyDescent="0.2">
      <c r="GM331" s="91">
        <v>325</v>
      </c>
      <c r="GN331" s="14">
        <f t="shared" si="142"/>
        <v>20</v>
      </c>
      <c r="GO331" s="14">
        <f t="shared" si="143"/>
        <v>1606024</v>
      </c>
      <c r="GP331" s="14" t="str">
        <f t="shared" si="138"/>
        <v>神器4-6 : 级</v>
      </c>
      <c r="GQ331" s="14" t="s">
        <v>816</v>
      </c>
      <c r="GR331" s="14">
        <f t="shared" si="144"/>
        <v>7</v>
      </c>
      <c r="GS331" s="14" t="str">
        <f t="shared" si="145"/>
        <v>神器4-6</v>
      </c>
      <c r="GT331" s="14">
        <f t="shared" si="146"/>
        <v>3</v>
      </c>
    </row>
    <row r="332" spans="195:202" ht="16.5" x14ac:dyDescent="0.2">
      <c r="GM332" s="91">
        <v>326</v>
      </c>
      <c r="GN332" s="14">
        <f t="shared" si="142"/>
        <v>20</v>
      </c>
      <c r="GO332" s="14">
        <f t="shared" si="143"/>
        <v>1606024</v>
      </c>
      <c r="GP332" s="14" t="str">
        <f t="shared" si="138"/>
        <v>神器4-6 : 级</v>
      </c>
      <c r="GQ332" s="14" t="s">
        <v>816</v>
      </c>
      <c r="GR332" s="14">
        <f t="shared" si="144"/>
        <v>8</v>
      </c>
      <c r="GS332" s="14" t="str">
        <f t="shared" si="145"/>
        <v>神器4-6</v>
      </c>
      <c r="GT332" s="14">
        <f t="shared" si="146"/>
        <v>3</v>
      </c>
    </row>
    <row r="333" spans="195:202" ht="16.5" x14ac:dyDescent="0.2">
      <c r="GM333" s="91">
        <v>327</v>
      </c>
      <c r="GN333" s="14">
        <f t="shared" si="142"/>
        <v>20</v>
      </c>
      <c r="GO333" s="14">
        <f t="shared" si="143"/>
        <v>1606024</v>
      </c>
      <c r="GP333" s="14" t="str">
        <f t="shared" si="138"/>
        <v>神器4-6 : 级</v>
      </c>
      <c r="GQ333" s="14" t="s">
        <v>816</v>
      </c>
      <c r="GR333" s="14">
        <f t="shared" si="144"/>
        <v>9</v>
      </c>
      <c r="GS333" s="14" t="str">
        <f t="shared" si="145"/>
        <v>神器4-6</v>
      </c>
      <c r="GT333" s="14">
        <f t="shared" si="146"/>
        <v>3</v>
      </c>
    </row>
    <row r="334" spans="195:202" ht="16.5" x14ac:dyDescent="0.2">
      <c r="GM334" s="91">
        <v>328</v>
      </c>
      <c r="GN334" s="14">
        <f t="shared" si="142"/>
        <v>20</v>
      </c>
      <c r="GO334" s="14">
        <f t="shared" si="143"/>
        <v>1606024</v>
      </c>
      <c r="GP334" s="14" t="str">
        <f t="shared" si="138"/>
        <v>神器4-6 : 级</v>
      </c>
      <c r="GQ334" s="14" t="s">
        <v>816</v>
      </c>
      <c r="GR334" s="14">
        <f t="shared" si="144"/>
        <v>10</v>
      </c>
      <c r="GS334" s="14" t="str">
        <f t="shared" si="145"/>
        <v>神器4-6</v>
      </c>
      <c r="GT334" s="14">
        <f t="shared" si="146"/>
        <v>5</v>
      </c>
    </row>
    <row r="335" spans="195:202" ht="16.5" x14ac:dyDescent="0.2">
      <c r="GM335" s="91">
        <v>329</v>
      </c>
      <c r="GN335" s="14">
        <f t="shared" si="142"/>
        <v>20</v>
      </c>
      <c r="GO335" s="14">
        <f t="shared" si="143"/>
        <v>1606024</v>
      </c>
      <c r="GP335" s="14" t="str">
        <f t="shared" si="138"/>
        <v>神器4-6 : 级</v>
      </c>
      <c r="GQ335" s="14" t="s">
        <v>816</v>
      </c>
      <c r="GR335" s="14">
        <f t="shared" si="144"/>
        <v>11</v>
      </c>
      <c r="GS335" s="14" t="str">
        <f t="shared" si="145"/>
        <v>神器4-6</v>
      </c>
      <c r="GT335" s="14">
        <f t="shared" si="146"/>
        <v>5</v>
      </c>
    </row>
    <row r="336" spans="195:202" ht="16.5" x14ac:dyDescent="0.2">
      <c r="GM336" s="91">
        <v>330</v>
      </c>
      <c r="GN336" s="14">
        <f t="shared" si="142"/>
        <v>20</v>
      </c>
      <c r="GO336" s="14">
        <f t="shared" si="143"/>
        <v>1606024</v>
      </c>
      <c r="GP336" s="14" t="str">
        <f t="shared" si="138"/>
        <v>神器4-6 : 级</v>
      </c>
      <c r="GQ336" s="14" t="s">
        <v>816</v>
      </c>
      <c r="GR336" s="14">
        <f t="shared" si="144"/>
        <v>12</v>
      </c>
      <c r="GS336" s="14" t="str">
        <f t="shared" si="145"/>
        <v>神器4-6</v>
      </c>
      <c r="GT336" s="14">
        <f t="shared" si="146"/>
        <v>6</v>
      </c>
    </row>
    <row r="337" spans="195:202" ht="16.5" x14ac:dyDescent="0.2">
      <c r="GM337" s="91">
        <v>331</v>
      </c>
      <c r="GN337" s="14">
        <f t="shared" si="142"/>
        <v>20</v>
      </c>
      <c r="GO337" s="14">
        <f t="shared" si="143"/>
        <v>1606024</v>
      </c>
      <c r="GP337" s="14" t="str">
        <f t="shared" si="138"/>
        <v>神器4-6 : 级</v>
      </c>
      <c r="GQ337" s="14" t="s">
        <v>816</v>
      </c>
      <c r="GR337" s="14">
        <f t="shared" si="144"/>
        <v>13</v>
      </c>
      <c r="GS337" s="14" t="str">
        <f t="shared" si="145"/>
        <v>神器4-6</v>
      </c>
      <c r="GT337" s="14">
        <f t="shared" si="146"/>
        <v>7</v>
      </c>
    </row>
    <row r="338" spans="195:202" ht="16.5" x14ac:dyDescent="0.2">
      <c r="GM338" s="91">
        <v>332</v>
      </c>
      <c r="GN338" s="14">
        <f t="shared" si="142"/>
        <v>20</v>
      </c>
      <c r="GO338" s="14">
        <f t="shared" si="143"/>
        <v>1606024</v>
      </c>
      <c r="GP338" s="14" t="str">
        <f t="shared" si="138"/>
        <v>神器4-6 : 级</v>
      </c>
      <c r="GQ338" s="14" t="s">
        <v>816</v>
      </c>
      <c r="GR338" s="14">
        <f t="shared" si="144"/>
        <v>14</v>
      </c>
      <c r="GS338" s="14" t="str">
        <f t="shared" si="145"/>
        <v>神器4-6</v>
      </c>
      <c r="GT338" s="14">
        <f t="shared" si="146"/>
        <v>7</v>
      </c>
    </row>
    <row r="339" spans="195:202" ht="16.5" x14ac:dyDescent="0.2">
      <c r="GM339" s="91">
        <v>333</v>
      </c>
      <c r="GN339" s="14">
        <f t="shared" si="142"/>
        <v>20</v>
      </c>
      <c r="GO339" s="14">
        <f t="shared" si="143"/>
        <v>1606024</v>
      </c>
      <c r="GP339" s="14" t="str">
        <f t="shared" si="138"/>
        <v>神器4-6 : 级</v>
      </c>
      <c r="GQ339" s="14" t="s">
        <v>816</v>
      </c>
      <c r="GR339" s="14">
        <f t="shared" si="144"/>
        <v>15</v>
      </c>
      <c r="GS339" s="14" t="str">
        <f t="shared" si="145"/>
        <v>神器4-6</v>
      </c>
      <c r="GT339" s="14">
        <f t="shared" si="146"/>
        <v>7</v>
      </c>
    </row>
    <row r="340" spans="195:202" ht="16.5" x14ac:dyDescent="0.2">
      <c r="GM340" s="91">
        <v>334</v>
      </c>
      <c r="GN340" s="14">
        <f t="shared" si="142"/>
        <v>20</v>
      </c>
      <c r="GO340" s="14">
        <f t="shared" si="143"/>
        <v>1606024</v>
      </c>
      <c r="GP340" s="14" t="str">
        <f t="shared" si="138"/>
        <v>神器4-6 : 级</v>
      </c>
      <c r="GQ340" s="14" t="s">
        <v>816</v>
      </c>
      <c r="GR340" s="14">
        <f t="shared" si="144"/>
        <v>16</v>
      </c>
      <c r="GS340" s="14" t="str">
        <f t="shared" si="145"/>
        <v>神器4-6</v>
      </c>
      <c r="GT340" s="14">
        <f t="shared" si="146"/>
        <v>10</v>
      </c>
    </row>
    <row r="341" spans="195:202" ht="16.5" x14ac:dyDescent="0.2">
      <c r="GM341" s="91">
        <v>335</v>
      </c>
      <c r="GN341" s="14">
        <f t="shared" si="142"/>
        <v>20</v>
      </c>
      <c r="GO341" s="14">
        <f t="shared" si="143"/>
        <v>1606024</v>
      </c>
      <c r="GP341" s="14" t="str">
        <f t="shared" si="138"/>
        <v>神器4-6 : 级</v>
      </c>
      <c r="GQ341" s="14" t="s">
        <v>816</v>
      </c>
      <c r="GR341" s="14">
        <f t="shared" si="144"/>
        <v>17</v>
      </c>
      <c r="GS341" s="14" t="str">
        <f t="shared" si="145"/>
        <v>神器4-6</v>
      </c>
      <c r="GT341" s="14">
        <f t="shared" si="146"/>
        <v>10</v>
      </c>
    </row>
    <row r="342" spans="195:202" ht="16.5" x14ac:dyDescent="0.2">
      <c r="GM342" s="91">
        <v>336</v>
      </c>
      <c r="GN342" s="14">
        <f t="shared" si="142"/>
        <v>20</v>
      </c>
      <c r="GO342" s="14">
        <f t="shared" si="143"/>
        <v>1606024</v>
      </c>
      <c r="GP342" s="14" t="str">
        <f t="shared" si="138"/>
        <v>神器4-6 : 级</v>
      </c>
      <c r="GQ342" s="14" t="s">
        <v>816</v>
      </c>
      <c r="GR342" s="14">
        <f t="shared" si="144"/>
        <v>18</v>
      </c>
      <c r="GS342" s="14" t="str">
        <f t="shared" si="145"/>
        <v>神器4-6</v>
      </c>
      <c r="GT342" s="14">
        <f t="shared" si="146"/>
        <v>10</v>
      </c>
    </row>
    <row r="343" spans="195:202" ht="16.5" x14ac:dyDescent="0.2">
      <c r="GM343" s="91">
        <v>337</v>
      </c>
      <c r="GN343" s="14">
        <f t="shared" si="142"/>
        <v>21</v>
      </c>
      <c r="GO343" s="14">
        <f t="shared" si="143"/>
        <v>1606027</v>
      </c>
      <c r="GP343" s="14" t="str">
        <f t="shared" si="138"/>
        <v>神器5-1 : 级</v>
      </c>
      <c r="GQ343" s="14" t="s">
        <v>816</v>
      </c>
      <c r="GR343" s="14">
        <f t="shared" si="144"/>
        <v>1</v>
      </c>
      <c r="GS343" s="14" t="str">
        <f t="shared" si="145"/>
        <v>神器5-1</v>
      </c>
      <c r="GT343" s="14">
        <f t="shared" si="146"/>
        <v>1</v>
      </c>
    </row>
    <row r="344" spans="195:202" ht="16.5" x14ac:dyDescent="0.2">
      <c r="GM344" s="91">
        <v>338</v>
      </c>
      <c r="GN344" s="14">
        <f t="shared" si="142"/>
        <v>21</v>
      </c>
      <c r="GO344" s="14">
        <f t="shared" si="143"/>
        <v>1606027</v>
      </c>
      <c r="GP344" s="14" t="str">
        <f t="shared" ref="GP344:GP407" si="147">INDEX($T$8:$T$49,GN344)&amp;" : "&amp;AR344&amp;"级"</f>
        <v>神器5-1 : 级</v>
      </c>
      <c r="GQ344" s="14" t="s">
        <v>816</v>
      </c>
      <c r="GR344" s="14">
        <f t="shared" si="144"/>
        <v>2</v>
      </c>
      <c r="GS344" s="14" t="str">
        <f t="shared" si="145"/>
        <v>神器5-1</v>
      </c>
      <c r="GT344" s="14">
        <f t="shared" si="146"/>
        <v>1</v>
      </c>
    </row>
    <row r="345" spans="195:202" ht="16.5" x14ac:dyDescent="0.2">
      <c r="GM345" s="91">
        <v>339</v>
      </c>
      <c r="GN345" s="14">
        <f t="shared" si="142"/>
        <v>21</v>
      </c>
      <c r="GO345" s="14">
        <f t="shared" si="143"/>
        <v>1606027</v>
      </c>
      <c r="GP345" s="14" t="str">
        <f t="shared" si="147"/>
        <v>神器5-1 : 级</v>
      </c>
      <c r="GQ345" s="14" t="s">
        <v>816</v>
      </c>
      <c r="GR345" s="14">
        <f t="shared" si="144"/>
        <v>3</v>
      </c>
      <c r="GS345" s="14" t="str">
        <f t="shared" si="145"/>
        <v>神器5-1</v>
      </c>
      <c r="GT345" s="14">
        <f t="shared" si="146"/>
        <v>1</v>
      </c>
    </row>
    <row r="346" spans="195:202" ht="16.5" x14ac:dyDescent="0.2">
      <c r="GM346" s="91">
        <v>340</v>
      </c>
      <c r="GN346" s="14">
        <f t="shared" si="142"/>
        <v>21</v>
      </c>
      <c r="GO346" s="14">
        <f t="shared" si="143"/>
        <v>1606027</v>
      </c>
      <c r="GP346" s="14" t="str">
        <f t="shared" si="147"/>
        <v>神器5-1 : 级</v>
      </c>
      <c r="GQ346" s="14" t="s">
        <v>816</v>
      </c>
      <c r="GR346" s="14">
        <f t="shared" si="144"/>
        <v>4</v>
      </c>
      <c r="GS346" s="14" t="str">
        <f t="shared" si="145"/>
        <v>神器5-1</v>
      </c>
      <c r="GT346" s="14">
        <f t="shared" si="146"/>
        <v>2</v>
      </c>
    </row>
    <row r="347" spans="195:202" ht="16.5" x14ac:dyDescent="0.2">
      <c r="GM347" s="91">
        <v>341</v>
      </c>
      <c r="GN347" s="14">
        <f t="shared" si="142"/>
        <v>21</v>
      </c>
      <c r="GO347" s="14">
        <f t="shared" si="143"/>
        <v>1606027</v>
      </c>
      <c r="GP347" s="14" t="str">
        <f t="shared" si="147"/>
        <v>神器5-1 : 级</v>
      </c>
      <c r="GQ347" s="14" t="s">
        <v>816</v>
      </c>
      <c r="GR347" s="14">
        <f t="shared" si="144"/>
        <v>5</v>
      </c>
      <c r="GS347" s="14" t="str">
        <f t="shared" si="145"/>
        <v>神器5-1</v>
      </c>
      <c r="GT347" s="14">
        <f t="shared" si="146"/>
        <v>2</v>
      </c>
    </row>
    <row r="348" spans="195:202" ht="16.5" x14ac:dyDescent="0.2">
      <c r="GM348" s="91">
        <v>342</v>
      </c>
      <c r="GN348" s="14">
        <f t="shared" si="142"/>
        <v>21</v>
      </c>
      <c r="GO348" s="14">
        <f t="shared" si="143"/>
        <v>1606027</v>
      </c>
      <c r="GP348" s="14" t="str">
        <f t="shared" si="147"/>
        <v>神器5-1 : 级</v>
      </c>
      <c r="GQ348" s="14" t="s">
        <v>816</v>
      </c>
      <c r="GR348" s="14">
        <f t="shared" si="144"/>
        <v>6</v>
      </c>
      <c r="GS348" s="14" t="str">
        <f t="shared" si="145"/>
        <v>神器5-1</v>
      </c>
      <c r="GT348" s="14">
        <f t="shared" si="146"/>
        <v>2</v>
      </c>
    </row>
    <row r="349" spans="195:202" ht="16.5" x14ac:dyDescent="0.2">
      <c r="GM349" s="91">
        <v>343</v>
      </c>
      <c r="GN349" s="14">
        <f t="shared" si="142"/>
        <v>21</v>
      </c>
      <c r="GO349" s="14">
        <f t="shared" si="143"/>
        <v>1606027</v>
      </c>
      <c r="GP349" s="14" t="str">
        <f t="shared" si="147"/>
        <v>神器5-1 : 级</v>
      </c>
      <c r="GQ349" s="14" t="s">
        <v>816</v>
      </c>
      <c r="GR349" s="14">
        <f t="shared" si="144"/>
        <v>7</v>
      </c>
      <c r="GS349" s="14" t="str">
        <f t="shared" si="145"/>
        <v>神器5-1</v>
      </c>
      <c r="GT349" s="14">
        <f t="shared" si="146"/>
        <v>3</v>
      </c>
    </row>
    <row r="350" spans="195:202" ht="16.5" x14ac:dyDescent="0.2">
      <c r="GM350" s="91">
        <v>344</v>
      </c>
      <c r="GN350" s="14">
        <f t="shared" si="142"/>
        <v>21</v>
      </c>
      <c r="GO350" s="14">
        <f t="shared" si="143"/>
        <v>1606027</v>
      </c>
      <c r="GP350" s="14" t="str">
        <f t="shared" si="147"/>
        <v>神器5-1 : 级</v>
      </c>
      <c r="GQ350" s="14" t="s">
        <v>816</v>
      </c>
      <c r="GR350" s="14">
        <f t="shared" si="144"/>
        <v>8</v>
      </c>
      <c r="GS350" s="14" t="str">
        <f t="shared" si="145"/>
        <v>神器5-1</v>
      </c>
      <c r="GT350" s="14">
        <f t="shared" si="146"/>
        <v>3</v>
      </c>
    </row>
    <row r="351" spans="195:202" ht="16.5" x14ac:dyDescent="0.2">
      <c r="GM351" s="91">
        <v>345</v>
      </c>
      <c r="GN351" s="14">
        <f t="shared" si="142"/>
        <v>21</v>
      </c>
      <c r="GO351" s="14">
        <f t="shared" si="143"/>
        <v>1606027</v>
      </c>
      <c r="GP351" s="14" t="str">
        <f t="shared" si="147"/>
        <v>神器5-1 : 级</v>
      </c>
      <c r="GQ351" s="14" t="s">
        <v>816</v>
      </c>
      <c r="GR351" s="14">
        <f t="shared" si="144"/>
        <v>9</v>
      </c>
      <c r="GS351" s="14" t="str">
        <f t="shared" si="145"/>
        <v>神器5-1</v>
      </c>
      <c r="GT351" s="14">
        <f t="shared" si="146"/>
        <v>3</v>
      </c>
    </row>
    <row r="352" spans="195:202" ht="16.5" x14ac:dyDescent="0.2">
      <c r="GM352" s="91">
        <v>346</v>
      </c>
      <c r="GN352" s="14">
        <f t="shared" si="142"/>
        <v>21</v>
      </c>
      <c r="GO352" s="14">
        <f t="shared" si="143"/>
        <v>1606027</v>
      </c>
      <c r="GP352" s="14" t="str">
        <f t="shared" si="147"/>
        <v>神器5-1 : 级</v>
      </c>
      <c r="GQ352" s="14" t="s">
        <v>816</v>
      </c>
      <c r="GR352" s="14">
        <f t="shared" si="144"/>
        <v>10</v>
      </c>
      <c r="GS352" s="14" t="str">
        <f t="shared" si="145"/>
        <v>神器5-1</v>
      </c>
      <c r="GT352" s="14">
        <f t="shared" si="146"/>
        <v>5</v>
      </c>
    </row>
    <row r="353" spans="195:202" ht="16.5" x14ac:dyDescent="0.2">
      <c r="GM353" s="91">
        <v>347</v>
      </c>
      <c r="GN353" s="14">
        <f t="shared" si="142"/>
        <v>21</v>
      </c>
      <c r="GO353" s="14">
        <f t="shared" si="143"/>
        <v>1606027</v>
      </c>
      <c r="GP353" s="14" t="str">
        <f t="shared" si="147"/>
        <v>神器5-1 : 级</v>
      </c>
      <c r="GQ353" s="14" t="s">
        <v>816</v>
      </c>
      <c r="GR353" s="14">
        <f t="shared" si="144"/>
        <v>11</v>
      </c>
      <c r="GS353" s="14" t="str">
        <f t="shared" si="145"/>
        <v>神器5-1</v>
      </c>
      <c r="GT353" s="14">
        <f t="shared" si="146"/>
        <v>5</v>
      </c>
    </row>
    <row r="354" spans="195:202" ht="16.5" x14ac:dyDescent="0.2">
      <c r="GM354" s="91">
        <v>348</v>
      </c>
      <c r="GN354" s="14">
        <f t="shared" si="142"/>
        <v>21</v>
      </c>
      <c r="GO354" s="14">
        <f t="shared" si="143"/>
        <v>1606027</v>
      </c>
      <c r="GP354" s="14" t="str">
        <f t="shared" si="147"/>
        <v>神器5-1 : 级</v>
      </c>
      <c r="GQ354" s="14" t="s">
        <v>816</v>
      </c>
      <c r="GR354" s="14">
        <f t="shared" si="144"/>
        <v>12</v>
      </c>
      <c r="GS354" s="14" t="str">
        <f t="shared" si="145"/>
        <v>神器5-1</v>
      </c>
      <c r="GT354" s="14">
        <f t="shared" si="146"/>
        <v>6</v>
      </c>
    </row>
    <row r="355" spans="195:202" ht="16.5" x14ac:dyDescent="0.2">
      <c r="GM355" s="91">
        <v>349</v>
      </c>
      <c r="GN355" s="14">
        <f t="shared" si="142"/>
        <v>21</v>
      </c>
      <c r="GO355" s="14">
        <f t="shared" si="143"/>
        <v>1606027</v>
      </c>
      <c r="GP355" s="14" t="str">
        <f t="shared" si="147"/>
        <v>神器5-1 : 级</v>
      </c>
      <c r="GQ355" s="14" t="s">
        <v>816</v>
      </c>
      <c r="GR355" s="14">
        <f t="shared" si="144"/>
        <v>13</v>
      </c>
      <c r="GS355" s="14" t="str">
        <f t="shared" si="145"/>
        <v>神器5-1</v>
      </c>
      <c r="GT355" s="14">
        <f t="shared" si="146"/>
        <v>7</v>
      </c>
    </row>
    <row r="356" spans="195:202" ht="16.5" x14ac:dyDescent="0.2">
      <c r="GM356" s="91">
        <v>350</v>
      </c>
      <c r="GN356" s="14">
        <f t="shared" si="142"/>
        <v>21</v>
      </c>
      <c r="GO356" s="14">
        <f t="shared" si="143"/>
        <v>1606027</v>
      </c>
      <c r="GP356" s="14" t="str">
        <f t="shared" si="147"/>
        <v>神器5-1 : 级</v>
      </c>
      <c r="GQ356" s="14" t="s">
        <v>816</v>
      </c>
      <c r="GR356" s="14">
        <f t="shared" si="144"/>
        <v>14</v>
      </c>
      <c r="GS356" s="14" t="str">
        <f t="shared" si="145"/>
        <v>神器5-1</v>
      </c>
      <c r="GT356" s="14">
        <f t="shared" si="146"/>
        <v>7</v>
      </c>
    </row>
    <row r="357" spans="195:202" ht="16.5" x14ac:dyDescent="0.2">
      <c r="GM357" s="91">
        <v>351</v>
      </c>
      <c r="GN357" s="14">
        <f t="shared" si="142"/>
        <v>21</v>
      </c>
      <c r="GO357" s="14">
        <f t="shared" si="143"/>
        <v>1606027</v>
      </c>
      <c r="GP357" s="14" t="str">
        <f t="shared" si="147"/>
        <v>神器5-1 : 级</v>
      </c>
      <c r="GQ357" s="14" t="s">
        <v>816</v>
      </c>
      <c r="GR357" s="14">
        <f t="shared" si="144"/>
        <v>15</v>
      </c>
      <c r="GS357" s="14" t="str">
        <f t="shared" si="145"/>
        <v>神器5-1</v>
      </c>
      <c r="GT357" s="14">
        <f t="shared" si="146"/>
        <v>7</v>
      </c>
    </row>
    <row r="358" spans="195:202" ht="16.5" x14ac:dyDescent="0.2">
      <c r="GM358" s="91">
        <v>352</v>
      </c>
      <c r="GN358" s="14">
        <f t="shared" si="142"/>
        <v>21</v>
      </c>
      <c r="GO358" s="14">
        <f t="shared" si="143"/>
        <v>1606027</v>
      </c>
      <c r="GP358" s="14" t="str">
        <f t="shared" si="147"/>
        <v>神器5-1 : 级</v>
      </c>
      <c r="GQ358" s="14" t="s">
        <v>816</v>
      </c>
      <c r="GR358" s="14">
        <f t="shared" si="144"/>
        <v>16</v>
      </c>
      <c r="GS358" s="14" t="str">
        <f t="shared" si="145"/>
        <v>神器5-1</v>
      </c>
      <c r="GT358" s="14">
        <f t="shared" si="146"/>
        <v>10</v>
      </c>
    </row>
    <row r="359" spans="195:202" ht="16.5" x14ac:dyDescent="0.2">
      <c r="GM359" s="91">
        <v>353</v>
      </c>
      <c r="GN359" s="14">
        <f t="shared" si="142"/>
        <v>21</v>
      </c>
      <c r="GO359" s="14">
        <f t="shared" si="143"/>
        <v>1606027</v>
      </c>
      <c r="GP359" s="14" t="str">
        <f t="shared" si="147"/>
        <v>神器5-1 : 级</v>
      </c>
      <c r="GQ359" s="14" t="s">
        <v>816</v>
      </c>
      <c r="GR359" s="14">
        <f t="shared" si="144"/>
        <v>17</v>
      </c>
      <c r="GS359" s="14" t="str">
        <f t="shared" si="145"/>
        <v>神器5-1</v>
      </c>
      <c r="GT359" s="14">
        <f t="shared" si="146"/>
        <v>10</v>
      </c>
    </row>
    <row r="360" spans="195:202" ht="16.5" x14ac:dyDescent="0.2">
      <c r="GM360" s="91">
        <v>354</v>
      </c>
      <c r="GN360" s="14">
        <f t="shared" si="142"/>
        <v>21</v>
      </c>
      <c r="GO360" s="14">
        <f t="shared" si="143"/>
        <v>1606027</v>
      </c>
      <c r="GP360" s="14" t="str">
        <f t="shared" si="147"/>
        <v>神器5-1 : 级</v>
      </c>
      <c r="GQ360" s="14" t="s">
        <v>816</v>
      </c>
      <c r="GR360" s="14">
        <f t="shared" si="144"/>
        <v>18</v>
      </c>
      <c r="GS360" s="14" t="str">
        <f t="shared" si="145"/>
        <v>神器5-1</v>
      </c>
      <c r="GT360" s="14">
        <f t="shared" si="146"/>
        <v>10</v>
      </c>
    </row>
    <row r="361" spans="195:202" ht="16.5" x14ac:dyDescent="0.2">
      <c r="GM361" s="91">
        <v>355</v>
      </c>
      <c r="GN361" s="14">
        <f t="shared" si="142"/>
        <v>22</v>
      </c>
      <c r="GO361" s="14">
        <f t="shared" si="143"/>
        <v>1606028</v>
      </c>
      <c r="GP361" s="14" t="str">
        <f t="shared" si="147"/>
        <v>神器5-2 : 级</v>
      </c>
      <c r="GQ361" s="14" t="s">
        <v>816</v>
      </c>
      <c r="GR361" s="14">
        <f t="shared" si="144"/>
        <v>1</v>
      </c>
      <c r="GS361" s="14" t="str">
        <f t="shared" si="145"/>
        <v>神器5-2</v>
      </c>
      <c r="GT361" s="14">
        <f t="shared" si="146"/>
        <v>1</v>
      </c>
    </row>
    <row r="362" spans="195:202" ht="16.5" x14ac:dyDescent="0.2">
      <c r="GM362" s="91">
        <v>356</v>
      </c>
      <c r="GN362" s="14">
        <f t="shared" si="142"/>
        <v>22</v>
      </c>
      <c r="GO362" s="14">
        <f t="shared" si="143"/>
        <v>1606028</v>
      </c>
      <c r="GP362" s="14" t="str">
        <f t="shared" si="147"/>
        <v>神器5-2 : 级</v>
      </c>
      <c r="GQ362" s="14" t="s">
        <v>816</v>
      </c>
      <c r="GR362" s="14">
        <f t="shared" si="144"/>
        <v>2</v>
      </c>
      <c r="GS362" s="14" t="str">
        <f t="shared" si="145"/>
        <v>神器5-2</v>
      </c>
      <c r="GT362" s="14">
        <f t="shared" si="146"/>
        <v>1</v>
      </c>
    </row>
    <row r="363" spans="195:202" ht="16.5" x14ac:dyDescent="0.2">
      <c r="GM363" s="91">
        <v>357</v>
      </c>
      <c r="GN363" s="14">
        <f t="shared" si="142"/>
        <v>22</v>
      </c>
      <c r="GO363" s="14">
        <f t="shared" si="143"/>
        <v>1606028</v>
      </c>
      <c r="GP363" s="14" t="str">
        <f t="shared" si="147"/>
        <v>神器5-2 : 级</v>
      </c>
      <c r="GQ363" s="14" t="s">
        <v>816</v>
      </c>
      <c r="GR363" s="14">
        <f t="shared" si="144"/>
        <v>3</v>
      </c>
      <c r="GS363" s="14" t="str">
        <f t="shared" si="145"/>
        <v>神器5-2</v>
      </c>
      <c r="GT363" s="14">
        <f t="shared" si="146"/>
        <v>1</v>
      </c>
    </row>
    <row r="364" spans="195:202" ht="16.5" x14ac:dyDescent="0.2">
      <c r="GM364" s="91">
        <v>358</v>
      </c>
      <c r="GN364" s="14">
        <f t="shared" si="142"/>
        <v>22</v>
      </c>
      <c r="GO364" s="14">
        <f t="shared" si="143"/>
        <v>1606028</v>
      </c>
      <c r="GP364" s="14" t="str">
        <f t="shared" si="147"/>
        <v>神器5-2 : 级</v>
      </c>
      <c r="GQ364" s="14" t="s">
        <v>816</v>
      </c>
      <c r="GR364" s="14">
        <f t="shared" si="144"/>
        <v>4</v>
      </c>
      <c r="GS364" s="14" t="str">
        <f t="shared" si="145"/>
        <v>神器5-2</v>
      </c>
      <c r="GT364" s="14">
        <f t="shared" si="146"/>
        <v>2</v>
      </c>
    </row>
    <row r="365" spans="195:202" ht="16.5" x14ac:dyDescent="0.2">
      <c r="GM365" s="91">
        <v>359</v>
      </c>
      <c r="GN365" s="14">
        <f t="shared" si="142"/>
        <v>22</v>
      </c>
      <c r="GO365" s="14">
        <f t="shared" si="143"/>
        <v>1606028</v>
      </c>
      <c r="GP365" s="14" t="str">
        <f t="shared" si="147"/>
        <v>神器5-2 : 级</v>
      </c>
      <c r="GQ365" s="14" t="s">
        <v>816</v>
      </c>
      <c r="GR365" s="14">
        <f t="shared" si="144"/>
        <v>5</v>
      </c>
      <c r="GS365" s="14" t="str">
        <f t="shared" si="145"/>
        <v>神器5-2</v>
      </c>
      <c r="GT365" s="14">
        <f t="shared" si="146"/>
        <v>2</v>
      </c>
    </row>
    <row r="366" spans="195:202" ht="16.5" x14ac:dyDescent="0.2">
      <c r="GM366" s="91">
        <v>360</v>
      </c>
      <c r="GN366" s="14">
        <f t="shared" si="142"/>
        <v>22</v>
      </c>
      <c r="GO366" s="14">
        <f t="shared" si="143"/>
        <v>1606028</v>
      </c>
      <c r="GP366" s="14" t="str">
        <f t="shared" si="147"/>
        <v>神器5-2 : 级</v>
      </c>
      <c r="GQ366" s="14" t="s">
        <v>816</v>
      </c>
      <c r="GR366" s="14">
        <f t="shared" si="144"/>
        <v>6</v>
      </c>
      <c r="GS366" s="14" t="str">
        <f t="shared" si="145"/>
        <v>神器5-2</v>
      </c>
      <c r="GT366" s="14">
        <f t="shared" si="146"/>
        <v>2</v>
      </c>
    </row>
    <row r="367" spans="195:202" ht="16.5" x14ac:dyDescent="0.2">
      <c r="GM367" s="91">
        <v>361</v>
      </c>
      <c r="GN367" s="14">
        <f t="shared" si="142"/>
        <v>22</v>
      </c>
      <c r="GO367" s="14">
        <f t="shared" si="143"/>
        <v>1606028</v>
      </c>
      <c r="GP367" s="14" t="str">
        <f t="shared" si="147"/>
        <v>神器5-2 : 级</v>
      </c>
      <c r="GQ367" s="14" t="s">
        <v>816</v>
      </c>
      <c r="GR367" s="14">
        <f t="shared" si="144"/>
        <v>7</v>
      </c>
      <c r="GS367" s="14" t="str">
        <f t="shared" si="145"/>
        <v>神器5-2</v>
      </c>
      <c r="GT367" s="14">
        <f t="shared" si="146"/>
        <v>3</v>
      </c>
    </row>
    <row r="368" spans="195:202" ht="16.5" x14ac:dyDescent="0.2">
      <c r="GM368" s="91">
        <v>362</v>
      </c>
      <c r="GN368" s="14">
        <f t="shared" si="142"/>
        <v>22</v>
      </c>
      <c r="GO368" s="14">
        <f t="shared" si="143"/>
        <v>1606028</v>
      </c>
      <c r="GP368" s="14" t="str">
        <f t="shared" si="147"/>
        <v>神器5-2 : 级</v>
      </c>
      <c r="GQ368" s="14" t="s">
        <v>816</v>
      </c>
      <c r="GR368" s="14">
        <f t="shared" si="144"/>
        <v>8</v>
      </c>
      <c r="GS368" s="14" t="str">
        <f t="shared" si="145"/>
        <v>神器5-2</v>
      </c>
      <c r="GT368" s="14">
        <f t="shared" si="146"/>
        <v>3</v>
      </c>
    </row>
    <row r="369" spans="195:202" ht="16.5" x14ac:dyDescent="0.2">
      <c r="GM369" s="91">
        <v>363</v>
      </c>
      <c r="GN369" s="14">
        <f t="shared" si="142"/>
        <v>22</v>
      </c>
      <c r="GO369" s="14">
        <f t="shared" si="143"/>
        <v>1606028</v>
      </c>
      <c r="GP369" s="14" t="str">
        <f t="shared" si="147"/>
        <v>神器5-2 : 级</v>
      </c>
      <c r="GQ369" s="14" t="s">
        <v>816</v>
      </c>
      <c r="GR369" s="14">
        <f t="shared" si="144"/>
        <v>9</v>
      </c>
      <c r="GS369" s="14" t="str">
        <f t="shared" si="145"/>
        <v>神器5-2</v>
      </c>
      <c r="GT369" s="14">
        <f t="shared" si="146"/>
        <v>3</v>
      </c>
    </row>
    <row r="370" spans="195:202" ht="16.5" x14ac:dyDescent="0.2">
      <c r="GM370" s="91">
        <v>364</v>
      </c>
      <c r="GN370" s="14">
        <f t="shared" si="142"/>
        <v>22</v>
      </c>
      <c r="GO370" s="14">
        <f t="shared" si="143"/>
        <v>1606028</v>
      </c>
      <c r="GP370" s="14" t="str">
        <f t="shared" si="147"/>
        <v>神器5-2 : 级</v>
      </c>
      <c r="GQ370" s="14" t="s">
        <v>816</v>
      </c>
      <c r="GR370" s="14">
        <f t="shared" si="144"/>
        <v>10</v>
      </c>
      <c r="GS370" s="14" t="str">
        <f t="shared" si="145"/>
        <v>神器5-2</v>
      </c>
      <c r="GT370" s="14">
        <f t="shared" si="146"/>
        <v>5</v>
      </c>
    </row>
    <row r="371" spans="195:202" ht="16.5" x14ac:dyDescent="0.2">
      <c r="GM371" s="91">
        <v>365</v>
      </c>
      <c r="GN371" s="14">
        <f t="shared" si="142"/>
        <v>22</v>
      </c>
      <c r="GO371" s="14">
        <f t="shared" si="143"/>
        <v>1606028</v>
      </c>
      <c r="GP371" s="14" t="str">
        <f t="shared" si="147"/>
        <v>神器5-2 : 级</v>
      </c>
      <c r="GQ371" s="14" t="s">
        <v>816</v>
      </c>
      <c r="GR371" s="14">
        <f t="shared" si="144"/>
        <v>11</v>
      </c>
      <c r="GS371" s="14" t="str">
        <f t="shared" si="145"/>
        <v>神器5-2</v>
      </c>
      <c r="GT371" s="14">
        <f t="shared" si="146"/>
        <v>5</v>
      </c>
    </row>
    <row r="372" spans="195:202" ht="16.5" x14ac:dyDescent="0.2">
      <c r="GM372" s="91">
        <v>366</v>
      </c>
      <c r="GN372" s="14">
        <f t="shared" si="142"/>
        <v>22</v>
      </c>
      <c r="GO372" s="14">
        <f t="shared" si="143"/>
        <v>1606028</v>
      </c>
      <c r="GP372" s="14" t="str">
        <f t="shared" si="147"/>
        <v>神器5-2 : 级</v>
      </c>
      <c r="GQ372" s="14" t="s">
        <v>816</v>
      </c>
      <c r="GR372" s="14">
        <f t="shared" si="144"/>
        <v>12</v>
      </c>
      <c r="GS372" s="14" t="str">
        <f t="shared" si="145"/>
        <v>神器5-2</v>
      </c>
      <c r="GT372" s="14">
        <f t="shared" si="146"/>
        <v>6</v>
      </c>
    </row>
    <row r="373" spans="195:202" ht="16.5" x14ac:dyDescent="0.2">
      <c r="GM373" s="91">
        <v>367</v>
      </c>
      <c r="GN373" s="14">
        <f t="shared" si="142"/>
        <v>22</v>
      </c>
      <c r="GO373" s="14">
        <f t="shared" si="143"/>
        <v>1606028</v>
      </c>
      <c r="GP373" s="14" t="str">
        <f t="shared" si="147"/>
        <v>神器5-2 : 级</v>
      </c>
      <c r="GQ373" s="14" t="s">
        <v>816</v>
      </c>
      <c r="GR373" s="14">
        <f t="shared" si="144"/>
        <v>13</v>
      </c>
      <c r="GS373" s="14" t="str">
        <f t="shared" si="145"/>
        <v>神器5-2</v>
      </c>
      <c r="GT373" s="14">
        <f t="shared" si="146"/>
        <v>7</v>
      </c>
    </row>
    <row r="374" spans="195:202" ht="16.5" x14ac:dyDescent="0.2">
      <c r="GM374" s="91">
        <v>368</v>
      </c>
      <c r="GN374" s="14">
        <f t="shared" si="142"/>
        <v>22</v>
      </c>
      <c r="GO374" s="14">
        <f t="shared" si="143"/>
        <v>1606028</v>
      </c>
      <c r="GP374" s="14" t="str">
        <f t="shared" si="147"/>
        <v>神器5-2 : 级</v>
      </c>
      <c r="GQ374" s="14" t="s">
        <v>816</v>
      </c>
      <c r="GR374" s="14">
        <f t="shared" si="144"/>
        <v>14</v>
      </c>
      <c r="GS374" s="14" t="str">
        <f t="shared" si="145"/>
        <v>神器5-2</v>
      </c>
      <c r="GT374" s="14">
        <f t="shared" si="146"/>
        <v>7</v>
      </c>
    </row>
    <row r="375" spans="195:202" ht="16.5" x14ac:dyDescent="0.2">
      <c r="GM375" s="91">
        <v>369</v>
      </c>
      <c r="GN375" s="14">
        <f t="shared" si="142"/>
        <v>22</v>
      </c>
      <c r="GO375" s="14">
        <f t="shared" si="143"/>
        <v>1606028</v>
      </c>
      <c r="GP375" s="14" t="str">
        <f t="shared" si="147"/>
        <v>神器5-2 : 级</v>
      </c>
      <c r="GQ375" s="14" t="s">
        <v>816</v>
      </c>
      <c r="GR375" s="14">
        <f t="shared" si="144"/>
        <v>15</v>
      </c>
      <c r="GS375" s="14" t="str">
        <f t="shared" si="145"/>
        <v>神器5-2</v>
      </c>
      <c r="GT375" s="14">
        <f t="shared" si="146"/>
        <v>7</v>
      </c>
    </row>
    <row r="376" spans="195:202" ht="16.5" x14ac:dyDescent="0.2">
      <c r="GM376" s="91">
        <v>370</v>
      </c>
      <c r="GN376" s="14">
        <f t="shared" si="142"/>
        <v>22</v>
      </c>
      <c r="GO376" s="14">
        <f t="shared" si="143"/>
        <v>1606028</v>
      </c>
      <c r="GP376" s="14" t="str">
        <f t="shared" si="147"/>
        <v>神器5-2 : 级</v>
      </c>
      <c r="GQ376" s="14" t="s">
        <v>816</v>
      </c>
      <c r="GR376" s="14">
        <f t="shared" si="144"/>
        <v>16</v>
      </c>
      <c r="GS376" s="14" t="str">
        <f t="shared" si="145"/>
        <v>神器5-2</v>
      </c>
      <c r="GT376" s="14">
        <f t="shared" si="146"/>
        <v>10</v>
      </c>
    </row>
    <row r="377" spans="195:202" ht="16.5" x14ac:dyDescent="0.2">
      <c r="GM377" s="91">
        <v>371</v>
      </c>
      <c r="GN377" s="14">
        <f t="shared" si="142"/>
        <v>22</v>
      </c>
      <c r="GO377" s="14">
        <f t="shared" si="143"/>
        <v>1606028</v>
      </c>
      <c r="GP377" s="14" t="str">
        <f t="shared" si="147"/>
        <v>神器5-2 : 级</v>
      </c>
      <c r="GQ377" s="14" t="s">
        <v>816</v>
      </c>
      <c r="GR377" s="14">
        <f t="shared" si="144"/>
        <v>17</v>
      </c>
      <c r="GS377" s="14" t="str">
        <f t="shared" si="145"/>
        <v>神器5-2</v>
      </c>
      <c r="GT377" s="14">
        <f t="shared" si="146"/>
        <v>10</v>
      </c>
    </row>
    <row r="378" spans="195:202" ht="16.5" x14ac:dyDescent="0.2">
      <c r="GM378" s="91">
        <v>372</v>
      </c>
      <c r="GN378" s="14">
        <f t="shared" si="142"/>
        <v>22</v>
      </c>
      <c r="GO378" s="14">
        <f t="shared" si="143"/>
        <v>1606028</v>
      </c>
      <c r="GP378" s="14" t="str">
        <f t="shared" si="147"/>
        <v>神器5-2 : 级</v>
      </c>
      <c r="GQ378" s="14" t="s">
        <v>816</v>
      </c>
      <c r="GR378" s="14">
        <f t="shared" si="144"/>
        <v>18</v>
      </c>
      <c r="GS378" s="14" t="str">
        <f t="shared" si="145"/>
        <v>神器5-2</v>
      </c>
      <c r="GT378" s="14">
        <f t="shared" si="146"/>
        <v>10</v>
      </c>
    </row>
    <row r="379" spans="195:202" ht="16.5" x14ac:dyDescent="0.2">
      <c r="GM379" s="91">
        <v>373</v>
      </c>
      <c r="GN379" s="14">
        <f t="shared" si="142"/>
        <v>23</v>
      </c>
      <c r="GO379" s="14">
        <f t="shared" si="143"/>
        <v>1606029</v>
      </c>
      <c r="GP379" s="14" t="str">
        <f t="shared" si="147"/>
        <v>神器5-3 : 级</v>
      </c>
      <c r="GQ379" s="14" t="s">
        <v>816</v>
      </c>
      <c r="GR379" s="14">
        <f t="shared" si="144"/>
        <v>1</v>
      </c>
      <c r="GS379" s="14" t="str">
        <f t="shared" si="145"/>
        <v>神器5-3</v>
      </c>
      <c r="GT379" s="14">
        <f t="shared" si="146"/>
        <v>1</v>
      </c>
    </row>
    <row r="380" spans="195:202" ht="16.5" x14ac:dyDescent="0.2">
      <c r="GM380" s="91">
        <v>374</v>
      </c>
      <c r="GN380" s="14">
        <f t="shared" si="142"/>
        <v>23</v>
      </c>
      <c r="GO380" s="14">
        <f t="shared" si="143"/>
        <v>1606029</v>
      </c>
      <c r="GP380" s="14" t="str">
        <f t="shared" si="147"/>
        <v>神器5-3 : 级</v>
      </c>
      <c r="GQ380" s="14" t="s">
        <v>816</v>
      </c>
      <c r="GR380" s="14">
        <f t="shared" si="144"/>
        <v>2</v>
      </c>
      <c r="GS380" s="14" t="str">
        <f t="shared" si="145"/>
        <v>神器5-3</v>
      </c>
      <c r="GT380" s="14">
        <f t="shared" si="146"/>
        <v>1</v>
      </c>
    </row>
    <row r="381" spans="195:202" ht="16.5" x14ac:dyDescent="0.2">
      <c r="GM381" s="91">
        <v>375</v>
      </c>
      <c r="GN381" s="14">
        <f t="shared" si="142"/>
        <v>23</v>
      </c>
      <c r="GO381" s="14">
        <f t="shared" si="143"/>
        <v>1606029</v>
      </c>
      <c r="GP381" s="14" t="str">
        <f t="shared" si="147"/>
        <v>神器5-3 : 级</v>
      </c>
      <c r="GQ381" s="14" t="s">
        <v>816</v>
      </c>
      <c r="GR381" s="14">
        <f t="shared" si="144"/>
        <v>3</v>
      </c>
      <c r="GS381" s="14" t="str">
        <f t="shared" si="145"/>
        <v>神器5-3</v>
      </c>
      <c r="GT381" s="14">
        <f t="shared" si="146"/>
        <v>1</v>
      </c>
    </row>
    <row r="382" spans="195:202" ht="16.5" x14ac:dyDescent="0.2">
      <c r="GM382" s="91">
        <v>376</v>
      </c>
      <c r="GN382" s="14">
        <f t="shared" si="142"/>
        <v>23</v>
      </c>
      <c r="GO382" s="14">
        <f t="shared" si="143"/>
        <v>1606029</v>
      </c>
      <c r="GP382" s="14" t="str">
        <f t="shared" si="147"/>
        <v>神器5-3 : 级</v>
      </c>
      <c r="GQ382" s="14" t="s">
        <v>816</v>
      </c>
      <c r="GR382" s="14">
        <f t="shared" si="144"/>
        <v>4</v>
      </c>
      <c r="GS382" s="14" t="str">
        <f t="shared" si="145"/>
        <v>神器5-3</v>
      </c>
      <c r="GT382" s="14">
        <f t="shared" si="146"/>
        <v>2</v>
      </c>
    </row>
    <row r="383" spans="195:202" ht="16.5" x14ac:dyDescent="0.2">
      <c r="GM383" s="91">
        <v>377</v>
      </c>
      <c r="GN383" s="14">
        <f t="shared" si="142"/>
        <v>23</v>
      </c>
      <c r="GO383" s="14">
        <f t="shared" si="143"/>
        <v>1606029</v>
      </c>
      <c r="GP383" s="14" t="str">
        <f t="shared" si="147"/>
        <v>神器5-3 : 级</v>
      </c>
      <c r="GQ383" s="14" t="s">
        <v>816</v>
      </c>
      <c r="GR383" s="14">
        <f t="shared" si="144"/>
        <v>5</v>
      </c>
      <c r="GS383" s="14" t="str">
        <f t="shared" si="145"/>
        <v>神器5-3</v>
      </c>
      <c r="GT383" s="14">
        <f t="shared" si="146"/>
        <v>2</v>
      </c>
    </row>
    <row r="384" spans="195:202" ht="16.5" x14ac:dyDescent="0.2">
      <c r="GM384" s="91">
        <v>378</v>
      </c>
      <c r="GN384" s="14">
        <f t="shared" si="142"/>
        <v>23</v>
      </c>
      <c r="GO384" s="14">
        <f t="shared" si="143"/>
        <v>1606029</v>
      </c>
      <c r="GP384" s="14" t="str">
        <f t="shared" si="147"/>
        <v>神器5-3 : 级</v>
      </c>
      <c r="GQ384" s="14" t="s">
        <v>816</v>
      </c>
      <c r="GR384" s="14">
        <f t="shared" si="144"/>
        <v>6</v>
      </c>
      <c r="GS384" s="14" t="str">
        <f t="shared" si="145"/>
        <v>神器5-3</v>
      </c>
      <c r="GT384" s="14">
        <f t="shared" si="146"/>
        <v>2</v>
      </c>
    </row>
    <row r="385" spans="195:202" ht="16.5" x14ac:dyDescent="0.2">
      <c r="GM385" s="91">
        <v>379</v>
      </c>
      <c r="GN385" s="14">
        <f t="shared" si="142"/>
        <v>23</v>
      </c>
      <c r="GO385" s="14">
        <f t="shared" si="143"/>
        <v>1606029</v>
      </c>
      <c r="GP385" s="14" t="str">
        <f t="shared" si="147"/>
        <v>神器5-3 : 级</v>
      </c>
      <c r="GQ385" s="14" t="s">
        <v>816</v>
      </c>
      <c r="GR385" s="14">
        <f t="shared" si="144"/>
        <v>7</v>
      </c>
      <c r="GS385" s="14" t="str">
        <f t="shared" si="145"/>
        <v>神器5-3</v>
      </c>
      <c r="GT385" s="14">
        <f t="shared" si="146"/>
        <v>3</v>
      </c>
    </row>
    <row r="386" spans="195:202" ht="16.5" x14ac:dyDescent="0.2">
      <c r="GM386" s="91">
        <v>380</v>
      </c>
      <c r="GN386" s="14">
        <f t="shared" si="142"/>
        <v>23</v>
      </c>
      <c r="GO386" s="14">
        <f t="shared" si="143"/>
        <v>1606029</v>
      </c>
      <c r="GP386" s="14" t="str">
        <f t="shared" si="147"/>
        <v>神器5-3 : 级</v>
      </c>
      <c r="GQ386" s="14" t="s">
        <v>816</v>
      </c>
      <c r="GR386" s="14">
        <f t="shared" si="144"/>
        <v>8</v>
      </c>
      <c r="GS386" s="14" t="str">
        <f t="shared" si="145"/>
        <v>神器5-3</v>
      </c>
      <c r="GT386" s="14">
        <f t="shared" si="146"/>
        <v>3</v>
      </c>
    </row>
    <row r="387" spans="195:202" ht="16.5" x14ac:dyDescent="0.2">
      <c r="GM387" s="91">
        <v>381</v>
      </c>
      <c r="GN387" s="14">
        <f t="shared" si="142"/>
        <v>23</v>
      </c>
      <c r="GO387" s="14">
        <f t="shared" si="143"/>
        <v>1606029</v>
      </c>
      <c r="GP387" s="14" t="str">
        <f t="shared" si="147"/>
        <v>神器5-3 : 级</v>
      </c>
      <c r="GQ387" s="14" t="s">
        <v>816</v>
      </c>
      <c r="GR387" s="14">
        <f t="shared" si="144"/>
        <v>9</v>
      </c>
      <c r="GS387" s="14" t="str">
        <f t="shared" si="145"/>
        <v>神器5-3</v>
      </c>
      <c r="GT387" s="14">
        <f t="shared" si="146"/>
        <v>3</v>
      </c>
    </row>
    <row r="388" spans="195:202" ht="16.5" x14ac:dyDescent="0.2">
      <c r="GM388" s="91">
        <v>382</v>
      </c>
      <c r="GN388" s="14">
        <f t="shared" si="142"/>
        <v>23</v>
      </c>
      <c r="GO388" s="14">
        <f t="shared" si="143"/>
        <v>1606029</v>
      </c>
      <c r="GP388" s="14" t="str">
        <f t="shared" si="147"/>
        <v>神器5-3 : 级</v>
      </c>
      <c r="GQ388" s="14" t="s">
        <v>816</v>
      </c>
      <c r="GR388" s="14">
        <f t="shared" si="144"/>
        <v>10</v>
      </c>
      <c r="GS388" s="14" t="str">
        <f t="shared" si="145"/>
        <v>神器5-3</v>
      </c>
      <c r="GT388" s="14">
        <f t="shared" si="146"/>
        <v>5</v>
      </c>
    </row>
    <row r="389" spans="195:202" ht="16.5" x14ac:dyDescent="0.2">
      <c r="GM389" s="91">
        <v>383</v>
      </c>
      <c r="GN389" s="14">
        <f t="shared" si="142"/>
        <v>23</v>
      </c>
      <c r="GO389" s="14">
        <f t="shared" si="143"/>
        <v>1606029</v>
      </c>
      <c r="GP389" s="14" t="str">
        <f t="shared" si="147"/>
        <v>神器5-3 : 级</v>
      </c>
      <c r="GQ389" s="14" t="s">
        <v>816</v>
      </c>
      <c r="GR389" s="14">
        <f t="shared" si="144"/>
        <v>11</v>
      </c>
      <c r="GS389" s="14" t="str">
        <f t="shared" si="145"/>
        <v>神器5-3</v>
      </c>
      <c r="GT389" s="14">
        <f t="shared" si="146"/>
        <v>5</v>
      </c>
    </row>
    <row r="390" spans="195:202" ht="16.5" x14ac:dyDescent="0.2">
      <c r="GM390" s="91">
        <v>384</v>
      </c>
      <c r="GN390" s="14">
        <f t="shared" si="142"/>
        <v>23</v>
      </c>
      <c r="GO390" s="14">
        <f t="shared" si="143"/>
        <v>1606029</v>
      </c>
      <c r="GP390" s="14" t="str">
        <f t="shared" si="147"/>
        <v>神器5-3 : 级</v>
      </c>
      <c r="GQ390" s="14" t="s">
        <v>816</v>
      </c>
      <c r="GR390" s="14">
        <f t="shared" si="144"/>
        <v>12</v>
      </c>
      <c r="GS390" s="14" t="str">
        <f t="shared" si="145"/>
        <v>神器5-3</v>
      </c>
      <c r="GT390" s="14">
        <f t="shared" si="146"/>
        <v>6</v>
      </c>
    </row>
    <row r="391" spans="195:202" ht="16.5" x14ac:dyDescent="0.2">
      <c r="GM391" s="91">
        <v>385</v>
      </c>
      <c r="GN391" s="14">
        <f t="shared" si="142"/>
        <v>23</v>
      </c>
      <c r="GO391" s="14">
        <f t="shared" si="143"/>
        <v>1606029</v>
      </c>
      <c r="GP391" s="14" t="str">
        <f t="shared" si="147"/>
        <v>神器5-3 : 级</v>
      </c>
      <c r="GQ391" s="14" t="s">
        <v>816</v>
      </c>
      <c r="GR391" s="14">
        <f t="shared" si="144"/>
        <v>13</v>
      </c>
      <c r="GS391" s="14" t="str">
        <f t="shared" si="145"/>
        <v>神器5-3</v>
      </c>
      <c r="GT391" s="14">
        <f t="shared" si="146"/>
        <v>7</v>
      </c>
    </row>
    <row r="392" spans="195:202" ht="16.5" x14ac:dyDescent="0.2">
      <c r="GM392" s="91">
        <v>386</v>
      </c>
      <c r="GN392" s="14">
        <f t="shared" ref="GN392:GN455" si="148">MATCH(GM392-1,$R$7:$R$49,1)</f>
        <v>23</v>
      </c>
      <c r="GO392" s="14">
        <f t="shared" ref="GO392:GO455" si="149">INDEX($S$8:$S$49,GN392)</f>
        <v>1606029</v>
      </c>
      <c r="GP392" s="14" t="str">
        <f t="shared" si="147"/>
        <v>神器5-3 : 级</v>
      </c>
      <c r="GQ392" s="14" t="s">
        <v>816</v>
      </c>
      <c r="GR392" s="14">
        <f t="shared" ref="GR392:GR455" si="150">GM392-INDEX($R$7:$R$49,GN392)</f>
        <v>14</v>
      </c>
      <c r="GS392" s="14" t="str">
        <f t="shared" ref="GS392:GS455" si="151">INDEX($T$8:$T$49,GN392)</f>
        <v>神器5-3</v>
      </c>
      <c r="GT392" s="14">
        <f t="shared" ref="GT392:GT455" si="152">INDEX($K$8:$K$28,GR392)</f>
        <v>7</v>
      </c>
    </row>
    <row r="393" spans="195:202" ht="16.5" x14ac:dyDescent="0.2">
      <c r="GM393" s="91">
        <v>387</v>
      </c>
      <c r="GN393" s="14">
        <f t="shared" si="148"/>
        <v>23</v>
      </c>
      <c r="GO393" s="14">
        <f t="shared" si="149"/>
        <v>1606029</v>
      </c>
      <c r="GP393" s="14" t="str">
        <f t="shared" si="147"/>
        <v>神器5-3 : 级</v>
      </c>
      <c r="GQ393" s="14" t="s">
        <v>816</v>
      </c>
      <c r="GR393" s="14">
        <f t="shared" si="150"/>
        <v>15</v>
      </c>
      <c r="GS393" s="14" t="str">
        <f t="shared" si="151"/>
        <v>神器5-3</v>
      </c>
      <c r="GT393" s="14">
        <f t="shared" si="152"/>
        <v>7</v>
      </c>
    </row>
    <row r="394" spans="195:202" ht="16.5" x14ac:dyDescent="0.2">
      <c r="GM394" s="91">
        <v>388</v>
      </c>
      <c r="GN394" s="14">
        <f t="shared" si="148"/>
        <v>23</v>
      </c>
      <c r="GO394" s="14">
        <f t="shared" si="149"/>
        <v>1606029</v>
      </c>
      <c r="GP394" s="14" t="str">
        <f t="shared" si="147"/>
        <v>神器5-3 : 级</v>
      </c>
      <c r="GQ394" s="14" t="s">
        <v>816</v>
      </c>
      <c r="GR394" s="14">
        <f t="shared" si="150"/>
        <v>16</v>
      </c>
      <c r="GS394" s="14" t="str">
        <f t="shared" si="151"/>
        <v>神器5-3</v>
      </c>
      <c r="GT394" s="14">
        <f t="shared" si="152"/>
        <v>10</v>
      </c>
    </row>
    <row r="395" spans="195:202" ht="16.5" x14ac:dyDescent="0.2">
      <c r="GM395" s="91">
        <v>389</v>
      </c>
      <c r="GN395" s="14">
        <f t="shared" si="148"/>
        <v>23</v>
      </c>
      <c r="GO395" s="14">
        <f t="shared" si="149"/>
        <v>1606029</v>
      </c>
      <c r="GP395" s="14" t="str">
        <f t="shared" si="147"/>
        <v>神器5-3 : 级</v>
      </c>
      <c r="GQ395" s="14" t="s">
        <v>816</v>
      </c>
      <c r="GR395" s="14">
        <f t="shared" si="150"/>
        <v>17</v>
      </c>
      <c r="GS395" s="14" t="str">
        <f t="shared" si="151"/>
        <v>神器5-3</v>
      </c>
      <c r="GT395" s="14">
        <f t="shared" si="152"/>
        <v>10</v>
      </c>
    </row>
    <row r="396" spans="195:202" ht="16.5" x14ac:dyDescent="0.2">
      <c r="GM396" s="91">
        <v>390</v>
      </c>
      <c r="GN396" s="14">
        <f t="shared" si="148"/>
        <v>23</v>
      </c>
      <c r="GO396" s="14">
        <f t="shared" si="149"/>
        <v>1606029</v>
      </c>
      <c r="GP396" s="14" t="str">
        <f t="shared" si="147"/>
        <v>神器5-3 : 级</v>
      </c>
      <c r="GQ396" s="14" t="s">
        <v>816</v>
      </c>
      <c r="GR396" s="14">
        <f t="shared" si="150"/>
        <v>18</v>
      </c>
      <c r="GS396" s="14" t="str">
        <f t="shared" si="151"/>
        <v>神器5-3</v>
      </c>
      <c r="GT396" s="14">
        <f t="shared" si="152"/>
        <v>10</v>
      </c>
    </row>
    <row r="397" spans="195:202" ht="16.5" x14ac:dyDescent="0.2">
      <c r="GM397" s="91">
        <v>391</v>
      </c>
      <c r="GN397" s="14">
        <f t="shared" si="148"/>
        <v>24</v>
      </c>
      <c r="GO397" s="14">
        <f t="shared" si="149"/>
        <v>1606030</v>
      </c>
      <c r="GP397" s="14" t="str">
        <f t="shared" si="147"/>
        <v>神器5-4 : 级</v>
      </c>
      <c r="GQ397" s="14" t="s">
        <v>816</v>
      </c>
      <c r="GR397" s="14">
        <f t="shared" si="150"/>
        <v>1</v>
      </c>
      <c r="GS397" s="14" t="str">
        <f t="shared" si="151"/>
        <v>神器5-4</v>
      </c>
      <c r="GT397" s="14">
        <f t="shared" si="152"/>
        <v>1</v>
      </c>
    </row>
    <row r="398" spans="195:202" ht="16.5" x14ac:dyDescent="0.2">
      <c r="GM398" s="91">
        <v>392</v>
      </c>
      <c r="GN398" s="14">
        <f t="shared" si="148"/>
        <v>24</v>
      </c>
      <c r="GO398" s="14">
        <f t="shared" si="149"/>
        <v>1606030</v>
      </c>
      <c r="GP398" s="14" t="str">
        <f t="shared" si="147"/>
        <v>神器5-4 : 级</v>
      </c>
      <c r="GQ398" s="14" t="s">
        <v>816</v>
      </c>
      <c r="GR398" s="14">
        <f t="shared" si="150"/>
        <v>2</v>
      </c>
      <c r="GS398" s="14" t="str">
        <f t="shared" si="151"/>
        <v>神器5-4</v>
      </c>
      <c r="GT398" s="14">
        <f t="shared" si="152"/>
        <v>1</v>
      </c>
    </row>
    <row r="399" spans="195:202" ht="16.5" x14ac:dyDescent="0.2">
      <c r="GM399" s="91">
        <v>393</v>
      </c>
      <c r="GN399" s="14">
        <f t="shared" si="148"/>
        <v>24</v>
      </c>
      <c r="GO399" s="14">
        <f t="shared" si="149"/>
        <v>1606030</v>
      </c>
      <c r="GP399" s="14" t="str">
        <f t="shared" si="147"/>
        <v>神器5-4 : 级</v>
      </c>
      <c r="GQ399" s="14" t="s">
        <v>816</v>
      </c>
      <c r="GR399" s="14">
        <f t="shared" si="150"/>
        <v>3</v>
      </c>
      <c r="GS399" s="14" t="str">
        <f t="shared" si="151"/>
        <v>神器5-4</v>
      </c>
      <c r="GT399" s="14">
        <f t="shared" si="152"/>
        <v>1</v>
      </c>
    </row>
    <row r="400" spans="195:202" ht="16.5" x14ac:dyDescent="0.2">
      <c r="GM400" s="91">
        <v>394</v>
      </c>
      <c r="GN400" s="14">
        <f t="shared" si="148"/>
        <v>24</v>
      </c>
      <c r="GO400" s="14">
        <f t="shared" si="149"/>
        <v>1606030</v>
      </c>
      <c r="GP400" s="14" t="str">
        <f t="shared" si="147"/>
        <v>神器5-4 : 级</v>
      </c>
      <c r="GQ400" s="14" t="s">
        <v>816</v>
      </c>
      <c r="GR400" s="14">
        <f t="shared" si="150"/>
        <v>4</v>
      </c>
      <c r="GS400" s="14" t="str">
        <f t="shared" si="151"/>
        <v>神器5-4</v>
      </c>
      <c r="GT400" s="14">
        <f t="shared" si="152"/>
        <v>2</v>
      </c>
    </row>
    <row r="401" spans="195:202" ht="16.5" x14ac:dyDescent="0.2">
      <c r="GM401" s="91">
        <v>395</v>
      </c>
      <c r="GN401" s="14">
        <f t="shared" si="148"/>
        <v>24</v>
      </c>
      <c r="GO401" s="14">
        <f t="shared" si="149"/>
        <v>1606030</v>
      </c>
      <c r="GP401" s="14" t="str">
        <f t="shared" si="147"/>
        <v>神器5-4 : 级</v>
      </c>
      <c r="GQ401" s="14" t="s">
        <v>816</v>
      </c>
      <c r="GR401" s="14">
        <f t="shared" si="150"/>
        <v>5</v>
      </c>
      <c r="GS401" s="14" t="str">
        <f t="shared" si="151"/>
        <v>神器5-4</v>
      </c>
      <c r="GT401" s="14">
        <f t="shared" si="152"/>
        <v>2</v>
      </c>
    </row>
    <row r="402" spans="195:202" ht="16.5" x14ac:dyDescent="0.2">
      <c r="GM402" s="91">
        <v>396</v>
      </c>
      <c r="GN402" s="14">
        <f t="shared" si="148"/>
        <v>24</v>
      </c>
      <c r="GO402" s="14">
        <f t="shared" si="149"/>
        <v>1606030</v>
      </c>
      <c r="GP402" s="14" t="str">
        <f t="shared" si="147"/>
        <v>神器5-4 : 级</v>
      </c>
      <c r="GQ402" s="14" t="s">
        <v>816</v>
      </c>
      <c r="GR402" s="14">
        <f t="shared" si="150"/>
        <v>6</v>
      </c>
      <c r="GS402" s="14" t="str">
        <f t="shared" si="151"/>
        <v>神器5-4</v>
      </c>
      <c r="GT402" s="14">
        <f t="shared" si="152"/>
        <v>2</v>
      </c>
    </row>
    <row r="403" spans="195:202" ht="16.5" x14ac:dyDescent="0.2">
      <c r="GM403" s="91">
        <v>397</v>
      </c>
      <c r="GN403" s="14">
        <f t="shared" si="148"/>
        <v>24</v>
      </c>
      <c r="GO403" s="14">
        <f t="shared" si="149"/>
        <v>1606030</v>
      </c>
      <c r="GP403" s="14" t="str">
        <f t="shared" si="147"/>
        <v>神器5-4 : 级</v>
      </c>
      <c r="GQ403" s="14" t="s">
        <v>816</v>
      </c>
      <c r="GR403" s="14">
        <f t="shared" si="150"/>
        <v>7</v>
      </c>
      <c r="GS403" s="14" t="str">
        <f t="shared" si="151"/>
        <v>神器5-4</v>
      </c>
      <c r="GT403" s="14">
        <f t="shared" si="152"/>
        <v>3</v>
      </c>
    </row>
    <row r="404" spans="195:202" ht="16.5" x14ac:dyDescent="0.2">
      <c r="GM404" s="91">
        <v>398</v>
      </c>
      <c r="GN404" s="14">
        <f t="shared" si="148"/>
        <v>24</v>
      </c>
      <c r="GO404" s="14">
        <f t="shared" si="149"/>
        <v>1606030</v>
      </c>
      <c r="GP404" s="14" t="str">
        <f t="shared" si="147"/>
        <v>神器5-4 : 级</v>
      </c>
      <c r="GQ404" s="14" t="s">
        <v>816</v>
      </c>
      <c r="GR404" s="14">
        <f t="shared" si="150"/>
        <v>8</v>
      </c>
      <c r="GS404" s="14" t="str">
        <f t="shared" si="151"/>
        <v>神器5-4</v>
      </c>
      <c r="GT404" s="14">
        <f t="shared" si="152"/>
        <v>3</v>
      </c>
    </row>
    <row r="405" spans="195:202" ht="16.5" x14ac:dyDescent="0.2">
      <c r="GM405" s="91">
        <v>399</v>
      </c>
      <c r="GN405" s="14">
        <f t="shared" si="148"/>
        <v>24</v>
      </c>
      <c r="GO405" s="14">
        <f t="shared" si="149"/>
        <v>1606030</v>
      </c>
      <c r="GP405" s="14" t="str">
        <f t="shared" si="147"/>
        <v>神器5-4 : 级</v>
      </c>
      <c r="GQ405" s="14" t="s">
        <v>816</v>
      </c>
      <c r="GR405" s="14">
        <f t="shared" si="150"/>
        <v>9</v>
      </c>
      <c r="GS405" s="14" t="str">
        <f t="shared" si="151"/>
        <v>神器5-4</v>
      </c>
      <c r="GT405" s="14">
        <f t="shared" si="152"/>
        <v>3</v>
      </c>
    </row>
    <row r="406" spans="195:202" ht="16.5" x14ac:dyDescent="0.2">
      <c r="GM406" s="91">
        <v>400</v>
      </c>
      <c r="GN406" s="14">
        <f t="shared" si="148"/>
        <v>24</v>
      </c>
      <c r="GO406" s="14">
        <f t="shared" si="149"/>
        <v>1606030</v>
      </c>
      <c r="GP406" s="14" t="str">
        <f t="shared" si="147"/>
        <v>神器5-4 : 级</v>
      </c>
      <c r="GQ406" s="14" t="s">
        <v>816</v>
      </c>
      <c r="GR406" s="14">
        <f t="shared" si="150"/>
        <v>10</v>
      </c>
      <c r="GS406" s="14" t="str">
        <f t="shared" si="151"/>
        <v>神器5-4</v>
      </c>
      <c r="GT406" s="14">
        <f t="shared" si="152"/>
        <v>5</v>
      </c>
    </row>
    <row r="407" spans="195:202" ht="16.5" x14ac:dyDescent="0.2">
      <c r="GM407" s="91">
        <v>401</v>
      </c>
      <c r="GN407" s="14">
        <f t="shared" si="148"/>
        <v>24</v>
      </c>
      <c r="GO407" s="14">
        <f t="shared" si="149"/>
        <v>1606030</v>
      </c>
      <c r="GP407" s="14" t="str">
        <f t="shared" si="147"/>
        <v>神器5-4 : 级</v>
      </c>
      <c r="GQ407" s="14" t="s">
        <v>816</v>
      </c>
      <c r="GR407" s="14">
        <f t="shared" si="150"/>
        <v>11</v>
      </c>
      <c r="GS407" s="14" t="str">
        <f t="shared" si="151"/>
        <v>神器5-4</v>
      </c>
      <c r="GT407" s="14">
        <f t="shared" si="152"/>
        <v>5</v>
      </c>
    </row>
    <row r="408" spans="195:202" ht="16.5" x14ac:dyDescent="0.2">
      <c r="GM408" s="91">
        <v>402</v>
      </c>
      <c r="GN408" s="14">
        <f t="shared" si="148"/>
        <v>24</v>
      </c>
      <c r="GO408" s="14">
        <f t="shared" si="149"/>
        <v>1606030</v>
      </c>
      <c r="GP408" s="14" t="str">
        <f t="shared" ref="GP408:GP471" si="153">INDEX($T$8:$T$49,GN408)&amp;" : "&amp;AR408&amp;"级"</f>
        <v>神器5-4 : 级</v>
      </c>
      <c r="GQ408" s="14" t="s">
        <v>816</v>
      </c>
      <c r="GR408" s="14">
        <f t="shared" si="150"/>
        <v>12</v>
      </c>
      <c r="GS408" s="14" t="str">
        <f t="shared" si="151"/>
        <v>神器5-4</v>
      </c>
      <c r="GT408" s="14">
        <f t="shared" si="152"/>
        <v>6</v>
      </c>
    </row>
    <row r="409" spans="195:202" ht="16.5" x14ac:dyDescent="0.2">
      <c r="GM409" s="91">
        <v>403</v>
      </c>
      <c r="GN409" s="14">
        <f t="shared" si="148"/>
        <v>24</v>
      </c>
      <c r="GO409" s="14">
        <f t="shared" si="149"/>
        <v>1606030</v>
      </c>
      <c r="GP409" s="14" t="str">
        <f t="shared" si="153"/>
        <v>神器5-4 : 级</v>
      </c>
      <c r="GQ409" s="14" t="s">
        <v>816</v>
      </c>
      <c r="GR409" s="14">
        <f t="shared" si="150"/>
        <v>13</v>
      </c>
      <c r="GS409" s="14" t="str">
        <f t="shared" si="151"/>
        <v>神器5-4</v>
      </c>
      <c r="GT409" s="14">
        <f t="shared" si="152"/>
        <v>7</v>
      </c>
    </row>
    <row r="410" spans="195:202" ht="16.5" x14ac:dyDescent="0.2">
      <c r="GM410" s="91">
        <v>404</v>
      </c>
      <c r="GN410" s="14">
        <f t="shared" si="148"/>
        <v>24</v>
      </c>
      <c r="GO410" s="14">
        <f t="shared" si="149"/>
        <v>1606030</v>
      </c>
      <c r="GP410" s="14" t="str">
        <f t="shared" si="153"/>
        <v>神器5-4 : 级</v>
      </c>
      <c r="GQ410" s="14" t="s">
        <v>816</v>
      </c>
      <c r="GR410" s="14">
        <f t="shared" si="150"/>
        <v>14</v>
      </c>
      <c r="GS410" s="14" t="str">
        <f t="shared" si="151"/>
        <v>神器5-4</v>
      </c>
      <c r="GT410" s="14">
        <f t="shared" si="152"/>
        <v>7</v>
      </c>
    </row>
    <row r="411" spans="195:202" ht="16.5" x14ac:dyDescent="0.2">
      <c r="GM411" s="91">
        <v>405</v>
      </c>
      <c r="GN411" s="14">
        <f t="shared" si="148"/>
        <v>24</v>
      </c>
      <c r="GO411" s="14">
        <f t="shared" si="149"/>
        <v>1606030</v>
      </c>
      <c r="GP411" s="14" t="str">
        <f t="shared" si="153"/>
        <v>神器5-4 : 级</v>
      </c>
      <c r="GQ411" s="14" t="s">
        <v>816</v>
      </c>
      <c r="GR411" s="14">
        <f t="shared" si="150"/>
        <v>15</v>
      </c>
      <c r="GS411" s="14" t="str">
        <f t="shared" si="151"/>
        <v>神器5-4</v>
      </c>
      <c r="GT411" s="14">
        <f t="shared" si="152"/>
        <v>7</v>
      </c>
    </row>
    <row r="412" spans="195:202" ht="16.5" x14ac:dyDescent="0.2">
      <c r="GM412" s="91">
        <v>406</v>
      </c>
      <c r="GN412" s="14">
        <f t="shared" si="148"/>
        <v>24</v>
      </c>
      <c r="GO412" s="14">
        <f t="shared" si="149"/>
        <v>1606030</v>
      </c>
      <c r="GP412" s="14" t="str">
        <f t="shared" si="153"/>
        <v>神器5-4 : 级</v>
      </c>
      <c r="GQ412" s="14" t="s">
        <v>816</v>
      </c>
      <c r="GR412" s="14">
        <f t="shared" si="150"/>
        <v>16</v>
      </c>
      <c r="GS412" s="14" t="str">
        <f t="shared" si="151"/>
        <v>神器5-4</v>
      </c>
      <c r="GT412" s="14">
        <f t="shared" si="152"/>
        <v>10</v>
      </c>
    </row>
    <row r="413" spans="195:202" ht="16.5" x14ac:dyDescent="0.2">
      <c r="GM413" s="91">
        <v>407</v>
      </c>
      <c r="GN413" s="14">
        <f t="shared" si="148"/>
        <v>24</v>
      </c>
      <c r="GO413" s="14">
        <f t="shared" si="149"/>
        <v>1606030</v>
      </c>
      <c r="GP413" s="14" t="str">
        <f t="shared" si="153"/>
        <v>神器5-4 : 级</v>
      </c>
      <c r="GQ413" s="14" t="s">
        <v>816</v>
      </c>
      <c r="GR413" s="14">
        <f t="shared" si="150"/>
        <v>17</v>
      </c>
      <c r="GS413" s="14" t="str">
        <f t="shared" si="151"/>
        <v>神器5-4</v>
      </c>
      <c r="GT413" s="14">
        <f t="shared" si="152"/>
        <v>10</v>
      </c>
    </row>
    <row r="414" spans="195:202" ht="16.5" x14ac:dyDescent="0.2">
      <c r="GM414" s="91">
        <v>408</v>
      </c>
      <c r="GN414" s="14">
        <f t="shared" si="148"/>
        <v>24</v>
      </c>
      <c r="GO414" s="14">
        <f t="shared" si="149"/>
        <v>1606030</v>
      </c>
      <c r="GP414" s="14" t="str">
        <f t="shared" si="153"/>
        <v>神器5-4 : 级</v>
      </c>
      <c r="GQ414" s="14" t="s">
        <v>816</v>
      </c>
      <c r="GR414" s="14">
        <f t="shared" si="150"/>
        <v>18</v>
      </c>
      <c r="GS414" s="14" t="str">
        <f t="shared" si="151"/>
        <v>神器5-4</v>
      </c>
      <c r="GT414" s="14">
        <f t="shared" si="152"/>
        <v>10</v>
      </c>
    </row>
    <row r="415" spans="195:202" ht="16.5" x14ac:dyDescent="0.2">
      <c r="GM415" s="91">
        <v>409</v>
      </c>
      <c r="GN415" s="14">
        <f t="shared" si="148"/>
        <v>25</v>
      </c>
      <c r="GO415" s="14">
        <f t="shared" si="149"/>
        <v>1606031</v>
      </c>
      <c r="GP415" s="14" t="str">
        <f t="shared" si="153"/>
        <v>神器5-5 : 级</v>
      </c>
      <c r="GQ415" s="14" t="s">
        <v>816</v>
      </c>
      <c r="GR415" s="14">
        <f t="shared" si="150"/>
        <v>1</v>
      </c>
      <c r="GS415" s="14" t="str">
        <f t="shared" si="151"/>
        <v>神器5-5</v>
      </c>
      <c r="GT415" s="14">
        <f t="shared" si="152"/>
        <v>1</v>
      </c>
    </row>
    <row r="416" spans="195:202" ht="16.5" x14ac:dyDescent="0.2">
      <c r="GM416" s="91">
        <v>410</v>
      </c>
      <c r="GN416" s="14">
        <f t="shared" si="148"/>
        <v>25</v>
      </c>
      <c r="GO416" s="14">
        <f t="shared" si="149"/>
        <v>1606031</v>
      </c>
      <c r="GP416" s="14" t="str">
        <f t="shared" si="153"/>
        <v>神器5-5 : 级</v>
      </c>
      <c r="GQ416" s="14" t="s">
        <v>816</v>
      </c>
      <c r="GR416" s="14">
        <f t="shared" si="150"/>
        <v>2</v>
      </c>
      <c r="GS416" s="14" t="str">
        <f t="shared" si="151"/>
        <v>神器5-5</v>
      </c>
      <c r="GT416" s="14">
        <f t="shared" si="152"/>
        <v>1</v>
      </c>
    </row>
    <row r="417" spans="195:202" ht="16.5" x14ac:dyDescent="0.2">
      <c r="GM417" s="91">
        <v>411</v>
      </c>
      <c r="GN417" s="14">
        <f t="shared" si="148"/>
        <v>25</v>
      </c>
      <c r="GO417" s="14">
        <f t="shared" si="149"/>
        <v>1606031</v>
      </c>
      <c r="GP417" s="14" t="str">
        <f t="shared" si="153"/>
        <v>神器5-5 : 级</v>
      </c>
      <c r="GQ417" s="14" t="s">
        <v>816</v>
      </c>
      <c r="GR417" s="14">
        <f t="shared" si="150"/>
        <v>3</v>
      </c>
      <c r="GS417" s="14" t="str">
        <f t="shared" si="151"/>
        <v>神器5-5</v>
      </c>
      <c r="GT417" s="14">
        <f t="shared" si="152"/>
        <v>1</v>
      </c>
    </row>
    <row r="418" spans="195:202" ht="16.5" x14ac:dyDescent="0.2">
      <c r="GM418" s="91">
        <v>412</v>
      </c>
      <c r="GN418" s="14">
        <f t="shared" si="148"/>
        <v>25</v>
      </c>
      <c r="GO418" s="14">
        <f t="shared" si="149"/>
        <v>1606031</v>
      </c>
      <c r="GP418" s="14" t="str">
        <f t="shared" si="153"/>
        <v>神器5-5 : 级</v>
      </c>
      <c r="GQ418" s="14" t="s">
        <v>816</v>
      </c>
      <c r="GR418" s="14">
        <f t="shared" si="150"/>
        <v>4</v>
      </c>
      <c r="GS418" s="14" t="str">
        <f t="shared" si="151"/>
        <v>神器5-5</v>
      </c>
      <c r="GT418" s="14">
        <f t="shared" si="152"/>
        <v>2</v>
      </c>
    </row>
    <row r="419" spans="195:202" ht="16.5" x14ac:dyDescent="0.2">
      <c r="GM419" s="91">
        <v>413</v>
      </c>
      <c r="GN419" s="14">
        <f t="shared" si="148"/>
        <v>25</v>
      </c>
      <c r="GO419" s="14">
        <f t="shared" si="149"/>
        <v>1606031</v>
      </c>
      <c r="GP419" s="14" t="str">
        <f t="shared" si="153"/>
        <v>神器5-5 : 级</v>
      </c>
      <c r="GQ419" s="14" t="s">
        <v>816</v>
      </c>
      <c r="GR419" s="14">
        <f t="shared" si="150"/>
        <v>5</v>
      </c>
      <c r="GS419" s="14" t="str">
        <f t="shared" si="151"/>
        <v>神器5-5</v>
      </c>
      <c r="GT419" s="14">
        <f t="shared" si="152"/>
        <v>2</v>
      </c>
    </row>
    <row r="420" spans="195:202" ht="16.5" x14ac:dyDescent="0.2">
      <c r="GM420" s="91">
        <v>414</v>
      </c>
      <c r="GN420" s="14">
        <f t="shared" si="148"/>
        <v>25</v>
      </c>
      <c r="GO420" s="14">
        <f t="shared" si="149"/>
        <v>1606031</v>
      </c>
      <c r="GP420" s="14" t="str">
        <f t="shared" si="153"/>
        <v>神器5-5 : 级</v>
      </c>
      <c r="GQ420" s="14" t="s">
        <v>816</v>
      </c>
      <c r="GR420" s="14">
        <f t="shared" si="150"/>
        <v>6</v>
      </c>
      <c r="GS420" s="14" t="str">
        <f t="shared" si="151"/>
        <v>神器5-5</v>
      </c>
      <c r="GT420" s="14">
        <f t="shared" si="152"/>
        <v>2</v>
      </c>
    </row>
    <row r="421" spans="195:202" ht="16.5" x14ac:dyDescent="0.2">
      <c r="GM421" s="91">
        <v>415</v>
      </c>
      <c r="GN421" s="14">
        <f t="shared" si="148"/>
        <v>25</v>
      </c>
      <c r="GO421" s="14">
        <f t="shared" si="149"/>
        <v>1606031</v>
      </c>
      <c r="GP421" s="14" t="str">
        <f t="shared" si="153"/>
        <v>神器5-5 : 级</v>
      </c>
      <c r="GQ421" s="14" t="s">
        <v>816</v>
      </c>
      <c r="GR421" s="14">
        <f t="shared" si="150"/>
        <v>7</v>
      </c>
      <c r="GS421" s="14" t="str">
        <f t="shared" si="151"/>
        <v>神器5-5</v>
      </c>
      <c r="GT421" s="14">
        <f t="shared" si="152"/>
        <v>3</v>
      </c>
    </row>
    <row r="422" spans="195:202" ht="16.5" x14ac:dyDescent="0.2">
      <c r="GM422" s="91">
        <v>416</v>
      </c>
      <c r="GN422" s="14">
        <f t="shared" si="148"/>
        <v>25</v>
      </c>
      <c r="GO422" s="14">
        <f t="shared" si="149"/>
        <v>1606031</v>
      </c>
      <c r="GP422" s="14" t="str">
        <f t="shared" si="153"/>
        <v>神器5-5 : 级</v>
      </c>
      <c r="GQ422" s="14" t="s">
        <v>816</v>
      </c>
      <c r="GR422" s="14">
        <f t="shared" si="150"/>
        <v>8</v>
      </c>
      <c r="GS422" s="14" t="str">
        <f t="shared" si="151"/>
        <v>神器5-5</v>
      </c>
      <c r="GT422" s="14">
        <f t="shared" si="152"/>
        <v>3</v>
      </c>
    </row>
    <row r="423" spans="195:202" ht="16.5" x14ac:dyDescent="0.2">
      <c r="GM423" s="91">
        <v>417</v>
      </c>
      <c r="GN423" s="14">
        <f t="shared" si="148"/>
        <v>25</v>
      </c>
      <c r="GO423" s="14">
        <f t="shared" si="149"/>
        <v>1606031</v>
      </c>
      <c r="GP423" s="14" t="str">
        <f t="shared" si="153"/>
        <v>神器5-5 : 级</v>
      </c>
      <c r="GQ423" s="14" t="s">
        <v>816</v>
      </c>
      <c r="GR423" s="14">
        <f t="shared" si="150"/>
        <v>9</v>
      </c>
      <c r="GS423" s="14" t="str">
        <f t="shared" si="151"/>
        <v>神器5-5</v>
      </c>
      <c r="GT423" s="14">
        <f t="shared" si="152"/>
        <v>3</v>
      </c>
    </row>
    <row r="424" spans="195:202" ht="16.5" x14ac:dyDescent="0.2">
      <c r="GM424" s="91">
        <v>418</v>
      </c>
      <c r="GN424" s="14">
        <f t="shared" si="148"/>
        <v>25</v>
      </c>
      <c r="GO424" s="14">
        <f t="shared" si="149"/>
        <v>1606031</v>
      </c>
      <c r="GP424" s="14" t="str">
        <f t="shared" si="153"/>
        <v>神器5-5 : 级</v>
      </c>
      <c r="GQ424" s="14" t="s">
        <v>816</v>
      </c>
      <c r="GR424" s="14">
        <f t="shared" si="150"/>
        <v>10</v>
      </c>
      <c r="GS424" s="14" t="str">
        <f t="shared" si="151"/>
        <v>神器5-5</v>
      </c>
      <c r="GT424" s="14">
        <f t="shared" si="152"/>
        <v>5</v>
      </c>
    </row>
    <row r="425" spans="195:202" ht="16.5" x14ac:dyDescent="0.2">
      <c r="GM425" s="91">
        <v>419</v>
      </c>
      <c r="GN425" s="14">
        <f t="shared" si="148"/>
        <v>25</v>
      </c>
      <c r="GO425" s="14">
        <f t="shared" si="149"/>
        <v>1606031</v>
      </c>
      <c r="GP425" s="14" t="str">
        <f t="shared" si="153"/>
        <v>神器5-5 : 级</v>
      </c>
      <c r="GQ425" s="14" t="s">
        <v>816</v>
      </c>
      <c r="GR425" s="14">
        <f t="shared" si="150"/>
        <v>11</v>
      </c>
      <c r="GS425" s="14" t="str">
        <f t="shared" si="151"/>
        <v>神器5-5</v>
      </c>
      <c r="GT425" s="14">
        <f t="shared" si="152"/>
        <v>5</v>
      </c>
    </row>
    <row r="426" spans="195:202" ht="16.5" x14ac:dyDescent="0.2">
      <c r="GM426" s="91">
        <v>420</v>
      </c>
      <c r="GN426" s="14">
        <f t="shared" si="148"/>
        <v>25</v>
      </c>
      <c r="GO426" s="14">
        <f t="shared" si="149"/>
        <v>1606031</v>
      </c>
      <c r="GP426" s="14" t="str">
        <f t="shared" si="153"/>
        <v>神器5-5 : 级</v>
      </c>
      <c r="GQ426" s="14" t="s">
        <v>816</v>
      </c>
      <c r="GR426" s="14">
        <f t="shared" si="150"/>
        <v>12</v>
      </c>
      <c r="GS426" s="14" t="str">
        <f t="shared" si="151"/>
        <v>神器5-5</v>
      </c>
      <c r="GT426" s="14">
        <f t="shared" si="152"/>
        <v>6</v>
      </c>
    </row>
    <row r="427" spans="195:202" ht="16.5" x14ac:dyDescent="0.2">
      <c r="GM427" s="91">
        <v>421</v>
      </c>
      <c r="GN427" s="14">
        <f t="shared" si="148"/>
        <v>25</v>
      </c>
      <c r="GO427" s="14">
        <f t="shared" si="149"/>
        <v>1606031</v>
      </c>
      <c r="GP427" s="14" t="str">
        <f t="shared" si="153"/>
        <v>神器5-5 : 级</v>
      </c>
      <c r="GQ427" s="14" t="s">
        <v>816</v>
      </c>
      <c r="GR427" s="14">
        <f t="shared" si="150"/>
        <v>13</v>
      </c>
      <c r="GS427" s="14" t="str">
        <f t="shared" si="151"/>
        <v>神器5-5</v>
      </c>
      <c r="GT427" s="14">
        <f t="shared" si="152"/>
        <v>7</v>
      </c>
    </row>
    <row r="428" spans="195:202" ht="16.5" x14ac:dyDescent="0.2">
      <c r="GM428" s="91">
        <v>422</v>
      </c>
      <c r="GN428" s="14">
        <f t="shared" si="148"/>
        <v>25</v>
      </c>
      <c r="GO428" s="14">
        <f t="shared" si="149"/>
        <v>1606031</v>
      </c>
      <c r="GP428" s="14" t="str">
        <f t="shared" si="153"/>
        <v>神器5-5 : 级</v>
      </c>
      <c r="GQ428" s="14" t="s">
        <v>816</v>
      </c>
      <c r="GR428" s="14">
        <f t="shared" si="150"/>
        <v>14</v>
      </c>
      <c r="GS428" s="14" t="str">
        <f t="shared" si="151"/>
        <v>神器5-5</v>
      </c>
      <c r="GT428" s="14">
        <f t="shared" si="152"/>
        <v>7</v>
      </c>
    </row>
    <row r="429" spans="195:202" ht="16.5" x14ac:dyDescent="0.2">
      <c r="GM429" s="91">
        <v>423</v>
      </c>
      <c r="GN429" s="14">
        <f t="shared" si="148"/>
        <v>25</v>
      </c>
      <c r="GO429" s="14">
        <f t="shared" si="149"/>
        <v>1606031</v>
      </c>
      <c r="GP429" s="14" t="str">
        <f t="shared" si="153"/>
        <v>神器5-5 : 级</v>
      </c>
      <c r="GQ429" s="14" t="s">
        <v>816</v>
      </c>
      <c r="GR429" s="14">
        <f t="shared" si="150"/>
        <v>15</v>
      </c>
      <c r="GS429" s="14" t="str">
        <f t="shared" si="151"/>
        <v>神器5-5</v>
      </c>
      <c r="GT429" s="14">
        <f t="shared" si="152"/>
        <v>7</v>
      </c>
    </row>
    <row r="430" spans="195:202" ht="16.5" x14ac:dyDescent="0.2">
      <c r="GM430" s="91">
        <v>424</v>
      </c>
      <c r="GN430" s="14">
        <f t="shared" si="148"/>
        <v>25</v>
      </c>
      <c r="GO430" s="14">
        <f t="shared" si="149"/>
        <v>1606031</v>
      </c>
      <c r="GP430" s="14" t="str">
        <f t="shared" si="153"/>
        <v>神器5-5 : 级</v>
      </c>
      <c r="GQ430" s="14" t="s">
        <v>816</v>
      </c>
      <c r="GR430" s="14">
        <f t="shared" si="150"/>
        <v>16</v>
      </c>
      <c r="GS430" s="14" t="str">
        <f t="shared" si="151"/>
        <v>神器5-5</v>
      </c>
      <c r="GT430" s="14">
        <f t="shared" si="152"/>
        <v>10</v>
      </c>
    </row>
    <row r="431" spans="195:202" ht="16.5" x14ac:dyDescent="0.2">
      <c r="GM431" s="91">
        <v>425</v>
      </c>
      <c r="GN431" s="14">
        <f t="shared" si="148"/>
        <v>25</v>
      </c>
      <c r="GO431" s="14">
        <f t="shared" si="149"/>
        <v>1606031</v>
      </c>
      <c r="GP431" s="14" t="str">
        <f t="shared" si="153"/>
        <v>神器5-5 : 级</v>
      </c>
      <c r="GQ431" s="14" t="s">
        <v>816</v>
      </c>
      <c r="GR431" s="14">
        <f t="shared" si="150"/>
        <v>17</v>
      </c>
      <c r="GS431" s="14" t="str">
        <f t="shared" si="151"/>
        <v>神器5-5</v>
      </c>
      <c r="GT431" s="14">
        <f t="shared" si="152"/>
        <v>10</v>
      </c>
    </row>
    <row r="432" spans="195:202" ht="16.5" x14ac:dyDescent="0.2">
      <c r="GM432" s="91">
        <v>426</v>
      </c>
      <c r="GN432" s="14">
        <f t="shared" si="148"/>
        <v>25</v>
      </c>
      <c r="GO432" s="14">
        <f t="shared" si="149"/>
        <v>1606031</v>
      </c>
      <c r="GP432" s="14" t="str">
        <f t="shared" si="153"/>
        <v>神器5-5 : 级</v>
      </c>
      <c r="GQ432" s="14" t="s">
        <v>816</v>
      </c>
      <c r="GR432" s="14">
        <f t="shared" si="150"/>
        <v>18</v>
      </c>
      <c r="GS432" s="14" t="str">
        <f t="shared" si="151"/>
        <v>神器5-5</v>
      </c>
      <c r="GT432" s="14">
        <f t="shared" si="152"/>
        <v>10</v>
      </c>
    </row>
    <row r="433" spans="195:202" ht="16.5" x14ac:dyDescent="0.2">
      <c r="GM433" s="91">
        <v>427</v>
      </c>
      <c r="GN433" s="14">
        <f t="shared" si="148"/>
        <v>26</v>
      </c>
      <c r="GO433" s="14">
        <f t="shared" si="149"/>
        <v>1606032</v>
      </c>
      <c r="GP433" s="14" t="str">
        <f t="shared" si="153"/>
        <v>神器5-6 : 级</v>
      </c>
      <c r="GQ433" s="14" t="s">
        <v>816</v>
      </c>
      <c r="GR433" s="14">
        <f t="shared" si="150"/>
        <v>1</v>
      </c>
      <c r="GS433" s="14" t="str">
        <f t="shared" si="151"/>
        <v>神器5-6</v>
      </c>
      <c r="GT433" s="14">
        <f t="shared" si="152"/>
        <v>1</v>
      </c>
    </row>
    <row r="434" spans="195:202" ht="16.5" x14ac:dyDescent="0.2">
      <c r="GM434" s="91">
        <v>428</v>
      </c>
      <c r="GN434" s="14">
        <f t="shared" si="148"/>
        <v>26</v>
      </c>
      <c r="GO434" s="14">
        <f t="shared" si="149"/>
        <v>1606032</v>
      </c>
      <c r="GP434" s="14" t="str">
        <f t="shared" si="153"/>
        <v>神器5-6 : 级</v>
      </c>
      <c r="GQ434" s="14" t="s">
        <v>816</v>
      </c>
      <c r="GR434" s="14">
        <f t="shared" si="150"/>
        <v>2</v>
      </c>
      <c r="GS434" s="14" t="str">
        <f t="shared" si="151"/>
        <v>神器5-6</v>
      </c>
      <c r="GT434" s="14">
        <f t="shared" si="152"/>
        <v>1</v>
      </c>
    </row>
    <row r="435" spans="195:202" ht="16.5" x14ac:dyDescent="0.2">
      <c r="GM435" s="91">
        <v>429</v>
      </c>
      <c r="GN435" s="14">
        <f t="shared" si="148"/>
        <v>26</v>
      </c>
      <c r="GO435" s="14">
        <f t="shared" si="149"/>
        <v>1606032</v>
      </c>
      <c r="GP435" s="14" t="str">
        <f t="shared" si="153"/>
        <v>神器5-6 : 级</v>
      </c>
      <c r="GQ435" s="14" t="s">
        <v>816</v>
      </c>
      <c r="GR435" s="14">
        <f t="shared" si="150"/>
        <v>3</v>
      </c>
      <c r="GS435" s="14" t="str">
        <f t="shared" si="151"/>
        <v>神器5-6</v>
      </c>
      <c r="GT435" s="14">
        <f t="shared" si="152"/>
        <v>1</v>
      </c>
    </row>
    <row r="436" spans="195:202" ht="16.5" x14ac:dyDescent="0.2">
      <c r="GM436" s="91">
        <v>430</v>
      </c>
      <c r="GN436" s="14">
        <f t="shared" si="148"/>
        <v>26</v>
      </c>
      <c r="GO436" s="14">
        <f t="shared" si="149"/>
        <v>1606032</v>
      </c>
      <c r="GP436" s="14" t="str">
        <f t="shared" si="153"/>
        <v>神器5-6 : 级</v>
      </c>
      <c r="GQ436" s="14" t="s">
        <v>816</v>
      </c>
      <c r="GR436" s="14">
        <f t="shared" si="150"/>
        <v>4</v>
      </c>
      <c r="GS436" s="14" t="str">
        <f t="shared" si="151"/>
        <v>神器5-6</v>
      </c>
      <c r="GT436" s="14">
        <f t="shared" si="152"/>
        <v>2</v>
      </c>
    </row>
    <row r="437" spans="195:202" ht="16.5" x14ac:dyDescent="0.2">
      <c r="GM437" s="91">
        <v>431</v>
      </c>
      <c r="GN437" s="14">
        <f t="shared" si="148"/>
        <v>26</v>
      </c>
      <c r="GO437" s="14">
        <f t="shared" si="149"/>
        <v>1606032</v>
      </c>
      <c r="GP437" s="14" t="str">
        <f t="shared" si="153"/>
        <v>神器5-6 : 级</v>
      </c>
      <c r="GQ437" s="14" t="s">
        <v>816</v>
      </c>
      <c r="GR437" s="14">
        <f t="shared" si="150"/>
        <v>5</v>
      </c>
      <c r="GS437" s="14" t="str">
        <f t="shared" si="151"/>
        <v>神器5-6</v>
      </c>
      <c r="GT437" s="14">
        <f t="shared" si="152"/>
        <v>2</v>
      </c>
    </row>
    <row r="438" spans="195:202" ht="16.5" x14ac:dyDescent="0.2">
      <c r="GM438" s="91">
        <v>432</v>
      </c>
      <c r="GN438" s="14">
        <f t="shared" si="148"/>
        <v>26</v>
      </c>
      <c r="GO438" s="14">
        <f t="shared" si="149"/>
        <v>1606032</v>
      </c>
      <c r="GP438" s="14" t="str">
        <f t="shared" si="153"/>
        <v>神器5-6 : 级</v>
      </c>
      <c r="GQ438" s="14" t="s">
        <v>816</v>
      </c>
      <c r="GR438" s="14">
        <f t="shared" si="150"/>
        <v>6</v>
      </c>
      <c r="GS438" s="14" t="str">
        <f t="shared" si="151"/>
        <v>神器5-6</v>
      </c>
      <c r="GT438" s="14">
        <f t="shared" si="152"/>
        <v>2</v>
      </c>
    </row>
    <row r="439" spans="195:202" ht="16.5" x14ac:dyDescent="0.2">
      <c r="GM439" s="91">
        <v>433</v>
      </c>
      <c r="GN439" s="14">
        <f t="shared" si="148"/>
        <v>26</v>
      </c>
      <c r="GO439" s="14">
        <f t="shared" si="149"/>
        <v>1606032</v>
      </c>
      <c r="GP439" s="14" t="str">
        <f t="shared" si="153"/>
        <v>神器5-6 : 级</v>
      </c>
      <c r="GQ439" s="14" t="s">
        <v>816</v>
      </c>
      <c r="GR439" s="14">
        <f t="shared" si="150"/>
        <v>7</v>
      </c>
      <c r="GS439" s="14" t="str">
        <f t="shared" si="151"/>
        <v>神器5-6</v>
      </c>
      <c r="GT439" s="14">
        <f t="shared" si="152"/>
        <v>3</v>
      </c>
    </row>
    <row r="440" spans="195:202" ht="16.5" x14ac:dyDescent="0.2">
      <c r="GM440" s="91">
        <v>434</v>
      </c>
      <c r="GN440" s="14">
        <f t="shared" si="148"/>
        <v>26</v>
      </c>
      <c r="GO440" s="14">
        <f t="shared" si="149"/>
        <v>1606032</v>
      </c>
      <c r="GP440" s="14" t="str">
        <f t="shared" si="153"/>
        <v>神器5-6 : 级</v>
      </c>
      <c r="GQ440" s="14" t="s">
        <v>816</v>
      </c>
      <c r="GR440" s="14">
        <f t="shared" si="150"/>
        <v>8</v>
      </c>
      <c r="GS440" s="14" t="str">
        <f t="shared" si="151"/>
        <v>神器5-6</v>
      </c>
      <c r="GT440" s="14">
        <f t="shared" si="152"/>
        <v>3</v>
      </c>
    </row>
    <row r="441" spans="195:202" ht="16.5" x14ac:dyDescent="0.2">
      <c r="GM441" s="91">
        <v>435</v>
      </c>
      <c r="GN441" s="14">
        <f t="shared" si="148"/>
        <v>26</v>
      </c>
      <c r="GO441" s="14">
        <f t="shared" si="149"/>
        <v>1606032</v>
      </c>
      <c r="GP441" s="14" t="str">
        <f t="shared" si="153"/>
        <v>神器5-6 : 级</v>
      </c>
      <c r="GQ441" s="14" t="s">
        <v>816</v>
      </c>
      <c r="GR441" s="14">
        <f t="shared" si="150"/>
        <v>9</v>
      </c>
      <c r="GS441" s="14" t="str">
        <f t="shared" si="151"/>
        <v>神器5-6</v>
      </c>
      <c r="GT441" s="14">
        <f t="shared" si="152"/>
        <v>3</v>
      </c>
    </row>
    <row r="442" spans="195:202" ht="16.5" x14ac:dyDescent="0.2">
      <c r="GM442" s="91">
        <v>436</v>
      </c>
      <c r="GN442" s="14">
        <f t="shared" si="148"/>
        <v>26</v>
      </c>
      <c r="GO442" s="14">
        <f t="shared" si="149"/>
        <v>1606032</v>
      </c>
      <c r="GP442" s="14" t="str">
        <f t="shared" si="153"/>
        <v>神器5-6 : 级</v>
      </c>
      <c r="GQ442" s="14" t="s">
        <v>816</v>
      </c>
      <c r="GR442" s="14">
        <f t="shared" si="150"/>
        <v>10</v>
      </c>
      <c r="GS442" s="14" t="str">
        <f t="shared" si="151"/>
        <v>神器5-6</v>
      </c>
      <c r="GT442" s="14">
        <f t="shared" si="152"/>
        <v>5</v>
      </c>
    </row>
    <row r="443" spans="195:202" ht="16.5" x14ac:dyDescent="0.2">
      <c r="GM443" s="91">
        <v>437</v>
      </c>
      <c r="GN443" s="14">
        <f t="shared" si="148"/>
        <v>26</v>
      </c>
      <c r="GO443" s="14">
        <f t="shared" si="149"/>
        <v>1606032</v>
      </c>
      <c r="GP443" s="14" t="str">
        <f t="shared" si="153"/>
        <v>神器5-6 : 级</v>
      </c>
      <c r="GQ443" s="14" t="s">
        <v>816</v>
      </c>
      <c r="GR443" s="14">
        <f t="shared" si="150"/>
        <v>11</v>
      </c>
      <c r="GS443" s="14" t="str">
        <f t="shared" si="151"/>
        <v>神器5-6</v>
      </c>
      <c r="GT443" s="14">
        <f t="shared" si="152"/>
        <v>5</v>
      </c>
    </row>
    <row r="444" spans="195:202" ht="16.5" x14ac:dyDescent="0.2">
      <c r="GM444" s="91">
        <v>438</v>
      </c>
      <c r="GN444" s="14">
        <f t="shared" si="148"/>
        <v>26</v>
      </c>
      <c r="GO444" s="14">
        <f t="shared" si="149"/>
        <v>1606032</v>
      </c>
      <c r="GP444" s="14" t="str">
        <f t="shared" si="153"/>
        <v>神器5-6 : 级</v>
      </c>
      <c r="GQ444" s="14" t="s">
        <v>816</v>
      </c>
      <c r="GR444" s="14">
        <f t="shared" si="150"/>
        <v>12</v>
      </c>
      <c r="GS444" s="14" t="str">
        <f t="shared" si="151"/>
        <v>神器5-6</v>
      </c>
      <c r="GT444" s="14">
        <f t="shared" si="152"/>
        <v>6</v>
      </c>
    </row>
    <row r="445" spans="195:202" ht="16.5" x14ac:dyDescent="0.2">
      <c r="GM445" s="91">
        <v>439</v>
      </c>
      <c r="GN445" s="14">
        <f t="shared" si="148"/>
        <v>26</v>
      </c>
      <c r="GO445" s="14">
        <f t="shared" si="149"/>
        <v>1606032</v>
      </c>
      <c r="GP445" s="14" t="str">
        <f t="shared" si="153"/>
        <v>神器5-6 : 级</v>
      </c>
      <c r="GQ445" s="14" t="s">
        <v>816</v>
      </c>
      <c r="GR445" s="14">
        <f t="shared" si="150"/>
        <v>13</v>
      </c>
      <c r="GS445" s="14" t="str">
        <f t="shared" si="151"/>
        <v>神器5-6</v>
      </c>
      <c r="GT445" s="14">
        <f t="shared" si="152"/>
        <v>7</v>
      </c>
    </row>
    <row r="446" spans="195:202" ht="16.5" x14ac:dyDescent="0.2">
      <c r="GM446" s="91">
        <v>440</v>
      </c>
      <c r="GN446" s="14">
        <f t="shared" si="148"/>
        <v>26</v>
      </c>
      <c r="GO446" s="14">
        <f t="shared" si="149"/>
        <v>1606032</v>
      </c>
      <c r="GP446" s="14" t="str">
        <f t="shared" si="153"/>
        <v>神器5-6 : 级</v>
      </c>
      <c r="GQ446" s="14" t="s">
        <v>816</v>
      </c>
      <c r="GR446" s="14">
        <f t="shared" si="150"/>
        <v>14</v>
      </c>
      <c r="GS446" s="14" t="str">
        <f t="shared" si="151"/>
        <v>神器5-6</v>
      </c>
      <c r="GT446" s="14">
        <f t="shared" si="152"/>
        <v>7</v>
      </c>
    </row>
    <row r="447" spans="195:202" ht="16.5" x14ac:dyDescent="0.2">
      <c r="GM447" s="91">
        <v>441</v>
      </c>
      <c r="GN447" s="14">
        <f t="shared" si="148"/>
        <v>26</v>
      </c>
      <c r="GO447" s="14">
        <f t="shared" si="149"/>
        <v>1606032</v>
      </c>
      <c r="GP447" s="14" t="str">
        <f t="shared" si="153"/>
        <v>神器5-6 : 级</v>
      </c>
      <c r="GQ447" s="14" t="s">
        <v>816</v>
      </c>
      <c r="GR447" s="14">
        <f t="shared" si="150"/>
        <v>15</v>
      </c>
      <c r="GS447" s="14" t="str">
        <f t="shared" si="151"/>
        <v>神器5-6</v>
      </c>
      <c r="GT447" s="14">
        <f t="shared" si="152"/>
        <v>7</v>
      </c>
    </row>
    <row r="448" spans="195:202" ht="16.5" x14ac:dyDescent="0.2">
      <c r="GM448" s="91">
        <v>442</v>
      </c>
      <c r="GN448" s="14">
        <f t="shared" si="148"/>
        <v>26</v>
      </c>
      <c r="GO448" s="14">
        <f t="shared" si="149"/>
        <v>1606032</v>
      </c>
      <c r="GP448" s="14" t="str">
        <f t="shared" si="153"/>
        <v>神器5-6 : 级</v>
      </c>
      <c r="GQ448" s="14" t="s">
        <v>816</v>
      </c>
      <c r="GR448" s="14">
        <f t="shared" si="150"/>
        <v>16</v>
      </c>
      <c r="GS448" s="14" t="str">
        <f t="shared" si="151"/>
        <v>神器5-6</v>
      </c>
      <c r="GT448" s="14">
        <f t="shared" si="152"/>
        <v>10</v>
      </c>
    </row>
    <row r="449" spans="195:202" ht="16.5" x14ac:dyDescent="0.2">
      <c r="GM449" s="91">
        <v>443</v>
      </c>
      <c r="GN449" s="14">
        <f t="shared" si="148"/>
        <v>26</v>
      </c>
      <c r="GO449" s="14">
        <f t="shared" si="149"/>
        <v>1606032</v>
      </c>
      <c r="GP449" s="14" t="str">
        <f t="shared" si="153"/>
        <v>神器5-6 : 级</v>
      </c>
      <c r="GQ449" s="14" t="s">
        <v>816</v>
      </c>
      <c r="GR449" s="14">
        <f t="shared" si="150"/>
        <v>17</v>
      </c>
      <c r="GS449" s="14" t="str">
        <f t="shared" si="151"/>
        <v>神器5-6</v>
      </c>
      <c r="GT449" s="14">
        <f t="shared" si="152"/>
        <v>10</v>
      </c>
    </row>
    <row r="450" spans="195:202" ht="16.5" x14ac:dyDescent="0.2">
      <c r="GM450" s="91">
        <v>444</v>
      </c>
      <c r="GN450" s="14">
        <f t="shared" si="148"/>
        <v>26</v>
      </c>
      <c r="GO450" s="14">
        <f t="shared" si="149"/>
        <v>1606032</v>
      </c>
      <c r="GP450" s="14" t="str">
        <f t="shared" si="153"/>
        <v>神器5-6 : 级</v>
      </c>
      <c r="GQ450" s="14" t="s">
        <v>816</v>
      </c>
      <c r="GR450" s="14">
        <f t="shared" si="150"/>
        <v>18</v>
      </c>
      <c r="GS450" s="14" t="str">
        <f t="shared" si="151"/>
        <v>神器5-6</v>
      </c>
      <c r="GT450" s="14">
        <f t="shared" si="152"/>
        <v>10</v>
      </c>
    </row>
    <row r="451" spans="195:202" ht="16.5" x14ac:dyDescent="0.2">
      <c r="GM451" s="91">
        <v>445</v>
      </c>
      <c r="GN451" s="14">
        <f t="shared" si="148"/>
        <v>27</v>
      </c>
      <c r="GO451" s="14">
        <f t="shared" si="149"/>
        <v>1606035</v>
      </c>
      <c r="GP451" s="14" t="str">
        <f t="shared" si="153"/>
        <v>神器6-1 : 级</v>
      </c>
      <c r="GQ451" s="14" t="s">
        <v>816</v>
      </c>
      <c r="GR451" s="14">
        <f t="shared" si="150"/>
        <v>1</v>
      </c>
      <c r="GS451" s="14" t="str">
        <f t="shared" si="151"/>
        <v>神器6-1</v>
      </c>
      <c r="GT451" s="14">
        <f t="shared" si="152"/>
        <v>1</v>
      </c>
    </row>
    <row r="452" spans="195:202" ht="16.5" x14ac:dyDescent="0.2">
      <c r="GM452" s="91">
        <v>446</v>
      </c>
      <c r="GN452" s="14">
        <f t="shared" si="148"/>
        <v>27</v>
      </c>
      <c r="GO452" s="14">
        <f t="shared" si="149"/>
        <v>1606035</v>
      </c>
      <c r="GP452" s="14" t="str">
        <f t="shared" si="153"/>
        <v>神器6-1 : 级</v>
      </c>
      <c r="GQ452" s="14" t="s">
        <v>816</v>
      </c>
      <c r="GR452" s="14">
        <f t="shared" si="150"/>
        <v>2</v>
      </c>
      <c r="GS452" s="14" t="str">
        <f t="shared" si="151"/>
        <v>神器6-1</v>
      </c>
      <c r="GT452" s="14">
        <f t="shared" si="152"/>
        <v>1</v>
      </c>
    </row>
    <row r="453" spans="195:202" ht="16.5" x14ac:dyDescent="0.2">
      <c r="GM453" s="91">
        <v>447</v>
      </c>
      <c r="GN453" s="14">
        <f t="shared" si="148"/>
        <v>27</v>
      </c>
      <c r="GO453" s="14">
        <f t="shared" si="149"/>
        <v>1606035</v>
      </c>
      <c r="GP453" s="14" t="str">
        <f t="shared" si="153"/>
        <v>神器6-1 : 级</v>
      </c>
      <c r="GQ453" s="14" t="s">
        <v>816</v>
      </c>
      <c r="GR453" s="14">
        <f t="shared" si="150"/>
        <v>3</v>
      </c>
      <c r="GS453" s="14" t="str">
        <f t="shared" si="151"/>
        <v>神器6-1</v>
      </c>
      <c r="GT453" s="14">
        <f t="shared" si="152"/>
        <v>1</v>
      </c>
    </row>
    <row r="454" spans="195:202" ht="16.5" x14ac:dyDescent="0.2">
      <c r="GM454" s="91">
        <v>448</v>
      </c>
      <c r="GN454" s="14">
        <f t="shared" si="148"/>
        <v>27</v>
      </c>
      <c r="GO454" s="14">
        <f t="shared" si="149"/>
        <v>1606035</v>
      </c>
      <c r="GP454" s="14" t="str">
        <f t="shared" si="153"/>
        <v>神器6-1 : 级</v>
      </c>
      <c r="GQ454" s="14" t="s">
        <v>816</v>
      </c>
      <c r="GR454" s="14">
        <f t="shared" si="150"/>
        <v>4</v>
      </c>
      <c r="GS454" s="14" t="str">
        <f t="shared" si="151"/>
        <v>神器6-1</v>
      </c>
      <c r="GT454" s="14">
        <f t="shared" si="152"/>
        <v>2</v>
      </c>
    </row>
    <row r="455" spans="195:202" ht="16.5" x14ac:dyDescent="0.2">
      <c r="GM455" s="91">
        <v>449</v>
      </c>
      <c r="GN455" s="14">
        <f t="shared" si="148"/>
        <v>27</v>
      </c>
      <c r="GO455" s="14">
        <f t="shared" si="149"/>
        <v>1606035</v>
      </c>
      <c r="GP455" s="14" t="str">
        <f t="shared" si="153"/>
        <v>神器6-1 : 级</v>
      </c>
      <c r="GQ455" s="14" t="s">
        <v>816</v>
      </c>
      <c r="GR455" s="14">
        <f t="shared" si="150"/>
        <v>5</v>
      </c>
      <c r="GS455" s="14" t="str">
        <f t="shared" si="151"/>
        <v>神器6-1</v>
      </c>
      <c r="GT455" s="14">
        <f t="shared" si="152"/>
        <v>2</v>
      </c>
    </row>
    <row r="456" spans="195:202" ht="16.5" x14ac:dyDescent="0.2">
      <c r="GM456" s="91">
        <v>450</v>
      </c>
      <c r="GN456" s="14">
        <f t="shared" ref="GN456:GN519" si="154">MATCH(GM456-1,$R$7:$R$49,1)</f>
        <v>27</v>
      </c>
      <c r="GO456" s="14">
        <f t="shared" ref="GO456:GO519" si="155">INDEX($S$8:$S$49,GN456)</f>
        <v>1606035</v>
      </c>
      <c r="GP456" s="14" t="str">
        <f t="shared" si="153"/>
        <v>神器6-1 : 级</v>
      </c>
      <c r="GQ456" s="14" t="s">
        <v>816</v>
      </c>
      <c r="GR456" s="14">
        <f t="shared" ref="GR456:GR519" si="156">GM456-INDEX($R$7:$R$49,GN456)</f>
        <v>6</v>
      </c>
      <c r="GS456" s="14" t="str">
        <f t="shared" ref="GS456:GS519" si="157">INDEX($T$8:$T$49,GN456)</f>
        <v>神器6-1</v>
      </c>
      <c r="GT456" s="14">
        <f t="shared" ref="GT456:GT519" si="158">INDEX($K$8:$K$28,GR456)</f>
        <v>2</v>
      </c>
    </row>
    <row r="457" spans="195:202" ht="16.5" x14ac:dyDescent="0.2">
      <c r="GM457" s="91">
        <v>451</v>
      </c>
      <c r="GN457" s="14">
        <f t="shared" si="154"/>
        <v>27</v>
      </c>
      <c r="GO457" s="14">
        <f t="shared" si="155"/>
        <v>1606035</v>
      </c>
      <c r="GP457" s="14" t="str">
        <f t="shared" si="153"/>
        <v>神器6-1 : 级</v>
      </c>
      <c r="GQ457" s="14" t="s">
        <v>816</v>
      </c>
      <c r="GR457" s="14">
        <f t="shared" si="156"/>
        <v>7</v>
      </c>
      <c r="GS457" s="14" t="str">
        <f t="shared" si="157"/>
        <v>神器6-1</v>
      </c>
      <c r="GT457" s="14">
        <f t="shared" si="158"/>
        <v>3</v>
      </c>
    </row>
    <row r="458" spans="195:202" ht="16.5" x14ac:dyDescent="0.2">
      <c r="GM458" s="91">
        <v>452</v>
      </c>
      <c r="GN458" s="14">
        <f t="shared" si="154"/>
        <v>27</v>
      </c>
      <c r="GO458" s="14">
        <f t="shared" si="155"/>
        <v>1606035</v>
      </c>
      <c r="GP458" s="14" t="str">
        <f t="shared" si="153"/>
        <v>神器6-1 : 级</v>
      </c>
      <c r="GQ458" s="14" t="s">
        <v>816</v>
      </c>
      <c r="GR458" s="14">
        <f t="shared" si="156"/>
        <v>8</v>
      </c>
      <c r="GS458" s="14" t="str">
        <f t="shared" si="157"/>
        <v>神器6-1</v>
      </c>
      <c r="GT458" s="14">
        <f t="shared" si="158"/>
        <v>3</v>
      </c>
    </row>
    <row r="459" spans="195:202" ht="16.5" x14ac:dyDescent="0.2">
      <c r="GM459" s="91">
        <v>453</v>
      </c>
      <c r="GN459" s="14">
        <f t="shared" si="154"/>
        <v>27</v>
      </c>
      <c r="GO459" s="14">
        <f t="shared" si="155"/>
        <v>1606035</v>
      </c>
      <c r="GP459" s="14" t="str">
        <f t="shared" si="153"/>
        <v>神器6-1 : 级</v>
      </c>
      <c r="GQ459" s="14" t="s">
        <v>816</v>
      </c>
      <c r="GR459" s="14">
        <f t="shared" si="156"/>
        <v>9</v>
      </c>
      <c r="GS459" s="14" t="str">
        <f t="shared" si="157"/>
        <v>神器6-1</v>
      </c>
      <c r="GT459" s="14">
        <f t="shared" si="158"/>
        <v>3</v>
      </c>
    </row>
    <row r="460" spans="195:202" ht="16.5" x14ac:dyDescent="0.2">
      <c r="GM460" s="91">
        <v>454</v>
      </c>
      <c r="GN460" s="14">
        <f t="shared" si="154"/>
        <v>27</v>
      </c>
      <c r="GO460" s="14">
        <f t="shared" si="155"/>
        <v>1606035</v>
      </c>
      <c r="GP460" s="14" t="str">
        <f t="shared" si="153"/>
        <v>神器6-1 : 级</v>
      </c>
      <c r="GQ460" s="14" t="s">
        <v>816</v>
      </c>
      <c r="GR460" s="14">
        <f t="shared" si="156"/>
        <v>10</v>
      </c>
      <c r="GS460" s="14" t="str">
        <f t="shared" si="157"/>
        <v>神器6-1</v>
      </c>
      <c r="GT460" s="14">
        <f t="shared" si="158"/>
        <v>5</v>
      </c>
    </row>
    <row r="461" spans="195:202" ht="16.5" x14ac:dyDescent="0.2">
      <c r="GM461" s="91">
        <v>455</v>
      </c>
      <c r="GN461" s="14">
        <f t="shared" si="154"/>
        <v>27</v>
      </c>
      <c r="GO461" s="14">
        <f t="shared" si="155"/>
        <v>1606035</v>
      </c>
      <c r="GP461" s="14" t="str">
        <f t="shared" si="153"/>
        <v>神器6-1 : 级</v>
      </c>
      <c r="GQ461" s="14" t="s">
        <v>816</v>
      </c>
      <c r="GR461" s="14">
        <f t="shared" si="156"/>
        <v>11</v>
      </c>
      <c r="GS461" s="14" t="str">
        <f t="shared" si="157"/>
        <v>神器6-1</v>
      </c>
      <c r="GT461" s="14">
        <f t="shared" si="158"/>
        <v>5</v>
      </c>
    </row>
    <row r="462" spans="195:202" ht="16.5" x14ac:dyDescent="0.2">
      <c r="GM462" s="91">
        <v>456</v>
      </c>
      <c r="GN462" s="14">
        <f t="shared" si="154"/>
        <v>27</v>
      </c>
      <c r="GO462" s="14">
        <f t="shared" si="155"/>
        <v>1606035</v>
      </c>
      <c r="GP462" s="14" t="str">
        <f t="shared" si="153"/>
        <v>神器6-1 : 级</v>
      </c>
      <c r="GQ462" s="14" t="s">
        <v>816</v>
      </c>
      <c r="GR462" s="14">
        <f t="shared" si="156"/>
        <v>12</v>
      </c>
      <c r="GS462" s="14" t="str">
        <f t="shared" si="157"/>
        <v>神器6-1</v>
      </c>
      <c r="GT462" s="14">
        <f t="shared" si="158"/>
        <v>6</v>
      </c>
    </row>
    <row r="463" spans="195:202" ht="16.5" x14ac:dyDescent="0.2">
      <c r="GM463" s="91">
        <v>457</v>
      </c>
      <c r="GN463" s="14">
        <f t="shared" si="154"/>
        <v>27</v>
      </c>
      <c r="GO463" s="14">
        <f t="shared" si="155"/>
        <v>1606035</v>
      </c>
      <c r="GP463" s="14" t="str">
        <f t="shared" si="153"/>
        <v>神器6-1 : 级</v>
      </c>
      <c r="GQ463" s="14" t="s">
        <v>816</v>
      </c>
      <c r="GR463" s="14">
        <f t="shared" si="156"/>
        <v>13</v>
      </c>
      <c r="GS463" s="14" t="str">
        <f t="shared" si="157"/>
        <v>神器6-1</v>
      </c>
      <c r="GT463" s="14">
        <f t="shared" si="158"/>
        <v>7</v>
      </c>
    </row>
    <row r="464" spans="195:202" ht="16.5" x14ac:dyDescent="0.2">
      <c r="GM464" s="91">
        <v>458</v>
      </c>
      <c r="GN464" s="14">
        <f t="shared" si="154"/>
        <v>27</v>
      </c>
      <c r="GO464" s="14">
        <f t="shared" si="155"/>
        <v>1606035</v>
      </c>
      <c r="GP464" s="14" t="str">
        <f t="shared" si="153"/>
        <v>神器6-1 : 级</v>
      </c>
      <c r="GQ464" s="14" t="s">
        <v>816</v>
      </c>
      <c r="GR464" s="14">
        <f t="shared" si="156"/>
        <v>14</v>
      </c>
      <c r="GS464" s="14" t="str">
        <f t="shared" si="157"/>
        <v>神器6-1</v>
      </c>
      <c r="GT464" s="14">
        <f t="shared" si="158"/>
        <v>7</v>
      </c>
    </row>
    <row r="465" spans="195:202" ht="16.5" x14ac:dyDescent="0.2">
      <c r="GM465" s="91">
        <v>459</v>
      </c>
      <c r="GN465" s="14">
        <f t="shared" si="154"/>
        <v>27</v>
      </c>
      <c r="GO465" s="14">
        <f t="shared" si="155"/>
        <v>1606035</v>
      </c>
      <c r="GP465" s="14" t="str">
        <f t="shared" si="153"/>
        <v>神器6-1 : 级</v>
      </c>
      <c r="GQ465" s="14" t="s">
        <v>816</v>
      </c>
      <c r="GR465" s="14">
        <f t="shared" si="156"/>
        <v>15</v>
      </c>
      <c r="GS465" s="14" t="str">
        <f t="shared" si="157"/>
        <v>神器6-1</v>
      </c>
      <c r="GT465" s="14">
        <f t="shared" si="158"/>
        <v>7</v>
      </c>
    </row>
    <row r="466" spans="195:202" ht="16.5" x14ac:dyDescent="0.2">
      <c r="GM466" s="91">
        <v>460</v>
      </c>
      <c r="GN466" s="14">
        <f t="shared" si="154"/>
        <v>27</v>
      </c>
      <c r="GO466" s="14">
        <f t="shared" si="155"/>
        <v>1606035</v>
      </c>
      <c r="GP466" s="14" t="str">
        <f t="shared" si="153"/>
        <v>神器6-1 : 级</v>
      </c>
      <c r="GQ466" s="14" t="s">
        <v>816</v>
      </c>
      <c r="GR466" s="14">
        <f t="shared" si="156"/>
        <v>16</v>
      </c>
      <c r="GS466" s="14" t="str">
        <f t="shared" si="157"/>
        <v>神器6-1</v>
      </c>
      <c r="GT466" s="14">
        <f t="shared" si="158"/>
        <v>10</v>
      </c>
    </row>
    <row r="467" spans="195:202" ht="16.5" x14ac:dyDescent="0.2">
      <c r="GM467" s="91">
        <v>461</v>
      </c>
      <c r="GN467" s="14">
        <f t="shared" si="154"/>
        <v>27</v>
      </c>
      <c r="GO467" s="14">
        <f t="shared" si="155"/>
        <v>1606035</v>
      </c>
      <c r="GP467" s="14" t="str">
        <f t="shared" si="153"/>
        <v>神器6-1 : 级</v>
      </c>
      <c r="GQ467" s="14" t="s">
        <v>816</v>
      </c>
      <c r="GR467" s="14">
        <f t="shared" si="156"/>
        <v>17</v>
      </c>
      <c r="GS467" s="14" t="str">
        <f t="shared" si="157"/>
        <v>神器6-1</v>
      </c>
      <c r="GT467" s="14">
        <f t="shared" si="158"/>
        <v>10</v>
      </c>
    </row>
    <row r="468" spans="195:202" ht="16.5" x14ac:dyDescent="0.2">
      <c r="GM468" s="91">
        <v>462</v>
      </c>
      <c r="GN468" s="14">
        <f t="shared" si="154"/>
        <v>27</v>
      </c>
      <c r="GO468" s="14">
        <f t="shared" si="155"/>
        <v>1606035</v>
      </c>
      <c r="GP468" s="14" t="str">
        <f t="shared" si="153"/>
        <v>神器6-1 : 级</v>
      </c>
      <c r="GQ468" s="14" t="s">
        <v>816</v>
      </c>
      <c r="GR468" s="14">
        <f t="shared" si="156"/>
        <v>18</v>
      </c>
      <c r="GS468" s="14" t="str">
        <f t="shared" si="157"/>
        <v>神器6-1</v>
      </c>
      <c r="GT468" s="14">
        <f t="shared" si="158"/>
        <v>10</v>
      </c>
    </row>
    <row r="469" spans="195:202" ht="16.5" x14ac:dyDescent="0.2">
      <c r="GM469" s="91">
        <v>463</v>
      </c>
      <c r="GN469" s="14">
        <f t="shared" si="154"/>
        <v>27</v>
      </c>
      <c r="GO469" s="14">
        <f t="shared" si="155"/>
        <v>1606035</v>
      </c>
      <c r="GP469" s="14" t="str">
        <f t="shared" si="153"/>
        <v>神器6-1 : 级</v>
      </c>
      <c r="GQ469" s="14" t="s">
        <v>816</v>
      </c>
      <c r="GR469" s="14">
        <f t="shared" si="156"/>
        <v>19</v>
      </c>
      <c r="GS469" s="14" t="str">
        <f t="shared" si="157"/>
        <v>神器6-1</v>
      </c>
      <c r="GT469" s="14">
        <f t="shared" si="158"/>
        <v>15</v>
      </c>
    </row>
    <row r="470" spans="195:202" ht="16.5" x14ac:dyDescent="0.2">
      <c r="GM470" s="91">
        <v>464</v>
      </c>
      <c r="GN470" s="14">
        <f t="shared" si="154"/>
        <v>27</v>
      </c>
      <c r="GO470" s="14">
        <f t="shared" si="155"/>
        <v>1606035</v>
      </c>
      <c r="GP470" s="14" t="str">
        <f t="shared" si="153"/>
        <v>神器6-1 : 级</v>
      </c>
      <c r="GQ470" s="14" t="s">
        <v>816</v>
      </c>
      <c r="GR470" s="14">
        <f t="shared" si="156"/>
        <v>20</v>
      </c>
      <c r="GS470" s="14" t="str">
        <f t="shared" si="157"/>
        <v>神器6-1</v>
      </c>
      <c r="GT470" s="14">
        <f t="shared" si="158"/>
        <v>15</v>
      </c>
    </row>
    <row r="471" spans="195:202" ht="16.5" x14ac:dyDescent="0.2">
      <c r="GM471" s="91">
        <v>465</v>
      </c>
      <c r="GN471" s="14">
        <f t="shared" si="154"/>
        <v>27</v>
      </c>
      <c r="GO471" s="14">
        <f t="shared" si="155"/>
        <v>1606035</v>
      </c>
      <c r="GP471" s="14" t="str">
        <f t="shared" si="153"/>
        <v>神器6-1 : 级</v>
      </c>
      <c r="GQ471" s="14" t="s">
        <v>816</v>
      </c>
      <c r="GR471" s="14">
        <f t="shared" si="156"/>
        <v>21</v>
      </c>
      <c r="GS471" s="14" t="str">
        <f t="shared" si="157"/>
        <v>神器6-1</v>
      </c>
      <c r="GT471" s="14">
        <f t="shared" si="158"/>
        <v>15</v>
      </c>
    </row>
    <row r="472" spans="195:202" ht="16.5" x14ac:dyDescent="0.2">
      <c r="GM472" s="91">
        <v>466</v>
      </c>
      <c r="GN472" s="14">
        <f t="shared" si="154"/>
        <v>28</v>
      </c>
      <c r="GO472" s="14">
        <f t="shared" si="155"/>
        <v>1606036</v>
      </c>
      <c r="GP472" s="14" t="str">
        <f t="shared" ref="GP472:GP535" si="159">INDEX($T$8:$T$49,GN472)&amp;" : "&amp;AR472&amp;"级"</f>
        <v>神器6-2 : 级</v>
      </c>
      <c r="GQ472" s="14" t="s">
        <v>816</v>
      </c>
      <c r="GR472" s="14">
        <f t="shared" si="156"/>
        <v>1</v>
      </c>
      <c r="GS472" s="14" t="str">
        <f t="shared" si="157"/>
        <v>神器6-2</v>
      </c>
      <c r="GT472" s="14">
        <f t="shared" si="158"/>
        <v>1</v>
      </c>
    </row>
    <row r="473" spans="195:202" ht="16.5" x14ac:dyDescent="0.2">
      <c r="GM473" s="91">
        <v>467</v>
      </c>
      <c r="GN473" s="14">
        <f t="shared" si="154"/>
        <v>28</v>
      </c>
      <c r="GO473" s="14">
        <f t="shared" si="155"/>
        <v>1606036</v>
      </c>
      <c r="GP473" s="14" t="str">
        <f t="shared" si="159"/>
        <v>神器6-2 : 级</v>
      </c>
      <c r="GQ473" s="14" t="s">
        <v>816</v>
      </c>
      <c r="GR473" s="14">
        <f t="shared" si="156"/>
        <v>2</v>
      </c>
      <c r="GS473" s="14" t="str">
        <f t="shared" si="157"/>
        <v>神器6-2</v>
      </c>
      <c r="GT473" s="14">
        <f t="shared" si="158"/>
        <v>1</v>
      </c>
    </row>
    <row r="474" spans="195:202" ht="16.5" x14ac:dyDescent="0.2">
      <c r="GM474" s="91">
        <v>468</v>
      </c>
      <c r="GN474" s="14">
        <f t="shared" si="154"/>
        <v>28</v>
      </c>
      <c r="GO474" s="14">
        <f t="shared" si="155"/>
        <v>1606036</v>
      </c>
      <c r="GP474" s="14" t="str">
        <f t="shared" si="159"/>
        <v>神器6-2 : 级</v>
      </c>
      <c r="GQ474" s="14" t="s">
        <v>816</v>
      </c>
      <c r="GR474" s="14">
        <f t="shared" si="156"/>
        <v>3</v>
      </c>
      <c r="GS474" s="14" t="str">
        <f t="shared" si="157"/>
        <v>神器6-2</v>
      </c>
      <c r="GT474" s="14">
        <f t="shared" si="158"/>
        <v>1</v>
      </c>
    </row>
    <row r="475" spans="195:202" ht="16.5" x14ac:dyDescent="0.2">
      <c r="GM475" s="91">
        <v>469</v>
      </c>
      <c r="GN475" s="14">
        <f t="shared" si="154"/>
        <v>28</v>
      </c>
      <c r="GO475" s="14">
        <f t="shared" si="155"/>
        <v>1606036</v>
      </c>
      <c r="GP475" s="14" t="str">
        <f t="shared" si="159"/>
        <v>神器6-2 : 级</v>
      </c>
      <c r="GQ475" s="14" t="s">
        <v>816</v>
      </c>
      <c r="GR475" s="14">
        <f t="shared" si="156"/>
        <v>4</v>
      </c>
      <c r="GS475" s="14" t="str">
        <f t="shared" si="157"/>
        <v>神器6-2</v>
      </c>
      <c r="GT475" s="14">
        <f t="shared" si="158"/>
        <v>2</v>
      </c>
    </row>
    <row r="476" spans="195:202" ht="16.5" x14ac:dyDescent="0.2">
      <c r="GM476" s="91">
        <v>470</v>
      </c>
      <c r="GN476" s="14">
        <f t="shared" si="154"/>
        <v>28</v>
      </c>
      <c r="GO476" s="14">
        <f t="shared" si="155"/>
        <v>1606036</v>
      </c>
      <c r="GP476" s="14" t="str">
        <f t="shared" si="159"/>
        <v>神器6-2 : 级</v>
      </c>
      <c r="GQ476" s="14" t="s">
        <v>816</v>
      </c>
      <c r="GR476" s="14">
        <f t="shared" si="156"/>
        <v>5</v>
      </c>
      <c r="GS476" s="14" t="str">
        <f t="shared" si="157"/>
        <v>神器6-2</v>
      </c>
      <c r="GT476" s="14">
        <f t="shared" si="158"/>
        <v>2</v>
      </c>
    </row>
    <row r="477" spans="195:202" ht="16.5" x14ac:dyDescent="0.2">
      <c r="GM477" s="91">
        <v>471</v>
      </c>
      <c r="GN477" s="14">
        <f t="shared" si="154"/>
        <v>28</v>
      </c>
      <c r="GO477" s="14">
        <f t="shared" si="155"/>
        <v>1606036</v>
      </c>
      <c r="GP477" s="14" t="str">
        <f t="shared" si="159"/>
        <v>神器6-2 : 级</v>
      </c>
      <c r="GQ477" s="14" t="s">
        <v>816</v>
      </c>
      <c r="GR477" s="14">
        <f t="shared" si="156"/>
        <v>6</v>
      </c>
      <c r="GS477" s="14" t="str">
        <f t="shared" si="157"/>
        <v>神器6-2</v>
      </c>
      <c r="GT477" s="14">
        <f t="shared" si="158"/>
        <v>2</v>
      </c>
    </row>
    <row r="478" spans="195:202" ht="16.5" x14ac:dyDescent="0.2">
      <c r="GM478" s="91">
        <v>472</v>
      </c>
      <c r="GN478" s="14">
        <f t="shared" si="154"/>
        <v>28</v>
      </c>
      <c r="GO478" s="14">
        <f t="shared" si="155"/>
        <v>1606036</v>
      </c>
      <c r="GP478" s="14" t="str">
        <f t="shared" si="159"/>
        <v>神器6-2 : 级</v>
      </c>
      <c r="GQ478" s="14" t="s">
        <v>816</v>
      </c>
      <c r="GR478" s="14">
        <f t="shared" si="156"/>
        <v>7</v>
      </c>
      <c r="GS478" s="14" t="str">
        <f t="shared" si="157"/>
        <v>神器6-2</v>
      </c>
      <c r="GT478" s="14">
        <f t="shared" si="158"/>
        <v>3</v>
      </c>
    </row>
    <row r="479" spans="195:202" ht="16.5" x14ac:dyDescent="0.2">
      <c r="GM479" s="91">
        <v>473</v>
      </c>
      <c r="GN479" s="14">
        <f t="shared" si="154"/>
        <v>28</v>
      </c>
      <c r="GO479" s="14">
        <f t="shared" si="155"/>
        <v>1606036</v>
      </c>
      <c r="GP479" s="14" t="str">
        <f t="shared" si="159"/>
        <v>神器6-2 : 级</v>
      </c>
      <c r="GQ479" s="14" t="s">
        <v>816</v>
      </c>
      <c r="GR479" s="14">
        <f t="shared" si="156"/>
        <v>8</v>
      </c>
      <c r="GS479" s="14" t="str">
        <f t="shared" si="157"/>
        <v>神器6-2</v>
      </c>
      <c r="GT479" s="14">
        <f t="shared" si="158"/>
        <v>3</v>
      </c>
    </row>
    <row r="480" spans="195:202" ht="16.5" x14ac:dyDescent="0.2">
      <c r="GM480" s="91">
        <v>474</v>
      </c>
      <c r="GN480" s="14">
        <f t="shared" si="154"/>
        <v>28</v>
      </c>
      <c r="GO480" s="14">
        <f t="shared" si="155"/>
        <v>1606036</v>
      </c>
      <c r="GP480" s="14" t="str">
        <f t="shared" si="159"/>
        <v>神器6-2 : 级</v>
      </c>
      <c r="GQ480" s="14" t="s">
        <v>816</v>
      </c>
      <c r="GR480" s="14">
        <f t="shared" si="156"/>
        <v>9</v>
      </c>
      <c r="GS480" s="14" t="str">
        <f t="shared" si="157"/>
        <v>神器6-2</v>
      </c>
      <c r="GT480" s="14">
        <f t="shared" si="158"/>
        <v>3</v>
      </c>
    </row>
    <row r="481" spans="195:202" ht="16.5" x14ac:dyDescent="0.2">
      <c r="GM481" s="91">
        <v>475</v>
      </c>
      <c r="GN481" s="14">
        <f t="shared" si="154"/>
        <v>28</v>
      </c>
      <c r="GO481" s="14">
        <f t="shared" si="155"/>
        <v>1606036</v>
      </c>
      <c r="GP481" s="14" t="str">
        <f t="shared" si="159"/>
        <v>神器6-2 : 级</v>
      </c>
      <c r="GQ481" s="14" t="s">
        <v>816</v>
      </c>
      <c r="GR481" s="14">
        <f t="shared" si="156"/>
        <v>10</v>
      </c>
      <c r="GS481" s="14" t="str">
        <f t="shared" si="157"/>
        <v>神器6-2</v>
      </c>
      <c r="GT481" s="14">
        <f t="shared" si="158"/>
        <v>5</v>
      </c>
    </row>
    <row r="482" spans="195:202" ht="16.5" x14ac:dyDescent="0.2">
      <c r="GM482" s="91">
        <v>476</v>
      </c>
      <c r="GN482" s="14">
        <f t="shared" si="154"/>
        <v>28</v>
      </c>
      <c r="GO482" s="14">
        <f t="shared" si="155"/>
        <v>1606036</v>
      </c>
      <c r="GP482" s="14" t="str">
        <f t="shared" si="159"/>
        <v>神器6-2 : 级</v>
      </c>
      <c r="GQ482" s="14" t="s">
        <v>816</v>
      </c>
      <c r="GR482" s="14">
        <f t="shared" si="156"/>
        <v>11</v>
      </c>
      <c r="GS482" s="14" t="str">
        <f t="shared" si="157"/>
        <v>神器6-2</v>
      </c>
      <c r="GT482" s="14">
        <f t="shared" si="158"/>
        <v>5</v>
      </c>
    </row>
    <row r="483" spans="195:202" ht="16.5" x14ac:dyDescent="0.2">
      <c r="GM483" s="91">
        <v>477</v>
      </c>
      <c r="GN483" s="14">
        <f t="shared" si="154"/>
        <v>28</v>
      </c>
      <c r="GO483" s="14">
        <f t="shared" si="155"/>
        <v>1606036</v>
      </c>
      <c r="GP483" s="14" t="str">
        <f t="shared" si="159"/>
        <v>神器6-2 : 级</v>
      </c>
      <c r="GQ483" s="14" t="s">
        <v>816</v>
      </c>
      <c r="GR483" s="14">
        <f t="shared" si="156"/>
        <v>12</v>
      </c>
      <c r="GS483" s="14" t="str">
        <f t="shared" si="157"/>
        <v>神器6-2</v>
      </c>
      <c r="GT483" s="14">
        <f t="shared" si="158"/>
        <v>6</v>
      </c>
    </row>
    <row r="484" spans="195:202" ht="16.5" x14ac:dyDescent="0.2">
      <c r="GM484" s="91">
        <v>478</v>
      </c>
      <c r="GN484" s="14">
        <f t="shared" si="154"/>
        <v>28</v>
      </c>
      <c r="GO484" s="14">
        <f t="shared" si="155"/>
        <v>1606036</v>
      </c>
      <c r="GP484" s="14" t="str">
        <f t="shared" si="159"/>
        <v>神器6-2 : 级</v>
      </c>
      <c r="GQ484" s="14" t="s">
        <v>816</v>
      </c>
      <c r="GR484" s="14">
        <f t="shared" si="156"/>
        <v>13</v>
      </c>
      <c r="GS484" s="14" t="str">
        <f t="shared" si="157"/>
        <v>神器6-2</v>
      </c>
      <c r="GT484" s="14">
        <f t="shared" si="158"/>
        <v>7</v>
      </c>
    </row>
    <row r="485" spans="195:202" ht="16.5" x14ac:dyDescent="0.2">
      <c r="GM485" s="91">
        <v>479</v>
      </c>
      <c r="GN485" s="14">
        <f t="shared" si="154"/>
        <v>28</v>
      </c>
      <c r="GO485" s="14">
        <f t="shared" si="155"/>
        <v>1606036</v>
      </c>
      <c r="GP485" s="14" t="str">
        <f t="shared" si="159"/>
        <v>神器6-2 : 级</v>
      </c>
      <c r="GQ485" s="14" t="s">
        <v>816</v>
      </c>
      <c r="GR485" s="14">
        <f t="shared" si="156"/>
        <v>14</v>
      </c>
      <c r="GS485" s="14" t="str">
        <f t="shared" si="157"/>
        <v>神器6-2</v>
      </c>
      <c r="GT485" s="14">
        <f t="shared" si="158"/>
        <v>7</v>
      </c>
    </row>
    <row r="486" spans="195:202" ht="16.5" x14ac:dyDescent="0.2">
      <c r="GM486" s="91">
        <v>480</v>
      </c>
      <c r="GN486" s="14">
        <f t="shared" si="154"/>
        <v>28</v>
      </c>
      <c r="GO486" s="14">
        <f t="shared" si="155"/>
        <v>1606036</v>
      </c>
      <c r="GP486" s="14" t="str">
        <f t="shared" si="159"/>
        <v>神器6-2 : 级</v>
      </c>
      <c r="GQ486" s="14" t="s">
        <v>816</v>
      </c>
      <c r="GR486" s="14">
        <f t="shared" si="156"/>
        <v>15</v>
      </c>
      <c r="GS486" s="14" t="str">
        <f t="shared" si="157"/>
        <v>神器6-2</v>
      </c>
      <c r="GT486" s="14">
        <f t="shared" si="158"/>
        <v>7</v>
      </c>
    </row>
    <row r="487" spans="195:202" ht="16.5" x14ac:dyDescent="0.2">
      <c r="GM487" s="91">
        <v>481</v>
      </c>
      <c r="GN487" s="14">
        <f t="shared" si="154"/>
        <v>28</v>
      </c>
      <c r="GO487" s="14">
        <f t="shared" si="155"/>
        <v>1606036</v>
      </c>
      <c r="GP487" s="14" t="str">
        <f t="shared" si="159"/>
        <v>神器6-2 : 级</v>
      </c>
      <c r="GQ487" s="14" t="s">
        <v>816</v>
      </c>
      <c r="GR487" s="14">
        <f t="shared" si="156"/>
        <v>16</v>
      </c>
      <c r="GS487" s="14" t="str">
        <f t="shared" si="157"/>
        <v>神器6-2</v>
      </c>
      <c r="GT487" s="14">
        <f t="shared" si="158"/>
        <v>10</v>
      </c>
    </row>
    <row r="488" spans="195:202" ht="16.5" x14ac:dyDescent="0.2">
      <c r="GM488" s="91">
        <v>482</v>
      </c>
      <c r="GN488" s="14">
        <f t="shared" si="154"/>
        <v>28</v>
      </c>
      <c r="GO488" s="14">
        <f t="shared" si="155"/>
        <v>1606036</v>
      </c>
      <c r="GP488" s="14" t="str">
        <f t="shared" si="159"/>
        <v>神器6-2 : 级</v>
      </c>
      <c r="GQ488" s="14" t="s">
        <v>816</v>
      </c>
      <c r="GR488" s="14">
        <f t="shared" si="156"/>
        <v>17</v>
      </c>
      <c r="GS488" s="14" t="str">
        <f t="shared" si="157"/>
        <v>神器6-2</v>
      </c>
      <c r="GT488" s="14">
        <f t="shared" si="158"/>
        <v>10</v>
      </c>
    </row>
    <row r="489" spans="195:202" ht="16.5" x14ac:dyDescent="0.2">
      <c r="GM489" s="91">
        <v>483</v>
      </c>
      <c r="GN489" s="14">
        <f t="shared" si="154"/>
        <v>28</v>
      </c>
      <c r="GO489" s="14">
        <f t="shared" si="155"/>
        <v>1606036</v>
      </c>
      <c r="GP489" s="14" t="str">
        <f t="shared" si="159"/>
        <v>神器6-2 : 级</v>
      </c>
      <c r="GQ489" s="14" t="s">
        <v>816</v>
      </c>
      <c r="GR489" s="14">
        <f t="shared" si="156"/>
        <v>18</v>
      </c>
      <c r="GS489" s="14" t="str">
        <f t="shared" si="157"/>
        <v>神器6-2</v>
      </c>
      <c r="GT489" s="14">
        <f t="shared" si="158"/>
        <v>10</v>
      </c>
    </row>
    <row r="490" spans="195:202" ht="16.5" x14ac:dyDescent="0.2">
      <c r="GM490" s="91">
        <v>484</v>
      </c>
      <c r="GN490" s="14">
        <f t="shared" si="154"/>
        <v>28</v>
      </c>
      <c r="GO490" s="14">
        <f t="shared" si="155"/>
        <v>1606036</v>
      </c>
      <c r="GP490" s="14" t="str">
        <f t="shared" si="159"/>
        <v>神器6-2 : 级</v>
      </c>
      <c r="GQ490" s="14" t="s">
        <v>816</v>
      </c>
      <c r="GR490" s="14">
        <f t="shared" si="156"/>
        <v>19</v>
      </c>
      <c r="GS490" s="14" t="str">
        <f t="shared" si="157"/>
        <v>神器6-2</v>
      </c>
      <c r="GT490" s="14">
        <f t="shared" si="158"/>
        <v>15</v>
      </c>
    </row>
    <row r="491" spans="195:202" ht="16.5" x14ac:dyDescent="0.2">
      <c r="GM491" s="91">
        <v>485</v>
      </c>
      <c r="GN491" s="14">
        <f t="shared" si="154"/>
        <v>28</v>
      </c>
      <c r="GO491" s="14">
        <f t="shared" si="155"/>
        <v>1606036</v>
      </c>
      <c r="GP491" s="14" t="str">
        <f t="shared" si="159"/>
        <v>神器6-2 : 级</v>
      </c>
      <c r="GQ491" s="14" t="s">
        <v>816</v>
      </c>
      <c r="GR491" s="14">
        <f t="shared" si="156"/>
        <v>20</v>
      </c>
      <c r="GS491" s="14" t="str">
        <f t="shared" si="157"/>
        <v>神器6-2</v>
      </c>
      <c r="GT491" s="14">
        <f t="shared" si="158"/>
        <v>15</v>
      </c>
    </row>
    <row r="492" spans="195:202" ht="16.5" x14ac:dyDescent="0.2">
      <c r="GM492" s="91">
        <v>486</v>
      </c>
      <c r="GN492" s="14">
        <f t="shared" si="154"/>
        <v>28</v>
      </c>
      <c r="GO492" s="14">
        <f t="shared" si="155"/>
        <v>1606036</v>
      </c>
      <c r="GP492" s="14" t="str">
        <f t="shared" si="159"/>
        <v>神器6-2 : 级</v>
      </c>
      <c r="GQ492" s="14" t="s">
        <v>816</v>
      </c>
      <c r="GR492" s="14">
        <f t="shared" si="156"/>
        <v>21</v>
      </c>
      <c r="GS492" s="14" t="str">
        <f t="shared" si="157"/>
        <v>神器6-2</v>
      </c>
      <c r="GT492" s="14">
        <f t="shared" si="158"/>
        <v>15</v>
      </c>
    </row>
    <row r="493" spans="195:202" ht="16.5" x14ac:dyDescent="0.2">
      <c r="GM493" s="91">
        <v>487</v>
      </c>
      <c r="GN493" s="14">
        <f t="shared" si="154"/>
        <v>29</v>
      </c>
      <c r="GO493" s="14">
        <f t="shared" si="155"/>
        <v>1606037</v>
      </c>
      <c r="GP493" s="14" t="str">
        <f t="shared" si="159"/>
        <v>神器6-3 : 级</v>
      </c>
      <c r="GQ493" s="14" t="s">
        <v>816</v>
      </c>
      <c r="GR493" s="14">
        <f t="shared" si="156"/>
        <v>1</v>
      </c>
      <c r="GS493" s="14" t="str">
        <f t="shared" si="157"/>
        <v>神器6-3</v>
      </c>
      <c r="GT493" s="14">
        <f t="shared" si="158"/>
        <v>1</v>
      </c>
    </row>
    <row r="494" spans="195:202" ht="16.5" x14ac:dyDescent="0.2">
      <c r="GM494" s="91">
        <v>488</v>
      </c>
      <c r="GN494" s="14">
        <f t="shared" si="154"/>
        <v>29</v>
      </c>
      <c r="GO494" s="14">
        <f t="shared" si="155"/>
        <v>1606037</v>
      </c>
      <c r="GP494" s="14" t="str">
        <f t="shared" si="159"/>
        <v>神器6-3 : 级</v>
      </c>
      <c r="GQ494" s="14" t="s">
        <v>816</v>
      </c>
      <c r="GR494" s="14">
        <f t="shared" si="156"/>
        <v>2</v>
      </c>
      <c r="GS494" s="14" t="str">
        <f t="shared" si="157"/>
        <v>神器6-3</v>
      </c>
      <c r="GT494" s="14">
        <f t="shared" si="158"/>
        <v>1</v>
      </c>
    </row>
    <row r="495" spans="195:202" ht="16.5" x14ac:dyDescent="0.2">
      <c r="GM495" s="91">
        <v>489</v>
      </c>
      <c r="GN495" s="14">
        <f t="shared" si="154"/>
        <v>29</v>
      </c>
      <c r="GO495" s="14">
        <f t="shared" si="155"/>
        <v>1606037</v>
      </c>
      <c r="GP495" s="14" t="str">
        <f t="shared" si="159"/>
        <v>神器6-3 : 级</v>
      </c>
      <c r="GQ495" s="14" t="s">
        <v>816</v>
      </c>
      <c r="GR495" s="14">
        <f t="shared" si="156"/>
        <v>3</v>
      </c>
      <c r="GS495" s="14" t="str">
        <f t="shared" si="157"/>
        <v>神器6-3</v>
      </c>
      <c r="GT495" s="14">
        <f t="shared" si="158"/>
        <v>1</v>
      </c>
    </row>
    <row r="496" spans="195:202" ht="16.5" x14ac:dyDescent="0.2">
      <c r="GM496" s="91">
        <v>490</v>
      </c>
      <c r="GN496" s="14">
        <f t="shared" si="154"/>
        <v>29</v>
      </c>
      <c r="GO496" s="14">
        <f t="shared" si="155"/>
        <v>1606037</v>
      </c>
      <c r="GP496" s="14" t="str">
        <f t="shared" si="159"/>
        <v>神器6-3 : 级</v>
      </c>
      <c r="GQ496" s="14" t="s">
        <v>816</v>
      </c>
      <c r="GR496" s="14">
        <f t="shared" si="156"/>
        <v>4</v>
      </c>
      <c r="GS496" s="14" t="str">
        <f t="shared" si="157"/>
        <v>神器6-3</v>
      </c>
      <c r="GT496" s="14">
        <f t="shared" si="158"/>
        <v>2</v>
      </c>
    </row>
    <row r="497" spans="195:202" ht="16.5" x14ac:dyDescent="0.2">
      <c r="GM497" s="91">
        <v>491</v>
      </c>
      <c r="GN497" s="14">
        <f t="shared" si="154"/>
        <v>29</v>
      </c>
      <c r="GO497" s="14">
        <f t="shared" si="155"/>
        <v>1606037</v>
      </c>
      <c r="GP497" s="14" t="str">
        <f t="shared" si="159"/>
        <v>神器6-3 : 级</v>
      </c>
      <c r="GQ497" s="14" t="s">
        <v>816</v>
      </c>
      <c r="GR497" s="14">
        <f t="shared" si="156"/>
        <v>5</v>
      </c>
      <c r="GS497" s="14" t="str">
        <f t="shared" si="157"/>
        <v>神器6-3</v>
      </c>
      <c r="GT497" s="14">
        <f t="shared" si="158"/>
        <v>2</v>
      </c>
    </row>
    <row r="498" spans="195:202" ht="16.5" x14ac:dyDescent="0.2">
      <c r="GM498" s="91">
        <v>492</v>
      </c>
      <c r="GN498" s="14">
        <f t="shared" si="154"/>
        <v>29</v>
      </c>
      <c r="GO498" s="14">
        <f t="shared" si="155"/>
        <v>1606037</v>
      </c>
      <c r="GP498" s="14" t="str">
        <f t="shared" si="159"/>
        <v>神器6-3 : 级</v>
      </c>
      <c r="GQ498" s="14" t="s">
        <v>816</v>
      </c>
      <c r="GR498" s="14">
        <f t="shared" si="156"/>
        <v>6</v>
      </c>
      <c r="GS498" s="14" t="str">
        <f t="shared" si="157"/>
        <v>神器6-3</v>
      </c>
      <c r="GT498" s="14">
        <f t="shared" si="158"/>
        <v>2</v>
      </c>
    </row>
    <row r="499" spans="195:202" ht="16.5" x14ac:dyDescent="0.2">
      <c r="GM499" s="91">
        <v>493</v>
      </c>
      <c r="GN499" s="14">
        <f t="shared" si="154"/>
        <v>29</v>
      </c>
      <c r="GO499" s="14">
        <f t="shared" si="155"/>
        <v>1606037</v>
      </c>
      <c r="GP499" s="14" t="str">
        <f t="shared" si="159"/>
        <v>神器6-3 : 级</v>
      </c>
      <c r="GQ499" s="14" t="s">
        <v>816</v>
      </c>
      <c r="GR499" s="14">
        <f t="shared" si="156"/>
        <v>7</v>
      </c>
      <c r="GS499" s="14" t="str">
        <f t="shared" si="157"/>
        <v>神器6-3</v>
      </c>
      <c r="GT499" s="14">
        <f t="shared" si="158"/>
        <v>3</v>
      </c>
    </row>
    <row r="500" spans="195:202" ht="16.5" x14ac:dyDescent="0.2">
      <c r="GM500" s="91">
        <v>494</v>
      </c>
      <c r="GN500" s="14">
        <f t="shared" si="154"/>
        <v>29</v>
      </c>
      <c r="GO500" s="14">
        <f t="shared" si="155"/>
        <v>1606037</v>
      </c>
      <c r="GP500" s="14" t="str">
        <f t="shared" si="159"/>
        <v>神器6-3 : 级</v>
      </c>
      <c r="GQ500" s="14" t="s">
        <v>816</v>
      </c>
      <c r="GR500" s="14">
        <f t="shared" si="156"/>
        <v>8</v>
      </c>
      <c r="GS500" s="14" t="str">
        <f t="shared" si="157"/>
        <v>神器6-3</v>
      </c>
      <c r="GT500" s="14">
        <f t="shared" si="158"/>
        <v>3</v>
      </c>
    </row>
    <row r="501" spans="195:202" ht="16.5" x14ac:dyDescent="0.2">
      <c r="GM501" s="91">
        <v>495</v>
      </c>
      <c r="GN501" s="14">
        <f t="shared" si="154"/>
        <v>29</v>
      </c>
      <c r="GO501" s="14">
        <f t="shared" si="155"/>
        <v>1606037</v>
      </c>
      <c r="GP501" s="14" t="str">
        <f t="shared" si="159"/>
        <v>神器6-3 : 级</v>
      </c>
      <c r="GQ501" s="14" t="s">
        <v>816</v>
      </c>
      <c r="GR501" s="14">
        <f t="shared" si="156"/>
        <v>9</v>
      </c>
      <c r="GS501" s="14" t="str">
        <f t="shared" si="157"/>
        <v>神器6-3</v>
      </c>
      <c r="GT501" s="14">
        <f t="shared" si="158"/>
        <v>3</v>
      </c>
    </row>
    <row r="502" spans="195:202" ht="16.5" x14ac:dyDescent="0.2">
      <c r="GM502" s="91">
        <v>496</v>
      </c>
      <c r="GN502" s="14">
        <f t="shared" si="154"/>
        <v>29</v>
      </c>
      <c r="GO502" s="14">
        <f t="shared" si="155"/>
        <v>1606037</v>
      </c>
      <c r="GP502" s="14" t="str">
        <f t="shared" si="159"/>
        <v>神器6-3 : 级</v>
      </c>
      <c r="GQ502" s="14" t="s">
        <v>816</v>
      </c>
      <c r="GR502" s="14">
        <f t="shared" si="156"/>
        <v>10</v>
      </c>
      <c r="GS502" s="14" t="str">
        <f t="shared" si="157"/>
        <v>神器6-3</v>
      </c>
      <c r="GT502" s="14">
        <f t="shared" si="158"/>
        <v>5</v>
      </c>
    </row>
    <row r="503" spans="195:202" ht="16.5" x14ac:dyDescent="0.2">
      <c r="GM503" s="91">
        <v>497</v>
      </c>
      <c r="GN503" s="14">
        <f t="shared" si="154"/>
        <v>29</v>
      </c>
      <c r="GO503" s="14">
        <f t="shared" si="155"/>
        <v>1606037</v>
      </c>
      <c r="GP503" s="14" t="str">
        <f t="shared" si="159"/>
        <v>神器6-3 : 级</v>
      </c>
      <c r="GQ503" s="14" t="s">
        <v>816</v>
      </c>
      <c r="GR503" s="14">
        <f t="shared" si="156"/>
        <v>11</v>
      </c>
      <c r="GS503" s="14" t="str">
        <f t="shared" si="157"/>
        <v>神器6-3</v>
      </c>
      <c r="GT503" s="14">
        <f t="shared" si="158"/>
        <v>5</v>
      </c>
    </row>
    <row r="504" spans="195:202" ht="16.5" x14ac:dyDescent="0.2">
      <c r="GM504" s="91">
        <v>498</v>
      </c>
      <c r="GN504" s="14">
        <f t="shared" si="154"/>
        <v>29</v>
      </c>
      <c r="GO504" s="14">
        <f t="shared" si="155"/>
        <v>1606037</v>
      </c>
      <c r="GP504" s="14" t="str">
        <f t="shared" si="159"/>
        <v>神器6-3 : 级</v>
      </c>
      <c r="GQ504" s="14" t="s">
        <v>816</v>
      </c>
      <c r="GR504" s="14">
        <f t="shared" si="156"/>
        <v>12</v>
      </c>
      <c r="GS504" s="14" t="str">
        <f t="shared" si="157"/>
        <v>神器6-3</v>
      </c>
      <c r="GT504" s="14">
        <f t="shared" si="158"/>
        <v>6</v>
      </c>
    </row>
    <row r="505" spans="195:202" ht="16.5" x14ac:dyDescent="0.2">
      <c r="GM505" s="91">
        <v>499</v>
      </c>
      <c r="GN505" s="14">
        <f t="shared" si="154"/>
        <v>29</v>
      </c>
      <c r="GO505" s="14">
        <f t="shared" si="155"/>
        <v>1606037</v>
      </c>
      <c r="GP505" s="14" t="str">
        <f t="shared" si="159"/>
        <v>神器6-3 : 级</v>
      </c>
      <c r="GQ505" s="14" t="s">
        <v>816</v>
      </c>
      <c r="GR505" s="14">
        <f t="shared" si="156"/>
        <v>13</v>
      </c>
      <c r="GS505" s="14" t="str">
        <f t="shared" si="157"/>
        <v>神器6-3</v>
      </c>
      <c r="GT505" s="14">
        <f t="shared" si="158"/>
        <v>7</v>
      </c>
    </row>
    <row r="506" spans="195:202" ht="16.5" x14ac:dyDescent="0.2">
      <c r="GM506" s="91">
        <v>500</v>
      </c>
      <c r="GN506" s="14">
        <f t="shared" si="154"/>
        <v>29</v>
      </c>
      <c r="GO506" s="14">
        <f t="shared" si="155"/>
        <v>1606037</v>
      </c>
      <c r="GP506" s="14" t="str">
        <f t="shared" si="159"/>
        <v>神器6-3 : 级</v>
      </c>
      <c r="GQ506" s="14" t="s">
        <v>816</v>
      </c>
      <c r="GR506" s="14">
        <f t="shared" si="156"/>
        <v>14</v>
      </c>
      <c r="GS506" s="14" t="str">
        <f t="shared" si="157"/>
        <v>神器6-3</v>
      </c>
      <c r="GT506" s="14">
        <f t="shared" si="158"/>
        <v>7</v>
      </c>
    </row>
    <row r="507" spans="195:202" ht="16.5" x14ac:dyDescent="0.2">
      <c r="GM507" s="91">
        <v>501</v>
      </c>
      <c r="GN507" s="14">
        <f t="shared" si="154"/>
        <v>29</v>
      </c>
      <c r="GO507" s="14">
        <f t="shared" si="155"/>
        <v>1606037</v>
      </c>
      <c r="GP507" s="14" t="str">
        <f t="shared" si="159"/>
        <v>神器6-3 : 级</v>
      </c>
      <c r="GQ507" s="14" t="s">
        <v>816</v>
      </c>
      <c r="GR507" s="14">
        <f t="shared" si="156"/>
        <v>15</v>
      </c>
      <c r="GS507" s="14" t="str">
        <f t="shared" si="157"/>
        <v>神器6-3</v>
      </c>
      <c r="GT507" s="14">
        <f t="shared" si="158"/>
        <v>7</v>
      </c>
    </row>
    <row r="508" spans="195:202" ht="16.5" x14ac:dyDescent="0.2">
      <c r="GM508" s="91">
        <v>502</v>
      </c>
      <c r="GN508" s="14">
        <f t="shared" si="154"/>
        <v>29</v>
      </c>
      <c r="GO508" s="14">
        <f t="shared" si="155"/>
        <v>1606037</v>
      </c>
      <c r="GP508" s="14" t="str">
        <f t="shared" si="159"/>
        <v>神器6-3 : 级</v>
      </c>
      <c r="GQ508" s="14" t="s">
        <v>816</v>
      </c>
      <c r="GR508" s="14">
        <f t="shared" si="156"/>
        <v>16</v>
      </c>
      <c r="GS508" s="14" t="str">
        <f t="shared" si="157"/>
        <v>神器6-3</v>
      </c>
      <c r="GT508" s="14">
        <f t="shared" si="158"/>
        <v>10</v>
      </c>
    </row>
    <row r="509" spans="195:202" ht="16.5" x14ac:dyDescent="0.2">
      <c r="GM509" s="91">
        <v>503</v>
      </c>
      <c r="GN509" s="14">
        <f t="shared" si="154"/>
        <v>29</v>
      </c>
      <c r="GO509" s="14">
        <f t="shared" si="155"/>
        <v>1606037</v>
      </c>
      <c r="GP509" s="14" t="str">
        <f t="shared" si="159"/>
        <v>神器6-3 : 级</v>
      </c>
      <c r="GQ509" s="14" t="s">
        <v>816</v>
      </c>
      <c r="GR509" s="14">
        <f t="shared" si="156"/>
        <v>17</v>
      </c>
      <c r="GS509" s="14" t="str">
        <f t="shared" si="157"/>
        <v>神器6-3</v>
      </c>
      <c r="GT509" s="14">
        <f t="shared" si="158"/>
        <v>10</v>
      </c>
    </row>
    <row r="510" spans="195:202" ht="16.5" x14ac:dyDescent="0.2">
      <c r="GM510" s="91">
        <v>504</v>
      </c>
      <c r="GN510" s="14">
        <f t="shared" si="154"/>
        <v>29</v>
      </c>
      <c r="GO510" s="14">
        <f t="shared" si="155"/>
        <v>1606037</v>
      </c>
      <c r="GP510" s="14" t="str">
        <f t="shared" si="159"/>
        <v>神器6-3 : 级</v>
      </c>
      <c r="GQ510" s="14" t="s">
        <v>816</v>
      </c>
      <c r="GR510" s="14">
        <f t="shared" si="156"/>
        <v>18</v>
      </c>
      <c r="GS510" s="14" t="str">
        <f t="shared" si="157"/>
        <v>神器6-3</v>
      </c>
      <c r="GT510" s="14">
        <f t="shared" si="158"/>
        <v>10</v>
      </c>
    </row>
    <row r="511" spans="195:202" ht="16.5" x14ac:dyDescent="0.2">
      <c r="GM511" s="91">
        <v>505</v>
      </c>
      <c r="GN511" s="14">
        <f t="shared" si="154"/>
        <v>29</v>
      </c>
      <c r="GO511" s="14">
        <f t="shared" si="155"/>
        <v>1606037</v>
      </c>
      <c r="GP511" s="14" t="str">
        <f t="shared" si="159"/>
        <v>神器6-3 : 级</v>
      </c>
      <c r="GQ511" s="14" t="s">
        <v>816</v>
      </c>
      <c r="GR511" s="14">
        <f t="shared" si="156"/>
        <v>19</v>
      </c>
      <c r="GS511" s="14" t="str">
        <f t="shared" si="157"/>
        <v>神器6-3</v>
      </c>
      <c r="GT511" s="14">
        <f t="shared" si="158"/>
        <v>15</v>
      </c>
    </row>
    <row r="512" spans="195:202" ht="16.5" x14ac:dyDescent="0.2">
      <c r="GM512" s="91">
        <v>506</v>
      </c>
      <c r="GN512" s="14">
        <f t="shared" si="154"/>
        <v>29</v>
      </c>
      <c r="GO512" s="14">
        <f t="shared" si="155"/>
        <v>1606037</v>
      </c>
      <c r="GP512" s="14" t="str">
        <f t="shared" si="159"/>
        <v>神器6-3 : 级</v>
      </c>
      <c r="GQ512" s="14" t="s">
        <v>816</v>
      </c>
      <c r="GR512" s="14">
        <f t="shared" si="156"/>
        <v>20</v>
      </c>
      <c r="GS512" s="14" t="str">
        <f t="shared" si="157"/>
        <v>神器6-3</v>
      </c>
      <c r="GT512" s="14">
        <f t="shared" si="158"/>
        <v>15</v>
      </c>
    </row>
    <row r="513" spans="195:202" ht="16.5" x14ac:dyDescent="0.2">
      <c r="GM513" s="91">
        <v>507</v>
      </c>
      <c r="GN513" s="14">
        <f t="shared" si="154"/>
        <v>29</v>
      </c>
      <c r="GO513" s="14">
        <f t="shared" si="155"/>
        <v>1606037</v>
      </c>
      <c r="GP513" s="14" t="str">
        <f t="shared" si="159"/>
        <v>神器6-3 : 级</v>
      </c>
      <c r="GQ513" s="14" t="s">
        <v>816</v>
      </c>
      <c r="GR513" s="14">
        <f t="shared" si="156"/>
        <v>21</v>
      </c>
      <c r="GS513" s="14" t="str">
        <f t="shared" si="157"/>
        <v>神器6-3</v>
      </c>
      <c r="GT513" s="14">
        <f t="shared" si="158"/>
        <v>15</v>
      </c>
    </row>
    <row r="514" spans="195:202" ht="16.5" x14ac:dyDescent="0.2">
      <c r="GM514" s="91">
        <v>508</v>
      </c>
      <c r="GN514" s="14">
        <f t="shared" si="154"/>
        <v>30</v>
      </c>
      <c r="GO514" s="14">
        <f t="shared" si="155"/>
        <v>1606038</v>
      </c>
      <c r="GP514" s="14" t="str">
        <f t="shared" si="159"/>
        <v>神器6-4 : 级</v>
      </c>
      <c r="GQ514" s="14" t="s">
        <v>816</v>
      </c>
      <c r="GR514" s="14">
        <f t="shared" si="156"/>
        <v>1</v>
      </c>
      <c r="GS514" s="14" t="str">
        <f t="shared" si="157"/>
        <v>神器6-4</v>
      </c>
      <c r="GT514" s="14">
        <f t="shared" si="158"/>
        <v>1</v>
      </c>
    </row>
    <row r="515" spans="195:202" ht="16.5" x14ac:dyDescent="0.2">
      <c r="GM515" s="91">
        <v>509</v>
      </c>
      <c r="GN515" s="14">
        <f t="shared" si="154"/>
        <v>30</v>
      </c>
      <c r="GO515" s="14">
        <f t="shared" si="155"/>
        <v>1606038</v>
      </c>
      <c r="GP515" s="14" t="str">
        <f t="shared" si="159"/>
        <v>神器6-4 : 级</v>
      </c>
      <c r="GQ515" s="14" t="s">
        <v>816</v>
      </c>
      <c r="GR515" s="14">
        <f t="shared" si="156"/>
        <v>2</v>
      </c>
      <c r="GS515" s="14" t="str">
        <f t="shared" si="157"/>
        <v>神器6-4</v>
      </c>
      <c r="GT515" s="14">
        <f t="shared" si="158"/>
        <v>1</v>
      </c>
    </row>
    <row r="516" spans="195:202" ht="16.5" x14ac:dyDescent="0.2">
      <c r="GM516" s="91">
        <v>510</v>
      </c>
      <c r="GN516" s="14">
        <f t="shared" si="154"/>
        <v>30</v>
      </c>
      <c r="GO516" s="14">
        <f t="shared" si="155"/>
        <v>1606038</v>
      </c>
      <c r="GP516" s="14" t="str">
        <f t="shared" si="159"/>
        <v>神器6-4 : 级</v>
      </c>
      <c r="GQ516" s="14" t="s">
        <v>816</v>
      </c>
      <c r="GR516" s="14">
        <f t="shared" si="156"/>
        <v>3</v>
      </c>
      <c r="GS516" s="14" t="str">
        <f t="shared" si="157"/>
        <v>神器6-4</v>
      </c>
      <c r="GT516" s="14">
        <f t="shared" si="158"/>
        <v>1</v>
      </c>
    </row>
    <row r="517" spans="195:202" ht="16.5" x14ac:dyDescent="0.2">
      <c r="GM517" s="91">
        <v>511</v>
      </c>
      <c r="GN517" s="14">
        <f t="shared" si="154"/>
        <v>30</v>
      </c>
      <c r="GO517" s="14">
        <f t="shared" si="155"/>
        <v>1606038</v>
      </c>
      <c r="GP517" s="14" t="str">
        <f t="shared" si="159"/>
        <v>神器6-4 : 级</v>
      </c>
      <c r="GQ517" s="14" t="s">
        <v>816</v>
      </c>
      <c r="GR517" s="14">
        <f t="shared" si="156"/>
        <v>4</v>
      </c>
      <c r="GS517" s="14" t="str">
        <f t="shared" si="157"/>
        <v>神器6-4</v>
      </c>
      <c r="GT517" s="14">
        <f t="shared" si="158"/>
        <v>2</v>
      </c>
    </row>
    <row r="518" spans="195:202" ht="16.5" x14ac:dyDescent="0.2">
      <c r="GM518" s="91">
        <v>512</v>
      </c>
      <c r="GN518" s="14">
        <f t="shared" si="154"/>
        <v>30</v>
      </c>
      <c r="GO518" s="14">
        <f t="shared" si="155"/>
        <v>1606038</v>
      </c>
      <c r="GP518" s="14" t="str">
        <f t="shared" si="159"/>
        <v>神器6-4 : 级</v>
      </c>
      <c r="GQ518" s="14" t="s">
        <v>816</v>
      </c>
      <c r="GR518" s="14">
        <f t="shared" si="156"/>
        <v>5</v>
      </c>
      <c r="GS518" s="14" t="str">
        <f t="shared" si="157"/>
        <v>神器6-4</v>
      </c>
      <c r="GT518" s="14">
        <f t="shared" si="158"/>
        <v>2</v>
      </c>
    </row>
    <row r="519" spans="195:202" ht="16.5" x14ac:dyDescent="0.2">
      <c r="GM519" s="91">
        <v>513</v>
      </c>
      <c r="GN519" s="14">
        <f t="shared" si="154"/>
        <v>30</v>
      </c>
      <c r="GO519" s="14">
        <f t="shared" si="155"/>
        <v>1606038</v>
      </c>
      <c r="GP519" s="14" t="str">
        <f t="shared" si="159"/>
        <v>神器6-4 : 级</v>
      </c>
      <c r="GQ519" s="14" t="s">
        <v>816</v>
      </c>
      <c r="GR519" s="14">
        <f t="shared" si="156"/>
        <v>6</v>
      </c>
      <c r="GS519" s="14" t="str">
        <f t="shared" si="157"/>
        <v>神器6-4</v>
      </c>
      <c r="GT519" s="14">
        <f t="shared" si="158"/>
        <v>2</v>
      </c>
    </row>
    <row r="520" spans="195:202" ht="16.5" x14ac:dyDescent="0.2">
      <c r="GM520" s="91">
        <v>514</v>
      </c>
      <c r="GN520" s="14">
        <f t="shared" ref="GN520:GN583" si="160">MATCH(GM520-1,$R$7:$R$49,1)</f>
        <v>30</v>
      </c>
      <c r="GO520" s="14">
        <f t="shared" ref="GO520:GO583" si="161">INDEX($S$8:$S$49,GN520)</f>
        <v>1606038</v>
      </c>
      <c r="GP520" s="14" t="str">
        <f t="shared" si="159"/>
        <v>神器6-4 : 级</v>
      </c>
      <c r="GQ520" s="14" t="s">
        <v>816</v>
      </c>
      <c r="GR520" s="14">
        <f t="shared" ref="GR520:GR583" si="162">GM520-INDEX($R$7:$R$49,GN520)</f>
        <v>7</v>
      </c>
      <c r="GS520" s="14" t="str">
        <f t="shared" ref="GS520:GS583" si="163">INDEX($T$8:$T$49,GN520)</f>
        <v>神器6-4</v>
      </c>
      <c r="GT520" s="14">
        <f t="shared" ref="GT520:GT583" si="164">INDEX($K$8:$K$28,GR520)</f>
        <v>3</v>
      </c>
    </row>
    <row r="521" spans="195:202" ht="16.5" x14ac:dyDescent="0.2">
      <c r="GM521" s="91">
        <v>515</v>
      </c>
      <c r="GN521" s="14">
        <f t="shared" si="160"/>
        <v>30</v>
      </c>
      <c r="GO521" s="14">
        <f t="shared" si="161"/>
        <v>1606038</v>
      </c>
      <c r="GP521" s="14" t="str">
        <f t="shared" si="159"/>
        <v>神器6-4 : 级</v>
      </c>
      <c r="GQ521" s="14" t="s">
        <v>816</v>
      </c>
      <c r="GR521" s="14">
        <f t="shared" si="162"/>
        <v>8</v>
      </c>
      <c r="GS521" s="14" t="str">
        <f t="shared" si="163"/>
        <v>神器6-4</v>
      </c>
      <c r="GT521" s="14">
        <f t="shared" si="164"/>
        <v>3</v>
      </c>
    </row>
    <row r="522" spans="195:202" ht="16.5" x14ac:dyDescent="0.2">
      <c r="GM522" s="91">
        <v>516</v>
      </c>
      <c r="GN522" s="14">
        <f t="shared" si="160"/>
        <v>30</v>
      </c>
      <c r="GO522" s="14">
        <f t="shared" si="161"/>
        <v>1606038</v>
      </c>
      <c r="GP522" s="14" t="str">
        <f t="shared" si="159"/>
        <v>神器6-4 : 级</v>
      </c>
      <c r="GQ522" s="14" t="s">
        <v>816</v>
      </c>
      <c r="GR522" s="14">
        <f t="shared" si="162"/>
        <v>9</v>
      </c>
      <c r="GS522" s="14" t="str">
        <f t="shared" si="163"/>
        <v>神器6-4</v>
      </c>
      <c r="GT522" s="14">
        <f t="shared" si="164"/>
        <v>3</v>
      </c>
    </row>
    <row r="523" spans="195:202" ht="16.5" x14ac:dyDescent="0.2">
      <c r="GM523" s="91">
        <v>517</v>
      </c>
      <c r="GN523" s="14">
        <f t="shared" si="160"/>
        <v>30</v>
      </c>
      <c r="GO523" s="14">
        <f t="shared" si="161"/>
        <v>1606038</v>
      </c>
      <c r="GP523" s="14" t="str">
        <f t="shared" si="159"/>
        <v>神器6-4 : 级</v>
      </c>
      <c r="GQ523" s="14" t="s">
        <v>816</v>
      </c>
      <c r="GR523" s="14">
        <f t="shared" si="162"/>
        <v>10</v>
      </c>
      <c r="GS523" s="14" t="str">
        <f t="shared" si="163"/>
        <v>神器6-4</v>
      </c>
      <c r="GT523" s="14">
        <f t="shared" si="164"/>
        <v>5</v>
      </c>
    </row>
    <row r="524" spans="195:202" ht="16.5" x14ac:dyDescent="0.2">
      <c r="GM524" s="91">
        <v>518</v>
      </c>
      <c r="GN524" s="14">
        <f t="shared" si="160"/>
        <v>30</v>
      </c>
      <c r="GO524" s="14">
        <f t="shared" si="161"/>
        <v>1606038</v>
      </c>
      <c r="GP524" s="14" t="str">
        <f t="shared" si="159"/>
        <v>神器6-4 : 级</v>
      </c>
      <c r="GQ524" s="14" t="s">
        <v>816</v>
      </c>
      <c r="GR524" s="14">
        <f t="shared" si="162"/>
        <v>11</v>
      </c>
      <c r="GS524" s="14" t="str">
        <f t="shared" si="163"/>
        <v>神器6-4</v>
      </c>
      <c r="GT524" s="14">
        <f t="shared" si="164"/>
        <v>5</v>
      </c>
    </row>
    <row r="525" spans="195:202" ht="16.5" x14ac:dyDescent="0.2">
      <c r="GM525" s="91">
        <v>519</v>
      </c>
      <c r="GN525" s="14">
        <f t="shared" si="160"/>
        <v>30</v>
      </c>
      <c r="GO525" s="14">
        <f t="shared" si="161"/>
        <v>1606038</v>
      </c>
      <c r="GP525" s="14" t="str">
        <f t="shared" si="159"/>
        <v>神器6-4 : 级</v>
      </c>
      <c r="GQ525" s="14" t="s">
        <v>816</v>
      </c>
      <c r="GR525" s="14">
        <f t="shared" si="162"/>
        <v>12</v>
      </c>
      <c r="GS525" s="14" t="str">
        <f t="shared" si="163"/>
        <v>神器6-4</v>
      </c>
      <c r="GT525" s="14">
        <f t="shared" si="164"/>
        <v>6</v>
      </c>
    </row>
    <row r="526" spans="195:202" ht="16.5" x14ac:dyDescent="0.2">
      <c r="GM526" s="91">
        <v>520</v>
      </c>
      <c r="GN526" s="14">
        <f t="shared" si="160"/>
        <v>30</v>
      </c>
      <c r="GO526" s="14">
        <f t="shared" si="161"/>
        <v>1606038</v>
      </c>
      <c r="GP526" s="14" t="str">
        <f t="shared" si="159"/>
        <v>神器6-4 : 级</v>
      </c>
      <c r="GQ526" s="14" t="s">
        <v>816</v>
      </c>
      <c r="GR526" s="14">
        <f t="shared" si="162"/>
        <v>13</v>
      </c>
      <c r="GS526" s="14" t="str">
        <f t="shared" si="163"/>
        <v>神器6-4</v>
      </c>
      <c r="GT526" s="14">
        <f t="shared" si="164"/>
        <v>7</v>
      </c>
    </row>
    <row r="527" spans="195:202" ht="16.5" x14ac:dyDescent="0.2">
      <c r="GM527" s="91">
        <v>521</v>
      </c>
      <c r="GN527" s="14">
        <f t="shared" si="160"/>
        <v>30</v>
      </c>
      <c r="GO527" s="14">
        <f t="shared" si="161"/>
        <v>1606038</v>
      </c>
      <c r="GP527" s="14" t="str">
        <f t="shared" si="159"/>
        <v>神器6-4 : 级</v>
      </c>
      <c r="GQ527" s="14" t="s">
        <v>816</v>
      </c>
      <c r="GR527" s="14">
        <f t="shared" si="162"/>
        <v>14</v>
      </c>
      <c r="GS527" s="14" t="str">
        <f t="shared" si="163"/>
        <v>神器6-4</v>
      </c>
      <c r="GT527" s="14">
        <f t="shared" si="164"/>
        <v>7</v>
      </c>
    </row>
    <row r="528" spans="195:202" ht="16.5" x14ac:dyDescent="0.2">
      <c r="GM528" s="91">
        <v>522</v>
      </c>
      <c r="GN528" s="14">
        <f t="shared" si="160"/>
        <v>30</v>
      </c>
      <c r="GO528" s="14">
        <f t="shared" si="161"/>
        <v>1606038</v>
      </c>
      <c r="GP528" s="14" t="str">
        <f t="shared" si="159"/>
        <v>神器6-4 : 级</v>
      </c>
      <c r="GQ528" s="14" t="s">
        <v>816</v>
      </c>
      <c r="GR528" s="14">
        <f t="shared" si="162"/>
        <v>15</v>
      </c>
      <c r="GS528" s="14" t="str">
        <f t="shared" si="163"/>
        <v>神器6-4</v>
      </c>
      <c r="GT528" s="14">
        <f t="shared" si="164"/>
        <v>7</v>
      </c>
    </row>
    <row r="529" spans="195:202" ht="16.5" x14ac:dyDescent="0.2">
      <c r="GM529" s="91">
        <v>523</v>
      </c>
      <c r="GN529" s="14">
        <f t="shared" si="160"/>
        <v>30</v>
      </c>
      <c r="GO529" s="14">
        <f t="shared" si="161"/>
        <v>1606038</v>
      </c>
      <c r="GP529" s="14" t="str">
        <f t="shared" si="159"/>
        <v>神器6-4 : 级</v>
      </c>
      <c r="GQ529" s="14" t="s">
        <v>816</v>
      </c>
      <c r="GR529" s="14">
        <f t="shared" si="162"/>
        <v>16</v>
      </c>
      <c r="GS529" s="14" t="str">
        <f t="shared" si="163"/>
        <v>神器6-4</v>
      </c>
      <c r="GT529" s="14">
        <f t="shared" si="164"/>
        <v>10</v>
      </c>
    </row>
    <row r="530" spans="195:202" ht="16.5" x14ac:dyDescent="0.2">
      <c r="GM530" s="91">
        <v>524</v>
      </c>
      <c r="GN530" s="14">
        <f t="shared" si="160"/>
        <v>30</v>
      </c>
      <c r="GO530" s="14">
        <f t="shared" si="161"/>
        <v>1606038</v>
      </c>
      <c r="GP530" s="14" t="str">
        <f t="shared" si="159"/>
        <v>神器6-4 : 级</v>
      </c>
      <c r="GQ530" s="14" t="s">
        <v>816</v>
      </c>
      <c r="GR530" s="14">
        <f t="shared" si="162"/>
        <v>17</v>
      </c>
      <c r="GS530" s="14" t="str">
        <f t="shared" si="163"/>
        <v>神器6-4</v>
      </c>
      <c r="GT530" s="14">
        <f t="shared" si="164"/>
        <v>10</v>
      </c>
    </row>
    <row r="531" spans="195:202" ht="16.5" x14ac:dyDescent="0.2">
      <c r="GM531" s="91">
        <v>525</v>
      </c>
      <c r="GN531" s="14">
        <f t="shared" si="160"/>
        <v>30</v>
      </c>
      <c r="GO531" s="14">
        <f t="shared" si="161"/>
        <v>1606038</v>
      </c>
      <c r="GP531" s="14" t="str">
        <f t="shared" si="159"/>
        <v>神器6-4 : 级</v>
      </c>
      <c r="GQ531" s="14" t="s">
        <v>816</v>
      </c>
      <c r="GR531" s="14">
        <f t="shared" si="162"/>
        <v>18</v>
      </c>
      <c r="GS531" s="14" t="str">
        <f t="shared" si="163"/>
        <v>神器6-4</v>
      </c>
      <c r="GT531" s="14">
        <f t="shared" si="164"/>
        <v>10</v>
      </c>
    </row>
    <row r="532" spans="195:202" ht="16.5" x14ac:dyDescent="0.2">
      <c r="GM532" s="91">
        <v>526</v>
      </c>
      <c r="GN532" s="14">
        <f t="shared" si="160"/>
        <v>30</v>
      </c>
      <c r="GO532" s="14">
        <f t="shared" si="161"/>
        <v>1606038</v>
      </c>
      <c r="GP532" s="14" t="str">
        <f t="shared" si="159"/>
        <v>神器6-4 : 级</v>
      </c>
      <c r="GQ532" s="14" t="s">
        <v>816</v>
      </c>
      <c r="GR532" s="14">
        <f t="shared" si="162"/>
        <v>19</v>
      </c>
      <c r="GS532" s="14" t="str">
        <f t="shared" si="163"/>
        <v>神器6-4</v>
      </c>
      <c r="GT532" s="14">
        <f t="shared" si="164"/>
        <v>15</v>
      </c>
    </row>
    <row r="533" spans="195:202" ht="16.5" x14ac:dyDescent="0.2">
      <c r="GM533" s="91">
        <v>527</v>
      </c>
      <c r="GN533" s="14">
        <f t="shared" si="160"/>
        <v>30</v>
      </c>
      <c r="GO533" s="14">
        <f t="shared" si="161"/>
        <v>1606038</v>
      </c>
      <c r="GP533" s="14" t="str">
        <f t="shared" si="159"/>
        <v>神器6-4 : 级</v>
      </c>
      <c r="GQ533" s="14" t="s">
        <v>816</v>
      </c>
      <c r="GR533" s="14">
        <f t="shared" si="162"/>
        <v>20</v>
      </c>
      <c r="GS533" s="14" t="str">
        <f t="shared" si="163"/>
        <v>神器6-4</v>
      </c>
      <c r="GT533" s="14">
        <f t="shared" si="164"/>
        <v>15</v>
      </c>
    </row>
    <row r="534" spans="195:202" ht="16.5" x14ac:dyDescent="0.2">
      <c r="GM534" s="91">
        <v>528</v>
      </c>
      <c r="GN534" s="14">
        <f t="shared" si="160"/>
        <v>30</v>
      </c>
      <c r="GO534" s="14">
        <f t="shared" si="161"/>
        <v>1606038</v>
      </c>
      <c r="GP534" s="14" t="str">
        <f t="shared" si="159"/>
        <v>神器6-4 : 级</v>
      </c>
      <c r="GQ534" s="14" t="s">
        <v>816</v>
      </c>
      <c r="GR534" s="14">
        <f t="shared" si="162"/>
        <v>21</v>
      </c>
      <c r="GS534" s="14" t="str">
        <f t="shared" si="163"/>
        <v>神器6-4</v>
      </c>
      <c r="GT534" s="14">
        <f t="shared" si="164"/>
        <v>15</v>
      </c>
    </row>
    <row r="535" spans="195:202" ht="16.5" x14ac:dyDescent="0.2">
      <c r="GM535" s="91">
        <v>529</v>
      </c>
      <c r="GN535" s="14">
        <f t="shared" si="160"/>
        <v>31</v>
      </c>
      <c r="GO535" s="14">
        <f t="shared" si="161"/>
        <v>1606039</v>
      </c>
      <c r="GP535" s="14" t="str">
        <f t="shared" si="159"/>
        <v>神器6-5 : 级</v>
      </c>
      <c r="GQ535" s="14" t="s">
        <v>816</v>
      </c>
      <c r="GR535" s="14">
        <f t="shared" si="162"/>
        <v>1</v>
      </c>
      <c r="GS535" s="14" t="str">
        <f t="shared" si="163"/>
        <v>神器6-5</v>
      </c>
      <c r="GT535" s="14">
        <f t="shared" si="164"/>
        <v>1</v>
      </c>
    </row>
    <row r="536" spans="195:202" ht="16.5" x14ac:dyDescent="0.2">
      <c r="GM536" s="91">
        <v>530</v>
      </c>
      <c r="GN536" s="14">
        <f t="shared" si="160"/>
        <v>31</v>
      </c>
      <c r="GO536" s="14">
        <f t="shared" si="161"/>
        <v>1606039</v>
      </c>
      <c r="GP536" s="14" t="str">
        <f t="shared" ref="GP536:GP599" si="165">INDEX($T$8:$T$49,GN536)&amp;" : "&amp;AR536&amp;"级"</f>
        <v>神器6-5 : 级</v>
      </c>
      <c r="GQ536" s="14" t="s">
        <v>816</v>
      </c>
      <c r="GR536" s="14">
        <f t="shared" si="162"/>
        <v>2</v>
      </c>
      <c r="GS536" s="14" t="str">
        <f t="shared" si="163"/>
        <v>神器6-5</v>
      </c>
      <c r="GT536" s="14">
        <f t="shared" si="164"/>
        <v>1</v>
      </c>
    </row>
    <row r="537" spans="195:202" ht="16.5" x14ac:dyDescent="0.2">
      <c r="GM537" s="91">
        <v>531</v>
      </c>
      <c r="GN537" s="14">
        <f t="shared" si="160"/>
        <v>31</v>
      </c>
      <c r="GO537" s="14">
        <f t="shared" si="161"/>
        <v>1606039</v>
      </c>
      <c r="GP537" s="14" t="str">
        <f t="shared" si="165"/>
        <v>神器6-5 : 级</v>
      </c>
      <c r="GQ537" s="14" t="s">
        <v>816</v>
      </c>
      <c r="GR537" s="14">
        <f t="shared" si="162"/>
        <v>3</v>
      </c>
      <c r="GS537" s="14" t="str">
        <f t="shared" si="163"/>
        <v>神器6-5</v>
      </c>
      <c r="GT537" s="14">
        <f t="shared" si="164"/>
        <v>1</v>
      </c>
    </row>
    <row r="538" spans="195:202" ht="16.5" x14ac:dyDescent="0.2">
      <c r="GM538" s="91">
        <v>532</v>
      </c>
      <c r="GN538" s="14">
        <f t="shared" si="160"/>
        <v>31</v>
      </c>
      <c r="GO538" s="14">
        <f t="shared" si="161"/>
        <v>1606039</v>
      </c>
      <c r="GP538" s="14" t="str">
        <f t="shared" si="165"/>
        <v>神器6-5 : 级</v>
      </c>
      <c r="GQ538" s="14" t="s">
        <v>816</v>
      </c>
      <c r="GR538" s="14">
        <f t="shared" si="162"/>
        <v>4</v>
      </c>
      <c r="GS538" s="14" t="str">
        <f t="shared" si="163"/>
        <v>神器6-5</v>
      </c>
      <c r="GT538" s="14">
        <f t="shared" si="164"/>
        <v>2</v>
      </c>
    </row>
    <row r="539" spans="195:202" ht="16.5" x14ac:dyDescent="0.2">
      <c r="GM539" s="91">
        <v>533</v>
      </c>
      <c r="GN539" s="14">
        <f t="shared" si="160"/>
        <v>31</v>
      </c>
      <c r="GO539" s="14">
        <f t="shared" si="161"/>
        <v>1606039</v>
      </c>
      <c r="GP539" s="14" t="str">
        <f t="shared" si="165"/>
        <v>神器6-5 : 级</v>
      </c>
      <c r="GQ539" s="14" t="s">
        <v>816</v>
      </c>
      <c r="GR539" s="14">
        <f t="shared" si="162"/>
        <v>5</v>
      </c>
      <c r="GS539" s="14" t="str">
        <f t="shared" si="163"/>
        <v>神器6-5</v>
      </c>
      <c r="GT539" s="14">
        <f t="shared" si="164"/>
        <v>2</v>
      </c>
    </row>
    <row r="540" spans="195:202" ht="16.5" x14ac:dyDescent="0.2">
      <c r="GM540" s="91">
        <v>534</v>
      </c>
      <c r="GN540" s="14">
        <f t="shared" si="160"/>
        <v>31</v>
      </c>
      <c r="GO540" s="14">
        <f t="shared" si="161"/>
        <v>1606039</v>
      </c>
      <c r="GP540" s="14" t="str">
        <f t="shared" si="165"/>
        <v>神器6-5 : 级</v>
      </c>
      <c r="GQ540" s="14" t="s">
        <v>816</v>
      </c>
      <c r="GR540" s="14">
        <f t="shared" si="162"/>
        <v>6</v>
      </c>
      <c r="GS540" s="14" t="str">
        <f t="shared" si="163"/>
        <v>神器6-5</v>
      </c>
      <c r="GT540" s="14">
        <f t="shared" si="164"/>
        <v>2</v>
      </c>
    </row>
    <row r="541" spans="195:202" ht="16.5" x14ac:dyDescent="0.2">
      <c r="GM541" s="91">
        <v>535</v>
      </c>
      <c r="GN541" s="14">
        <f t="shared" si="160"/>
        <v>31</v>
      </c>
      <c r="GO541" s="14">
        <f t="shared" si="161"/>
        <v>1606039</v>
      </c>
      <c r="GP541" s="14" t="str">
        <f t="shared" si="165"/>
        <v>神器6-5 : 级</v>
      </c>
      <c r="GQ541" s="14" t="s">
        <v>816</v>
      </c>
      <c r="GR541" s="14">
        <f t="shared" si="162"/>
        <v>7</v>
      </c>
      <c r="GS541" s="14" t="str">
        <f t="shared" si="163"/>
        <v>神器6-5</v>
      </c>
      <c r="GT541" s="14">
        <f t="shared" si="164"/>
        <v>3</v>
      </c>
    </row>
    <row r="542" spans="195:202" ht="16.5" x14ac:dyDescent="0.2">
      <c r="GM542" s="91">
        <v>536</v>
      </c>
      <c r="GN542" s="14">
        <f t="shared" si="160"/>
        <v>31</v>
      </c>
      <c r="GO542" s="14">
        <f t="shared" si="161"/>
        <v>1606039</v>
      </c>
      <c r="GP542" s="14" t="str">
        <f t="shared" si="165"/>
        <v>神器6-5 : 级</v>
      </c>
      <c r="GQ542" s="14" t="s">
        <v>816</v>
      </c>
      <c r="GR542" s="14">
        <f t="shared" si="162"/>
        <v>8</v>
      </c>
      <c r="GS542" s="14" t="str">
        <f t="shared" si="163"/>
        <v>神器6-5</v>
      </c>
      <c r="GT542" s="14">
        <f t="shared" si="164"/>
        <v>3</v>
      </c>
    </row>
    <row r="543" spans="195:202" ht="16.5" x14ac:dyDescent="0.2">
      <c r="GM543" s="91">
        <v>537</v>
      </c>
      <c r="GN543" s="14">
        <f t="shared" si="160"/>
        <v>31</v>
      </c>
      <c r="GO543" s="14">
        <f t="shared" si="161"/>
        <v>1606039</v>
      </c>
      <c r="GP543" s="14" t="str">
        <f t="shared" si="165"/>
        <v>神器6-5 : 级</v>
      </c>
      <c r="GQ543" s="14" t="s">
        <v>816</v>
      </c>
      <c r="GR543" s="14">
        <f t="shared" si="162"/>
        <v>9</v>
      </c>
      <c r="GS543" s="14" t="str">
        <f t="shared" si="163"/>
        <v>神器6-5</v>
      </c>
      <c r="GT543" s="14">
        <f t="shared" si="164"/>
        <v>3</v>
      </c>
    </row>
    <row r="544" spans="195:202" ht="16.5" x14ac:dyDescent="0.2">
      <c r="GM544" s="91">
        <v>538</v>
      </c>
      <c r="GN544" s="14">
        <f t="shared" si="160"/>
        <v>31</v>
      </c>
      <c r="GO544" s="14">
        <f t="shared" si="161"/>
        <v>1606039</v>
      </c>
      <c r="GP544" s="14" t="str">
        <f t="shared" si="165"/>
        <v>神器6-5 : 级</v>
      </c>
      <c r="GQ544" s="14" t="s">
        <v>816</v>
      </c>
      <c r="GR544" s="14">
        <f t="shared" si="162"/>
        <v>10</v>
      </c>
      <c r="GS544" s="14" t="str">
        <f t="shared" si="163"/>
        <v>神器6-5</v>
      </c>
      <c r="GT544" s="14">
        <f t="shared" si="164"/>
        <v>5</v>
      </c>
    </row>
    <row r="545" spans="195:202" ht="16.5" x14ac:dyDescent="0.2">
      <c r="GM545" s="91">
        <v>539</v>
      </c>
      <c r="GN545" s="14">
        <f t="shared" si="160"/>
        <v>31</v>
      </c>
      <c r="GO545" s="14">
        <f t="shared" si="161"/>
        <v>1606039</v>
      </c>
      <c r="GP545" s="14" t="str">
        <f t="shared" si="165"/>
        <v>神器6-5 : 级</v>
      </c>
      <c r="GQ545" s="14" t="s">
        <v>816</v>
      </c>
      <c r="GR545" s="14">
        <f t="shared" si="162"/>
        <v>11</v>
      </c>
      <c r="GS545" s="14" t="str">
        <f t="shared" si="163"/>
        <v>神器6-5</v>
      </c>
      <c r="GT545" s="14">
        <f t="shared" si="164"/>
        <v>5</v>
      </c>
    </row>
    <row r="546" spans="195:202" ht="16.5" x14ac:dyDescent="0.2">
      <c r="GM546" s="91">
        <v>540</v>
      </c>
      <c r="GN546" s="14">
        <f t="shared" si="160"/>
        <v>31</v>
      </c>
      <c r="GO546" s="14">
        <f t="shared" si="161"/>
        <v>1606039</v>
      </c>
      <c r="GP546" s="14" t="str">
        <f t="shared" si="165"/>
        <v>神器6-5 : 级</v>
      </c>
      <c r="GQ546" s="14" t="s">
        <v>816</v>
      </c>
      <c r="GR546" s="14">
        <f t="shared" si="162"/>
        <v>12</v>
      </c>
      <c r="GS546" s="14" t="str">
        <f t="shared" si="163"/>
        <v>神器6-5</v>
      </c>
      <c r="GT546" s="14">
        <f t="shared" si="164"/>
        <v>6</v>
      </c>
    </row>
    <row r="547" spans="195:202" ht="16.5" x14ac:dyDescent="0.2">
      <c r="GM547" s="91">
        <v>541</v>
      </c>
      <c r="GN547" s="14">
        <f t="shared" si="160"/>
        <v>31</v>
      </c>
      <c r="GO547" s="14">
        <f t="shared" si="161"/>
        <v>1606039</v>
      </c>
      <c r="GP547" s="14" t="str">
        <f t="shared" si="165"/>
        <v>神器6-5 : 级</v>
      </c>
      <c r="GQ547" s="14" t="s">
        <v>816</v>
      </c>
      <c r="GR547" s="14">
        <f t="shared" si="162"/>
        <v>13</v>
      </c>
      <c r="GS547" s="14" t="str">
        <f t="shared" si="163"/>
        <v>神器6-5</v>
      </c>
      <c r="GT547" s="14">
        <f t="shared" si="164"/>
        <v>7</v>
      </c>
    </row>
    <row r="548" spans="195:202" ht="16.5" x14ac:dyDescent="0.2">
      <c r="GM548" s="91">
        <v>542</v>
      </c>
      <c r="GN548" s="14">
        <f t="shared" si="160"/>
        <v>31</v>
      </c>
      <c r="GO548" s="14">
        <f t="shared" si="161"/>
        <v>1606039</v>
      </c>
      <c r="GP548" s="14" t="str">
        <f t="shared" si="165"/>
        <v>神器6-5 : 级</v>
      </c>
      <c r="GQ548" s="14" t="s">
        <v>816</v>
      </c>
      <c r="GR548" s="14">
        <f t="shared" si="162"/>
        <v>14</v>
      </c>
      <c r="GS548" s="14" t="str">
        <f t="shared" si="163"/>
        <v>神器6-5</v>
      </c>
      <c r="GT548" s="14">
        <f t="shared" si="164"/>
        <v>7</v>
      </c>
    </row>
    <row r="549" spans="195:202" ht="16.5" x14ac:dyDescent="0.2">
      <c r="GM549" s="91">
        <v>543</v>
      </c>
      <c r="GN549" s="14">
        <f t="shared" si="160"/>
        <v>31</v>
      </c>
      <c r="GO549" s="14">
        <f t="shared" si="161"/>
        <v>1606039</v>
      </c>
      <c r="GP549" s="14" t="str">
        <f t="shared" si="165"/>
        <v>神器6-5 : 级</v>
      </c>
      <c r="GQ549" s="14" t="s">
        <v>816</v>
      </c>
      <c r="GR549" s="14">
        <f t="shared" si="162"/>
        <v>15</v>
      </c>
      <c r="GS549" s="14" t="str">
        <f t="shared" si="163"/>
        <v>神器6-5</v>
      </c>
      <c r="GT549" s="14">
        <f t="shared" si="164"/>
        <v>7</v>
      </c>
    </row>
    <row r="550" spans="195:202" ht="16.5" x14ac:dyDescent="0.2">
      <c r="GM550" s="91">
        <v>544</v>
      </c>
      <c r="GN550" s="14">
        <f t="shared" si="160"/>
        <v>31</v>
      </c>
      <c r="GO550" s="14">
        <f t="shared" si="161"/>
        <v>1606039</v>
      </c>
      <c r="GP550" s="14" t="str">
        <f t="shared" si="165"/>
        <v>神器6-5 : 级</v>
      </c>
      <c r="GQ550" s="14" t="s">
        <v>816</v>
      </c>
      <c r="GR550" s="14">
        <f t="shared" si="162"/>
        <v>16</v>
      </c>
      <c r="GS550" s="14" t="str">
        <f t="shared" si="163"/>
        <v>神器6-5</v>
      </c>
      <c r="GT550" s="14">
        <f t="shared" si="164"/>
        <v>10</v>
      </c>
    </row>
    <row r="551" spans="195:202" ht="16.5" x14ac:dyDescent="0.2">
      <c r="GM551" s="91">
        <v>545</v>
      </c>
      <c r="GN551" s="14">
        <f t="shared" si="160"/>
        <v>31</v>
      </c>
      <c r="GO551" s="14">
        <f t="shared" si="161"/>
        <v>1606039</v>
      </c>
      <c r="GP551" s="14" t="str">
        <f t="shared" si="165"/>
        <v>神器6-5 : 级</v>
      </c>
      <c r="GQ551" s="14" t="s">
        <v>816</v>
      </c>
      <c r="GR551" s="14">
        <f t="shared" si="162"/>
        <v>17</v>
      </c>
      <c r="GS551" s="14" t="str">
        <f t="shared" si="163"/>
        <v>神器6-5</v>
      </c>
      <c r="GT551" s="14">
        <f t="shared" si="164"/>
        <v>10</v>
      </c>
    </row>
    <row r="552" spans="195:202" ht="16.5" x14ac:dyDescent="0.2">
      <c r="GM552" s="91">
        <v>546</v>
      </c>
      <c r="GN552" s="14">
        <f t="shared" si="160"/>
        <v>31</v>
      </c>
      <c r="GO552" s="14">
        <f t="shared" si="161"/>
        <v>1606039</v>
      </c>
      <c r="GP552" s="14" t="str">
        <f t="shared" si="165"/>
        <v>神器6-5 : 级</v>
      </c>
      <c r="GQ552" s="14" t="s">
        <v>816</v>
      </c>
      <c r="GR552" s="14">
        <f t="shared" si="162"/>
        <v>18</v>
      </c>
      <c r="GS552" s="14" t="str">
        <f t="shared" si="163"/>
        <v>神器6-5</v>
      </c>
      <c r="GT552" s="14">
        <f t="shared" si="164"/>
        <v>10</v>
      </c>
    </row>
    <row r="553" spans="195:202" ht="16.5" x14ac:dyDescent="0.2">
      <c r="GM553" s="91">
        <v>547</v>
      </c>
      <c r="GN553" s="14">
        <f t="shared" si="160"/>
        <v>31</v>
      </c>
      <c r="GO553" s="14">
        <f t="shared" si="161"/>
        <v>1606039</v>
      </c>
      <c r="GP553" s="14" t="str">
        <f t="shared" si="165"/>
        <v>神器6-5 : 级</v>
      </c>
      <c r="GQ553" s="14" t="s">
        <v>816</v>
      </c>
      <c r="GR553" s="14">
        <f t="shared" si="162"/>
        <v>19</v>
      </c>
      <c r="GS553" s="14" t="str">
        <f t="shared" si="163"/>
        <v>神器6-5</v>
      </c>
      <c r="GT553" s="14">
        <f t="shared" si="164"/>
        <v>15</v>
      </c>
    </row>
    <row r="554" spans="195:202" ht="16.5" x14ac:dyDescent="0.2">
      <c r="GM554" s="91">
        <v>548</v>
      </c>
      <c r="GN554" s="14">
        <f t="shared" si="160"/>
        <v>31</v>
      </c>
      <c r="GO554" s="14">
        <f t="shared" si="161"/>
        <v>1606039</v>
      </c>
      <c r="GP554" s="14" t="str">
        <f t="shared" si="165"/>
        <v>神器6-5 : 级</v>
      </c>
      <c r="GQ554" s="14" t="s">
        <v>816</v>
      </c>
      <c r="GR554" s="14">
        <f t="shared" si="162"/>
        <v>20</v>
      </c>
      <c r="GS554" s="14" t="str">
        <f t="shared" si="163"/>
        <v>神器6-5</v>
      </c>
      <c r="GT554" s="14">
        <f t="shared" si="164"/>
        <v>15</v>
      </c>
    </row>
    <row r="555" spans="195:202" ht="16.5" x14ac:dyDescent="0.2">
      <c r="GM555" s="91">
        <v>549</v>
      </c>
      <c r="GN555" s="14">
        <f t="shared" si="160"/>
        <v>31</v>
      </c>
      <c r="GO555" s="14">
        <f t="shared" si="161"/>
        <v>1606039</v>
      </c>
      <c r="GP555" s="14" t="str">
        <f t="shared" si="165"/>
        <v>神器6-5 : 级</v>
      </c>
      <c r="GQ555" s="14" t="s">
        <v>816</v>
      </c>
      <c r="GR555" s="14">
        <f t="shared" si="162"/>
        <v>21</v>
      </c>
      <c r="GS555" s="14" t="str">
        <f t="shared" si="163"/>
        <v>神器6-5</v>
      </c>
      <c r="GT555" s="14">
        <f t="shared" si="164"/>
        <v>15</v>
      </c>
    </row>
    <row r="556" spans="195:202" ht="16.5" x14ac:dyDescent="0.2">
      <c r="GM556" s="91">
        <v>550</v>
      </c>
      <c r="GN556" s="14">
        <f t="shared" si="160"/>
        <v>32</v>
      </c>
      <c r="GO556" s="14">
        <f t="shared" si="161"/>
        <v>1606040</v>
      </c>
      <c r="GP556" s="14" t="str">
        <f t="shared" si="165"/>
        <v>神器6-6 : 级</v>
      </c>
      <c r="GQ556" s="14" t="s">
        <v>816</v>
      </c>
      <c r="GR556" s="14">
        <f t="shared" si="162"/>
        <v>1</v>
      </c>
      <c r="GS556" s="14" t="str">
        <f t="shared" si="163"/>
        <v>神器6-6</v>
      </c>
      <c r="GT556" s="14">
        <f t="shared" si="164"/>
        <v>1</v>
      </c>
    </row>
    <row r="557" spans="195:202" ht="16.5" x14ac:dyDescent="0.2">
      <c r="GM557" s="91">
        <v>551</v>
      </c>
      <c r="GN557" s="14">
        <f t="shared" si="160"/>
        <v>32</v>
      </c>
      <c r="GO557" s="14">
        <f t="shared" si="161"/>
        <v>1606040</v>
      </c>
      <c r="GP557" s="14" t="str">
        <f t="shared" si="165"/>
        <v>神器6-6 : 级</v>
      </c>
      <c r="GQ557" s="14" t="s">
        <v>816</v>
      </c>
      <c r="GR557" s="14">
        <f t="shared" si="162"/>
        <v>2</v>
      </c>
      <c r="GS557" s="14" t="str">
        <f t="shared" si="163"/>
        <v>神器6-6</v>
      </c>
      <c r="GT557" s="14">
        <f t="shared" si="164"/>
        <v>1</v>
      </c>
    </row>
    <row r="558" spans="195:202" ht="16.5" x14ac:dyDescent="0.2">
      <c r="GM558" s="91">
        <v>552</v>
      </c>
      <c r="GN558" s="14">
        <f t="shared" si="160"/>
        <v>32</v>
      </c>
      <c r="GO558" s="14">
        <f t="shared" si="161"/>
        <v>1606040</v>
      </c>
      <c r="GP558" s="14" t="str">
        <f t="shared" si="165"/>
        <v>神器6-6 : 级</v>
      </c>
      <c r="GQ558" s="14" t="s">
        <v>816</v>
      </c>
      <c r="GR558" s="14">
        <f t="shared" si="162"/>
        <v>3</v>
      </c>
      <c r="GS558" s="14" t="str">
        <f t="shared" si="163"/>
        <v>神器6-6</v>
      </c>
      <c r="GT558" s="14">
        <f t="shared" si="164"/>
        <v>1</v>
      </c>
    </row>
    <row r="559" spans="195:202" ht="16.5" x14ac:dyDescent="0.2">
      <c r="GM559" s="91">
        <v>553</v>
      </c>
      <c r="GN559" s="14">
        <f t="shared" si="160"/>
        <v>32</v>
      </c>
      <c r="GO559" s="14">
        <f t="shared" si="161"/>
        <v>1606040</v>
      </c>
      <c r="GP559" s="14" t="str">
        <f t="shared" si="165"/>
        <v>神器6-6 : 级</v>
      </c>
      <c r="GQ559" s="14" t="s">
        <v>816</v>
      </c>
      <c r="GR559" s="14">
        <f t="shared" si="162"/>
        <v>4</v>
      </c>
      <c r="GS559" s="14" t="str">
        <f t="shared" si="163"/>
        <v>神器6-6</v>
      </c>
      <c r="GT559" s="14">
        <f t="shared" si="164"/>
        <v>2</v>
      </c>
    </row>
    <row r="560" spans="195:202" ht="16.5" x14ac:dyDescent="0.2">
      <c r="GM560" s="91">
        <v>554</v>
      </c>
      <c r="GN560" s="14">
        <f t="shared" si="160"/>
        <v>32</v>
      </c>
      <c r="GO560" s="14">
        <f t="shared" si="161"/>
        <v>1606040</v>
      </c>
      <c r="GP560" s="14" t="str">
        <f t="shared" si="165"/>
        <v>神器6-6 : 级</v>
      </c>
      <c r="GQ560" s="14" t="s">
        <v>816</v>
      </c>
      <c r="GR560" s="14">
        <f t="shared" si="162"/>
        <v>5</v>
      </c>
      <c r="GS560" s="14" t="str">
        <f t="shared" si="163"/>
        <v>神器6-6</v>
      </c>
      <c r="GT560" s="14">
        <f t="shared" si="164"/>
        <v>2</v>
      </c>
    </row>
    <row r="561" spans="195:202" ht="16.5" x14ac:dyDescent="0.2">
      <c r="GM561" s="91">
        <v>555</v>
      </c>
      <c r="GN561" s="14">
        <f t="shared" si="160"/>
        <v>32</v>
      </c>
      <c r="GO561" s="14">
        <f t="shared" si="161"/>
        <v>1606040</v>
      </c>
      <c r="GP561" s="14" t="str">
        <f t="shared" si="165"/>
        <v>神器6-6 : 级</v>
      </c>
      <c r="GQ561" s="14" t="s">
        <v>816</v>
      </c>
      <c r="GR561" s="14">
        <f t="shared" si="162"/>
        <v>6</v>
      </c>
      <c r="GS561" s="14" t="str">
        <f t="shared" si="163"/>
        <v>神器6-6</v>
      </c>
      <c r="GT561" s="14">
        <f t="shared" si="164"/>
        <v>2</v>
      </c>
    </row>
    <row r="562" spans="195:202" ht="16.5" x14ac:dyDescent="0.2">
      <c r="GM562" s="91">
        <v>556</v>
      </c>
      <c r="GN562" s="14">
        <f t="shared" si="160"/>
        <v>32</v>
      </c>
      <c r="GO562" s="14">
        <f t="shared" si="161"/>
        <v>1606040</v>
      </c>
      <c r="GP562" s="14" t="str">
        <f t="shared" si="165"/>
        <v>神器6-6 : 级</v>
      </c>
      <c r="GQ562" s="14" t="s">
        <v>816</v>
      </c>
      <c r="GR562" s="14">
        <f t="shared" si="162"/>
        <v>7</v>
      </c>
      <c r="GS562" s="14" t="str">
        <f t="shared" si="163"/>
        <v>神器6-6</v>
      </c>
      <c r="GT562" s="14">
        <f t="shared" si="164"/>
        <v>3</v>
      </c>
    </row>
    <row r="563" spans="195:202" ht="16.5" x14ac:dyDescent="0.2">
      <c r="GM563" s="91">
        <v>557</v>
      </c>
      <c r="GN563" s="14">
        <f t="shared" si="160"/>
        <v>32</v>
      </c>
      <c r="GO563" s="14">
        <f t="shared" si="161"/>
        <v>1606040</v>
      </c>
      <c r="GP563" s="14" t="str">
        <f t="shared" si="165"/>
        <v>神器6-6 : 级</v>
      </c>
      <c r="GQ563" s="14" t="s">
        <v>816</v>
      </c>
      <c r="GR563" s="14">
        <f t="shared" si="162"/>
        <v>8</v>
      </c>
      <c r="GS563" s="14" t="str">
        <f t="shared" si="163"/>
        <v>神器6-6</v>
      </c>
      <c r="GT563" s="14">
        <f t="shared" si="164"/>
        <v>3</v>
      </c>
    </row>
    <row r="564" spans="195:202" ht="16.5" x14ac:dyDescent="0.2">
      <c r="GM564" s="91">
        <v>558</v>
      </c>
      <c r="GN564" s="14">
        <f t="shared" si="160"/>
        <v>32</v>
      </c>
      <c r="GO564" s="14">
        <f t="shared" si="161"/>
        <v>1606040</v>
      </c>
      <c r="GP564" s="14" t="str">
        <f t="shared" si="165"/>
        <v>神器6-6 : 级</v>
      </c>
      <c r="GQ564" s="14" t="s">
        <v>816</v>
      </c>
      <c r="GR564" s="14">
        <f t="shared" si="162"/>
        <v>9</v>
      </c>
      <c r="GS564" s="14" t="str">
        <f t="shared" si="163"/>
        <v>神器6-6</v>
      </c>
      <c r="GT564" s="14">
        <f t="shared" si="164"/>
        <v>3</v>
      </c>
    </row>
    <row r="565" spans="195:202" ht="16.5" x14ac:dyDescent="0.2">
      <c r="GM565" s="91">
        <v>559</v>
      </c>
      <c r="GN565" s="14">
        <f t="shared" si="160"/>
        <v>32</v>
      </c>
      <c r="GO565" s="14">
        <f t="shared" si="161"/>
        <v>1606040</v>
      </c>
      <c r="GP565" s="14" t="str">
        <f t="shared" si="165"/>
        <v>神器6-6 : 级</v>
      </c>
      <c r="GQ565" s="14" t="s">
        <v>816</v>
      </c>
      <c r="GR565" s="14">
        <f t="shared" si="162"/>
        <v>10</v>
      </c>
      <c r="GS565" s="14" t="str">
        <f t="shared" si="163"/>
        <v>神器6-6</v>
      </c>
      <c r="GT565" s="14">
        <f t="shared" si="164"/>
        <v>5</v>
      </c>
    </row>
    <row r="566" spans="195:202" ht="16.5" x14ac:dyDescent="0.2">
      <c r="GM566" s="91">
        <v>560</v>
      </c>
      <c r="GN566" s="14">
        <f t="shared" si="160"/>
        <v>32</v>
      </c>
      <c r="GO566" s="14">
        <f t="shared" si="161"/>
        <v>1606040</v>
      </c>
      <c r="GP566" s="14" t="str">
        <f t="shared" si="165"/>
        <v>神器6-6 : 级</v>
      </c>
      <c r="GQ566" s="14" t="s">
        <v>816</v>
      </c>
      <c r="GR566" s="14">
        <f t="shared" si="162"/>
        <v>11</v>
      </c>
      <c r="GS566" s="14" t="str">
        <f t="shared" si="163"/>
        <v>神器6-6</v>
      </c>
      <c r="GT566" s="14">
        <f t="shared" si="164"/>
        <v>5</v>
      </c>
    </row>
    <row r="567" spans="195:202" ht="16.5" x14ac:dyDescent="0.2">
      <c r="GM567" s="91">
        <v>561</v>
      </c>
      <c r="GN567" s="14">
        <f t="shared" si="160"/>
        <v>32</v>
      </c>
      <c r="GO567" s="14">
        <f t="shared" si="161"/>
        <v>1606040</v>
      </c>
      <c r="GP567" s="14" t="str">
        <f t="shared" si="165"/>
        <v>神器6-6 : 级</v>
      </c>
      <c r="GQ567" s="14" t="s">
        <v>816</v>
      </c>
      <c r="GR567" s="14">
        <f t="shared" si="162"/>
        <v>12</v>
      </c>
      <c r="GS567" s="14" t="str">
        <f t="shared" si="163"/>
        <v>神器6-6</v>
      </c>
      <c r="GT567" s="14">
        <f t="shared" si="164"/>
        <v>6</v>
      </c>
    </row>
    <row r="568" spans="195:202" ht="16.5" x14ac:dyDescent="0.2">
      <c r="GM568" s="91">
        <v>562</v>
      </c>
      <c r="GN568" s="14">
        <f t="shared" si="160"/>
        <v>32</v>
      </c>
      <c r="GO568" s="14">
        <f t="shared" si="161"/>
        <v>1606040</v>
      </c>
      <c r="GP568" s="14" t="str">
        <f t="shared" si="165"/>
        <v>神器6-6 : 级</v>
      </c>
      <c r="GQ568" s="14" t="s">
        <v>816</v>
      </c>
      <c r="GR568" s="14">
        <f t="shared" si="162"/>
        <v>13</v>
      </c>
      <c r="GS568" s="14" t="str">
        <f t="shared" si="163"/>
        <v>神器6-6</v>
      </c>
      <c r="GT568" s="14">
        <f t="shared" si="164"/>
        <v>7</v>
      </c>
    </row>
    <row r="569" spans="195:202" ht="16.5" x14ac:dyDescent="0.2">
      <c r="GM569" s="91">
        <v>563</v>
      </c>
      <c r="GN569" s="14">
        <f t="shared" si="160"/>
        <v>32</v>
      </c>
      <c r="GO569" s="14">
        <f t="shared" si="161"/>
        <v>1606040</v>
      </c>
      <c r="GP569" s="14" t="str">
        <f t="shared" si="165"/>
        <v>神器6-6 : 级</v>
      </c>
      <c r="GQ569" s="14" t="s">
        <v>816</v>
      </c>
      <c r="GR569" s="14">
        <f t="shared" si="162"/>
        <v>14</v>
      </c>
      <c r="GS569" s="14" t="str">
        <f t="shared" si="163"/>
        <v>神器6-6</v>
      </c>
      <c r="GT569" s="14">
        <f t="shared" si="164"/>
        <v>7</v>
      </c>
    </row>
    <row r="570" spans="195:202" ht="16.5" x14ac:dyDescent="0.2">
      <c r="GM570" s="91">
        <v>564</v>
      </c>
      <c r="GN570" s="14">
        <f t="shared" si="160"/>
        <v>32</v>
      </c>
      <c r="GO570" s="14">
        <f t="shared" si="161"/>
        <v>1606040</v>
      </c>
      <c r="GP570" s="14" t="str">
        <f t="shared" si="165"/>
        <v>神器6-6 : 级</v>
      </c>
      <c r="GQ570" s="14" t="s">
        <v>816</v>
      </c>
      <c r="GR570" s="14">
        <f t="shared" si="162"/>
        <v>15</v>
      </c>
      <c r="GS570" s="14" t="str">
        <f t="shared" si="163"/>
        <v>神器6-6</v>
      </c>
      <c r="GT570" s="14">
        <f t="shared" si="164"/>
        <v>7</v>
      </c>
    </row>
    <row r="571" spans="195:202" ht="16.5" x14ac:dyDescent="0.2">
      <c r="GM571" s="91">
        <v>565</v>
      </c>
      <c r="GN571" s="14">
        <f t="shared" si="160"/>
        <v>32</v>
      </c>
      <c r="GO571" s="14">
        <f t="shared" si="161"/>
        <v>1606040</v>
      </c>
      <c r="GP571" s="14" t="str">
        <f t="shared" si="165"/>
        <v>神器6-6 : 级</v>
      </c>
      <c r="GQ571" s="14" t="s">
        <v>816</v>
      </c>
      <c r="GR571" s="14">
        <f t="shared" si="162"/>
        <v>16</v>
      </c>
      <c r="GS571" s="14" t="str">
        <f t="shared" si="163"/>
        <v>神器6-6</v>
      </c>
      <c r="GT571" s="14">
        <f t="shared" si="164"/>
        <v>10</v>
      </c>
    </row>
    <row r="572" spans="195:202" ht="16.5" x14ac:dyDescent="0.2">
      <c r="GM572" s="91">
        <v>566</v>
      </c>
      <c r="GN572" s="14">
        <f t="shared" si="160"/>
        <v>32</v>
      </c>
      <c r="GO572" s="14">
        <f t="shared" si="161"/>
        <v>1606040</v>
      </c>
      <c r="GP572" s="14" t="str">
        <f t="shared" si="165"/>
        <v>神器6-6 : 级</v>
      </c>
      <c r="GQ572" s="14" t="s">
        <v>816</v>
      </c>
      <c r="GR572" s="14">
        <f t="shared" si="162"/>
        <v>17</v>
      </c>
      <c r="GS572" s="14" t="str">
        <f t="shared" si="163"/>
        <v>神器6-6</v>
      </c>
      <c r="GT572" s="14">
        <f t="shared" si="164"/>
        <v>10</v>
      </c>
    </row>
    <row r="573" spans="195:202" ht="16.5" x14ac:dyDescent="0.2">
      <c r="GM573" s="91">
        <v>567</v>
      </c>
      <c r="GN573" s="14">
        <f t="shared" si="160"/>
        <v>32</v>
      </c>
      <c r="GO573" s="14">
        <f t="shared" si="161"/>
        <v>1606040</v>
      </c>
      <c r="GP573" s="14" t="str">
        <f t="shared" si="165"/>
        <v>神器6-6 : 级</v>
      </c>
      <c r="GQ573" s="14" t="s">
        <v>816</v>
      </c>
      <c r="GR573" s="14">
        <f t="shared" si="162"/>
        <v>18</v>
      </c>
      <c r="GS573" s="14" t="str">
        <f t="shared" si="163"/>
        <v>神器6-6</v>
      </c>
      <c r="GT573" s="14">
        <f t="shared" si="164"/>
        <v>10</v>
      </c>
    </row>
    <row r="574" spans="195:202" ht="16.5" x14ac:dyDescent="0.2">
      <c r="GM574" s="91">
        <v>568</v>
      </c>
      <c r="GN574" s="14">
        <f t="shared" si="160"/>
        <v>32</v>
      </c>
      <c r="GO574" s="14">
        <f t="shared" si="161"/>
        <v>1606040</v>
      </c>
      <c r="GP574" s="14" t="str">
        <f t="shared" si="165"/>
        <v>神器6-6 : 级</v>
      </c>
      <c r="GQ574" s="14" t="s">
        <v>816</v>
      </c>
      <c r="GR574" s="14">
        <f t="shared" si="162"/>
        <v>19</v>
      </c>
      <c r="GS574" s="14" t="str">
        <f t="shared" si="163"/>
        <v>神器6-6</v>
      </c>
      <c r="GT574" s="14">
        <f t="shared" si="164"/>
        <v>15</v>
      </c>
    </row>
    <row r="575" spans="195:202" ht="16.5" x14ac:dyDescent="0.2">
      <c r="GM575" s="91">
        <v>569</v>
      </c>
      <c r="GN575" s="14">
        <f t="shared" si="160"/>
        <v>32</v>
      </c>
      <c r="GO575" s="14">
        <f t="shared" si="161"/>
        <v>1606040</v>
      </c>
      <c r="GP575" s="14" t="str">
        <f t="shared" si="165"/>
        <v>神器6-6 : 级</v>
      </c>
      <c r="GQ575" s="14" t="s">
        <v>816</v>
      </c>
      <c r="GR575" s="14">
        <f t="shared" si="162"/>
        <v>20</v>
      </c>
      <c r="GS575" s="14" t="str">
        <f t="shared" si="163"/>
        <v>神器6-6</v>
      </c>
      <c r="GT575" s="14">
        <f t="shared" si="164"/>
        <v>15</v>
      </c>
    </row>
    <row r="576" spans="195:202" ht="16.5" x14ac:dyDescent="0.2">
      <c r="GM576" s="91">
        <v>570</v>
      </c>
      <c r="GN576" s="14">
        <f t="shared" si="160"/>
        <v>32</v>
      </c>
      <c r="GO576" s="14">
        <f t="shared" si="161"/>
        <v>1606040</v>
      </c>
      <c r="GP576" s="14" t="str">
        <f t="shared" si="165"/>
        <v>神器6-6 : 级</v>
      </c>
      <c r="GQ576" s="14" t="s">
        <v>816</v>
      </c>
      <c r="GR576" s="14">
        <f t="shared" si="162"/>
        <v>21</v>
      </c>
      <c r="GS576" s="14" t="str">
        <f t="shared" si="163"/>
        <v>神器6-6</v>
      </c>
      <c r="GT576" s="14">
        <f t="shared" si="164"/>
        <v>15</v>
      </c>
    </row>
    <row r="577" spans="195:202" ht="16.5" x14ac:dyDescent="0.2">
      <c r="GM577" s="91">
        <v>571</v>
      </c>
      <c r="GN577" s="14">
        <f t="shared" si="160"/>
        <v>33</v>
      </c>
      <c r="GO577" s="14">
        <f t="shared" si="161"/>
        <v>1606041</v>
      </c>
      <c r="GP577" s="14" t="str">
        <f t="shared" si="165"/>
        <v>神器6-7 : 级</v>
      </c>
      <c r="GQ577" s="14" t="s">
        <v>816</v>
      </c>
      <c r="GR577" s="14">
        <f t="shared" si="162"/>
        <v>1</v>
      </c>
      <c r="GS577" s="14" t="str">
        <f t="shared" si="163"/>
        <v>神器6-7</v>
      </c>
      <c r="GT577" s="14">
        <f t="shared" si="164"/>
        <v>1</v>
      </c>
    </row>
    <row r="578" spans="195:202" ht="16.5" x14ac:dyDescent="0.2">
      <c r="GM578" s="91">
        <v>572</v>
      </c>
      <c r="GN578" s="14">
        <f t="shared" si="160"/>
        <v>33</v>
      </c>
      <c r="GO578" s="14">
        <f t="shared" si="161"/>
        <v>1606041</v>
      </c>
      <c r="GP578" s="14" t="str">
        <f t="shared" si="165"/>
        <v>神器6-7 : 级</v>
      </c>
      <c r="GQ578" s="14" t="s">
        <v>816</v>
      </c>
      <c r="GR578" s="14">
        <f t="shared" si="162"/>
        <v>2</v>
      </c>
      <c r="GS578" s="14" t="str">
        <f t="shared" si="163"/>
        <v>神器6-7</v>
      </c>
      <c r="GT578" s="14">
        <f t="shared" si="164"/>
        <v>1</v>
      </c>
    </row>
    <row r="579" spans="195:202" ht="16.5" x14ac:dyDescent="0.2">
      <c r="GM579" s="91">
        <v>573</v>
      </c>
      <c r="GN579" s="14">
        <f t="shared" si="160"/>
        <v>33</v>
      </c>
      <c r="GO579" s="14">
        <f t="shared" si="161"/>
        <v>1606041</v>
      </c>
      <c r="GP579" s="14" t="str">
        <f t="shared" si="165"/>
        <v>神器6-7 : 级</v>
      </c>
      <c r="GQ579" s="14" t="s">
        <v>816</v>
      </c>
      <c r="GR579" s="14">
        <f t="shared" si="162"/>
        <v>3</v>
      </c>
      <c r="GS579" s="14" t="str">
        <f t="shared" si="163"/>
        <v>神器6-7</v>
      </c>
      <c r="GT579" s="14">
        <f t="shared" si="164"/>
        <v>1</v>
      </c>
    </row>
    <row r="580" spans="195:202" ht="16.5" x14ac:dyDescent="0.2">
      <c r="GM580" s="91">
        <v>574</v>
      </c>
      <c r="GN580" s="14">
        <f t="shared" si="160"/>
        <v>33</v>
      </c>
      <c r="GO580" s="14">
        <f t="shared" si="161"/>
        <v>1606041</v>
      </c>
      <c r="GP580" s="14" t="str">
        <f t="shared" si="165"/>
        <v>神器6-7 : 级</v>
      </c>
      <c r="GQ580" s="14" t="s">
        <v>816</v>
      </c>
      <c r="GR580" s="14">
        <f t="shared" si="162"/>
        <v>4</v>
      </c>
      <c r="GS580" s="14" t="str">
        <f t="shared" si="163"/>
        <v>神器6-7</v>
      </c>
      <c r="GT580" s="14">
        <f t="shared" si="164"/>
        <v>2</v>
      </c>
    </row>
    <row r="581" spans="195:202" ht="16.5" x14ac:dyDescent="0.2">
      <c r="GM581" s="91">
        <v>575</v>
      </c>
      <c r="GN581" s="14">
        <f t="shared" si="160"/>
        <v>33</v>
      </c>
      <c r="GO581" s="14">
        <f t="shared" si="161"/>
        <v>1606041</v>
      </c>
      <c r="GP581" s="14" t="str">
        <f t="shared" si="165"/>
        <v>神器6-7 : 级</v>
      </c>
      <c r="GQ581" s="14" t="s">
        <v>816</v>
      </c>
      <c r="GR581" s="14">
        <f t="shared" si="162"/>
        <v>5</v>
      </c>
      <c r="GS581" s="14" t="str">
        <f t="shared" si="163"/>
        <v>神器6-7</v>
      </c>
      <c r="GT581" s="14">
        <f t="shared" si="164"/>
        <v>2</v>
      </c>
    </row>
    <row r="582" spans="195:202" ht="16.5" x14ac:dyDescent="0.2">
      <c r="GM582" s="91">
        <v>576</v>
      </c>
      <c r="GN582" s="14">
        <f t="shared" si="160"/>
        <v>33</v>
      </c>
      <c r="GO582" s="14">
        <f t="shared" si="161"/>
        <v>1606041</v>
      </c>
      <c r="GP582" s="14" t="str">
        <f t="shared" si="165"/>
        <v>神器6-7 : 级</v>
      </c>
      <c r="GQ582" s="14" t="s">
        <v>816</v>
      </c>
      <c r="GR582" s="14">
        <f t="shared" si="162"/>
        <v>6</v>
      </c>
      <c r="GS582" s="14" t="str">
        <f t="shared" si="163"/>
        <v>神器6-7</v>
      </c>
      <c r="GT582" s="14">
        <f t="shared" si="164"/>
        <v>2</v>
      </c>
    </row>
    <row r="583" spans="195:202" ht="16.5" x14ac:dyDescent="0.2">
      <c r="GM583" s="91">
        <v>577</v>
      </c>
      <c r="GN583" s="14">
        <f t="shared" si="160"/>
        <v>33</v>
      </c>
      <c r="GO583" s="14">
        <f t="shared" si="161"/>
        <v>1606041</v>
      </c>
      <c r="GP583" s="14" t="str">
        <f t="shared" si="165"/>
        <v>神器6-7 : 级</v>
      </c>
      <c r="GQ583" s="14" t="s">
        <v>816</v>
      </c>
      <c r="GR583" s="14">
        <f t="shared" si="162"/>
        <v>7</v>
      </c>
      <c r="GS583" s="14" t="str">
        <f t="shared" si="163"/>
        <v>神器6-7</v>
      </c>
      <c r="GT583" s="14">
        <f t="shared" si="164"/>
        <v>3</v>
      </c>
    </row>
    <row r="584" spans="195:202" ht="16.5" x14ac:dyDescent="0.2">
      <c r="GM584" s="91">
        <v>578</v>
      </c>
      <c r="GN584" s="14">
        <f t="shared" ref="GN584:GN647" si="166">MATCH(GM584-1,$R$7:$R$49,1)</f>
        <v>33</v>
      </c>
      <c r="GO584" s="14">
        <f t="shared" ref="GO584:GO647" si="167">INDEX($S$8:$S$49,GN584)</f>
        <v>1606041</v>
      </c>
      <c r="GP584" s="14" t="str">
        <f t="shared" si="165"/>
        <v>神器6-7 : 级</v>
      </c>
      <c r="GQ584" s="14" t="s">
        <v>816</v>
      </c>
      <c r="GR584" s="14">
        <f t="shared" ref="GR584:GR647" si="168">GM584-INDEX($R$7:$R$49,GN584)</f>
        <v>8</v>
      </c>
      <c r="GS584" s="14" t="str">
        <f t="shared" ref="GS584:GS647" si="169">INDEX($T$8:$T$49,GN584)</f>
        <v>神器6-7</v>
      </c>
      <c r="GT584" s="14">
        <f t="shared" ref="GT584:GT647" si="170">INDEX($K$8:$K$28,GR584)</f>
        <v>3</v>
      </c>
    </row>
    <row r="585" spans="195:202" ht="16.5" x14ac:dyDescent="0.2">
      <c r="GM585" s="91">
        <v>579</v>
      </c>
      <c r="GN585" s="14">
        <f t="shared" si="166"/>
        <v>33</v>
      </c>
      <c r="GO585" s="14">
        <f t="shared" si="167"/>
        <v>1606041</v>
      </c>
      <c r="GP585" s="14" t="str">
        <f t="shared" si="165"/>
        <v>神器6-7 : 级</v>
      </c>
      <c r="GQ585" s="14" t="s">
        <v>816</v>
      </c>
      <c r="GR585" s="14">
        <f t="shared" si="168"/>
        <v>9</v>
      </c>
      <c r="GS585" s="14" t="str">
        <f t="shared" si="169"/>
        <v>神器6-7</v>
      </c>
      <c r="GT585" s="14">
        <f t="shared" si="170"/>
        <v>3</v>
      </c>
    </row>
    <row r="586" spans="195:202" ht="16.5" x14ac:dyDescent="0.2">
      <c r="GM586" s="91">
        <v>580</v>
      </c>
      <c r="GN586" s="14">
        <f t="shared" si="166"/>
        <v>33</v>
      </c>
      <c r="GO586" s="14">
        <f t="shared" si="167"/>
        <v>1606041</v>
      </c>
      <c r="GP586" s="14" t="str">
        <f t="shared" si="165"/>
        <v>神器6-7 : 级</v>
      </c>
      <c r="GQ586" s="14" t="s">
        <v>816</v>
      </c>
      <c r="GR586" s="14">
        <f t="shared" si="168"/>
        <v>10</v>
      </c>
      <c r="GS586" s="14" t="str">
        <f t="shared" si="169"/>
        <v>神器6-7</v>
      </c>
      <c r="GT586" s="14">
        <f t="shared" si="170"/>
        <v>5</v>
      </c>
    </row>
    <row r="587" spans="195:202" ht="16.5" x14ac:dyDescent="0.2">
      <c r="GM587" s="91">
        <v>581</v>
      </c>
      <c r="GN587" s="14">
        <f t="shared" si="166"/>
        <v>33</v>
      </c>
      <c r="GO587" s="14">
        <f t="shared" si="167"/>
        <v>1606041</v>
      </c>
      <c r="GP587" s="14" t="str">
        <f t="shared" si="165"/>
        <v>神器6-7 : 级</v>
      </c>
      <c r="GQ587" s="14" t="s">
        <v>816</v>
      </c>
      <c r="GR587" s="14">
        <f t="shared" si="168"/>
        <v>11</v>
      </c>
      <c r="GS587" s="14" t="str">
        <f t="shared" si="169"/>
        <v>神器6-7</v>
      </c>
      <c r="GT587" s="14">
        <f t="shared" si="170"/>
        <v>5</v>
      </c>
    </row>
    <row r="588" spans="195:202" ht="16.5" x14ac:dyDescent="0.2">
      <c r="GM588" s="91">
        <v>582</v>
      </c>
      <c r="GN588" s="14">
        <f t="shared" si="166"/>
        <v>33</v>
      </c>
      <c r="GO588" s="14">
        <f t="shared" si="167"/>
        <v>1606041</v>
      </c>
      <c r="GP588" s="14" t="str">
        <f t="shared" si="165"/>
        <v>神器6-7 : 级</v>
      </c>
      <c r="GQ588" s="14" t="s">
        <v>816</v>
      </c>
      <c r="GR588" s="14">
        <f t="shared" si="168"/>
        <v>12</v>
      </c>
      <c r="GS588" s="14" t="str">
        <f t="shared" si="169"/>
        <v>神器6-7</v>
      </c>
      <c r="GT588" s="14">
        <f t="shared" si="170"/>
        <v>6</v>
      </c>
    </row>
    <row r="589" spans="195:202" ht="16.5" x14ac:dyDescent="0.2">
      <c r="GM589" s="91">
        <v>583</v>
      </c>
      <c r="GN589" s="14">
        <f t="shared" si="166"/>
        <v>33</v>
      </c>
      <c r="GO589" s="14">
        <f t="shared" si="167"/>
        <v>1606041</v>
      </c>
      <c r="GP589" s="14" t="str">
        <f t="shared" si="165"/>
        <v>神器6-7 : 级</v>
      </c>
      <c r="GQ589" s="14" t="s">
        <v>816</v>
      </c>
      <c r="GR589" s="14">
        <f t="shared" si="168"/>
        <v>13</v>
      </c>
      <c r="GS589" s="14" t="str">
        <f t="shared" si="169"/>
        <v>神器6-7</v>
      </c>
      <c r="GT589" s="14">
        <f t="shared" si="170"/>
        <v>7</v>
      </c>
    </row>
    <row r="590" spans="195:202" ht="16.5" x14ac:dyDescent="0.2">
      <c r="GM590" s="91">
        <v>584</v>
      </c>
      <c r="GN590" s="14">
        <f t="shared" si="166"/>
        <v>33</v>
      </c>
      <c r="GO590" s="14">
        <f t="shared" si="167"/>
        <v>1606041</v>
      </c>
      <c r="GP590" s="14" t="str">
        <f t="shared" si="165"/>
        <v>神器6-7 : 级</v>
      </c>
      <c r="GQ590" s="14" t="s">
        <v>816</v>
      </c>
      <c r="GR590" s="14">
        <f t="shared" si="168"/>
        <v>14</v>
      </c>
      <c r="GS590" s="14" t="str">
        <f t="shared" si="169"/>
        <v>神器6-7</v>
      </c>
      <c r="GT590" s="14">
        <f t="shared" si="170"/>
        <v>7</v>
      </c>
    </row>
    <row r="591" spans="195:202" ht="16.5" x14ac:dyDescent="0.2">
      <c r="GM591" s="91">
        <v>585</v>
      </c>
      <c r="GN591" s="14">
        <f t="shared" si="166"/>
        <v>33</v>
      </c>
      <c r="GO591" s="14">
        <f t="shared" si="167"/>
        <v>1606041</v>
      </c>
      <c r="GP591" s="14" t="str">
        <f t="shared" si="165"/>
        <v>神器6-7 : 级</v>
      </c>
      <c r="GQ591" s="14" t="s">
        <v>816</v>
      </c>
      <c r="GR591" s="14">
        <f t="shared" si="168"/>
        <v>15</v>
      </c>
      <c r="GS591" s="14" t="str">
        <f t="shared" si="169"/>
        <v>神器6-7</v>
      </c>
      <c r="GT591" s="14">
        <f t="shared" si="170"/>
        <v>7</v>
      </c>
    </row>
    <row r="592" spans="195:202" ht="16.5" x14ac:dyDescent="0.2">
      <c r="GM592" s="91">
        <v>586</v>
      </c>
      <c r="GN592" s="14">
        <f t="shared" si="166"/>
        <v>33</v>
      </c>
      <c r="GO592" s="14">
        <f t="shared" si="167"/>
        <v>1606041</v>
      </c>
      <c r="GP592" s="14" t="str">
        <f t="shared" si="165"/>
        <v>神器6-7 : 级</v>
      </c>
      <c r="GQ592" s="14" t="s">
        <v>816</v>
      </c>
      <c r="GR592" s="14">
        <f t="shared" si="168"/>
        <v>16</v>
      </c>
      <c r="GS592" s="14" t="str">
        <f t="shared" si="169"/>
        <v>神器6-7</v>
      </c>
      <c r="GT592" s="14">
        <f t="shared" si="170"/>
        <v>10</v>
      </c>
    </row>
    <row r="593" spans="195:202" ht="16.5" x14ac:dyDescent="0.2">
      <c r="GM593" s="91">
        <v>587</v>
      </c>
      <c r="GN593" s="14">
        <f t="shared" si="166"/>
        <v>33</v>
      </c>
      <c r="GO593" s="14">
        <f t="shared" si="167"/>
        <v>1606041</v>
      </c>
      <c r="GP593" s="14" t="str">
        <f t="shared" si="165"/>
        <v>神器6-7 : 级</v>
      </c>
      <c r="GQ593" s="14" t="s">
        <v>816</v>
      </c>
      <c r="GR593" s="14">
        <f t="shared" si="168"/>
        <v>17</v>
      </c>
      <c r="GS593" s="14" t="str">
        <f t="shared" si="169"/>
        <v>神器6-7</v>
      </c>
      <c r="GT593" s="14">
        <f t="shared" si="170"/>
        <v>10</v>
      </c>
    </row>
    <row r="594" spans="195:202" ht="16.5" x14ac:dyDescent="0.2">
      <c r="GM594" s="91">
        <v>588</v>
      </c>
      <c r="GN594" s="14">
        <f t="shared" si="166"/>
        <v>33</v>
      </c>
      <c r="GO594" s="14">
        <f t="shared" si="167"/>
        <v>1606041</v>
      </c>
      <c r="GP594" s="14" t="str">
        <f t="shared" si="165"/>
        <v>神器6-7 : 级</v>
      </c>
      <c r="GQ594" s="14" t="s">
        <v>816</v>
      </c>
      <c r="GR594" s="14">
        <f t="shared" si="168"/>
        <v>18</v>
      </c>
      <c r="GS594" s="14" t="str">
        <f t="shared" si="169"/>
        <v>神器6-7</v>
      </c>
      <c r="GT594" s="14">
        <f t="shared" si="170"/>
        <v>10</v>
      </c>
    </row>
    <row r="595" spans="195:202" ht="16.5" x14ac:dyDescent="0.2">
      <c r="GM595" s="91">
        <v>589</v>
      </c>
      <c r="GN595" s="14">
        <f t="shared" si="166"/>
        <v>33</v>
      </c>
      <c r="GO595" s="14">
        <f t="shared" si="167"/>
        <v>1606041</v>
      </c>
      <c r="GP595" s="14" t="str">
        <f t="shared" si="165"/>
        <v>神器6-7 : 级</v>
      </c>
      <c r="GQ595" s="14" t="s">
        <v>816</v>
      </c>
      <c r="GR595" s="14">
        <f t="shared" si="168"/>
        <v>19</v>
      </c>
      <c r="GS595" s="14" t="str">
        <f t="shared" si="169"/>
        <v>神器6-7</v>
      </c>
      <c r="GT595" s="14">
        <f t="shared" si="170"/>
        <v>15</v>
      </c>
    </row>
    <row r="596" spans="195:202" ht="16.5" x14ac:dyDescent="0.2">
      <c r="GM596" s="91">
        <v>590</v>
      </c>
      <c r="GN596" s="14">
        <f t="shared" si="166"/>
        <v>33</v>
      </c>
      <c r="GO596" s="14">
        <f t="shared" si="167"/>
        <v>1606041</v>
      </c>
      <c r="GP596" s="14" t="str">
        <f t="shared" si="165"/>
        <v>神器6-7 : 级</v>
      </c>
      <c r="GQ596" s="14" t="s">
        <v>816</v>
      </c>
      <c r="GR596" s="14">
        <f t="shared" si="168"/>
        <v>20</v>
      </c>
      <c r="GS596" s="14" t="str">
        <f t="shared" si="169"/>
        <v>神器6-7</v>
      </c>
      <c r="GT596" s="14">
        <f t="shared" si="170"/>
        <v>15</v>
      </c>
    </row>
    <row r="597" spans="195:202" ht="16.5" x14ac:dyDescent="0.2">
      <c r="GM597" s="91">
        <v>591</v>
      </c>
      <c r="GN597" s="14">
        <f t="shared" si="166"/>
        <v>33</v>
      </c>
      <c r="GO597" s="14">
        <f t="shared" si="167"/>
        <v>1606041</v>
      </c>
      <c r="GP597" s="14" t="str">
        <f t="shared" si="165"/>
        <v>神器6-7 : 级</v>
      </c>
      <c r="GQ597" s="14" t="s">
        <v>816</v>
      </c>
      <c r="GR597" s="14">
        <f t="shared" si="168"/>
        <v>21</v>
      </c>
      <c r="GS597" s="14" t="str">
        <f t="shared" si="169"/>
        <v>神器6-7</v>
      </c>
      <c r="GT597" s="14">
        <f t="shared" si="170"/>
        <v>15</v>
      </c>
    </row>
    <row r="598" spans="195:202" ht="16.5" x14ac:dyDescent="0.2">
      <c r="GM598" s="91">
        <v>592</v>
      </c>
      <c r="GN598" s="14">
        <f t="shared" si="166"/>
        <v>34</v>
      </c>
      <c r="GO598" s="14">
        <f t="shared" si="167"/>
        <v>1606042</v>
      </c>
      <c r="GP598" s="14" t="str">
        <f t="shared" si="165"/>
        <v>神器6-8 : 级</v>
      </c>
      <c r="GQ598" s="14" t="s">
        <v>816</v>
      </c>
      <c r="GR598" s="14">
        <f t="shared" si="168"/>
        <v>1</v>
      </c>
      <c r="GS598" s="14" t="str">
        <f t="shared" si="169"/>
        <v>神器6-8</v>
      </c>
      <c r="GT598" s="14">
        <f t="shared" si="170"/>
        <v>1</v>
      </c>
    </row>
    <row r="599" spans="195:202" ht="16.5" x14ac:dyDescent="0.2">
      <c r="GM599" s="91">
        <v>593</v>
      </c>
      <c r="GN599" s="14">
        <f t="shared" si="166"/>
        <v>34</v>
      </c>
      <c r="GO599" s="14">
        <f t="shared" si="167"/>
        <v>1606042</v>
      </c>
      <c r="GP599" s="14" t="str">
        <f t="shared" si="165"/>
        <v>神器6-8 : 级</v>
      </c>
      <c r="GQ599" s="14" t="s">
        <v>816</v>
      </c>
      <c r="GR599" s="14">
        <f t="shared" si="168"/>
        <v>2</v>
      </c>
      <c r="GS599" s="14" t="str">
        <f t="shared" si="169"/>
        <v>神器6-8</v>
      </c>
      <c r="GT599" s="14">
        <f t="shared" si="170"/>
        <v>1</v>
      </c>
    </row>
    <row r="600" spans="195:202" ht="16.5" x14ac:dyDescent="0.2">
      <c r="GM600" s="91">
        <v>594</v>
      </c>
      <c r="GN600" s="14">
        <f t="shared" si="166"/>
        <v>34</v>
      </c>
      <c r="GO600" s="14">
        <f t="shared" si="167"/>
        <v>1606042</v>
      </c>
      <c r="GP600" s="14" t="str">
        <f t="shared" ref="GP600:GP663" si="171">INDEX($T$8:$T$49,GN600)&amp;" : "&amp;AR600&amp;"级"</f>
        <v>神器6-8 : 级</v>
      </c>
      <c r="GQ600" s="14" t="s">
        <v>816</v>
      </c>
      <c r="GR600" s="14">
        <f t="shared" si="168"/>
        <v>3</v>
      </c>
      <c r="GS600" s="14" t="str">
        <f t="shared" si="169"/>
        <v>神器6-8</v>
      </c>
      <c r="GT600" s="14">
        <f t="shared" si="170"/>
        <v>1</v>
      </c>
    </row>
    <row r="601" spans="195:202" ht="16.5" x14ac:dyDescent="0.2">
      <c r="GM601" s="91">
        <v>595</v>
      </c>
      <c r="GN601" s="14">
        <f t="shared" si="166"/>
        <v>34</v>
      </c>
      <c r="GO601" s="14">
        <f t="shared" si="167"/>
        <v>1606042</v>
      </c>
      <c r="GP601" s="14" t="str">
        <f t="shared" si="171"/>
        <v>神器6-8 : 级</v>
      </c>
      <c r="GQ601" s="14" t="s">
        <v>816</v>
      </c>
      <c r="GR601" s="14">
        <f t="shared" si="168"/>
        <v>4</v>
      </c>
      <c r="GS601" s="14" t="str">
        <f t="shared" si="169"/>
        <v>神器6-8</v>
      </c>
      <c r="GT601" s="14">
        <f t="shared" si="170"/>
        <v>2</v>
      </c>
    </row>
    <row r="602" spans="195:202" ht="16.5" x14ac:dyDescent="0.2">
      <c r="GM602" s="91">
        <v>596</v>
      </c>
      <c r="GN602" s="14">
        <f t="shared" si="166"/>
        <v>34</v>
      </c>
      <c r="GO602" s="14">
        <f t="shared" si="167"/>
        <v>1606042</v>
      </c>
      <c r="GP602" s="14" t="str">
        <f t="shared" si="171"/>
        <v>神器6-8 : 级</v>
      </c>
      <c r="GQ602" s="14" t="s">
        <v>816</v>
      </c>
      <c r="GR602" s="14">
        <f t="shared" si="168"/>
        <v>5</v>
      </c>
      <c r="GS602" s="14" t="str">
        <f t="shared" si="169"/>
        <v>神器6-8</v>
      </c>
      <c r="GT602" s="14">
        <f t="shared" si="170"/>
        <v>2</v>
      </c>
    </row>
    <row r="603" spans="195:202" ht="16.5" x14ac:dyDescent="0.2">
      <c r="GM603" s="91">
        <v>597</v>
      </c>
      <c r="GN603" s="14">
        <f t="shared" si="166"/>
        <v>34</v>
      </c>
      <c r="GO603" s="14">
        <f t="shared" si="167"/>
        <v>1606042</v>
      </c>
      <c r="GP603" s="14" t="str">
        <f t="shared" si="171"/>
        <v>神器6-8 : 级</v>
      </c>
      <c r="GQ603" s="14" t="s">
        <v>816</v>
      </c>
      <c r="GR603" s="14">
        <f t="shared" si="168"/>
        <v>6</v>
      </c>
      <c r="GS603" s="14" t="str">
        <f t="shared" si="169"/>
        <v>神器6-8</v>
      </c>
      <c r="GT603" s="14">
        <f t="shared" si="170"/>
        <v>2</v>
      </c>
    </row>
    <row r="604" spans="195:202" ht="16.5" x14ac:dyDescent="0.2">
      <c r="GM604" s="91">
        <v>598</v>
      </c>
      <c r="GN604" s="14">
        <f t="shared" si="166"/>
        <v>34</v>
      </c>
      <c r="GO604" s="14">
        <f t="shared" si="167"/>
        <v>1606042</v>
      </c>
      <c r="GP604" s="14" t="str">
        <f t="shared" si="171"/>
        <v>神器6-8 : 级</v>
      </c>
      <c r="GQ604" s="14" t="s">
        <v>816</v>
      </c>
      <c r="GR604" s="14">
        <f t="shared" si="168"/>
        <v>7</v>
      </c>
      <c r="GS604" s="14" t="str">
        <f t="shared" si="169"/>
        <v>神器6-8</v>
      </c>
      <c r="GT604" s="14">
        <f t="shared" si="170"/>
        <v>3</v>
      </c>
    </row>
    <row r="605" spans="195:202" ht="16.5" x14ac:dyDescent="0.2">
      <c r="GM605" s="91">
        <v>599</v>
      </c>
      <c r="GN605" s="14">
        <f t="shared" si="166"/>
        <v>34</v>
      </c>
      <c r="GO605" s="14">
        <f t="shared" si="167"/>
        <v>1606042</v>
      </c>
      <c r="GP605" s="14" t="str">
        <f t="shared" si="171"/>
        <v>神器6-8 : 级</v>
      </c>
      <c r="GQ605" s="14" t="s">
        <v>816</v>
      </c>
      <c r="GR605" s="14">
        <f t="shared" si="168"/>
        <v>8</v>
      </c>
      <c r="GS605" s="14" t="str">
        <f t="shared" si="169"/>
        <v>神器6-8</v>
      </c>
      <c r="GT605" s="14">
        <f t="shared" si="170"/>
        <v>3</v>
      </c>
    </row>
    <row r="606" spans="195:202" ht="16.5" x14ac:dyDescent="0.2">
      <c r="GM606" s="91">
        <v>600</v>
      </c>
      <c r="GN606" s="14">
        <f t="shared" si="166"/>
        <v>34</v>
      </c>
      <c r="GO606" s="14">
        <f t="shared" si="167"/>
        <v>1606042</v>
      </c>
      <c r="GP606" s="14" t="str">
        <f t="shared" si="171"/>
        <v>神器6-8 : 级</v>
      </c>
      <c r="GQ606" s="14" t="s">
        <v>816</v>
      </c>
      <c r="GR606" s="14">
        <f t="shared" si="168"/>
        <v>9</v>
      </c>
      <c r="GS606" s="14" t="str">
        <f t="shared" si="169"/>
        <v>神器6-8</v>
      </c>
      <c r="GT606" s="14">
        <f t="shared" si="170"/>
        <v>3</v>
      </c>
    </row>
    <row r="607" spans="195:202" ht="16.5" x14ac:dyDescent="0.2">
      <c r="GM607" s="91">
        <v>601</v>
      </c>
      <c r="GN607" s="14">
        <f t="shared" si="166"/>
        <v>34</v>
      </c>
      <c r="GO607" s="14">
        <f t="shared" si="167"/>
        <v>1606042</v>
      </c>
      <c r="GP607" s="14" t="str">
        <f t="shared" si="171"/>
        <v>神器6-8 : 级</v>
      </c>
      <c r="GQ607" s="14" t="s">
        <v>816</v>
      </c>
      <c r="GR607" s="14">
        <f t="shared" si="168"/>
        <v>10</v>
      </c>
      <c r="GS607" s="14" t="str">
        <f t="shared" si="169"/>
        <v>神器6-8</v>
      </c>
      <c r="GT607" s="14">
        <f t="shared" si="170"/>
        <v>5</v>
      </c>
    </row>
    <row r="608" spans="195:202" ht="16.5" x14ac:dyDescent="0.2">
      <c r="GM608" s="91">
        <v>602</v>
      </c>
      <c r="GN608" s="14">
        <f t="shared" si="166"/>
        <v>34</v>
      </c>
      <c r="GO608" s="14">
        <f t="shared" si="167"/>
        <v>1606042</v>
      </c>
      <c r="GP608" s="14" t="str">
        <f t="shared" si="171"/>
        <v>神器6-8 : 级</v>
      </c>
      <c r="GQ608" s="14" t="s">
        <v>816</v>
      </c>
      <c r="GR608" s="14">
        <f t="shared" si="168"/>
        <v>11</v>
      </c>
      <c r="GS608" s="14" t="str">
        <f t="shared" si="169"/>
        <v>神器6-8</v>
      </c>
      <c r="GT608" s="14">
        <f t="shared" si="170"/>
        <v>5</v>
      </c>
    </row>
    <row r="609" spans="195:202" ht="16.5" x14ac:dyDescent="0.2">
      <c r="GM609" s="91">
        <v>603</v>
      </c>
      <c r="GN609" s="14">
        <f t="shared" si="166"/>
        <v>34</v>
      </c>
      <c r="GO609" s="14">
        <f t="shared" si="167"/>
        <v>1606042</v>
      </c>
      <c r="GP609" s="14" t="str">
        <f t="shared" si="171"/>
        <v>神器6-8 : 级</v>
      </c>
      <c r="GQ609" s="14" t="s">
        <v>816</v>
      </c>
      <c r="GR609" s="14">
        <f t="shared" si="168"/>
        <v>12</v>
      </c>
      <c r="GS609" s="14" t="str">
        <f t="shared" si="169"/>
        <v>神器6-8</v>
      </c>
      <c r="GT609" s="14">
        <f t="shared" si="170"/>
        <v>6</v>
      </c>
    </row>
    <row r="610" spans="195:202" ht="16.5" x14ac:dyDescent="0.2">
      <c r="GM610" s="91">
        <v>604</v>
      </c>
      <c r="GN610" s="14">
        <f t="shared" si="166"/>
        <v>34</v>
      </c>
      <c r="GO610" s="14">
        <f t="shared" si="167"/>
        <v>1606042</v>
      </c>
      <c r="GP610" s="14" t="str">
        <f t="shared" si="171"/>
        <v>神器6-8 : 级</v>
      </c>
      <c r="GQ610" s="14" t="s">
        <v>816</v>
      </c>
      <c r="GR610" s="14">
        <f t="shared" si="168"/>
        <v>13</v>
      </c>
      <c r="GS610" s="14" t="str">
        <f t="shared" si="169"/>
        <v>神器6-8</v>
      </c>
      <c r="GT610" s="14">
        <f t="shared" si="170"/>
        <v>7</v>
      </c>
    </row>
    <row r="611" spans="195:202" ht="16.5" x14ac:dyDescent="0.2">
      <c r="GM611" s="91">
        <v>605</v>
      </c>
      <c r="GN611" s="14">
        <f t="shared" si="166"/>
        <v>34</v>
      </c>
      <c r="GO611" s="14">
        <f t="shared" si="167"/>
        <v>1606042</v>
      </c>
      <c r="GP611" s="14" t="str">
        <f t="shared" si="171"/>
        <v>神器6-8 : 级</v>
      </c>
      <c r="GQ611" s="14" t="s">
        <v>816</v>
      </c>
      <c r="GR611" s="14">
        <f t="shared" si="168"/>
        <v>14</v>
      </c>
      <c r="GS611" s="14" t="str">
        <f t="shared" si="169"/>
        <v>神器6-8</v>
      </c>
      <c r="GT611" s="14">
        <f t="shared" si="170"/>
        <v>7</v>
      </c>
    </row>
    <row r="612" spans="195:202" ht="16.5" x14ac:dyDescent="0.2">
      <c r="GM612" s="91">
        <v>606</v>
      </c>
      <c r="GN612" s="14">
        <f t="shared" si="166"/>
        <v>34</v>
      </c>
      <c r="GO612" s="14">
        <f t="shared" si="167"/>
        <v>1606042</v>
      </c>
      <c r="GP612" s="14" t="str">
        <f t="shared" si="171"/>
        <v>神器6-8 : 级</v>
      </c>
      <c r="GQ612" s="14" t="s">
        <v>816</v>
      </c>
      <c r="GR612" s="14">
        <f t="shared" si="168"/>
        <v>15</v>
      </c>
      <c r="GS612" s="14" t="str">
        <f t="shared" si="169"/>
        <v>神器6-8</v>
      </c>
      <c r="GT612" s="14">
        <f t="shared" si="170"/>
        <v>7</v>
      </c>
    </row>
    <row r="613" spans="195:202" ht="16.5" x14ac:dyDescent="0.2">
      <c r="GM613" s="91">
        <v>607</v>
      </c>
      <c r="GN613" s="14">
        <f t="shared" si="166"/>
        <v>34</v>
      </c>
      <c r="GO613" s="14">
        <f t="shared" si="167"/>
        <v>1606042</v>
      </c>
      <c r="GP613" s="14" t="str">
        <f t="shared" si="171"/>
        <v>神器6-8 : 级</v>
      </c>
      <c r="GQ613" s="14" t="s">
        <v>816</v>
      </c>
      <c r="GR613" s="14">
        <f t="shared" si="168"/>
        <v>16</v>
      </c>
      <c r="GS613" s="14" t="str">
        <f t="shared" si="169"/>
        <v>神器6-8</v>
      </c>
      <c r="GT613" s="14">
        <f t="shared" si="170"/>
        <v>10</v>
      </c>
    </row>
    <row r="614" spans="195:202" ht="16.5" x14ac:dyDescent="0.2">
      <c r="GM614" s="91">
        <v>608</v>
      </c>
      <c r="GN614" s="14">
        <f t="shared" si="166"/>
        <v>34</v>
      </c>
      <c r="GO614" s="14">
        <f t="shared" si="167"/>
        <v>1606042</v>
      </c>
      <c r="GP614" s="14" t="str">
        <f t="shared" si="171"/>
        <v>神器6-8 : 级</v>
      </c>
      <c r="GQ614" s="14" t="s">
        <v>816</v>
      </c>
      <c r="GR614" s="14">
        <f t="shared" si="168"/>
        <v>17</v>
      </c>
      <c r="GS614" s="14" t="str">
        <f t="shared" si="169"/>
        <v>神器6-8</v>
      </c>
      <c r="GT614" s="14">
        <f t="shared" si="170"/>
        <v>10</v>
      </c>
    </row>
    <row r="615" spans="195:202" ht="16.5" x14ac:dyDescent="0.2">
      <c r="GM615" s="91">
        <v>609</v>
      </c>
      <c r="GN615" s="14">
        <f t="shared" si="166"/>
        <v>34</v>
      </c>
      <c r="GO615" s="14">
        <f t="shared" si="167"/>
        <v>1606042</v>
      </c>
      <c r="GP615" s="14" t="str">
        <f t="shared" si="171"/>
        <v>神器6-8 : 级</v>
      </c>
      <c r="GQ615" s="14" t="s">
        <v>816</v>
      </c>
      <c r="GR615" s="14">
        <f t="shared" si="168"/>
        <v>18</v>
      </c>
      <c r="GS615" s="14" t="str">
        <f t="shared" si="169"/>
        <v>神器6-8</v>
      </c>
      <c r="GT615" s="14">
        <f t="shared" si="170"/>
        <v>10</v>
      </c>
    </row>
    <row r="616" spans="195:202" ht="16.5" x14ac:dyDescent="0.2">
      <c r="GM616" s="91">
        <v>610</v>
      </c>
      <c r="GN616" s="14">
        <f t="shared" si="166"/>
        <v>34</v>
      </c>
      <c r="GO616" s="14">
        <f t="shared" si="167"/>
        <v>1606042</v>
      </c>
      <c r="GP616" s="14" t="str">
        <f t="shared" si="171"/>
        <v>神器6-8 : 级</v>
      </c>
      <c r="GQ616" s="14" t="s">
        <v>816</v>
      </c>
      <c r="GR616" s="14">
        <f t="shared" si="168"/>
        <v>19</v>
      </c>
      <c r="GS616" s="14" t="str">
        <f t="shared" si="169"/>
        <v>神器6-8</v>
      </c>
      <c r="GT616" s="14">
        <f t="shared" si="170"/>
        <v>15</v>
      </c>
    </row>
    <row r="617" spans="195:202" ht="16.5" x14ac:dyDescent="0.2">
      <c r="GM617" s="91">
        <v>611</v>
      </c>
      <c r="GN617" s="14">
        <f t="shared" si="166"/>
        <v>34</v>
      </c>
      <c r="GO617" s="14">
        <f t="shared" si="167"/>
        <v>1606042</v>
      </c>
      <c r="GP617" s="14" t="str">
        <f t="shared" si="171"/>
        <v>神器6-8 : 级</v>
      </c>
      <c r="GQ617" s="14" t="s">
        <v>816</v>
      </c>
      <c r="GR617" s="14">
        <f t="shared" si="168"/>
        <v>20</v>
      </c>
      <c r="GS617" s="14" t="str">
        <f t="shared" si="169"/>
        <v>神器6-8</v>
      </c>
      <c r="GT617" s="14">
        <f t="shared" si="170"/>
        <v>15</v>
      </c>
    </row>
    <row r="618" spans="195:202" ht="16.5" x14ac:dyDescent="0.2">
      <c r="GM618" s="91">
        <v>612</v>
      </c>
      <c r="GN618" s="14">
        <f t="shared" si="166"/>
        <v>34</v>
      </c>
      <c r="GO618" s="14">
        <f t="shared" si="167"/>
        <v>1606042</v>
      </c>
      <c r="GP618" s="14" t="str">
        <f t="shared" si="171"/>
        <v>神器6-8 : 级</v>
      </c>
      <c r="GQ618" s="14" t="s">
        <v>816</v>
      </c>
      <c r="GR618" s="14">
        <f t="shared" si="168"/>
        <v>21</v>
      </c>
      <c r="GS618" s="14" t="str">
        <f t="shared" si="169"/>
        <v>神器6-8</v>
      </c>
      <c r="GT618" s="14">
        <f t="shared" si="170"/>
        <v>15</v>
      </c>
    </row>
    <row r="619" spans="195:202" ht="16.5" x14ac:dyDescent="0.2">
      <c r="GM619" s="91">
        <v>613</v>
      </c>
      <c r="GN619" s="14">
        <f t="shared" si="166"/>
        <v>35</v>
      </c>
      <c r="GO619" s="14">
        <f t="shared" si="167"/>
        <v>1606043</v>
      </c>
      <c r="GP619" s="14" t="str">
        <f t="shared" si="171"/>
        <v>神器7-1 : 级</v>
      </c>
      <c r="GQ619" s="14" t="s">
        <v>816</v>
      </c>
      <c r="GR619" s="14">
        <f t="shared" si="168"/>
        <v>1</v>
      </c>
      <c r="GS619" s="14" t="str">
        <f t="shared" si="169"/>
        <v>神器7-1</v>
      </c>
      <c r="GT619" s="14">
        <f t="shared" si="170"/>
        <v>1</v>
      </c>
    </row>
    <row r="620" spans="195:202" ht="16.5" x14ac:dyDescent="0.2">
      <c r="GM620" s="91">
        <v>614</v>
      </c>
      <c r="GN620" s="14">
        <f t="shared" si="166"/>
        <v>35</v>
      </c>
      <c r="GO620" s="14">
        <f t="shared" si="167"/>
        <v>1606043</v>
      </c>
      <c r="GP620" s="14" t="str">
        <f t="shared" si="171"/>
        <v>神器7-1 : 级</v>
      </c>
      <c r="GQ620" s="14" t="s">
        <v>816</v>
      </c>
      <c r="GR620" s="14">
        <f t="shared" si="168"/>
        <v>2</v>
      </c>
      <c r="GS620" s="14" t="str">
        <f t="shared" si="169"/>
        <v>神器7-1</v>
      </c>
      <c r="GT620" s="14">
        <f t="shared" si="170"/>
        <v>1</v>
      </c>
    </row>
    <row r="621" spans="195:202" ht="16.5" x14ac:dyDescent="0.2">
      <c r="GM621" s="91">
        <v>615</v>
      </c>
      <c r="GN621" s="14">
        <f t="shared" si="166"/>
        <v>35</v>
      </c>
      <c r="GO621" s="14">
        <f t="shared" si="167"/>
        <v>1606043</v>
      </c>
      <c r="GP621" s="14" t="str">
        <f t="shared" si="171"/>
        <v>神器7-1 : 级</v>
      </c>
      <c r="GQ621" s="14" t="s">
        <v>816</v>
      </c>
      <c r="GR621" s="14">
        <f t="shared" si="168"/>
        <v>3</v>
      </c>
      <c r="GS621" s="14" t="str">
        <f t="shared" si="169"/>
        <v>神器7-1</v>
      </c>
      <c r="GT621" s="14">
        <f t="shared" si="170"/>
        <v>1</v>
      </c>
    </row>
    <row r="622" spans="195:202" ht="16.5" x14ac:dyDescent="0.2">
      <c r="GM622" s="91">
        <v>616</v>
      </c>
      <c r="GN622" s="14">
        <f t="shared" si="166"/>
        <v>35</v>
      </c>
      <c r="GO622" s="14">
        <f t="shared" si="167"/>
        <v>1606043</v>
      </c>
      <c r="GP622" s="14" t="str">
        <f t="shared" si="171"/>
        <v>神器7-1 : 级</v>
      </c>
      <c r="GQ622" s="14" t="s">
        <v>816</v>
      </c>
      <c r="GR622" s="14">
        <f t="shared" si="168"/>
        <v>4</v>
      </c>
      <c r="GS622" s="14" t="str">
        <f t="shared" si="169"/>
        <v>神器7-1</v>
      </c>
      <c r="GT622" s="14">
        <f t="shared" si="170"/>
        <v>2</v>
      </c>
    </row>
    <row r="623" spans="195:202" ht="16.5" x14ac:dyDescent="0.2">
      <c r="GM623" s="91">
        <v>617</v>
      </c>
      <c r="GN623" s="14">
        <f t="shared" si="166"/>
        <v>35</v>
      </c>
      <c r="GO623" s="14">
        <f t="shared" si="167"/>
        <v>1606043</v>
      </c>
      <c r="GP623" s="14" t="str">
        <f t="shared" si="171"/>
        <v>神器7-1 : 级</v>
      </c>
      <c r="GQ623" s="14" t="s">
        <v>816</v>
      </c>
      <c r="GR623" s="14">
        <f t="shared" si="168"/>
        <v>5</v>
      </c>
      <c r="GS623" s="14" t="str">
        <f t="shared" si="169"/>
        <v>神器7-1</v>
      </c>
      <c r="GT623" s="14">
        <f t="shared" si="170"/>
        <v>2</v>
      </c>
    </row>
    <row r="624" spans="195:202" ht="16.5" x14ac:dyDescent="0.2">
      <c r="GM624" s="91">
        <v>618</v>
      </c>
      <c r="GN624" s="14">
        <f t="shared" si="166"/>
        <v>35</v>
      </c>
      <c r="GO624" s="14">
        <f t="shared" si="167"/>
        <v>1606043</v>
      </c>
      <c r="GP624" s="14" t="str">
        <f t="shared" si="171"/>
        <v>神器7-1 : 级</v>
      </c>
      <c r="GQ624" s="14" t="s">
        <v>816</v>
      </c>
      <c r="GR624" s="14">
        <f t="shared" si="168"/>
        <v>6</v>
      </c>
      <c r="GS624" s="14" t="str">
        <f t="shared" si="169"/>
        <v>神器7-1</v>
      </c>
      <c r="GT624" s="14">
        <f t="shared" si="170"/>
        <v>2</v>
      </c>
    </row>
    <row r="625" spans="195:202" ht="16.5" x14ac:dyDescent="0.2">
      <c r="GM625" s="91">
        <v>619</v>
      </c>
      <c r="GN625" s="14">
        <f t="shared" si="166"/>
        <v>35</v>
      </c>
      <c r="GO625" s="14">
        <f t="shared" si="167"/>
        <v>1606043</v>
      </c>
      <c r="GP625" s="14" t="str">
        <f t="shared" si="171"/>
        <v>神器7-1 : 级</v>
      </c>
      <c r="GQ625" s="14" t="s">
        <v>816</v>
      </c>
      <c r="GR625" s="14">
        <f t="shared" si="168"/>
        <v>7</v>
      </c>
      <c r="GS625" s="14" t="str">
        <f t="shared" si="169"/>
        <v>神器7-1</v>
      </c>
      <c r="GT625" s="14">
        <f t="shared" si="170"/>
        <v>3</v>
      </c>
    </row>
    <row r="626" spans="195:202" ht="16.5" x14ac:dyDescent="0.2">
      <c r="GM626" s="91">
        <v>620</v>
      </c>
      <c r="GN626" s="14">
        <f t="shared" si="166"/>
        <v>35</v>
      </c>
      <c r="GO626" s="14">
        <f t="shared" si="167"/>
        <v>1606043</v>
      </c>
      <c r="GP626" s="14" t="str">
        <f t="shared" si="171"/>
        <v>神器7-1 : 级</v>
      </c>
      <c r="GQ626" s="14" t="s">
        <v>816</v>
      </c>
      <c r="GR626" s="14">
        <f t="shared" si="168"/>
        <v>8</v>
      </c>
      <c r="GS626" s="14" t="str">
        <f t="shared" si="169"/>
        <v>神器7-1</v>
      </c>
      <c r="GT626" s="14">
        <f t="shared" si="170"/>
        <v>3</v>
      </c>
    </row>
    <row r="627" spans="195:202" ht="16.5" x14ac:dyDescent="0.2">
      <c r="GM627" s="91">
        <v>621</v>
      </c>
      <c r="GN627" s="14">
        <f t="shared" si="166"/>
        <v>35</v>
      </c>
      <c r="GO627" s="14">
        <f t="shared" si="167"/>
        <v>1606043</v>
      </c>
      <c r="GP627" s="14" t="str">
        <f t="shared" si="171"/>
        <v>神器7-1 : 级</v>
      </c>
      <c r="GQ627" s="14" t="s">
        <v>816</v>
      </c>
      <c r="GR627" s="14">
        <f t="shared" si="168"/>
        <v>9</v>
      </c>
      <c r="GS627" s="14" t="str">
        <f t="shared" si="169"/>
        <v>神器7-1</v>
      </c>
      <c r="GT627" s="14">
        <f t="shared" si="170"/>
        <v>3</v>
      </c>
    </row>
    <row r="628" spans="195:202" ht="16.5" x14ac:dyDescent="0.2">
      <c r="GM628" s="91">
        <v>622</v>
      </c>
      <c r="GN628" s="14">
        <f t="shared" si="166"/>
        <v>35</v>
      </c>
      <c r="GO628" s="14">
        <f t="shared" si="167"/>
        <v>1606043</v>
      </c>
      <c r="GP628" s="14" t="str">
        <f t="shared" si="171"/>
        <v>神器7-1 : 级</v>
      </c>
      <c r="GQ628" s="14" t="s">
        <v>816</v>
      </c>
      <c r="GR628" s="14">
        <f t="shared" si="168"/>
        <v>10</v>
      </c>
      <c r="GS628" s="14" t="str">
        <f t="shared" si="169"/>
        <v>神器7-1</v>
      </c>
      <c r="GT628" s="14">
        <f t="shared" si="170"/>
        <v>5</v>
      </c>
    </row>
    <row r="629" spans="195:202" ht="16.5" x14ac:dyDescent="0.2">
      <c r="GM629" s="91">
        <v>623</v>
      </c>
      <c r="GN629" s="14">
        <f t="shared" si="166"/>
        <v>35</v>
      </c>
      <c r="GO629" s="14">
        <f t="shared" si="167"/>
        <v>1606043</v>
      </c>
      <c r="GP629" s="14" t="str">
        <f t="shared" si="171"/>
        <v>神器7-1 : 级</v>
      </c>
      <c r="GQ629" s="14" t="s">
        <v>816</v>
      </c>
      <c r="GR629" s="14">
        <f t="shared" si="168"/>
        <v>11</v>
      </c>
      <c r="GS629" s="14" t="str">
        <f t="shared" si="169"/>
        <v>神器7-1</v>
      </c>
      <c r="GT629" s="14">
        <f t="shared" si="170"/>
        <v>5</v>
      </c>
    </row>
    <row r="630" spans="195:202" ht="16.5" x14ac:dyDescent="0.2">
      <c r="GM630" s="91">
        <v>624</v>
      </c>
      <c r="GN630" s="14">
        <f t="shared" si="166"/>
        <v>35</v>
      </c>
      <c r="GO630" s="14">
        <f t="shared" si="167"/>
        <v>1606043</v>
      </c>
      <c r="GP630" s="14" t="str">
        <f t="shared" si="171"/>
        <v>神器7-1 : 级</v>
      </c>
      <c r="GQ630" s="14" t="s">
        <v>816</v>
      </c>
      <c r="GR630" s="14">
        <f t="shared" si="168"/>
        <v>12</v>
      </c>
      <c r="GS630" s="14" t="str">
        <f t="shared" si="169"/>
        <v>神器7-1</v>
      </c>
      <c r="GT630" s="14">
        <f t="shared" si="170"/>
        <v>6</v>
      </c>
    </row>
    <row r="631" spans="195:202" ht="16.5" x14ac:dyDescent="0.2">
      <c r="GM631" s="91">
        <v>625</v>
      </c>
      <c r="GN631" s="14">
        <f t="shared" si="166"/>
        <v>35</v>
      </c>
      <c r="GO631" s="14">
        <f t="shared" si="167"/>
        <v>1606043</v>
      </c>
      <c r="GP631" s="14" t="str">
        <f t="shared" si="171"/>
        <v>神器7-1 : 级</v>
      </c>
      <c r="GQ631" s="14" t="s">
        <v>816</v>
      </c>
      <c r="GR631" s="14">
        <f t="shared" si="168"/>
        <v>13</v>
      </c>
      <c r="GS631" s="14" t="str">
        <f t="shared" si="169"/>
        <v>神器7-1</v>
      </c>
      <c r="GT631" s="14">
        <f t="shared" si="170"/>
        <v>7</v>
      </c>
    </row>
    <row r="632" spans="195:202" ht="16.5" x14ac:dyDescent="0.2">
      <c r="GM632" s="91">
        <v>626</v>
      </c>
      <c r="GN632" s="14">
        <f t="shared" si="166"/>
        <v>35</v>
      </c>
      <c r="GO632" s="14">
        <f t="shared" si="167"/>
        <v>1606043</v>
      </c>
      <c r="GP632" s="14" t="str">
        <f t="shared" si="171"/>
        <v>神器7-1 : 级</v>
      </c>
      <c r="GQ632" s="14" t="s">
        <v>816</v>
      </c>
      <c r="GR632" s="14">
        <f t="shared" si="168"/>
        <v>14</v>
      </c>
      <c r="GS632" s="14" t="str">
        <f t="shared" si="169"/>
        <v>神器7-1</v>
      </c>
      <c r="GT632" s="14">
        <f t="shared" si="170"/>
        <v>7</v>
      </c>
    </row>
    <row r="633" spans="195:202" ht="16.5" x14ac:dyDescent="0.2">
      <c r="GM633" s="91">
        <v>627</v>
      </c>
      <c r="GN633" s="14">
        <f t="shared" si="166"/>
        <v>35</v>
      </c>
      <c r="GO633" s="14">
        <f t="shared" si="167"/>
        <v>1606043</v>
      </c>
      <c r="GP633" s="14" t="str">
        <f t="shared" si="171"/>
        <v>神器7-1 : 级</v>
      </c>
      <c r="GQ633" s="14" t="s">
        <v>816</v>
      </c>
      <c r="GR633" s="14">
        <f t="shared" si="168"/>
        <v>15</v>
      </c>
      <c r="GS633" s="14" t="str">
        <f t="shared" si="169"/>
        <v>神器7-1</v>
      </c>
      <c r="GT633" s="14">
        <f t="shared" si="170"/>
        <v>7</v>
      </c>
    </row>
    <row r="634" spans="195:202" ht="16.5" x14ac:dyDescent="0.2">
      <c r="GM634" s="91">
        <v>628</v>
      </c>
      <c r="GN634" s="14">
        <f t="shared" si="166"/>
        <v>35</v>
      </c>
      <c r="GO634" s="14">
        <f t="shared" si="167"/>
        <v>1606043</v>
      </c>
      <c r="GP634" s="14" t="str">
        <f t="shared" si="171"/>
        <v>神器7-1 : 级</v>
      </c>
      <c r="GQ634" s="14" t="s">
        <v>816</v>
      </c>
      <c r="GR634" s="14">
        <f t="shared" si="168"/>
        <v>16</v>
      </c>
      <c r="GS634" s="14" t="str">
        <f t="shared" si="169"/>
        <v>神器7-1</v>
      </c>
      <c r="GT634" s="14">
        <f t="shared" si="170"/>
        <v>10</v>
      </c>
    </row>
    <row r="635" spans="195:202" ht="16.5" x14ac:dyDescent="0.2">
      <c r="GM635" s="91">
        <v>629</v>
      </c>
      <c r="GN635" s="14">
        <f t="shared" si="166"/>
        <v>35</v>
      </c>
      <c r="GO635" s="14">
        <f t="shared" si="167"/>
        <v>1606043</v>
      </c>
      <c r="GP635" s="14" t="str">
        <f t="shared" si="171"/>
        <v>神器7-1 : 级</v>
      </c>
      <c r="GQ635" s="14" t="s">
        <v>816</v>
      </c>
      <c r="GR635" s="14">
        <f t="shared" si="168"/>
        <v>17</v>
      </c>
      <c r="GS635" s="14" t="str">
        <f t="shared" si="169"/>
        <v>神器7-1</v>
      </c>
      <c r="GT635" s="14">
        <f t="shared" si="170"/>
        <v>10</v>
      </c>
    </row>
    <row r="636" spans="195:202" ht="16.5" x14ac:dyDescent="0.2">
      <c r="GM636" s="91">
        <v>630</v>
      </c>
      <c r="GN636" s="14">
        <f t="shared" si="166"/>
        <v>35</v>
      </c>
      <c r="GO636" s="14">
        <f t="shared" si="167"/>
        <v>1606043</v>
      </c>
      <c r="GP636" s="14" t="str">
        <f t="shared" si="171"/>
        <v>神器7-1 : 级</v>
      </c>
      <c r="GQ636" s="14" t="s">
        <v>816</v>
      </c>
      <c r="GR636" s="14">
        <f t="shared" si="168"/>
        <v>18</v>
      </c>
      <c r="GS636" s="14" t="str">
        <f t="shared" si="169"/>
        <v>神器7-1</v>
      </c>
      <c r="GT636" s="14">
        <f t="shared" si="170"/>
        <v>10</v>
      </c>
    </row>
    <row r="637" spans="195:202" ht="16.5" x14ac:dyDescent="0.2">
      <c r="GM637" s="91">
        <v>631</v>
      </c>
      <c r="GN637" s="14">
        <f t="shared" si="166"/>
        <v>35</v>
      </c>
      <c r="GO637" s="14">
        <f t="shared" si="167"/>
        <v>1606043</v>
      </c>
      <c r="GP637" s="14" t="str">
        <f t="shared" si="171"/>
        <v>神器7-1 : 级</v>
      </c>
      <c r="GQ637" s="14" t="s">
        <v>816</v>
      </c>
      <c r="GR637" s="14">
        <f t="shared" si="168"/>
        <v>19</v>
      </c>
      <c r="GS637" s="14" t="str">
        <f t="shared" si="169"/>
        <v>神器7-1</v>
      </c>
      <c r="GT637" s="14">
        <f t="shared" si="170"/>
        <v>15</v>
      </c>
    </row>
    <row r="638" spans="195:202" ht="16.5" x14ac:dyDescent="0.2">
      <c r="GM638" s="91">
        <v>632</v>
      </c>
      <c r="GN638" s="14">
        <f t="shared" si="166"/>
        <v>35</v>
      </c>
      <c r="GO638" s="14">
        <f t="shared" si="167"/>
        <v>1606043</v>
      </c>
      <c r="GP638" s="14" t="str">
        <f t="shared" si="171"/>
        <v>神器7-1 : 级</v>
      </c>
      <c r="GQ638" s="14" t="s">
        <v>816</v>
      </c>
      <c r="GR638" s="14">
        <f t="shared" si="168"/>
        <v>20</v>
      </c>
      <c r="GS638" s="14" t="str">
        <f t="shared" si="169"/>
        <v>神器7-1</v>
      </c>
      <c r="GT638" s="14">
        <f t="shared" si="170"/>
        <v>15</v>
      </c>
    </row>
    <row r="639" spans="195:202" ht="16.5" x14ac:dyDescent="0.2">
      <c r="GM639" s="91">
        <v>633</v>
      </c>
      <c r="GN639" s="14">
        <f t="shared" si="166"/>
        <v>35</v>
      </c>
      <c r="GO639" s="14">
        <f t="shared" si="167"/>
        <v>1606043</v>
      </c>
      <c r="GP639" s="14" t="str">
        <f t="shared" si="171"/>
        <v>神器7-1 : 级</v>
      </c>
      <c r="GQ639" s="14" t="s">
        <v>816</v>
      </c>
      <c r="GR639" s="14">
        <f t="shared" si="168"/>
        <v>21</v>
      </c>
      <c r="GS639" s="14" t="str">
        <f t="shared" si="169"/>
        <v>神器7-1</v>
      </c>
      <c r="GT639" s="14">
        <f t="shared" si="170"/>
        <v>15</v>
      </c>
    </row>
    <row r="640" spans="195:202" ht="16.5" x14ac:dyDescent="0.2">
      <c r="GM640" s="91">
        <v>634</v>
      </c>
      <c r="GN640" s="14">
        <f t="shared" si="166"/>
        <v>36</v>
      </c>
      <c r="GO640" s="14">
        <f t="shared" si="167"/>
        <v>1606044</v>
      </c>
      <c r="GP640" s="14" t="str">
        <f t="shared" si="171"/>
        <v>神器7-2 : 级</v>
      </c>
      <c r="GQ640" s="14" t="s">
        <v>816</v>
      </c>
      <c r="GR640" s="14">
        <f t="shared" si="168"/>
        <v>1</v>
      </c>
      <c r="GS640" s="14" t="str">
        <f t="shared" si="169"/>
        <v>神器7-2</v>
      </c>
      <c r="GT640" s="14">
        <f t="shared" si="170"/>
        <v>1</v>
      </c>
    </row>
    <row r="641" spans="195:202" ht="16.5" x14ac:dyDescent="0.2">
      <c r="GM641" s="91">
        <v>635</v>
      </c>
      <c r="GN641" s="14">
        <f t="shared" si="166"/>
        <v>36</v>
      </c>
      <c r="GO641" s="14">
        <f t="shared" si="167"/>
        <v>1606044</v>
      </c>
      <c r="GP641" s="14" t="str">
        <f t="shared" si="171"/>
        <v>神器7-2 : 级</v>
      </c>
      <c r="GQ641" s="14" t="s">
        <v>816</v>
      </c>
      <c r="GR641" s="14">
        <f t="shared" si="168"/>
        <v>2</v>
      </c>
      <c r="GS641" s="14" t="str">
        <f t="shared" si="169"/>
        <v>神器7-2</v>
      </c>
      <c r="GT641" s="14">
        <f t="shared" si="170"/>
        <v>1</v>
      </c>
    </row>
    <row r="642" spans="195:202" ht="16.5" x14ac:dyDescent="0.2">
      <c r="GM642" s="91">
        <v>636</v>
      </c>
      <c r="GN642" s="14">
        <f t="shared" si="166"/>
        <v>36</v>
      </c>
      <c r="GO642" s="14">
        <f t="shared" si="167"/>
        <v>1606044</v>
      </c>
      <c r="GP642" s="14" t="str">
        <f t="shared" si="171"/>
        <v>神器7-2 : 级</v>
      </c>
      <c r="GQ642" s="14" t="s">
        <v>816</v>
      </c>
      <c r="GR642" s="14">
        <f t="shared" si="168"/>
        <v>3</v>
      </c>
      <c r="GS642" s="14" t="str">
        <f t="shared" si="169"/>
        <v>神器7-2</v>
      </c>
      <c r="GT642" s="14">
        <f t="shared" si="170"/>
        <v>1</v>
      </c>
    </row>
    <row r="643" spans="195:202" ht="16.5" x14ac:dyDescent="0.2">
      <c r="GM643" s="91">
        <v>637</v>
      </c>
      <c r="GN643" s="14">
        <f t="shared" si="166"/>
        <v>36</v>
      </c>
      <c r="GO643" s="14">
        <f t="shared" si="167"/>
        <v>1606044</v>
      </c>
      <c r="GP643" s="14" t="str">
        <f t="shared" si="171"/>
        <v>神器7-2 : 级</v>
      </c>
      <c r="GQ643" s="14" t="s">
        <v>816</v>
      </c>
      <c r="GR643" s="14">
        <f t="shared" si="168"/>
        <v>4</v>
      </c>
      <c r="GS643" s="14" t="str">
        <f t="shared" si="169"/>
        <v>神器7-2</v>
      </c>
      <c r="GT643" s="14">
        <f t="shared" si="170"/>
        <v>2</v>
      </c>
    </row>
    <row r="644" spans="195:202" ht="16.5" x14ac:dyDescent="0.2">
      <c r="GM644" s="91">
        <v>638</v>
      </c>
      <c r="GN644" s="14">
        <f t="shared" si="166"/>
        <v>36</v>
      </c>
      <c r="GO644" s="14">
        <f t="shared" si="167"/>
        <v>1606044</v>
      </c>
      <c r="GP644" s="14" t="str">
        <f t="shared" si="171"/>
        <v>神器7-2 : 级</v>
      </c>
      <c r="GQ644" s="14" t="s">
        <v>816</v>
      </c>
      <c r="GR644" s="14">
        <f t="shared" si="168"/>
        <v>5</v>
      </c>
      <c r="GS644" s="14" t="str">
        <f t="shared" si="169"/>
        <v>神器7-2</v>
      </c>
      <c r="GT644" s="14">
        <f t="shared" si="170"/>
        <v>2</v>
      </c>
    </row>
    <row r="645" spans="195:202" ht="16.5" x14ac:dyDescent="0.2">
      <c r="GM645" s="91">
        <v>639</v>
      </c>
      <c r="GN645" s="14">
        <f t="shared" si="166"/>
        <v>36</v>
      </c>
      <c r="GO645" s="14">
        <f t="shared" si="167"/>
        <v>1606044</v>
      </c>
      <c r="GP645" s="14" t="str">
        <f t="shared" si="171"/>
        <v>神器7-2 : 级</v>
      </c>
      <c r="GQ645" s="14" t="s">
        <v>816</v>
      </c>
      <c r="GR645" s="14">
        <f t="shared" si="168"/>
        <v>6</v>
      </c>
      <c r="GS645" s="14" t="str">
        <f t="shared" si="169"/>
        <v>神器7-2</v>
      </c>
      <c r="GT645" s="14">
        <f t="shared" si="170"/>
        <v>2</v>
      </c>
    </row>
    <row r="646" spans="195:202" ht="16.5" x14ac:dyDescent="0.2">
      <c r="GM646" s="91">
        <v>640</v>
      </c>
      <c r="GN646" s="14">
        <f t="shared" si="166"/>
        <v>36</v>
      </c>
      <c r="GO646" s="14">
        <f t="shared" si="167"/>
        <v>1606044</v>
      </c>
      <c r="GP646" s="14" t="str">
        <f t="shared" si="171"/>
        <v>神器7-2 : 级</v>
      </c>
      <c r="GQ646" s="14" t="s">
        <v>816</v>
      </c>
      <c r="GR646" s="14">
        <f t="shared" si="168"/>
        <v>7</v>
      </c>
      <c r="GS646" s="14" t="str">
        <f t="shared" si="169"/>
        <v>神器7-2</v>
      </c>
      <c r="GT646" s="14">
        <f t="shared" si="170"/>
        <v>3</v>
      </c>
    </row>
    <row r="647" spans="195:202" ht="16.5" x14ac:dyDescent="0.2">
      <c r="GM647" s="91">
        <v>641</v>
      </c>
      <c r="GN647" s="14">
        <f t="shared" si="166"/>
        <v>36</v>
      </c>
      <c r="GO647" s="14">
        <f t="shared" si="167"/>
        <v>1606044</v>
      </c>
      <c r="GP647" s="14" t="str">
        <f t="shared" si="171"/>
        <v>神器7-2 : 级</v>
      </c>
      <c r="GQ647" s="14" t="s">
        <v>816</v>
      </c>
      <c r="GR647" s="14">
        <f t="shared" si="168"/>
        <v>8</v>
      </c>
      <c r="GS647" s="14" t="str">
        <f t="shared" si="169"/>
        <v>神器7-2</v>
      </c>
      <c r="GT647" s="14">
        <f t="shared" si="170"/>
        <v>3</v>
      </c>
    </row>
    <row r="648" spans="195:202" ht="16.5" x14ac:dyDescent="0.2">
      <c r="GM648" s="91">
        <v>642</v>
      </c>
      <c r="GN648" s="14">
        <f t="shared" ref="GN648:GN711" si="172">MATCH(GM648-1,$R$7:$R$49,1)</f>
        <v>36</v>
      </c>
      <c r="GO648" s="14">
        <f t="shared" ref="GO648:GO711" si="173">INDEX($S$8:$S$49,GN648)</f>
        <v>1606044</v>
      </c>
      <c r="GP648" s="14" t="str">
        <f t="shared" si="171"/>
        <v>神器7-2 : 级</v>
      </c>
      <c r="GQ648" s="14" t="s">
        <v>816</v>
      </c>
      <c r="GR648" s="14">
        <f t="shared" ref="GR648:GR711" si="174">GM648-INDEX($R$7:$R$49,GN648)</f>
        <v>9</v>
      </c>
      <c r="GS648" s="14" t="str">
        <f t="shared" ref="GS648:GS711" si="175">INDEX($T$8:$T$49,GN648)</f>
        <v>神器7-2</v>
      </c>
      <c r="GT648" s="14">
        <f t="shared" ref="GT648:GT711" si="176">INDEX($K$8:$K$28,GR648)</f>
        <v>3</v>
      </c>
    </row>
    <row r="649" spans="195:202" ht="16.5" x14ac:dyDescent="0.2">
      <c r="GM649" s="91">
        <v>643</v>
      </c>
      <c r="GN649" s="14">
        <f t="shared" si="172"/>
        <v>36</v>
      </c>
      <c r="GO649" s="14">
        <f t="shared" si="173"/>
        <v>1606044</v>
      </c>
      <c r="GP649" s="14" t="str">
        <f t="shared" si="171"/>
        <v>神器7-2 : 级</v>
      </c>
      <c r="GQ649" s="14" t="s">
        <v>816</v>
      </c>
      <c r="GR649" s="14">
        <f t="shared" si="174"/>
        <v>10</v>
      </c>
      <c r="GS649" s="14" t="str">
        <f t="shared" si="175"/>
        <v>神器7-2</v>
      </c>
      <c r="GT649" s="14">
        <f t="shared" si="176"/>
        <v>5</v>
      </c>
    </row>
    <row r="650" spans="195:202" ht="16.5" x14ac:dyDescent="0.2">
      <c r="GM650" s="91">
        <v>644</v>
      </c>
      <c r="GN650" s="14">
        <f t="shared" si="172"/>
        <v>36</v>
      </c>
      <c r="GO650" s="14">
        <f t="shared" si="173"/>
        <v>1606044</v>
      </c>
      <c r="GP650" s="14" t="str">
        <f t="shared" si="171"/>
        <v>神器7-2 : 级</v>
      </c>
      <c r="GQ650" s="14" t="s">
        <v>816</v>
      </c>
      <c r="GR650" s="14">
        <f t="shared" si="174"/>
        <v>11</v>
      </c>
      <c r="GS650" s="14" t="str">
        <f t="shared" si="175"/>
        <v>神器7-2</v>
      </c>
      <c r="GT650" s="14">
        <f t="shared" si="176"/>
        <v>5</v>
      </c>
    </row>
    <row r="651" spans="195:202" ht="16.5" x14ac:dyDescent="0.2">
      <c r="GM651" s="91">
        <v>645</v>
      </c>
      <c r="GN651" s="14">
        <f t="shared" si="172"/>
        <v>36</v>
      </c>
      <c r="GO651" s="14">
        <f t="shared" si="173"/>
        <v>1606044</v>
      </c>
      <c r="GP651" s="14" t="str">
        <f t="shared" si="171"/>
        <v>神器7-2 : 级</v>
      </c>
      <c r="GQ651" s="14" t="s">
        <v>816</v>
      </c>
      <c r="GR651" s="14">
        <f t="shared" si="174"/>
        <v>12</v>
      </c>
      <c r="GS651" s="14" t="str">
        <f t="shared" si="175"/>
        <v>神器7-2</v>
      </c>
      <c r="GT651" s="14">
        <f t="shared" si="176"/>
        <v>6</v>
      </c>
    </row>
    <row r="652" spans="195:202" ht="16.5" x14ac:dyDescent="0.2">
      <c r="GM652" s="91">
        <v>646</v>
      </c>
      <c r="GN652" s="14">
        <f t="shared" si="172"/>
        <v>36</v>
      </c>
      <c r="GO652" s="14">
        <f t="shared" si="173"/>
        <v>1606044</v>
      </c>
      <c r="GP652" s="14" t="str">
        <f t="shared" si="171"/>
        <v>神器7-2 : 级</v>
      </c>
      <c r="GQ652" s="14" t="s">
        <v>816</v>
      </c>
      <c r="GR652" s="14">
        <f t="shared" si="174"/>
        <v>13</v>
      </c>
      <c r="GS652" s="14" t="str">
        <f t="shared" si="175"/>
        <v>神器7-2</v>
      </c>
      <c r="GT652" s="14">
        <f t="shared" si="176"/>
        <v>7</v>
      </c>
    </row>
    <row r="653" spans="195:202" ht="16.5" x14ac:dyDescent="0.2">
      <c r="GM653" s="91">
        <v>647</v>
      </c>
      <c r="GN653" s="14">
        <f t="shared" si="172"/>
        <v>36</v>
      </c>
      <c r="GO653" s="14">
        <f t="shared" si="173"/>
        <v>1606044</v>
      </c>
      <c r="GP653" s="14" t="str">
        <f t="shared" si="171"/>
        <v>神器7-2 : 级</v>
      </c>
      <c r="GQ653" s="14" t="s">
        <v>816</v>
      </c>
      <c r="GR653" s="14">
        <f t="shared" si="174"/>
        <v>14</v>
      </c>
      <c r="GS653" s="14" t="str">
        <f t="shared" si="175"/>
        <v>神器7-2</v>
      </c>
      <c r="GT653" s="14">
        <f t="shared" si="176"/>
        <v>7</v>
      </c>
    </row>
    <row r="654" spans="195:202" ht="16.5" x14ac:dyDescent="0.2">
      <c r="GM654" s="91">
        <v>648</v>
      </c>
      <c r="GN654" s="14">
        <f t="shared" si="172"/>
        <v>36</v>
      </c>
      <c r="GO654" s="14">
        <f t="shared" si="173"/>
        <v>1606044</v>
      </c>
      <c r="GP654" s="14" t="str">
        <f t="shared" si="171"/>
        <v>神器7-2 : 级</v>
      </c>
      <c r="GQ654" s="14" t="s">
        <v>816</v>
      </c>
      <c r="GR654" s="14">
        <f t="shared" si="174"/>
        <v>15</v>
      </c>
      <c r="GS654" s="14" t="str">
        <f t="shared" si="175"/>
        <v>神器7-2</v>
      </c>
      <c r="GT654" s="14">
        <f t="shared" si="176"/>
        <v>7</v>
      </c>
    </row>
    <row r="655" spans="195:202" ht="16.5" x14ac:dyDescent="0.2">
      <c r="GM655" s="91">
        <v>649</v>
      </c>
      <c r="GN655" s="14">
        <f t="shared" si="172"/>
        <v>36</v>
      </c>
      <c r="GO655" s="14">
        <f t="shared" si="173"/>
        <v>1606044</v>
      </c>
      <c r="GP655" s="14" t="str">
        <f t="shared" si="171"/>
        <v>神器7-2 : 级</v>
      </c>
      <c r="GQ655" s="14" t="s">
        <v>816</v>
      </c>
      <c r="GR655" s="14">
        <f t="shared" si="174"/>
        <v>16</v>
      </c>
      <c r="GS655" s="14" t="str">
        <f t="shared" si="175"/>
        <v>神器7-2</v>
      </c>
      <c r="GT655" s="14">
        <f t="shared" si="176"/>
        <v>10</v>
      </c>
    </row>
    <row r="656" spans="195:202" ht="16.5" x14ac:dyDescent="0.2">
      <c r="GM656" s="91">
        <v>650</v>
      </c>
      <c r="GN656" s="14">
        <f t="shared" si="172"/>
        <v>36</v>
      </c>
      <c r="GO656" s="14">
        <f t="shared" si="173"/>
        <v>1606044</v>
      </c>
      <c r="GP656" s="14" t="str">
        <f t="shared" si="171"/>
        <v>神器7-2 : 级</v>
      </c>
      <c r="GQ656" s="14" t="s">
        <v>816</v>
      </c>
      <c r="GR656" s="14">
        <f t="shared" si="174"/>
        <v>17</v>
      </c>
      <c r="GS656" s="14" t="str">
        <f t="shared" si="175"/>
        <v>神器7-2</v>
      </c>
      <c r="GT656" s="14">
        <f t="shared" si="176"/>
        <v>10</v>
      </c>
    </row>
    <row r="657" spans="195:202" ht="16.5" x14ac:dyDescent="0.2">
      <c r="GM657" s="91">
        <v>651</v>
      </c>
      <c r="GN657" s="14">
        <f t="shared" si="172"/>
        <v>36</v>
      </c>
      <c r="GO657" s="14">
        <f t="shared" si="173"/>
        <v>1606044</v>
      </c>
      <c r="GP657" s="14" t="str">
        <f t="shared" si="171"/>
        <v>神器7-2 : 级</v>
      </c>
      <c r="GQ657" s="14" t="s">
        <v>816</v>
      </c>
      <c r="GR657" s="14">
        <f t="shared" si="174"/>
        <v>18</v>
      </c>
      <c r="GS657" s="14" t="str">
        <f t="shared" si="175"/>
        <v>神器7-2</v>
      </c>
      <c r="GT657" s="14">
        <f t="shared" si="176"/>
        <v>10</v>
      </c>
    </row>
    <row r="658" spans="195:202" ht="16.5" x14ac:dyDescent="0.2">
      <c r="GM658" s="91">
        <v>652</v>
      </c>
      <c r="GN658" s="14">
        <f t="shared" si="172"/>
        <v>36</v>
      </c>
      <c r="GO658" s="14">
        <f t="shared" si="173"/>
        <v>1606044</v>
      </c>
      <c r="GP658" s="14" t="str">
        <f t="shared" si="171"/>
        <v>神器7-2 : 级</v>
      </c>
      <c r="GQ658" s="14" t="s">
        <v>816</v>
      </c>
      <c r="GR658" s="14">
        <f t="shared" si="174"/>
        <v>19</v>
      </c>
      <c r="GS658" s="14" t="str">
        <f t="shared" si="175"/>
        <v>神器7-2</v>
      </c>
      <c r="GT658" s="14">
        <f t="shared" si="176"/>
        <v>15</v>
      </c>
    </row>
    <row r="659" spans="195:202" ht="16.5" x14ac:dyDescent="0.2">
      <c r="GM659" s="91">
        <v>653</v>
      </c>
      <c r="GN659" s="14">
        <f t="shared" si="172"/>
        <v>36</v>
      </c>
      <c r="GO659" s="14">
        <f t="shared" si="173"/>
        <v>1606044</v>
      </c>
      <c r="GP659" s="14" t="str">
        <f t="shared" si="171"/>
        <v>神器7-2 : 级</v>
      </c>
      <c r="GQ659" s="14" t="s">
        <v>816</v>
      </c>
      <c r="GR659" s="14">
        <f t="shared" si="174"/>
        <v>20</v>
      </c>
      <c r="GS659" s="14" t="str">
        <f t="shared" si="175"/>
        <v>神器7-2</v>
      </c>
      <c r="GT659" s="14">
        <f t="shared" si="176"/>
        <v>15</v>
      </c>
    </row>
    <row r="660" spans="195:202" ht="16.5" x14ac:dyDescent="0.2">
      <c r="GM660" s="91">
        <v>654</v>
      </c>
      <c r="GN660" s="14">
        <f t="shared" si="172"/>
        <v>36</v>
      </c>
      <c r="GO660" s="14">
        <f t="shared" si="173"/>
        <v>1606044</v>
      </c>
      <c r="GP660" s="14" t="str">
        <f t="shared" si="171"/>
        <v>神器7-2 : 级</v>
      </c>
      <c r="GQ660" s="14" t="s">
        <v>816</v>
      </c>
      <c r="GR660" s="14">
        <f t="shared" si="174"/>
        <v>21</v>
      </c>
      <c r="GS660" s="14" t="str">
        <f t="shared" si="175"/>
        <v>神器7-2</v>
      </c>
      <c r="GT660" s="14">
        <f t="shared" si="176"/>
        <v>15</v>
      </c>
    </row>
    <row r="661" spans="195:202" ht="16.5" x14ac:dyDescent="0.2">
      <c r="GM661" s="91">
        <v>655</v>
      </c>
      <c r="GN661" s="14">
        <f t="shared" si="172"/>
        <v>37</v>
      </c>
      <c r="GO661" s="14">
        <f t="shared" si="173"/>
        <v>1606045</v>
      </c>
      <c r="GP661" s="14" t="str">
        <f t="shared" si="171"/>
        <v>神器7-3 : 级</v>
      </c>
      <c r="GQ661" s="14" t="s">
        <v>816</v>
      </c>
      <c r="GR661" s="14">
        <f t="shared" si="174"/>
        <v>1</v>
      </c>
      <c r="GS661" s="14" t="str">
        <f t="shared" si="175"/>
        <v>神器7-3</v>
      </c>
      <c r="GT661" s="14">
        <f t="shared" si="176"/>
        <v>1</v>
      </c>
    </row>
    <row r="662" spans="195:202" ht="16.5" x14ac:dyDescent="0.2">
      <c r="GM662" s="91">
        <v>656</v>
      </c>
      <c r="GN662" s="14">
        <f t="shared" si="172"/>
        <v>37</v>
      </c>
      <c r="GO662" s="14">
        <f t="shared" si="173"/>
        <v>1606045</v>
      </c>
      <c r="GP662" s="14" t="str">
        <f t="shared" si="171"/>
        <v>神器7-3 : 级</v>
      </c>
      <c r="GQ662" s="14" t="s">
        <v>816</v>
      </c>
      <c r="GR662" s="14">
        <f t="shared" si="174"/>
        <v>2</v>
      </c>
      <c r="GS662" s="14" t="str">
        <f t="shared" si="175"/>
        <v>神器7-3</v>
      </c>
      <c r="GT662" s="14">
        <f t="shared" si="176"/>
        <v>1</v>
      </c>
    </row>
    <row r="663" spans="195:202" ht="16.5" x14ac:dyDescent="0.2">
      <c r="GM663" s="91">
        <v>657</v>
      </c>
      <c r="GN663" s="14">
        <f t="shared" si="172"/>
        <v>37</v>
      </c>
      <c r="GO663" s="14">
        <f t="shared" si="173"/>
        <v>1606045</v>
      </c>
      <c r="GP663" s="14" t="str">
        <f t="shared" si="171"/>
        <v>神器7-3 : 级</v>
      </c>
      <c r="GQ663" s="14" t="s">
        <v>816</v>
      </c>
      <c r="GR663" s="14">
        <f t="shared" si="174"/>
        <v>3</v>
      </c>
      <c r="GS663" s="14" t="str">
        <f t="shared" si="175"/>
        <v>神器7-3</v>
      </c>
      <c r="GT663" s="14">
        <f t="shared" si="176"/>
        <v>1</v>
      </c>
    </row>
    <row r="664" spans="195:202" ht="16.5" x14ac:dyDescent="0.2">
      <c r="GM664" s="91">
        <v>658</v>
      </c>
      <c r="GN664" s="14">
        <f t="shared" si="172"/>
        <v>37</v>
      </c>
      <c r="GO664" s="14">
        <f t="shared" si="173"/>
        <v>1606045</v>
      </c>
      <c r="GP664" s="14" t="str">
        <f t="shared" ref="GP664:GP727" si="177">INDEX($T$8:$T$49,GN664)&amp;" : "&amp;AR664&amp;"级"</f>
        <v>神器7-3 : 级</v>
      </c>
      <c r="GQ664" s="14" t="s">
        <v>816</v>
      </c>
      <c r="GR664" s="14">
        <f t="shared" si="174"/>
        <v>4</v>
      </c>
      <c r="GS664" s="14" t="str">
        <f t="shared" si="175"/>
        <v>神器7-3</v>
      </c>
      <c r="GT664" s="14">
        <f t="shared" si="176"/>
        <v>2</v>
      </c>
    </row>
    <row r="665" spans="195:202" ht="16.5" x14ac:dyDescent="0.2">
      <c r="GM665" s="91">
        <v>659</v>
      </c>
      <c r="GN665" s="14">
        <f t="shared" si="172"/>
        <v>37</v>
      </c>
      <c r="GO665" s="14">
        <f t="shared" si="173"/>
        <v>1606045</v>
      </c>
      <c r="GP665" s="14" t="str">
        <f t="shared" si="177"/>
        <v>神器7-3 : 级</v>
      </c>
      <c r="GQ665" s="14" t="s">
        <v>816</v>
      </c>
      <c r="GR665" s="14">
        <f t="shared" si="174"/>
        <v>5</v>
      </c>
      <c r="GS665" s="14" t="str">
        <f t="shared" si="175"/>
        <v>神器7-3</v>
      </c>
      <c r="GT665" s="14">
        <f t="shared" si="176"/>
        <v>2</v>
      </c>
    </row>
    <row r="666" spans="195:202" ht="16.5" x14ac:dyDescent="0.2">
      <c r="GM666" s="91">
        <v>660</v>
      </c>
      <c r="GN666" s="14">
        <f t="shared" si="172"/>
        <v>37</v>
      </c>
      <c r="GO666" s="14">
        <f t="shared" si="173"/>
        <v>1606045</v>
      </c>
      <c r="GP666" s="14" t="str">
        <f t="shared" si="177"/>
        <v>神器7-3 : 级</v>
      </c>
      <c r="GQ666" s="14" t="s">
        <v>816</v>
      </c>
      <c r="GR666" s="14">
        <f t="shared" si="174"/>
        <v>6</v>
      </c>
      <c r="GS666" s="14" t="str">
        <f t="shared" si="175"/>
        <v>神器7-3</v>
      </c>
      <c r="GT666" s="14">
        <f t="shared" si="176"/>
        <v>2</v>
      </c>
    </row>
    <row r="667" spans="195:202" ht="16.5" x14ac:dyDescent="0.2">
      <c r="GM667" s="91">
        <v>661</v>
      </c>
      <c r="GN667" s="14">
        <f t="shared" si="172"/>
        <v>37</v>
      </c>
      <c r="GO667" s="14">
        <f t="shared" si="173"/>
        <v>1606045</v>
      </c>
      <c r="GP667" s="14" t="str">
        <f t="shared" si="177"/>
        <v>神器7-3 : 级</v>
      </c>
      <c r="GQ667" s="14" t="s">
        <v>816</v>
      </c>
      <c r="GR667" s="14">
        <f t="shared" si="174"/>
        <v>7</v>
      </c>
      <c r="GS667" s="14" t="str">
        <f t="shared" si="175"/>
        <v>神器7-3</v>
      </c>
      <c r="GT667" s="14">
        <f t="shared" si="176"/>
        <v>3</v>
      </c>
    </row>
    <row r="668" spans="195:202" ht="16.5" x14ac:dyDescent="0.2">
      <c r="GM668" s="91">
        <v>662</v>
      </c>
      <c r="GN668" s="14">
        <f t="shared" si="172"/>
        <v>37</v>
      </c>
      <c r="GO668" s="14">
        <f t="shared" si="173"/>
        <v>1606045</v>
      </c>
      <c r="GP668" s="14" t="str">
        <f t="shared" si="177"/>
        <v>神器7-3 : 级</v>
      </c>
      <c r="GQ668" s="14" t="s">
        <v>816</v>
      </c>
      <c r="GR668" s="14">
        <f t="shared" si="174"/>
        <v>8</v>
      </c>
      <c r="GS668" s="14" t="str">
        <f t="shared" si="175"/>
        <v>神器7-3</v>
      </c>
      <c r="GT668" s="14">
        <f t="shared" si="176"/>
        <v>3</v>
      </c>
    </row>
    <row r="669" spans="195:202" ht="16.5" x14ac:dyDescent="0.2">
      <c r="GM669" s="91">
        <v>663</v>
      </c>
      <c r="GN669" s="14">
        <f t="shared" si="172"/>
        <v>37</v>
      </c>
      <c r="GO669" s="14">
        <f t="shared" si="173"/>
        <v>1606045</v>
      </c>
      <c r="GP669" s="14" t="str">
        <f t="shared" si="177"/>
        <v>神器7-3 : 级</v>
      </c>
      <c r="GQ669" s="14" t="s">
        <v>816</v>
      </c>
      <c r="GR669" s="14">
        <f t="shared" si="174"/>
        <v>9</v>
      </c>
      <c r="GS669" s="14" t="str">
        <f t="shared" si="175"/>
        <v>神器7-3</v>
      </c>
      <c r="GT669" s="14">
        <f t="shared" si="176"/>
        <v>3</v>
      </c>
    </row>
    <row r="670" spans="195:202" ht="16.5" x14ac:dyDescent="0.2">
      <c r="GM670" s="91">
        <v>664</v>
      </c>
      <c r="GN670" s="14">
        <f t="shared" si="172"/>
        <v>37</v>
      </c>
      <c r="GO670" s="14">
        <f t="shared" si="173"/>
        <v>1606045</v>
      </c>
      <c r="GP670" s="14" t="str">
        <f t="shared" si="177"/>
        <v>神器7-3 : 级</v>
      </c>
      <c r="GQ670" s="14" t="s">
        <v>816</v>
      </c>
      <c r="GR670" s="14">
        <f t="shared" si="174"/>
        <v>10</v>
      </c>
      <c r="GS670" s="14" t="str">
        <f t="shared" si="175"/>
        <v>神器7-3</v>
      </c>
      <c r="GT670" s="14">
        <f t="shared" si="176"/>
        <v>5</v>
      </c>
    </row>
    <row r="671" spans="195:202" ht="16.5" x14ac:dyDescent="0.2">
      <c r="GM671" s="91">
        <v>665</v>
      </c>
      <c r="GN671" s="14">
        <f t="shared" si="172"/>
        <v>37</v>
      </c>
      <c r="GO671" s="14">
        <f t="shared" si="173"/>
        <v>1606045</v>
      </c>
      <c r="GP671" s="14" t="str">
        <f t="shared" si="177"/>
        <v>神器7-3 : 级</v>
      </c>
      <c r="GQ671" s="14" t="s">
        <v>816</v>
      </c>
      <c r="GR671" s="14">
        <f t="shared" si="174"/>
        <v>11</v>
      </c>
      <c r="GS671" s="14" t="str">
        <f t="shared" si="175"/>
        <v>神器7-3</v>
      </c>
      <c r="GT671" s="14">
        <f t="shared" si="176"/>
        <v>5</v>
      </c>
    </row>
    <row r="672" spans="195:202" ht="16.5" x14ac:dyDescent="0.2">
      <c r="GM672" s="91">
        <v>666</v>
      </c>
      <c r="GN672" s="14">
        <f t="shared" si="172"/>
        <v>37</v>
      </c>
      <c r="GO672" s="14">
        <f t="shared" si="173"/>
        <v>1606045</v>
      </c>
      <c r="GP672" s="14" t="str">
        <f t="shared" si="177"/>
        <v>神器7-3 : 级</v>
      </c>
      <c r="GQ672" s="14" t="s">
        <v>816</v>
      </c>
      <c r="GR672" s="14">
        <f t="shared" si="174"/>
        <v>12</v>
      </c>
      <c r="GS672" s="14" t="str">
        <f t="shared" si="175"/>
        <v>神器7-3</v>
      </c>
      <c r="GT672" s="14">
        <f t="shared" si="176"/>
        <v>6</v>
      </c>
    </row>
    <row r="673" spans="195:202" ht="16.5" x14ac:dyDescent="0.2">
      <c r="GM673" s="91">
        <v>667</v>
      </c>
      <c r="GN673" s="14">
        <f t="shared" si="172"/>
        <v>37</v>
      </c>
      <c r="GO673" s="14">
        <f t="shared" si="173"/>
        <v>1606045</v>
      </c>
      <c r="GP673" s="14" t="str">
        <f t="shared" si="177"/>
        <v>神器7-3 : 级</v>
      </c>
      <c r="GQ673" s="14" t="s">
        <v>816</v>
      </c>
      <c r="GR673" s="14">
        <f t="shared" si="174"/>
        <v>13</v>
      </c>
      <c r="GS673" s="14" t="str">
        <f t="shared" si="175"/>
        <v>神器7-3</v>
      </c>
      <c r="GT673" s="14">
        <f t="shared" si="176"/>
        <v>7</v>
      </c>
    </row>
    <row r="674" spans="195:202" ht="16.5" x14ac:dyDescent="0.2">
      <c r="GM674" s="91">
        <v>668</v>
      </c>
      <c r="GN674" s="14">
        <f t="shared" si="172"/>
        <v>37</v>
      </c>
      <c r="GO674" s="14">
        <f t="shared" si="173"/>
        <v>1606045</v>
      </c>
      <c r="GP674" s="14" t="str">
        <f t="shared" si="177"/>
        <v>神器7-3 : 级</v>
      </c>
      <c r="GQ674" s="14" t="s">
        <v>816</v>
      </c>
      <c r="GR674" s="14">
        <f t="shared" si="174"/>
        <v>14</v>
      </c>
      <c r="GS674" s="14" t="str">
        <f t="shared" si="175"/>
        <v>神器7-3</v>
      </c>
      <c r="GT674" s="14">
        <f t="shared" si="176"/>
        <v>7</v>
      </c>
    </row>
    <row r="675" spans="195:202" ht="16.5" x14ac:dyDescent="0.2">
      <c r="GM675" s="91">
        <v>669</v>
      </c>
      <c r="GN675" s="14">
        <f t="shared" si="172"/>
        <v>37</v>
      </c>
      <c r="GO675" s="14">
        <f t="shared" si="173"/>
        <v>1606045</v>
      </c>
      <c r="GP675" s="14" t="str">
        <f t="shared" si="177"/>
        <v>神器7-3 : 级</v>
      </c>
      <c r="GQ675" s="14" t="s">
        <v>816</v>
      </c>
      <c r="GR675" s="14">
        <f t="shared" si="174"/>
        <v>15</v>
      </c>
      <c r="GS675" s="14" t="str">
        <f t="shared" si="175"/>
        <v>神器7-3</v>
      </c>
      <c r="GT675" s="14">
        <f t="shared" si="176"/>
        <v>7</v>
      </c>
    </row>
    <row r="676" spans="195:202" ht="16.5" x14ac:dyDescent="0.2">
      <c r="GM676" s="91">
        <v>670</v>
      </c>
      <c r="GN676" s="14">
        <f t="shared" si="172"/>
        <v>37</v>
      </c>
      <c r="GO676" s="14">
        <f t="shared" si="173"/>
        <v>1606045</v>
      </c>
      <c r="GP676" s="14" t="str">
        <f t="shared" si="177"/>
        <v>神器7-3 : 级</v>
      </c>
      <c r="GQ676" s="14" t="s">
        <v>816</v>
      </c>
      <c r="GR676" s="14">
        <f t="shared" si="174"/>
        <v>16</v>
      </c>
      <c r="GS676" s="14" t="str">
        <f t="shared" si="175"/>
        <v>神器7-3</v>
      </c>
      <c r="GT676" s="14">
        <f t="shared" si="176"/>
        <v>10</v>
      </c>
    </row>
    <row r="677" spans="195:202" ht="16.5" x14ac:dyDescent="0.2">
      <c r="GM677" s="91">
        <v>671</v>
      </c>
      <c r="GN677" s="14">
        <f t="shared" si="172"/>
        <v>37</v>
      </c>
      <c r="GO677" s="14">
        <f t="shared" si="173"/>
        <v>1606045</v>
      </c>
      <c r="GP677" s="14" t="str">
        <f t="shared" si="177"/>
        <v>神器7-3 : 级</v>
      </c>
      <c r="GQ677" s="14" t="s">
        <v>816</v>
      </c>
      <c r="GR677" s="14">
        <f t="shared" si="174"/>
        <v>17</v>
      </c>
      <c r="GS677" s="14" t="str">
        <f t="shared" si="175"/>
        <v>神器7-3</v>
      </c>
      <c r="GT677" s="14">
        <f t="shared" si="176"/>
        <v>10</v>
      </c>
    </row>
    <row r="678" spans="195:202" ht="16.5" x14ac:dyDescent="0.2">
      <c r="GM678" s="91">
        <v>672</v>
      </c>
      <c r="GN678" s="14">
        <f t="shared" si="172"/>
        <v>37</v>
      </c>
      <c r="GO678" s="14">
        <f t="shared" si="173"/>
        <v>1606045</v>
      </c>
      <c r="GP678" s="14" t="str">
        <f t="shared" si="177"/>
        <v>神器7-3 : 级</v>
      </c>
      <c r="GQ678" s="14" t="s">
        <v>816</v>
      </c>
      <c r="GR678" s="14">
        <f t="shared" si="174"/>
        <v>18</v>
      </c>
      <c r="GS678" s="14" t="str">
        <f t="shared" si="175"/>
        <v>神器7-3</v>
      </c>
      <c r="GT678" s="14">
        <f t="shared" si="176"/>
        <v>10</v>
      </c>
    </row>
    <row r="679" spans="195:202" ht="16.5" x14ac:dyDescent="0.2">
      <c r="GM679" s="91">
        <v>673</v>
      </c>
      <c r="GN679" s="14">
        <f t="shared" si="172"/>
        <v>37</v>
      </c>
      <c r="GO679" s="14">
        <f t="shared" si="173"/>
        <v>1606045</v>
      </c>
      <c r="GP679" s="14" t="str">
        <f t="shared" si="177"/>
        <v>神器7-3 : 级</v>
      </c>
      <c r="GQ679" s="14" t="s">
        <v>816</v>
      </c>
      <c r="GR679" s="14">
        <f t="shared" si="174"/>
        <v>19</v>
      </c>
      <c r="GS679" s="14" t="str">
        <f t="shared" si="175"/>
        <v>神器7-3</v>
      </c>
      <c r="GT679" s="14">
        <f t="shared" si="176"/>
        <v>15</v>
      </c>
    </row>
    <row r="680" spans="195:202" ht="16.5" x14ac:dyDescent="0.2">
      <c r="GM680" s="91">
        <v>674</v>
      </c>
      <c r="GN680" s="14">
        <f t="shared" si="172"/>
        <v>37</v>
      </c>
      <c r="GO680" s="14">
        <f t="shared" si="173"/>
        <v>1606045</v>
      </c>
      <c r="GP680" s="14" t="str">
        <f t="shared" si="177"/>
        <v>神器7-3 : 级</v>
      </c>
      <c r="GQ680" s="14" t="s">
        <v>816</v>
      </c>
      <c r="GR680" s="14">
        <f t="shared" si="174"/>
        <v>20</v>
      </c>
      <c r="GS680" s="14" t="str">
        <f t="shared" si="175"/>
        <v>神器7-3</v>
      </c>
      <c r="GT680" s="14">
        <f t="shared" si="176"/>
        <v>15</v>
      </c>
    </row>
    <row r="681" spans="195:202" ht="16.5" x14ac:dyDescent="0.2">
      <c r="GM681" s="91">
        <v>675</v>
      </c>
      <c r="GN681" s="14">
        <f t="shared" si="172"/>
        <v>37</v>
      </c>
      <c r="GO681" s="14">
        <f t="shared" si="173"/>
        <v>1606045</v>
      </c>
      <c r="GP681" s="14" t="str">
        <f t="shared" si="177"/>
        <v>神器7-3 : 级</v>
      </c>
      <c r="GQ681" s="14" t="s">
        <v>816</v>
      </c>
      <c r="GR681" s="14">
        <f t="shared" si="174"/>
        <v>21</v>
      </c>
      <c r="GS681" s="14" t="str">
        <f t="shared" si="175"/>
        <v>神器7-3</v>
      </c>
      <c r="GT681" s="14">
        <f t="shared" si="176"/>
        <v>15</v>
      </c>
    </row>
    <row r="682" spans="195:202" ht="16.5" x14ac:dyDescent="0.2">
      <c r="GM682" s="91">
        <v>676</v>
      </c>
      <c r="GN682" s="14">
        <f t="shared" si="172"/>
        <v>38</v>
      </c>
      <c r="GO682" s="14">
        <f t="shared" si="173"/>
        <v>1606046</v>
      </c>
      <c r="GP682" s="14" t="str">
        <f t="shared" si="177"/>
        <v>神器7-4 : 级</v>
      </c>
      <c r="GQ682" s="14" t="s">
        <v>816</v>
      </c>
      <c r="GR682" s="14">
        <f t="shared" si="174"/>
        <v>1</v>
      </c>
      <c r="GS682" s="14" t="str">
        <f t="shared" si="175"/>
        <v>神器7-4</v>
      </c>
      <c r="GT682" s="14">
        <f t="shared" si="176"/>
        <v>1</v>
      </c>
    </row>
    <row r="683" spans="195:202" ht="16.5" x14ac:dyDescent="0.2">
      <c r="GM683" s="91">
        <v>677</v>
      </c>
      <c r="GN683" s="14">
        <f t="shared" si="172"/>
        <v>38</v>
      </c>
      <c r="GO683" s="14">
        <f t="shared" si="173"/>
        <v>1606046</v>
      </c>
      <c r="GP683" s="14" t="str">
        <f t="shared" si="177"/>
        <v>神器7-4 : 级</v>
      </c>
      <c r="GQ683" s="14" t="s">
        <v>816</v>
      </c>
      <c r="GR683" s="14">
        <f t="shared" si="174"/>
        <v>2</v>
      </c>
      <c r="GS683" s="14" t="str">
        <f t="shared" si="175"/>
        <v>神器7-4</v>
      </c>
      <c r="GT683" s="14">
        <f t="shared" si="176"/>
        <v>1</v>
      </c>
    </row>
    <row r="684" spans="195:202" ht="16.5" x14ac:dyDescent="0.2">
      <c r="GM684" s="91">
        <v>678</v>
      </c>
      <c r="GN684" s="14">
        <f t="shared" si="172"/>
        <v>38</v>
      </c>
      <c r="GO684" s="14">
        <f t="shared" si="173"/>
        <v>1606046</v>
      </c>
      <c r="GP684" s="14" t="str">
        <f t="shared" si="177"/>
        <v>神器7-4 : 级</v>
      </c>
      <c r="GQ684" s="14" t="s">
        <v>816</v>
      </c>
      <c r="GR684" s="14">
        <f t="shared" si="174"/>
        <v>3</v>
      </c>
      <c r="GS684" s="14" t="str">
        <f t="shared" si="175"/>
        <v>神器7-4</v>
      </c>
      <c r="GT684" s="14">
        <f t="shared" si="176"/>
        <v>1</v>
      </c>
    </row>
    <row r="685" spans="195:202" ht="16.5" x14ac:dyDescent="0.2">
      <c r="GM685" s="91">
        <v>679</v>
      </c>
      <c r="GN685" s="14">
        <f t="shared" si="172"/>
        <v>38</v>
      </c>
      <c r="GO685" s="14">
        <f t="shared" si="173"/>
        <v>1606046</v>
      </c>
      <c r="GP685" s="14" t="str">
        <f t="shared" si="177"/>
        <v>神器7-4 : 级</v>
      </c>
      <c r="GQ685" s="14" t="s">
        <v>816</v>
      </c>
      <c r="GR685" s="14">
        <f t="shared" si="174"/>
        <v>4</v>
      </c>
      <c r="GS685" s="14" t="str">
        <f t="shared" si="175"/>
        <v>神器7-4</v>
      </c>
      <c r="GT685" s="14">
        <f t="shared" si="176"/>
        <v>2</v>
      </c>
    </row>
    <row r="686" spans="195:202" ht="16.5" x14ac:dyDescent="0.2">
      <c r="GM686" s="91">
        <v>680</v>
      </c>
      <c r="GN686" s="14">
        <f t="shared" si="172"/>
        <v>38</v>
      </c>
      <c r="GO686" s="14">
        <f t="shared" si="173"/>
        <v>1606046</v>
      </c>
      <c r="GP686" s="14" t="str">
        <f t="shared" si="177"/>
        <v>神器7-4 : 级</v>
      </c>
      <c r="GQ686" s="14" t="s">
        <v>816</v>
      </c>
      <c r="GR686" s="14">
        <f t="shared" si="174"/>
        <v>5</v>
      </c>
      <c r="GS686" s="14" t="str">
        <f t="shared" si="175"/>
        <v>神器7-4</v>
      </c>
      <c r="GT686" s="14">
        <f t="shared" si="176"/>
        <v>2</v>
      </c>
    </row>
    <row r="687" spans="195:202" ht="16.5" x14ac:dyDescent="0.2">
      <c r="GM687" s="91">
        <v>681</v>
      </c>
      <c r="GN687" s="14">
        <f t="shared" si="172"/>
        <v>38</v>
      </c>
      <c r="GO687" s="14">
        <f t="shared" si="173"/>
        <v>1606046</v>
      </c>
      <c r="GP687" s="14" t="str">
        <f t="shared" si="177"/>
        <v>神器7-4 : 级</v>
      </c>
      <c r="GQ687" s="14" t="s">
        <v>816</v>
      </c>
      <c r="GR687" s="14">
        <f t="shared" si="174"/>
        <v>6</v>
      </c>
      <c r="GS687" s="14" t="str">
        <f t="shared" si="175"/>
        <v>神器7-4</v>
      </c>
      <c r="GT687" s="14">
        <f t="shared" si="176"/>
        <v>2</v>
      </c>
    </row>
    <row r="688" spans="195:202" ht="16.5" x14ac:dyDescent="0.2">
      <c r="GM688" s="91">
        <v>682</v>
      </c>
      <c r="GN688" s="14">
        <f t="shared" si="172"/>
        <v>38</v>
      </c>
      <c r="GO688" s="14">
        <f t="shared" si="173"/>
        <v>1606046</v>
      </c>
      <c r="GP688" s="14" t="str">
        <f t="shared" si="177"/>
        <v>神器7-4 : 级</v>
      </c>
      <c r="GQ688" s="14" t="s">
        <v>816</v>
      </c>
      <c r="GR688" s="14">
        <f t="shared" si="174"/>
        <v>7</v>
      </c>
      <c r="GS688" s="14" t="str">
        <f t="shared" si="175"/>
        <v>神器7-4</v>
      </c>
      <c r="GT688" s="14">
        <f t="shared" si="176"/>
        <v>3</v>
      </c>
    </row>
    <row r="689" spans="195:202" ht="16.5" x14ac:dyDescent="0.2">
      <c r="GM689" s="91">
        <v>683</v>
      </c>
      <c r="GN689" s="14">
        <f t="shared" si="172"/>
        <v>38</v>
      </c>
      <c r="GO689" s="14">
        <f t="shared" si="173"/>
        <v>1606046</v>
      </c>
      <c r="GP689" s="14" t="str">
        <f t="shared" si="177"/>
        <v>神器7-4 : 级</v>
      </c>
      <c r="GQ689" s="14" t="s">
        <v>816</v>
      </c>
      <c r="GR689" s="14">
        <f t="shared" si="174"/>
        <v>8</v>
      </c>
      <c r="GS689" s="14" t="str">
        <f t="shared" si="175"/>
        <v>神器7-4</v>
      </c>
      <c r="GT689" s="14">
        <f t="shared" si="176"/>
        <v>3</v>
      </c>
    </row>
    <row r="690" spans="195:202" ht="16.5" x14ac:dyDescent="0.2">
      <c r="GM690" s="91">
        <v>684</v>
      </c>
      <c r="GN690" s="14">
        <f t="shared" si="172"/>
        <v>38</v>
      </c>
      <c r="GO690" s="14">
        <f t="shared" si="173"/>
        <v>1606046</v>
      </c>
      <c r="GP690" s="14" t="str">
        <f t="shared" si="177"/>
        <v>神器7-4 : 级</v>
      </c>
      <c r="GQ690" s="14" t="s">
        <v>816</v>
      </c>
      <c r="GR690" s="14">
        <f t="shared" si="174"/>
        <v>9</v>
      </c>
      <c r="GS690" s="14" t="str">
        <f t="shared" si="175"/>
        <v>神器7-4</v>
      </c>
      <c r="GT690" s="14">
        <f t="shared" si="176"/>
        <v>3</v>
      </c>
    </row>
    <row r="691" spans="195:202" ht="16.5" x14ac:dyDescent="0.2">
      <c r="GM691" s="91">
        <v>685</v>
      </c>
      <c r="GN691" s="14">
        <f t="shared" si="172"/>
        <v>38</v>
      </c>
      <c r="GO691" s="14">
        <f t="shared" si="173"/>
        <v>1606046</v>
      </c>
      <c r="GP691" s="14" t="str">
        <f t="shared" si="177"/>
        <v>神器7-4 : 级</v>
      </c>
      <c r="GQ691" s="14" t="s">
        <v>816</v>
      </c>
      <c r="GR691" s="14">
        <f t="shared" si="174"/>
        <v>10</v>
      </c>
      <c r="GS691" s="14" t="str">
        <f t="shared" si="175"/>
        <v>神器7-4</v>
      </c>
      <c r="GT691" s="14">
        <f t="shared" si="176"/>
        <v>5</v>
      </c>
    </row>
    <row r="692" spans="195:202" ht="16.5" x14ac:dyDescent="0.2">
      <c r="GM692" s="91">
        <v>686</v>
      </c>
      <c r="GN692" s="14">
        <f t="shared" si="172"/>
        <v>38</v>
      </c>
      <c r="GO692" s="14">
        <f t="shared" si="173"/>
        <v>1606046</v>
      </c>
      <c r="GP692" s="14" t="str">
        <f t="shared" si="177"/>
        <v>神器7-4 : 级</v>
      </c>
      <c r="GQ692" s="14" t="s">
        <v>816</v>
      </c>
      <c r="GR692" s="14">
        <f t="shared" si="174"/>
        <v>11</v>
      </c>
      <c r="GS692" s="14" t="str">
        <f t="shared" si="175"/>
        <v>神器7-4</v>
      </c>
      <c r="GT692" s="14">
        <f t="shared" si="176"/>
        <v>5</v>
      </c>
    </row>
    <row r="693" spans="195:202" ht="16.5" x14ac:dyDescent="0.2">
      <c r="GM693" s="91">
        <v>687</v>
      </c>
      <c r="GN693" s="14">
        <f t="shared" si="172"/>
        <v>38</v>
      </c>
      <c r="GO693" s="14">
        <f t="shared" si="173"/>
        <v>1606046</v>
      </c>
      <c r="GP693" s="14" t="str">
        <f t="shared" si="177"/>
        <v>神器7-4 : 级</v>
      </c>
      <c r="GQ693" s="14" t="s">
        <v>816</v>
      </c>
      <c r="GR693" s="14">
        <f t="shared" si="174"/>
        <v>12</v>
      </c>
      <c r="GS693" s="14" t="str">
        <f t="shared" si="175"/>
        <v>神器7-4</v>
      </c>
      <c r="GT693" s="14">
        <f t="shared" si="176"/>
        <v>6</v>
      </c>
    </row>
    <row r="694" spans="195:202" ht="16.5" x14ac:dyDescent="0.2">
      <c r="GM694" s="91">
        <v>688</v>
      </c>
      <c r="GN694" s="14">
        <f t="shared" si="172"/>
        <v>38</v>
      </c>
      <c r="GO694" s="14">
        <f t="shared" si="173"/>
        <v>1606046</v>
      </c>
      <c r="GP694" s="14" t="str">
        <f t="shared" si="177"/>
        <v>神器7-4 : 级</v>
      </c>
      <c r="GQ694" s="14" t="s">
        <v>816</v>
      </c>
      <c r="GR694" s="14">
        <f t="shared" si="174"/>
        <v>13</v>
      </c>
      <c r="GS694" s="14" t="str">
        <f t="shared" si="175"/>
        <v>神器7-4</v>
      </c>
      <c r="GT694" s="14">
        <f t="shared" si="176"/>
        <v>7</v>
      </c>
    </row>
    <row r="695" spans="195:202" ht="16.5" x14ac:dyDescent="0.2">
      <c r="GM695" s="91">
        <v>689</v>
      </c>
      <c r="GN695" s="14">
        <f t="shared" si="172"/>
        <v>38</v>
      </c>
      <c r="GO695" s="14">
        <f t="shared" si="173"/>
        <v>1606046</v>
      </c>
      <c r="GP695" s="14" t="str">
        <f t="shared" si="177"/>
        <v>神器7-4 : 级</v>
      </c>
      <c r="GQ695" s="14" t="s">
        <v>816</v>
      </c>
      <c r="GR695" s="14">
        <f t="shared" si="174"/>
        <v>14</v>
      </c>
      <c r="GS695" s="14" t="str">
        <f t="shared" si="175"/>
        <v>神器7-4</v>
      </c>
      <c r="GT695" s="14">
        <f t="shared" si="176"/>
        <v>7</v>
      </c>
    </row>
    <row r="696" spans="195:202" ht="16.5" x14ac:dyDescent="0.2">
      <c r="GM696" s="91">
        <v>690</v>
      </c>
      <c r="GN696" s="14">
        <f t="shared" si="172"/>
        <v>38</v>
      </c>
      <c r="GO696" s="14">
        <f t="shared" si="173"/>
        <v>1606046</v>
      </c>
      <c r="GP696" s="14" t="str">
        <f t="shared" si="177"/>
        <v>神器7-4 : 级</v>
      </c>
      <c r="GQ696" s="14" t="s">
        <v>816</v>
      </c>
      <c r="GR696" s="14">
        <f t="shared" si="174"/>
        <v>15</v>
      </c>
      <c r="GS696" s="14" t="str">
        <f t="shared" si="175"/>
        <v>神器7-4</v>
      </c>
      <c r="GT696" s="14">
        <f t="shared" si="176"/>
        <v>7</v>
      </c>
    </row>
    <row r="697" spans="195:202" ht="16.5" x14ac:dyDescent="0.2">
      <c r="GM697" s="91">
        <v>691</v>
      </c>
      <c r="GN697" s="14">
        <f t="shared" si="172"/>
        <v>38</v>
      </c>
      <c r="GO697" s="14">
        <f t="shared" si="173"/>
        <v>1606046</v>
      </c>
      <c r="GP697" s="14" t="str">
        <f t="shared" si="177"/>
        <v>神器7-4 : 级</v>
      </c>
      <c r="GQ697" s="14" t="s">
        <v>816</v>
      </c>
      <c r="GR697" s="14">
        <f t="shared" si="174"/>
        <v>16</v>
      </c>
      <c r="GS697" s="14" t="str">
        <f t="shared" si="175"/>
        <v>神器7-4</v>
      </c>
      <c r="GT697" s="14">
        <f t="shared" si="176"/>
        <v>10</v>
      </c>
    </row>
    <row r="698" spans="195:202" ht="16.5" x14ac:dyDescent="0.2">
      <c r="GM698" s="91">
        <v>692</v>
      </c>
      <c r="GN698" s="14">
        <f t="shared" si="172"/>
        <v>38</v>
      </c>
      <c r="GO698" s="14">
        <f t="shared" si="173"/>
        <v>1606046</v>
      </c>
      <c r="GP698" s="14" t="str">
        <f t="shared" si="177"/>
        <v>神器7-4 : 级</v>
      </c>
      <c r="GQ698" s="14" t="s">
        <v>816</v>
      </c>
      <c r="GR698" s="14">
        <f t="shared" si="174"/>
        <v>17</v>
      </c>
      <c r="GS698" s="14" t="str">
        <f t="shared" si="175"/>
        <v>神器7-4</v>
      </c>
      <c r="GT698" s="14">
        <f t="shared" si="176"/>
        <v>10</v>
      </c>
    </row>
    <row r="699" spans="195:202" ht="16.5" x14ac:dyDescent="0.2">
      <c r="GM699" s="91">
        <v>693</v>
      </c>
      <c r="GN699" s="14">
        <f t="shared" si="172"/>
        <v>38</v>
      </c>
      <c r="GO699" s="14">
        <f t="shared" si="173"/>
        <v>1606046</v>
      </c>
      <c r="GP699" s="14" t="str">
        <f t="shared" si="177"/>
        <v>神器7-4 : 级</v>
      </c>
      <c r="GQ699" s="14" t="s">
        <v>816</v>
      </c>
      <c r="GR699" s="14">
        <f t="shared" si="174"/>
        <v>18</v>
      </c>
      <c r="GS699" s="14" t="str">
        <f t="shared" si="175"/>
        <v>神器7-4</v>
      </c>
      <c r="GT699" s="14">
        <f t="shared" si="176"/>
        <v>10</v>
      </c>
    </row>
    <row r="700" spans="195:202" ht="16.5" x14ac:dyDescent="0.2">
      <c r="GM700" s="91">
        <v>694</v>
      </c>
      <c r="GN700" s="14">
        <f t="shared" si="172"/>
        <v>38</v>
      </c>
      <c r="GO700" s="14">
        <f t="shared" si="173"/>
        <v>1606046</v>
      </c>
      <c r="GP700" s="14" t="str">
        <f t="shared" si="177"/>
        <v>神器7-4 : 级</v>
      </c>
      <c r="GQ700" s="14" t="s">
        <v>816</v>
      </c>
      <c r="GR700" s="14">
        <f t="shared" si="174"/>
        <v>19</v>
      </c>
      <c r="GS700" s="14" t="str">
        <f t="shared" si="175"/>
        <v>神器7-4</v>
      </c>
      <c r="GT700" s="14">
        <f t="shared" si="176"/>
        <v>15</v>
      </c>
    </row>
    <row r="701" spans="195:202" ht="16.5" x14ac:dyDescent="0.2">
      <c r="GM701" s="91">
        <v>695</v>
      </c>
      <c r="GN701" s="14">
        <f t="shared" si="172"/>
        <v>38</v>
      </c>
      <c r="GO701" s="14">
        <f t="shared" si="173"/>
        <v>1606046</v>
      </c>
      <c r="GP701" s="14" t="str">
        <f t="shared" si="177"/>
        <v>神器7-4 : 级</v>
      </c>
      <c r="GQ701" s="14" t="s">
        <v>816</v>
      </c>
      <c r="GR701" s="14">
        <f t="shared" si="174"/>
        <v>20</v>
      </c>
      <c r="GS701" s="14" t="str">
        <f t="shared" si="175"/>
        <v>神器7-4</v>
      </c>
      <c r="GT701" s="14">
        <f t="shared" si="176"/>
        <v>15</v>
      </c>
    </row>
    <row r="702" spans="195:202" ht="16.5" x14ac:dyDescent="0.2">
      <c r="GM702" s="91">
        <v>696</v>
      </c>
      <c r="GN702" s="14">
        <f t="shared" si="172"/>
        <v>38</v>
      </c>
      <c r="GO702" s="14">
        <f t="shared" si="173"/>
        <v>1606046</v>
      </c>
      <c r="GP702" s="14" t="str">
        <f t="shared" si="177"/>
        <v>神器7-4 : 级</v>
      </c>
      <c r="GQ702" s="14" t="s">
        <v>816</v>
      </c>
      <c r="GR702" s="14">
        <f t="shared" si="174"/>
        <v>21</v>
      </c>
      <c r="GS702" s="14" t="str">
        <f t="shared" si="175"/>
        <v>神器7-4</v>
      </c>
      <c r="GT702" s="14">
        <f t="shared" si="176"/>
        <v>15</v>
      </c>
    </row>
    <row r="703" spans="195:202" ht="16.5" x14ac:dyDescent="0.2">
      <c r="GM703" s="91">
        <v>697</v>
      </c>
      <c r="GN703" s="14">
        <f t="shared" si="172"/>
        <v>39</v>
      </c>
      <c r="GO703" s="14">
        <f t="shared" si="173"/>
        <v>1606047</v>
      </c>
      <c r="GP703" s="14" t="str">
        <f t="shared" si="177"/>
        <v>神器7-5 : 级</v>
      </c>
      <c r="GQ703" s="14" t="s">
        <v>816</v>
      </c>
      <c r="GR703" s="14">
        <f t="shared" si="174"/>
        <v>1</v>
      </c>
      <c r="GS703" s="14" t="str">
        <f t="shared" si="175"/>
        <v>神器7-5</v>
      </c>
      <c r="GT703" s="14">
        <f t="shared" si="176"/>
        <v>1</v>
      </c>
    </row>
    <row r="704" spans="195:202" ht="16.5" x14ac:dyDescent="0.2">
      <c r="GM704" s="91">
        <v>698</v>
      </c>
      <c r="GN704" s="14">
        <f t="shared" si="172"/>
        <v>39</v>
      </c>
      <c r="GO704" s="14">
        <f t="shared" si="173"/>
        <v>1606047</v>
      </c>
      <c r="GP704" s="14" t="str">
        <f t="shared" si="177"/>
        <v>神器7-5 : 级</v>
      </c>
      <c r="GQ704" s="14" t="s">
        <v>816</v>
      </c>
      <c r="GR704" s="14">
        <f t="shared" si="174"/>
        <v>2</v>
      </c>
      <c r="GS704" s="14" t="str">
        <f t="shared" si="175"/>
        <v>神器7-5</v>
      </c>
      <c r="GT704" s="14">
        <f t="shared" si="176"/>
        <v>1</v>
      </c>
    </row>
    <row r="705" spans="195:202" ht="16.5" x14ac:dyDescent="0.2">
      <c r="GM705" s="91">
        <v>699</v>
      </c>
      <c r="GN705" s="14">
        <f t="shared" si="172"/>
        <v>39</v>
      </c>
      <c r="GO705" s="14">
        <f t="shared" si="173"/>
        <v>1606047</v>
      </c>
      <c r="GP705" s="14" t="str">
        <f t="shared" si="177"/>
        <v>神器7-5 : 级</v>
      </c>
      <c r="GQ705" s="14" t="s">
        <v>816</v>
      </c>
      <c r="GR705" s="14">
        <f t="shared" si="174"/>
        <v>3</v>
      </c>
      <c r="GS705" s="14" t="str">
        <f t="shared" si="175"/>
        <v>神器7-5</v>
      </c>
      <c r="GT705" s="14">
        <f t="shared" si="176"/>
        <v>1</v>
      </c>
    </row>
    <row r="706" spans="195:202" ht="16.5" x14ac:dyDescent="0.2">
      <c r="GM706" s="91">
        <v>700</v>
      </c>
      <c r="GN706" s="14">
        <f t="shared" si="172"/>
        <v>39</v>
      </c>
      <c r="GO706" s="14">
        <f t="shared" si="173"/>
        <v>1606047</v>
      </c>
      <c r="GP706" s="14" t="str">
        <f t="shared" si="177"/>
        <v>神器7-5 : 级</v>
      </c>
      <c r="GQ706" s="14" t="s">
        <v>816</v>
      </c>
      <c r="GR706" s="14">
        <f t="shared" si="174"/>
        <v>4</v>
      </c>
      <c r="GS706" s="14" t="str">
        <f t="shared" si="175"/>
        <v>神器7-5</v>
      </c>
      <c r="GT706" s="14">
        <f t="shared" si="176"/>
        <v>2</v>
      </c>
    </row>
    <row r="707" spans="195:202" ht="16.5" x14ac:dyDescent="0.2">
      <c r="GM707" s="91">
        <v>701</v>
      </c>
      <c r="GN707" s="14">
        <f t="shared" si="172"/>
        <v>39</v>
      </c>
      <c r="GO707" s="14">
        <f t="shared" si="173"/>
        <v>1606047</v>
      </c>
      <c r="GP707" s="14" t="str">
        <f t="shared" si="177"/>
        <v>神器7-5 : 级</v>
      </c>
      <c r="GQ707" s="14" t="s">
        <v>816</v>
      </c>
      <c r="GR707" s="14">
        <f t="shared" si="174"/>
        <v>5</v>
      </c>
      <c r="GS707" s="14" t="str">
        <f t="shared" si="175"/>
        <v>神器7-5</v>
      </c>
      <c r="GT707" s="14">
        <f t="shared" si="176"/>
        <v>2</v>
      </c>
    </row>
    <row r="708" spans="195:202" ht="16.5" x14ac:dyDescent="0.2">
      <c r="GM708" s="91">
        <v>702</v>
      </c>
      <c r="GN708" s="14">
        <f t="shared" si="172"/>
        <v>39</v>
      </c>
      <c r="GO708" s="14">
        <f t="shared" si="173"/>
        <v>1606047</v>
      </c>
      <c r="GP708" s="14" t="str">
        <f t="shared" si="177"/>
        <v>神器7-5 : 级</v>
      </c>
      <c r="GQ708" s="14" t="s">
        <v>816</v>
      </c>
      <c r="GR708" s="14">
        <f t="shared" si="174"/>
        <v>6</v>
      </c>
      <c r="GS708" s="14" t="str">
        <f t="shared" si="175"/>
        <v>神器7-5</v>
      </c>
      <c r="GT708" s="14">
        <f t="shared" si="176"/>
        <v>2</v>
      </c>
    </row>
    <row r="709" spans="195:202" ht="16.5" x14ac:dyDescent="0.2">
      <c r="GM709" s="91">
        <v>703</v>
      </c>
      <c r="GN709" s="14">
        <f t="shared" si="172"/>
        <v>39</v>
      </c>
      <c r="GO709" s="14">
        <f t="shared" si="173"/>
        <v>1606047</v>
      </c>
      <c r="GP709" s="14" t="str">
        <f t="shared" si="177"/>
        <v>神器7-5 : 级</v>
      </c>
      <c r="GQ709" s="14" t="s">
        <v>816</v>
      </c>
      <c r="GR709" s="14">
        <f t="shared" si="174"/>
        <v>7</v>
      </c>
      <c r="GS709" s="14" t="str">
        <f t="shared" si="175"/>
        <v>神器7-5</v>
      </c>
      <c r="GT709" s="14">
        <f t="shared" si="176"/>
        <v>3</v>
      </c>
    </row>
    <row r="710" spans="195:202" ht="16.5" x14ac:dyDescent="0.2">
      <c r="GM710" s="91">
        <v>704</v>
      </c>
      <c r="GN710" s="14">
        <f t="shared" si="172"/>
        <v>39</v>
      </c>
      <c r="GO710" s="14">
        <f t="shared" si="173"/>
        <v>1606047</v>
      </c>
      <c r="GP710" s="14" t="str">
        <f t="shared" si="177"/>
        <v>神器7-5 : 级</v>
      </c>
      <c r="GQ710" s="14" t="s">
        <v>816</v>
      </c>
      <c r="GR710" s="14">
        <f t="shared" si="174"/>
        <v>8</v>
      </c>
      <c r="GS710" s="14" t="str">
        <f t="shared" si="175"/>
        <v>神器7-5</v>
      </c>
      <c r="GT710" s="14">
        <f t="shared" si="176"/>
        <v>3</v>
      </c>
    </row>
    <row r="711" spans="195:202" ht="16.5" x14ac:dyDescent="0.2">
      <c r="GM711" s="91">
        <v>705</v>
      </c>
      <c r="GN711" s="14">
        <f t="shared" si="172"/>
        <v>39</v>
      </c>
      <c r="GO711" s="14">
        <f t="shared" si="173"/>
        <v>1606047</v>
      </c>
      <c r="GP711" s="14" t="str">
        <f t="shared" si="177"/>
        <v>神器7-5 : 级</v>
      </c>
      <c r="GQ711" s="14" t="s">
        <v>816</v>
      </c>
      <c r="GR711" s="14">
        <f t="shared" si="174"/>
        <v>9</v>
      </c>
      <c r="GS711" s="14" t="str">
        <f t="shared" si="175"/>
        <v>神器7-5</v>
      </c>
      <c r="GT711" s="14">
        <f t="shared" si="176"/>
        <v>3</v>
      </c>
    </row>
    <row r="712" spans="195:202" ht="16.5" x14ac:dyDescent="0.2">
      <c r="GM712" s="91">
        <v>706</v>
      </c>
      <c r="GN712" s="14">
        <f t="shared" ref="GN712:GN775" si="178">MATCH(GM712-1,$R$7:$R$49,1)</f>
        <v>39</v>
      </c>
      <c r="GO712" s="14">
        <f t="shared" ref="GO712:GO775" si="179">INDEX($S$8:$S$49,GN712)</f>
        <v>1606047</v>
      </c>
      <c r="GP712" s="14" t="str">
        <f t="shared" si="177"/>
        <v>神器7-5 : 级</v>
      </c>
      <c r="GQ712" s="14" t="s">
        <v>816</v>
      </c>
      <c r="GR712" s="14">
        <f t="shared" ref="GR712:GR765" si="180">GM712-INDEX($R$7:$R$49,GN712)</f>
        <v>10</v>
      </c>
      <c r="GS712" s="14" t="str">
        <f t="shared" ref="GS712:GS765" si="181">INDEX($T$8:$T$49,GN712)</f>
        <v>神器7-5</v>
      </c>
      <c r="GT712" s="14">
        <f t="shared" ref="GT712:GT765" si="182">INDEX($K$8:$K$28,GR712)</f>
        <v>5</v>
      </c>
    </row>
    <row r="713" spans="195:202" ht="16.5" x14ac:dyDescent="0.2">
      <c r="GM713" s="91">
        <v>707</v>
      </c>
      <c r="GN713" s="14">
        <f t="shared" si="178"/>
        <v>39</v>
      </c>
      <c r="GO713" s="14">
        <f t="shared" si="179"/>
        <v>1606047</v>
      </c>
      <c r="GP713" s="14" t="str">
        <f t="shared" si="177"/>
        <v>神器7-5 : 级</v>
      </c>
      <c r="GQ713" s="14" t="s">
        <v>816</v>
      </c>
      <c r="GR713" s="14">
        <f t="shared" si="180"/>
        <v>11</v>
      </c>
      <c r="GS713" s="14" t="str">
        <f t="shared" si="181"/>
        <v>神器7-5</v>
      </c>
      <c r="GT713" s="14">
        <f t="shared" si="182"/>
        <v>5</v>
      </c>
    </row>
    <row r="714" spans="195:202" ht="16.5" x14ac:dyDescent="0.2">
      <c r="GM714" s="91">
        <v>708</v>
      </c>
      <c r="GN714" s="14">
        <f t="shared" si="178"/>
        <v>39</v>
      </c>
      <c r="GO714" s="14">
        <f t="shared" si="179"/>
        <v>1606047</v>
      </c>
      <c r="GP714" s="14" t="str">
        <f t="shared" si="177"/>
        <v>神器7-5 : 级</v>
      </c>
      <c r="GQ714" s="14" t="s">
        <v>816</v>
      </c>
      <c r="GR714" s="14">
        <f t="shared" si="180"/>
        <v>12</v>
      </c>
      <c r="GS714" s="14" t="str">
        <f t="shared" si="181"/>
        <v>神器7-5</v>
      </c>
      <c r="GT714" s="14">
        <f t="shared" si="182"/>
        <v>6</v>
      </c>
    </row>
    <row r="715" spans="195:202" ht="16.5" x14ac:dyDescent="0.2">
      <c r="GM715" s="91">
        <v>709</v>
      </c>
      <c r="GN715" s="14">
        <f t="shared" si="178"/>
        <v>39</v>
      </c>
      <c r="GO715" s="14">
        <f t="shared" si="179"/>
        <v>1606047</v>
      </c>
      <c r="GP715" s="14" t="str">
        <f t="shared" si="177"/>
        <v>神器7-5 : 级</v>
      </c>
      <c r="GQ715" s="14" t="s">
        <v>816</v>
      </c>
      <c r="GR715" s="14">
        <f t="shared" si="180"/>
        <v>13</v>
      </c>
      <c r="GS715" s="14" t="str">
        <f t="shared" si="181"/>
        <v>神器7-5</v>
      </c>
      <c r="GT715" s="14">
        <f t="shared" si="182"/>
        <v>7</v>
      </c>
    </row>
    <row r="716" spans="195:202" ht="16.5" x14ac:dyDescent="0.2">
      <c r="GM716" s="91">
        <v>710</v>
      </c>
      <c r="GN716" s="14">
        <f t="shared" si="178"/>
        <v>39</v>
      </c>
      <c r="GO716" s="14">
        <f t="shared" si="179"/>
        <v>1606047</v>
      </c>
      <c r="GP716" s="14" t="str">
        <f t="shared" si="177"/>
        <v>神器7-5 : 级</v>
      </c>
      <c r="GQ716" s="14" t="s">
        <v>816</v>
      </c>
      <c r="GR716" s="14">
        <f t="shared" si="180"/>
        <v>14</v>
      </c>
      <c r="GS716" s="14" t="str">
        <f t="shared" si="181"/>
        <v>神器7-5</v>
      </c>
      <c r="GT716" s="14">
        <f t="shared" si="182"/>
        <v>7</v>
      </c>
    </row>
    <row r="717" spans="195:202" ht="16.5" x14ac:dyDescent="0.2">
      <c r="GM717" s="91">
        <v>711</v>
      </c>
      <c r="GN717" s="14">
        <f t="shared" si="178"/>
        <v>39</v>
      </c>
      <c r="GO717" s="14">
        <f t="shared" si="179"/>
        <v>1606047</v>
      </c>
      <c r="GP717" s="14" t="str">
        <f t="shared" si="177"/>
        <v>神器7-5 : 级</v>
      </c>
      <c r="GQ717" s="14" t="s">
        <v>816</v>
      </c>
      <c r="GR717" s="14">
        <f t="shared" si="180"/>
        <v>15</v>
      </c>
      <c r="GS717" s="14" t="str">
        <f t="shared" si="181"/>
        <v>神器7-5</v>
      </c>
      <c r="GT717" s="14">
        <f t="shared" si="182"/>
        <v>7</v>
      </c>
    </row>
    <row r="718" spans="195:202" ht="16.5" x14ac:dyDescent="0.2">
      <c r="GM718" s="91">
        <v>712</v>
      </c>
      <c r="GN718" s="14">
        <f t="shared" si="178"/>
        <v>39</v>
      </c>
      <c r="GO718" s="14">
        <f t="shared" si="179"/>
        <v>1606047</v>
      </c>
      <c r="GP718" s="14" t="str">
        <f t="shared" si="177"/>
        <v>神器7-5 : 级</v>
      </c>
      <c r="GQ718" s="14" t="s">
        <v>816</v>
      </c>
      <c r="GR718" s="14">
        <f t="shared" si="180"/>
        <v>16</v>
      </c>
      <c r="GS718" s="14" t="str">
        <f t="shared" si="181"/>
        <v>神器7-5</v>
      </c>
      <c r="GT718" s="14">
        <f t="shared" si="182"/>
        <v>10</v>
      </c>
    </row>
    <row r="719" spans="195:202" ht="16.5" x14ac:dyDescent="0.2">
      <c r="GM719" s="91">
        <v>713</v>
      </c>
      <c r="GN719" s="14">
        <f t="shared" si="178"/>
        <v>39</v>
      </c>
      <c r="GO719" s="14">
        <f t="shared" si="179"/>
        <v>1606047</v>
      </c>
      <c r="GP719" s="14" t="str">
        <f t="shared" si="177"/>
        <v>神器7-5 : 级</v>
      </c>
      <c r="GQ719" s="14" t="s">
        <v>816</v>
      </c>
      <c r="GR719" s="14">
        <f t="shared" si="180"/>
        <v>17</v>
      </c>
      <c r="GS719" s="14" t="str">
        <f t="shared" si="181"/>
        <v>神器7-5</v>
      </c>
      <c r="GT719" s="14">
        <f t="shared" si="182"/>
        <v>10</v>
      </c>
    </row>
    <row r="720" spans="195:202" ht="16.5" x14ac:dyDescent="0.2">
      <c r="GM720" s="91">
        <v>714</v>
      </c>
      <c r="GN720" s="14">
        <f t="shared" si="178"/>
        <v>39</v>
      </c>
      <c r="GO720" s="14">
        <f t="shared" si="179"/>
        <v>1606047</v>
      </c>
      <c r="GP720" s="14" t="str">
        <f t="shared" si="177"/>
        <v>神器7-5 : 级</v>
      </c>
      <c r="GQ720" s="14" t="s">
        <v>816</v>
      </c>
      <c r="GR720" s="14">
        <f t="shared" si="180"/>
        <v>18</v>
      </c>
      <c r="GS720" s="14" t="str">
        <f t="shared" si="181"/>
        <v>神器7-5</v>
      </c>
      <c r="GT720" s="14">
        <f t="shared" si="182"/>
        <v>10</v>
      </c>
    </row>
    <row r="721" spans="195:202" ht="16.5" x14ac:dyDescent="0.2">
      <c r="GM721" s="91">
        <v>715</v>
      </c>
      <c r="GN721" s="14">
        <f t="shared" si="178"/>
        <v>39</v>
      </c>
      <c r="GO721" s="14">
        <f t="shared" si="179"/>
        <v>1606047</v>
      </c>
      <c r="GP721" s="14" t="str">
        <f t="shared" si="177"/>
        <v>神器7-5 : 级</v>
      </c>
      <c r="GQ721" s="14" t="s">
        <v>816</v>
      </c>
      <c r="GR721" s="14">
        <f t="shared" si="180"/>
        <v>19</v>
      </c>
      <c r="GS721" s="14" t="str">
        <f t="shared" si="181"/>
        <v>神器7-5</v>
      </c>
      <c r="GT721" s="14">
        <f t="shared" si="182"/>
        <v>15</v>
      </c>
    </row>
    <row r="722" spans="195:202" ht="16.5" x14ac:dyDescent="0.2">
      <c r="GM722" s="91">
        <v>716</v>
      </c>
      <c r="GN722" s="14">
        <f t="shared" si="178"/>
        <v>39</v>
      </c>
      <c r="GO722" s="14">
        <f t="shared" si="179"/>
        <v>1606047</v>
      </c>
      <c r="GP722" s="14" t="str">
        <f t="shared" si="177"/>
        <v>神器7-5 : 级</v>
      </c>
      <c r="GQ722" s="14" t="s">
        <v>816</v>
      </c>
      <c r="GR722" s="14">
        <f t="shared" si="180"/>
        <v>20</v>
      </c>
      <c r="GS722" s="14" t="str">
        <f t="shared" si="181"/>
        <v>神器7-5</v>
      </c>
      <c r="GT722" s="14">
        <f t="shared" si="182"/>
        <v>15</v>
      </c>
    </row>
    <row r="723" spans="195:202" ht="16.5" x14ac:dyDescent="0.2">
      <c r="GM723" s="91">
        <v>717</v>
      </c>
      <c r="GN723" s="14">
        <f t="shared" si="178"/>
        <v>39</v>
      </c>
      <c r="GO723" s="14">
        <f t="shared" si="179"/>
        <v>1606047</v>
      </c>
      <c r="GP723" s="14" t="str">
        <f t="shared" si="177"/>
        <v>神器7-5 : 级</v>
      </c>
      <c r="GQ723" s="14" t="s">
        <v>816</v>
      </c>
      <c r="GR723" s="14">
        <f t="shared" si="180"/>
        <v>21</v>
      </c>
      <c r="GS723" s="14" t="str">
        <f t="shared" si="181"/>
        <v>神器7-5</v>
      </c>
      <c r="GT723" s="14">
        <f t="shared" si="182"/>
        <v>15</v>
      </c>
    </row>
    <row r="724" spans="195:202" ht="16.5" x14ac:dyDescent="0.2">
      <c r="GM724" s="91">
        <v>718</v>
      </c>
      <c r="GN724" s="14">
        <f t="shared" si="178"/>
        <v>40</v>
      </c>
      <c r="GO724" s="14">
        <f t="shared" si="179"/>
        <v>1606048</v>
      </c>
      <c r="GP724" s="14" t="str">
        <f t="shared" si="177"/>
        <v>神器7-6 : 级</v>
      </c>
      <c r="GQ724" s="14" t="s">
        <v>816</v>
      </c>
      <c r="GR724" s="14">
        <f t="shared" si="180"/>
        <v>1</v>
      </c>
      <c r="GS724" s="14" t="str">
        <f t="shared" si="181"/>
        <v>神器7-6</v>
      </c>
      <c r="GT724" s="14">
        <f t="shared" si="182"/>
        <v>1</v>
      </c>
    </row>
    <row r="725" spans="195:202" ht="16.5" x14ac:dyDescent="0.2">
      <c r="GM725" s="91">
        <v>719</v>
      </c>
      <c r="GN725" s="14">
        <f t="shared" si="178"/>
        <v>40</v>
      </c>
      <c r="GO725" s="14">
        <f t="shared" si="179"/>
        <v>1606048</v>
      </c>
      <c r="GP725" s="14" t="str">
        <f t="shared" si="177"/>
        <v>神器7-6 : 级</v>
      </c>
      <c r="GQ725" s="14" t="s">
        <v>816</v>
      </c>
      <c r="GR725" s="14">
        <f t="shared" si="180"/>
        <v>2</v>
      </c>
      <c r="GS725" s="14" t="str">
        <f t="shared" si="181"/>
        <v>神器7-6</v>
      </c>
      <c r="GT725" s="14">
        <f t="shared" si="182"/>
        <v>1</v>
      </c>
    </row>
    <row r="726" spans="195:202" ht="16.5" x14ac:dyDescent="0.2">
      <c r="GM726" s="91">
        <v>720</v>
      </c>
      <c r="GN726" s="14">
        <f t="shared" si="178"/>
        <v>40</v>
      </c>
      <c r="GO726" s="14">
        <f t="shared" si="179"/>
        <v>1606048</v>
      </c>
      <c r="GP726" s="14" t="str">
        <f t="shared" si="177"/>
        <v>神器7-6 : 级</v>
      </c>
      <c r="GQ726" s="14" t="s">
        <v>816</v>
      </c>
      <c r="GR726" s="14">
        <f t="shared" si="180"/>
        <v>3</v>
      </c>
      <c r="GS726" s="14" t="str">
        <f t="shared" si="181"/>
        <v>神器7-6</v>
      </c>
      <c r="GT726" s="14">
        <f t="shared" si="182"/>
        <v>1</v>
      </c>
    </row>
    <row r="727" spans="195:202" ht="16.5" x14ac:dyDescent="0.2">
      <c r="GM727" s="91">
        <v>721</v>
      </c>
      <c r="GN727" s="14">
        <f t="shared" si="178"/>
        <v>40</v>
      </c>
      <c r="GO727" s="14">
        <f t="shared" si="179"/>
        <v>1606048</v>
      </c>
      <c r="GP727" s="14" t="str">
        <f t="shared" si="177"/>
        <v>神器7-6 : 级</v>
      </c>
      <c r="GQ727" s="14" t="s">
        <v>816</v>
      </c>
      <c r="GR727" s="14">
        <f t="shared" si="180"/>
        <v>4</v>
      </c>
      <c r="GS727" s="14" t="str">
        <f t="shared" si="181"/>
        <v>神器7-6</v>
      </c>
      <c r="GT727" s="14">
        <f t="shared" si="182"/>
        <v>2</v>
      </c>
    </row>
    <row r="728" spans="195:202" ht="16.5" x14ac:dyDescent="0.2">
      <c r="GM728" s="91">
        <v>722</v>
      </c>
      <c r="GN728" s="14">
        <f t="shared" si="178"/>
        <v>40</v>
      </c>
      <c r="GO728" s="14">
        <f t="shared" si="179"/>
        <v>1606048</v>
      </c>
      <c r="GP728" s="14" t="str">
        <f t="shared" ref="GP728:GP765" si="183">INDEX($T$8:$T$49,GN728)&amp;" : "&amp;AR728&amp;"级"</f>
        <v>神器7-6 : 级</v>
      </c>
      <c r="GQ728" s="14" t="s">
        <v>816</v>
      </c>
      <c r="GR728" s="14">
        <f t="shared" si="180"/>
        <v>5</v>
      </c>
      <c r="GS728" s="14" t="str">
        <f t="shared" si="181"/>
        <v>神器7-6</v>
      </c>
      <c r="GT728" s="14">
        <f t="shared" si="182"/>
        <v>2</v>
      </c>
    </row>
    <row r="729" spans="195:202" ht="16.5" x14ac:dyDescent="0.2">
      <c r="GM729" s="91">
        <v>723</v>
      </c>
      <c r="GN729" s="14">
        <f t="shared" si="178"/>
        <v>40</v>
      </c>
      <c r="GO729" s="14">
        <f t="shared" si="179"/>
        <v>1606048</v>
      </c>
      <c r="GP729" s="14" t="str">
        <f t="shared" si="183"/>
        <v>神器7-6 : 级</v>
      </c>
      <c r="GQ729" s="14" t="s">
        <v>816</v>
      </c>
      <c r="GR729" s="14">
        <f t="shared" si="180"/>
        <v>6</v>
      </c>
      <c r="GS729" s="14" t="str">
        <f t="shared" si="181"/>
        <v>神器7-6</v>
      </c>
      <c r="GT729" s="14">
        <f t="shared" si="182"/>
        <v>2</v>
      </c>
    </row>
    <row r="730" spans="195:202" ht="16.5" x14ac:dyDescent="0.2">
      <c r="GM730" s="91">
        <v>724</v>
      </c>
      <c r="GN730" s="14">
        <f t="shared" si="178"/>
        <v>40</v>
      </c>
      <c r="GO730" s="14">
        <f t="shared" si="179"/>
        <v>1606048</v>
      </c>
      <c r="GP730" s="14" t="str">
        <f t="shared" si="183"/>
        <v>神器7-6 : 级</v>
      </c>
      <c r="GQ730" s="14" t="s">
        <v>816</v>
      </c>
      <c r="GR730" s="14">
        <f t="shared" si="180"/>
        <v>7</v>
      </c>
      <c r="GS730" s="14" t="str">
        <f t="shared" si="181"/>
        <v>神器7-6</v>
      </c>
      <c r="GT730" s="14">
        <f t="shared" si="182"/>
        <v>3</v>
      </c>
    </row>
    <row r="731" spans="195:202" ht="16.5" x14ac:dyDescent="0.2">
      <c r="GM731" s="91">
        <v>725</v>
      </c>
      <c r="GN731" s="14">
        <f t="shared" si="178"/>
        <v>40</v>
      </c>
      <c r="GO731" s="14">
        <f t="shared" si="179"/>
        <v>1606048</v>
      </c>
      <c r="GP731" s="14" t="str">
        <f t="shared" si="183"/>
        <v>神器7-6 : 级</v>
      </c>
      <c r="GQ731" s="14" t="s">
        <v>816</v>
      </c>
      <c r="GR731" s="14">
        <f t="shared" si="180"/>
        <v>8</v>
      </c>
      <c r="GS731" s="14" t="str">
        <f t="shared" si="181"/>
        <v>神器7-6</v>
      </c>
      <c r="GT731" s="14">
        <f t="shared" si="182"/>
        <v>3</v>
      </c>
    </row>
    <row r="732" spans="195:202" ht="16.5" x14ac:dyDescent="0.2">
      <c r="GM732" s="91">
        <v>726</v>
      </c>
      <c r="GN732" s="14">
        <f t="shared" si="178"/>
        <v>40</v>
      </c>
      <c r="GO732" s="14">
        <f t="shared" si="179"/>
        <v>1606048</v>
      </c>
      <c r="GP732" s="14" t="str">
        <f t="shared" si="183"/>
        <v>神器7-6 : 级</v>
      </c>
      <c r="GQ732" s="14" t="s">
        <v>816</v>
      </c>
      <c r="GR732" s="14">
        <f t="shared" si="180"/>
        <v>9</v>
      </c>
      <c r="GS732" s="14" t="str">
        <f t="shared" si="181"/>
        <v>神器7-6</v>
      </c>
      <c r="GT732" s="14">
        <f t="shared" si="182"/>
        <v>3</v>
      </c>
    </row>
    <row r="733" spans="195:202" ht="16.5" x14ac:dyDescent="0.2">
      <c r="GM733" s="91">
        <v>727</v>
      </c>
      <c r="GN733" s="14">
        <f t="shared" si="178"/>
        <v>40</v>
      </c>
      <c r="GO733" s="14">
        <f t="shared" si="179"/>
        <v>1606048</v>
      </c>
      <c r="GP733" s="14" t="str">
        <f t="shared" si="183"/>
        <v>神器7-6 : 级</v>
      </c>
      <c r="GQ733" s="14" t="s">
        <v>816</v>
      </c>
      <c r="GR733" s="14">
        <f t="shared" si="180"/>
        <v>10</v>
      </c>
      <c r="GS733" s="14" t="str">
        <f t="shared" si="181"/>
        <v>神器7-6</v>
      </c>
      <c r="GT733" s="14">
        <f t="shared" si="182"/>
        <v>5</v>
      </c>
    </row>
    <row r="734" spans="195:202" ht="16.5" x14ac:dyDescent="0.2">
      <c r="GM734" s="91">
        <v>728</v>
      </c>
      <c r="GN734" s="14">
        <f t="shared" si="178"/>
        <v>40</v>
      </c>
      <c r="GO734" s="14">
        <f t="shared" si="179"/>
        <v>1606048</v>
      </c>
      <c r="GP734" s="14" t="str">
        <f t="shared" si="183"/>
        <v>神器7-6 : 级</v>
      </c>
      <c r="GQ734" s="14" t="s">
        <v>816</v>
      </c>
      <c r="GR734" s="14">
        <f t="shared" si="180"/>
        <v>11</v>
      </c>
      <c r="GS734" s="14" t="str">
        <f t="shared" si="181"/>
        <v>神器7-6</v>
      </c>
      <c r="GT734" s="14">
        <f t="shared" si="182"/>
        <v>5</v>
      </c>
    </row>
    <row r="735" spans="195:202" ht="16.5" x14ac:dyDescent="0.2">
      <c r="GM735" s="91">
        <v>729</v>
      </c>
      <c r="GN735" s="14">
        <f t="shared" si="178"/>
        <v>40</v>
      </c>
      <c r="GO735" s="14">
        <f t="shared" si="179"/>
        <v>1606048</v>
      </c>
      <c r="GP735" s="14" t="str">
        <f t="shared" si="183"/>
        <v>神器7-6 : 级</v>
      </c>
      <c r="GQ735" s="14" t="s">
        <v>816</v>
      </c>
      <c r="GR735" s="14">
        <f t="shared" si="180"/>
        <v>12</v>
      </c>
      <c r="GS735" s="14" t="str">
        <f t="shared" si="181"/>
        <v>神器7-6</v>
      </c>
      <c r="GT735" s="14">
        <f t="shared" si="182"/>
        <v>6</v>
      </c>
    </row>
    <row r="736" spans="195:202" ht="16.5" x14ac:dyDescent="0.2">
      <c r="GM736" s="91">
        <v>730</v>
      </c>
      <c r="GN736" s="14">
        <f t="shared" si="178"/>
        <v>40</v>
      </c>
      <c r="GO736" s="14">
        <f t="shared" si="179"/>
        <v>1606048</v>
      </c>
      <c r="GP736" s="14" t="str">
        <f t="shared" si="183"/>
        <v>神器7-6 : 级</v>
      </c>
      <c r="GQ736" s="14" t="s">
        <v>816</v>
      </c>
      <c r="GR736" s="14">
        <f t="shared" si="180"/>
        <v>13</v>
      </c>
      <c r="GS736" s="14" t="str">
        <f t="shared" si="181"/>
        <v>神器7-6</v>
      </c>
      <c r="GT736" s="14">
        <f t="shared" si="182"/>
        <v>7</v>
      </c>
    </row>
    <row r="737" spans="195:202" ht="16.5" x14ac:dyDescent="0.2">
      <c r="GM737" s="91">
        <v>731</v>
      </c>
      <c r="GN737" s="14">
        <f t="shared" si="178"/>
        <v>40</v>
      </c>
      <c r="GO737" s="14">
        <f t="shared" si="179"/>
        <v>1606048</v>
      </c>
      <c r="GP737" s="14" t="str">
        <f t="shared" si="183"/>
        <v>神器7-6 : 级</v>
      </c>
      <c r="GQ737" s="14" t="s">
        <v>816</v>
      </c>
      <c r="GR737" s="14">
        <f t="shared" si="180"/>
        <v>14</v>
      </c>
      <c r="GS737" s="14" t="str">
        <f t="shared" si="181"/>
        <v>神器7-6</v>
      </c>
      <c r="GT737" s="14">
        <f t="shared" si="182"/>
        <v>7</v>
      </c>
    </row>
    <row r="738" spans="195:202" ht="16.5" x14ac:dyDescent="0.2">
      <c r="GM738" s="91">
        <v>732</v>
      </c>
      <c r="GN738" s="14">
        <f t="shared" si="178"/>
        <v>40</v>
      </c>
      <c r="GO738" s="14">
        <f t="shared" si="179"/>
        <v>1606048</v>
      </c>
      <c r="GP738" s="14" t="str">
        <f t="shared" si="183"/>
        <v>神器7-6 : 级</v>
      </c>
      <c r="GQ738" s="14" t="s">
        <v>816</v>
      </c>
      <c r="GR738" s="14">
        <f t="shared" si="180"/>
        <v>15</v>
      </c>
      <c r="GS738" s="14" t="str">
        <f t="shared" si="181"/>
        <v>神器7-6</v>
      </c>
      <c r="GT738" s="14">
        <f t="shared" si="182"/>
        <v>7</v>
      </c>
    </row>
    <row r="739" spans="195:202" ht="16.5" x14ac:dyDescent="0.2">
      <c r="GM739" s="91">
        <v>733</v>
      </c>
      <c r="GN739" s="14">
        <f t="shared" si="178"/>
        <v>40</v>
      </c>
      <c r="GO739" s="14">
        <f t="shared" si="179"/>
        <v>1606048</v>
      </c>
      <c r="GP739" s="14" t="str">
        <f t="shared" si="183"/>
        <v>神器7-6 : 级</v>
      </c>
      <c r="GQ739" s="14" t="s">
        <v>816</v>
      </c>
      <c r="GR739" s="14">
        <f t="shared" si="180"/>
        <v>16</v>
      </c>
      <c r="GS739" s="14" t="str">
        <f t="shared" si="181"/>
        <v>神器7-6</v>
      </c>
      <c r="GT739" s="14">
        <f t="shared" si="182"/>
        <v>10</v>
      </c>
    </row>
    <row r="740" spans="195:202" ht="16.5" x14ac:dyDescent="0.2">
      <c r="GM740" s="91">
        <v>734</v>
      </c>
      <c r="GN740" s="14">
        <f t="shared" si="178"/>
        <v>40</v>
      </c>
      <c r="GO740" s="14">
        <f t="shared" si="179"/>
        <v>1606048</v>
      </c>
      <c r="GP740" s="14" t="str">
        <f t="shared" si="183"/>
        <v>神器7-6 : 级</v>
      </c>
      <c r="GQ740" s="14" t="s">
        <v>816</v>
      </c>
      <c r="GR740" s="14">
        <f t="shared" si="180"/>
        <v>17</v>
      </c>
      <c r="GS740" s="14" t="str">
        <f t="shared" si="181"/>
        <v>神器7-6</v>
      </c>
      <c r="GT740" s="14">
        <f t="shared" si="182"/>
        <v>10</v>
      </c>
    </row>
    <row r="741" spans="195:202" ht="16.5" x14ac:dyDescent="0.2">
      <c r="GM741" s="91">
        <v>735</v>
      </c>
      <c r="GN741" s="14">
        <f t="shared" si="178"/>
        <v>40</v>
      </c>
      <c r="GO741" s="14">
        <f t="shared" si="179"/>
        <v>1606048</v>
      </c>
      <c r="GP741" s="14" t="str">
        <f t="shared" si="183"/>
        <v>神器7-6 : 级</v>
      </c>
      <c r="GQ741" s="14" t="s">
        <v>816</v>
      </c>
      <c r="GR741" s="14">
        <f t="shared" si="180"/>
        <v>18</v>
      </c>
      <c r="GS741" s="14" t="str">
        <f t="shared" si="181"/>
        <v>神器7-6</v>
      </c>
      <c r="GT741" s="14">
        <f t="shared" si="182"/>
        <v>10</v>
      </c>
    </row>
    <row r="742" spans="195:202" ht="16.5" x14ac:dyDescent="0.2">
      <c r="GM742" s="91">
        <v>736</v>
      </c>
      <c r="GN742" s="14">
        <f t="shared" si="178"/>
        <v>40</v>
      </c>
      <c r="GO742" s="14">
        <f t="shared" si="179"/>
        <v>1606048</v>
      </c>
      <c r="GP742" s="14" t="str">
        <f t="shared" si="183"/>
        <v>神器7-6 : 级</v>
      </c>
      <c r="GQ742" s="14" t="s">
        <v>816</v>
      </c>
      <c r="GR742" s="14">
        <f t="shared" si="180"/>
        <v>19</v>
      </c>
      <c r="GS742" s="14" t="str">
        <f t="shared" si="181"/>
        <v>神器7-6</v>
      </c>
      <c r="GT742" s="14">
        <f t="shared" si="182"/>
        <v>15</v>
      </c>
    </row>
    <row r="743" spans="195:202" ht="16.5" x14ac:dyDescent="0.2">
      <c r="GM743" s="91">
        <v>737</v>
      </c>
      <c r="GN743" s="14">
        <f t="shared" si="178"/>
        <v>40</v>
      </c>
      <c r="GO743" s="14">
        <f t="shared" si="179"/>
        <v>1606048</v>
      </c>
      <c r="GP743" s="14" t="str">
        <f t="shared" si="183"/>
        <v>神器7-6 : 级</v>
      </c>
      <c r="GQ743" s="14" t="s">
        <v>816</v>
      </c>
      <c r="GR743" s="14">
        <f t="shared" si="180"/>
        <v>20</v>
      </c>
      <c r="GS743" s="14" t="str">
        <f t="shared" si="181"/>
        <v>神器7-6</v>
      </c>
      <c r="GT743" s="14">
        <f t="shared" si="182"/>
        <v>15</v>
      </c>
    </row>
    <row r="744" spans="195:202" ht="16.5" x14ac:dyDescent="0.2">
      <c r="GM744" s="91">
        <v>738</v>
      </c>
      <c r="GN744" s="14">
        <f t="shared" si="178"/>
        <v>40</v>
      </c>
      <c r="GO744" s="14">
        <f t="shared" si="179"/>
        <v>1606048</v>
      </c>
      <c r="GP744" s="14" t="str">
        <f t="shared" si="183"/>
        <v>神器7-6 : 级</v>
      </c>
      <c r="GQ744" s="14" t="s">
        <v>816</v>
      </c>
      <c r="GR744" s="14">
        <f t="shared" si="180"/>
        <v>21</v>
      </c>
      <c r="GS744" s="14" t="str">
        <f t="shared" si="181"/>
        <v>神器7-6</v>
      </c>
      <c r="GT744" s="14">
        <f t="shared" si="182"/>
        <v>15</v>
      </c>
    </row>
    <row r="745" spans="195:202" ht="16.5" x14ac:dyDescent="0.2">
      <c r="GM745" s="91">
        <v>739</v>
      </c>
      <c r="GN745" s="14">
        <f t="shared" si="178"/>
        <v>41</v>
      </c>
      <c r="GO745" s="14">
        <f t="shared" si="179"/>
        <v>1606049</v>
      </c>
      <c r="GP745" s="14" t="str">
        <f t="shared" si="183"/>
        <v>神器7-7 : 级</v>
      </c>
      <c r="GQ745" s="14" t="s">
        <v>816</v>
      </c>
      <c r="GR745" s="14">
        <f t="shared" si="180"/>
        <v>1</v>
      </c>
      <c r="GS745" s="14" t="str">
        <f t="shared" si="181"/>
        <v>神器7-7</v>
      </c>
      <c r="GT745" s="14">
        <f t="shared" si="182"/>
        <v>1</v>
      </c>
    </row>
    <row r="746" spans="195:202" ht="16.5" x14ac:dyDescent="0.2">
      <c r="GM746" s="91">
        <v>740</v>
      </c>
      <c r="GN746" s="14">
        <f t="shared" si="178"/>
        <v>41</v>
      </c>
      <c r="GO746" s="14">
        <f t="shared" si="179"/>
        <v>1606049</v>
      </c>
      <c r="GP746" s="14" t="str">
        <f t="shared" si="183"/>
        <v>神器7-7 : 级</v>
      </c>
      <c r="GQ746" s="14" t="s">
        <v>816</v>
      </c>
      <c r="GR746" s="14">
        <f t="shared" si="180"/>
        <v>2</v>
      </c>
      <c r="GS746" s="14" t="str">
        <f t="shared" si="181"/>
        <v>神器7-7</v>
      </c>
      <c r="GT746" s="14">
        <f t="shared" si="182"/>
        <v>1</v>
      </c>
    </row>
    <row r="747" spans="195:202" ht="16.5" x14ac:dyDescent="0.2">
      <c r="GM747" s="91">
        <v>741</v>
      </c>
      <c r="GN747" s="14">
        <f t="shared" si="178"/>
        <v>41</v>
      </c>
      <c r="GO747" s="14">
        <f t="shared" si="179"/>
        <v>1606049</v>
      </c>
      <c r="GP747" s="14" t="str">
        <f t="shared" si="183"/>
        <v>神器7-7 : 级</v>
      </c>
      <c r="GQ747" s="14" t="s">
        <v>816</v>
      </c>
      <c r="GR747" s="14">
        <f t="shared" si="180"/>
        <v>3</v>
      </c>
      <c r="GS747" s="14" t="str">
        <f t="shared" si="181"/>
        <v>神器7-7</v>
      </c>
      <c r="GT747" s="14">
        <f t="shared" si="182"/>
        <v>1</v>
      </c>
    </row>
    <row r="748" spans="195:202" ht="16.5" x14ac:dyDescent="0.2">
      <c r="GM748" s="91">
        <v>742</v>
      </c>
      <c r="GN748" s="14">
        <f t="shared" si="178"/>
        <v>41</v>
      </c>
      <c r="GO748" s="14">
        <f t="shared" si="179"/>
        <v>1606049</v>
      </c>
      <c r="GP748" s="14" t="str">
        <f t="shared" si="183"/>
        <v>神器7-7 : 级</v>
      </c>
      <c r="GQ748" s="14" t="s">
        <v>816</v>
      </c>
      <c r="GR748" s="14">
        <f t="shared" si="180"/>
        <v>4</v>
      </c>
      <c r="GS748" s="14" t="str">
        <f t="shared" si="181"/>
        <v>神器7-7</v>
      </c>
      <c r="GT748" s="14">
        <f t="shared" si="182"/>
        <v>2</v>
      </c>
    </row>
    <row r="749" spans="195:202" ht="16.5" x14ac:dyDescent="0.2">
      <c r="GM749" s="91">
        <v>743</v>
      </c>
      <c r="GN749" s="14">
        <f t="shared" si="178"/>
        <v>41</v>
      </c>
      <c r="GO749" s="14">
        <f t="shared" si="179"/>
        <v>1606049</v>
      </c>
      <c r="GP749" s="14" t="str">
        <f t="shared" si="183"/>
        <v>神器7-7 : 级</v>
      </c>
      <c r="GQ749" s="14" t="s">
        <v>816</v>
      </c>
      <c r="GR749" s="14">
        <f t="shared" si="180"/>
        <v>5</v>
      </c>
      <c r="GS749" s="14" t="str">
        <f t="shared" si="181"/>
        <v>神器7-7</v>
      </c>
      <c r="GT749" s="14">
        <f t="shared" si="182"/>
        <v>2</v>
      </c>
    </row>
    <row r="750" spans="195:202" ht="16.5" x14ac:dyDescent="0.2">
      <c r="GM750" s="91">
        <v>744</v>
      </c>
      <c r="GN750" s="14">
        <f t="shared" si="178"/>
        <v>41</v>
      </c>
      <c r="GO750" s="14">
        <f t="shared" si="179"/>
        <v>1606049</v>
      </c>
      <c r="GP750" s="14" t="str">
        <f t="shared" si="183"/>
        <v>神器7-7 : 级</v>
      </c>
      <c r="GQ750" s="14" t="s">
        <v>816</v>
      </c>
      <c r="GR750" s="14">
        <f t="shared" si="180"/>
        <v>6</v>
      </c>
      <c r="GS750" s="14" t="str">
        <f t="shared" si="181"/>
        <v>神器7-7</v>
      </c>
      <c r="GT750" s="14">
        <f t="shared" si="182"/>
        <v>2</v>
      </c>
    </row>
    <row r="751" spans="195:202" ht="16.5" x14ac:dyDescent="0.2">
      <c r="GM751" s="91">
        <v>745</v>
      </c>
      <c r="GN751" s="14">
        <f t="shared" si="178"/>
        <v>41</v>
      </c>
      <c r="GO751" s="14">
        <f t="shared" si="179"/>
        <v>1606049</v>
      </c>
      <c r="GP751" s="14" t="str">
        <f t="shared" si="183"/>
        <v>神器7-7 : 级</v>
      </c>
      <c r="GQ751" s="14" t="s">
        <v>816</v>
      </c>
      <c r="GR751" s="14">
        <f t="shared" si="180"/>
        <v>7</v>
      </c>
      <c r="GS751" s="14" t="str">
        <f t="shared" si="181"/>
        <v>神器7-7</v>
      </c>
      <c r="GT751" s="14">
        <f t="shared" si="182"/>
        <v>3</v>
      </c>
    </row>
    <row r="752" spans="195:202" ht="16.5" x14ac:dyDescent="0.2">
      <c r="GM752" s="91">
        <v>746</v>
      </c>
      <c r="GN752" s="14">
        <f t="shared" si="178"/>
        <v>41</v>
      </c>
      <c r="GO752" s="14">
        <f t="shared" si="179"/>
        <v>1606049</v>
      </c>
      <c r="GP752" s="14" t="str">
        <f t="shared" si="183"/>
        <v>神器7-7 : 级</v>
      </c>
      <c r="GQ752" s="14" t="s">
        <v>816</v>
      </c>
      <c r="GR752" s="14">
        <f t="shared" si="180"/>
        <v>8</v>
      </c>
      <c r="GS752" s="14" t="str">
        <f t="shared" si="181"/>
        <v>神器7-7</v>
      </c>
      <c r="GT752" s="14">
        <f t="shared" si="182"/>
        <v>3</v>
      </c>
    </row>
    <row r="753" spans="195:202" ht="16.5" x14ac:dyDescent="0.2">
      <c r="GM753" s="91">
        <v>747</v>
      </c>
      <c r="GN753" s="14">
        <f t="shared" si="178"/>
        <v>41</v>
      </c>
      <c r="GO753" s="14">
        <f t="shared" si="179"/>
        <v>1606049</v>
      </c>
      <c r="GP753" s="14" t="str">
        <f t="shared" si="183"/>
        <v>神器7-7 : 级</v>
      </c>
      <c r="GQ753" s="14" t="s">
        <v>816</v>
      </c>
      <c r="GR753" s="14">
        <f t="shared" si="180"/>
        <v>9</v>
      </c>
      <c r="GS753" s="14" t="str">
        <f t="shared" si="181"/>
        <v>神器7-7</v>
      </c>
      <c r="GT753" s="14">
        <f t="shared" si="182"/>
        <v>3</v>
      </c>
    </row>
    <row r="754" spans="195:202" ht="16.5" x14ac:dyDescent="0.2">
      <c r="GM754" s="91">
        <v>748</v>
      </c>
      <c r="GN754" s="14">
        <f t="shared" si="178"/>
        <v>41</v>
      </c>
      <c r="GO754" s="14">
        <f t="shared" si="179"/>
        <v>1606049</v>
      </c>
      <c r="GP754" s="14" t="str">
        <f t="shared" si="183"/>
        <v>神器7-7 : 级</v>
      </c>
      <c r="GQ754" s="14" t="s">
        <v>816</v>
      </c>
      <c r="GR754" s="14">
        <f t="shared" si="180"/>
        <v>10</v>
      </c>
      <c r="GS754" s="14" t="str">
        <f t="shared" si="181"/>
        <v>神器7-7</v>
      </c>
      <c r="GT754" s="14">
        <f t="shared" si="182"/>
        <v>5</v>
      </c>
    </row>
    <row r="755" spans="195:202" ht="16.5" x14ac:dyDescent="0.2">
      <c r="GM755" s="91">
        <v>749</v>
      </c>
      <c r="GN755" s="14">
        <f t="shared" si="178"/>
        <v>41</v>
      </c>
      <c r="GO755" s="14">
        <f t="shared" si="179"/>
        <v>1606049</v>
      </c>
      <c r="GP755" s="14" t="str">
        <f t="shared" si="183"/>
        <v>神器7-7 : 级</v>
      </c>
      <c r="GQ755" s="14" t="s">
        <v>816</v>
      </c>
      <c r="GR755" s="14">
        <f t="shared" si="180"/>
        <v>11</v>
      </c>
      <c r="GS755" s="14" t="str">
        <f t="shared" si="181"/>
        <v>神器7-7</v>
      </c>
      <c r="GT755" s="14">
        <f t="shared" si="182"/>
        <v>5</v>
      </c>
    </row>
    <row r="756" spans="195:202" ht="16.5" x14ac:dyDescent="0.2">
      <c r="GM756" s="91">
        <v>750</v>
      </c>
      <c r="GN756" s="14">
        <f t="shared" si="178"/>
        <v>41</v>
      </c>
      <c r="GO756" s="14">
        <f t="shared" si="179"/>
        <v>1606049</v>
      </c>
      <c r="GP756" s="14" t="str">
        <f t="shared" si="183"/>
        <v>神器7-7 : 级</v>
      </c>
      <c r="GQ756" s="14" t="s">
        <v>816</v>
      </c>
      <c r="GR756" s="14">
        <f t="shared" si="180"/>
        <v>12</v>
      </c>
      <c r="GS756" s="14" t="str">
        <f t="shared" si="181"/>
        <v>神器7-7</v>
      </c>
      <c r="GT756" s="14">
        <f t="shared" si="182"/>
        <v>6</v>
      </c>
    </row>
    <row r="757" spans="195:202" ht="16.5" x14ac:dyDescent="0.2">
      <c r="GM757" s="91">
        <v>751</v>
      </c>
      <c r="GN757" s="14">
        <f t="shared" si="178"/>
        <v>41</v>
      </c>
      <c r="GO757" s="14">
        <f t="shared" si="179"/>
        <v>1606049</v>
      </c>
      <c r="GP757" s="14" t="str">
        <f t="shared" si="183"/>
        <v>神器7-7 : 级</v>
      </c>
      <c r="GQ757" s="14" t="s">
        <v>816</v>
      </c>
      <c r="GR757" s="14">
        <f t="shared" si="180"/>
        <v>13</v>
      </c>
      <c r="GS757" s="14" t="str">
        <f t="shared" si="181"/>
        <v>神器7-7</v>
      </c>
      <c r="GT757" s="14">
        <f t="shared" si="182"/>
        <v>7</v>
      </c>
    </row>
    <row r="758" spans="195:202" ht="16.5" x14ac:dyDescent="0.2">
      <c r="GM758" s="91">
        <v>752</v>
      </c>
      <c r="GN758" s="14">
        <f t="shared" si="178"/>
        <v>41</v>
      </c>
      <c r="GO758" s="14">
        <f t="shared" si="179"/>
        <v>1606049</v>
      </c>
      <c r="GP758" s="14" t="str">
        <f t="shared" si="183"/>
        <v>神器7-7 : 级</v>
      </c>
      <c r="GQ758" s="14" t="s">
        <v>816</v>
      </c>
      <c r="GR758" s="14">
        <f t="shared" si="180"/>
        <v>14</v>
      </c>
      <c r="GS758" s="14" t="str">
        <f t="shared" si="181"/>
        <v>神器7-7</v>
      </c>
      <c r="GT758" s="14">
        <f t="shared" si="182"/>
        <v>7</v>
      </c>
    </row>
    <row r="759" spans="195:202" ht="16.5" x14ac:dyDescent="0.2">
      <c r="GM759" s="91">
        <v>753</v>
      </c>
      <c r="GN759" s="14">
        <f t="shared" si="178"/>
        <v>41</v>
      </c>
      <c r="GO759" s="14">
        <f t="shared" si="179"/>
        <v>1606049</v>
      </c>
      <c r="GP759" s="14" t="str">
        <f t="shared" si="183"/>
        <v>神器7-7 : 级</v>
      </c>
      <c r="GQ759" s="14" t="s">
        <v>816</v>
      </c>
      <c r="GR759" s="14">
        <f t="shared" si="180"/>
        <v>15</v>
      </c>
      <c r="GS759" s="14" t="str">
        <f t="shared" si="181"/>
        <v>神器7-7</v>
      </c>
      <c r="GT759" s="14">
        <f t="shared" si="182"/>
        <v>7</v>
      </c>
    </row>
    <row r="760" spans="195:202" ht="16.5" x14ac:dyDescent="0.2">
      <c r="GM760" s="91">
        <v>754</v>
      </c>
      <c r="GN760" s="14">
        <f t="shared" si="178"/>
        <v>41</v>
      </c>
      <c r="GO760" s="14">
        <f t="shared" si="179"/>
        <v>1606049</v>
      </c>
      <c r="GP760" s="14" t="str">
        <f t="shared" si="183"/>
        <v>神器7-7 : 级</v>
      </c>
      <c r="GQ760" s="14" t="s">
        <v>816</v>
      </c>
      <c r="GR760" s="14">
        <f t="shared" si="180"/>
        <v>16</v>
      </c>
      <c r="GS760" s="14" t="str">
        <f t="shared" si="181"/>
        <v>神器7-7</v>
      </c>
      <c r="GT760" s="14">
        <f t="shared" si="182"/>
        <v>10</v>
      </c>
    </row>
    <row r="761" spans="195:202" ht="16.5" x14ac:dyDescent="0.2">
      <c r="GM761" s="91">
        <v>755</v>
      </c>
      <c r="GN761" s="14">
        <f t="shared" si="178"/>
        <v>41</v>
      </c>
      <c r="GO761" s="14">
        <f t="shared" si="179"/>
        <v>1606049</v>
      </c>
      <c r="GP761" s="14" t="str">
        <f t="shared" si="183"/>
        <v>神器7-7 : 级</v>
      </c>
      <c r="GQ761" s="14" t="s">
        <v>816</v>
      </c>
      <c r="GR761" s="14">
        <f t="shared" si="180"/>
        <v>17</v>
      </c>
      <c r="GS761" s="14" t="str">
        <f t="shared" si="181"/>
        <v>神器7-7</v>
      </c>
      <c r="GT761" s="14">
        <f t="shared" si="182"/>
        <v>10</v>
      </c>
    </row>
    <row r="762" spans="195:202" ht="16.5" x14ac:dyDescent="0.2">
      <c r="GM762" s="91">
        <v>756</v>
      </c>
      <c r="GN762" s="14">
        <f t="shared" si="178"/>
        <v>41</v>
      </c>
      <c r="GO762" s="14">
        <f t="shared" si="179"/>
        <v>1606049</v>
      </c>
      <c r="GP762" s="14" t="str">
        <f t="shared" si="183"/>
        <v>神器7-7 : 级</v>
      </c>
      <c r="GQ762" s="14" t="s">
        <v>816</v>
      </c>
      <c r="GR762" s="14">
        <f t="shared" si="180"/>
        <v>18</v>
      </c>
      <c r="GS762" s="14" t="str">
        <f t="shared" si="181"/>
        <v>神器7-7</v>
      </c>
      <c r="GT762" s="14">
        <f t="shared" si="182"/>
        <v>10</v>
      </c>
    </row>
    <row r="763" spans="195:202" ht="16.5" x14ac:dyDescent="0.2">
      <c r="GM763" s="91">
        <v>757</v>
      </c>
      <c r="GN763" s="14">
        <f t="shared" si="178"/>
        <v>41</v>
      </c>
      <c r="GO763" s="14">
        <f t="shared" si="179"/>
        <v>1606049</v>
      </c>
      <c r="GP763" s="14" t="str">
        <f t="shared" si="183"/>
        <v>神器7-7 : 级</v>
      </c>
      <c r="GQ763" s="14" t="s">
        <v>816</v>
      </c>
      <c r="GR763" s="14">
        <f t="shared" si="180"/>
        <v>19</v>
      </c>
      <c r="GS763" s="14" t="str">
        <f t="shared" si="181"/>
        <v>神器7-7</v>
      </c>
      <c r="GT763" s="14">
        <f t="shared" si="182"/>
        <v>15</v>
      </c>
    </row>
    <row r="764" spans="195:202" ht="16.5" x14ac:dyDescent="0.2">
      <c r="GM764" s="91">
        <v>758</v>
      </c>
      <c r="GN764" s="14">
        <f t="shared" si="178"/>
        <v>41</v>
      </c>
      <c r="GO764" s="14">
        <f t="shared" si="179"/>
        <v>1606049</v>
      </c>
      <c r="GP764" s="14" t="str">
        <f t="shared" si="183"/>
        <v>神器7-7 : 级</v>
      </c>
      <c r="GQ764" s="14" t="s">
        <v>816</v>
      </c>
      <c r="GR764" s="14">
        <f t="shared" si="180"/>
        <v>20</v>
      </c>
      <c r="GS764" s="14" t="str">
        <f t="shared" si="181"/>
        <v>神器7-7</v>
      </c>
      <c r="GT764" s="14">
        <f t="shared" si="182"/>
        <v>15</v>
      </c>
    </row>
    <row r="765" spans="195:202" ht="16.5" x14ac:dyDescent="0.2">
      <c r="GM765" s="91">
        <v>759</v>
      </c>
      <c r="GN765" s="14">
        <f t="shared" si="178"/>
        <v>41</v>
      </c>
      <c r="GO765" s="14">
        <f t="shared" si="179"/>
        <v>1606049</v>
      </c>
      <c r="GP765" s="14" t="str">
        <f t="shared" si="183"/>
        <v>神器7-7 : 级</v>
      </c>
      <c r="GQ765" s="14" t="s">
        <v>816</v>
      </c>
      <c r="GR765" s="14">
        <f t="shared" si="180"/>
        <v>21</v>
      </c>
      <c r="GS765" s="14" t="str">
        <f t="shared" si="181"/>
        <v>神器7-7</v>
      </c>
      <c r="GT765" s="14">
        <f t="shared" si="182"/>
        <v>15</v>
      </c>
    </row>
    <row r="766" spans="195:202" ht="16.5" x14ac:dyDescent="0.2">
      <c r="GM766" s="91">
        <v>760</v>
      </c>
      <c r="GN766" s="14">
        <f t="shared" si="178"/>
        <v>42</v>
      </c>
      <c r="GO766" s="14">
        <f t="shared" si="179"/>
        <v>1606050</v>
      </c>
      <c r="GP766" s="14" t="str">
        <f t="shared" ref="GP766:GP786" si="184">INDEX($T$8:$T$49,GN766)&amp;" : "&amp;AR766&amp;"级"</f>
        <v>神器7-8 : 级</v>
      </c>
      <c r="GQ766" s="14" t="s">
        <v>816</v>
      </c>
      <c r="GR766" s="14">
        <f t="shared" ref="GR766:GR786" si="185">GM766-INDEX($R$7:$R$49,GN766)</f>
        <v>1</v>
      </c>
      <c r="GS766" s="14" t="str">
        <f t="shared" ref="GS766:GS786" si="186">INDEX($T$8:$T$49,GN766)</f>
        <v>神器7-8</v>
      </c>
      <c r="GT766" s="14">
        <f t="shared" ref="GT766:GT786" si="187">INDEX($K$8:$K$28,GR766)</f>
        <v>1</v>
      </c>
    </row>
    <row r="767" spans="195:202" ht="16.5" x14ac:dyDescent="0.2">
      <c r="GM767" s="91">
        <v>761</v>
      </c>
      <c r="GN767" s="14">
        <f t="shared" si="178"/>
        <v>42</v>
      </c>
      <c r="GO767" s="14">
        <f t="shared" si="179"/>
        <v>1606050</v>
      </c>
      <c r="GP767" s="14" t="str">
        <f t="shared" si="184"/>
        <v>神器7-8 : 级</v>
      </c>
      <c r="GQ767" s="14" t="s">
        <v>816</v>
      </c>
      <c r="GR767" s="14">
        <f t="shared" si="185"/>
        <v>2</v>
      </c>
      <c r="GS767" s="14" t="str">
        <f t="shared" si="186"/>
        <v>神器7-8</v>
      </c>
      <c r="GT767" s="14">
        <f t="shared" si="187"/>
        <v>1</v>
      </c>
    </row>
    <row r="768" spans="195:202" ht="16.5" x14ac:dyDescent="0.2">
      <c r="GM768" s="91">
        <v>762</v>
      </c>
      <c r="GN768" s="14">
        <f t="shared" si="178"/>
        <v>42</v>
      </c>
      <c r="GO768" s="14">
        <f t="shared" si="179"/>
        <v>1606050</v>
      </c>
      <c r="GP768" s="14" t="str">
        <f t="shared" si="184"/>
        <v>神器7-8 : 级</v>
      </c>
      <c r="GQ768" s="14" t="s">
        <v>816</v>
      </c>
      <c r="GR768" s="14">
        <f t="shared" si="185"/>
        <v>3</v>
      </c>
      <c r="GS768" s="14" t="str">
        <f t="shared" si="186"/>
        <v>神器7-8</v>
      </c>
      <c r="GT768" s="14">
        <f t="shared" si="187"/>
        <v>1</v>
      </c>
    </row>
    <row r="769" spans="195:202" ht="16.5" x14ac:dyDescent="0.2">
      <c r="GM769" s="91">
        <v>763</v>
      </c>
      <c r="GN769" s="14">
        <f t="shared" si="178"/>
        <v>42</v>
      </c>
      <c r="GO769" s="14">
        <f t="shared" si="179"/>
        <v>1606050</v>
      </c>
      <c r="GP769" s="14" t="str">
        <f t="shared" si="184"/>
        <v>神器7-8 : 级</v>
      </c>
      <c r="GQ769" s="14" t="s">
        <v>816</v>
      </c>
      <c r="GR769" s="14">
        <f t="shared" si="185"/>
        <v>4</v>
      </c>
      <c r="GS769" s="14" t="str">
        <f t="shared" si="186"/>
        <v>神器7-8</v>
      </c>
      <c r="GT769" s="14">
        <f t="shared" si="187"/>
        <v>2</v>
      </c>
    </row>
    <row r="770" spans="195:202" ht="16.5" x14ac:dyDescent="0.2">
      <c r="GM770" s="91">
        <v>764</v>
      </c>
      <c r="GN770" s="14">
        <f t="shared" si="178"/>
        <v>42</v>
      </c>
      <c r="GO770" s="14">
        <f t="shared" si="179"/>
        <v>1606050</v>
      </c>
      <c r="GP770" s="14" t="str">
        <f t="shared" si="184"/>
        <v>神器7-8 : 级</v>
      </c>
      <c r="GQ770" s="14" t="s">
        <v>816</v>
      </c>
      <c r="GR770" s="14">
        <f t="shared" si="185"/>
        <v>5</v>
      </c>
      <c r="GS770" s="14" t="str">
        <f t="shared" si="186"/>
        <v>神器7-8</v>
      </c>
      <c r="GT770" s="14">
        <f t="shared" si="187"/>
        <v>2</v>
      </c>
    </row>
    <row r="771" spans="195:202" ht="16.5" x14ac:dyDescent="0.2">
      <c r="GM771" s="91">
        <v>765</v>
      </c>
      <c r="GN771" s="14">
        <f t="shared" si="178"/>
        <v>42</v>
      </c>
      <c r="GO771" s="14">
        <f t="shared" si="179"/>
        <v>1606050</v>
      </c>
      <c r="GP771" s="14" t="str">
        <f t="shared" si="184"/>
        <v>神器7-8 : 级</v>
      </c>
      <c r="GQ771" s="14" t="s">
        <v>816</v>
      </c>
      <c r="GR771" s="14">
        <f t="shared" si="185"/>
        <v>6</v>
      </c>
      <c r="GS771" s="14" t="str">
        <f t="shared" si="186"/>
        <v>神器7-8</v>
      </c>
      <c r="GT771" s="14">
        <f t="shared" si="187"/>
        <v>2</v>
      </c>
    </row>
    <row r="772" spans="195:202" ht="16.5" x14ac:dyDescent="0.2">
      <c r="GM772" s="91">
        <v>766</v>
      </c>
      <c r="GN772" s="14">
        <f t="shared" si="178"/>
        <v>42</v>
      </c>
      <c r="GO772" s="14">
        <f t="shared" si="179"/>
        <v>1606050</v>
      </c>
      <c r="GP772" s="14" t="str">
        <f t="shared" si="184"/>
        <v>神器7-8 : 级</v>
      </c>
      <c r="GQ772" s="14" t="s">
        <v>816</v>
      </c>
      <c r="GR772" s="14">
        <f t="shared" si="185"/>
        <v>7</v>
      </c>
      <c r="GS772" s="14" t="str">
        <f t="shared" si="186"/>
        <v>神器7-8</v>
      </c>
      <c r="GT772" s="14">
        <f t="shared" si="187"/>
        <v>3</v>
      </c>
    </row>
    <row r="773" spans="195:202" ht="16.5" x14ac:dyDescent="0.2">
      <c r="GM773" s="91">
        <v>767</v>
      </c>
      <c r="GN773" s="14">
        <f t="shared" si="178"/>
        <v>42</v>
      </c>
      <c r="GO773" s="14">
        <f t="shared" si="179"/>
        <v>1606050</v>
      </c>
      <c r="GP773" s="14" t="str">
        <f t="shared" si="184"/>
        <v>神器7-8 : 级</v>
      </c>
      <c r="GQ773" s="14" t="s">
        <v>816</v>
      </c>
      <c r="GR773" s="14">
        <f t="shared" si="185"/>
        <v>8</v>
      </c>
      <c r="GS773" s="14" t="str">
        <f t="shared" si="186"/>
        <v>神器7-8</v>
      </c>
      <c r="GT773" s="14">
        <f t="shared" si="187"/>
        <v>3</v>
      </c>
    </row>
    <row r="774" spans="195:202" ht="16.5" x14ac:dyDescent="0.2">
      <c r="GM774" s="91">
        <v>768</v>
      </c>
      <c r="GN774" s="14">
        <f t="shared" si="178"/>
        <v>42</v>
      </c>
      <c r="GO774" s="14">
        <f t="shared" si="179"/>
        <v>1606050</v>
      </c>
      <c r="GP774" s="14" t="str">
        <f t="shared" si="184"/>
        <v>神器7-8 : 级</v>
      </c>
      <c r="GQ774" s="14" t="s">
        <v>816</v>
      </c>
      <c r="GR774" s="14">
        <f t="shared" si="185"/>
        <v>9</v>
      </c>
      <c r="GS774" s="14" t="str">
        <f t="shared" si="186"/>
        <v>神器7-8</v>
      </c>
      <c r="GT774" s="14">
        <f t="shared" si="187"/>
        <v>3</v>
      </c>
    </row>
    <row r="775" spans="195:202" ht="16.5" x14ac:dyDescent="0.2">
      <c r="GM775" s="91">
        <v>769</v>
      </c>
      <c r="GN775" s="14">
        <f t="shared" si="178"/>
        <v>42</v>
      </c>
      <c r="GO775" s="14">
        <f t="shared" si="179"/>
        <v>1606050</v>
      </c>
      <c r="GP775" s="14" t="str">
        <f t="shared" si="184"/>
        <v>神器7-8 : 级</v>
      </c>
      <c r="GQ775" s="14" t="s">
        <v>816</v>
      </c>
      <c r="GR775" s="14">
        <f t="shared" si="185"/>
        <v>10</v>
      </c>
      <c r="GS775" s="14" t="str">
        <f t="shared" si="186"/>
        <v>神器7-8</v>
      </c>
      <c r="GT775" s="14">
        <f t="shared" si="187"/>
        <v>5</v>
      </c>
    </row>
    <row r="776" spans="195:202" ht="16.5" x14ac:dyDescent="0.2">
      <c r="GM776" s="91">
        <v>770</v>
      </c>
      <c r="GN776" s="14">
        <f t="shared" ref="GN776:GN786" si="188">MATCH(GM776-1,$R$7:$R$49,1)</f>
        <v>42</v>
      </c>
      <c r="GO776" s="14">
        <f t="shared" ref="GO776:GO786" si="189">INDEX($S$8:$S$49,GN776)</f>
        <v>1606050</v>
      </c>
      <c r="GP776" s="14" t="str">
        <f t="shared" si="184"/>
        <v>神器7-8 : 级</v>
      </c>
      <c r="GQ776" s="14" t="s">
        <v>816</v>
      </c>
      <c r="GR776" s="14">
        <f t="shared" si="185"/>
        <v>11</v>
      </c>
      <c r="GS776" s="14" t="str">
        <f t="shared" si="186"/>
        <v>神器7-8</v>
      </c>
      <c r="GT776" s="14">
        <f t="shared" si="187"/>
        <v>5</v>
      </c>
    </row>
    <row r="777" spans="195:202" ht="16.5" x14ac:dyDescent="0.2">
      <c r="GM777" s="91">
        <v>771</v>
      </c>
      <c r="GN777" s="14">
        <f t="shared" si="188"/>
        <v>42</v>
      </c>
      <c r="GO777" s="14">
        <f t="shared" si="189"/>
        <v>1606050</v>
      </c>
      <c r="GP777" s="14" t="str">
        <f t="shared" si="184"/>
        <v>神器7-8 : 级</v>
      </c>
      <c r="GQ777" s="14" t="s">
        <v>816</v>
      </c>
      <c r="GR777" s="14">
        <f t="shared" si="185"/>
        <v>12</v>
      </c>
      <c r="GS777" s="14" t="str">
        <f t="shared" si="186"/>
        <v>神器7-8</v>
      </c>
      <c r="GT777" s="14">
        <f t="shared" si="187"/>
        <v>6</v>
      </c>
    </row>
    <row r="778" spans="195:202" ht="16.5" x14ac:dyDescent="0.2">
      <c r="GM778" s="91">
        <v>772</v>
      </c>
      <c r="GN778" s="14">
        <f t="shared" si="188"/>
        <v>42</v>
      </c>
      <c r="GO778" s="14">
        <f t="shared" si="189"/>
        <v>1606050</v>
      </c>
      <c r="GP778" s="14" t="str">
        <f t="shared" si="184"/>
        <v>神器7-8 : 级</v>
      </c>
      <c r="GQ778" s="14" t="s">
        <v>816</v>
      </c>
      <c r="GR778" s="14">
        <f t="shared" si="185"/>
        <v>13</v>
      </c>
      <c r="GS778" s="14" t="str">
        <f t="shared" si="186"/>
        <v>神器7-8</v>
      </c>
      <c r="GT778" s="14">
        <f t="shared" si="187"/>
        <v>7</v>
      </c>
    </row>
    <row r="779" spans="195:202" ht="16.5" x14ac:dyDescent="0.2">
      <c r="GM779" s="91">
        <v>773</v>
      </c>
      <c r="GN779" s="14">
        <f t="shared" si="188"/>
        <v>42</v>
      </c>
      <c r="GO779" s="14">
        <f t="shared" si="189"/>
        <v>1606050</v>
      </c>
      <c r="GP779" s="14" t="str">
        <f t="shared" si="184"/>
        <v>神器7-8 : 级</v>
      </c>
      <c r="GQ779" s="14" t="s">
        <v>816</v>
      </c>
      <c r="GR779" s="14">
        <f t="shared" si="185"/>
        <v>14</v>
      </c>
      <c r="GS779" s="14" t="str">
        <f t="shared" si="186"/>
        <v>神器7-8</v>
      </c>
      <c r="GT779" s="14">
        <f t="shared" si="187"/>
        <v>7</v>
      </c>
    </row>
    <row r="780" spans="195:202" ht="16.5" x14ac:dyDescent="0.2">
      <c r="GM780" s="91">
        <v>774</v>
      </c>
      <c r="GN780" s="14">
        <f t="shared" si="188"/>
        <v>42</v>
      </c>
      <c r="GO780" s="14">
        <f t="shared" si="189"/>
        <v>1606050</v>
      </c>
      <c r="GP780" s="14" t="str">
        <f t="shared" si="184"/>
        <v>神器7-8 : 级</v>
      </c>
      <c r="GQ780" s="14" t="s">
        <v>816</v>
      </c>
      <c r="GR780" s="14">
        <f t="shared" si="185"/>
        <v>15</v>
      </c>
      <c r="GS780" s="14" t="str">
        <f t="shared" si="186"/>
        <v>神器7-8</v>
      </c>
      <c r="GT780" s="14">
        <f t="shared" si="187"/>
        <v>7</v>
      </c>
    </row>
    <row r="781" spans="195:202" ht="16.5" x14ac:dyDescent="0.2">
      <c r="GM781" s="91">
        <v>775</v>
      </c>
      <c r="GN781" s="14">
        <f t="shared" si="188"/>
        <v>42</v>
      </c>
      <c r="GO781" s="14">
        <f t="shared" si="189"/>
        <v>1606050</v>
      </c>
      <c r="GP781" s="14" t="str">
        <f t="shared" si="184"/>
        <v>神器7-8 : 级</v>
      </c>
      <c r="GQ781" s="14" t="s">
        <v>816</v>
      </c>
      <c r="GR781" s="14">
        <f t="shared" si="185"/>
        <v>16</v>
      </c>
      <c r="GS781" s="14" t="str">
        <f t="shared" si="186"/>
        <v>神器7-8</v>
      </c>
      <c r="GT781" s="14">
        <f t="shared" si="187"/>
        <v>10</v>
      </c>
    </row>
    <row r="782" spans="195:202" ht="16.5" x14ac:dyDescent="0.2">
      <c r="GM782" s="91">
        <v>776</v>
      </c>
      <c r="GN782" s="14">
        <f t="shared" si="188"/>
        <v>42</v>
      </c>
      <c r="GO782" s="14">
        <f t="shared" si="189"/>
        <v>1606050</v>
      </c>
      <c r="GP782" s="14" t="str">
        <f t="shared" si="184"/>
        <v>神器7-8 : 级</v>
      </c>
      <c r="GQ782" s="14" t="s">
        <v>816</v>
      </c>
      <c r="GR782" s="14">
        <f t="shared" si="185"/>
        <v>17</v>
      </c>
      <c r="GS782" s="14" t="str">
        <f t="shared" si="186"/>
        <v>神器7-8</v>
      </c>
      <c r="GT782" s="14">
        <f t="shared" si="187"/>
        <v>10</v>
      </c>
    </row>
    <row r="783" spans="195:202" ht="16.5" x14ac:dyDescent="0.2">
      <c r="GM783" s="91">
        <v>777</v>
      </c>
      <c r="GN783" s="14">
        <f t="shared" si="188"/>
        <v>42</v>
      </c>
      <c r="GO783" s="14">
        <f t="shared" si="189"/>
        <v>1606050</v>
      </c>
      <c r="GP783" s="14" t="str">
        <f t="shared" si="184"/>
        <v>神器7-8 : 级</v>
      </c>
      <c r="GQ783" s="14" t="s">
        <v>816</v>
      </c>
      <c r="GR783" s="14">
        <f t="shared" si="185"/>
        <v>18</v>
      </c>
      <c r="GS783" s="14" t="str">
        <f t="shared" si="186"/>
        <v>神器7-8</v>
      </c>
      <c r="GT783" s="14">
        <f t="shared" si="187"/>
        <v>10</v>
      </c>
    </row>
    <row r="784" spans="195:202" ht="16.5" x14ac:dyDescent="0.2">
      <c r="GM784" s="91">
        <v>778</v>
      </c>
      <c r="GN784" s="14">
        <f t="shared" si="188"/>
        <v>42</v>
      </c>
      <c r="GO784" s="14">
        <f t="shared" si="189"/>
        <v>1606050</v>
      </c>
      <c r="GP784" s="14" t="str">
        <f t="shared" si="184"/>
        <v>神器7-8 : 级</v>
      </c>
      <c r="GQ784" s="14" t="s">
        <v>816</v>
      </c>
      <c r="GR784" s="14">
        <f t="shared" si="185"/>
        <v>19</v>
      </c>
      <c r="GS784" s="14" t="str">
        <f t="shared" si="186"/>
        <v>神器7-8</v>
      </c>
      <c r="GT784" s="14">
        <f t="shared" si="187"/>
        <v>15</v>
      </c>
    </row>
    <row r="785" spans="195:202" ht="16.5" x14ac:dyDescent="0.2">
      <c r="GM785" s="91">
        <v>779</v>
      </c>
      <c r="GN785" s="14">
        <f t="shared" si="188"/>
        <v>42</v>
      </c>
      <c r="GO785" s="14">
        <f t="shared" si="189"/>
        <v>1606050</v>
      </c>
      <c r="GP785" s="14" t="str">
        <f t="shared" si="184"/>
        <v>神器7-8 : 级</v>
      </c>
      <c r="GQ785" s="14" t="s">
        <v>816</v>
      </c>
      <c r="GR785" s="14">
        <f t="shared" si="185"/>
        <v>20</v>
      </c>
      <c r="GS785" s="14" t="str">
        <f t="shared" si="186"/>
        <v>神器7-8</v>
      </c>
      <c r="GT785" s="14">
        <f t="shared" si="187"/>
        <v>15</v>
      </c>
    </row>
    <row r="786" spans="195:202" ht="16.5" x14ac:dyDescent="0.2">
      <c r="GM786" s="91">
        <v>780</v>
      </c>
      <c r="GN786" s="14">
        <f t="shared" si="188"/>
        <v>42</v>
      </c>
      <c r="GO786" s="14">
        <f t="shared" si="189"/>
        <v>1606050</v>
      </c>
      <c r="GP786" s="14" t="str">
        <f t="shared" si="184"/>
        <v>神器7-8 : 级</v>
      </c>
      <c r="GQ786" s="14" t="s">
        <v>816</v>
      </c>
      <c r="GR786" s="14">
        <f t="shared" si="185"/>
        <v>21</v>
      </c>
      <c r="GS786" s="14" t="str">
        <f t="shared" si="186"/>
        <v>神器7-8</v>
      </c>
      <c r="GT786" s="14">
        <f t="shared" si="187"/>
        <v>15</v>
      </c>
    </row>
  </sheetData>
  <mergeCells count="17">
    <mergeCell ref="FU5:GB5"/>
    <mergeCell ref="GC5:GJ5"/>
    <mergeCell ref="EU5:EW5"/>
    <mergeCell ref="EX5:FB5"/>
    <mergeCell ref="FC5:FH5"/>
    <mergeCell ref="FI5:FN5"/>
    <mergeCell ref="FO5:FT5"/>
    <mergeCell ref="GM4:GT4"/>
    <mergeCell ref="J4:L4"/>
    <mergeCell ref="N4:T4"/>
    <mergeCell ref="BG4:DA4"/>
    <mergeCell ref="DC4:ER4"/>
    <mergeCell ref="EU4:GJ4"/>
    <mergeCell ref="W4:AA4"/>
    <mergeCell ref="AD4:AI4"/>
    <mergeCell ref="AL4:AY4"/>
    <mergeCell ref="BB4:BD4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41"/>
  <sheetViews>
    <sheetView topLeftCell="G1" workbookViewId="0">
      <selection activeCell="Q8" sqref="Q8:R8"/>
    </sheetView>
  </sheetViews>
  <sheetFormatPr defaultRowHeight="14.25" x14ac:dyDescent="0.2"/>
  <cols>
    <col min="1" max="1" width="10" customWidth="1"/>
    <col min="2" max="2" width="10.625" customWidth="1"/>
    <col min="3" max="3" width="9.75" style="132" customWidth="1"/>
    <col min="12" max="13" width="9" style="146"/>
    <col min="16" max="16" width="9" style="146"/>
    <col min="17" max="21" width="10.625" customWidth="1"/>
    <col min="25" max="31" width="9" style="146"/>
  </cols>
  <sheetData>
    <row r="3" spans="1:29" x14ac:dyDescent="0.2">
      <c r="H3">
        <v>0.8</v>
      </c>
      <c r="I3">
        <v>1</v>
      </c>
      <c r="J3">
        <v>1.2</v>
      </c>
    </row>
    <row r="4" spans="1:29" ht="20.25" x14ac:dyDescent="0.2">
      <c r="A4" s="186" t="s">
        <v>1093</v>
      </c>
      <c r="B4" s="186"/>
      <c r="C4" s="186"/>
      <c r="D4" s="186"/>
      <c r="E4" s="186"/>
      <c r="F4" s="186"/>
      <c r="H4" s="186" t="s">
        <v>1225</v>
      </c>
      <c r="I4" s="186"/>
      <c r="J4" s="186"/>
      <c r="O4" s="186" t="s">
        <v>1228</v>
      </c>
      <c r="P4" s="186"/>
      <c r="Q4" s="186"/>
      <c r="R4" s="186"/>
      <c r="S4" s="186"/>
      <c r="T4" s="186"/>
      <c r="U4" s="186"/>
      <c r="X4" s="186" t="s">
        <v>1229</v>
      </c>
      <c r="Y4" s="186"/>
      <c r="Z4" s="186"/>
      <c r="AA4" s="186"/>
      <c r="AB4" s="186"/>
      <c r="AC4" s="186"/>
    </row>
    <row r="5" spans="1:29" ht="17.25" x14ac:dyDescent="0.2">
      <c r="A5" s="12" t="s">
        <v>1094</v>
      </c>
      <c r="B5" s="12" t="s">
        <v>1095</v>
      </c>
      <c r="C5" s="12" t="s">
        <v>1053</v>
      </c>
      <c r="D5" s="12" t="s">
        <v>1096</v>
      </c>
      <c r="E5" s="12" t="s">
        <v>108</v>
      </c>
      <c r="F5" s="12" t="s">
        <v>1097</v>
      </c>
      <c r="H5" s="45" t="s">
        <v>1222</v>
      </c>
      <c r="I5" s="45" t="s">
        <v>1223</v>
      </c>
      <c r="J5" s="45" t="s">
        <v>1224</v>
      </c>
      <c r="L5" s="23" t="s">
        <v>1230</v>
      </c>
      <c r="M5" s="23" t="s">
        <v>1231</v>
      </c>
      <c r="O5" s="23" t="s">
        <v>1226</v>
      </c>
      <c r="P5" s="23" t="s">
        <v>1201</v>
      </c>
      <c r="Q5" s="12" t="s">
        <v>141</v>
      </c>
      <c r="R5" s="12" t="s">
        <v>142</v>
      </c>
      <c r="S5" s="12" t="s">
        <v>143</v>
      </c>
      <c r="T5" s="12" t="s">
        <v>144</v>
      </c>
      <c r="U5" s="12" t="s">
        <v>436</v>
      </c>
      <c r="X5" s="23" t="s">
        <v>1226</v>
      </c>
      <c r="Y5" s="23" t="s">
        <v>1201</v>
      </c>
      <c r="Z5" s="12" t="s">
        <v>429</v>
      </c>
      <c r="AA5" s="12" t="s">
        <v>430</v>
      </c>
      <c r="AB5" s="12" t="s">
        <v>431</v>
      </c>
      <c r="AC5" s="12" t="s">
        <v>1227</v>
      </c>
    </row>
    <row r="6" spans="1:29" ht="16.5" x14ac:dyDescent="0.2">
      <c r="A6" s="133">
        <v>0</v>
      </c>
      <c r="B6" s="133">
        <v>0</v>
      </c>
      <c r="C6" s="133">
        <v>0</v>
      </c>
      <c r="D6" s="133">
        <v>0</v>
      </c>
      <c r="E6" s="133">
        <v>0</v>
      </c>
      <c r="F6" s="133">
        <v>0</v>
      </c>
      <c r="G6" s="132"/>
      <c r="H6" s="144"/>
      <c r="I6" s="144"/>
      <c r="J6" s="144"/>
      <c r="L6" s="144">
        <v>1</v>
      </c>
      <c r="M6" s="144">
        <f>INDEX($H$7:$J$18,INT((L6-1)/3)+1,MOD(L6-1,3)+1)</f>
        <v>8000</v>
      </c>
      <c r="O6" s="144">
        <v>1</v>
      </c>
      <c r="P6" s="144">
        <v>15</v>
      </c>
      <c r="Q6" s="144">
        <v>100</v>
      </c>
      <c r="R6" s="144"/>
      <c r="S6" s="144"/>
      <c r="T6" s="144"/>
      <c r="U6" s="144"/>
      <c r="X6" s="144">
        <v>1</v>
      </c>
      <c r="Y6" s="144">
        <v>30</v>
      </c>
      <c r="Z6" s="144">
        <v>15</v>
      </c>
      <c r="AA6" s="144"/>
      <c r="AB6" s="144"/>
      <c r="AC6" s="144"/>
    </row>
    <row r="7" spans="1:29" ht="16.5" x14ac:dyDescent="0.2">
      <c r="A7" s="129">
        <v>1</v>
      </c>
      <c r="B7" s="129">
        <v>20</v>
      </c>
      <c r="C7" s="129">
        <f>MATCH(日常副本!B7,章节关卡!$B$5:$B$35,1)</f>
        <v>4</v>
      </c>
      <c r="D7" s="129">
        <f>INDEX(章节关卡!$H$6:$H$35,C7)</f>
        <v>25</v>
      </c>
      <c r="E7" s="129">
        <v>400</v>
      </c>
      <c r="F7" s="14">
        <f>D7*E7</f>
        <v>10000</v>
      </c>
      <c r="G7" s="132"/>
      <c r="H7" s="144">
        <f>$F7*H$3</f>
        <v>8000</v>
      </c>
      <c r="I7" s="144">
        <f t="shared" ref="I7:J18" si="0">$F7*I$3</f>
        <v>10000</v>
      </c>
      <c r="J7" s="144">
        <f t="shared" si="0"/>
        <v>12000</v>
      </c>
      <c r="L7" s="144">
        <v>2</v>
      </c>
      <c r="M7" s="144">
        <f t="shared" ref="M7:M41" si="1">INDEX($H$7:$J$18,INT((L7-1)/3)+1,MOD(L7-1,3)+1)</f>
        <v>10000</v>
      </c>
      <c r="O7" s="144">
        <v>2</v>
      </c>
      <c r="P7" s="144">
        <v>25</v>
      </c>
      <c r="Q7" s="144">
        <v>200</v>
      </c>
      <c r="R7" s="144"/>
      <c r="S7" s="144"/>
      <c r="T7" s="144"/>
      <c r="U7" s="144"/>
      <c r="X7" s="144">
        <v>2</v>
      </c>
      <c r="Y7" s="144">
        <v>40</v>
      </c>
      <c r="Z7" s="144">
        <v>30</v>
      </c>
      <c r="AA7" s="144"/>
      <c r="AB7" s="144"/>
      <c r="AC7" s="144"/>
    </row>
    <row r="8" spans="1:29" ht="16.5" x14ac:dyDescent="0.2">
      <c r="A8" s="129">
        <v>2</v>
      </c>
      <c r="B8" s="129">
        <v>30</v>
      </c>
      <c r="C8" s="129">
        <f>MATCH(日常副本!B8,章节关卡!$B$5:$B$35,1)</f>
        <v>6</v>
      </c>
      <c r="D8" s="129">
        <f>INDEX(章节关卡!$H$6:$H$35,C8)</f>
        <v>35</v>
      </c>
      <c r="E8" s="129">
        <v>400</v>
      </c>
      <c r="F8" s="14">
        <f t="shared" ref="F8:F18" si="2">D8*E8</f>
        <v>14000</v>
      </c>
      <c r="G8" s="132"/>
      <c r="H8" s="144">
        <f t="shared" ref="H8:H18" si="3">$F8*H$3</f>
        <v>11200</v>
      </c>
      <c r="I8" s="144">
        <f t="shared" si="0"/>
        <v>14000</v>
      </c>
      <c r="J8" s="144">
        <f t="shared" si="0"/>
        <v>16800</v>
      </c>
      <c r="L8" s="144">
        <v>3</v>
      </c>
      <c r="M8" s="144">
        <f t="shared" si="1"/>
        <v>12000</v>
      </c>
      <c r="O8" s="144">
        <v>3</v>
      </c>
      <c r="P8" s="144">
        <v>35</v>
      </c>
      <c r="Q8" s="144">
        <v>150</v>
      </c>
      <c r="R8" s="144">
        <v>50</v>
      </c>
      <c r="S8" s="144"/>
      <c r="T8" s="144"/>
      <c r="U8" s="144"/>
      <c r="X8" s="144">
        <v>3</v>
      </c>
      <c r="Y8" s="144">
        <v>50</v>
      </c>
      <c r="Z8" s="144">
        <v>50</v>
      </c>
      <c r="AA8" s="144"/>
      <c r="AB8" s="144"/>
      <c r="AC8" s="144"/>
    </row>
    <row r="9" spans="1:29" ht="16.5" x14ac:dyDescent="0.2">
      <c r="A9" s="129">
        <v>3</v>
      </c>
      <c r="B9" s="129">
        <v>40</v>
      </c>
      <c r="C9" s="129">
        <f>MATCH(日常副本!B9,章节关卡!$B$5:$B$35,1)</f>
        <v>8</v>
      </c>
      <c r="D9" s="129">
        <f>INDEX(章节关卡!$H$6:$H$35,C9)</f>
        <v>45</v>
      </c>
      <c r="E9" s="129">
        <v>400</v>
      </c>
      <c r="F9" s="14">
        <f t="shared" si="2"/>
        <v>18000</v>
      </c>
      <c r="G9" s="132"/>
      <c r="H9" s="144">
        <f t="shared" si="3"/>
        <v>14400</v>
      </c>
      <c r="I9" s="144">
        <f t="shared" si="0"/>
        <v>18000</v>
      </c>
      <c r="J9" s="144">
        <f t="shared" si="0"/>
        <v>21600</v>
      </c>
      <c r="L9" s="144">
        <v>4</v>
      </c>
      <c r="M9" s="144">
        <f t="shared" si="1"/>
        <v>11200</v>
      </c>
      <c r="O9" s="144">
        <v>4</v>
      </c>
      <c r="P9" s="144">
        <v>45</v>
      </c>
      <c r="Q9" s="144"/>
      <c r="R9" s="144">
        <v>80</v>
      </c>
      <c r="S9" s="144"/>
      <c r="T9" s="144"/>
      <c r="U9" s="144"/>
      <c r="X9" s="144">
        <v>4</v>
      </c>
      <c r="Y9" s="144">
        <v>60</v>
      </c>
      <c r="Z9" s="144">
        <v>35</v>
      </c>
      <c r="AA9" s="144">
        <v>8</v>
      </c>
      <c r="AB9" s="144"/>
      <c r="AC9" s="144"/>
    </row>
    <row r="10" spans="1:29" ht="16.5" x14ac:dyDescent="0.2">
      <c r="A10" s="129">
        <v>4</v>
      </c>
      <c r="B10" s="129">
        <v>55</v>
      </c>
      <c r="C10" s="129">
        <f>MATCH(日常副本!B10,章节关卡!$B$5:$B$35,1)</f>
        <v>11</v>
      </c>
      <c r="D10" s="129">
        <f>INDEX(章节关卡!$H$6:$H$35,C10)</f>
        <v>60</v>
      </c>
      <c r="E10" s="129">
        <v>400</v>
      </c>
      <c r="F10" s="14">
        <f t="shared" si="2"/>
        <v>24000</v>
      </c>
      <c r="G10" s="132"/>
      <c r="H10" s="144">
        <f t="shared" si="3"/>
        <v>19200</v>
      </c>
      <c r="I10" s="144">
        <f t="shared" si="0"/>
        <v>24000</v>
      </c>
      <c r="J10" s="144">
        <f t="shared" si="0"/>
        <v>28800</v>
      </c>
      <c r="L10" s="144">
        <v>5</v>
      </c>
      <c r="M10" s="144">
        <f t="shared" si="1"/>
        <v>14000</v>
      </c>
      <c r="O10" s="144">
        <v>5</v>
      </c>
      <c r="P10" s="144">
        <v>55</v>
      </c>
      <c r="Q10" s="144"/>
      <c r="R10" s="144">
        <v>120</v>
      </c>
      <c r="S10" s="144"/>
      <c r="T10" s="144"/>
      <c r="U10" s="144"/>
      <c r="X10" s="144">
        <v>5</v>
      </c>
      <c r="Y10" s="144">
        <v>70</v>
      </c>
      <c r="Z10" s="144">
        <v>20</v>
      </c>
      <c r="AA10" s="144">
        <v>15</v>
      </c>
      <c r="AB10" s="144"/>
      <c r="AC10" s="144"/>
    </row>
    <row r="11" spans="1:29" ht="16.5" x14ac:dyDescent="0.2">
      <c r="A11" s="129">
        <v>5</v>
      </c>
      <c r="B11" s="129">
        <v>70</v>
      </c>
      <c r="C11" s="129">
        <f>MATCH(日常副本!B11,章节关卡!$B$5:$B$35,1)</f>
        <v>14</v>
      </c>
      <c r="D11" s="129">
        <f>INDEX(章节关卡!$H$6:$H$35,C11)</f>
        <v>75</v>
      </c>
      <c r="E11" s="129">
        <v>400</v>
      </c>
      <c r="F11" s="14">
        <f t="shared" si="2"/>
        <v>30000</v>
      </c>
      <c r="G11" s="132"/>
      <c r="H11" s="144">
        <f t="shared" si="3"/>
        <v>24000</v>
      </c>
      <c r="I11" s="144">
        <f t="shared" si="0"/>
        <v>30000</v>
      </c>
      <c r="J11" s="144">
        <f t="shared" si="0"/>
        <v>36000</v>
      </c>
      <c r="L11" s="144">
        <v>6</v>
      </c>
      <c r="M11" s="144">
        <f t="shared" si="1"/>
        <v>16800</v>
      </c>
      <c r="O11" s="144">
        <v>6</v>
      </c>
      <c r="P11" s="144">
        <v>65</v>
      </c>
      <c r="Q11" s="144"/>
      <c r="R11" s="144">
        <v>75</v>
      </c>
      <c r="S11" s="144">
        <v>18</v>
      </c>
      <c r="T11" s="144"/>
      <c r="U11" s="144"/>
      <c r="X11" s="144">
        <v>6</v>
      </c>
      <c r="Y11" s="144">
        <v>80</v>
      </c>
      <c r="Z11" s="144"/>
      <c r="AA11" s="144">
        <v>21</v>
      </c>
      <c r="AB11" s="144"/>
      <c r="AC11" s="144"/>
    </row>
    <row r="12" spans="1:29" ht="16.5" x14ac:dyDescent="0.2">
      <c r="A12" s="129">
        <v>6</v>
      </c>
      <c r="B12" s="129">
        <v>80</v>
      </c>
      <c r="C12" s="129">
        <f>MATCH(日常副本!B12,章节关卡!$B$5:$B$35,1)</f>
        <v>16</v>
      </c>
      <c r="D12" s="129">
        <f>INDEX(章节关卡!$H$6:$H$35,C12)</f>
        <v>90</v>
      </c>
      <c r="E12" s="129">
        <v>400</v>
      </c>
      <c r="F12" s="14">
        <f t="shared" si="2"/>
        <v>36000</v>
      </c>
      <c r="G12" s="132"/>
      <c r="H12" s="144">
        <f t="shared" si="3"/>
        <v>28800</v>
      </c>
      <c r="I12" s="144">
        <f t="shared" si="0"/>
        <v>36000</v>
      </c>
      <c r="J12" s="144">
        <f t="shared" si="0"/>
        <v>43200</v>
      </c>
      <c r="L12" s="144">
        <v>7</v>
      </c>
      <c r="M12" s="144">
        <f t="shared" si="1"/>
        <v>14400</v>
      </c>
      <c r="O12" s="144">
        <v>7</v>
      </c>
      <c r="P12" s="144">
        <v>75</v>
      </c>
      <c r="Q12" s="144"/>
      <c r="R12" s="144">
        <v>40</v>
      </c>
      <c r="S12" s="144">
        <v>32</v>
      </c>
      <c r="T12" s="144"/>
      <c r="U12" s="144"/>
      <c r="X12" s="144">
        <v>7</v>
      </c>
      <c r="Y12" s="144">
        <v>90</v>
      </c>
      <c r="Z12" s="144"/>
      <c r="AA12" s="144">
        <v>13</v>
      </c>
      <c r="AB12" s="144">
        <v>4</v>
      </c>
      <c r="AC12" s="144"/>
    </row>
    <row r="13" spans="1:29" ht="16.5" x14ac:dyDescent="0.2">
      <c r="A13" s="129">
        <v>7</v>
      </c>
      <c r="B13" s="129">
        <v>90</v>
      </c>
      <c r="C13" s="129">
        <f>MATCH(日常副本!B13,章节关卡!$B$5:$B$35,1)</f>
        <v>18</v>
      </c>
      <c r="D13" s="129">
        <f>INDEX(章节关卡!$H$6:$H$35,C13)</f>
        <v>110</v>
      </c>
      <c r="E13" s="129">
        <v>400</v>
      </c>
      <c r="F13" s="14">
        <f t="shared" si="2"/>
        <v>44000</v>
      </c>
      <c r="G13" s="132"/>
      <c r="H13" s="144">
        <f t="shared" si="3"/>
        <v>35200</v>
      </c>
      <c r="I13" s="144">
        <f t="shared" si="0"/>
        <v>44000</v>
      </c>
      <c r="J13" s="144">
        <f t="shared" si="0"/>
        <v>52800</v>
      </c>
      <c r="L13" s="144">
        <v>8</v>
      </c>
      <c r="M13" s="144">
        <f t="shared" si="1"/>
        <v>18000</v>
      </c>
      <c r="O13" s="144">
        <v>8</v>
      </c>
      <c r="P13" s="144">
        <v>85</v>
      </c>
      <c r="Q13" s="144"/>
      <c r="R13" s="144"/>
      <c r="S13" s="144">
        <v>48</v>
      </c>
      <c r="T13" s="144"/>
      <c r="U13" s="144"/>
      <c r="X13" s="144">
        <v>8</v>
      </c>
      <c r="Y13" s="144">
        <v>100</v>
      </c>
      <c r="Z13" s="144"/>
      <c r="AA13" s="144">
        <v>8</v>
      </c>
      <c r="AB13" s="144">
        <v>7</v>
      </c>
      <c r="AC13" s="144"/>
    </row>
    <row r="14" spans="1:29" ht="16.5" x14ac:dyDescent="0.2">
      <c r="A14" s="129">
        <v>8</v>
      </c>
      <c r="B14" s="129">
        <v>105</v>
      </c>
      <c r="C14" s="129">
        <f>MATCH(日常副本!B14,章节关卡!$B$5:$B$35,1)</f>
        <v>21</v>
      </c>
      <c r="D14" s="129">
        <f>INDEX(章节关卡!$H$6:$H$35,C14)</f>
        <v>140</v>
      </c>
      <c r="E14" s="129">
        <v>400</v>
      </c>
      <c r="F14" s="14">
        <f t="shared" si="2"/>
        <v>56000</v>
      </c>
      <c r="G14" s="132"/>
      <c r="H14" s="144">
        <f t="shared" si="3"/>
        <v>44800</v>
      </c>
      <c r="I14" s="144">
        <f t="shared" si="0"/>
        <v>56000</v>
      </c>
      <c r="J14" s="144">
        <f t="shared" si="0"/>
        <v>67200</v>
      </c>
      <c r="L14" s="144">
        <v>9</v>
      </c>
      <c r="M14" s="144">
        <f t="shared" si="1"/>
        <v>21600</v>
      </c>
      <c r="O14" s="144">
        <v>9</v>
      </c>
      <c r="P14" s="144">
        <v>95</v>
      </c>
      <c r="Q14" s="144"/>
      <c r="R14" s="144"/>
      <c r="S14" s="144">
        <v>32</v>
      </c>
      <c r="T14" s="144">
        <v>8</v>
      </c>
      <c r="U14" s="144"/>
      <c r="X14" s="144">
        <v>9</v>
      </c>
      <c r="Y14" s="144">
        <v>110</v>
      </c>
      <c r="Z14" s="144"/>
      <c r="AA14" s="144"/>
      <c r="AB14" s="144">
        <v>11</v>
      </c>
      <c r="AC14" s="144"/>
    </row>
    <row r="15" spans="1:29" ht="16.5" x14ac:dyDescent="0.2">
      <c r="A15" s="129">
        <v>9</v>
      </c>
      <c r="B15" s="129">
        <v>120</v>
      </c>
      <c r="C15" s="129">
        <f>MATCH(日常副本!B15,章节关卡!$B$5:$B$35,1)</f>
        <v>24</v>
      </c>
      <c r="D15" s="129">
        <f>INDEX(章节关卡!$H$6:$H$35,C15)</f>
        <v>170</v>
      </c>
      <c r="E15" s="129">
        <v>400</v>
      </c>
      <c r="F15" s="14">
        <f t="shared" si="2"/>
        <v>68000</v>
      </c>
      <c r="G15" s="132"/>
      <c r="H15" s="144">
        <f t="shared" si="3"/>
        <v>54400</v>
      </c>
      <c r="I15" s="144">
        <f t="shared" si="0"/>
        <v>68000</v>
      </c>
      <c r="J15" s="144">
        <f t="shared" si="0"/>
        <v>81600</v>
      </c>
      <c r="L15" s="144">
        <v>10</v>
      </c>
      <c r="M15" s="144">
        <f t="shared" si="1"/>
        <v>19200</v>
      </c>
      <c r="O15" s="144">
        <v>10</v>
      </c>
      <c r="P15" s="144">
        <v>105</v>
      </c>
      <c r="Q15" s="144"/>
      <c r="R15" s="144"/>
      <c r="S15" s="144">
        <v>16</v>
      </c>
      <c r="T15" s="144">
        <v>15</v>
      </c>
      <c r="U15" s="144"/>
      <c r="X15" s="144">
        <v>10</v>
      </c>
      <c r="Y15" s="144">
        <v>120</v>
      </c>
      <c r="Z15" s="144"/>
      <c r="AA15" s="144"/>
      <c r="AB15" s="144">
        <v>7</v>
      </c>
      <c r="AC15" s="144">
        <v>2</v>
      </c>
    </row>
    <row r="16" spans="1:29" ht="16.5" x14ac:dyDescent="0.2">
      <c r="A16" s="129">
        <v>10</v>
      </c>
      <c r="B16" s="129">
        <v>130</v>
      </c>
      <c r="C16" s="129">
        <f>MATCH(日常副本!B16,章节关卡!$B$5:$B$35,1)</f>
        <v>26</v>
      </c>
      <c r="D16" s="129">
        <f>INDEX(章节关卡!$H$6:$H$35,C16)</f>
        <v>190</v>
      </c>
      <c r="E16" s="129">
        <v>400</v>
      </c>
      <c r="F16" s="14">
        <f t="shared" si="2"/>
        <v>76000</v>
      </c>
      <c r="G16" s="132"/>
      <c r="H16" s="144">
        <f t="shared" si="3"/>
        <v>60800</v>
      </c>
      <c r="I16" s="144">
        <f t="shared" si="0"/>
        <v>76000</v>
      </c>
      <c r="J16" s="144">
        <f t="shared" si="0"/>
        <v>91200</v>
      </c>
      <c r="L16" s="144">
        <v>11</v>
      </c>
      <c r="M16" s="144">
        <f t="shared" si="1"/>
        <v>24000</v>
      </c>
      <c r="O16" s="144">
        <v>11</v>
      </c>
      <c r="P16" s="144">
        <v>115</v>
      </c>
      <c r="Q16" s="144"/>
      <c r="R16" s="144"/>
      <c r="S16" s="144"/>
      <c r="T16" s="144">
        <v>24</v>
      </c>
      <c r="U16" s="144"/>
      <c r="X16" s="144">
        <v>11</v>
      </c>
      <c r="Y16" s="144">
        <v>130</v>
      </c>
      <c r="Z16" s="144"/>
      <c r="AA16" s="144"/>
      <c r="AB16" s="144">
        <v>4</v>
      </c>
      <c r="AC16" s="144">
        <v>4</v>
      </c>
    </row>
    <row r="17" spans="1:30" ht="16.5" x14ac:dyDescent="0.2">
      <c r="A17" s="129">
        <v>11</v>
      </c>
      <c r="B17" s="129">
        <v>140</v>
      </c>
      <c r="C17" s="129">
        <f>MATCH(日常副本!B17,章节关卡!$B$5:$B$35,1)</f>
        <v>28</v>
      </c>
      <c r="D17" s="129">
        <f>INDEX(章节关卡!$H$6:$H$35,C17)</f>
        <v>210</v>
      </c>
      <c r="E17" s="129">
        <v>400</v>
      </c>
      <c r="F17" s="14">
        <f t="shared" si="2"/>
        <v>84000</v>
      </c>
      <c r="G17" s="132"/>
      <c r="H17" s="144">
        <f t="shared" si="3"/>
        <v>67200</v>
      </c>
      <c r="I17" s="144">
        <f t="shared" si="0"/>
        <v>84000</v>
      </c>
      <c r="J17" s="144">
        <f t="shared" si="0"/>
        <v>100800</v>
      </c>
      <c r="L17" s="144">
        <v>12</v>
      </c>
      <c r="M17" s="144">
        <f t="shared" si="1"/>
        <v>28800</v>
      </c>
      <c r="O17" s="144">
        <v>12</v>
      </c>
      <c r="P17" s="144">
        <v>125</v>
      </c>
      <c r="Q17" s="144"/>
      <c r="R17" s="144"/>
      <c r="S17" s="144"/>
      <c r="T17" s="144">
        <v>15</v>
      </c>
      <c r="U17" s="144">
        <v>5</v>
      </c>
      <c r="X17" s="144">
        <v>12</v>
      </c>
      <c r="Y17" s="144">
        <v>140</v>
      </c>
      <c r="Z17" s="144"/>
      <c r="AA17" s="144"/>
      <c r="AB17" s="144"/>
      <c r="AC17" s="144">
        <v>6</v>
      </c>
    </row>
    <row r="18" spans="1:30" ht="16.5" x14ac:dyDescent="0.2">
      <c r="A18" s="129">
        <v>12</v>
      </c>
      <c r="B18" s="129">
        <v>150</v>
      </c>
      <c r="C18" s="129">
        <v>30</v>
      </c>
      <c r="D18" s="129">
        <f>INDEX(章节关卡!$H$6:$H$35,C18)</f>
        <v>220</v>
      </c>
      <c r="E18" s="129">
        <v>400</v>
      </c>
      <c r="F18" s="14">
        <f t="shared" si="2"/>
        <v>88000</v>
      </c>
      <c r="H18" s="144">
        <f t="shared" si="3"/>
        <v>70400</v>
      </c>
      <c r="I18" s="144">
        <f t="shared" si="0"/>
        <v>88000</v>
      </c>
      <c r="J18" s="144">
        <f t="shared" si="0"/>
        <v>105600</v>
      </c>
      <c r="L18" s="144">
        <v>13</v>
      </c>
      <c r="M18" s="144">
        <f t="shared" si="1"/>
        <v>24000</v>
      </c>
      <c r="O18" s="144">
        <v>13</v>
      </c>
      <c r="P18" s="144">
        <v>140</v>
      </c>
      <c r="Q18" s="144"/>
      <c r="R18" s="144"/>
      <c r="S18" s="144"/>
      <c r="T18" s="144"/>
      <c r="U18" s="144">
        <v>10</v>
      </c>
      <c r="X18" s="145"/>
      <c r="Y18" s="145"/>
      <c r="Z18" s="145"/>
      <c r="AA18" s="145"/>
      <c r="AB18" s="145"/>
      <c r="AC18" s="145"/>
      <c r="AD18" s="145"/>
    </row>
    <row r="19" spans="1:30" ht="16.5" x14ac:dyDescent="0.2">
      <c r="L19" s="144">
        <v>14</v>
      </c>
      <c r="M19" s="144">
        <f t="shared" si="1"/>
        <v>30000</v>
      </c>
      <c r="O19" s="145"/>
      <c r="P19" s="145"/>
      <c r="Q19" s="145"/>
      <c r="R19" s="145"/>
      <c r="S19" s="145"/>
      <c r="T19" s="145"/>
      <c r="U19" s="145"/>
    </row>
    <row r="20" spans="1:30" ht="16.5" x14ac:dyDescent="0.2">
      <c r="L20" s="144">
        <v>15</v>
      </c>
      <c r="M20" s="144">
        <f t="shared" si="1"/>
        <v>36000</v>
      </c>
      <c r="O20" s="145"/>
      <c r="P20" s="145"/>
      <c r="Q20" s="145"/>
      <c r="R20" s="145"/>
      <c r="S20" s="145"/>
      <c r="T20" s="145"/>
      <c r="U20" s="145"/>
    </row>
    <row r="21" spans="1:30" ht="16.5" x14ac:dyDescent="0.2">
      <c r="L21" s="144">
        <v>16</v>
      </c>
      <c r="M21" s="144">
        <f t="shared" si="1"/>
        <v>28800</v>
      </c>
    </row>
    <row r="22" spans="1:30" ht="16.5" x14ac:dyDescent="0.2">
      <c r="L22" s="144">
        <v>17</v>
      </c>
      <c r="M22" s="144">
        <f t="shared" si="1"/>
        <v>36000</v>
      </c>
    </row>
    <row r="23" spans="1:30" ht="16.5" x14ac:dyDescent="0.2">
      <c r="L23" s="144">
        <v>18</v>
      </c>
      <c r="M23" s="144">
        <f t="shared" si="1"/>
        <v>43200</v>
      </c>
    </row>
    <row r="24" spans="1:30" ht="16.5" x14ac:dyDescent="0.2">
      <c r="L24" s="144">
        <v>19</v>
      </c>
      <c r="M24" s="144">
        <f t="shared" si="1"/>
        <v>35200</v>
      </c>
    </row>
    <row r="25" spans="1:30" ht="16.5" x14ac:dyDescent="0.2">
      <c r="L25" s="144">
        <v>20</v>
      </c>
      <c r="M25" s="144">
        <f t="shared" si="1"/>
        <v>44000</v>
      </c>
    </row>
    <row r="26" spans="1:30" ht="16.5" x14ac:dyDescent="0.2">
      <c r="L26" s="144">
        <v>21</v>
      </c>
      <c r="M26" s="144">
        <f t="shared" si="1"/>
        <v>52800</v>
      </c>
    </row>
    <row r="27" spans="1:30" ht="16.5" x14ac:dyDescent="0.2">
      <c r="L27" s="144">
        <v>22</v>
      </c>
      <c r="M27" s="144">
        <f t="shared" si="1"/>
        <v>44800</v>
      </c>
    </row>
    <row r="28" spans="1:30" ht="16.5" x14ac:dyDescent="0.2">
      <c r="L28" s="144">
        <v>23</v>
      </c>
      <c r="M28" s="144">
        <f t="shared" si="1"/>
        <v>56000</v>
      </c>
    </row>
    <row r="29" spans="1:30" ht="16.5" x14ac:dyDescent="0.2">
      <c r="L29" s="144">
        <v>24</v>
      </c>
      <c r="M29" s="144">
        <f t="shared" si="1"/>
        <v>67200</v>
      </c>
    </row>
    <row r="30" spans="1:30" ht="16.5" x14ac:dyDescent="0.2">
      <c r="L30" s="144">
        <v>25</v>
      </c>
      <c r="M30" s="144">
        <f t="shared" si="1"/>
        <v>54400</v>
      </c>
    </row>
    <row r="31" spans="1:30" ht="16.5" x14ac:dyDescent="0.2">
      <c r="L31" s="144">
        <v>26</v>
      </c>
      <c r="M31" s="144">
        <f t="shared" si="1"/>
        <v>68000</v>
      </c>
    </row>
    <row r="32" spans="1:30" ht="16.5" x14ac:dyDescent="0.2">
      <c r="L32" s="144">
        <v>27</v>
      </c>
      <c r="M32" s="144">
        <f t="shared" si="1"/>
        <v>81600</v>
      </c>
    </row>
    <row r="33" spans="12:13" ht="16.5" x14ac:dyDescent="0.2">
      <c r="L33" s="144">
        <v>28</v>
      </c>
      <c r="M33" s="144">
        <f t="shared" si="1"/>
        <v>60800</v>
      </c>
    </row>
    <row r="34" spans="12:13" ht="16.5" x14ac:dyDescent="0.2">
      <c r="L34" s="144">
        <v>29</v>
      </c>
      <c r="M34" s="144">
        <f t="shared" si="1"/>
        <v>76000</v>
      </c>
    </row>
    <row r="35" spans="12:13" ht="16.5" x14ac:dyDescent="0.2">
      <c r="L35" s="144">
        <v>30</v>
      </c>
      <c r="M35" s="144">
        <f t="shared" si="1"/>
        <v>91200</v>
      </c>
    </row>
    <row r="36" spans="12:13" ht="16.5" x14ac:dyDescent="0.2">
      <c r="L36" s="144">
        <v>31</v>
      </c>
      <c r="M36" s="144">
        <f t="shared" si="1"/>
        <v>67200</v>
      </c>
    </row>
    <row r="37" spans="12:13" ht="16.5" x14ac:dyDescent="0.2">
      <c r="L37" s="144">
        <v>32</v>
      </c>
      <c r="M37" s="144">
        <f t="shared" si="1"/>
        <v>84000</v>
      </c>
    </row>
    <row r="38" spans="12:13" ht="16.5" x14ac:dyDescent="0.2">
      <c r="L38" s="144">
        <v>33</v>
      </c>
      <c r="M38" s="144">
        <f t="shared" si="1"/>
        <v>100800</v>
      </c>
    </row>
    <row r="39" spans="12:13" ht="16.5" x14ac:dyDescent="0.2">
      <c r="L39" s="144">
        <v>34</v>
      </c>
      <c r="M39" s="144">
        <f t="shared" si="1"/>
        <v>70400</v>
      </c>
    </row>
    <row r="40" spans="12:13" ht="16.5" x14ac:dyDescent="0.2">
      <c r="L40" s="144">
        <v>35</v>
      </c>
      <c r="M40" s="144">
        <f t="shared" si="1"/>
        <v>88000</v>
      </c>
    </row>
    <row r="41" spans="12:13" ht="16.5" x14ac:dyDescent="0.2">
      <c r="L41" s="144">
        <v>36</v>
      </c>
      <c r="M41" s="144">
        <f t="shared" si="1"/>
        <v>105600</v>
      </c>
    </row>
  </sheetData>
  <mergeCells count="4">
    <mergeCell ref="A4:F4"/>
    <mergeCell ref="H4:J4"/>
    <mergeCell ref="O4:U4"/>
    <mergeCell ref="X4:AC4"/>
  </mergeCells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6"/>
  <sheetViews>
    <sheetView workbookViewId="0">
      <selection activeCell="I6" sqref="I6:I26"/>
    </sheetView>
  </sheetViews>
  <sheetFormatPr defaultRowHeight="14.25" x14ac:dyDescent="0.2"/>
  <cols>
    <col min="1" max="1" width="9.625" bestFit="1" customWidth="1"/>
    <col min="2" max="2" width="10.625" customWidth="1"/>
    <col min="3" max="3" width="9.625" customWidth="1"/>
    <col min="4" max="4" width="12.625" style="150" customWidth="1"/>
    <col min="5" max="8" width="10.625" style="150" customWidth="1"/>
    <col min="9" max="9" width="10.625" style="154" customWidth="1"/>
    <col min="10" max="10" width="18.625" customWidth="1"/>
    <col min="11" max="11" width="10.625" customWidth="1"/>
    <col min="12" max="13" width="10.625" style="150" customWidth="1"/>
    <col min="14" max="14" width="8.625" customWidth="1"/>
    <col min="15" max="19" width="9.625" style="150" customWidth="1"/>
    <col min="20" max="21" width="10.625" customWidth="1"/>
    <col min="22" max="29" width="10.625" style="150" customWidth="1"/>
    <col min="30" max="30" width="11.875" customWidth="1"/>
    <col min="31" max="31" width="10.625" customWidth="1"/>
    <col min="32" max="34" width="11.625" style="150" customWidth="1"/>
    <col min="35" max="36" width="9" style="150"/>
    <col min="38" max="43" width="9" style="150"/>
    <col min="44" max="44" width="10.75" style="150" customWidth="1"/>
    <col min="45" max="51" width="9" style="150"/>
    <col min="52" max="52" width="9.25" customWidth="1"/>
    <col min="53" max="54" width="9.25" style="150" customWidth="1"/>
    <col min="55" max="55" width="20.625" customWidth="1"/>
    <col min="56" max="56" width="11.5" customWidth="1"/>
    <col min="58" max="58" width="25.625" style="150" customWidth="1"/>
    <col min="59" max="59" width="20" customWidth="1"/>
    <col min="60" max="60" width="17.625" customWidth="1"/>
    <col min="61" max="61" width="20.25" customWidth="1"/>
    <col min="62" max="62" width="13.25" customWidth="1"/>
    <col min="63" max="63" width="20.5" customWidth="1"/>
    <col min="64" max="64" width="16.625" customWidth="1"/>
  </cols>
  <sheetData>
    <row r="1" spans="1:64" x14ac:dyDescent="0.2">
      <c r="S1" s="150" t="s">
        <v>1397</v>
      </c>
    </row>
    <row r="2" spans="1:64" s="150" customFormat="1" x14ac:dyDescent="0.2">
      <c r="I2" s="154"/>
    </row>
    <row r="3" spans="1:64" s="150" customFormat="1" x14ac:dyDescent="0.2">
      <c r="I3" s="154">
        <v>0.5</v>
      </c>
      <c r="W3" s="150">
        <f>O6</f>
        <v>10</v>
      </c>
      <c r="X3" s="150">
        <f>O7</f>
        <v>20</v>
      </c>
      <c r="Y3" s="150">
        <f>O8</f>
        <v>50</v>
      </c>
      <c r="Z3" s="150">
        <f>O9</f>
        <v>50</v>
      </c>
      <c r="AA3" s="150">
        <f>O10</f>
        <v>100</v>
      </c>
      <c r="AB3" s="150">
        <f>O11</f>
        <v>250</v>
      </c>
    </row>
    <row r="4" spans="1:64" ht="20.25" x14ac:dyDescent="0.2">
      <c r="A4" s="186" t="s">
        <v>1366</v>
      </c>
      <c r="B4" s="186"/>
      <c r="C4" s="186"/>
      <c r="D4" s="186"/>
      <c r="E4" s="186"/>
      <c r="F4" s="186"/>
      <c r="G4" s="186"/>
      <c r="H4" s="186"/>
      <c r="I4" s="186"/>
      <c r="J4" s="186"/>
      <c r="L4" s="186" t="s">
        <v>1365</v>
      </c>
      <c r="M4" s="186"/>
      <c r="N4" s="186"/>
      <c r="O4" s="186"/>
      <c r="P4" s="186"/>
      <c r="Q4" s="186"/>
      <c r="S4" s="186" t="s">
        <v>1364</v>
      </c>
      <c r="T4" s="186"/>
      <c r="U4" s="186"/>
      <c r="V4" s="186"/>
      <c r="W4" s="186"/>
      <c r="X4" s="186"/>
      <c r="Y4" s="186"/>
      <c r="Z4" s="186"/>
      <c r="AA4" s="186"/>
      <c r="AB4" s="186"/>
      <c r="AC4" s="186"/>
      <c r="AD4" s="186"/>
      <c r="AE4" s="186"/>
      <c r="AF4" s="186"/>
      <c r="AG4" s="186"/>
      <c r="AH4" s="147"/>
      <c r="AS4" s="150">
        <v>0.5</v>
      </c>
      <c r="AT4" s="150">
        <v>0.6</v>
      </c>
      <c r="AU4" s="150">
        <v>0.7</v>
      </c>
      <c r="AV4" s="150">
        <v>0.8</v>
      </c>
      <c r="AW4" s="150">
        <v>1</v>
      </c>
    </row>
    <row r="5" spans="1:64" ht="17.25" x14ac:dyDescent="0.2">
      <c r="A5" s="12" t="s">
        <v>1360</v>
      </c>
      <c r="B5" s="12" t="s">
        <v>871</v>
      </c>
      <c r="C5" s="12" t="s">
        <v>318</v>
      </c>
      <c r="D5" s="12" t="s">
        <v>1358</v>
      </c>
      <c r="E5" s="12" t="s">
        <v>1361</v>
      </c>
      <c r="F5" s="12" t="s">
        <v>1367</v>
      </c>
      <c r="G5" s="12" t="s">
        <v>1396</v>
      </c>
      <c r="H5" s="12" t="s">
        <v>1395</v>
      </c>
      <c r="I5" s="12" t="s">
        <v>1398</v>
      </c>
      <c r="J5" s="12" t="s">
        <v>1299</v>
      </c>
      <c r="L5" s="12" t="s">
        <v>1351</v>
      </c>
      <c r="M5" s="12" t="s">
        <v>1341</v>
      </c>
      <c r="N5" s="12" t="s">
        <v>1339</v>
      </c>
      <c r="O5" s="12" t="s">
        <v>1340</v>
      </c>
      <c r="P5" s="12" t="s">
        <v>1348</v>
      </c>
      <c r="Q5" s="12" t="s">
        <v>70</v>
      </c>
      <c r="S5" s="12" t="s">
        <v>811</v>
      </c>
      <c r="T5" s="12" t="s">
        <v>1337</v>
      </c>
      <c r="U5" s="12" t="s">
        <v>1338</v>
      </c>
      <c r="V5" s="12" t="s">
        <v>1349</v>
      </c>
      <c r="W5" s="12" t="s">
        <v>1350</v>
      </c>
      <c r="X5" s="12" t="s">
        <v>1352</v>
      </c>
      <c r="Y5" s="12" t="s">
        <v>1353</v>
      </c>
      <c r="Z5" s="12" t="s">
        <v>1354</v>
      </c>
      <c r="AA5" s="12" t="s">
        <v>1355</v>
      </c>
      <c r="AB5" s="12" t="s">
        <v>1356</v>
      </c>
      <c r="AC5" s="12" t="s">
        <v>1357</v>
      </c>
      <c r="AD5" s="12" t="s">
        <v>1368</v>
      </c>
      <c r="AE5" s="12" t="s">
        <v>1369</v>
      </c>
      <c r="AF5" s="12" t="s">
        <v>1370</v>
      </c>
      <c r="AG5" s="12" t="s">
        <v>1371</v>
      </c>
      <c r="AH5" s="12" t="s">
        <v>1372</v>
      </c>
      <c r="AK5" s="12" t="s">
        <v>1377</v>
      </c>
      <c r="AL5" s="12" t="s">
        <v>1378</v>
      </c>
      <c r="AM5" s="12" t="s">
        <v>1379</v>
      </c>
      <c r="AN5" s="12" t="s">
        <v>1380</v>
      </c>
      <c r="AO5" s="12" t="s">
        <v>1381</v>
      </c>
      <c r="AP5" s="12" t="s">
        <v>1382</v>
      </c>
      <c r="AR5" s="12" t="s">
        <v>1393</v>
      </c>
      <c r="AS5" s="12" t="s">
        <v>1388</v>
      </c>
      <c r="AT5" s="12" t="s">
        <v>1389</v>
      </c>
      <c r="AU5" s="12" t="s">
        <v>1390</v>
      </c>
      <c r="AV5" s="12" t="s">
        <v>1391</v>
      </c>
      <c r="AW5" s="12" t="s">
        <v>1392</v>
      </c>
      <c r="AZ5" s="12" t="s">
        <v>1373</v>
      </c>
      <c r="BA5" s="12" t="s">
        <v>1383</v>
      </c>
      <c r="BB5" s="12" t="s">
        <v>1394</v>
      </c>
      <c r="BC5" s="12" t="s">
        <v>1374</v>
      </c>
      <c r="BD5" s="12" t="s">
        <v>813</v>
      </c>
      <c r="BE5" s="12" t="s">
        <v>319</v>
      </c>
      <c r="BF5" s="12" t="s">
        <v>1385</v>
      </c>
      <c r="BG5" s="12" t="s">
        <v>1375</v>
      </c>
      <c r="BH5" s="12" t="s">
        <v>1376</v>
      </c>
      <c r="BI5" s="12" t="s">
        <v>817</v>
      </c>
      <c r="BJ5" s="12" t="s">
        <v>1386</v>
      </c>
      <c r="BK5" s="12" t="s">
        <v>863</v>
      </c>
      <c r="BL5" s="12" t="s">
        <v>1387</v>
      </c>
    </row>
    <row r="6" spans="1:64" ht="16.5" x14ac:dyDescent="0.2">
      <c r="A6" s="148">
        <v>1102001</v>
      </c>
      <c r="B6" s="148" t="s">
        <v>182</v>
      </c>
      <c r="C6" s="148">
        <v>5</v>
      </c>
      <c r="D6" s="148">
        <v>6</v>
      </c>
      <c r="E6" s="148" t="str">
        <f>INDEX($N$6:$N$11,D6)</f>
        <v>UR</v>
      </c>
      <c r="F6" s="148">
        <f>INDEX($O$6:$O$11,D6)</f>
        <v>250</v>
      </c>
      <c r="G6" s="148">
        <f>F6/10</f>
        <v>25</v>
      </c>
      <c r="H6" s="148">
        <f>INDEX($Q$6:$Q$11,D6)</f>
        <v>5000</v>
      </c>
      <c r="I6" s="153">
        <f>F6*I$3</f>
        <v>125</v>
      </c>
      <c r="J6" s="148" t="s">
        <v>1300</v>
      </c>
      <c r="L6" s="148">
        <v>1</v>
      </c>
      <c r="M6" s="148">
        <v>2</v>
      </c>
      <c r="N6" s="148" t="s">
        <v>1342</v>
      </c>
      <c r="O6" s="148">
        <v>10</v>
      </c>
      <c r="P6" s="148">
        <v>20</v>
      </c>
      <c r="Q6" s="148">
        <f>ROUND(SUM($AW$7:$AW$11)/SUM($AP$7:$AP$11)/$O$10*O6/50,0)*50</f>
        <v>200</v>
      </c>
      <c r="S6" s="92">
        <v>0</v>
      </c>
      <c r="T6" s="92">
        <v>0</v>
      </c>
      <c r="U6" s="92">
        <v>0</v>
      </c>
      <c r="V6" s="92">
        <v>0</v>
      </c>
      <c r="W6" s="92">
        <v>0</v>
      </c>
      <c r="X6" s="92">
        <v>0</v>
      </c>
      <c r="Y6" s="92">
        <v>0</v>
      </c>
      <c r="Z6" s="92">
        <v>0</v>
      </c>
      <c r="AA6" s="92">
        <v>0</v>
      </c>
      <c r="AB6" s="92">
        <v>0</v>
      </c>
      <c r="AC6" s="92">
        <v>0</v>
      </c>
      <c r="AD6" s="92">
        <v>0</v>
      </c>
      <c r="AE6" s="92">
        <v>0</v>
      </c>
      <c r="AF6" s="92">
        <v>0</v>
      </c>
      <c r="AG6" s="92">
        <v>0</v>
      </c>
      <c r="AH6" s="92">
        <v>0</v>
      </c>
      <c r="AK6" s="148">
        <v>0</v>
      </c>
      <c r="AL6" s="148">
        <v>0</v>
      </c>
      <c r="AM6" s="148">
        <v>0</v>
      </c>
      <c r="AN6" s="148">
        <v>0</v>
      </c>
      <c r="AO6" s="148">
        <v>0</v>
      </c>
      <c r="AP6" s="148">
        <v>0</v>
      </c>
      <c r="AR6" s="148">
        <v>0</v>
      </c>
      <c r="AS6" s="148">
        <v>0</v>
      </c>
      <c r="AT6" s="148">
        <v>0</v>
      </c>
      <c r="AU6" s="148">
        <v>0</v>
      </c>
      <c r="AV6" s="148">
        <v>0</v>
      </c>
      <c r="AW6" s="148">
        <v>0</v>
      </c>
      <c r="AZ6" s="148">
        <v>1</v>
      </c>
      <c r="BA6" s="148">
        <f>INT((AZ6-1)/6)+1</f>
        <v>1</v>
      </c>
      <c r="BB6" s="148">
        <f>INDEX($D$6:$D$26,BA6)</f>
        <v>6</v>
      </c>
      <c r="BC6" s="148">
        <f>INDEX($A$6:$A$26,BA6)</f>
        <v>1102001</v>
      </c>
      <c r="BD6" s="148" t="s">
        <v>1384</v>
      </c>
      <c r="BE6" s="148">
        <f>AZ6-(BA6-1)*6-1</f>
        <v>0</v>
      </c>
      <c r="BF6" s="148" t="str">
        <f>INDEX($B$6:$B$26,BA6)&amp;"专属武器解封-"&amp;BE6</f>
        <v>关羽专属武器解封-0</v>
      </c>
      <c r="BG6" s="148" t="str">
        <f>IF(BE6&gt;0,INDEX($B$6:$B$26,BA6)&amp;"专属武器效果","")</f>
        <v/>
      </c>
      <c r="BH6" s="148" t="str">
        <f>IF(BE6&gt;0,BE6,"")</f>
        <v/>
      </c>
      <c r="BI6" s="148" t="str">
        <f>IF(BE6&gt;0,"金币","")</f>
        <v/>
      </c>
      <c r="BJ6" s="148" t="str">
        <f>IF(BE6&gt;0,INDEX($AS$7:$AW$11,BE6,BB6-1),"")</f>
        <v/>
      </c>
      <c r="BK6" s="148" t="str">
        <f>IF(BE6&gt;0,INDEX($B$6:$B$26,BA6)&amp;"专属武器碎片","")</f>
        <v/>
      </c>
      <c r="BL6" s="148" t="str">
        <f>IF(BE6&gt;0,INDEX($AL$7:$AP$11,BE6,INDEX($D$6:$D$26,BA6)-1),"")</f>
        <v/>
      </c>
    </row>
    <row r="7" spans="1:64" ht="16.5" x14ac:dyDescent="0.2">
      <c r="A7" s="148">
        <v>1102002</v>
      </c>
      <c r="B7" s="148" t="s">
        <v>183</v>
      </c>
      <c r="C7" s="148">
        <v>3</v>
      </c>
      <c r="D7" s="148">
        <v>2</v>
      </c>
      <c r="E7" s="148" t="str">
        <f t="shared" ref="E7:E26" si="0">INDEX($N$6:$N$11,D7)</f>
        <v>SR</v>
      </c>
      <c r="F7" s="148">
        <f t="shared" ref="F7:F26" si="1">INDEX($O$6:$O$11,D7)</f>
        <v>20</v>
      </c>
      <c r="G7" s="148">
        <f t="shared" ref="G7:G26" si="2">F7/10</f>
        <v>2</v>
      </c>
      <c r="H7" s="148">
        <f t="shared" ref="H7:H26" si="3">INDEX($Q$6:$Q$11,D7)</f>
        <v>500</v>
      </c>
      <c r="I7" s="153">
        <f t="shared" ref="I7:I26" si="4">F7*I$3</f>
        <v>10</v>
      </c>
      <c r="J7" s="148" t="s">
        <v>1301</v>
      </c>
      <c r="L7" s="148">
        <v>2</v>
      </c>
      <c r="M7" s="148">
        <v>3</v>
      </c>
      <c r="N7" s="148" t="s">
        <v>1343</v>
      </c>
      <c r="O7" s="148">
        <v>20</v>
      </c>
      <c r="P7" s="148">
        <v>40</v>
      </c>
      <c r="Q7" s="148">
        <f>ROUND(SUM($AW$7:$AW$11)/SUM($AP$7:$AP$11)/$O$10*O7/500,0)*500</f>
        <v>500</v>
      </c>
      <c r="S7" s="148">
        <v>1</v>
      </c>
      <c r="T7" s="148" t="s">
        <v>1321</v>
      </c>
      <c r="U7" s="148">
        <v>35</v>
      </c>
      <c r="V7" s="148">
        <v>50</v>
      </c>
      <c r="W7" s="148"/>
      <c r="X7" s="148">
        <v>2.5</v>
      </c>
      <c r="Y7" s="148"/>
      <c r="Z7" s="148"/>
      <c r="AA7" s="148"/>
      <c r="AB7" s="148"/>
      <c r="AC7" s="148">
        <f t="shared" ref="AC7:AC22" si="5">SUMPRODUCT(W$3:AB$3,W7:AB7)</f>
        <v>50</v>
      </c>
      <c r="AD7" s="148">
        <v>6</v>
      </c>
      <c r="AE7" s="148">
        <v>300</v>
      </c>
      <c r="AF7" s="148">
        <f>INDEX(章节关卡!$K$6:$K$35,'恶灵入侵-专属解封'!AD7)*'恶灵入侵-专属解封'!AE7</f>
        <v>15000</v>
      </c>
      <c r="AG7" s="148">
        <v>3</v>
      </c>
      <c r="AH7" s="148">
        <v>5</v>
      </c>
      <c r="AI7" s="150" t="str">
        <f>AG7&amp;"~"&amp;AH7</f>
        <v>3~5</v>
      </c>
      <c r="AK7" s="148">
        <v>1</v>
      </c>
      <c r="AL7" s="148">
        <v>40</v>
      </c>
      <c r="AM7" s="148">
        <v>40</v>
      </c>
      <c r="AN7" s="148">
        <v>80</v>
      </c>
      <c r="AO7" s="148">
        <v>80</v>
      </c>
      <c r="AP7" s="148">
        <v>80</v>
      </c>
      <c r="AR7" s="148">
        <f>ROUND(INDEX(金币总表!$AU$7:$AU$11,'恶灵入侵-专属解封'!AK7)/3,0)</f>
        <v>29670</v>
      </c>
      <c r="AS7" s="148">
        <f>ROUND($AR7*AS$4/500,0)*500</f>
        <v>15000</v>
      </c>
      <c r="AT7" s="148">
        <f t="shared" ref="AT7:AW11" si="6">ROUND($AR7*AT$4/500,0)*500</f>
        <v>18000</v>
      </c>
      <c r="AU7" s="148">
        <f t="shared" si="6"/>
        <v>21000</v>
      </c>
      <c r="AV7" s="148">
        <f t="shared" si="6"/>
        <v>23500</v>
      </c>
      <c r="AW7" s="148">
        <f t="shared" si="6"/>
        <v>29500</v>
      </c>
      <c r="AZ7" s="148">
        <v>2</v>
      </c>
      <c r="BA7" s="148">
        <f t="shared" ref="BA7:BA70" si="7">INT((AZ7-1)/6)+1</f>
        <v>1</v>
      </c>
      <c r="BB7" s="148">
        <f t="shared" ref="BB7:BB70" si="8">INDEX($D$6:$D$26,BA7)</f>
        <v>6</v>
      </c>
      <c r="BC7" s="148">
        <f t="shared" ref="BC7:BC70" si="9">INDEX($A$6:$A$26,BA7)</f>
        <v>1102001</v>
      </c>
      <c r="BD7" s="148" t="s">
        <v>1384</v>
      </c>
      <c r="BE7" s="148">
        <f t="shared" ref="BE7:BE33" si="10">AZ7-(BA7-1)*6-1</f>
        <v>1</v>
      </c>
      <c r="BF7" s="148" t="str">
        <f t="shared" ref="BF7:BF33" si="11">INDEX($B$6:$B$26,BA7)&amp;"专属武器解封-"&amp;BE7</f>
        <v>关羽专属武器解封-1</v>
      </c>
      <c r="BG7" s="148" t="str">
        <f t="shared" ref="BG7:BG70" si="12">IF(BE7&gt;0,INDEX($B$6:$B$26,BA7)&amp;"专属武器效果","")</f>
        <v>关羽专属武器效果</v>
      </c>
      <c r="BH7" s="148">
        <f t="shared" ref="BH7:BH70" si="13">IF(BE7&gt;0,BE7,"")</f>
        <v>1</v>
      </c>
      <c r="BI7" s="148" t="str">
        <f t="shared" ref="BI7:BI70" si="14">IF(BE7&gt;0,"金币","")</f>
        <v>金币</v>
      </c>
      <c r="BJ7" s="148">
        <f t="shared" ref="BJ7:BJ70" si="15">IF(BE7&gt;0,INDEX($AS$7:$AW$11,BE7,BB7-1),"")</f>
        <v>29500</v>
      </c>
      <c r="BK7" s="148" t="str">
        <f t="shared" ref="BK7:BK70" si="16">IF(BE7&gt;0,INDEX($B$6:$B$26,BA7)&amp;"专属武器碎片","")</f>
        <v>关羽专属武器碎片</v>
      </c>
      <c r="BL7" s="148">
        <f t="shared" ref="BL7:BL70" si="17">IF(BE7&gt;0,INDEX($AL$7:$AP$11,BE7,INDEX($D$6:$D$26,BA7)-1),"")</f>
        <v>80</v>
      </c>
    </row>
    <row r="8" spans="1:64" ht="16.5" x14ac:dyDescent="0.2">
      <c r="A8" s="148">
        <v>1102003</v>
      </c>
      <c r="B8" s="148" t="s">
        <v>184</v>
      </c>
      <c r="C8" s="148">
        <v>4</v>
      </c>
      <c r="D8" s="148">
        <v>4</v>
      </c>
      <c r="E8" s="148" t="str">
        <f t="shared" si="0"/>
        <v>SSR</v>
      </c>
      <c r="F8" s="148">
        <f t="shared" si="1"/>
        <v>50</v>
      </c>
      <c r="G8" s="148">
        <f t="shared" si="2"/>
        <v>5</v>
      </c>
      <c r="H8" s="148">
        <f t="shared" si="3"/>
        <v>1000</v>
      </c>
      <c r="I8" s="153">
        <f t="shared" si="4"/>
        <v>25</v>
      </c>
      <c r="J8" s="148" t="s">
        <v>1302</v>
      </c>
      <c r="L8" s="148">
        <v>3</v>
      </c>
      <c r="M8" s="148">
        <v>3</v>
      </c>
      <c r="N8" s="148" t="s">
        <v>1345</v>
      </c>
      <c r="O8" s="148">
        <v>50</v>
      </c>
      <c r="P8" s="148">
        <v>40</v>
      </c>
      <c r="Q8" s="148">
        <f t="shared" ref="Q8:Q9" si="18">ROUND(SUM($AW$7:$AW$11)/SUM($AP$7:$AP$11)/$O$10*O8/100,0)*100</f>
        <v>1000</v>
      </c>
      <c r="S8" s="148">
        <v>2</v>
      </c>
      <c r="T8" s="148" t="s">
        <v>1322</v>
      </c>
      <c r="U8" s="148">
        <v>40</v>
      </c>
      <c r="V8" s="148">
        <v>60</v>
      </c>
      <c r="W8" s="148"/>
      <c r="X8" s="148">
        <v>3</v>
      </c>
      <c r="Y8" s="148"/>
      <c r="Z8" s="148"/>
      <c r="AA8" s="148"/>
      <c r="AB8" s="148"/>
      <c r="AC8" s="148">
        <f t="shared" si="5"/>
        <v>60</v>
      </c>
      <c r="AD8" s="148">
        <v>7</v>
      </c>
      <c r="AE8" s="148">
        <v>300</v>
      </c>
      <c r="AF8" s="148">
        <f>INDEX(章节关卡!$K$6:$K$35,'恶灵入侵-专属解封'!AD8)*'恶灵入侵-专属解封'!AE8</f>
        <v>18000</v>
      </c>
      <c r="AG8" s="148">
        <v>3</v>
      </c>
      <c r="AH8" s="148">
        <v>6</v>
      </c>
      <c r="AI8" s="150" t="str">
        <f t="shared" ref="AI8:AI22" si="19">AG8&amp;"~"&amp;AH8</f>
        <v>3~6</v>
      </c>
      <c r="AK8" s="148">
        <v>2</v>
      </c>
      <c r="AL8" s="148">
        <v>40</v>
      </c>
      <c r="AM8" s="148">
        <v>40</v>
      </c>
      <c r="AN8" s="148">
        <v>80</v>
      </c>
      <c r="AO8" s="148">
        <v>80</v>
      </c>
      <c r="AP8" s="148">
        <v>80</v>
      </c>
      <c r="AR8" s="148">
        <f>ROUND(INDEX(金币总表!$AU$7:$AU$11,'恶灵入侵-专属解封'!AK8)/3,0)</f>
        <v>63662</v>
      </c>
      <c r="AS8" s="148">
        <f t="shared" ref="AS8:AS11" si="20">ROUND($AR8*AS$4/500,0)*500</f>
        <v>32000</v>
      </c>
      <c r="AT8" s="148">
        <f t="shared" si="6"/>
        <v>38000</v>
      </c>
      <c r="AU8" s="148">
        <f t="shared" si="6"/>
        <v>44500</v>
      </c>
      <c r="AV8" s="148">
        <f t="shared" si="6"/>
        <v>51000</v>
      </c>
      <c r="AW8" s="148">
        <f t="shared" si="6"/>
        <v>63500</v>
      </c>
      <c r="AZ8" s="148">
        <v>3</v>
      </c>
      <c r="BA8" s="148">
        <f t="shared" si="7"/>
        <v>1</v>
      </c>
      <c r="BB8" s="148">
        <f t="shared" si="8"/>
        <v>6</v>
      </c>
      <c r="BC8" s="148">
        <f t="shared" si="9"/>
        <v>1102001</v>
      </c>
      <c r="BD8" s="148" t="s">
        <v>1384</v>
      </c>
      <c r="BE8" s="148">
        <f t="shared" si="10"/>
        <v>2</v>
      </c>
      <c r="BF8" s="148" t="str">
        <f t="shared" si="11"/>
        <v>关羽专属武器解封-2</v>
      </c>
      <c r="BG8" s="148" t="str">
        <f t="shared" si="12"/>
        <v>关羽专属武器效果</v>
      </c>
      <c r="BH8" s="148">
        <f t="shared" si="13"/>
        <v>2</v>
      </c>
      <c r="BI8" s="148" t="str">
        <f t="shared" si="14"/>
        <v>金币</v>
      </c>
      <c r="BJ8" s="148">
        <f t="shared" si="15"/>
        <v>63500</v>
      </c>
      <c r="BK8" s="148" t="str">
        <f t="shared" si="16"/>
        <v>关羽专属武器碎片</v>
      </c>
      <c r="BL8" s="148">
        <f t="shared" si="17"/>
        <v>80</v>
      </c>
    </row>
    <row r="9" spans="1:64" ht="16.5" x14ac:dyDescent="0.2">
      <c r="A9" s="148">
        <v>1102005</v>
      </c>
      <c r="B9" s="148" t="s">
        <v>186</v>
      </c>
      <c r="C9" s="148">
        <v>3</v>
      </c>
      <c r="D9" s="148">
        <v>3</v>
      </c>
      <c r="E9" s="148" t="str">
        <f t="shared" si="0"/>
        <v>SR+</v>
      </c>
      <c r="F9" s="148">
        <f t="shared" si="1"/>
        <v>50</v>
      </c>
      <c r="G9" s="148">
        <f t="shared" si="2"/>
        <v>5</v>
      </c>
      <c r="H9" s="148">
        <f t="shared" si="3"/>
        <v>1000</v>
      </c>
      <c r="I9" s="153">
        <f t="shared" si="4"/>
        <v>25</v>
      </c>
      <c r="J9" s="148" t="s">
        <v>1303</v>
      </c>
      <c r="L9" s="148">
        <v>4</v>
      </c>
      <c r="M9" s="148">
        <v>4</v>
      </c>
      <c r="N9" s="148" t="s">
        <v>1344</v>
      </c>
      <c r="O9" s="148">
        <v>50</v>
      </c>
      <c r="P9" s="148">
        <v>80</v>
      </c>
      <c r="Q9" s="148">
        <f t="shared" si="18"/>
        <v>1000</v>
      </c>
      <c r="S9" s="148">
        <v>3</v>
      </c>
      <c r="T9" s="148" t="s">
        <v>1323</v>
      </c>
      <c r="U9" s="148">
        <v>45</v>
      </c>
      <c r="V9" s="148">
        <v>80</v>
      </c>
      <c r="W9" s="148"/>
      <c r="X9" s="148">
        <v>1.5</v>
      </c>
      <c r="Y9" s="148">
        <v>1</v>
      </c>
      <c r="Z9" s="148"/>
      <c r="AA9" s="148"/>
      <c r="AB9" s="148"/>
      <c r="AC9" s="148">
        <f t="shared" si="5"/>
        <v>80</v>
      </c>
      <c r="AD9" s="148">
        <v>8</v>
      </c>
      <c r="AE9" s="148">
        <v>300</v>
      </c>
      <c r="AF9" s="148">
        <f>INDEX(章节关卡!$K$6:$K$35,'恶灵入侵-专属解封'!AD9)*'恶灵入侵-专属解封'!AE9</f>
        <v>21000</v>
      </c>
      <c r="AG9" s="148">
        <v>4</v>
      </c>
      <c r="AH9" s="148">
        <v>6</v>
      </c>
      <c r="AI9" s="150" t="str">
        <f t="shared" si="19"/>
        <v>4~6</v>
      </c>
      <c r="AK9" s="148">
        <v>3</v>
      </c>
      <c r="AL9" s="148">
        <v>60</v>
      </c>
      <c r="AM9" s="148">
        <v>60</v>
      </c>
      <c r="AN9" s="148">
        <v>120</v>
      </c>
      <c r="AO9" s="148">
        <v>120</v>
      </c>
      <c r="AP9" s="148">
        <v>120</v>
      </c>
      <c r="AR9" s="148">
        <f>ROUND(INDEX(金币总表!$AU$7:$AU$11,'恶灵入侵-专属解封'!AK9)/3,0)</f>
        <v>146367</v>
      </c>
      <c r="AS9" s="148">
        <f t="shared" si="20"/>
        <v>73000</v>
      </c>
      <c r="AT9" s="148">
        <f t="shared" si="6"/>
        <v>88000</v>
      </c>
      <c r="AU9" s="148">
        <f t="shared" si="6"/>
        <v>102500</v>
      </c>
      <c r="AV9" s="148">
        <f t="shared" si="6"/>
        <v>117000</v>
      </c>
      <c r="AW9" s="148">
        <f t="shared" si="6"/>
        <v>146500</v>
      </c>
      <c r="AZ9" s="148">
        <v>4</v>
      </c>
      <c r="BA9" s="148">
        <f t="shared" si="7"/>
        <v>1</v>
      </c>
      <c r="BB9" s="148">
        <f t="shared" si="8"/>
        <v>6</v>
      </c>
      <c r="BC9" s="148">
        <f t="shared" si="9"/>
        <v>1102001</v>
      </c>
      <c r="BD9" s="148" t="s">
        <v>1384</v>
      </c>
      <c r="BE9" s="148">
        <f t="shared" si="10"/>
        <v>3</v>
      </c>
      <c r="BF9" s="148" t="str">
        <f t="shared" si="11"/>
        <v>关羽专属武器解封-3</v>
      </c>
      <c r="BG9" s="148" t="str">
        <f t="shared" si="12"/>
        <v>关羽专属武器效果</v>
      </c>
      <c r="BH9" s="148">
        <f t="shared" si="13"/>
        <v>3</v>
      </c>
      <c r="BI9" s="148" t="str">
        <f t="shared" si="14"/>
        <v>金币</v>
      </c>
      <c r="BJ9" s="148">
        <f t="shared" si="15"/>
        <v>146500</v>
      </c>
      <c r="BK9" s="148" t="str">
        <f t="shared" si="16"/>
        <v>关羽专属武器碎片</v>
      </c>
      <c r="BL9" s="148">
        <f t="shared" si="17"/>
        <v>120</v>
      </c>
    </row>
    <row r="10" spans="1:64" ht="16.5" x14ac:dyDescent="0.2">
      <c r="A10" s="148">
        <v>1102006</v>
      </c>
      <c r="B10" s="148" t="s">
        <v>187</v>
      </c>
      <c r="C10" s="148">
        <v>5</v>
      </c>
      <c r="D10" s="148">
        <v>6</v>
      </c>
      <c r="E10" s="148" t="str">
        <f t="shared" si="0"/>
        <v>UR</v>
      </c>
      <c r="F10" s="148">
        <f t="shared" si="1"/>
        <v>250</v>
      </c>
      <c r="G10" s="148">
        <f t="shared" si="2"/>
        <v>25</v>
      </c>
      <c r="H10" s="148">
        <f t="shared" si="3"/>
        <v>5000</v>
      </c>
      <c r="I10" s="153">
        <f t="shared" si="4"/>
        <v>125</v>
      </c>
      <c r="J10" s="148" t="s">
        <v>1304</v>
      </c>
      <c r="L10" s="148">
        <v>5</v>
      </c>
      <c r="M10" s="148">
        <v>4</v>
      </c>
      <c r="N10" s="148" t="s">
        <v>1346</v>
      </c>
      <c r="O10" s="148">
        <v>100</v>
      </c>
      <c r="P10" s="148">
        <v>80</v>
      </c>
      <c r="Q10" s="148">
        <f>ROUND(SUM($AW$7:$AW$11)/SUM($AP$7:$AP$11)/$O$10*O10/100,0)*100</f>
        <v>2000</v>
      </c>
      <c r="S10" s="148">
        <v>4</v>
      </c>
      <c r="T10" s="148" t="s">
        <v>1324</v>
      </c>
      <c r="U10" s="148">
        <v>50</v>
      </c>
      <c r="V10" s="148">
        <v>100</v>
      </c>
      <c r="W10" s="148"/>
      <c r="X10" s="148">
        <v>1</v>
      </c>
      <c r="Y10" s="148">
        <v>1.6</v>
      </c>
      <c r="Z10" s="148"/>
      <c r="AA10" s="148"/>
      <c r="AB10" s="148"/>
      <c r="AC10" s="148">
        <f t="shared" si="5"/>
        <v>100</v>
      </c>
      <c r="AD10" s="148">
        <v>9</v>
      </c>
      <c r="AE10" s="148">
        <v>300</v>
      </c>
      <c r="AF10" s="148">
        <f>INDEX(章节关卡!$K$6:$K$35,'恶灵入侵-专属解封'!AD10)*'恶灵入侵-专属解封'!AE10</f>
        <v>24000</v>
      </c>
      <c r="AG10" s="148">
        <v>4</v>
      </c>
      <c r="AH10" s="148">
        <v>7</v>
      </c>
      <c r="AI10" s="150" t="str">
        <f t="shared" si="19"/>
        <v>4~7</v>
      </c>
      <c r="AK10" s="148">
        <v>4</v>
      </c>
      <c r="AL10" s="148">
        <v>60</v>
      </c>
      <c r="AM10" s="148">
        <v>60</v>
      </c>
      <c r="AN10" s="148">
        <v>120</v>
      </c>
      <c r="AO10" s="148">
        <v>120</v>
      </c>
      <c r="AP10" s="148">
        <v>120</v>
      </c>
      <c r="AR10" s="148">
        <f>ROUND(INDEX(金币总表!$AU$7:$AU$11,'恶灵入侵-专属解封'!AK10)/3,0)</f>
        <v>259248</v>
      </c>
      <c r="AS10" s="148">
        <f t="shared" si="20"/>
        <v>129500</v>
      </c>
      <c r="AT10" s="148">
        <f t="shared" si="6"/>
        <v>155500</v>
      </c>
      <c r="AU10" s="148">
        <f t="shared" si="6"/>
        <v>181500</v>
      </c>
      <c r="AV10" s="148">
        <f t="shared" si="6"/>
        <v>207500</v>
      </c>
      <c r="AW10" s="148">
        <f t="shared" si="6"/>
        <v>259000</v>
      </c>
      <c r="AZ10" s="148">
        <v>5</v>
      </c>
      <c r="BA10" s="148">
        <f t="shared" si="7"/>
        <v>1</v>
      </c>
      <c r="BB10" s="148">
        <f t="shared" si="8"/>
        <v>6</v>
      </c>
      <c r="BC10" s="148">
        <f t="shared" si="9"/>
        <v>1102001</v>
      </c>
      <c r="BD10" s="148" t="s">
        <v>1384</v>
      </c>
      <c r="BE10" s="148">
        <f t="shared" si="10"/>
        <v>4</v>
      </c>
      <c r="BF10" s="148" t="str">
        <f t="shared" si="11"/>
        <v>关羽专属武器解封-4</v>
      </c>
      <c r="BG10" s="148" t="str">
        <f t="shared" si="12"/>
        <v>关羽专属武器效果</v>
      </c>
      <c r="BH10" s="148">
        <f t="shared" si="13"/>
        <v>4</v>
      </c>
      <c r="BI10" s="148" t="str">
        <f t="shared" si="14"/>
        <v>金币</v>
      </c>
      <c r="BJ10" s="148">
        <f t="shared" si="15"/>
        <v>259000</v>
      </c>
      <c r="BK10" s="148" t="str">
        <f t="shared" si="16"/>
        <v>关羽专属武器碎片</v>
      </c>
      <c r="BL10" s="148">
        <f t="shared" si="17"/>
        <v>120</v>
      </c>
    </row>
    <row r="11" spans="1:64" ht="16.5" x14ac:dyDescent="0.2">
      <c r="A11" s="148">
        <v>1102007</v>
      </c>
      <c r="B11" s="148" t="s">
        <v>188</v>
      </c>
      <c r="C11" s="148">
        <v>4</v>
      </c>
      <c r="D11" s="148">
        <v>4</v>
      </c>
      <c r="E11" s="148" t="str">
        <f t="shared" si="0"/>
        <v>SSR</v>
      </c>
      <c r="F11" s="148">
        <f t="shared" si="1"/>
        <v>50</v>
      </c>
      <c r="G11" s="148">
        <f t="shared" si="2"/>
        <v>5</v>
      </c>
      <c r="H11" s="148">
        <f t="shared" si="3"/>
        <v>1000</v>
      </c>
      <c r="I11" s="153">
        <f t="shared" si="4"/>
        <v>25</v>
      </c>
      <c r="J11" s="148" t="s">
        <v>1305</v>
      </c>
      <c r="L11" s="148">
        <v>6</v>
      </c>
      <c r="M11" s="148">
        <v>5</v>
      </c>
      <c r="N11" s="148" t="s">
        <v>1347</v>
      </c>
      <c r="O11" s="148">
        <v>250</v>
      </c>
      <c r="P11" s="148">
        <v>80</v>
      </c>
      <c r="Q11" s="148">
        <f>ROUND(SUM($AW$7:$AW$11)/SUM($AP$7:$AP$11)/$O$10*O11/500,0)*500</f>
        <v>5000</v>
      </c>
      <c r="S11" s="148">
        <v>5</v>
      </c>
      <c r="T11" s="148" t="s">
        <v>1325</v>
      </c>
      <c r="U11" s="148">
        <v>55</v>
      </c>
      <c r="V11" s="148">
        <v>110</v>
      </c>
      <c r="W11" s="148"/>
      <c r="X11" s="148">
        <v>1</v>
      </c>
      <c r="Y11" s="148">
        <v>0.9</v>
      </c>
      <c r="Z11" s="148">
        <v>0.9</v>
      </c>
      <c r="AA11" s="148"/>
      <c r="AB11" s="148"/>
      <c r="AC11" s="148">
        <f t="shared" si="5"/>
        <v>110</v>
      </c>
      <c r="AD11" s="148">
        <v>10</v>
      </c>
      <c r="AE11" s="148">
        <v>300</v>
      </c>
      <c r="AF11" s="148">
        <f>INDEX(章节关卡!$K$6:$K$35,'恶灵入侵-专属解封'!AD11)*'恶灵入侵-专属解封'!AE11</f>
        <v>27000</v>
      </c>
      <c r="AG11" s="148">
        <v>4</v>
      </c>
      <c r="AH11" s="148">
        <v>8</v>
      </c>
      <c r="AI11" s="150" t="str">
        <f t="shared" si="19"/>
        <v>4~8</v>
      </c>
      <c r="AK11" s="148">
        <v>5</v>
      </c>
      <c r="AL11" s="148">
        <v>80</v>
      </c>
      <c r="AM11" s="148">
        <v>80</v>
      </c>
      <c r="AN11" s="148">
        <v>160</v>
      </c>
      <c r="AO11" s="148">
        <v>160</v>
      </c>
      <c r="AP11" s="148">
        <v>160</v>
      </c>
      <c r="AR11" s="148">
        <f>ROUND(INDEX(金币总表!$AU$7:$AU$11,'恶灵入侵-专属解封'!AK11)/3,0)</f>
        <v>626744</v>
      </c>
      <c r="AS11" s="148">
        <f t="shared" si="20"/>
        <v>313500</v>
      </c>
      <c r="AT11" s="148">
        <f t="shared" si="6"/>
        <v>376000</v>
      </c>
      <c r="AU11" s="148">
        <f t="shared" si="6"/>
        <v>438500</v>
      </c>
      <c r="AV11" s="148">
        <f t="shared" si="6"/>
        <v>501500</v>
      </c>
      <c r="AW11" s="148">
        <f t="shared" si="6"/>
        <v>626500</v>
      </c>
      <c r="AZ11" s="148">
        <v>6</v>
      </c>
      <c r="BA11" s="148">
        <f t="shared" si="7"/>
        <v>1</v>
      </c>
      <c r="BB11" s="148">
        <f t="shared" si="8"/>
        <v>6</v>
      </c>
      <c r="BC11" s="148">
        <f t="shared" si="9"/>
        <v>1102001</v>
      </c>
      <c r="BD11" s="148" t="s">
        <v>1384</v>
      </c>
      <c r="BE11" s="148">
        <f t="shared" si="10"/>
        <v>5</v>
      </c>
      <c r="BF11" s="148" t="str">
        <f t="shared" si="11"/>
        <v>关羽专属武器解封-5</v>
      </c>
      <c r="BG11" s="148" t="str">
        <f t="shared" si="12"/>
        <v>关羽专属武器效果</v>
      </c>
      <c r="BH11" s="148">
        <f t="shared" si="13"/>
        <v>5</v>
      </c>
      <c r="BI11" s="148" t="str">
        <f t="shared" si="14"/>
        <v>金币</v>
      </c>
      <c r="BJ11" s="148">
        <f t="shared" si="15"/>
        <v>626500</v>
      </c>
      <c r="BK11" s="148" t="str">
        <f t="shared" si="16"/>
        <v>关羽专属武器碎片</v>
      </c>
      <c r="BL11" s="148">
        <f t="shared" si="17"/>
        <v>160</v>
      </c>
    </row>
    <row r="12" spans="1:64" ht="16.5" x14ac:dyDescent="0.2">
      <c r="A12" s="151">
        <v>1102008</v>
      </c>
      <c r="B12" s="151" t="s">
        <v>189</v>
      </c>
      <c r="C12" s="151">
        <v>4</v>
      </c>
      <c r="D12" s="151">
        <v>5</v>
      </c>
      <c r="E12" s="148" t="str">
        <f t="shared" si="0"/>
        <v>SSR+</v>
      </c>
      <c r="F12" s="148">
        <f t="shared" si="1"/>
        <v>100</v>
      </c>
      <c r="G12" s="148">
        <f t="shared" si="2"/>
        <v>10</v>
      </c>
      <c r="H12" s="148">
        <f t="shared" si="3"/>
        <v>2000</v>
      </c>
      <c r="I12" s="153">
        <f t="shared" si="4"/>
        <v>50</v>
      </c>
      <c r="J12" s="151" t="s">
        <v>1306</v>
      </c>
      <c r="M12" s="149"/>
      <c r="N12" s="149"/>
      <c r="O12" s="149"/>
      <c r="P12" s="149"/>
      <c r="Q12" s="149"/>
      <c r="S12" s="148">
        <v>6</v>
      </c>
      <c r="T12" s="148" t="s">
        <v>1326</v>
      </c>
      <c r="U12" s="148">
        <v>60</v>
      </c>
      <c r="V12" s="148">
        <v>120</v>
      </c>
      <c r="W12" s="148"/>
      <c r="X12" s="148">
        <v>1</v>
      </c>
      <c r="Y12" s="148">
        <v>1</v>
      </c>
      <c r="Z12" s="148">
        <v>1</v>
      </c>
      <c r="AA12" s="148"/>
      <c r="AB12" s="148"/>
      <c r="AC12" s="148">
        <f t="shared" si="5"/>
        <v>120</v>
      </c>
      <c r="AD12" s="148">
        <v>11</v>
      </c>
      <c r="AE12" s="148">
        <v>300</v>
      </c>
      <c r="AF12" s="148">
        <f>INDEX(章节关卡!$K$6:$K$35,'恶灵入侵-专属解封'!AD12)*'恶灵入侵-专属解封'!AE12</f>
        <v>30000</v>
      </c>
      <c r="AG12" s="148">
        <v>5</v>
      </c>
      <c r="AH12" s="148">
        <v>8</v>
      </c>
      <c r="AI12" s="150" t="str">
        <f t="shared" si="19"/>
        <v>5~8</v>
      </c>
      <c r="AZ12" s="148">
        <v>7</v>
      </c>
      <c r="BA12" s="148">
        <f t="shared" si="7"/>
        <v>2</v>
      </c>
      <c r="BB12" s="148">
        <f t="shared" si="8"/>
        <v>2</v>
      </c>
      <c r="BC12" s="148">
        <f t="shared" si="9"/>
        <v>1102002</v>
      </c>
      <c r="BD12" s="148" t="s">
        <v>1384</v>
      </c>
      <c r="BE12" s="148">
        <f t="shared" si="10"/>
        <v>0</v>
      </c>
      <c r="BF12" s="148" t="str">
        <f t="shared" si="11"/>
        <v>许褚专属武器解封-0</v>
      </c>
      <c r="BG12" s="148" t="str">
        <f t="shared" si="12"/>
        <v/>
      </c>
      <c r="BH12" s="148" t="str">
        <f t="shared" si="13"/>
        <v/>
      </c>
      <c r="BI12" s="148" t="str">
        <f t="shared" si="14"/>
        <v/>
      </c>
      <c r="BJ12" s="148" t="str">
        <f t="shared" si="15"/>
        <v/>
      </c>
      <c r="BK12" s="148" t="str">
        <f t="shared" si="16"/>
        <v/>
      </c>
      <c r="BL12" s="148" t="str">
        <f t="shared" si="17"/>
        <v/>
      </c>
    </row>
    <row r="13" spans="1:64" ht="16.5" x14ac:dyDescent="0.2">
      <c r="A13" s="148">
        <v>1102009</v>
      </c>
      <c r="B13" s="148" t="s">
        <v>190</v>
      </c>
      <c r="C13" s="148">
        <v>3</v>
      </c>
      <c r="D13" s="148">
        <v>3</v>
      </c>
      <c r="E13" s="148" t="str">
        <f t="shared" si="0"/>
        <v>SR+</v>
      </c>
      <c r="F13" s="148">
        <f t="shared" si="1"/>
        <v>50</v>
      </c>
      <c r="G13" s="148">
        <f t="shared" si="2"/>
        <v>5</v>
      </c>
      <c r="H13" s="148">
        <f t="shared" si="3"/>
        <v>1000</v>
      </c>
      <c r="I13" s="153">
        <f t="shared" si="4"/>
        <v>25</v>
      </c>
      <c r="J13" s="148" t="s">
        <v>1307</v>
      </c>
      <c r="M13" s="149"/>
      <c r="N13" s="149"/>
      <c r="O13" s="149"/>
      <c r="P13" s="149"/>
      <c r="Q13" s="149"/>
      <c r="S13" s="148">
        <v>7</v>
      </c>
      <c r="T13" s="148" t="s">
        <v>1327</v>
      </c>
      <c r="U13" s="148">
        <v>65</v>
      </c>
      <c r="V13" s="148">
        <v>130</v>
      </c>
      <c r="W13" s="148"/>
      <c r="X13" s="148">
        <v>1</v>
      </c>
      <c r="Y13" s="148">
        <v>1.1000000000000001</v>
      </c>
      <c r="Z13" s="148">
        <v>1.1000000000000001</v>
      </c>
      <c r="AA13" s="148"/>
      <c r="AB13" s="148"/>
      <c r="AC13" s="148">
        <f t="shared" si="5"/>
        <v>130</v>
      </c>
      <c r="AD13" s="148">
        <v>12</v>
      </c>
      <c r="AE13" s="148">
        <v>300</v>
      </c>
      <c r="AF13" s="148">
        <f>INDEX(章节关卡!$K$6:$K$35,'恶灵入侵-专属解封'!AD13)*'恶灵入侵-专属解封'!AE13</f>
        <v>33000</v>
      </c>
      <c r="AG13" s="148">
        <v>5</v>
      </c>
      <c r="AH13" s="148">
        <v>9</v>
      </c>
      <c r="AI13" s="150" t="str">
        <f t="shared" si="19"/>
        <v>5~9</v>
      </c>
      <c r="AZ13" s="148">
        <v>8</v>
      </c>
      <c r="BA13" s="148">
        <f t="shared" si="7"/>
        <v>2</v>
      </c>
      <c r="BB13" s="148">
        <f t="shared" si="8"/>
        <v>2</v>
      </c>
      <c r="BC13" s="148">
        <f t="shared" si="9"/>
        <v>1102002</v>
      </c>
      <c r="BD13" s="148" t="s">
        <v>1384</v>
      </c>
      <c r="BE13" s="148">
        <f t="shared" si="10"/>
        <v>1</v>
      </c>
      <c r="BF13" s="148" t="str">
        <f t="shared" si="11"/>
        <v>许褚专属武器解封-1</v>
      </c>
      <c r="BG13" s="148" t="str">
        <f t="shared" si="12"/>
        <v>许褚专属武器效果</v>
      </c>
      <c r="BH13" s="148">
        <f t="shared" si="13"/>
        <v>1</v>
      </c>
      <c r="BI13" s="148" t="str">
        <f t="shared" si="14"/>
        <v>金币</v>
      </c>
      <c r="BJ13" s="148">
        <f t="shared" si="15"/>
        <v>15000</v>
      </c>
      <c r="BK13" s="148" t="str">
        <f t="shared" si="16"/>
        <v>许褚专属武器碎片</v>
      </c>
      <c r="BL13" s="148">
        <f t="shared" si="17"/>
        <v>40</v>
      </c>
    </row>
    <row r="14" spans="1:64" ht="16.5" x14ac:dyDescent="0.2">
      <c r="A14" s="148">
        <v>1102010</v>
      </c>
      <c r="B14" s="148" t="s">
        <v>191</v>
      </c>
      <c r="C14" s="148">
        <v>4</v>
      </c>
      <c r="D14" s="148">
        <v>5</v>
      </c>
      <c r="E14" s="148" t="str">
        <f t="shared" si="0"/>
        <v>SSR+</v>
      </c>
      <c r="F14" s="148">
        <f t="shared" si="1"/>
        <v>100</v>
      </c>
      <c r="G14" s="148">
        <f t="shared" si="2"/>
        <v>10</v>
      </c>
      <c r="H14" s="148">
        <f t="shared" si="3"/>
        <v>2000</v>
      </c>
      <c r="I14" s="153">
        <f t="shared" si="4"/>
        <v>50</v>
      </c>
      <c r="J14" s="148" t="s">
        <v>1308</v>
      </c>
      <c r="S14" s="148">
        <v>8</v>
      </c>
      <c r="T14" s="148" t="s">
        <v>1328</v>
      </c>
      <c r="U14" s="148">
        <v>70</v>
      </c>
      <c r="V14" s="148">
        <v>150</v>
      </c>
      <c r="W14" s="148"/>
      <c r="X14" s="148">
        <v>1</v>
      </c>
      <c r="Y14" s="148">
        <v>1</v>
      </c>
      <c r="Z14" s="148">
        <v>1</v>
      </c>
      <c r="AA14" s="148">
        <v>0.3</v>
      </c>
      <c r="AB14" s="148"/>
      <c r="AC14" s="148">
        <f t="shared" si="5"/>
        <v>150</v>
      </c>
      <c r="AD14" s="148">
        <v>13</v>
      </c>
      <c r="AE14" s="148">
        <v>300</v>
      </c>
      <c r="AF14" s="148">
        <f>INDEX(章节关卡!$K$6:$K$35,'恶灵入侵-专属解封'!AD14)*'恶灵入侵-专属解封'!AE14</f>
        <v>37500</v>
      </c>
      <c r="AG14" s="148">
        <v>5</v>
      </c>
      <c r="AH14" s="148">
        <v>10</v>
      </c>
      <c r="AI14" s="150" t="str">
        <f t="shared" si="19"/>
        <v>5~10</v>
      </c>
      <c r="AZ14" s="148">
        <v>9</v>
      </c>
      <c r="BA14" s="148">
        <f t="shared" si="7"/>
        <v>2</v>
      </c>
      <c r="BB14" s="148">
        <f t="shared" si="8"/>
        <v>2</v>
      </c>
      <c r="BC14" s="148">
        <f t="shared" si="9"/>
        <v>1102002</v>
      </c>
      <c r="BD14" s="148" t="s">
        <v>1384</v>
      </c>
      <c r="BE14" s="148">
        <f t="shared" si="10"/>
        <v>2</v>
      </c>
      <c r="BF14" s="148" t="str">
        <f t="shared" si="11"/>
        <v>许褚专属武器解封-2</v>
      </c>
      <c r="BG14" s="148" t="str">
        <f t="shared" si="12"/>
        <v>许褚专属武器效果</v>
      </c>
      <c r="BH14" s="148">
        <f t="shared" si="13"/>
        <v>2</v>
      </c>
      <c r="BI14" s="148" t="str">
        <f t="shared" si="14"/>
        <v>金币</v>
      </c>
      <c r="BJ14" s="148">
        <f t="shared" si="15"/>
        <v>32000</v>
      </c>
      <c r="BK14" s="148" t="str">
        <f t="shared" si="16"/>
        <v>许褚专属武器碎片</v>
      </c>
      <c r="BL14" s="148">
        <f t="shared" si="17"/>
        <v>40</v>
      </c>
    </row>
    <row r="15" spans="1:64" ht="16.5" x14ac:dyDescent="0.2">
      <c r="A15" s="148">
        <v>1102011</v>
      </c>
      <c r="B15" s="148" t="s">
        <v>192</v>
      </c>
      <c r="C15" s="148">
        <v>4</v>
      </c>
      <c r="D15" s="148">
        <v>5</v>
      </c>
      <c r="E15" s="148" t="str">
        <f t="shared" si="0"/>
        <v>SSR+</v>
      </c>
      <c r="F15" s="148">
        <f t="shared" si="1"/>
        <v>100</v>
      </c>
      <c r="G15" s="148">
        <f t="shared" si="2"/>
        <v>10</v>
      </c>
      <c r="H15" s="148">
        <f t="shared" si="3"/>
        <v>2000</v>
      </c>
      <c r="I15" s="153">
        <f t="shared" si="4"/>
        <v>50</v>
      </c>
      <c r="J15" s="148" t="s">
        <v>1309</v>
      </c>
      <c r="S15" s="148">
        <v>9</v>
      </c>
      <c r="T15" s="148" t="s">
        <v>1329</v>
      </c>
      <c r="U15" s="148">
        <v>80</v>
      </c>
      <c r="V15" s="148">
        <v>160</v>
      </c>
      <c r="W15" s="148"/>
      <c r="X15" s="148">
        <v>1</v>
      </c>
      <c r="Y15" s="148">
        <v>1</v>
      </c>
      <c r="Z15" s="148">
        <v>1</v>
      </c>
      <c r="AA15" s="148">
        <v>0.4</v>
      </c>
      <c r="AB15" s="148"/>
      <c r="AC15" s="148">
        <f t="shared" si="5"/>
        <v>160</v>
      </c>
      <c r="AD15" s="148">
        <v>15</v>
      </c>
      <c r="AE15" s="148">
        <v>300</v>
      </c>
      <c r="AF15" s="148">
        <f>INDEX(章节关卡!$K$6:$K$35,'恶灵入侵-专属解封'!AD15)*'恶灵入侵-专属解封'!AE15</f>
        <v>45000</v>
      </c>
      <c r="AG15" s="148">
        <v>6</v>
      </c>
      <c r="AH15" s="148">
        <v>10</v>
      </c>
      <c r="AI15" s="150" t="str">
        <f t="shared" si="19"/>
        <v>6~10</v>
      </c>
      <c r="AZ15" s="148">
        <v>10</v>
      </c>
      <c r="BA15" s="148">
        <f t="shared" si="7"/>
        <v>2</v>
      </c>
      <c r="BB15" s="148">
        <f t="shared" si="8"/>
        <v>2</v>
      </c>
      <c r="BC15" s="148">
        <f t="shared" si="9"/>
        <v>1102002</v>
      </c>
      <c r="BD15" s="148" t="s">
        <v>1384</v>
      </c>
      <c r="BE15" s="148">
        <f t="shared" si="10"/>
        <v>3</v>
      </c>
      <c r="BF15" s="148" t="str">
        <f t="shared" si="11"/>
        <v>许褚专属武器解封-3</v>
      </c>
      <c r="BG15" s="148" t="str">
        <f t="shared" si="12"/>
        <v>许褚专属武器效果</v>
      </c>
      <c r="BH15" s="148">
        <f t="shared" si="13"/>
        <v>3</v>
      </c>
      <c r="BI15" s="148" t="str">
        <f t="shared" si="14"/>
        <v>金币</v>
      </c>
      <c r="BJ15" s="148">
        <f t="shared" si="15"/>
        <v>73000</v>
      </c>
      <c r="BK15" s="148" t="str">
        <f t="shared" si="16"/>
        <v>许褚专属武器碎片</v>
      </c>
      <c r="BL15" s="148">
        <f t="shared" si="17"/>
        <v>60</v>
      </c>
    </row>
    <row r="16" spans="1:64" ht="16.5" x14ac:dyDescent="0.2">
      <c r="A16" s="148">
        <v>1102012</v>
      </c>
      <c r="B16" s="148" t="s">
        <v>193</v>
      </c>
      <c r="C16" s="148">
        <v>5</v>
      </c>
      <c r="D16" s="148">
        <v>6</v>
      </c>
      <c r="E16" s="148" t="str">
        <f t="shared" si="0"/>
        <v>UR</v>
      </c>
      <c r="F16" s="148">
        <f t="shared" si="1"/>
        <v>250</v>
      </c>
      <c r="G16" s="148">
        <f t="shared" si="2"/>
        <v>25</v>
      </c>
      <c r="H16" s="148">
        <f t="shared" si="3"/>
        <v>5000</v>
      </c>
      <c r="I16" s="153">
        <f t="shared" si="4"/>
        <v>125</v>
      </c>
      <c r="J16" s="148" t="s">
        <v>1310</v>
      </c>
      <c r="S16" s="148">
        <v>10</v>
      </c>
      <c r="T16" s="148" t="s">
        <v>1330</v>
      </c>
      <c r="U16" s="148">
        <v>90</v>
      </c>
      <c r="V16" s="148">
        <v>180</v>
      </c>
      <c r="W16" s="148"/>
      <c r="X16" s="148">
        <v>1</v>
      </c>
      <c r="Y16" s="148">
        <v>1</v>
      </c>
      <c r="Z16" s="148">
        <v>1</v>
      </c>
      <c r="AA16" s="148">
        <v>0.6</v>
      </c>
      <c r="AB16" s="148"/>
      <c r="AC16" s="148">
        <f t="shared" si="5"/>
        <v>180</v>
      </c>
      <c r="AD16" s="148">
        <v>17</v>
      </c>
      <c r="AE16" s="148">
        <v>300</v>
      </c>
      <c r="AF16" s="148">
        <f>INDEX(章节关卡!$K$6:$K$35,'恶灵入侵-专属解封'!AD16)*'恶灵入侵-专属解封'!AE16</f>
        <v>52500</v>
      </c>
      <c r="AG16" s="148">
        <v>6</v>
      </c>
      <c r="AH16" s="148">
        <v>11</v>
      </c>
      <c r="AI16" s="150" t="str">
        <f t="shared" si="19"/>
        <v>6~11</v>
      </c>
      <c r="AZ16" s="148">
        <v>11</v>
      </c>
      <c r="BA16" s="148">
        <f t="shared" si="7"/>
        <v>2</v>
      </c>
      <c r="BB16" s="148">
        <f t="shared" si="8"/>
        <v>2</v>
      </c>
      <c r="BC16" s="148">
        <f t="shared" si="9"/>
        <v>1102002</v>
      </c>
      <c r="BD16" s="148" t="s">
        <v>1384</v>
      </c>
      <c r="BE16" s="148">
        <f t="shared" si="10"/>
        <v>4</v>
      </c>
      <c r="BF16" s="148" t="str">
        <f t="shared" si="11"/>
        <v>许褚专属武器解封-4</v>
      </c>
      <c r="BG16" s="148" t="str">
        <f t="shared" si="12"/>
        <v>许褚专属武器效果</v>
      </c>
      <c r="BH16" s="148">
        <f t="shared" si="13"/>
        <v>4</v>
      </c>
      <c r="BI16" s="148" t="str">
        <f t="shared" si="14"/>
        <v>金币</v>
      </c>
      <c r="BJ16" s="148">
        <f t="shared" si="15"/>
        <v>129500</v>
      </c>
      <c r="BK16" s="148" t="str">
        <f t="shared" si="16"/>
        <v>许褚专属武器碎片</v>
      </c>
      <c r="BL16" s="148">
        <f t="shared" si="17"/>
        <v>60</v>
      </c>
    </row>
    <row r="17" spans="1:64" ht="16.5" x14ac:dyDescent="0.2">
      <c r="A17" s="148">
        <v>1102014</v>
      </c>
      <c r="B17" s="148" t="s">
        <v>195</v>
      </c>
      <c r="C17" s="148">
        <v>3</v>
      </c>
      <c r="D17" s="148">
        <v>3</v>
      </c>
      <c r="E17" s="148" t="str">
        <f t="shared" si="0"/>
        <v>SR+</v>
      </c>
      <c r="F17" s="148">
        <f t="shared" si="1"/>
        <v>50</v>
      </c>
      <c r="G17" s="148">
        <f t="shared" si="2"/>
        <v>5</v>
      </c>
      <c r="H17" s="148">
        <f t="shared" si="3"/>
        <v>1000</v>
      </c>
      <c r="I17" s="153">
        <f t="shared" si="4"/>
        <v>25</v>
      </c>
      <c r="J17" s="148" t="s">
        <v>1311</v>
      </c>
      <c r="S17" s="148">
        <v>11</v>
      </c>
      <c r="T17" s="148" t="s">
        <v>1331</v>
      </c>
      <c r="U17" s="148">
        <v>95</v>
      </c>
      <c r="V17" s="148">
        <v>190</v>
      </c>
      <c r="W17" s="148"/>
      <c r="X17" s="148">
        <v>1</v>
      </c>
      <c r="Y17" s="148">
        <v>1</v>
      </c>
      <c r="Z17" s="148">
        <v>1</v>
      </c>
      <c r="AA17" s="148">
        <v>0.7</v>
      </c>
      <c r="AB17" s="148"/>
      <c r="AC17" s="148">
        <f t="shared" si="5"/>
        <v>190</v>
      </c>
      <c r="AD17" s="148">
        <v>18</v>
      </c>
      <c r="AE17" s="148">
        <v>300</v>
      </c>
      <c r="AF17" s="148">
        <f>INDEX(章节关卡!$K$6:$K$35,'恶灵入侵-专属解封'!AD17)*'恶灵入侵-专属解封'!AE17</f>
        <v>55500</v>
      </c>
      <c r="AG17" s="148">
        <v>6</v>
      </c>
      <c r="AH17" s="148">
        <v>12</v>
      </c>
      <c r="AI17" s="150" t="str">
        <f t="shared" si="19"/>
        <v>6~12</v>
      </c>
      <c r="AZ17" s="148">
        <v>12</v>
      </c>
      <c r="BA17" s="148">
        <f t="shared" si="7"/>
        <v>2</v>
      </c>
      <c r="BB17" s="148">
        <f t="shared" si="8"/>
        <v>2</v>
      </c>
      <c r="BC17" s="148">
        <f t="shared" si="9"/>
        <v>1102002</v>
      </c>
      <c r="BD17" s="148" t="s">
        <v>1384</v>
      </c>
      <c r="BE17" s="148">
        <f t="shared" si="10"/>
        <v>5</v>
      </c>
      <c r="BF17" s="148" t="str">
        <f t="shared" si="11"/>
        <v>许褚专属武器解封-5</v>
      </c>
      <c r="BG17" s="148" t="str">
        <f t="shared" si="12"/>
        <v>许褚专属武器效果</v>
      </c>
      <c r="BH17" s="148">
        <f t="shared" si="13"/>
        <v>5</v>
      </c>
      <c r="BI17" s="148" t="str">
        <f t="shared" si="14"/>
        <v>金币</v>
      </c>
      <c r="BJ17" s="148">
        <f t="shared" si="15"/>
        <v>313500</v>
      </c>
      <c r="BK17" s="148" t="str">
        <f t="shared" si="16"/>
        <v>许褚专属武器碎片</v>
      </c>
      <c r="BL17" s="148">
        <f t="shared" si="17"/>
        <v>80</v>
      </c>
    </row>
    <row r="18" spans="1:64" ht="16.5" x14ac:dyDescent="0.2">
      <c r="A18" s="148">
        <v>1102016</v>
      </c>
      <c r="B18" s="148" t="s">
        <v>197</v>
      </c>
      <c r="C18" s="148">
        <v>4</v>
      </c>
      <c r="D18" s="148">
        <v>4</v>
      </c>
      <c r="E18" s="148" t="str">
        <f t="shared" si="0"/>
        <v>SSR</v>
      </c>
      <c r="F18" s="148">
        <f t="shared" si="1"/>
        <v>50</v>
      </c>
      <c r="G18" s="148">
        <f t="shared" si="2"/>
        <v>5</v>
      </c>
      <c r="H18" s="148">
        <f t="shared" si="3"/>
        <v>1000</v>
      </c>
      <c r="I18" s="153">
        <f t="shared" si="4"/>
        <v>25</v>
      </c>
      <c r="J18" s="148" t="s">
        <v>1312</v>
      </c>
      <c r="S18" s="148">
        <v>12</v>
      </c>
      <c r="T18" s="148" t="s">
        <v>1332</v>
      </c>
      <c r="U18" s="148">
        <v>100</v>
      </c>
      <c r="V18" s="148">
        <v>200</v>
      </c>
      <c r="W18" s="148"/>
      <c r="X18" s="148">
        <v>1</v>
      </c>
      <c r="Y18" s="148">
        <v>1</v>
      </c>
      <c r="Z18" s="148">
        <v>1</v>
      </c>
      <c r="AA18" s="148">
        <v>0.8</v>
      </c>
      <c r="AB18" s="148"/>
      <c r="AC18" s="148">
        <f t="shared" si="5"/>
        <v>200</v>
      </c>
      <c r="AD18" s="148">
        <v>19</v>
      </c>
      <c r="AE18" s="148">
        <v>300</v>
      </c>
      <c r="AF18" s="148">
        <f>INDEX(章节关卡!$K$6:$K$35,'恶灵入侵-专属解封'!AD18)*'恶灵入侵-专属解封'!AE18</f>
        <v>60000</v>
      </c>
      <c r="AG18" s="148">
        <v>6</v>
      </c>
      <c r="AH18" s="148">
        <v>13</v>
      </c>
      <c r="AI18" s="150" t="str">
        <f t="shared" si="19"/>
        <v>6~13</v>
      </c>
      <c r="AZ18" s="148">
        <v>13</v>
      </c>
      <c r="BA18" s="148">
        <f t="shared" si="7"/>
        <v>3</v>
      </c>
      <c r="BB18" s="148">
        <f t="shared" si="8"/>
        <v>4</v>
      </c>
      <c r="BC18" s="148">
        <f t="shared" si="9"/>
        <v>1102003</v>
      </c>
      <c r="BD18" s="148" t="s">
        <v>1384</v>
      </c>
      <c r="BE18" s="148">
        <f t="shared" si="10"/>
        <v>0</v>
      </c>
      <c r="BF18" s="148" t="str">
        <f t="shared" si="11"/>
        <v>典韦专属武器解封-0</v>
      </c>
      <c r="BG18" s="148" t="str">
        <f t="shared" si="12"/>
        <v/>
      </c>
      <c r="BH18" s="148" t="str">
        <f t="shared" si="13"/>
        <v/>
      </c>
      <c r="BI18" s="148" t="str">
        <f t="shared" si="14"/>
        <v/>
      </c>
      <c r="BJ18" s="148" t="str">
        <f t="shared" si="15"/>
        <v/>
      </c>
      <c r="BK18" s="148" t="str">
        <f t="shared" si="16"/>
        <v/>
      </c>
      <c r="BL18" s="148" t="str">
        <f t="shared" si="17"/>
        <v/>
      </c>
    </row>
    <row r="19" spans="1:64" ht="16.5" x14ac:dyDescent="0.2">
      <c r="A19" s="148">
        <v>1102017</v>
      </c>
      <c r="B19" s="148" t="s">
        <v>198</v>
      </c>
      <c r="C19" s="148">
        <v>3</v>
      </c>
      <c r="D19" s="148">
        <v>2</v>
      </c>
      <c r="E19" s="148" t="str">
        <f t="shared" si="0"/>
        <v>SR</v>
      </c>
      <c r="F19" s="148">
        <f t="shared" si="1"/>
        <v>20</v>
      </c>
      <c r="G19" s="148">
        <f t="shared" si="2"/>
        <v>2</v>
      </c>
      <c r="H19" s="148">
        <f t="shared" si="3"/>
        <v>500</v>
      </c>
      <c r="I19" s="153">
        <f t="shared" si="4"/>
        <v>10</v>
      </c>
      <c r="J19" s="148" t="s">
        <v>1313</v>
      </c>
      <c r="S19" s="148">
        <v>13</v>
      </c>
      <c r="T19" s="148" t="s">
        <v>1333</v>
      </c>
      <c r="U19" s="148">
        <v>105</v>
      </c>
      <c r="V19" s="148">
        <v>225</v>
      </c>
      <c r="W19" s="148"/>
      <c r="X19" s="148">
        <v>1</v>
      </c>
      <c r="Y19" s="148">
        <v>1</v>
      </c>
      <c r="Z19" s="148">
        <v>1</v>
      </c>
      <c r="AA19" s="148">
        <v>1</v>
      </c>
      <c r="AB19" s="148">
        <v>0.02</v>
      </c>
      <c r="AC19" s="148">
        <f t="shared" si="5"/>
        <v>225</v>
      </c>
      <c r="AD19" s="148">
        <v>20</v>
      </c>
      <c r="AE19" s="148">
        <v>300</v>
      </c>
      <c r="AF19" s="148">
        <f>INDEX(章节关卡!$K$6:$K$35,'恶灵入侵-专属解封'!AD19)*'恶灵入侵-专属解封'!AE19</f>
        <v>63000</v>
      </c>
      <c r="AG19" s="148">
        <v>7</v>
      </c>
      <c r="AH19" s="148">
        <v>13</v>
      </c>
      <c r="AI19" s="150" t="str">
        <f t="shared" si="19"/>
        <v>7~13</v>
      </c>
      <c r="AZ19" s="148">
        <v>14</v>
      </c>
      <c r="BA19" s="148">
        <f t="shared" si="7"/>
        <v>3</v>
      </c>
      <c r="BB19" s="148">
        <f t="shared" si="8"/>
        <v>4</v>
      </c>
      <c r="BC19" s="148">
        <f t="shared" si="9"/>
        <v>1102003</v>
      </c>
      <c r="BD19" s="148" t="s">
        <v>1384</v>
      </c>
      <c r="BE19" s="148">
        <f t="shared" si="10"/>
        <v>1</v>
      </c>
      <c r="BF19" s="148" t="str">
        <f t="shared" si="11"/>
        <v>典韦专属武器解封-1</v>
      </c>
      <c r="BG19" s="148" t="str">
        <f t="shared" si="12"/>
        <v>典韦专属武器效果</v>
      </c>
      <c r="BH19" s="148">
        <f t="shared" si="13"/>
        <v>1</v>
      </c>
      <c r="BI19" s="148" t="str">
        <f t="shared" si="14"/>
        <v>金币</v>
      </c>
      <c r="BJ19" s="148">
        <f t="shared" si="15"/>
        <v>21000</v>
      </c>
      <c r="BK19" s="148" t="str">
        <f t="shared" si="16"/>
        <v>典韦专属武器碎片</v>
      </c>
      <c r="BL19" s="148">
        <f t="shared" si="17"/>
        <v>80</v>
      </c>
    </row>
    <row r="20" spans="1:64" ht="16.5" x14ac:dyDescent="0.2">
      <c r="A20" s="148">
        <v>1102020</v>
      </c>
      <c r="B20" s="148" t="s">
        <v>201</v>
      </c>
      <c r="C20" s="148">
        <v>3</v>
      </c>
      <c r="D20" s="148">
        <v>3</v>
      </c>
      <c r="E20" s="148" t="str">
        <f t="shared" si="0"/>
        <v>SR+</v>
      </c>
      <c r="F20" s="148">
        <f t="shared" si="1"/>
        <v>50</v>
      </c>
      <c r="G20" s="148">
        <f t="shared" si="2"/>
        <v>5</v>
      </c>
      <c r="H20" s="148">
        <f t="shared" si="3"/>
        <v>1000</v>
      </c>
      <c r="I20" s="153">
        <f t="shared" si="4"/>
        <v>25</v>
      </c>
      <c r="J20" s="148" t="s">
        <v>1314</v>
      </c>
      <c r="S20" s="148">
        <v>14</v>
      </c>
      <c r="T20" s="148" t="s">
        <v>1334</v>
      </c>
      <c r="U20" s="148">
        <v>110</v>
      </c>
      <c r="V20" s="148">
        <v>250</v>
      </c>
      <c r="W20" s="148"/>
      <c r="X20" s="148">
        <v>1</v>
      </c>
      <c r="Y20" s="148">
        <v>1</v>
      </c>
      <c r="Z20" s="148">
        <v>1</v>
      </c>
      <c r="AA20" s="148">
        <v>1</v>
      </c>
      <c r="AB20" s="148">
        <v>0.12</v>
      </c>
      <c r="AC20" s="148">
        <f t="shared" si="5"/>
        <v>250</v>
      </c>
      <c r="AD20" s="148">
        <v>21</v>
      </c>
      <c r="AE20" s="148">
        <v>300</v>
      </c>
      <c r="AF20" s="148">
        <f>INDEX(章节关卡!$K$6:$K$35,'恶灵入侵-专属解封'!AD20)*'恶灵入侵-专属解封'!AE20</f>
        <v>67500</v>
      </c>
      <c r="AG20" s="148">
        <v>8</v>
      </c>
      <c r="AH20" s="148">
        <v>13</v>
      </c>
      <c r="AI20" s="150" t="str">
        <f t="shared" si="19"/>
        <v>8~13</v>
      </c>
      <c r="AZ20" s="148">
        <v>15</v>
      </c>
      <c r="BA20" s="148">
        <f t="shared" si="7"/>
        <v>3</v>
      </c>
      <c r="BB20" s="148">
        <f t="shared" si="8"/>
        <v>4</v>
      </c>
      <c r="BC20" s="148">
        <f t="shared" si="9"/>
        <v>1102003</v>
      </c>
      <c r="BD20" s="148" t="s">
        <v>1384</v>
      </c>
      <c r="BE20" s="148">
        <f t="shared" si="10"/>
        <v>2</v>
      </c>
      <c r="BF20" s="148" t="str">
        <f t="shared" si="11"/>
        <v>典韦专属武器解封-2</v>
      </c>
      <c r="BG20" s="148" t="str">
        <f t="shared" si="12"/>
        <v>典韦专属武器效果</v>
      </c>
      <c r="BH20" s="148">
        <f t="shared" si="13"/>
        <v>2</v>
      </c>
      <c r="BI20" s="148" t="str">
        <f t="shared" si="14"/>
        <v>金币</v>
      </c>
      <c r="BJ20" s="148">
        <f t="shared" si="15"/>
        <v>44500</v>
      </c>
      <c r="BK20" s="148" t="str">
        <f t="shared" si="16"/>
        <v>典韦专属武器碎片</v>
      </c>
      <c r="BL20" s="148">
        <f t="shared" si="17"/>
        <v>80</v>
      </c>
    </row>
    <row r="21" spans="1:64" ht="16.5" x14ac:dyDescent="0.2">
      <c r="A21" s="148">
        <v>1102021</v>
      </c>
      <c r="B21" s="148" t="s">
        <v>202</v>
      </c>
      <c r="C21" s="148">
        <v>3</v>
      </c>
      <c r="D21" s="148">
        <v>2</v>
      </c>
      <c r="E21" s="148" t="str">
        <f t="shared" si="0"/>
        <v>SR</v>
      </c>
      <c r="F21" s="148">
        <f t="shared" si="1"/>
        <v>20</v>
      </c>
      <c r="G21" s="148">
        <f t="shared" si="2"/>
        <v>2</v>
      </c>
      <c r="H21" s="148">
        <f t="shared" si="3"/>
        <v>500</v>
      </c>
      <c r="I21" s="153">
        <f t="shared" si="4"/>
        <v>10</v>
      </c>
      <c r="J21" s="148" t="s">
        <v>1315</v>
      </c>
      <c r="S21" s="148">
        <v>15</v>
      </c>
      <c r="T21" s="148" t="s">
        <v>1335</v>
      </c>
      <c r="U21" s="148">
        <v>120</v>
      </c>
      <c r="V21" s="148">
        <v>275</v>
      </c>
      <c r="W21" s="148"/>
      <c r="X21" s="148">
        <v>1</v>
      </c>
      <c r="Y21" s="148">
        <v>1</v>
      </c>
      <c r="Z21" s="148">
        <v>1</v>
      </c>
      <c r="AA21" s="148">
        <v>1</v>
      </c>
      <c r="AB21" s="148">
        <v>0.22</v>
      </c>
      <c r="AC21" s="148">
        <f t="shared" si="5"/>
        <v>275</v>
      </c>
      <c r="AD21" s="148">
        <v>23</v>
      </c>
      <c r="AE21" s="148">
        <v>300</v>
      </c>
      <c r="AF21" s="148">
        <f>INDEX(章节关卡!$K$6:$K$35,'恶灵入侵-专属解封'!AD21)*'恶灵入侵-专属解封'!AE21</f>
        <v>75000</v>
      </c>
      <c r="AG21" s="148">
        <v>8</v>
      </c>
      <c r="AH21" s="148">
        <v>15</v>
      </c>
      <c r="AI21" s="150" t="str">
        <f t="shared" si="19"/>
        <v>8~15</v>
      </c>
      <c r="AZ21" s="148">
        <v>16</v>
      </c>
      <c r="BA21" s="148">
        <f t="shared" si="7"/>
        <v>3</v>
      </c>
      <c r="BB21" s="148">
        <f t="shared" si="8"/>
        <v>4</v>
      </c>
      <c r="BC21" s="148">
        <f t="shared" si="9"/>
        <v>1102003</v>
      </c>
      <c r="BD21" s="148" t="s">
        <v>1384</v>
      </c>
      <c r="BE21" s="148">
        <f t="shared" si="10"/>
        <v>3</v>
      </c>
      <c r="BF21" s="148" t="str">
        <f t="shared" si="11"/>
        <v>典韦专属武器解封-3</v>
      </c>
      <c r="BG21" s="148" t="str">
        <f t="shared" si="12"/>
        <v>典韦专属武器效果</v>
      </c>
      <c r="BH21" s="148">
        <f t="shared" si="13"/>
        <v>3</v>
      </c>
      <c r="BI21" s="148" t="str">
        <f t="shared" si="14"/>
        <v>金币</v>
      </c>
      <c r="BJ21" s="148">
        <f t="shared" si="15"/>
        <v>102500</v>
      </c>
      <c r="BK21" s="148" t="str">
        <f t="shared" si="16"/>
        <v>典韦专属武器碎片</v>
      </c>
      <c r="BL21" s="148">
        <f t="shared" si="17"/>
        <v>120</v>
      </c>
    </row>
    <row r="22" spans="1:64" ht="16.5" x14ac:dyDescent="0.2">
      <c r="A22" s="148">
        <v>1102024</v>
      </c>
      <c r="B22" s="148" t="s">
        <v>971</v>
      </c>
      <c r="C22" s="148">
        <v>3</v>
      </c>
      <c r="D22" s="148">
        <v>2</v>
      </c>
      <c r="E22" s="148" t="str">
        <f t="shared" si="0"/>
        <v>SR</v>
      </c>
      <c r="F22" s="148">
        <f t="shared" si="1"/>
        <v>20</v>
      </c>
      <c r="G22" s="148">
        <f t="shared" si="2"/>
        <v>2</v>
      </c>
      <c r="H22" s="148">
        <f t="shared" si="3"/>
        <v>500</v>
      </c>
      <c r="I22" s="153">
        <f t="shared" si="4"/>
        <v>10</v>
      </c>
      <c r="J22" s="148" t="s">
        <v>1316</v>
      </c>
      <c r="S22" s="148">
        <v>16</v>
      </c>
      <c r="T22" s="148" t="s">
        <v>1336</v>
      </c>
      <c r="U22" s="148">
        <v>130</v>
      </c>
      <c r="V22" s="148">
        <v>320</v>
      </c>
      <c r="W22" s="148"/>
      <c r="X22" s="148">
        <v>1</v>
      </c>
      <c r="Y22" s="148">
        <v>1</v>
      </c>
      <c r="Z22" s="148">
        <v>1</v>
      </c>
      <c r="AA22" s="148">
        <v>1</v>
      </c>
      <c r="AB22" s="148">
        <v>0.4</v>
      </c>
      <c r="AC22" s="148">
        <f t="shared" si="5"/>
        <v>320</v>
      </c>
      <c r="AD22" s="148">
        <v>25</v>
      </c>
      <c r="AE22" s="148">
        <v>300</v>
      </c>
      <c r="AF22" s="148">
        <f>INDEX(章节关卡!$K$6:$K$35,'恶灵入侵-专属解封'!AD22)*'恶灵入侵-专属解封'!AE22</f>
        <v>90000</v>
      </c>
      <c r="AG22" s="148">
        <v>10</v>
      </c>
      <c r="AH22" s="148">
        <v>20</v>
      </c>
      <c r="AI22" s="150" t="str">
        <f t="shared" si="19"/>
        <v>10~20</v>
      </c>
      <c r="AZ22" s="148">
        <v>17</v>
      </c>
      <c r="BA22" s="148">
        <f t="shared" si="7"/>
        <v>3</v>
      </c>
      <c r="BB22" s="148">
        <f t="shared" si="8"/>
        <v>4</v>
      </c>
      <c r="BC22" s="148">
        <f t="shared" si="9"/>
        <v>1102003</v>
      </c>
      <c r="BD22" s="148" t="s">
        <v>1384</v>
      </c>
      <c r="BE22" s="148">
        <f t="shared" si="10"/>
        <v>4</v>
      </c>
      <c r="BF22" s="148" t="str">
        <f t="shared" si="11"/>
        <v>典韦专属武器解封-4</v>
      </c>
      <c r="BG22" s="148" t="str">
        <f t="shared" si="12"/>
        <v>典韦专属武器效果</v>
      </c>
      <c r="BH22" s="148">
        <f t="shared" si="13"/>
        <v>4</v>
      </c>
      <c r="BI22" s="148" t="str">
        <f t="shared" si="14"/>
        <v>金币</v>
      </c>
      <c r="BJ22" s="148">
        <f t="shared" si="15"/>
        <v>181500</v>
      </c>
      <c r="BK22" s="148" t="str">
        <f t="shared" si="16"/>
        <v>典韦专属武器碎片</v>
      </c>
      <c r="BL22" s="148">
        <f t="shared" si="17"/>
        <v>120</v>
      </c>
    </row>
    <row r="23" spans="1:64" ht="16.5" x14ac:dyDescent="0.2">
      <c r="A23" s="148">
        <v>1102026</v>
      </c>
      <c r="B23" s="148" t="s">
        <v>972</v>
      </c>
      <c r="C23" s="148">
        <v>3</v>
      </c>
      <c r="D23" s="148">
        <v>2</v>
      </c>
      <c r="E23" s="148" t="str">
        <f t="shared" si="0"/>
        <v>SR</v>
      </c>
      <c r="F23" s="148">
        <f t="shared" si="1"/>
        <v>20</v>
      </c>
      <c r="G23" s="148">
        <f t="shared" si="2"/>
        <v>2</v>
      </c>
      <c r="H23" s="148">
        <f t="shared" si="3"/>
        <v>500</v>
      </c>
      <c r="I23" s="153">
        <f t="shared" si="4"/>
        <v>10</v>
      </c>
      <c r="J23" s="148" t="s">
        <v>1317</v>
      </c>
      <c r="AZ23" s="148">
        <v>18</v>
      </c>
      <c r="BA23" s="148">
        <f t="shared" si="7"/>
        <v>3</v>
      </c>
      <c r="BB23" s="148">
        <f t="shared" si="8"/>
        <v>4</v>
      </c>
      <c r="BC23" s="148">
        <f t="shared" si="9"/>
        <v>1102003</v>
      </c>
      <c r="BD23" s="148" t="s">
        <v>1384</v>
      </c>
      <c r="BE23" s="148">
        <f t="shared" si="10"/>
        <v>5</v>
      </c>
      <c r="BF23" s="148" t="str">
        <f t="shared" si="11"/>
        <v>典韦专属武器解封-5</v>
      </c>
      <c r="BG23" s="148" t="str">
        <f t="shared" si="12"/>
        <v>典韦专属武器效果</v>
      </c>
      <c r="BH23" s="148">
        <f t="shared" si="13"/>
        <v>5</v>
      </c>
      <c r="BI23" s="148" t="str">
        <f t="shared" si="14"/>
        <v>金币</v>
      </c>
      <c r="BJ23" s="148">
        <f t="shared" si="15"/>
        <v>438500</v>
      </c>
      <c r="BK23" s="148" t="str">
        <f t="shared" si="16"/>
        <v>典韦专属武器碎片</v>
      </c>
      <c r="BL23" s="148">
        <f t="shared" si="17"/>
        <v>160</v>
      </c>
    </row>
    <row r="24" spans="1:64" ht="16.5" x14ac:dyDescent="0.2">
      <c r="A24" s="148">
        <v>1102028</v>
      </c>
      <c r="B24" s="148" t="s">
        <v>973</v>
      </c>
      <c r="C24" s="148">
        <v>5</v>
      </c>
      <c r="D24" s="148">
        <v>6</v>
      </c>
      <c r="E24" s="148" t="str">
        <f t="shared" si="0"/>
        <v>UR</v>
      </c>
      <c r="F24" s="148">
        <f t="shared" si="1"/>
        <v>250</v>
      </c>
      <c r="G24" s="148">
        <f t="shared" si="2"/>
        <v>25</v>
      </c>
      <c r="H24" s="148">
        <f t="shared" si="3"/>
        <v>5000</v>
      </c>
      <c r="I24" s="153">
        <f t="shared" si="4"/>
        <v>125</v>
      </c>
      <c r="J24" s="148" t="s">
        <v>1318</v>
      </c>
      <c r="AZ24" s="148">
        <v>19</v>
      </c>
      <c r="BA24" s="148">
        <f t="shared" si="7"/>
        <v>4</v>
      </c>
      <c r="BB24" s="148">
        <f t="shared" si="8"/>
        <v>3</v>
      </c>
      <c r="BC24" s="148">
        <f t="shared" si="9"/>
        <v>1102005</v>
      </c>
      <c r="BD24" s="148" t="s">
        <v>1384</v>
      </c>
      <c r="BE24" s="148">
        <f t="shared" si="10"/>
        <v>0</v>
      </c>
      <c r="BF24" s="148" t="str">
        <f t="shared" si="11"/>
        <v>李轩辕专属武器解封-0</v>
      </c>
      <c r="BG24" s="148" t="str">
        <f t="shared" si="12"/>
        <v/>
      </c>
      <c r="BH24" s="148" t="str">
        <f t="shared" si="13"/>
        <v/>
      </c>
      <c r="BI24" s="148" t="str">
        <f t="shared" si="14"/>
        <v/>
      </c>
      <c r="BJ24" s="148" t="str">
        <f t="shared" si="15"/>
        <v/>
      </c>
      <c r="BK24" s="148" t="str">
        <f t="shared" si="16"/>
        <v/>
      </c>
      <c r="BL24" s="148" t="str">
        <f t="shared" si="17"/>
        <v/>
      </c>
    </row>
    <row r="25" spans="1:64" ht="16.5" x14ac:dyDescent="0.2">
      <c r="A25" s="148">
        <v>1102030</v>
      </c>
      <c r="B25" s="148" t="s">
        <v>974</v>
      </c>
      <c r="C25" s="148">
        <v>3</v>
      </c>
      <c r="D25" s="148">
        <v>3</v>
      </c>
      <c r="E25" s="148" t="str">
        <f t="shared" si="0"/>
        <v>SR+</v>
      </c>
      <c r="F25" s="148">
        <f t="shared" si="1"/>
        <v>50</v>
      </c>
      <c r="G25" s="148">
        <f t="shared" si="2"/>
        <v>5</v>
      </c>
      <c r="H25" s="148">
        <f t="shared" si="3"/>
        <v>1000</v>
      </c>
      <c r="I25" s="153">
        <f t="shared" si="4"/>
        <v>25</v>
      </c>
      <c r="J25" s="148" t="s">
        <v>1319</v>
      </c>
      <c r="AZ25" s="148">
        <v>20</v>
      </c>
      <c r="BA25" s="148">
        <f t="shared" si="7"/>
        <v>4</v>
      </c>
      <c r="BB25" s="148">
        <f t="shared" si="8"/>
        <v>3</v>
      </c>
      <c r="BC25" s="148">
        <f t="shared" si="9"/>
        <v>1102005</v>
      </c>
      <c r="BD25" s="148" t="s">
        <v>1384</v>
      </c>
      <c r="BE25" s="148">
        <f t="shared" si="10"/>
        <v>1</v>
      </c>
      <c r="BF25" s="148" t="str">
        <f t="shared" si="11"/>
        <v>李轩辕专属武器解封-1</v>
      </c>
      <c r="BG25" s="148" t="str">
        <f t="shared" si="12"/>
        <v>李轩辕专属武器效果</v>
      </c>
      <c r="BH25" s="148">
        <f t="shared" si="13"/>
        <v>1</v>
      </c>
      <c r="BI25" s="148" t="str">
        <f t="shared" si="14"/>
        <v>金币</v>
      </c>
      <c r="BJ25" s="148">
        <f t="shared" si="15"/>
        <v>18000</v>
      </c>
      <c r="BK25" s="148" t="str">
        <f t="shared" si="16"/>
        <v>李轩辕专属武器碎片</v>
      </c>
      <c r="BL25" s="148">
        <f t="shared" si="17"/>
        <v>40</v>
      </c>
    </row>
    <row r="26" spans="1:64" ht="16.5" x14ac:dyDescent="0.2">
      <c r="A26" s="148">
        <v>1102031</v>
      </c>
      <c r="B26" s="148" t="s">
        <v>975</v>
      </c>
      <c r="C26" s="148">
        <v>4</v>
      </c>
      <c r="D26" s="148">
        <v>5</v>
      </c>
      <c r="E26" s="148" t="str">
        <f t="shared" si="0"/>
        <v>SSR+</v>
      </c>
      <c r="F26" s="148">
        <f t="shared" si="1"/>
        <v>100</v>
      </c>
      <c r="G26" s="148">
        <f t="shared" si="2"/>
        <v>10</v>
      </c>
      <c r="H26" s="148">
        <f t="shared" si="3"/>
        <v>2000</v>
      </c>
      <c r="I26" s="153">
        <f t="shared" si="4"/>
        <v>50</v>
      </c>
      <c r="J26" s="148" t="s">
        <v>1320</v>
      </c>
      <c r="AZ26" s="148">
        <v>21</v>
      </c>
      <c r="BA26" s="148">
        <f t="shared" si="7"/>
        <v>4</v>
      </c>
      <c r="BB26" s="148">
        <f t="shared" si="8"/>
        <v>3</v>
      </c>
      <c r="BC26" s="148">
        <f t="shared" si="9"/>
        <v>1102005</v>
      </c>
      <c r="BD26" s="148" t="s">
        <v>1384</v>
      </c>
      <c r="BE26" s="148">
        <f t="shared" si="10"/>
        <v>2</v>
      </c>
      <c r="BF26" s="148" t="str">
        <f t="shared" si="11"/>
        <v>李轩辕专属武器解封-2</v>
      </c>
      <c r="BG26" s="148" t="str">
        <f t="shared" si="12"/>
        <v>李轩辕专属武器效果</v>
      </c>
      <c r="BH26" s="148">
        <f t="shared" si="13"/>
        <v>2</v>
      </c>
      <c r="BI26" s="148" t="str">
        <f t="shared" si="14"/>
        <v>金币</v>
      </c>
      <c r="BJ26" s="148">
        <f t="shared" si="15"/>
        <v>38000</v>
      </c>
      <c r="BK26" s="148" t="str">
        <f t="shared" si="16"/>
        <v>李轩辕专属武器碎片</v>
      </c>
      <c r="BL26" s="148">
        <f t="shared" si="17"/>
        <v>40</v>
      </c>
    </row>
    <row r="27" spans="1:64" ht="16.5" x14ac:dyDescent="0.2">
      <c r="AZ27" s="148">
        <v>22</v>
      </c>
      <c r="BA27" s="148">
        <f t="shared" si="7"/>
        <v>4</v>
      </c>
      <c r="BB27" s="148">
        <f t="shared" si="8"/>
        <v>3</v>
      </c>
      <c r="BC27" s="148">
        <f t="shared" si="9"/>
        <v>1102005</v>
      </c>
      <c r="BD27" s="148" t="s">
        <v>1384</v>
      </c>
      <c r="BE27" s="148">
        <f t="shared" si="10"/>
        <v>3</v>
      </c>
      <c r="BF27" s="148" t="str">
        <f t="shared" si="11"/>
        <v>李轩辕专属武器解封-3</v>
      </c>
      <c r="BG27" s="148" t="str">
        <f t="shared" si="12"/>
        <v>李轩辕专属武器效果</v>
      </c>
      <c r="BH27" s="148">
        <f t="shared" si="13"/>
        <v>3</v>
      </c>
      <c r="BI27" s="148" t="str">
        <f t="shared" si="14"/>
        <v>金币</v>
      </c>
      <c r="BJ27" s="148">
        <f t="shared" si="15"/>
        <v>88000</v>
      </c>
      <c r="BK27" s="148" t="str">
        <f t="shared" si="16"/>
        <v>李轩辕专属武器碎片</v>
      </c>
      <c r="BL27" s="148">
        <f t="shared" si="17"/>
        <v>60</v>
      </c>
    </row>
    <row r="28" spans="1:64" ht="16.5" x14ac:dyDescent="0.2">
      <c r="AZ28" s="148">
        <v>23</v>
      </c>
      <c r="BA28" s="148">
        <f t="shared" si="7"/>
        <v>4</v>
      </c>
      <c r="BB28" s="148">
        <f t="shared" si="8"/>
        <v>3</v>
      </c>
      <c r="BC28" s="148">
        <f t="shared" si="9"/>
        <v>1102005</v>
      </c>
      <c r="BD28" s="148" t="s">
        <v>1384</v>
      </c>
      <c r="BE28" s="148">
        <f t="shared" si="10"/>
        <v>4</v>
      </c>
      <c r="BF28" s="148" t="str">
        <f t="shared" si="11"/>
        <v>李轩辕专属武器解封-4</v>
      </c>
      <c r="BG28" s="148" t="str">
        <f t="shared" si="12"/>
        <v>李轩辕专属武器效果</v>
      </c>
      <c r="BH28" s="148">
        <f t="shared" si="13"/>
        <v>4</v>
      </c>
      <c r="BI28" s="148" t="str">
        <f t="shared" si="14"/>
        <v>金币</v>
      </c>
      <c r="BJ28" s="148">
        <f t="shared" si="15"/>
        <v>155500</v>
      </c>
      <c r="BK28" s="148" t="str">
        <f t="shared" si="16"/>
        <v>李轩辕专属武器碎片</v>
      </c>
      <c r="BL28" s="148">
        <f t="shared" si="17"/>
        <v>60</v>
      </c>
    </row>
    <row r="29" spans="1:64" ht="17.25" x14ac:dyDescent="0.2">
      <c r="A29" s="12" t="s">
        <v>1359</v>
      </c>
      <c r="B29" s="12" t="s">
        <v>871</v>
      </c>
      <c r="C29" s="12" t="s">
        <v>1360</v>
      </c>
      <c r="D29" s="12" t="s">
        <v>1362</v>
      </c>
      <c r="AZ29" s="148">
        <v>24</v>
      </c>
      <c r="BA29" s="148">
        <f t="shared" si="7"/>
        <v>4</v>
      </c>
      <c r="BB29" s="148">
        <f t="shared" si="8"/>
        <v>3</v>
      </c>
      <c r="BC29" s="148">
        <f t="shared" si="9"/>
        <v>1102005</v>
      </c>
      <c r="BD29" s="148" t="s">
        <v>1384</v>
      </c>
      <c r="BE29" s="148">
        <f t="shared" si="10"/>
        <v>5</v>
      </c>
      <c r="BF29" s="148" t="str">
        <f t="shared" si="11"/>
        <v>李轩辕专属武器解封-5</v>
      </c>
      <c r="BG29" s="148" t="str">
        <f t="shared" si="12"/>
        <v>李轩辕专属武器效果</v>
      </c>
      <c r="BH29" s="148">
        <f t="shared" si="13"/>
        <v>5</v>
      </c>
      <c r="BI29" s="148" t="str">
        <f t="shared" si="14"/>
        <v>金币</v>
      </c>
      <c r="BJ29" s="148">
        <f t="shared" si="15"/>
        <v>376000</v>
      </c>
      <c r="BK29" s="148" t="str">
        <f t="shared" si="16"/>
        <v>李轩辕专属武器碎片</v>
      </c>
      <c r="BL29" s="148">
        <f t="shared" si="17"/>
        <v>80</v>
      </c>
    </row>
    <row r="30" spans="1:64" ht="16.5" x14ac:dyDescent="0.2">
      <c r="A30" s="148">
        <v>2</v>
      </c>
      <c r="B30" s="148" t="s">
        <v>183</v>
      </c>
      <c r="C30" s="148">
        <v>1102002</v>
      </c>
      <c r="D30" s="148">
        <v>2000</v>
      </c>
      <c r="AZ30" s="148">
        <v>25</v>
      </c>
      <c r="BA30" s="148">
        <f t="shared" si="7"/>
        <v>5</v>
      </c>
      <c r="BB30" s="148">
        <f t="shared" si="8"/>
        <v>6</v>
      </c>
      <c r="BC30" s="148">
        <f t="shared" si="9"/>
        <v>1102006</v>
      </c>
      <c r="BD30" s="148" t="s">
        <v>1384</v>
      </c>
      <c r="BE30" s="148">
        <f t="shared" si="10"/>
        <v>0</v>
      </c>
      <c r="BF30" s="148" t="str">
        <f t="shared" si="11"/>
        <v>项羽专属武器解封-0</v>
      </c>
      <c r="BG30" s="148" t="str">
        <f t="shared" si="12"/>
        <v/>
      </c>
      <c r="BH30" s="148" t="str">
        <f t="shared" si="13"/>
        <v/>
      </c>
      <c r="BI30" s="148" t="str">
        <f t="shared" si="14"/>
        <v/>
      </c>
      <c r="BJ30" s="148" t="str">
        <f t="shared" si="15"/>
        <v/>
      </c>
      <c r="BK30" s="148" t="str">
        <f t="shared" si="16"/>
        <v/>
      </c>
      <c r="BL30" s="148" t="str">
        <f t="shared" si="17"/>
        <v/>
      </c>
    </row>
    <row r="31" spans="1:64" ht="16.5" x14ac:dyDescent="0.2">
      <c r="A31" s="148">
        <v>2</v>
      </c>
      <c r="B31" s="148" t="s">
        <v>202</v>
      </c>
      <c r="C31" s="148">
        <v>1102021</v>
      </c>
      <c r="D31" s="148">
        <v>2000</v>
      </c>
      <c r="AZ31" s="148">
        <v>26</v>
      </c>
      <c r="BA31" s="148">
        <f t="shared" si="7"/>
        <v>5</v>
      </c>
      <c r="BB31" s="148">
        <f t="shared" si="8"/>
        <v>6</v>
      </c>
      <c r="BC31" s="148">
        <f t="shared" si="9"/>
        <v>1102006</v>
      </c>
      <c r="BD31" s="148" t="s">
        <v>1384</v>
      </c>
      <c r="BE31" s="148">
        <f t="shared" si="10"/>
        <v>1</v>
      </c>
      <c r="BF31" s="148" t="str">
        <f t="shared" si="11"/>
        <v>项羽专属武器解封-1</v>
      </c>
      <c r="BG31" s="148" t="str">
        <f t="shared" si="12"/>
        <v>项羽专属武器效果</v>
      </c>
      <c r="BH31" s="148">
        <f t="shared" si="13"/>
        <v>1</v>
      </c>
      <c r="BI31" s="148" t="str">
        <f t="shared" si="14"/>
        <v>金币</v>
      </c>
      <c r="BJ31" s="148">
        <f t="shared" si="15"/>
        <v>29500</v>
      </c>
      <c r="BK31" s="148" t="str">
        <f t="shared" si="16"/>
        <v>项羽专属武器碎片</v>
      </c>
      <c r="BL31" s="148">
        <f t="shared" si="17"/>
        <v>80</v>
      </c>
    </row>
    <row r="32" spans="1:64" ht="16.5" x14ac:dyDescent="0.2">
      <c r="A32" s="148">
        <v>2</v>
      </c>
      <c r="B32" s="148" t="s">
        <v>971</v>
      </c>
      <c r="C32" s="148">
        <v>1102024</v>
      </c>
      <c r="D32" s="148">
        <v>2000</v>
      </c>
      <c r="AZ32" s="148">
        <v>27</v>
      </c>
      <c r="BA32" s="148">
        <f t="shared" si="7"/>
        <v>5</v>
      </c>
      <c r="BB32" s="148">
        <f t="shared" si="8"/>
        <v>6</v>
      </c>
      <c r="BC32" s="148">
        <f t="shared" si="9"/>
        <v>1102006</v>
      </c>
      <c r="BD32" s="148" t="s">
        <v>1384</v>
      </c>
      <c r="BE32" s="148">
        <f t="shared" si="10"/>
        <v>2</v>
      </c>
      <c r="BF32" s="148" t="str">
        <f t="shared" si="11"/>
        <v>项羽专属武器解封-2</v>
      </c>
      <c r="BG32" s="148" t="str">
        <f t="shared" si="12"/>
        <v>项羽专属武器效果</v>
      </c>
      <c r="BH32" s="148">
        <f t="shared" si="13"/>
        <v>2</v>
      </c>
      <c r="BI32" s="148" t="str">
        <f t="shared" si="14"/>
        <v>金币</v>
      </c>
      <c r="BJ32" s="148">
        <f t="shared" si="15"/>
        <v>63500</v>
      </c>
      <c r="BK32" s="148" t="str">
        <f t="shared" si="16"/>
        <v>项羽专属武器碎片</v>
      </c>
      <c r="BL32" s="148">
        <f t="shared" si="17"/>
        <v>80</v>
      </c>
    </row>
    <row r="33" spans="1:64" ht="16.5" x14ac:dyDescent="0.2">
      <c r="A33" s="148">
        <v>2</v>
      </c>
      <c r="B33" s="148" t="s">
        <v>972</v>
      </c>
      <c r="C33" s="148">
        <v>1102026</v>
      </c>
      <c r="D33" s="148">
        <v>2000</v>
      </c>
      <c r="AZ33" s="148">
        <v>28</v>
      </c>
      <c r="BA33" s="148">
        <f t="shared" si="7"/>
        <v>5</v>
      </c>
      <c r="BB33" s="148">
        <f t="shared" si="8"/>
        <v>6</v>
      </c>
      <c r="BC33" s="148">
        <f t="shared" si="9"/>
        <v>1102006</v>
      </c>
      <c r="BD33" s="148" t="s">
        <v>1384</v>
      </c>
      <c r="BE33" s="148">
        <f t="shared" si="10"/>
        <v>3</v>
      </c>
      <c r="BF33" s="148" t="str">
        <f t="shared" si="11"/>
        <v>项羽专属武器解封-3</v>
      </c>
      <c r="BG33" s="148" t="str">
        <f t="shared" si="12"/>
        <v>项羽专属武器效果</v>
      </c>
      <c r="BH33" s="148">
        <f t="shared" si="13"/>
        <v>3</v>
      </c>
      <c r="BI33" s="148" t="str">
        <f t="shared" si="14"/>
        <v>金币</v>
      </c>
      <c r="BJ33" s="148">
        <f t="shared" si="15"/>
        <v>146500</v>
      </c>
      <c r="BK33" s="148" t="str">
        <f t="shared" si="16"/>
        <v>项羽专属武器碎片</v>
      </c>
      <c r="BL33" s="148">
        <f t="shared" si="17"/>
        <v>120</v>
      </c>
    </row>
    <row r="34" spans="1:64" ht="16.5" x14ac:dyDescent="0.2">
      <c r="A34" s="148">
        <v>2</v>
      </c>
      <c r="B34" t="s">
        <v>198</v>
      </c>
      <c r="C34" s="148">
        <v>1102017</v>
      </c>
      <c r="D34" s="148">
        <v>2000</v>
      </c>
      <c r="AZ34" s="148">
        <v>29</v>
      </c>
      <c r="BA34" s="148">
        <f t="shared" si="7"/>
        <v>5</v>
      </c>
      <c r="BB34" s="148">
        <f t="shared" si="8"/>
        <v>6</v>
      </c>
      <c r="BC34" s="148">
        <f t="shared" si="9"/>
        <v>1102006</v>
      </c>
      <c r="BD34" s="148" t="s">
        <v>1384</v>
      </c>
      <c r="BE34" s="148">
        <f t="shared" ref="BE34:BE97" si="21">AZ34-(BA34-1)*6-1</f>
        <v>4</v>
      </c>
      <c r="BF34" s="148" t="str">
        <f t="shared" ref="BF34:BF97" si="22">INDEX($B$6:$B$26,BA34)&amp;"专属武器解封-"&amp;BE34</f>
        <v>项羽专属武器解封-4</v>
      </c>
      <c r="BG34" s="148" t="str">
        <f t="shared" si="12"/>
        <v>项羽专属武器效果</v>
      </c>
      <c r="BH34" s="148">
        <f t="shared" si="13"/>
        <v>4</v>
      </c>
      <c r="BI34" s="148" t="str">
        <f t="shared" si="14"/>
        <v>金币</v>
      </c>
      <c r="BJ34" s="148">
        <f t="shared" si="15"/>
        <v>259000</v>
      </c>
      <c r="BK34" s="148" t="str">
        <f t="shared" si="16"/>
        <v>项羽专属武器碎片</v>
      </c>
      <c r="BL34" s="148">
        <f t="shared" si="17"/>
        <v>120</v>
      </c>
    </row>
    <row r="35" spans="1:64" ht="16.5" x14ac:dyDescent="0.2">
      <c r="A35" s="148">
        <v>3</v>
      </c>
      <c r="B35" s="148" t="s">
        <v>186</v>
      </c>
      <c r="C35" s="148">
        <v>1102005</v>
      </c>
      <c r="D35" s="148">
        <v>2000</v>
      </c>
      <c r="AZ35" s="148">
        <v>30</v>
      </c>
      <c r="BA35" s="148">
        <f t="shared" si="7"/>
        <v>5</v>
      </c>
      <c r="BB35" s="148">
        <f t="shared" si="8"/>
        <v>6</v>
      </c>
      <c r="BC35" s="148">
        <f t="shared" si="9"/>
        <v>1102006</v>
      </c>
      <c r="BD35" s="148" t="s">
        <v>1384</v>
      </c>
      <c r="BE35" s="148">
        <f t="shared" si="21"/>
        <v>5</v>
      </c>
      <c r="BF35" s="148" t="str">
        <f t="shared" si="22"/>
        <v>项羽专属武器解封-5</v>
      </c>
      <c r="BG35" s="148" t="str">
        <f t="shared" si="12"/>
        <v>项羽专属武器效果</v>
      </c>
      <c r="BH35" s="148">
        <f t="shared" si="13"/>
        <v>5</v>
      </c>
      <c r="BI35" s="148" t="str">
        <f t="shared" si="14"/>
        <v>金币</v>
      </c>
      <c r="BJ35" s="148">
        <f t="shared" si="15"/>
        <v>626500</v>
      </c>
      <c r="BK35" s="148" t="str">
        <f t="shared" si="16"/>
        <v>项羽专属武器碎片</v>
      </c>
      <c r="BL35" s="148">
        <f t="shared" si="17"/>
        <v>160</v>
      </c>
    </row>
    <row r="36" spans="1:64" ht="16.5" x14ac:dyDescent="0.2">
      <c r="A36" s="148">
        <v>3</v>
      </c>
      <c r="B36" s="148" t="s">
        <v>190</v>
      </c>
      <c r="C36" s="148">
        <v>1102009</v>
      </c>
      <c r="D36" s="148">
        <v>2000</v>
      </c>
      <c r="AZ36" s="148">
        <v>31</v>
      </c>
      <c r="BA36" s="148">
        <f t="shared" si="7"/>
        <v>6</v>
      </c>
      <c r="BB36" s="148">
        <f t="shared" si="8"/>
        <v>4</v>
      </c>
      <c r="BC36" s="148">
        <f t="shared" si="9"/>
        <v>1102007</v>
      </c>
      <c r="BD36" s="148" t="s">
        <v>1384</v>
      </c>
      <c r="BE36" s="148">
        <f t="shared" si="21"/>
        <v>0</v>
      </c>
      <c r="BF36" s="148" t="str">
        <f t="shared" si="22"/>
        <v>天使缇娜专属武器解封-0</v>
      </c>
      <c r="BG36" s="148" t="str">
        <f t="shared" si="12"/>
        <v/>
      </c>
      <c r="BH36" s="148" t="str">
        <f t="shared" si="13"/>
        <v/>
      </c>
      <c r="BI36" s="148" t="str">
        <f t="shared" si="14"/>
        <v/>
      </c>
      <c r="BJ36" s="148" t="str">
        <f t="shared" si="15"/>
        <v/>
      </c>
      <c r="BK36" s="148" t="str">
        <f t="shared" si="16"/>
        <v/>
      </c>
      <c r="BL36" s="148" t="str">
        <f t="shared" si="17"/>
        <v/>
      </c>
    </row>
    <row r="37" spans="1:64" ht="16.5" x14ac:dyDescent="0.2">
      <c r="A37" s="148">
        <v>3</v>
      </c>
      <c r="B37" s="148" t="s">
        <v>195</v>
      </c>
      <c r="C37" s="148">
        <v>1102014</v>
      </c>
      <c r="D37" s="148">
        <v>2000</v>
      </c>
      <c r="AZ37" s="148">
        <v>32</v>
      </c>
      <c r="BA37" s="148">
        <f t="shared" si="7"/>
        <v>6</v>
      </c>
      <c r="BB37" s="148">
        <f t="shared" si="8"/>
        <v>4</v>
      </c>
      <c r="BC37" s="148">
        <f t="shared" si="9"/>
        <v>1102007</v>
      </c>
      <c r="BD37" s="148" t="s">
        <v>1384</v>
      </c>
      <c r="BE37" s="148">
        <f t="shared" si="21"/>
        <v>1</v>
      </c>
      <c r="BF37" s="148" t="str">
        <f t="shared" si="22"/>
        <v>天使缇娜专属武器解封-1</v>
      </c>
      <c r="BG37" s="148" t="str">
        <f t="shared" si="12"/>
        <v>天使缇娜专属武器效果</v>
      </c>
      <c r="BH37" s="148">
        <f t="shared" si="13"/>
        <v>1</v>
      </c>
      <c r="BI37" s="148" t="str">
        <f t="shared" si="14"/>
        <v>金币</v>
      </c>
      <c r="BJ37" s="148">
        <f t="shared" si="15"/>
        <v>21000</v>
      </c>
      <c r="BK37" s="148" t="str">
        <f t="shared" si="16"/>
        <v>天使缇娜专属武器碎片</v>
      </c>
      <c r="BL37" s="148">
        <f t="shared" si="17"/>
        <v>80</v>
      </c>
    </row>
    <row r="38" spans="1:64" ht="16.5" x14ac:dyDescent="0.2">
      <c r="A38" s="148">
        <v>3</v>
      </c>
      <c r="B38" s="148" t="s">
        <v>201</v>
      </c>
      <c r="C38" s="148">
        <v>1102020</v>
      </c>
      <c r="D38" s="148">
        <v>2000</v>
      </c>
      <c r="AZ38" s="148">
        <v>33</v>
      </c>
      <c r="BA38" s="148">
        <f t="shared" si="7"/>
        <v>6</v>
      </c>
      <c r="BB38" s="148">
        <f t="shared" si="8"/>
        <v>4</v>
      </c>
      <c r="BC38" s="148">
        <f t="shared" si="9"/>
        <v>1102007</v>
      </c>
      <c r="BD38" s="148" t="s">
        <v>1384</v>
      </c>
      <c r="BE38" s="148">
        <f t="shared" si="21"/>
        <v>2</v>
      </c>
      <c r="BF38" s="148" t="str">
        <f t="shared" si="22"/>
        <v>天使缇娜专属武器解封-2</v>
      </c>
      <c r="BG38" s="148" t="str">
        <f t="shared" si="12"/>
        <v>天使缇娜专属武器效果</v>
      </c>
      <c r="BH38" s="148">
        <f t="shared" si="13"/>
        <v>2</v>
      </c>
      <c r="BI38" s="148" t="str">
        <f t="shared" si="14"/>
        <v>金币</v>
      </c>
      <c r="BJ38" s="148">
        <f t="shared" si="15"/>
        <v>44500</v>
      </c>
      <c r="BK38" s="148" t="str">
        <f t="shared" si="16"/>
        <v>天使缇娜专属武器碎片</v>
      </c>
      <c r="BL38" s="148">
        <f t="shared" si="17"/>
        <v>80</v>
      </c>
    </row>
    <row r="39" spans="1:64" ht="16.5" x14ac:dyDescent="0.2">
      <c r="A39" s="148">
        <v>3</v>
      </c>
      <c r="B39" s="148" t="s">
        <v>974</v>
      </c>
      <c r="C39" s="148">
        <v>1102030</v>
      </c>
      <c r="D39" s="148">
        <v>2000</v>
      </c>
      <c r="AZ39" s="148">
        <v>34</v>
      </c>
      <c r="BA39" s="148">
        <f t="shared" si="7"/>
        <v>6</v>
      </c>
      <c r="BB39" s="148">
        <f t="shared" si="8"/>
        <v>4</v>
      </c>
      <c r="BC39" s="148">
        <f t="shared" si="9"/>
        <v>1102007</v>
      </c>
      <c r="BD39" s="148" t="s">
        <v>1384</v>
      </c>
      <c r="BE39" s="148">
        <f t="shared" si="21"/>
        <v>3</v>
      </c>
      <c r="BF39" s="148" t="str">
        <f t="shared" si="22"/>
        <v>天使缇娜专属武器解封-3</v>
      </c>
      <c r="BG39" s="148" t="str">
        <f t="shared" si="12"/>
        <v>天使缇娜专属武器效果</v>
      </c>
      <c r="BH39" s="148">
        <f t="shared" si="13"/>
        <v>3</v>
      </c>
      <c r="BI39" s="148" t="str">
        <f t="shared" si="14"/>
        <v>金币</v>
      </c>
      <c r="BJ39" s="148">
        <f t="shared" si="15"/>
        <v>102500</v>
      </c>
      <c r="BK39" s="148" t="str">
        <f t="shared" si="16"/>
        <v>天使缇娜专属武器碎片</v>
      </c>
      <c r="BL39" s="148">
        <f t="shared" si="17"/>
        <v>120</v>
      </c>
    </row>
    <row r="40" spans="1:64" ht="16.5" x14ac:dyDescent="0.2">
      <c r="A40" s="148">
        <v>4</v>
      </c>
      <c r="B40" s="148" t="s">
        <v>184</v>
      </c>
      <c r="C40" s="148">
        <v>1102003</v>
      </c>
      <c r="D40" s="148">
        <v>5000</v>
      </c>
      <c r="AZ40" s="148">
        <v>35</v>
      </c>
      <c r="BA40" s="148">
        <f t="shared" si="7"/>
        <v>6</v>
      </c>
      <c r="BB40" s="148">
        <f t="shared" si="8"/>
        <v>4</v>
      </c>
      <c r="BC40" s="148">
        <f t="shared" si="9"/>
        <v>1102007</v>
      </c>
      <c r="BD40" s="148" t="s">
        <v>1384</v>
      </c>
      <c r="BE40" s="148">
        <f t="shared" si="21"/>
        <v>4</v>
      </c>
      <c r="BF40" s="148" t="str">
        <f t="shared" si="22"/>
        <v>天使缇娜专属武器解封-4</v>
      </c>
      <c r="BG40" s="148" t="str">
        <f t="shared" si="12"/>
        <v>天使缇娜专属武器效果</v>
      </c>
      <c r="BH40" s="148">
        <f t="shared" si="13"/>
        <v>4</v>
      </c>
      <c r="BI40" s="148" t="str">
        <f t="shared" si="14"/>
        <v>金币</v>
      </c>
      <c r="BJ40" s="148">
        <f t="shared" si="15"/>
        <v>181500</v>
      </c>
      <c r="BK40" s="148" t="str">
        <f t="shared" si="16"/>
        <v>天使缇娜专属武器碎片</v>
      </c>
      <c r="BL40" s="148">
        <f t="shared" si="17"/>
        <v>120</v>
      </c>
    </row>
    <row r="41" spans="1:64" ht="16.5" x14ac:dyDescent="0.2">
      <c r="A41" s="148">
        <v>4</v>
      </c>
      <c r="B41" s="148" t="s">
        <v>197</v>
      </c>
      <c r="C41" s="148">
        <v>1102016</v>
      </c>
      <c r="D41" s="148">
        <v>5000</v>
      </c>
      <c r="AZ41" s="148">
        <v>36</v>
      </c>
      <c r="BA41" s="148">
        <f t="shared" si="7"/>
        <v>6</v>
      </c>
      <c r="BB41" s="148">
        <f t="shared" si="8"/>
        <v>4</v>
      </c>
      <c r="BC41" s="148">
        <f t="shared" si="9"/>
        <v>1102007</v>
      </c>
      <c r="BD41" s="148" t="s">
        <v>1384</v>
      </c>
      <c r="BE41" s="148">
        <f t="shared" si="21"/>
        <v>5</v>
      </c>
      <c r="BF41" s="148" t="str">
        <f t="shared" si="22"/>
        <v>天使缇娜专属武器解封-5</v>
      </c>
      <c r="BG41" s="148" t="str">
        <f t="shared" si="12"/>
        <v>天使缇娜专属武器效果</v>
      </c>
      <c r="BH41" s="148">
        <f t="shared" si="13"/>
        <v>5</v>
      </c>
      <c r="BI41" s="148" t="str">
        <f t="shared" si="14"/>
        <v>金币</v>
      </c>
      <c r="BJ41" s="148">
        <f t="shared" si="15"/>
        <v>438500</v>
      </c>
      <c r="BK41" s="148" t="str">
        <f t="shared" si="16"/>
        <v>天使缇娜专属武器碎片</v>
      </c>
      <c r="BL41" s="148">
        <f t="shared" si="17"/>
        <v>160</v>
      </c>
    </row>
    <row r="42" spans="1:64" ht="16.5" x14ac:dyDescent="0.2">
      <c r="A42" s="148">
        <v>5</v>
      </c>
      <c r="B42" s="148" t="s">
        <v>191</v>
      </c>
      <c r="C42" s="148">
        <v>1102010</v>
      </c>
      <c r="D42" s="148">
        <v>3000</v>
      </c>
      <c r="AZ42" s="148">
        <v>37</v>
      </c>
      <c r="BA42" s="148">
        <f t="shared" si="7"/>
        <v>7</v>
      </c>
      <c r="BB42" s="148">
        <f t="shared" si="8"/>
        <v>5</v>
      </c>
      <c r="BC42" s="148">
        <f t="shared" si="9"/>
        <v>1102008</v>
      </c>
      <c r="BD42" s="148" t="s">
        <v>1384</v>
      </c>
      <c r="BE42" s="148">
        <f t="shared" si="21"/>
        <v>0</v>
      </c>
      <c r="BF42" s="148" t="str">
        <f t="shared" si="22"/>
        <v>夏侯渊专属武器解封-0</v>
      </c>
      <c r="BG42" s="148" t="str">
        <f t="shared" si="12"/>
        <v/>
      </c>
      <c r="BH42" s="148" t="str">
        <f t="shared" si="13"/>
        <v/>
      </c>
      <c r="BI42" s="148" t="str">
        <f t="shared" si="14"/>
        <v/>
      </c>
      <c r="BJ42" s="148" t="str">
        <f t="shared" si="15"/>
        <v/>
      </c>
      <c r="BK42" s="148" t="str">
        <f t="shared" si="16"/>
        <v/>
      </c>
      <c r="BL42" s="148" t="str">
        <f t="shared" si="17"/>
        <v/>
      </c>
    </row>
    <row r="43" spans="1:64" ht="16.5" x14ac:dyDescent="0.2">
      <c r="A43" s="148">
        <v>5</v>
      </c>
      <c r="B43" s="148" t="s">
        <v>192</v>
      </c>
      <c r="C43" s="148">
        <v>1102011</v>
      </c>
      <c r="D43" s="148">
        <v>4000</v>
      </c>
      <c r="AZ43" s="148">
        <v>38</v>
      </c>
      <c r="BA43" s="148">
        <f t="shared" si="7"/>
        <v>7</v>
      </c>
      <c r="BB43" s="148">
        <f t="shared" si="8"/>
        <v>5</v>
      </c>
      <c r="BC43" s="148">
        <f t="shared" si="9"/>
        <v>1102008</v>
      </c>
      <c r="BD43" s="148" t="s">
        <v>1384</v>
      </c>
      <c r="BE43" s="148">
        <f t="shared" si="21"/>
        <v>1</v>
      </c>
      <c r="BF43" s="148" t="str">
        <f t="shared" si="22"/>
        <v>夏侯渊专属武器解封-1</v>
      </c>
      <c r="BG43" s="148" t="str">
        <f t="shared" si="12"/>
        <v>夏侯渊专属武器效果</v>
      </c>
      <c r="BH43" s="148">
        <f t="shared" si="13"/>
        <v>1</v>
      </c>
      <c r="BI43" s="148" t="str">
        <f t="shared" si="14"/>
        <v>金币</v>
      </c>
      <c r="BJ43" s="148">
        <f t="shared" si="15"/>
        <v>23500</v>
      </c>
      <c r="BK43" s="148" t="str">
        <f t="shared" si="16"/>
        <v>夏侯渊专属武器碎片</v>
      </c>
      <c r="BL43" s="148">
        <f t="shared" si="17"/>
        <v>80</v>
      </c>
    </row>
    <row r="44" spans="1:64" ht="16.5" x14ac:dyDescent="0.2">
      <c r="A44" s="148">
        <v>5</v>
      </c>
      <c r="B44" s="148" t="s">
        <v>975</v>
      </c>
      <c r="C44" s="148">
        <v>1102031</v>
      </c>
      <c r="D44" s="148">
        <v>3000</v>
      </c>
      <c r="AZ44" s="148">
        <v>39</v>
      </c>
      <c r="BA44" s="148">
        <f t="shared" si="7"/>
        <v>7</v>
      </c>
      <c r="BB44" s="148">
        <f t="shared" si="8"/>
        <v>5</v>
      </c>
      <c r="BC44" s="148">
        <f t="shared" si="9"/>
        <v>1102008</v>
      </c>
      <c r="BD44" s="148" t="s">
        <v>1384</v>
      </c>
      <c r="BE44" s="148">
        <f t="shared" si="21"/>
        <v>2</v>
      </c>
      <c r="BF44" s="148" t="str">
        <f t="shared" si="22"/>
        <v>夏侯渊专属武器解封-2</v>
      </c>
      <c r="BG44" s="148" t="str">
        <f t="shared" si="12"/>
        <v>夏侯渊专属武器效果</v>
      </c>
      <c r="BH44" s="148">
        <f t="shared" si="13"/>
        <v>2</v>
      </c>
      <c r="BI44" s="148" t="str">
        <f t="shared" si="14"/>
        <v>金币</v>
      </c>
      <c r="BJ44" s="148">
        <f t="shared" si="15"/>
        <v>51000</v>
      </c>
      <c r="BK44" s="148" t="str">
        <f t="shared" si="16"/>
        <v>夏侯渊专属武器碎片</v>
      </c>
      <c r="BL44" s="148">
        <f t="shared" si="17"/>
        <v>80</v>
      </c>
    </row>
    <row r="45" spans="1:64" ht="16.5" x14ac:dyDescent="0.2">
      <c r="A45" s="148">
        <v>6</v>
      </c>
      <c r="B45" s="148" t="s">
        <v>182</v>
      </c>
      <c r="C45" s="148">
        <v>1102001</v>
      </c>
      <c r="D45" s="148">
        <v>2500</v>
      </c>
      <c r="AZ45" s="148">
        <v>40</v>
      </c>
      <c r="BA45" s="148">
        <f t="shared" si="7"/>
        <v>7</v>
      </c>
      <c r="BB45" s="148">
        <f t="shared" si="8"/>
        <v>5</v>
      </c>
      <c r="BC45" s="148">
        <f t="shared" si="9"/>
        <v>1102008</v>
      </c>
      <c r="BD45" s="148" t="s">
        <v>1384</v>
      </c>
      <c r="BE45" s="148">
        <f t="shared" si="21"/>
        <v>3</v>
      </c>
      <c r="BF45" s="148" t="str">
        <f t="shared" si="22"/>
        <v>夏侯渊专属武器解封-3</v>
      </c>
      <c r="BG45" s="148" t="str">
        <f t="shared" si="12"/>
        <v>夏侯渊专属武器效果</v>
      </c>
      <c r="BH45" s="148">
        <f t="shared" si="13"/>
        <v>3</v>
      </c>
      <c r="BI45" s="148" t="str">
        <f t="shared" si="14"/>
        <v>金币</v>
      </c>
      <c r="BJ45" s="148">
        <f t="shared" si="15"/>
        <v>117000</v>
      </c>
      <c r="BK45" s="148" t="str">
        <f t="shared" si="16"/>
        <v>夏侯渊专属武器碎片</v>
      </c>
      <c r="BL45" s="148">
        <f t="shared" si="17"/>
        <v>120</v>
      </c>
    </row>
    <row r="46" spans="1:64" ht="16.5" x14ac:dyDescent="0.2">
      <c r="A46" s="148">
        <v>6</v>
      </c>
      <c r="B46" s="148" t="s">
        <v>193</v>
      </c>
      <c r="C46" s="148">
        <v>1102012</v>
      </c>
      <c r="D46" s="148">
        <v>2500</v>
      </c>
      <c r="AZ46" s="148">
        <v>41</v>
      </c>
      <c r="BA46" s="148">
        <f t="shared" si="7"/>
        <v>7</v>
      </c>
      <c r="BB46" s="148">
        <f t="shared" si="8"/>
        <v>5</v>
      </c>
      <c r="BC46" s="148">
        <f t="shared" si="9"/>
        <v>1102008</v>
      </c>
      <c r="BD46" s="148" t="s">
        <v>1384</v>
      </c>
      <c r="BE46" s="148">
        <f t="shared" si="21"/>
        <v>4</v>
      </c>
      <c r="BF46" s="148" t="str">
        <f t="shared" si="22"/>
        <v>夏侯渊专属武器解封-4</v>
      </c>
      <c r="BG46" s="148" t="str">
        <f t="shared" si="12"/>
        <v>夏侯渊专属武器效果</v>
      </c>
      <c r="BH46" s="148">
        <f t="shared" si="13"/>
        <v>4</v>
      </c>
      <c r="BI46" s="148" t="str">
        <f t="shared" si="14"/>
        <v>金币</v>
      </c>
      <c r="BJ46" s="148">
        <f t="shared" si="15"/>
        <v>207500</v>
      </c>
      <c r="BK46" s="148" t="str">
        <f t="shared" si="16"/>
        <v>夏侯渊专属武器碎片</v>
      </c>
      <c r="BL46" s="148">
        <f t="shared" si="17"/>
        <v>120</v>
      </c>
    </row>
    <row r="47" spans="1:64" ht="16.5" x14ac:dyDescent="0.2">
      <c r="A47" s="148">
        <v>6</v>
      </c>
      <c r="B47" s="148" t="s">
        <v>973</v>
      </c>
      <c r="C47" s="148">
        <v>1102028</v>
      </c>
      <c r="D47" s="148">
        <v>2500</v>
      </c>
      <c r="AZ47" s="148">
        <v>42</v>
      </c>
      <c r="BA47" s="148">
        <f t="shared" si="7"/>
        <v>7</v>
      </c>
      <c r="BB47" s="148">
        <f t="shared" si="8"/>
        <v>5</v>
      </c>
      <c r="BC47" s="148">
        <f t="shared" si="9"/>
        <v>1102008</v>
      </c>
      <c r="BD47" s="148" t="s">
        <v>1384</v>
      </c>
      <c r="BE47" s="148">
        <f t="shared" si="21"/>
        <v>5</v>
      </c>
      <c r="BF47" s="148" t="str">
        <f t="shared" si="22"/>
        <v>夏侯渊专属武器解封-5</v>
      </c>
      <c r="BG47" s="148" t="str">
        <f t="shared" si="12"/>
        <v>夏侯渊专属武器效果</v>
      </c>
      <c r="BH47" s="148">
        <f t="shared" si="13"/>
        <v>5</v>
      </c>
      <c r="BI47" s="148" t="str">
        <f t="shared" si="14"/>
        <v>金币</v>
      </c>
      <c r="BJ47" s="148">
        <f t="shared" si="15"/>
        <v>501500</v>
      </c>
      <c r="BK47" s="148" t="str">
        <f t="shared" si="16"/>
        <v>夏侯渊专属武器碎片</v>
      </c>
      <c r="BL47" s="148">
        <f t="shared" si="17"/>
        <v>160</v>
      </c>
    </row>
    <row r="48" spans="1:64" ht="16.5" x14ac:dyDescent="0.2">
      <c r="A48" s="148">
        <v>6</v>
      </c>
      <c r="B48" s="148" t="s">
        <v>1363</v>
      </c>
      <c r="C48" s="148">
        <v>1102006</v>
      </c>
      <c r="D48" s="148">
        <v>2500</v>
      </c>
      <c r="AZ48" s="148">
        <v>43</v>
      </c>
      <c r="BA48" s="148">
        <f t="shared" si="7"/>
        <v>8</v>
      </c>
      <c r="BB48" s="148">
        <f t="shared" si="8"/>
        <v>3</v>
      </c>
      <c r="BC48" s="148">
        <f t="shared" si="9"/>
        <v>1102009</v>
      </c>
      <c r="BD48" s="148" t="s">
        <v>1384</v>
      </c>
      <c r="BE48" s="148">
        <f t="shared" si="21"/>
        <v>0</v>
      </c>
      <c r="BF48" s="148" t="str">
        <f t="shared" si="22"/>
        <v>徐晃专属武器解封-0</v>
      </c>
      <c r="BG48" s="148" t="str">
        <f t="shared" si="12"/>
        <v/>
      </c>
      <c r="BH48" s="148" t="str">
        <f t="shared" si="13"/>
        <v/>
      </c>
      <c r="BI48" s="148" t="str">
        <f t="shared" si="14"/>
        <v/>
      </c>
      <c r="BJ48" s="148" t="str">
        <f t="shared" si="15"/>
        <v/>
      </c>
      <c r="BK48" s="148" t="str">
        <f t="shared" si="16"/>
        <v/>
      </c>
      <c r="BL48" s="148" t="str">
        <f t="shared" si="17"/>
        <v/>
      </c>
    </row>
    <row r="49" spans="52:64" ht="16.5" x14ac:dyDescent="0.2">
      <c r="AZ49" s="148">
        <v>44</v>
      </c>
      <c r="BA49" s="148">
        <f t="shared" si="7"/>
        <v>8</v>
      </c>
      <c r="BB49" s="148">
        <f t="shared" si="8"/>
        <v>3</v>
      </c>
      <c r="BC49" s="148">
        <f t="shared" si="9"/>
        <v>1102009</v>
      </c>
      <c r="BD49" s="148" t="s">
        <v>1384</v>
      </c>
      <c r="BE49" s="148">
        <f t="shared" si="21"/>
        <v>1</v>
      </c>
      <c r="BF49" s="148" t="str">
        <f t="shared" si="22"/>
        <v>徐晃专属武器解封-1</v>
      </c>
      <c r="BG49" s="148" t="str">
        <f t="shared" si="12"/>
        <v>徐晃专属武器效果</v>
      </c>
      <c r="BH49" s="148">
        <f t="shared" si="13"/>
        <v>1</v>
      </c>
      <c r="BI49" s="148" t="str">
        <f t="shared" si="14"/>
        <v>金币</v>
      </c>
      <c r="BJ49" s="148">
        <f t="shared" si="15"/>
        <v>18000</v>
      </c>
      <c r="BK49" s="148" t="str">
        <f t="shared" si="16"/>
        <v>徐晃专属武器碎片</v>
      </c>
      <c r="BL49" s="148">
        <f t="shared" si="17"/>
        <v>40</v>
      </c>
    </row>
    <row r="50" spans="52:64" ht="16.5" x14ac:dyDescent="0.2">
      <c r="AZ50" s="148">
        <v>45</v>
      </c>
      <c r="BA50" s="148">
        <f t="shared" si="7"/>
        <v>8</v>
      </c>
      <c r="BB50" s="148">
        <f t="shared" si="8"/>
        <v>3</v>
      </c>
      <c r="BC50" s="148">
        <f t="shared" si="9"/>
        <v>1102009</v>
      </c>
      <c r="BD50" s="148" t="s">
        <v>1384</v>
      </c>
      <c r="BE50" s="148">
        <f t="shared" si="21"/>
        <v>2</v>
      </c>
      <c r="BF50" s="148" t="str">
        <f t="shared" si="22"/>
        <v>徐晃专属武器解封-2</v>
      </c>
      <c r="BG50" s="148" t="str">
        <f t="shared" si="12"/>
        <v>徐晃专属武器效果</v>
      </c>
      <c r="BH50" s="148">
        <f t="shared" si="13"/>
        <v>2</v>
      </c>
      <c r="BI50" s="148" t="str">
        <f t="shared" si="14"/>
        <v>金币</v>
      </c>
      <c r="BJ50" s="148">
        <f t="shared" si="15"/>
        <v>38000</v>
      </c>
      <c r="BK50" s="148" t="str">
        <f t="shared" si="16"/>
        <v>徐晃专属武器碎片</v>
      </c>
      <c r="BL50" s="148">
        <f t="shared" si="17"/>
        <v>40</v>
      </c>
    </row>
    <row r="51" spans="52:64" ht="16.5" x14ac:dyDescent="0.2">
      <c r="AZ51" s="148">
        <v>46</v>
      </c>
      <c r="BA51" s="148">
        <f t="shared" si="7"/>
        <v>8</v>
      </c>
      <c r="BB51" s="148">
        <f t="shared" si="8"/>
        <v>3</v>
      </c>
      <c r="BC51" s="148">
        <f t="shared" si="9"/>
        <v>1102009</v>
      </c>
      <c r="BD51" s="148" t="s">
        <v>1384</v>
      </c>
      <c r="BE51" s="148">
        <f t="shared" si="21"/>
        <v>3</v>
      </c>
      <c r="BF51" s="148" t="str">
        <f t="shared" si="22"/>
        <v>徐晃专属武器解封-3</v>
      </c>
      <c r="BG51" s="148" t="str">
        <f t="shared" si="12"/>
        <v>徐晃专属武器效果</v>
      </c>
      <c r="BH51" s="148">
        <f t="shared" si="13"/>
        <v>3</v>
      </c>
      <c r="BI51" s="148" t="str">
        <f t="shared" si="14"/>
        <v>金币</v>
      </c>
      <c r="BJ51" s="148">
        <f t="shared" si="15"/>
        <v>88000</v>
      </c>
      <c r="BK51" s="148" t="str">
        <f t="shared" si="16"/>
        <v>徐晃专属武器碎片</v>
      </c>
      <c r="BL51" s="148">
        <f t="shared" si="17"/>
        <v>60</v>
      </c>
    </row>
    <row r="52" spans="52:64" ht="16.5" x14ac:dyDescent="0.2">
      <c r="AZ52" s="148">
        <v>47</v>
      </c>
      <c r="BA52" s="148">
        <f t="shared" si="7"/>
        <v>8</v>
      </c>
      <c r="BB52" s="148">
        <f t="shared" si="8"/>
        <v>3</v>
      </c>
      <c r="BC52" s="148">
        <f t="shared" si="9"/>
        <v>1102009</v>
      </c>
      <c r="BD52" s="148" t="s">
        <v>1384</v>
      </c>
      <c r="BE52" s="148">
        <f t="shared" si="21"/>
        <v>4</v>
      </c>
      <c r="BF52" s="148" t="str">
        <f t="shared" si="22"/>
        <v>徐晃专属武器解封-4</v>
      </c>
      <c r="BG52" s="148" t="str">
        <f t="shared" si="12"/>
        <v>徐晃专属武器效果</v>
      </c>
      <c r="BH52" s="148">
        <f t="shared" si="13"/>
        <v>4</v>
      </c>
      <c r="BI52" s="148" t="str">
        <f t="shared" si="14"/>
        <v>金币</v>
      </c>
      <c r="BJ52" s="148">
        <f t="shared" si="15"/>
        <v>155500</v>
      </c>
      <c r="BK52" s="148" t="str">
        <f t="shared" si="16"/>
        <v>徐晃专属武器碎片</v>
      </c>
      <c r="BL52" s="148">
        <f t="shared" si="17"/>
        <v>60</v>
      </c>
    </row>
    <row r="53" spans="52:64" ht="16.5" x14ac:dyDescent="0.2">
      <c r="AZ53" s="148">
        <v>48</v>
      </c>
      <c r="BA53" s="148">
        <f t="shared" si="7"/>
        <v>8</v>
      </c>
      <c r="BB53" s="148">
        <f t="shared" si="8"/>
        <v>3</v>
      </c>
      <c r="BC53" s="148">
        <f t="shared" si="9"/>
        <v>1102009</v>
      </c>
      <c r="BD53" s="148" t="s">
        <v>1384</v>
      </c>
      <c r="BE53" s="148">
        <f t="shared" si="21"/>
        <v>5</v>
      </c>
      <c r="BF53" s="148" t="str">
        <f t="shared" si="22"/>
        <v>徐晃专属武器解封-5</v>
      </c>
      <c r="BG53" s="148" t="str">
        <f t="shared" si="12"/>
        <v>徐晃专属武器效果</v>
      </c>
      <c r="BH53" s="148">
        <f t="shared" si="13"/>
        <v>5</v>
      </c>
      <c r="BI53" s="148" t="str">
        <f t="shared" si="14"/>
        <v>金币</v>
      </c>
      <c r="BJ53" s="148">
        <f t="shared" si="15"/>
        <v>376000</v>
      </c>
      <c r="BK53" s="148" t="str">
        <f t="shared" si="16"/>
        <v>徐晃专属武器碎片</v>
      </c>
      <c r="BL53" s="148">
        <f t="shared" si="17"/>
        <v>80</v>
      </c>
    </row>
    <row r="54" spans="52:64" ht="16.5" x14ac:dyDescent="0.2">
      <c r="AZ54" s="148">
        <v>49</v>
      </c>
      <c r="BA54" s="148">
        <f t="shared" si="7"/>
        <v>9</v>
      </c>
      <c r="BB54" s="148">
        <f t="shared" si="8"/>
        <v>5</v>
      </c>
      <c r="BC54" s="148">
        <f t="shared" si="9"/>
        <v>1102010</v>
      </c>
      <c r="BD54" s="148" t="s">
        <v>1384</v>
      </c>
      <c r="BE54" s="148">
        <f t="shared" si="21"/>
        <v>0</v>
      </c>
      <c r="BF54" s="148" t="str">
        <f t="shared" si="22"/>
        <v>张郃专属武器解封-0</v>
      </c>
      <c r="BG54" s="148" t="str">
        <f t="shared" si="12"/>
        <v/>
      </c>
      <c r="BH54" s="148" t="str">
        <f t="shared" si="13"/>
        <v/>
      </c>
      <c r="BI54" s="148" t="str">
        <f t="shared" si="14"/>
        <v/>
      </c>
      <c r="BJ54" s="148" t="str">
        <f t="shared" si="15"/>
        <v/>
      </c>
      <c r="BK54" s="148" t="str">
        <f t="shared" si="16"/>
        <v/>
      </c>
      <c r="BL54" s="148" t="str">
        <f t="shared" si="17"/>
        <v/>
      </c>
    </row>
    <row r="55" spans="52:64" ht="16.5" x14ac:dyDescent="0.2">
      <c r="AZ55" s="148">
        <v>50</v>
      </c>
      <c r="BA55" s="148">
        <f t="shared" si="7"/>
        <v>9</v>
      </c>
      <c r="BB55" s="148">
        <f t="shared" si="8"/>
        <v>5</v>
      </c>
      <c r="BC55" s="148">
        <f t="shared" si="9"/>
        <v>1102010</v>
      </c>
      <c r="BD55" s="148" t="s">
        <v>1384</v>
      </c>
      <c r="BE55" s="148">
        <f t="shared" si="21"/>
        <v>1</v>
      </c>
      <c r="BF55" s="148" t="str">
        <f t="shared" si="22"/>
        <v>张郃专属武器解封-1</v>
      </c>
      <c r="BG55" s="148" t="str">
        <f t="shared" si="12"/>
        <v>张郃专属武器效果</v>
      </c>
      <c r="BH55" s="148">
        <f t="shared" si="13"/>
        <v>1</v>
      </c>
      <c r="BI55" s="148" t="str">
        <f t="shared" si="14"/>
        <v>金币</v>
      </c>
      <c r="BJ55" s="148">
        <f t="shared" si="15"/>
        <v>23500</v>
      </c>
      <c r="BK55" s="148" t="str">
        <f t="shared" si="16"/>
        <v>张郃专属武器碎片</v>
      </c>
      <c r="BL55" s="148">
        <f t="shared" si="17"/>
        <v>80</v>
      </c>
    </row>
    <row r="56" spans="52:64" ht="16.5" x14ac:dyDescent="0.2">
      <c r="AZ56" s="148">
        <v>51</v>
      </c>
      <c r="BA56" s="148">
        <f t="shared" si="7"/>
        <v>9</v>
      </c>
      <c r="BB56" s="148">
        <f t="shared" si="8"/>
        <v>5</v>
      </c>
      <c r="BC56" s="148">
        <f t="shared" si="9"/>
        <v>1102010</v>
      </c>
      <c r="BD56" s="148" t="s">
        <v>1384</v>
      </c>
      <c r="BE56" s="148">
        <f t="shared" si="21"/>
        <v>2</v>
      </c>
      <c r="BF56" s="148" t="str">
        <f t="shared" si="22"/>
        <v>张郃专属武器解封-2</v>
      </c>
      <c r="BG56" s="148" t="str">
        <f t="shared" si="12"/>
        <v>张郃专属武器效果</v>
      </c>
      <c r="BH56" s="148">
        <f t="shared" si="13"/>
        <v>2</v>
      </c>
      <c r="BI56" s="148" t="str">
        <f t="shared" si="14"/>
        <v>金币</v>
      </c>
      <c r="BJ56" s="148">
        <f t="shared" si="15"/>
        <v>51000</v>
      </c>
      <c r="BK56" s="148" t="str">
        <f t="shared" si="16"/>
        <v>张郃专属武器碎片</v>
      </c>
      <c r="BL56" s="148">
        <f t="shared" si="17"/>
        <v>80</v>
      </c>
    </row>
    <row r="57" spans="52:64" ht="16.5" x14ac:dyDescent="0.2">
      <c r="AZ57" s="148">
        <v>52</v>
      </c>
      <c r="BA57" s="148">
        <f t="shared" si="7"/>
        <v>9</v>
      </c>
      <c r="BB57" s="148">
        <f t="shared" si="8"/>
        <v>5</v>
      </c>
      <c r="BC57" s="148">
        <f t="shared" si="9"/>
        <v>1102010</v>
      </c>
      <c r="BD57" s="148" t="s">
        <v>1384</v>
      </c>
      <c r="BE57" s="148">
        <f t="shared" si="21"/>
        <v>3</v>
      </c>
      <c r="BF57" s="148" t="str">
        <f t="shared" si="22"/>
        <v>张郃专属武器解封-3</v>
      </c>
      <c r="BG57" s="148" t="str">
        <f t="shared" si="12"/>
        <v>张郃专属武器效果</v>
      </c>
      <c r="BH57" s="148">
        <f t="shared" si="13"/>
        <v>3</v>
      </c>
      <c r="BI57" s="148" t="str">
        <f t="shared" si="14"/>
        <v>金币</v>
      </c>
      <c r="BJ57" s="148">
        <f t="shared" si="15"/>
        <v>117000</v>
      </c>
      <c r="BK57" s="148" t="str">
        <f t="shared" si="16"/>
        <v>张郃专属武器碎片</v>
      </c>
      <c r="BL57" s="148">
        <f t="shared" si="17"/>
        <v>120</v>
      </c>
    </row>
    <row r="58" spans="52:64" ht="16.5" x14ac:dyDescent="0.2">
      <c r="AZ58" s="148">
        <v>53</v>
      </c>
      <c r="BA58" s="148">
        <f t="shared" si="7"/>
        <v>9</v>
      </c>
      <c r="BB58" s="148">
        <f t="shared" si="8"/>
        <v>5</v>
      </c>
      <c r="BC58" s="148">
        <f t="shared" si="9"/>
        <v>1102010</v>
      </c>
      <c r="BD58" s="148" t="s">
        <v>1384</v>
      </c>
      <c r="BE58" s="148">
        <f t="shared" si="21"/>
        <v>4</v>
      </c>
      <c r="BF58" s="148" t="str">
        <f t="shared" si="22"/>
        <v>张郃专属武器解封-4</v>
      </c>
      <c r="BG58" s="148" t="str">
        <f t="shared" si="12"/>
        <v>张郃专属武器效果</v>
      </c>
      <c r="BH58" s="148">
        <f t="shared" si="13"/>
        <v>4</v>
      </c>
      <c r="BI58" s="148" t="str">
        <f t="shared" si="14"/>
        <v>金币</v>
      </c>
      <c r="BJ58" s="148">
        <f t="shared" si="15"/>
        <v>207500</v>
      </c>
      <c r="BK58" s="148" t="str">
        <f t="shared" si="16"/>
        <v>张郃专属武器碎片</v>
      </c>
      <c r="BL58" s="148">
        <f t="shared" si="17"/>
        <v>120</v>
      </c>
    </row>
    <row r="59" spans="52:64" ht="16.5" x14ac:dyDescent="0.2">
      <c r="AZ59" s="148">
        <v>54</v>
      </c>
      <c r="BA59" s="148">
        <f t="shared" si="7"/>
        <v>9</v>
      </c>
      <c r="BB59" s="148">
        <f t="shared" si="8"/>
        <v>5</v>
      </c>
      <c r="BC59" s="148">
        <f t="shared" si="9"/>
        <v>1102010</v>
      </c>
      <c r="BD59" s="148" t="s">
        <v>1384</v>
      </c>
      <c r="BE59" s="148">
        <f t="shared" si="21"/>
        <v>5</v>
      </c>
      <c r="BF59" s="148" t="str">
        <f t="shared" si="22"/>
        <v>张郃专属武器解封-5</v>
      </c>
      <c r="BG59" s="148" t="str">
        <f t="shared" si="12"/>
        <v>张郃专属武器效果</v>
      </c>
      <c r="BH59" s="148">
        <f t="shared" si="13"/>
        <v>5</v>
      </c>
      <c r="BI59" s="148" t="str">
        <f t="shared" si="14"/>
        <v>金币</v>
      </c>
      <c r="BJ59" s="148">
        <f t="shared" si="15"/>
        <v>501500</v>
      </c>
      <c r="BK59" s="148" t="str">
        <f t="shared" si="16"/>
        <v>张郃专属武器碎片</v>
      </c>
      <c r="BL59" s="148">
        <f t="shared" si="17"/>
        <v>160</v>
      </c>
    </row>
    <row r="60" spans="52:64" ht="16.5" x14ac:dyDescent="0.2">
      <c r="AZ60" s="148">
        <v>55</v>
      </c>
      <c r="BA60" s="148">
        <f t="shared" si="7"/>
        <v>10</v>
      </c>
      <c r="BB60" s="148">
        <f t="shared" si="8"/>
        <v>5</v>
      </c>
      <c r="BC60" s="148">
        <f t="shared" si="9"/>
        <v>1102011</v>
      </c>
      <c r="BD60" s="148" t="s">
        <v>1384</v>
      </c>
      <c r="BE60" s="148">
        <f t="shared" si="21"/>
        <v>0</v>
      </c>
      <c r="BF60" s="148" t="str">
        <f t="shared" si="22"/>
        <v>张飞专属武器解封-0</v>
      </c>
      <c r="BG60" s="148" t="str">
        <f t="shared" si="12"/>
        <v/>
      </c>
      <c r="BH60" s="148" t="str">
        <f t="shared" si="13"/>
        <v/>
      </c>
      <c r="BI60" s="148" t="str">
        <f t="shared" si="14"/>
        <v/>
      </c>
      <c r="BJ60" s="148" t="str">
        <f t="shared" si="15"/>
        <v/>
      </c>
      <c r="BK60" s="148" t="str">
        <f t="shared" si="16"/>
        <v/>
      </c>
      <c r="BL60" s="148" t="str">
        <f t="shared" si="17"/>
        <v/>
      </c>
    </row>
    <row r="61" spans="52:64" ht="16.5" x14ac:dyDescent="0.2">
      <c r="AZ61" s="148">
        <v>56</v>
      </c>
      <c r="BA61" s="148">
        <f t="shared" si="7"/>
        <v>10</v>
      </c>
      <c r="BB61" s="148">
        <f t="shared" si="8"/>
        <v>5</v>
      </c>
      <c r="BC61" s="148">
        <f t="shared" si="9"/>
        <v>1102011</v>
      </c>
      <c r="BD61" s="148" t="s">
        <v>1384</v>
      </c>
      <c r="BE61" s="148">
        <f t="shared" si="21"/>
        <v>1</v>
      </c>
      <c r="BF61" s="148" t="str">
        <f t="shared" si="22"/>
        <v>张飞专属武器解封-1</v>
      </c>
      <c r="BG61" s="148" t="str">
        <f t="shared" si="12"/>
        <v>张飞专属武器效果</v>
      </c>
      <c r="BH61" s="148">
        <f t="shared" si="13"/>
        <v>1</v>
      </c>
      <c r="BI61" s="148" t="str">
        <f t="shared" si="14"/>
        <v>金币</v>
      </c>
      <c r="BJ61" s="148">
        <f t="shared" si="15"/>
        <v>23500</v>
      </c>
      <c r="BK61" s="148" t="str">
        <f t="shared" si="16"/>
        <v>张飞专属武器碎片</v>
      </c>
      <c r="BL61" s="148">
        <f t="shared" si="17"/>
        <v>80</v>
      </c>
    </row>
    <row r="62" spans="52:64" ht="16.5" x14ac:dyDescent="0.2">
      <c r="AZ62" s="148">
        <v>57</v>
      </c>
      <c r="BA62" s="148">
        <f t="shared" si="7"/>
        <v>10</v>
      </c>
      <c r="BB62" s="148">
        <f t="shared" si="8"/>
        <v>5</v>
      </c>
      <c r="BC62" s="148">
        <f t="shared" si="9"/>
        <v>1102011</v>
      </c>
      <c r="BD62" s="148" t="s">
        <v>1384</v>
      </c>
      <c r="BE62" s="148">
        <f t="shared" si="21"/>
        <v>2</v>
      </c>
      <c r="BF62" s="148" t="str">
        <f t="shared" si="22"/>
        <v>张飞专属武器解封-2</v>
      </c>
      <c r="BG62" s="148" t="str">
        <f t="shared" si="12"/>
        <v>张飞专属武器效果</v>
      </c>
      <c r="BH62" s="148">
        <f t="shared" si="13"/>
        <v>2</v>
      </c>
      <c r="BI62" s="148" t="str">
        <f t="shared" si="14"/>
        <v>金币</v>
      </c>
      <c r="BJ62" s="148">
        <f t="shared" si="15"/>
        <v>51000</v>
      </c>
      <c r="BK62" s="148" t="str">
        <f t="shared" si="16"/>
        <v>张飞专属武器碎片</v>
      </c>
      <c r="BL62" s="148">
        <f t="shared" si="17"/>
        <v>80</v>
      </c>
    </row>
    <row r="63" spans="52:64" ht="16.5" x14ac:dyDescent="0.2">
      <c r="AZ63" s="148">
        <v>58</v>
      </c>
      <c r="BA63" s="148">
        <f t="shared" si="7"/>
        <v>10</v>
      </c>
      <c r="BB63" s="148">
        <f t="shared" si="8"/>
        <v>5</v>
      </c>
      <c r="BC63" s="148">
        <f t="shared" si="9"/>
        <v>1102011</v>
      </c>
      <c r="BD63" s="148" t="s">
        <v>1384</v>
      </c>
      <c r="BE63" s="148">
        <f t="shared" si="21"/>
        <v>3</v>
      </c>
      <c r="BF63" s="148" t="str">
        <f t="shared" si="22"/>
        <v>张飞专属武器解封-3</v>
      </c>
      <c r="BG63" s="148" t="str">
        <f t="shared" si="12"/>
        <v>张飞专属武器效果</v>
      </c>
      <c r="BH63" s="148">
        <f t="shared" si="13"/>
        <v>3</v>
      </c>
      <c r="BI63" s="148" t="str">
        <f t="shared" si="14"/>
        <v>金币</v>
      </c>
      <c r="BJ63" s="148">
        <f t="shared" si="15"/>
        <v>117000</v>
      </c>
      <c r="BK63" s="148" t="str">
        <f t="shared" si="16"/>
        <v>张飞专属武器碎片</v>
      </c>
      <c r="BL63" s="148">
        <f t="shared" si="17"/>
        <v>120</v>
      </c>
    </row>
    <row r="64" spans="52:64" ht="16.5" x14ac:dyDescent="0.2">
      <c r="AZ64" s="148">
        <v>59</v>
      </c>
      <c r="BA64" s="148">
        <f t="shared" si="7"/>
        <v>10</v>
      </c>
      <c r="BB64" s="148">
        <f t="shared" si="8"/>
        <v>5</v>
      </c>
      <c r="BC64" s="148">
        <f t="shared" si="9"/>
        <v>1102011</v>
      </c>
      <c r="BD64" s="148" t="s">
        <v>1384</v>
      </c>
      <c r="BE64" s="148">
        <f t="shared" si="21"/>
        <v>4</v>
      </c>
      <c r="BF64" s="148" t="str">
        <f t="shared" si="22"/>
        <v>张飞专属武器解封-4</v>
      </c>
      <c r="BG64" s="148" t="str">
        <f t="shared" si="12"/>
        <v>张飞专属武器效果</v>
      </c>
      <c r="BH64" s="148">
        <f t="shared" si="13"/>
        <v>4</v>
      </c>
      <c r="BI64" s="148" t="str">
        <f t="shared" si="14"/>
        <v>金币</v>
      </c>
      <c r="BJ64" s="148">
        <f t="shared" si="15"/>
        <v>207500</v>
      </c>
      <c r="BK64" s="148" t="str">
        <f t="shared" si="16"/>
        <v>张飞专属武器碎片</v>
      </c>
      <c r="BL64" s="148">
        <f t="shared" si="17"/>
        <v>120</v>
      </c>
    </row>
    <row r="65" spans="52:64" ht="16.5" x14ac:dyDescent="0.2">
      <c r="AZ65" s="148">
        <v>60</v>
      </c>
      <c r="BA65" s="148">
        <f t="shared" si="7"/>
        <v>10</v>
      </c>
      <c r="BB65" s="148">
        <f t="shared" si="8"/>
        <v>5</v>
      </c>
      <c r="BC65" s="148">
        <f t="shared" si="9"/>
        <v>1102011</v>
      </c>
      <c r="BD65" s="148" t="s">
        <v>1384</v>
      </c>
      <c r="BE65" s="148">
        <f t="shared" si="21"/>
        <v>5</v>
      </c>
      <c r="BF65" s="148" t="str">
        <f t="shared" si="22"/>
        <v>张飞专属武器解封-5</v>
      </c>
      <c r="BG65" s="148" t="str">
        <f t="shared" si="12"/>
        <v>张飞专属武器效果</v>
      </c>
      <c r="BH65" s="148">
        <f t="shared" si="13"/>
        <v>5</v>
      </c>
      <c r="BI65" s="148" t="str">
        <f t="shared" si="14"/>
        <v>金币</v>
      </c>
      <c r="BJ65" s="148">
        <f t="shared" si="15"/>
        <v>501500</v>
      </c>
      <c r="BK65" s="148" t="str">
        <f t="shared" si="16"/>
        <v>张飞专属武器碎片</v>
      </c>
      <c r="BL65" s="148">
        <f t="shared" si="17"/>
        <v>160</v>
      </c>
    </row>
    <row r="66" spans="52:64" ht="16.5" x14ac:dyDescent="0.2">
      <c r="AZ66" s="148">
        <v>61</v>
      </c>
      <c r="BA66" s="148">
        <f t="shared" si="7"/>
        <v>11</v>
      </c>
      <c r="BB66" s="148">
        <f t="shared" si="8"/>
        <v>6</v>
      </c>
      <c r="BC66" s="148">
        <f t="shared" si="9"/>
        <v>1102012</v>
      </c>
      <c r="BD66" s="148" t="s">
        <v>1384</v>
      </c>
      <c r="BE66" s="148">
        <f t="shared" si="21"/>
        <v>0</v>
      </c>
      <c r="BF66" s="148" t="str">
        <f t="shared" si="22"/>
        <v>夏侯惇专属武器解封-0</v>
      </c>
      <c r="BG66" s="148" t="str">
        <f t="shared" si="12"/>
        <v/>
      </c>
      <c r="BH66" s="148" t="str">
        <f t="shared" si="13"/>
        <v/>
      </c>
      <c r="BI66" s="148" t="str">
        <f t="shared" si="14"/>
        <v/>
      </c>
      <c r="BJ66" s="148" t="str">
        <f t="shared" si="15"/>
        <v/>
      </c>
      <c r="BK66" s="148" t="str">
        <f t="shared" si="16"/>
        <v/>
      </c>
      <c r="BL66" s="148" t="str">
        <f t="shared" si="17"/>
        <v/>
      </c>
    </row>
    <row r="67" spans="52:64" ht="16.5" x14ac:dyDescent="0.2">
      <c r="AZ67" s="148">
        <v>62</v>
      </c>
      <c r="BA67" s="148">
        <f t="shared" si="7"/>
        <v>11</v>
      </c>
      <c r="BB67" s="148">
        <f t="shared" si="8"/>
        <v>6</v>
      </c>
      <c r="BC67" s="148">
        <f t="shared" si="9"/>
        <v>1102012</v>
      </c>
      <c r="BD67" s="148" t="s">
        <v>1384</v>
      </c>
      <c r="BE67" s="148">
        <f t="shared" si="21"/>
        <v>1</v>
      </c>
      <c r="BF67" s="148" t="str">
        <f t="shared" si="22"/>
        <v>夏侯惇专属武器解封-1</v>
      </c>
      <c r="BG67" s="148" t="str">
        <f t="shared" si="12"/>
        <v>夏侯惇专属武器效果</v>
      </c>
      <c r="BH67" s="148">
        <f t="shared" si="13"/>
        <v>1</v>
      </c>
      <c r="BI67" s="148" t="str">
        <f t="shared" si="14"/>
        <v>金币</v>
      </c>
      <c r="BJ67" s="148">
        <f t="shared" si="15"/>
        <v>29500</v>
      </c>
      <c r="BK67" s="148" t="str">
        <f t="shared" si="16"/>
        <v>夏侯惇专属武器碎片</v>
      </c>
      <c r="BL67" s="148">
        <f t="shared" si="17"/>
        <v>80</v>
      </c>
    </row>
    <row r="68" spans="52:64" ht="16.5" x14ac:dyDescent="0.2">
      <c r="AZ68" s="148">
        <v>63</v>
      </c>
      <c r="BA68" s="148">
        <f t="shared" si="7"/>
        <v>11</v>
      </c>
      <c r="BB68" s="148">
        <f t="shared" si="8"/>
        <v>6</v>
      </c>
      <c r="BC68" s="148">
        <f t="shared" si="9"/>
        <v>1102012</v>
      </c>
      <c r="BD68" s="148" t="s">
        <v>1384</v>
      </c>
      <c r="BE68" s="148">
        <f t="shared" si="21"/>
        <v>2</v>
      </c>
      <c r="BF68" s="148" t="str">
        <f t="shared" si="22"/>
        <v>夏侯惇专属武器解封-2</v>
      </c>
      <c r="BG68" s="148" t="str">
        <f t="shared" si="12"/>
        <v>夏侯惇专属武器效果</v>
      </c>
      <c r="BH68" s="148">
        <f t="shared" si="13"/>
        <v>2</v>
      </c>
      <c r="BI68" s="148" t="str">
        <f t="shared" si="14"/>
        <v>金币</v>
      </c>
      <c r="BJ68" s="148">
        <f t="shared" si="15"/>
        <v>63500</v>
      </c>
      <c r="BK68" s="148" t="str">
        <f t="shared" si="16"/>
        <v>夏侯惇专属武器碎片</v>
      </c>
      <c r="BL68" s="148">
        <f t="shared" si="17"/>
        <v>80</v>
      </c>
    </row>
    <row r="69" spans="52:64" ht="16.5" x14ac:dyDescent="0.2">
      <c r="AZ69" s="148">
        <v>64</v>
      </c>
      <c r="BA69" s="148">
        <f t="shared" si="7"/>
        <v>11</v>
      </c>
      <c r="BB69" s="148">
        <f t="shared" si="8"/>
        <v>6</v>
      </c>
      <c r="BC69" s="148">
        <f t="shared" si="9"/>
        <v>1102012</v>
      </c>
      <c r="BD69" s="148" t="s">
        <v>1384</v>
      </c>
      <c r="BE69" s="148">
        <f t="shared" si="21"/>
        <v>3</v>
      </c>
      <c r="BF69" s="148" t="str">
        <f t="shared" si="22"/>
        <v>夏侯惇专属武器解封-3</v>
      </c>
      <c r="BG69" s="148" t="str">
        <f t="shared" si="12"/>
        <v>夏侯惇专属武器效果</v>
      </c>
      <c r="BH69" s="148">
        <f t="shared" si="13"/>
        <v>3</v>
      </c>
      <c r="BI69" s="148" t="str">
        <f t="shared" si="14"/>
        <v>金币</v>
      </c>
      <c r="BJ69" s="148">
        <f t="shared" si="15"/>
        <v>146500</v>
      </c>
      <c r="BK69" s="148" t="str">
        <f t="shared" si="16"/>
        <v>夏侯惇专属武器碎片</v>
      </c>
      <c r="BL69" s="148">
        <f t="shared" si="17"/>
        <v>120</v>
      </c>
    </row>
    <row r="70" spans="52:64" ht="16.5" x14ac:dyDescent="0.2">
      <c r="AZ70" s="148">
        <v>65</v>
      </c>
      <c r="BA70" s="148">
        <f t="shared" si="7"/>
        <v>11</v>
      </c>
      <c r="BB70" s="148">
        <f t="shared" si="8"/>
        <v>6</v>
      </c>
      <c r="BC70" s="148">
        <f t="shared" si="9"/>
        <v>1102012</v>
      </c>
      <c r="BD70" s="148" t="s">
        <v>1384</v>
      </c>
      <c r="BE70" s="148">
        <f t="shared" si="21"/>
        <v>4</v>
      </c>
      <c r="BF70" s="148" t="str">
        <f t="shared" si="22"/>
        <v>夏侯惇专属武器解封-4</v>
      </c>
      <c r="BG70" s="148" t="str">
        <f t="shared" si="12"/>
        <v>夏侯惇专属武器效果</v>
      </c>
      <c r="BH70" s="148">
        <f t="shared" si="13"/>
        <v>4</v>
      </c>
      <c r="BI70" s="148" t="str">
        <f t="shared" si="14"/>
        <v>金币</v>
      </c>
      <c r="BJ70" s="148">
        <f t="shared" si="15"/>
        <v>259000</v>
      </c>
      <c r="BK70" s="148" t="str">
        <f t="shared" si="16"/>
        <v>夏侯惇专属武器碎片</v>
      </c>
      <c r="BL70" s="148">
        <f t="shared" si="17"/>
        <v>120</v>
      </c>
    </row>
    <row r="71" spans="52:64" ht="16.5" x14ac:dyDescent="0.2">
      <c r="AZ71" s="148">
        <v>66</v>
      </c>
      <c r="BA71" s="148">
        <f t="shared" ref="BA71:BA131" si="23">INT((AZ71-1)/6)+1</f>
        <v>11</v>
      </c>
      <c r="BB71" s="148">
        <f t="shared" ref="BB71:BB131" si="24">INDEX($D$6:$D$26,BA71)</f>
        <v>6</v>
      </c>
      <c r="BC71" s="148">
        <f t="shared" ref="BC71:BC131" si="25">INDEX($A$6:$A$26,BA71)</f>
        <v>1102012</v>
      </c>
      <c r="BD71" s="148" t="s">
        <v>1384</v>
      </c>
      <c r="BE71" s="148">
        <f t="shared" si="21"/>
        <v>5</v>
      </c>
      <c r="BF71" s="148" t="str">
        <f t="shared" si="22"/>
        <v>夏侯惇专属武器解封-5</v>
      </c>
      <c r="BG71" s="148" t="str">
        <f t="shared" ref="BG71:BG131" si="26">IF(BE71&gt;0,INDEX($B$6:$B$26,BA71)&amp;"专属武器效果","")</f>
        <v>夏侯惇专属武器效果</v>
      </c>
      <c r="BH71" s="148">
        <f t="shared" ref="BH71:BH131" si="27">IF(BE71&gt;0,BE71,"")</f>
        <v>5</v>
      </c>
      <c r="BI71" s="148" t="str">
        <f t="shared" ref="BI71:BI131" si="28">IF(BE71&gt;0,"金币","")</f>
        <v>金币</v>
      </c>
      <c r="BJ71" s="148">
        <f t="shared" ref="BJ71:BJ131" si="29">IF(BE71&gt;0,INDEX($AS$7:$AW$11,BE71,BB71-1),"")</f>
        <v>626500</v>
      </c>
      <c r="BK71" s="148" t="str">
        <f t="shared" ref="BK71:BK131" si="30">IF(BE71&gt;0,INDEX($B$6:$B$26,BA71)&amp;"专属武器碎片","")</f>
        <v>夏侯惇专属武器碎片</v>
      </c>
      <c r="BL71" s="148">
        <f t="shared" ref="BL71:BL131" si="31">IF(BE71&gt;0,INDEX($AL$7:$AP$11,BE71,INDEX($D$6:$D$26,BA71)-1),"")</f>
        <v>160</v>
      </c>
    </row>
    <row r="72" spans="52:64" ht="16.5" x14ac:dyDescent="0.2">
      <c r="AZ72" s="148">
        <v>67</v>
      </c>
      <c r="BA72" s="148">
        <f t="shared" si="23"/>
        <v>12</v>
      </c>
      <c r="BB72" s="148">
        <f t="shared" si="24"/>
        <v>3</v>
      </c>
      <c r="BC72" s="148">
        <f t="shared" si="25"/>
        <v>1102014</v>
      </c>
      <c r="BD72" s="148" t="s">
        <v>1384</v>
      </c>
      <c r="BE72" s="148">
        <f t="shared" si="21"/>
        <v>0</v>
      </c>
      <c r="BF72" s="148" t="str">
        <f t="shared" si="22"/>
        <v>石灵明专属武器解封-0</v>
      </c>
      <c r="BG72" s="148" t="str">
        <f t="shared" si="26"/>
        <v/>
      </c>
      <c r="BH72" s="148" t="str">
        <f t="shared" si="27"/>
        <v/>
      </c>
      <c r="BI72" s="148" t="str">
        <f t="shared" si="28"/>
        <v/>
      </c>
      <c r="BJ72" s="148" t="str">
        <f t="shared" si="29"/>
        <v/>
      </c>
      <c r="BK72" s="148" t="str">
        <f t="shared" si="30"/>
        <v/>
      </c>
      <c r="BL72" s="148" t="str">
        <f t="shared" si="31"/>
        <v/>
      </c>
    </row>
    <row r="73" spans="52:64" ht="16.5" x14ac:dyDescent="0.2">
      <c r="AZ73" s="148">
        <v>68</v>
      </c>
      <c r="BA73" s="148">
        <f t="shared" si="23"/>
        <v>12</v>
      </c>
      <c r="BB73" s="148">
        <f t="shared" si="24"/>
        <v>3</v>
      </c>
      <c r="BC73" s="148">
        <f t="shared" si="25"/>
        <v>1102014</v>
      </c>
      <c r="BD73" s="148" t="s">
        <v>1384</v>
      </c>
      <c r="BE73" s="148">
        <f t="shared" si="21"/>
        <v>1</v>
      </c>
      <c r="BF73" s="148" t="str">
        <f t="shared" si="22"/>
        <v>石灵明专属武器解封-1</v>
      </c>
      <c r="BG73" s="148" t="str">
        <f t="shared" si="26"/>
        <v>石灵明专属武器效果</v>
      </c>
      <c r="BH73" s="148">
        <f t="shared" si="27"/>
        <v>1</v>
      </c>
      <c r="BI73" s="148" t="str">
        <f t="shared" si="28"/>
        <v>金币</v>
      </c>
      <c r="BJ73" s="148">
        <f t="shared" si="29"/>
        <v>18000</v>
      </c>
      <c r="BK73" s="148" t="str">
        <f t="shared" si="30"/>
        <v>石灵明专属武器碎片</v>
      </c>
      <c r="BL73" s="148">
        <f t="shared" si="31"/>
        <v>40</v>
      </c>
    </row>
    <row r="74" spans="52:64" ht="16.5" x14ac:dyDescent="0.2">
      <c r="AZ74" s="148">
        <v>69</v>
      </c>
      <c r="BA74" s="148">
        <f t="shared" si="23"/>
        <v>12</v>
      </c>
      <c r="BB74" s="148">
        <f t="shared" si="24"/>
        <v>3</v>
      </c>
      <c r="BC74" s="148">
        <f t="shared" si="25"/>
        <v>1102014</v>
      </c>
      <c r="BD74" s="148" t="s">
        <v>1384</v>
      </c>
      <c r="BE74" s="148">
        <f t="shared" si="21"/>
        <v>2</v>
      </c>
      <c r="BF74" s="148" t="str">
        <f t="shared" si="22"/>
        <v>石灵明专属武器解封-2</v>
      </c>
      <c r="BG74" s="148" t="str">
        <f t="shared" si="26"/>
        <v>石灵明专属武器效果</v>
      </c>
      <c r="BH74" s="148">
        <f t="shared" si="27"/>
        <v>2</v>
      </c>
      <c r="BI74" s="148" t="str">
        <f t="shared" si="28"/>
        <v>金币</v>
      </c>
      <c r="BJ74" s="148">
        <f t="shared" si="29"/>
        <v>38000</v>
      </c>
      <c r="BK74" s="148" t="str">
        <f t="shared" si="30"/>
        <v>石灵明专属武器碎片</v>
      </c>
      <c r="BL74" s="148">
        <f t="shared" si="31"/>
        <v>40</v>
      </c>
    </row>
    <row r="75" spans="52:64" ht="16.5" x14ac:dyDescent="0.2">
      <c r="AZ75" s="148">
        <v>70</v>
      </c>
      <c r="BA75" s="148">
        <f t="shared" si="23"/>
        <v>12</v>
      </c>
      <c r="BB75" s="148">
        <f t="shared" si="24"/>
        <v>3</v>
      </c>
      <c r="BC75" s="148">
        <f t="shared" si="25"/>
        <v>1102014</v>
      </c>
      <c r="BD75" s="148" t="s">
        <v>1384</v>
      </c>
      <c r="BE75" s="148">
        <f t="shared" si="21"/>
        <v>3</v>
      </c>
      <c r="BF75" s="148" t="str">
        <f t="shared" si="22"/>
        <v>石灵明专属武器解封-3</v>
      </c>
      <c r="BG75" s="148" t="str">
        <f t="shared" si="26"/>
        <v>石灵明专属武器效果</v>
      </c>
      <c r="BH75" s="148">
        <f t="shared" si="27"/>
        <v>3</v>
      </c>
      <c r="BI75" s="148" t="str">
        <f t="shared" si="28"/>
        <v>金币</v>
      </c>
      <c r="BJ75" s="148">
        <f t="shared" si="29"/>
        <v>88000</v>
      </c>
      <c r="BK75" s="148" t="str">
        <f t="shared" si="30"/>
        <v>石灵明专属武器碎片</v>
      </c>
      <c r="BL75" s="148">
        <f t="shared" si="31"/>
        <v>60</v>
      </c>
    </row>
    <row r="76" spans="52:64" ht="16.5" x14ac:dyDescent="0.2">
      <c r="AZ76" s="148">
        <v>71</v>
      </c>
      <c r="BA76" s="148">
        <f t="shared" si="23"/>
        <v>12</v>
      </c>
      <c r="BB76" s="148">
        <f t="shared" si="24"/>
        <v>3</v>
      </c>
      <c r="BC76" s="148">
        <f t="shared" si="25"/>
        <v>1102014</v>
      </c>
      <c r="BD76" s="148" t="s">
        <v>1384</v>
      </c>
      <c r="BE76" s="148">
        <f t="shared" si="21"/>
        <v>4</v>
      </c>
      <c r="BF76" s="148" t="str">
        <f t="shared" si="22"/>
        <v>石灵明专属武器解封-4</v>
      </c>
      <c r="BG76" s="148" t="str">
        <f t="shared" si="26"/>
        <v>石灵明专属武器效果</v>
      </c>
      <c r="BH76" s="148">
        <f t="shared" si="27"/>
        <v>4</v>
      </c>
      <c r="BI76" s="148" t="str">
        <f t="shared" si="28"/>
        <v>金币</v>
      </c>
      <c r="BJ76" s="148">
        <f t="shared" si="29"/>
        <v>155500</v>
      </c>
      <c r="BK76" s="148" t="str">
        <f t="shared" si="30"/>
        <v>石灵明专属武器碎片</v>
      </c>
      <c r="BL76" s="148">
        <f t="shared" si="31"/>
        <v>60</v>
      </c>
    </row>
    <row r="77" spans="52:64" ht="16.5" x14ac:dyDescent="0.2">
      <c r="AZ77" s="148">
        <v>72</v>
      </c>
      <c r="BA77" s="148">
        <f t="shared" si="23"/>
        <v>12</v>
      </c>
      <c r="BB77" s="148">
        <f t="shared" si="24"/>
        <v>3</v>
      </c>
      <c r="BC77" s="148">
        <f t="shared" si="25"/>
        <v>1102014</v>
      </c>
      <c r="BD77" s="148" t="s">
        <v>1384</v>
      </c>
      <c r="BE77" s="148">
        <f t="shared" si="21"/>
        <v>5</v>
      </c>
      <c r="BF77" s="148" t="str">
        <f t="shared" si="22"/>
        <v>石灵明专属武器解封-5</v>
      </c>
      <c r="BG77" s="148" t="str">
        <f t="shared" si="26"/>
        <v>石灵明专属武器效果</v>
      </c>
      <c r="BH77" s="148">
        <f t="shared" si="27"/>
        <v>5</v>
      </c>
      <c r="BI77" s="148" t="str">
        <f t="shared" si="28"/>
        <v>金币</v>
      </c>
      <c r="BJ77" s="148">
        <f t="shared" si="29"/>
        <v>376000</v>
      </c>
      <c r="BK77" s="148" t="str">
        <f t="shared" si="30"/>
        <v>石灵明专属武器碎片</v>
      </c>
      <c r="BL77" s="148">
        <f t="shared" si="31"/>
        <v>80</v>
      </c>
    </row>
    <row r="78" spans="52:64" ht="16.5" x14ac:dyDescent="0.2">
      <c r="AZ78" s="148">
        <v>73</v>
      </c>
      <c r="BA78" s="148">
        <f t="shared" si="23"/>
        <v>13</v>
      </c>
      <c r="BB78" s="148">
        <f t="shared" si="24"/>
        <v>4</v>
      </c>
      <c r="BC78" s="148">
        <f t="shared" si="25"/>
        <v>1102016</v>
      </c>
      <c r="BD78" s="148" t="s">
        <v>1384</v>
      </c>
      <c r="BE78" s="148">
        <f t="shared" si="21"/>
        <v>0</v>
      </c>
      <c r="BF78" s="148" t="str">
        <f t="shared" si="22"/>
        <v>西方龙专属武器解封-0</v>
      </c>
      <c r="BG78" s="148" t="str">
        <f t="shared" si="26"/>
        <v/>
      </c>
      <c r="BH78" s="148" t="str">
        <f t="shared" si="27"/>
        <v/>
      </c>
      <c r="BI78" s="148" t="str">
        <f t="shared" si="28"/>
        <v/>
      </c>
      <c r="BJ78" s="148" t="str">
        <f t="shared" si="29"/>
        <v/>
      </c>
      <c r="BK78" s="148" t="str">
        <f t="shared" si="30"/>
        <v/>
      </c>
      <c r="BL78" s="148" t="str">
        <f t="shared" si="31"/>
        <v/>
      </c>
    </row>
    <row r="79" spans="52:64" ht="16.5" x14ac:dyDescent="0.2">
      <c r="AZ79" s="148">
        <v>74</v>
      </c>
      <c r="BA79" s="148">
        <f t="shared" si="23"/>
        <v>13</v>
      </c>
      <c r="BB79" s="148">
        <f t="shared" si="24"/>
        <v>4</v>
      </c>
      <c r="BC79" s="148">
        <f t="shared" si="25"/>
        <v>1102016</v>
      </c>
      <c r="BD79" s="148" t="s">
        <v>1384</v>
      </c>
      <c r="BE79" s="148">
        <f t="shared" si="21"/>
        <v>1</v>
      </c>
      <c r="BF79" s="148" t="str">
        <f t="shared" si="22"/>
        <v>西方龙专属武器解封-1</v>
      </c>
      <c r="BG79" s="148" t="str">
        <f t="shared" si="26"/>
        <v>西方龙专属武器效果</v>
      </c>
      <c r="BH79" s="148">
        <f t="shared" si="27"/>
        <v>1</v>
      </c>
      <c r="BI79" s="148" t="str">
        <f t="shared" si="28"/>
        <v>金币</v>
      </c>
      <c r="BJ79" s="148">
        <f t="shared" si="29"/>
        <v>21000</v>
      </c>
      <c r="BK79" s="148" t="str">
        <f t="shared" si="30"/>
        <v>西方龙专属武器碎片</v>
      </c>
      <c r="BL79" s="148">
        <f t="shared" si="31"/>
        <v>80</v>
      </c>
    </row>
    <row r="80" spans="52:64" ht="16.5" x14ac:dyDescent="0.2">
      <c r="AZ80" s="148">
        <v>75</v>
      </c>
      <c r="BA80" s="148">
        <f t="shared" si="23"/>
        <v>13</v>
      </c>
      <c r="BB80" s="148">
        <f t="shared" si="24"/>
        <v>4</v>
      </c>
      <c r="BC80" s="148">
        <f t="shared" si="25"/>
        <v>1102016</v>
      </c>
      <c r="BD80" s="148" t="s">
        <v>1384</v>
      </c>
      <c r="BE80" s="148">
        <f t="shared" si="21"/>
        <v>2</v>
      </c>
      <c r="BF80" s="148" t="str">
        <f t="shared" si="22"/>
        <v>西方龙专属武器解封-2</v>
      </c>
      <c r="BG80" s="148" t="str">
        <f t="shared" si="26"/>
        <v>西方龙专属武器效果</v>
      </c>
      <c r="BH80" s="148">
        <f t="shared" si="27"/>
        <v>2</v>
      </c>
      <c r="BI80" s="148" t="str">
        <f t="shared" si="28"/>
        <v>金币</v>
      </c>
      <c r="BJ80" s="148">
        <f t="shared" si="29"/>
        <v>44500</v>
      </c>
      <c r="BK80" s="148" t="str">
        <f t="shared" si="30"/>
        <v>西方龙专属武器碎片</v>
      </c>
      <c r="BL80" s="148">
        <f t="shared" si="31"/>
        <v>80</v>
      </c>
    </row>
    <row r="81" spans="52:64" ht="16.5" x14ac:dyDescent="0.2">
      <c r="AZ81" s="148">
        <v>76</v>
      </c>
      <c r="BA81" s="148">
        <f t="shared" si="23"/>
        <v>13</v>
      </c>
      <c r="BB81" s="148">
        <f t="shared" si="24"/>
        <v>4</v>
      </c>
      <c r="BC81" s="148">
        <f t="shared" si="25"/>
        <v>1102016</v>
      </c>
      <c r="BD81" s="148" t="s">
        <v>1384</v>
      </c>
      <c r="BE81" s="148">
        <f t="shared" si="21"/>
        <v>3</v>
      </c>
      <c r="BF81" s="148" t="str">
        <f t="shared" si="22"/>
        <v>西方龙专属武器解封-3</v>
      </c>
      <c r="BG81" s="148" t="str">
        <f t="shared" si="26"/>
        <v>西方龙专属武器效果</v>
      </c>
      <c r="BH81" s="148">
        <f t="shared" si="27"/>
        <v>3</v>
      </c>
      <c r="BI81" s="148" t="str">
        <f t="shared" si="28"/>
        <v>金币</v>
      </c>
      <c r="BJ81" s="148">
        <f t="shared" si="29"/>
        <v>102500</v>
      </c>
      <c r="BK81" s="148" t="str">
        <f t="shared" si="30"/>
        <v>西方龙专属武器碎片</v>
      </c>
      <c r="BL81" s="148">
        <f t="shared" si="31"/>
        <v>120</v>
      </c>
    </row>
    <row r="82" spans="52:64" ht="16.5" x14ac:dyDescent="0.2">
      <c r="AZ82" s="148">
        <v>77</v>
      </c>
      <c r="BA82" s="148">
        <f t="shared" si="23"/>
        <v>13</v>
      </c>
      <c r="BB82" s="148">
        <f t="shared" si="24"/>
        <v>4</v>
      </c>
      <c r="BC82" s="148">
        <f t="shared" si="25"/>
        <v>1102016</v>
      </c>
      <c r="BD82" s="148" t="s">
        <v>1384</v>
      </c>
      <c r="BE82" s="148">
        <f t="shared" si="21"/>
        <v>4</v>
      </c>
      <c r="BF82" s="148" t="str">
        <f t="shared" si="22"/>
        <v>西方龙专属武器解封-4</v>
      </c>
      <c r="BG82" s="148" t="str">
        <f t="shared" si="26"/>
        <v>西方龙专属武器效果</v>
      </c>
      <c r="BH82" s="148">
        <f t="shared" si="27"/>
        <v>4</v>
      </c>
      <c r="BI82" s="148" t="str">
        <f t="shared" si="28"/>
        <v>金币</v>
      </c>
      <c r="BJ82" s="148">
        <f t="shared" si="29"/>
        <v>181500</v>
      </c>
      <c r="BK82" s="148" t="str">
        <f t="shared" si="30"/>
        <v>西方龙专属武器碎片</v>
      </c>
      <c r="BL82" s="148">
        <f t="shared" si="31"/>
        <v>120</v>
      </c>
    </row>
    <row r="83" spans="52:64" ht="16.5" x14ac:dyDescent="0.2">
      <c r="AZ83" s="148">
        <v>78</v>
      </c>
      <c r="BA83" s="148">
        <f t="shared" si="23"/>
        <v>13</v>
      </c>
      <c r="BB83" s="148">
        <f t="shared" si="24"/>
        <v>4</v>
      </c>
      <c r="BC83" s="148">
        <f t="shared" si="25"/>
        <v>1102016</v>
      </c>
      <c r="BD83" s="148" t="s">
        <v>1384</v>
      </c>
      <c r="BE83" s="148">
        <f t="shared" si="21"/>
        <v>5</v>
      </c>
      <c r="BF83" s="148" t="str">
        <f t="shared" si="22"/>
        <v>西方龙专属武器解封-5</v>
      </c>
      <c r="BG83" s="148" t="str">
        <f t="shared" si="26"/>
        <v>西方龙专属武器效果</v>
      </c>
      <c r="BH83" s="148">
        <f t="shared" si="27"/>
        <v>5</v>
      </c>
      <c r="BI83" s="148" t="str">
        <f t="shared" si="28"/>
        <v>金币</v>
      </c>
      <c r="BJ83" s="148">
        <f t="shared" si="29"/>
        <v>438500</v>
      </c>
      <c r="BK83" s="148" t="str">
        <f t="shared" si="30"/>
        <v>西方龙专属武器碎片</v>
      </c>
      <c r="BL83" s="148">
        <f t="shared" si="31"/>
        <v>160</v>
      </c>
    </row>
    <row r="84" spans="52:64" ht="16.5" x14ac:dyDescent="0.2">
      <c r="AZ84" s="148">
        <v>79</v>
      </c>
      <c r="BA84" s="148">
        <f t="shared" si="23"/>
        <v>14</v>
      </c>
      <c r="BB84" s="148">
        <f t="shared" si="24"/>
        <v>2</v>
      </c>
      <c r="BC84" s="148">
        <f t="shared" si="25"/>
        <v>1102017</v>
      </c>
      <c r="BD84" s="148" t="s">
        <v>1384</v>
      </c>
      <c r="BE84" s="148">
        <f t="shared" si="21"/>
        <v>0</v>
      </c>
      <c r="BF84" s="148" t="str">
        <f t="shared" si="22"/>
        <v>飞廉专属武器解封-0</v>
      </c>
      <c r="BG84" s="148" t="str">
        <f t="shared" si="26"/>
        <v/>
      </c>
      <c r="BH84" s="148" t="str">
        <f t="shared" si="27"/>
        <v/>
      </c>
      <c r="BI84" s="148" t="str">
        <f t="shared" si="28"/>
        <v/>
      </c>
      <c r="BJ84" s="148" t="str">
        <f t="shared" si="29"/>
        <v/>
      </c>
      <c r="BK84" s="148" t="str">
        <f t="shared" si="30"/>
        <v/>
      </c>
      <c r="BL84" s="148" t="str">
        <f t="shared" si="31"/>
        <v/>
      </c>
    </row>
    <row r="85" spans="52:64" ht="16.5" x14ac:dyDescent="0.2">
      <c r="AZ85" s="148">
        <v>80</v>
      </c>
      <c r="BA85" s="148">
        <f t="shared" si="23"/>
        <v>14</v>
      </c>
      <c r="BB85" s="148">
        <f t="shared" si="24"/>
        <v>2</v>
      </c>
      <c r="BC85" s="148">
        <f t="shared" si="25"/>
        <v>1102017</v>
      </c>
      <c r="BD85" s="148" t="s">
        <v>1384</v>
      </c>
      <c r="BE85" s="148">
        <f t="shared" si="21"/>
        <v>1</v>
      </c>
      <c r="BF85" s="148" t="str">
        <f t="shared" si="22"/>
        <v>飞廉专属武器解封-1</v>
      </c>
      <c r="BG85" s="148" t="str">
        <f t="shared" si="26"/>
        <v>飞廉专属武器效果</v>
      </c>
      <c r="BH85" s="148">
        <f t="shared" si="27"/>
        <v>1</v>
      </c>
      <c r="BI85" s="148" t="str">
        <f t="shared" si="28"/>
        <v>金币</v>
      </c>
      <c r="BJ85" s="148">
        <f t="shared" si="29"/>
        <v>15000</v>
      </c>
      <c r="BK85" s="148" t="str">
        <f t="shared" si="30"/>
        <v>飞廉专属武器碎片</v>
      </c>
      <c r="BL85" s="148">
        <f t="shared" si="31"/>
        <v>40</v>
      </c>
    </row>
    <row r="86" spans="52:64" ht="16.5" x14ac:dyDescent="0.2">
      <c r="AZ86" s="148">
        <v>81</v>
      </c>
      <c r="BA86" s="148">
        <f t="shared" si="23"/>
        <v>14</v>
      </c>
      <c r="BB86" s="148">
        <f t="shared" si="24"/>
        <v>2</v>
      </c>
      <c r="BC86" s="148">
        <f t="shared" si="25"/>
        <v>1102017</v>
      </c>
      <c r="BD86" s="148" t="s">
        <v>1384</v>
      </c>
      <c r="BE86" s="148">
        <f t="shared" si="21"/>
        <v>2</v>
      </c>
      <c r="BF86" s="148" t="str">
        <f t="shared" si="22"/>
        <v>飞廉专属武器解封-2</v>
      </c>
      <c r="BG86" s="148" t="str">
        <f t="shared" si="26"/>
        <v>飞廉专属武器效果</v>
      </c>
      <c r="BH86" s="148">
        <f t="shared" si="27"/>
        <v>2</v>
      </c>
      <c r="BI86" s="148" t="str">
        <f t="shared" si="28"/>
        <v>金币</v>
      </c>
      <c r="BJ86" s="148">
        <f t="shared" si="29"/>
        <v>32000</v>
      </c>
      <c r="BK86" s="148" t="str">
        <f t="shared" si="30"/>
        <v>飞廉专属武器碎片</v>
      </c>
      <c r="BL86" s="148">
        <f t="shared" si="31"/>
        <v>40</v>
      </c>
    </row>
    <row r="87" spans="52:64" ht="16.5" x14ac:dyDescent="0.2">
      <c r="AZ87" s="148">
        <v>82</v>
      </c>
      <c r="BA87" s="148">
        <f t="shared" si="23"/>
        <v>14</v>
      </c>
      <c r="BB87" s="148">
        <f t="shared" si="24"/>
        <v>2</v>
      </c>
      <c r="BC87" s="148">
        <f t="shared" si="25"/>
        <v>1102017</v>
      </c>
      <c r="BD87" s="148" t="s">
        <v>1384</v>
      </c>
      <c r="BE87" s="148">
        <f t="shared" si="21"/>
        <v>3</v>
      </c>
      <c r="BF87" s="148" t="str">
        <f t="shared" si="22"/>
        <v>飞廉专属武器解封-3</v>
      </c>
      <c r="BG87" s="148" t="str">
        <f t="shared" si="26"/>
        <v>飞廉专属武器效果</v>
      </c>
      <c r="BH87" s="148">
        <f t="shared" si="27"/>
        <v>3</v>
      </c>
      <c r="BI87" s="148" t="str">
        <f t="shared" si="28"/>
        <v>金币</v>
      </c>
      <c r="BJ87" s="148">
        <f t="shared" si="29"/>
        <v>73000</v>
      </c>
      <c r="BK87" s="148" t="str">
        <f t="shared" si="30"/>
        <v>飞廉专属武器碎片</v>
      </c>
      <c r="BL87" s="148">
        <f t="shared" si="31"/>
        <v>60</v>
      </c>
    </row>
    <row r="88" spans="52:64" ht="16.5" x14ac:dyDescent="0.2">
      <c r="AZ88" s="148">
        <v>83</v>
      </c>
      <c r="BA88" s="148">
        <f t="shared" si="23"/>
        <v>14</v>
      </c>
      <c r="BB88" s="148">
        <f t="shared" si="24"/>
        <v>2</v>
      </c>
      <c r="BC88" s="148">
        <f t="shared" si="25"/>
        <v>1102017</v>
      </c>
      <c r="BD88" s="148" t="s">
        <v>1384</v>
      </c>
      <c r="BE88" s="148">
        <f t="shared" si="21"/>
        <v>4</v>
      </c>
      <c r="BF88" s="148" t="str">
        <f t="shared" si="22"/>
        <v>飞廉专属武器解封-4</v>
      </c>
      <c r="BG88" s="148" t="str">
        <f t="shared" si="26"/>
        <v>飞廉专属武器效果</v>
      </c>
      <c r="BH88" s="148">
        <f t="shared" si="27"/>
        <v>4</v>
      </c>
      <c r="BI88" s="148" t="str">
        <f t="shared" si="28"/>
        <v>金币</v>
      </c>
      <c r="BJ88" s="148">
        <f t="shared" si="29"/>
        <v>129500</v>
      </c>
      <c r="BK88" s="148" t="str">
        <f t="shared" si="30"/>
        <v>飞廉专属武器碎片</v>
      </c>
      <c r="BL88" s="148">
        <f t="shared" si="31"/>
        <v>60</v>
      </c>
    </row>
    <row r="89" spans="52:64" ht="16.5" x14ac:dyDescent="0.2">
      <c r="AZ89" s="148">
        <v>84</v>
      </c>
      <c r="BA89" s="148">
        <f t="shared" si="23"/>
        <v>14</v>
      </c>
      <c r="BB89" s="148">
        <f t="shared" si="24"/>
        <v>2</v>
      </c>
      <c r="BC89" s="148">
        <f t="shared" si="25"/>
        <v>1102017</v>
      </c>
      <c r="BD89" s="148" t="s">
        <v>1384</v>
      </c>
      <c r="BE89" s="148">
        <f t="shared" si="21"/>
        <v>5</v>
      </c>
      <c r="BF89" s="148" t="str">
        <f t="shared" si="22"/>
        <v>飞廉专属武器解封-5</v>
      </c>
      <c r="BG89" s="148" t="str">
        <f t="shared" si="26"/>
        <v>飞廉专属武器效果</v>
      </c>
      <c r="BH89" s="148">
        <f t="shared" si="27"/>
        <v>5</v>
      </c>
      <c r="BI89" s="148" t="str">
        <f t="shared" si="28"/>
        <v>金币</v>
      </c>
      <c r="BJ89" s="148">
        <f t="shared" si="29"/>
        <v>313500</v>
      </c>
      <c r="BK89" s="148" t="str">
        <f t="shared" si="30"/>
        <v>飞廉专属武器碎片</v>
      </c>
      <c r="BL89" s="148">
        <f t="shared" si="31"/>
        <v>80</v>
      </c>
    </row>
    <row r="90" spans="52:64" ht="16.5" x14ac:dyDescent="0.2">
      <c r="AZ90" s="148">
        <v>85</v>
      </c>
      <c r="BA90" s="148">
        <f t="shared" si="23"/>
        <v>15</v>
      </c>
      <c r="BB90" s="148">
        <f t="shared" si="24"/>
        <v>3</v>
      </c>
      <c r="BC90" s="148">
        <f t="shared" si="25"/>
        <v>1102020</v>
      </c>
      <c r="BD90" s="148" t="s">
        <v>1384</v>
      </c>
      <c r="BE90" s="148">
        <f t="shared" si="21"/>
        <v>0</v>
      </c>
      <c r="BF90" s="148" t="str">
        <f t="shared" si="22"/>
        <v>高顺专属武器解封-0</v>
      </c>
      <c r="BG90" s="148" t="str">
        <f t="shared" si="26"/>
        <v/>
      </c>
      <c r="BH90" s="148" t="str">
        <f t="shared" si="27"/>
        <v/>
      </c>
      <c r="BI90" s="148" t="str">
        <f t="shared" si="28"/>
        <v/>
      </c>
      <c r="BJ90" s="148" t="str">
        <f t="shared" si="29"/>
        <v/>
      </c>
      <c r="BK90" s="148" t="str">
        <f t="shared" si="30"/>
        <v/>
      </c>
      <c r="BL90" s="148" t="str">
        <f t="shared" si="31"/>
        <v/>
      </c>
    </row>
    <row r="91" spans="52:64" ht="16.5" x14ac:dyDescent="0.2">
      <c r="AZ91" s="148">
        <v>86</v>
      </c>
      <c r="BA91" s="148">
        <f t="shared" si="23"/>
        <v>15</v>
      </c>
      <c r="BB91" s="148">
        <f t="shared" si="24"/>
        <v>3</v>
      </c>
      <c r="BC91" s="148">
        <f t="shared" si="25"/>
        <v>1102020</v>
      </c>
      <c r="BD91" s="148" t="s">
        <v>1384</v>
      </c>
      <c r="BE91" s="148">
        <f t="shared" si="21"/>
        <v>1</v>
      </c>
      <c r="BF91" s="148" t="str">
        <f t="shared" si="22"/>
        <v>高顺专属武器解封-1</v>
      </c>
      <c r="BG91" s="148" t="str">
        <f t="shared" si="26"/>
        <v>高顺专属武器效果</v>
      </c>
      <c r="BH91" s="148">
        <f t="shared" si="27"/>
        <v>1</v>
      </c>
      <c r="BI91" s="148" t="str">
        <f t="shared" si="28"/>
        <v>金币</v>
      </c>
      <c r="BJ91" s="148">
        <f t="shared" si="29"/>
        <v>18000</v>
      </c>
      <c r="BK91" s="148" t="str">
        <f t="shared" si="30"/>
        <v>高顺专属武器碎片</v>
      </c>
      <c r="BL91" s="148">
        <f t="shared" si="31"/>
        <v>40</v>
      </c>
    </row>
    <row r="92" spans="52:64" ht="16.5" x14ac:dyDescent="0.2">
      <c r="AZ92" s="148">
        <v>87</v>
      </c>
      <c r="BA92" s="148">
        <f t="shared" si="23"/>
        <v>15</v>
      </c>
      <c r="BB92" s="148">
        <f t="shared" si="24"/>
        <v>3</v>
      </c>
      <c r="BC92" s="148">
        <f t="shared" si="25"/>
        <v>1102020</v>
      </c>
      <c r="BD92" s="148" t="s">
        <v>1384</v>
      </c>
      <c r="BE92" s="148">
        <f t="shared" si="21"/>
        <v>2</v>
      </c>
      <c r="BF92" s="148" t="str">
        <f t="shared" si="22"/>
        <v>高顺专属武器解封-2</v>
      </c>
      <c r="BG92" s="148" t="str">
        <f t="shared" si="26"/>
        <v>高顺专属武器效果</v>
      </c>
      <c r="BH92" s="148">
        <f t="shared" si="27"/>
        <v>2</v>
      </c>
      <c r="BI92" s="148" t="str">
        <f t="shared" si="28"/>
        <v>金币</v>
      </c>
      <c r="BJ92" s="148">
        <f t="shared" si="29"/>
        <v>38000</v>
      </c>
      <c r="BK92" s="148" t="str">
        <f t="shared" si="30"/>
        <v>高顺专属武器碎片</v>
      </c>
      <c r="BL92" s="148">
        <f t="shared" si="31"/>
        <v>40</v>
      </c>
    </row>
    <row r="93" spans="52:64" ht="16.5" x14ac:dyDescent="0.2">
      <c r="AZ93" s="148">
        <v>88</v>
      </c>
      <c r="BA93" s="148">
        <f t="shared" si="23"/>
        <v>15</v>
      </c>
      <c r="BB93" s="148">
        <f t="shared" si="24"/>
        <v>3</v>
      </c>
      <c r="BC93" s="148">
        <f t="shared" si="25"/>
        <v>1102020</v>
      </c>
      <c r="BD93" s="148" t="s">
        <v>1384</v>
      </c>
      <c r="BE93" s="148">
        <f t="shared" si="21"/>
        <v>3</v>
      </c>
      <c r="BF93" s="148" t="str">
        <f t="shared" si="22"/>
        <v>高顺专属武器解封-3</v>
      </c>
      <c r="BG93" s="148" t="str">
        <f t="shared" si="26"/>
        <v>高顺专属武器效果</v>
      </c>
      <c r="BH93" s="148">
        <f t="shared" si="27"/>
        <v>3</v>
      </c>
      <c r="BI93" s="148" t="str">
        <f t="shared" si="28"/>
        <v>金币</v>
      </c>
      <c r="BJ93" s="148">
        <f t="shared" si="29"/>
        <v>88000</v>
      </c>
      <c r="BK93" s="148" t="str">
        <f t="shared" si="30"/>
        <v>高顺专属武器碎片</v>
      </c>
      <c r="BL93" s="148">
        <f t="shared" si="31"/>
        <v>60</v>
      </c>
    </row>
    <row r="94" spans="52:64" ht="16.5" x14ac:dyDescent="0.2">
      <c r="AZ94" s="148">
        <v>89</v>
      </c>
      <c r="BA94" s="148">
        <f t="shared" si="23"/>
        <v>15</v>
      </c>
      <c r="BB94" s="148">
        <f t="shared" si="24"/>
        <v>3</v>
      </c>
      <c r="BC94" s="148">
        <f t="shared" si="25"/>
        <v>1102020</v>
      </c>
      <c r="BD94" s="148" t="s">
        <v>1384</v>
      </c>
      <c r="BE94" s="148">
        <f t="shared" si="21"/>
        <v>4</v>
      </c>
      <c r="BF94" s="148" t="str">
        <f t="shared" si="22"/>
        <v>高顺专属武器解封-4</v>
      </c>
      <c r="BG94" s="148" t="str">
        <f t="shared" si="26"/>
        <v>高顺专属武器效果</v>
      </c>
      <c r="BH94" s="148">
        <f t="shared" si="27"/>
        <v>4</v>
      </c>
      <c r="BI94" s="148" t="str">
        <f t="shared" si="28"/>
        <v>金币</v>
      </c>
      <c r="BJ94" s="148">
        <f t="shared" si="29"/>
        <v>155500</v>
      </c>
      <c r="BK94" s="148" t="str">
        <f t="shared" si="30"/>
        <v>高顺专属武器碎片</v>
      </c>
      <c r="BL94" s="148">
        <f t="shared" si="31"/>
        <v>60</v>
      </c>
    </row>
    <row r="95" spans="52:64" ht="16.5" x14ac:dyDescent="0.2">
      <c r="AZ95" s="148">
        <v>90</v>
      </c>
      <c r="BA95" s="148">
        <f t="shared" si="23"/>
        <v>15</v>
      </c>
      <c r="BB95" s="148">
        <f t="shared" si="24"/>
        <v>3</v>
      </c>
      <c r="BC95" s="148">
        <f t="shared" si="25"/>
        <v>1102020</v>
      </c>
      <c r="BD95" s="148" t="s">
        <v>1384</v>
      </c>
      <c r="BE95" s="148">
        <f t="shared" si="21"/>
        <v>5</v>
      </c>
      <c r="BF95" s="148" t="str">
        <f t="shared" si="22"/>
        <v>高顺专属武器解封-5</v>
      </c>
      <c r="BG95" s="148" t="str">
        <f t="shared" si="26"/>
        <v>高顺专属武器效果</v>
      </c>
      <c r="BH95" s="148">
        <f t="shared" si="27"/>
        <v>5</v>
      </c>
      <c r="BI95" s="148" t="str">
        <f t="shared" si="28"/>
        <v>金币</v>
      </c>
      <c r="BJ95" s="148">
        <f t="shared" si="29"/>
        <v>376000</v>
      </c>
      <c r="BK95" s="148" t="str">
        <f t="shared" si="30"/>
        <v>高顺专属武器碎片</v>
      </c>
      <c r="BL95" s="148">
        <f t="shared" si="31"/>
        <v>80</v>
      </c>
    </row>
    <row r="96" spans="52:64" ht="16.5" x14ac:dyDescent="0.2">
      <c r="AZ96" s="148">
        <v>91</v>
      </c>
      <c r="BA96" s="148">
        <f t="shared" si="23"/>
        <v>16</v>
      </c>
      <c r="BB96" s="148">
        <f t="shared" si="24"/>
        <v>2</v>
      </c>
      <c r="BC96" s="148">
        <f t="shared" si="25"/>
        <v>1102021</v>
      </c>
      <c r="BD96" s="148" t="s">
        <v>1384</v>
      </c>
      <c r="BE96" s="148">
        <f t="shared" si="21"/>
        <v>0</v>
      </c>
      <c r="BF96" s="148" t="str">
        <f t="shared" si="22"/>
        <v>烈风螳螂专属武器解封-0</v>
      </c>
      <c r="BG96" s="148" t="str">
        <f t="shared" si="26"/>
        <v/>
      </c>
      <c r="BH96" s="148" t="str">
        <f t="shared" si="27"/>
        <v/>
      </c>
      <c r="BI96" s="148" t="str">
        <f t="shared" si="28"/>
        <v/>
      </c>
      <c r="BJ96" s="148" t="str">
        <f t="shared" si="29"/>
        <v/>
      </c>
      <c r="BK96" s="148" t="str">
        <f t="shared" si="30"/>
        <v/>
      </c>
      <c r="BL96" s="148" t="str">
        <f t="shared" si="31"/>
        <v/>
      </c>
    </row>
    <row r="97" spans="52:64" ht="16.5" x14ac:dyDescent="0.2">
      <c r="AZ97" s="148">
        <v>92</v>
      </c>
      <c r="BA97" s="148">
        <f t="shared" si="23"/>
        <v>16</v>
      </c>
      <c r="BB97" s="148">
        <f t="shared" si="24"/>
        <v>2</v>
      </c>
      <c r="BC97" s="148">
        <f t="shared" si="25"/>
        <v>1102021</v>
      </c>
      <c r="BD97" s="148" t="s">
        <v>1384</v>
      </c>
      <c r="BE97" s="148">
        <f t="shared" si="21"/>
        <v>1</v>
      </c>
      <c r="BF97" s="148" t="str">
        <f t="shared" si="22"/>
        <v>烈风螳螂专属武器解封-1</v>
      </c>
      <c r="BG97" s="148" t="str">
        <f t="shared" si="26"/>
        <v>烈风螳螂专属武器效果</v>
      </c>
      <c r="BH97" s="148">
        <f t="shared" si="27"/>
        <v>1</v>
      </c>
      <c r="BI97" s="148" t="str">
        <f t="shared" si="28"/>
        <v>金币</v>
      </c>
      <c r="BJ97" s="148">
        <f t="shared" si="29"/>
        <v>15000</v>
      </c>
      <c r="BK97" s="148" t="str">
        <f t="shared" si="30"/>
        <v>烈风螳螂专属武器碎片</v>
      </c>
      <c r="BL97" s="148">
        <f t="shared" si="31"/>
        <v>40</v>
      </c>
    </row>
    <row r="98" spans="52:64" ht="16.5" x14ac:dyDescent="0.2">
      <c r="AZ98" s="148">
        <v>93</v>
      </c>
      <c r="BA98" s="148">
        <f t="shared" si="23"/>
        <v>16</v>
      </c>
      <c r="BB98" s="148">
        <f t="shared" si="24"/>
        <v>2</v>
      </c>
      <c r="BC98" s="148">
        <f t="shared" si="25"/>
        <v>1102021</v>
      </c>
      <c r="BD98" s="148" t="s">
        <v>1384</v>
      </c>
      <c r="BE98" s="148">
        <f t="shared" ref="BE98:BE131" si="32">AZ98-(BA98-1)*6-1</f>
        <v>2</v>
      </c>
      <c r="BF98" s="148" t="str">
        <f t="shared" ref="BF98:BF131" si="33">INDEX($B$6:$B$26,BA98)&amp;"专属武器解封-"&amp;BE98</f>
        <v>烈风螳螂专属武器解封-2</v>
      </c>
      <c r="BG98" s="148" t="str">
        <f t="shared" si="26"/>
        <v>烈风螳螂专属武器效果</v>
      </c>
      <c r="BH98" s="148">
        <f t="shared" si="27"/>
        <v>2</v>
      </c>
      <c r="BI98" s="148" t="str">
        <f t="shared" si="28"/>
        <v>金币</v>
      </c>
      <c r="BJ98" s="148">
        <f t="shared" si="29"/>
        <v>32000</v>
      </c>
      <c r="BK98" s="148" t="str">
        <f t="shared" si="30"/>
        <v>烈风螳螂专属武器碎片</v>
      </c>
      <c r="BL98" s="148">
        <f t="shared" si="31"/>
        <v>40</v>
      </c>
    </row>
    <row r="99" spans="52:64" ht="16.5" x14ac:dyDescent="0.2">
      <c r="AZ99" s="148">
        <v>94</v>
      </c>
      <c r="BA99" s="148">
        <f t="shared" si="23"/>
        <v>16</v>
      </c>
      <c r="BB99" s="148">
        <f t="shared" si="24"/>
        <v>2</v>
      </c>
      <c r="BC99" s="148">
        <f t="shared" si="25"/>
        <v>1102021</v>
      </c>
      <c r="BD99" s="148" t="s">
        <v>1384</v>
      </c>
      <c r="BE99" s="148">
        <f t="shared" si="32"/>
        <v>3</v>
      </c>
      <c r="BF99" s="148" t="str">
        <f t="shared" si="33"/>
        <v>烈风螳螂专属武器解封-3</v>
      </c>
      <c r="BG99" s="148" t="str">
        <f t="shared" si="26"/>
        <v>烈风螳螂专属武器效果</v>
      </c>
      <c r="BH99" s="148">
        <f t="shared" si="27"/>
        <v>3</v>
      </c>
      <c r="BI99" s="148" t="str">
        <f t="shared" si="28"/>
        <v>金币</v>
      </c>
      <c r="BJ99" s="148">
        <f t="shared" si="29"/>
        <v>73000</v>
      </c>
      <c r="BK99" s="148" t="str">
        <f t="shared" si="30"/>
        <v>烈风螳螂专属武器碎片</v>
      </c>
      <c r="BL99" s="148">
        <f t="shared" si="31"/>
        <v>60</v>
      </c>
    </row>
    <row r="100" spans="52:64" ht="16.5" x14ac:dyDescent="0.2">
      <c r="AZ100" s="148">
        <v>95</v>
      </c>
      <c r="BA100" s="148">
        <f t="shared" si="23"/>
        <v>16</v>
      </c>
      <c r="BB100" s="148">
        <f t="shared" si="24"/>
        <v>2</v>
      </c>
      <c r="BC100" s="148">
        <f t="shared" si="25"/>
        <v>1102021</v>
      </c>
      <c r="BD100" s="148" t="s">
        <v>1384</v>
      </c>
      <c r="BE100" s="148">
        <f t="shared" si="32"/>
        <v>4</v>
      </c>
      <c r="BF100" s="148" t="str">
        <f t="shared" si="33"/>
        <v>烈风螳螂专属武器解封-4</v>
      </c>
      <c r="BG100" s="148" t="str">
        <f t="shared" si="26"/>
        <v>烈风螳螂专属武器效果</v>
      </c>
      <c r="BH100" s="148">
        <f t="shared" si="27"/>
        <v>4</v>
      </c>
      <c r="BI100" s="148" t="str">
        <f t="shared" si="28"/>
        <v>金币</v>
      </c>
      <c r="BJ100" s="148">
        <f t="shared" si="29"/>
        <v>129500</v>
      </c>
      <c r="BK100" s="148" t="str">
        <f t="shared" si="30"/>
        <v>烈风螳螂专属武器碎片</v>
      </c>
      <c r="BL100" s="148">
        <f t="shared" si="31"/>
        <v>60</v>
      </c>
    </row>
    <row r="101" spans="52:64" ht="16.5" x14ac:dyDescent="0.2">
      <c r="AZ101" s="148">
        <v>96</v>
      </c>
      <c r="BA101" s="148">
        <f t="shared" si="23"/>
        <v>16</v>
      </c>
      <c r="BB101" s="148">
        <f t="shared" si="24"/>
        <v>2</v>
      </c>
      <c r="BC101" s="148">
        <f t="shared" si="25"/>
        <v>1102021</v>
      </c>
      <c r="BD101" s="148" t="s">
        <v>1384</v>
      </c>
      <c r="BE101" s="148">
        <f t="shared" si="32"/>
        <v>5</v>
      </c>
      <c r="BF101" s="148" t="str">
        <f t="shared" si="33"/>
        <v>烈风螳螂专属武器解封-5</v>
      </c>
      <c r="BG101" s="148" t="str">
        <f t="shared" si="26"/>
        <v>烈风螳螂专属武器效果</v>
      </c>
      <c r="BH101" s="148">
        <f t="shared" si="27"/>
        <v>5</v>
      </c>
      <c r="BI101" s="148" t="str">
        <f t="shared" si="28"/>
        <v>金币</v>
      </c>
      <c r="BJ101" s="148">
        <f t="shared" si="29"/>
        <v>313500</v>
      </c>
      <c r="BK101" s="148" t="str">
        <f t="shared" si="30"/>
        <v>烈风螳螂专属武器碎片</v>
      </c>
      <c r="BL101" s="148">
        <f t="shared" si="31"/>
        <v>80</v>
      </c>
    </row>
    <row r="102" spans="52:64" ht="16.5" x14ac:dyDescent="0.2">
      <c r="AZ102" s="148">
        <v>97</v>
      </c>
      <c r="BA102" s="148">
        <f t="shared" si="23"/>
        <v>17</v>
      </c>
      <c r="BB102" s="148">
        <f t="shared" si="24"/>
        <v>2</v>
      </c>
      <c r="BC102" s="148">
        <f t="shared" si="25"/>
        <v>1102024</v>
      </c>
      <c r="BD102" s="148" t="s">
        <v>1384</v>
      </c>
      <c r="BE102" s="148">
        <f t="shared" si="32"/>
        <v>0</v>
      </c>
      <c r="BF102" s="148" t="str">
        <f t="shared" si="33"/>
        <v>朱仙专属武器解封-0</v>
      </c>
      <c r="BG102" s="148" t="str">
        <f t="shared" si="26"/>
        <v/>
      </c>
      <c r="BH102" s="148" t="str">
        <f t="shared" si="27"/>
        <v/>
      </c>
      <c r="BI102" s="148" t="str">
        <f t="shared" si="28"/>
        <v/>
      </c>
      <c r="BJ102" s="148" t="str">
        <f t="shared" si="29"/>
        <v/>
      </c>
      <c r="BK102" s="148" t="str">
        <f t="shared" si="30"/>
        <v/>
      </c>
      <c r="BL102" s="148" t="str">
        <f t="shared" si="31"/>
        <v/>
      </c>
    </row>
    <row r="103" spans="52:64" ht="16.5" x14ac:dyDescent="0.2">
      <c r="AZ103" s="148">
        <v>98</v>
      </c>
      <c r="BA103" s="148">
        <f t="shared" si="23"/>
        <v>17</v>
      </c>
      <c r="BB103" s="148">
        <f t="shared" si="24"/>
        <v>2</v>
      </c>
      <c r="BC103" s="148">
        <f t="shared" si="25"/>
        <v>1102024</v>
      </c>
      <c r="BD103" s="148" t="s">
        <v>1384</v>
      </c>
      <c r="BE103" s="148">
        <f t="shared" si="32"/>
        <v>1</v>
      </c>
      <c r="BF103" s="148" t="str">
        <f t="shared" si="33"/>
        <v>朱仙专属武器解封-1</v>
      </c>
      <c r="BG103" s="148" t="str">
        <f t="shared" si="26"/>
        <v>朱仙专属武器效果</v>
      </c>
      <c r="BH103" s="148">
        <f t="shared" si="27"/>
        <v>1</v>
      </c>
      <c r="BI103" s="148" t="str">
        <f t="shared" si="28"/>
        <v>金币</v>
      </c>
      <c r="BJ103" s="148">
        <f t="shared" si="29"/>
        <v>15000</v>
      </c>
      <c r="BK103" s="148" t="str">
        <f t="shared" si="30"/>
        <v>朱仙专属武器碎片</v>
      </c>
      <c r="BL103" s="148">
        <f t="shared" si="31"/>
        <v>40</v>
      </c>
    </row>
    <row r="104" spans="52:64" ht="16.5" x14ac:dyDescent="0.2">
      <c r="AZ104" s="148">
        <v>99</v>
      </c>
      <c r="BA104" s="148">
        <f t="shared" si="23"/>
        <v>17</v>
      </c>
      <c r="BB104" s="148">
        <f t="shared" si="24"/>
        <v>2</v>
      </c>
      <c r="BC104" s="148">
        <f t="shared" si="25"/>
        <v>1102024</v>
      </c>
      <c r="BD104" s="148" t="s">
        <v>1384</v>
      </c>
      <c r="BE104" s="148">
        <f t="shared" si="32"/>
        <v>2</v>
      </c>
      <c r="BF104" s="148" t="str">
        <f t="shared" si="33"/>
        <v>朱仙专属武器解封-2</v>
      </c>
      <c r="BG104" s="148" t="str">
        <f t="shared" si="26"/>
        <v>朱仙专属武器效果</v>
      </c>
      <c r="BH104" s="148">
        <f t="shared" si="27"/>
        <v>2</v>
      </c>
      <c r="BI104" s="148" t="str">
        <f t="shared" si="28"/>
        <v>金币</v>
      </c>
      <c r="BJ104" s="148">
        <f t="shared" si="29"/>
        <v>32000</v>
      </c>
      <c r="BK104" s="148" t="str">
        <f t="shared" si="30"/>
        <v>朱仙专属武器碎片</v>
      </c>
      <c r="BL104" s="148">
        <f t="shared" si="31"/>
        <v>40</v>
      </c>
    </row>
    <row r="105" spans="52:64" ht="16.5" x14ac:dyDescent="0.2">
      <c r="AZ105" s="148">
        <v>100</v>
      </c>
      <c r="BA105" s="148">
        <f t="shared" si="23"/>
        <v>17</v>
      </c>
      <c r="BB105" s="148">
        <f t="shared" si="24"/>
        <v>2</v>
      </c>
      <c r="BC105" s="148">
        <f t="shared" si="25"/>
        <v>1102024</v>
      </c>
      <c r="BD105" s="148" t="s">
        <v>1384</v>
      </c>
      <c r="BE105" s="148">
        <f t="shared" si="32"/>
        <v>3</v>
      </c>
      <c r="BF105" s="148" t="str">
        <f t="shared" si="33"/>
        <v>朱仙专属武器解封-3</v>
      </c>
      <c r="BG105" s="148" t="str">
        <f t="shared" si="26"/>
        <v>朱仙专属武器效果</v>
      </c>
      <c r="BH105" s="148">
        <f t="shared" si="27"/>
        <v>3</v>
      </c>
      <c r="BI105" s="148" t="str">
        <f t="shared" si="28"/>
        <v>金币</v>
      </c>
      <c r="BJ105" s="148">
        <f t="shared" si="29"/>
        <v>73000</v>
      </c>
      <c r="BK105" s="148" t="str">
        <f t="shared" si="30"/>
        <v>朱仙专属武器碎片</v>
      </c>
      <c r="BL105" s="148">
        <f t="shared" si="31"/>
        <v>60</v>
      </c>
    </row>
    <row r="106" spans="52:64" ht="16.5" x14ac:dyDescent="0.2">
      <c r="AZ106" s="148">
        <v>101</v>
      </c>
      <c r="BA106" s="148">
        <f t="shared" si="23"/>
        <v>17</v>
      </c>
      <c r="BB106" s="148">
        <f t="shared" si="24"/>
        <v>2</v>
      </c>
      <c r="BC106" s="148">
        <f t="shared" si="25"/>
        <v>1102024</v>
      </c>
      <c r="BD106" s="148" t="s">
        <v>1384</v>
      </c>
      <c r="BE106" s="148">
        <f t="shared" si="32"/>
        <v>4</v>
      </c>
      <c r="BF106" s="148" t="str">
        <f t="shared" si="33"/>
        <v>朱仙专属武器解封-4</v>
      </c>
      <c r="BG106" s="148" t="str">
        <f t="shared" si="26"/>
        <v>朱仙专属武器效果</v>
      </c>
      <c r="BH106" s="148">
        <f t="shared" si="27"/>
        <v>4</v>
      </c>
      <c r="BI106" s="148" t="str">
        <f t="shared" si="28"/>
        <v>金币</v>
      </c>
      <c r="BJ106" s="148">
        <f t="shared" si="29"/>
        <v>129500</v>
      </c>
      <c r="BK106" s="148" t="str">
        <f t="shared" si="30"/>
        <v>朱仙专属武器碎片</v>
      </c>
      <c r="BL106" s="148">
        <f t="shared" si="31"/>
        <v>60</v>
      </c>
    </row>
    <row r="107" spans="52:64" ht="16.5" x14ac:dyDescent="0.2">
      <c r="AZ107" s="148">
        <v>102</v>
      </c>
      <c r="BA107" s="148">
        <f t="shared" si="23"/>
        <v>17</v>
      </c>
      <c r="BB107" s="148">
        <f t="shared" si="24"/>
        <v>2</v>
      </c>
      <c r="BC107" s="148">
        <f t="shared" si="25"/>
        <v>1102024</v>
      </c>
      <c r="BD107" s="148" t="s">
        <v>1384</v>
      </c>
      <c r="BE107" s="148">
        <f t="shared" si="32"/>
        <v>5</v>
      </c>
      <c r="BF107" s="148" t="str">
        <f t="shared" si="33"/>
        <v>朱仙专属武器解封-5</v>
      </c>
      <c r="BG107" s="148" t="str">
        <f t="shared" si="26"/>
        <v>朱仙专属武器效果</v>
      </c>
      <c r="BH107" s="148">
        <f t="shared" si="27"/>
        <v>5</v>
      </c>
      <c r="BI107" s="148" t="str">
        <f t="shared" si="28"/>
        <v>金币</v>
      </c>
      <c r="BJ107" s="148">
        <f t="shared" si="29"/>
        <v>313500</v>
      </c>
      <c r="BK107" s="148" t="str">
        <f t="shared" si="30"/>
        <v>朱仙专属武器碎片</v>
      </c>
      <c r="BL107" s="148">
        <f t="shared" si="31"/>
        <v>80</v>
      </c>
    </row>
    <row r="108" spans="52:64" ht="16.5" x14ac:dyDescent="0.2">
      <c r="AZ108" s="148">
        <v>103</v>
      </c>
      <c r="BA108" s="148">
        <f t="shared" si="23"/>
        <v>18</v>
      </c>
      <c r="BB108" s="148">
        <f t="shared" si="24"/>
        <v>2</v>
      </c>
      <c r="BC108" s="148">
        <f t="shared" si="25"/>
        <v>1102026</v>
      </c>
      <c r="BD108" s="148" t="s">
        <v>1384</v>
      </c>
      <c r="BE108" s="148">
        <f t="shared" si="32"/>
        <v>0</v>
      </c>
      <c r="BF108" s="148" t="str">
        <f t="shared" si="33"/>
        <v>雷震子专属武器解封-0</v>
      </c>
      <c r="BG108" s="148" t="str">
        <f t="shared" si="26"/>
        <v/>
      </c>
      <c r="BH108" s="148" t="str">
        <f t="shared" si="27"/>
        <v/>
      </c>
      <c r="BI108" s="148" t="str">
        <f t="shared" si="28"/>
        <v/>
      </c>
      <c r="BJ108" s="148" t="str">
        <f t="shared" si="29"/>
        <v/>
      </c>
      <c r="BK108" s="148" t="str">
        <f t="shared" si="30"/>
        <v/>
      </c>
      <c r="BL108" s="148" t="str">
        <f t="shared" si="31"/>
        <v/>
      </c>
    </row>
    <row r="109" spans="52:64" ht="16.5" x14ac:dyDescent="0.2">
      <c r="AZ109" s="148">
        <v>104</v>
      </c>
      <c r="BA109" s="148">
        <f t="shared" si="23"/>
        <v>18</v>
      </c>
      <c r="BB109" s="148">
        <f t="shared" si="24"/>
        <v>2</v>
      </c>
      <c r="BC109" s="148">
        <f t="shared" si="25"/>
        <v>1102026</v>
      </c>
      <c r="BD109" s="148" t="s">
        <v>1384</v>
      </c>
      <c r="BE109" s="148">
        <f t="shared" si="32"/>
        <v>1</v>
      </c>
      <c r="BF109" s="148" t="str">
        <f t="shared" si="33"/>
        <v>雷震子专属武器解封-1</v>
      </c>
      <c r="BG109" s="148" t="str">
        <f t="shared" si="26"/>
        <v>雷震子专属武器效果</v>
      </c>
      <c r="BH109" s="148">
        <f t="shared" si="27"/>
        <v>1</v>
      </c>
      <c r="BI109" s="148" t="str">
        <f t="shared" si="28"/>
        <v>金币</v>
      </c>
      <c r="BJ109" s="148">
        <f t="shared" si="29"/>
        <v>15000</v>
      </c>
      <c r="BK109" s="148" t="str">
        <f t="shared" si="30"/>
        <v>雷震子专属武器碎片</v>
      </c>
      <c r="BL109" s="148">
        <f t="shared" si="31"/>
        <v>40</v>
      </c>
    </row>
    <row r="110" spans="52:64" ht="16.5" x14ac:dyDescent="0.2">
      <c r="AZ110" s="148">
        <v>105</v>
      </c>
      <c r="BA110" s="148">
        <f t="shared" si="23"/>
        <v>18</v>
      </c>
      <c r="BB110" s="148">
        <f t="shared" si="24"/>
        <v>2</v>
      </c>
      <c r="BC110" s="148">
        <f t="shared" si="25"/>
        <v>1102026</v>
      </c>
      <c r="BD110" s="148" t="s">
        <v>1384</v>
      </c>
      <c r="BE110" s="148">
        <f t="shared" si="32"/>
        <v>2</v>
      </c>
      <c r="BF110" s="148" t="str">
        <f t="shared" si="33"/>
        <v>雷震子专属武器解封-2</v>
      </c>
      <c r="BG110" s="148" t="str">
        <f t="shared" si="26"/>
        <v>雷震子专属武器效果</v>
      </c>
      <c r="BH110" s="148">
        <f t="shared" si="27"/>
        <v>2</v>
      </c>
      <c r="BI110" s="148" t="str">
        <f t="shared" si="28"/>
        <v>金币</v>
      </c>
      <c r="BJ110" s="148">
        <f t="shared" si="29"/>
        <v>32000</v>
      </c>
      <c r="BK110" s="148" t="str">
        <f t="shared" si="30"/>
        <v>雷震子专属武器碎片</v>
      </c>
      <c r="BL110" s="148">
        <f t="shared" si="31"/>
        <v>40</v>
      </c>
    </row>
    <row r="111" spans="52:64" ht="16.5" x14ac:dyDescent="0.2">
      <c r="AZ111" s="148">
        <v>106</v>
      </c>
      <c r="BA111" s="148">
        <f t="shared" si="23"/>
        <v>18</v>
      </c>
      <c r="BB111" s="148">
        <f t="shared" si="24"/>
        <v>2</v>
      </c>
      <c r="BC111" s="148">
        <f t="shared" si="25"/>
        <v>1102026</v>
      </c>
      <c r="BD111" s="148" t="s">
        <v>1384</v>
      </c>
      <c r="BE111" s="148">
        <f t="shared" si="32"/>
        <v>3</v>
      </c>
      <c r="BF111" s="148" t="str">
        <f t="shared" si="33"/>
        <v>雷震子专属武器解封-3</v>
      </c>
      <c r="BG111" s="148" t="str">
        <f t="shared" si="26"/>
        <v>雷震子专属武器效果</v>
      </c>
      <c r="BH111" s="148">
        <f t="shared" si="27"/>
        <v>3</v>
      </c>
      <c r="BI111" s="148" t="str">
        <f t="shared" si="28"/>
        <v>金币</v>
      </c>
      <c r="BJ111" s="148">
        <f t="shared" si="29"/>
        <v>73000</v>
      </c>
      <c r="BK111" s="148" t="str">
        <f t="shared" si="30"/>
        <v>雷震子专属武器碎片</v>
      </c>
      <c r="BL111" s="148">
        <f t="shared" si="31"/>
        <v>60</v>
      </c>
    </row>
    <row r="112" spans="52:64" ht="16.5" x14ac:dyDescent="0.2">
      <c r="AZ112" s="148">
        <v>107</v>
      </c>
      <c r="BA112" s="148">
        <f t="shared" si="23"/>
        <v>18</v>
      </c>
      <c r="BB112" s="148">
        <f t="shared" si="24"/>
        <v>2</v>
      </c>
      <c r="BC112" s="148">
        <f t="shared" si="25"/>
        <v>1102026</v>
      </c>
      <c r="BD112" s="148" t="s">
        <v>1384</v>
      </c>
      <c r="BE112" s="148">
        <f t="shared" si="32"/>
        <v>4</v>
      </c>
      <c r="BF112" s="148" t="str">
        <f t="shared" si="33"/>
        <v>雷震子专属武器解封-4</v>
      </c>
      <c r="BG112" s="148" t="str">
        <f t="shared" si="26"/>
        <v>雷震子专属武器效果</v>
      </c>
      <c r="BH112" s="148">
        <f t="shared" si="27"/>
        <v>4</v>
      </c>
      <c r="BI112" s="148" t="str">
        <f t="shared" si="28"/>
        <v>金币</v>
      </c>
      <c r="BJ112" s="148">
        <f t="shared" si="29"/>
        <v>129500</v>
      </c>
      <c r="BK112" s="148" t="str">
        <f t="shared" si="30"/>
        <v>雷震子专属武器碎片</v>
      </c>
      <c r="BL112" s="148">
        <f t="shared" si="31"/>
        <v>60</v>
      </c>
    </row>
    <row r="113" spans="52:64" ht="16.5" x14ac:dyDescent="0.2">
      <c r="AZ113" s="148">
        <v>108</v>
      </c>
      <c r="BA113" s="148">
        <f t="shared" si="23"/>
        <v>18</v>
      </c>
      <c r="BB113" s="148">
        <f t="shared" si="24"/>
        <v>2</v>
      </c>
      <c r="BC113" s="148">
        <f t="shared" si="25"/>
        <v>1102026</v>
      </c>
      <c r="BD113" s="148" t="s">
        <v>1384</v>
      </c>
      <c r="BE113" s="148">
        <f t="shared" si="32"/>
        <v>5</v>
      </c>
      <c r="BF113" s="148" t="str">
        <f t="shared" si="33"/>
        <v>雷震子专属武器解封-5</v>
      </c>
      <c r="BG113" s="148" t="str">
        <f t="shared" si="26"/>
        <v>雷震子专属武器效果</v>
      </c>
      <c r="BH113" s="148">
        <f t="shared" si="27"/>
        <v>5</v>
      </c>
      <c r="BI113" s="148" t="str">
        <f t="shared" si="28"/>
        <v>金币</v>
      </c>
      <c r="BJ113" s="148">
        <f t="shared" si="29"/>
        <v>313500</v>
      </c>
      <c r="BK113" s="148" t="str">
        <f t="shared" si="30"/>
        <v>雷震子专属武器碎片</v>
      </c>
      <c r="BL113" s="148">
        <f t="shared" si="31"/>
        <v>80</v>
      </c>
    </row>
    <row r="114" spans="52:64" ht="16.5" x14ac:dyDescent="0.2">
      <c r="AZ114" s="148">
        <v>109</v>
      </c>
      <c r="BA114" s="148">
        <f t="shared" si="23"/>
        <v>19</v>
      </c>
      <c r="BB114" s="148">
        <f t="shared" si="24"/>
        <v>6</v>
      </c>
      <c r="BC114" s="148">
        <f t="shared" si="25"/>
        <v>1102028</v>
      </c>
      <c r="BD114" s="148" t="s">
        <v>1384</v>
      </c>
      <c r="BE114" s="148">
        <f t="shared" si="32"/>
        <v>0</v>
      </c>
      <c r="BF114" s="148" t="str">
        <f t="shared" si="33"/>
        <v>吕布专属武器解封-0</v>
      </c>
      <c r="BG114" s="148" t="str">
        <f t="shared" si="26"/>
        <v/>
      </c>
      <c r="BH114" s="148" t="str">
        <f t="shared" si="27"/>
        <v/>
      </c>
      <c r="BI114" s="148" t="str">
        <f t="shared" si="28"/>
        <v/>
      </c>
      <c r="BJ114" s="148" t="str">
        <f t="shared" si="29"/>
        <v/>
      </c>
      <c r="BK114" s="148" t="str">
        <f t="shared" si="30"/>
        <v/>
      </c>
      <c r="BL114" s="148" t="str">
        <f t="shared" si="31"/>
        <v/>
      </c>
    </row>
    <row r="115" spans="52:64" ht="16.5" x14ac:dyDescent="0.2">
      <c r="AZ115" s="148">
        <v>110</v>
      </c>
      <c r="BA115" s="148">
        <f t="shared" si="23"/>
        <v>19</v>
      </c>
      <c r="BB115" s="148">
        <f t="shared" si="24"/>
        <v>6</v>
      </c>
      <c r="BC115" s="148">
        <f t="shared" si="25"/>
        <v>1102028</v>
      </c>
      <c r="BD115" s="148" t="s">
        <v>1384</v>
      </c>
      <c r="BE115" s="148">
        <f t="shared" si="32"/>
        <v>1</v>
      </c>
      <c r="BF115" s="148" t="str">
        <f t="shared" si="33"/>
        <v>吕布专属武器解封-1</v>
      </c>
      <c r="BG115" s="148" t="str">
        <f t="shared" si="26"/>
        <v>吕布专属武器效果</v>
      </c>
      <c r="BH115" s="148">
        <f t="shared" si="27"/>
        <v>1</v>
      </c>
      <c r="BI115" s="148" t="str">
        <f t="shared" si="28"/>
        <v>金币</v>
      </c>
      <c r="BJ115" s="148">
        <f t="shared" si="29"/>
        <v>29500</v>
      </c>
      <c r="BK115" s="148" t="str">
        <f t="shared" si="30"/>
        <v>吕布专属武器碎片</v>
      </c>
      <c r="BL115" s="148">
        <f t="shared" si="31"/>
        <v>80</v>
      </c>
    </row>
    <row r="116" spans="52:64" ht="16.5" x14ac:dyDescent="0.2">
      <c r="AZ116" s="148">
        <v>111</v>
      </c>
      <c r="BA116" s="148">
        <f t="shared" si="23"/>
        <v>19</v>
      </c>
      <c r="BB116" s="148">
        <f t="shared" si="24"/>
        <v>6</v>
      </c>
      <c r="BC116" s="148">
        <f t="shared" si="25"/>
        <v>1102028</v>
      </c>
      <c r="BD116" s="148" t="s">
        <v>1384</v>
      </c>
      <c r="BE116" s="148">
        <f t="shared" si="32"/>
        <v>2</v>
      </c>
      <c r="BF116" s="148" t="str">
        <f t="shared" si="33"/>
        <v>吕布专属武器解封-2</v>
      </c>
      <c r="BG116" s="148" t="str">
        <f t="shared" si="26"/>
        <v>吕布专属武器效果</v>
      </c>
      <c r="BH116" s="148">
        <f t="shared" si="27"/>
        <v>2</v>
      </c>
      <c r="BI116" s="148" t="str">
        <f t="shared" si="28"/>
        <v>金币</v>
      </c>
      <c r="BJ116" s="148">
        <f t="shared" si="29"/>
        <v>63500</v>
      </c>
      <c r="BK116" s="148" t="str">
        <f t="shared" si="30"/>
        <v>吕布专属武器碎片</v>
      </c>
      <c r="BL116" s="148">
        <f t="shared" si="31"/>
        <v>80</v>
      </c>
    </row>
    <row r="117" spans="52:64" ht="16.5" x14ac:dyDescent="0.2">
      <c r="AZ117" s="148">
        <v>112</v>
      </c>
      <c r="BA117" s="148">
        <f t="shared" si="23"/>
        <v>19</v>
      </c>
      <c r="BB117" s="148">
        <f t="shared" si="24"/>
        <v>6</v>
      </c>
      <c r="BC117" s="148">
        <f t="shared" si="25"/>
        <v>1102028</v>
      </c>
      <c r="BD117" s="148" t="s">
        <v>1384</v>
      </c>
      <c r="BE117" s="148">
        <f t="shared" si="32"/>
        <v>3</v>
      </c>
      <c r="BF117" s="148" t="str">
        <f t="shared" si="33"/>
        <v>吕布专属武器解封-3</v>
      </c>
      <c r="BG117" s="148" t="str">
        <f t="shared" si="26"/>
        <v>吕布专属武器效果</v>
      </c>
      <c r="BH117" s="148">
        <f t="shared" si="27"/>
        <v>3</v>
      </c>
      <c r="BI117" s="148" t="str">
        <f t="shared" si="28"/>
        <v>金币</v>
      </c>
      <c r="BJ117" s="148">
        <f t="shared" si="29"/>
        <v>146500</v>
      </c>
      <c r="BK117" s="148" t="str">
        <f t="shared" si="30"/>
        <v>吕布专属武器碎片</v>
      </c>
      <c r="BL117" s="148">
        <f t="shared" si="31"/>
        <v>120</v>
      </c>
    </row>
    <row r="118" spans="52:64" ht="16.5" x14ac:dyDescent="0.2">
      <c r="AZ118" s="148">
        <v>113</v>
      </c>
      <c r="BA118" s="148">
        <f t="shared" si="23"/>
        <v>19</v>
      </c>
      <c r="BB118" s="148">
        <f t="shared" si="24"/>
        <v>6</v>
      </c>
      <c r="BC118" s="148">
        <f t="shared" si="25"/>
        <v>1102028</v>
      </c>
      <c r="BD118" s="148" t="s">
        <v>1384</v>
      </c>
      <c r="BE118" s="148">
        <f t="shared" si="32"/>
        <v>4</v>
      </c>
      <c r="BF118" s="148" t="str">
        <f t="shared" si="33"/>
        <v>吕布专属武器解封-4</v>
      </c>
      <c r="BG118" s="148" t="str">
        <f t="shared" si="26"/>
        <v>吕布专属武器效果</v>
      </c>
      <c r="BH118" s="148">
        <f t="shared" si="27"/>
        <v>4</v>
      </c>
      <c r="BI118" s="148" t="str">
        <f t="shared" si="28"/>
        <v>金币</v>
      </c>
      <c r="BJ118" s="148">
        <f t="shared" si="29"/>
        <v>259000</v>
      </c>
      <c r="BK118" s="148" t="str">
        <f t="shared" si="30"/>
        <v>吕布专属武器碎片</v>
      </c>
      <c r="BL118" s="148">
        <f t="shared" si="31"/>
        <v>120</v>
      </c>
    </row>
    <row r="119" spans="52:64" ht="16.5" x14ac:dyDescent="0.2">
      <c r="AZ119" s="148">
        <v>114</v>
      </c>
      <c r="BA119" s="148">
        <f t="shared" si="23"/>
        <v>19</v>
      </c>
      <c r="BB119" s="148">
        <f t="shared" si="24"/>
        <v>6</v>
      </c>
      <c r="BC119" s="148">
        <f t="shared" si="25"/>
        <v>1102028</v>
      </c>
      <c r="BD119" s="148" t="s">
        <v>1384</v>
      </c>
      <c r="BE119" s="148">
        <f t="shared" si="32"/>
        <v>5</v>
      </c>
      <c r="BF119" s="148" t="str">
        <f t="shared" si="33"/>
        <v>吕布专属武器解封-5</v>
      </c>
      <c r="BG119" s="148" t="str">
        <f t="shared" si="26"/>
        <v>吕布专属武器效果</v>
      </c>
      <c r="BH119" s="148">
        <f t="shared" si="27"/>
        <v>5</v>
      </c>
      <c r="BI119" s="148" t="str">
        <f t="shared" si="28"/>
        <v>金币</v>
      </c>
      <c r="BJ119" s="148">
        <f t="shared" si="29"/>
        <v>626500</v>
      </c>
      <c r="BK119" s="148" t="str">
        <f t="shared" si="30"/>
        <v>吕布专属武器碎片</v>
      </c>
      <c r="BL119" s="148">
        <f t="shared" si="31"/>
        <v>160</v>
      </c>
    </row>
    <row r="120" spans="52:64" ht="16.5" x14ac:dyDescent="0.2">
      <c r="AZ120" s="148">
        <v>115</v>
      </c>
      <c r="BA120" s="148">
        <f t="shared" si="23"/>
        <v>20</v>
      </c>
      <c r="BB120" s="148">
        <f t="shared" si="24"/>
        <v>3</v>
      </c>
      <c r="BC120" s="148">
        <f t="shared" si="25"/>
        <v>1102030</v>
      </c>
      <c r="BD120" s="148" t="s">
        <v>1384</v>
      </c>
      <c r="BE120" s="148">
        <f t="shared" si="32"/>
        <v>0</v>
      </c>
      <c r="BF120" s="148" t="str">
        <f t="shared" si="33"/>
        <v>燕青专属武器解封-0</v>
      </c>
      <c r="BG120" s="148" t="str">
        <f t="shared" si="26"/>
        <v/>
      </c>
      <c r="BH120" s="148" t="str">
        <f t="shared" si="27"/>
        <v/>
      </c>
      <c r="BI120" s="148" t="str">
        <f t="shared" si="28"/>
        <v/>
      </c>
      <c r="BJ120" s="148" t="str">
        <f t="shared" si="29"/>
        <v/>
      </c>
      <c r="BK120" s="148" t="str">
        <f t="shared" si="30"/>
        <v/>
      </c>
      <c r="BL120" s="148" t="str">
        <f t="shared" si="31"/>
        <v/>
      </c>
    </row>
    <row r="121" spans="52:64" ht="16.5" x14ac:dyDescent="0.2">
      <c r="AZ121" s="148">
        <v>116</v>
      </c>
      <c r="BA121" s="148">
        <f t="shared" si="23"/>
        <v>20</v>
      </c>
      <c r="BB121" s="148">
        <f t="shared" si="24"/>
        <v>3</v>
      </c>
      <c r="BC121" s="148">
        <f t="shared" si="25"/>
        <v>1102030</v>
      </c>
      <c r="BD121" s="148" t="s">
        <v>1384</v>
      </c>
      <c r="BE121" s="148">
        <f t="shared" si="32"/>
        <v>1</v>
      </c>
      <c r="BF121" s="148" t="str">
        <f t="shared" si="33"/>
        <v>燕青专属武器解封-1</v>
      </c>
      <c r="BG121" s="148" t="str">
        <f t="shared" si="26"/>
        <v>燕青专属武器效果</v>
      </c>
      <c r="BH121" s="148">
        <f t="shared" si="27"/>
        <v>1</v>
      </c>
      <c r="BI121" s="148" t="str">
        <f t="shared" si="28"/>
        <v>金币</v>
      </c>
      <c r="BJ121" s="148">
        <f t="shared" si="29"/>
        <v>18000</v>
      </c>
      <c r="BK121" s="148" t="str">
        <f t="shared" si="30"/>
        <v>燕青专属武器碎片</v>
      </c>
      <c r="BL121" s="148">
        <f t="shared" si="31"/>
        <v>40</v>
      </c>
    </row>
    <row r="122" spans="52:64" ht="16.5" x14ac:dyDescent="0.2">
      <c r="AZ122" s="148">
        <v>117</v>
      </c>
      <c r="BA122" s="148">
        <f t="shared" si="23"/>
        <v>20</v>
      </c>
      <c r="BB122" s="148">
        <f t="shared" si="24"/>
        <v>3</v>
      </c>
      <c r="BC122" s="148">
        <f t="shared" si="25"/>
        <v>1102030</v>
      </c>
      <c r="BD122" s="148" t="s">
        <v>1384</v>
      </c>
      <c r="BE122" s="148">
        <f t="shared" si="32"/>
        <v>2</v>
      </c>
      <c r="BF122" s="148" t="str">
        <f t="shared" si="33"/>
        <v>燕青专属武器解封-2</v>
      </c>
      <c r="BG122" s="148" t="str">
        <f t="shared" si="26"/>
        <v>燕青专属武器效果</v>
      </c>
      <c r="BH122" s="148">
        <f t="shared" si="27"/>
        <v>2</v>
      </c>
      <c r="BI122" s="148" t="str">
        <f t="shared" si="28"/>
        <v>金币</v>
      </c>
      <c r="BJ122" s="148">
        <f t="shared" si="29"/>
        <v>38000</v>
      </c>
      <c r="BK122" s="148" t="str">
        <f t="shared" si="30"/>
        <v>燕青专属武器碎片</v>
      </c>
      <c r="BL122" s="148">
        <f t="shared" si="31"/>
        <v>40</v>
      </c>
    </row>
    <row r="123" spans="52:64" ht="16.5" x14ac:dyDescent="0.2">
      <c r="AZ123" s="148">
        <v>118</v>
      </c>
      <c r="BA123" s="148">
        <f t="shared" si="23"/>
        <v>20</v>
      </c>
      <c r="BB123" s="148">
        <f t="shared" si="24"/>
        <v>3</v>
      </c>
      <c r="BC123" s="148">
        <f t="shared" si="25"/>
        <v>1102030</v>
      </c>
      <c r="BD123" s="148" t="s">
        <v>1384</v>
      </c>
      <c r="BE123" s="148">
        <f t="shared" si="32"/>
        <v>3</v>
      </c>
      <c r="BF123" s="148" t="str">
        <f t="shared" si="33"/>
        <v>燕青专属武器解封-3</v>
      </c>
      <c r="BG123" s="148" t="str">
        <f t="shared" si="26"/>
        <v>燕青专属武器效果</v>
      </c>
      <c r="BH123" s="148">
        <f t="shared" si="27"/>
        <v>3</v>
      </c>
      <c r="BI123" s="148" t="str">
        <f t="shared" si="28"/>
        <v>金币</v>
      </c>
      <c r="BJ123" s="148">
        <f t="shared" si="29"/>
        <v>88000</v>
      </c>
      <c r="BK123" s="148" t="str">
        <f t="shared" si="30"/>
        <v>燕青专属武器碎片</v>
      </c>
      <c r="BL123" s="148">
        <f t="shared" si="31"/>
        <v>60</v>
      </c>
    </row>
    <row r="124" spans="52:64" ht="16.5" x14ac:dyDescent="0.2">
      <c r="AZ124" s="148">
        <v>119</v>
      </c>
      <c r="BA124" s="148">
        <f t="shared" si="23"/>
        <v>20</v>
      </c>
      <c r="BB124" s="148">
        <f t="shared" si="24"/>
        <v>3</v>
      </c>
      <c r="BC124" s="148">
        <f t="shared" si="25"/>
        <v>1102030</v>
      </c>
      <c r="BD124" s="148" t="s">
        <v>1384</v>
      </c>
      <c r="BE124" s="148">
        <f t="shared" si="32"/>
        <v>4</v>
      </c>
      <c r="BF124" s="148" t="str">
        <f t="shared" si="33"/>
        <v>燕青专属武器解封-4</v>
      </c>
      <c r="BG124" s="148" t="str">
        <f t="shared" si="26"/>
        <v>燕青专属武器效果</v>
      </c>
      <c r="BH124" s="148">
        <f t="shared" si="27"/>
        <v>4</v>
      </c>
      <c r="BI124" s="148" t="str">
        <f t="shared" si="28"/>
        <v>金币</v>
      </c>
      <c r="BJ124" s="148">
        <f t="shared" si="29"/>
        <v>155500</v>
      </c>
      <c r="BK124" s="148" t="str">
        <f t="shared" si="30"/>
        <v>燕青专属武器碎片</v>
      </c>
      <c r="BL124" s="148">
        <f t="shared" si="31"/>
        <v>60</v>
      </c>
    </row>
    <row r="125" spans="52:64" ht="16.5" x14ac:dyDescent="0.2">
      <c r="AZ125" s="148">
        <v>120</v>
      </c>
      <c r="BA125" s="148">
        <f t="shared" si="23"/>
        <v>20</v>
      </c>
      <c r="BB125" s="148">
        <f t="shared" si="24"/>
        <v>3</v>
      </c>
      <c r="BC125" s="148">
        <f t="shared" si="25"/>
        <v>1102030</v>
      </c>
      <c r="BD125" s="148" t="s">
        <v>1384</v>
      </c>
      <c r="BE125" s="148">
        <f t="shared" si="32"/>
        <v>5</v>
      </c>
      <c r="BF125" s="148" t="str">
        <f t="shared" si="33"/>
        <v>燕青专属武器解封-5</v>
      </c>
      <c r="BG125" s="148" t="str">
        <f t="shared" si="26"/>
        <v>燕青专属武器效果</v>
      </c>
      <c r="BH125" s="148">
        <f t="shared" si="27"/>
        <v>5</v>
      </c>
      <c r="BI125" s="148" t="str">
        <f t="shared" si="28"/>
        <v>金币</v>
      </c>
      <c r="BJ125" s="148">
        <f t="shared" si="29"/>
        <v>376000</v>
      </c>
      <c r="BK125" s="148" t="str">
        <f t="shared" si="30"/>
        <v>燕青专属武器碎片</v>
      </c>
      <c r="BL125" s="148">
        <f t="shared" si="31"/>
        <v>80</v>
      </c>
    </row>
    <row r="126" spans="52:64" ht="16.5" x14ac:dyDescent="0.2">
      <c r="AZ126" s="148">
        <v>121</v>
      </c>
      <c r="BA126" s="148">
        <f t="shared" si="23"/>
        <v>21</v>
      </c>
      <c r="BB126" s="148">
        <f t="shared" si="24"/>
        <v>5</v>
      </c>
      <c r="BC126" s="148">
        <f t="shared" si="25"/>
        <v>1102031</v>
      </c>
      <c r="BD126" s="148" t="s">
        <v>1384</v>
      </c>
      <c r="BE126" s="148">
        <f t="shared" si="32"/>
        <v>0</v>
      </c>
      <c r="BF126" s="148" t="str">
        <f t="shared" si="33"/>
        <v>秦琼专属武器解封-0</v>
      </c>
      <c r="BG126" s="148" t="str">
        <f t="shared" si="26"/>
        <v/>
      </c>
      <c r="BH126" s="148" t="str">
        <f t="shared" si="27"/>
        <v/>
      </c>
      <c r="BI126" s="148" t="str">
        <f t="shared" si="28"/>
        <v/>
      </c>
      <c r="BJ126" s="148" t="str">
        <f t="shared" si="29"/>
        <v/>
      </c>
      <c r="BK126" s="148" t="str">
        <f t="shared" si="30"/>
        <v/>
      </c>
      <c r="BL126" s="148" t="str">
        <f t="shared" si="31"/>
        <v/>
      </c>
    </row>
    <row r="127" spans="52:64" ht="16.5" x14ac:dyDescent="0.2">
      <c r="AZ127" s="148">
        <v>122</v>
      </c>
      <c r="BA127" s="148">
        <f t="shared" si="23"/>
        <v>21</v>
      </c>
      <c r="BB127" s="148">
        <f t="shared" si="24"/>
        <v>5</v>
      </c>
      <c r="BC127" s="148">
        <f t="shared" si="25"/>
        <v>1102031</v>
      </c>
      <c r="BD127" s="148" t="s">
        <v>1384</v>
      </c>
      <c r="BE127" s="148">
        <f t="shared" si="32"/>
        <v>1</v>
      </c>
      <c r="BF127" s="148" t="str">
        <f t="shared" si="33"/>
        <v>秦琼专属武器解封-1</v>
      </c>
      <c r="BG127" s="148" t="str">
        <f t="shared" si="26"/>
        <v>秦琼专属武器效果</v>
      </c>
      <c r="BH127" s="148">
        <f t="shared" si="27"/>
        <v>1</v>
      </c>
      <c r="BI127" s="148" t="str">
        <f t="shared" si="28"/>
        <v>金币</v>
      </c>
      <c r="BJ127" s="148">
        <f t="shared" si="29"/>
        <v>23500</v>
      </c>
      <c r="BK127" s="148" t="str">
        <f t="shared" si="30"/>
        <v>秦琼专属武器碎片</v>
      </c>
      <c r="BL127" s="148">
        <f t="shared" si="31"/>
        <v>80</v>
      </c>
    </row>
    <row r="128" spans="52:64" ht="16.5" x14ac:dyDescent="0.2">
      <c r="AZ128" s="148">
        <v>123</v>
      </c>
      <c r="BA128" s="148">
        <f t="shared" si="23"/>
        <v>21</v>
      </c>
      <c r="BB128" s="148">
        <f t="shared" si="24"/>
        <v>5</v>
      </c>
      <c r="BC128" s="148">
        <f t="shared" si="25"/>
        <v>1102031</v>
      </c>
      <c r="BD128" s="148" t="s">
        <v>1384</v>
      </c>
      <c r="BE128" s="148">
        <f t="shared" si="32"/>
        <v>2</v>
      </c>
      <c r="BF128" s="148" t="str">
        <f t="shared" si="33"/>
        <v>秦琼专属武器解封-2</v>
      </c>
      <c r="BG128" s="148" t="str">
        <f t="shared" si="26"/>
        <v>秦琼专属武器效果</v>
      </c>
      <c r="BH128" s="148">
        <f t="shared" si="27"/>
        <v>2</v>
      </c>
      <c r="BI128" s="148" t="str">
        <f t="shared" si="28"/>
        <v>金币</v>
      </c>
      <c r="BJ128" s="148">
        <f t="shared" si="29"/>
        <v>51000</v>
      </c>
      <c r="BK128" s="148" t="str">
        <f t="shared" si="30"/>
        <v>秦琼专属武器碎片</v>
      </c>
      <c r="BL128" s="148">
        <f t="shared" si="31"/>
        <v>80</v>
      </c>
    </row>
    <row r="129" spans="52:64" ht="16.5" x14ac:dyDescent="0.2">
      <c r="AZ129" s="148">
        <v>124</v>
      </c>
      <c r="BA129" s="148">
        <f t="shared" si="23"/>
        <v>21</v>
      </c>
      <c r="BB129" s="148">
        <f t="shared" si="24"/>
        <v>5</v>
      </c>
      <c r="BC129" s="148">
        <f t="shared" si="25"/>
        <v>1102031</v>
      </c>
      <c r="BD129" s="148" t="s">
        <v>1384</v>
      </c>
      <c r="BE129" s="148">
        <f t="shared" si="32"/>
        <v>3</v>
      </c>
      <c r="BF129" s="148" t="str">
        <f t="shared" si="33"/>
        <v>秦琼专属武器解封-3</v>
      </c>
      <c r="BG129" s="148" t="str">
        <f t="shared" si="26"/>
        <v>秦琼专属武器效果</v>
      </c>
      <c r="BH129" s="148">
        <f t="shared" si="27"/>
        <v>3</v>
      </c>
      <c r="BI129" s="148" t="str">
        <f t="shared" si="28"/>
        <v>金币</v>
      </c>
      <c r="BJ129" s="148">
        <f t="shared" si="29"/>
        <v>117000</v>
      </c>
      <c r="BK129" s="148" t="str">
        <f t="shared" si="30"/>
        <v>秦琼专属武器碎片</v>
      </c>
      <c r="BL129" s="148">
        <f t="shared" si="31"/>
        <v>120</v>
      </c>
    </row>
    <row r="130" spans="52:64" ht="16.5" x14ac:dyDescent="0.2">
      <c r="AZ130" s="148">
        <v>125</v>
      </c>
      <c r="BA130" s="148">
        <f t="shared" si="23"/>
        <v>21</v>
      </c>
      <c r="BB130" s="148">
        <f t="shared" si="24"/>
        <v>5</v>
      </c>
      <c r="BC130" s="148">
        <f t="shared" si="25"/>
        <v>1102031</v>
      </c>
      <c r="BD130" s="148" t="s">
        <v>1384</v>
      </c>
      <c r="BE130" s="148">
        <f t="shared" si="32"/>
        <v>4</v>
      </c>
      <c r="BF130" s="148" t="str">
        <f t="shared" si="33"/>
        <v>秦琼专属武器解封-4</v>
      </c>
      <c r="BG130" s="148" t="str">
        <f t="shared" si="26"/>
        <v>秦琼专属武器效果</v>
      </c>
      <c r="BH130" s="148">
        <f t="shared" si="27"/>
        <v>4</v>
      </c>
      <c r="BI130" s="148" t="str">
        <f t="shared" si="28"/>
        <v>金币</v>
      </c>
      <c r="BJ130" s="148">
        <f t="shared" si="29"/>
        <v>207500</v>
      </c>
      <c r="BK130" s="148" t="str">
        <f t="shared" si="30"/>
        <v>秦琼专属武器碎片</v>
      </c>
      <c r="BL130" s="148">
        <f t="shared" si="31"/>
        <v>120</v>
      </c>
    </row>
    <row r="131" spans="52:64" ht="16.5" x14ac:dyDescent="0.2">
      <c r="AZ131" s="148">
        <v>126</v>
      </c>
      <c r="BA131" s="148">
        <f t="shared" si="23"/>
        <v>21</v>
      </c>
      <c r="BB131" s="148">
        <f t="shared" si="24"/>
        <v>5</v>
      </c>
      <c r="BC131" s="148">
        <f t="shared" si="25"/>
        <v>1102031</v>
      </c>
      <c r="BD131" s="148" t="s">
        <v>1384</v>
      </c>
      <c r="BE131" s="148">
        <f t="shared" si="32"/>
        <v>5</v>
      </c>
      <c r="BF131" s="148" t="str">
        <f t="shared" si="33"/>
        <v>秦琼专属武器解封-5</v>
      </c>
      <c r="BG131" s="148" t="str">
        <f t="shared" si="26"/>
        <v>秦琼专属武器效果</v>
      </c>
      <c r="BH131" s="148">
        <f t="shared" si="27"/>
        <v>5</v>
      </c>
      <c r="BI131" s="148" t="str">
        <f t="shared" si="28"/>
        <v>金币</v>
      </c>
      <c r="BJ131" s="148">
        <f t="shared" si="29"/>
        <v>501500</v>
      </c>
      <c r="BK131" s="148" t="str">
        <f t="shared" si="30"/>
        <v>秦琼专属武器碎片</v>
      </c>
      <c r="BL131" s="148">
        <f t="shared" si="31"/>
        <v>160</v>
      </c>
    </row>
    <row r="132" spans="52:64" x14ac:dyDescent="0.2">
      <c r="AZ132" s="149"/>
    </row>
    <row r="133" spans="52:64" x14ac:dyDescent="0.2">
      <c r="AZ133" s="149"/>
    </row>
    <row r="134" spans="52:64" x14ac:dyDescent="0.2">
      <c r="AZ134" s="149"/>
      <c r="BA134" s="149"/>
      <c r="BB134" s="149"/>
    </row>
    <row r="135" spans="52:64" x14ac:dyDescent="0.2">
      <c r="AZ135" s="149"/>
      <c r="BA135" s="149"/>
      <c r="BB135" s="149"/>
    </row>
    <row r="136" spans="52:64" x14ac:dyDescent="0.2">
      <c r="AZ136" s="149"/>
      <c r="BA136" s="149"/>
      <c r="BB136" s="149"/>
    </row>
    <row r="137" spans="52:64" x14ac:dyDescent="0.2">
      <c r="AZ137" s="149"/>
      <c r="BA137" s="149"/>
      <c r="BB137" s="149"/>
    </row>
    <row r="138" spans="52:64" x14ac:dyDescent="0.2">
      <c r="AZ138" s="149"/>
      <c r="BA138" s="149"/>
      <c r="BB138" s="149"/>
    </row>
    <row r="139" spans="52:64" x14ac:dyDescent="0.2">
      <c r="AZ139" s="149"/>
      <c r="BA139" s="149"/>
      <c r="BB139" s="149"/>
    </row>
    <row r="140" spans="52:64" x14ac:dyDescent="0.2">
      <c r="AZ140" s="149"/>
      <c r="BA140" s="149"/>
      <c r="BB140" s="149"/>
    </row>
    <row r="141" spans="52:64" x14ac:dyDescent="0.2">
      <c r="AZ141" s="149"/>
      <c r="BA141" s="149"/>
      <c r="BB141" s="149"/>
    </row>
    <row r="142" spans="52:64" x14ac:dyDescent="0.2">
      <c r="AZ142" s="149"/>
      <c r="BA142" s="149"/>
      <c r="BB142" s="149"/>
    </row>
    <row r="143" spans="52:64" x14ac:dyDescent="0.2">
      <c r="AZ143" s="149"/>
      <c r="BA143" s="149"/>
      <c r="BB143" s="149"/>
    </row>
    <row r="144" spans="52:64" x14ac:dyDescent="0.2">
      <c r="AZ144" s="149"/>
      <c r="BA144" s="149"/>
      <c r="BB144" s="149"/>
    </row>
    <row r="145" spans="52:54" x14ac:dyDescent="0.2">
      <c r="AZ145" s="149"/>
      <c r="BA145" s="149"/>
      <c r="BB145" s="149"/>
    </row>
    <row r="146" spans="52:54" x14ac:dyDescent="0.2">
      <c r="AZ146" s="149"/>
      <c r="BA146" s="149"/>
      <c r="BB146" s="149"/>
    </row>
  </sheetData>
  <mergeCells count="3">
    <mergeCell ref="A4:J4"/>
    <mergeCell ref="S4:AG4"/>
    <mergeCell ref="L4:Q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6"/>
  <sheetViews>
    <sheetView workbookViewId="0">
      <selection activeCell="E21" sqref="E21"/>
    </sheetView>
  </sheetViews>
  <sheetFormatPr defaultRowHeight="14.25" x14ac:dyDescent="0.2"/>
  <cols>
    <col min="2" max="2" width="11.125" customWidth="1"/>
    <col min="3" max="3" width="8.875" customWidth="1"/>
    <col min="4" max="4" width="10.375" customWidth="1"/>
    <col min="5" max="5" width="11.125" customWidth="1"/>
    <col min="6" max="6" width="10.5" customWidth="1"/>
    <col min="7" max="7" width="11.125" customWidth="1"/>
    <col min="8" max="9" width="10.25" customWidth="1"/>
  </cols>
  <sheetData>
    <row r="3" spans="1:9" ht="17.25" x14ac:dyDescent="0.2">
      <c r="B3" s="12" t="s">
        <v>417</v>
      </c>
      <c r="C3" s="12" t="s">
        <v>416</v>
      </c>
      <c r="D3" s="12" t="s">
        <v>415</v>
      </c>
      <c r="E3" s="12" t="s">
        <v>414</v>
      </c>
      <c r="F3" s="12" t="s">
        <v>413</v>
      </c>
      <c r="G3" s="12" t="s">
        <v>412</v>
      </c>
      <c r="H3" s="12" t="s">
        <v>411</v>
      </c>
      <c r="I3" s="12" t="s">
        <v>410</v>
      </c>
    </row>
    <row r="4" spans="1:9" ht="16.5" x14ac:dyDescent="0.2">
      <c r="A4" s="15"/>
      <c r="B4" s="59"/>
      <c r="C4" s="59"/>
      <c r="D4" s="21">
        <v>0.4</v>
      </c>
      <c r="E4" s="21">
        <v>0.6</v>
      </c>
      <c r="F4" s="21"/>
      <c r="G4" s="21"/>
      <c r="H4" s="58"/>
      <c r="I4" s="58"/>
    </row>
    <row r="5" spans="1:9" ht="16.5" x14ac:dyDescent="0.2">
      <c r="A5" s="36" t="s">
        <v>409</v>
      </c>
      <c r="B5" s="58">
        <f>金币总表!S41</f>
        <v>0</v>
      </c>
      <c r="C5" s="58">
        <f>SUM(节奏总表!AC7:AC11)</f>
        <v>2.75</v>
      </c>
      <c r="D5" s="14">
        <f t="shared" ref="D5:E8" si="0">INT($B5*D$4)</f>
        <v>0</v>
      </c>
      <c r="E5" s="14">
        <f t="shared" si="0"/>
        <v>0</v>
      </c>
      <c r="F5" s="58"/>
      <c r="G5" s="58"/>
      <c r="H5" s="58">
        <v>10</v>
      </c>
      <c r="I5" s="58" t="s">
        <v>408</v>
      </c>
    </row>
    <row r="6" spans="1:9" ht="16.5" x14ac:dyDescent="0.2">
      <c r="A6" s="36" t="s">
        <v>220</v>
      </c>
      <c r="B6" s="58">
        <f>金币总表!S42</f>
        <v>0</v>
      </c>
      <c r="C6" s="58">
        <f>SUM(节奏总表!AC12:AC13)</f>
        <v>1.3399999999999999</v>
      </c>
      <c r="D6" s="14">
        <f t="shared" si="0"/>
        <v>0</v>
      </c>
      <c r="E6" s="14">
        <f t="shared" si="0"/>
        <v>0</v>
      </c>
      <c r="F6" s="58"/>
      <c r="G6" s="58"/>
      <c r="H6" s="58">
        <v>10</v>
      </c>
      <c r="I6" s="58" t="s">
        <v>407</v>
      </c>
    </row>
    <row r="7" spans="1:9" ht="16.5" x14ac:dyDescent="0.2">
      <c r="A7" s="36" t="s">
        <v>221</v>
      </c>
      <c r="B7" s="58">
        <f>金币总表!S43</f>
        <v>0</v>
      </c>
      <c r="C7" s="58">
        <f>SUM(节奏总表!AC14:AC15)</f>
        <v>1.7700000000000005</v>
      </c>
      <c r="D7" s="14">
        <f t="shared" si="0"/>
        <v>0</v>
      </c>
      <c r="E7" s="14">
        <f t="shared" si="0"/>
        <v>0</v>
      </c>
      <c r="F7" s="58"/>
      <c r="G7" s="58"/>
      <c r="H7" s="58">
        <v>15</v>
      </c>
      <c r="I7" s="58" t="s">
        <v>406</v>
      </c>
    </row>
    <row r="8" spans="1:9" ht="16.5" x14ac:dyDescent="0.2">
      <c r="A8" s="36" t="s">
        <v>222</v>
      </c>
      <c r="B8" s="58">
        <f>金币总表!S44</f>
        <v>0</v>
      </c>
      <c r="C8" s="58">
        <f>SUM(节奏总表!AC16:AC18)</f>
        <v>3.9999999999999991</v>
      </c>
      <c r="D8" s="14">
        <f t="shared" si="0"/>
        <v>0</v>
      </c>
      <c r="E8" s="14">
        <f t="shared" si="0"/>
        <v>0</v>
      </c>
      <c r="F8" s="58"/>
      <c r="G8" s="58"/>
      <c r="H8" s="58">
        <v>15</v>
      </c>
      <c r="I8" s="58" t="s">
        <v>405</v>
      </c>
    </row>
    <row r="9" spans="1:9" x14ac:dyDescent="0.2">
      <c r="A9" s="15"/>
      <c r="B9" s="15"/>
      <c r="C9" s="15"/>
      <c r="D9" s="15"/>
      <c r="E9" s="15"/>
      <c r="F9" s="15"/>
      <c r="G9" s="15"/>
    </row>
    <row r="10" spans="1:9" x14ac:dyDescent="0.2">
      <c r="A10" s="15"/>
      <c r="B10" s="15"/>
      <c r="C10" s="15"/>
      <c r="D10" s="15"/>
      <c r="E10" s="15"/>
      <c r="F10" s="15"/>
      <c r="G10" s="15"/>
    </row>
    <row r="11" spans="1:9" x14ac:dyDescent="0.2">
      <c r="A11" s="15"/>
      <c r="B11" s="15"/>
      <c r="C11" s="15"/>
      <c r="D11" s="15"/>
      <c r="E11" s="15"/>
      <c r="F11" s="15"/>
      <c r="G11" s="15"/>
    </row>
    <row r="12" spans="1:9" x14ac:dyDescent="0.2">
      <c r="A12" s="15"/>
      <c r="B12" s="15"/>
      <c r="C12" s="15"/>
      <c r="D12" s="15"/>
      <c r="E12" s="15"/>
      <c r="F12" s="15"/>
      <c r="G12" s="15"/>
    </row>
    <row r="13" spans="1:9" x14ac:dyDescent="0.2">
      <c r="A13" s="15"/>
      <c r="B13" s="15"/>
      <c r="C13" s="15"/>
      <c r="D13" s="15"/>
      <c r="E13" s="15"/>
      <c r="F13" s="15"/>
      <c r="G13" s="15"/>
    </row>
    <row r="14" spans="1:9" x14ac:dyDescent="0.2">
      <c r="A14" s="15"/>
      <c r="B14" s="15"/>
      <c r="C14" s="15"/>
      <c r="D14" s="15"/>
      <c r="E14" s="15"/>
      <c r="F14" s="15"/>
      <c r="G14" s="15"/>
    </row>
    <row r="15" spans="1:9" x14ac:dyDescent="0.2">
      <c r="A15" s="15"/>
      <c r="B15" s="15"/>
      <c r="C15" s="15"/>
      <c r="D15" s="15"/>
      <c r="E15" s="15"/>
      <c r="F15" s="15"/>
      <c r="G15" s="15"/>
    </row>
    <row r="16" spans="1:9" x14ac:dyDescent="0.2">
      <c r="A16" s="15"/>
      <c r="B16" s="15"/>
      <c r="C16" s="15"/>
      <c r="D16" s="15"/>
      <c r="E16" s="15"/>
      <c r="F16" s="15"/>
      <c r="G16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文档说明</vt:lpstr>
      <vt:lpstr>价值概述</vt:lpstr>
      <vt:lpstr>节奏总表</vt:lpstr>
      <vt:lpstr>章节关卡</vt:lpstr>
      <vt:lpstr>经验计算</vt:lpstr>
      <vt:lpstr>芦花古楼</vt:lpstr>
      <vt:lpstr>金币总表</vt:lpstr>
      <vt:lpstr>日常任务</vt:lpstr>
      <vt:lpstr>挂机升级突破</vt:lpstr>
      <vt:lpstr>卡牌消耗</vt:lpstr>
      <vt:lpstr>专属武器强化</vt:lpstr>
      <vt:lpstr>羁绊副本</vt:lpstr>
      <vt:lpstr>神器</vt:lpstr>
      <vt:lpstr>装备</vt:lpstr>
      <vt:lpstr>新神器</vt:lpstr>
      <vt:lpstr>日常副本</vt:lpstr>
      <vt:lpstr>恶灵入侵-专属解封</vt:lpstr>
      <vt:lpstr>专属武器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2019-10-08T09:23:08Z</dcterms:modified>
</cp:coreProperties>
</file>